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/>
  <mc:AlternateContent xmlns:mc="http://schemas.openxmlformats.org/markup-compatibility/2006">
    <mc:Choice Requires="x15">
      <x15ac:absPath xmlns:x15ac="http://schemas.microsoft.com/office/spreadsheetml/2010/11/ac" url="Y:\12.ปี 2567\01. รายงานแผนงาน-ผลงาน ปี 67\2.ข้อมูล Export จาก Google Sheet\10. 30 เม.ย. 67\"/>
    </mc:Choice>
  </mc:AlternateContent>
  <xr:revisionPtr revIDLastSave="0" documentId="13_ncr:1_{7872F5E5-9112-4A0C-B586-851F60C8F5F8}" xr6:coauthVersionLast="47" xr6:coauthVersionMax="47" xr10:uidLastSave="{00000000-0000-0000-0000-000000000000}"/>
  <bookViews>
    <workbookView xWindow="-120" yWindow="-120" windowWidth="24240" windowHeight="13020" firstSheet="12" activeTab="20" xr2:uid="{00000000-000D-0000-FFFF-FFFF00000000}"/>
  </bookViews>
  <sheets>
    <sheet name="รวมตะวันออกเฉียงเหนือ" sheetId="1" r:id="rId1"/>
    <sheet name="กาฬสินธุ์" sheetId="2" r:id="rId2"/>
    <sheet name="ขอนแก่น" sheetId="3" r:id="rId3"/>
    <sheet name="ชัยภูมิ" sheetId="4" r:id="rId4"/>
    <sheet name="นครพนม" sheetId="5" r:id="rId5"/>
    <sheet name="นครราชสีมา" sheetId="6" r:id="rId6"/>
    <sheet name="บึงกาฬ" sheetId="7" r:id="rId7"/>
    <sheet name="บุรีรัมย์" sheetId="8" r:id="rId8"/>
    <sheet name="มหาสารคาม" sheetId="9" r:id="rId9"/>
    <sheet name="มุกดาหาร" sheetId="10" r:id="rId10"/>
    <sheet name="ยโสธร" sheetId="11" r:id="rId11"/>
    <sheet name="ร้อยเอ็ด" sheetId="12" r:id="rId12"/>
    <sheet name="เลย" sheetId="13" r:id="rId13"/>
    <sheet name="ศรีสะเกษ" sheetId="14" r:id="rId14"/>
    <sheet name="สกลนคร" sheetId="15" r:id="rId15"/>
    <sheet name="สุรินทร์" sheetId="16" r:id="rId16"/>
    <sheet name="หนองคาย" sheetId="17" r:id="rId17"/>
    <sheet name="หนองบัวลำภู" sheetId="18" r:id="rId18"/>
    <sheet name="อำนาจเจริญ" sheetId="19" r:id="rId19"/>
    <sheet name="อุดรธานี" sheetId="20" r:id="rId20"/>
    <sheet name="อุบลราชธานี" sheetId="21" r:id="rId21"/>
  </sheets>
  <definedNames>
    <definedName name="_xlnm.Print_Titles" localSheetId="1">กาฬสินธุ์!$1:$6</definedName>
    <definedName name="_xlnm.Print_Titles" localSheetId="2">ขอนแก่น!$1:$6</definedName>
    <definedName name="_xlnm.Print_Titles" localSheetId="3">ชัยภูมิ!$1:$6</definedName>
    <definedName name="_xlnm.Print_Titles" localSheetId="4">นครพนม!$1:$6</definedName>
    <definedName name="_xlnm.Print_Titles" localSheetId="5">นครราชสีมา!$1:$6</definedName>
    <definedName name="_xlnm.Print_Titles" localSheetId="6">บึงกาฬ!$1:$6</definedName>
    <definedName name="_xlnm.Print_Titles" localSheetId="7">บุรีรัมย์!$1:$6</definedName>
    <definedName name="_xlnm.Print_Titles" localSheetId="8">มหาสารคาม!$1:$6</definedName>
    <definedName name="_xlnm.Print_Titles" localSheetId="9">มุกดาหาร!$1:$6</definedName>
    <definedName name="_xlnm.Print_Titles" localSheetId="10">ยโสธร!$1:$6</definedName>
    <definedName name="_xlnm.Print_Titles" localSheetId="11">ร้อยเอ็ด!$1:$6</definedName>
    <definedName name="_xlnm.Print_Titles" localSheetId="12">เลย!$1:$6</definedName>
    <definedName name="_xlnm.Print_Titles" localSheetId="13">ศรีสะเกษ!$1:$6</definedName>
    <definedName name="_xlnm.Print_Titles" localSheetId="14">สกลนคร!$1:$6</definedName>
    <definedName name="_xlnm.Print_Titles" localSheetId="15">สุรินทร์!$1:$6</definedName>
    <definedName name="_xlnm.Print_Titles" localSheetId="16">หนองคาย!$1:$6</definedName>
    <definedName name="_xlnm.Print_Titles" localSheetId="17">หนองบัวลำภู!$1:$6</definedName>
    <definedName name="_xlnm.Print_Titles" localSheetId="18">อำนาจเจริญ!$1:$6</definedName>
    <definedName name="_xlnm.Print_Titles" localSheetId="19">อุดรธานี!$1:$6</definedName>
    <definedName name="_xlnm.Print_Titles" localSheetId="20">อุบลราชธานี!$1:$6</definedName>
    <definedName name="ๆ203">ชัยภูมิ!$A$1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22" i="21" l="1"/>
  <c r="M22" i="21"/>
  <c r="M19" i="21" s="1"/>
  <c r="N22" i="21"/>
  <c r="Q22" i="21"/>
  <c r="R22" i="21"/>
  <c r="S22" i="21"/>
  <c r="S19" i="21" s="1"/>
  <c r="T22" i="21"/>
  <c r="Q24" i="21"/>
  <c r="T24" i="21" s="1"/>
  <c r="L25" i="21"/>
  <c r="M25" i="21"/>
  <c r="N25" i="21"/>
  <c r="Q25" i="21"/>
  <c r="R25" i="21"/>
  <c r="S25" i="21"/>
  <c r="S24" i="21" s="1"/>
  <c r="T25" i="21"/>
  <c r="Q26" i="21"/>
  <c r="T26" i="21" s="1"/>
  <c r="R26" i="21"/>
  <c r="U26" i="21" s="1"/>
  <c r="S26" i="21"/>
  <c r="L45" i="21"/>
  <c r="O45" i="21" s="1"/>
  <c r="M45" i="21"/>
  <c r="N45" i="21"/>
  <c r="Q45" i="21"/>
  <c r="T45" i="21" s="1"/>
  <c r="R45" i="21"/>
  <c r="U45" i="21" s="1"/>
  <c r="S45" i="21"/>
  <c r="S44" i="21" s="1"/>
  <c r="Q46" i="21"/>
  <c r="T46" i="21" s="1"/>
  <c r="R46" i="21"/>
  <c r="S46" i="21"/>
  <c r="U46" i="21"/>
  <c r="Q47" i="21"/>
  <c r="T47" i="21" s="1"/>
  <c r="R47" i="21"/>
  <c r="U47" i="21" s="1"/>
  <c r="S47" i="21"/>
  <c r="O48" i="21"/>
  <c r="P48" i="21"/>
  <c r="T48" i="21"/>
  <c r="U48" i="21"/>
  <c r="L49" i="21"/>
  <c r="L47" i="21" s="1"/>
  <c r="M49" i="21"/>
  <c r="M47" i="21" s="1"/>
  <c r="N49" i="21"/>
  <c r="T49" i="21"/>
  <c r="U49" i="21"/>
  <c r="Q50" i="21"/>
  <c r="T50" i="21" s="1"/>
  <c r="R50" i="21"/>
  <c r="S50" i="21"/>
  <c r="U50" i="21"/>
  <c r="O51" i="21"/>
  <c r="P51" i="21"/>
  <c r="T51" i="21"/>
  <c r="U51" i="21"/>
  <c r="L52" i="21"/>
  <c r="M52" i="21"/>
  <c r="N52" i="21"/>
  <c r="N50" i="21" s="1"/>
  <c r="T52" i="21"/>
  <c r="U52" i="21"/>
  <c r="L60" i="21"/>
  <c r="O60" i="21" s="1"/>
  <c r="M60" i="21"/>
  <c r="N60" i="21"/>
  <c r="Q60" i="21"/>
  <c r="Q59" i="21" s="1"/>
  <c r="T59" i="21" s="1"/>
  <c r="R60" i="21"/>
  <c r="U60" i="21" s="1"/>
  <c r="S60" i="21"/>
  <c r="S59" i="21" s="1"/>
  <c r="T60" i="21"/>
  <c r="Q61" i="21"/>
  <c r="T61" i="21" s="1"/>
  <c r="R61" i="21"/>
  <c r="S61" i="21"/>
  <c r="Q62" i="21"/>
  <c r="T62" i="21" s="1"/>
  <c r="R62" i="21"/>
  <c r="U62" i="21" s="1"/>
  <c r="S62" i="21"/>
  <c r="O63" i="21"/>
  <c r="P63" i="21"/>
  <c r="T63" i="21"/>
  <c r="U63" i="21"/>
  <c r="L64" i="21"/>
  <c r="L62" i="21" s="1"/>
  <c r="M64" i="21"/>
  <c r="M62" i="21" s="1"/>
  <c r="N64" i="21"/>
  <c r="T64" i="21"/>
  <c r="U64" i="21"/>
  <c r="Q65" i="21"/>
  <c r="R65" i="21"/>
  <c r="U65" i="21" s="1"/>
  <c r="S65" i="21"/>
  <c r="T65" i="21"/>
  <c r="O66" i="21"/>
  <c r="P66" i="21"/>
  <c r="T66" i="21"/>
  <c r="U66" i="21"/>
  <c r="L67" i="21"/>
  <c r="M67" i="21"/>
  <c r="N67" i="21"/>
  <c r="N65" i="21" s="1"/>
  <c r="T67" i="21"/>
  <c r="U67" i="21"/>
  <c r="L73" i="21"/>
  <c r="M73" i="21"/>
  <c r="N73" i="21"/>
  <c r="O73" i="21"/>
  <c r="Q73" i="21"/>
  <c r="T73" i="21" s="1"/>
  <c r="R73" i="21"/>
  <c r="S73" i="21"/>
  <c r="U73" i="21"/>
  <c r="O76" i="21"/>
  <c r="P76" i="21"/>
  <c r="T76" i="21"/>
  <c r="U76" i="21"/>
  <c r="L77" i="21"/>
  <c r="L75" i="21" s="1"/>
  <c r="M77" i="21"/>
  <c r="M75" i="21" s="1"/>
  <c r="N77" i="21"/>
  <c r="N75" i="21" s="1"/>
  <c r="Q77" i="21"/>
  <c r="R77" i="21"/>
  <c r="R74" i="21" s="1"/>
  <c r="S77" i="21"/>
  <c r="S75" i="21" s="1"/>
  <c r="Q78" i="21"/>
  <c r="T78" i="21" s="1"/>
  <c r="R78" i="21"/>
  <c r="U78" i="21" s="1"/>
  <c r="S78" i="21"/>
  <c r="O79" i="21"/>
  <c r="P79" i="21"/>
  <c r="T79" i="21"/>
  <c r="U79" i="21"/>
  <c r="L80" i="21"/>
  <c r="O80" i="21" s="1"/>
  <c r="M80" i="21"/>
  <c r="M78" i="21" s="1"/>
  <c r="P78" i="21" s="1"/>
  <c r="N80" i="21"/>
  <c r="N78" i="21" s="1"/>
  <c r="T80" i="21"/>
  <c r="U80" i="21"/>
  <c r="J82" i="21"/>
  <c r="J70" i="21" s="1"/>
  <c r="J83" i="21"/>
  <c r="J71" i="21" s="1"/>
  <c r="I84" i="21"/>
  <c r="I85" i="21"/>
  <c r="I86" i="21"/>
  <c r="K86" i="21" s="1"/>
  <c r="I87" i="21"/>
  <c r="K87" i="21" s="1"/>
  <c r="I88" i="21"/>
  <c r="K88" i="21" s="1"/>
  <c r="I89" i="21"/>
  <c r="K89" i="21" s="1"/>
  <c r="I90" i="21"/>
  <c r="K90" i="21" s="1"/>
  <c r="J92" i="21"/>
  <c r="J93" i="21"/>
  <c r="L95" i="21"/>
  <c r="M95" i="21"/>
  <c r="P95" i="21" s="1"/>
  <c r="N95" i="21"/>
  <c r="O95" i="21"/>
  <c r="Q95" i="21"/>
  <c r="T95" i="21" s="1"/>
  <c r="R95" i="21"/>
  <c r="S95" i="21"/>
  <c r="U95" i="21"/>
  <c r="O98" i="21"/>
  <c r="P98" i="21"/>
  <c r="T98" i="21"/>
  <c r="U98" i="21"/>
  <c r="L99" i="21"/>
  <c r="L97" i="21" s="1"/>
  <c r="O97" i="21" s="1"/>
  <c r="M99" i="21"/>
  <c r="M97" i="21" s="1"/>
  <c r="P97" i="21" s="1"/>
  <c r="N99" i="21"/>
  <c r="N97" i="21" s="1"/>
  <c r="Q99" i="21"/>
  <c r="R99" i="21"/>
  <c r="S99" i="21"/>
  <c r="S96" i="21" s="1"/>
  <c r="S94" i="21" s="1"/>
  <c r="Q100" i="21"/>
  <c r="T100" i="21" s="1"/>
  <c r="R100" i="21"/>
  <c r="U100" i="21" s="1"/>
  <c r="S100" i="21"/>
  <c r="O101" i="21"/>
  <c r="P101" i="21"/>
  <c r="T101" i="21"/>
  <c r="U101" i="21"/>
  <c r="L102" i="21"/>
  <c r="M102" i="21"/>
  <c r="M100" i="21" s="1"/>
  <c r="P100" i="21" s="1"/>
  <c r="N102" i="21"/>
  <c r="N100" i="21" s="1"/>
  <c r="T102" i="21"/>
  <c r="U102" i="21"/>
  <c r="I108" i="21"/>
  <c r="I109" i="21"/>
  <c r="I93" i="21" s="1"/>
  <c r="K93" i="21" s="1"/>
  <c r="I114" i="21"/>
  <c r="K114" i="21" s="1"/>
  <c r="J116" i="21"/>
  <c r="L118" i="21"/>
  <c r="M118" i="21"/>
  <c r="P118" i="21" s="1"/>
  <c r="N118" i="21"/>
  <c r="O118" i="21"/>
  <c r="Q118" i="21"/>
  <c r="T118" i="21" s="1"/>
  <c r="R118" i="21"/>
  <c r="U118" i="21" s="1"/>
  <c r="S118" i="21"/>
  <c r="O121" i="21"/>
  <c r="P121" i="21"/>
  <c r="T121" i="21"/>
  <c r="U121" i="21"/>
  <c r="L122" i="21"/>
  <c r="M122" i="21"/>
  <c r="M120" i="21" s="1"/>
  <c r="P120" i="21" s="1"/>
  <c r="N122" i="21"/>
  <c r="N120" i="21" s="1"/>
  <c r="Q122" i="21"/>
  <c r="R122" i="21"/>
  <c r="R119" i="21" s="1"/>
  <c r="S122" i="21"/>
  <c r="Q123" i="21"/>
  <c r="R123" i="21"/>
  <c r="U123" i="21" s="1"/>
  <c r="S123" i="21"/>
  <c r="T123" i="21"/>
  <c r="O124" i="21"/>
  <c r="P124" i="21"/>
  <c r="T124" i="21"/>
  <c r="U124" i="21"/>
  <c r="L125" i="21"/>
  <c r="M125" i="21"/>
  <c r="N125" i="21"/>
  <c r="N123" i="21" s="1"/>
  <c r="T125" i="21"/>
  <c r="U125" i="21"/>
  <c r="I127" i="21"/>
  <c r="I116" i="21" s="1"/>
  <c r="K116" i="21" s="1"/>
  <c r="I128" i="21"/>
  <c r="K128" i="21" s="1"/>
  <c r="I129" i="21"/>
  <c r="K129" i="21" s="1"/>
  <c r="I130" i="21"/>
  <c r="K130" i="21" s="1"/>
  <c r="J136" i="21"/>
  <c r="J137" i="21"/>
  <c r="J138" i="21"/>
  <c r="L140" i="21"/>
  <c r="M140" i="21"/>
  <c r="N140" i="21"/>
  <c r="Q140" i="21"/>
  <c r="R140" i="21"/>
  <c r="S140" i="21"/>
  <c r="O143" i="21"/>
  <c r="P143" i="21"/>
  <c r="T143" i="21"/>
  <c r="U143" i="21"/>
  <c r="L144" i="21"/>
  <c r="L142" i="21" s="1"/>
  <c r="M144" i="21"/>
  <c r="N144" i="21"/>
  <c r="Q144" i="21"/>
  <c r="R144" i="21"/>
  <c r="R142" i="21" s="1"/>
  <c r="U142" i="21" s="1"/>
  <c r="S144" i="21"/>
  <c r="S142" i="21" s="1"/>
  <c r="Q145" i="21"/>
  <c r="T145" i="21" s="1"/>
  <c r="R145" i="21"/>
  <c r="U145" i="21" s="1"/>
  <c r="S145" i="21"/>
  <c r="O146" i="21"/>
  <c r="P146" i="21"/>
  <c r="T146" i="21"/>
  <c r="U146" i="21"/>
  <c r="L147" i="21"/>
  <c r="M147" i="21"/>
  <c r="M145" i="21" s="1"/>
  <c r="P145" i="21" s="1"/>
  <c r="N147" i="21"/>
  <c r="N145" i="21" s="1"/>
  <c r="T147" i="21"/>
  <c r="U147" i="21"/>
  <c r="I150" i="21"/>
  <c r="K150" i="21" s="1"/>
  <c r="I151" i="21"/>
  <c r="K151" i="21" s="1"/>
  <c r="I152" i="21"/>
  <c r="I137" i="21" s="1"/>
  <c r="I153" i="21"/>
  <c r="I138" i="21" s="1"/>
  <c r="K138" i="21" s="1"/>
  <c r="I154" i="21"/>
  <c r="J156" i="21"/>
  <c r="L158" i="21"/>
  <c r="M158" i="21"/>
  <c r="P158" i="21" s="1"/>
  <c r="N158" i="21"/>
  <c r="Q158" i="21"/>
  <c r="R158" i="21"/>
  <c r="U158" i="21" s="1"/>
  <c r="S158" i="21"/>
  <c r="T158" i="21"/>
  <c r="O161" i="21"/>
  <c r="P161" i="21"/>
  <c r="T161" i="21"/>
  <c r="U161" i="21"/>
  <c r="L162" i="21"/>
  <c r="M162" i="21"/>
  <c r="N162" i="21"/>
  <c r="N160" i="21" s="1"/>
  <c r="Q162" i="21"/>
  <c r="R162" i="21"/>
  <c r="R159" i="21" s="1"/>
  <c r="S162" i="21"/>
  <c r="S159" i="21" s="1"/>
  <c r="Q163" i="21"/>
  <c r="R163" i="21"/>
  <c r="U163" i="21" s="1"/>
  <c r="S163" i="21"/>
  <c r="T163" i="21"/>
  <c r="O164" i="21"/>
  <c r="P164" i="21"/>
  <c r="T164" i="21"/>
  <c r="U164" i="21"/>
  <c r="L165" i="21"/>
  <c r="O165" i="21" s="1"/>
  <c r="M165" i="21"/>
  <c r="M163" i="21" s="1"/>
  <c r="P163" i="21" s="1"/>
  <c r="N165" i="21"/>
  <c r="N163" i="21" s="1"/>
  <c r="T165" i="21"/>
  <c r="U165" i="21"/>
  <c r="I167" i="21"/>
  <c r="K167" i="21" s="1"/>
  <c r="I168" i="21"/>
  <c r="K168" i="21" s="1"/>
  <c r="I169" i="21"/>
  <c r="J172" i="21"/>
  <c r="L174" i="21"/>
  <c r="M174" i="21"/>
  <c r="N174" i="21"/>
  <c r="O174" i="21"/>
  <c r="P174" i="21"/>
  <c r="Q174" i="21"/>
  <c r="R174" i="21"/>
  <c r="S174" i="21"/>
  <c r="T174" i="21"/>
  <c r="U174" i="21"/>
  <c r="O177" i="21"/>
  <c r="P177" i="21"/>
  <c r="T177" i="21"/>
  <c r="U177" i="21"/>
  <c r="L178" i="21"/>
  <c r="M178" i="21"/>
  <c r="N178" i="21"/>
  <c r="N176" i="21" s="1"/>
  <c r="Q178" i="21"/>
  <c r="Q175" i="21" s="1"/>
  <c r="T175" i="21" s="1"/>
  <c r="R178" i="21"/>
  <c r="R175" i="21" s="1"/>
  <c r="U175" i="21" s="1"/>
  <c r="S178" i="21"/>
  <c r="S175" i="21" s="1"/>
  <c r="S173" i="21" s="1"/>
  <c r="Q179" i="21"/>
  <c r="T179" i="21" s="1"/>
  <c r="R179" i="21"/>
  <c r="U179" i="21" s="1"/>
  <c r="S179" i="21"/>
  <c r="O180" i="21"/>
  <c r="P180" i="21"/>
  <c r="T180" i="21"/>
  <c r="U180" i="21"/>
  <c r="L181" i="21"/>
  <c r="O181" i="21" s="1"/>
  <c r="M181" i="21"/>
  <c r="P181" i="21" s="1"/>
  <c r="N181" i="21"/>
  <c r="N179" i="21" s="1"/>
  <c r="T181" i="21"/>
  <c r="U181" i="21"/>
  <c r="I183" i="21"/>
  <c r="I172" i="21" s="1"/>
  <c r="K172" i="21" s="1"/>
  <c r="K184" i="21"/>
  <c r="L187" i="21"/>
  <c r="M187" i="21"/>
  <c r="N187" i="21"/>
  <c r="Q187" i="21"/>
  <c r="R187" i="21"/>
  <c r="S187" i="21"/>
  <c r="O190" i="21"/>
  <c r="P190" i="21"/>
  <c r="T190" i="21"/>
  <c r="U190" i="21"/>
  <c r="L191" i="21"/>
  <c r="M191" i="21"/>
  <c r="N191" i="21"/>
  <c r="N189" i="21" s="1"/>
  <c r="Q191" i="21"/>
  <c r="R191" i="21"/>
  <c r="S191" i="21"/>
  <c r="S188" i="21" s="1"/>
  <c r="Q192" i="21"/>
  <c r="T192" i="21" s="1"/>
  <c r="R192" i="21"/>
  <c r="S192" i="21"/>
  <c r="U192" i="21"/>
  <c r="O193" i="21"/>
  <c r="P193" i="21"/>
  <c r="T193" i="21"/>
  <c r="U193" i="21"/>
  <c r="L194" i="21"/>
  <c r="L192" i="21" s="1"/>
  <c r="O192" i="21" s="1"/>
  <c r="M194" i="21"/>
  <c r="P194" i="21" s="1"/>
  <c r="N194" i="21"/>
  <c r="N192" i="21" s="1"/>
  <c r="T194" i="21"/>
  <c r="U194" i="21"/>
  <c r="J195" i="21"/>
  <c r="L196" i="21"/>
  <c r="O196" i="21" s="1"/>
  <c r="P196" i="21"/>
  <c r="I198" i="21"/>
  <c r="J199" i="21"/>
  <c r="J202" i="21"/>
  <c r="N203" i="21"/>
  <c r="P203" i="21"/>
  <c r="S203" i="21"/>
  <c r="U203" i="21"/>
  <c r="L204" i="21"/>
  <c r="L205" i="21"/>
  <c r="L206" i="21"/>
  <c r="Q206" i="21"/>
  <c r="Q203" i="21" s="1"/>
  <c r="T203" i="21" s="1"/>
  <c r="L207" i="21"/>
  <c r="I209" i="21"/>
  <c r="I202" i="21" s="1"/>
  <c r="K202" i="21" s="1"/>
  <c r="I211" i="21"/>
  <c r="K211" i="21" s="1"/>
  <c r="I212" i="21"/>
  <c r="K212" i="21" s="1"/>
  <c r="J213" i="21"/>
  <c r="N214" i="21"/>
  <c r="P214" i="21"/>
  <c r="S214" i="21"/>
  <c r="U214" i="21"/>
  <c r="L215" i="21"/>
  <c r="L216" i="21"/>
  <c r="L217" i="21"/>
  <c r="Q217" i="21"/>
  <c r="Q214" i="21" s="1"/>
  <c r="T214" i="21" s="1"/>
  <c r="I219" i="21"/>
  <c r="K219" i="21" s="1"/>
  <c r="I220" i="21"/>
  <c r="I213" i="21" s="1"/>
  <c r="J221" i="21"/>
  <c r="N222" i="21"/>
  <c r="P222" i="21"/>
  <c r="L223" i="21"/>
  <c r="L224" i="21"/>
  <c r="L225" i="21"/>
  <c r="I228" i="21"/>
  <c r="K228" i="21" s="1"/>
  <c r="I229" i="21"/>
  <c r="K229" i="21" s="1"/>
  <c r="I230" i="21"/>
  <c r="K230" i="21" s="1"/>
  <c r="N233" i="21"/>
  <c r="N234" i="21"/>
  <c r="N235" i="21"/>
  <c r="N236" i="21"/>
  <c r="J238" i="21"/>
  <c r="J240" i="21"/>
  <c r="J241" i="21"/>
  <c r="J242" i="21"/>
  <c r="J231" i="21" s="1"/>
  <c r="J185" i="21" s="1"/>
  <c r="N243" i="21"/>
  <c r="P243" i="21"/>
  <c r="L244" i="21"/>
  <c r="L245" i="21"/>
  <c r="L246" i="21"/>
  <c r="L247" i="21"/>
  <c r="I249" i="21"/>
  <c r="I242" i="21" s="1"/>
  <c r="I251" i="21"/>
  <c r="I240" i="21" s="1"/>
  <c r="K240" i="21" s="1"/>
  <c r="I252" i="21"/>
  <c r="K252" i="21" s="1"/>
  <c r="J253" i="21"/>
  <c r="N254" i="21"/>
  <c r="P254" i="21"/>
  <c r="L255" i="21"/>
  <c r="L256" i="21"/>
  <c r="L257" i="21"/>
  <c r="L258" i="21"/>
  <c r="I260" i="21"/>
  <c r="K262" i="21"/>
  <c r="K263" i="21"/>
  <c r="J265" i="21"/>
  <c r="L267" i="21"/>
  <c r="M267" i="21"/>
  <c r="N267" i="21"/>
  <c r="Q267" i="21"/>
  <c r="T267" i="21" s="1"/>
  <c r="R267" i="21"/>
  <c r="S267" i="21"/>
  <c r="O270" i="21"/>
  <c r="P270" i="21"/>
  <c r="T270" i="21"/>
  <c r="U270" i="21"/>
  <c r="L271" i="21"/>
  <c r="L269" i="21" s="1"/>
  <c r="O269" i="21" s="1"/>
  <c r="M271" i="21"/>
  <c r="M269" i="21" s="1"/>
  <c r="N271" i="21"/>
  <c r="N269" i="21" s="1"/>
  <c r="Q271" i="21"/>
  <c r="R271" i="21"/>
  <c r="S271" i="21"/>
  <c r="S268" i="21" s="1"/>
  <c r="Q272" i="21"/>
  <c r="T272" i="21" s="1"/>
  <c r="R272" i="21"/>
  <c r="U272" i="21" s="1"/>
  <c r="S272" i="21"/>
  <c r="O273" i="21"/>
  <c r="P273" i="21"/>
  <c r="T273" i="21"/>
  <c r="U273" i="21"/>
  <c r="L274" i="21"/>
  <c r="L272" i="21" s="1"/>
  <c r="O272" i="21" s="1"/>
  <c r="M274" i="21"/>
  <c r="P274" i="21" s="1"/>
  <c r="N274" i="21"/>
  <c r="N272" i="21" s="1"/>
  <c r="T274" i="21"/>
  <c r="U274" i="21"/>
  <c r="I276" i="21"/>
  <c r="I265" i="21" s="1"/>
  <c r="K265" i="21" s="1"/>
  <c r="J281" i="21"/>
  <c r="Q282" i="21"/>
  <c r="T282" i="21" s="1"/>
  <c r="L283" i="21"/>
  <c r="O283" i="21" s="1"/>
  <c r="M283" i="21"/>
  <c r="N283" i="21"/>
  <c r="Q283" i="21"/>
  <c r="T283" i="21" s="1"/>
  <c r="R283" i="21"/>
  <c r="S283" i="21"/>
  <c r="Q284" i="21"/>
  <c r="R284" i="21"/>
  <c r="S284" i="21"/>
  <c r="T284" i="21"/>
  <c r="U284" i="21"/>
  <c r="Q285" i="21"/>
  <c r="T285" i="21" s="1"/>
  <c r="R285" i="21"/>
  <c r="U285" i="21" s="1"/>
  <c r="S285" i="21"/>
  <c r="O286" i="21"/>
  <c r="P286" i="21"/>
  <c r="T286" i="21"/>
  <c r="U286" i="21"/>
  <c r="L287" i="21"/>
  <c r="M287" i="21"/>
  <c r="N287" i="21"/>
  <c r="N285" i="21" s="1"/>
  <c r="T287" i="21"/>
  <c r="U287" i="21"/>
  <c r="Q288" i="21"/>
  <c r="T288" i="21" s="1"/>
  <c r="R288" i="21"/>
  <c r="S288" i="21"/>
  <c r="U288" i="21"/>
  <c r="O289" i="21"/>
  <c r="P289" i="21"/>
  <c r="T289" i="21"/>
  <c r="U289" i="21"/>
  <c r="L290" i="21"/>
  <c r="M290" i="21"/>
  <c r="N290" i="21"/>
  <c r="N288" i="21" s="1"/>
  <c r="T290" i="21"/>
  <c r="U290" i="21"/>
  <c r="I292" i="21"/>
  <c r="I293" i="21"/>
  <c r="K293" i="21" s="1"/>
  <c r="J293" i="21"/>
  <c r="J280" i="21" s="1"/>
  <c r="I295" i="21"/>
  <c r="K295" i="21" s="1"/>
  <c r="I296" i="21"/>
  <c r="K296" i="21" s="1"/>
  <c r="J302" i="21"/>
  <c r="L304" i="21"/>
  <c r="M304" i="21"/>
  <c r="N304" i="21"/>
  <c r="O304" i="21"/>
  <c r="Q304" i="21"/>
  <c r="T304" i="21" s="1"/>
  <c r="R304" i="21"/>
  <c r="U304" i="21" s="1"/>
  <c r="S304" i="21"/>
  <c r="O307" i="21"/>
  <c r="P307" i="21"/>
  <c r="T307" i="21"/>
  <c r="U307" i="21"/>
  <c r="L308" i="21"/>
  <c r="O308" i="21" s="1"/>
  <c r="M308" i="21"/>
  <c r="M306" i="21" s="1"/>
  <c r="P306" i="21" s="1"/>
  <c r="N308" i="21"/>
  <c r="N306" i="21" s="1"/>
  <c r="Q308" i="21"/>
  <c r="R308" i="21"/>
  <c r="R305" i="21" s="1"/>
  <c r="S308" i="21"/>
  <c r="S306" i="21" s="1"/>
  <c r="Q309" i="21"/>
  <c r="T309" i="21" s="1"/>
  <c r="R309" i="21"/>
  <c r="U309" i="21" s="1"/>
  <c r="S309" i="21"/>
  <c r="O310" i="21"/>
  <c r="P310" i="21"/>
  <c r="T310" i="21"/>
  <c r="U310" i="21"/>
  <c r="L311" i="21"/>
  <c r="L309" i="21" s="1"/>
  <c r="O309" i="21" s="1"/>
  <c r="M311" i="21"/>
  <c r="M309" i="21" s="1"/>
  <c r="P309" i="21" s="1"/>
  <c r="N311" i="21"/>
  <c r="N309" i="21" s="1"/>
  <c r="T311" i="21"/>
  <c r="U311" i="21"/>
  <c r="I314" i="21"/>
  <c r="I302" i="21" s="1"/>
  <c r="K302" i="21" s="1"/>
  <c r="J319" i="21"/>
  <c r="L321" i="21"/>
  <c r="M321" i="21"/>
  <c r="P321" i="21" s="1"/>
  <c r="N321" i="21"/>
  <c r="Q321" i="21"/>
  <c r="R321" i="21"/>
  <c r="S321" i="21"/>
  <c r="Q322" i="21"/>
  <c r="R322" i="21"/>
  <c r="S322" i="21"/>
  <c r="T322" i="21"/>
  <c r="U322" i="21"/>
  <c r="Q323" i="21"/>
  <c r="R323" i="21"/>
  <c r="U323" i="21" s="1"/>
  <c r="S323" i="21"/>
  <c r="T323" i="21"/>
  <c r="O324" i="21"/>
  <c r="P324" i="21"/>
  <c r="T324" i="21"/>
  <c r="U324" i="21"/>
  <c r="L325" i="21"/>
  <c r="O325" i="21" s="1"/>
  <c r="M325" i="21"/>
  <c r="N325" i="21"/>
  <c r="N323" i="21" s="1"/>
  <c r="T325" i="21"/>
  <c r="U325" i="21"/>
  <c r="Q326" i="21"/>
  <c r="T326" i="21" s="1"/>
  <c r="R326" i="21"/>
  <c r="U326" i="21" s="1"/>
  <c r="S326" i="21"/>
  <c r="O327" i="21"/>
  <c r="P327" i="21"/>
  <c r="T327" i="21"/>
  <c r="U327" i="21"/>
  <c r="L328" i="21"/>
  <c r="O328" i="21" s="1"/>
  <c r="M328" i="21"/>
  <c r="M326" i="21" s="1"/>
  <c r="P326" i="21" s="1"/>
  <c r="N328" i="21"/>
  <c r="N326" i="21" s="1"/>
  <c r="T328" i="21"/>
  <c r="U328" i="21"/>
  <c r="I330" i="21"/>
  <c r="K330" i="21" s="1"/>
  <c r="Q333" i="21"/>
  <c r="T333" i="21" s="1"/>
  <c r="L334" i="21"/>
  <c r="M334" i="21"/>
  <c r="N334" i="21"/>
  <c r="Q334" i="21"/>
  <c r="R334" i="21"/>
  <c r="S334" i="21"/>
  <c r="S333" i="21" s="1"/>
  <c r="T334" i="21"/>
  <c r="Q335" i="21"/>
  <c r="R335" i="21"/>
  <c r="S335" i="21"/>
  <c r="T335" i="21"/>
  <c r="U335" i="21"/>
  <c r="Q336" i="21"/>
  <c r="T336" i="21" s="1"/>
  <c r="R336" i="21"/>
  <c r="S336" i="21"/>
  <c r="U336" i="21"/>
  <c r="O337" i="21"/>
  <c r="P337" i="21"/>
  <c r="T337" i="21"/>
  <c r="U337" i="21"/>
  <c r="L338" i="21"/>
  <c r="L336" i="21" s="1"/>
  <c r="M338" i="21"/>
  <c r="M336" i="21" s="1"/>
  <c r="N338" i="21"/>
  <c r="T338" i="21"/>
  <c r="U338" i="21"/>
  <c r="Q339" i="21"/>
  <c r="T339" i="21" s="1"/>
  <c r="R339" i="21"/>
  <c r="U339" i="21" s="1"/>
  <c r="S339" i="21"/>
  <c r="O340" i="21"/>
  <c r="P340" i="21"/>
  <c r="T340" i="21"/>
  <c r="U340" i="21"/>
  <c r="L341" i="21"/>
  <c r="M341" i="21"/>
  <c r="M339" i="21" s="1"/>
  <c r="P339" i="21" s="1"/>
  <c r="N341" i="21"/>
  <c r="N339" i="21" s="1"/>
  <c r="T341" i="21"/>
  <c r="U341" i="21"/>
  <c r="I344" i="21"/>
  <c r="I332" i="21" s="1"/>
  <c r="J344" i="21"/>
  <c r="I346" i="21"/>
  <c r="J346" i="21"/>
  <c r="J347" i="21"/>
  <c r="J348" i="21"/>
  <c r="J349" i="21"/>
  <c r="D350" i="21"/>
  <c r="J352" i="21"/>
  <c r="J353" i="21"/>
  <c r="D354" i="21"/>
  <c r="S356" i="21"/>
  <c r="L357" i="21"/>
  <c r="M357" i="21"/>
  <c r="N357" i="21"/>
  <c r="O357" i="21"/>
  <c r="P357" i="21"/>
  <c r="Q357" i="21"/>
  <c r="R357" i="21"/>
  <c r="S357" i="21"/>
  <c r="T357" i="21"/>
  <c r="U357" i="21"/>
  <c r="Q358" i="21"/>
  <c r="R358" i="21"/>
  <c r="U358" i="21" s="1"/>
  <c r="S358" i="21"/>
  <c r="Q359" i="21"/>
  <c r="T359" i="21" s="1"/>
  <c r="R359" i="21"/>
  <c r="U359" i="21" s="1"/>
  <c r="S359" i="21"/>
  <c r="O360" i="21"/>
  <c r="P360" i="21"/>
  <c r="T360" i="21"/>
  <c r="U360" i="21"/>
  <c r="L361" i="21"/>
  <c r="M361" i="21"/>
  <c r="M359" i="21" s="1"/>
  <c r="N361" i="21"/>
  <c r="N359" i="21" s="1"/>
  <c r="T361" i="21"/>
  <c r="U361" i="21"/>
  <c r="Q362" i="21"/>
  <c r="T362" i="21" s="1"/>
  <c r="R362" i="21"/>
  <c r="S362" i="21"/>
  <c r="U362" i="21"/>
  <c r="O363" i="21"/>
  <c r="P363" i="21"/>
  <c r="T363" i="21"/>
  <c r="U363" i="21"/>
  <c r="L364" i="21"/>
  <c r="M364" i="21"/>
  <c r="N364" i="21"/>
  <c r="N362" i="21" s="1"/>
  <c r="T364" i="21"/>
  <c r="U364" i="21"/>
  <c r="J367" i="21"/>
  <c r="K367" i="21"/>
  <c r="I368" i="21"/>
  <c r="J368" i="21"/>
  <c r="I369" i="21"/>
  <c r="J369" i="21"/>
  <c r="J370" i="21"/>
  <c r="K370" i="21"/>
  <c r="I371" i="21"/>
  <c r="J371" i="21"/>
  <c r="J365" i="21" s="1"/>
  <c r="J372" i="21"/>
  <c r="K372" i="21"/>
  <c r="D373" i="21"/>
  <c r="L376" i="21"/>
  <c r="M376" i="21"/>
  <c r="P376" i="21" s="1"/>
  <c r="N376" i="21"/>
  <c r="Q376" i="21"/>
  <c r="R376" i="21"/>
  <c r="S376" i="21"/>
  <c r="L377" i="21"/>
  <c r="O377" i="21" s="1"/>
  <c r="M377" i="21"/>
  <c r="N377" i="21"/>
  <c r="L378" i="21"/>
  <c r="M378" i="21"/>
  <c r="P378" i="21" s="1"/>
  <c r="N378" i="21"/>
  <c r="O378" i="21"/>
  <c r="O379" i="21"/>
  <c r="P379" i="21"/>
  <c r="T379" i="21"/>
  <c r="U379" i="21"/>
  <c r="O380" i="21"/>
  <c r="P380" i="21"/>
  <c r="Q380" i="21"/>
  <c r="R380" i="21"/>
  <c r="S380" i="21"/>
  <c r="S378" i="21" s="1"/>
  <c r="L381" i="21"/>
  <c r="O381" i="21" s="1"/>
  <c r="M381" i="21"/>
  <c r="P381" i="21" s="1"/>
  <c r="N381" i="21"/>
  <c r="Q381" i="21"/>
  <c r="T381" i="21" s="1"/>
  <c r="R381" i="21"/>
  <c r="U381" i="21" s="1"/>
  <c r="S381" i="21"/>
  <c r="O382" i="21"/>
  <c r="P382" i="21"/>
  <c r="T382" i="21"/>
  <c r="U382" i="21"/>
  <c r="O383" i="21"/>
  <c r="P383" i="21"/>
  <c r="T383" i="21"/>
  <c r="U383" i="21"/>
  <c r="J385" i="21"/>
  <c r="K385" i="21"/>
  <c r="I386" i="21"/>
  <c r="J386" i="21"/>
  <c r="J387" i="21"/>
  <c r="K387" i="21"/>
  <c r="I388" i="21"/>
  <c r="K388" i="21" s="1"/>
  <c r="J388" i="21"/>
  <c r="I391" i="21"/>
  <c r="K391" i="21" s="1"/>
  <c r="J391" i="21"/>
  <c r="L393" i="21"/>
  <c r="O393" i="21" s="1"/>
  <c r="M393" i="21"/>
  <c r="M392" i="21" s="1"/>
  <c r="P392" i="21" s="1"/>
  <c r="N393" i="21"/>
  <c r="N392" i="21" s="1"/>
  <c r="Q393" i="21"/>
  <c r="Q392" i="21" s="1"/>
  <c r="T392" i="21" s="1"/>
  <c r="R393" i="21"/>
  <c r="U393" i="21" s="1"/>
  <c r="S393" i="21"/>
  <c r="T393" i="21"/>
  <c r="L394" i="21"/>
  <c r="O394" i="21" s="1"/>
  <c r="M394" i="21"/>
  <c r="P394" i="21" s="1"/>
  <c r="N394" i="21"/>
  <c r="Q394" i="21"/>
  <c r="R394" i="21"/>
  <c r="R392" i="21" s="1"/>
  <c r="U392" i="21" s="1"/>
  <c r="S394" i="21"/>
  <c r="T394" i="21"/>
  <c r="L395" i="21"/>
  <c r="O395" i="21" s="1"/>
  <c r="M395" i="21"/>
  <c r="N395" i="21"/>
  <c r="P395" i="21"/>
  <c r="Q395" i="21"/>
  <c r="T395" i="21" s="1"/>
  <c r="R395" i="21"/>
  <c r="U395" i="21" s="1"/>
  <c r="S395" i="21"/>
  <c r="O396" i="21"/>
  <c r="P396" i="21"/>
  <c r="T396" i="21"/>
  <c r="U396" i="21"/>
  <c r="O397" i="21"/>
  <c r="P397" i="21"/>
  <c r="T397" i="21"/>
  <c r="U397" i="21"/>
  <c r="L398" i="21"/>
  <c r="O398" i="21" s="1"/>
  <c r="M398" i="21"/>
  <c r="P398" i="21" s="1"/>
  <c r="N398" i="21"/>
  <c r="Q398" i="21"/>
  <c r="T398" i="21" s="1"/>
  <c r="R398" i="21"/>
  <c r="U398" i="21" s="1"/>
  <c r="S398" i="21"/>
  <c r="O399" i="21"/>
  <c r="P399" i="21"/>
  <c r="T399" i="21"/>
  <c r="U399" i="21"/>
  <c r="O400" i="21"/>
  <c r="P400" i="21"/>
  <c r="T400" i="21"/>
  <c r="U400" i="21"/>
  <c r="L414" i="21"/>
  <c r="M414" i="21"/>
  <c r="P414" i="21" s="1"/>
  <c r="N414" i="21"/>
  <c r="N413" i="21" s="1"/>
  <c r="Q414" i="21"/>
  <c r="T414" i="21" s="1"/>
  <c r="R414" i="21"/>
  <c r="S414" i="21"/>
  <c r="L415" i="21"/>
  <c r="O415" i="21" s="1"/>
  <c r="M415" i="21"/>
  <c r="P415" i="21" s="1"/>
  <c r="N415" i="21"/>
  <c r="L416" i="21"/>
  <c r="M416" i="21"/>
  <c r="N416" i="21"/>
  <c r="O416" i="21"/>
  <c r="P416" i="21"/>
  <c r="O417" i="21"/>
  <c r="P417" i="21"/>
  <c r="T417" i="21"/>
  <c r="U417" i="21"/>
  <c r="O418" i="21"/>
  <c r="P418" i="21"/>
  <c r="Q418" i="21"/>
  <c r="Q416" i="21" s="1"/>
  <c r="T416" i="21" s="1"/>
  <c r="R418" i="21"/>
  <c r="R416" i="21" s="1"/>
  <c r="U416" i="21" s="1"/>
  <c r="S418" i="21"/>
  <c r="S416" i="21" s="1"/>
  <c r="L419" i="21"/>
  <c r="O419" i="21" s="1"/>
  <c r="M419" i="21"/>
  <c r="P419" i="21" s="1"/>
  <c r="N419" i="21"/>
  <c r="Q419" i="21"/>
  <c r="T419" i="21" s="1"/>
  <c r="R419" i="21"/>
  <c r="U419" i="21" s="1"/>
  <c r="S419" i="21"/>
  <c r="O420" i="21"/>
  <c r="P420" i="21"/>
  <c r="T420" i="21"/>
  <c r="U420" i="21"/>
  <c r="O421" i="21"/>
  <c r="P421" i="21"/>
  <c r="T421" i="21"/>
  <c r="U421" i="21"/>
  <c r="I424" i="21"/>
  <c r="K424" i="21" s="1"/>
  <c r="J424" i="21"/>
  <c r="I425" i="21"/>
  <c r="K425" i="21" s="1"/>
  <c r="J425" i="21"/>
  <c r="I432" i="21"/>
  <c r="K432" i="21" s="1"/>
  <c r="J432" i="21"/>
  <c r="I433" i="21"/>
  <c r="K433" i="21" s="1"/>
  <c r="J433" i="21"/>
  <c r="I440" i="21"/>
  <c r="I441" i="21"/>
  <c r="K441" i="21" s="1"/>
  <c r="J446" i="21"/>
  <c r="J440" i="21" s="1"/>
  <c r="J423" i="21" s="1"/>
  <c r="J412" i="21" s="1"/>
  <c r="J447" i="21"/>
  <c r="J441" i="21" s="1"/>
  <c r="I457" i="21"/>
  <c r="K457" i="21" s="1"/>
  <c r="I458" i="21"/>
  <c r="K458" i="21" s="1"/>
  <c r="J459" i="21"/>
  <c r="J457" i="21" s="1"/>
  <c r="J456" i="21" s="1"/>
  <c r="J460" i="21"/>
  <c r="J467" i="21"/>
  <c r="J468" i="21"/>
  <c r="J458" i="21" s="1"/>
  <c r="J475" i="21"/>
  <c r="K475" i="21"/>
  <c r="J476" i="21"/>
  <c r="K476" i="21"/>
  <c r="J477" i="21"/>
  <c r="K477" i="21"/>
  <c r="J482" i="21"/>
  <c r="J483" i="21"/>
  <c r="I484" i="21"/>
  <c r="K484" i="21" s="1"/>
  <c r="J484" i="21"/>
  <c r="I485" i="21"/>
  <c r="J485" i="21"/>
  <c r="K485" i="21"/>
  <c r="L494" i="21"/>
  <c r="M494" i="21"/>
  <c r="P494" i="21" s="1"/>
  <c r="N494" i="21"/>
  <c r="N493" i="21" s="1"/>
  <c r="O494" i="21"/>
  <c r="Q494" i="21"/>
  <c r="R494" i="21"/>
  <c r="U494" i="21" s="1"/>
  <c r="S494" i="21"/>
  <c r="L495" i="21"/>
  <c r="O495" i="21" s="1"/>
  <c r="M495" i="21"/>
  <c r="P495" i="21" s="1"/>
  <c r="N495" i="21"/>
  <c r="L496" i="21"/>
  <c r="O496" i="21" s="1"/>
  <c r="M496" i="21"/>
  <c r="P496" i="21" s="1"/>
  <c r="N496" i="21"/>
  <c r="O497" i="21"/>
  <c r="P497" i="21"/>
  <c r="T497" i="21"/>
  <c r="U497" i="21"/>
  <c r="O498" i="21"/>
  <c r="P498" i="21"/>
  <c r="Q498" i="21"/>
  <c r="R498" i="21"/>
  <c r="S498" i="21"/>
  <c r="S496" i="21" s="1"/>
  <c r="L499" i="21"/>
  <c r="O499" i="21" s="1"/>
  <c r="M499" i="21"/>
  <c r="P499" i="21" s="1"/>
  <c r="N499" i="21"/>
  <c r="Q499" i="21"/>
  <c r="T499" i="21" s="1"/>
  <c r="R499" i="21"/>
  <c r="S499" i="21"/>
  <c r="U499" i="21"/>
  <c r="O500" i="21"/>
  <c r="P500" i="21"/>
  <c r="T500" i="21"/>
  <c r="U500" i="21"/>
  <c r="O501" i="21"/>
  <c r="P501" i="21"/>
  <c r="T501" i="21"/>
  <c r="U501" i="21"/>
  <c r="I503" i="21"/>
  <c r="K503" i="21" s="1"/>
  <c r="I504" i="21"/>
  <c r="K504" i="21" s="1"/>
  <c r="I505" i="21"/>
  <c r="K505" i="21" s="1"/>
  <c r="I506" i="21"/>
  <c r="K506" i="21" s="1"/>
  <c r="I507" i="21"/>
  <c r="K507" i="21" s="1"/>
  <c r="K508" i="21"/>
  <c r="I509" i="21"/>
  <c r="K509" i="21" s="1"/>
  <c r="I512" i="21"/>
  <c r="K512" i="21" s="1"/>
  <c r="J512" i="21"/>
  <c r="L514" i="21"/>
  <c r="O514" i="21" s="1"/>
  <c r="M514" i="21"/>
  <c r="N514" i="21"/>
  <c r="P514" i="21"/>
  <c r="Q514" i="21"/>
  <c r="R514" i="21"/>
  <c r="R513" i="21" s="1"/>
  <c r="U513" i="21" s="1"/>
  <c r="S514" i="21"/>
  <c r="T514" i="21"/>
  <c r="Q515" i="21"/>
  <c r="R515" i="21"/>
  <c r="S515" i="21"/>
  <c r="S513" i="21" s="1"/>
  <c r="U515" i="21"/>
  <c r="Q516" i="21"/>
  <c r="T516" i="21" s="1"/>
  <c r="R516" i="21"/>
  <c r="U516" i="21" s="1"/>
  <c r="S516" i="21"/>
  <c r="O517" i="21"/>
  <c r="P517" i="21"/>
  <c r="T517" i="21"/>
  <c r="U517" i="21"/>
  <c r="L518" i="21"/>
  <c r="L516" i="21" s="1"/>
  <c r="O516" i="21" s="1"/>
  <c r="M518" i="21"/>
  <c r="P518" i="21" s="1"/>
  <c r="N518" i="21"/>
  <c r="N516" i="21" s="1"/>
  <c r="T518" i="21"/>
  <c r="U518" i="21"/>
  <c r="Q519" i="21"/>
  <c r="T519" i="21" s="1"/>
  <c r="R519" i="21"/>
  <c r="U519" i="21" s="1"/>
  <c r="S519" i="21"/>
  <c r="O520" i="21"/>
  <c r="P520" i="21"/>
  <c r="T520" i="21"/>
  <c r="U520" i="21"/>
  <c r="L521" i="21"/>
  <c r="M521" i="21"/>
  <c r="P521" i="21" s="1"/>
  <c r="N521" i="21"/>
  <c r="T521" i="21"/>
  <c r="U521" i="21"/>
  <c r="K523" i="21"/>
  <c r="K524" i="21"/>
  <c r="I533" i="21"/>
  <c r="K533" i="21" s="1"/>
  <c r="J533" i="21"/>
  <c r="N534" i="21"/>
  <c r="L535" i="21"/>
  <c r="M535" i="21"/>
  <c r="N535" i="21"/>
  <c r="O535" i="21"/>
  <c r="Q535" i="21"/>
  <c r="R535" i="21"/>
  <c r="R534" i="21" s="1"/>
  <c r="U534" i="21" s="1"/>
  <c r="S535" i="21"/>
  <c r="L536" i="21"/>
  <c r="O536" i="21" s="1"/>
  <c r="M536" i="21"/>
  <c r="P536" i="21" s="1"/>
  <c r="N536" i="21"/>
  <c r="Q536" i="21"/>
  <c r="T536" i="21" s="1"/>
  <c r="R536" i="21"/>
  <c r="S536" i="21"/>
  <c r="S534" i="21" s="1"/>
  <c r="U536" i="21"/>
  <c r="L537" i="21"/>
  <c r="O537" i="21" s="1"/>
  <c r="M537" i="21"/>
  <c r="P537" i="21" s="1"/>
  <c r="N537" i="21"/>
  <c r="Q537" i="21"/>
  <c r="T537" i="21" s="1"/>
  <c r="R537" i="21"/>
  <c r="U537" i="21" s="1"/>
  <c r="S537" i="21"/>
  <c r="O538" i="21"/>
  <c r="P538" i="21"/>
  <c r="T538" i="21"/>
  <c r="U538" i="21"/>
  <c r="O539" i="21"/>
  <c r="P539" i="21"/>
  <c r="T539" i="21"/>
  <c r="U539" i="21"/>
  <c r="L540" i="21"/>
  <c r="O540" i="21" s="1"/>
  <c r="M540" i="21"/>
  <c r="P540" i="21" s="1"/>
  <c r="N540" i="21"/>
  <c r="Q540" i="21"/>
  <c r="T540" i="21" s="1"/>
  <c r="R540" i="21"/>
  <c r="U540" i="21" s="1"/>
  <c r="S540" i="21"/>
  <c r="O541" i="21"/>
  <c r="P541" i="21"/>
  <c r="T541" i="21"/>
  <c r="U541" i="21"/>
  <c r="O542" i="21"/>
  <c r="P542" i="21"/>
  <c r="T542" i="21"/>
  <c r="U542" i="21"/>
  <c r="I554" i="21"/>
  <c r="K554" i="21" s="1"/>
  <c r="J554" i="21"/>
  <c r="L556" i="21"/>
  <c r="O556" i="21" s="1"/>
  <c r="M556" i="21"/>
  <c r="N556" i="21"/>
  <c r="Q556" i="21"/>
  <c r="R556" i="21"/>
  <c r="U556" i="21" s="1"/>
  <c r="S556" i="21"/>
  <c r="L557" i="21"/>
  <c r="L555" i="21" s="1"/>
  <c r="O555" i="21" s="1"/>
  <c r="M557" i="21"/>
  <c r="P557" i="21" s="1"/>
  <c r="N557" i="21"/>
  <c r="Q557" i="21"/>
  <c r="R557" i="21"/>
  <c r="U557" i="21" s="1"/>
  <c r="S557" i="21"/>
  <c r="T557" i="21"/>
  <c r="L558" i="21"/>
  <c r="O558" i="21" s="1"/>
  <c r="M558" i="21"/>
  <c r="P558" i="21" s="1"/>
  <c r="N558" i="21"/>
  <c r="Q558" i="21"/>
  <c r="T558" i="21" s="1"/>
  <c r="R558" i="21"/>
  <c r="U558" i="21" s="1"/>
  <c r="S558" i="21"/>
  <c r="O559" i="21"/>
  <c r="P559" i="21"/>
  <c r="T559" i="21"/>
  <c r="U559" i="21"/>
  <c r="O560" i="21"/>
  <c r="P560" i="21"/>
  <c r="T560" i="21"/>
  <c r="U560" i="21"/>
  <c r="L561" i="21"/>
  <c r="O561" i="21" s="1"/>
  <c r="M561" i="21"/>
  <c r="P561" i="21" s="1"/>
  <c r="N561" i="21"/>
  <c r="Q561" i="21"/>
  <c r="R561" i="21"/>
  <c r="U561" i="21" s="1"/>
  <c r="S561" i="21"/>
  <c r="T561" i="21"/>
  <c r="O562" i="21"/>
  <c r="P562" i="21"/>
  <c r="T562" i="21"/>
  <c r="U562" i="21"/>
  <c r="O563" i="21"/>
  <c r="P563" i="21"/>
  <c r="T563" i="21"/>
  <c r="U563" i="21"/>
  <c r="I575" i="21"/>
  <c r="K575" i="21" s="1"/>
  <c r="J575" i="21"/>
  <c r="L577" i="21"/>
  <c r="M577" i="21"/>
  <c r="M576" i="21" s="1"/>
  <c r="P576" i="21" s="1"/>
  <c r="N577" i="21"/>
  <c r="N576" i="21" s="1"/>
  <c r="O577" i="21"/>
  <c r="Q577" i="21"/>
  <c r="Q576" i="21" s="1"/>
  <c r="T576" i="21" s="1"/>
  <c r="R577" i="21"/>
  <c r="R576" i="21" s="1"/>
  <c r="U576" i="21" s="1"/>
  <c r="S577" i="21"/>
  <c r="T577" i="21"/>
  <c r="U577" i="21"/>
  <c r="L578" i="21"/>
  <c r="L576" i="21" s="1"/>
  <c r="O576" i="21" s="1"/>
  <c r="M578" i="21"/>
  <c r="N578" i="21"/>
  <c r="O578" i="21"/>
  <c r="P578" i="21"/>
  <c r="Q578" i="21"/>
  <c r="T578" i="21" s="1"/>
  <c r="R578" i="21"/>
  <c r="U578" i="21" s="1"/>
  <c r="S578" i="21"/>
  <c r="L579" i="21"/>
  <c r="O579" i="21" s="1"/>
  <c r="M579" i="21"/>
  <c r="P579" i="21" s="1"/>
  <c r="N579" i="21"/>
  <c r="Q579" i="21"/>
  <c r="T579" i="21" s="1"/>
  <c r="R579" i="21"/>
  <c r="S579" i="21"/>
  <c r="U579" i="21"/>
  <c r="O580" i="21"/>
  <c r="P580" i="21"/>
  <c r="T580" i="21"/>
  <c r="U580" i="21"/>
  <c r="O581" i="21"/>
  <c r="P581" i="21"/>
  <c r="T581" i="21"/>
  <c r="U581" i="21"/>
  <c r="L582" i="21"/>
  <c r="M582" i="21"/>
  <c r="P582" i="21" s="1"/>
  <c r="N582" i="21"/>
  <c r="O582" i="21"/>
  <c r="Q582" i="21"/>
  <c r="T582" i="21" s="1"/>
  <c r="R582" i="21"/>
  <c r="U582" i="21" s="1"/>
  <c r="S582" i="21"/>
  <c r="O583" i="21"/>
  <c r="P583" i="21"/>
  <c r="T583" i="21"/>
  <c r="U583" i="21"/>
  <c r="O584" i="21"/>
  <c r="P584" i="21"/>
  <c r="T584" i="21"/>
  <c r="U584" i="21"/>
  <c r="L600" i="21"/>
  <c r="O600" i="21" s="1"/>
  <c r="M600" i="21"/>
  <c r="M599" i="21" s="1"/>
  <c r="P599" i="21" s="1"/>
  <c r="N600" i="21"/>
  <c r="N599" i="21" s="1"/>
  <c r="Q600" i="21"/>
  <c r="R600" i="21"/>
  <c r="S600" i="21"/>
  <c r="U600" i="21"/>
  <c r="L601" i="21"/>
  <c r="M601" i="21"/>
  <c r="P601" i="21" s="1"/>
  <c r="N601" i="21"/>
  <c r="O601" i="21"/>
  <c r="Q601" i="21"/>
  <c r="T601" i="21" s="1"/>
  <c r="R601" i="21"/>
  <c r="U601" i="21" s="1"/>
  <c r="S601" i="21"/>
  <c r="L602" i="21"/>
  <c r="O602" i="21" s="1"/>
  <c r="M602" i="21"/>
  <c r="P602" i="21" s="1"/>
  <c r="N602" i="21"/>
  <c r="Q602" i="21"/>
  <c r="T602" i="21" s="1"/>
  <c r="R602" i="21"/>
  <c r="U602" i="21" s="1"/>
  <c r="S602" i="21"/>
  <c r="O603" i="21"/>
  <c r="P603" i="21"/>
  <c r="T603" i="21"/>
  <c r="U603" i="21"/>
  <c r="O604" i="21"/>
  <c r="P604" i="21"/>
  <c r="T604" i="21"/>
  <c r="U604" i="21"/>
  <c r="L605" i="21"/>
  <c r="O605" i="21" s="1"/>
  <c r="M605" i="21"/>
  <c r="P605" i="21" s="1"/>
  <c r="N605" i="21"/>
  <c r="Q605" i="21"/>
  <c r="R605" i="21"/>
  <c r="U605" i="21" s="1"/>
  <c r="S605" i="21"/>
  <c r="T605" i="21"/>
  <c r="O606" i="21"/>
  <c r="P606" i="21"/>
  <c r="T606" i="21"/>
  <c r="U606" i="21"/>
  <c r="O607" i="21"/>
  <c r="P607" i="21"/>
  <c r="T607" i="21"/>
  <c r="U607" i="21"/>
  <c r="L617" i="21"/>
  <c r="O617" i="21" s="1"/>
  <c r="M617" i="21"/>
  <c r="N617" i="21"/>
  <c r="N616" i="21" s="1"/>
  <c r="Q617" i="21"/>
  <c r="R617" i="21"/>
  <c r="U617" i="21" s="1"/>
  <c r="S617" i="21"/>
  <c r="T617" i="21"/>
  <c r="L618" i="21"/>
  <c r="L616" i="21" s="1"/>
  <c r="O616" i="21" s="1"/>
  <c r="M618" i="21"/>
  <c r="P618" i="21" s="1"/>
  <c r="N618" i="21"/>
  <c r="L619" i="21"/>
  <c r="O619" i="21" s="1"/>
  <c r="M619" i="21"/>
  <c r="P619" i="21" s="1"/>
  <c r="N619" i="21"/>
  <c r="O620" i="21"/>
  <c r="P620" i="21"/>
  <c r="T620" i="21"/>
  <c r="U620" i="21"/>
  <c r="O621" i="21"/>
  <c r="P621" i="21"/>
  <c r="Q621" i="21"/>
  <c r="Q619" i="21" s="1"/>
  <c r="R621" i="21"/>
  <c r="S621" i="21"/>
  <c r="S619" i="21" s="1"/>
  <c r="L622" i="21"/>
  <c r="M622" i="21"/>
  <c r="P622" i="21" s="1"/>
  <c r="N622" i="21"/>
  <c r="O622" i="21"/>
  <c r="Q622" i="21"/>
  <c r="T622" i="21" s="1"/>
  <c r="R622" i="21"/>
  <c r="U622" i="21" s="1"/>
  <c r="S622" i="21"/>
  <c r="O623" i="21"/>
  <c r="P623" i="21"/>
  <c r="T623" i="21"/>
  <c r="U623" i="21"/>
  <c r="O624" i="21"/>
  <c r="P624" i="21"/>
  <c r="T624" i="21"/>
  <c r="U624" i="21"/>
  <c r="I626" i="21"/>
  <c r="K632" i="21" s="1"/>
  <c r="I627" i="21"/>
  <c r="K627" i="21" s="1"/>
  <c r="I628" i="21"/>
  <c r="K628" i="21" s="1"/>
  <c r="J632" i="21"/>
  <c r="J626" i="21" s="1"/>
  <c r="J615" i="21" s="1"/>
  <c r="I635" i="21"/>
  <c r="K635" i="21" s="1"/>
  <c r="J636" i="21"/>
  <c r="J635" i="21" s="1"/>
  <c r="L643" i="21"/>
  <c r="O643" i="21" s="1"/>
  <c r="M643" i="21"/>
  <c r="P643" i="21" s="1"/>
  <c r="N643" i="21"/>
  <c r="Q643" i="21"/>
  <c r="T643" i="21" s="1"/>
  <c r="R643" i="21"/>
  <c r="U643" i="21" s="1"/>
  <c r="S643" i="21"/>
  <c r="L644" i="21"/>
  <c r="O644" i="21" s="1"/>
  <c r="M644" i="21"/>
  <c r="P644" i="21" s="1"/>
  <c r="N644" i="21"/>
  <c r="N642" i="21" s="1"/>
  <c r="L645" i="21"/>
  <c r="O645" i="21" s="1"/>
  <c r="M645" i="21"/>
  <c r="N645" i="21"/>
  <c r="P645" i="21"/>
  <c r="O646" i="21"/>
  <c r="P646" i="21"/>
  <c r="T646" i="21"/>
  <c r="U646" i="21"/>
  <c r="O647" i="21"/>
  <c r="P647" i="21"/>
  <c r="Q647" i="21"/>
  <c r="Q645" i="21" s="1"/>
  <c r="R647" i="21"/>
  <c r="R645" i="21" s="1"/>
  <c r="S647" i="21"/>
  <c r="S645" i="21" s="1"/>
  <c r="L648" i="21"/>
  <c r="O648" i="21" s="1"/>
  <c r="M648" i="21"/>
  <c r="P648" i="21" s="1"/>
  <c r="N648" i="21"/>
  <c r="Q648" i="21"/>
  <c r="T648" i="21" s="1"/>
  <c r="R648" i="21"/>
  <c r="U648" i="21" s="1"/>
  <c r="S648" i="21"/>
  <c r="O649" i="21"/>
  <c r="P649" i="21"/>
  <c r="T649" i="21"/>
  <c r="U649" i="21"/>
  <c r="O650" i="21"/>
  <c r="P650" i="21"/>
  <c r="T650" i="21"/>
  <c r="U650" i="21"/>
  <c r="I652" i="21"/>
  <c r="J652" i="21"/>
  <c r="I653" i="21"/>
  <c r="J653" i="21"/>
  <c r="I654" i="21"/>
  <c r="K654" i="21" s="1"/>
  <c r="J654" i="21"/>
  <c r="I657" i="21"/>
  <c r="I660" i="21"/>
  <c r="I661" i="21"/>
  <c r="K661" i="21" s="1"/>
  <c r="J661" i="21"/>
  <c r="J671" i="21"/>
  <c r="J672" i="21"/>
  <c r="I673" i="21"/>
  <c r="K673" i="21" s="1"/>
  <c r="J673" i="21"/>
  <c r="I674" i="21"/>
  <c r="K674" i="21" s="1"/>
  <c r="I675" i="21"/>
  <c r="K675" i="21" s="1"/>
  <c r="I676" i="21"/>
  <c r="K676" i="21" s="1"/>
  <c r="J676" i="21"/>
  <c r="J677" i="21"/>
  <c r="I678" i="21"/>
  <c r="K678" i="21" s="1"/>
  <c r="J678" i="21"/>
  <c r="I679" i="21"/>
  <c r="K679" i="21" s="1"/>
  <c r="J679" i="21"/>
  <c r="J680" i="21"/>
  <c r="I681" i="21"/>
  <c r="K681" i="21" s="1"/>
  <c r="J681" i="21"/>
  <c r="I682" i="21"/>
  <c r="K682" i="21" s="1"/>
  <c r="J682" i="21"/>
  <c r="L691" i="21"/>
  <c r="O691" i="21" s="1"/>
  <c r="M691" i="21"/>
  <c r="N691" i="21"/>
  <c r="N690" i="21" s="1"/>
  <c r="P691" i="21"/>
  <c r="Q691" i="21"/>
  <c r="R691" i="21"/>
  <c r="U691" i="21" s="1"/>
  <c r="S691" i="21"/>
  <c r="L692" i="21"/>
  <c r="O692" i="21" s="1"/>
  <c r="M692" i="21"/>
  <c r="P692" i="21" s="1"/>
  <c r="N692" i="21"/>
  <c r="L693" i="21"/>
  <c r="M693" i="21"/>
  <c r="N693" i="21"/>
  <c r="O693" i="21"/>
  <c r="P693" i="21"/>
  <c r="O694" i="21"/>
  <c r="P694" i="21"/>
  <c r="T694" i="21"/>
  <c r="U694" i="21"/>
  <c r="O695" i="21"/>
  <c r="P695" i="21"/>
  <c r="Q695" i="21"/>
  <c r="Q692" i="21" s="1"/>
  <c r="R695" i="21"/>
  <c r="R693" i="21" s="1"/>
  <c r="S695" i="21"/>
  <c r="L696" i="21"/>
  <c r="O696" i="21" s="1"/>
  <c r="M696" i="21"/>
  <c r="P696" i="21" s="1"/>
  <c r="N696" i="21"/>
  <c r="Q696" i="21"/>
  <c r="T696" i="21" s="1"/>
  <c r="R696" i="21"/>
  <c r="U696" i="21" s="1"/>
  <c r="S696" i="21"/>
  <c r="O697" i="21"/>
  <c r="P697" i="21"/>
  <c r="T697" i="21"/>
  <c r="U697" i="21"/>
  <c r="O698" i="21"/>
  <c r="P698" i="21"/>
  <c r="T698" i="21"/>
  <c r="U698" i="21"/>
  <c r="I700" i="21"/>
  <c r="K700" i="21" s="1"/>
  <c r="K702" i="21"/>
  <c r="I703" i="21"/>
  <c r="J703" i="21"/>
  <c r="J704" i="21"/>
  <c r="K704" i="21"/>
  <c r="I705" i="21"/>
  <c r="J705" i="21"/>
  <c r="J706" i="21"/>
  <c r="K706" i="21"/>
  <c r="I707" i="21"/>
  <c r="J707" i="21"/>
  <c r="J689" i="21" s="1"/>
  <c r="J708" i="21"/>
  <c r="K708" i="21"/>
  <c r="I709" i="21"/>
  <c r="J709" i="21"/>
  <c r="J710" i="21"/>
  <c r="K710" i="21"/>
  <c r="J712" i="21"/>
  <c r="K712" i="21"/>
  <c r="L715" i="21"/>
  <c r="M715" i="21"/>
  <c r="N715" i="21"/>
  <c r="Q715" i="21"/>
  <c r="Q714" i="21" s="1"/>
  <c r="T714" i="21" s="1"/>
  <c r="R715" i="21"/>
  <c r="S715" i="21"/>
  <c r="S714" i="21" s="1"/>
  <c r="L716" i="21"/>
  <c r="O716" i="21" s="1"/>
  <c r="M716" i="21"/>
  <c r="N716" i="21"/>
  <c r="P716" i="21"/>
  <c r="Q716" i="21"/>
  <c r="T716" i="21" s="1"/>
  <c r="R716" i="21"/>
  <c r="U716" i="21" s="1"/>
  <c r="S716" i="21"/>
  <c r="L717" i="21"/>
  <c r="O717" i="21" s="1"/>
  <c r="M717" i="21"/>
  <c r="P717" i="21" s="1"/>
  <c r="N717" i="21"/>
  <c r="Q717" i="21"/>
  <c r="R717" i="21"/>
  <c r="U717" i="21" s="1"/>
  <c r="S717" i="21"/>
  <c r="T717" i="21"/>
  <c r="O718" i="21"/>
  <c r="P718" i="21"/>
  <c r="T718" i="21"/>
  <c r="U718" i="21"/>
  <c r="O719" i="21"/>
  <c r="P719" i="21"/>
  <c r="T719" i="21"/>
  <c r="U719" i="21"/>
  <c r="L720" i="21"/>
  <c r="O720" i="21" s="1"/>
  <c r="M720" i="21"/>
  <c r="P720" i="21" s="1"/>
  <c r="N720" i="21"/>
  <c r="Q720" i="21"/>
  <c r="T720" i="21" s="1"/>
  <c r="R720" i="21"/>
  <c r="U720" i="21" s="1"/>
  <c r="S720" i="21"/>
  <c r="O721" i="21"/>
  <c r="P721" i="21"/>
  <c r="T721" i="21"/>
  <c r="U721" i="21"/>
  <c r="O722" i="21"/>
  <c r="P722" i="21"/>
  <c r="T722" i="21"/>
  <c r="U722" i="21"/>
  <c r="I726" i="21"/>
  <c r="J726" i="21"/>
  <c r="I727" i="21"/>
  <c r="K727" i="21" s="1"/>
  <c r="J727" i="21"/>
  <c r="L729" i="21"/>
  <c r="M729" i="21"/>
  <c r="N729" i="21"/>
  <c r="Q729" i="21"/>
  <c r="R729" i="21"/>
  <c r="S729" i="21"/>
  <c r="L730" i="21"/>
  <c r="O730" i="21" s="1"/>
  <c r="M730" i="21"/>
  <c r="N730" i="21"/>
  <c r="P730" i="21"/>
  <c r="L731" i="21"/>
  <c r="O731" i="21" s="1"/>
  <c r="M731" i="21"/>
  <c r="P731" i="21" s="1"/>
  <c r="N731" i="21"/>
  <c r="O732" i="21"/>
  <c r="P732" i="21"/>
  <c r="T732" i="21"/>
  <c r="U732" i="21"/>
  <c r="O733" i="21"/>
  <c r="P733" i="21"/>
  <c r="Q733" i="21"/>
  <c r="Q731" i="21" s="1"/>
  <c r="R733" i="21"/>
  <c r="R730" i="21" s="1"/>
  <c r="S733" i="21"/>
  <c r="L734" i="21"/>
  <c r="O734" i="21" s="1"/>
  <c r="M734" i="21"/>
  <c r="N734" i="21"/>
  <c r="P734" i="21"/>
  <c r="Q734" i="21"/>
  <c r="T734" i="21" s="1"/>
  <c r="R734" i="21"/>
  <c r="U734" i="21" s="1"/>
  <c r="S734" i="21"/>
  <c r="O735" i="21"/>
  <c r="P735" i="21"/>
  <c r="T735" i="21"/>
  <c r="U735" i="21"/>
  <c r="O736" i="21"/>
  <c r="P736" i="21"/>
  <c r="T736" i="21"/>
  <c r="U736" i="21"/>
  <c r="I740" i="21"/>
  <c r="K740" i="21" s="1"/>
  <c r="I742" i="21"/>
  <c r="K742" i="21" s="1"/>
  <c r="I744" i="21"/>
  <c r="K744" i="21" s="1"/>
  <c r="I746" i="21"/>
  <c r="K746" i="21" s="1"/>
  <c r="I749" i="21"/>
  <c r="K749" i="21" s="1"/>
  <c r="I752" i="21"/>
  <c r="K752" i="21" s="1"/>
  <c r="I755" i="21"/>
  <c r="K755" i="21" s="1"/>
  <c r="J758" i="21"/>
  <c r="J759" i="21"/>
  <c r="L761" i="21"/>
  <c r="M761" i="21"/>
  <c r="N761" i="21"/>
  <c r="O761" i="21"/>
  <c r="P761" i="21"/>
  <c r="Q761" i="21"/>
  <c r="T761" i="21" s="1"/>
  <c r="R761" i="21"/>
  <c r="S761" i="21"/>
  <c r="U761" i="21"/>
  <c r="L762" i="21"/>
  <c r="O762" i="21" s="1"/>
  <c r="M762" i="21"/>
  <c r="N762" i="21"/>
  <c r="N760" i="21" s="1"/>
  <c r="L763" i="21"/>
  <c r="O763" i="21" s="1"/>
  <c r="M763" i="21"/>
  <c r="P763" i="21" s="1"/>
  <c r="N763" i="21"/>
  <c r="O764" i="21"/>
  <c r="P764" i="21"/>
  <c r="T764" i="21"/>
  <c r="U764" i="21"/>
  <c r="O765" i="21"/>
  <c r="P765" i="21"/>
  <c r="Q765" i="21"/>
  <c r="Q763" i="21" s="1"/>
  <c r="R765" i="21"/>
  <c r="R763" i="21" s="1"/>
  <c r="S765" i="21"/>
  <c r="L766" i="21"/>
  <c r="O766" i="21" s="1"/>
  <c r="M766" i="21"/>
  <c r="N766" i="21"/>
  <c r="P766" i="21"/>
  <c r="Q766" i="21"/>
  <c r="T766" i="21" s="1"/>
  <c r="R766" i="21"/>
  <c r="U766" i="21" s="1"/>
  <c r="S766" i="21"/>
  <c r="O767" i="21"/>
  <c r="P767" i="21"/>
  <c r="T767" i="21"/>
  <c r="U767" i="21"/>
  <c r="O768" i="21"/>
  <c r="P768" i="21"/>
  <c r="T768" i="21"/>
  <c r="U768" i="21"/>
  <c r="I770" i="21"/>
  <c r="K770" i="21" s="1"/>
  <c r="I772" i="21"/>
  <c r="I758" i="21" s="1"/>
  <c r="K758" i="21" s="1"/>
  <c r="I774" i="21"/>
  <c r="I759" i="21" s="1"/>
  <c r="K759" i="21" s="1"/>
  <c r="I775" i="21"/>
  <c r="I776" i="21"/>
  <c r="H777" i="21"/>
  <c r="I778" i="21"/>
  <c r="J778" i="21"/>
  <c r="I779" i="21"/>
  <c r="J779" i="21"/>
  <c r="I780" i="21"/>
  <c r="J780" i="21"/>
  <c r="I781" i="21"/>
  <c r="J781" i="21"/>
  <c r="I782" i="21"/>
  <c r="J782" i="21"/>
  <c r="I783" i="21"/>
  <c r="J783" i="21"/>
  <c r="I784" i="21"/>
  <c r="J784" i="21"/>
  <c r="I785" i="21"/>
  <c r="J785" i="21"/>
  <c r="A788" i="21"/>
  <c r="A789" i="21"/>
  <c r="L22" i="20"/>
  <c r="M22" i="20"/>
  <c r="M19" i="20" s="1"/>
  <c r="N22" i="20"/>
  <c r="Q22" i="20"/>
  <c r="R22" i="20"/>
  <c r="S22" i="20"/>
  <c r="S19" i="20" s="1"/>
  <c r="Q24" i="20"/>
  <c r="T24" i="20" s="1"/>
  <c r="L25" i="20"/>
  <c r="M25" i="20"/>
  <c r="N25" i="20"/>
  <c r="Q25" i="20"/>
  <c r="R25" i="20"/>
  <c r="S25" i="20"/>
  <c r="S24" i="20" s="1"/>
  <c r="T25" i="20"/>
  <c r="Q26" i="20"/>
  <c r="T26" i="20" s="1"/>
  <c r="R26" i="20"/>
  <c r="U26" i="20" s="1"/>
  <c r="S26" i="20"/>
  <c r="L45" i="20"/>
  <c r="O45" i="20" s="1"/>
  <c r="M45" i="20"/>
  <c r="N45" i="20"/>
  <c r="Q45" i="20"/>
  <c r="T45" i="20" s="1"/>
  <c r="R45" i="20"/>
  <c r="U45" i="20" s="1"/>
  <c r="S45" i="20"/>
  <c r="S44" i="20" s="1"/>
  <c r="Q46" i="20"/>
  <c r="T46" i="20" s="1"/>
  <c r="R46" i="20"/>
  <c r="S46" i="20"/>
  <c r="U46" i="20"/>
  <c r="Q47" i="20"/>
  <c r="T47" i="20" s="1"/>
  <c r="R47" i="20"/>
  <c r="U47" i="20" s="1"/>
  <c r="S47" i="20"/>
  <c r="O48" i="20"/>
  <c r="P48" i="20"/>
  <c r="T48" i="20"/>
  <c r="U48" i="20"/>
  <c r="L49" i="20"/>
  <c r="L47" i="20" s="1"/>
  <c r="M49" i="20"/>
  <c r="M47" i="20" s="1"/>
  <c r="N49" i="20"/>
  <c r="T49" i="20"/>
  <c r="U49" i="20"/>
  <c r="Q50" i="20"/>
  <c r="T50" i="20" s="1"/>
  <c r="R50" i="20"/>
  <c r="S50" i="20"/>
  <c r="U50" i="20"/>
  <c r="O51" i="20"/>
  <c r="P51" i="20"/>
  <c r="T51" i="20"/>
  <c r="U51" i="20"/>
  <c r="L52" i="20"/>
  <c r="M52" i="20"/>
  <c r="N52" i="20"/>
  <c r="N50" i="20" s="1"/>
  <c r="T52" i="20"/>
  <c r="U52" i="20"/>
  <c r="L60" i="20"/>
  <c r="O60" i="20" s="1"/>
  <c r="M60" i="20"/>
  <c r="N60" i="20"/>
  <c r="Q60" i="20"/>
  <c r="Q59" i="20" s="1"/>
  <c r="T59" i="20" s="1"/>
  <c r="R60" i="20"/>
  <c r="R59" i="20" s="1"/>
  <c r="U59" i="20" s="1"/>
  <c r="S60" i="20"/>
  <c r="S59" i="20" s="1"/>
  <c r="T60" i="20"/>
  <c r="U60" i="20"/>
  <c r="Q61" i="20"/>
  <c r="T61" i="20" s="1"/>
  <c r="R61" i="20"/>
  <c r="S61" i="20"/>
  <c r="U61" i="20"/>
  <c r="N62" i="20"/>
  <c r="Q62" i="20"/>
  <c r="T62" i="20" s="1"/>
  <c r="R62" i="20"/>
  <c r="U62" i="20" s="1"/>
  <c r="S62" i="20"/>
  <c r="O63" i="20"/>
  <c r="P63" i="20"/>
  <c r="T63" i="20"/>
  <c r="U63" i="20"/>
  <c r="L64" i="20"/>
  <c r="L62" i="20" s="1"/>
  <c r="M64" i="20"/>
  <c r="M62" i="20" s="1"/>
  <c r="N64" i="20"/>
  <c r="T64" i="20"/>
  <c r="U64" i="20"/>
  <c r="Q65" i="20"/>
  <c r="T65" i="20" s="1"/>
  <c r="R65" i="20"/>
  <c r="U65" i="20" s="1"/>
  <c r="S65" i="20"/>
  <c r="O66" i="20"/>
  <c r="P66" i="20"/>
  <c r="T66" i="20"/>
  <c r="U66" i="20"/>
  <c r="L67" i="20"/>
  <c r="M67" i="20"/>
  <c r="N67" i="20"/>
  <c r="N65" i="20" s="1"/>
  <c r="T67" i="20"/>
  <c r="U67" i="20"/>
  <c r="J70" i="20"/>
  <c r="L73" i="20"/>
  <c r="M73" i="20"/>
  <c r="N73" i="20"/>
  <c r="O73" i="20"/>
  <c r="Q73" i="20"/>
  <c r="R73" i="20"/>
  <c r="S73" i="20"/>
  <c r="T73" i="20"/>
  <c r="U73" i="20"/>
  <c r="O76" i="20"/>
  <c r="P76" i="20"/>
  <c r="T76" i="20"/>
  <c r="U76" i="20"/>
  <c r="L77" i="20"/>
  <c r="L75" i="20" s="1"/>
  <c r="M77" i="20"/>
  <c r="M75" i="20" s="1"/>
  <c r="N77" i="20"/>
  <c r="Q77" i="20"/>
  <c r="Q74" i="20" s="1"/>
  <c r="R77" i="20"/>
  <c r="R74" i="20" s="1"/>
  <c r="S77" i="20"/>
  <c r="S75" i="20" s="1"/>
  <c r="Q78" i="20"/>
  <c r="T78" i="20" s="1"/>
  <c r="R78" i="20"/>
  <c r="U78" i="20" s="1"/>
  <c r="S78" i="20"/>
  <c r="O79" i="20"/>
  <c r="P79" i="20"/>
  <c r="T79" i="20"/>
  <c r="U79" i="20"/>
  <c r="L80" i="20"/>
  <c r="L78" i="20" s="1"/>
  <c r="O78" i="20" s="1"/>
  <c r="M80" i="20"/>
  <c r="M78" i="20" s="1"/>
  <c r="P78" i="20" s="1"/>
  <c r="N80" i="20"/>
  <c r="N78" i="20" s="1"/>
  <c r="T80" i="20"/>
  <c r="U80" i="20"/>
  <c r="J82" i="20"/>
  <c r="J83" i="20"/>
  <c r="J71" i="20" s="1"/>
  <c r="I84" i="20"/>
  <c r="I85" i="20"/>
  <c r="I86" i="20"/>
  <c r="K86" i="20" s="1"/>
  <c r="I87" i="20"/>
  <c r="K87" i="20" s="1"/>
  <c r="I88" i="20"/>
  <c r="K88" i="20" s="1"/>
  <c r="I89" i="20"/>
  <c r="K89" i="20" s="1"/>
  <c r="I90" i="20"/>
  <c r="K90" i="20" s="1"/>
  <c r="J92" i="20"/>
  <c r="J93" i="20"/>
  <c r="L95" i="20"/>
  <c r="M95" i="20"/>
  <c r="N95" i="20"/>
  <c r="O95" i="20"/>
  <c r="P95" i="20"/>
  <c r="Q95" i="20"/>
  <c r="R95" i="20"/>
  <c r="S95" i="20"/>
  <c r="T95" i="20"/>
  <c r="U95" i="20"/>
  <c r="O98" i="20"/>
  <c r="P98" i="20"/>
  <c r="T98" i="20"/>
  <c r="U98" i="20"/>
  <c r="L99" i="20"/>
  <c r="M99" i="20"/>
  <c r="P99" i="20" s="1"/>
  <c r="N99" i="20"/>
  <c r="N97" i="20" s="1"/>
  <c r="Q99" i="20"/>
  <c r="Q96" i="20" s="1"/>
  <c r="T96" i="20" s="1"/>
  <c r="R99" i="20"/>
  <c r="R96" i="20" s="1"/>
  <c r="U96" i="20" s="1"/>
  <c r="S99" i="20"/>
  <c r="S96" i="20" s="1"/>
  <c r="S94" i="20" s="1"/>
  <c r="Q100" i="20"/>
  <c r="T100" i="20" s="1"/>
  <c r="R100" i="20"/>
  <c r="U100" i="20" s="1"/>
  <c r="S100" i="20"/>
  <c r="O101" i="20"/>
  <c r="P101" i="20"/>
  <c r="T101" i="20"/>
  <c r="U101" i="20"/>
  <c r="L102" i="20"/>
  <c r="O102" i="20" s="1"/>
  <c r="M102" i="20"/>
  <c r="M100" i="20" s="1"/>
  <c r="P100" i="20" s="1"/>
  <c r="N102" i="20"/>
  <c r="N100" i="20" s="1"/>
  <c r="T102" i="20"/>
  <c r="U102" i="20"/>
  <c r="I108" i="20"/>
  <c r="I92" i="20" s="1"/>
  <c r="K92" i="20" s="1"/>
  <c r="I109" i="20"/>
  <c r="I93" i="20" s="1"/>
  <c r="K93" i="20" s="1"/>
  <c r="I114" i="20"/>
  <c r="K114" i="20" s="1"/>
  <c r="J116" i="20"/>
  <c r="L118" i="20"/>
  <c r="O118" i="20" s="1"/>
  <c r="M118" i="20"/>
  <c r="N118" i="20"/>
  <c r="P118" i="20"/>
  <c r="Q118" i="20"/>
  <c r="R118" i="20"/>
  <c r="U118" i="20" s="1"/>
  <c r="S118" i="20"/>
  <c r="T118" i="20"/>
  <c r="O121" i="20"/>
  <c r="P121" i="20"/>
  <c r="T121" i="20"/>
  <c r="U121" i="20"/>
  <c r="L122" i="20"/>
  <c r="M122" i="20"/>
  <c r="P122" i="20" s="1"/>
  <c r="N122" i="20"/>
  <c r="N120" i="20" s="1"/>
  <c r="Q122" i="20"/>
  <c r="R122" i="20"/>
  <c r="R119" i="20" s="1"/>
  <c r="S122" i="20"/>
  <c r="S119" i="20" s="1"/>
  <c r="S117" i="20" s="1"/>
  <c r="Q123" i="20"/>
  <c r="R123" i="20"/>
  <c r="U123" i="20" s="1"/>
  <c r="S123" i="20"/>
  <c r="T123" i="20"/>
  <c r="O124" i="20"/>
  <c r="P124" i="20"/>
  <c r="T124" i="20"/>
  <c r="U124" i="20"/>
  <c r="L125" i="20"/>
  <c r="O125" i="20" s="1"/>
  <c r="M125" i="20"/>
  <c r="M123" i="20" s="1"/>
  <c r="P123" i="20" s="1"/>
  <c r="N125" i="20"/>
  <c r="N123" i="20" s="1"/>
  <c r="T125" i="20"/>
  <c r="U125" i="20"/>
  <c r="I127" i="20"/>
  <c r="I116" i="20" s="1"/>
  <c r="K116" i="20" s="1"/>
  <c r="I128" i="20"/>
  <c r="K128" i="20" s="1"/>
  <c r="I129" i="20"/>
  <c r="K129" i="20" s="1"/>
  <c r="I130" i="20"/>
  <c r="K130" i="20" s="1"/>
  <c r="J136" i="20"/>
  <c r="J137" i="20"/>
  <c r="J138" i="20"/>
  <c r="L140" i="20"/>
  <c r="M140" i="20"/>
  <c r="N140" i="20"/>
  <c r="P140" i="20"/>
  <c r="Q140" i="20"/>
  <c r="R140" i="20"/>
  <c r="S140" i="20"/>
  <c r="T140" i="20"/>
  <c r="O143" i="20"/>
  <c r="P143" i="20"/>
  <c r="T143" i="20"/>
  <c r="U143" i="20"/>
  <c r="L144" i="20"/>
  <c r="L142" i="20" s="1"/>
  <c r="O142" i="20" s="1"/>
  <c r="M144" i="20"/>
  <c r="N144" i="20"/>
  <c r="Q144" i="20"/>
  <c r="Q141" i="20" s="1"/>
  <c r="T141" i="20" s="1"/>
  <c r="R144" i="20"/>
  <c r="R142" i="20" s="1"/>
  <c r="U142" i="20" s="1"/>
  <c r="S144" i="20"/>
  <c r="S141" i="20" s="1"/>
  <c r="Q145" i="20"/>
  <c r="T145" i="20" s="1"/>
  <c r="R145" i="20"/>
  <c r="U145" i="20" s="1"/>
  <c r="S145" i="20"/>
  <c r="O146" i="20"/>
  <c r="P146" i="20"/>
  <c r="T146" i="20"/>
  <c r="U146" i="20"/>
  <c r="L147" i="20"/>
  <c r="M147" i="20"/>
  <c r="P147" i="20" s="1"/>
  <c r="N147" i="20"/>
  <c r="N145" i="20" s="1"/>
  <c r="T147" i="20"/>
  <c r="U147" i="20"/>
  <c r="I150" i="20"/>
  <c r="K150" i="20" s="1"/>
  <c r="I151" i="20"/>
  <c r="K151" i="20" s="1"/>
  <c r="I152" i="20"/>
  <c r="I137" i="20" s="1"/>
  <c r="K137" i="20" s="1"/>
  <c r="I153" i="20"/>
  <c r="I154" i="20"/>
  <c r="I136" i="20" s="1"/>
  <c r="K136" i="20" s="1"/>
  <c r="J156" i="20"/>
  <c r="L158" i="20"/>
  <c r="M158" i="20"/>
  <c r="P158" i="20" s="1"/>
  <c r="N158" i="20"/>
  <c r="O158" i="20"/>
  <c r="Q158" i="20"/>
  <c r="T158" i="20" s="1"/>
  <c r="R158" i="20"/>
  <c r="S158" i="20"/>
  <c r="U158" i="20"/>
  <c r="O161" i="20"/>
  <c r="P161" i="20"/>
  <c r="T161" i="20"/>
  <c r="U161" i="20"/>
  <c r="L162" i="20"/>
  <c r="M162" i="20"/>
  <c r="N162" i="20"/>
  <c r="Q162" i="20"/>
  <c r="Q160" i="20" s="1"/>
  <c r="T160" i="20" s="1"/>
  <c r="R162" i="20"/>
  <c r="U162" i="20" s="1"/>
  <c r="S162" i="20"/>
  <c r="S160" i="20" s="1"/>
  <c r="Q163" i="20"/>
  <c r="R163" i="20"/>
  <c r="U163" i="20" s="1"/>
  <c r="S163" i="20"/>
  <c r="T163" i="20"/>
  <c r="O164" i="20"/>
  <c r="P164" i="20"/>
  <c r="T164" i="20"/>
  <c r="U164" i="20"/>
  <c r="L165" i="20"/>
  <c r="L163" i="20" s="1"/>
  <c r="O163" i="20" s="1"/>
  <c r="M165" i="20"/>
  <c r="N165" i="20"/>
  <c r="N163" i="20" s="1"/>
  <c r="T165" i="20"/>
  <c r="U165" i="20"/>
  <c r="I167" i="20"/>
  <c r="I169" i="20" s="1"/>
  <c r="K169" i="20" s="1"/>
  <c r="J172" i="20"/>
  <c r="L174" i="20"/>
  <c r="M174" i="20"/>
  <c r="N174" i="20"/>
  <c r="P174" i="20"/>
  <c r="Q174" i="20"/>
  <c r="T174" i="20" s="1"/>
  <c r="R174" i="20"/>
  <c r="U174" i="20" s="1"/>
  <c r="S174" i="20"/>
  <c r="O177" i="20"/>
  <c r="P177" i="20"/>
  <c r="T177" i="20"/>
  <c r="U177" i="20"/>
  <c r="L178" i="20"/>
  <c r="M178" i="20"/>
  <c r="N178" i="20"/>
  <c r="N176" i="20" s="1"/>
  <c r="Q178" i="20"/>
  <c r="R178" i="20"/>
  <c r="S178" i="20"/>
  <c r="S175" i="20" s="1"/>
  <c r="S173" i="20" s="1"/>
  <c r="Q179" i="20"/>
  <c r="R179" i="20"/>
  <c r="S179" i="20"/>
  <c r="T179" i="20"/>
  <c r="U179" i="20"/>
  <c r="O180" i="20"/>
  <c r="P180" i="20"/>
  <c r="T180" i="20"/>
  <c r="U180" i="20"/>
  <c r="L181" i="20"/>
  <c r="M181" i="20"/>
  <c r="M179" i="20" s="1"/>
  <c r="P179" i="20" s="1"/>
  <c r="N181" i="20"/>
  <c r="T181" i="20"/>
  <c r="U181" i="20"/>
  <c r="I183" i="20"/>
  <c r="I172" i="20" s="1"/>
  <c r="K184" i="20"/>
  <c r="L187" i="20"/>
  <c r="O187" i="20" s="1"/>
  <c r="M187" i="20"/>
  <c r="N187" i="20"/>
  <c r="Q187" i="20"/>
  <c r="R187" i="20"/>
  <c r="S187" i="20"/>
  <c r="T187" i="20"/>
  <c r="O190" i="20"/>
  <c r="P190" i="20"/>
  <c r="T190" i="20"/>
  <c r="U190" i="20"/>
  <c r="L191" i="20"/>
  <c r="M191" i="20"/>
  <c r="M189" i="20" s="1"/>
  <c r="N191" i="20"/>
  <c r="Q191" i="20"/>
  <c r="Q189" i="20" s="1"/>
  <c r="R191" i="20"/>
  <c r="R188" i="20" s="1"/>
  <c r="S191" i="20"/>
  <c r="S188" i="20" s="1"/>
  <c r="Q192" i="20"/>
  <c r="T192" i="20" s="1"/>
  <c r="R192" i="20"/>
  <c r="U192" i="20" s="1"/>
  <c r="S192" i="20"/>
  <c r="O193" i="20"/>
  <c r="P193" i="20"/>
  <c r="T193" i="20"/>
  <c r="U193" i="20"/>
  <c r="L194" i="20"/>
  <c r="L192" i="20" s="1"/>
  <c r="O192" i="20" s="1"/>
  <c r="M194" i="20"/>
  <c r="N194" i="20"/>
  <c r="N192" i="20" s="1"/>
  <c r="T194" i="20"/>
  <c r="U194" i="20"/>
  <c r="J195" i="20"/>
  <c r="L196" i="20"/>
  <c r="O196" i="20" s="1"/>
  <c r="P196" i="20"/>
  <c r="I198" i="20"/>
  <c r="I195" i="20" s="1"/>
  <c r="K195" i="20" s="1"/>
  <c r="J199" i="20"/>
  <c r="J202" i="20"/>
  <c r="N203" i="20"/>
  <c r="P203" i="20"/>
  <c r="S203" i="20"/>
  <c r="U203" i="20"/>
  <c r="L204" i="20"/>
  <c r="L205" i="20"/>
  <c r="L206" i="20"/>
  <c r="Q206" i="20"/>
  <c r="Q203" i="20" s="1"/>
  <c r="T203" i="20" s="1"/>
  <c r="L207" i="20"/>
  <c r="I209" i="20"/>
  <c r="K209" i="20" s="1"/>
  <c r="I211" i="20"/>
  <c r="K211" i="20" s="1"/>
  <c r="I212" i="20"/>
  <c r="K212" i="20" s="1"/>
  <c r="J213" i="20"/>
  <c r="N214" i="20"/>
  <c r="P214" i="20"/>
  <c r="S214" i="20"/>
  <c r="U214" i="20"/>
  <c r="L215" i="20"/>
  <c r="L216" i="20"/>
  <c r="L217" i="20"/>
  <c r="Q217" i="20"/>
  <c r="Q214" i="20" s="1"/>
  <c r="T214" i="20" s="1"/>
  <c r="I219" i="20"/>
  <c r="K219" i="20" s="1"/>
  <c r="I220" i="20"/>
  <c r="K220" i="20" s="1"/>
  <c r="J221" i="20"/>
  <c r="N222" i="20"/>
  <c r="P222" i="20"/>
  <c r="L223" i="20"/>
  <c r="L224" i="20"/>
  <c r="L225" i="20"/>
  <c r="I228" i="20"/>
  <c r="K228" i="20" s="1"/>
  <c r="I229" i="20"/>
  <c r="I221" i="20" s="1"/>
  <c r="K221" i="20" s="1"/>
  <c r="I230" i="20"/>
  <c r="K230" i="20" s="1"/>
  <c r="N233" i="20"/>
  <c r="N234" i="20"/>
  <c r="N235" i="20"/>
  <c r="N236" i="20"/>
  <c r="J238" i="20"/>
  <c r="I240" i="20"/>
  <c r="J240" i="20"/>
  <c r="K240" i="20"/>
  <c r="I241" i="20"/>
  <c r="K241" i="20" s="1"/>
  <c r="J241" i="20"/>
  <c r="J242" i="20"/>
  <c r="N243" i="20"/>
  <c r="P243" i="20"/>
  <c r="L244" i="20"/>
  <c r="L245" i="20"/>
  <c r="L246" i="20"/>
  <c r="L247" i="20"/>
  <c r="I249" i="20"/>
  <c r="K251" i="20"/>
  <c r="K252" i="20"/>
  <c r="J253" i="20"/>
  <c r="J231" i="20" s="1"/>
  <c r="J185" i="20" s="1"/>
  <c r="N254" i="20"/>
  <c r="P254" i="20"/>
  <c r="L255" i="20"/>
  <c r="L256" i="20"/>
  <c r="L257" i="20"/>
  <c r="L258" i="20"/>
  <c r="I260" i="20"/>
  <c r="K260" i="20" s="1"/>
  <c r="K262" i="20"/>
  <c r="K263" i="20"/>
  <c r="J265" i="20"/>
  <c r="L267" i="20"/>
  <c r="M267" i="20"/>
  <c r="N267" i="20"/>
  <c r="O267" i="20"/>
  <c r="Q267" i="20"/>
  <c r="R267" i="20"/>
  <c r="U267" i="20" s="1"/>
  <c r="S267" i="20"/>
  <c r="T267" i="20"/>
  <c r="O270" i="20"/>
  <c r="P270" i="20"/>
  <c r="T270" i="20"/>
  <c r="U270" i="20"/>
  <c r="L271" i="20"/>
  <c r="M271" i="20"/>
  <c r="M269" i="20" s="1"/>
  <c r="N271" i="20"/>
  <c r="N269" i="20" s="1"/>
  <c r="Q271" i="20"/>
  <c r="R271" i="20"/>
  <c r="R269" i="20" s="1"/>
  <c r="S271" i="20"/>
  <c r="Q272" i="20"/>
  <c r="T272" i="20" s="1"/>
  <c r="R272" i="20"/>
  <c r="U272" i="20" s="1"/>
  <c r="S272" i="20"/>
  <c r="O273" i="20"/>
  <c r="P273" i="20"/>
  <c r="T273" i="20"/>
  <c r="U273" i="20"/>
  <c r="L274" i="20"/>
  <c r="L272" i="20" s="1"/>
  <c r="O272" i="20" s="1"/>
  <c r="M274" i="20"/>
  <c r="M272" i="20" s="1"/>
  <c r="P272" i="20" s="1"/>
  <c r="N274" i="20"/>
  <c r="N272" i="20" s="1"/>
  <c r="T274" i="20"/>
  <c r="U274" i="20"/>
  <c r="I276" i="20"/>
  <c r="I265" i="20" s="1"/>
  <c r="K265" i="20" s="1"/>
  <c r="J281" i="20"/>
  <c r="L283" i="20"/>
  <c r="M283" i="20"/>
  <c r="N283" i="20"/>
  <c r="P283" i="20"/>
  <c r="Q283" i="20"/>
  <c r="R283" i="20"/>
  <c r="S283" i="20"/>
  <c r="Q284" i="20"/>
  <c r="T284" i="20" s="1"/>
  <c r="R284" i="20"/>
  <c r="U284" i="20" s="1"/>
  <c r="S284" i="20"/>
  <c r="Q285" i="20"/>
  <c r="T285" i="20" s="1"/>
  <c r="R285" i="20"/>
  <c r="U285" i="20" s="1"/>
  <c r="S285" i="20"/>
  <c r="O286" i="20"/>
  <c r="P286" i="20"/>
  <c r="T286" i="20"/>
  <c r="U286" i="20"/>
  <c r="L287" i="20"/>
  <c r="M287" i="20"/>
  <c r="M285" i="20" s="1"/>
  <c r="P285" i="20" s="1"/>
  <c r="N287" i="20"/>
  <c r="N285" i="20" s="1"/>
  <c r="T287" i="20"/>
  <c r="U287" i="20"/>
  <c r="Q288" i="20"/>
  <c r="T288" i="20" s="1"/>
  <c r="R288" i="20"/>
  <c r="S288" i="20"/>
  <c r="U288" i="20"/>
  <c r="O289" i="20"/>
  <c r="P289" i="20"/>
  <c r="T289" i="20"/>
  <c r="U289" i="20"/>
  <c r="L290" i="20"/>
  <c r="L288" i="20" s="1"/>
  <c r="O288" i="20" s="1"/>
  <c r="M290" i="20"/>
  <c r="N290" i="20"/>
  <c r="N288" i="20" s="1"/>
  <c r="T290" i="20"/>
  <c r="U290" i="20"/>
  <c r="I292" i="20"/>
  <c r="I281" i="20" s="1"/>
  <c r="K281" i="20" s="1"/>
  <c r="I293" i="20"/>
  <c r="J293" i="20"/>
  <c r="J280" i="20" s="1"/>
  <c r="I295" i="20"/>
  <c r="K295" i="20" s="1"/>
  <c r="I296" i="20"/>
  <c r="K296" i="20" s="1"/>
  <c r="J302" i="20"/>
  <c r="L304" i="20"/>
  <c r="O304" i="20" s="1"/>
  <c r="M304" i="20"/>
  <c r="N304" i="20"/>
  <c r="P304" i="20"/>
  <c r="Q304" i="20"/>
  <c r="R304" i="20"/>
  <c r="U304" i="20" s="1"/>
  <c r="S304" i="20"/>
  <c r="O307" i="20"/>
  <c r="P307" i="20"/>
  <c r="T307" i="20"/>
  <c r="U307" i="20"/>
  <c r="L308" i="20"/>
  <c r="L306" i="20" s="1"/>
  <c r="M308" i="20"/>
  <c r="N308" i="20"/>
  <c r="Q308" i="20"/>
  <c r="R308" i="20"/>
  <c r="R305" i="20" s="1"/>
  <c r="S308" i="20"/>
  <c r="S306" i="20" s="1"/>
  <c r="Q309" i="20"/>
  <c r="T309" i="20" s="1"/>
  <c r="R309" i="20"/>
  <c r="S309" i="20"/>
  <c r="U309" i="20"/>
  <c r="O310" i="20"/>
  <c r="P310" i="20"/>
  <c r="T310" i="20"/>
  <c r="U310" i="20"/>
  <c r="L311" i="20"/>
  <c r="O311" i="20" s="1"/>
  <c r="M311" i="20"/>
  <c r="P311" i="20" s="1"/>
  <c r="N311" i="20"/>
  <c r="N309" i="20" s="1"/>
  <c r="T311" i="20"/>
  <c r="U311" i="20"/>
  <c r="I314" i="20"/>
  <c r="K314" i="20" s="1"/>
  <c r="J319" i="20"/>
  <c r="L321" i="20"/>
  <c r="O321" i="20" s="1"/>
  <c r="M321" i="20"/>
  <c r="P321" i="20" s="1"/>
  <c r="N321" i="20"/>
  <c r="Q321" i="20"/>
  <c r="R321" i="20"/>
  <c r="S321" i="20"/>
  <c r="S320" i="20" s="1"/>
  <c r="Q322" i="20"/>
  <c r="T322" i="20" s="1"/>
  <c r="R322" i="20"/>
  <c r="S322" i="20"/>
  <c r="U322" i="20"/>
  <c r="Q323" i="20"/>
  <c r="T323" i="20" s="1"/>
  <c r="R323" i="20"/>
  <c r="U323" i="20" s="1"/>
  <c r="S323" i="20"/>
  <c r="O324" i="20"/>
  <c r="P324" i="20"/>
  <c r="T324" i="20"/>
  <c r="U324" i="20"/>
  <c r="L325" i="20"/>
  <c r="O325" i="20" s="1"/>
  <c r="M325" i="20"/>
  <c r="M323" i="20" s="1"/>
  <c r="P323" i="20" s="1"/>
  <c r="N325" i="20"/>
  <c r="N323" i="20" s="1"/>
  <c r="T325" i="20"/>
  <c r="U325" i="20"/>
  <c r="Q326" i="20"/>
  <c r="T326" i="20" s="1"/>
  <c r="R326" i="20"/>
  <c r="S326" i="20"/>
  <c r="U326" i="20"/>
  <c r="O327" i="20"/>
  <c r="P327" i="20"/>
  <c r="T327" i="20"/>
  <c r="U327" i="20"/>
  <c r="L328" i="20"/>
  <c r="O328" i="20" s="1"/>
  <c r="M328" i="20"/>
  <c r="N328" i="20"/>
  <c r="N326" i="20" s="1"/>
  <c r="T328" i="20"/>
  <c r="U328" i="20"/>
  <c r="I330" i="20"/>
  <c r="I319" i="20" s="1"/>
  <c r="K319" i="20" s="1"/>
  <c r="L334" i="20"/>
  <c r="M334" i="20"/>
  <c r="N334" i="20"/>
  <c r="O334" i="20"/>
  <c r="Q334" i="20"/>
  <c r="R334" i="20"/>
  <c r="U334" i="20" s="1"/>
  <c r="S334" i="20"/>
  <c r="T334" i="20"/>
  <c r="Q335" i="20"/>
  <c r="T335" i="20" s="1"/>
  <c r="R335" i="20"/>
  <c r="R333" i="20" s="1"/>
  <c r="U333" i="20" s="1"/>
  <c r="S335" i="20"/>
  <c r="Q336" i="20"/>
  <c r="T336" i="20" s="1"/>
  <c r="R336" i="20"/>
  <c r="U336" i="20" s="1"/>
  <c r="S336" i="20"/>
  <c r="O337" i="20"/>
  <c r="P337" i="20"/>
  <c r="T337" i="20"/>
  <c r="U337" i="20"/>
  <c r="L338" i="20"/>
  <c r="L336" i="20" s="1"/>
  <c r="M338" i="20"/>
  <c r="M336" i="20" s="1"/>
  <c r="N338" i="20"/>
  <c r="N336" i="20" s="1"/>
  <c r="T338" i="20"/>
  <c r="U338" i="20"/>
  <c r="Q339" i="20"/>
  <c r="T339" i="20" s="1"/>
  <c r="R339" i="20"/>
  <c r="S339" i="20"/>
  <c r="U339" i="20"/>
  <c r="O340" i="20"/>
  <c r="P340" i="20"/>
  <c r="T340" i="20"/>
  <c r="U340" i="20"/>
  <c r="L341" i="20"/>
  <c r="L339" i="20" s="1"/>
  <c r="O339" i="20" s="1"/>
  <c r="M341" i="20"/>
  <c r="P341" i="20" s="1"/>
  <c r="N341" i="20"/>
  <c r="N339" i="20" s="1"/>
  <c r="T341" i="20"/>
  <c r="U341" i="20"/>
  <c r="I344" i="20"/>
  <c r="J344" i="20"/>
  <c r="I346" i="20"/>
  <c r="J346" i="20"/>
  <c r="J347" i="20"/>
  <c r="J348" i="20"/>
  <c r="J349" i="20"/>
  <c r="D350" i="20"/>
  <c r="J352" i="20"/>
  <c r="J353" i="20"/>
  <c r="D354" i="20"/>
  <c r="L357" i="20"/>
  <c r="M357" i="20"/>
  <c r="P357" i="20" s="1"/>
  <c r="N357" i="20"/>
  <c r="Q357" i="20"/>
  <c r="R357" i="20"/>
  <c r="S357" i="20"/>
  <c r="S356" i="20" s="1"/>
  <c r="Q358" i="20"/>
  <c r="T358" i="20" s="1"/>
  <c r="R358" i="20"/>
  <c r="U358" i="20" s="1"/>
  <c r="S358" i="20"/>
  <c r="Q359" i="20"/>
  <c r="T359" i="20" s="1"/>
  <c r="R359" i="20"/>
  <c r="U359" i="20" s="1"/>
  <c r="S359" i="20"/>
  <c r="O360" i="20"/>
  <c r="P360" i="20"/>
  <c r="T360" i="20"/>
  <c r="U360" i="20"/>
  <c r="L361" i="20"/>
  <c r="M361" i="20"/>
  <c r="N361" i="20"/>
  <c r="T361" i="20"/>
  <c r="U361" i="20"/>
  <c r="Q362" i="20"/>
  <c r="T362" i="20" s="1"/>
  <c r="R362" i="20"/>
  <c r="U362" i="20" s="1"/>
  <c r="S362" i="20"/>
  <c r="O363" i="20"/>
  <c r="P363" i="20"/>
  <c r="T363" i="20"/>
  <c r="U363" i="20"/>
  <c r="L364" i="20"/>
  <c r="L362" i="20" s="1"/>
  <c r="O362" i="20" s="1"/>
  <c r="M364" i="20"/>
  <c r="M362" i="20" s="1"/>
  <c r="P362" i="20" s="1"/>
  <c r="N364" i="20"/>
  <c r="N362" i="20" s="1"/>
  <c r="T364" i="20"/>
  <c r="U364" i="20"/>
  <c r="J367" i="20"/>
  <c r="K367" i="20"/>
  <c r="I368" i="20"/>
  <c r="J368" i="20"/>
  <c r="I369" i="20"/>
  <c r="J369" i="20"/>
  <c r="J370" i="20"/>
  <c r="K370" i="20"/>
  <c r="I371" i="20"/>
  <c r="I365" i="20" s="1"/>
  <c r="J371" i="20"/>
  <c r="J372" i="20"/>
  <c r="K372" i="20"/>
  <c r="D373" i="20"/>
  <c r="L376" i="20"/>
  <c r="M376" i="20"/>
  <c r="N376" i="20"/>
  <c r="Q376" i="20"/>
  <c r="R376" i="20"/>
  <c r="S376" i="20"/>
  <c r="T376" i="20"/>
  <c r="L377" i="20"/>
  <c r="M377" i="20"/>
  <c r="P377" i="20" s="1"/>
  <c r="N377" i="20"/>
  <c r="O377" i="20"/>
  <c r="L378" i="20"/>
  <c r="O378" i="20" s="1"/>
  <c r="M378" i="20"/>
  <c r="N378" i="20"/>
  <c r="P378" i="20"/>
  <c r="O379" i="20"/>
  <c r="P379" i="20"/>
  <c r="T379" i="20"/>
  <c r="U379" i="20"/>
  <c r="O380" i="20"/>
  <c r="P380" i="20"/>
  <c r="Q380" i="20"/>
  <c r="Q378" i="20" s="1"/>
  <c r="R380" i="20"/>
  <c r="S380" i="20"/>
  <c r="S377" i="20" s="1"/>
  <c r="L381" i="20"/>
  <c r="M381" i="20"/>
  <c r="P381" i="20" s="1"/>
  <c r="N381" i="20"/>
  <c r="O381" i="20"/>
  <c r="Q381" i="20"/>
  <c r="R381" i="20"/>
  <c r="U381" i="20" s="1"/>
  <c r="S381" i="20"/>
  <c r="T381" i="20"/>
  <c r="O382" i="20"/>
  <c r="P382" i="20"/>
  <c r="T382" i="20"/>
  <c r="U382" i="20"/>
  <c r="O383" i="20"/>
  <c r="P383" i="20"/>
  <c r="T383" i="20"/>
  <c r="U383" i="20"/>
  <c r="J385" i="20"/>
  <c r="K385" i="20"/>
  <c r="I386" i="20"/>
  <c r="J386" i="20"/>
  <c r="J387" i="20"/>
  <c r="K387" i="20"/>
  <c r="I388" i="20"/>
  <c r="K388" i="20" s="1"/>
  <c r="J388" i="20"/>
  <c r="I391" i="20"/>
  <c r="K391" i="20" s="1"/>
  <c r="J391" i="20"/>
  <c r="L392" i="20"/>
  <c r="O392" i="20" s="1"/>
  <c r="L393" i="20"/>
  <c r="O393" i="20" s="1"/>
  <c r="M393" i="20"/>
  <c r="M392" i="20" s="1"/>
  <c r="P392" i="20" s="1"/>
  <c r="N393" i="20"/>
  <c r="N392" i="20" s="1"/>
  <c r="P393" i="20"/>
  <c r="Q393" i="20"/>
  <c r="R393" i="20"/>
  <c r="U393" i="20" s="1"/>
  <c r="S393" i="20"/>
  <c r="S392" i="20" s="1"/>
  <c r="T393" i="20"/>
  <c r="L394" i="20"/>
  <c r="O394" i="20" s="1"/>
  <c r="M394" i="20"/>
  <c r="N394" i="20"/>
  <c r="P394" i="20"/>
  <c r="Q394" i="20"/>
  <c r="T394" i="20" s="1"/>
  <c r="R394" i="20"/>
  <c r="U394" i="20" s="1"/>
  <c r="S394" i="20"/>
  <c r="L395" i="20"/>
  <c r="O395" i="20" s="1"/>
  <c r="M395" i="20"/>
  <c r="P395" i="20" s="1"/>
  <c r="N395" i="20"/>
  <c r="Q395" i="20"/>
  <c r="T395" i="20" s="1"/>
  <c r="R395" i="20"/>
  <c r="U395" i="20" s="1"/>
  <c r="S395" i="20"/>
  <c r="O396" i="20"/>
  <c r="P396" i="20"/>
  <c r="T396" i="20"/>
  <c r="U396" i="20"/>
  <c r="O397" i="20"/>
  <c r="P397" i="20"/>
  <c r="T397" i="20"/>
  <c r="U397" i="20"/>
  <c r="L398" i="20"/>
  <c r="O398" i="20" s="1"/>
  <c r="M398" i="20"/>
  <c r="P398" i="20" s="1"/>
  <c r="N398" i="20"/>
  <c r="Q398" i="20"/>
  <c r="R398" i="20"/>
  <c r="U398" i="20" s="1"/>
  <c r="S398" i="20"/>
  <c r="T398" i="20"/>
  <c r="O399" i="20"/>
  <c r="P399" i="20"/>
  <c r="T399" i="20"/>
  <c r="U399" i="20"/>
  <c r="O400" i="20"/>
  <c r="P400" i="20"/>
  <c r="T400" i="20"/>
  <c r="U400" i="20"/>
  <c r="L414" i="20"/>
  <c r="M414" i="20"/>
  <c r="N414" i="20"/>
  <c r="Q414" i="20"/>
  <c r="R414" i="20"/>
  <c r="S414" i="20"/>
  <c r="L415" i="20"/>
  <c r="M415" i="20"/>
  <c r="P415" i="20" s="1"/>
  <c r="N415" i="20"/>
  <c r="O415" i="20"/>
  <c r="L416" i="20"/>
  <c r="M416" i="20"/>
  <c r="N416" i="20"/>
  <c r="O416" i="20"/>
  <c r="P416" i="20"/>
  <c r="O417" i="20"/>
  <c r="P417" i="20"/>
  <c r="T417" i="20"/>
  <c r="U417" i="20"/>
  <c r="O418" i="20"/>
  <c r="P418" i="20"/>
  <c r="Q418" i="20"/>
  <c r="R418" i="20"/>
  <c r="R415" i="20" s="1"/>
  <c r="U415" i="20" s="1"/>
  <c r="S418" i="20"/>
  <c r="S416" i="20" s="1"/>
  <c r="L419" i="20"/>
  <c r="O419" i="20" s="1"/>
  <c r="M419" i="20"/>
  <c r="P419" i="20" s="1"/>
  <c r="N419" i="20"/>
  <c r="Q419" i="20"/>
  <c r="R419" i="20"/>
  <c r="U419" i="20" s="1"/>
  <c r="S419" i="20"/>
  <c r="T419" i="20"/>
  <c r="O420" i="20"/>
  <c r="P420" i="20"/>
  <c r="T420" i="20"/>
  <c r="U420" i="20"/>
  <c r="O421" i="20"/>
  <c r="P421" i="20"/>
  <c r="T421" i="20"/>
  <c r="U421" i="20"/>
  <c r="I424" i="20"/>
  <c r="K424" i="20" s="1"/>
  <c r="J424" i="20"/>
  <c r="I425" i="20"/>
  <c r="K425" i="20" s="1"/>
  <c r="J425" i="20"/>
  <c r="I432" i="20"/>
  <c r="K432" i="20" s="1"/>
  <c r="J432" i="20"/>
  <c r="I433" i="20"/>
  <c r="K433" i="20" s="1"/>
  <c r="J433" i="20"/>
  <c r="I440" i="20"/>
  <c r="I441" i="20"/>
  <c r="K441" i="20" s="1"/>
  <c r="J446" i="20"/>
  <c r="J440" i="20" s="1"/>
  <c r="J423" i="20" s="1"/>
  <c r="J412" i="20" s="1"/>
  <c r="J447" i="20"/>
  <c r="J441" i="20" s="1"/>
  <c r="I457" i="20"/>
  <c r="K457" i="20" s="1"/>
  <c r="I458" i="20"/>
  <c r="K458" i="20" s="1"/>
  <c r="J459" i="20"/>
  <c r="J460" i="20"/>
  <c r="J458" i="20" s="1"/>
  <c r="J467" i="20"/>
  <c r="J457" i="20" s="1"/>
  <c r="J456" i="20" s="1"/>
  <c r="J468" i="20"/>
  <c r="J475" i="20"/>
  <c r="K475" i="20"/>
  <c r="J476" i="20"/>
  <c r="K476" i="20"/>
  <c r="J477" i="20"/>
  <c r="K477" i="20"/>
  <c r="J482" i="20"/>
  <c r="J483" i="20"/>
  <c r="I484" i="20"/>
  <c r="K484" i="20" s="1"/>
  <c r="J484" i="20"/>
  <c r="I485" i="20"/>
  <c r="J485" i="20"/>
  <c r="K485" i="20"/>
  <c r="M493" i="20"/>
  <c r="P493" i="20" s="1"/>
  <c r="L494" i="20"/>
  <c r="M494" i="20"/>
  <c r="P494" i="20" s="1"/>
  <c r="N494" i="20"/>
  <c r="N493" i="20" s="1"/>
  <c r="O494" i="20"/>
  <c r="Q494" i="20"/>
  <c r="R494" i="20"/>
  <c r="S494" i="20"/>
  <c r="U494" i="20"/>
  <c r="L495" i="20"/>
  <c r="O495" i="20" s="1"/>
  <c r="M495" i="20"/>
  <c r="P495" i="20" s="1"/>
  <c r="N495" i="20"/>
  <c r="L496" i="20"/>
  <c r="O496" i="20" s="1"/>
  <c r="M496" i="20"/>
  <c r="P496" i="20" s="1"/>
  <c r="N496" i="20"/>
  <c r="O497" i="20"/>
  <c r="P497" i="20"/>
  <c r="T497" i="20"/>
  <c r="U497" i="20"/>
  <c r="O498" i="20"/>
  <c r="P498" i="20"/>
  <c r="Q498" i="20"/>
  <c r="Q496" i="20" s="1"/>
  <c r="T496" i="20" s="1"/>
  <c r="R498" i="20"/>
  <c r="R496" i="20" s="1"/>
  <c r="U496" i="20" s="1"/>
  <c r="S498" i="20"/>
  <c r="L499" i="20"/>
  <c r="O499" i="20" s="1"/>
  <c r="M499" i="20"/>
  <c r="N499" i="20"/>
  <c r="P499" i="20"/>
  <c r="Q499" i="20"/>
  <c r="T499" i="20" s="1"/>
  <c r="R499" i="20"/>
  <c r="U499" i="20" s="1"/>
  <c r="S499" i="20"/>
  <c r="O500" i="20"/>
  <c r="P500" i="20"/>
  <c r="T500" i="20"/>
  <c r="U500" i="20"/>
  <c r="O501" i="20"/>
  <c r="P501" i="20"/>
  <c r="T501" i="20"/>
  <c r="U501" i="20"/>
  <c r="I503" i="20"/>
  <c r="I492" i="20" s="1"/>
  <c r="K492" i="20" s="1"/>
  <c r="I504" i="20"/>
  <c r="K504" i="20" s="1"/>
  <c r="I505" i="20"/>
  <c r="I506" i="20"/>
  <c r="K506" i="20" s="1"/>
  <c r="I507" i="20"/>
  <c r="K507" i="20" s="1"/>
  <c r="K508" i="20"/>
  <c r="I509" i="20"/>
  <c r="K509" i="20" s="1"/>
  <c r="I512" i="20"/>
  <c r="J512" i="20"/>
  <c r="K512" i="20"/>
  <c r="L514" i="20"/>
  <c r="M514" i="20"/>
  <c r="N514" i="20"/>
  <c r="O514" i="20"/>
  <c r="Q514" i="20"/>
  <c r="R514" i="20"/>
  <c r="R513" i="20" s="1"/>
  <c r="U513" i="20" s="1"/>
  <c r="S514" i="20"/>
  <c r="T514" i="20"/>
  <c r="U514" i="20"/>
  <c r="Q515" i="20"/>
  <c r="T515" i="20" s="1"/>
  <c r="R515" i="20"/>
  <c r="U515" i="20" s="1"/>
  <c r="S515" i="20"/>
  <c r="Q516" i="20"/>
  <c r="T516" i="20" s="1"/>
  <c r="R516" i="20"/>
  <c r="U516" i="20" s="1"/>
  <c r="S516" i="20"/>
  <c r="O517" i="20"/>
  <c r="P517" i="20"/>
  <c r="T517" i="20"/>
  <c r="U517" i="20"/>
  <c r="L518" i="20"/>
  <c r="L516" i="20" s="1"/>
  <c r="O516" i="20" s="1"/>
  <c r="M518" i="20"/>
  <c r="M516" i="20" s="1"/>
  <c r="P516" i="20" s="1"/>
  <c r="N518" i="20"/>
  <c r="N516" i="20" s="1"/>
  <c r="T518" i="20"/>
  <c r="U518" i="20"/>
  <c r="Q519" i="20"/>
  <c r="T519" i="20" s="1"/>
  <c r="R519" i="20"/>
  <c r="S519" i="20"/>
  <c r="U519" i="20"/>
  <c r="O520" i="20"/>
  <c r="P520" i="20"/>
  <c r="T520" i="20"/>
  <c r="U520" i="20"/>
  <c r="L521" i="20"/>
  <c r="M521" i="20"/>
  <c r="N521" i="20"/>
  <c r="N519" i="20" s="1"/>
  <c r="T521" i="20"/>
  <c r="U521" i="20"/>
  <c r="K523" i="20"/>
  <c r="K524" i="20"/>
  <c r="I533" i="20"/>
  <c r="K533" i="20" s="1"/>
  <c r="J533" i="20"/>
  <c r="R534" i="20"/>
  <c r="U534" i="20" s="1"/>
  <c r="L535" i="20"/>
  <c r="L534" i="20" s="1"/>
  <c r="O534" i="20" s="1"/>
  <c r="M535" i="20"/>
  <c r="M534" i="20" s="1"/>
  <c r="P534" i="20" s="1"/>
  <c r="N535" i="20"/>
  <c r="P535" i="20"/>
  <c r="Q535" i="20"/>
  <c r="R535" i="20"/>
  <c r="U535" i="20" s="1"/>
  <c r="S535" i="20"/>
  <c r="S534" i="20" s="1"/>
  <c r="T535" i="20"/>
  <c r="L536" i="20"/>
  <c r="O536" i="20" s="1"/>
  <c r="M536" i="20"/>
  <c r="N536" i="20"/>
  <c r="P536" i="20"/>
  <c r="Q536" i="20"/>
  <c r="T536" i="20" s="1"/>
  <c r="R536" i="20"/>
  <c r="U536" i="20" s="1"/>
  <c r="S536" i="20"/>
  <c r="L537" i="20"/>
  <c r="O537" i="20" s="1"/>
  <c r="M537" i="20"/>
  <c r="P537" i="20" s="1"/>
  <c r="N537" i="20"/>
  <c r="Q537" i="20"/>
  <c r="T537" i="20" s="1"/>
  <c r="R537" i="20"/>
  <c r="U537" i="20" s="1"/>
  <c r="S537" i="20"/>
  <c r="O538" i="20"/>
  <c r="P538" i="20"/>
  <c r="T538" i="20"/>
  <c r="U538" i="20"/>
  <c r="O539" i="20"/>
  <c r="P539" i="20"/>
  <c r="T539" i="20"/>
  <c r="U539" i="20"/>
  <c r="L540" i="20"/>
  <c r="O540" i="20" s="1"/>
  <c r="M540" i="20"/>
  <c r="P540" i="20" s="1"/>
  <c r="N540" i="20"/>
  <c r="Q540" i="20"/>
  <c r="R540" i="20"/>
  <c r="U540" i="20" s="1"/>
  <c r="S540" i="20"/>
  <c r="T540" i="20"/>
  <c r="O541" i="20"/>
  <c r="P541" i="20"/>
  <c r="T541" i="20"/>
  <c r="U541" i="20"/>
  <c r="O542" i="20"/>
  <c r="P542" i="20"/>
  <c r="T542" i="20"/>
  <c r="U542" i="20"/>
  <c r="I554" i="20"/>
  <c r="K554" i="20" s="1"/>
  <c r="J554" i="20"/>
  <c r="L556" i="20"/>
  <c r="M556" i="20"/>
  <c r="N556" i="20"/>
  <c r="Q556" i="20"/>
  <c r="R556" i="20"/>
  <c r="S556" i="20"/>
  <c r="S555" i="20" s="1"/>
  <c r="L557" i="20"/>
  <c r="M557" i="20"/>
  <c r="P557" i="20" s="1"/>
  <c r="N557" i="20"/>
  <c r="O557" i="20"/>
  <c r="Q557" i="20"/>
  <c r="T557" i="20" s="1"/>
  <c r="R557" i="20"/>
  <c r="U557" i="20" s="1"/>
  <c r="S557" i="20"/>
  <c r="L558" i="20"/>
  <c r="O558" i="20" s="1"/>
  <c r="M558" i="20"/>
  <c r="P558" i="20" s="1"/>
  <c r="N558" i="20"/>
  <c r="Q558" i="20"/>
  <c r="T558" i="20" s="1"/>
  <c r="R558" i="20"/>
  <c r="U558" i="20" s="1"/>
  <c r="S558" i="20"/>
  <c r="O559" i="20"/>
  <c r="P559" i="20"/>
  <c r="T559" i="20"/>
  <c r="U559" i="20"/>
  <c r="O560" i="20"/>
  <c r="P560" i="20"/>
  <c r="T560" i="20"/>
  <c r="U560" i="20"/>
  <c r="L561" i="20"/>
  <c r="M561" i="20"/>
  <c r="P561" i="20" s="1"/>
  <c r="N561" i="20"/>
  <c r="O561" i="20"/>
  <c r="Q561" i="20"/>
  <c r="T561" i="20" s="1"/>
  <c r="R561" i="20"/>
  <c r="S561" i="20"/>
  <c r="U561" i="20"/>
  <c r="O562" i="20"/>
  <c r="P562" i="20"/>
  <c r="T562" i="20"/>
  <c r="U562" i="20"/>
  <c r="O563" i="20"/>
  <c r="P563" i="20"/>
  <c r="T563" i="20"/>
  <c r="U563" i="20"/>
  <c r="I575" i="20"/>
  <c r="K575" i="20" s="1"/>
  <c r="J575" i="20"/>
  <c r="L576" i="20"/>
  <c r="O576" i="20" s="1"/>
  <c r="L577" i="20"/>
  <c r="M577" i="20"/>
  <c r="M576" i="20" s="1"/>
  <c r="P576" i="20" s="1"/>
  <c r="N577" i="20"/>
  <c r="O577" i="20"/>
  <c r="Q577" i="20"/>
  <c r="R577" i="20"/>
  <c r="R576" i="20" s="1"/>
  <c r="U576" i="20" s="1"/>
  <c r="S577" i="20"/>
  <c r="T577" i="20"/>
  <c r="U577" i="20"/>
  <c r="L578" i="20"/>
  <c r="O578" i="20" s="1"/>
  <c r="M578" i="20"/>
  <c r="P578" i="20" s="1"/>
  <c r="N578" i="20"/>
  <c r="Q578" i="20"/>
  <c r="T578" i="20" s="1"/>
  <c r="R578" i="20"/>
  <c r="U578" i="20" s="1"/>
  <c r="S578" i="20"/>
  <c r="S576" i="20" s="1"/>
  <c r="L579" i="20"/>
  <c r="M579" i="20"/>
  <c r="P579" i="20" s="1"/>
  <c r="N579" i="20"/>
  <c r="O579" i="20"/>
  <c r="Q579" i="20"/>
  <c r="T579" i="20" s="1"/>
  <c r="R579" i="20"/>
  <c r="U579" i="20" s="1"/>
  <c r="S579" i="20"/>
  <c r="O580" i="20"/>
  <c r="P580" i="20"/>
  <c r="T580" i="20"/>
  <c r="U580" i="20"/>
  <c r="O581" i="20"/>
  <c r="P581" i="20"/>
  <c r="T581" i="20"/>
  <c r="U581" i="20"/>
  <c r="L582" i="20"/>
  <c r="O582" i="20" s="1"/>
  <c r="M582" i="20"/>
  <c r="P582" i="20" s="1"/>
  <c r="N582" i="20"/>
  <c r="Q582" i="20"/>
  <c r="R582" i="20"/>
  <c r="U582" i="20" s="1"/>
  <c r="S582" i="20"/>
  <c r="T582" i="20"/>
  <c r="O583" i="20"/>
  <c r="P583" i="20"/>
  <c r="T583" i="20"/>
  <c r="U583" i="20"/>
  <c r="O584" i="20"/>
  <c r="P584" i="20"/>
  <c r="T584" i="20"/>
  <c r="U584" i="20"/>
  <c r="L600" i="20"/>
  <c r="M600" i="20"/>
  <c r="P600" i="20" s="1"/>
  <c r="N600" i="20"/>
  <c r="O600" i="20"/>
  <c r="Q600" i="20"/>
  <c r="R600" i="20"/>
  <c r="U600" i="20" s="1"/>
  <c r="S600" i="20"/>
  <c r="L601" i="20"/>
  <c r="O601" i="20" s="1"/>
  <c r="M601" i="20"/>
  <c r="N601" i="20"/>
  <c r="Q601" i="20"/>
  <c r="T601" i="20" s="1"/>
  <c r="R601" i="20"/>
  <c r="U601" i="20" s="1"/>
  <c r="S601" i="20"/>
  <c r="S599" i="20" s="1"/>
  <c r="L602" i="20"/>
  <c r="O602" i="20" s="1"/>
  <c r="M602" i="20"/>
  <c r="P602" i="20" s="1"/>
  <c r="N602" i="20"/>
  <c r="Q602" i="20"/>
  <c r="R602" i="20"/>
  <c r="U602" i="20" s="1"/>
  <c r="S602" i="20"/>
  <c r="T602" i="20"/>
  <c r="O603" i="20"/>
  <c r="P603" i="20"/>
  <c r="T603" i="20"/>
  <c r="U603" i="20"/>
  <c r="O604" i="20"/>
  <c r="P604" i="20"/>
  <c r="T604" i="20"/>
  <c r="U604" i="20"/>
  <c r="L605" i="20"/>
  <c r="O605" i="20" s="1"/>
  <c r="M605" i="20"/>
  <c r="P605" i="20" s="1"/>
  <c r="N605" i="20"/>
  <c r="Q605" i="20"/>
  <c r="R605" i="20"/>
  <c r="S605" i="20"/>
  <c r="T605" i="20"/>
  <c r="U605" i="20"/>
  <c r="O606" i="20"/>
  <c r="P606" i="20"/>
  <c r="T606" i="20"/>
  <c r="U606" i="20"/>
  <c r="O607" i="20"/>
  <c r="P607" i="20"/>
  <c r="T607" i="20"/>
  <c r="U607" i="20"/>
  <c r="L617" i="20"/>
  <c r="O617" i="20" s="1"/>
  <c r="M617" i="20"/>
  <c r="N617" i="20"/>
  <c r="Q617" i="20"/>
  <c r="R617" i="20"/>
  <c r="U617" i="20" s="1"/>
  <c r="S617" i="20"/>
  <c r="T617" i="20"/>
  <c r="L618" i="20"/>
  <c r="M618" i="20"/>
  <c r="P618" i="20" s="1"/>
  <c r="N618" i="20"/>
  <c r="O618" i="20"/>
  <c r="L619" i="20"/>
  <c r="M619" i="20"/>
  <c r="P619" i="20" s="1"/>
  <c r="N619" i="20"/>
  <c r="O619" i="20"/>
  <c r="O620" i="20"/>
  <c r="P620" i="20"/>
  <c r="T620" i="20"/>
  <c r="U620" i="20"/>
  <c r="O621" i="20"/>
  <c r="P621" i="20"/>
  <c r="Q621" i="20"/>
  <c r="R621" i="20"/>
  <c r="S621" i="20"/>
  <c r="L622" i="20"/>
  <c r="M622" i="20"/>
  <c r="P622" i="20" s="1"/>
  <c r="N622" i="20"/>
  <c r="O622" i="20"/>
  <c r="Q622" i="20"/>
  <c r="R622" i="20"/>
  <c r="U622" i="20" s="1"/>
  <c r="S622" i="20"/>
  <c r="T622" i="20"/>
  <c r="O623" i="20"/>
  <c r="P623" i="20"/>
  <c r="T623" i="20"/>
  <c r="U623" i="20"/>
  <c r="O624" i="20"/>
  <c r="P624" i="20"/>
  <c r="T624" i="20"/>
  <c r="U624" i="20"/>
  <c r="I626" i="20"/>
  <c r="K632" i="20" s="1"/>
  <c r="J626" i="20"/>
  <c r="J615" i="20" s="1"/>
  <c r="I627" i="20"/>
  <c r="K627" i="20" s="1"/>
  <c r="I628" i="20"/>
  <c r="K628" i="20" s="1"/>
  <c r="J632" i="20"/>
  <c r="I635" i="20"/>
  <c r="K635" i="20" s="1"/>
  <c r="J636" i="20"/>
  <c r="J635" i="20" s="1"/>
  <c r="L643" i="20"/>
  <c r="M643" i="20"/>
  <c r="N643" i="20"/>
  <c r="P643" i="20"/>
  <c r="Q643" i="20"/>
  <c r="T643" i="20" s="1"/>
  <c r="R643" i="20"/>
  <c r="S643" i="20"/>
  <c r="L644" i="20"/>
  <c r="O644" i="20" s="1"/>
  <c r="M644" i="20"/>
  <c r="P644" i="20" s="1"/>
  <c r="N644" i="20"/>
  <c r="N642" i="20" s="1"/>
  <c r="L645" i="20"/>
  <c r="M645" i="20"/>
  <c r="P645" i="20" s="1"/>
  <c r="N645" i="20"/>
  <c r="O645" i="20"/>
  <c r="O646" i="20"/>
  <c r="P646" i="20"/>
  <c r="T646" i="20"/>
  <c r="U646" i="20"/>
  <c r="O647" i="20"/>
  <c r="P647" i="20"/>
  <c r="Q647" i="20"/>
  <c r="Q645" i="20" s="1"/>
  <c r="R647" i="20"/>
  <c r="S647" i="20"/>
  <c r="S645" i="20" s="1"/>
  <c r="L648" i="20"/>
  <c r="O648" i="20" s="1"/>
  <c r="M648" i="20"/>
  <c r="P648" i="20" s="1"/>
  <c r="N648" i="20"/>
  <c r="Q648" i="20"/>
  <c r="T648" i="20" s="1"/>
  <c r="R648" i="20"/>
  <c r="U648" i="20" s="1"/>
  <c r="S648" i="20"/>
  <c r="O649" i="20"/>
  <c r="P649" i="20"/>
  <c r="T649" i="20"/>
  <c r="U649" i="20"/>
  <c r="O650" i="20"/>
  <c r="P650" i="20"/>
  <c r="T650" i="20"/>
  <c r="U650" i="20"/>
  <c r="I652" i="20"/>
  <c r="J652" i="20"/>
  <c r="I653" i="20"/>
  <c r="J653" i="20"/>
  <c r="I654" i="20"/>
  <c r="K654" i="20" s="1"/>
  <c r="J654" i="20"/>
  <c r="I657" i="20"/>
  <c r="I660" i="20"/>
  <c r="I661" i="20"/>
  <c r="K661" i="20" s="1"/>
  <c r="J661" i="20"/>
  <c r="J671" i="20"/>
  <c r="J672" i="20"/>
  <c r="I673" i="20"/>
  <c r="J673" i="20"/>
  <c r="I674" i="20"/>
  <c r="K674" i="20" s="1"/>
  <c r="I675" i="20"/>
  <c r="K675" i="20" s="1"/>
  <c r="I676" i="20"/>
  <c r="K676" i="20" s="1"/>
  <c r="J676" i="20"/>
  <c r="J677" i="20"/>
  <c r="I678" i="20"/>
  <c r="K678" i="20" s="1"/>
  <c r="J678" i="20"/>
  <c r="I679" i="20"/>
  <c r="K679" i="20" s="1"/>
  <c r="J679" i="20"/>
  <c r="J680" i="20"/>
  <c r="I681" i="20"/>
  <c r="K681" i="20" s="1"/>
  <c r="J681" i="20"/>
  <c r="I682" i="20"/>
  <c r="K682" i="20" s="1"/>
  <c r="J682" i="20"/>
  <c r="L691" i="20"/>
  <c r="M691" i="20"/>
  <c r="P691" i="20" s="1"/>
  <c r="N691" i="20"/>
  <c r="Q691" i="20"/>
  <c r="T691" i="20" s="1"/>
  <c r="R691" i="20"/>
  <c r="S691" i="20"/>
  <c r="L692" i="20"/>
  <c r="M692" i="20"/>
  <c r="P692" i="20" s="1"/>
  <c r="N692" i="20"/>
  <c r="N690" i="20" s="1"/>
  <c r="O692" i="20"/>
  <c r="L693" i="20"/>
  <c r="O693" i="20" s="1"/>
  <c r="M693" i="20"/>
  <c r="N693" i="20"/>
  <c r="P693" i="20"/>
  <c r="O694" i="20"/>
  <c r="P694" i="20"/>
  <c r="T694" i="20"/>
  <c r="U694" i="20"/>
  <c r="O695" i="20"/>
  <c r="P695" i="20"/>
  <c r="Q695" i="20"/>
  <c r="Q693" i="20" s="1"/>
  <c r="R695" i="20"/>
  <c r="S695" i="20"/>
  <c r="S693" i="20" s="1"/>
  <c r="L696" i="20"/>
  <c r="O696" i="20" s="1"/>
  <c r="M696" i="20"/>
  <c r="P696" i="20" s="1"/>
  <c r="N696" i="20"/>
  <c r="Q696" i="20"/>
  <c r="T696" i="20" s="1"/>
  <c r="R696" i="20"/>
  <c r="U696" i="20" s="1"/>
  <c r="S696" i="20"/>
  <c r="O697" i="20"/>
  <c r="P697" i="20"/>
  <c r="T697" i="20"/>
  <c r="U697" i="20"/>
  <c r="O698" i="20"/>
  <c r="P698" i="20"/>
  <c r="T698" i="20"/>
  <c r="U698" i="20"/>
  <c r="I700" i="20"/>
  <c r="K700" i="20" s="1"/>
  <c r="K702" i="20"/>
  <c r="I703" i="20"/>
  <c r="I701" i="20" s="1"/>
  <c r="J703" i="20"/>
  <c r="J704" i="20"/>
  <c r="K704" i="20"/>
  <c r="I705" i="20"/>
  <c r="J705" i="20"/>
  <c r="J706" i="20"/>
  <c r="K706" i="20"/>
  <c r="I707" i="20"/>
  <c r="I689" i="20" s="1"/>
  <c r="J707" i="20"/>
  <c r="J708" i="20"/>
  <c r="K708" i="20"/>
  <c r="I709" i="20"/>
  <c r="J709" i="20"/>
  <c r="J710" i="20"/>
  <c r="K710" i="20"/>
  <c r="J712" i="20"/>
  <c r="K712" i="20"/>
  <c r="L715" i="20"/>
  <c r="L714" i="20" s="1"/>
  <c r="O714" i="20" s="1"/>
  <c r="M715" i="20"/>
  <c r="N715" i="20"/>
  <c r="N714" i="20" s="1"/>
  <c r="P715" i="20"/>
  <c r="Q715" i="20"/>
  <c r="R715" i="20"/>
  <c r="S715" i="20"/>
  <c r="L716" i="20"/>
  <c r="O716" i="20" s="1"/>
  <c r="M716" i="20"/>
  <c r="M714" i="20" s="1"/>
  <c r="P714" i="20" s="1"/>
  <c r="N716" i="20"/>
  <c r="Q716" i="20"/>
  <c r="T716" i="20" s="1"/>
  <c r="R716" i="20"/>
  <c r="U716" i="20" s="1"/>
  <c r="S716" i="20"/>
  <c r="S714" i="20" s="1"/>
  <c r="L717" i="20"/>
  <c r="O717" i="20" s="1"/>
  <c r="M717" i="20"/>
  <c r="P717" i="20" s="1"/>
  <c r="N717" i="20"/>
  <c r="Q717" i="20"/>
  <c r="T717" i="20" s="1"/>
  <c r="R717" i="20"/>
  <c r="U717" i="20" s="1"/>
  <c r="S717" i="20"/>
  <c r="O718" i="20"/>
  <c r="P718" i="20"/>
  <c r="T718" i="20"/>
  <c r="U718" i="20"/>
  <c r="O719" i="20"/>
  <c r="P719" i="20"/>
  <c r="T719" i="20"/>
  <c r="U719" i="20"/>
  <c r="L720" i="20"/>
  <c r="O720" i="20" s="1"/>
  <c r="M720" i="20"/>
  <c r="N720" i="20"/>
  <c r="P720" i="20"/>
  <c r="Q720" i="20"/>
  <c r="R720" i="20"/>
  <c r="U720" i="20" s="1"/>
  <c r="S720" i="20"/>
  <c r="T720" i="20"/>
  <c r="O721" i="20"/>
  <c r="P721" i="20"/>
  <c r="T721" i="20"/>
  <c r="U721" i="20"/>
  <c r="O722" i="20"/>
  <c r="P722" i="20"/>
  <c r="T722" i="20"/>
  <c r="U722" i="20"/>
  <c r="I726" i="20"/>
  <c r="J726" i="20"/>
  <c r="I727" i="20"/>
  <c r="J727" i="20"/>
  <c r="L729" i="20"/>
  <c r="L728" i="20" s="1"/>
  <c r="O728" i="20" s="1"/>
  <c r="M729" i="20"/>
  <c r="N729" i="20"/>
  <c r="Q729" i="20"/>
  <c r="R729" i="20"/>
  <c r="U729" i="20" s="1"/>
  <c r="S729" i="20"/>
  <c r="T729" i="20"/>
  <c r="L730" i="20"/>
  <c r="O730" i="20" s="1"/>
  <c r="M730" i="20"/>
  <c r="P730" i="20" s="1"/>
  <c r="N730" i="20"/>
  <c r="L731" i="20"/>
  <c r="M731" i="20"/>
  <c r="N731" i="20"/>
  <c r="O731" i="20"/>
  <c r="P731" i="20"/>
  <c r="O732" i="20"/>
  <c r="P732" i="20"/>
  <c r="T732" i="20"/>
  <c r="U732" i="20"/>
  <c r="O733" i="20"/>
  <c r="P733" i="20"/>
  <c r="Q733" i="20"/>
  <c r="Q731" i="20" s="1"/>
  <c r="R733" i="20"/>
  <c r="R731" i="20" s="1"/>
  <c r="S733" i="20"/>
  <c r="L734" i="20"/>
  <c r="O734" i="20" s="1"/>
  <c r="M734" i="20"/>
  <c r="P734" i="20" s="1"/>
  <c r="N734" i="20"/>
  <c r="Q734" i="20"/>
  <c r="T734" i="20" s="1"/>
  <c r="R734" i="20"/>
  <c r="U734" i="20" s="1"/>
  <c r="S734" i="20"/>
  <c r="O735" i="20"/>
  <c r="P735" i="20"/>
  <c r="T735" i="20"/>
  <c r="U735" i="20"/>
  <c r="O736" i="20"/>
  <c r="P736" i="20"/>
  <c r="T736" i="20"/>
  <c r="U736" i="20"/>
  <c r="I740" i="20"/>
  <c r="K740" i="20" s="1"/>
  <c r="I742" i="20"/>
  <c r="K742" i="20" s="1"/>
  <c r="I744" i="20"/>
  <c r="K744" i="20" s="1"/>
  <c r="I746" i="20"/>
  <c r="K746" i="20" s="1"/>
  <c r="I749" i="20"/>
  <c r="K749" i="20" s="1"/>
  <c r="I752" i="20"/>
  <c r="K752" i="20" s="1"/>
  <c r="I755" i="20"/>
  <c r="K755" i="20" s="1"/>
  <c r="J758" i="20"/>
  <c r="J759" i="20"/>
  <c r="L761" i="20"/>
  <c r="M761" i="20"/>
  <c r="P761" i="20" s="1"/>
  <c r="N761" i="20"/>
  <c r="Q761" i="20"/>
  <c r="T761" i="20" s="1"/>
  <c r="R761" i="20"/>
  <c r="U761" i="20" s="1"/>
  <c r="S761" i="20"/>
  <c r="L762" i="20"/>
  <c r="M762" i="20"/>
  <c r="P762" i="20" s="1"/>
  <c r="N762" i="20"/>
  <c r="N760" i="20" s="1"/>
  <c r="O762" i="20"/>
  <c r="L763" i="20"/>
  <c r="M763" i="20"/>
  <c r="N763" i="20"/>
  <c r="O763" i="20"/>
  <c r="P763" i="20"/>
  <c r="O764" i="20"/>
  <c r="P764" i="20"/>
  <c r="T764" i="20"/>
  <c r="U764" i="20"/>
  <c r="O765" i="20"/>
  <c r="P765" i="20"/>
  <c r="Q765" i="20"/>
  <c r="Q762" i="20" s="1"/>
  <c r="R765" i="20"/>
  <c r="R763" i="20" s="1"/>
  <c r="S765" i="20"/>
  <c r="S762" i="20" s="1"/>
  <c r="L766" i="20"/>
  <c r="O766" i="20" s="1"/>
  <c r="M766" i="20"/>
  <c r="N766" i="20"/>
  <c r="P766" i="20"/>
  <c r="Q766" i="20"/>
  <c r="T766" i="20" s="1"/>
  <c r="R766" i="20"/>
  <c r="U766" i="20" s="1"/>
  <c r="S766" i="20"/>
  <c r="O767" i="20"/>
  <c r="P767" i="20"/>
  <c r="T767" i="20"/>
  <c r="U767" i="20"/>
  <c r="O768" i="20"/>
  <c r="P768" i="20"/>
  <c r="T768" i="20"/>
  <c r="U768" i="20"/>
  <c r="I770" i="20"/>
  <c r="K770" i="20" s="1"/>
  <c r="I772" i="20"/>
  <c r="I774" i="20"/>
  <c r="K774" i="20" s="1"/>
  <c r="I775" i="20"/>
  <c r="I776" i="20"/>
  <c r="H777" i="20"/>
  <c r="I778" i="20"/>
  <c r="J778" i="20"/>
  <c r="I779" i="20"/>
  <c r="J779" i="20"/>
  <c r="I780" i="20"/>
  <c r="J780" i="20"/>
  <c r="I781" i="20"/>
  <c r="J781" i="20"/>
  <c r="I782" i="20"/>
  <c r="J782" i="20"/>
  <c r="I783" i="20"/>
  <c r="J783" i="20"/>
  <c r="I784" i="20"/>
  <c r="J784" i="20"/>
  <c r="I785" i="20"/>
  <c r="J785" i="20"/>
  <c r="A788" i="20"/>
  <c r="A789" i="20"/>
  <c r="L22" i="19"/>
  <c r="M22" i="19"/>
  <c r="N22" i="19"/>
  <c r="Q22" i="19"/>
  <c r="R22" i="19"/>
  <c r="S22" i="19"/>
  <c r="L25" i="19"/>
  <c r="M25" i="19"/>
  <c r="N25" i="19"/>
  <c r="Q25" i="19"/>
  <c r="R25" i="19"/>
  <c r="S25" i="19"/>
  <c r="Q26" i="19"/>
  <c r="R26" i="19"/>
  <c r="S26" i="19"/>
  <c r="T26" i="19"/>
  <c r="U26" i="19"/>
  <c r="L45" i="19"/>
  <c r="M45" i="19"/>
  <c r="N45" i="19"/>
  <c r="Q45" i="19"/>
  <c r="R45" i="19"/>
  <c r="S45" i="19"/>
  <c r="Q46" i="19"/>
  <c r="R46" i="19"/>
  <c r="U46" i="19" s="1"/>
  <c r="S46" i="19"/>
  <c r="T46" i="19"/>
  <c r="Q47" i="19"/>
  <c r="T47" i="19" s="1"/>
  <c r="R47" i="19"/>
  <c r="U47" i="19" s="1"/>
  <c r="S47" i="19"/>
  <c r="O48" i="19"/>
  <c r="P48" i="19"/>
  <c r="T48" i="19"/>
  <c r="U48" i="19"/>
  <c r="L49" i="19"/>
  <c r="M49" i="19"/>
  <c r="N49" i="19"/>
  <c r="N47" i="19" s="1"/>
  <c r="T49" i="19"/>
  <c r="U49" i="19"/>
  <c r="Q50" i="19"/>
  <c r="T50" i="19" s="1"/>
  <c r="R50" i="19"/>
  <c r="U50" i="19" s="1"/>
  <c r="S50" i="19"/>
  <c r="O51" i="19"/>
  <c r="P51" i="19"/>
  <c r="T51" i="19"/>
  <c r="U51" i="19"/>
  <c r="L52" i="19"/>
  <c r="M52" i="19"/>
  <c r="M50" i="19" s="1"/>
  <c r="P50" i="19" s="1"/>
  <c r="N52" i="19"/>
  <c r="N50" i="19" s="1"/>
  <c r="T52" i="19"/>
  <c r="U52" i="19"/>
  <c r="L60" i="19"/>
  <c r="M60" i="19"/>
  <c r="N60" i="19"/>
  <c r="Q60" i="19"/>
  <c r="R60" i="19"/>
  <c r="S60" i="19"/>
  <c r="Q61" i="19"/>
  <c r="R61" i="19"/>
  <c r="U61" i="19" s="1"/>
  <c r="S61" i="19"/>
  <c r="T61" i="19"/>
  <c r="Q62" i="19"/>
  <c r="T62" i="19" s="1"/>
  <c r="R62" i="19"/>
  <c r="S62" i="19"/>
  <c r="U62" i="19"/>
  <c r="O63" i="19"/>
  <c r="P63" i="19"/>
  <c r="T63" i="19"/>
  <c r="U63" i="19"/>
  <c r="L64" i="19"/>
  <c r="L62" i="19" s="1"/>
  <c r="M64" i="19"/>
  <c r="N64" i="19"/>
  <c r="N62" i="19" s="1"/>
  <c r="T64" i="19"/>
  <c r="U64" i="19"/>
  <c r="Q65" i="19"/>
  <c r="T65" i="19" s="1"/>
  <c r="R65" i="19"/>
  <c r="U65" i="19" s="1"/>
  <c r="S65" i="19"/>
  <c r="O66" i="19"/>
  <c r="P66" i="19"/>
  <c r="T66" i="19"/>
  <c r="U66" i="19"/>
  <c r="L67" i="19"/>
  <c r="M67" i="19"/>
  <c r="M65" i="19" s="1"/>
  <c r="P65" i="19" s="1"/>
  <c r="N67" i="19"/>
  <c r="N65" i="19" s="1"/>
  <c r="T67" i="19"/>
  <c r="U67" i="19"/>
  <c r="L73" i="19"/>
  <c r="M73" i="19"/>
  <c r="N73" i="19"/>
  <c r="Q73" i="19"/>
  <c r="T73" i="19" s="1"/>
  <c r="R73" i="19"/>
  <c r="S73" i="19"/>
  <c r="O76" i="19"/>
  <c r="P76" i="19"/>
  <c r="T76" i="19"/>
  <c r="U76" i="19"/>
  <c r="L77" i="19"/>
  <c r="M77" i="19"/>
  <c r="N77" i="19"/>
  <c r="N75" i="19" s="1"/>
  <c r="Q77" i="19"/>
  <c r="R77" i="19"/>
  <c r="R74" i="19" s="1"/>
  <c r="S77" i="19"/>
  <c r="S75" i="19" s="1"/>
  <c r="Q78" i="19"/>
  <c r="T78" i="19" s="1"/>
  <c r="R78" i="19"/>
  <c r="S78" i="19"/>
  <c r="U78" i="19"/>
  <c r="O79" i="19"/>
  <c r="P79" i="19"/>
  <c r="T79" i="19"/>
  <c r="U79" i="19"/>
  <c r="L80" i="19"/>
  <c r="O80" i="19" s="1"/>
  <c r="M80" i="19"/>
  <c r="P80" i="19" s="1"/>
  <c r="N80" i="19"/>
  <c r="N78" i="19" s="1"/>
  <c r="T80" i="19"/>
  <c r="U80" i="19"/>
  <c r="J82" i="19"/>
  <c r="J70" i="19" s="1"/>
  <c r="J83" i="19"/>
  <c r="J71" i="19" s="1"/>
  <c r="I84" i="19"/>
  <c r="K84" i="19" s="1"/>
  <c r="I85" i="19"/>
  <c r="I86" i="19"/>
  <c r="K86" i="19" s="1"/>
  <c r="I87" i="19"/>
  <c r="K87" i="19" s="1"/>
  <c r="I88" i="19"/>
  <c r="K88" i="19" s="1"/>
  <c r="I89" i="19"/>
  <c r="K89" i="19" s="1"/>
  <c r="I90" i="19"/>
  <c r="K90" i="19" s="1"/>
  <c r="J92" i="19"/>
  <c r="J93" i="19"/>
  <c r="L95" i="19"/>
  <c r="O95" i="19" s="1"/>
  <c r="M95" i="19"/>
  <c r="N95" i="19"/>
  <c r="Q95" i="19"/>
  <c r="R95" i="19"/>
  <c r="U95" i="19" s="1"/>
  <c r="S95" i="19"/>
  <c r="T95" i="19"/>
  <c r="O98" i="19"/>
  <c r="P98" i="19"/>
  <c r="T98" i="19"/>
  <c r="U98" i="19"/>
  <c r="L99" i="19"/>
  <c r="M99" i="19"/>
  <c r="N99" i="19"/>
  <c r="Q99" i="19"/>
  <c r="R99" i="19"/>
  <c r="R97" i="19" s="1"/>
  <c r="S99" i="19"/>
  <c r="S96" i="19" s="1"/>
  <c r="Q100" i="19"/>
  <c r="T100" i="19" s="1"/>
  <c r="R100" i="19"/>
  <c r="U100" i="19" s="1"/>
  <c r="S100" i="19"/>
  <c r="O101" i="19"/>
  <c r="P101" i="19"/>
  <c r="T101" i="19"/>
  <c r="U101" i="19"/>
  <c r="L102" i="19"/>
  <c r="L100" i="19" s="1"/>
  <c r="O100" i="19" s="1"/>
  <c r="M102" i="19"/>
  <c r="P102" i="19" s="1"/>
  <c r="N102" i="19"/>
  <c r="N100" i="19" s="1"/>
  <c r="T102" i="19"/>
  <c r="U102" i="19"/>
  <c r="I108" i="19"/>
  <c r="K108" i="19" s="1"/>
  <c r="I109" i="19"/>
  <c r="I93" i="19" s="1"/>
  <c r="K93" i="19" s="1"/>
  <c r="I113" i="19"/>
  <c r="K113" i="19" s="1"/>
  <c r="I114" i="19"/>
  <c r="K114" i="19" s="1"/>
  <c r="J116" i="19"/>
  <c r="L118" i="19"/>
  <c r="O118" i="19" s="1"/>
  <c r="M118" i="19"/>
  <c r="P118" i="19" s="1"/>
  <c r="N118" i="19"/>
  <c r="Q118" i="19"/>
  <c r="R118" i="19"/>
  <c r="S118" i="19"/>
  <c r="O121" i="19"/>
  <c r="P121" i="19"/>
  <c r="T121" i="19"/>
  <c r="U121" i="19"/>
  <c r="L122" i="19"/>
  <c r="O122" i="19" s="1"/>
  <c r="M122" i="19"/>
  <c r="N122" i="19"/>
  <c r="Q122" i="19"/>
  <c r="Q120" i="19" s="1"/>
  <c r="R122" i="19"/>
  <c r="S122" i="19"/>
  <c r="S120" i="19" s="1"/>
  <c r="Q123" i="19"/>
  <c r="R123" i="19"/>
  <c r="S123" i="19"/>
  <c r="T123" i="19"/>
  <c r="U123" i="19"/>
  <c r="O124" i="19"/>
  <c r="P124" i="19"/>
  <c r="T124" i="19"/>
  <c r="U124" i="19"/>
  <c r="L125" i="19"/>
  <c r="M125" i="19"/>
  <c r="N125" i="19"/>
  <c r="N123" i="19" s="1"/>
  <c r="T125" i="19"/>
  <c r="U125" i="19"/>
  <c r="I127" i="19"/>
  <c r="I128" i="19"/>
  <c r="K128" i="19" s="1"/>
  <c r="I129" i="19"/>
  <c r="K129" i="19" s="1"/>
  <c r="I130" i="19"/>
  <c r="K130" i="19" s="1"/>
  <c r="J136" i="19"/>
  <c r="J137" i="19"/>
  <c r="J138" i="19"/>
  <c r="L140" i="19"/>
  <c r="M140" i="19"/>
  <c r="P140" i="19" s="1"/>
  <c r="N140" i="19"/>
  <c r="O140" i="19"/>
  <c r="Q140" i="19"/>
  <c r="R140" i="19"/>
  <c r="S140" i="19"/>
  <c r="T140" i="19"/>
  <c r="U140" i="19"/>
  <c r="O143" i="19"/>
  <c r="P143" i="19"/>
  <c r="T143" i="19"/>
  <c r="U143" i="19"/>
  <c r="L144" i="19"/>
  <c r="M144" i="19"/>
  <c r="M142" i="19" s="1"/>
  <c r="P142" i="19" s="1"/>
  <c r="N144" i="19"/>
  <c r="N142" i="19" s="1"/>
  <c r="Q144" i="19"/>
  <c r="Q142" i="19" s="1"/>
  <c r="T142" i="19" s="1"/>
  <c r="R144" i="19"/>
  <c r="U144" i="19" s="1"/>
  <c r="S144" i="19"/>
  <c r="S141" i="19" s="1"/>
  <c r="Q145" i="19"/>
  <c r="R145" i="19"/>
  <c r="U145" i="19" s="1"/>
  <c r="S145" i="19"/>
  <c r="T145" i="19"/>
  <c r="O146" i="19"/>
  <c r="P146" i="19"/>
  <c r="T146" i="19"/>
  <c r="U146" i="19"/>
  <c r="L147" i="19"/>
  <c r="O147" i="19" s="1"/>
  <c r="M147" i="19"/>
  <c r="N147" i="19"/>
  <c r="N145" i="19" s="1"/>
  <c r="T147" i="19"/>
  <c r="U147" i="19"/>
  <c r="I150" i="19"/>
  <c r="K150" i="19" s="1"/>
  <c r="I151" i="19"/>
  <c r="K151" i="19" s="1"/>
  <c r="I152" i="19"/>
  <c r="I137" i="19" s="1"/>
  <c r="K137" i="19" s="1"/>
  <c r="I153" i="19"/>
  <c r="I138" i="19" s="1"/>
  <c r="K138" i="19" s="1"/>
  <c r="I154" i="19"/>
  <c r="I136" i="19" s="1"/>
  <c r="K136" i="19" s="1"/>
  <c r="J156" i="19"/>
  <c r="L158" i="19"/>
  <c r="O158" i="19" s="1"/>
  <c r="M158" i="19"/>
  <c r="P158" i="19" s="1"/>
  <c r="N158" i="19"/>
  <c r="Q158" i="19"/>
  <c r="R158" i="19"/>
  <c r="U158" i="19" s="1"/>
  <c r="S158" i="19"/>
  <c r="O161" i="19"/>
  <c r="P161" i="19"/>
  <c r="T161" i="19"/>
  <c r="U161" i="19"/>
  <c r="L162" i="19"/>
  <c r="M162" i="19"/>
  <c r="M160" i="19" s="1"/>
  <c r="P160" i="19" s="1"/>
  <c r="N162" i="19"/>
  <c r="Q162" i="19"/>
  <c r="Q160" i="19" s="1"/>
  <c r="T160" i="19" s="1"/>
  <c r="R162" i="19"/>
  <c r="U162" i="19" s="1"/>
  <c r="S162" i="19"/>
  <c r="S160" i="19" s="1"/>
  <c r="Q163" i="19"/>
  <c r="R163" i="19"/>
  <c r="U163" i="19" s="1"/>
  <c r="S163" i="19"/>
  <c r="T163" i="19"/>
  <c r="O164" i="19"/>
  <c r="P164" i="19"/>
  <c r="T164" i="19"/>
  <c r="U164" i="19"/>
  <c r="L165" i="19"/>
  <c r="M165" i="19"/>
  <c r="M163" i="19" s="1"/>
  <c r="P163" i="19" s="1"/>
  <c r="N165" i="19"/>
  <c r="N163" i="19" s="1"/>
  <c r="T165" i="19"/>
  <c r="U165" i="19"/>
  <c r="I167" i="19"/>
  <c r="K167" i="19" s="1"/>
  <c r="I168" i="19"/>
  <c r="K168" i="19" s="1"/>
  <c r="I169" i="19"/>
  <c r="I156" i="19" s="1"/>
  <c r="K156" i="19" s="1"/>
  <c r="J172" i="19"/>
  <c r="L174" i="19"/>
  <c r="O174" i="19" s="1"/>
  <c r="M174" i="19"/>
  <c r="P174" i="19" s="1"/>
  <c r="N174" i="19"/>
  <c r="Q174" i="19"/>
  <c r="R174" i="19"/>
  <c r="S174" i="19"/>
  <c r="T174" i="19"/>
  <c r="O177" i="19"/>
  <c r="P177" i="19"/>
  <c r="T177" i="19"/>
  <c r="U177" i="19"/>
  <c r="L178" i="19"/>
  <c r="M178" i="19"/>
  <c r="M176" i="19" s="1"/>
  <c r="N178" i="19"/>
  <c r="Q178" i="19"/>
  <c r="Q176" i="19" s="1"/>
  <c r="T176" i="19" s="1"/>
  <c r="R178" i="19"/>
  <c r="S178" i="19"/>
  <c r="S176" i="19" s="1"/>
  <c r="Q179" i="19"/>
  <c r="R179" i="19"/>
  <c r="U179" i="19" s="1"/>
  <c r="S179" i="19"/>
  <c r="T179" i="19"/>
  <c r="O180" i="19"/>
  <c r="P180" i="19"/>
  <c r="T180" i="19"/>
  <c r="U180" i="19"/>
  <c r="L181" i="19"/>
  <c r="O181" i="19" s="1"/>
  <c r="M181" i="19"/>
  <c r="N181" i="19"/>
  <c r="N179" i="19" s="1"/>
  <c r="T181" i="19"/>
  <c r="U181" i="19"/>
  <c r="I183" i="19"/>
  <c r="K184" i="19"/>
  <c r="L187" i="19"/>
  <c r="O187" i="19" s="1"/>
  <c r="M187" i="19"/>
  <c r="P187" i="19" s="1"/>
  <c r="N187" i="19"/>
  <c r="Q187" i="19"/>
  <c r="T187" i="19" s="1"/>
  <c r="R187" i="19"/>
  <c r="S187" i="19"/>
  <c r="O190" i="19"/>
  <c r="P190" i="19"/>
  <c r="T190" i="19"/>
  <c r="U190" i="19"/>
  <c r="L191" i="19"/>
  <c r="L189" i="19" s="1"/>
  <c r="M191" i="19"/>
  <c r="N191" i="19"/>
  <c r="Q191" i="19"/>
  <c r="R191" i="19"/>
  <c r="R189" i="19" s="1"/>
  <c r="S191" i="19"/>
  <c r="Q192" i="19"/>
  <c r="T192" i="19" s="1"/>
  <c r="R192" i="19"/>
  <c r="U192" i="19" s="1"/>
  <c r="S192" i="19"/>
  <c r="O193" i="19"/>
  <c r="P193" i="19"/>
  <c r="T193" i="19"/>
  <c r="U193" i="19"/>
  <c r="L194" i="19"/>
  <c r="L192" i="19" s="1"/>
  <c r="O192" i="19" s="1"/>
  <c r="M194" i="19"/>
  <c r="M192" i="19" s="1"/>
  <c r="P192" i="19" s="1"/>
  <c r="N194" i="19"/>
  <c r="N192" i="19" s="1"/>
  <c r="T194" i="19"/>
  <c r="U194" i="19"/>
  <c r="J195" i="19"/>
  <c r="L196" i="19"/>
  <c r="O196" i="19" s="1"/>
  <c r="P196" i="19"/>
  <c r="I198" i="19"/>
  <c r="I195" i="19" s="1"/>
  <c r="K195" i="19" s="1"/>
  <c r="J199" i="19"/>
  <c r="J202" i="19"/>
  <c r="N203" i="19"/>
  <c r="P203" i="19"/>
  <c r="S203" i="19"/>
  <c r="U203" i="19"/>
  <c r="L204" i="19"/>
  <c r="L205" i="19"/>
  <c r="L206" i="19"/>
  <c r="Q206" i="19"/>
  <c r="Q203" i="19" s="1"/>
  <c r="T203" i="19" s="1"/>
  <c r="L207" i="19"/>
  <c r="I209" i="19"/>
  <c r="I202" i="19" s="1"/>
  <c r="I211" i="19"/>
  <c r="K211" i="19" s="1"/>
  <c r="I212" i="19"/>
  <c r="K212" i="19" s="1"/>
  <c r="J213" i="19"/>
  <c r="N214" i="19"/>
  <c r="P214" i="19"/>
  <c r="S214" i="19"/>
  <c r="U214" i="19"/>
  <c r="L215" i="19"/>
  <c r="L216" i="19"/>
  <c r="L217" i="19"/>
  <c r="Q217" i="19"/>
  <c r="Q214" i="19" s="1"/>
  <c r="T214" i="19" s="1"/>
  <c r="I219" i="19"/>
  <c r="K219" i="19" s="1"/>
  <c r="I220" i="19"/>
  <c r="I213" i="19" s="1"/>
  <c r="J221" i="19"/>
  <c r="N222" i="19"/>
  <c r="P222" i="19"/>
  <c r="L223" i="19"/>
  <c r="L224" i="19"/>
  <c r="L225" i="19"/>
  <c r="I228" i="19"/>
  <c r="K228" i="19" s="1"/>
  <c r="I229" i="19"/>
  <c r="I230" i="19"/>
  <c r="K230" i="19" s="1"/>
  <c r="N233" i="19"/>
  <c r="N234" i="19"/>
  <c r="N235" i="19"/>
  <c r="N236" i="19"/>
  <c r="J238" i="19"/>
  <c r="I240" i="19"/>
  <c r="K240" i="19" s="1"/>
  <c r="J240" i="19"/>
  <c r="I241" i="19"/>
  <c r="K241" i="19" s="1"/>
  <c r="J241" i="19"/>
  <c r="J242" i="19"/>
  <c r="N243" i="19"/>
  <c r="P243" i="19"/>
  <c r="L244" i="19"/>
  <c r="L245" i="19"/>
  <c r="L246" i="19"/>
  <c r="L247" i="19"/>
  <c r="I249" i="19"/>
  <c r="K251" i="19"/>
  <c r="K252" i="19"/>
  <c r="J253" i="19"/>
  <c r="N254" i="19"/>
  <c r="N232" i="19" s="1"/>
  <c r="P254" i="19"/>
  <c r="L255" i="19"/>
  <c r="L256" i="19"/>
  <c r="L257" i="19"/>
  <c r="L258" i="19"/>
  <c r="I260" i="19"/>
  <c r="K262" i="19"/>
  <c r="K263" i="19"/>
  <c r="J265" i="19"/>
  <c r="L267" i="19"/>
  <c r="O267" i="19" s="1"/>
  <c r="M267" i="19"/>
  <c r="P267" i="19" s="1"/>
  <c r="N267" i="19"/>
  <c r="Q267" i="19"/>
  <c r="R267" i="19"/>
  <c r="S267" i="19"/>
  <c r="O270" i="19"/>
  <c r="P270" i="19"/>
  <c r="T270" i="19"/>
  <c r="U270" i="19"/>
  <c r="L271" i="19"/>
  <c r="O271" i="19" s="1"/>
  <c r="M271" i="19"/>
  <c r="M269" i="19" s="1"/>
  <c r="N271" i="19"/>
  <c r="Q271" i="19"/>
  <c r="R271" i="19"/>
  <c r="R269" i="19" s="1"/>
  <c r="S271" i="19"/>
  <c r="S268" i="19" s="1"/>
  <c r="Q272" i="19"/>
  <c r="T272" i="19" s="1"/>
  <c r="R272" i="19"/>
  <c r="U272" i="19" s="1"/>
  <c r="S272" i="19"/>
  <c r="O273" i="19"/>
  <c r="P273" i="19"/>
  <c r="T273" i="19"/>
  <c r="U273" i="19"/>
  <c r="L274" i="19"/>
  <c r="M274" i="19"/>
  <c r="N274" i="19"/>
  <c r="N272" i="19" s="1"/>
  <c r="T274" i="19"/>
  <c r="U274" i="19"/>
  <c r="I276" i="19"/>
  <c r="J281" i="19"/>
  <c r="L283" i="19"/>
  <c r="O283" i="19" s="1"/>
  <c r="M283" i="19"/>
  <c r="N283" i="19"/>
  <c r="P283" i="19"/>
  <c r="Q283" i="19"/>
  <c r="T283" i="19" s="1"/>
  <c r="R283" i="19"/>
  <c r="S283" i="19"/>
  <c r="Q284" i="19"/>
  <c r="T284" i="19" s="1"/>
  <c r="R284" i="19"/>
  <c r="U284" i="19" s="1"/>
  <c r="S284" i="19"/>
  <c r="S282" i="19" s="1"/>
  <c r="Q285" i="19"/>
  <c r="T285" i="19" s="1"/>
  <c r="R285" i="19"/>
  <c r="U285" i="19" s="1"/>
  <c r="S285" i="19"/>
  <c r="O286" i="19"/>
  <c r="P286" i="19"/>
  <c r="T286" i="19"/>
  <c r="U286" i="19"/>
  <c r="L287" i="19"/>
  <c r="L285" i="19" s="1"/>
  <c r="O285" i="19" s="1"/>
  <c r="M287" i="19"/>
  <c r="P287" i="19" s="1"/>
  <c r="N287" i="19"/>
  <c r="T287" i="19"/>
  <c r="U287" i="19"/>
  <c r="Q288" i="19"/>
  <c r="T288" i="19" s="1"/>
  <c r="R288" i="19"/>
  <c r="U288" i="19" s="1"/>
  <c r="S288" i="19"/>
  <c r="O289" i="19"/>
  <c r="P289" i="19"/>
  <c r="T289" i="19"/>
  <c r="U289" i="19"/>
  <c r="L290" i="19"/>
  <c r="M290" i="19"/>
  <c r="N290" i="19"/>
  <c r="N288" i="19" s="1"/>
  <c r="T290" i="19"/>
  <c r="U290" i="19"/>
  <c r="I292" i="19"/>
  <c r="I293" i="19"/>
  <c r="J293" i="19"/>
  <c r="J280" i="19" s="1"/>
  <c r="I295" i="19"/>
  <c r="K295" i="19" s="1"/>
  <c r="I296" i="19"/>
  <c r="K296" i="19" s="1"/>
  <c r="J302" i="19"/>
  <c r="L304" i="19"/>
  <c r="M304" i="19"/>
  <c r="N304" i="19"/>
  <c r="Q304" i="19"/>
  <c r="T304" i="19" s="1"/>
  <c r="R304" i="19"/>
  <c r="S304" i="19"/>
  <c r="O307" i="19"/>
  <c r="P307" i="19"/>
  <c r="T307" i="19"/>
  <c r="U307" i="19"/>
  <c r="L308" i="19"/>
  <c r="M308" i="19"/>
  <c r="M306" i="19" s="1"/>
  <c r="P306" i="19" s="1"/>
  <c r="N308" i="19"/>
  <c r="N306" i="19" s="1"/>
  <c r="Q308" i="19"/>
  <c r="Q306" i="19" s="1"/>
  <c r="R308" i="19"/>
  <c r="R306" i="19" s="1"/>
  <c r="S308" i="19"/>
  <c r="Q309" i="19"/>
  <c r="T309" i="19" s="1"/>
  <c r="R309" i="19"/>
  <c r="S309" i="19"/>
  <c r="U309" i="19"/>
  <c r="O310" i="19"/>
  <c r="P310" i="19"/>
  <c r="T310" i="19"/>
  <c r="U310" i="19"/>
  <c r="L311" i="19"/>
  <c r="L309" i="19" s="1"/>
  <c r="O309" i="19" s="1"/>
  <c r="M311" i="19"/>
  <c r="P311" i="19" s="1"/>
  <c r="N311" i="19"/>
  <c r="N309" i="19" s="1"/>
  <c r="T311" i="19"/>
  <c r="U311" i="19"/>
  <c r="I314" i="19"/>
  <c r="K314" i="19" s="1"/>
  <c r="J319" i="19"/>
  <c r="Q320" i="19"/>
  <c r="T320" i="19" s="1"/>
  <c r="L321" i="19"/>
  <c r="O321" i="19" s="1"/>
  <c r="M321" i="19"/>
  <c r="N321" i="19"/>
  <c r="Q321" i="19"/>
  <c r="T321" i="19" s="1"/>
  <c r="R321" i="19"/>
  <c r="U321" i="19" s="1"/>
  <c r="S321" i="19"/>
  <c r="S320" i="19" s="1"/>
  <c r="Q322" i="19"/>
  <c r="T322" i="19" s="1"/>
  <c r="R322" i="19"/>
  <c r="U322" i="19" s="1"/>
  <c r="S322" i="19"/>
  <c r="Q323" i="19"/>
  <c r="T323" i="19" s="1"/>
  <c r="R323" i="19"/>
  <c r="U323" i="19" s="1"/>
  <c r="S323" i="19"/>
  <c r="O324" i="19"/>
  <c r="P324" i="19"/>
  <c r="T324" i="19"/>
  <c r="U324" i="19"/>
  <c r="L325" i="19"/>
  <c r="M325" i="19"/>
  <c r="N325" i="19"/>
  <c r="N323" i="19" s="1"/>
  <c r="T325" i="19"/>
  <c r="U325" i="19"/>
  <c r="Q326" i="19"/>
  <c r="T326" i="19" s="1"/>
  <c r="R326" i="19"/>
  <c r="S326" i="19"/>
  <c r="U326" i="19"/>
  <c r="O327" i="19"/>
  <c r="P327" i="19"/>
  <c r="T327" i="19"/>
  <c r="U327" i="19"/>
  <c r="L328" i="19"/>
  <c r="M328" i="19"/>
  <c r="N328" i="19"/>
  <c r="N326" i="19" s="1"/>
  <c r="T328" i="19"/>
  <c r="U328" i="19"/>
  <c r="I330" i="19"/>
  <c r="K330" i="19" s="1"/>
  <c r="L334" i="19"/>
  <c r="M334" i="19"/>
  <c r="N334" i="19"/>
  <c r="P334" i="19"/>
  <c r="Q334" i="19"/>
  <c r="T334" i="19" s="1"/>
  <c r="R334" i="19"/>
  <c r="U334" i="19" s="1"/>
  <c r="S334" i="19"/>
  <c r="Q335" i="19"/>
  <c r="T335" i="19" s="1"/>
  <c r="R335" i="19"/>
  <c r="U335" i="19" s="1"/>
  <c r="S335" i="19"/>
  <c r="S333" i="19" s="1"/>
  <c r="Q336" i="19"/>
  <c r="R336" i="19"/>
  <c r="U336" i="19" s="1"/>
  <c r="S336" i="19"/>
  <c r="T336" i="19"/>
  <c r="O337" i="19"/>
  <c r="P337" i="19"/>
  <c r="T337" i="19"/>
  <c r="U337" i="19"/>
  <c r="L338" i="19"/>
  <c r="M338" i="19"/>
  <c r="N338" i="19"/>
  <c r="N336" i="19" s="1"/>
  <c r="T338" i="19"/>
  <c r="U338" i="19"/>
  <c r="Q339" i="19"/>
  <c r="T339" i="19" s="1"/>
  <c r="R339" i="19"/>
  <c r="S339" i="19"/>
  <c r="U339" i="19"/>
  <c r="O340" i="19"/>
  <c r="P340" i="19"/>
  <c r="T340" i="19"/>
  <c r="U340" i="19"/>
  <c r="L341" i="19"/>
  <c r="L339" i="19" s="1"/>
  <c r="O339" i="19" s="1"/>
  <c r="M341" i="19"/>
  <c r="N341" i="19"/>
  <c r="N339" i="19" s="1"/>
  <c r="T341" i="19"/>
  <c r="U341" i="19"/>
  <c r="I344" i="19"/>
  <c r="J344" i="19"/>
  <c r="I346" i="19"/>
  <c r="J346" i="19"/>
  <c r="J347" i="19"/>
  <c r="J348" i="19"/>
  <c r="J349" i="19"/>
  <c r="D350" i="19"/>
  <c r="J352" i="19"/>
  <c r="J353" i="19"/>
  <c r="D354" i="19"/>
  <c r="L357" i="19"/>
  <c r="M357" i="19"/>
  <c r="P357" i="19" s="1"/>
  <c r="N357" i="19"/>
  <c r="Q357" i="19"/>
  <c r="R357" i="19"/>
  <c r="S357" i="19"/>
  <c r="Q358" i="19"/>
  <c r="R358" i="19"/>
  <c r="U358" i="19" s="1"/>
  <c r="S358" i="19"/>
  <c r="S356" i="19" s="1"/>
  <c r="T358" i="19"/>
  <c r="Q359" i="19"/>
  <c r="T359" i="19" s="1"/>
  <c r="R359" i="19"/>
  <c r="U359" i="19" s="1"/>
  <c r="S359" i="19"/>
  <c r="O360" i="19"/>
  <c r="P360" i="19"/>
  <c r="T360" i="19"/>
  <c r="U360" i="19"/>
  <c r="L361" i="19"/>
  <c r="M361" i="19"/>
  <c r="N361" i="19"/>
  <c r="T361" i="19"/>
  <c r="U361" i="19"/>
  <c r="Q362" i="19"/>
  <c r="T362" i="19" s="1"/>
  <c r="R362" i="19"/>
  <c r="U362" i="19" s="1"/>
  <c r="S362" i="19"/>
  <c r="O363" i="19"/>
  <c r="P363" i="19"/>
  <c r="T363" i="19"/>
  <c r="U363" i="19"/>
  <c r="L364" i="19"/>
  <c r="O364" i="19" s="1"/>
  <c r="M364" i="19"/>
  <c r="P364" i="19" s="1"/>
  <c r="N364" i="19"/>
  <c r="N362" i="19" s="1"/>
  <c r="T364" i="19"/>
  <c r="U364" i="19"/>
  <c r="J367" i="19"/>
  <c r="K367" i="19"/>
  <c r="I368" i="19"/>
  <c r="J368" i="19"/>
  <c r="I369" i="19"/>
  <c r="J369" i="19"/>
  <c r="J370" i="19"/>
  <c r="K370" i="19"/>
  <c r="I371" i="19"/>
  <c r="I365" i="19" s="1"/>
  <c r="J371" i="19"/>
  <c r="J365" i="19" s="1"/>
  <c r="J372" i="19"/>
  <c r="K372" i="19"/>
  <c r="D373" i="19"/>
  <c r="L376" i="19"/>
  <c r="M376" i="19"/>
  <c r="N376" i="19"/>
  <c r="N375" i="19" s="1"/>
  <c r="O376" i="19"/>
  <c r="Q376" i="19"/>
  <c r="R376" i="19"/>
  <c r="S376" i="19"/>
  <c r="T376" i="19"/>
  <c r="U376" i="19"/>
  <c r="L377" i="19"/>
  <c r="O377" i="19" s="1"/>
  <c r="M377" i="19"/>
  <c r="N377" i="19"/>
  <c r="P377" i="19"/>
  <c r="L378" i="19"/>
  <c r="O378" i="19" s="1"/>
  <c r="M378" i="19"/>
  <c r="P378" i="19" s="1"/>
  <c r="N378" i="19"/>
  <c r="O379" i="19"/>
  <c r="P379" i="19"/>
  <c r="T379" i="19"/>
  <c r="U379" i="19"/>
  <c r="O380" i="19"/>
  <c r="P380" i="19"/>
  <c r="Q380" i="19"/>
  <c r="Q378" i="19" s="1"/>
  <c r="R380" i="19"/>
  <c r="R378" i="19" s="1"/>
  <c r="U378" i="19" s="1"/>
  <c r="S380" i="19"/>
  <c r="L381" i="19"/>
  <c r="M381" i="19"/>
  <c r="N381" i="19"/>
  <c r="O381" i="19"/>
  <c r="P381" i="19"/>
  <c r="Q381" i="19"/>
  <c r="R381" i="19"/>
  <c r="S381" i="19"/>
  <c r="T381" i="19"/>
  <c r="U381" i="19"/>
  <c r="O382" i="19"/>
  <c r="P382" i="19"/>
  <c r="T382" i="19"/>
  <c r="U382" i="19"/>
  <c r="O383" i="19"/>
  <c r="P383" i="19"/>
  <c r="T383" i="19"/>
  <c r="U383" i="19"/>
  <c r="J385" i="19"/>
  <c r="K385" i="19"/>
  <c r="I386" i="19"/>
  <c r="J386" i="19"/>
  <c r="J387" i="19"/>
  <c r="K387" i="19"/>
  <c r="I388" i="19"/>
  <c r="K388" i="19" s="1"/>
  <c r="J388" i="19"/>
  <c r="I391" i="19"/>
  <c r="K391" i="19" s="1"/>
  <c r="J391" i="19"/>
  <c r="L393" i="19"/>
  <c r="O393" i="19" s="1"/>
  <c r="M393" i="19"/>
  <c r="N393" i="19"/>
  <c r="Q393" i="19"/>
  <c r="R393" i="19"/>
  <c r="U393" i="19" s="1"/>
  <c r="S393" i="19"/>
  <c r="S392" i="19" s="1"/>
  <c r="L394" i="19"/>
  <c r="O394" i="19" s="1"/>
  <c r="M394" i="19"/>
  <c r="P394" i="19" s="1"/>
  <c r="N394" i="19"/>
  <c r="Q394" i="19"/>
  <c r="T394" i="19" s="1"/>
  <c r="R394" i="19"/>
  <c r="U394" i="19" s="1"/>
  <c r="S394" i="19"/>
  <c r="L395" i="19"/>
  <c r="M395" i="19"/>
  <c r="P395" i="19" s="1"/>
  <c r="N395" i="19"/>
  <c r="O395" i="19"/>
  <c r="Q395" i="19"/>
  <c r="T395" i="19" s="1"/>
  <c r="R395" i="19"/>
  <c r="S395" i="19"/>
  <c r="U395" i="19"/>
  <c r="O396" i="19"/>
  <c r="P396" i="19"/>
  <c r="T396" i="19"/>
  <c r="U396" i="19"/>
  <c r="O397" i="19"/>
  <c r="P397" i="19"/>
  <c r="T397" i="19"/>
  <c r="U397" i="19"/>
  <c r="L398" i="19"/>
  <c r="M398" i="19"/>
  <c r="P398" i="19" s="1"/>
  <c r="N398" i="19"/>
  <c r="O398" i="19"/>
  <c r="Q398" i="19"/>
  <c r="T398" i="19" s="1"/>
  <c r="R398" i="19"/>
  <c r="U398" i="19" s="1"/>
  <c r="S398" i="19"/>
  <c r="O399" i="19"/>
  <c r="P399" i="19"/>
  <c r="T399" i="19"/>
  <c r="U399" i="19"/>
  <c r="O400" i="19"/>
  <c r="P400" i="19"/>
  <c r="T400" i="19"/>
  <c r="U400" i="19"/>
  <c r="L414" i="19"/>
  <c r="M414" i="19"/>
  <c r="N414" i="19"/>
  <c r="N413" i="19" s="1"/>
  <c r="Q414" i="19"/>
  <c r="R414" i="19"/>
  <c r="S414" i="19"/>
  <c r="T414" i="19"/>
  <c r="L415" i="19"/>
  <c r="M415" i="19"/>
  <c r="N415" i="19"/>
  <c r="O415" i="19"/>
  <c r="P415" i="19"/>
  <c r="L416" i="19"/>
  <c r="O416" i="19" s="1"/>
  <c r="M416" i="19"/>
  <c r="N416" i="19"/>
  <c r="P416" i="19"/>
  <c r="O417" i="19"/>
  <c r="P417" i="19"/>
  <c r="T417" i="19"/>
  <c r="U417" i="19"/>
  <c r="O418" i="19"/>
  <c r="P418" i="19"/>
  <c r="Q418" i="19"/>
  <c r="R418" i="19"/>
  <c r="S418" i="19"/>
  <c r="S416" i="19" s="1"/>
  <c r="L419" i="19"/>
  <c r="M419" i="19"/>
  <c r="P419" i="19" s="1"/>
  <c r="N419" i="19"/>
  <c r="O419" i="19"/>
  <c r="Q419" i="19"/>
  <c r="T419" i="19" s="1"/>
  <c r="R419" i="19"/>
  <c r="U419" i="19" s="1"/>
  <c r="S419" i="19"/>
  <c r="O420" i="19"/>
  <c r="P420" i="19"/>
  <c r="T420" i="19"/>
  <c r="U420" i="19"/>
  <c r="O421" i="19"/>
  <c r="P421" i="19"/>
  <c r="T421" i="19"/>
  <c r="U421" i="19"/>
  <c r="I424" i="19"/>
  <c r="K424" i="19" s="1"/>
  <c r="J424" i="19"/>
  <c r="I425" i="19"/>
  <c r="K425" i="19" s="1"/>
  <c r="J425" i="19"/>
  <c r="I432" i="19"/>
  <c r="K432" i="19" s="1"/>
  <c r="J432" i="19"/>
  <c r="I433" i="19"/>
  <c r="K433" i="19" s="1"/>
  <c r="J433" i="19"/>
  <c r="I440" i="19"/>
  <c r="K440" i="19" s="1"/>
  <c r="I441" i="19"/>
  <c r="K441" i="19" s="1"/>
  <c r="J441" i="19"/>
  <c r="J446" i="19"/>
  <c r="J440" i="19" s="1"/>
  <c r="J423" i="19" s="1"/>
  <c r="J412" i="19" s="1"/>
  <c r="J447" i="19"/>
  <c r="I457" i="19"/>
  <c r="I458" i="19"/>
  <c r="K458" i="19" s="1"/>
  <c r="J459" i="19"/>
  <c r="J457" i="19" s="1"/>
  <c r="J456" i="19" s="1"/>
  <c r="J460" i="19"/>
  <c r="J467" i="19"/>
  <c r="J468" i="19"/>
  <c r="J475" i="19"/>
  <c r="K475" i="19"/>
  <c r="J476" i="19"/>
  <c r="K476" i="19"/>
  <c r="J477" i="19"/>
  <c r="K477" i="19"/>
  <c r="J482" i="19"/>
  <c r="J483" i="19"/>
  <c r="I484" i="19"/>
  <c r="K484" i="19" s="1"/>
  <c r="J484" i="19"/>
  <c r="I485" i="19"/>
  <c r="J485" i="19"/>
  <c r="K485" i="19"/>
  <c r="N493" i="19"/>
  <c r="L494" i="19"/>
  <c r="M494" i="19"/>
  <c r="N494" i="19"/>
  <c r="P494" i="19"/>
  <c r="Q494" i="19"/>
  <c r="R494" i="19"/>
  <c r="S494" i="19"/>
  <c r="L495" i="19"/>
  <c r="O495" i="19" s="1"/>
  <c r="M495" i="19"/>
  <c r="P495" i="19" s="1"/>
  <c r="N495" i="19"/>
  <c r="L496" i="19"/>
  <c r="M496" i="19"/>
  <c r="N496" i="19"/>
  <c r="O496" i="19"/>
  <c r="P496" i="19"/>
  <c r="O497" i="19"/>
  <c r="P497" i="19"/>
  <c r="T497" i="19"/>
  <c r="U497" i="19"/>
  <c r="O498" i="19"/>
  <c r="P498" i="19"/>
  <c r="Q498" i="19"/>
  <c r="Q496" i="19" s="1"/>
  <c r="T496" i="19" s="1"/>
  <c r="R498" i="19"/>
  <c r="R496" i="19" s="1"/>
  <c r="U496" i="19" s="1"/>
  <c r="S498" i="19"/>
  <c r="S496" i="19" s="1"/>
  <c r="L499" i="19"/>
  <c r="O499" i="19" s="1"/>
  <c r="M499" i="19"/>
  <c r="P499" i="19" s="1"/>
  <c r="N499" i="19"/>
  <c r="Q499" i="19"/>
  <c r="T499" i="19" s="1"/>
  <c r="R499" i="19"/>
  <c r="U499" i="19" s="1"/>
  <c r="S499" i="19"/>
  <c r="O500" i="19"/>
  <c r="P500" i="19"/>
  <c r="T500" i="19"/>
  <c r="U500" i="19"/>
  <c r="O501" i="19"/>
  <c r="P501" i="19"/>
  <c r="T501" i="19"/>
  <c r="U501" i="19"/>
  <c r="I503" i="19"/>
  <c r="K503" i="19" s="1"/>
  <c r="I504" i="19"/>
  <c r="K504" i="19" s="1"/>
  <c r="I505" i="19"/>
  <c r="I506" i="19"/>
  <c r="K506" i="19" s="1"/>
  <c r="I507" i="19"/>
  <c r="K507" i="19" s="1"/>
  <c r="K508" i="19"/>
  <c r="I509" i="19"/>
  <c r="K509" i="19" s="1"/>
  <c r="I512" i="19"/>
  <c r="K512" i="19" s="1"/>
  <c r="J512" i="19"/>
  <c r="L514" i="19"/>
  <c r="O514" i="19" s="1"/>
  <c r="M514" i="19"/>
  <c r="N514" i="19"/>
  <c r="P514" i="19"/>
  <c r="Q514" i="19"/>
  <c r="T514" i="19" s="1"/>
  <c r="R514" i="19"/>
  <c r="U514" i="19" s="1"/>
  <c r="S514" i="19"/>
  <c r="Q515" i="19"/>
  <c r="T515" i="19" s="1"/>
  <c r="R515" i="19"/>
  <c r="U515" i="19" s="1"/>
  <c r="S515" i="19"/>
  <c r="S513" i="19" s="1"/>
  <c r="Q516" i="19"/>
  <c r="T516" i="19" s="1"/>
  <c r="R516" i="19"/>
  <c r="U516" i="19" s="1"/>
  <c r="S516" i="19"/>
  <c r="O517" i="19"/>
  <c r="P517" i="19"/>
  <c r="T517" i="19"/>
  <c r="U517" i="19"/>
  <c r="L518" i="19"/>
  <c r="M518" i="19"/>
  <c r="P518" i="19" s="1"/>
  <c r="N518" i="19"/>
  <c r="N516" i="19" s="1"/>
  <c r="T518" i="19"/>
  <c r="U518" i="19"/>
  <c r="Q519" i="19"/>
  <c r="T519" i="19" s="1"/>
  <c r="R519" i="19"/>
  <c r="U519" i="19" s="1"/>
  <c r="S519" i="19"/>
  <c r="O520" i="19"/>
  <c r="P520" i="19"/>
  <c r="T520" i="19"/>
  <c r="U520" i="19"/>
  <c r="L521" i="19"/>
  <c r="O521" i="19" s="1"/>
  <c r="M521" i="19"/>
  <c r="M519" i="19" s="1"/>
  <c r="P519" i="19" s="1"/>
  <c r="N521" i="19"/>
  <c r="N519" i="19" s="1"/>
  <c r="T521" i="19"/>
  <c r="U521" i="19"/>
  <c r="K523" i="19"/>
  <c r="K524" i="19"/>
  <c r="I533" i="19"/>
  <c r="K533" i="19" s="1"/>
  <c r="J533" i="19"/>
  <c r="L535" i="19"/>
  <c r="L534" i="19" s="1"/>
  <c r="O534" i="19" s="1"/>
  <c r="M535" i="19"/>
  <c r="N535" i="19"/>
  <c r="Q535" i="19"/>
  <c r="R535" i="19"/>
  <c r="U535" i="19" s="1"/>
  <c r="S535" i="19"/>
  <c r="L536" i="19"/>
  <c r="M536" i="19"/>
  <c r="P536" i="19" s="1"/>
  <c r="N536" i="19"/>
  <c r="N534" i="19" s="1"/>
  <c r="O536" i="19"/>
  <c r="Q536" i="19"/>
  <c r="T536" i="19" s="1"/>
  <c r="R536" i="19"/>
  <c r="U536" i="19" s="1"/>
  <c r="S536" i="19"/>
  <c r="L537" i="19"/>
  <c r="O537" i="19" s="1"/>
  <c r="M537" i="19"/>
  <c r="P537" i="19" s="1"/>
  <c r="N537" i="19"/>
  <c r="Q537" i="19"/>
  <c r="R537" i="19"/>
  <c r="S537" i="19"/>
  <c r="T537" i="19"/>
  <c r="U537" i="19"/>
  <c r="O538" i="19"/>
  <c r="P538" i="19"/>
  <c r="T538" i="19"/>
  <c r="U538" i="19"/>
  <c r="O539" i="19"/>
  <c r="P539" i="19"/>
  <c r="T539" i="19"/>
  <c r="U539" i="19"/>
  <c r="L540" i="19"/>
  <c r="M540" i="19"/>
  <c r="P540" i="19" s="1"/>
  <c r="N540" i="19"/>
  <c r="O540" i="19"/>
  <c r="Q540" i="19"/>
  <c r="R540" i="19"/>
  <c r="S540" i="19"/>
  <c r="T540" i="19"/>
  <c r="U540" i="19"/>
  <c r="O541" i="19"/>
  <c r="P541" i="19"/>
  <c r="T541" i="19"/>
  <c r="U541" i="19"/>
  <c r="O542" i="19"/>
  <c r="P542" i="19"/>
  <c r="T542" i="19"/>
  <c r="U542" i="19"/>
  <c r="I554" i="19"/>
  <c r="J554" i="19"/>
  <c r="K554" i="19"/>
  <c r="M555" i="19"/>
  <c r="P555" i="19" s="1"/>
  <c r="L556" i="19"/>
  <c r="M556" i="19"/>
  <c r="P556" i="19" s="1"/>
  <c r="N556" i="19"/>
  <c r="O556" i="19"/>
  <c r="Q556" i="19"/>
  <c r="T556" i="19" s="1"/>
  <c r="R556" i="19"/>
  <c r="U556" i="19" s="1"/>
  <c r="S556" i="19"/>
  <c r="L557" i="19"/>
  <c r="O557" i="19" s="1"/>
  <c r="M557" i="19"/>
  <c r="P557" i="19" s="1"/>
  <c r="N557" i="19"/>
  <c r="N555" i="19" s="1"/>
  <c r="Q557" i="19"/>
  <c r="R557" i="19"/>
  <c r="U557" i="19" s="1"/>
  <c r="S557" i="19"/>
  <c r="L558" i="19"/>
  <c r="O558" i="19" s="1"/>
  <c r="M558" i="19"/>
  <c r="P558" i="19" s="1"/>
  <c r="N558" i="19"/>
  <c r="Q558" i="19"/>
  <c r="T558" i="19" s="1"/>
  <c r="R558" i="19"/>
  <c r="U558" i="19" s="1"/>
  <c r="S558" i="19"/>
  <c r="O559" i="19"/>
  <c r="P559" i="19"/>
  <c r="T559" i="19"/>
  <c r="U559" i="19"/>
  <c r="O560" i="19"/>
  <c r="P560" i="19"/>
  <c r="T560" i="19"/>
  <c r="U560" i="19"/>
  <c r="L561" i="19"/>
  <c r="O561" i="19" s="1"/>
  <c r="M561" i="19"/>
  <c r="P561" i="19" s="1"/>
  <c r="N561" i="19"/>
  <c r="Q561" i="19"/>
  <c r="R561" i="19"/>
  <c r="U561" i="19" s="1"/>
  <c r="S561" i="19"/>
  <c r="T561" i="19"/>
  <c r="O562" i="19"/>
  <c r="P562" i="19"/>
  <c r="T562" i="19"/>
  <c r="U562" i="19"/>
  <c r="O563" i="19"/>
  <c r="P563" i="19"/>
  <c r="T563" i="19"/>
  <c r="U563" i="19"/>
  <c r="I575" i="19"/>
  <c r="J575" i="19"/>
  <c r="K575" i="19"/>
  <c r="L577" i="19"/>
  <c r="M577" i="19"/>
  <c r="P577" i="19" s="1"/>
  <c r="N577" i="19"/>
  <c r="Q577" i="19"/>
  <c r="T577" i="19" s="1"/>
  <c r="R577" i="19"/>
  <c r="S577" i="19"/>
  <c r="L578" i="19"/>
  <c r="O578" i="19" s="1"/>
  <c r="M578" i="19"/>
  <c r="P578" i="19" s="1"/>
  <c r="N578" i="19"/>
  <c r="N576" i="19" s="1"/>
  <c r="Q578" i="19"/>
  <c r="T578" i="19" s="1"/>
  <c r="R578" i="19"/>
  <c r="U578" i="19" s="1"/>
  <c r="S578" i="19"/>
  <c r="S576" i="19" s="1"/>
  <c r="L579" i="19"/>
  <c r="M579" i="19"/>
  <c r="P579" i="19" s="1"/>
  <c r="N579" i="19"/>
  <c r="O579" i="19"/>
  <c r="Q579" i="19"/>
  <c r="T579" i="19" s="1"/>
  <c r="R579" i="19"/>
  <c r="S579" i="19"/>
  <c r="U579" i="19"/>
  <c r="O580" i="19"/>
  <c r="P580" i="19"/>
  <c r="T580" i="19"/>
  <c r="U580" i="19"/>
  <c r="O581" i="19"/>
  <c r="P581" i="19"/>
  <c r="T581" i="19"/>
  <c r="U581" i="19"/>
  <c r="L582" i="19"/>
  <c r="M582" i="19"/>
  <c r="N582" i="19"/>
  <c r="O582" i="19"/>
  <c r="P582" i="19"/>
  <c r="Q582" i="19"/>
  <c r="T582" i="19" s="1"/>
  <c r="R582" i="19"/>
  <c r="S582" i="19"/>
  <c r="U582" i="19"/>
  <c r="O583" i="19"/>
  <c r="P583" i="19"/>
  <c r="T583" i="19"/>
  <c r="U583" i="19"/>
  <c r="O584" i="19"/>
  <c r="P584" i="19"/>
  <c r="T584" i="19"/>
  <c r="U584" i="19"/>
  <c r="L600" i="19"/>
  <c r="M600" i="19"/>
  <c r="N600" i="19"/>
  <c r="O600" i="19"/>
  <c r="Q600" i="19"/>
  <c r="T600" i="19" s="1"/>
  <c r="R600" i="19"/>
  <c r="S600" i="19"/>
  <c r="L601" i="19"/>
  <c r="O601" i="19" s="1"/>
  <c r="M601" i="19"/>
  <c r="P601" i="19" s="1"/>
  <c r="N601" i="19"/>
  <c r="Q601" i="19"/>
  <c r="R601" i="19"/>
  <c r="U601" i="19" s="1"/>
  <c r="S601" i="19"/>
  <c r="T601" i="19"/>
  <c r="L602" i="19"/>
  <c r="M602" i="19"/>
  <c r="N602" i="19"/>
  <c r="O602" i="19"/>
  <c r="P602" i="19"/>
  <c r="Q602" i="19"/>
  <c r="T602" i="19" s="1"/>
  <c r="R602" i="19"/>
  <c r="S602" i="19"/>
  <c r="U602" i="19"/>
  <c r="O603" i="19"/>
  <c r="P603" i="19"/>
  <c r="T603" i="19"/>
  <c r="U603" i="19"/>
  <c r="O604" i="19"/>
  <c r="P604" i="19"/>
  <c r="T604" i="19"/>
  <c r="U604" i="19"/>
  <c r="L605" i="19"/>
  <c r="M605" i="19"/>
  <c r="N605" i="19"/>
  <c r="O605" i="19"/>
  <c r="P605" i="19"/>
  <c r="Q605" i="19"/>
  <c r="T605" i="19" s="1"/>
  <c r="R605" i="19"/>
  <c r="S605" i="19"/>
  <c r="U605" i="19"/>
  <c r="O606" i="19"/>
  <c r="P606" i="19"/>
  <c r="T606" i="19"/>
  <c r="U606" i="19"/>
  <c r="O607" i="19"/>
  <c r="P607" i="19"/>
  <c r="T607" i="19"/>
  <c r="U607" i="19"/>
  <c r="L617" i="19"/>
  <c r="M617" i="19"/>
  <c r="M616" i="19" s="1"/>
  <c r="P616" i="19" s="1"/>
  <c r="N617" i="19"/>
  <c r="P617" i="19"/>
  <c r="Q617" i="19"/>
  <c r="T617" i="19" s="1"/>
  <c r="R617" i="19"/>
  <c r="S617" i="19"/>
  <c r="L618" i="19"/>
  <c r="O618" i="19" s="1"/>
  <c r="M618" i="19"/>
  <c r="P618" i="19" s="1"/>
  <c r="N618" i="19"/>
  <c r="N616" i="19" s="1"/>
  <c r="L619" i="19"/>
  <c r="O619" i="19" s="1"/>
  <c r="M619" i="19"/>
  <c r="P619" i="19" s="1"/>
  <c r="N619" i="19"/>
  <c r="O620" i="19"/>
  <c r="P620" i="19"/>
  <c r="T620" i="19"/>
  <c r="U620" i="19"/>
  <c r="O621" i="19"/>
  <c r="P621" i="19"/>
  <c r="Q621" i="19"/>
  <c r="R621" i="19"/>
  <c r="R618" i="19" s="1"/>
  <c r="S621" i="19"/>
  <c r="S618" i="19" s="1"/>
  <c r="S616" i="19" s="1"/>
  <c r="L622" i="19"/>
  <c r="O622" i="19" s="1"/>
  <c r="M622" i="19"/>
  <c r="P622" i="19" s="1"/>
  <c r="N622" i="19"/>
  <c r="Q622" i="19"/>
  <c r="R622" i="19"/>
  <c r="U622" i="19" s="1"/>
  <c r="S622" i="19"/>
  <c r="T622" i="19"/>
  <c r="O623" i="19"/>
  <c r="P623" i="19"/>
  <c r="T623" i="19"/>
  <c r="U623" i="19"/>
  <c r="O624" i="19"/>
  <c r="P624" i="19"/>
  <c r="T624" i="19"/>
  <c r="U624" i="19"/>
  <c r="I626" i="19"/>
  <c r="K630" i="19" s="1"/>
  <c r="J626" i="19"/>
  <c r="I627" i="19"/>
  <c r="K627" i="19" s="1"/>
  <c r="I628" i="19"/>
  <c r="K628" i="19" s="1"/>
  <c r="J632" i="19"/>
  <c r="I635" i="19"/>
  <c r="K635" i="19" s="1"/>
  <c r="J636" i="19"/>
  <c r="J635" i="19" s="1"/>
  <c r="L642" i="19"/>
  <c r="O642" i="19" s="1"/>
  <c r="L643" i="19"/>
  <c r="M643" i="19"/>
  <c r="P643" i="19" s="1"/>
  <c r="N643" i="19"/>
  <c r="O643" i="19"/>
  <c r="Q643" i="19"/>
  <c r="T643" i="19" s="1"/>
  <c r="R643" i="19"/>
  <c r="S643" i="19"/>
  <c r="L644" i="19"/>
  <c r="M644" i="19"/>
  <c r="P644" i="19" s="1"/>
  <c r="N644" i="19"/>
  <c r="O644" i="19"/>
  <c r="L645" i="19"/>
  <c r="M645" i="19"/>
  <c r="N645" i="19"/>
  <c r="O645" i="19"/>
  <c r="P645" i="19"/>
  <c r="O646" i="19"/>
  <c r="P646" i="19"/>
  <c r="T646" i="19"/>
  <c r="U646" i="19"/>
  <c r="O647" i="19"/>
  <c r="P647" i="19"/>
  <c r="Q647" i="19"/>
  <c r="T647" i="19" s="1"/>
  <c r="R647" i="19"/>
  <c r="R645" i="19" s="1"/>
  <c r="U645" i="19" s="1"/>
  <c r="S647" i="19"/>
  <c r="L648" i="19"/>
  <c r="O648" i="19" s="1"/>
  <c r="M648" i="19"/>
  <c r="P648" i="19" s="1"/>
  <c r="N648" i="19"/>
  <c r="Q648" i="19"/>
  <c r="T648" i="19" s="1"/>
  <c r="R648" i="19"/>
  <c r="U648" i="19" s="1"/>
  <c r="S648" i="19"/>
  <c r="O649" i="19"/>
  <c r="P649" i="19"/>
  <c r="T649" i="19"/>
  <c r="U649" i="19"/>
  <c r="O650" i="19"/>
  <c r="P650" i="19"/>
  <c r="T650" i="19"/>
  <c r="U650" i="19"/>
  <c r="I652" i="19"/>
  <c r="K652" i="19" s="1"/>
  <c r="J652" i="19"/>
  <c r="I653" i="19"/>
  <c r="K653" i="19" s="1"/>
  <c r="J653" i="19"/>
  <c r="I654" i="19"/>
  <c r="K654" i="19" s="1"/>
  <c r="J654" i="19"/>
  <c r="I657" i="19"/>
  <c r="I660" i="19"/>
  <c r="I661" i="19"/>
  <c r="K661" i="19" s="1"/>
  <c r="J661" i="19"/>
  <c r="J671" i="19"/>
  <c r="J672" i="19"/>
  <c r="I673" i="19"/>
  <c r="K673" i="19" s="1"/>
  <c r="J673" i="19"/>
  <c r="I674" i="19"/>
  <c r="K674" i="19" s="1"/>
  <c r="I675" i="19"/>
  <c r="K675" i="19" s="1"/>
  <c r="I676" i="19"/>
  <c r="K676" i="19" s="1"/>
  <c r="J676" i="19"/>
  <c r="J677" i="19"/>
  <c r="I678" i="19"/>
  <c r="K678" i="19" s="1"/>
  <c r="J678" i="19"/>
  <c r="I679" i="19"/>
  <c r="K679" i="19" s="1"/>
  <c r="J679" i="19"/>
  <c r="J680" i="19"/>
  <c r="I681" i="19"/>
  <c r="K681" i="19" s="1"/>
  <c r="J681" i="19"/>
  <c r="I682" i="19"/>
  <c r="K682" i="19" s="1"/>
  <c r="J682" i="19"/>
  <c r="M690" i="19"/>
  <c r="P690" i="19" s="1"/>
  <c r="L691" i="19"/>
  <c r="O691" i="19" s="1"/>
  <c r="M691" i="19"/>
  <c r="P691" i="19" s="1"/>
  <c r="N691" i="19"/>
  <c r="N690" i="19" s="1"/>
  <c r="Q691" i="19"/>
  <c r="T691" i="19" s="1"/>
  <c r="R691" i="19"/>
  <c r="S691" i="19"/>
  <c r="U691" i="19"/>
  <c r="L692" i="19"/>
  <c r="M692" i="19"/>
  <c r="P692" i="19" s="1"/>
  <c r="N692" i="19"/>
  <c r="O692" i="19"/>
  <c r="L693" i="19"/>
  <c r="O693" i="19" s="1"/>
  <c r="M693" i="19"/>
  <c r="N693" i="19"/>
  <c r="P693" i="19"/>
  <c r="O694" i="19"/>
  <c r="P694" i="19"/>
  <c r="T694" i="19"/>
  <c r="U694" i="19"/>
  <c r="O695" i="19"/>
  <c r="P695" i="19"/>
  <c r="Q695" i="19"/>
  <c r="Q692" i="19" s="1"/>
  <c r="R695" i="19"/>
  <c r="S695" i="19"/>
  <c r="L696" i="19"/>
  <c r="M696" i="19"/>
  <c r="P696" i="19" s="1"/>
  <c r="N696" i="19"/>
  <c r="O696" i="19"/>
  <c r="Q696" i="19"/>
  <c r="T696" i="19" s="1"/>
  <c r="R696" i="19"/>
  <c r="S696" i="19"/>
  <c r="U696" i="19"/>
  <c r="O697" i="19"/>
  <c r="P697" i="19"/>
  <c r="T697" i="19"/>
  <c r="U697" i="19"/>
  <c r="O698" i="19"/>
  <c r="P698" i="19"/>
  <c r="T698" i="19"/>
  <c r="U698" i="19"/>
  <c r="I700" i="19"/>
  <c r="K700" i="19" s="1"/>
  <c r="K702" i="19"/>
  <c r="I703" i="19"/>
  <c r="J703" i="19"/>
  <c r="J704" i="19"/>
  <c r="K704" i="19"/>
  <c r="I705" i="19"/>
  <c r="J705" i="19"/>
  <c r="J706" i="19"/>
  <c r="K706" i="19"/>
  <c r="I707" i="19"/>
  <c r="I689" i="19" s="1"/>
  <c r="J707" i="19"/>
  <c r="J689" i="19" s="1"/>
  <c r="J708" i="19"/>
  <c r="K708" i="19"/>
  <c r="I709" i="19"/>
  <c r="J709" i="19"/>
  <c r="J710" i="19"/>
  <c r="K710" i="19"/>
  <c r="J712" i="19"/>
  <c r="K712" i="19"/>
  <c r="L715" i="19"/>
  <c r="O715" i="19" s="1"/>
  <c r="M715" i="19"/>
  <c r="N715" i="19"/>
  <c r="Q715" i="19"/>
  <c r="T715" i="19" s="1"/>
  <c r="R715" i="19"/>
  <c r="S715" i="19"/>
  <c r="L716" i="19"/>
  <c r="O716" i="19" s="1"/>
  <c r="M716" i="19"/>
  <c r="P716" i="19" s="1"/>
  <c r="N716" i="19"/>
  <c r="Q716" i="19"/>
  <c r="T716" i="19" s="1"/>
  <c r="R716" i="19"/>
  <c r="U716" i="19" s="1"/>
  <c r="S716" i="19"/>
  <c r="L717" i="19"/>
  <c r="M717" i="19"/>
  <c r="P717" i="19" s="1"/>
  <c r="N717" i="19"/>
  <c r="O717" i="19"/>
  <c r="Q717" i="19"/>
  <c r="T717" i="19" s="1"/>
  <c r="R717" i="19"/>
  <c r="S717" i="19"/>
  <c r="U717" i="19"/>
  <c r="O718" i="19"/>
  <c r="P718" i="19"/>
  <c r="T718" i="19"/>
  <c r="U718" i="19"/>
  <c r="O719" i="19"/>
  <c r="P719" i="19"/>
  <c r="T719" i="19"/>
  <c r="U719" i="19"/>
  <c r="L720" i="19"/>
  <c r="O720" i="19" s="1"/>
  <c r="M720" i="19"/>
  <c r="P720" i="19" s="1"/>
  <c r="N720" i="19"/>
  <c r="Q720" i="19"/>
  <c r="T720" i="19" s="1"/>
  <c r="R720" i="19"/>
  <c r="U720" i="19" s="1"/>
  <c r="S720" i="19"/>
  <c r="O721" i="19"/>
  <c r="P721" i="19"/>
  <c r="T721" i="19"/>
  <c r="U721" i="19"/>
  <c r="O722" i="19"/>
  <c r="P722" i="19"/>
  <c r="T722" i="19"/>
  <c r="U722" i="19"/>
  <c r="I726" i="19"/>
  <c r="J726" i="19"/>
  <c r="I727" i="19"/>
  <c r="K727" i="19" s="1"/>
  <c r="J727" i="19"/>
  <c r="L729" i="19"/>
  <c r="M729" i="19"/>
  <c r="N729" i="19"/>
  <c r="O729" i="19"/>
  <c r="Q729" i="19"/>
  <c r="R729" i="19"/>
  <c r="S729" i="19"/>
  <c r="U729" i="19"/>
  <c r="L730" i="19"/>
  <c r="O730" i="19" s="1"/>
  <c r="M730" i="19"/>
  <c r="P730" i="19" s="1"/>
  <c r="N730" i="19"/>
  <c r="N728" i="19" s="1"/>
  <c r="L731" i="19"/>
  <c r="O731" i="19" s="1"/>
  <c r="M731" i="19"/>
  <c r="P731" i="19" s="1"/>
  <c r="N731" i="19"/>
  <c r="O732" i="19"/>
  <c r="P732" i="19"/>
  <c r="T732" i="19"/>
  <c r="U732" i="19"/>
  <c r="O733" i="19"/>
  <c r="P733" i="19"/>
  <c r="Q733" i="19"/>
  <c r="R733" i="19"/>
  <c r="R731" i="19" s="1"/>
  <c r="S733" i="19"/>
  <c r="S730" i="19" s="1"/>
  <c r="L734" i="19"/>
  <c r="O734" i="19" s="1"/>
  <c r="M734" i="19"/>
  <c r="P734" i="19" s="1"/>
  <c r="N734" i="19"/>
  <c r="Q734" i="19"/>
  <c r="T734" i="19" s="1"/>
  <c r="R734" i="19"/>
  <c r="U734" i="19" s="1"/>
  <c r="S734" i="19"/>
  <c r="O735" i="19"/>
  <c r="P735" i="19"/>
  <c r="T735" i="19"/>
  <c r="U735" i="19"/>
  <c r="O736" i="19"/>
  <c r="P736" i="19"/>
  <c r="T736" i="19"/>
  <c r="U736" i="19"/>
  <c r="I740" i="19"/>
  <c r="K740" i="19" s="1"/>
  <c r="I742" i="19"/>
  <c r="K742" i="19" s="1"/>
  <c r="I744" i="19"/>
  <c r="K744" i="19" s="1"/>
  <c r="I746" i="19"/>
  <c r="K746" i="19" s="1"/>
  <c r="I749" i="19"/>
  <c r="K749" i="19" s="1"/>
  <c r="I752" i="19"/>
  <c r="K752" i="19" s="1"/>
  <c r="I755" i="19"/>
  <c r="K755" i="19" s="1"/>
  <c r="J758" i="19"/>
  <c r="J759" i="19"/>
  <c r="N760" i="19"/>
  <c r="L761" i="19"/>
  <c r="O761" i="19" s="1"/>
  <c r="M761" i="19"/>
  <c r="P761" i="19" s="1"/>
  <c r="N761" i="19"/>
  <c r="Q761" i="19"/>
  <c r="R761" i="19"/>
  <c r="U761" i="19" s="1"/>
  <c r="S761" i="19"/>
  <c r="T761" i="19"/>
  <c r="L762" i="19"/>
  <c r="M762" i="19"/>
  <c r="P762" i="19" s="1"/>
  <c r="N762" i="19"/>
  <c r="O762" i="19"/>
  <c r="L763" i="19"/>
  <c r="O763" i="19" s="1"/>
  <c r="M763" i="19"/>
  <c r="N763" i="19"/>
  <c r="P763" i="19"/>
  <c r="O764" i="19"/>
  <c r="P764" i="19"/>
  <c r="T764" i="19"/>
  <c r="U764" i="19"/>
  <c r="O765" i="19"/>
  <c r="P765" i="19"/>
  <c r="Q765" i="19"/>
  <c r="Q763" i="19" s="1"/>
  <c r="R765" i="19"/>
  <c r="S765" i="19"/>
  <c r="S763" i="19" s="1"/>
  <c r="L766" i="19"/>
  <c r="M766" i="19"/>
  <c r="P766" i="19" s="1"/>
  <c r="N766" i="19"/>
  <c r="O766" i="19"/>
  <c r="Q766" i="19"/>
  <c r="T766" i="19" s="1"/>
  <c r="R766" i="19"/>
  <c r="U766" i="19" s="1"/>
  <c r="S766" i="19"/>
  <c r="O767" i="19"/>
  <c r="P767" i="19"/>
  <c r="T767" i="19"/>
  <c r="U767" i="19"/>
  <c r="O768" i="19"/>
  <c r="P768" i="19"/>
  <c r="T768" i="19"/>
  <c r="U768" i="19"/>
  <c r="I770" i="19"/>
  <c r="K770" i="19" s="1"/>
  <c r="I772" i="19"/>
  <c r="I758" i="19" s="1"/>
  <c r="K758" i="19" s="1"/>
  <c r="I774" i="19"/>
  <c r="I759" i="19" s="1"/>
  <c r="K759" i="19" s="1"/>
  <c r="I775" i="19"/>
  <c r="I776" i="19"/>
  <c r="H777" i="19"/>
  <c r="I778" i="19"/>
  <c r="J778" i="19"/>
  <c r="I779" i="19"/>
  <c r="J779" i="19"/>
  <c r="I780" i="19"/>
  <c r="J780" i="19"/>
  <c r="I781" i="19"/>
  <c r="J781" i="19"/>
  <c r="I782" i="19"/>
  <c r="K782" i="19" s="1"/>
  <c r="J782" i="19"/>
  <c r="I783" i="19"/>
  <c r="K783" i="19" s="1"/>
  <c r="J783" i="19"/>
  <c r="I784" i="19"/>
  <c r="J784" i="19"/>
  <c r="I785" i="19"/>
  <c r="J785" i="19"/>
  <c r="A788" i="19"/>
  <c r="A789" i="19"/>
  <c r="L22" i="18"/>
  <c r="M22" i="18"/>
  <c r="M19" i="18" s="1"/>
  <c r="N22" i="18"/>
  <c r="Q22" i="18"/>
  <c r="R22" i="18"/>
  <c r="S22" i="18"/>
  <c r="T22" i="18"/>
  <c r="L25" i="18"/>
  <c r="L19" i="18" s="1"/>
  <c r="M25" i="18"/>
  <c r="N25" i="18"/>
  <c r="Q25" i="18"/>
  <c r="R25" i="18"/>
  <c r="S25" i="18"/>
  <c r="Q26" i="18"/>
  <c r="T26" i="18" s="1"/>
  <c r="R26" i="18"/>
  <c r="U26" i="18" s="1"/>
  <c r="S26" i="18"/>
  <c r="L45" i="18"/>
  <c r="O45" i="18" s="1"/>
  <c r="M45" i="18"/>
  <c r="N45" i="18"/>
  <c r="Q45" i="18"/>
  <c r="R45" i="18"/>
  <c r="U45" i="18" s="1"/>
  <c r="S45" i="18"/>
  <c r="T45" i="18"/>
  <c r="Q46" i="18"/>
  <c r="R46" i="18"/>
  <c r="S46" i="18"/>
  <c r="U46" i="18"/>
  <c r="Q47" i="18"/>
  <c r="T47" i="18" s="1"/>
  <c r="R47" i="18"/>
  <c r="U47" i="18" s="1"/>
  <c r="S47" i="18"/>
  <c r="O48" i="18"/>
  <c r="P48" i="18"/>
  <c r="T48" i="18"/>
  <c r="U48" i="18"/>
  <c r="L49" i="18"/>
  <c r="L47" i="18" s="1"/>
  <c r="M49" i="18"/>
  <c r="M47" i="18" s="1"/>
  <c r="N49" i="18"/>
  <c r="N47" i="18" s="1"/>
  <c r="T49" i="18"/>
  <c r="U49" i="18"/>
  <c r="Q50" i="18"/>
  <c r="R50" i="18"/>
  <c r="S50" i="18"/>
  <c r="T50" i="18"/>
  <c r="U50" i="18"/>
  <c r="O51" i="18"/>
  <c r="P51" i="18"/>
  <c r="T51" i="18"/>
  <c r="U51" i="18"/>
  <c r="L52" i="18"/>
  <c r="M52" i="18"/>
  <c r="N52" i="18"/>
  <c r="N50" i="18" s="1"/>
  <c r="T52" i="18"/>
  <c r="U52" i="18"/>
  <c r="Q59" i="18"/>
  <c r="T59" i="18" s="1"/>
  <c r="L60" i="18"/>
  <c r="O60" i="18" s="1"/>
  <c r="M60" i="18"/>
  <c r="N60" i="18"/>
  <c r="Q60" i="18"/>
  <c r="T60" i="18" s="1"/>
  <c r="R60" i="18"/>
  <c r="S60" i="18"/>
  <c r="Q61" i="18"/>
  <c r="R61" i="18"/>
  <c r="S61" i="18"/>
  <c r="T61" i="18"/>
  <c r="U61" i="18"/>
  <c r="Q62" i="18"/>
  <c r="T62" i="18" s="1"/>
  <c r="R62" i="18"/>
  <c r="U62" i="18" s="1"/>
  <c r="S62" i="18"/>
  <c r="O63" i="18"/>
  <c r="P63" i="18"/>
  <c r="T63" i="18"/>
  <c r="U63" i="18"/>
  <c r="L64" i="18"/>
  <c r="L62" i="18" s="1"/>
  <c r="M64" i="18"/>
  <c r="N64" i="18"/>
  <c r="T64" i="18"/>
  <c r="U64" i="18"/>
  <c r="Q65" i="18"/>
  <c r="T65" i="18" s="1"/>
  <c r="R65" i="18"/>
  <c r="U65" i="18" s="1"/>
  <c r="S65" i="18"/>
  <c r="O66" i="18"/>
  <c r="P66" i="18"/>
  <c r="T66" i="18"/>
  <c r="U66" i="18"/>
  <c r="L67" i="18"/>
  <c r="M67" i="18"/>
  <c r="N67" i="18"/>
  <c r="N65" i="18" s="1"/>
  <c r="T67" i="18"/>
  <c r="U67" i="18"/>
  <c r="L73" i="18"/>
  <c r="O73" i="18" s="1"/>
  <c r="M73" i="18"/>
  <c r="N73" i="18"/>
  <c r="Q73" i="18"/>
  <c r="T73" i="18" s="1"/>
  <c r="R73" i="18"/>
  <c r="U73" i="18" s="1"/>
  <c r="S73" i="18"/>
  <c r="O76" i="18"/>
  <c r="P76" i="18"/>
  <c r="T76" i="18"/>
  <c r="U76" i="18"/>
  <c r="L77" i="18"/>
  <c r="M77" i="18"/>
  <c r="N77" i="18"/>
  <c r="N75" i="18" s="1"/>
  <c r="Q77" i="18"/>
  <c r="Q74" i="18" s="1"/>
  <c r="R77" i="18"/>
  <c r="R75" i="18" s="1"/>
  <c r="S77" i="18"/>
  <c r="Q78" i="18"/>
  <c r="T78" i="18" s="1"/>
  <c r="R78" i="18"/>
  <c r="U78" i="18" s="1"/>
  <c r="S78" i="18"/>
  <c r="O79" i="18"/>
  <c r="P79" i="18"/>
  <c r="T79" i="18"/>
  <c r="U79" i="18"/>
  <c r="L80" i="18"/>
  <c r="M80" i="18"/>
  <c r="N80" i="18"/>
  <c r="N78" i="18" s="1"/>
  <c r="T80" i="18"/>
  <c r="U80" i="18"/>
  <c r="J82" i="18"/>
  <c r="J70" i="18" s="1"/>
  <c r="J83" i="18"/>
  <c r="J71" i="18" s="1"/>
  <c r="I84" i="18"/>
  <c r="K84" i="18" s="1"/>
  <c r="I85" i="18"/>
  <c r="I86" i="18"/>
  <c r="K86" i="18" s="1"/>
  <c r="I87" i="18"/>
  <c r="K87" i="18" s="1"/>
  <c r="I88" i="18"/>
  <c r="K88" i="18" s="1"/>
  <c r="I89" i="18"/>
  <c r="K89" i="18" s="1"/>
  <c r="I90" i="18"/>
  <c r="K90" i="18" s="1"/>
  <c r="J92" i="18"/>
  <c r="J93" i="18"/>
  <c r="L95" i="18"/>
  <c r="M95" i="18"/>
  <c r="N95" i="18"/>
  <c r="O95" i="18"/>
  <c r="P95" i="18"/>
  <c r="Q95" i="18"/>
  <c r="R95" i="18"/>
  <c r="S95" i="18"/>
  <c r="T95" i="18"/>
  <c r="U95" i="18"/>
  <c r="O98" i="18"/>
  <c r="P98" i="18"/>
  <c r="T98" i="18"/>
  <c r="U98" i="18"/>
  <c r="L99" i="18"/>
  <c r="M99" i="18"/>
  <c r="N99" i="18"/>
  <c r="Q99" i="18"/>
  <c r="Q96" i="18" s="1"/>
  <c r="R99" i="18"/>
  <c r="R96" i="18" s="1"/>
  <c r="S99" i="18"/>
  <c r="S96" i="18" s="1"/>
  <c r="Q100" i="18"/>
  <c r="R100" i="18"/>
  <c r="U100" i="18" s="1"/>
  <c r="S100" i="18"/>
  <c r="T100" i="18"/>
  <c r="O101" i="18"/>
  <c r="P101" i="18"/>
  <c r="T101" i="18"/>
  <c r="U101" i="18"/>
  <c r="L102" i="18"/>
  <c r="M102" i="18"/>
  <c r="P102" i="18" s="1"/>
  <c r="N102" i="18"/>
  <c r="N100" i="18" s="1"/>
  <c r="T102" i="18"/>
  <c r="U102" i="18"/>
  <c r="I108" i="18"/>
  <c r="K108" i="18" s="1"/>
  <c r="I109" i="18"/>
  <c r="I93" i="18" s="1"/>
  <c r="I113" i="18"/>
  <c r="K113" i="18" s="1"/>
  <c r="I114" i="18"/>
  <c r="K114" i="18" s="1"/>
  <c r="J116" i="18"/>
  <c r="L118" i="18"/>
  <c r="M118" i="18"/>
  <c r="N118" i="18"/>
  <c r="Q118" i="18"/>
  <c r="R118" i="18"/>
  <c r="S118" i="18"/>
  <c r="T118" i="18"/>
  <c r="O121" i="18"/>
  <c r="P121" i="18"/>
  <c r="T121" i="18"/>
  <c r="U121" i="18"/>
  <c r="L122" i="18"/>
  <c r="M122" i="18"/>
  <c r="M120" i="18" s="1"/>
  <c r="P120" i="18" s="1"/>
  <c r="N122" i="18"/>
  <c r="Q122" i="18"/>
  <c r="R122" i="18"/>
  <c r="R119" i="18" s="1"/>
  <c r="S122" i="18"/>
  <c r="S120" i="18" s="1"/>
  <c r="Q123" i="18"/>
  <c r="T123" i="18" s="1"/>
  <c r="R123" i="18"/>
  <c r="U123" i="18" s="1"/>
  <c r="S123" i="18"/>
  <c r="O124" i="18"/>
  <c r="P124" i="18"/>
  <c r="T124" i="18"/>
  <c r="U124" i="18"/>
  <c r="L125" i="18"/>
  <c r="M125" i="18"/>
  <c r="N125" i="18"/>
  <c r="N123" i="18" s="1"/>
  <c r="T125" i="18"/>
  <c r="U125" i="18"/>
  <c r="I127" i="18"/>
  <c r="I116" i="18" s="1"/>
  <c r="I128" i="18"/>
  <c r="K128" i="18" s="1"/>
  <c r="I129" i="18"/>
  <c r="K129" i="18" s="1"/>
  <c r="I130" i="18"/>
  <c r="K130" i="18" s="1"/>
  <c r="J136" i="18"/>
  <c r="J137" i="18"/>
  <c r="J138" i="18"/>
  <c r="L140" i="18"/>
  <c r="M140" i="18"/>
  <c r="N140" i="18"/>
  <c r="P140" i="18"/>
  <c r="Q140" i="18"/>
  <c r="R140" i="18"/>
  <c r="S140" i="18"/>
  <c r="O143" i="18"/>
  <c r="P143" i="18"/>
  <c r="T143" i="18"/>
  <c r="U143" i="18"/>
  <c r="L144" i="18"/>
  <c r="M144" i="18"/>
  <c r="N144" i="18"/>
  <c r="Q144" i="18"/>
  <c r="Q142" i="18" s="1"/>
  <c r="T142" i="18" s="1"/>
  <c r="R144" i="18"/>
  <c r="R141" i="18" s="1"/>
  <c r="U141" i="18" s="1"/>
  <c r="S144" i="18"/>
  <c r="Q145" i="18"/>
  <c r="T145" i="18" s="1"/>
  <c r="R145" i="18"/>
  <c r="U145" i="18" s="1"/>
  <c r="S145" i="18"/>
  <c r="O146" i="18"/>
  <c r="P146" i="18"/>
  <c r="T146" i="18"/>
  <c r="U146" i="18"/>
  <c r="L147" i="18"/>
  <c r="M147" i="18"/>
  <c r="N147" i="18"/>
  <c r="N145" i="18" s="1"/>
  <c r="T147" i="18"/>
  <c r="U147" i="18"/>
  <c r="I150" i="18"/>
  <c r="K150" i="18" s="1"/>
  <c r="I151" i="18"/>
  <c r="K151" i="18" s="1"/>
  <c r="I152" i="18"/>
  <c r="I137" i="18" s="1"/>
  <c r="K137" i="18" s="1"/>
  <c r="I153" i="18"/>
  <c r="K153" i="18" s="1"/>
  <c r="I154" i="18"/>
  <c r="K154" i="18" s="1"/>
  <c r="J156" i="18"/>
  <c r="L158" i="18"/>
  <c r="M158" i="18"/>
  <c r="N158" i="18"/>
  <c r="Q158" i="18"/>
  <c r="T158" i="18" s="1"/>
  <c r="R158" i="18"/>
  <c r="S158" i="18"/>
  <c r="O161" i="18"/>
  <c r="P161" i="18"/>
  <c r="T161" i="18"/>
  <c r="U161" i="18"/>
  <c r="L162" i="18"/>
  <c r="M162" i="18"/>
  <c r="M160" i="18" s="1"/>
  <c r="P160" i="18" s="1"/>
  <c r="N162" i="18"/>
  <c r="Q162" i="18"/>
  <c r="R162" i="18"/>
  <c r="S162" i="18"/>
  <c r="S160" i="18" s="1"/>
  <c r="Q163" i="18"/>
  <c r="T163" i="18" s="1"/>
  <c r="R163" i="18"/>
  <c r="U163" i="18" s="1"/>
  <c r="S163" i="18"/>
  <c r="O164" i="18"/>
  <c r="P164" i="18"/>
  <c r="T164" i="18"/>
  <c r="U164" i="18"/>
  <c r="L165" i="18"/>
  <c r="M165" i="18"/>
  <c r="P165" i="18" s="1"/>
  <c r="N165" i="18"/>
  <c r="T165" i="18"/>
  <c r="U165" i="18"/>
  <c r="I167" i="18"/>
  <c r="K167" i="18" s="1"/>
  <c r="I168" i="18"/>
  <c r="K168" i="18" s="1"/>
  <c r="I169" i="18"/>
  <c r="I156" i="18" s="1"/>
  <c r="K156" i="18" s="1"/>
  <c r="J172" i="18"/>
  <c r="L174" i="18"/>
  <c r="M174" i="18"/>
  <c r="N174" i="18"/>
  <c r="Q174" i="18"/>
  <c r="T174" i="18" s="1"/>
  <c r="R174" i="18"/>
  <c r="S174" i="18"/>
  <c r="O177" i="18"/>
  <c r="P177" i="18"/>
  <c r="T177" i="18"/>
  <c r="U177" i="18"/>
  <c r="L178" i="18"/>
  <c r="M178" i="18"/>
  <c r="N178" i="18"/>
  <c r="N176" i="18" s="1"/>
  <c r="Q178" i="18"/>
  <c r="R178" i="18"/>
  <c r="S178" i="18"/>
  <c r="S176" i="18" s="1"/>
  <c r="Q179" i="18"/>
  <c r="T179" i="18" s="1"/>
  <c r="R179" i="18"/>
  <c r="S179" i="18"/>
  <c r="U179" i="18"/>
  <c r="O180" i="18"/>
  <c r="P180" i="18"/>
  <c r="T180" i="18"/>
  <c r="U180" i="18"/>
  <c r="L181" i="18"/>
  <c r="M181" i="18"/>
  <c r="N181" i="18"/>
  <c r="N179" i="18" s="1"/>
  <c r="T181" i="18"/>
  <c r="U181" i="18"/>
  <c r="I183" i="18"/>
  <c r="K184" i="18"/>
  <c r="L187" i="18"/>
  <c r="M187" i="18"/>
  <c r="N187" i="18"/>
  <c r="O187" i="18"/>
  <c r="P187" i="18"/>
  <c r="Q187" i="18"/>
  <c r="T187" i="18" s="1"/>
  <c r="R187" i="18"/>
  <c r="S187" i="18"/>
  <c r="U187" i="18"/>
  <c r="O190" i="18"/>
  <c r="P190" i="18"/>
  <c r="T190" i="18"/>
  <c r="U190" i="18"/>
  <c r="L191" i="18"/>
  <c r="M191" i="18"/>
  <c r="N191" i="18"/>
  <c r="Q191" i="18"/>
  <c r="Q188" i="18" s="1"/>
  <c r="R191" i="18"/>
  <c r="S191" i="18"/>
  <c r="S188" i="18" s="1"/>
  <c r="Q192" i="18"/>
  <c r="T192" i="18" s="1"/>
  <c r="R192" i="18"/>
  <c r="U192" i="18" s="1"/>
  <c r="S192" i="18"/>
  <c r="O193" i="18"/>
  <c r="P193" i="18"/>
  <c r="T193" i="18"/>
  <c r="U193" i="18"/>
  <c r="L194" i="18"/>
  <c r="M194" i="18"/>
  <c r="P194" i="18" s="1"/>
  <c r="N194" i="18"/>
  <c r="N192" i="18" s="1"/>
  <c r="T194" i="18"/>
  <c r="U194" i="18"/>
  <c r="J195" i="18"/>
  <c r="L196" i="18"/>
  <c r="O196" i="18" s="1"/>
  <c r="P196" i="18"/>
  <c r="I198" i="18"/>
  <c r="I195" i="18" s="1"/>
  <c r="J199" i="18"/>
  <c r="J202" i="18"/>
  <c r="N203" i="18"/>
  <c r="P203" i="18"/>
  <c r="S203" i="18"/>
  <c r="U203" i="18"/>
  <c r="L204" i="18"/>
  <c r="L205" i="18"/>
  <c r="L206" i="18"/>
  <c r="Q206" i="18"/>
  <c r="Q203" i="18" s="1"/>
  <c r="T203" i="18" s="1"/>
  <c r="L207" i="18"/>
  <c r="I209" i="18"/>
  <c r="K209" i="18" s="1"/>
  <c r="I211" i="18"/>
  <c r="K211" i="18" s="1"/>
  <c r="I212" i="18"/>
  <c r="K212" i="18" s="1"/>
  <c r="J213" i="18"/>
  <c r="N214" i="18"/>
  <c r="P214" i="18"/>
  <c r="S214" i="18"/>
  <c r="U214" i="18"/>
  <c r="L215" i="18"/>
  <c r="L216" i="18"/>
  <c r="L217" i="18"/>
  <c r="Q217" i="18"/>
  <c r="Q214" i="18" s="1"/>
  <c r="T214" i="18" s="1"/>
  <c r="I219" i="18"/>
  <c r="K219" i="18" s="1"/>
  <c r="I220" i="18"/>
  <c r="I213" i="18" s="1"/>
  <c r="K213" i="18" s="1"/>
  <c r="J221" i="18"/>
  <c r="N222" i="18"/>
  <c r="P222" i="18"/>
  <c r="L223" i="18"/>
  <c r="L224" i="18"/>
  <c r="L225" i="18"/>
  <c r="I228" i="18"/>
  <c r="K228" i="18" s="1"/>
  <c r="I229" i="18"/>
  <c r="I221" i="18" s="1"/>
  <c r="K221" i="18" s="1"/>
  <c r="I230" i="18"/>
  <c r="N233" i="18"/>
  <c r="N234" i="18"/>
  <c r="N235" i="18"/>
  <c r="N236" i="18"/>
  <c r="J238" i="18"/>
  <c r="I240" i="18"/>
  <c r="K240" i="18" s="1"/>
  <c r="J240" i="18"/>
  <c r="I241" i="18"/>
  <c r="K241" i="18" s="1"/>
  <c r="J241" i="18"/>
  <c r="J242" i="18"/>
  <c r="N243" i="18"/>
  <c r="P243" i="18"/>
  <c r="L244" i="18"/>
  <c r="L245" i="18"/>
  <c r="L246" i="18"/>
  <c r="L247" i="18"/>
  <c r="I249" i="18"/>
  <c r="K249" i="18" s="1"/>
  <c r="K251" i="18"/>
  <c r="K252" i="18"/>
  <c r="J253" i="18"/>
  <c r="N254" i="18"/>
  <c r="N232" i="18" s="1"/>
  <c r="P254" i="18"/>
  <c r="L255" i="18"/>
  <c r="L256" i="18"/>
  <c r="L257" i="18"/>
  <c r="L258" i="18"/>
  <c r="I260" i="18"/>
  <c r="K260" i="18" s="1"/>
  <c r="K262" i="18"/>
  <c r="K263" i="18"/>
  <c r="J265" i="18"/>
  <c r="L267" i="18"/>
  <c r="O267" i="18" s="1"/>
  <c r="M267" i="18"/>
  <c r="P267" i="18" s="1"/>
  <c r="N267" i="18"/>
  <c r="Q267" i="18"/>
  <c r="R267" i="18"/>
  <c r="U267" i="18" s="1"/>
  <c r="S267" i="18"/>
  <c r="O270" i="18"/>
  <c r="P270" i="18"/>
  <c r="T270" i="18"/>
  <c r="U270" i="18"/>
  <c r="L271" i="18"/>
  <c r="M271" i="18"/>
  <c r="N271" i="18"/>
  <c r="N269" i="18" s="1"/>
  <c r="Q271" i="18"/>
  <c r="Q269" i="18" s="1"/>
  <c r="R271" i="18"/>
  <c r="S271" i="18"/>
  <c r="S268" i="18" s="1"/>
  <c r="S266" i="18" s="1"/>
  <c r="Q272" i="18"/>
  <c r="T272" i="18" s="1"/>
  <c r="R272" i="18"/>
  <c r="S272" i="18"/>
  <c r="U272" i="18"/>
  <c r="O273" i="18"/>
  <c r="P273" i="18"/>
  <c r="T273" i="18"/>
  <c r="U273" i="18"/>
  <c r="L274" i="18"/>
  <c r="L272" i="18" s="1"/>
  <c r="O272" i="18" s="1"/>
  <c r="M274" i="18"/>
  <c r="N274" i="18"/>
  <c r="N272" i="18" s="1"/>
  <c r="T274" i="18"/>
  <c r="U274" i="18"/>
  <c r="I276" i="18"/>
  <c r="I265" i="18" s="1"/>
  <c r="J280" i="18"/>
  <c r="J281" i="18"/>
  <c r="L283" i="18"/>
  <c r="O283" i="18" s="1"/>
  <c r="M283" i="18"/>
  <c r="P283" i="18" s="1"/>
  <c r="N283" i="18"/>
  <c r="Q283" i="18"/>
  <c r="Q282" i="18" s="1"/>
  <c r="T282" i="18" s="1"/>
  <c r="R283" i="18"/>
  <c r="S283" i="18"/>
  <c r="S282" i="18" s="1"/>
  <c r="T283" i="18"/>
  <c r="Q284" i="18"/>
  <c r="R284" i="18"/>
  <c r="U284" i="18" s="1"/>
  <c r="S284" i="18"/>
  <c r="T284" i="18"/>
  <c r="Q285" i="18"/>
  <c r="T285" i="18" s="1"/>
  <c r="R285" i="18"/>
  <c r="U285" i="18" s="1"/>
  <c r="S285" i="18"/>
  <c r="O286" i="18"/>
  <c r="P286" i="18"/>
  <c r="T286" i="18"/>
  <c r="U286" i="18"/>
  <c r="L287" i="18"/>
  <c r="M287" i="18"/>
  <c r="N287" i="18"/>
  <c r="T287" i="18"/>
  <c r="U287" i="18"/>
  <c r="Q288" i="18"/>
  <c r="T288" i="18" s="1"/>
  <c r="R288" i="18"/>
  <c r="U288" i="18" s="1"/>
  <c r="S288" i="18"/>
  <c r="O289" i="18"/>
  <c r="P289" i="18"/>
  <c r="T289" i="18"/>
  <c r="U289" i="18"/>
  <c r="L290" i="18"/>
  <c r="M290" i="18"/>
  <c r="P290" i="18" s="1"/>
  <c r="N290" i="18"/>
  <c r="N288" i="18" s="1"/>
  <c r="T290" i="18"/>
  <c r="U290" i="18"/>
  <c r="I292" i="18"/>
  <c r="I293" i="18"/>
  <c r="I280" i="18" s="1"/>
  <c r="K280" i="18" s="1"/>
  <c r="J293" i="18"/>
  <c r="I295" i="18"/>
  <c r="K295" i="18" s="1"/>
  <c r="I296" i="18"/>
  <c r="K296" i="18" s="1"/>
  <c r="J302" i="18"/>
  <c r="L304" i="18"/>
  <c r="O304" i="18" s="1"/>
  <c r="M304" i="18"/>
  <c r="N304" i="18"/>
  <c r="P304" i="18"/>
  <c r="Q304" i="18"/>
  <c r="R304" i="18"/>
  <c r="U304" i="18" s="1"/>
  <c r="S304" i="18"/>
  <c r="T304" i="18"/>
  <c r="O307" i="18"/>
  <c r="P307" i="18"/>
  <c r="T307" i="18"/>
  <c r="U307" i="18"/>
  <c r="L308" i="18"/>
  <c r="L306" i="18" s="1"/>
  <c r="O306" i="18" s="1"/>
  <c r="M308" i="18"/>
  <c r="P308" i="18" s="1"/>
  <c r="N308" i="18"/>
  <c r="Q308" i="18"/>
  <c r="Q305" i="18" s="1"/>
  <c r="R308" i="18"/>
  <c r="S308" i="18"/>
  <c r="S305" i="18" s="1"/>
  <c r="S303" i="18" s="1"/>
  <c r="Q309" i="18"/>
  <c r="T309" i="18" s="1"/>
  <c r="R309" i="18"/>
  <c r="U309" i="18" s="1"/>
  <c r="S309" i="18"/>
  <c r="O310" i="18"/>
  <c r="P310" i="18"/>
  <c r="T310" i="18"/>
  <c r="U310" i="18"/>
  <c r="L311" i="18"/>
  <c r="M311" i="18"/>
  <c r="M309" i="18" s="1"/>
  <c r="P309" i="18" s="1"/>
  <c r="N311" i="18"/>
  <c r="N309" i="18" s="1"/>
  <c r="T311" i="18"/>
  <c r="U311" i="18"/>
  <c r="I314" i="18"/>
  <c r="I302" i="18" s="1"/>
  <c r="K302" i="18" s="1"/>
  <c r="J319" i="18"/>
  <c r="L321" i="18"/>
  <c r="M321" i="18"/>
  <c r="N321" i="18"/>
  <c r="P321" i="18"/>
  <c r="Q321" i="18"/>
  <c r="R321" i="18"/>
  <c r="U321" i="18" s="1"/>
  <c r="S321" i="18"/>
  <c r="Q322" i="18"/>
  <c r="T322" i="18" s="1"/>
  <c r="R322" i="18"/>
  <c r="S322" i="18"/>
  <c r="U322" i="18"/>
  <c r="Q323" i="18"/>
  <c r="R323" i="18"/>
  <c r="U323" i="18" s="1"/>
  <c r="S323" i="18"/>
  <c r="T323" i="18"/>
  <c r="O324" i="18"/>
  <c r="P324" i="18"/>
  <c r="T324" i="18"/>
  <c r="U324" i="18"/>
  <c r="L325" i="18"/>
  <c r="L323" i="18" s="1"/>
  <c r="O323" i="18" s="1"/>
  <c r="M325" i="18"/>
  <c r="M323" i="18" s="1"/>
  <c r="P323" i="18" s="1"/>
  <c r="N325" i="18"/>
  <c r="N323" i="18" s="1"/>
  <c r="T325" i="18"/>
  <c r="U325" i="18"/>
  <c r="Q326" i="18"/>
  <c r="T326" i="18" s="1"/>
  <c r="R326" i="18"/>
  <c r="U326" i="18" s="1"/>
  <c r="S326" i="18"/>
  <c r="O327" i="18"/>
  <c r="P327" i="18"/>
  <c r="T327" i="18"/>
  <c r="U327" i="18"/>
  <c r="L328" i="18"/>
  <c r="M328" i="18"/>
  <c r="P328" i="18" s="1"/>
  <c r="N328" i="18"/>
  <c r="N326" i="18" s="1"/>
  <c r="T328" i="18"/>
  <c r="U328" i="18"/>
  <c r="I330" i="18"/>
  <c r="K330" i="18" s="1"/>
  <c r="Q333" i="18"/>
  <c r="T333" i="18" s="1"/>
  <c r="L334" i="18"/>
  <c r="O334" i="18" s="1"/>
  <c r="M334" i="18"/>
  <c r="P334" i="18" s="1"/>
  <c r="N334" i="18"/>
  <c r="Q334" i="18"/>
  <c r="R334" i="18"/>
  <c r="S334" i="18"/>
  <c r="S333" i="18" s="1"/>
  <c r="T334" i="18"/>
  <c r="Q335" i="18"/>
  <c r="T335" i="18" s="1"/>
  <c r="R335" i="18"/>
  <c r="U335" i="18" s="1"/>
  <c r="S335" i="18"/>
  <c r="Q336" i="18"/>
  <c r="T336" i="18" s="1"/>
  <c r="R336" i="18"/>
  <c r="U336" i="18" s="1"/>
  <c r="S336" i="18"/>
  <c r="O337" i="18"/>
  <c r="P337" i="18"/>
  <c r="T337" i="18"/>
  <c r="U337" i="18"/>
  <c r="L338" i="18"/>
  <c r="L336" i="18" s="1"/>
  <c r="M338" i="18"/>
  <c r="N338" i="18"/>
  <c r="T338" i="18"/>
  <c r="U338" i="18"/>
  <c r="Q339" i="18"/>
  <c r="T339" i="18" s="1"/>
  <c r="R339" i="18"/>
  <c r="U339" i="18" s="1"/>
  <c r="S339" i="18"/>
  <c r="O340" i="18"/>
  <c r="P340" i="18"/>
  <c r="T340" i="18"/>
  <c r="U340" i="18"/>
  <c r="L341" i="18"/>
  <c r="O341" i="18" s="1"/>
  <c r="M341" i="18"/>
  <c r="P341" i="18" s="1"/>
  <c r="N341" i="18"/>
  <c r="N339" i="18" s="1"/>
  <c r="T341" i="18"/>
  <c r="U341" i="18"/>
  <c r="I344" i="18"/>
  <c r="J344" i="18"/>
  <c r="I346" i="18"/>
  <c r="J346" i="18"/>
  <c r="J347" i="18"/>
  <c r="J348" i="18"/>
  <c r="J349" i="18"/>
  <c r="D350" i="18"/>
  <c r="J352" i="18"/>
  <c r="J353" i="18"/>
  <c r="D354" i="18"/>
  <c r="L357" i="18"/>
  <c r="M357" i="18"/>
  <c r="N357" i="18"/>
  <c r="P357" i="18"/>
  <c r="Q357" i="18"/>
  <c r="R357" i="18"/>
  <c r="U357" i="18" s="1"/>
  <c r="S357" i="18"/>
  <c r="Q358" i="18"/>
  <c r="R358" i="18"/>
  <c r="S358" i="18"/>
  <c r="S356" i="18" s="1"/>
  <c r="T358" i="18"/>
  <c r="Q359" i="18"/>
  <c r="R359" i="18"/>
  <c r="U359" i="18" s="1"/>
  <c r="S359" i="18"/>
  <c r="T359" i="18"/>
  <c r="O360" i="18"/>
  <c r="P360" i="18"/>
  <c r="T360" i="18"/>
  <c r="U360" i="18"/>
  <c r="L361" i="18"/>
  <c r="M361" i="18"/>
  <c r="N361" i="18"/>
  <c r="N359" i="18" s="1"/>
  <c r="T361" i="18"/>
  <c r="U361" i="18"/>
  <c r="Q362" i="18"/>
  <c r="T362" i="18" s="1"/>
  <c r="R362" i="18"/>
  <c r="S362" i="18"/>
  <c r="U362" i="18"/>
  <c r="O363" i="18"/>
  <c r="P363" i="18"/>
  <c r="T363" i="18"/>
  <c r="U363" i="18"/>
  <c r="L364" i="18"/>
  <c r="M364" i="18"/>
  <c r="N364" i="18"/>
  <c r="T364" i="18"/>
  <c r="U364" i="18"/>
  <c r="J367" i="18"/>
  <c r="K367" i="18"/>
  <c r="I368" i="18"/>
  <c r="J368" i="18"/>
  <c r="I369" i="18"/>
  <c r="J369" i="18"/>
  <c r="J370" i="18"/>
  <c r="K370" i="18"/>
  <c r="I371" i="18"/>
  <c r="I365" i="18" s="1"/>
  <c r="J371" i="18"/>
  <c r="J365" i="18" s="1"/>
  <c r="J372" i="18"/>
  <c r="K372" i="18"/>
  <c r="D373" i="18"/>
  <c r="L376" i="18"/>
  <c r="M376" i="18"/>
  <c r="N376" i="18"/>
  <c r="N375" i="18" s="1"/>
  <c r="O376" i="18"/>
  <c r="P376" i="18"/>
  <c r="Q376" i="18"/>
  <c r="T376" i="18" s="1"/>
  <c r="R376" i="18"/>
  <c r="S376" i="18"/>
  <c r="U376" i="18"/>
  <c r="L377" i="18"/>
  <c r="O377" i="18" s="1"/>
  <c r="M377" i="18"/>
  <c r="P377" i="18" s="1"/>
  <c r="N377" i="18"/>
  <c r="L378" i="18"/>
  <c r="O378" i="18" s="1"/>
  <c r="M378" i="18"/>
  <c r="P378" i="18" s="1"/>
  <c r="N378" i="18"/>
  <c r="O379" i="18"/>
  <c r="P379" i="18"/>
  <c r="T379" i="18"/>
  <c r="U379" i="18"/>
  <c r="O380" i="18"/>
  <c r="P380" i="18"/>
  <c r="Q380" i="18"/>
  <c r="Q377" i="18" s="1"/>
  <c r="R380" i="18"/>
  <c r="S380" i="18"/>
  <c r="S378" i="18" s="1"/>
  <c r="L381" i="18"/>
  <c r="O381" i="18" s="1"/>
  <c r="M381" i="18"/>
  <c r="P381" i="18" s="1"/>
  <c r="N381" i="18"/>
  <c r="Q381" i="18"/>
  <c r="T381" i="18" s="1"/>
  <c r="R381" i="18"/>
  <c r="U381" i="18" s="1"/>
  <c r="S381" i="18"/>
  <c r="O382" i="18"/>
  <c r="P382" i="18"/>
  <c r="T382" i="18"/>
  <c r="U382" i="18"/>
  <c r="O383" i="18"/>
  <c r="P383" i="18"/>
  <c r="T383" i="18"/>
  <c r="U383" i="18"/>
  <c r="J385" i="18"/>
  <c r="K385" i="18"/>
  <c r="I386" i="18"/>
  <c r="J386" i="18"/>
  <c r="J387" i="18"/>
  <c r="K387" i="18"/>
  <c r="I388" i="18"/>
  <c r="J388" i="18"/>
  <c r="I391" i="18"/>
  <c r="K391" i="18" s="1"/>
  <c r="J391" i="18"/>
  <c r="L393" i="18"/>
  <c r="M393" i="18"/>
  <c r="N393" i="18"/>
  <c r="Q393" i="18"/>
  <c r="T393" i="18" s="1"/>
  <c r="R393" i="18"/>
  <c r="S393" i="18"/>
  <c r="L394" i="18"/>
  <c r="O394" i="18" s="1"/>
  <c r="M394" i="18"/>
  <c r="P394" i="18" s="1"/>
  <c r="N394" i="18"/>
  <c r="Q394" i="18"/>
  <c r="Q392" i="18" s="1"/>
  <c r="T392" i="18" s="1"/>
  <c r="R394" i="18"/>
  <c r="S394" i="18"/>
  <c r="T394" i="18"/>
  <c r="U394" i="18"/>
  <c r="L395" i="18"/>
  <c r="M395" i="18"/>
  <c r="N395" i="18"/>
  <c r="O395" i="18"/>
  <c r="P395" i="18"/>
  <c r="Q395" i="18"/>
  <c r="T395" i="18" s="1"/>
  <c r="R395" i="18"/>
  <c r="S395" i="18"/>
  <c r="U395" i="18"/>
  <c r="O396" i="18"/>
  <c r="P396" i="18"/>
  <c r="T396" i="18"/>
  <c r="U396" i="18"/>
  <c r="O397" i="18"/>
  <c r="P397" i="18"/>
  <c r="T397" i="18"/>
  <c r="U397" i="18"/>
  <c r="L398" i="18"/>
  <c r="O398" i="18" s="1"/>
  <c r="M398" i="18"/>
  <c r="N398" i="18"/>
  <c r="P398" i="18"/>
  <c r="Q398" i="18"/>
  <c r="T398" i="18" s="1"/>
  <c r="R398" i="18"/>
  <c r="S398" i="18"/>
  <c r="U398" i="18"/>
  <c r="O399" i="18"/>
  <c r="P399" i="18"/>
  <c r="T399" i="18"/>
  <c r="U399" i="18"/>
  <c r="O400" i="18"/>
  <c r="P400" i="18"/>
  <c r="T400" i="18"/>
  <c r="U400" i="18"/>
  <c r="L414" i="18"/>
  <c r="M414" i="18"/>
  <c r="N414" i="18"/>
  <c r="O414" i="18"/>
  <c r="P414" i="18"/>
  <c r="Q414" i="18"/>
  <c r="R414" i="18"/>
  <c r="U414" i="18" s="1"/>
  <c r="S414" i="18"/>
  <c r="L415" i="18"/>
  <c r="O415" i="18" s="1"/>
  <c r="M415" i="18"/>
  <c r="P415" i="18" s="1"/>
  <c r="N415" i="18"/>
  <c r="N413" i="18" s="1"/>
  <c r="L416" i="18"/>
  <c r="O416" i="18" s="1"/>
  <c r="M416" i="18"/>
  <c r="P416" i="18" s="1"/>
  <c r="N416" i="18"/>
  <c r="O417" i="18"/>
  <c r="P417" i="18"/>
  <c r="T417" i="18"/>
  <c r="U417" i="18"/>
  <c r="O418" i="18"/>
  <c r="P418" i="18"/>
  <c r="Q418" i="18"/>
  <c r="Q416" i="18" s="1"/>
  <c r="T416" i="18" s="1"/>
  <c r="R418" i="18"/>
  <c r="S418" i="18"/>
  <c r="L419" i="18"/>
  <c r="M419" i="18"/>
  <c r="P419" i="18" s="1"/>
  <c r="N419" i="18"/>
  <c r="O419" i="18"/>
  <c r="Q419" i="18"/>
  <c r="T419" i="18" s="1"/>
  <c r="R419" i="18"/>
  <c r="S419" i="18"/>
  <c r="U419" i="18"/>
  <c r="O420" i="18"/>
  <c r="P420" i="18"/>
  <c r="T420" i="18"/>
  <c r="U420" i="18"/>
  <c r="O421" i="18"/>
  <c r="P421" i="18"/>
  <c r="T421" i="18"/>
  <c r="U421" i="18"/>
  <c r="I424" i="18"/>
  <c r="K424" i="18" s="1"/>
  <c r="J424" i="18"/>
  <c r="I425" i="18"/>
  <c r="K425" i="18" s="1"/>
  <c r="J425" i="18"/>
  <c r="I432" i="18"/>
  <c r="K432" i="18" s="1"/>
  <c r="J432" i="18"/>
  <c r="I433" i="18"/>
  <c r="K433" i="18" s="1"/>
  <c r="J433" i="18"/>
  <c r="I440" i="18"/>
  <c r="I441" i="18"/>
  <c r="K441" i="18" s="1"/>
  <c r="J446" i="18"/>
  <c r="J440" i="18" s="1"/>
  <c r="J423" i="18" s="1"/>
  <c r="J412" i="18" s="1"/>
  <c r="J447" i="18"/>
  <c r="J441" i="18" s="1"/>
  <c r="I457" i="18"/>
  <c r="I456" i="18" s="1"/>
  <c r="K456" i="18" s="1"/>
  <c r="I458" i="18"/>
  <c r="K458" i="18" s="1"/>
  <c r="J459" i="18"/>
  <c r="J460" i="18"/>
  <c r="J467" i="18"/>
  <c r="J468" i="18"/>
  <c r="J475" i="18"/>
  <c r="K475" i="18"/>
  <c r="J476" i="18"/>
  <c r="K476" i="18"/>
  <c r="J477" i="18"/>
  <c r="K477" i="18"/>
  <c r="J482" i="18"/>
  <c r="J483" i="18"/>
  <c r="I484" i="18"/>
  <c r="K484" i="18" s="1"/>
  <c r="J484" i="18"/>
  <c r="I485" i="18"/>
  <c r="J485" i="18"/>
  <c r="K485" i="18"/>
  <c r="L494" i="18"/>
  <c r="O494" i="18" s="1"/>
  <c r="M494" i="18"/>
  <c r="N494" i="18"/>
  <c r="Q494" i="18"/>
  <c r="R494" i="18"/>
  <c r="U494" i="18" s="1"/>
  <c r="S494" i="18"/>
  <c r="L495" i="18"/>
  <c r="L493" i="18" s="1"/>
  <c r="O493" i="18" s="1"/>
  <c r="M495" i="18"/>
  <c r="P495" i="18" s="1"/>
  <c r="N495" i="18"/>
  <c r="O495" i="18"/>
  <c r="L496" i="18"/>
  <c r="O496" i="18" s="1"/>
  <c r="M496" i="18"/>
  <c r="N496" i="18"/>
  <c r="P496" i="18"/>
  <c r="O497" i="18"/>
  <c r="P497" i="18"/>
  <c r="T497" i="18"/>
  <c r="U497" i="18"/>
  <c r="O498" i="18"/>
  <c r="P498" i="18"/>
  <c r="Q498" i="18"/>
  <c r="Q495" i="18" s="1"/>
  <c r="T495" i="18" s="1"/>
  <c r="R498" i="18"/>
  <c r="S498" i="18"/>
  <c r="S496" i="18" s="1"/>
  <c r="L499" i="18"/>
  <c r="O499" i="18" s="1"/>
  <c r="M499" i="18"/>
  <c r="P499" i="18" s="1"/>
  <c r="N499" i="18"/>
  <c r="Q499" i="18"/>
  <c r="R499" i="18"/>
  <c r="U499" i="18" s="1"/>
  <c r="S499" i="18"/>
  <c r="T499" i="18"/>
  <c r="O500" i="18"/>
  <c r="P500" i="18"/>
  <c r="T500" i="18"/>
  <c r="U500" i="18"/>
  <c r="O501" i="18"/>
  <c r="P501" i="18"/>
  <c r="T501" i="18"/>
  <c r="U501" i="18"/>
  <c r="I503" i="18"/>
  <c r="I492" i="18" s="1"/>
  <c r="K492" i="18" s="1"/>
  <c r="I504" i="18"/>
  <c r="K504" i="18" s="1"/>
  <c r="I505" i="18"/>
  <c r="K505" i="18" s="1"/>
  <c r="I506" i="18"/>
  <c r="K506" i="18" s="1"/>
  <c r="I507" i="18"/>
  <c r="K507" i="18" s="1"/>
  <c r="K508" i="18"/>
  <c r="I509" i="18"/>
  <c r="K509" i="18" s="1"/>
  <c r="I512" i="18"/>
  <c r="K512" i="18" s="1"/>
  <c r="J512" i="18"/>
  <c r="L514" i="18"/>
  <c r="O514" i="18" s="1"/>
  <c r="M514" i="18"/>
  <c r="N514" i="18"/>
  <c r="P514" i="18"/>
  <c r="Q514" i="18"/>
  <c r="R514" i="18"/>
  <c r="S514" i="18"/>
  <c r="Q515" i="18"/>
  <c r="R515" i="18"/>
  <c r="U515" i="18" s="1"/>
  <c r="S515" i="18"/>
  <c r="T515" i="18"/>
  <c r="Q516" i="18"/>
  <c r="R516" i="18"/>
  <c r="S516" i="18"/>
  <c r="T516" i="18"/>
  <c r="U516" i="18"/>
  <c r="O517" i="18"/>
  <c r="P517" i="18"/>
  <c r="T517" i="18"/>
  <c r="U517" i="18"/>
  <c r="L518" i="18"/>
  <c r="O518" i="18" s="1"/>
  <c r="M518" i="18"/>
  <c r="N518" i="18"/>
  <c r="T518" i="18"/>
  <c r="U518" i="18"/>
  <c r="Q519" i="18"/>
  <c r="T519" i="18" s="1"/>
  <c r="R519" i="18"/>
  <c r="U519" i="18" s="1"/>
  <c r="S519" i="18"/>
  <c r="O520" i="18"/>
  <c r="P520" i="18"/>
  <c r="T520" i="18"/>
  <c r="U520" i="18"/>
  <c r="L521" i="18"/>
  <c r="M521" i="18"/>
  <c r="N521" i="18"/>
  <c r="N519" i="18" s="1"/>
  <c r="T521" i="18"/>
  <c r="U521" i="18"/>
  <c r="K523" i="18"/>
  <c r="K524" i="18"/>
  <c r="I533" i="18"/>
  <c r="J533" i="18"/>
  <c r="K533" i="18"/>
  <c r="M534" i="18"/>
  <c r="P534" i="18" s="1"/>
  <c r="L535" i="18"/>
  <c r="M535" i="18"/>
  <c r="P535" i="18" s="1"/>
  <c r="N535" i="18"/>
  <c r="Q535" i="18"/>
  <c r="T535" i="18" s="1"/>
  <c r="R535" i="18"/>
  <c r="S535" i="18"/>
  <c r="S534" i="18" s="1"/>
  <c r="L536" i="18"/>
  <c r="M536" i="18"/>
  <c r="P536" i="18" s="1"/>
  <c r="N536" i="18"/>
  <c r="O536" i="18"/>
  <c r="Q536" i="18"/>
  <c r="R536" i="18"/>
  <c r="S536" i="18"/>
  <c r="U536" i="18"/>
  <c r="L537" i="18"/>
  <c r="O537" i="18" s="1"/>
  <c r="M537" i="18"/>
  <c r="P537" i="18" s="1"/>
  <c r="N537" i="18"/>
  <c r="Q537" i="18"/>
  <c r="T537" i="18" s="1"/>
  <c r="R537" i="18"/>
  <c r="U537" i="18" s="1"/>
  <c r="S537" i="18"/>
  <c r="O538" i="18"/>
  <c r="P538" i="18"/>
  <c r="T538" i="18"/>
  <c r="U538" i="18"/>
  <c r="O539" i="18"/>
  <c r="P539" i="18"/>
  <c r="T539" i="18"/>
  <c r="U539" i="18"/>
  <c r="L540" i="18"/>
  <c r="M540" i="18"/>
  <c r="P540" i="18" s="1"/>
  <c r="N540" i="18"/>
  <c r="O540" i="18"/>
  <c r="Q540" i="18"/>
  <c r="T540" i="18" s="1"/>
  <c r="R540" i="18"/>
  <c r="S540" i="18"/>
  <c r="U540" i="18"/>
  <c r="O541" i="18"/>
  <c r="P541" i="18"/>
  <c r="T541" i="18"/>
  <c r="U541" i="18"/>
  <c r="O542" i="18"/>
  <c r="P542" i="18"/>
  <c r="T542" i="18"/>
  <c r="U542" i="18"/>
  <c r="I554" i="18"/>
  <c r="K554" i="18" s="1"/>
  <c r="J554" i="18"/>
  <c r="M555" i="18"/>
  <c r="P555" i="18" s="1"/>
  <c r="L556" i="18"/>
  <c r="M556" i="18"/>
  <c r="N556" i="18"/>
  <c r="O556" i="18"/>
  <c r="P556" i="18"/>
  <c r="Q556" i="18"/>
  <c r="T556" i="18" s="1"/>
  <c r="R556" i="18"/>
  <c r="R555" i="18" s="1"/>
  <c r="U555" i="18" s="1"/>
  <c r="S556" i="18"/>
  <c r="L557" i="18"/>
  <c r="O557" i="18" s="1"/>
  <c r="M557" i="18"/>
  <c r="P557" i="18" s="1"/>
  <c r="N557" i="18"/>
  <c r="N555" i="18" s="1"/>
  <c r="Q557" i="18"/>
  <c r="T557" i="18" s="1"/>
  <c r="R557" i="18"/>
  <c r="U557" i="18" s="1"/>
  <c r="S557" i="18"/>
  <c r="S555" i="18" s="1"/>
  <c r="L558" i="18"/>
  <c r="O558" i="18" s="1"/>
  <c r="M558" i="18"/>
  <c r="P558" i="18" s="1"/>
  <c r="N558" i="18"/>
  <c r="Q558" i="18"/>
  <c r="R558" i="18"/>
  <c r="U558" i="18" s="1"/>
  <c r="S558" i="18"/>
  <c r="T558" i="18"/>
  <c r="O559" i="18"/>
  <c r="P559" i="18"/>
  <c r="T559" i="18"/>
  <c r="U559" i="18"/>
  <c r="O560" i="18"/>
  <c r="P560" i="18"/>
  <c r="T560" i="18"/>
  <c r="U560" i="18"/>
  <c r="L561" i="18"/>
  <c r="O561" i="18" s="1"/>
  <c r="M561" i="18"/>
  <c r="P561" i="18" s="1"/>
  <c r="N561" i="18"/>
  <c r="Q561" i="18"/>
  <c r="T561" i="18" s="1"/>
  <c r="R561" i="18"/>
  <c r="U561" i="18" s="1"/>
  <c r="S561" i="18"/>
  <c r="O562" i="18"/>
  <c r="P562" i="18"/>
  <c r="T562" i="18"/>
  <c r="U562" i="18"/>
  <c r="O563" i="18"/>
  <c r="P563" i="18"/>
  <c r="T563" i="18"/>
  <c r="U563" i="18"/>
  <c r="I575" i="18"/>
  <c r="K575" i="18" s="1"/>
  <c r="J575" i="18"/>
  <c r="L577" i="18"/>
  <c r="M577" i="18"/>
  <c r="P577" i="18" s="1"/>
  <c r="N577" i="18"/>
  <c r="Q577" i="18"/>
  <c r="T577" i="18" s="1"/>
  <c r="R577" i="18"/>
  <c r="S577" i="18"/>
  <c r="S576" i="18" s="1"/>
  <c r="L578" i="18"/>
  <c r="O578" i="18" s="1"/>
  <c r="M578" i="18"/>
  <c r="P578" i="18" s="1"/>
  <c r="N578" i="18"/>
  <c r="Q578" i="18"/>
  <c r="Q576" i="18" s="1"/>
  <c r="T576" i="18" s="1"/>
  <c r="R578" i="18"/>
  <c r="U578" i="18" s="1"/>
  <c r="S578" i="18"/>
  <c r="T578" i="18"/>
  <c r="L579" i="18"/>
  <c r="M579" i="18"/>
  <c r="N579" i="18"/>
  <c r="O579" i="18"/>
  <c r="P579" i="18"/>
  <c r="Q579" i="18"/>
  <c r="T579" i="18" s="1"/>
  <c r="R579" i="18"/>
  <c r="S579" i="18"/>
  <c r="U579" i="18"/>
  <c r="O580" i="18"/>
  <c r="P580" i="18"/>
  <c r="T580" i="18"/>
  <c r="U580" i="18"/>
  <c r="O581" i="18"/>
  <c r="P581" i="18"/>
  <c r="T581" i="18"/>
  <c r="U581" i="18"/>
  <c r="L582" i="18"/>
  <c r="M582" i="18"/>
  <c r="N582" i="18"/>
  <c r="O582" i="18"/>
  <c r="P582" i="18"/>
  <c r="Q582" i="18"/>
  <c r="T582" i="18" s="1"/>
  <c r="R582" i="18"/>
  <c r="S582" i="18"/>
  <c r="U582" i="18"/>
  <c r="O583" i="18"/>
  <c r="P583" i="18"/>
  <c r="T583" i="18"/>
  <c r="U583" i="18"/>
  <c r="O584" i="18"/>
  <c r="P584" i="18"/>
  <c r="T584" i="18"/>
  <c r="U584" i="18"/>
  <c r="L600" i="18"/>
  <c r="M600" i="18"/>
  <c r="N600" i="18"/>
  <c r="Q600" i="18"/>
  <c r="T600" i="18" s="1"/>
  <c r="R600" i="18"/>
  <c r="S600" i="18"/>
  <c r="S599" i="18" s="1"/>
  <c r="L601" i="18"/>
  <c r="M601" i="18"/>
  <c r="P601" i="18" s="1"/>
  <c r="N601" i="18"/>
  <c r="O601" i="18"/>
  <c r="Q601" i="18"/>
  <c r="Q599" i="18" s="1"/>
  <c r="T599" i="18" s="1"/>
  <c r="R601" i="18"/>
  <c r="S601" i="18"/>
  <c r="T601" i="18"/>
  <c r="U601" i="18"/>
  <c r="L602" i="18"/>
  <c r="O602" i="18" s="1"/>
  <c r="M602" i="18"/>
  <c r="N602" i="18"/>
  <c r="P602" i="18"/>
  <c r="Q602" i="18"/>
  <c r="T602" i="18" s="1"/>
  <c r="R602" i="18"/>
  <c r="U602" i="18" s="1"/>
  <c r="S602" i="18"/>
  <c r="O603" i="18"/>
  <c r="P603" i="18"/>
  <c r="T603" i="18"/>
  <c r="U603" i="18"/>
  <c r="O604" i="18"/>
  <c r="P604" i="18"/>
  <c r="T604" i="18"/>
  <c r="U604" i="18"/>
  <c r="L605" i="18"/>
  <c r="O605" i="18" s="1"/>
  <c r="M605" i="18"/>
  <c r="N605" i="18"/>
  <c r="P605" i="18"/>
  <c r="Q605" i="18"/>
  <c r="T605" i="18" s="1"/>
  <c r="R605" i="18"/>
  <c r="U605" i="18" s="1"/>
  <c r="S605" i="18"/>
  <c r="O606" i="18"/>
  <c r="P606" i="18"/>
  <c r="T606" i="18"/>
  <c r="U606" i="18"/>
  <c r="O607" i="18"/>
  <c r="P607" i="18"/>
  <c r="T607" i="18"/>
  <c r="U607" i="18"/>
  <c r="J615" i="18"/>
  <c r="M616" i="18"/>
  <c r="P616" i="18" s="1"/>
  <c r="L617" i="18"/>
  <c r="M617" i="18"/>
  <c r="P617" i="18" s="1"/>
  <c r="N617" i="18"/>
  <c r="Q617" i="18"/>
  <c r="T617" i="18" s="1"/>
  <c r="R617" i="18"/>
  <c r="S617" i="18"/>
  <c r="L618" i="18"/>
  <c r="O618" i="18" s="1"/>
  <c r="M618" i="18"/>
  <c r="N618" i="18"/>
  <c r="N616" i="18" s="1"/>
  <c r="P618" i="18"/>
  <c r="L619" i="18"/>
  <c r="O619" i="18" s="1"/>
  <c r="M619" i="18"/>
  <c r="P619" i="18" s="1"/>
  <c r="N619" i="18"/>
  <c r="O620" i="18"/>
  <c r="P620" i="18"/>
  <c r="T620" i="18"/>
  <c r="U620" i="18"/>
  <c r="O621" i="18"/>
  <c r="P621" i="18"/>
  <c r="Q621" i="18"/>
  <c r="Q619" i="18" s="1"/>
  <c r="R621" i="18"/>
  <c r="S621" i="18"/>
  <c r="S618" i="18" s="1"/>
  <c r="S616" i="18" s="1"/>
  <c r="L622" i="18"/>
  <c r="O622" i="18" s="1"/>
  <c r="M622" i="18"/>
  <c r="P622" i="18" s="1"/>
  <c r="N622" i="18"/>
  <c r="Q622" i="18"/>
  <c r="T622" i="18" s="1"/>
  <c r="R622" i="18"/>
  <c r="U622" i="18" s="1"/>
  <c r="S622" i="18"/>
  <c r="O623" i="18"/>
  <c r="P623" i="18"/>
  <c r="T623" i="18"/>
  <c r="U623" i="18"/>
  <c r="O624" i="18"/>
  <c r="P624" i="18"/>
  <c r="T624" i="18"/>
  <c r="U624" i="18"/>
  <c r="I626" i="18"/>
  <c r="K631" i="18" s="1"/>
  <c r="J626" i="18"/>
  <c r="I627" i="18"/>
  <c r="K627" i="18" s="1"/>
  <c r="I628" i="18"/>
  <c r="K628" i="18" s="1"/>
  <c r="J632" i="18"/>
  <c r="I635" i="18"/>
  <c r="K635" i="18" s="1"/>
  <c r="J636" i="18"/>
  <c r="J635" i="18" s="1"/>
  <c r="L642" i="18"/>
  <c r="O642" i="18" s="1"/>
  <c r="L643" i="18"/>
  <c r="M643" i="18"/>
  <c r="P643" i="18" s="1"/>
  <c r="N643" i="18"/>
  <c r="O643" i="18"/>
  <c r="Q643" i="18"/>
  <c r="R643" i="18"/>
  <c r="U643" i="18" s="1"/>
  <c r="S643" i="18"/>
  <c r="L644" i="18"/>
  <c r="O644" i="18" s="1"/>
  <c r="M644" i="18"/>
  <c r="N644" i="18"/>
  <c r="L645" i="18"/>
  <c r="O645" i="18" s="1"/>
  <c r="M645" i="18"/>
  <c r="P645" i="18" s="1"/>
  <c r="N645" i="18"/>
  <c r="O646" i="18"/>
  <c r="P646" i="18"/>
  <c r="T646" i="18"/>
  <c r="U646" i="18"/>
  <c r="O647" i="18"/>
  <c r="P647" i="18"/>
  <c r="Q647" i="18"/>
  <c r="Q645" i="18" s="1"/>
  <c r="T645" i="18" s="1"/>
  <c r="R647" i="18"/>
  <c r="R644" i="18" s="1"/>
  <c r="U644" i="18" s="1"/>
  <c r="S647" i="18"/>
  <c r="S645" i="18" s="1"/>
  <c r="L648" i="18"/>
  <c r="M648" i="18"/>
  <c r="N648" i="18"/>
  <c r="O648" i="18"/>
  <c r="P648" i="18"/>
  <c r="Q648" i="18"/>
  <c r="T648" i="18" s="1"/>
  <c r="R648" i="18"/>
  <c r="S648" i="18"/>
  <c r="U648" i="18"/>
  <c r="O649" i="18"/>
  <c r="P649" i="18"/>
  <c r="T649" i="18"/>
  <c r="U649" i="18"/>
  <c r="O650" i="18"/>
  <c r="P650" i="18"/>
  <c r="T650" i="18"/>
  <c r="U650" i="18"/>
  <c r="I652" i="18"/>
  <c r="K652" i="18" s="1"/>
  <c r="J652" i="18"/>
  <c r="I653" i="18"/>
  <c r="K653" i="18" s="1"/>
  <c r="J653" i="18"/>
  <c r="I654" i="18"/>
  <c r="K654" i="18" s="1"/>
  <c r="J654" i="18"/>
  <c r="I657" i="18"/>
  <c r="I660" i="18"/>
  <c r="I661" i="18"/>
  <c r="K661" i="18" s="1"/>
  <c r="J661" i="18"/>
  <c r="J671" i="18"/>
  <c r="J672" i="18"/>
  <c r="I673" i="18"/>
  <c r="K673" i="18" s="1"/>
  <c r="J673" i="18"/>
  <c r="I674" i="18"/>
  <c r="K674" i="18" s="1"/>
  <c r="I675" i="18"/>
  <c r="K675" i="18" s="1"/>
  <c r="I676" i="18"/>
  <c r="K676" i="18" s="1"/>
  <c r="J676" i="18"/>
  <c r="J677" i="18"/>
  <c r="I678" i="18"/>
  <c r="K678" i="18" s="1"/>
  <c r="J678" i="18"/>
  <c r="I679" i="18"/>
  <c r="K679" i="18" s="1"/>
  <c r="J679" i="18"/>
  <c r="J680" i="18"/>
  <c r="I681" i="18"/>
  <c r="K681" i="18" s="1"/>
  <c r="J681" i="18"/>
  <c r="I682" i="18"/>
  <c r="K682" i="18" s="1"/>
  <c r="J682" i="18"/>
  <c r="L691" i="18"/>
  <c r="M691" i="18"/>
  <c r="P691" i="18" s="1"/>
  <c r="N691" i="18"/>
  <c r="N690" i="18" s="1"/>
  <c r="O691" i="18"/>
  <c r="Q691" i="18"/>
  <c r="R691" i="18"/>
  <c r="S691" i="18"/>
  <c r="U691" i="18"/>
  <c r="L692" i="18"/>
  <c r="O692" i="18" s="1"/>
  <c r="M692" i="18"/>
  <c r="N692" i="18"/>
  <c r="L693" i="18"/>
  <c r="O693" i="18" s="1"/>
  <c r="M693" i="18"/>
  <c r="P693" i="18" s="1"/>
  <c r="N693" i="18"/>
  <c r="O694" i="18"/>
  <c r="P694" i="18"/>
  <c r="T694" i="18"/>
  <c r="U694" i="18"/>
  <c r="O695" i="18"/>
  <c r="P695" i="18"/>
  <c r="Q695" i="18"/>
  <c r="Q693" i="18" s="1"/>
  <c r="R695" i="18"/>
  <c r="S695" i="18"/>
  <c r="L696" i="18"/>
  <c r="O696" i="18" s="1"/>
  <c r="M696" i="18"/>
  <c r="N696" i="18"/>
  <c r="P696" i="18"/>
  <c r="Q696" i="18"/>
  <c r="T696" i="18" s="1"/>
  <c r="R696" i="18"/>
  <c r="U696" i="18" s="1"/>
  <c r="S696" i="18"/>
  <c r="O697" i="18"/>
  <c r="P697" i="18"/>
  <c r="T697" i="18"/>
  <c r="U697" i="18"/>
  <c r="O698" i="18"/>
  <c r="P698" i="18"/>
  <c r="T698" i="18"/>
  <c r="U698" i="18"/>
  <c r="I700" i="18"/>
  <c r="K700" i="18" s="1"/>
  <c r="K702" i="18"/>
  <c r="I703" i="18"/>
  <c r="J703" i="18"/>
  <c r="J704" i="18"/>
  <c r="K704" i="18"/>
  <c r="I705" i="18"/>
  <c r="J705" i="18"/>
  <c r="J706" i="18"/>
  <c r="K706" i="18"/>
  <c r="I707" i="18"/>
  <c r="I689" i="18" s="1"/>
  <c r="J707" i="18"/>
  <c r="J689" i="18" s="1"/>
  <c r="J708" i="18"/>
  <c r="K708" i="18"/>
  <c r="I709" i="18"/>
  <c r="J709" i="18"/>
  <c r="J710" i="18"/>
  <c r="K710" i="18"/>
  <c r="J712" i="18"/>
  <c r="K712" i="18"/>
  <c r="L715" i="18"/>
  <c r="M715" i="18"/>
  <c r="P715" i="18" s="1"/>
  <c r="N715" i="18"/>
  <c r="Q715" i="18"/>
  <c r="R715" i="18"/>
  <c r="R714" i="18" s="1"/>
  <c r="U714" i="18" s="1"/>
  <c r="S715" i="18"/>
  <c r="S714" i="18" s="1"/>
  <c r="T715" i="18"/>
  <c r="L716" i="18"/>
  <c r="M716" i="18"/>
  <c r="N716" i="18"/>
  <c r="O716" i="18"/>
  <c r="P716" i="18"/>
  <c r="Q716" i="18"/>
  <c r="T716" i="18" s="1"/>
  <c r="R716" i="18"/>
  <c r="S716" i="18"/>
  <c r="U716" i="18"/>
  <c r="L717" i="18"/>
  <c r="O717" i="18" s="1"/>
  <c r="M717" i="18"/>
  <c r="P717" i="18" s="1"/>
  <c r="N717" i="18"/>
  <c r="Q717" i="18"/>
  <c r="T717" i="18" s="1"/>
  <c r="R717" i="18"/>
  <c r="U717" i="18" s="1"/>
  <c r="S717" i="18"/>
  <c r="O718" i="18"/>
  <c r="P718" i="18"/>
  <c r="T718" i="18"/>
  <c r="U718" i="18"/>
  <c r="O719" i="18"/>
  <c r="P719" i="18"/>
  <c r="T719" i="18"/>
  <c r="U719" i="18"/>
  <c r="L720" i="18"/>
  <c r="O720" i="18" s="1"/>
  <c r="M720" i="18"/>
  <c r="P720" i="18" s="1"/>
  <c r="N720" i="18"/>
  <c r="Q720" i="18"/>
  <c r="T720" i="18" s="1"/>
  <c r="R720" i="18"/>
  <c r="U720" i="18" s="1"/>
  <c r="S720" i="18"/>
  <c r="O721" i="18"/>
  <c r="P721" i="18"/>
  <c r="T721" i="18"/>
  <c r="U721" i="18"/>
  <c r="O722" i="18"/>
  <c r="P722" i="18"/>
  <c r="T722" i="18"/>
  <c r="U722" i="18"/>
  <c r="I726" i="18"/>
  <c r="J726" i="18"/>
  <c r="I727" i="18"/>
  <c r="K727" i="18" s="1"/>
  <c r="J727" i="18"/>
  <c r="L729" i="18"/>
  <c r="M729" i="18"/>
  <c r="P729" i="18" s="1"/>
  <c r="N729" i="18"/>
  <c r="Q729" i="18"/>
  <c r="T729" i="18" s="1"/>
  <c r="R729" i="18"/>
  <c r="S729" i="18"/>
  <c r="L730" i="18"/>
  <c r="O730" i="18" s="1"/>
  <c r="M730" i="18"/>
  <c r="P730" i="18" s="1"/>
  <c r="N730" i="18"/>
  <c r="L731" i="18"/>
  <c r="O731" i="18" s="1"/>
  <c r="M731" i="18"/>
  <c r="P731" i="18" s="1"/>
  <c r="N731" i="18"/>
  <c r="O732" i="18"/>
  <c r="P732" i="18"/>
  <c r="T732" i="18"/>
  <c r="U732" i="18"/>
  <c r="O733" i="18"/>
  <c r="P733" i="18"/>
  <c r="Q733" i="18"/>
  <c r="Q731" i="18" s="1"/>
  <c r="R733" i="18"/>
  <c r="R730" i="18" s="1"/>
  <c r="S733" i="18"/>
  <c r="S730" i="18" s="1"/>
  <c r="S728" i="18" s="1"/>
  <c r="L734" i="18"/>
  <c r="O734" i="18" s="1"/>
  <c r="M734" i="18"/>
  <c r="N734" i="18"/>
  <c r="P734" i="18"/>
  <c r="Q734" i="18"/>
  <c r="T734" i="18" s="1"/>
  <c r="R734" i="18"/>
  <c r="U734" i="18" s="1"/>
  <c r="S734" i="18"/>
  <c r="O735" i="18"/>
  <c r="P735" i="18"/>
  <c r="T735" i="18"/>
  <c r="U735" i="18"/>
  <c r="O736" i="18"/>
  <c r="P736" i="18"/>
  <c r="T736" i="18"/>
  <c r="U736" i="18"/>
  <c r="I740" i="18"/>
  <c r="K740" i="18" s="1"/>
  <c r="I742" i="18"/>
  <c r="K742" i="18" s="1"/>
  <c r="I744" i="18"/>
  <c r="K744" i="18" s="1"/>
  <c r="I746" i="18"/>
  <c r="K746" i="18" s="1"/>
  <c r="I749" i="18"/>
  <c r="K749" i="18" s="1"/>
  <c r="I752" i="18"/>
  <c r="K752" i="18" s="1"/>
  <c r="I755" i="18"/>
  <c r="K755" i="18" s="1"/>
  <c r="J758" i="18"/>
  <c r="J759" i="18"/>
  <c r="L761" i="18"/>
  <c r="M761" i="18"/>
  <c r="N761" i="18"/>
  <c r="O761" i="18"/>
  <c r="P761" i="18"/>
  <c r="Q761" i="18"/>
  <c r="R761" i="18"/>
  <c r="S761" i="18"/>
  <c r="U761" i="18"/>
  <c r="L762" i="18"/>
  <c r="O762" i="18" s="1"/>
  <c r="M762" i="18"/>
  <c r="P762" i="18" s="1"/>
  <c r="N762" i="18"/>
  <c r="L763" i="18"/>
  <c r="O763" i="18" s="1"/>
  <c r="M763" i="18"/>
  <c r="P763" i="18" s="1"/>
  <c r="N763" i="18"/>
  <c r="O764" i="18"/>
  <c r="P764" i="18"/>
  <c r="T764" i="18"/>
  <c r="U764" i="18"/>
  <c r="O765" i="18"/>
  <c r="P765" i="18"/>
  <c r="Q765" i="18"/>
  <c r="Q763" i="18" s="1"/>
  <c r="R765" i="18"/>
  <c r="S765" i="18"/>
  <c r="L766" i="18"/>
  <c r="O766" i="18" s="1"/>
  <c r="M766" i="18"/>
  <c r="N766" i="18"/>
  <c r="P766" i="18"/>
  <c r="Q766" i="18"/>
  <c r="T766" i="18" s="1"/>
  <c r="R766" i="18"/>
  <c r="U766" i="18" s="1"/>
  <c r="S766" i="18"/>
  <c r="O767" i="18"/>
  <c r="P767" i="18"/>
  <c r="T767" i="18"/>
  <c r="U767" i="18"/>
  <c r="O768" i="18"/>
  <c r="P768" i="18"/>
  <c r="T768" i="18"/>
  <c r="U768" i="18"/>
  <c r="I770" i="18"/>
  <c r="K770" i="18" s="1"/>
  <c r="I772" i="18"/>
  <c r="I758" i="18" s="1"/>
  <c r="K758" i="18" s="1"/>
  <c r="I774" i="18"/>
  <c r="K774" i="18" s="1"/>
  <c r="I775" i="18"/>
  <c r="I776" i="18"/>
  <c r="H777" i="18"/>
  <c r="I778" i="18"/>
  <c r="J778" i="18"/>
  <c r="I779" i="18"/>
  <c r="J779" i="18"/>
  <c r="I780" i="18"/>
  <c r="J780" i="18"/>
  <c r="I781" i="18"/>
  <c r="J781" i="18"/>
  <c r="I782" i="18"/>
  <c r="K782" i="18" s="1"/>
  <c r="J782" i="18"/>
  <c r="I783" i="18"/>
  <c r="K783" i="18" s="1"/>
  <c r="J783" i="18"/>
  <c r="I784" i="18"/>
  <c r="J784" i="18"/>
  <c r="I785" i="18"/>
  <c r="J785" i="18"/>
  <c r="A788" i="18"/>
  <c r="A789" i="18"/>
  <c r="L22" i="17"/>
  <c r="M22" i="17"/>
  <c r="M19" i="17" s="1"/>
  <c r="N22" i="17"/>
  <c r="N19" i="17" s="1"/>
  <c r="Q22" i="17"/>
  <c r="T22" i="17" s="1"/>
  <c r="R22" i="17"/>
  <c r="R19" i="17" s="1"/>
  <c r="S22" i="17"/>
  <c r="S19" i="17" s="1"/>
  <c r="Q24" i="17"/>
  <c r="T24" i="17" s="1"/>
  <c r="L25" i="17"/>
  <c r="L19" i="17" s="1"/>
  <c r="M25" i="17"/>
  <c r="N25" i="17"/>
  <c r="Q25" i="17"/>
  <c r="R25" i="17"/>
  <c r="S25" i="17"/>
  <c r="S24" i="17" s="1"/>
  <c r="T25" i="17"/>
  <c r="Q26" i="17"/>
  <c r="T26" i="17" s="1"/>
  <c r="R26" i="17"/>
  <c r="S26" i="17"/>
  <c r="U26" i="17"/>
  <c r="L45" i="17"/>
  <c r="M45" i="17"/>
  <c r="N45" i="17"/>
  <c r="O45" i="17"/>
  <c r="Q45" i="17"/>
  <c r="T45" i="17" s="1"/>
  <c r="R45" i="17"/>
  <c r="S45" i="17"/>
  <c r="S44" i="17" s="1"/>
  <c r="Q46" i="17"/>
  <c r="T46" i="17" s="1"/>
  <c r="R46" i="17"/>
  <c r="U46" i="17" s="1"/>
  <c r="S46" i="17"/>
  <c r="Q47" i="17"/>
  <c r="T47" i="17" s="1"/>
  <c r="R47" i="17"/>
  <c r="U47" i="17" s="1"/>
  <c r="S47" i="17"/>
  <c r="O48" i="17"/>
  <c r="P48" i="17"/>
  <c r="T48" i="17"/>
  <c r="U48" i="17"/>
  <c r="L49" i="17"/>
  <c r="M49" i="17"/>
  <c r="M47" i="17" s="1"/>
  <c r="N49" i="17"/>
  <c r="T49" i="17"/>
  <c r="U49" i="17"/>
  <c r="Q50" i="17"/>
  <c r="R50" i="17"/>
  <c r="S50" i="17"/>
  <c r="T50" i="17"/>
  <c r="U50" i="17"/>
  <c r="O51" i="17"/>
  <c r="P51" i="17"/>
  <c r="T51" i="17"/>
  <c r="U51" i="17"/>
  <c r="L52" i="17"/>
  <c r="M52" i="17"/>
  <c r="N52" i="17"/>
  <c r="N50" i="17" s="1"/>
  <c r="T52" i="17"/>
  <c r="U52" i="17"/>
  <c r="R59" i="17"/>
  <c r="U59" i="17" s="1"/>
  <c r="L60" i="17"/>
  <c r="O60" i="17" s="1"/>
  <c r="M60" i="17"/>
  <c r="N60" i="17"/>
  <c r="Q60" i="17"/>
  <c r="Q59" i="17" s="1"/>
  <c r="T59" i="17" s="1"/>
  <c r="R60" i="17"/>
  <c r="U60" i="17" s="1"/>
  <c r="S60" i="17"/>
  <c r="T60" i="17"/>
  <c r="Q61" i="17"/>
  <c r="T61" i="17" s="1"/>
  <c r="R61" i="17"/>
  <c r="S61" i="17"/>
  <c r="U61" i="17"/>
  <c r="Q62" i="17"/>
  <c r="T62" i="17" s="1"/>
  <c r="R62" i="17"/>
  <c r="U62" i="17" s="1"/>
  <c r="S62" i="17"/>
  <c r="O63" i="17"/>
  <c r="P63" i="17"/>
  <c r="T63" i="17"/>
  <c r="U63" i="17"/>
  <c r="L64" i="17"/>
  <c r="L62" i="17" s="1"/>
  <c r="M64" i="17"/>
  <c r="N64" i="17"/>
  <c r="T64" i="17"/>
  <c r="U64" i="17"/>
  <c r="Q65" i="17"/>
  <c r="T65" i="17" s="1"/>
  <c r="R65" i="17"/>
  <c r="U65" i="17" s="1"/>
  <c r="S65" i="17"/>
  <c r="O66" i="17"/>
  <c r="P66" i="17"/>
  <c r="T66" i="17"/>
  <c r="U66" i="17"/>
  <c r="L67" i="17"/>
  <c r="M67" i="17"/>
  <c r="N67" i="17"/>
  <c r="N65" i="17" s="1"/>
  <c r="T67" i="17"/>
  <c r="U67" i="17"/>
  <c r="L73" i="17"/>
  <c r="M73" i="17"/>
  <c r="N73" i="17"/>
  <c r="Q73" i="17"/>
  <c r="R73" i="17"/>
  <c r="S73" i="17"/>
  <c r="T73" i="17"/>
  <c r="U73" i="17"/>
  <c r="O76" i="17"/>
  <c r="P76" i="17"/>
  <c r="T76" i="17"/>
  <c r="U76" i="17"/>
  <c r="L77" i="17"/>
  <c r="L75" i="17" s="1"/>
  <c r="M77" i="17"/>
  <c r="N77" i="17"/>
  <c r="Q77" i="17"/>
  <c r="Q74" i="17" s="1"/>
  <c r="R77" i="17"/>
  <c r="S77" i="17"/>
  <c r="S75" i="17" s="1"/>
  <c r="Q78" i="17"/>
  <c r="T78" i="17" s="1"/>
  <c r="R78" i="17"/>
  <c r="U78" i="17" s="1"/>
  <c r="S78" i="17"/>
  <c r="O79" i="17"/>
  <c r="P79" i="17"/>
  <c r="T79" i="17"/>
  <c r="U79" i="17"/>
  <c r="L80" i="17"/>
  <c r="O80" i="17" s="1"/>
  <c r="M80" i="17"/>
  <c r="N80" i="17"/>
  <c r="N78" i="17" s="1"/>
  <c r="T80" i="17"/>
  <c r="U80" i="17"/>
  <c r="J82" i="17"/>
  <c r="J70" i="17" s="1"/>
  <c r="J83" i="17"/>
  <c r="J71" i="17" s="1"/>
  <c r="I84" i="17"/>
  <c r="I85" i="17"/>
  <c r="K85" i="17" s="1"/>
  <c r="I86" i="17"/>
  <c r="K86" i="17" s="1"/>
  <c r="I87" i="17"/>
  <c r="K87" i="17" s="1"/>
  <c r="I88" i="17"/>
  <c r="K88" i="17" s="1"/>
  <c r="I89" i="17"/>
  <c r="K89" i="17" s="1"/>
  <c r="I90" i="17"/>
  <c r="K90" i="17" s="1"/>
  <c r="J92" i="17"/>
  <c r="J93" i="17"/>
  <c r="L95" i="17"/>
  <c r="O95" i="17" s="1"/>
  <c r="M95" i="17"/>
  <c r="P95" i="17" s="1"/>
  <c r="N95" i="17"/>
  <c r="Q95" i="17"/>
  <c r="R95" i="17"/>
  <c r="U95" i="17" s="1"/>
  <c r="S95" i="17"/>
  <c r="T95" i="17"/>
  <c r="O98" i="17"/>
  <c r="P98" i="17"/>
  <c r="T98" i="17"/>
  <c r="U98" i="17"/>
  <c r="L99" i="17"/>
  <c r="L97" i="17" s="1"/>
  <c r="O97" i="17" s="1"/>
  <c r="M99" i="17"/>
  <c r="N99" i="17"/>
  <c r="N97" i="17" s="1"/>
  <c r="Q99" i="17"/>
  <c r="Q96" i="17" s="1"/>
  <c r="T96" i="17" s="1"/>
  <c r="R99" i="17"/>
  <c r="S99" i="17"/>
  <c r="S96" i="17" s="1"/>
  <c r="Q100" i="17"/>
  <c r="R100" i="17"/>
  <c r="U100" i="17" s="1"/>
  <c r="S100" i="17"/>
  <c r="T100" i="17"/>
  <c r="O101" i="17"/>
  <c r="P101" i="17"/>
  <c r="T101" i="17"/>
  <c r="U101" i="17"/>
  <c r="L102" i="17"/>
  <c r="M102" i="17"/>
  <c r="M100" i="17" s="1"/>
  <c r="P100" i="17" s="1"/>
  <c r="N102" i="17"/>
  <c r="N100" i="17" s="1"/>
  <c r="T102" i="17"/>
  <c r="U102" i="17"/>
  <c r="I108" i="17"/>
  <c r="K108" i="17" s="1"/>
  <c r="I109" i="17"/>
  <c r="I93" i="17" s="1"/>
  <c r="K93" i="17" s="1"/>
  <c r="I114" i="17"/>
  <c r="K114" i="17" s="1"/>
  <c r="J116" i="17"/>
  <c r="L118" i="17"/>
  <c r="M118" i="17"/>
  <c r="N118" i="17"/>
  <c r="O118" i="17"/>
  <c r="P118" i="17"/>
  <c r="Q118" i="17"/>
  <c r="T118" i="17" s="1"/>
  <c r="R118" i="17"/>
  <c r="S118" i="17"/>
  <c r="U118" i="17"/>
  <c r="O121" i="17"/>
  <c r="P121" i="17"/>
  <c r="T121" i="17"/>
  <c r="U121" i="17"/>
  <c r="L122" i="17"/>
  <c r="M122" i="17"/>
  <c r="P122" i="17" s="1"/>
  <c r="N122" i="17"/>
  <c r="N120" i="17" s="1"/>
  <c r="Q122" i="17"/>
  <c r="R122" i="17"/>
  <c r="R119" i="17" s="1"/>
  <c r="S122" i="17"/>
  <c r="S119" i="17" s="1"/>
  <c r="S117" i="17" s="1"/>
  <c r="Q123" i="17"/>
  <c r="T123" i="17" s="1"/>
  <c r="R123" i="17"/>
  <c r="U123" i="17" s="1"/>
  <c r="S123" i="17"/>
  <c r="O124" i="17"/>
  <c r="P124" i="17"/>
  <c r="T124" i="17"/>
  <c r="U124" i="17"/>
  <c r="L125" i="17"/>
  <c r="O125" i="17" s="1"/>
  <c r="M125" i="17"/>
  <c r="M123" i="17" s="1"/>
  <c r="P123" i="17" s="1"/>
  <c r="N125" i="17"/>
  <c r="N123" i="17" s="1"/>
  <c r="T125" i="17"/>
  <c r="U125" i="17"/>
  <c r="I127" i="17"/>
  <c r="I116" i="17" s="1"/>
  <c r="I128" i="17"/>
  <c r="K128" i="17" s="1"/>
  <c r="I129" i="17"/>
  <c r="K129" i="17" s="1"/>
  <c r="I130" i="17"/>
  <c r="K130" i="17" s="1"/>
  <c r="J136" i="17"/>
  <c r="J137" i="17"/>
  <c r="J138" i="17"/>
  <c r="L140" i="17"/>
  <c r="M140" i="17"/>
  <c r="N140" i="17"/>
  <c r="Q140" i="17"/>
  <c r="R140" i="17"/>
  <c r="S140" i="17"/>
  <c r="T140" i="17"/>
  <c r="O143" i="17"/>
  <c r="P143" i="17"/>
  <c r="T143" i="17"/>
  <c r="U143" i="17"/>
  <c r="L144" i="17"/>
  <c r="L142" i="17" s="1"/>
  <c r="M144" i="17"/>
  <c r="M142" i="17" s="1"/>
  <c r="N144" i="17"/>
  <c r="Q144" i="17"/>
  <c r="R144" i="17"/>
  <c r="R142" i="17" s="1"/>
  <c r="U142" i="17" s="1"/>
  <c r="S144" i="17"/>
  <c r="S141" i="17" s="1"/>
  <c r="Q145" i="17"/>
  <c r="T145" i="17" s="1"/>
  <c r="R145" i="17"/>
  <c r="U145" i="17" s="1"/>
  <c r="S145" i="17"/>
  <c r="O146" i="17"/>
  <c r="P146" i="17"/>
  <c r="T146" i="17"/>
  <c r="U146" i="17"/>
  <c r="L147" i="17"/>
  <c r="M147" i="17"/>
  <c r="M145" i="17" s="1"/>
  <c r="P145" i="17" s="1"/>
  <c r="N147" i="17"/>
  <c r="T147" i="17"/>
  <c r="U147" i="17"/>
  <c r="I150" i="17"/>
  <c r="K150" i="17" s="1"/>
  <c r="I151" i="17"/>
  <c r="K151" i="17" s="1"/>
  <c r="I152" i="17"/>
  <c r="I153" i="17"/>
  <c r="I138" i="17" s="1"/>
  <c r="K138" i="17" s="1"/>
  <c r="I154" i="17"/>
  <c r="J156" i="17"/>
  <c r="L158" i="17"/>
  <c r="O158" i="17" s="1"/>
  <c r="M158" i="17"/>
  <c r="N158" i="17"/>
  <c r="P158" i="17"/>
  <c r="Q158" i="17"/>
  <c r="T158" i="17" s="1"/>
  <c r="R158" i="17"/>
  <c r="U158" i="17" s="1"/>
  <c r="S158" i="17"/>
  <c r="O161" i="17"/>
  <c r="P161" i="17"/>
  <c r="T161" i="17"/>
  <c r="U161" i="17"/>
  <c r="L162" i="17"/>
  <c r="L160" i="17" s="1"/>
  <c r="O160" i="17" s="1"/>
  <c r="M162" i="17"/>
  <c r="P162" i="17" s="1"/>
  <c r="N162" i="17"/>
  <c r="Q162" i="17"/>
  <c r="Q160" i="17" s="1"/>
  <c r="T160" i="17" s="1"/>
  <c r="R162" i="17"/>
  <c r="R159" i="17" s="1"/>
  <c r="U159" i="17" s="1"/>
  <c r="S162" i="17"/>
  <c r="S159" i="17" s="1"/>
  <c r="S157" i="17" s="1"/>
  <c r="Q163" i="17"/>
  <c r="T163" i="17" s="1"/>
  <c r="R163" i="17"/>
  <c r="U163" i="17" s="1"/>
  <c r="S163" i="17"/>
  <c r="O164" i="17"/>
  <c r="P164" i="17"/>
  <c r="T164" i="17"/>
  <c r="U164" i="17"/>
  <c r="L165" i="17"/>
  <c r="O165" i="17" s="1"/>
  <c r="M165" i="17"/>
  <c r="P165" i="17" s="1"/>
  <c r="N165" i="17"/>
  <c r="N163" i="17" s="1"/>
  <c r="T165" i="17"/>
  <c r="U165" i="17"/>
  <c r="I167" i="17"/>
  <c r="I156" i="17" s="1"/>
  <c r="K156" i="17" s="1"/>
  <c r="J172" i="17"/>
  <c r="L174" i="17"/>
  <c r="M174" i="17"/>
  <c r="N174" i="17"/>
  <c r="O174" i="17"/>
  <c r="P174" i="17"/>
  <c r="Q174" i="17"/>
  <c r="T174" i="17" s="1"/>
  <c r="R174" i="17"/>
  <c r="S174" i="17"/>
  <c r="U174" i="17"/>
  <c r="O177" i="17"/>
  <c r="P177" i="17"/>
  <c r="T177" i="17"/>
  <c r="U177" i="17"/>
  <c r="L178" i="17"/>
  <c r="M178" i="17"/>
  <c r="M176" i="17" s="1"/>
  <c r="N178" i="17"/>
  <c r="N176" i="17" s="1"/>
  <c r="Q178" i="17"/>
  <c r="T178" i="17" s="1"/>
  <c r="R178" i="17"/>
  <c r="R175" i="17" s="1"/>
  <c r="U175" i="17" s="1"/>
  <c r="S178" i="17"/>
  <c r="S175" i="17" s="1"/>
  <c r="S173" i="17" s="1"/>
  <c r="Q179" i="17"/>
  <c r="T179" i="17" s="1"/>
  <c r="R179" i="17"/>
  <c r="U179" i="17" s="1"/>
  <c r="S179" i="17"/>
  <c r="O180" i="17"/>
  <c r="P180" i="17"/>
  <c r="T180" i="17"/>
  <c r="U180" i="17"/>
  <c r="L181" i="17"/>
  <c r="O181" i="17" s="1"/>
  <c r="M181" i="17"/>
  <c r="P181" i="17" s="1"/>
  <c r="N181" i="17"/>
  <c r="N179" i="17" s="1"/>
  <c r="T181" i="17"/>
  <c r="U181" i="17"/>
  <c r="I183" i="17"/>
  <c r="I172" i="17" s="1"/>
  <c r="K184" i="17"/>
  <c r="L187" i="17"/>
  <c r="M187" i="17"/>
  <c r="P187" i="17" s="1"/>
  <c r="N187" i="17"/>
  <c r="Q187" i="17"/>
  <c r="R187" i="17"/>
  <c r="S187" i="17"/>
  <c r="T187" i="17"/>
  <c r="U187" i="17"/>
  <c r="O190" i="17"/>
  <c r="P190" i="17"/>
  <c r="T190" i="17"/>
  <c r="U190" i="17"/>
  <c r="L191" i="17"/>
  <c r="M191" i="17"/>
  <c r="N191" i="17"/>
  <c r="N189" i="17" s="1"/>
  <c r="Q191" i="17"/>
  <c r="Q189" i="17" s="1"/>
  <c r="R191" i="17"/>
  <c r="R188" i="17" s="1"/>
  <c r="S191" i="17"/>
  <c r="S188" i="17" s="1"/>
  <c r="S186" i="17" s="1"/>
  <c r="Q192" i="17"/>
  <c r="T192" i="17" s="1"/>
  <c r="R192" i="17"/>
  <c r="U192" i="17" s="1"/>
  <c r="S192" i="17"/>
  <c r="O193" i="17"/>
  <c r="P193" i="17"/>
  <c r="T193" i="17"/>
  <c r="U193" i="17"/>
  <c r="L194" i="17"/>
  <c r="L192" i="17" s="1"/>
  <c r="O192" i="17" s="1"/>
  <c r="M194" i="17"/>
  <c r="M192" i="17" s="1"/>
  <c r="P192" i="17" s="1"/>
  <c r="N194" i="17"/>
  <c r="N192" i="17" s="1"/>
  <c r="T194" i="17"/>
  <c r="U194" i="17"/>
  <c r="J195" i="17"/>
  <c r="L196" i="17"/>
  <c r="O196" i="17" s="1"/>
  <c r="P196" i="17"/>
  <c r="I198" i="17"/>
  <c r="I195" i="17" s="1"/>
  <c r="K195" i="17" s="1"/>
  <c r="J199" i="17"/>
  <c r="J202" i="17"/>
  <c r="N203" i="17"/>
  <c r="P203" i="17"/>
  <c r="S203" i="17"/>
  <c r="U203" i="17"/>
  <c r="L204" i="17"/>
  <c r="L205" i="17"/>
  <c r="L206" i="17"/>
  <c r="Q206" i="17"/>
  <c r="Q203" i="17" s="1"/>
  <c r="L207" i="17"/>
  <c r="I209" i="17"/>
  <c r="I202" i="17" s="1"/>
  <c r="I211" i="17"/>
  <c r="K211" i="17" s="1"/>
  <c r="I212" i="17"/>
  <c r="K212" i="17" s="1"/>
  <c r="J213" i="17"/>
  <c r="N214" i="17"/>
  <c r="P214" i="17"/>
  <c r="S214" i="17"/>
  <c r="U214" i="17"/>
  <c r="L215" i="17"/>
  <c r="L216" i="17"/>
  <c r="L217" i="17"/>
  <c r="Q217" i="17"/>
  <c r="Q214" i="17" s="1"/>
  <c r="T214" i="17" s="1"/>
  <c r="I219" i="17"/>
  <c r="K219" i="17" s="1"/>
  <c r="I220" i="17"/>
  <c r="I213" i="17" s="1"/>
  <c r="J221" i="17"/>
  <c r="N222" i="17"/>
  <c r="P222" i="17"/>
  <c r="L223" i="17"/>
  <c r="L224" i="17"/>
  <c r="L225" i="17"/>
  <c r="I228" i="17"/>
  <c r="K228" i="17" s="1"/>
  <c r="I229" i="17"/>
  <c r="I230" i="17"/>
  <c r="N232" i="17"/>
  <c r="N233" i="17"/>
  <c r="N234" i="17"/>
  <c r="N235" i="17"/>
  <c r="N236" i="17"/>
  <c r="J238" i="17"/>
  <c r="J240" i="17"/>
  <c r="J241" i="17"/>
  <c r="J242" i="17"/>
  <c r="N243" i="17"/>
  <c r="P243" i="17"/>
  <c r="L244" i="17"/>
  <c r="L245" i="17"/>
  <c r="L246" i="17"/>
  <c r="L247" i="17"/>
  <c r="I249" i="17"/>
  <c r="I251" i="17"/>
  <c r="I252" i="17"/>
  <c r="K252" i="17" s="1"/>
  <c r="J253" i="17"/>
  <c r="N254" i="17"/>
  <c r="P254" i="17"/>
  <c r="L255" i="17"/>
  <c r="L256" i="17"/>
  <c r="L257" i="17"/>
  <c r="L258" i="17"/>
  <c r="I260" i="17"/>
  <c r="I262" i="17"/>
  <c r="K262" i="17" s="1"/>
  <c r="I263" i="17"/>
  <c r="K263" i="17" s="1"/>
  <c r="J265" i="17"/>
  <c r="L267" i="17"/>
  <c r="M267" i="17"/>
  <c r="N267" i="17"/>
  <c r="O267" i="17"/>
  <c r="Q267" i="17"/>
  <c r="R267" i="17"/>
  <c r="S267" i="17"/>
  <c r="O270" i="17"/>
  <c r="P270" i="17"/>
  <c r="T270" i="17"/>
  <c r="U270" i="17"/>
  <c r="L271" i="17"/>
  <c r="M271" i="17"/>
  <c r="M269" i="17" s="1"/>
  <c r="N271" i="17"/>
  <c r="N269" i="17" s="1"/>
  <c r="Q271" i="17"/>
  <c r="R271" i="17"/>
  <c r="R268" i="17" s="1"/>
  <c r="S271" i="17"/>
  <c r="S269" i="17" s="1"/>
  <c r="Q272" i="17"/>
  <c r="T272" i="17" s="1"/>
  <c r="R272" i="17"/>
  <c r="U272" i="17" s="1"/>
  <c r="S272" i="17"/>
  <c r="O273" i="17"/>
  <c r="P273" i="17"/>
  <c r="T273" i="17"/>
  <c r="U273" i="17"/>
  <c r="L274" i="17"/>
  <c r="L272" i="17" s="1"/>
  <c r="O272" i="17" s="1"/>
  <c r="M274" i="17"/>
  <c r="N274" i="17"/>
  <c r="N272" i="17" s="1"/>
  <c r="T274" i="17"/>
  <c r="U274" i="17"/>
  <c r="I276" i="17"/>
  <c r="K276" i="17" s="1"/>
  <c r="K277" i="17"/>
  <c r="J281" i="17"/>
  <c r="L283" i="17"/>
  <c r="M283" i="17"/>
  <c r="N283" i="17"/>
  <c r="O283" i="17"/>
  <c r="Q283" i="17"/>
  <c r="T283" i="17" s="1"/>
  <c r="R283" i="17"/>
  <c r="R282" i="17" s="1"/>
  <c r="U282" i="17" s="1"/>
  <c r="S283" i="17"/>
  <c r="U283" i="17"/>
  <c r="Q284" i="17"/>
  <c r="T284" i="17" s="1"/>
  <c r="R284" i="17"/>
  <c r="U284" i="17" s="1"/>
  <c r="S284" i="17"/>
  <c r="Q285" i="17"/>
  <c r="T285" i="17" s="1"/>
  <c r="R285" i="17"/>
  <c r="U285" i="17" s="1"/>
  <c r="S285" i="17"/>
  <c r="O286" i="17"/>
  <c r="P286" i="17"/>
  <c r="T286" i="17"/>
  <c r="U286" i="17"/>
  <c r="L287" i="17"/>
  <c r="M287" i="17"/>
  <c r="M285" i="17" s="1"/>
  <c r="P285" i="17" s="1"/>
  <c r="N287" i="17"/>
  <c r="T287" i="17"/>
  <c r="U287" i="17"/>
  <c r="Q288" i="17"/>
  <c r="R288" i="17"/>
  <c r="U288" i="17" s="1"/>
  <c r="S288" i="17"/>
  <c r="T288" i="17"/>
  <c r="O289" i="17"/>
  <c r="P289" i="17"/>
  <c r="T289" i="17"/>
  <c r="U289" i="17"/>
  <c r="L290" i="17"/>
  <c r="O290" i="17" s="1"/>
  <c r="M290" i="17"/>
  <c r="M288" i="17" s="1"/>
  <c r="P288" i="17" s="1"/>
  <c r="N290" i="17"/>
  <c r="N288" i="17" s="1"/>
  <c r="T290" i="17"/>
  <c r="U290" i="17"/>
  <c r="I292" i="17"/>
  <c r="K292" i="17" s="1"/>
  <c r="I293" i="17"/>
  <c r="K293" i="17" s="1"/>
  <c r="J293" i="17"/>
  <c r="J280" i="17" s="1"/>
  <c r="I295" i="17"/>
  <c r="K295" i="17" s="1"/>
  <c r="I296" i="17"/>
  <c r="K296" i="17" s="1"/>
  <c r="J302" i="17"/>
  <c r="L304" i="17"/>
  <c r="O304" i="17" s="1"/>
  <c r="M304" i="17"/>
  <c r="N304" i="17"/>
  <c r="Q304" i="17"/>
  <c r="R304" i="17"/>
  <c r="U304" i="17" s="1"/>
  <c r="S304" i="17"/>
  <c r="O307" i="17"/>
  <c r="P307" i="17"/>
  <c r="T307" i="17"/>
  <c r="U307" i="17"/>
  <c r="L308" i="17"/>
  <c r="M308" i="17"/>
  <c r="M306" i="17" s="1"/>
  <c r="P306" i="17" s="1"/>
  <c r="N308" i="17"/>
  <c r="N306" i="17" s="1"/>
  <c r="Q308" i="17"/>
  <c r="Q305" i="17" s="1"/>
  <c r="T305" i="17" s="1"/>
  <c r="R308" i="17"/>
  <c r="R305" i="17" s="1"/>
  <c r="U305" i="17" s="1"/>
  <c r="S308" i="17"/>
  <c r="S306" i="17" s="1"/>
  <c r="Q309" i="17"/>
  <c r="T309" i="17" s="1"/>
  <c r="R309" i="17"/>
  <c r="U309" i="17" s="1"/>
  <c r="S309" i="17"/>
  <c r="O310" i="17"/>
  <c r="P310" i="17"/>
  <c r="T310" i="17"/>
  <c r="U310" i="17"/>
  <c r="L311" i="17"/>
  <c r="L309" i="17" s="1"/>
  <c r="O309" i="17" s="1"/>
  <c r="M311" i="17"/>
  <c r="M309" i="17" s="1"/>
  <c r="P309" i="17" s="1"/>
  <c r="N311" i="17"/>
  <c r="N309" i="17" s="1"/>
  <c r="T311" i="17"/>
  <c r="U311" i="17"/>
  <c r="I314" i="17"/>
  <c r="K314" i="17" s="1"/>
  <c r="J319" i="17"/>
  <c r="L321" i="17"/>
  <c r="O321" i="17" s="1"/>
  <c r="M321" i="17"/>
  <c r="P321" i="17" s="1"/>
  <c r="N321" i="17"/>
  <c r="Q321" i="17"/>
  <c r="R321" i="17"/>
  <c r="R320" i="17" s="1"/>
  <c r="U320" i="17" s="1"/>
  <c r="S321" i="17"/>
  <c r="Q322" i="17"/>
  <c r="T322" i="17" s="1"/>
  <c r="R322" i="17"/>
  <c r="S322" i="17"/>
  <c r="U322" i="17"/>
  <c r="Q323" i="17"/>
  <c r="T323" i="17" s="1"/>
  <c r="R323" i="17"/>
  <c r="S323" i="17"/>
  <c r="U323" i="17"/>
  <c r="O324" i="17"/>
  <c r="P324" i="17"/>
  <c r="T324" i="17"/>
  <c r="U324" i="17"/>
  <c r="L325" i="17"/>
  <c r="M325" i="17"/>
  <c r="N325" i="17"/>
  <c r="N323" i="17" s="1"/>
  <c r="T325" i="17"/>
  <c r="U325" i="17"/>
  <c r="Q326" i="17"/>
  <c r="R326" i="17"/>
  <c r="U326" i="17" s="1"/>
  <c r="S326" i="17"/>
  <c r="T326" i="17"/>
  <c r="O327" i="17"/>
  <c r="P327" i="17"/>
  <c r="T327" i="17"/>
  <c r="U327" i="17"/>
  <c r="L328" i="17"/>
  <c r="O328" i="17" s="1"/>
  <c r="M328" i="17"/>
  <c r="P328" i="17" s="1"/>
  <c r="N328" i="17"/>
  <c r="T328" i="17"/>
  <c r="U328" i="17"/>
  <c r="I330" i="17"/>
  <c r="I319" i="17" s="1"/>
  <c r="K319" i="17" s="1"/>
  <c r="Q333" i="17"/>
  <c r="T333" i="17" s="1"/>
  <c r="L334" i="17"/>
  <c r="M334" i="17"/>
  <c r="N334" i="17"/>
  <c r="Q334" i="17"/>
  <c r="T334" i="17" s="1"/>
  <c r="R334" i="17"/>
  <c r="S334" i="17"/>
  <c r="Q335" i="17"/>
  <c r="R335" i="17"/>
  <c r="U335" i="17" s="1"/>
  <c r="S335" i="17"/>
  <c r="T335" i="17"/>
  <c r="Q336" i="17"/>
  <c r="T336" i="17" s="1"/>
  <c r="R336" i="17"/>
  <c r="U336" i="17" s="1"/>
  <c r="S336" i="17"/>
  <c r="O337" i="17"/>
  <c r="P337" i="17"/>
  <c r="T337" i="17"/>
  <c r="U337" i="17"/>
  <c r="L338" i="17"/>
  <c r="L336" i="17" s="1"/>
  <c r="M338" i="17"/>
  <c r="M336" i="17" s="1"/>
  <c r="N338" i="17"/>
  <c r="N336" i="17" s="1"/>
  <c r="T338" i="17"/>
  <c r="U338" i="17"/>
  <c r="Q339" i="17"/>
  <c r="R339" i="17"/>
  <c r="U339" i="17" s="1"/>
  <c r="S339" i="17"/>
  <c r="T339" i="17"/>
  <c r="O340" i="17"/>
  <c r="P340" i="17"/>
  <c r="T340" i="17"/>
  <c r="U340" i="17"/>
  <c r="L341" i="17"/>
  <c r="L339" i="17" s="1"/>
  <c r="O339" i="17" s="1"/>
  <c r="M341" i="17"/>
  <c r="P341" i="17" s="1"/>
  <c r="N341" i="17"/>
  <c r="N339" i="17" s="1"/>
  <c r="T341" i="17"/>
  <c r="U341" i="17"/>
  <c r="I344" i="17"/>
  <c r="I332" i="17" s="1"/>
  <c r="J344" i="17"/>
  <c r="I346" i="17"/>
  <c r="J346" i="17"/>
  <c r="J347" i="17"/>
  <c r="J348" i="17"/>
  <c r="J349" i="17"/>
  <c r="D350" i="17"/>
  <c r="J352" i="17"/>
  <c r="J353" i="17"/>
  <c r="D354" i="17"/>
  <c r="L357" i="17"/>
  <c r="M357" i="17"/>
  <c r="N357" i="17"/>
  <c r="O357" i="17"/>
  <c r="Q357" i="17"/>
  <c r="T357" i="17" s="1"/>
  <c r="R357" i="17"/>
  <c r="U357" i="17" s="1"/>
  <c r="S357" i="17"/>
  <c r="Q358" i="17"/>
  <c r="T358" i="17" s="1"/>
  <c r="R358" i="17"/>
  <c r="U358" i="17" s="1"/>
  <c r="S358" i="17"/>
  <c r="S356" i="17" s="1"/>
  <c r="Q359" i="17"/>
  <c r="T359" i="17" s="1"/>
  <c r="R359" i="17"/>
  <c r="S359" i="17"/>
  <c r="U359" i="17"/>
  <c r="O360" i="17"/>
  <c r="P360" i="17"/>
  <c r="T360" i="17"/>
  <c r="U360" i="17"/>
  <c r="L361" i="17"/>
  <c r="L359" i="17" s="1"/>
  <c r="M361" i="17"/>
  <c r="N361" i="17"/>
  <c r="T361" i="17"/>
  <c r="U361" i="17"/>
  <c r="Q362" i="17"/>
  <c r="T362" i="17" s="1"/>
  <c r="R362" i="17"/>
  <c r="U362" i="17" s="1"/>
  <c r="S362" i="17"/>
  <c r="O363" i="17"/>
  <c r="P363" i="17"/>
  <c r="T363" i="17"/>
  <c r="U363" i="17"/>
  <c r="L364" i="17"/>
  <c r="O364" i="17" s="1"/>
  <c r="M364" i="17"/>
  <c r="N364" i="17"/>
  <c r="N362" i="17" s="1"/>
  <c r="T364" i="17"/>
  <c r="U364" i="17"/>
  <c r="J367" i="17"/>
  <c r="K367" i="17"/>
  <c r="I368" i="17"/>
  <c r="J368" i="17"/>
  <c r="I369" i="17"/>
  <c r="J369" i="17"/>
  <c r="J370" i="17"/>
  <c r="K370" i="17"/>
  <c r="I371" i="17"/>
  <c r="J371" i="17"/>
  <c r="J365" i="17" s="1"/>
  <c r="J372" i="17"/>
  <c r="K372" i="17"/>
  <c r="D373" i="17"/>
  <c r="L376" i="17"/>
  <c r="M376" i="17"/>
  <c r="P376" i="17" s="1"/>
  <c r="N376" i="17"/>
  <c r="Q376" i="17"/>
  <c r="R376" i="17"/>
  <c r="U376" i="17" s="1"/>
  <c r="S376" i="17"/>
  <c r="L377" i="17"/>
  <c r="O377" i="17" s="1"/>
  <c r="M377" i="17"/>
  <c r="N377" i="17"/>
  <c r="L378" i="17"/>
  <c r="O378" i="17" s="1"/>
  <c r="M378" i="17"/>
  <c r="P378" i="17" s="1"/>
  <c r="N378" i="17"/>
  <c r="O379" i="17"/>
  <c r="P379" i="17"/>
  <c r="T379" i="17"/>
  <c r="U379" i="17"/>
  <c r="O380" i="17"/>
  <c r="P380" i="17"/>
  <c r="Q380" i="17"/>
  <c r="R380" i="17"/>
  <c r="R377" i="17" s="1"/>
  <c r="S380" i="17"/>
  <c r="S378" i="17" s="1"/>
  <c r="L381" i="17"/>
  <c r="O381" i="17" s="1"/>
  <c r="M381" i="17"/>
  <c r="N381" i="17"/>
  <c r="P381" i="17"/>
  <c r="Q381" i="17"/>
  <c r="T381" i="17" s="1"/>
  <c r="R381" i="17"/>
  <c r="U381" i="17" s="1"/>
  <c r="S381" i="17"/>
  <c r="O382" i="17"/>
  <c r="P382" i="17"/>
  <c r="T382" i="17"/>
  <c r="U382" i="17"/>
  <c r="O383" i="17"/>
  <c r="P383" i="17"/>
  <c r="T383" i="17"/>
  <c r="U383" i="17"/>
  <c r="J385" i="17"/>
  <c r="K385" i="17"/>
  <c r="I386" i="17"/>
  <c r="J386" i="17"/>
  <c r="J387" i="17"/>
  <c r="K387" i="17"/>
  <c r="I388" i="17"/>
  <c r="K388" i="17" s="1"/>
  <c r="J388" i="17"/>
  <c r="I391" i="17"/>
  <c r="J391" i="17"/>
  <c r="K391" i="17"/>
  <c r="L393" i="17"/>
  <c r="M393" i="17"/>
  <c r="N393" i="17"/>
  <c r="N392" i="17" s="1"/>
  <c r="Q393" i="17"/>
  <c r="R393" i="17"/>
  <c r="R392" i="17" s="1"/>
  <c r="U392" i="17" s="1"/>
  <c r="S393" i="17"/>
  <c r="T393" i="17"/>
  <c r="U393" i="17"/>
  <c r="L394" i="17"/>
  <c r="O394" i="17" s="1"/>
  <c r="M394" i="17"/>
  <c r="N394" i="17"/>
  <c r="P394" i="17"/>
  <c r="Q394" i="17"/>
  <c r="T394" i="17" s="1"/>
  <c r="R394" i="17"/>
  <c r="U394" i="17" s="1"/>
  <c r="S394" i="17"/>
  <c r="L395" i="17"/>
  <c r="O395" i="17" s="1"/>
  <c r="M395" i="17"/>
  <c r="P395" i="17" s="1"/>
  <c r="N395" i="17"/>
  <c r="Q395" i="17"/>
  <c r="T395" i="17" s="1"/>
  <c r="R395" i="17"/>
  <c r="U395" i="17" s="1"/>
  <c r="S395" i="17"/>
  <c r="O396" i="17"/>
  <c r="P396" i="17"/>
  <c r="T396" i="17"/>
  <c r="U396" i="17"/>
  <c r="O397" i="17"/>
  <c r="P397" i="17"/>
  <c r="T397" i="17"/>
  <c r="U397" i="17"/>
  <c r="L398" i="17"/>
  <c r="O398" i="17" s="1"/>
  <c r="M398" i="17"/>
  <c r="P398" i="17" s="1"/>
  <c r="N398" i="17"/>
  <c r="Q398" i="17"/>
  <c r="T398" i="17" s="1"/>
  <c r="R398" i="17"/>
  <c r="U398" i="17" s="1"/>
  <c r="S398" i="17"/>
  <c r="O399" i="17"/>
  <c r="P399" i="17"/>
  <c r="T399" i="17"/>
  <c r="U399" i="17"/>
  <c r="O400" i="17"/>
  <c r="P400" i="17"/>
  <c r="T400" i="17"/>
  <c r="U400" i="17"/>
  <c r="L414" i="17"/>
  <c r="M414" i="17"/>
  <c r="P414" i="17" s="1"/>
  <c r="N414" i="17"/>
  <c r="Q414" i="17"/>
  <c r="R414" i="17"/>
  <c r="U414" i="17" s="1"/>
  <c r="S414" i="17"/>
  <c r="T414" i="17"/>
  <c r="L415" i="17"/>
  <c r="O415" i="17" s="1"/>
  <c r="M415" i="17"/>
  <c r="N415" i="17"/>
  <c r="P415" i="17"/>
  <c r="L416" i="17"/>
  <c r="O416" i="17" s="1"/>
  <c r="M416" i="17"/>
  <c r="N416" i="17"/>
  <c r="P416" i="17"/>
  <c r="O417" i="17"/>
  <c r="P417" i="17"/>
  <c r="T417" i="17"/>
  <c r="U417" i="17"/>
  <c r="O418" i="17"/>
  <c r="P418" i="17"/>
  <c r="Q418" i="17"/>
  <c r="Q415" i="17" s="1"/>
  <c r="T415" i="17" s="1"/>
  <c r="R418" i="17"/>
  <c r="R415" i="17" s="1"/>
  <c r="U415" i="17" s="1"/>
  <c r="S418" i="17"/>
  <c r="S416" i="17" s="1"/>
  <c r="L419" i="17"/>
  <c r="O419" i="17" s="1"/>
  <c r="M419" i="17"/>
  <c r="P419" i="17" s="1"/>
  <c r="N419" i="17"/>
  <c r="Q419" i="17"/>
  <c r="R419" i="17"/>
  <c r="U419" i="17" s="1"/>
  <c r="S419" i="17"/>
  <c r="T419" i="17"/>
  <c r="O420" i="17"/>
  <c r="P420" i="17"/>
  <c r="T420" i="17"/>
  <c r="U420" i="17"/>
  <c r="O421" i="17"/>
  <c r="P421" i="17"/>
  <c r="T421" i="17"/>
  <c r="U421" i="17"/>
  <c r="I424" i="17"/>
  <c r="K424" i="17" s="1"/>
  <c r="J424" i="17"/>
  <c r="I425" i="17"/>
  <c r="K425" i="17" s="1"/>
  <c r="J425" i="17"/>
  <c r="I432" i="17"/>
  <c r="K432" i="17" s="1"/>
  <c r="J432" i="17"/>
  <c r="I433" i="17"/>
  <c r="K433" i="17" s="1"/>
  <c r="J433" i="17"/>
  <c r="I440" i="17"/>
  <c r="K440" i="17" s="1"/>
  <c r="I441" i="17"/>
  <c r="K441" i="17" s="1"/>
  <c r="J446" i="17"/>
  <c r="J440" i="17" s="1"/>
  <c r="J423" i="17" s="1"/>
  <c r="J412" i="17" s="1"/>
  <c r="J447" i="17"/>
  <c r="J441" i="17" s="1"/>
  <c r="I457" i="17"/>
  <c r="I456" i="17" s="1"/>
  <c r="K456" i="17" s="1"/>
  <c r="I458" i="17"/>
  <c r="K458" i="17" s="1"/>
  <c r="J459" i="17"/>
  <c r="J460" i="17"/>
  <c r="J458" i="17" s="1"/>
  <c r="J467" i="17"/>
  <c r="J457" i="17" s="1"/>
  <c r="J456" i="17" s="1"/>
  <c r="J468" i="17"/>
  <c r="J475" i="17"/>
  <c r="K475" i="17"/>
  <c r="J476" i="17"/>
  <c r="K476" i="17"/>
  <c r="J477" i="17"/>
  <c r="K477" i="17"/>
  <c r="J482" i="17"/>
  <c r="J483" i="17"/>
  <c r="I484" i="17"/>
  <c r="J484" i="17"/>
  <c r="K484" i="17"/>
  <c r="I485" i="17"/>
  <c r="J485" i="17"/>
  <c r="K485" i="17"/>
  <c r="L494" i="17"/>
  <c r="L493" i="17" s="1"/>
  <c r="O493" i="17" s="1"/>
  <c r="M494" i="17"/>
  <c r="N494" i="17"/>
  <c r="Q494" i="17"/>
  <c r="T494" i="17" s="1"/>
  <c r="R494" i="17"/>
  <c r="S494" i="17"/>
  <c r="L495" i="17"/>
  <c r="O495" i="17" s="1"/>
  <c r="M495" i="17"/>
  <c r="N495" i="17"/>
  <c r="P495" i="17"/>
  <c r="L496" i="17"/>
  <c r="O496" i="17" s="1"/>
  <c r="M496" i="17"/>
  <c r="N496" i="17"/>
  <c r="P496" i="17"/>
  <c r="O497" i="17"/>
  <c r="P497" i="17"/>
  <c r="T497" i="17"/>
  <c r="U497" i="17"/>
  <c r="O498" i="17"/>
  <c r="P498" i="17"/>
  <c r="Q498" i="17"/>
  <c r="Q495" i="17" s="1"/>
  <c r="T495" i="17" s="1"/>
  <c r="R498" i="17"/>
  <c r="R496" i="17" s="1"/>
  <c r="U496" i="17" s="1"/>
  <c r="S498" i="17"/>
  <c r="S495" i="17" s="1"/>
  <c r="L499" i="17"/>
  <c r="O499" i="17" s="1"/>
  <c r="M499" i="17"/>
  <c r="P499" i="17" s="1"/>
  <c r="N499" i="17"/>
  <c r="Q499" i="17"/>
  <c r="T499" i="17" s="1"/>
  <c r="R499" i="17"/>
  <c r="U499" i="17" s="1"/>
  <c r="S499" i="17"/>
  <c r="O500" i="17"/>
  <c r="P500" i="17"/>
  <c r="T500" i="17"/>
  <c r="U500" i="17"/>
  <c r="O501" i="17"/>
  <c r="P501" i="17"/>
  <c r="T501" i="17"/>
  <c r="U501" i="17"/>
  <c r="I503" i="17"/>
  <c r="I492" i="17" s="1"/>
  <c r="K492" i="17" s="1"/>
  <c r="I504" i="17"/>
  <c r="K504" i="17" s="1"/>
  <c r="I505" i="17"/>
  <c r="K505" i="17" s="1"/>
  <c r="I506" i="17"/>
  <c r="K506" i="17" s="1"/>
  <c r="I507" i="17"/>
  <c r="K507" i="17" s="1"/>
  <c r="K508" i="17"/>
  <c r="I509" i="17"/>
  <c r="K509" i="17" s="1"/>
  <c r="I512" i="17"/>
  <c r="K512" i="17" s="1"/>
  <c r="J512" i="17"/>
  <c r="L514" i="17"/>
  <c r="O514" i="17" s="1"/>
  <c r="M514" i="17"/>
  <c r="P514" i="17" s="1"/>
  <c r="N514" i="17"/>
  <c r="Q514" i="17"/>
  <c r="R514" i="17"/>
  <c r="U514" i="17" s="1"/>
  <c r="S514" i="17"/>
  <c r="S513" i="17" s="1"/>
  <c r="Q515" i="17"/>
  <c r="T515" i="17" s="1"/>
  <c r="R515" i="17"/>
  <c r="U515" i="17" s="1"/>
  <c r="S515" i="17"/>
  <c r="Q516" i="17"/>
  <c r="T516" i="17" s="1"/>
  <c r="R516" i="17"/>
  <c r="S516" i="17"/>
  <c r="U516" i="17"/>
  <c r="O517" i="17"/>
  <c r="P517" i="17"/>
  <c r="T517" i="17"/>
  <c r="U517" i="17"/>
  <c r="L518" i="17"/>
  <c r="L516" i="17" s="1"/>
  <c r="O516" i="17" s="1"/>
  <c r="M518" i="17"/>
  <c r="N518" i="17"/>
  <c r="N516" i="17" s="1"/>
  <c r="T518" i="17"/>
  <c r="U518" i="17"/>
  <c r="Q519" i="17"/>
  <c r="T519" i="17" s="1"/>
  <c r="R519" i="17"/>
  <c r="U519" i="17" s="1"/>
  <c r="S519" i="17"/>
  <c r="O520" i="17"/>
  <c r="P520" i="17"/>
  <c r="T520" i="17"/>
  <c r="U520" i="17"/>
  <c r="L521" i="17"/>
  <c r="O521" i="17" s="1"/>
  <c r="M521" i="17"/>
  <c r="M519" i="17" s="1"/>
  <c r="P519" i="17" s="1"/>
  <c r="N521" i="17"/>
  <c r="N519" i="17" s="1"/>
  <c r="T521" i="17"/>
  <c r="U521" i="17"/>
  <c r="K523" i="17"/>
  <c r="K524" i="17"/>
  <c r="I533" i="17"/>
  <c r="K533" i="17" s="1"/>
  <c r="J533" i="17"/>
  <c r="L535" i="17"/>
  <c r="M535" i="17"/>
  <c r="P535" i="17" s="1"/>
  <c r="N535" i="17"/>
  <c r="Q535" i="17"/>
  <c r="R535" i="17"/>
  <c r="S535" i="17"/>
  <c r="L536" i="17"/>
  <c r="O536" i="17" s="1"/>
  <c r="M536" i="17"/>
  <c r="N536" i="17"/>
  <c r="Q536" i="17"/>
  <c r="R536" i="17"/>
  <c r="U536" i="17" s="1"/>
  <c r="S536" i="17"/>
  <c r="S534" i="17" s="1"/>
  <c r="T536" i="17"/>
  <c r="L537" i="17"/>
  <c r="M537" i="17"/>
  <c r="N537" i="17"/>
  <c r="O537" i="17"/>
  <c r="P537" i="17"/>
  <c r="Q537" i="17"/>
  <c r="T537" i="17" s="1"/>
  <c r="R537" i="17"/>
  <c r="U537" i="17" s="1"/>
  <c r="S537" i="17"/>
  <c r="O538" i="17"/>
  <c r="P538" i="17"/>
  <c r="T538" i="17"/>
  <c r="U538" i="17"/>
  <c r="O539" i="17"/>
  <c r="P539" i="17"/>
  <c r="T539" i="17"/>
  <c r="U539" i="17"/>
  <c r="L540" i="17"/>
  <c r="O540" i="17" s="1"/>
  <c r="M540" i="17"/>
  <c r="N540" i="17"/>
  <c r="P540" i="17"/>
  <c r="Q540" i="17"/>
  <c r="T540" i="17" s="1"/>
  <c r="R540" i="17"/>
  <c r="U540" i="17" s="1"/>
  <c r="S540" i="17"/>
  <c r="O541" i="17"/>
  <c r="P541" i="17"/>
  <c r="T541" i="17"/>
  <c r="U541" i="17"/>
  <c r="O542" i="17"/>
  <c r="P542" i="17"/>
  <c r="T542" i="17"/>
  <c r="U542" i="17"/>
  <c r="I554" i="17"/>
  <c r="K554" i="17" s="1"/>
  <c r="J554" i="17"/>
  <c r="L556" i="17"/>
  <c r="M556" i="17"/>
  <c r="N556" i="17"/>
  <c r="Q556" i="17"/>
  <c r="R556" i="17"/>
  <c r="S556" i="17"/>
  <c r="S555" i="17" s="1"/>
  <c r="T556" i="17"/>
  <c r="U556" i="17"/>
  <c r="L557" i="17"/>
  <c r="O557" i="17" s="1"/>
  <c r="M557" i="17"/>
  <c r="N557" i="17"/>
  <c r="P557" i="17"/>
  <c r="Q557" i="17"/>
  <c r="T557" i="17" s="1"/>
  <c r="R557" i="17"/>
  <c r="U557" i="17" s="1"/>
  <c r="S557" i="17"/>
  <c r="L558" i="17"/>
  <c r="O558" i="17" s="1"/>
  <c r="M558" i="17"/>
  <c r="P558" i="17" s="1"/>
  <c r="N558" i="17"/>
  <c r="Q558" i="17"/>
  <c r="T558" i="17" s="1"/>
  <c r="R558" i="17"/>
  <c r="U558" i="17" s="1"/>
  <c r="S558" i="17"/>
  <c r="O559" i="17"/>
  <c r="P559" i="17"/>
  <c r="T559" i="17"/>
  <c r="U559" i="17"/>
  <c r="O560" i="17"/>
  <c r="P560" i="17"/>
  <c r="T560" i="17"/>
  <c r="U560" i="17"/>
  <c r="L561" i="17"/>
  <c r="O561" i="17" s="1"/>
  <c r="M561" i="17"/>
  <c r="P561" i="17" s="1"/>
  <c r="N561" i="17"/>
  <c r="Q561" i="17"/>
  <c r="T561" i="17" s="1"/>
  <c r="R561" i="17"/>
  <c r="U561" i="17" s="1"/>
  <c r="S561" i="17"/>
  <c r="O562" i="17"/>
  <c r="P562" i="17"/>
  <c r="T562" i="17"/>
  <c r="U562" i="17"/>
  <c r="O563" i="17"/>
  <c r="P563" i="17"/>
  <c r="T563" i="17"/>
  <c r="U563" i="17"/>
  <c r="I575" i="17"/>
  <c r="K575" i="17" s="1"/>
  <c r="J575" i="17"/>
  <c r="L577" i="17"/>
  <c r="M577" i="17"/>
  <c r="P577" i="17" s="1"/>
  <c r="N577" i="17"/>
  <c r="N576" i="17" s="1"/>
  <c r="Q577" i="17"/>
  <c r="R577" i="17"/>
  <c r="S577" i="17"/>
  <c r="L578" i="17"/>
  <c r="O578" i="17" s="1"/>
  <c r="M578" i="17"/>
  <c r="P578" i="17" s="1"/>
  <c r="N578" i="17"/>
  <c r="Q578" i="17"/>
  <c r="T578" i="17" s="1"/>
  <c r="R578" i="17"/>
  <c r="U578" i="17" s="1"/>
  <c r="S578" i="17"/>
  <c r="S576" i="17" s="1"/>
  <c r="L579" i="17"/>
  <c r="O579" i="17" s="1"/>
  <c r="M579" i="17"/>
  <c r="P579" i="17" s="1"/>
  <c r="N579" i="17"/>
  <c r="Q579" i="17"/>
  <c r="T579" i="17" s="1"/>
  <c r="R579" i="17"/>
  <c r="U579" i="17" s="1"/>
  <c r="S579" i="17"/>
  <c r="O580" i="17"/>
  <c r="P580" i="17"/>
  <c r="T580" i="17"/>
  <c r="U580" i="17"/>
  <c r="O581" i="17"/>
  <c r="P581" i="17"/>
  <c r="T581" i="17"/>
  <c r="U581" i="17"/>
  <c r="L582" i="17"/>
  <c r="O582" i="17" s="1"/>
  <c r="M582" i="17"/>
  <c r="P582" i="17" s="1"/>
  <c r="N582" i="17"/>
  <c r="Q582" i="17"/>
  <c r="R582" i="17"/>
  <c r="U582" i="17" s="1"/>
  <c r="S582" i="17"/>
  <c r="T582" i="17"/>
  <c r="O583" i="17"/>
  <c r="P583" i="17"/>
  <c r="T583" i="17"/>
  <c r="U583" i="17"/>
  <c r="O584" i="17"/>
  <c r="P584" i="17"/>
  <c r="T584" i="17"/>
  <c r="U584" i="17"/>
  <c r="M599" i="17"/>
  <c r="P599" i="17"/>
  <c r="L600" i="17"/>
  <c r="M600" i="17"/>
  <c r="N600" i="17"/>
  <c r="P600" i="17"/>
  <c r="Q600" i="17"/>
  <c r="R600" i="17"/>
  <c r="S600" i="17"/>
  <c r="L601" i="17"/>
  <c r="O601" i="17" s="1"/>
  <c r="M601" i="17"/>
  <c r="P601" i="17" s="1"/>
  <c r="N601" i="17"/>
  <c r="Q601" i="17"/>
  <c r="T601" i="17" s="1"/>
  <c r="R601" i="17"/>
  <c r="U601" i="17" s="1"/>
  <c r="S601" i="17"/>
  <c r="S599" i="17" s="1"/>
  <c r="L602" i="17"/>
  <c r="M602" i="17"/>
  <c r="P602" i="17" s="1"/>
  <c r="N602" i="17"/>
  <c r="O602" i="17"/>
  <c r="Q602" i="17"/>
  <c r="T602" i="17" s="1"/>
  <c r="R602" i="17"/>
  <c r="U602" i="17" s="1"/>
  <c r="S602" i="17"/>
  <c r="O603" i="17"/>
  <c r="P603" i="17"/>
  <c r="T603" i="17"/>
  <c r="U603" i="17"/>
  <c r="O604" i="17"/>
  <c r="P604" i="17"/>
  <c r="T604" i="17"/>
  <c r="U604" i="17"/>
  <c r="L605" i="17"/>
  <c r="M605" i="17"/>
  <c r="P605" i="17" s="1"/>
  <c r="N605" i="17"/>
  <c r="O605" i="17"/>
  <c r="Q605" i="17"/>
  <c r="T605" i="17" s="1"/>
  <c r="R605" i="17"/>
  <c r="U605" i="17" s="1"/>
  <c r="S605" i="17"/>
  <c r="O606" i="17"/>
  <c r="P606" i="17"/>
  <c r="T606" i="17"/>
  <c r="U606" i="17"/>
  <c r="O607" i="17"/>
  <c r="P607" i="17"/>
  <c r="T607" i="17"/>
  <c r="U607" i="17"/>
  <c r="L616" i="17"/>
  <c r="O616" i="17" s="1"/>
  <c r="L617" i="17"/>
  <c r="M617" i="17"/>
  <c r="M616" i="17" s="1"/>
  <c r="P616" i="17" s="1"/>
  <c r="N617" i="17"/>
  <c r="N616" i="17" s="1"/>
  <c r="O617" i="17"/>
  <c r="Q617" i="17"/>
  <c r="R617" i="17"/>
  <c r="S617" i="17"/>
  <c r="T617" i="17"/>
  <c r="U617" i="17"/>
  <c r="L618" i="17"/>
  <c r="O618" i="17" s="1"/>
  <c r="M618" i="17"/>
  <c r="N618" i="17"/>
  <c r="P618" i="17"/>
  <c r="L619" i="17"/>
  <c r="O619" i="17" s="1"/>
  <c r="M619" i="17"/>
  <c r="P619" i="17" s="1"/>
  <c r="N619" i="17"/>
  <c r="O620" i="17"/>
  <c r="P620" i="17"/>
  <c r="T620" i="17"/>
  <c r="U620" i="17"/>
  <c r="O621" i="17"/>
  <c r="P621" i="17"/>
  <c r="Q621" i="17"/>
  <c r="R621" i="17"/>
  <c r="S621" i="17"/>
  <c r="S618" i="17" s="1"/>
  <c r="L622" i="17"/>
  <c r="M622" i="17"/>
  <c r="P622" i="17" s="1"/>
  <c r="N622" i="17"/>
  <c r="O622" i="17"/>
  <c r="Q622" i="17"/>
  <c r="T622" i="17" s="1"/>
  <c r="R622" i="17"/>
  <c r="S622" i="17"/>
  <c r="U622" i="17"/>
  <c r="O623" i="17"/>
  <c r="P623" i="17"/>
  <c r="T623" i="17"/>
  <c r="U623" i="17"/>
  <c r="O624" i="17"/>
  <c r="P624" i="17"/>
  <c r="T624" i="17"/>
  <c r="U624" i="17"/>
  <c r="I626" i="17"/>
  <c r="I627" i="17"/>
  <c r="K627" i="17" s="1"/>
  <c r="I628" i="17"/>
  <c r="K628" i="17" s="1"/>
  <c r="J632" i="17"/>
  <c r="J626" i="17" s="1"/>
  <c r="J615" i="17" s="1"/>
  <c r="I635" i="17"/>
  <c r="K635" i="17" s="1"/>
  <c r="J636" i="17"/>
  <c r="J635" i="17" s="1"/>
  <c r="L643" i="17"/>
  <c r="O643" i="17" s="1"/>
  <c r="M643" i="17"/>
  <c r="N643" i="17"/>
  <c r="Q643" i="17"/>
  <c r="R643" i="17"/>
  <c r="U643" i="17" s="1"/>
  <c r="S643" i="17"/>
  <c r="L644" i="17"/>
  <c r="M644" i="17"/>
  <c r="P644" i="17" s="1"/>
  <c r="N644" i="17"/>
  <c r="O644" i="17"/>
  <c r="L645" i="17"/>
  <c r="M645" i="17"/>
  <c r="N645" i="17"/>
  <c r="O645" i="17"/>
  <c r="P645" i="17"/>
  <c r="O646" i="17"/>
  <c r="P646" i="17"/>
  <c r="T646" i="17"/>
  <c r="U646" i="17"/>
  <c r="O647" i="17"/>
  <c r="P647" i="17"/>
  <c r="Q647" i="17"/>
  <c r="Q644" i="17" s="1"/>
  <c r="R647" i="17"/>
  <c r="R645" i="17" s="1"/>
  <c r="S647" i="17"/>
  <c r="S645" i="17" s="1"/>
  <c r="L648" i="17"/>
  <c r="O648" i="17" s="1"/>
  <c r="M648" i="17"/>
  <c r="P648" i="17" s="1"/>
  <c r="N648" i="17"/>
  <c r="Q648" i="17"/>
  <c r="R648" i="17"/>
  <c r="U648" i="17" s="1"/>
  <c r="S648" i="17"/>
  <c r="T648" i="17"/>
  <c r="O649" i="17"/>
  <c r="P649" i="17"/>
  <c r="T649" i="17"/>
  <c r="U649" i="17"/>
  <c r="O650" i="17"/>
  <c r="P650" i="17"/>
  <c r="T650" i="17"/>
  <c r="U650" i="17"/>
  <c r="I652" i="17"/>
  <c r="K652" i="17" s="1"/>
  <c r="J652" i="17"/>
  <c r="I653" i="17"/>
  <c r="K653" i="17" s="1"/>
  <c r="J653" i="17"/>
  <c r="I654" i="17"/>
  <c r="J654" i="17"/>
  <c r="I657" i="17"/>
  <c r="I660" i="17"/>
  <c r="I661" i="17"/>
  <c r="J661" i="17"/>
  <c r="J671" i="17"/>
  <c r="J672" i="17"/>
  <c r="I673" i="17"/>
  <c r="J673" i="17"/>
  <c r="I674" i="17"/>
  <c r="I675" i="17"/>
  <c r="I676" i="17"/>
  <c r="J676" i="17"/>
  <c r="J677" i="17"/>
  <c r="I678" i="17"/>
  <c r="J678" i="17"/>
  <c r="I679" i="17"/>
  <c r="K679" i="17" s="1"/>
  <c r="J679" i="17"/>
  <c r="J680" i="17"/>
  <c r="I681" i="17"/>
  <c r="K681" i="17" s="1"/>
  <c r="J681" i="17"/>
  <c r="I682" i="17"/>
  <c r="K682" i="17" s="1"/>
  <c r="J682" i="17"/>
  <c r="L691" i="17"/>
  <c r="O691" i="17" s="1"/>
  <c r="M691" i="17"/>
  <c r="N691" i="17"/>
  <c r="N690" i="17" s="1"/>
  <c r="Q691" i="17"/>
  <c r="R691" i="17"/>
  <c r="U691" i="17" s="1"/>
  <c r="S691" i="17"/>
  <c r="T691" i="17"/>
  <c r="L692" i="17"/>
  <c r="M692" i="17"/>
  <c r="N692" i="17"/>
  <c r="P692" i="17"/>
  <c r="L693" i="17"/>
  <c r="O693" i="17" s="1"/>
  <c r="M693" i="17"/>
  <c r="N693" i="17"/>
  <c r="P693" i="17"/>
  <c r="O694" i="17"/>
  <c r="P694" i="17"/>
  <c r="T694" i="17"/>
  <c r="U694" i="17"/>
  <c r="O695" i="17"/>
  <c r="P695" i="17"/>
  <c r="Q695" i="17"/>
  <c r="R695" i="17"/>
  <c r="R692" i="17" s="1"/>
  <c r="S695" i="17"/>
  <c r="S692" i="17" s="1"/>
  <c r="L696" i="17"/>
  <c r="O696" i="17" s="1"/>
  <c r="M696" i="17"/>
  <c r="P696" i="17" s="1"/>
  <c r="N696" i="17"/>
  <c r="Q696" i="17"/>
  <c r="T696" i="17" s="1"/>
  <c r="R696" i="17"/>
  <c r="U696" i="17" s="1"/>
  <c r="S696" i="17"/>
  <c r="O697" i="17"/>
  <c r="P697" i="17"/>
  <c r="T697" i="17"/>
  <c r="U697" i="17"/>
  <c r="O698" i="17"/>
  <c r="P698" i="17"/>
  <c r="T698" i="17"/>
  <c r="U698" i="17"/>
  <c r="I700" i="17"/>
  <c r="K700" i="17" s="1"/>
  <c r="K702" i="17"/>
  <c r="I703" i="17"/>
  <c r="J703" i="17"/>
  <c r="J704" i="17"/>
  <c r="K704" i="17"/>
  <c r="I705" i="17"/>
  <c r="J705" i="17"/>
  <c r="J706" i="17"/>
  <c r="K706" i="17"/>
  <c r="I707" i="17"/>
  <c r="J707" i="17"/>
  <c r="J689" i="17" s="1"/>
  <c r="J708" i="17"/>
  <c r="K708" i="17"/>
  <c r="I709" i="17"/>
  <c r="J709" i="17"/>
  <c r="J710" i="17"/>
  <c r="K710" i="17"/>
  <c r="J712" i="17"/>
  <c r="K712" i="17"/>
  <c r="L715" i="17"/>
  <c r="M715" i="17"/>
  <c r="N715" i="17"/>
  <c r="P715" i="17"/>
  <c r="Q715" i="17"/>
  <c r="R715" i="17"/>
  <c r="R714" i="17" s="1"/>
  <c r="U714" i="17" s="1"/>
  <c r="S715" i="17"/>
  <c r="S714" i="17" s="1"/>
  <c r="L716" i="17"/>
  <c r="O716" i="17" s="1"/>
  <c r="M716" i="17"/>
  <c r="P716" i="17" s="1"/>
  <c r="N716" i="17"/>
  <c r="Q716" i="17"/>
  <c r="R716" i="17"/>
  <c r="U716" i="17" s="1"/>
  <c r="S716" i="17"/>
  <c r="T716" i="17"/>
  <c r="L717" i="17"/>
  <c r="O717" i="17" s="1"/>
  <c r="M717" i="17"/>
  <c r="P717" i="17" s="1"/>
  <c r="N717" i="17"/>
  <c r="Q717" i="17"/>
  <c r="R717" i="17"/>
  <c r="U717" i="17" s="1"/>
  <c r="S717" i="17"/>
  <c r="T717" i="17"/>
  <c r="O718" i="17"/>
  <c r="P718" i="17"/>
  <c r="T718" i="17"/>
  <c r="U718" i="17"/>
  <c r="O719" i="17"/>
  <c r="P719" i="17"/>
  <c r="T719" i="17"/>
  <c r="U719" i="17"/>
  <c r="L720" i="17"/>
  <c r="O720" i="17" s="1"/>
  <c r="M720" i="17"/>
  <c r="N720" i="17"/>
  <c r="P720" i="17"/>
  <c r="Q720" i="17"/>
  <c r="R720" i="17"/>
  <c r="U720" i="17" s="1"/>
  <c r="S720" i="17"/>
  <c r="T720" i="17"/>
  <c r="O721" i="17"/>
  <c r="P721" i="17"/>
  <c r="T721" i="17"/>
  <c r="U721" i="17"/>
  <c r="O722" i="17"/>
  <c r="P722" i="17"/>
  <c r="T722" i="17"/>
  <c r="U722" i="17"/>
  <c r="I726" i="17"/>
  <c r="J726" i="17"/>
  <c r="I727" i="17"/>
  <c r="J727" i="17"/>
  <c r="L729" i="17"/>
  <c r="M729" i="17"/>
  <c r="N729" i="17"/>
  <c r="O729" i="17"/>
  <c r="P729" i="17"/>
  <c r="Q729" i="17"/>
  <c r="T729" i="17" s="1"/>
  <c r="R729" i="17"/>
  <c r="S729" i="17"/>
  <c r="U729" i="17"/>
  <c r="L730" i="17"/>
  <c r="O730" i="17" s="1"/>
  <c r="M730" i="17"/>
  <c r="P730" i="17" s="1"/>
  <c r="N730" i="17"/>
  <c r="L731" i="17"/>
  <c r="O731" i="17" s="1"/>
  <c r="M731" i="17"/>
  <c r="P731" i="17" s="1"/>
  <c r="N731" i="17"/>
  <c r="O732" i="17"/>
  <c r="P732" i="17"/>
  <c r="T732" i="17"/>
  <c r="U732" i="17"/>
  <c r="O733" i="17"/>
  <c r="P733" i="17"/>
  <c r="Q733" i="17"/>
  <c r="Q731" i="17" s="1"/>
  <c r="R733" i="17"/>
  <c r="S733" i="17"/>
  <c r="L734" i="17"/>
  <c r="M734" i="17"/>
  <c r="P734" i="17" s="1"/>
  <c r="N734" i="17"/>
  <c r="O734" i="17"/>
  <c r="Q734" i="17"/>
  <c r="T734" i="17" s="1"/>
  <c r="R734" i="17"/>
  <c r="S734" i="17"/>
  <c r="U734" i="17"/>
  <c r="O735" i="17"/>
  <c r="P735" i="17"/>
  <c r="T735" i="17"/>
  <c r="U735" i="17"/>
  <c r="O736" i="17"/>
  <c r="P736" i="17"/>
  <c r="T736" i="17"/>
  <c r="U736" i="17"/>
  <c r="I740" i="17"/>
  <c r="K740" i="17" s="1"/>
  <c r="I742" i="17"/>
  <c r="K742" i="17" s="1"/>
  <c r="I744" i="17"/>
  <c r="K744" i="17" s="1"/>
  <c r="I746" i="17"/>
  <c r="K746" i="17" s="1"/>
  <c r="I749" i="17"/>
  <c r="K749" i="17" s="1"/>
  <c r="I752" i="17"/>
  <c r="K752" i="17" s="1"/>
  <c r="I755" i="17"/>
  <c r="K755" i="17" s="1"/>
  <c r="J758" i="17"/>
  <c r="J759" i="17"/>
  <c r="L761" i="17"/>
  <c r="M761" i="17"/>
  <c r="M760" i="17" s="1"/>
  <c r="P760" i="17" s="1"/>
  <c r="N761" i="17"/>
  <c r="N760" i="17" s="1"/>
  <c r="Q761" i="17"/>
  <c r="T761" i="17" s="1"/>
  <c r="R761" i="17"/>
  <c r="S761" i="17"/>
  <c r="U761" i="17"/>
  <c r="L762" i="17"/>
  <c r="O762" i="17" s="1"/>
  <c r="M762" i="17"/>
  <c r="P762" i="17" s="1"/>
  <c r="N762" i="17"/>
  <c r="L763" i="17"/>
  <c r="O763" i="17" s="1"/>
  <c r="M763" i="17"/>
  <c r="P763" i="17" s="1"/>
  <c r="N763" i="17"/>
  <c r="O764" i="17"/>
  <c r="P764" i="17"/>
  <c r="T764" i="17"/>
  <c r="U764" i="17"/>
  <c r="O765" i="17"/>
  <c r="P765" i="17"/>
  <c r="Q765" i="17"/>
  <c r="R765" i="17"/>
  <c r="R763" i="17" s="1"/>
  <c r="S765" i="17"/>
  <c r="S763" i="17" s="1"/>
  <c r="L766" i="17"/>
  <c r="O766" i="17" s="1"/>
  <c r="M766" i="17"/>
  <c r="P766" i="17" s="1"/>
  <c r="N766" i="17"/>
  <c r="Q766" i="17"/>
  <c r="R766" i="17"/>
  <c r="U766" i="17" s="1"/>
  <c r="S766" i="17"/>
  <c r="T766" i="17"/>
  <c r="O767" i="17"/>
  <c r="P767" i="17"/>
  <c r="T767" i="17"/>
  <c r="U767" i="17"/>
  <c r="O768" i="17"/>
  <c r="P768" i="17"/>
  <c r="T768" i="17"/>
  <c r="U768" i="17"/>
  <c r="I770" i="17"/>
  <c r="K770" i="17" s="1"/>
  <c r="I772" i="17"/>
  <c r="I774" i="17"/>
  <c r="I759" i="17" s="1"/>
  <c r="K759" i="17" s="1"/>
  <c r="I775" i="17"/>
  <c r="I776" i="17"/>
  <c r="H777" i="17"/>
  <c r="I778" i="17"/>
  <c r="J778" i="17"/>
  <c r="I779" i="17"/>
  <c r="J779" i="17"/>
  <c r="I780" i="17"/>
  <c r="J780" i="17"/>
  <c r="I781" i="17"/>
  <c r="J781" i="17"/>
  <c r="I782" i="17"/>
  <c r="J782" i="17"/>
  <c r="I783" i="17"/>
  <c r="J783" i="17"/>
  <c r="I784" i="17"/>
  <c r="J784" i="17"/>
  <c r="I785" i="17"/>
  <c r="J785" i="17"/>
  <c r="A788" i="17"/>
  <c r="A789" i="17"/>
  <c r="L22" i="16"/>
  <c r="M22" i="16"/>
  <c r="N22" i="16"/>
  <c r="O22" i="16"/>
  <c r="Q22" i="16"/>
  <c r="T22" i="16" s="1"/>
  <c r="R22" i="16"/>
  <c r="S22" i="16"/>
  <c r="L25" i="16"/>
  <c r="O25" i="16" s="1"/>
  <c r="M25" i="16"/>
  <c r="N25" i="16"/>
  <c r="Q25" i="16"/>
  <c r="T25" i="16" s="1"/>
  <c r="R25" i="16"/>
  <c r="U25" i="16" s="1"/>
  <c r="S25" i="16"/>
  <c r="Q26" i="16"/>
  <c r="R26" i="16"/>
  <c r="S26" i="16"/>
  <c r="U26" i="16"/>
  <c r="L45" i="16"/>
  <c r="O45" i="16" s="1"/>
  <c r="M45" i="16"/>
  <c r="P45" i="16" s="1"/>
  <c r="N45" i="16"/>
  <c r="Q45" i="16"/>
  <c r="Q44" i="16" s="1"/>
  <c r="T44" i="16" s="1"/>
  <c r="R45" i="16"/>
  <c r="U45" i="16" s="1"/>
  <c r="S45" i="16"/>
  <c r="T45" i="16"/>
  <c r="Q46" i="16"/>
  <c r="R46" i="16"/>
  <c r="U46" i="16" s="1"/>
  <c r="S46" i="16"/>
  <c r="S44" i="16" s="1"/>
  <c r="T46" i="16"/>
  <c r="Q47" i="16"/>
  <c r="T47" i="16" s="1"/>
  <c r="R47" i="16"/>
  <c r="U47" i="16" s="1"/>
  <c r="S47" i="16"/>
  <c r="O48" i="16"/>
  <c r="P48" i="16"/>
  <c r="T48" i="16"/>
  <c r="U48" i="16"/>
  <c r="L49" i="16"/>
  <c r="L47" i="16" s="1"/>
  <c r="M49" i="16"/>
  <c r="M47" i="16" s="1"/>
  <c r="N49" i="16"/>
  <c r="N47" i="16" s="1"/>
  <c r="T49" i="16"/>
  <c r="U49" i="16"/>
  <c r="Q50" i="16"/>
  <c r="T50" i="16" s="1"/>
  <c r="R50" i="16"/>
  <c r="S50" i="16"/>
  <c r="U50" i="16"/>
  <c r="O51" i="16"/>
  <c r="P51" i="16"/>
  <c r="T51" i="16"/>
  <c r="U51" i="16"/>
  <c r="L52" i="16"/>
  <c r="M52" i="16"/>
  <c r="N52" i="16"/>
  <c r="T52" i="16"/>
  <c r="U52" i="16"/>
  <c r="L60" i="16"/>
  <c r="O60" i="16" s="1"/>
  <c r="M60" i="16"/>
  <c r="N60" i="16"/>
  <c r="P60" i="16"/>
  <c r="Q60" i="16"/>
  <c r="R60" i="16"/>
  <c r="U60" i="16" s="1"/>
  <c r="S60" i="16"/>
  <c r="T60" i="16"/>
  <c r="Q61" i="16"/>
  <c r="R61" i="16"/>
  <c r="U61" i="16" s="1"/>
  <c r="S61" i="16"/>
  <c r="T61" i="16"/>
  <c r="Q62" i="16"/>
  <c r="T62" i="16" s="1"/>
  <c r="R62" i="16"/>
  <c r="U62" i="16" s="1"/>
  <c r="S62" i="16"/>
  <c r="O63" i="16"/>
  <c r="P63" i="16"/>
  <c r="T63" i="16"/>
  <c r="U63" i="16"/>
  <c r="L64" i="16"/>
  <c r="M64" i="16"/>
  <c r="M62" i="16" s="1"/>
  <c r="N64" i="16"/>
  <c r="T64" i="16"/>
  <c r="U64" i="16"/>
  <c r="Q65" i="16"/>
  <c r="T65" i="16" s="1"/>
  <c r="R65" i="16"/>
  <c r="S65" i="16"/>
  <c r="U65" i="16"/>
  <c r="O66" i="16"/>
  <c r="P66" i="16"/>
  <c r="T66" i="16"/>
  <c r="U66" i="16"/>
  <c r="L67" i="16"/>
  <c r="M67" i="16"/>
  <c r="N67" i="16"/>
  <c r="N65" i="16" s="1"/>
  <c r="T67" i="16"/>
  <c r="U67" i="16"/>
  <c r="L73" i="16"/>
  <c r="O73" i="16" s="1"/>
  <c r="M73" i="16"/>
  <c r="N73" i="16"/>
  <c r="P73" i="16"/>
  <c r="Q73" i="16"/>
  <c r="T73" i="16" s="1"/>
  <c r="R73" i="16"/>
  <c r="U73" i="16" s="1"/>
  <c r="S73" i="16"/>
  <c r="O76" i="16"/>
  <c r="P76" i="16"/>
  <c r="T76" i="16"/>
  <c r="U76" i="16"/>
  <c r="L77" i="16"/>
  <c r="L75" i="16" s="1"/>
  <c r="O75" i="16" s="1"/>
  <c r="M77" i="16"/>
  <c r="M75" i="16" s="1"/>
  <c r="P75" i="16" s="1"/>
  <c r="N77" i="16"/>
  <c r="Q77" i="16"/>
  <c r="Q74" i="16" s="1"/>
  <c r="T74" i="16" s="1"/>
  <c r="R77" i="16"/>
  <c r="S77" i="16"/>
  <c r="S75" i="16" s="1"/>
  <c r="Q78" i="16"/>
  <c r="T78" i="16" s="1"/>
  <c r="R78" i="16"/>
  <c r="U78" i="16" s="1"/>
  <c r="S78" i="16"/>
  <c r="O79" i="16"/>
  <c r="P79" i="16"/>
  <c r="T79" i="16"/>
  <c r="U79" i="16"/>
  <c r="L80" i="16"/>
  <c r="L78" i="16" s="1"/>
  <c r="O78" i="16" s="1"/>
  <c r="M80" i="16"/>
  <c r="M78" i="16" s="1"/>
  <c r="P78" i="16" s="1"/>
  <c r="N80" i="16"/>
  <c r="N78" i="16" s="1"/>
  <c r="T80" i="16"/>
  <c r="U80" i="16"/>
  <c r="J82" i="16"/>
  <c r="J70" i="16" s="1"/>
  <c r="J83" i="16"/>
  <c r="J71" i="16" s="1"/>
  <c r="I84" i="16"/>
  <c r="I85" i="16"/>
  <c r="I86" i="16"/>
  <c r="K86" i="16" s="1"/>
  <c r="I87" i="16"/>
  <c r="K87" i="16" s="1"/>
  <c r="I88" i="16"/>
  <c r="K88" i="16" s="1"/>
  <c r="I89" i="16"/>
  <c r="K89" i="16" s="1"/>
  <c r="I90" i="16"/>
  <c r="K90" i="16" s="1"/>
  <c r="J92" i="16"/>
  <c r="J93" i="16"/>
  <c r="L95" i="16"/>
  <c r="M95" i="16"/>
  <c r="P95" i="16" s="1"/>
  <c r="N95" i="16"/>
  <c r="Q95" i="16"/>
  <c r="T95" i="16" s="1"/>
  <c r="R95" i="16"/>
  <c r="U95" i="16" s="1"/>
  <c r="S95" i="16"/>
  <c r="O98" i="16"/>
  <c r="P98" i="16"/>
  <c r="T98" i="16"/>
  <c r="U98" i="16"/>
  <c r="L99" i="16"/>
  <c r="O99" i="16" s="1"/>
  <c r="M99" i="16"/>
  <c r="P99" i="16" s="1"/>
  <c r="N99" i="16"/>
  <c r="Q99" i="16"/>
  <c r="Q96" i="16" s="1"/>
  <c r="T96" i="16" s="1"/>
  <c r="R99" i="16"/>
  <c r="R96" i="16" s="1"/>
  <c r="U96" i="16" s="1"/>
  <c r="S99" i="16"/>
  <c r="S97" i="16" s="1"/>
  <c r="Q100" i="16"/>
  <c r="T100" i="16" s="1"/>
  <c r="R100" i="16"/>
  <c r="S100" i="16"/>
  <c r="U100" i="16"/>
  <c r="O101" i="16"/>
  <c r="P101" i="16"/>
  <c r="T101" i="16"/>
  <c r="U101" i="16"/>
  <c r="L102" i="16"/>
  <c r="M102" i="16"/>
  <c r="P102" i="16" s="1"/>
  <c r="N102" i="16"/>
  <c r="N100" i="16" s="1"/>
  <c r="T102" i="16"/>
  <c r="U102" i="16"/>
  <c r="I108" i="16"/>
  <c r="I109" i="16"/>
  <c r="K109" i="16" s="1"/>
  <c r="I114" i="16"/>
  <c r="K114" i="16" s="1"/>
  <c r="J116" i="16"/>
  <c r="L118" i="16"/>
  <c r="O118" i="16" s="1"/>
  <c r="M118" i="16"/>
  <c r="P118" i="16" s="1"/>
  <c r="N118" i="16"/>
  <c r="Q118" i="16"/>
  <c r="T118" i="16" s="1"/>
  <c r="R118" i="16"/>
  <c r="S118" i="16"/>
  <c r="O121" i="16"/>
  <c r="P121" i="16"/>
  <c r="T121" i="16"/>
  <c r="U121" i="16"/>
  <c r="L122" i="16"/>
  <c r="O122" i="16" s="1"/>
  <c r="M122" i="16"/>
  <c r="N122" i="16"/>
  <c r="N120" i="16" s="1"/>
  <c r="Q122" i="16"/>
  <c r="Q120" i="16" s="1"/>
  <c r="R122" i="16"/>
  <c r="R119" i="16" s="1"/>
  <c r="S122" i="16"/>
  <c r="Q123" i="16"/>
  <c r="T123" i="16" s="1"/>
  <c r="R123" i="16"/>
  <c r="U123" i="16" s="1"/>
  <c r="S123" i="16"/>
  <c r="O124" i="16"/>
  <c r="P124" i="16"/>
  <c r="T124" i="16"/>
  <c r="U124" i="16"/>
  <c r="L125" i="16"/>
  <c r="L123" i="16" s="1"/>
  <c r="O123" i="16" s="1"/>
  <c r="M125" i="16"/>
  <c r="P125" i="16" s="1"/>
  <c r="N125" i="16"/>
  <c r="N123" i="16" s="1"/>
  <c r="T125" i="16"/>
  <c r="U125" i="16"/>
  <c r="I127" i="16"/>
  <c r="I116" i="16" s="1"/>
  <c r="K116" i="16" s="1"/>
  <c r="I128" i="16"/>
  <c r="K128" i="16" s="1"/>
  <c r="I129" i="16"/>
  <c r="K129" i="16" s="1"/>
  <c r="I130" i="16"/>
  <c r="K130" i="16" s="1"/>
  <c r="J136" i="16"/>
  <c r="J137" i="16"/>
  <c r="J138" i="16"/>
  <c r="L140" i="16"/>
  <c r="M140" i="16"/>
  <c r="N140" i="16"/>
  <c r="O140" i="16"/>
  <c r="Q140" i="16"/>
  <c r="T140" i="16" s="1"/>
  <c r="R140" i="16"/>
  <c r="S140" i="16"/>
  <c r="U140" i="16"/>
  <c r="O143" i="16"/>
  <c r="P143" i="16"/>
  <c r="T143" i="16"/>
  <c r="U143" i="16"/>
  <c r="L144" i="16"/>
  <c r="M144" i="16"/>
  <c r="M142" i="16" s="1"/>
  <c r="P142" i="16" s="1"/>
  <c r="N144" i="16"/>
  <c r="N142" i="16" s="1"/>
  <c r="Q144" i="16"/>
  <c r="T144" i="16" s="1"/>
  <c r="R144" i="16"/>
  <c r="R142" i="16" s="1"/>
  <c r="U142" i="16" s="1"/>
  <c r="S144" i="16"/>
  <c r="S142" i="16" s="1"/>
  <c r="Q145" i="16"/>
  <c r="T145" i="16" s="1"/>
  <c r="R145" i="16"/>
  <c r="U145" i="16" s="1"/>
  <c r="S145" i="16"/>
  <c r="O146" i="16"/>
  <c r="P146" i="16"/>
  <c r="T146" i="16"/>
  <c r="U146" i="16"/>
  <c r="L147" i="16"/>
  <c r="L145" i="16" s="1"/>
  <c r="O145" i="16" s="1"/>
  <c r="M147" i="16"/>
  <c r="N147" i="16"/>
  <c r="N145" i="16" s="1"/>
  <c r="T147" i="16"/>
  <c r="U147" i="16"/>
  <c r="I150" i="16"/>
  <c r="K150" i="16" s="1"/>
  <c r="I151" i="16"/>
  <c r="K151" i="16" s="1"/>
  <c r="I152" i="16"/>
  <c r="I153" i="16"/>
  <c r="K153" i="16" s="1"/>
  <c r="I154" i="16"/>
  <c r="J156" i="16"/>
  <c r="L158" i="16"/>
  <c r="M158" i="16"/>
  <c r="N158" i="16"/>
  <c r="O158" i="16"/>
  <c r="Q158" i="16"/>
  <c r="T158" i="16" s="1"/>
  <c r="R158" i="16"/>
  <c r="U158" i="16" s="1"/>
  <c r="S158" i="16"/>
  <c r="O161" i="16"/>
  <c r="P161" i="16"/>
  <c r="T161" i="16"/>
  <c r="U161" i="16"/>
  <c r="L162" i="16"/>
  <c r="L160" i="16" s="1"/>
  <c r="O160" i="16" s="1"/>
  <c r="M162" i="16"/>
  <c r="P162" i="16" s="1"/>
  <c r="N162" i="16"/>
  <c r="Q162" i="16"/>
  <c r="Q160" i="16" s="1"/>
  <c r="T160" i="16" s="1"/>
  <c r="R162" i="16"/>
  <c r="S162" i="16"/>
  <c r="S160" i="16" s="1"/>
  <c r="Q163" i="16"/>
  <c r="T163" i="16" s="1"/>
  <c r="R163" i="16"/>
  <c r="S163" i="16"/>
  <c r="U163" i="16"/>
  <c r="O164" i="16"/>
  <c r="P164" i="16"/>
  <c r="T164" i="16"/>
  <c r="U164" i="16"/>
  <c r="L165" i="16"/>
  <c r="L163" i="16" s="1"/>
  <c r="O163" i="16" s="1"/>
  <c r="M165" i="16"/>
  <c r="P165" i="16" s="1"/>
  <c r="N165" i="16"/>
  <c r="N163" i="16" s="1"/>
  <c r="T165" i="16"/>
  <c r="U165" i="16"/>
  <c r="I167" i="16"/>
  <c r="K167" i="16" s="1"/>
  <c r="I168" i="16"/>
  <c r="K168" i="16" s="1"/>
  <c r="I169" i="16"/>
  <c r="J172" i="16"/>
  <c r="L174" i="16"/>
  <c r="M174" i="16"/>
  <c r="N174" i="16"/>
  <c r="Q174" i="16"/>
  <c r="T174" i="16" s="1"/>
  <c r="R174" i="16"/>
  <c r="S174" i="16"/>
  <c r="O177" i="16"/>
  <c r="P177" i="16"/>
  <c r="T177" i="16"/>
  <c r="U177" i="16"/>
  <c r="L178" i="16"/>
  <c r="M178" i="16"/>
  <c r="N178" i="16"/>
  <c r="N176" i="16" s="1"/>
  <c r="Q178" i="16"/>
  <c r="Q176" i="16" s="1"/>
  <c r="T176" i="16" s="1"/>
  <c r="R178" i="16"/>
  <c r="R176" i="16" s="1"/>
  <c r="U176" i="16" s="1"/>
  <c r="S178" i="16"/>
  <c r="Q179" i="16"/>
  <c r="T179" i="16" s="1"/>
  <c r="R179" i="16"/>
  <c r="S179" i="16"/>
  <c r="U179" i="16"/>
  <c r="O180" i="16"/>
  <c r="P180" i="16"/>
  <c r="T180" i="16"/>
  <c r="U180" i="16"/>
  <c r="L181" i="16"/>
  <c r="L179" i="16" s="1"/>
  <c r="O179" i="16" s="1"/>
  <c r="M181" i="16"/>
  <c r="P181" i="16" s="1"/>
  <c r="N181" i="16"/>
  <c r="T181" i="16"/>
  <c r="U181" i="16"/>
  <c r="I183" i="16"/>
  <c r="K183" i="16" s="1"/>
  <c r="K184" i="16"/>
  <c r="L187" i="16"/>
  <c r="O187" i="16" s="1"/>
  <c r="M187" i="16"/>
  <c r="N187" i="16"/>
  <c r="Q187" i="16"/>
  <c r="R187" i="16"/>
  <c r="S187" i="16"/>
  <c r="T187" i="16"/>
  <c r="O190" i="16"/>
  <c r="P190" i="16"/>
  <c r="T190" i="16"/>
  <c r="U190" i="16"/>
  <c r="L191" i="16"/>
  <c r="M191" i="16"/>
  <c r="M189" i="16" s="1"/>
  <c r="N191" i="16"/>
  <c r="Q191" i="16"/>
  <c r="Q188" i="16" s="1"/>
  <c r="R191" i="16"/>
  <c r="S191" i="16"/>
  <c r="S188" i="16" s="1"/>
  <c r="Q192" i="16"/>
  <c r="T192" i="16" s="1"/>
  <c r="R192" i="16"/>
  <c r="U192" i="16" s="1"/>
  <c r="S192" i="16"/>
  <c r="O193" i="16"/>
  <c r="P193" i="16"/>
  <c r="T193" i="16"/>
  <c r="U193" i="16"/>
  <c r="L194" i="16"/>
  <c r="O194" i="16" s="1"/>
  <c r="M194" i="16"/>
  <c r="M192" i="16" s="1"/>
  <c r="P192" i="16" s="1"/>
  <c r="N194" i="16"/>
  <c r="N192" i="16" s="1"/>
  <c r="T194" i="16"/>
  <c r="U194" i="16"/>
  <c r="J195" i="16"/>
  <c r="L196" i="16"/>
  <c r="O196" i="16" s="1"/>
  <c r="P196" i="16"/>
  <c r="I198" i="16"/>
  <c r="I195" i="16" s="1"/>
  <c r="J199" i="16"/>
  <c r="J202" i="16"/>
  <c r="N203" i="16"/>
  <c r="P203" i="16"/>
  <c r="S203" i="16"/>
  <c r="U203" i="16"/>
  <c r="L204" i="16"/>
  <c r="L205" i="16"/>
  <c r="L206" i="16"/>
  <c r="Q206" i="16"/>
  <c r="Q203" i="16" s="1"/>
  <c r="T203" i="16" s="1"/>
  <c r="L207" i="16"/>
  <c r="I209" i="16"/>
  <c r="I211" i="16"/>
  <c r="K211" i="16" s="1"/>
  <c r="I212" i="16"/>
  <c r="K212" i="16" s="1"/>
  <c r="J213" i="16"/>
  <c r="N214" i="16"/>
  <c r="P214" i="16"/>
  <c r="S214" i="16"/>
  <c r="U214" i="16"/>
  <c r="L215" i="16"/>
  <c r="L216" i="16"/>
  <c r="L217" i="16"/>
  <c r="Q217" i="16"/>
  <c r="Q214" i="16" s="1"/>
  <c r="T214" i="16" s="1"/>
  <c r="I219" i="16"/>
  <c r="K219" i="16" s="1"/>
  <c r="I220" i="16"/>
  <c r="J221" i="16"/>
  <c r="N222" i="16"/>
  <c r="P222" i="16"/>
  <c r="L223" i="16"/>
  <c r="L224" i="16"/>
  <c r="L225" i="16"/>
  <c r="I228" i="16"/>
  <c r="K228" i="16" s="1"/>
  <c r="I229" i="16"/>
  <c r="I221" i="16" s="1"/>
  <c r="K221" i="16" s="1"/>
  <c r="I230" i="16"/>
  <c r="N233" i="16"/>
  <c r="N234" i="16"/>
  <c r="N235" i="16"/>
  <c r="N236" i="16"/>
  <c r="J238" i="16"/>
  <c r="I240" i="16"/>
  <c r="K240" i="16" s="1"/>
  <c r="J240" i="16"/>
  <c r="I241" i="16"/>
  <c r="J241" i="16"/>
  <c r="K241" i="16"/>
  <c r="J242" i="16"/>
  <c r="J231" i="16" s="1"/>
  <c r="J185" i="16" s="1"/>
  <c r="N243" i="16"/>
  <c r="N232" i="16" s="1"/>
  <c r="P243" i="16"/>
  <c r="L244" i="16"/>
  <c r="L245" i="16"/>
  <c r="L246" i="16"/>
  <c r="L247" i="16"/>
  <c r="I249" i="16"/>
  <c r="K251" i="16"/>
  <c r="K252" i="16"/>
  <c r="J253" i="16"/>
  <c r="N254" i="16"/>
  <c r="P254" i="16"/>
  <c r="L255" i="16"/>
  <c r="L256" i="16"/>
  <c r="L257" i="16"/>
  <c r="L258" i="16"/>
  <c r="I260" i="16"/>
  <c r="I253" i="16" s="1"/>
  <c r="K253" i="16" s="1"/>
  <c r="K262" i="16"/>
  <c r="K263" i="16"/>
  <c r="J265" i="16"/>
  <c r="L267" i="16"/>
  <c r="M267" i="16"/>
  <c r="N267" i="16"/>
  <c r="O267" i="16"/>
  <c r="Q267" i="16"/>
  <c r="R267" i="16"/>
  <c r="S267" i="16"/>
  <c r="U267" i="16"/>
  <c r="O270" i="16"/>
  <c r="P270" i="16"/>
  <c r="T270" i="16"/>
  <c r="U270" i="16"/>
  <c r="L271" i="16"/>
  <c r="L269" i="16" s="1"/>
  <c r="O269" i="16" s="1"/>
  <c r="M271" i="16"/>
  <c r="M269" i="16" s="1"/>
  <c r="N271" i="16"/>
  <c r="N269" i="16" s="1"/>
  <c r="Q271" i="16"/>
  <c r="Q268" i="16" s="1"/>
  <c r="R271" i="16"/>
  <c r="S271" i="16"/>
  <c r="S269" i="16" s="1"/>
  <c r="Q272" i="16"/>
  <c r="R272" i="16"/>
  <c r="U272" i="16" s="1"/>
  <c r="S272" i="16"/>
  <c r="T272" i="16"/>
  <c r="O273" i="16"/>
  <c r="P273" i="16"/>
  <c r="T273" i="16"/>
  <c r="U273" i="16"/>
  <c r="L274" i="16"/>
  <c r="M274" i="16"/>
  <c r="P274" i="16" s="1"/>
  <c r="N274" i="16"/>
  <c r="N272" i="16" s="1"/>
  <c r="T274" i="16"/>
  <c r="U274" i="16"/>
  <c r="I276" i="16"/>
  <c r="K276" i="16" s="1"/>
  <c r="J280" i="16"/>
  <c r="J281" i="16"/>
  <c r="L283" i="16"/>
  <c r="O283" i="16" s="1"/>
  <c r="M283" i="16"/>
  <c r="P283" i="16" s="1"/>
  <c r="N283" i="16"/>
  <c r="Q283" i="16"/>
  <c r="R283" i="16"/>
  <c r="U283" i="16" s="1"/>
  <c r="S283" i="16"/>
  <c r="T283" i="16"/>
  <c r="Q284" i="16"/>
  <c r="T284" i="16" s="1"/>
  <c r="R284" i="16"/>
  <c r="U284" i="16" s="1"/>
  <c r="S284" i="16"/>
  <c r="S282" i="16" s="1"/>
  <c r="Q285" i="16"/>
  <c r="T285" i="16" s="1"/>
  <c r="R285" i="16"/>
  <c r="S285" i="16"/>
  <c r="U285" i="16"/>
  <c r="O286" i="16"/>
  <c r="P286" i="16"/>
  <c r="T286" i="16"/>
  <c r="U286" i="16"/>
  <c r="L287" i="16"/>
  <c r="M287" i="16"/>
  <c r="N287" i="16"/>
  <c r="T287" i="16"/>
  <c r="U287" i="16"/>
  <c r="Q288" i="16"/>
  <c r="T288" i="16" s="1"/>
  <c r="R288" i="16"/>
  <c r="S288" i="16"/>
  <c r="U288" i="16"/>
  <c r="O289" i="16"/>
  <c r="P289" i="16"/>
  <c r="T289" i="16"/>
  <c r="U289" i="16"/>
  <c r="L290" i="16"/>
  <c r="L288" i="16" s="1"/>
  <c r="O288" i="16" s="1"/>
  <c r="M290" i="16"/>
  <c r="M288" i="16" s="1"/>
  <c r="P288" i="16" s="1"/>
  <c r="N290" i="16"/>
  <c r="N288" i="16" s="1"/>
  <c r="T290" i="16"/>
  <c r="U290" i="16"/>
  <c r="I292" i="16"/>
  <c r="K292" i="16" s="1"/>
  <c r="I293" i="16"/>
  <c r="I280" i="16" s="1"/>
  <c r="K280" i="16" s="1"/>
  <c r="J293" i="16"/>
  <c r="I295" i="16"/>
  <c r="K295" i="16" s="1"/>
  <c r="I296" i="16"/>
  <c r="K296" i="16" s="1"/>
  <c r="J302" i="16"/>
  <c r="L304" i="16"/>
  <c r="M304" i="16"/>
  <c r="P304" i="16" s="1"/>
  <c r="N304" i="16"/>
  <c r="O304" i="16"/>
  <c r="Q304" i="16"/>
  <c r="T304" i="16" s="1"/>
  <c r="R304" i="16"/>
  <c r="S304" i="16"/>
  <c r="O307" i="16"/>
  <c r="P307" i="16"/>
  <c r="T307" i="16"/>
  <c r="U307" i="16"/>
  <c r="L308" i="16"/>
  <c r="M308" i="16"/>
  <c r="M306" i="16" s="1"/>
  <c r="N308" i="16"/>
  <c r="Q308" i="16"/>
  <c r="Q306" i="16" s="1"/>
  <c r="R308" i="16"/>
  <c r="R305" i="16" s="1"/>
  <c r="S308" i="16"/>
  <c r="S305" i="16" s="1"/>
  <c r="Q309" i="16"/>
  <c r="R309" i="16"/>
  <c r="U309" i="16" s="1"/>
  <c r="S309" i="16"/>
  <c r="T309" i="16"/>
  <c r="O310" i="16"/>
  <c r="P310" i="16"/>
  <c r="T310" i="16"/>
  <c r="U310" i="16"/>
  <c r="L311" i="16"/>
  <c r="O311" i="16" s="1"/>
  <c r="M311" i="16"/>
  <c r="N311" i="16"/>
  <c r="N309" i="16" s="1"/>
  <c r="T311" i="16"/>
  <c r="U311" i="16"/>
  <c r="I314" i="16"/>
  <c r="J319" i="16"/>
  <c r="L321" i="16"/>
  <c r="O321" i="16" s="1"/>
  <c r="M321" i="16"/>
  <c r="N321" i="16"/>
  <c r="P321" i="16"/>
  <c r="Q321" i="16"/>
  <c r="T321" i="16" s="1"/>
  <c r="R321" i="16"/>
  <c r="S321" i="16"/>
  <c r="S320" i="16" s="1"/>
  <c r="Q322" i="16"/>
  <c r="R322" i="16"/>
  <c r="S322" i="16"/>
  <c r="T322" i="16"/>
  <c r="U322" i="16"/>
  <c r="Q323" i="16"/>
  <c r="T323" i="16" s="1"/>
  <c r="R323" i="16"/>
  <c r="U323" i="16" s="1"/>
  <c r="S323" i="16"/>
  <c r="O324" i="16"/>
  <c r="P324" i="16"/>
  <c r="T324" i="16"/>
  <c r="U324" i="16"/>
  <c r="L325" i="16"/>
  <c r="L323" i="16" s="1"/>
  <c r="O323" i="16" s="1"/>
  <c r="M325" i="16"/>
  <c r="P325" i="16" s="1"/>
  <c r="N325" i="16"/>
  <c r="N323" i="16" s="1"/>
  <c r="T325" i="16"/>
  <c r="U325" i="16"/>
  <c r="Q326" i="16"/>
  <c r="T326" i="16" s="1"/>
  <c r="R326" i="16"/>
  <c r="U326" i="16" s="1"/>
  <c r="S326" i="16"/>
  <c r="O327" i="16"/>
  <c r="P327" i="16"/>
  <c r="T327" i="16"/>
  <c r="U327" i="16"/>
  <c r="L328" i="16"/>
  <c r="M328" i="16"/>
  <c r="P328" i="16" s="1"/>
  <c r="N328" i="16"/>
  <c r="T328" i="16"/>
  <c r="U328" i="16"/>
  <c r="I330" i="16"/>
  <c r="I319" i="16" s="1"/>
  <c r="K319" i="16" s="1"/>
  <c r="L334" i="16"/>
  <c r="M334" i="16"/>
  <c r="P334" i="16" s="1"/>
  <c r="N334" i="16"/>
  <c r="Q334" i="16"/>
  <c r="Q333" i="16" s="1"/>
  <c r="T333" i="16" s="1"/>
  <c r="R334" i="16"/>
  <c r="U334" i="16" s="1"/>
  <c r="S334" i="16"/>
  <c r="T334" i="16"/>
  <c r="Q335" i="16"/>
  <c r="T335" i="16" s="1"/>
  <c r="R335" i="16"/>
  <c r="U335" i="16" s="1"/>
  <c r="S335" i="16"/>
  <c r="S333" i="16" s="1"/>
  <c r="Q336" i="16"/>
  <c r="R336" i="16"/>
  <c r="U336" i="16" s="1"/>
  <c r="S336" i="16"/>
  <c r="T336" i="16"/>
  <c r="O337" i="16"/>
  <c r="P337" i="16"/>
  <c r="T337" i="16"/>
  <c r="U337" i="16"/>
  <c r="L338" i="16"/>
  <c r="M338" i="16"/>
  <c r="M336" i="16" s="1"/>
  <c r="N338" i="16"/>
  <c r="N336" i="16" s="1"/>
  <c r="T338" i="16"/>
  <c r="U338" i="16"/>
  <c r="Q339" i="16"/>
  <c r="T339" i="16" s="1"/>
  <c r="R339" i="16"/>
  <c r="U339" i="16" s="1"/>
  <c r="S339" i="16"/>
  <c r="O340" i="16"/>
  <c r="P340" i="16"/>
  <c r="T340" i="16"/>
  <c r="U340" i="16"/>
  <c r="L341" i="16"/>
  <c r="L339" i="16" s="1"/>
  <c r="O339" i="16" s="1"/>
  <c r="M341" i="16"/>
  <c r="N341" i="16"/>
  <c r="N339" i="16" s="1"/>
  <c r="T341" i="16"/>
  <c r="U341" i="16"/>
  <c r="I344" i="16"/>
  <c r="I332" i="16" s="1"/>
  <c r="J344" i="16"/>
  <c r="I346" i="16"/>
  <c r="J346" i="16"/>
  <c r="J347" i="16"/>
  <c r="J348" i="16"/>
  <c r="J349" i="16"/>
  <c r="D350" i="16"/>
  <c r="J352" i="16"/>
  <c r="J353" i="16"/>
  <c r="D354" i="16"/>
  <c r="L357" i="16"/>
  <c r="M357" i="16"/>
  <c r="N357" i="16"/>
  <c r="Q357" i="16"/>
  <c r="R357" i="16"/>
  <c r="S357" i="16"/>
  <c r="Q358" i="16"/>
  <c r="R358" i="16"/>
  <c r="U358" i="16" s="1"/>
  <c r="S358" i="16"/>
  <c r="T358" i="16"/>
  <c r="Q359" i="16"/>
  <c r="T359" i="16" s="1"/>
  <c r="R359" i="16"/>
  <c r="S359" i="16"/>
  <c r="U359" i="16"/>
  <c r="O360" i="16"/>
  <c r="P360" i="16"/>
  <c r="T360" i="16"/>
  <c r="U360" i="16"/>
  <c r="L361" i="16"/>
  <c r="M361" i="16"/>
  <c r="N361" i="16"/>
  <c r="T361" i="16"/>
  <c r="U361" i="16"/>
  <c r="Q362" i="16"/>
  <c r="R362" i="16"/>
  <c r="U362" i="16" s="1"/>
  <c r="S362" i="16"/>
  <c r="T362" i="16"/>
  <c r="O363" i="16"/>
  <c r="P363" i="16"/>
  <c r="T363" i="16"/>
  <c r="U363" i="16"/>
  <c r="L364" i="16"/>
  <c r="O364" i="16" s="1"/>
  <c r="M364" i="16"/>
  <c r="N364" i="16"/>
  <c r="N362" i="16" s="1"/>
  <c r="T364" i="16"/>
  <c r="U364" i="16"/>
  <c r="J367" i="16"/>
  <c r="K367" i="16"/>
  <c r="I368" i="16"/>
  <c r="J368" i="16"/>
  <c r="I369" i="16"/>
  <c r="J369" i="16"/>
  <c r="J370" i="16"/>
  <c r="K370" i="16"/>
  <c r="I371" i="16"/>
  <c r="I365" i="16" s="1"/>
  <c r="J371" i="16"/>
  <c r="J365" i="16" s="1"/>
  <c r="J372" i="16"/>
  <c r="K372" i="16"/>
  <c r="D373" i="16"/>
  <c r="L376" i="16"/>
  <c r="O376" i="16" s="1"/>
  <c r="M376" i="16"/>
  <c r="N376" i="16"/>
  <c r="N375" i="16" s="1"/>
  <c r="Q376" i="16"/>
  <c r="R376" i="16"/>
  <c r="S376" i="16"/>
  <c r="T376" i="16"/>
  <c r="U376" i="16"/>
  <c r="L377" i="16"/>
  <c r="M377" i="16"/>
  <c r="N377" i="16"/>
  <c r="O377" i="16"/>
  <c r="P377" i="16"/>
  <c r="L378" i="16"/>
  <c r="O378" i="16" s="1"/>
  <c r="M378" i="16"/>
  <c r="P378" i="16" s="1"/>
  <c r="N378" i="16"/>
  <c r="O379" i="16"/>
  <c r="P379" i="16"/>
  <c r="T379" i="16"/>
  <c r="U379" i="16"/>
  <c r="O380" i="16"/>
  <c r="P380" i="16"/>
  <c r="Q380" i="16"/>
  <c r="Q377" i="16" s="1"/>
  <c r="Q375" i="16" s="1"/>
  <c r="R380" i="16"/>
  <c r="S380" i="16"/>
  <c r="S377" i="16" s="1"/>
  <c r="L381" i="16"/>
  <c r="O381" i="16" s="1"/>
  <c r="M381" i="16"/>
  <c r="N381" i="16"/>
  <c r="P381" i="16"/>
  <c r="Q381" i="16"/>
  <c r="R381" i="16"/>
  <c r="U381" i="16" s="1"/>
  <c r="S381" i="16"/>
  <c r="T381" i="16"/>
  <c r="O382" i="16"/>
  <c r="P382" i="16"/>
  <c r="T382" i="16"/>
  <c r="U382" i="16"/>
  <c r="O383" i="16"/>
  <c r="P383" i="16"/>
  <c r="T383" i="16"/>
  <c r="U383" i="16"/>
  <c r="J385" i="16"/>
  <c r="K385" i="16"/>
  <c r="I386" i="16"/>
  <c r="J386" i="16"/>
  <c r="J387" i="16"/>
  <c r="K387" i="16"/>
  <c r="I388" i="16"/>
  <c r="K388" i="16" s="1"/>
  <c r="J388" i="16"/>
  <c r="I391" i="16"/>
  <c r="K391" i="16" s="1"/>
  <c r="J391" i="16"/>
  <c r="L393" i="16"/>
  <c r="M393" i="16"/>
  <c r="N393" i="16"/>
  <c r="Q393" i="16"/>
  <c r="Q392" i="16" s="1"/>
  <c r="T392" i="16" s="1"/>
  <c r="R393" i="16"/>
  <c r="S393" i="16"/>
  <c r="S392" i="16" s="1"/>
  <c r="U393" i="16"/>
  <c r="L394" i="16"/>
  <c r="O394" i="16" s="1"/>
  <c r="M394" i="16"/>
  <c r="P394" i="16" s="1"/>
  <c r="N394" i="16"/>
  <c r="N392" i="16" s="1"/>
  <c r="Q394" i="16"/>
  <c r="T394" i="16" s="1"/>
  <c r="R394" i="16"/>
  <c r="U394" i="16" s="1"/>
  <c r="S394" i="16"/>
  <c r="L395" i="16"/>
  <c r="M395" i="16"/>
  <c r="P395" i="16" s="1"/>
  <c r="N395" i="16"/>
  <c r="O395" i="16"/>
  <c r="Q395" i="16"/>
  <c r="T395" i="16" s="1"/>
  <c r="R395" i="16"/>
  <c r="S395" i="16"/>
  <c r="U395" i="16"/>
  <c r="O396" i="16"/>
  <c r="P396" i="16"/>
  <c r="T396" i="16"/>
  <c r="U396" i="16"/>
  <c r="O397" i="16"/>
  <c r="P397" i="16"/>
  <c r="T397" i="16"/>
  <c r="U397" i="16"/>
  <c r="L398" i="16"/>
  <c r="M398" i="16"/>
  <c r="P398" i="16" s="1"/>
  <c r="N398" i="16"/>
  <c r="O398" i="16"/>
  <c r="Q398" i="16"/>
  <c r="T398" i="16" s="1"/>
  <c r="R398" i="16"/>
  <c r="U398" i="16" s="1"/>
  <c r="S398" i="16"/>
  <c r="O399" i="16"/>
  <c r="P399" i="16"/>
  <c r="T399" i="16"/>
  <c r="U399" i="16"/>
  <c r="O400" i="16"/>
  <c r="P400" i="16"/>
  <c r="T400" i="16"/>
  <c r="U400" i="16"/>
  <c r="M413" i="16"/>
  <c r="P413" i="16" s="1"/>
  <c r="L414" i="16"/>
  <c r="M414" i="16"/>
  <c r="P414" i="16" s="1"/>
  <c r="N414" i="16"/>
  <c r="Q414" i="16"/>
  <c r="R414" i="16"/>
  <c r="S414" i="16"/>
  <c r="T414" i="16"/>
  <c r="L415" i="16"/>
  <c r="M415" i="16"/>
  <c r="N415" i="16"/>
  <c r="O415" i="16"/>
  <c r="P415" i="16"/>
  <c r="L416" i="16"/>
  <c r="O416" i="16" s="1"/>
  <c r="M416" i="16"/>
  <c r="P416" i="16" s="1"/>
  <c r="N416" i="16"/>
  <c r="O417" i="16"/>
  <c r="P417" i="16"/>
  <c r="T417" i="16"/>
  <c r="U417" i="16"/>
  <c r="O418" i="16"/>
  <c r="P418" i="16"/>
  <c r="Q418" i="16"/>
  <c r="R418" i="16"/>
  <c r="R415" i="16" s="1"/>
  <c r="U415" i="16" s="1"/>
  <c r="S418" i="16"/>
  <c r="S416" i="16" s="1"/>
  <c r="L419" i="16"/>
  <c r="M419" i="16"/>
  <c r="P419" i="16" s="1"/>
  <c r="N419" i="16"/>
  <c r="O419" i="16"/>
  <c r="Q419" i="16"/>
  <c r="T419" i="16" s="1"/>
  <c r="R419" i="16"/>
  <c r="S419" i="16"/>
  <c r="U419" i="16"/>
  <c r="O420" i="16"/>
  <c r="P420" i="16"/>
  <c r="T420" i="16"/>
  <c r="U420" i="16"/>
  <c r="O421" i="16"/>
  <c r="P421" i="16"/>
  <c r="T421" i="16"/>
  <c r="U421" i="16"/>
  <c r="I424" i="16"/>
  <c r="K424" i="16" s="1"/>
  <c r="J424" i="16"/>
  <c r="I425" i="16"/>
  <c r="K425" i="16" s="1"/>
  <c r="J425" i="16"/>
  <c r="I432" i="16"/>
  <c r="K432" i="16" s="1"/>
  <c r="J432" i="16"/>
  <c r="I433" i="16"/>
  <c r="K433" i="16" s="1"/>
  <c r="J433" i="16"/>
  <c r="I440" i="16"/>
  <c r="K440" i="16" s="1"/>
  <c r="I441" i="16"/>
  <c r="K441" i="16" s="1"/>
  <c r="J446" i="16"/>
  <c r="J440" i="16" s="1"/>
  <c r="J423" i="16" s="1"/>
  <c r="J412" i="16" s="1"/>
  <c r="J447" i="16"/>
  <c r="J441" i="16" s="1"/>
  <c r="I457" i="16"/>
  <c r="I456" i="16" s="1"/>
  <c r="K456" i="16" s="1"/>
  <c r="I458" i="16"/>
  <c r="K458" i="16" s="1"/>
  <c r="J459" i="16"/>
  <c r="J460" i="16"/>
  <c r="J467" i="16"/>
  <c r="J457" i="16" s="1"/>
  <c r="J456" i="16" s="1"/>
  <c r="J468" i="16"/>
  <c r="J475" i="16"/>
  <c r="K475" i="16"/>
  <c r="J476" i="16"/>
  <c r="K476" i="16"/>
  <c r="J477" i="16"/>
  <c r="K477" i="16"/>
  <c r="J482" i="16"/>
  <c r="J483" i="16"/>
  <c r="I484" i="16"/>
  <c r="J484" i="16"/>
  <c r="K484" i="16"/>
  <c r="I485" i="16"/>
  <c r="J485" i="16"/>
  <c r="K485" i="16"/>
  <c r="L494" i="16"/>
  <c r="M494" i="16"/>
  <c r="M493" i="16" s="1"/>
  <c r="P493" i="16" s="1"/>
  <c r="N494" i="16"/>
  <c r="N493" i="16" s="1"/>
  <c r="Q494" i="16"/>
  <c r="T494" i="16" s="1"/>
  <c r="R494" i="16"/>
  <c r="S494" i="16"/>
  <c r="L495" i="16"/>
  <c r="O495" i="16" s="1"/>
  <c r="M495" i="16"/>
  <c r="P495" i="16" s="1"/>
  <c r="N495" i="16"/>
  <c r="L496" i="16"/>
  <c r="O496" i="16" s="1"/>
  <c r="M496" i="16"/>
  <c r="N496" i="16"/>
  <c r="P496" i="16"/>
  <c r="O497" i="16"/>
  <c r="P497" i="16"/>
  <c r="T497" i="16"/>
  <c r="U497" i="16"/>
  <c r="O498" i="16"/>
  <c r="P498" i="16"/>
  <c r="Q498" i="16"/>
  <c r="Q496" i="16" s="1"/>
  <c r="T496" i="16" s="1"/>
  <c r="R498" i="16"/>
  <c r="R495" i="16" s="1"/>
  <c r="U495" i="16" s="1"/>
  <c r="S498" i="16"/>
  <c r="S496" i="16" s="1"/>
  <c r="L499" i="16"/>
  <c r="O499" i="16" s="1"/>
  <c r="M499" i="16"/>
  <c r="P499" i="16" s="1"/>
  <c r="N499" i="16"/>
  <c r="Q499" i="16"/>
  <c r="T499" i="16" s="1"/>
  <c r="R499" i="16"/>
  <c r="U499" i="16" s="1"/>
  <c r="S499" i="16"/>
  <c r="O500" i="16"/>
  <c r="P500" i="16"/>
  <c r="T500" i="16"/>
  <c r="U500" i="16"/>
  <c r="O501" i="16"/>
  <c r="P501" i="16"/>
  <c r="T501" i="16"/>
  <c r="U501" i="16"/>
  <c r="I503" i="16"/>
  <c r="I492" i="16" s="1"/>
  <c r="K492" i="16" s="1"/>
  <c r="I504" i="16"/>
  <c r="K504" i="16" s="1"/>
  <c r="I505" i="16"/>
  <c r="I506" i="16"/>
  <c r="K506" i="16" s="1"/>
  <c r="I507" i="16"/>
  <c r="K507" i="16" s="1"/>
  <c r="K508" i="16"/>
  <c r="I509" i="16"/>
  <c r="K509" i="16" s="1"/>
  <c r="I512" i="16"/>
  <c r="K512" i="16" s="1"/>
  <c r="J512" i="16"/>
  <c r="L514" i="16"/>
  <c r="O514" i="16" s="1"/>
  <c r="M514" i="16"/>
  <c r="P514" i="16" s="1"/>
  <c r="N514" i="16"/>
  <c r="Q514" i="16"/>
  <c r="R514" i="16"/>
  <c r="U514" i="16" s="1"/>
  <c r="S514" i="16"/>
  <c r="Q515" i="16"/>
  <c r="T515" i="16" s="1"/>
  <c r="R515" i="16"/>
  <c r="U515" i="16" s="1"/>
  <c r="S515" i="16"/>
  <c r="S513" i="16" s="1"/>
  <c r="Q516" i="16"/>
  <c r="R516" i="16"/>
  <c r="U516" i="16" s="1"/>
  <c r="S516" i="16"/>
  <c r="T516" i="16"/>
  <c r="O517" i="16"/>
  <c r="P517" i="16"/>
  <c r="T517" i="16"/>
  <c r="U517" i="16"/>
  <c r="L518" i="16"/>
  <c r="M518" i="16"/>
  <c r="M516" i="16" s="1"/>
  <c r="P516" i="16" s="1"/>
  <c r="N518" i="16"/>
  <c r="N516" i="16" s="1"/>
  <c r="T518" i="16"/>
  <c r="U518" i="16"/>
  <c r="Q519" i="16"/>
  <c r="T519" i="16" s="1"/>
  <c r="R519" i="16"/>
  <c r="U519" i="16" s="1"/>
  <c r="S519" i="16"/>
  <c r="O520" i="16"/>
  <c r="P520" i="16"/>
  <c r="T520" i="16"/>
  <c r="U520" i="16"/>
  <c r="L521" i="16"/>
  <c r="O521" i="16" s="1"/>
  <c r="M521" i="16"/>
  <c r="N521" i="16"/>
  <c r="N519" i="16" s="1"/>
  <c r="T521" i="16"/>
  <c r="U521" i="16"/>
  <c r="K523" i="16"/>
  <c r="K524" i="16"/>
  <c r="I533" i="16"/>
  <c r="K533" i="16" s="1"/>
  <c r="J533" i="16"/>
  <c r="L535" i="16"/>
  <c r="M535" i="16"/>
  <c r="M534" i="16" s="1"/>
  <c r="P534" i="16" s="1"/>
  <c r="N535" i="16"/>
  <c r="O535" i="16"/>
  <c r="P535" i="16"/>
  <c r="Q535" i="16"/>
  <c r="R535" i="16"/>
  <c r="R534" i="16" s="1"/>
  <c r="U534" i="16" s="1"/>
  <c r="S535" i="16"/>
  <c r="L536" i="16"/>
  <c r="O536" i="16" s="1"/>
  <c r="M536" i="16"/>
  <c r="P536" i="16" s="1"/>
  <c r="N536" i="16"/>
  <c r="N534" i="16" s="1"/>
  <c r="Q536" i="16"/>
  <c r="T536" i="16" s="1"/>
  <c r="R536" i="16"/>
  <c r="U536" i="16" s="1"/>
  <c r="S536" i="16"/>
  <c r="S534" i="16" s="1"/>
  <c r="L537" i="16"/>
  <c r="O537" i="16" s="1"/>
  <c r="M537" i="16"/>
  <c r="P537" i="16" s="1"/>
  <c r="N537" i="16"/>
  <c r="Q537" i="16"/>
  <c r="R537" i="16"/>
  <c r="U537" i="16" s="1"/>
  <c r="S537" i="16"/>
  <c r="T537" i="16"/>
  <c r="O538" i="16"/>
  <c r="P538" i="16"/>
  <c r="T538" i="16"/>
  <c r="U538" i="16"/>
  <c r="O539" i="16"/>
  <c r="P539" i="16"/>
  <c r="T539" i="16"/>
  <c r="U539" i="16"/>
  <c r="L540" i="16"/>
  <c r="O540" i="16" s="1"/>
  <c r="M540" i="16"/>
  <c r="N540" i="16"/>
  <c r="P540" i="16"/>
  <c r="Q540" i="16"/>
  <c r="R540" i="16"/>
  <c r="U540" i="16" s="1"/>
  <c r="S540" i="16"/>
  <c r="T540" i="16"/>
  <c r="O541" i="16"/>
  <c r="P541" i="16"/>
  <c r="T541" i="16"/>
  <c r="U541" i="16"/>
  <c r="O542" i="16"/>
  <c r="P542" i="16"/>
  <c r="T542" i="16"/>
  <c r="U542" i="16"/>
  <c r="I554" i="16"/>
  <c r="K554" i="16" s="1"/>
  <c r="J554" i="16"/>
  <c r="L556" i="16"/>
  <c r="O556" i="16" s="1"/>
  <c r="M556" i="16"/>
  <c r="P556" i="16" s="1"/>
  <c r="N556" i="16"/>
  <c r="N555" i="16" s="1"/>
  <c r="Q556" i="16"/>
  <c r="R556" i="16"/>
  <c r="R555" i="16" s="1"/>
  <c r="U555" i="16" s="1"/>
  <c r="S556" i="16"/>
  <c r="S555" i="16" s="1"/>
  <c r="T556" i="16"/>
  <c r="U556" i="16"/>
  <c r="L557" i="16"/>
  <c r="M557" i="16"/>
  <c r="N557" i="16"/>
  <c r="O557" i="16"/>
  <c r="P557" i="16"/>
  <c r="Q557" i="16"/>
  <c r="Q555" i="16" s="1"/>
  <c r="T555" i="16" s="1"/>
  <c r="R557" i="16"/>
  <c r="U557" i="16" s="1"/>
  <c r="S557" i="16"/>
  <c r="L558" i="16"/>
  <c r="O558" i="16" s="1"/>
  <c r="M558" i="16"/>
  <c r="P558" i="16" s="1"/>
  <c r="N558" i="16"/>
  <c r="Q558" i="16"/>
  <c r="T558" i="16" s="1"/>
  <c r="R558" i="16"/>
  <c r="U558" i="16" s="1"/>
  <c r="S558" i="16"/>
  <c r="O559" i="16"/>
  <c r="P559" i="16"/>
  <c r="T559" i="16"/>
  <c r="U559" i="16"/>
  <c r="O560" i="16"/>
  <c r="P560" i="16"/>
  <c r="T560" i="16"/>
  <c r="U560" i="16"/>
  <c r="L561" i="16"/>
  <c r="O561" i="16" s="1"/>
  <c r="M561" i="16"/>
  <c r="P561" i="16" s="1"/>
  <c r="N561" i="16"/>
  <c r="Q561" i="16"/>
  <c r="T561" i="16" s="1"/>
  <c r="R561" i="16"/>
  <c r="U561" i="16" s="1"/>
  <c r="S561" i="16"/>
  <c r="O562" i="16"/>
  <c r="P562" i="16"/>
  <c r="T562" i="16"/>
  <c r="U562" i="16"/>
  <c r="O563" i="16"/>
  <c r="P563" i="16"/>
  <c r="T563" i="16"/>
  <c r="U563" i="16"/>
  <c r="I575" i="16"/>
  <c r="K575" i="16" s="1"/>
  <c r="J575" i="16"/>
  <c r="L577" i="16"/>
  <c r="L576" i="16" s="1"/>
  <c r="O576" i="16" s="1"/>
  <c r="M577" i="16"/>
  <c r="N577" i="16"/>
  <c r="P577" i="16"/>
  <c r="Q577" i="16"/>
  <c r="R577" i="16"/>
  <c r="S577" i="16"/>
  <c r="L578" i="16"/>
  <c r="O578" i="16" s="1"/>
  <c r="M578" i="16"/>
  <c r="P578" i="16" s="1"/>
  <c r="N578" i="16"/>
  <c r="N576" i="16" s="1"/>
  <c r="Q578" i="16"/>
  <c r="T578" i="16" s="1"/>
  <c r="R578" i="16"/>
  <c r="U578" i="16" s="1"/>
  <c r="S578" i="16"/>
  <c r="S576" i="16" s="1"/>
  <c r="L579" i="16"/>
  <c r="M579" i="16"/>
  <c r="P579" i="16" s="1"/>
  <c r="N579" i="16"/>
  <c r="O579" i="16"/>
  <c r="Q579" i="16"/>
  <c r="R579" i="16"/>
  <c r="U579" i="16" s="1"/>
  <c r="S579" i="16"/>
  <c r="T579" i="16"/>
  <c r="O580" i="16"/>
  <c r="P580" i="16"/>
  <c r="T580" i="16"/>
  <c r="U580" i="16"/>
  <c r="O581" i="16"/>
  <c r="P581" i="16"/>
  <c r="T581" i="16"/>
  <c r="U581" i="16"/>
  <c r="L582" i="16"/>
  <c r="O582" i="16" s="1"/>
  <c r="M582" i="16"/>
  <c r="P582" i="16" s="1"/>
  <c r="N582" i="16"/>
  <c r="Q582" i="16"/>
  <c r="T582" i="16" s="1"/>
  <c r="R582" i="16"/>
  <c r="S582" i="16"/>
  <c r="U582" i="16"/>
  <c r="O583" i="16"/>
  <c r="P583" i="16"/>
  <c r="T583" i="16"/>
  <c r="U583" i="16"/>
  <c r="O584" i="16"/>
  <c r="P584" i="16"/>
  <c r="T584" i="16"/>
  <c r="U584" i="16"/>
  <c r="L600" i="16"/>
  <c r="M600" i="16"/>
  <c r="N600" i="16"/>
  <c r="N599" i="16" s="1"/>
  <c r="P600" i="16"/>
  <c r="Q600" i="16"/>
  <c r="R600" i="16"/>
  <c r="S600" i="16"/>
  <c r="S599" i="16" s="1"/>
  <c r="L601" i="16"/>
  <c r="O601" i="16" s="1"/>
  <c r="M601" i="16"/>
  <c r="P601" i="16" s="1"/>
  <c r="N601" i="16"/>
  <c r="Q601" i="16"/>
  <c r="T601" i="16" s="1"/>
  <c r="R601" i="16"/>
  <c r="U601" i="16" s="1"/>
  <c r="S601" i="16"/>
  <c r="L602" i="16"/>
  <c r="M602" i="16"/>
  <c r="P602" i="16" s="1"/>
  <c r="N602" i="16"/>
  <c r="O602" i="16"/>
  <c r="Q602" i="16"/>
  <c r="R602" i="16"/>
  <c r="S602" i="16"/>
  <c r="T602" i="16"/>
  <c r="U602" i="16"/>
  <c r="O603" i="16"/>
  <c r="P603" i="16"/>
  <c r="T603" i="16"/>
  <c r="U603" i="16"/>
  <c r="O604" i="16"/>
  <c r="P604" i="16"/>
  <c r="T604" i="16"/>
  <c r="U604" i="16"/>
  <c r="L605" i="16"/>
  <c r="M605" i="16"/>
  <c r="P605" i="16" s="1"/>
  <c r="N605" i="16"/>
  <c r="O605" i="16"/>
  <c r="Q605" i="16"/>
  <c r="R605" i="16"/>
  <c r="S605" i="16"/>
  <c r="T605" i="16"/>
  <c r="U605" i="16"/>
  <c r="O606" i="16"/>
  <c r="P606" i="16"/>
  <c r="T606" i="16"/>
  <c r="U606" i="16"/>
  <c r="O607" i="16"/>
  <c r="P607" i="16"/>
  <c r="T607" i="16"/>
  <c r="U607" i="16"/>
  <c r="L617" i="16"/>
  <c r="O617" i="16" s="1"/>
  <c r="M617" i="16"/>
  <c r="P617" i="16" s="1"/>
  <c r="N617" i="16"/>
  <c r="Q617" i="16"/>
  <c r="T617" i="16" s="1"/>
  <c r="R617" i="16"/>
  <c r="U617" i="16" s="1"/>
  <c r="S617" i="16"/>
  <c r="L618" i="16"/>
  <c r="M618" i="16"/>
  <c r="N618" i="16"/>
  <c r="O618" i="16"/>
  <c r="P618" i="16"/>
  <c r="L619" i="16"/>
  <c r="O619" i="16" s="1"/>
  <c r="M619" i="16"/>
  <c r="P619" i="16" s="1"/>
  <c r="N619" i="16"/>
  <c r="O620" i="16"/>
  <c r="P620" i="16"/>
  <c r="T620" i="16"/>
  <c r="U620" i="16"/>
  <c r="O621" i="16"/>
  <c r="P621" i="16"/>
  <c r="Q621" i="16"/>
  <c r="Q618" i="16" s="1"/>
  <c r="R621" i="16"/>
  <c r="R619" i="16" s="1"/>
  <c r="S621" i="16"/>
  <c r="S618" i="16" s="1"/>
  <c r="L622" i="16"/>
  <c r="M622" i="16"/>
  <c r="P622" i="16" s="1"/>
  <c r="N622" i="16"/>
  <c r="O622" i="16"/>
  <c r="Q622" i="16"/>
  <c r="T622" i="16" s="1"/>
  <c r="R622" i="16"/>
  <c r="S622" i="16"/>
  <c r="U622" i="16"/>
  <c r="O623" i="16"/>
  <c r="P623" i="16"/>
  <c r="T623" i="16"/>
  <c r="U623" i="16"/>
  <c r="O624" i="16"/>
  <c r="P624" i="16"/>
  <c r="T624" i="16"/>
  <c r="U624" i="16"/>
  <c r="I626" i="16"/>
  <c r="I615" i="16" s="1"/>
  <c r="I627" i="16"/>
  <c r="K627" i="16" s="1"/>
  <c r="I628" i="16"/>
  <c r="K628" i="16" s="1"/>
  <c r="J632" i="16"/>
  <c r="I635" i="16"/>
  <c r="K635" i="16" s="1"/>
  <c r="J636" i="16"/>
  <c r="J635" i="16" s="1"/>
  <c r="L643" i="16"/>
  <c r="O643" i="16" s="1"/>
  <c r="M643" i="16"/>
  <c r="N643" i="16"/>
  <c r="N642" i="16" s="1"/>
  <c r="Q643" i="16"/>
  <c r="R643" i="16"/>
  <c r="U643" i="16" s="1"/>
  <c r="S643" i="16"/>
  <c r="T643" i="16"/>
  <c r="L644" i="16"/>
  <c r="M644" i="16"/>
  <c r="P644" i="16" s="1"/>
  <c r="N644" i="16"/>
  <c r="O644" i="16"/>
  <c r="L645" i="16"/>
  <c r="M645" i="16"/>
  <c r="P645" i="16" s="1"/>
  <c r="N645" i="16"/>
  <c r="O645" i="16"/>
  <c r="O646" i="16"/>
  <c r="P646" i="16"/>
  <c r="T646" i="16"/>
  <c r="U646" i="16"/>
  <c r="O647" i="16"/>
  <c r="P647" i="16"/>
  <c r="Q647" i="16"/>
  <c r="R647" i="16"/>
  <c r="R645" i="16" s="1"/>
  <c r="S647" i="16"/>
  <c r="L648" i="16"/>
  <c r="M648" i="16"/>
  <c r="P648" i="16" s="1"/>
  <c r="N648" i="16"/>
  <c r="O648" i="16"/>
  <c r="Q648" i="16"/>
  <c r="T648" i="16" s="1"/>
  <c r="R648" i="16"/>
  <c r="U648" i="16" s="1"/>
  <c r="S648" i="16"/>
  <c r="O649" i="16"/>
  <c r="P649" i="16"/>
  <c r="T649" i="16"/>
  <c r="U649" i="16"/>
  <c r="O650" i="16"/>
  <c r="P650" i="16"/>
  <c r="T650" i="16"/>
  <c r="U650" i="16"/>
  <c r="I652" i="16"/>
  <c r="K652" i="16" s="1"/>
  <c r="J652" i="16"/>
  <c r="I653" i="16"/>
  <c r="K653" i="16" s="1"/>
  <c r="J653" i="16"/>
  <c r="I654" i="16"/>
  <c r="J654" i="16"/>
  <c r="I657" i="16"/>
  <c r="I660" i="16"/>
  <c r="I661" i="16"/>
  <c r="K661" i="16" s="1"/>
  <c r="J661" i="16"/>
  <c r="J671" i="16"/>
  <c r="J672" i="16"/>
  <c r="I673" i="16"/>
  <c r="J673" i="16"/>
  <c r="I674" i="16"/>
  <c r="K674" i="16" s="1"/>
  <c r="I675" i="16"/>
  <c r="K675" i="16" s="1"/>
  <c r="I676" i="16"/>
  <c r="K676" i="16" s="1"/>
  <c r="J676" i="16"/>
  <c r="J677" i="16"/>
  <c r="I678" i="16"/>
  <c r="K678" i="16" s="1"/>
  <c r="J678" i="16"/>
  <c r="I679" i="16"/>
  <c r="K679" i="16" s="1"/>
  <c r="J679" i="16"/>
  <c r="J680" i="16"/>
  <c r="I681" i="16"/>
  <c r="K681" i="16" s="1"/>
  <c r="J681" i="16"/>
  <c r="I682" i="16"/>
  <c r="K682" i="16" s="1"/>
  <c r="J682" i="16"/>
  <c r="L691" i="16"/>
  <c r="L690" i="16" s="1"/>
  <c r="O690" i="16" s="1"/>
  <c r="M691" i="16"/>
  <c r="M690" i="16" s="1"/>
  <c r="P690" i="16" s="1"/>
  <c r="N691" i="16"/>
  <c r="N690" i="16" s="1"/>
  <c r="Q691" i="16"/>
  <c r="R691" i="16"/>
  <c r="S691" i="16"/>
  <c r="U691" i="16"/>
  <c r="L692" i="16"/>
  <c r="O692" i="16" s="1"/>
  <c r="M692" i="16"/>
  <c r="P692" i="16" s="1"/>
  <c r="N692" i="16"/>
  <c r="L693" i="16"/>
  <c r="M693" i="16"/>
  <c r="P693" i="16" s="1"/>
  <c r="N693" i="16"/>
  <c r="O693" i="16"/>
  <c r="O694" i="16"/>
  <c r="P694" i="16"/>
  <c r="T694" i="16"/>
  <c r="U694" i="16"/>
  <c r="O695" i="16"/>
  <c r="P695" i="16"/>
  <c r="Q695" i="16"/>
  <c r="Q692" i="16" s="1"/>
  <c r="R695" i="16"/>
  <c r="R693" i="16" s="1"/>
  <c r="S695" i="16"/>
  <c r="S693" i="16" s="1"/>
  <c r="L696" i="16"/>
  <c r="O696" i="16" s="1"/>
  <c r="M696" i="16"/>
  <c r="P696" i="16" s="1"/>
  <c r="N696" i="16"/>
  <c r="Q696" i="16"/>
  <c r="T696" i="16" s="1"/>
  <c r="R696" i="16"/>
  <c r="U696" i="16" s="1"/>
  <c r="S696" i="16"/>
  <c r="O697" i="16"/>
  <c r="P697" i="16"/>
  <c r="T697" i="16"/>
  <c r="U697" i="16"/>
  <c r="O698" i="16"/>
  <c r="P698" i="16"/>
  <c r="T698" i="16"/>
  <c r="U698" i="16"/>
  <c r="I700" i="16"/>
  <c r="K700" i="16" s="1"/>
  <c r="K702" i="16"/>
  <c r="I703" i="16"/>
  <c r="J703" i="16"/>
  <c r="J704" i="16"/>
  <c r="K704" i="16"/>
  <c r="I705" i="16"/>
  <c r="J705" i="16"/>
  <c r="J706" i="16"/>
  <c r="K706" i="16"/>
  <c r="I707" i="16"/>
  <c r="I689" i="16" s="1"/>
  <c r="J707" i="16"/>
  <c r="J689" i="16" s="1"/>
  <c r="J708" i="16"/>
  <c r="K708" i="16"/>
  <c r="I709" i="16"/>
  <c r="K709" i="16" s="1"/>
  <c r="J709" i="16"/>
  <c r="J710" i="16"/>
  <c r="K710" i="16"/>
  <c r="J712" i="16"/>
  <c r="K712" i="16"/>
  <c r="L715" i="16"/>
  <c r="M715" i="16"/>
  <c r="P715" i="16" s="1"/>
  <c r="N715" i="16"/>
  <c r="Q715" i="16"/>
  <c r="R715" i="16"/>
  <c r="R714" i="16" s="1"/>
  <c r="U714" i="16" s="1"/>
  <c r="S715" i="16"/>
  <c r="S714" i="16" s="1"/>
  <c r="T715" i="16"/>
  <c r="U715" i="16"/>
  <c r="L716" i="16"/>
  <c r="M716" i="16"/>
  <c r="N716" i="16"/>
  <c r="O716" i="16"/>
  <c r="P716" i="16"/>
  <c r="Q716" i="16"/>
  <c r="T716" i="16" s="1"/>
  <c r="R716" i="16"/>
  <c r="S716" i="16"/>
  <c r="U716" i="16"/>
  <c r="L717" i="16"/>
  <c r="O717" i="16" s="1"/>
  <c r="M717" i="16"/>
  <c r="P717" i="16" s="1"/>
  <c r="N717" i="16"/>
  <c r="Q717" i="16"/>
  <c r="T717" i="16" s="1"/>
  <c r="R717" i="16"/>
  <c r="U717" i="16" s="1"/>
  <c r="S717" i="16"/>
  <c r="O718" i="16"/>
  <c r="P718" i="16"/>
  <c r="T718" i="16"/>
  <c r="U718" i="16"/>
  <c r="O719" i="16"/>
  <c r="P719" i="16"/>
  <c r="T719" i="16"/>
  <c r="U719" i="16"/>
  <c r="L720" i="16"/>
  <c r="O720" i="16" s="1"/>
  <c r="M720" i="16"/>
  <c r="P720" i="16" s="1"/>
  <c r="N720" i="16"/>
  <c r="Q720" i="16"/>
  <c r="T720" i="16" s="1"/>
  <c r="R720" i="16"/>
  <c r="U720" i="16" s="1"/>
  <c r="S720" i="16"/>
  <c r="O721" i="16"/>
  <c r="P721" i="16"/>
  <c r="T721" i="16"/>
  <c r="U721" i="16"/>
  <c r="O722" i="16"/>
  <c r="P722" i="16"/>
  <c r="T722" i="16"/>
  <c r="U722" i="16"/>
  <c r="I726" i="16"/>
  <c r="J726" i="16"/>
  <c r="I727" i="16"/>
  <c r="K727" i="16" s="1"/>
  <c r="J727" i="16"/>
  <c r="L729" i="16"/>
  <c r="L728" i="16" s="1"/>
  <c r="O728" i="16" s="1"/>
  <c r="M729" i="16"/>
  <c r="P729" i="16" s="1"/>
  <c r="N729" i="16"/>
  <c r="N728" i="16" s="1"/>
  <c r="O729" i="16"/>
  <c r="Q729" i="16"/>
  <c r="R729" i="16"/>
  <c r="S729" i="16"/>
  <c r="T729" i="16"/>
  <c r="U729" i="16"/>
  <c r="L730" i="16"/>
  <c r="M730" i="16"/>
  <c r="N730" i="16"/>
  <c r="O730" i="16"/>
  <c r="P730" i="16"/>
  <c r="L731" i="16"/>
  <c r="O731" i="16" s="1"/>
  <c r="M731" i="16"/>
  <c r="P731" i="16" s="1"/>
  <c r="N731" i="16"/>
  <c r="O732" i="16"/>
  <c r="P732" i="16"/>
  <c r="T732" i="16"/>
  <c r="U732" i="16"/>
  <c r="O733" i="16"/>
  <c r="P733" i="16"/>
  <c r="Q733" i="16"/>
  <c r="Q731" i="16" s="1"/>
  <c r="R733" i="16"/>
  <c r="R730" i="16" s="1"/>
  <c r="S733" i="16"/>
  <c r="S731" i="16" s="1"/>
  <c r="L734" i="16"/>
  <c r="M734" i="16"/>
  <c r="N734" i="16"/>
  <c r="O734" i="16"/>
  <c r="P734" i="16"/>
  <c r="Q734" i="16"/>
  <c r="R734" i="16"/>
  <c r="S734" i="16"/>
  <c r="T734" i="16"/>
  <c r="U734" i="16"/>
  <c r="O735" i="16"/>
  <c r="P735" i="16"/>
  <c r="T735" i="16"/>
  <c r="U735" i="16"/>
  <c r="O736" i="16"/>
  <c r="P736" i="16"/>
  <c r="T736" i="16"/>
  <c r="U736" i="16"/>
  <c r="I740" i="16"/>
  <c r="K740" i="16" s="1"/>
  <c r="I742" i="16"/>
  <c r="K742" i="16" s="1"/>
  <c r="I744" i="16"/>
  <c r="K744" i="16" s="1"/>
  <c r="I746" i="16"/>
  <c r="K746" i="16" s="1"/>
  <c r="I749" i="16"/>
  <c r="K749" i="16" s="1"/>
  <c r="I752" i="16"/>
  <c r="K752" i="16" s="1"/>
  <c r="I755" i="16"/>
  <c r="K755" i="16" s="1"/>
  <c r="J758" i="16"/>
  <c r="J759" i="16"/>
  <c r="L761" i="16"/>
  <c r="M761" i="16"/>
  <c r="N761" i="16"/>
  <c r="N760" i="16" s="1"/>
  <c r="Q761" i="16"/>
  <c r="R761" i="16"/>
  <c r="S761" i="16"/>
  <c r="T761" i="16"/>
  <c r="L762" i="16"/>
  <c r="O762" i="16" s="1"/>
  <c r="M762" i="16"/>
  <c r="N762" i="16"/>
  <c r="P762" i="16"/>
  <c r="L763" i="16"/>
  <c r="O763" i="16" s="1"/>
  <c r="M763" i="16"/>
  <c r="P763" i="16" s="1"/>
  <c r="N763" i="16"/>
  <c r="O764" i="16"/>
  <c r="P764" i="16"/>
  <c r="T764" i="16"/>
  <c r="U764" i="16"/>
  <c r="O765" i="16"/>
  <c r="P765" i="16"/>
  <c r="Q765" i="16"/>
  <c r="Q763" i="16" s="1"/>
  <c r="R765" i="16"/>
  <c r="R762" i="16" s="1"/>
  <c r="S765" i="16"/>
  <c r="S762" i="16" s="1"/>
  <c r="L766" i="16"/>
  <c r="O766" i="16" s="1"/>
  <c r="M766" i="16"/>
  <c r="P766" i="16" s="1"/>
  <c r="N766" i="16"/>
  <c r="Q766" i="16"/>
  <c r="T766" i="16" s="1"/>
  <c r="R766" i="16"/>
  <c r="U766" i="16" s="1"/>
  <c r="S766" i="16"/>
  <c r="O767" i="16"/>
  <c r="P767" i="16"/>
  <c r="T767" i="16"/>
  <c r="U767" i="16"/>
  <c r="O768" i="16"/>
  <c r="P768" i="16"/>
  <c r="T768" i="16"/>
  <c r="U768" i="16"/>
  <c r="I770" i="16"/>
  <c r="K770" i="16" s="1"/>
  <c r="I772" i="16"/>
  <c r="K772" i="16" s="1"/>
  <c r="I774" i="16"/>
  <c r="K774" i="16" s="1"/>
  <c r="I775" i="16"/>
  <c r="I776" i="16"/>
  <c r="H777" i="16"/>
  <c r="I778" i="16"/>
  <c r="J778" i="16"/>
  <c r="I779" i="16"/>
  <c r="J779" i="16"/>
  <c r="I780" i="16"/>
  <c r="J780" i="16"/>
  <c r="I781" i="16"/>
  <c r="J781" i="16"/>
  <c r="I782" i="16"/>
  <c r="J782" i="16"/>
  <c r="I783" i="16"/>
  <c r="J783" i="16"/>
  <c r="I784" i="16"/>
  <c r="J784" i="16"/>
  <c r="I785" i="16"/>
  <c r="J785" i="16"/>
  <c r="A788" i="16"/>
  <c r="A789" i="16"/>
  <c r="L22" i="15"/>
  <c r="M22" i="15"/>
  <c r="N22" i="15"/>
  <c r="Q22" i="15"/>
  <c r="T22" i="15" s="1"/>
  <c r="R22" i="15"/>
  <c r="S22" i="15"/>
  <c r="L25" i="15"/>
  <c r="M25" i="15"/>
  <c r="N25" i="15"/>
  <c r="Q25" i="15"/>
  <c r="R25" i="15"/>
  <c r="R24" i="15" s="1"/>
  <c r="U24" i="15" s="1"/>
  <c r="S25" i="15"/>
  <c r="Q26" i="15"/>
  <c r="R26" i="15"/>
  <c r="S26" i="15"/>
  <c r="T26" i="15"/>
  <c r="U26" i="15"/>
  <c r="L45" i="15"/>
  <c r="O45" i="15" s="1"/>
  <c r="M45" i="15"/>
  <c r="N45" i="15"/>
  <c r="Q45" i="15"/>
  <c r="R45" i="15"/>
  <c r="U45" i="15" s="1"/>
  <c r="S45" i="15"/>
  <c r="Q46" i="15"/>
  <c r="T46" i="15" s="1"/>
  <c r="R46" i="15"/>
  <c r="S46" i="15"/>
  <c r="Q47" i="15"/>
  <c r="T47" i="15" s="1"/>
  <c r="R47" i="15"/>
  <c r="U47" i="15" s="1"/>
  <c r="S47" i="15"/>
  <c r="O48" i="15"/>
  <c r="P48" i="15"/>
  <c r="T48" i="15"/>
  <c r="U48" i="15"/>
  <c r="L49" i="15"/>
  <c r="M49" i="15"/>
  <c r="N49" i="15"/>
  <c r="N47" i="15" s="1"/>
  <c r="T49" i="15"/>
  <c r="U49" i="15"/>
  <c r="Q50" i="15"/>
  <c r="T50" i="15" s="1"/>
  <c r="R50" i="15"/>
  <c r="S50" i="15"/>
  <c r="U50" i="15"/>
  <c r="O51" i="15"/>
  <c r="P51" i="15"/>
  <c r="T51" i="15"/>
  <c r="U51" i="15"/>
  <c r="L52" i="15"/>
  <c r="O52" i="15" s="1"/>
  <c r="M52" i="15"/>
  <c r="N52" i="15"/>
  <c r="N50" i="15" s="1"/>
  <c r="T52" i="15"/>
  <c r="U52" i="15"/>
  <c r="R59" i="15"/>
  <c r="U59" i="15" s="1"/>
  <c r="L60" i="15"/>
  <c r="O60" i="15" s="1"/>
  <c r="M60" i="15"/>
  <c r="N60" i="15"/>
  <c r="Q60" i="15"/>
  <c r="R60" i="15"/>
  <c r="U60" i="15" s="1"/>
  <c r="S60" i="15"/>
  <c r="T60" i="15"/>
  <c r="Q61" i="15"/>
  <c r="T61" i="15" s="1"/>
  <c r="R61" i="15"/>
  <c r="S61" i="15"/>
  <c r="U61" i="15"/>
  <c r="Q62" i="15"/>
  <c r="T62" i="15" s="1"/>
  <c r="R62" i="15"/>
  <c r="U62" i="15" s="1"/>
  <c r="S62" i="15"/>
  <c r="O63" i="15"/>
  <c r="P63" i="15"/>
  <c r="T63" i="15"/>
  <c r="U63" i="15"/>
  <c r="L64" i="15"/>
  <c r="M64" i="15"/>
  <c r="M62" i="15" s="1"/>
  <c r="N64" i="15"/>
  <c r="N62" i="15" s="1"/>
  <c r="T64" i="15"/>
  <c r="U64" i="15"/>
  <c r="Q65" i="15"/>
  <c r="R65" i="15"/>
  <c r="U65" i="15" s="1"/>
  <c r="S65" i="15"/>
  <c r="T65" i="15"/>
  <c r="O66" i="15"/>
  <c r="P66" i="15"/>
  <c r="T66" i="15"/>
  <c r="U66" i="15"/>
  <c r="L67" i="15"/>
  <c r="O67" i="15" s="1"/>
  <c r="M67" i="15"/>
  <c r="N67" i="15"/>
  <c r="N65" i="15" s="1"/>
  <c r="T67" i="15"/>
  <c r="U67" i="15"/>
  <c r="L73" i="15"/>
  <c r="O73" i="15" s="1"/>
  <c r="M73" i="15"/>
  <c r="N73" i="15"/>
  <c r="Q73" i="15"/>
  <c r="R73" i="15"/>
  <c r="U73" i="15" s="1"/>
  <c r="S73" i="15"/>
  <c r="T73" i="15"/>
  <c r="O76" i="15"/>
  <c r="P76" i="15"/>
  <c r="T76" i="15"/>
  <c r="U76" i="15"/>
  <c r="L77" i="15"/>
  <c r="L75" i="15" s="1"/>
  <c r="M77" i="15"/>
  <c r="M75" i="15" s="1"/>
  <c r="N77" i="15"/>
  <c r="N75" i="15" s="1"/>
  <c r="Q77" i="15"/>
  <c r="R77" i="15"/>
  <c r="S77" i="15"/>
  <c r="S75" i="15" s="1"/>
  <c r="Q78" i="15"/>
  <c r="T78" i="15" s="1"/>
  <c r="R78" i="15"/>
  <c r="U78" i="15" s="1"/>
  <c r="S78" i="15"/>
  <c r="O79" i="15"/>
  <c r="P79" i="15"/>
  <c r="T79" i="15"/>
  <c r="U79" i="15"/>
  <c r="L80" i="15"/>
  <c r="M80" i="15"/>
  <c r="M78" i="15" s="1"/>
  <c r="P78" i="15" s="1"/>
  <c r="N80" i="15"/>
  <c r="N78" i="15" s="1"/>
  <c r="T80" i="15"/>
  <c r="U80" i="15"/>
  <c r="J82" i="15"/>
  <c r="J70" i="15" s="1"/>
  <c r="J83" i="15"/>
  <c r="J71" i="15" s="1"/>
  <c r="I84" i="15"/>
  <c r="I85" i="15"/>
  <c r="K85" i="15" s="1"/>
  <c r="I86" i="15"/>
  <c r="K86" i="15" s="1"/>
  <c r="I87" i="15"/>
  <c r="K87" i="15" s="1"/>
  <c r="I88" i="15"/>
  <c r="K88" i="15" s="1"/>
  <c r="I89" i="15"/>
  <c r="K89" i="15" s="1"/>
  <c r="I90" i="15"/>
  <c r="K90" i="15" s="1"/>
  <c r="J92" i="15"/>
  <c r="J93" i="15"/>
  <c r="L95" i="15"/>
  <c r="M95" i="15"/>
  <c r="N95" i="15"/>
  <c r="O95" i="15"/>
  <c r="P95" i="15"/>
  <c r="Q95" i="15"/>
  <c r="R95" i="15"/>
  <c r="S95" i="15"/>
  <c r="T95" i="15"/>
  <c r="U95" i="15"/>
  <c r="O98" i="15"/>
  <c r="P98" i="15"/>
  <c r="T98" i="15"/>
  <c r="U98" i="15"/>
  <c r="L99" i="15"/>
  <c r="M99" i="15"/>
  <c r="N99" i="15"/>
  <c r="N97" i="15" s="1"/>
  <c r="Q99" i="15"/>
  <c r="Q96" i="15" s="1"/>
  <c r="T96" i="15" s="1"/>
  <c r="R99" i="15"/>
  <c r="R96" i="15" s="1"/>
  <c r="S99" i="15"/>
  <c r="S96" i="15" s="1"/>
  <c r="S94" i="15" s="1"/>
  <c r="Q100" i="15"/>
  <c r="R100" i="15"/>
  <c r="U100" i="15" s="1"/>
  <c r="S100" i="15"/>
  <c r="T100" i="15"/>
  <c r="O101" i="15"/>
  <c r="P101" i="15"/>
  <c r="T101" i="15"/>
  <c r="U101" i="15"/>
  <c r="L102" i="15"/>
  <c r="O102" i="15" s="1"/>
  <c r="M102" i="15"/>
  <c r="N102" i="15"/>
  <c r="N100" i="15" s="1"/>
  <c r="T102" i="15"/>
  <c r="U102" i="15"/>
  <c r="I108" i="15"/>
  <c r="K108" i="15" s="1"/>
  <c r="I109" i="15"/>
  <c r="I114" i="15"/>
  <c r="K114" i="15" s="1"/>
  <c r="J116" i="15"/>
  <c r="L118" i="15"/>
  <c r="M118" i="15"/>
  <c r="N118" i="15"/>
  <c r="O118" i="15"/>
  <c r="P118" i="15"/>
  <c r="Q118" i="15"/>
  <c r="T118" i="15" s="1"/>
  <c r="R118" i="15"/>
  <c r="S118" i="15"/>
  <c r="U118" i="15"/>
  <c r="O121" i="15"/>
  <c r="P121" i="15"/>
  <c r="T121" i="15"/>
  <c r="U121" i="15"/>
  <c r="L122" i="15"/>
  <c r="L120" i="15" s="1"/>
  <c r="O120" i="15" s="1"/>
  <c r="M122" i="15"/>
  <c r="N122" i="15"/>
  <c r="N120" i="15" s="1"/>
  <c r="Q122" i="15"/>
  <c r="R122" i="15"/>
  <c r="S122" i="15"/>
  <c r="S119" i="15" s="1"/>
  <c r="Q123" i="15"/>
  <c r="T123" i="15" s="1"/>
  <c r="R123" i="15"/>
  <c r="U123" i="15" s="1"/>
  <c r="S123" i="15"/>
  <c r="O124" i="15"/>
  <c r="P124" i="15"/>
  <c r="T124" i="15"/>
  <c r="U124" i="15"/>
  <c r="L125" i="15"/>
  <c r="M125" i="15"/>
  <c r="M123" i="15" s="1"/>
  <c r="P123" i="15" s="1"/>
  <c r="N125" i="15"/>
  <c r="N123" i="15" s="1"/>
  <c r="T125" i="15"/>
  <c r="U125" i="15"/>
  <c r="I127" i="15"/>
  <c r="I128" i="15"/>
  <c r="K128" i="15" s="1"/>
  <c r="I129" i="15"/>
  <c r="K129" i="15" s="1"/>
  <c r="I130" i="15"/>
  <c r="K130" i="15" s="1"/>
  <c r="J136" i="15"/>
  <c r="J137" i="15"/>
  <c r="J138" i="15"/>
  <c r="L140" i="15"/>
  <c r="M140" i="15"/>
  <c r="N140" i="15"/>
  <c r="Q140" i="15"/>
  <c r="R140" i="15"/>
  <c r="S140" i="15"/>
  <c r="T140" i="15"/>
  <c r="O143" i="15"/>
  <c r="P143" i="15"/>
  <c r="T143" i="15"/>
  <c r="U143" i="15"/>
  <c r="L144" i="15"/>
  <c r="M144" i="15"/>
  <c r="M142" i="15" s="1"/>
  <c r="N144" i="15"/>
  <c r="Q144" i="15"/>
  <c r="Q141" i="15" s="1"/>
  <c r="T141" i="15" s="1"/>
  <c r="R144" i="15"/>
  <c r="S144" i="15"/>
  <c r="S142" i="15" s="1"/>
  <c r="Q145" i="15"/>
  <c r="T145" i="15" s="1"/>
  <c r="R145" i="15"/>
  <c r="U145" i="15" s="1"/>
  <c r="S145" i="15"/>
  <c r="O146" i="15"/>
  <c r="P146" i="15"/>
  <c r="T146" i="15"/>
  <c r="U146" i="15"/>
  <c r="L147" i="15"/>
  <c r="L145" i="15" s="1"/>
  <c r="O145" i="15" s="1"/>
  <c r="M147" i="15"/>
  <c r="N147" i="15"/>
  <c r="T147" i="15"/>
  <c r="U147" i="15"/>
  <c r="I150" i="15"/>
  <c r="K150" i="15" s="1"/>
  <c r="I151" i="15"/>
  <c r="K151" i="15" s="1"/>
  <c r="I152" i="15"/>
  <c r="I137" i="15" s="1"/>
  <c r="K137" i="15" s="1"/>
  <c r="I153" i="15"/>
  <c r="I138" i="15" s="1"/>
  <c r="K138" i="15" s="1"/>
  <c r="I154" i="15"/>
  <c r="J156" i="15"/>
  <c r="L158" i="15"/>
  <c r="O158" i="15" s="1"/>
  <c r="M158" i="15"/>
  <c r="P158" i="15" s="1"/>
  <c r="N158" i="15"/>
  <c r="Q158" i="15"/>
  <c r="R158" i="15"/>
  <c r="S158" i="15"/>
  <c r="T158" i="15"/>
  <c r="U158" i="15"/>
  <c r="O161" i="15"/>
  <c r="P161" i="15"/>
  <c r="T161" i="15"/>
  <c r="U161" i="15"/>
  <c r="L162" i="15"/>
  <c r="L160" i="15" s="1"/>
  <c r="M162" i="15"/>
  <c r="N162" i="15"/>
  <c r="N160" i="15" s="1"/>
  <c r="Q162" i="15"/>
  <c r="R162" i="15"/>
  <c r="R159" i="15" s="1"/>
  <c r="S162" i="15"/>
  <c r="S159" i="15" s="1"/>
  <c r="Q163" i="15"/>
  <c r="T163" i="15" s="1"/>
  <c r="R163" i="15"/>
  <c r="U163" i="15" s="1"/>
  <c r="S163" i="15"/>
  <c r="O164" i="15"/>
  <c r="P164" i="15"/>
  <c r="T164" i="15"/>
  <c r="U164" i="15"/>
  <c r="L165" i="15"/>
  <c r="O165" i="15" s="1"/>
  <c r="M165" i="15"/>
  <c r="P165" i="15" s="1"/>
  <c r="N165" i="15"/>
  <c r="N163" i="15" s="1"/>
  <c r="T165" i="15"/>
  <c r="U165" i="15"/>
  <c r="I167" i="15"/>
  <c r="I156" i="15" s="1"/>
  <c r="K156" i="15" s="1"/>
  <c r="J172" i="15"/>
  <c r="L174" i="15"/>
  <c r="M174" i="15"/>
  <c r="N174" i="15"/>
  <c r="O174" i="15"/>
  <c r="P174" i="15"/>
  <c r="Q174" i="15"/>
  <c r="T174" i="15" s="1"/>
  <c r="R174" i="15"/>
  <c r="S174" i="15"/>
  <c r="U174" i="15"/>
  <c r="O177" i="15"/>
  <c r="P177" i="15"/>
  <c r="T177" i="15"/>
  <c r="U177" i="15"/>
  <c r="L178" i="15"/>
  <c r="L176" i="15" s="1"/>
  <c r="M178" i="15"/>
  <c r="N178" i="15"/>
  <c r="N176" i="15" s="1"/>
  <c r="Q178" i="15"/>
  <c r="R178" i="15"/>
  <c r="S178" i="15"/>
  <c r="S175" i="15" s="1"/>
  <c r="Q179" i="15"/>
  <c r="R179" i="15"/>
  <c r="U179" i="15" s="1"/>
  <c r="S179" i="15"/>
  <c r="T179" i="15"/>
  <c r="O180" i="15"/>
  <c r="P180" i="15"/>
  <c r="T180" i="15"/>
  <c r="U180" i="15"/>
  <c r="L181" i="15"/>
  <c r="M181" i="15"/>
  <c r="N181" i="15"/>
  <c r="N179" i="15" s="1"/>
  <c r="T181" i="15"/>
  <c r="U181" i="15"/>
  <c r="I183" i="15"/>
  <c r="I172" i="15" s="1"/>
  <c r="K184" i="15"/>
  <c r="L187" i="15"/>
  <c r="O187" i="15" s="1"/>
  <c r="M187" i="15"/>
  <c r="P187" i="15" s="1"/>
  <c r="N187" i="15"/>
  <c r="Q187" i="15"/>
  <c r="R187" i="15"/>
  <c r="S187" i="15"/>
  <c r="O190" i="15"/>
  <c r="P190" i="15"/>
  <c r="T190" i="15"/>
  <c r="U190" i="15"/>
  <c r="L191" i="15"/>
  <c r="M191" i="15"/>
  <c r="N191" i="15"/>
  <c r="N189" i="15" s="1"/>
  <c r="Q191" i="15"/>
  <c r="R191" i="15"/>
  <c r="S191" i="15"/>
  <c r="Q192" i="15"/>
  <c r="R192" i="15"/>
  <c r="U192" i="15" s="1"/>
  <c r="S192" i="15"/>
  <c r="T192" i="15"/>
  <c r="O193" i="15"/>
  <c r="P193" i="15"/>
  <c r="T193" i="15"/>
  <c r="U193" i="15"/>
  <c r="L194" i="15"/>
  <c r="M194" i="15"/>
  <c r="N194" i="15"/>
  <c r="N192" i="15" s="1"/>
  <c r="T194" i="15"/>
  <c r="U194" i="15"/>
  <c r="J195" i="15"/>
  <c r="L196" i="15"/>
  <c r="O196" i="15" s="1"/>
  <c r="P196" i="15"/>
  <c r="I198" i="15"/>
  <c r="K198" i="15" s="1"/>
  <c r="J199" i="15"/>
  <c r="J202" i="15"/>
  <c r="N203" i="15"/>
  <c r="P203" i="15"/>
  <c r="S203" i="15"/>
  <c r="U203" i="15"/>
  <c r="L204" i="15"/>
  <c r="L205" i="15"/>
  <c r="L206" i="15"/>
  <c r="Q206" i="15"/>
  <c r="Q203" i="15" s="1"/>
  <c r="T203" i="15" s="1"/>
  <c r="L207" i="15"/>
  <c r="I209" i="15"/>
  <c r="I202" i="15" s="1"/>
  <c r="K202" i="15" s="1"/>
  <c r="I211" i="15"/>
  <c r="K211" i="15" s="1"/>
  <c r="I212" i="15"/>
  <c r="K212" i="15" s="1"/>
  <c r="J213" i="15"/>
  <c r="N214" i="15"/>
  <c r="P214" i="15"/>
  <c r="S214" i="15"/>
  <c r="U214" i="15"/>
  <c r="L215" i="15"/>
  <c r="L216" i="15"/>
  <c r="L217" i="15"/>
  <c r="Q217" i="15"/>
  <c r="Q214" i="15" s="1"/>
  <c r="T214" i="15" s="1"/>
  <c r="I219" i="15"/>
  <c r="K219" i="15" s="1"/>
  <c r="I220" i="15"/>
  <c r="J221" i="15"/>
  <c r="N222" i="15"/>
  <c r="P222" i="15"/>
  <c r="L223" i="15"/>
  <c r="L224" i="15"/>
  <c r="L225" i="15"/>
  <c r="I228" i="15"/>
  <c r="K228" i="15" s="1"/>
  <c r="I229" i="15"/>
  <c r="I221" i="15" s="1"/>
  <c r="K221" i="15" s="1"/>
  <c r="I230" i="15"/>
  <c r="K230" i="15" s="1"/>
  <c r="N233" i="15"/>
  <c r="Q233" i="15"/>
  <c r="S233" i="15"/>
  <c r="N234" i="15"/>
  <c r="Q234" i="15"/>
  <c r="S234" i="15"/>
  <c r="N235" i="15"/>
  <c r="S235" i="15"/>
  <c r="N236" i="15"/>
  <c r="Q236" i="15"/>
  <c r="S236" i="15"/>
  <c r="J238" i="15"/>
  <c r="J240" i="15"/>
  <c r="J241" i="15"/>
  <c r="J242" i="15"/>
  <c r="N243" i="15"/>
  <c r="N232" i="15" s="1"/>
  <c r="P243" i="15"/>
  <c r="S243" i="15"/>
  <c r="S232" i="15" s="1"/>
  <c r="U243" i="15"/>
  <c r="L244" i="15"/>
  <c r="L245" i="15"/>
  <c r="L246" i="15"/>
  <c r="Q246" i="15"/>
  <c r="Q243" i="15" s="1"/>
  <c r="L247" i="15"/>
  <c r="I249" i="15"/>
  <c r="I251" i="15"/>
  <c r="I252" i="15"/>
  <c r="J253" i="15"/>
  <c r="N254" i="15"/>
  <c r="P254" i="15"/>
  <c r="L255" i="15"/>
  <c r="L256" i="15"/>
  <c r="L257" i="15"/>
  <c r="L258" i="15"/>
  <c r="I260" i="15"/>
  <c r="K262" i="15"/>
  <c r="K263" i="15"/>
  <c r="J265" i="15"/>
  <c r="L267" i="15"/>
  <c r="M267" i="15"/>
  <c r="N267" i="15"/>
  <c r="O267" i="15"/>
  <c r="Q267" i="15"/>
  <c r="T267" i="15" s="1"/>
  <c r="R267" i="15"/>
  <c r="U267" i="15" s="1"/>
  <c r="S267" i="15"/>
  <c r="O270" i="15"/>
  <c r="P270" i="15"/>
  <c r="T270" i="15"/>
  <c r="U270" i="15"/>
  <c r="L271" i="15"/>
  <c r="M271" i="15"/>
  <c r="M269" i="15" s="1"/>
  <c r="N271" i="15"/>
  <c r="Q271" i="15"/>
  <c r="R271" i="15"/>
  <c r="R269" i="15" s="1"/>
  <c r="S271" i="15"/>
  <c r="S269" i="15" s="1"/>
  <c r="Q272" i="15"/>
  <c r="T272" i="15" s="1"/>
  <c r="R272" i="15"/>
  <c r="U272" i="15" s="1"/>
  <c r="S272" i="15"/>
  <c r="O273" i="15"/>
  <c r="P273" i="15"/>
  <c r="T273" i="15"/>
  <c r="U273" i="15"/>
  <c r="L274" i="15"/>
  <c r="O274" i="15" s="1"/>
  <c r="M274" i="15"/>
  <c r="N274" i="15"/>
  <c r="N272" i="15" s="1"/>
  <c r="T274" i="15"/>
  <c r="U274" i="15"/>
  <c r="I276" i="15"/>
  <c r="J280" i="15"/>
  <c r="J281" i="15"/>
  <c r="L283" i="15"/>
  <c r="O283" i="15" s="1"/>
  <c r="M283" i="15"/>
  <c r="P283" i="15" s="1"/>
  <c r="N283" i="15"/>
  <c r="Q283" i="15"/>
  <c r="R283" i="15"/>
  <c r="S283" i="15"/>
  <c r="Q284" i="15"/>
  <c r="T284" i="15" s="1"/>
  <c r="R284" i="15"/>
  <c r="U284" i="15" s="1"/>
  <c r="S284" i="15"/>
  <c r="Q285" i="15"/>
  <c r="T285" i="15" s="1"/>
  <c r="R285" i="15"/>
  <c r="S285" i="15"/>
  <c r="U285" i="15"/>
  <c r="O286" i="15"/>
  <c r="P286" i="15"/>
  <c r="T286" i="15"/>
  <c r="U286" i="15"/>
  <c r="L287" i="15"/>
  <c r="L285" i="15" s="1"/>
  <c r="M287" i="15"/>
  <c r="M285" i="15" s="1"/>
  <c r="N287" i="15"/>
  <c r="N285" i="15" s="1"/>
  <c r="T287" i="15"/>
  <c r="U287" i="15"/>
  <c r="Q288" i="15"/>
  <c r="T288" i="15" s="1"/>
  <c r="R288" i="15"/>
  <c r="U288" i="15" s="1"/>
  <c r="S288" i="15"/>
  <c r="O289" i="15"/>
  <c r="P289" i="15"/>
  <c r="T289" i="15"/>
  <c r="U289" i="15"/>
  <c r="L290" i="15"/>
  <c r="O290" i="15" s="1"/>
  <c r="M290" i="15"/>
  <c r="M288" i="15" s="1"/>
  <c r="P288" i="15" s="1"/>
  <c r="N290" i="15"/>
  <c r="N288" i="15" s="1"/>
  <c r="T290" i="15"/>
  <c r="U290" i="15"/>
  <c r="I292" i="15"/>
  <c r="I281" i="15" s="1"/>
  <c r="K281" i="15" s="1"/>
  <c r="I293" i="15"/>
  <c r="J293" i="15"/>
  <c r="I295" i="15"/>
  <c r="K295" i="15" s="1"/>
  <c r="I296" i="15"/>
  <c r="K296" i="15" s="1"/>
  <c r="J302" i="15"/>
  <c r="L304" i="15"/>
  <c r="O304" i="15" s="1"/>
  <c r="M304" i="15"/>
  <c r="P304" i="15" s="1"/>
  <c r="N304" i="15"/>
  <c r="Q304" i="15"/>
  <c r="R304" i="15"/>
  <c r="S304" i="15"/>
  <c r="O307" i="15"/>
  <c r="P307" i="15"/>
  <c r="T307" i="15"/>
  <c r="U307" i="15"/>
  <c r="L308" i="15"/>
  <c r="M308" i="15"/>
  <c r="N308" i="15"/>
  <c r="N306" i="15" s="1"/>
  <c r="Q308" i="15"/>
  <c r="Q306" i="15" s="1"/>
  <c r="R308" i="15"/>
  <c r="R305" i="15" s="1"/>
  <c r="S308" i="15"/>
  <c r="S306" i="15" s="1"/>
  <c r="Q309" i="15"/>
  <c r="R309" i="15"/>
  <c r="S309" i="15"/>
  <c r="T309" i="15"/>
  <c r="U309" i="15"/>
  <c r="O310" i="15"/>
  <c r="P310" i="15"/>
  <c r="T310" i="15"/>
  <c r="U310" i="15"/>
  <c r="L311" i="15"/>
  <c r="O311" i="15" s="1"/>
  <c r="M311" i="15"/>
  <c r="P311" i="15" s="1"/>
  <c r="N311" i="15"/>
  <c r="N309" i="15" s="1"/>
  <c r="T311" i="15"/>
  <c r="U311" i="15"/>
  <c r="I314" i="15"/>
  <c r="J319" i="15"/>
  <c r="L321" i="15"/>
  <c r="M321" i="15"/>
  <c r="N321" i="15"/>
  <c r="O321" i="15"/>
  <c r="Q321" i="15"/>
  <c r="T321" i="15" s="1"/>
  <c r="R321" i="15"/>
  <c r="U321" i="15" s="1"/>
  <c r="S321" i="15"/>
  <c r="Q322" i="15"/>
  <c r="R322" i="15"/>
  <c r="U322" i="15" s="1"/>
  <c r="S322" i="15"/>
  <c r="Q323" i="15"/>
  <c r="R323" i="15"/>
  <c r="U323" i="15" s="1"/>
  <c r="S323" i="15"/>
  <c r="T323" i="15"/>
  <c r="O324" i="15"/>
  <c r="P324" i="15"/>
  <c r="T324" i="15"/>
  <c r="U324" i="15"/>
  <c r="L325" i="15"/>
  <c r="M325" i="15"/>
  <c r="N325" i="15"/>
  <c r="N323" i="15" s="1"/>
  <c r="T325" i="15"/>
  <c r="U325" i="15"/>
  <c r="Q326" i="15"/>
  <c r="R326" i="15"/>
  <c r="S326" i="15"/>
  <c r="T326" i="15"/>
  <c r="U326" i="15"/>
  <c r="O327" i="15"/>
  <c r="P327" i="15"/>
  <c r="T327" i="15"/>
  <c r="U327" i="15"/>
  <c r="L328" i="15"/>
  <c r="M328" i="15"/>
  <c r="P328" i="15" s="1"/>
  <c r="N328" i="15"/>
  <c r="N326" i="15" s="1"/>
  <c r="T328" i="15"/>
  <c r="U328" i="15"/>
  <c r="I330" i="15"/>
  <c r="R333" i="15"/>
  <c r="U333" i="15"/>
  <c r="L334" i="15"/>
  <c r="M334" i="15"/>
  <c r="N334" i="15"/>
  <c r="O334" i="15"/>
  <c r="P334" i="15"/>
  <c r="Q334" i="15"/>
  <c r="R334" i="15"/>
  <c r="U334" i="15" s="1"/>
  <c r="S334" i="15"/>
  <c r="Q335" i="15"/>
  <c r="T335" i="15" s="1"/>
  <c r="R335" i="15"/>
  <c r="U335" i="15" s="1"/>
  <c r="S335" i="15"/>
  <c r="Q336" i="15"/>
  <c r="T336" i="15" s="1"/>
  <c r="R336" i="15"/>
  <c r="U336" i="15" s="1"/>
  <c r="S336" i="15"/>
  <c r="O337" i="15"/>
  <c r="P337" i="15"/>
  <c r="T337" i="15"/>
  <c r="U337" i="15"/>
  <c r="L338" i="15"/>
  <c r="L336" i="15" s="1"/>
  <c r="M338" i="15"/>
  <c r="M336" i="15" s="1"/>
  <c r="N338" i="15"/>
  <c r="N336" i="15" s="1"/>
  <c r="T338" i="15"/>
  <c r="U338" i="15"/>
  <c r="Q339" i="15"/>
  <c r="T339" i="15" s="1"/>
  <c r="R339" i="15"/>
  <c r="U339" i="15" s="1"/>
  <c r="S339" i="15"/>
  <c r="O340" i="15"/>
  <c r="P340" i="15"/>
  <c r="T340" i="15"/>
  <c r="U340" i="15"/>
  <c r="L341" i="15"/>
  <c r="M341" i="15"/>
  <c r="M339" i="15" s="1"/>
  <c r="P339" i="15" s="1"/>
  <c r="N341" i="15"/>
  <c r="N339" i="15" s="1"/>
  <c r="T341" i="15"/>
  <c r="U341" i="15"/>
  <c r="I344" i="15"/>
  <c r="I332" i="15" s="1"/>
  <c r="J344" i="15"/>
  <c r="I346" i="15"/>
  <c r="J346" i="15"/>
  <c r="J347" i="15"/>
  <c r="J348" i="15"/>
  <c r="J349" i="15"/>
  <c r="D350" i="15"/>
  <c r="J352" i="15"/>
  <c r="J353" i="15"/>
  <c r="D354" i="15"/>
  <c r="L357" i="15"/>
  <c r="O357" i="15" s="1"/>
  <c r="M357" i="15"/>
  <c r="N357" i="15"/>
  <c r="Q357" i="15"/>
  <c r="R357" i="15"/>
  <c r="U357" i="15" s="1"/>
  <c r="S357" i="15"/>
  <c r="Q358" i="15"/>
  <c r="R358" i="15"/>
  <c r="U358" i="15" s="1"/>
  <c r="S358" i="15"/>
  <c r="T358" i="15"/>
  <c r="Q359" i="15"/>
  <c r="T359" i="15" s="1"/>
  <c r="R359" i="15"/>
  <c r="S359" i="15"/>
  <c r="U359" i="15"/>
  <c r="O360" i="15"/>
  <c r="P360" i="15"/>
  <c r="T360" i="15"/>
  <c r="U360" i="15"/>
  <c r="L361" i="15"/>
  <c r="M361" i="15"/>
  <c r="N361" i="15"/>
  <c r="N359" i="15" s="1"/>
  <c r="T361" i="15"/>
  <c r="U361" i="15"/>
  <c r="Q362" i="15"/>
  <c r="T362" i="15" s="1"/>
  <c r="R362" i="15"/>
  <c r="U362" i="15" s="1"/>
  <c r="S362" i="15"/>
  <c r="O363" i="15"/>
  <c r="P363" i="15"/>
  <c r="T363" i="15"/>
  <c r="U363" i="15"/>
  <c r="L364" i="15"/>
  <c r="O364" i="15" s="1"/>
  <c r="M364" i="15"/>
  <c r="M362" i="15" s="1"/>
  <c r="P362" i="15" s="1"/>
  <c r="N364" i="15"/>
  <c r="N362" i="15" s="1"/>
  <c r="T364" i="15"/>
  <c r="U364" i="15"/>
  <c r="J367" i="15"/>
  <c r="K367" i="15"/>
  <c r="I368" i="15"/>
  <c r="J368" i="15"/>
  <c r="I369" i="15"/>
  <c r="J369" i="15"/>
  <c r="J370" i="15"/>
  <c r="K370" i="15"/>
  <c r="I371" i="15"/>
  <c r="I365" i="15" s="1"/>
  <c r="J371" i="15"/>
  <c r="J372" i="15"/>
  <c r="K372" i="15"/>
  <c r="D373" i="15"/>
  <c r="L376" i="15"/>
  <c r="M376" i="15"/>
  <c r="N376" i="15"/>
  <c r="Q376" i="15"/>
  <c r="T376" i="15" s="1"/>
  <c r="R376" i="15"/>
  <c r="S376" i="15"/>
  <c r="L377" i="15"/>
  <c r="O377" i="15" s="1"/>
  <c r="M377" i="15"/>
  <c r="P377" i="15" s="1"/>
  <c r="N377" i="15"/>
  <c r="L378" i="15"/>
  <c r="O378" i="15" s="1"/>
  <c r="M378" i="15"/>
  <c r="P378" i="15" s="1"/>
  <c r="N378" i="15"/>
  <c r="O379" i="15"/>
  <c r="P379" i="15"/>
  <c r="T379" i="15"/>
  <c r="U379" i="15"/>
  <c r="O380" i="15"/>
  <c r="P380" i="15"/>
  <c r="Q380" i="15"/>
  <c r="Q378" i="15" s="1"/>
  <c r="R380" i="15"/>
  <c r="S380" i="15"/>
  <c r="L381" i="15"/>
  <c r="M381" i="15"/>
  <c r="N381" i="15"/>
  <c r="O381" i="15"/>
  <c r="P381" i="15"/>
  <c r="Q381" i="15"/>
  <c r="T381" i="15" s="1"/>
  <c r="R381" i="15"/>
  <c r="S381" i="15"/>
  <c r="U381" i="15"/>
  <c r="O382" i="15"/>
  <c r="P382" i="15"/>
  <c r="T382" i="15"/>
  <c r="U382" i="15"/>
  <c r="O383" i="15"/>
  <c r="P383" i="15"/>
  <c r="T383" i="15"/>
  <c r="U383" i="15"/>
  <c r="J385" i="15"/>
  <c r="K385" i="15"/>
  <c r="I386" i="15"/>
  <c r="J386" i="15"/>
  <c r="J387" i="15"/>
  <c r="K387" i="15"/>
  <c r="I388" i="15"/>
  <c r="K388" i="15" s="1"/>
  <c r="J388" i="15"/>
  <c r="I391" i="15"/>
  <c r="K391" i="15" s="1"/>
  <c r="J391" i="15"/>
  <c r="L393" i="15"/>
  <c r="L392" i="15" s="1"/>
  <c r="O392" i="15" s="1"/>
  <c r="M393" i="15"/>
  <c r="P393" i="15" s="1"/>
  <c r="N393" i="15"/>
  <c r="Q393" i="15"/>
  <c r="T393" i="15" s="1"/>
  <c r="R393" i="15"/>
  <c r="S393" i="15"/>
  <c r="S392" i="15" s="1"/>
  <c r="L394" i="15"/>
  <c r="M394" i="15"/>
  <c r="P394" i="15" s="1"/>
  <c r="N394" i="15"/>
  <c r="N392" i="15" s="1"/>
  <c r="O394" i="15"/>
  <c r="Q394" i="15"/>
  <c r="R394" i="15"/>
  <c r="S394" i="15"/>
  <c r="U394" i="15"/>
  <c r="L395" i="15"/>
  <c r="O395" i="15" s="1"/>
  <c r="M395" i="15"/>
  <c r="P395" i="15" s="1"/>
  <c r="N395" i="15"/>
  <c r="Q395" i="15"/>
  <c r="T395" i="15" s="1"/>
  <c r="R395" i="15"/>
  <c r="U395" i="15" s="1"/>
  <c r="S395" i="15"/>
  <c r="O396" i="15"/>
  <c r="P396" i="15"/>
  <c r="T396" i="15"/>
  <c r="U396" i="15"/>
  <c r="O397" i="15"/>
  <c r="P397" i="15"/>
  <c r="T397" i="15"/>
  <c r="U397" i="15"/>
  <c r="L398" i="15"/>
  <c r="O398" i="15" s="1"/>
  <c r="M398" i="15"/>
  <c r="N398" i="15"/>
  <c r="P398" i="15"/>
  <c r="Q398" i="15"/>
  <c r="T398" i="15" s="1"/>
  <c r="R398" i="15"/>
  <c r="U398" i="15" s="1"/>
  <c r="S398" i="15"/>
  <c r="O399" i="15"/>
  <c r="P399" i="15"/>
  <c r="T399" i="15"/>
  <c r="U399" i="15"/>
  <c r="O400" i="15"/>
  <c r="P400" i="15"/>
  <c r="T400" i="15"/>
  <c r="U400" i="15"/>
  <c r="M413" i="15"/>
  <c r="P413" i="15" s="1"/>
  <c r="L414" i="15"/>
  <c r="L413" i="15" s="1"/>
  <c r="O413" i="15" s="1"/>
  <c r="M414" i="15"/>
  <c r="N414" i="15"/>
  <c r="P414" i="15"/>
  <c r="Q414" i="15"/>
  <c r="T414" i="15" s="1"/>
  <c r="R414" i="15"/>
  <c r="S414" i="15"/>
  <c r="L415" i="15"/>
  <c r="O415" i="15" s="1"/>
  <c r="M415" i="15"/>
  <c r="P415" i="15" s="1"/>
  <c r="N415" i="15"/>
  <c r="N413" i="15" s="1"/>
  <c r="L416" i="15"/>
  <c r="M416" i="15"/>
  <c r="P416" i="15" s="1"/>
  <c r="N416" i="15"/>
  <c r="O416" i="15"/>
  <c r="O417" i="15"/>
  <c r="P417" i="15"/>
  <c r="T417" i="15"/>
  <c r="U417" i="15"/>
  <c r="O418" i="15"/>
  <c r="P418" i="15"/>
  <c r="Q418" i="15"/>
  <c r="Q416" i="15" s="1"/>
  <c r="T416" i="15" s="1"/>
  <c r="R418" i="15"/>
  <c r="R416" i="15" s="1"/>
  <c r="U416" i="15" s="1"/>
  <c r="S418" i="15"/>
  <c r="L419" i="15"/>
  <c r="O419" i="15" s="1"/>
  <c r="M419" i="15"/>
  <c r="P419" i="15" s="1"/>
  <c r="N419" i="15"/>
  <c r="Q419" i="15"/>
  <c r="T419" i="15" s="1"/>
  <c r="R419" i="15"/>
  <c r="U419" i="15" s="1"/>
  <c r="S419" i="15"/>
  <c r="O420" i="15"/>
  <c r="P420" i="15"/>
  <c r="T420" i="15"/>
  <c r="U420" i="15"/>
  <c r="O421" i="15"/>
  <c r="P421" i="15"/>
  <c r="T421" i="15"/>
  <c r="U421" i="15"/>
  <c r="I424" i="15"/>
  <c r="K424" i="15" s="1"/>
  <c r="J424" i="15"/>
  <c r="I425" i="15"/>
  <c r="K425" i="15" s="1"/>
  <c r="J425" i="15"/>
  <c r="I432" i="15"/>
  <c r="K432" i="15" s="1"/>
  <c r="J432" i="15"/>
  <c r="I433" i="15"/>
  <c r="K433" i="15" s="1"/>
  <c r="J433" i="15"/>
  <c r="I440" i="15"/>
  <c r="J440" i="15"/>
  <c r="J423" i="15" s="1"/>
  <c r="J412" i="15" s="1"/>
  <c r="I441" i="15"/>
  <c r="K441" i="15" s="1"/>
  <c r="J446" i="15"/>
  <c r="J447" i="15"/>
  <c r="J441" i="15" s="1"/>
  <c r="I457" i="15"/>
  <c r="I458" i="15"/>
  <c r="K458" i="15" s="1"/>
  <c r="J459" i="15"/>
  <c r="J460" i="15"/>
  <c r="J467" i="15"/>
  <c r="J468" i="15"/>
  <c r="J458" i="15" s="1"/>
  <c r="J475" i="15"/>
  <c r="K475" i="15"/>
  <c r="J476" i="15"/>
  <c r="K476" i="15"/>
  <c r="J477" i="15"/>
  <c r="K477" i="15"/>
  <c r="J482" i="15"/>
  <c r="J483" i="15"/>
  <c r="I484" i="15"/>
  <c r="J484" i="15"/>
  <c r="K484" i="15"/>
  <c r="I485" i="15"/>
  <c r="K485" i="15" s="1"/>
  <c r="J485" i="15"/>
  <c r="L494" i="15"/>
  <c r="L493" i="15" s="1"/>
  <c r="O493" i="15" s="1"/>
  <c r="M494" i="15"/>
  <c r="N494" i="15"/>
  <c r="Q494" i="15"/>
  <c r="T494" i="15" s="1"/>
  <c r="R494" i="15"/>
  <c r="U494" i="15" s="1"/>
  <c r="S494" i="15"/>
  <c r="L495" i="15"/>
  <c r="M495" i="15"/>
  <c r="P495" i="15" s="1"/>
  <c r="N495" i="15"/>
  <c r="O495" i="15"/>
  <c r="L496" i="15"/>
  <c r="O496" i="15" s="1"/>
  <c r="M496" i="15"/>
  <c r="P496" i="15" s="1"/>
  <c r="N496" i="15"/>
  <c r="O497" i="15"/>
  <c r="P497" i="15"/>
  <c r="T497" i="15"/>
  <c r="U497" i="15"/>
  <c r="O498" i="15"/>
  <c r="P498" i="15"/>
  <c r="Q498" i="15"/>
  <c r="Q496" i="15" s="1"/>
  <c r="T496" i="15" s="1"/>
  <c r="R498" i="15"/>
  <c r="R495" i="15" s="1"/>
  <c r="S498" i="15"/>
  <c r="L499" i="15"/>
  <c r="M499" i="15"/>
  <c r="N499" i="15"/>
  <c r="O499" i="15"/>
  <c r="P499" i="15"/>
  <c r="Q499" i="15"/>
  <c r="T499" i="15" s="1"/>
  <c r="R499" i="15"/>
  <c r="S499" i="15"/>
  <c r="U499" i="15"/>
  <c r="O500" i="15"/>
  <c r="P500" i="15"/>
  <c r="T500" i="15"/>
  <c r="U500" i="15"/>
  <c r="O501" i="15"/>
  <c r="P501" i="15"/>
  <c r="T501" i="15"/>
  <c r="U501" i="15"/>
  <c r="I503" i="15"/>
  <c r="I492" i="15" s="1"/>
  <c r="K492" i="15" s="1"/>
  <c r="I504" i="15"/>
  <c r="I505" i="15"/>
  <c r="K505" i="15" s="1"/>
  <c r="I506" i="15"/>
  <c r="K506" i="15" s="1"/>
  <c r="I507" i="15"/>
  <c r="K507" i="15" s="1"/>
  <c r="K508" i="15"/>
  <c r="I509" i="15"/>
  <c r="K509" i="15" s="1"/>
  <c r="I512" i="15"/>
  <c r="K512" i="15" s="1"/>
  <c r="J512" i="15"/>
  <c r="L514" i="15"/>
  <c r="O514" i="15" s="1"/>
  <c r="M514" i="15"/>
  <c r="N514" i="15"/>
  <c r="Q514" i="15"/>
  <c r="Q513" i="15" s="1"/>
  <c r="T513" i="15" s="1"/>
  <c r="R514" i="15"/>
  <c r="U514" i="15" s="1"/>
  <c r="S514" i="15"/>
  <c r="S513" i="15" s="1"/>
  <c r="Q515" i="15"/>
  <c r="R515" i="15"/>
  <c r="S515" i="15"/>
  <c r="T515" i="15"/>
  <c r="U515" i="15"/>
  <c r="Q516" i="15"/>
  <c r="T516" i="15" s="1"/>
  <c r="R516" i="15"/>
  <c r="S516" i="15"/>
  <c r="U516" i="15"/>
  <c r="O517" i="15"/>
  <c r="P517" i="15"/>
  <c r="T517" i="15"/>
  <c r="U517" i="15"/>
  <c r="L518" i="15"/>
  <c r="O518" i="15" s="1"/>
  <c r="M518" i="15"/>
  <c r="M516" i="15" s="1"/>
  <c r="P516" i="15" s="1"/>
  <c r="N518" i="15"/>
  <c r="N516" i="15" s="1"/>
  <c r="T518" i="15"/>
  <c r="U518" i="15"/>
  <c r="Q519" i="15"/>
  <c r="T519" i="15" s="1"/>
  <c r="R519" i="15"/>
  <c r="U519" i="15" s="1"/>
  <c r="S519" i="15"/>
  <c r="O520" i="15"/>
  <c r="P520" i="15"/>
  <c r="T520" i="15"/>
  <c r="U520" i="15"/>
  <c r="L521" i="15"/>
  <c r="O521" i="15" s="1"/>
  <c r="M521" i="15"/>
  <c r="M519" i="15" s="1"/>
  <c r="P519" i="15" s="1"/>
  <c r="N521" i="15"/>
  <c r="N519" i="15" s="1"/>
  <c r="T521" i="15"/>
  <c r="U521" i="15"/>
  <c r="K523" i="15"/>
  <c r="K524" i="15"/>
  <c r="I533" i="15"/>
  <c r="J533" i="15"/>
  <c r="K533" i="15"/>
  <c r="M534" i="15"/>
  <c r="P534" i="15" s="1"/>
  <c r="L535" i="15"/>
  <c r="M535" i="15"/>
  <c r="P535" i="15" s="1"/>
  <c r="N535" i="15"/>
  <c r="O535" i="15"/>
  <c r="Q535" i="15"/>
  <c r="T535" i="15" s="1"/>
  <c r="R535" i="15"/>
  <c r="S535" i="15"/>
  <c r="U535" i="15"/>
  <c r="L536" i="15"/>
  <c r="O536" i="15" s="1"/>
  <c r="M536" i="15"/>
  <c r="P536" i="15" s="1"/>
  <c r="N536" i="15"/>
  <c r="Q536" i="15"/>
  <c r="R536" i="15"/>
  <c r="U536" i="15" s="1"/>
  <c r="S536" i="15"/>
  <c r="L537" i="15"/>
  <c r="O537" i="15" s="1"/>
  <c r="M537" i="15"/>
  <c r="P537" i="15" s="1"/>
  <c r="N537" i="15"/>
  <c r="Q537" i="15"/>
  <c r="T537" i="15" s="1"/>
  <c r="R537" i="15"/>
  <c r="U537" i="15" s="1"/>
  <c r="S537" i="15"/>
  <c r="O538" i="15"/>
  <c r="P538" i="15"/>
  <c r="T538" i="15"/>
  <c r="U538" i="15"/>
  <c r="O539" i="15"/>
  <c r="P539" i="15"/>
  <c r="T539" i="15"/>
  <c r="U539" i="15"/>
  <c r="L540" i="15"/>
  <c r="O540" i="15" s="1"/>
  <c r="M540" i="15"/>
  <c r="P540" i="15" s="1"/>
  <c r="N540" i="15"/>
  <c r="Q540" i="15"/>
  <c r="T540" i="15" s="1"/>
  <c r="R540" i="15"/>
  <c r="U540" i="15" s="1"/>
  <c r="S540" i="15"/>
  <c r="O541" i="15"/>
  <c r="P541" i="15"/>
  <c r="T541" i="15"/>
  <c r="U541" i="15"/>
  <c r="O542" i="15"/>
  <c r="P542" i="15"/>
  <c r="T542" i="15"/>
  <c r="U542" i="15"/>
  <c r="I554" i="15"/>
  <c r="K554" i="15" s="1"/>
  <c r="J554" i="15"/>
  <c r="L556" i="15"/>
  <c r="M556" i="15"/>
  <c r="N556" i="15"/>
  <c r="N555" i="15" s="1"/>
  <c r="Q556" i="15"/>
  <c r="R556" i="15"/>
  <c r="S556" i="15"/>
  <c r="L557" i="15"/>
  <c r="O557" i="15" s="1"/>
  <c r="M557" i="15"/>
  <c r="P557" i="15" s="1"/>
  <c r="N557" i="15"/>
  <c r="Q557" i="15"/>
  <c r="T557" i="15" s="1"/>
  <c r="R557" i="15"/>
  <c r="U557" i="15" s="1"/>
  <c r="S557" i="15"/>
  <c r="L558" i="15"/>
  <c r="O558" i="15" s="1"/>
  <c r="M558" i="15"/>
  <c r="P558" i="15" s="1"/>
  <c r="N558" i="15"/>
  <c r="Q558" i="15"/>
  <c r="T558" i="15" s="1"/>
  <c r="R558" i="15"/>
  <c r="U558" i="15" s="1"/>
  <c r="S558" i="15"/>
  <c r="O559" i="15"/>
  <c r="P559" i="15"/>
  <c r="T559" i="15"/>
  <c r="U559" i="15"/>
  <c r="O560" i="15"/>
  <c r="P560" i="15"/>
  <c r="T560" i="15"/>
  <c r="U560" i="15"/>
  <c r="L561" i="15"/>
  <c r="O561" i="15" s="1"/>
  <c r="M561" i="15"/>
  <c r="N561" i="15"/>
  <c r="P561" i="15"/>
  <c r="Q561" i="15"/>
  <c r="T561" i="15" s="1"/>
  <c r="R561" i="15"/>
  <c r="U561" i="15" s="1"/>
  <c r="S561" i="15"/>
  <c r="O562" i="15"/>
  <c r="P562" i="15"/>
  <c r="T562" i="15"/>
  <c r="U562" i="15"/>
  <c r="O563" i="15"/>
  <c r="P563" i="15"/>
  <c r="T563" i="15"/>
  <c r="U563" i="15"/>
  <c r="I575" i="15"/>
  <c r="K575" i="15" s="1"/>
  <c r="J575" i="15"/>
  <c r="L577" i="15"/>
  <c r="M577" i="15"/>
  <c r="N577" i="15"/>
  <c r="Q577" i="15"/>
  <c r="R577" i="15"/>
  <c r="S577" i="15"/>
  <c r="S576" i="15" s="1"/>
  <c r="T577" i="15"/>
  <c r="U577" i="15"/>
  <c r="L578" i="15"/>
  <c r="M578" i="15"/>
  <c r="N578" i="15"/>
  <c r="O578" i="15"/>
  <c r="P578" i="15"/>
  <c r="Q578" i="15"/>
  <c r="Q576" i="15" s="1"/>
  <c r="T576" i="15" s="1"/>
  <c r="R578" i="15"/>
  <c r="S578" i="15"/>
  <c r="U578" i="15"/>
  <c r="L579" i="15"/>
  <c r="O579" i="15" s="1"/>
  <c r="M579" i="15"/>
  <c r="P579" i="15" s="1"/>
  <c r="N579" i="15"/>
  <c r="Q579" i="15"/>
  <c r="T579" i="15" s="1"/>
  <c r="R579" i="15"/>
  <c r="U579" i="15" s="1"/>
  <c r="S579" i="15"/>
  <c r="O580" i="15"/>
  <c r="P580" i="15"/>
  <c r="T580" i="15"/>
  <c r="U580" i="15"/>
  <c r="O581" i="15"/>
  <c r="P581" i="15"/>
  <c r="T581" i="15"/>
  <c r="U581" i="15"/>
  <c r="L582" i="15"/>
  <c r="O582" i="15" s="1"/>
  <c r="M582" i="15"/>
  <c r="P582" i="15" s="1"/>
  <c r="N582" i="15"/>
  <c r="Q582" i="15"/>
  <c r="T582" i="15" s="1"/>
  <c r="R582" i="15"/>
  <c r="U582" i="15" s="1"/>
  <c r="S582" i="15"/>
  <c r="O583" i="15"/>
  <c r="P583" i="15"/>
  <c r="T583" i="15"/>
  <c r="U583" i="15"/>
  <c r="O584" i="15"/>
  <c r="P584" i="15"/>
  <c r="T584" i="15"/>
  <c r="U584" i="15"/>
  <c r="S599" i="15"/>
  <c r="L600" i="15"/>
  <c r="O600" i="15" s="1"/>
  <c r="M600" i="15"/>
  <c r="N600" i="15"/>
  <c r="Q600" i="15"/>
  <c r="T600" i="15" s="1"/>
  <c r="R600" i="15"/>
  <c r="U600" i="15" s="1"/>
  <c r="S600" i="15"/>
  <c r="L601" i="15"/>
  <c r="M601" i="15"/>
  <c r="P601" i="15" s="1"/>
  <c r="N601" i="15"/>
  <c r="N599" i="15" s="1"/>
  <c r="Q601" i="15"/>
  <c r="T601" i="15" s="1"/>
  <c r="R601" i="15"/>
  <c r="U601" i="15" s="1"/>
  <c r="S601" i="15"/>
  <c r="L602" i="15"/>
  <c r="O602" i="15" s="1"/>
  <c r="M602" i="15"/>
  <c r="P602" i="15" s="1"/>
  <c r="N602" i="15"/>
  <c r="Q602" i="15"/>
  <c r="R602" i="15"/>
  <c r="S602" i="15"/>
  <c r="T602" i="15"/>
  <c r="U602" i="15"/>
  <c r="O603" i="15"/>
  <c r="P603" i="15"/>
  <c r="T603" i="15"/>
  <c r="U603" i="15"/>
  <c r="O604" i="15"/>
  <c r="P604" i="15"/>
  <c r="T604" i="15"/>
  <c r="U604" i="15"/>
  <c r="L605" i="15"/>
  <c r="M605" i="15"/>
  <c r="N605" i="15"/>
  <c r="O605" i="15"/>
  <c r="P605" i="15"/>
  <c r="Q605" i="15"/>
  <c r="R605" i="15"/>
  <c r="S605" i="15"/>
  <c r="T605" i="15"/>
  <c r="U605" i="15"/>
  <c r="O606" i="15"/>
  <c r="P606" i="15"/>
  <c r="T606" i="15"/>
  <c r="U606" i="15"/>
  <c r="O607" i="15"/>
  <c r="P607" i="15"/>
  <c r="T607" i="15"/>
  <c r="U607" i="15"/>
  <c r="L617" i="15"/>
  <c r="M617" i="15"/>
  <c r="M616" i="15" s="1"/>
  <c r="P616" i="15" s="1"/>
  <c r="N617" i="15"/>
  <c r="Q617" i="15"/>
  <c r="R617" i="15"/>
  <c r="S617" i="15"/>
  <c r="T617" i="15"/>
  <c r="U617" i="15"/>
  <c r="L618" i="15"/>
  <c r="M618" i="15"/>
  <c r="N618" i="15"/>
  <c r="O618" i="15"/>
  <c r="P618" i="15"/>
  <c r="L619" i="15"/>
  <c r="O619" i="15" s="1"/>
  <c r="M619" i="15"/>
  <c r="P619" i="15" s="1"/>
  <c r="N619" i="15"/>
  <c r="O620" i="15"/>
  <c r="P620" i="15"/>
  <c r="T620" i="15"/>
  <c r="U620" i="15"/>
  <c r="O621" i="15"/>
  <c r="P621" i="15"/>
  <c r="Q621" i="15"/>
  <c r="Q618" i="15" s="1"/>
  <c r="R621" i="15"/>
  <c r="R618" i="15" s="1"/>
  <c r="S621" i="15"/>
  <c r="S619" i="15" s="1"/>
  <c r="L622" i="15"/>
  <c r="M622" i="15"/>
  <c r="P622" i="15" s="1"/>
  <c r="N622" i="15"/>
  <c r="O622" i="15"/>
  <c r="Q622" i="15"/>
  <c r="R622" i="15"/>
  <c r="S622" i="15"/>
  <c r="T622" i="15"/>
  <c r="U622" i="15"/>
  <c r="O623" i="15"/>
  <c r="P623" i="15"/>
  <c r="T623" i="15"/>
  <c r="U623" i="15"/>
  <c r="O624" i="15"/>
  <c r="P624" i="15"/>
  <c r="T624" i="15"/>
  <c r="U624" i="15"/>
  <c r="I626" i="15"/>
  <c r="I615" i="15" s="1"/>
  <c r="I627" i="15"/>
  <c r="K627" i="15" s="1"/>
  <c r="I628" i="15"/>
  <c r="K628" i="15" s="1"/>
  <c r="J632" i="15"/>
  <c r="J626" i="15" s="1"/>
  <c r="I635" i="15"/>
  <c r="K635" i="15" s="1"/>
  <c r="J636" i="15"/>
  <c r="J635" i="15" s="1"/>
  <c r="L643" i="15"/>
  <c r="M643" i="15"/>
  <c r="N643" i="15"/>
  <c r="Q643" i="15"/>
  <c r="T643" i="15" s="1"/>
  <c r="R643" i="15"/>
  <c r="S643" i="15"/>
  <c r="L644" i="15"/>
  <c r="M644" i="15"/>
  <c r="N644" i="15"/>
  <c r="O644" i="15"/>
  <c r="P644" i="15"/>
  <c r="L645" i="15"/>
  <c r="O645" i="15" s="1"/>
  <c r="M645" i="15"/>
  <c r="N645" i="15"/>
  <c r="P645" i="15"/>
  <c r="O646" i="15"/>
  <c r="P646" i="15"/>
  <c r="T646" i="15"/>
  <c r="U646" i="15"/>
  <c r="O647" i="15"/>
  <c r="P647" i="15"/>
  <c r="Q647" i="15"/>
  <c r="Q644" i="15" s="1"/>
  <c r="R647" i="15"/>
  <c r="R645" i="15" s="1"/>
  <c r="U645" i="15" s="1"/>
  <c r="S647" i="15"/>
  <c r="S644" i="15" s="1"/>
  <c r="L648" i="15"/>
  <c r="O648" i="15" s="1"/>
  <c r="M648" i="15"/>
  <c r="P648" i="15" s="1"/>
  <c r="N648" i="15"/>
  <c r="Q648" i="15"/>
  <c r="R648" i="15"/>
  <c r="S648" i="15"/>
  <c r="T648" i="15"/>
  <c r="U648" i="15"/>
  <c r="O649" i="15"/>
  <c r="P649" i="15"/>
  <c r="T649" i="15"/>
  <c r="U649" i="15"/>
  <c r="O650" i="15"/>
  <c r="P650" i="15"/>
  <c r="T650" i="15"/>
  <c r="U650" i="15"/>
  <c r="I652" i="15"/>
  <c r="K652" i="15" s="1"/>
  <c r="J652" i="15"/>
  <c r="I653" i="15"/>
  <c r="K653" i="15" s="1"/>
  <c r="J653" i="15"/>
  <c r="I654" i="15"/>
  <c r="K654" i="15" s="1"/>
  <c r="J654" i="15"/>
  <c r="I657" i="15"/>
  <c r="I660" i="15"/>
  <c r="I661" i="15"/>
  <c r="K661" i="15" s="1"/>
  <c r="J661" i="15"/>
  <c r="J671" i="15"/>
  <c r="J672" i="15"/>
  <c r="I673" i="15"/>
  <c r="K673" i="15" s="1"/>
  <c r="J673" i="15"/>
  <c r="I674" i="15"/>
  <c r="K674" i="15" s="1"/>
  <c r="I675" i="15"/>
  <c r="K675" i="15" s="1"/>
  <c r="I676" i="15"/>
  <c r="K676" i="15" s="1"/>
  <c r="J676" i="15"/>
  <c r="J677" i="15"/>
  <c r="I678" i="15"/>
  <c r="K678" i="15" s="1"/>
  <c r="J678" i="15"/>
  <c r="I679" i="15"/>
  <c r="K679" i="15" s="1"/>
  <c r="J679" i="15"/>
  <c r="J680" i="15"/>
  <c r="I681" i="15"/>
  <c r="K681" i="15" s="1"/>
  <c r="J681" i="15"/>
  <c r="I682" i="15"/>
  <c r="K682" i="15" s="1"/>
  <c r="J682" i="15"/>
  <c r="L691" i="15"/>
  <c r="M691" i="15"/>
  <c r="N691" i="15"/>
  <c r="Q691" i="15"/>
  <c r="T691" i="15" s="1"/>
  <c r="R691" i="15"/>
  <c r="S691" i="15"/>
  <c r="L692" i="15"/>
  <c r="M692" i="15"/>
  <c r="N692" i="15"/>
  <c r="O692" i="15"/>
  <c r="P692" i="15"/>
  <c r="L693" i="15"/>
  <c r="O693" i="15" s="1"/>
  <c r="M693" i="15"/>
  <c r="N693" i="15"/>
  <c r="P693" i="15"/>
  <c r="O694" i="15"/>
  <c r="P694" i="15"/>
  <c r="T694" i="15"/>
  <c r="U694" i="15"/>
  <c r="O695" i="15"/>
  <c r="P695" i="15"/>
  <c r="Q695" i="15"/>
  <c r="Q692" i="15" s="1"/>
  <c r="R695" i="15"/>
  <c r="R693" i="15" s="1"/>
  <c r="S695" i="15"/>
  <c r="S692" i="15" s="1"/>
  <c r="L696" i="15"/>
  <c r="O696" i="15" s="1"/>
  <c r="M696" i="15"/>
  <c r="P696" i="15" s="1"/>
  <c r="N696" i="15"/>
  <c r="Q696" i="15"/>
  <c r="R696" i="15"/>
  <c r="U696" i="15" s="1"/>
  <c r="S696" i="15"/>
  <c r="T696" i="15"/>
  <c r="O697" i="15"/>
  <c r="P697" i="15"/>
  <c r="T697" i="15"/>
  <c r="U697" i="15"/>
  <c r="O698" i="15"/>
  <c r="P698" i="15"/>
  <c r="T698" i="15"/>
  <c r="U698" i="15"/>
  <c r="I700" i="15"/>
  <c r="K700" i="15" s="1"/>
  <c r="K702" i="15"/>
  <c r="I703" i="15"/>
  <c r="J703" i="15"/>
  <c r="J704" i="15"/>
  <c r="K704" i="15"/>
  <c r="I705" i="15"/>
  <c r="J705" i="15"/>
  <c r="J706" i="15"/>
  <c r="K706" i="15"/>
  <c r="I707" i="15"/>
  <c r="J707" i="15"/>
  <c r="J689" i="15" s="1"/>
  <c r="J708" i="15"/>
  <c r="K708" i="15"/>
  <c r="I709" i="15"/>
  <c r="J709" i="15"/>
  <c r="J710" i="15"/>
  <c r="K710" i="15"/>
  <c r="J712" i="15"/>
  <c r="K712" i="15"/>
  <c r="L715" i="15"/>
  <c r="M715" i="15"/>
  <c r="N715" i="15"/>
  <c r="Q715" i="15"/>
  <c r="R715" i="15"/>
  <c r="S715" i="15"/>
  <c r="L716" i="15"/>
  <c r="O716" i="15" s="1"/>
  <c r="M716" i="15"/>
  <c r="P716" i="15" s="1"/>
  <c r="N716" i="15"/>
  <c r="N714" i="15" s="1"/>
  <c r="Q716" i="15"/>
  <c r="R716" i="15"/>
  <c r="U716" i="15" s="1"/>
  <c r="S716" i="15"/>
  <c r="T716" i="15"/>
  <c r="L717" i="15"/>
  <c r="M717" i="15"/>
  <c r="N717" i="15"/>
  <c r="O717" i="15"/>
  <c r="P717" i="15"/>
  <c r="Q717" i="15"/>
  <c r="T717" i="15" s="1"/>
  <c r="R717" i="15"/>
  <c r="S717" i="15"/>
  <c r="U717" i="15"/>
  <c r="O718" i="15"/>
  <c r="P718" i="15"/>
  <c r="T718" i="15"/>
  <c r="U718" i="15"/>
  <c r="O719" i="15"/>
  <c r="P719" i="15"/>
  <c r="T719" i="15"/>
  <c r="U719" i="15"/>
  <c r="L720" i="15"/>
  <c r="M720" i="15"/>
  <c r="N720" i="15"/>
  <c r="O720" i="15"/>
  <c r="P720" i="15"/>
  <c r="Q720" i="15"/>
  <c r="T720" i="15" s="1"/>
  <c r="R720" i="15"/>
  <c r="S720" i="15"/>
  <c r="U720" i="15"/>
  <c r="O721" i="15"/>
  <c r="P721" i="15"/>
  <c r="T721" i="15"/>
  <c r="U721" i="15"/>
  <c r="O722" i="15"/>
  <c r="P722" i="15"/>
  <c r="T722" i="15"/>
  <c r="U722" i="15"/>
  <c r="I726" i="15"/>
  <c r="K726" i="15" s="1"/>
  <c r="J726" i="15"/>
  <c r="I727" i="15"/>
  <c r="J727" i="15"/>
  <c r="N728" i="15"/>
  <c r="L729" i="15"/>
  <c r="M729" i="15"/>
  <c r="N729" i="15"/>
  <c r="P729" i="15"/>
  <c r="Q729" i="15"/>
  <c r="R729" i="15"/>
  <c r="S729" i="15"/>
  <c r="L730" i="15"/>
  <c r="O730" i="15" s="1"/>
  <c r="M730" i="15"/>
  <c r="P730" i="15" s="1"/>
  <c r="N730" i="15"/>
  <c r="L731" i="15"/>
  <c r="M731" i="15"/>
  <c r="N731" i="15"/>
  <c r="O731" i="15"/>
  <c r="P731" i="15"/>
  <c r="O732" i="15"/>
  <c r="P732" i="15"/>
  <c r="T732" i="15"/>
  <c r="U732" i="15"/>
  <c r="O733" i="15"/>
  <c r="P733" i="15"/>
  <c r="Q733" i="15"/>
  <c r="Q730" i="15" s="1"/>
  <c r="R733" i="15"/>
  <c r="R731" i="15" s="1"/>
  <c r="S733" i="15"/>
  <c r="S731" i="15" s="1"/>
  <c r="L734" i="15"/>
  <c r="O734" i="15" s="1"/>
  <c r="M734" i="15"/>
  <c r="P734" i="15" s="1"/>
  <c r="N734" i="15"/>
  <c r="Q734" i="15"/>
  <c r="T734" i="15" s="1"/>
  <c r="R734" i="15"/>
  <c r="U734" i="15" s="1"/>
  <c r="S734" i="15"/>
  <c r="O735" i="15"/>
  <c r="P735" i="15"/>
  <c r="T735" i="15"/>
  <c r="U735" i="15"/>
  <c r="O736" i="15"/>
  <c r="P736" i="15"/>
  <c r="T736" i="15"/>
  <c r="U736" i="15"/>
  <c r="I740" i="15"/>
  <c r="K740" i="15" s="1"/>
  <c r="I742" i="15"/>
  <c r="K742" i="15" s="1"/>
  <c r="I744" i="15"/>
  <c r="K744" i="15" s="1"/>
  <c r="I746" i="15"/>
  <c r="K746" i="15" s="1"/>
  <c r="I749" i="15"/>
  <c r="K749" i="15" s="1"/>
  <c r="I752" i="15"/>
  <c r="K752" i="15" s="1"/>
  <c r="I755" i="15"/>
  <c r="K755" i="15" s="1"/>
  <c r="J758" i="15"/>
  <c r="J759" i="15"/>
  <c r="L761" i="15"/>
  <c r="M761" i="15"/>
  <c r="N761" i="15"/>
  <c r="Q761" i="15"/>
  <c r="R761" i="15"/>
  <c r="S761" i="15"/>
  <c r="L762" i="15"/>
  <c r="M762" i="15"/>
  <c r="P762" i="15" s="1"/>
  <c r="N762" i="15"/>
  <c r="O762" i="15"/>
  <c r="L763" i="15"/>
  <c r="M763" i="15"/>
  <c r="N763" i="15"/>
  <c r="O763" i="15"/>
  <c r="P763" i="15"/>
  <c r="O764" i="15"/>
  <c r="P764" i="15"/>
  <c r="T764" i="15"/>
  <c r="U764" i="15"/>
  <c r="O765" i="15"/>
  <c r="P765" i="15"/>
  <c r="Q765" i="15"/>
  <c r="Q763" i="15" s="1"/>
  <c r="R765" i="15"/>
  <c r="R762" i="15" s="1"/>
  <c r="S765" i="15"/>
  <c r="S763" i="15" s="1"/>
  <c r="L766" i="15"/>
  <c r="O766" i="15" s="1"/>
  <c r="M766" i="15"/>
  <c r="P766" i="15" s="1"/>
  <c r="N766" i="15"/>
  <c r="Q766" i="15"/>
  <c r="R766" i="15"/>
  <c r="U766" i="15" s="1"/>
  <c r="S766" i="15"/>
  <c r="T766" i="15"/>
  <c r="O767" i="15"/>
  <c r="P767" i="15"/>
  <c r="T767" i="15"/>
  <c r="U767" i="15"/>
  <c r="O768" i="15"/>
  <c r="P768" i="15"/>
  <c r="T768" i="15"/>
  <c r="U768" i="15"/>
  <c r="I770" i="15"/>
  <c r="K770" i="15" s="1"/>
  <c r="I772" i="15"/>
  <c r="I758" i="15" s="1"/>
  <c r="K758" i="15" s="1"/>
  <c r="I774" i="15"/>
  <c r="K774" i="15" s="1"/>
  <c r="I775" i="15"/>
  <c r="I776" i="15"/>
  <c r="H777" i="15"/>
  <c r="I778" i="15"/>
  <c r="J778" i="15"/>
  <c r="I779" i="15"/>
  <c r="J779" i="15"/>
  <c r="I780" i="15"/>
  <c r="J780" i="15"/>
  <c r="I781" i="15"/>
  <c r="J781" i="15"/>
  <c r="I782" i="15"/>
  <c r="K782" i="15" s="1"/>
  <c r="J782" i="15"/>
  <c r="I783" i="15"/>
  <c r="K783" i="15" s="1"/>
  <c r="J783" i="15"/>
  <c r="I784" i="15"/>
  <c r="J784" i="15"/>
  <c r="I785" i="15"/>
  <c r="J785" i="15"/>
  <c r="A788" i="15"/>
  <c r="A789" i="15"/>
  <c r="L22" i="14"/>
  <c r="M22" i="14"/>
  <c r="N22" i="14"/>
  <c r="O22" i="14"/>
  <c r="Q22" i="14"/>
  <c r="T22" i="14" s="1"/>
  <c r="R22" i="14"/>
  <c r="S22" i="14"/>
  <c r="L25" i="14"/>
  <c r="O25" i="14" s="1"/>
  <c r="M25" i="14"/>
  <c r="N25" i="14"/>
  <c r="Q25" i="14"/>
  <c r="T25" i="14" s="1"/>
  <c r="R25" i="14"/>
  <c r="S25" i="14"/>
  <c r="U25" i="14"/>
  <c r="Q26" i="14"/>
  <c r="T26" i="14" s="1"/>
  <c r="R26" i="14"/>
  <c r="R24" i="14" s="1"/>
  <c r="U24" i="14" s="1"/>
  <c r="S26" i="14"/>
  <c r="L45" i="14"/>
  <c r="O45" i="14" s="1"/>
  <c r="M45" i="14"/>
  <c r="P45" i="14" s="1"/>
  <c r="N45" i="14"/>
  <c r="Q45" i="14"/>
  <c r="R45" i="14"/>
  <c r="U45" i="14" s="1"/>
  <c r="S45" i="14"/>
  <c r="T45" i="14"/>
  <c r="Q46" i="14"/>
  <c r="R46" i="14"/>
  <c r="U46" i="14" s="1"/>
  <c r="S46" i="14"/>
  <c r="T46" i="14"/>
  <c r="Q47" i="14"/>
  <c r="T47" i="14" s="1"/>
  <c r="R47" i="14"/>
  <c r="U47" i="14" s="1"/>
  <c r="S47" i="14"/>
  <c r="O48" i="14"/>
  <c r="P48" i="14"/>
  <c r="T48" i="14"/>
  <c r="U48" i="14"/>
  <c r="L49" i="14"/>
  <c r="L47" i="14" s="1"/>
  <c r="M49" i="14"/>
  <c r="M47" i="14" s="1"/>
  <c r="N49" i="14"/>
  <c r="N47" i="14" s="1"/>
  <c r="T49" i="14"/>
  <c r="U49" i="14"/>
  <c r="Q50" i="14"/>
  <c r="T50" i="14" s="1"/>
  <c r="R50" i="14"/>
  <c r="U50" i="14" s="1"/>
  <c r="S50" i="14"/>
  <c r="O51" i="14"/>
  <c r="P51" i="14"/>
  <c r="T51" i="14"/>
  <c r="U51" i="14"/>
  <c r="L52" i="14"/>
  <c r="M52" i="14"/>
  <c r="N52" i="14"/>
  <c r="T52" i="14"/>
  <c r="U52" i="14"/>
  <c r="L60" i="14"/>
  <c r="O60" i="14" s="1"/>
  <c r="M60" i="14"/>
  <c r="N60" i="14"/>
  <c r="P60" i="14"/>
  <c r="Q60" i="14"/>
  <c r="R60" i="14"/>
  <c r="U60" i="14" s="1"/>
  <c r="S60" i="14"/>
  <c r="Q61" i="14"/>
  <c r="T61" i="14" s="1"/>
  <c r="R61" i="14"/>
  <c r="U61" i="14" s="1"/>
  <c r="S61" i="14"/>
  <c r="Q62" i="14"/>
  <c r="R62" i="14"/>
  <c r="U62" i="14" s="1"/>
  <c r="S62" i="14"/>
  <c r="T62" i="14"/>
  <c r="O63" i="14"/>
  <c r="P63" i="14"/>
  <c r="T63" i="14"/>
  <c r="U63" i="14"/>
  <c r="L64" i="14"/>
  <c r="M64" i="14"/>
  <c r="N64" i="14"/>
  <c r="N62" i="14" s="1"/>
  <c r="T64" i="14"/>
  <c r="U64" i="14"/>
  <c r="Q65" i="14"/>
  <c r="T65" i="14" s="1"/>
  <c r="R65" i="14"/>
  <c r="S65" i="14"/>
  <c r="U65" i="14"/>
  <c r="O66" i="14"/>
  <c r="P66" i="14"/>
  <c r="T66" i="14"/>
  <c r="U66" i="14"/>
  <c r="L67" i="14"/>
  <c r="L65" i="14" s="1"/>
  <c r="O65" i="14" s="1"/>
  <c r="M67" i="14"/>
  <c r="N67" i="14"/>
  <c r="N65" i="14" s="1"/>
  <c r="T67" i="14"/>
  <c r="U67" i="14"/>
  <c r="L73" i="14"/>
  <c r="O73" i="14" s="1"/>
  <c r="M73" i="14"/>
  <c r="P73" i="14" s="1"/>
  <c r="N73" i="14"/>
  <c r="Q73" i="14"/>
  <c r="R73" i="14"/>
  <c r="U73" i="14" s="1"/>
  <c r="S73" i="14"/>
  <c r="T73" i="14"/>
  <c r="O76" i="14"/>
  <c r="P76" i="14"/>
  <c r="T76" i="14"/>
  <c r="U76" i="14"/>
  <c r="L77" i="14"/>
  <c r="M77" i="14"/>
  <c r="M75" i="14" s="1"/>
  <c r="P75" i="14" s="1"/>
  <c r="N77" i="14"/>
  <c r="Q77" i="14"/>
  <c r="R77" i="14"/>
  <c r="R74" i="14" s="1"/>
  <c r="U74" i="14" s="1"/>
  <c r="S77" i="14"/>
  <c r="S75" i="14" s="1"/>
  <c r="Q78" i="14"/>
  <c r="T78" i="14" s="1"/>
  <c r="R78" i="14"/>
  <c r="U78" i="14" s="1"/>
  <c r="S78" i="14"/>
  <c r="O79" i="14"/>
  <c r="P79" i="14"/>
  <c r="T79" i="14"/>
  <c r="U79" i="14"/>
  <c r="L80" i="14"/>
  <c r="O80" i="14" s="1"/>
  <c r="M80" i="14"/>
  <c r="M78" i="14" s="1"/>
  <c r="P78" i="14" s="1"/>
  <c r="N80" i="14"/>
  <c r="N78" i="14" s="1"/>
  <c r="T80" i="14"/>
  <c r="U80" i="14"/>
  <c r="J82" i="14"/>
  <c r="J70" i="14" s="1"/>
  <c r="J83" i="14"/>
  <c r="J71" i="14" s="1"/>
  <c r="I84" i="14"/>
  <c r="I85" i="14"/>
  <c r="I86" i="14"/>
  <c r="K86" i="14" s="1"/>
  <c r="I87" i="14"/>
  <c r="K87" i="14" s="1"/>
  <c r="I88" i="14"/>
  <c r="K88" i="14" s="1"/>
  <c r="I89" i="14"/>
  <c r="K89" i="14" s="1"/>
  <c r="I90" i="14"/>
  <c r="K90" i="14" s="1"/>
  <c r="J92" i="14"/>
  <c r="J93" i="14"/>
  <c r="L95" i="14"/>
  <c r="M95" i="14"/>
  <c r="P95" i="14" s="1"/>
  <c r="N95" i="14"/>
  <c r="O95" i="14"/>
  <c r="Q95" i="14"/>
  <c r="R95" i="14"/>
  <c r="U95" i="14" s="1"/>
  <c r="S95" i="14"/>
  <c r="O98" i="14"/>
  <c r="P98" i="14"/>
  <c r="T98" i="14"/>
  <c r="U98" i="14"/>
  <c r="L99" i="14"/>
  <c r="M99" i="14"/>
  <c r="M97" i="14" s="1"/>
  <c r="P97" i="14" s="1"/>
  <c r="N99" i="14"/>
  <c r="N97" i="14" s="1"/>
  <c r="Q99" i="14"/>
  <c r="Q96" i="14" s="1"/>
  <c r="T96" i="14" s="1"/>
  <c r="R99" i="14"/>
  <c r="R96" i="14" s="1"/>
  <c r="U96" i="14" s="1"/>
  <c r="S99" i="14"/>
  <c r="S96" i="14" s="1"/>
  <c r="Q100" i="14"/>
  <c r="T100" i="14" s="1"/>
  <c r="R100" i="14"/>
  <c r="S100" i="14"/>
  <c r="U100" i="14"/>
  <c r="O101" i="14"/>
  <c r="P101" i="14"/>
  <c r="T101" i="14"/>
  <c r="U101" i="14"/>
  <c r="L102" i="14"/>
  <c r="L100" i="14" s="1"/>
  <c r="O100" i="14" s="1"/>
  <c r="M102" i="14"/>
  <c r="N102" i="14"/>
  <c r="N100" i="14" s="1"/>
  <c r="T102" i="14"/>
  <c r="U102" i="14"/>
  <c r="I108" i="14"/>
  <c r="K108" i="14" s="1"/>
  <c r="I109" i="14"/>
  <c r="K109" i="14" s="1"/>
  <c r="I114" i="14"/>
  <c r="K114" i="14" s="1"/>
  <c r="J116" i="14"/>
  <c r="L118" i="14"/>
  <c r="M118" i="14"/>
  <c r="P118" i="14" s="1"/>
  <c r="N118" i="14"/>
  <c r="O118" i="14"/>
  <c r="Q118" i="14"/>
  <c r="R118" i="14"/>
  <c r="S118" i="14"/>
  <c r="U118" i="14"/>
  <c r="O121" i="14"/>
  <c r="P121" i="14"/>
  <c r="T121" i="14"/>
  <c r="U121" i="14"/>
  <c r="L122" i="14"/>
  <c r="M122" i="14"/>
  <c r="N122" i="14"/>
  <c r="N120" i="14" s="1"/>
  <c r="Q122" i="14"/>
  <c r="Q119" i="14" s="1"/>
  <c r="R122" i="14"/>
  <c r="R119" i="14" s="1"/>
  <c r="S122" i="14"/>
  <c r="S119" i="14" s="1"/>
  <c r="S117" i="14" s="1"/>
  <c r="Q123" i="14"/>
  <c r="T123" i="14" s="1"/>
  <c r="R123" i="14"/>
  <c r="S123" i="14"/>
  <c r="U123" i="14"/>
  <c r="O124" i="14"/>
  <c r="P124" i="14"/>
  <c r="T124" i="14"/>
  <c r="U124" i="14"/>
  <c r="L125" i="14"/>
  <c r="M125" i="14"/>
  <c r="N125" i="14"/>
  <c r="N123" i="14" s="1"/>
  <c r="T125" i="14"/>
  <c r="U125" i="14"/>
  <c r="I127" i="14"/>
  <c r="I116" i="14" s="1"/>
  <c r="I128" i="14"/>
  <c r="K128" i="14" s="1"/>
  <c r="I129" i="14"/>
  <c r="K129" i="14" s="1"/>
  <c r="I130" i="14"/>
  <c r="K130" i="14" s="1"/>
  <c r="J136" i="14"/>
  <c r="J137" i="14"/>
  <c r="J138" i="14"/>
  <c r="L140" i="14"/>
  <c r="O140" i="14" s="1"/>
  <c r="M140" i="14"/>
  <c r="N140" i="14"/>
  <c r="Q140" i="14"/>
  <c r="T140" i="14" s="1"/>
  <c r="R140" i="14"/>
  <c r="S140" i="14"/>
  <c r="U140" i="14"/>
  <c r="O143" i="14"/>
  <c r="P143" i="14"/>
  <c r="T143" i="14"/>
  <c r="U143" i="14"/>
  <c r="L144" i="14"/>
  <c r="L142" i="14" s="1"/>
  <c r="O142" i="14" s="1"/>
  <c r="M144" i="14"/>
  <c r="P144" i="14" s="1"/>
  <c r="N144" i="14"/>
  <c r="N142" i="14" s="1"/>
  <c r="Q144" i="14"/>
  <c r="R144" i="14"/>
  <c r="S144" i="14"/>
  <c r="S141" i="14" s="1"/>
  <c r="Q145" i="14"/>
  <c r="T145" i="14" s="1"/>
  <c r="R145" i="14"/>
  <c r="U145" i="14" s="1"/>
  <c r="S145" i="14"/>
  <c r="O146" i="14"/>
  <c r="P146" i="14"/>
  <c r="T146" i="14"/>
  <c r="U146" i="14"/>
  <c r="L147" i="14"/>
  <c r="L145" i="14" s="1"/>
  <c r="O145" i="14" s="1"/>
  <c r="M147" i="14"/>
  <c r="P147" i="14" s="1"/>
  <c r="N147" i="14"/>
  <c r="N145" i="14" s="1"/>
  <c r="T147" i="14"/>
  <c r="U147" i="14"/>
  <c r="I150" i="14"/>
  <c r="K150" i="14" s="1"/>
  <c r="I151" i="14"/>
  <c r="K151" i="14" s="1"/>
  <c r="I152" i="14"/>
  <c r="I153" i="14"/>
  <c r="I138" i="14" s="1"/>
  <c r="K138" i="14" s="1"/>
  <c r="I154" i="14"/>
  <c r="J156" i="14"/>
  <c r="L158" i="14"/>
  <c r="M158" i="14"/>
  <c r="P158" i="14" s="1"/>
  <c r="N158" i="14"/>
  <c r="O158" i="14"/>
  <c r="Q158" i="14"/>
  <c r="R158" i="14"/>
  <c r="S158" i="14"/>
  <c r="O161" i="14"/>
  <c r="P161" i="14"/>
  <c r="T161" i="14"/>
  <c r="U161" i="14"/>
  <c r="L162" i="14"/>
  <c r="O162" i="14" s="1"/>
  <c r="M162" i="14"/>
  <c r="N162" i="14"/>
  <c r="N160" i="14" s="1"/>
  <c r="Q162" i="14"/>
  <c r="R162" i="14"/>
  <c r="R159" i="14" s="1"/>
  <c r="U159" i="14" s="1"/>
  <c r="S162" i="14"/>
  <c r="S160" i="14" s="1"/>
  <c r="Q163" i="14"/>
  <c r="T163" i="14" s="1"/>
  <c r="R163" i="14"/>
  <c r="S163" i="14"/>
  <c r="U163" i="14"/>
  <c r="O164" i="14"/>
  <c r="P164" i="14"/>
  <c r="T164" i="14"/>
  <c r="U164" i="14"/>
  <c r="L165" i="14"/>
  <c r="M165" i="14"/>
  <c r="P165" i="14" s="1"/>
  <c r="N165" i="14"/>
  <c r="N163" i="14" s="1"/>
  <c r="T165" i="14"/>
  <c r="U165" i="14"/>
  <c r="I167" i="14"/>
  <c r="K167" i="14" s="1"/>
  <c r="I168" i="14"/>
  <c r="K168" i="14" s="1"/>
  <c r="I169" i="14"/>
  <c r="K169" i="14" s="1"/>
  <c r="J172" i="14"/>
  <c r="L174" i="14"/>
  <c r="M174" i="14"/>
  <c r="P174" i="14" s="1"/>
  <c r="N174" i="14"/>
  <c r="Q174" i="14"/>
  <c r="T174" i="14" s="1"/>
  <c r="R174" i="14"/>
  <c r="U174" i="14" s="1"/>
  <c r="S174" i="14"/>
  <c r="O177" i="14"/>
  <c r="P177" i="14"/>
  <c r="T177" i="14"/>
  <c r="U177" i="14"/>
  <c r="L178" i="14"/>
  <c r="M178" i="14"/>
  <c r="M176" i="14" s="1"/>
  <c r="N178" i="14"/>
  <c r="N176" i="14" s="1"/>
  <c r="Q178" i="14"/>
  <c r="R178" i="14"/>
  <c r="U178" i="14" s="1"/>
  <c r="S178" i="14"/>
  <c r="S175" i="14" s="1"/>
  <c r="Q179" i="14"/>
  <c r="T179" i="14" s="1"/>
  <c r="R179" i="14"/>
  <c r="U179" i="14" s="1"/>
  <c r="S179" i="14"/>
  <c r="O180" i="14"/>
  <c r="P180" i="14"/>
  <c r="T180" i="14"/>
  <c r="U180" i="14"/>
  <c r="L181" i="14"/>
  <c r="M181" i="14"/>
  <c r="N181" i="14"/>
  <c r="N179" i="14" s="1"/>
  <c r="T181" i="14"/>
  <c r="U181" i="14"/>
  <c r="I183" i="14"/>
  <c r="K184" i="14"/>
  <c r="L187" i="14"/>
  <c r="M187" i="14"/>
  <c r="N187" i="14"/>
  <c r="O187" i="14"/>
  <c r="P187" i="14"/>
  <c r="Q187" i="14"/>
  <c r="T187" i="14" s="1"/>
  <c r="R187" i="14"/>
  <c r="S187" i="14"/>
  <c r="U187" i="14"/>
  <c r="O190" i="14"/>
  <c r="P190" i="14"/>
  <c r="T190" i="14"/>
  <c r="U190" i="14"/>
  <c r="L191" i="14"/>
  <c r="L189" i="14" s="1"/>
  <c r="M191" i="14"/>
  <c r="N191" i="14"/>
  <c r="N189" i="14" s="1"/>
  <c r="Q191" i="14"/>
  <c r="Q189" i="14" s="1"/>
  <c r="R191" i="14"/>
  <c r="R188" i="14" s="1"/>
  <c r="S191" i="14"/>
  <c r="S188" i="14" s="1"/>
  <c r="S186" i="14" s="1"/>
  <c r="Q192" i="14"/>
  <c r="R192" i="14"/>
  <c r="U192" i="14" s="1"/>
  <c r="S192" i="14"/>
  <c r="T192" i="14"/>
  <c r="O193" i="14"/>
  <c r="P193" i="14"/>
  <c r="T193" i="14"/>
  <c r="U193" i="14"/>
  <c r="L194" i="14"/>
  <c r="O194" i="14" s="1"/>
  <c r="M194" i="14"/>
  <c r="N194" i="14"/>
  <c r="N192" i="14" s="1"/>
  <c r="T194" i="14"/>
  <c r="U194" i="14"/>
  <c r="J195" i="14"/>
  <c r="L196" i="14"/>
  <c r="O196" i="14" s="1"/>
  <c r="P196" i="14"/>
  <c r="I198" i="14"/>
  <c r="K198" i="14" s="1"/>
  <c r="J199" i="14"/>
  <c r="J202" i="14"/>
  <c r="N203" i="14"/>
  <c r="P203" i="14"/>
  <c r="S203" i="14"/>
  <c r="U203" i="14"/>
  <c r="L204" i="14"/>
  <c r="L205" i="14"/>
  <c r="L206" i="14"/>
  <c r="Q206" i="14"/>
  <c r="Q203" i="14" s="1"/>
  <c r="T203" i="14" s="1"/>
  <c r="L207" i="14"/>
  <c r="I209" i="14"/>
  <c r="I211" i="14"/>
  <c r="K211" i="14" s="1"/>
  <c r="I212" i="14"/>
  <c r="K212" i="14" s="1"/>
  <c r="J213" i="14"/>
  <c r="N214" i="14"/>
  <c r="P214" i="14"/>
  <c r="S214" i="14"/>
  <c r="U214" i="14"/>
  <c r="L215" i="14"/>
  <c r="L216" i="14"/>
  <c r="L217" i="14"/>
  <c r="Q217" i="14"/>
  <c r="Q214" i="14" s="1"/>
  <c r="I219" i="14"/>
  <c r="K219" i="14" s="1"/>
  <c r="I220" i="14"/>
  <c r="I213" i="14" s="1"/>
  <c r="K213" i="14" s="1"/>
  <c r="J221" i="14"/>
  <c r="N222" i="14"/>
  <c r="P222" i="14"/>
  <c r="L223" i="14"/>
  <c r="L224" i="14"/>
  <c r="L225" i="14"/>
  <c r="I228" i="14"/>
  <c r="K228" i="14" s="1"/>
  <c r="I229" i="14"/>
  <c r="I230" i="14"/>
  <c r="K230" i="14" s="1"/>
  <c r="N233" i="14"/>
  <c r="N234" i="14"/>
  <c r="N235" i="14"/>
  <c r="N236" i="14"/>
  <c r="J238" i="14"/>
  <c r="I240" i="14"/>
  <c r="J240" i="14"/>
  <c r="K240" i="14"/>
  <c r="I241" i="14"/>
  <c r="K241" i="14" s="1"/>
  <c r="J241" i="14"/>
  <c r="J242" i="14"/>
  <c r="J231" i="14" s="1"/>
  <c r="J185" i="14" s="1"/>
  <c r="N243" i="14"/>
  <c r="N232" i="14" s="1"/>
  <c r="P243" i="14"/>
  <c r="L244" i="14"/>
  <c r="L245" i="14"/>
  <c r="L246" i="14"/>
  <c r="L247" i="14"/>
  <c r="I249" i="14"/>
  <c r="I242" i="14" s="1"/>
  <c r="K242" i="14" s="1"/>
  <c r="K251" i="14"/>
  <c r="K252" i="14"/>
  <c r="J253" i="14"/>
  <c r="N254" i="14"/>
  <c r="P254" i="14"/>
  <c r="L255" i="14"/>
  <c r="L256" i="14"/>
  <c r="L257" i="14"/>
  <c r="L258" i="14"/>
  <c r="I260" i="14"/>
  <c r="K260" i="14" s="1"/>
  <c r="K262" i="14"/>
  <c r="K263" i="14"/>
  <c r="J265" i="14"/>
  <c r="L267" i="14"/>
  <c r="O267" i="14" s="1"/>
  <c r="M267" i="14"/>
  <c r="N267" i="14"/>
  <c r="P267" i="14"/>
  <c r="Q267" i="14"/>
  <c r="R267" i="14"/>
  <c r="U267" i="14" s="1"/>
  <c r="S267" i="14"/>
  <c r="O270" i="14"/>
  <c r="P270" i="14"/>
  <c r="T270" i="14"/>
  <c r="U270" i="14"/>
  <c r="L271" i="14"/>
  <c r="L269" i="14" s="1"/>
  <c r="O269" i="14" s="1"/>
  <c r="M271" i="14"/>
  <c r="N271" i="14"/>
  <c r="Q271" i="14"/>
  <c r="Q268" i="14" s="1"/>
  <c r="R271" i="14"/>
  <c r="R269" i="14" s="1"/>
  <c r="S271" i="14"/>
  <c r="Q272" i="14"/>
  <c r="R272" i="14"/>
  <c r="S272" i="14"/>
  <c r="T272" i="14"/>
  <c r="U272" i="14"/>
  <c r="O273" i="14"/>
  <c r="P273" i="14"/>
  <c r="T273" i="14"/>
  <c r="U273" i="14"/>
  <c r="L274" i="14"/>
  <c r="O274" i="14" s="1"/>
  <c r="M274" i="14"/>
  <c r="M272" i="14" s="1"/>
  <c r="P272" i="14" s="1"/>
  <c r="N274" i="14"/>
  <c r="N272" i="14" s="1"/>
  <c r="T274" i="14"/>
  <c r="U274" i="14"/>
  <c r="I276" i="14"/>
  <c r="I265" i="14" s="1"/>
  <c r="K265" i="14" s="1"/>
  <c r="J281" i="14"/>
  <c r="L283" i="14"/>
  <c r="O283" i="14" s="1"/>
  <c r="M283" i="14"/>
  <c r="N283" i="14"/>
  <c r="Q283" i="14"/>
  <c r="Q282" i="14" s="1"/>
  <c r="T282" i="14" s="1"/>
  <c r="R283" i="14"/>
  <c r="R282" i="14" s="1"/>
  <c r="U282" i="14" s="1"/>
  <c r="S283" i="14"/>
  <c r="S282" i="14" s="1"/>
  <c r="T283" i="14"/>
  <c r="Q284" i="14"/>
  <c r="T284" i="14" s="1"/>
  <c r="R284" i="14"/>
  <c r="S284" i="14"/>
  <c r="U284" i="14"/>
  <c r="Q285" i="14"/>
  <c r="T285" i="14" s="1"/>
  <c r="R285" i="14"/>
  <c r="S285" i="14"/>
  <c r="U285" i="14"/>
  <c r="O286" i="14"/>
  <c r="P286" i="14"/>
  <c r="T286" i="14"/>
  <c r="U286" i="14"/>
  <c r="L287" i="14"/>
  <c r="O287" i="14" s="1"/>
  <c r="M287" i="14"/>
  <c r="M285" i="14" s="1"/>
  <c r="P285" i="14" s="1"/>
  <c r="N287" i="14"/>
  <c r="T287" i="14"/>
  <c r="U287" i="14"/>
  <c r="Q288" i="14"/>
  <c r="T288" i="14" s="1"/>
  <c r="R288" i="14"/>
  <c r="U288" i="14" s="1"/>
  <c r="S288" i="14"/>
  <c r="O289" i="14"/>
  <c r="P289" i="14"/>
  <c r="T289" i="14"/>
  <c r="U289" i="14"/>
  <c r="L290" i="14"/>
  <c r="O290" i="14" s="1"/>
  <c r="M290" i="14"/>
  <c r="P290" i="14" s="1"/>
  <c r="N290" i="14"/>
  <c r="N288" i="14" s="1"/>
  <c r="T290" i="14"/>
  <c r="U290" i="14"/>
  <c r="I292" i="14"/>
  <c r="I281" i="14" s="1"/>
  <c r="K281" i="14" s="1"/>
  <c r="I293" i="14"/>
  <c r="K293" i="14" s="1"/>
  <c r="J293" i="14"/>
  <c r="J280" i="14" s="1"/>
  <c r="I295" i="14"/>
  <c r="K295" i="14" s="1"/>
  <c r="I296" i="14"/>
  <c r="K296" i="14" s="1"/>
  <c r="J302" i="14"/>
  <c r="L304" i="14"/>
  <c r="M304" i="14"/>
  <c r="P304" i="14" s="1"/>
  <c r="N304" i="14"/>
  <c r="Q304" i="14"/>
  <c r="R304" i="14"/>
  <c r="U304" i="14" s="1"/>
  <c r="S304" i="14"/>
  <c r="O307" i="14"/>
  <c r="P307" i="14"/>
  <c r="T307" i="14"/>
  <c r="U307" i="14"/>
  <c r="L308" i="14"/>
  <c r="M308" i="14"/>
  <c r="N308" i="14"/>
  <c r="Q308" i="14"/>
  <c r="Q306" i="14" s="1"/>
  <c r="R308" i="14"/>
  <c r="S308" i="14"/>
  <c r="S306" i="14" s="1"/>
  <c r="Q309" i="14"/>
  <c r="T309" i="14" s="1"/>
  <c r="R309" i="14"/>
  <c r="S309" i="14"/>
  <c r="U309" i="14"/>
  <c r="O310" i="14"/>
  <c r="P310" i="14"/>
  <c r="T310" i="14"/>
  <c r="U310" i="14"/>
  <c r="L311" i="14"/>
  <c r="M311" i="14"/>
  <c r="N311" i="14"/>
  <c r="N309" i="14" s="1"/>
  <c r="T311" i="14"/>
  <c r="U311" i="14"/>
  <c r="I314" i="14"/>
  <c r="J319" i="14"/>
  <c r="L321" i="14"/>
  <c r="O321" i="14" s="1"/>
  <c r="M321" i="14"/>
  <c r="N321" i="14"/>
  <c r="P321" i="14"/>
  <c r="Q321" i="14"/>
  <c r="R321" i="14"/>
  <c r="U321" i="14" s="1"/>
  <c r="S321" i="14"/>
  <c r="Q322" i="14"/>
  <c r="T322" i="14" s="1"/>
  <c r="R322" i="14"/>
  <c r="U322" i="14" s="1"/>
  <c r="S322" i="14"/>
  <c r="Q323" i="14"/>
  <c r="T323" i="14" s="1"/>
  <c r="R323" i="14"/>
  <c r="S323" i="14"/>
  <c r="U323" i="14"/>
  <c r="O324" i="14"/>
  <c r="P324" i="14"/>
  <c r="T324" i="14"/>
  <c r="U324" i="14"/>
  <c r="L325" i="14"/>
  <c r="L323" i="14" s="1"/>
  <c r="O323" i="14" s="1"/>
  <c r="M325" i="14"/>
  <c r="P325" i="14" s="1"/>
  <c r="N325" i="14"/>
  <c r="T325" i="14"/>
  <c r="U325" i="14"/>
  <c r="Q326" i="14"/>
  <c r="T326" i="14" s="1"/>
  <c r="R326" i="14"/>
  <c r="U326" i="14" s="1"/>
  <c r="S326" i="14"/>
  <c r="O327" i="14"/>
  <c r="P327" i="14"/>
  <c r="T327" i="14"/>
  <c r="U327" i="14"/>
  <c r="L328" i="14"/>
  <c r="M328" i="14"/>
  <c r="N328" i="14"/>
  <c r="N326" i="14" s="1"/>
  <c r="T328" i="14"/>
  <c r="U328" i="14"/>
  <c r="I330" i="14"/>
  <c r="K330" i="14" s="1"/>
  <c r="Q333" i="14"/>
  <c r="T333" i="14" s="1"/>
  <c r="L334" i="14"/>
  <c r="O334" i="14" s="1"/>
  <c r="M334" i="14"/>
  <c r="N334" i="14"/>
  <c r="Q334" i="14"/>
  <c r="R334" i="14"/>
  <c r="U334" i="14" s="1"/>
  <c r="S334" i="14"/>
  <c r="T334" i="14"/>
  <c r="Q335" i="14"/>
  <c r="R335" i="14"/>
  <c r="U335" i="14" s="1"/>
  <c r="S335" i="14"/>
  <c r="T335" i="14"/>
  <c r="Q336" i="14"/>
  <c r="T336" i="14" s="1"/>
  <c r="R336" i="14"/>
  <c r="S336" i="14"/>
  <c r="U336" i="14"/>
  <c r="O337" i="14"/>
  <c r="P337" i="14"/>
  <c r="T337" i="14"/>
  <c r="U337" i="14"/>
  <c r="L338" i="14"/>
  <c r="M338" i="14"/>
  <c r="N338" i="14"/>
  <c r="N336" i="14" s="1"/>
  <c r="T338" i="14"/>
  <c r="U338" i="14"/>
  <c r="Q339" i="14"/>
  <c r="T339" i="14" s="1"/>
  <c r="R339" i="14"/>
  <c r="U339" i="14" s="1"/>
  <c r="S339" i="14"/>
  <c r="O340" i="14"/>
  <c r="P340" i="14"/>
  <c r="T340" i="14"/>
  <c r="U340" i="14"/>
  <c r="L341" i="14"/>
  <c r="M341" i="14"/>
  <c r="M339" i="14" s="1"/>
  <c r="P339" i="14" s="1"/>
  <c r="N341" i="14"/>
  <c r="N339" i="14" s="1"/>
  <c r="T341" i="14"/>
  <c r="U341" i="14"/>
  <c r="I344" i="14"/>
  <c r="J344" i="14"/>
  <c r="I346" i="14"/>
  <c r="J346" i="14"/>
  <c r="J347" i="14"/>
  <c r="J348" i="14"/>
  <c r="J349" i="14"/>
  <c r="D350" i="14"/>
  <c r="J352" i="14"/>
  <c r="J353" i="14"/>
  <c r="D354" i="14"/>
  <c r="Q356" i="14"/>
  <c r="T356" i="14" s="1"/>
  <c r="L357" i="14"/>
  <c r="M357" i="14"/>
  <c r="P357" i="14" s="1"/>
  <c r="N357" i="14"/>
  <c r="O357" i="14"/>
  <c r="Q357" i="14"/>
  <c r="T357" i="14" s="1"/>
  <c r="R357" i="14"/>
  <c r="S357" i="14"/>
  <c r="S356" i="14" s="1"/>
  <c r="U357" i="14"/>
  <c r="Q358" i="14"/>
  <c r="T358" i="14" s="1"/>
  <c r="R358" i="14"/>
  <c r="S358" i="14"/>
  <c r="Q359" i="14"/>
  <c r="T359" i="14" s="1"/>
  <c r="R359" i="14"/>
  <c r="U359" i="14" s="1"/>
  <c r="S359" i="14"/>
  <c r="O360" i="14"/>
  <c r="P360" i="14"/>
  <c r="T360" i="14"/>
  <c r="U360" i="14"/>
  <c r="L361" i="14"/>
  <c r="L359" i="14" s="1"/>
  <c r="M361" i="14"/>
  <c r="M359" i="14" s="1"/>
  <c r="N361" i="14"/>
  <c r="T361" i="14"/>
  <c r="U361" i="14"/>
  <c r="Q362" i="14"/>
  <c r="T362" i="14" s="1"/>
  <c r="R362" i="14"/>
  <c r="U362" i="14" s="1"/>
  <c r="S362" i="14"/>
  <c r="O363" i="14"/>
  <c r="P363" i="14"/>
  <c r="T363" i="14"/>
  <c r="U363" i="14"/>
  <c r="L364" i="14"/>
  <c r="M364" i="14"/>
  <c r="N364" i="14"/>
  <c r="N362" i="14" s="1"/>
  <c r="T364" i="14"/>
  <c r="U364" i="14"/>
  <c r="J367" i="14"/>
  <c r="K367" i="14"/>
  <c r="I368" i="14"/>
  <c r="J368" i="14"/>
  <c r="I369" i="14"/>
  <c r="J369" i="14"/>
  <c r="J370" i="14"/>
  <c r="K370" i="14"/>
  <c r="I371" i="14"/>
  <c r="I365" i="14" s="1"/>
  <c r="J371" i="14"/>
  <c r="J365" i="14" s="1"/>
  <c r="J372" i="14"/>
  <c r="K372" i="14"/>
  <c r="D373" i="14"/>
  <c r="L376" i="14"/>
  <c r="M376" i="14"/>
  <c r="N376" i="14"/>
  <c r="Q376" i="14"/>
  <c r="T376" i="14" s="1"/>
  <c r="R376" i="14"/>
  <c r="S376" i="14"/>
  <c r="L377" i="14"/>
  <c r="M377" i="14"/>
  <c r="P377" i="14" s="1"/>
  <c r="N377" i="14"/>
  <c r="N375" i="14" s="1"/>
  <c r="O377" i="14"/>
  <c r="L378" i="14"/>
  <c r="M378" i="14"/>
  <c r="P378" i="14" s="1"/>
  <c r="N378" i="14"/>
  <c r="O378" i="14"/>
  <c r="O379" i="14"/>
  <c r="P379" i="14"/>
  <c r="T379" i="14"/>
  <c r="U379" i="14"/>
  <c r="O380" i="14"/>
  <c r="P380" i="14"/>
  <c r="Q380" i="14"/>
  <c r="R380" i="14"/>
  <c r="S380" i="14"/>
  <c r="S378" i="14" s="1"/>
  <c r="L381" i="14"/>
  <c r="O381" i="14" s="1"/>
  <c r="M381" i="14"/>
  <c r="P381" i="14" s="1"/>
  <c r="N381" i="14"/>
  <c r="Q381" i="14"/>
  <c r="T381" i="14" s="1"/>
  <c r="R381" i="14"/>
  <c r="U381" i="14" s="1"/>
  <c r="S381" i="14"/>
  <c r="O382" i="14"/>
  <c r="P382" i="14"/>
  <c r="T382" i="14"/>
  <c r="U382" i="14"/>
  <c r="O383" i="14"/>
  <c r="P383" i="14"/>
  <c r="T383" i="14"/>
  <c r="U383" i="14"/>
  <c r="J385" i="14"/>
  <c r="K385" i="14"/>
  <c r="I386" i="14"/>
  <c r="J386" i="14"/>
  <c r="J387" i="14"/>
  <c r="K387" i="14"/>
  <c r="I388" i="14"/>
  <c r="K388" i="14" s="1"/>
  <c r="J388" i="14"/>
  <c r="I391" i="14"/>
  <c r="J391" i="14"/>
  <c r="K391" i="14"/>
  <c r="L393" i="14"/>
  <c r="L392" i="14" s="1"/>
  <c r="O392" i="14" s="1"/>
  <c r="M393" i="14"/>
  <c r="N393" i="14"/>
  <c r="N392" i="14" s="1"/>
  <c r="Q393" i="14"/>
  <c r="R393" i="14"/>
  <c r="R392" i="14" s="1"/>
  <c r="U392" i="14" s="1"/>
  <c r="S393" i="14"/>
  <c r="S392" i="14" s="1"/>
  <c r="T393" i="14"/>
  <c r="U393" i="14"/>
  <c r="L394" i="14"/>
  <c r="M394" i="14"/>
  <c r="N394" i="14"/>
  <c r="O394" i="14"/>
  <c r="P394" i="14"/>
  <c r="Q394" i="14"/>
  <c r="T394" i="14" s="1"/>
  <c r="R394" i="14"/>
  <c r="S394" i="14"/>
  <c r="U394" i="14"/>
  <c r="L395" i="14"/>
  <c r="O395" i="14" s="1"/>
  <c r="M395" i="14"/>
  <c r="P395" i="14" s="1"/>
  <c r="N395" i="14"/>
  <c r="Q395" i="14"/>
  <c r="T395" i="14" s="1"/>
  <c r="R395" i="14"/>
  <c r="U395" i="14" s="1"/>
  <c r="S395" i="14"/>
  <c r="O396" i="14"/>
  <c r="P396" i="14"/>
  <c r="T396" i="14"/>
  <c r="U396" i="14"/>
  <c r="O397" i="14"/>
  <c r="P397" i="14"/>
  <c r="T397" i="14"/>
  <c r="U397" i="14"/>
  <c r="L398" i="14"/>
  <c r="O398" i="14" s="1"/>
  <c r="M398" i="14"/>
  <c r="P398" i="14" s="1"/>
  <c r="N398" i="14"/>
  <c r="Q398" i="14"/>
  <c r="T398" i="14" s="1"/>
  <c r="R398" i="14"/>
  <c r="U398" i="14" s="1"/>
  <c r="S398" i="14"/>
  <c r="O399" i="14"/>
  <c r="P399" i="14"/>
  <c r="T399" i="14"/>
  <c r="U399" i="14"/>
  <c r="O400" i="14"/>
  <c r="P400" i="14"/>
  <c r="T400" i="14"/>
  <c r="U400" i="14"/>
  <c r="L414" i="14"/>
  <c r="O414" i="14" s="1"/>
  <c r="M414" i="14"/>
  <c r="N414" i="14"/>
  <c r="N413" i="14" s="1"/>
  <c r="Q414" i="14"/>
  <c r="R414" i="14"/>
  <c r="U414" i="14" s="1"/>
  <c r="S414" i="14"/>
  <c r="L415" i="14"/>
  <c r="M415" i="14"/>
  <c r="P415" i="14" s="1"/>
  <c r="N415" i="14"/>
  <c r="L416" i="14"/>
  <c r="O416" i="14" s="1"/>
  <c r="M416" i="14"/>
  <c r="P416" i="14" s="1"/>
  <c r="N416" i="14"/>
  <c r="O417" i="14"/>
  <c r="P417" i="14"/>
  <c r="T417" i="14"/>
  <c r="U417" i="14"/>
  <c r="O418" i="14"/>
  <c r="P418" i="14"/>
  <c r="Q418" i="14"/>
  <c r="R418" i="14"/>
  <c r="R416" i="14" s="1"/>
  <c r="U416" i="14" s="1"/>
  <c r="S418" i="14"/>
  <c r="S416" i="14" s="1"/>
  <c r="L419" i="14"/>
  <c r="O419" i="14" s="1"/>
  <c r="M419" i="14"/>
  <c r="P419" i="14" s="1"/>
  <c r="N419" i="14"/>
  <c r="Q419" i="14"/>
  <c r="T419" i="14" s="1"/>
  <c r="R419" i="14"/>
  <c r="U419" i="14" s="1"/>
  <c r="S419" i="14"/>
  <c r="O420" i="14"/>
  <c r="P420" i="14"/>
  <c r="T420" i="14"/>
  <c r="U420" i="14"/>
  <c r="O421" i="14"/>
  <c r="P421" i="14"/>
  <c r="T421" i="14"/>
  <c r="U421" i="14"/>
  <c r="I424" i="14"/>
  <c r="K424" i="14" s="1"/>
  <c r="J424" i="14"/>
  <c r="I425" i="14"/>
  <c r="K425" i="14" s="1"/>
  <c r="J425" i="14"/>
  <c r="I432" i="14"/>
  <c r="K432" i="14" s="1"/>
  <c r="J432" i="14"/>
  <c r="I433" i="14"/>
  <c r="K433" i="14" s="1"/>
  <c r="J433" i="14"/>
  <c r="I440" i="14"/>
  <c r="K440" i="14" s="1"/>
  <c r="I441" i="14"/>
  <c r="K441" i="14" s="1"/>
  <c r="J446" i="14"/>
  <c r="J440" i="14" s="1"/>
  <c r="J423" i="14" s="1"/>
  <c r="J412" i="14" s="1"/>
  <c r="J447" i="14"/>
  <c r="J441" i="14" s="1"/>
  <c r="I457" i="14"/>
  <c r="K457" i="14" s="1"/>
  <c r="I458" i="14"/>
  <c r="K458" i="14" s="1"/>
  <c r="J459" i="14"/>
  <c r="J460" i="14"/>
  <c r="J467" i="14"/>
  <c r="J468" i="14"/>
  <c r="J458" i="14" s="1"/>
  <c r="J475" i="14"/>
  <c r="K475" i="14"/>
  <c r="J476" i="14"/>
  <c r="K476" i="14"/>
  <c r="J477" i="14"/>
  <c r="K477" i="14"/>
  <c r="J482" i="14"/>
  <c r="J483" i="14"/>
  <c r="I484" i="14"/>
  <c r="K484" i="14" s="1"/>
  <c r="J484" i="14"/>
  <c r="I485" i="14"/>
  <c r="K485" i="14" s="1"/>
  <c r="J485" i="14"/>
  <c r="L493" i="14"/>
  <c r="O493" i="14" s="1"/>
  <c r="L494" i="14"/>
  <c r="M494" i="14"/>
  <c r="N494" i="14"/>
  <c r="N493" i="14" s="1"/>
  <c r="O494" i="14"/>
  <c r="Q494" i="14"/>
  <c r="R494" i="14"/>
  <c r="S494" i="14"/>
  <c r="T494" i="14"/>
  <c r="U494" i="14"/>
  <c r="L495" i="14"/>
  <c r="O495" i="14" s="1"/>
  <c r="M495" i="14"/>
  <c r="N495" i="14"/>
  <c r="P495" i="14"/>
  <c r="L496" i="14"/>
  <c r="O496" i="14" s="1"/>
  <c r="M496" i="14"/>
  <c r="P496" i="14" s="1"/>
  <c r="N496" i="14"/>
  <c r="O497" i="14"/>
  <c r="P497" i="14"/>
  <c r="T497" i="14"/>
  <c r="U497" i="14"/>
  <c r="O498" i="14"/>
  <c r="P498" i="14"/>
  <c r="Q498" i="14"/>
  <c r="R498" i="14"/>
  <c r="U498" i="14" s="1"/>
  <c r="S498" i="14"/>
  <c r="S495" i="14" s="1"/>
  <c r="L499" i="14"/>
  <c r="O499" i="14" s="1"/>
  <c r="M499" i="14"/>
  <c r="P499" i="14" s="1"/>
  <c r="N499" i="14"/>
  <c r="Q499" i="14"/>
  <c r="T499" i="14" s="1"/>
  <c r="R499" i="14"/>
  <c r="U499" i="14" s="1"/>
  <c r="S499" i="14"/>
  <c r="O500" i="14"/>
  <c r="P500" i="14"/>
  <c r="T500" i="14"/>
  <c r="U500" i="14"/>
  <c r="O501" i="14"/>
  <c r="P501" i="14"/>
  <c r="T501" i="14"/>
  <c r="U501" i="14"/>
  <c r="I503" i="14"/>
  <c r="I492" i="14" s="1"/>
  <c r="K492" i="14" s="1"/>
  <c r="I504" i="14"/>
  <c r="I505" i="14"/>
  <c r="K505" i="14" s="1"/>
  <c r="I506" i="14"/>
  <c r="K506" i="14" s="1"/>
  <c r="I507" i="14"/>
  <c r="K507" i="14" s="1"/>
  <c r="K508" i="14"/>
  <c r="I509" i="14"/>
  <c r="K509" i="14" s="1"/>
  <c r="I512" i="14"/>
  <c r="J512" i="14"/>
  <c r="K512" i="14"/>
  <c r="Q513" i="14"/>
  <c r="T513" i="14" s="1"/>
  <c r="L514" i="14"/>
  <c r="M514" i="14"/>
  <c r="N514" i="14"/>
  <c r="Q514" i="14"/>
  <c r="R514" i="14"/>
  <c r="S514" i="14"/>
  <c r="S513" i="14" s="1"/>
  <c r="T514" i="14"/>
  <c r="Q515" i="14"/>
  <c r="T515" i="14" s="1"/>
  <c r="R515" i="14"/>
  <c r="S515" i="14"/>
  <c r="U515" i="14"/>
  <c r="Q516" i="14"/>
  <c r="T516" i="14" s="1"/>
  <c r="R516" i="14"/>
  <c r="U516" i="14" s="1"/>
  <c r="S516" i="14"/>
  <c r="O517" i="14"/>
  <c r="P517" i="14"/>
  <c r="T517" i="14"/>
  <c r="U517" i="14"/>
  <c r="L518" i="14"/>
  <c r="L516" i="14" s="1"/>
  <c r="O516" i="14" s="1"/>
  <c r="M518" i="14"/>
  <c r="M516" i="14" s="1"/>
  <c r="P516" i="14" s="1"/>
  <c r="N518" i="14"/>
  <c r="N516" i="14" s="1"/>
  <c r="T518" i="14"/>
  <c r="U518" i="14"/>
  <c r="Q519" i="14"/>
  <c r="T519" i="14" s="1"/>
  <c r="R519" i="14"/>
  <c r="U519" i="14" s="1"/>
  <c r="S519" i="14"/>
  <c r="O520" i="14"/>
  <c r="P520" i="14"/>
  <c r="T520" i="14"/>
  <c r="U520" i="14"/>
  <c r="L521" i="14"/>
  <c r="M521" i="14"/>
  <c r="P521" i="14" s="1"/>
  <c r="N521" i="14"/>
  <c r="N519" i="14" s="1"/>
  <c r="T521" i="14"/>
  <c r="U521" i="14"/>
  <c r="K523" i="14"/>
  <c r="K524" i="14"/>
  <c r="I533" i="14"/>
  <c r="J533" i="14"/>
  <c r="K533" i="14"/>
  <c r="L535" i="14"/>
  <c r="O535" i="14" s="1"/>
  <c r="M535" i="14"/>
  <c r="N535" i="14"/>
  <c r="P535" i="14"/>
  <c r="Q535" i="14"/>
  <c r="T535" i="14" s="1"/>
  <c r="R535" i="14"/>
  <c r="U535" i="14" s="1"/>
  <c r="S535" i="14"/>
  <c r="L536" i="14"/>
  <c r="O536" i="14" s="1"/>
  <c r="M536" i="14"/>
  <c r="P536" i="14" s="1"/>
  <c r="N536" i="14"/>
  <c r="Q536" i="14"/>
  <c r="T536" i="14" s="1"/>
  <c r="R536" i="14"/>
  <c r="U536" i="14" s="1"/>
  <c r="S536" i="14"/>
  <c r="L537" i="14"/>
  <c r="M537" i="14"/>
  <c r="P537" i="14" s="1"/>
  <c r="N537" i="14"/>
  <c r="O537" i="14"/>
  <c r="Q537" i="14"/>
  <c r="T537" i="14" s="1"/>
  <c r="R537" i="14"/>
  <c r="U537" i="14" s="1"/>
  <c r="S537" i="14"/>
  <c r="O538" i="14"/>
  <c r="P538" i="14"/>
  <c r="T538" i="14"/>
  <c r="U538" i="14"/>
  <c r="O539" i="14"/>
  <c r="P539" i="14"/>
  <c r="T539" i="14"/>
  <c r="U539" i="14"/>
  <c r="L540" i="14"/>
  <c r="O540" i="14" s="1"/>
  <c r="M540" i="14"/>
  <c r="P540" i="14" s="1"/>
  <c r="N540" i="14"/>
  <c r="Q540" i="14"/>
  <c r="T540" i="14" s="1"/>
  <c r="R540" i="14"/>
  <c r="U540" i="14" s="1"/>
  <c r="S540" i="14"/>
  <c r="O541" i="14"/>
  <c r="P541" i="14"/>
  <c r="T541" i="14"/>
  <c r="U541" i="14"/>
  <c r="O542" i="14"/>
  <c r="P542" i="14"/>
  <c r="T542" i="14"/>
  <c r="U542" i="14"/>
  <c r="I554" i="14"/>
  <c r="K554" i="14" s="1"/>
  <c r="J554" i="14"/>
  <c r="Q555" i="14"/>
  <c r="T555" i="14" s="1"/>
  <c r="L556" i="14"/>
  <c r="O556" i="14" s="1"/>
  <c r="M556" i="14"/>
  <c r="M555" i="14" s="1"/>
  <c r="P555" i="14" s="1"/>
  <c r="N556" i="14"/>
  <c r="Q556" i="14"/>
  <c r="R556" i="14"/>
  <c r="U556" i="14" s="1"/>
  <c r="S556" i="14"/>
  <c r="T556" i="14"/>
  <c r="L557" i="14"/>
  <c r="L555" i="14" s="1"/>
  <c r="O555" i="14" s="1"/>
  <c r="M557" i="14"/>
  <c r="P557" i="14" s="1"/>
  <c r="N557" i="14"/>
  <c r="Q557" i="14"/>
  <c r="R557" i="14"/>
  <c r="R555" i="14" s="1"/>
  <c r="U555" i="14" s="1"/>
  <c r="S557" i="14"/>
  <c r="T557" i="14"/>
  <c r="L558" i="14"/>
  <c r="M558" i="14"/>
  <c r="N558" i="14"/>
  <c r="O558" i="14"/>
  <c r="P558" i="14"/>
  <c r="Q558" i="14"/>
  <c r="T558" i="14" s="1"/>
  <c r="R558" i="14"/>
  <c r="S558" i="14"/>
  <c r="U558" i="14"/>
  <c r="O559" i="14"/>
  <c r="P559" i="14"/>
  <c r="T559" i="14"/>
  <c r="U559" i="14"/>
  <c r="O560" i="14"/>
  <c r="P560" i="14"/>
  <c r="T560" i="14"/>
  <c r="U560" i="14"/>
  <c r="L561" i="14"/>
  <c r="M561" i="14"/>
  <c r="N561" i="14"/>
  <c r="O561" i="14"/>
  <c r="P561" i="14"/>
  <c r="Q561" i="14"/>
  <c r="T561" i="14" s="1"/>
  <c r="R561" i="14"/>
  <c r="S561" i="14"/>
  <c r="U561" i="14"/>
  <c r="O562" i="14"/>
  <c r="P562" i="14"/>
  <c r="T562" i="14"/>
  <c r="U562" i="14"/>
  <c r="O563" i="14"/>
  <c r="P563" i="14"/>
  <c r="T563" i="14"/>
  <c r="U563" i="14"/>
  <c r="I575" i="14"/>
  <c r="K575" i="14" s="1"/>
  <c r="J575" i="14"/>
  <c r="L577" i="14"/>
  <c r="O577" i="14" s="1"/>
  <c r="M577" i="14"/>
  <c r="N577" i="14"/>
  <c r="Q577" i="14"/>
  <c r="R577" i="14"/>
  <c r="U577" i="14" s="1"/>
  <c r="S577" i="14"/>
  <c r="S576" i="14" s="1"/>
  <c r="L578" i="14"/>
  <c r="M578" i="14"/>
  <c r="P578" i="14" s="1"/>
  <c r="N578" i="14"/>
  <c r="N576" i="14" s="1"/>
  <c r="Q578" i="14"/>
  <c r="T578" i="14" s="1"/>
  <c r="R578" i="14"/>
  <c r="U578" i="14" s="1"/>
  <c r="S578" i="14"/>
  <c r="L579" i="14"/>
  <c r="M579" i="14"/>
  <c r="P579" i="14" s="1"/>
  <c r="N579" i="14"/>
  <c r="O579" i="14"/>
  <c r="Q579" i="14"/>
  <c r="T579" i="14" s="1"/>
  <c r="R579" i="14"/>
  <c r="S579" i="14"/>
  <c r="U579" i="14"/>
  <c r="O580" i="14"/>
  <c r="P580" i="14"/>
  <c r="T580" i="14"/>
  <c r="U580" i="14"/>
  <c r="O581" i="14"/>
  <c r="P581" i="14"/>
  <c r="T581" i="14"/>
  <c r="U581" i="14"/>
  <c r="L582" i="14"/>
  <c r="O582" i="14" s="1"/>
  <c r="M582" i="14"/>
  <c r="P582" i="14" s="1"/>
  <c r="N582" i="14"/>
  <c r="Q582" i="14"/>
  <c r="T582" i="14" s="1"/>
  <c r="R582" i="14"/>
  <c r="U582" i="14" s="1"/>
  <c r="S582" i="14"/>
  <c r="O583" i="14"/>
  <c r="P583" i="14"/>
  <c r="T583" i="14"/>
  <c r="U583" i="14"/>
  <c r="O584" i="14"/>
  <c r="P584" i="14"/>
  <c r="T584" i="14"/>
  <c r="U584" i="14"/>
  <c r="L600" i="14"/>
  <c r="O600" i="14" s="1"/>
  <c r="M600" i="14"/>
  <c r="N600" i="14"/>
  <c r="N599" i="14" s="1"/>
  <c r="Q600" i="14"/>
  <c r="R600" i="14"/>
  <c r="S600" i="14"/>
  <c r="S599" i="14" s="1"/>
  <c r="U600" i="14"/>
  <c r="L601" i="14"/>
  <c r="M601" i="14"/>
  <c r="P601" i="14" s="1"/>
  <c r="N601" i="14"/>
  <c r="Q601" i="14"/>
  <c r="T601" i="14" s="1"/>
  <c r="R601" i="14"/>
  <c r="U601" i="14" s="1"/>
  <c r="S601" i="14"/>
  <c r="L602" i="14"/>
  <c r="M602" i="14"/>
  <c r="P602" i="14" s="1"/>
  <c r="N602" i="14"/>
  <c r="O602" i="14"/>
  <c r="Q602" i="14"/>
  <c r="T602" i="14" s="1"/>
  <c r="R602" i="14"/>
  <c r="U602" i="14" s="1"/>
  <c r="S602" i="14"/>
  <c r="O603" i="14"/>
  <c r="P603" i="14"/>
  <c r="T603" i="14"/>
  <c r="U603" i="14"/>
  <c r="O604" i="14"/>
  <c r="P604" i="14"/>
  <c r="T604" i="14"/>
  <c r="U604" i="14"/>
  <c r="L605" i="14"/>
  <c r="O605" i="14" s="1"/>
  <c r="M605" i="14"/>
  <c r="P605" i="14" s="1"/>
  <c r="N605" i="14"/>
  <c r="Q605" i="14"/>
  <c r="T605" i="14" s="1"/>
  <c r="R605" i="14"/>
  <c r="U605" i="14" s="1"/>
  <c r="S605" i="14"/>
  <c r="O606" i="14"/>
  <c r="P606" i="14"/>
  <c r="T606" i="14"/>
  <c r="U606" i="14"/>
  <c r="O607" i="14"/>
  <c r="P607" i="14"/>
  <c r="T607" i="14"/>
  <c r="U607" i="14"/>
  <c r="L617" i="14"/>
  <c r="O617" i="14" s="1"/>
  <c r="M617" i="14"/>
  <c r="P617" i="14" s="1"/>
  <c r="N617" i="14"/>
  <c r="N616" i="14" s="1"/>
  <c r="Q617" i="14"/>
  <c r="R617" i="14"/>
  <c r="U617" i="14" s="1"/>
  <c r="S617" i="14"/>
  <c r="T617" i="14"/>
  <c r="L618" i="14"/>
  <c r="O618" i="14" s="1"/>
  <c r="M618" i="14"/>
  <c r="P618" i="14" s="1"/>
  <c r="N618" i="14"/>
  <c r="L619" i="14"/>
  <c r="O619" i="14" s="1"/>
  <c r="M619" i="14"/>
  <c r="P619" i="14" s="1"/>
  <c r="N619" i="14"/>
  <c r="O620" i="14"/>
  <c r="P620" i="14"/>
  <c r="T620" i="14"/>
  <c r="U620" i="14"/>
  <c r="O621" i="14"/>
  <c r="P621" i="14"/>
  <c r="Q621" i="14"/>
  <c r="Q619" i="14" s="1"/>
  <c r="R621" i="14"/>
  <c r="S621" i="14"/>
  <c r="S619" i="14" s="1"/>
  <c r="L622" i="14"/>
  <c r="O622" i="14" s="1"/>
  <c r="M622" i="14"/>
  <c r="P622" i="14" s="1"/>
  <c r="N622" i="14"/>
  <c r="Q622" i="14"/>
  <c r="T622" i="14" s="1"/>
  <c r="R622" i="14"/>
  <c r="U622" i="14" s="1"/>
  <c r="S622" i="14"/>
  <c r="O623" i="14"/>
  <c r="P623" i="14"/>
  <c r="T623" i="14"/>
  <c r="U623" i="14"/>
  <c r="O624" i="14"/>
  <c r="P624" i="14"/>
  <c r="T624" i="14"/>
  <c r="U624" i="14"/>
  <c r="I626" i="14"/>
  <c r="I627" i="14"/>
  <c r="K627" i="14" s="1"/>
  <c r="I628" i="14"/>
  <c r="K628" i="14" s="1"/>
  <c r="J632" i="14"/>
  <c r="J626" i="14" s="1"/>
  <c r="J615" i="14" s="1"/>
  <c r="I635" i="14"/>
  <c r="K635" i="14" s="1"/>
  <c r="J636" i="14"/>
  <c r="J635" i="14" s="1"/>
  <c r="L643" i="14"/>
  <c r="O643" i="14" s="1"/>
  <c r="M643" i="14"/>
  <c r="M642" i="14" s="1"/>
  <c r="P642" i="14" s="1"/>
  <c r="N643" i="14"/>
  <c r="Q643" i="14"/>
  <c r="T643" i="14" s="1"/>
  <c r="R643" i="14"/>
  <c r="S643" i="14"/>
  <c r="U643" i="14"/>
  <c r="L644" i="14"/>
  <c r="O644" i="14" s="1"/>
  <c r="M644" i="14"/>
  <c r="P644" i="14" s="1"/>
  <c r="N644" i="14"/>
  <c r="N642" i="14" s="1"/>
  <c r="L645" i="14"/>
  <c r="M645" i="14"/>
  <c r="P645" i="14" s="1"/>
  <c r="N645" i="14"/>
  <c r="O645" i="14"/>
  <c r="O646" i="14"/>
  <c r="P646" i="14"/>
  <c r="T646" i="14"/>
  <c r="U646" i="14"/>
  <c r="O647" i="14"/>
  <c r="P647" i="14"/>
  <c r="Q647" i="14"/>
  <c r="Q645" i="14" s="1"/>
  <c r="T645" i="14" s="1"/>
  <c r="R647" i="14"/>
  <c r="R645" i="14" s="1"/>
  <c r="U645" i="14" s="1"/>
  <c r="S647" i="14"/>
  <c r="S645" i="14" s="1"/>
  <c r="L648" i="14"/>
  <c r="O648" i="14" s="1"/>
  <c r="M648" i="14"/>
  <c r="P648" i="14" s="1"/>
  <c r="N648" i="14"/>
  <c r="Q648" i="14"/>
  <c r="R648" i="14"/>
  <c r="U648" i="14" s="1"/>
  <c r="S648" i="14"/>
  <c r="T648" i="14"/>
  <c r="O649" i="14"/>
  <c r="P649" i="14"/>
  <c r="T649" i="14"/>
  <c r="U649" i="14"/>
  <c r="O650" i="14"/>
  <c r="P650" i="14"/>
  <c r="T650" i="14"/>
  <c r="U650" i="14"/>
  <c r="I652" i="14"/>
  <c r="K652" i="14" s="1"/>
  <c r="J652" i="14"/>
  <c r="I653" i="14"/>
  <c r="K653" i="14" s="1"/>
  <c r="J653" i="14"/>
  <c r="I654" i="14"/>
  <c r="K654" i="14" s="1"/>
  <c r="J654" i="14"/>
  <c r="I657" i="14"/>
  <c r="I660" i="14"/>
  <c r="I661" i="14"/>
  <c r="K661" i="14" s="1"/>
  <c r="J661" i="14"/>
  <c r="J671" i="14"/>
  <c r="J672" i="14"/>
  <c r="I673" i="14"/>
  <c r="K673" i="14" s="1"/>
  <c r="J673" i="14"/>
  <c r="I674" i="14"/>
  <c r="K674" i="14" s="1"/>
  <c r="I675" i="14"/>
  <c r="K675" i="14" s="1"/>
  <c r="I676" i="14"/>
  <c r="K676" i="14" s="1"/>
  <c r="J676" i="14"/>
  <c r="J677" i="14"/>
  <c r="I678" i="14"/>
  <c r="K678" i="14" s="1"/>
  <c r="J678" i="14"/>
  <c r="I679" i="14"/>
  <c r="K679" i="14" s="1"/>
  <c r="J679" i="14"/>
  <c r="J680" i="14"/>
  <c r="I681" i="14"/>
  <c r="K681" i="14" s="1"/>
  <c r="J681" i="14"/>
  <c r="I682" i="14"/>
  <c r="K682" i="14" s="1"/>
  <c r="J682" i="14"/>
  <c r="L691" i="14"/>
  <c r="M691" i="14"/>
  <c r="N691" i="14"/>
  <c r="P691" i="14"/>
  <c r="Q691" i="14"/>
  <c r="T691" i="14" s="1"/>
  <c r="R691" i="14"/>
  <c r="U691" i="14" s="1"/>
  <c r="S691" i="14"/>
  <c r="L692" i="14"/>
  <c r="M692" i="14"/>
  <c r="P692" i="14" s="1"/>
  <c r="N692" i="14"/>
  <c r="N690" i="14" s="1"/>
  <c r="O692" i="14"/>
  <c r="L693" i="14"/>
  <c r="O693" i="14" s="1"/>
  <c r="M693" i="14"/>
  <c r="P693" i="14" s="1"/>
  <c r="N693" i="14"/>
  <c r="O694" i="14"/>
  <c r="P694" i="14"/>
  <c r="T694" i="14"/>
  <c r="U694" i="14"/>
  <c r="O695" i="14"/>
  <c r="P695" i="14"/>
  <c r="Q695" i="14"/>
  <c r="R695" i="14"/>
  <c r="R693" i="14" s="1"/>
  <c r="S695" i="14"/>
  <c r="S692" i="14" s="1"/>
  <c r="L696" i="14"/>
  <c r="O696" i="14" s="1"/>
  <c r="M696" i="14"/>
  <c r="P696" i="14" s="1"/>
  <c r="N696" i="14"/>
  <c r="Q696" i="14"/>
  <c r="T696" i="14" s="1"/>
  <c r="R696" i="14"/>
  <c r="U696" i="14" s="1"/>
  <c r="S696" i="14"/>
  <c r="O697" i="14"/>
  <c r="P697" i="14"/>
  <c r="T697" i="14"/>
  <c r="U697" i="14"/>
  <c r="O698" i="14"/>
  <c r="P698" i="14"/>
  <c r="T698" i="14"/>
  <c r="U698" i="14"/>
  <c r="I700" i="14"/>
  <c r="K700" i="14" s="1"/>
  <c r="K702" i="14"/>
  <c r="I703" i="14"/>
  <c r="J703" i="14"/>
  <c r="J704" i="14"/>
  <c r="K704" i="14"/>
  <c r="I705" i="14"/>
  <c r="J705" i="14"/>
  <c r="J706" i="14"/>
  <c r="K706" i="14"/>
  <c r="I707" i="14"/>
  <c r="J707" i="14"/>
  <c r="J689" i="14" s="1"/>
  <c r="J708" i="14"/>
  <c r="K708" i="14"/>
  <c r="I709" i="14"/>
  <c r="J709" i="14"/>
  <c r="J710" i="14"/>
  <c r="K710" i="14"/>
  <c r="J712" i="14"/>
  <c r="K712" i="14"/>
  <c r="L715" i="14"/>
  <c r="O715" i="14" s="1"/>
  <c r="M715" i="14"/>
  <c r="N715" i="14"/>
  <c r="P715" i="14"/>
  <c r="Q715" i="14"/>
  <c r="R715" i="14"/>
  <c r="U715" i="14" s="1"/>
  <c r="S715" i="14"/>
  <c r="L716" i="14"/>
  <c r="O716" i="14" s="1"/>
  <c r="M716" i="14"/>
  <c r="P716" i="14" s="1"/>
  <c r="N716" i="14"/>
  <c r="N714" i="14" s="1"/>
  <c r="Q716" i="14"/>
  <c r="T716" i="14" s="1"/>
  <c r="R716" i="14"/>
  <c r="U716" i="14" s="1"/>
  <c r="S716" i="14"/>
  <c r="L717" i="14"/>
  <c r="M717" i="14"/>
  <c r="P717" i="14" s="1"/>
  <c r="N717" i="14"/>
  <c r="O717" i="14"/>
  <c r="Q717" i="14"/>
  <c r="T717" i="14" s="1"/>
  <c r="R717" i="14"/>
  <c r="U717" i="14" s="1"/>
  <c r="S717" i="14"/>
  <c r="O718" i="14"/>
  <c r="P718" i="14"/>
  <c r="T718" i="14"/>
  <c r="U718" i="14"/>
  <c r="O719" i="14"/>
  <c r="P719" i="14"/>
  <c r="T719" i="14"/>
  <c r="U719" i="14"/>
  <c r="L720" i="14"/>
  <c r="O720" i="14" s="1"/>
  <c r="M720" i="14"/>
  <c r="P720" i="14" s="1"/>
  <c r="N720" i="14"/>
  <c r="Q720" i="14"/>
  <c r="T720" i="14" s="1"/>
  <c r="R720" i="14"/>
  <c r="U720" i="14" s="1"/>
  <c r="S720" i="14"/>
  <c r="O721" i="14"/>
  <c r="P721" i="14"/>
  <c r="T721" i="14"/>
  <c r="U721" i="14"/>
  <c r="O722" i="14"/>
  <c r="P722" i="14"/>
  <c r="T722" i="14"/>
  <c r="U722" i="14"/>
  <c r="I726" i="14"/>
  <c r="K726" i="14" s="1"/>
  <c r="J726" i="14"/>
  <c r="I727" i="14"/>
  <c r="K727" i="14" s="1"/>
  <c r="J727" i="14"/>
  <c r="L729" i="14"/>
  <c r="M729" i="14"/>
  <c r="N729" i="14"/>
  <c r="Q729" i="14"/>
  <c r="R729" i="14"/>
  <c r="S729" i="14"/>
  <c r="T729" i="14"/>
  <c r="L730" i="14"/>
  <c r="O730" i="14" s="1"/>
  <c r="M730" i="14"/>
  <c r="N730" i="14"/>
  <c r="P730" i="14"/>
  <c r="L731" i="14"/>
  <c r="M731" i="14"/>
  <c r="P731" i="14" s="1"/>
  <c r="N731" i="14"/>
  <c r="O731" i="14"/>
  <c r="O732" i="14"/>
  <c r="P732" i="14"/>
  <c r="T732" i="14"/>
  <c r="U732" i="14"/>
  <c r="O733" i="14"/>
  <c r="P733" i="14"/>
  <c r="Q733" i="14"/>
  <c r="Q730" i="14" s="1"/>
  <c r="R733" i="14"/>
  <c r="R730" i="14" s="1"/>
  <c r="S733" i="14"/>
  <c r="S730" i="14" s="1"/>
  <c r="S728" i="14" s="1"/>
  <c r="L734" i="14"/>
  <c r="O734" i="14" s="1"/>
  <c r="M734" i="14"/>
  <c r="N734" i="14"/>
  <c r="P734" i="14"/>
  <c r="Q734" i="14"/>
  <c r="T734" i="14" s="1"/>
  <c r="R734" i="14"/>
  <c r="U734" i="14" s="1"/>
  <c r="S734" i="14"/>
  <c r="O735" i="14"/>
  <c r="P735" i="14"/>
  <c r="T735" i="14"/>
  <c r="U735" i="14"/>
  <c r="O736" i="14"/>
  <c r="P736" i="14"/>
  <c r="T736" i="14"/>
  <c r="U736" i="14"/>
  <c r="I740" i="14"/>
  <c r="K740" i="14" s="1"/>
  <c r="I742" i="14"/>
  <c r="K742" i="14" s="1"/>
  <c r="I744" i="14"/>
  <c r="K744" i="14" s="1"/>
  <c r="I746" i="14"/>
  <c r="K746" i="14" s="1"/>
  <c r="I749" i="14"/>
  <c r="K749" i="14" s="1"/>
  <c r="I752" i="14"/>
  <c r="K752" i="14" s="1"/>
  <c r="I755" i="14"/>
  <c r="K755" i="14" s="1"/>
  <c r="J758" i="14"/>
  <c r="J759" i="14"/>
  <c r="L761" i="14"/>
  <c r="M761" i="14"/>
  <c r="N761" i="14"/>
  <c r="P761" i="14"/>
  <c r="Q761" i="14"/>
  <c r="R761" i="14"/>
  <c r="S761" i="14"/>
  <c r="L762" i="14"/>
  <c r="O762" i="14" s="1"/>
  <c r="M762" i="14"/>
  <c r="P762" i="14" s="1"/>
  <c r="N762" i="14"/>
  <c r="L763" i="14"/>
  <c r="O763" i="14" s="1"/>
  <c r="M763" i="14"/>
  <c r="P763" i="14" s="1"/>
  <c r="N763" i="14"/>
  <c r="O764" i="14"/>
  <c r="P764" i="14"/>
  <c r="T764" i="14"/>
  <c r="U764" i="14"/>
  <c r="O765" i="14"/>
  <c r="P765" i="14"/>
  <c r="Q765" i="14"/>
  <c r="Q763" i="14" s="1"/>
  <c r="R765" i="14"/>
  <c r="R763" i="14" s="1"/>
  <c r="S765" i="14"/>
  <c r="S763" i="14" s="1"/>
  <c r="L766" i="14"/>
  <c r="O766" i="14" s="1"/>
  <c r="M766" i="14"/>
  <c r="P766" i="14" s="1"/>
  <c r="N766" i="14"/>
  <c r="Q766" i="14"/>
  <c r="T766" i="14" s="1"/>
  <c r="R766" i="14"/>
  <c r="U766" i="14" s="1"/>
  <c r="S766" i="14"/>
  <c r="O767" i="14"/>
  <c r="P767" i="14"/>
  <c r="T767" i="14"/>
  <c r="U767" i="14"/>
  <c r="O768" i="14"/>
  <c r="P768" i="14"/>
  <c r="T768" i="14"/>
  <c r="U768" i="14"/>
  <c r="I770" i="14"/>
  <c r="K770" i="14" s="1"/>
  <c r="I772" i="14"/>
  <c r="K772" i="14" s="1"/>
  <c r="I774" i="14"/>
  <c r="K774" i="14" s="1"/>
  <c r="I775" i="14"/>
  <c r="I776" i="14"/>
  <c r="H777" i="14"/>
  <c r="I778" i="14"/>
  <c r="J778" i="14"/>
  <c r="I779" i="14"/>
  <c r="J779" i="14"/>
  <c r="I780" i="14"/>
  <c r="J780" i="14"/>
  <c r="I781" i="14"/>
  <c r="J781" i="14"/>
  <c r="I782" i="14"/>
  <c r="J782" i="14"/>
  <c r="I783" i="14"/>
  <c r="J783" i="14"/>
  <c r="I784" i="14"/>
  <c r="J784" i="14"/>
  <c r="I785" i="14"/>
  <c r="J785" i="14"/>
  <c r="A788" i="14"/>
  <c r="A789" i="14"/>
  <c r="L22" i="13"/>
  <c r="M22" i="13"/>
  <c r="N22" i="13"/>
  <c r="Q22" i="13"/>
  <c r="Q19" i="13" s="1"/>
  <c r="T19" i="13" s="1"/>
  <c r="R22" i="13"/>
  <c r="S22" i="13"/>
  <c r="S19" i="13" s="1"/>
  <c r="L25" i="13"/>
  <c r="L19" i="13" s="1"/>
  <c r="M25" i="13"/>
  <c r="N25" i="13"/>
  <c r="Q25" i="13"/>
  <c r="R25" i="13"/>
  <c r="S25" i="13"/>
  <c r="S24" i="13" s="1"/>
  <c r="T25" i="13"/>
  <c r="Q26" i="13"/>
  <c r="T26" i="13" s="1"/>
  <c r="R26" i="13"/>
  <c r="U26" i="13" s="1"/>
  <c r="S26" i="13"/>
  <c r="L45" i="13"/>
  <c r="O45" i="13" s="1"/>
  <c r="M45" i="13"/>
  <c r="N45" i="13"/>
  <c r="Q45" i="13"/>
  <c r="T45" i="13" s="1"/>
  <c r="R45" i="13"/>
  <c r="U45" i="13" s="1"/>
  <c r="S45" i="13"/>
  <c r="S44" i="13" s="1"/>
  <c r="Q46" i="13"/>
  <c r="T46" i="13" s="1"/>
  <c r="R46" i="13"/>
  <c r="S46" i="13"/>
  <c r="U46" i="13"/>
  <c r="Q47" i="13"/>
  <c r="T47" i="13" s="1"/>
  <c r="R47" i="13"/>
  <c r="U47" i="13" s="1"/>
  <c r="S47" i="13"/>
  <c r="O48" i="13"/>
  <c r="P48" i="13"/>
  <c r="T48" i="13"/>
  <c r="U48" i="13"/>
  <c r="L49" i="13"/>
  <c r="L47" i="13" s="1"/>
  <c r="M49" i="13"/>
  <c r="M47" i="13" s="1"/>
  <c r="N49" i="13"/>
  <c r="T49" i="13"/>
  <c r="U49" i="13"/>
  <c r="Q50" i="13"/>
  <c r="T50" i="13" s="1"/>
  <c r="R50" i="13"/>
  <c r="S50" i="13"/>
  <c r="U50" i="13"/>
  <c r="O51" i="13"/>
  <c r="P51" i="13"/>
  <c r="T51" i="13"/>
  <c r="U51" i="13"/>
  <c r="L52" i="13"/>
  <c r="M52" i="13"/>
  <c r="N52" i="13"/>
  <c r="N50" i="13" s="1"/>
  <c r="T52" i="13"/>
  <c r="U52" i="13"/>
  <c r="L60" i="13"/>
  <c r="O60" i="13" s="1"/>
  <c r="M60" i="13"/>
  <c r="N60" i="13"/>
  <c r="Q60" i="13"/>
  <c r="Q59" i="13" s="1"/>
  <c r="T59" i="13" s="1"/>
  <c r="R60" i="13"/>
  <c r="R59" i="13" s="1"/>
  <c r="U59" i="13" s="1"/>
  <c r="S60" i="13"/>
  <c r="S59" i="13" s="1"/>
  <c r="T60" i="13"/>
  <c r="U60" i="13"/>
  <c r="Q61" i="13"/>
  <c r="T61" i="13" s="1"/>
  <c r="R61" i="13"/>
  <c r="S61" i="13"/>
  <c r="U61" i="13"/>
  <c r="Q62" i="13"/>
  <c r="T62" i="13" s="1"/>
  <c r="R62" i="13"/>
  <c r="U62" i="13" s="1"/>
  <c r="S62" i="13"/>
  <c r="O63" i="13"/>
  <c r="P63" i="13"/>
  <c r="T63" i="13"/>
  <c r="U63" i="13"/>
  <c r="L64" i="13"/>
  <c r="L62" i="13" s="1"/>
  <c r="M64" i="13"/>
  <c r="M62" i="13" s="1"/>
  <c r="N64" i="13"/>
  <c r="T64" i="13"/>
  <c r="U64" i="13"/>
  <c r="Q65" i="13"/>
  <c r="T65" i="13" s="1"/>
  <c r="R65" i="13"/>
  <c r="U65" i="13" s="1"/>
  <c r="S65" i="13"/>
  <c r="O66" i="13"/>
  <c r="P66" i="13"/>
  <c r="T66" i="13"/>
  <c r="U66" i="13"/>
  <c r="L67" i="13"/>
  <c r="M67" i="13"/>
  <c r="N67" i="13"/>
  <c r="N65" i="13" s="1"/>
  <c r="T67" i="13"/>
  <c r="U67" i="13"/>
  <c r="L73" i="13"/>
  <c r="M73" i="13"/>
  <c r="N73" i="13"/>
  <c r="O73" i="13"/>
  <c r="Q73" i="13"/>
  <c r="R73" i="13"/>
  <c r="S73" i="13"/>
  <c r="T73" i="13"/>
  <c r="U73" i="13"/>
  <c r="O76" i="13"/>
  <c r="P76" i="13"/>
  <c r="T76" i="13"/>
  <c r="U76" i="13"/>
  <c r="L77" i="13"/>
  <c r="M77" i="13"/>
  <c r="N77" i="13"/>
  <c r="Q77" i="13"/>
  <c r="Q74" i="13" s="1"/>
  <c r="R77" i="13"/>
  <c r="S77" i="13"/>
  <c r="S75" i="13" s="1"/>
  <c r="Q78" i="13"/>
  <c r="T78" i="13" s="1"/>
  <c r="R78" i="13"/>
  <c r="U78" i="13" s="1"/>
  <c r="S78" i="13"/>
  <c r="O79" i="13"/>
  <c r="P79" i="13"/>
  <c r="T79" i="13"/>
  <c r="U79" i="13"/>
  <c r="L80" i="13"/>
  <c r="M80" i="13"/>
  <c r="N80" i="13"/>
  <c r="N78" i="13" s="1"/>
  <c r="T80" i="13"/>
  <c r="U80" i="13"/>
  <c r="J82" i="13"/>
  <c r="J70" i="13" s="1"/>
  <c r="J83" i="13"/>
  <c r="J71" i="13" s="1"/>
  <c r="I84" i="13"/>
  <c r="I85" i="13"/>
  <c r="K85" i="13" s="1"/>
  <c r="I86" i="13"/>
  <c r="K86" i="13" s="1"/>
  <c r="I87" i="13"/>
  <c r="K87" i="13" s="1"/>
  <c r="I88" i="13"/>
  <c r="K88" i="13" s="1"/>
  <c r="I89" i="13"/>
  <c r="K89" i="13" s="1"/>
  <c r="I90" i="13"/>
  <c r="K90" i="13" s="1"/>
  <c r="J92" i="13"/>
  <c r="J93" i="13"/>
  <c r="L95" i="13"/>
  <c r="M95" i="13"/>
  <c r="N95" i="13"/>
  <c r="O95" i="13"/>
  <c r="P95" i="13"/>
  <c r="Q95" i="13"/>
  <c r="R95" i="13"/>
  <c r="S95" i="13"/>
  <c r="T95" i="13"/>
  <c r="U95" i="13"/>
  <c r="O98" i="13"/>
  <c r="P98" i="13"/>
  <c r="T98" i="13"/>
  <c r="U98" i="13"/>
  <c r="L99" i="13"/>
  <c r="L97" i="13" s="1"/>
  <c r="O97" i="13" s="1"/>
  <c r="M99" i="13"/>
  <c r="P99" i="13" s="1"/>
  <c r="N99" i="13"/>
  <c r="N97" i="13" s="1"/>
  <c r="Q99" i="13"/>
  <c r="R99" i="13"/>
  <c r="R96" i="13" s="1"/>
  <c r="U96" i="13" s="1"/>
  <c r="S99" i="13"/>
  <c r="S96" i="13" s="1"/>
  <c r="S94" i="13" s="1"/>
  <c r="Q100" i="13"/>
  <c r="T100" i="13" s="1"/>
  <c r="R100" i="13"/>
  <c r="U100" i="13" s="1"/>
  <c r="S100" i="13"/>
  <c r="O101" i="13"/>
  <c r="P101" i="13"/>
  <c r="T101" i="13"/>
  <c r="U101" i="13"/>
  <c r="L102" i="13"/>
  <c r="O102" i="13" s="1"/>
  <c r="M102" i="13"/>
  <c r="M100" i="13" s="1"/>
  <c r="P100" i="13" s="1"/>
  <c r="N102" i="13"/>
  <c r="N100" i="13" s="1"/>
  <c r="T102" i="13"/>
  <c r="U102" i="13"/>
  <c r="I108" i="13"/>
  <c r="K108" i="13" s="1"/>
  <c r="I109" i="13"/>
  <c r="K109" i="13" s="1"/>
  <c r="I114" i="13"/>
  <c r="K114" i="13" s="1"/>
  <c r="J116" i="13"/>
  <c r="L118" i="13"/>
  <c r="M118" i="13"/>
  <c r="N118" i="13"/>
  <c r="O118" i="13"/>
  <c r="P118" i="13"/>
  <c r="Q118" i="13"/>
  <c r="R118" i="13"/>
  <c r="S118" i="13"/>
  <c r="T118" i="13"/>
  <c r="U118" i="13"/>
  <c r="O121" i="13"/>
  <c r="P121" i="13"/>
  <c r="T121" i="13"/>
  <c r="U121" i="13"/>
  <c r="L122" i="13"/>
  <c r="L120" i="13" s="1"/>
  <c r="O120" i="13" s="1"/>
  <c r="M122" i="13"/>
  <c r="P122" i="13" s="1"/>
  <c r="N122" i="13"/>
  <c r="Q122" i="13"/>
  <c r="R122" i="13"/>
  <c r="R119" i="13" s="1"/>
  <c r="R117" i="13" s="1"/>
  <c r="S122" i="13"/>
  <c r="S119" i="13" s="1"/>
  <c r="S117" i="13" s="1"/>
  <c r="Q123" i="13"/>
  <c r="R123" i="13"/>
  <c r="U123" i="13" s="1"/>
  <c r="S123" i="13"/>
  <c r="T123" i="13"/>
  <c r="O124" i="13"/>
  <c r="P124" i="13"/>
  <c r="T124" i="13"/>
  <c r="U124" i="13"/>
  <c r="L125" i="13"/>
  <c r="O125" i="13" s="1"/>
  <c r="M125" i="13"/>
  <c r="M123" i="13" s="1"/>
  <c r="P123" i="13" s="1"/>
  <c r="N125" i="13"/>
  <c r="N123" i="13" s="1"/>
  <c r="T125" i="13"/>
  <c r="U125" i="13"/>
  <c r="I127" i="13"/>
  <c r="I116" i="13" s="1"/>
  <c r="I128" i="13"/>
  <c r="K128" i="13" s="1"/>
  <c r="I129" i="13"/>
  <c r="K129" i="13" s="1"/>
  <c r="I130" i="13"/>
  <c r="K130" i="13" s="1"/>
  <c r="J136" i="13"/>
  <c r="J137" i="13"/>
  <c r="J138" i="13"/>
  <c r="L140" i="13"/>
  <c r="M140" i="13"/>
  <c r="N140" i="13"/>
  <c r="Q140" i="13"/>
  <c r="R140" i="13"/>
  <c r="S140" i="13"/>
  <c r="T140" i="13"/>
  <c r="O143" i="13"/>
  <c r="P143" i="13"/>
  <c r="T143" i="13"/>
  <c r="U143" i="13"/>
  <c r="L144" i="13"/>
  <c r="L142" i="13" s="1"/>
  <c r="M144" i="13"/>
  <c r="N144" i="13"/>
  <c r="Q144" i="13"/>
  <c r="R144" i="13"/>
  <c r="R142" i="13" s="1"/>
  <c r="U142" i="13" s="1"/>
  <c r="S144" i="13"/>
  <c r="S141" i="13" s="1"/>
  <c r="Q145" i="13"/>
  <c r="T145" i="13" s="1"/>
  <c r="R145" i="13"/>
  <c r="U145" i="13" s="1"/>
  <c r="S145" i="13"/>
  <c r="O146" i="13"/>
  <c r="P146" i="13"/>
  <c r="T146" i="13"/>
  <c r="U146" i="13"/>
  <c r="L147" i="13"/>
  <c r="M147" i="13"/>
  <c r="P147" i="13" s="1"/>
  <c r="N147" i="13"/>
  <c r="N145" i="13" s="1"/>
  <c r="T147" i="13"/>
  <c r="U147" i="13"/>
  <c r="I150" i="13"/>
  <c r="K150" i="13" s="1"/>
  <c r="I151" i="13"/>
  <c r="K151" i="13" s="1"/>
  <c r="I152" i="13"/>
  <c r="I137" i="13" s="1"/>
  <c r="K137" i="13" s="1"/>
  <c r="I153" i="13"/>
  <c r="I138" i="13" s="1"/>
  <c r="K138" i="13" s="1"/>
  <c r="I154" i="13"/>
  <c r="J156" i="13"/>
  <c r="L158" i="13"/>
  <c r="O158" i="13" s="1"/>
  <c r="M158" i="13"/>
  <c r="N158" i="13"/>
  <c r="P158" i="13"/>
  <c r="Q158" i="13"/>
  <c r="T158" i="13" s="1"/>
  <c r="R158" i="13"/>
  <c r="U158" i="13" s="1"/>
  <c r="S158" i="13"/>
  <c r="O161" i="13"/>
  <c r="P161" i="13"/>
  <c r="T161" i="13"/>
  <c r="U161" i="13"/>
  <c r="L162" i="13"/>
  <c r="L160" i="13" s="1"/>
  <c r="O160" i="13" s="1"/>
  <c r="M162" i="13"/>
  <c r="N162" i="13"/>
  <c r="N160" i="13" s="1"/>
  <c r="Q162" i="13"/>
  <c r="Q159" i="13" s="1"/>
  <c r="T159" i="13" s="1"/>
  <c r="R162" i="13"/>
  <c r="R159" i="13" s="1"/>
  <c r="U159" i="13" s="1"/>
  <c r="S162" i="13"/>
  <c r="S159" i="13" s="1"/>
  <c r="S157" i="13" s="1"/>
  <c r="Q163" i="13"/>
  <c r="T163" i="13" s="1"/>
  <c r="R163" i="13"/>
  <c r="U163" i="13" s="1"/>
  <c r="S163" i="13"/>
  <c r="O164" i="13"/>
  <c r="P164" i="13"/>
  <c r="T164" i="13"/>
  <c r="U164" i="13"/>
  <c r="L165" i="13"/>
  <c r="O165" i="13" s="1"/>
  <c r="M165" i="13"/>
  <c r="M163" i="13" s="1"/>
  <c r="P163" i="13" s="1"/>
  <c r="N165" i="13"/>
  <c r="N163" i="13" s="1"/>
  <c r="T165" i="13"/>
  <c r="U165" i="13"/>
  <c r="I167" i="13"/>
  <c r="K167" i="13" s="1"/>
  <c r="I168" i="13"/>
  <c r="K168" i="13" s="1"/>
  <c r="I169" i="13"/>
  <c r="J172" i="13"/>
  <c r="L174" i="13"/>
  <c r="M174" i="13"/>
  <c r="N174" i="13"/>
  <c r="O174" i="13"/>
  <c r="P174" i="13"/>
  <c r="Q174" i="13"/>
  <c r="T174" i="13" s="1"/>
  <c r="R174" i="13"/>
  <c r="S174" i="13"/>
  <c r="U174" i="13"/>
  <c r="O177" i="13"/>
  <c r="P177" i="13"/>
  <c r="T177" i="13"/>
  <c r="U177" i="13"/>
  <c r="L178" i="13"/>
  <c r="M178" i="13"/>
  <c r="N178" i="13"/>
  <c r="Q178" i="13"/>
  <c r="Q175" i="13" s="1"/>
  <c r="T175" i="13" s="1"/>
  <c r="R178" i="13"/>
  <c r="S178" i="13"/>
  <c r="Q179" i="13"/>
  <c r="T179" i="13" s="1"/>
  <c r="R179" i="13"/>
  <c r="U179" i="13" s="1"/>
  <c r="S179" i="13"/>
  <c r="O180" i="13"/>
  <c r="P180" i="13"/>
  <c r="T180" i="13"/>
  <c r="U180" i="13"/>
  <c r="L181" i="13"/>
  <c r="O181" i="13" s="1"/>
  <c r="M181" i="13"/>
  <c r="N181" i="13"/>
  <c r="T181" i="13"/>
  <c r="U181" i="13"/>
  <c r="I183" i="13"/>
  <c r="I172" i="13" s="1"/>
  <c r="K184" i="13"/>
  <c r="L187" i="13"/>
  <c r="M187" i="13"/>
  <c r="P187" i="13" s="1"/>
  <c r="N187" i="13"/>
  <c r="Q187" i="13"/>
  <c r="R187" i="13"/>
  <c r="U187" i="13" s="1"/>
  <c r="S187" i="13"/>
  <c r="T187" i="13"/>
  <c r="O190" i="13"/>
  <c r="P190" i="13"/>
  <c r="T190" i="13"/>
  <c r="U190" i="13"/>
  <c r="L191" i="13"/>
  <c r="M191" i="13"/>
  <c r="N191" i="13"/>
  <c r="N189" i="13" s="1"/>
  <c r="Q191" i="13"/>
  <c r="Q188" i="13" s="1"/>
  <c r="Q186" i="13" s="1"/>
  <c r="R191" i="13"/>
  <c r="R188" i="13" s="1"/>
  <c r="S191" i="13"/>
  <c r="Q192" i="13"/>
  <c r="T192" i="13" s="1"/>
  <c r="R192" i="13"/>
  <c r="U192" i="13" s="1"/>
  <c r="S192" i="13"/>
  <c r="O193" i="13"/>
  <c r="P193" i="13"/>
  <c r="T193" i="13"/>
  <c r="U193" i="13"/>
  <c r="L194" i="13"/>
  <c r="O194" i="13" s="1"/>
  <c r="M194" i="13"/>
  <c r="M192" i="13" s="1"/>
  <c r="P192" i="13" s="1"/>
  <c r="N194" i="13"/>
  <c r="N192" i="13" s="1"/>
  <c r="T194" i="13"/>
  <c r="U194" i="13"/>
  <c r="J195" i="13"/>
  <c r="L196" i="13"/>
  <c r="O196" i="13" s="1"/>
  <c r="P196" i="13"/>
  <c r="I198" i="13"/>
  <c r="I195" i="13" s="1"/>
  <c r="K195" i="13" s="1"/>
  <c r="J199" i="13"/>
  <c r="J202" i="13"/>
  <c r="N203" i="13"/>
  <c r="P203" i="13"/>
  <c r="S203" i="13"/>
  <c r="U203" i="13"/>
  <c r="L204" i="13"/>
  <c r="L205" i="13"/>
  <c r="L206" i="13"/>
  <c r="Q206" i="13"/>
  <c r="Q203" i="13" s="1"/>
  <c r="T203" i="13" s="1"/>
  <c r="L207" i="13"/>
  <c r="I209" i="13"/>
  <c r="I202" i="13" s="1"/>
  <c r="I211" i="13"/>
  <c r="K211" i="13" s="1"/>
  <c r="I212" i="13"/>
  <c r="K212" i="13" s="1"/>
  <c r="J213" i="13"/>
  <c r="N214" i="13"/>
  <c r="P214" i="13"/>
  <c r="S214" i="13"/>
  <c r="U214" i="13"/>
  <c r="L215" i="13"/>
  <c r="L216" i="13"/>
  <c r="L217" i="13"/>
  <c r="Q217" i="13"/>
  <c r="Q214" i="13" s="1"/>
  <c r="T214" i="13" s="1"/>
  <c r="I219" i="13"/>
  <c r="K219" i="13" s="1"/>
  <c r="I220" i="13"/>
  <c r="I213" i="13" s="1"/>
  <c r="K213" i="13" s="1"/>
  <c r="J221" i="13"/>
  <c r="N222" i="13"/>
  <c r="P222" i="13"/>
  <c r="L223" i="13"/>
  <c r="L224" i="13"/>
  <c r="L225" i="13"/>
  <c r="I228" i="13"/>
  <c r="K228" i="13" s="1"/>
  <c r="I229" i="13"/>
  <c r="I230" i="13"/>
  <c r="K230" i="13" s="1"/>
  <c r="N233" i="13"/>
  <c r="N234" i="13"/>
  <c r="N235" i="13"/>
  <c r="N236" i="13"/>
  <c r="J238" i="13"/>
  <c r="I240" i="13"/>
  <c r="J240" i="13"/>
  <c r="K240" i="13"/>
  <c r="I241" i="13"/>
  <c r="K241" i="13" s="1"/>
  <c r="J241" i="13"/>
  <c r="J242" i="13"/>
  <c r="N243" i="13"/>
  <c r="P243" i="13"/>
  <c r="L244" i="13"/>
  <c r="L245" i="13"/>
  <c r="L246" i="13"/>
  <c r="L247" i="13"/>
  <c r="I249" i="13"/>
  <c r="K251" i="13"/>
  <c r="K252" i="13"/>
  <c r="J253" i="13"/>
  <c r="N254" i="13"/>
  <c r="P254" i="13"/>
  <c r="L255" i="13"/>
  <c r="L256" i="13"/>
  <c r="L257" i="13"/>
  <c r="L258" i="13"/>
  <c r="I260" i="13"/>
  <c r="I253" i="13" s="1"/>
  <c r="K253" i="13" s="1"/>
  <c r="K262" i="13"/>
  <c r="K263" i="13"/>
  <c r="J265" i="13"/>
  <c r="L267" i="13"/>
  <c r="M267" i="13"/>
  <c r="P267" i="13" s="1"/>
  <c r="N267" i="13"/>
  <c r="Q267" i="13"/>
  <c r="T267" i="13" s="1"/>
  <c r="R267" i="13"/>
  <c r="S267" i="13"/>
  <c r="O270" i="13"/>
  <c r="P270" i="13"/>
  <c r="T270" i="13"/>
  <c r="U270" i="13"/>
  <c r="L271" i="13"/>
  <c r="O271" i="13" s="1"/>
  <c r="M271" i="13"/>
  <c r="N271" i="13"/>
  <c r="N269" i="13" s="1"/>
  <c r="Q271" i="13"/>
  <c r="R271" i="13"/>
  <c r="R269" i="13" s="1"/>
  <c r="S271" i="13"/>
  <c r="S268" i="13" s="1"/>
  <c r="Q272" i="13"/>
  <c r="T272" i="13" s="1"/>
  <c r="R272" i="13"/>
  <c r="U272" i="13" s="1"/>
  <c r="S272" i="13"/>
  <c r="O273" i="13"/>
  <c r="P273" i="13"/>
  <c r="T273" i="13"/>
  <c r="U273" i="13"/>
  <c r="L274" i="13"/>
  <c r="M274" i="13"/>
  <c r="P274" i="13" s="1"/>
  <c r="N274" i="13"/>
  <c r="N272" i="13" s="1"/>
  <c r="T274" i="13"/>
  <c r="U274" i="13"/>
  <c r="I276" i="13"/>
  <c r="J281" i="13"/>
  <c r="L283" i="13"/>
  <c r="O283" i="13" s="1"/>
  <c r="M283" i="13"/>
  <c r="N283" i="13"/>
  <c r="Q283" i="13"/>
  <c r="T283" i="13" s="1"/>
  <c r="R283" i="13"/>
  <c r="U283" i="13" s="1"/>
  <c r="S283" i="13"/>
  <c r="S282" i="13" s="1"/>
  <c r="Q284" i="13"/>
  <c r="T284" i="13" s="1"/>
  <c r="R284" i="13"/>
  <c r="S284" i="13"/>
  <c r="U284" i="13"/>
  <c r="Q285" i="13"/>
  <c r="T285" i="13" s="1"/>
  <c r="R285" i="13"/>
  <c r="S285" i="13"/>
  <c r="U285" i="13"/>
  <c r="O286" i="13"/>
  <c r="P286" i="13"/>
  <c r="T286" i="13"/>
  <c r="U286" i="13"/>
  <c r="L287" i="13"/>
  <c r="L285" i="13" s="1"/>
  <c r="O285" i="13" s="1"/>
  <c r="M287" i="13"/>
  <c r="P287" i="13" s="1"/>
  <c r="N287" i="13"/>
  <c r="T287" i="13"/>
  <c r="U287" i="13"/>
  <c r="Q288" i="13"/>
  <c r="T288" i="13" s="1"/>
  <c r="R288" i="13"/>
  <c r="U288" i="13" s="1"/>
  <c r="S288" i="13"/>
  <c r="O289" i="13"/>
  <c r="P289" i="13"/>
  <c r="T289" i="13"/>
  <c r="U289" i="13"/>
  <c r="L290" i="13"/>
  <c r="O290" i="13" s="1"/>
  <c r="M290" i="13"/>
  <c r="M288" i="13" s="1"/>
  <c r="P288" i="13" s="1"/>
  <c r="N290" i="13"/>
  <c r="N288" i="13" s="1"/>
  <c r="T290" i="13"/>
  <c r="U290" i="13"/>
  <c r="I292" i="13"/>
  <c r="I293" i="13"/>
  <c r="I280" i="13" s="1"/>
  <c r="K280" i="13" s="1"/>
  <c r="J293" i="13"/>
  <c r="J280" i="13" s="1"/>
  <c r="I295" i="13"/>
  <c r="K295" i="13" s="1"/>
  <c r="I296" i="13"/>
  <c r="K296" i="13" s="1"/>
  <c r="J302" i="13"/>
  <c r="L304" i="13"/>
  <c r="O304" i="13" s="1"/>
  <c r="M304" i="13"/>
  <c r="N304" i="13"/>
  <c r="Q304" i="13"/>
  <c r="T304" i="13" s="1"/>
  <c r="R304" i="13"/>
  <c r="U304" i="13" s="1"/>
  <c r="S304" i="13"/>
  <c r="O307" i="13"/>
  <c r="P307" i="13"/>
  <c r="T307" i="13"/>
  <c r="U307" i="13"/>
  <c r="L308" i="13"/>
  <c r="L306" i="13" s="1"/>
  <c r="O306" i="13" s="1"/>
  <c r="M308" i="13"/>
  <c r="M306" i="13" s="1"/>
  <c r="P306" i="13" s="1"/>
  <c r="N308" i="13"/>
  <c r="Q308" i="13"/>
  <c r="Q305" i="13" s="1"/>
  <c r="R308" i="13"/>
  <c r="S308" i="13"/>
  <c r="Q309" i="13"/>
  <c r="T309" i="13" s="1"/>
  <c r="R309" i="13"/>
  <c r="U309" i="13" s="1"/>
  <c r="S309" i="13"/>
  <c r="O310" i="13"/>
  <c r="P310" i="13"/>
  <c r="T310" i="13"/>
  <c r="U310" i="13"/>
  <c r="L311" i="13"/>
  <c r="O311" i="13" s="1"/>
  <c r="M311" i="13"/>
  <c r="N311" i="13"/>
  <c r="N309" i="13" s="1"/>
  <c r="T311" i="13"/>
  <c r="U311" i="13"/>
  <c r="I314" i="13"/>
  <c r="J319" i="13"/>
  <c r="L321" i="13"/>
  <c r="M321" i="13"/>
  <c r="P321" i="13" s="1"/>
  <c r="N321" i="13"/>
  <c r="O321" i="13"/>
  <c r="Q321" i="13"/>
  <c r="R321" i="13"/>
  <c r="S321" i="13"/>
  <c r="U321" i="13"/>
  <c r="Q322" i="13"/>
  <c r="R322" i="13"/>
  <c r="U322" i="13" s="1"/>
  <c r="S322" i="13"/>
  <c r="S320" i="13" s="1"/>
  <c r="T322" i="13"/>
  <c r="Q323" i="13"/>
  <c r="T323" i="13" s="1"/>
  <c r="R323" i="13"/>
  <c r="U323" i="13" s="1"/>
  <c r="S323" i="13"/>
  <c r="O324" i="13"/>
  <c r="P324" i="13"/>
  <c r="T324" i="13"/>
  <c r="U324" i="13"/>
  <c r="L325" i="13"/>
  <c r="M325" i="13"/>
  <c r="N325" i="13"/>
  <c r="N323" i="13" s="1"/>
  <c r="T325" i="13"/>
  <c r="U325" i="13"/>
  <c r="Q326" i="13"/>
  <c r="T326" i="13" s="1"/>
  <c r="R326" i="13"/>
  <c r="U326" i="13" s="1"/>
  <c r="S326" i="13"/>
  <c r="O327" i="13"/>
  <c r="P327" i="13"/>
  <c r="T327" i="13"/>
  <c r="U327" i="13"/>
  <c r="L328" i="13"/>
  <c r="M328" i="13"/>
  <c r="N328" i="13"/>
  <c r="N326" i="13" s="1"/>
  <c r="T328" i="13"/>
  <c r="U328" i="13"/>
  <c r="I330" i="13"/>
  <c r="L334" i="13"/>
  <c r="M334" i="13"/>
  <c r="N334" i="13"/>
  <c r="Q334" i="13"/>
  <c r="T334" i="13" s="1"/>
  <c r="R334" i="13"/>
  <c r="S334" i="13"/>
  <c r="Q335" i="13"/>
  <c r="R335" i="13"/>
  <c r="U335" i="13" s="1"/>
  <c r="S335" i="13"/>
  <c r="T335" i="13"/>
  <c r="Q336" i="13"/>
  <c r="T336" i="13" s="1"/>
  <c r="R336" i="13"/>
  <c r="S336" i="13"/>
  <c r="U336" i="13"/>
  <c r="O337" i="13"/>
  <c r="P337" i="13"/>
  <c r="T337" i="13"/>
  <c r="U337" i="13"/>
  <c r="L338" i="13"/>
  <c r="L336" i="13" s="1"/>
  <c r="M338" i="13"/>
  <c r="N338" i="13"/>
  <c r="T338" i="13"/>
  <c r="U338" i="13"/>
  <c r="Q339" i="13"/>
  <c r="T339" i="13" s="1"/>
  <c r="R339" i="13"/>
  <c r="U339" i="13" s="1"/>
  <c r="S339" i="13"/>
  <c r="O340" i="13"/>
  <c r="P340" i="13"/>
  <c r="T340" i="13"/>
  <c r="U340" i="13"/>
  <c r="L341" i="13"/>
  <c r="L339" i="13" s="1"/>
  <c r="O339" i="13" s="1"/>
  <c r="M341" i="13"/>
  <c r="M339" i="13" s="1"/>
  <c r="P339" i="13" s="1"/>
  <c r="N341" i="13"/>
  <c r="N339" i="13" s="1"/>
  <c r="T341" i="13"/>
  <c r="U341" i="13"/>
  <c r="I344" i="13"/>
  <c r="J344" i="13"/>
  <c r="I346" i="13"/>
  <c r="J346" i="13"/>
  <c r="J347" i="13"/>
  <c r="J348" i="13"/>
  <c r="J349" i="13"/>
  <c r="D350" i="13"/>
  <c r="J352" i="13"/>
  <c r="J353" i="13"/>
  <c r="D354" i="13"/>
  <c r="L357" i="13"/>
  <c r="M357" i="13"/>
  <c r="N357" i="13"/>
  <c r="O357" i="13"/>
  <c r="P357" i="13"/>
  <c r="Q357" i="13"/>
  <c r="T357" i="13" s="1"/>
  <c r="R357" i="13"/>
  <c r="R356" i="13" s="1"/>
  <c r="U356" i="13" s="1"/>
  <c r="S357" i="13"/>
  <c r="U357" i="13"/>
  <c r="Q358" i="13"/>
  <c r="R358" i="13"/>
  <c r="U358" i="13" s="1"/>
  <c r="S358" i="13"/>
  <c r="Q359" i="13"/>
  <c r="R359" i="13"/>
  <c r="U359" i="13" s="1"/>
  <c r="S359" i="13"/>
  <c r="T359" i="13"/>
  <c r="O360" i="13"/>
  <c r="P360" i="13"/>
  <c r="T360" i="13"/>
  <c r="U360" i="13"/>
  <c r="L361" i="13"/>
  <c r="L359" i="13" s="1"/>
  <c r="M361" i="13"/>
  <c r="M359" i="13" s="1"/>
  <c r="N361" i="13"/>
  <c r="N359" i="13" s="1"/>
  <c r="T361" i="13"/>
  <c r="U361" i="13"/>
  <c r="Q362" i="13"/>
  <c r="R362" i="13"/>
  <c r="U362" i="13" s="1"/>
  <c r="S362" i="13"/>
  <c r="T362" i="13"/>
  <c r="O363" i="13"/>
  <c r="P363" i="13"/>
  <c r="T363" i="13"/>
  <c r="U363" i="13"/>
  <c r="L364" i="13"/>
  <c r="L362" i="13" s="1"/>
  <c r="O362" i="13" s="1"/>
  <c r="M364" i="13"/>
  <c r="N364" i="13"/>
  <c r="N362" i="13" s="1"/>
  <c r="T364" i="13"/>
  <c r="U364" i="13"/>
  <c r="J367" i="13"/>
  <c r="K367" i="13"/>
  <c r="I368" i="13"/>
  <c r="J368" i="13"/>
  <c r="I369" i="13"/>
  <c r="J369" i="13"/>
  <c r="J370" i="13"/>
  <c r="K370" i="13"/>
  <c r="I371" i="13"/>
  <c r="J371" i="13"/>
  <c r="J365" i="13" s="1"/>
  <c r="J372" i="13"/>
  <c r="K372" i="13"/>
  <c r="D373" i="13"/>
  <c r="N375" i="13"/>
  <c r="L376" i="13"/>
  <c r="L375" i="13" s="1"/>
  <c r="O375" i="13" s="1"/>
  <c r="M376" i="13"/>
  <c r="M375" i="13" s="1"/>
  <c r="P375" i="13" s="1"/>
  <c r="N376" i="13"/>
  <c r="P376" i="13"/>
  <c r="Q376" i="13"/>
  <c r="R376" i="13"/>
  <c r="S376" i="13"/>
  <c r="L377" i="13"/>
  <c r="O377" i="13" s="1"/>
  <c r="M377" i="13"/>
  <c r="P377" i="13" s="1"/>
  <c r="N377" i="13"/>
  <c r="L378" i="13"/>
  <c r="M378" i="13"/>
  <c r="N378" i="13"/>
  <c r="O378" i="13"/>
  <c r="P378" i="13"/>
  <c r="O379" i="13"/>
  <c r="P379" i="13"/>
  <c r="T379" i="13"/>
  <c r="U379" i="13"/>
  <c r="O380" i="13"/>
  <c r="P380" i="13"/>
  <c r="Q380" i="13"/>
  <c r="Q377" i="13" s="1"/>
  <c r="R380" i="13"/>
  <c r="R377" i="13" s="1"/>
  <c r="S380" i="13"/>
  <c r="S377" i="13" s="1"/>
  <c r="S375" i="13" s="1"/>
  <c r="L381" i="13"/>
  <c r="O381" i="13" s="1"/>
  <c r="M381" i="13"/>
  <c r="P381" i="13" s="1"/>
  <c r="N381" i="13"/>
  <c r="Q381" i="13"/>
  <c r="T381" i="13" s="1"/>
  <c r="R381" i="13"/>
  <c r="U381" i="13" s="1"/>
  <c r="S381" i="13"/>
  <c r="O382" i="13"/>
  <c r="P382" i="13"/>
  <c r="T382" i="13"/>
  <c r="U382" i="13"/>
  <c r="O383" i="13"/>
  <c r="P383" i="13"/>
  <c r="T383" i="13"/>
  <c r="U383" i="13"/>
  <c r="J385" i="13"/>
  <c r="K385" i="13"/>
  <c r="I386" i="13"/>
  <c r="J386" i="13"/>
  <c r="J387" i="13"/>
  <c r="K387" i="13"/>
  <c r="I388" i="13"/>
  <c r="K388" i="13" s="1"/>
  <c r="J388" i="13"/>
  <c r="I391" i="13"/>
  <c r="K391" i="13" s="1"/>
  <c r="J391" i="13"/>
  <c r="L392" i="13"/>
  <c r="O392" i="13" s="1"/>
  <c r="L393" i="13"/>
  <c r="O393" i="13" s="1"/>
  <c r="M393" i="13"/>
  <c r="N393" i="13"/>
  <c r="Q393" i="13"/>
  <c r="T393" i="13" s="1"/>
  <c r="R393" i="13"/>
  <c r="U393" i="13" s="1"/>
  <c r="S393" i="13"/>
  <c r="S392" i="13" s="1"/>
  <c r="L394" i="13"/>
  <c r="M394" i="13"/>
  <c r="N394" i="13"/>
  <c r="O394" i="13"/>
  <c r="P394" i="13"/>
  <c r="Q394" i="13"/>
  <c r="T394" i="13" s="1"/>
  <c r="R394" i="13"/>
  <c r="S394" i="13"/>
  <c r="U394" i="13"/>
  <c r="L395" i="13"/>
  <c r="O395" i="13" s="1"/>
  <c r="M395" i="13"/>
  <c r="P395" i="13" s="1"/>
  <c r="N395" i="13"/>
  <c r="Q395" i="13"/>
  <c r="T395" i="13" s="1"/>
  <c r="R395" i="13"/>
  <c r="U395" i="13" s="1"/>
  <c r="S395" i="13"/>
  <c r="O396" i="13"/>
  <c r="P396" i="13"/>
  <c r="T396" i="13"/>
  <c r="U396" i="13"/>
  <c r="O397" i="13"/>
  <c r="P397" i="13"/>
  <c r="T397" i="13"/>
  <c r="U397" i="13"/>
  <c r="L398" i="13"/>
  <c r="M398" i="13"/>
  <c r="N398" i="13"/>
  <c r="O398" i="13"/>
  <c r="P398" i="13"/>
  <c r="Q398" i="13"/>
  <c r="R398" i="13"/>
  <c r="S398" i="13"/>
  <c r="T398" i="13"/>
  <c r="U398" i="13"/>
  <c r="O399" i="13"/>
  <c r="P399" i="13"/>
  <c r="T399" i="13"/>
  <c r="U399" i="13"/>
  <c r="O400" i="13"/>
  <c r="P400" i="13"/>
  <c r="T400" i="13"/>
  <c r="U400" i="13"/>
  <c r="L414" i="13"/>
  <c r="M414" i="13"/>
  <c r="N414" i="13"/>
  <c r="N413" i="13" s="1"/>
  <c r="O414" i="13"/>
  <c r="P414" i="13"/>
  <c r="Q414" i="13"/>
  <c r="R414" i="13"/>
  <c r="S414" i="13"/>
  <c r="U414" i="13"/>
  <c r="L415" i="13"/>
  <c r="M415" i="13"/>
  <c r="N415" i="13"/>
  <c r="L416" i="13"/>
  <c r="O416" i="13" s="1"/>
  <c r="M416" i="13"/>
  <c r="P416" i="13" s="1"/>
  <c r="N416" i="13"/>
  <c r="O417" i="13"/>
  <c r="P417" i="13"/>
  <c r="T417" i="13"/>
  <c r="U417" i="13"/>
  <c r="O418" i="13"/>
  <c r="P418" i="13"/>
  <c r="Q418" i="13"/>
  <c r="R418" i="13"/>
  <c r="R415" i="13" s="1"/>
  <c r="U415" i="13" s="1"/>
  <c r="S418" i="13"/>
  <c r="S416" i="13" s="1"/>
  <c r="L419" i="13"/>
  <c r="O419" i="13" s="1"/>
  <c r="M419" i="13"/>
  <c r="P419" i="13" s="1"/>
  <c r="N419" i="13"/>
  <c r="Q419" i="13"/>
  <c r="T419" i="13" s="1"/>
  <c r="R419" i="13"/>
  <c r="U419" i="13" s="1"/>
  <c r="S419" i="13"/>
  <c r="O420" i="13"/>
  <c r="P420" i="13"/>
  <c r="T420" i="13"/>
  <c r="U420" i="13"/>
  <c r="O421" i="13"/>
  <c r="P421" i="13"/>
  <c r="T421" i="13"/>
  <c r="U421" i="13"/>
  <c r="I424" i="13"/>
  <c r="K424" i="13" s="1"/>
  <c r="J424" i="13"/>
  <c r="I425" i="13"/>
  <c r="K425" i="13" s="1"/>
  <c r="J425" i="13"/>
  <c r="I432" i="13"/>
  <c r="K432" i="13" s="1"/>
  <c r="J432" i="13"/>
  <c r="I433" i="13"/>
  <c r="K433" i="13" s="1"/>
  <c r="J433" i="13"/>
  <c r="I440" i="13"/>
  <c r="K440" i="13" s="1"/>
  <c r="J440" i="13"/>
  <c r="J423" i="13" s="1"/>
  <c r="J412" i="13" s="1"/>
  <c r="I441" i="13"/>
  <c r="K441" i="13" s="1"/>
  <c r="J446" i="13"/>
  <c r="J447" i="13"/>
  <c r="J441" i="13" s="1"/>
  <c r="I457" i="13"/>
  <c r="K457" i="13" s="1"/>
  <c r="I458" i="13"/>
  <c r="K458" i="13" s="1"/>
  <c r="J459" i="13"/>
  <c r="J460" i="13"/>
  <c r="J467" i="13"/>
  <c r="J457" i="13" s="1"/>
  <c r="J456" i="13" s="1"/>
  <c r="J468" i="13"/>
  <c r="J458" i="13" s="1"/>
  <c r="J475" i="13"/>
  <c r="K475" i="13"/>
  <c r="J476" i="13"/>
  <c r="K476" i="13"/>
  <c r="J477" i="13"/>
  <c r="K477" i="13"/>
  <c r="J482" i="13"/>
  <c r="J483" i="13"/>
  <c r="I484" i="13"/>
  <c r="J484" i="13"/>
  <c r="K484" i="13"/>
  <c r="I485" i="13"/>
  <c r="K485" i="13" s="1"/>
  <c r="J485" i="13"/>
  <c r="L494" i="13"/>
  <c r="M494" i="13"/>
  <c r="N494" i="13"/>
  <c r="Q494" i="13"/>
  <c r="R494" i="13"/>
  <c r="U494" i="13" s="1"/>
  <c r="S494" i="13"/>
  <c r="T494" i="13"/>
  <c r="L495" i="13"/>
  <c r="M495" i="13"/>
  <c r="P495" i="13" s="1"/>
  <c r="N495" i="13"/>
  <c r="O495" i="13"/>
  <c r="L496" i="13"/>
  <c r="O496" i="13" s="1"/>
  <c r="M496" i="13"/>
  <c r="P496" i="13" s="1"/>
  <c r="N496" i="13"/>
  <c r="O497" i="13"/>
  <c r="P497" i="13"/>
  <c r="T497" i="13"/>
  <c r="U497" i="13"/>
  <c r="O498" i="13"/>
  <c r="P498" i="13"/>
  <c r="Q498" i="13"/>
  <c r="T498" i="13" s="1"/>
  <c r="R498" i="13"/>
  <c r="S498" i="13"/>
  <c r="S496" i="13" s="1"/>
  <c r="L499" i="13"/>
  <c r="M499" i="13"/>
  <c r="N499" i="13"/>
  <c r="O499" i="13"/>
  <c r="P499" i="13"/>
  <c r="Q499" i="13"/>
  <c r="R499" i="13"/>
  <c r="S499" i="13"/>
  <c r="T499" i="13"/>
  <c r="U499" i="13"/>
  <c r="O500" i="13"/>
  <c r="P500" i="13"/>
  <c r="T500" i="13"/>
  <c r="U500" i="13"/>
  <c r="O501" i="13"/>
  <c r="P501" i="13"/>
  <c r="T501" i="13"/>
  <c r="U501" i="13"/>
  <c r="I503" i="13"/>
  <c r="K503" i="13" s="1"/>
  <c r="I504" i="13"/>
  <c r="I505" i="13"/>
  <c r="K505" i="13" s="1"/>
  <c r="I506" i="13"/>
  <c r="K506" i="13" s="1"/>
  <c r="I507" i="13"/>
  <c r="K507" i="13" s="1"/>
  <c r="K508" i="13"/>
  <c r="I509" i="13"/>
  <c r="K509" i="13" s="1"/>
  <c r="I512" i="13"/>
  <c r="K512" i="13" s="1"/>
  <c r="J512" i="13"/>
  <c r="L514" i="13"/>
  <c r="M514" i="13"/>
  <c r="P514" i="13" s="1"/>
  <c r="N514" i="13"/>
  <c r="O514" i="13"/>
  <c r="Q514" i="13"/>
  <c r="T514" i="13" s="1"/>
  <c r="R514" i="13"/>
  <c r="S514" i="13"/>
  <c r="U514" i="13"/>
  <c r="Q515" i="13"/>
  <c r="T515" i="13" s="1"/>
  <c r="R515" i="13"/>
  <c r="S515" i="13"/>
  <c r="U515" i="13"/>
  <c r="Q516" i="13"/>
  <c r="R516" i="13"/>
  <c r="S516" i="13"/>
  <c r="T516" i="13"/>
  <c r="U516" i="13"/>
  <c r="O517" i="13"/>
  <c r="P517" i="13"/>
  <c r="T517" i="13"/>
  <c r="U517" i="13"/>
  <c r="L518" i="13"/>
  <c r="M518" i="13"/>
  <c r="N518" i="13"/>
  <c r="T518" i="13"/>
  <c r="U518" i="13"/>
  <c r="Q519" i="13"/>
  <c r="T519" i="13" s="1"/>
  <c r="R519" i="13"/>
  <c r="U519" i="13" s="1"/>
  <c r="S519" i="13"/>
  <c r="O520" i="13"/>
  <c r="P520" i="13"/>
  <c r="T520" i="13"/>
  <c r="U520" i="13"/>
  <c r="L521" i="13"/>
  <c r="M521" i="13"/>
  <c r="M519" i="13" s="1"/>
  <c r="P519" i="13" s="1"/>
  <c r="N521" i="13"/>
  <c r="N519" i="13" s="1"/>
  <c r="T521" i="13"/>
  <c r="U521" i="13"/>
  <c r="K523" i="13"/>
  <c r="K524" i="13"/>
  <c r="I533" i="13"/>
  <c r="K533" i="13" s="1"/>
  <c r="J533" i="13"/>
  <c r="L535" i="13"/>
  <c r="O535" i="13" s="1"/>
  <c r="M535" i="13"/>
  <c r="N535" i="13"/>
  <c r="Q535" i="13"/>
  <c r="R535" i="13"/>
  <c r="S535" i="13"/>
  <c r="L536" i="13"/>
  <c r="L534" i="13" s="1"/>
  <c r="O534" i="13" s="1"/>
  <c r="M536" i="13"/>
  <c r="N536" i="13"/>
  <c r="O536" i="13"/>
  <c r="P536" i="13"/>
  <c r="Q536" i="13"/>
  <c r="R536" i="13"/>
  <c r="S536" i="13"/>
  <c r="T536" i="13"/>
  <c r="U536" i="13"/>
  <c r="L537" i="13"/>
  <c r="O537" i="13" s="1"/>
  <c r="M537" i="13"/>
  <c r="N537" i="13"/>
  <c r="P537" i="13"/>
  <c r="Q537" i="13"/>
  <c r="T537" i="13" s="1"/>
  <c r="R537" i="13"/>
  <c r="U537" i="13" s="1"/>
  <c r="S537" i="13"/>
  <c r="O538" i="13"/>
  <c r="P538" i="13"/>
  <c r="T538" i="13"/>
  <c r="U538" i="13"/>
  <c r="O539" i="13"/>
  <c r="P539" i="13"/>
  <c r="T539" i="13"/>
  <c r="U539" i="13"/>
  <c r="L540" i="13"/>
  <c r="O540" i="13" s="1"/>
  <c r="M540" i="13"/>
  <c r="P540" i="13" s="1"/>
  <c r="N540" i="13"/>
  <c r="Q540" i="13"/>
  <c r="R540" i="13"/>
  <c r="U540" i="13" s="1"/>
  <c r="S540" i="13"/>
  <c r="T540" i="13"/>
  <c r="O541" i="13"/>
  <c r="P541" i="13"/>
  <c r="T541" i="13"/>
  <c r="U541" i="13"/>
  <c r="O542" i="13"/>
  <c r="P542" i="13"/>
  <c r="T542" i="13"/>
  <c r="U542" i="13"/>
  <c r="I554" i="13"/>
  <c r="J554" i="13"/>
  <c r="K554" i="13"/>
  <c r="L556" i="13"/>
  <c r="M556" i="13"/>
  <c r="N556" i="13"/>
  <c r="P556" i="13"/>
  <c r="Q556" i="13"/>
  <c r="T556" i="13" s="1"/>
  <c r="R556" i="13"/>
  <c r="U556" i="13" s="1"/>
  <c r="S556" i="13"/>
  <c r="S555" i="13" s="1"/>
  <c r="L557" i="13"/>
  <c r="M557" i="13"/>
  <c r="P557" i="13" s="1"/>
  <c r="N557" i="13"/>
  <c r="N555" i="13" s="1"/>
  <c r="O557" i="13"/>
  <c r="Q557" i="13"/>
  <c r="R557" i="13"/>
  <c r="U557" i="13" s="1"/>
  <c r="S557" i="13"/>
  <c r="T557" i="13"/>
  <c r="L558" i="13"/>
  <c r="O558" i="13" s="1"/>
  <c r="M558" i="13"/>
  <c r="P558" i="13" s="1"/>
  <c r="N558" i="13"/>
  <c r="Q558" i="13"/>
  <c r="T558" i="13" s="1"/>
  <c r="R558" i="13"/>
  <c r="U558" i="13" s="1"/>
  <c r="S558" i="13"/>
  <c r="O559" i="13"/>
  <c r="P559" i="13"/>
  <c r="T559" i="13"/>
  <c r="U559" i="13"/>
  <c r="O560" i="13"/>
  <c r="P560" i="13"/>
  <c r="T560" i="13"/>
  <c r="U560" i="13"/>
  <c r="L561" i="13"/>
  <c r="O561" i="13" s="1"/>
  <c r="M561" i="13"/>
  <c r="P561" i="13" s="1"/>
  <c r="N561" i="13"/>
  <c r="Q561" i="13"/>
  <c r="T561" i="13" s="1"/>
  <c r="R561" i="13"/>
  <c r="U561" i="13" s="1"/>
  <c r="S561" i="13"/>
  <c r="O562" i="13"/>
  <c r="P562" i="13"/>
  <c r="T562" i="13"/>
  <c r="U562" i="13"/>
  <c r="O563" i="13"/>
  <c r="P563" i="13"/>
  <c r="T563" i="13"/>
  <c r="U563" i="13"/>
  <c r="I575" i="13"/>
  <c r="K575" i="13" s="1"/>
  <c r="J575" i="13"/>
  <c r="L577" i="13"/>
  <c r="M577" i="13"/>
  <c r="P577" i="13" s="1"/>
  <c r="N577" i="13"/>
  <c r="N576" i="13" s="1"/>
  <c r="O577" i="13"/>
  <c r="Q577" i="13"/>
  <c r="R577" i="13"/>
  <c r="S577" i="13"/>
  <c r="T577" i="13"/>
  <c r="U577" i="13"/>
  <c r="L578" i="13"/>
  <c r="M578" i="13"/>
  <c r="N578" i="13"/>
  <c r="O578" i="13"/>
  <c r="P578" i="13"/>
  <c r="Q578" i="13"/>
  <c r="Q576" i="13" s="1"/>
  <c r="T576" i="13" s="1"/>
  <c r="R578" i="13"/>
  <c r="U578" i="13" s="1"/>
  <c r="S578" i="13"/>
  <c r="L579" i="13"/>
  <c r="O579" i="13" s="1"/>
  <c r="M579" i="13"/>
  <c r="P579" i="13" s="1"/>
  <c r="N579" i="13"/>
  <c r="Q579" i="13"/>
  <c r="R579" i="13"/>
  <c r="U579" i="13" s="1"/>
  <c r="S579" i="13"/>
  <c r="T579" i="13"/>
  <c r="O580" i="13"/>
  <c r="P580" i="13"/>
  <c r="T580" i="13"/>
  <c r="U580" i="13"/>
  <c r="O581" i="13"/>
  <c r="P581" i="13"/>
  <c r="T581" i="13"/>
  <c r="U581" i="13"/>
  <c r="L582" i="13"/>
  <c r="O582" i="13" s="1"/>
  <c r="M582" i="13"/>
  <c r="P582" i="13" s="1"/>
  <c r="N582" i="13"/>
  <c r="Q582" i="13"/>
  <c r="T582" i="13" s="1"/>
  <c r="R582" i="13"/>
  <c r="U582" i="13" s="1"/>
  <c r="S582" i="13"/>
  <c r="O583" i="13"/>
  <c r="P583" i="13"/>
  <c r="T583" i="13"/>
  <c r="U583" i="13"/>
  <c r="O584" i="13"/>
  <c r="P584" i="13"/>
  <c r="T584" i="13"/>
  <c r="U584" i="13"/>
  <c r="M599" i="13"/>
  <c r="P599" i="13" s="1"/>
  <c r="L600" i="13"/>
  <c r="M600" i="13"/>
  <c r="P600" i="13" s="1"/>
  <c r="N600" i="13"/>
  <c r="Q600" i="13"/>
  <c r="R600" i="13"/>
  <c r="S600" i="13"/>
  <c r="S599" i="13" s="1"/>
  <c r="T600" i="13"/>
  <c r="L601" i="13"/>
  <c r="M601" i="13"/>
  <c r="N601" i="13"/>
  <c r="N599" i="13" s="1"/>
  <c r="O601" i="13"/>
  <c r="P601" i="13"/>
  <c r="Q601" i="13"/>
  <c r="T601" i="13" s="1"/>
  <c r="R601" i="13"/>
  <c r="S601" i="13"/>
  <c r="U601" i="13"/>
  <c r="L602" i="13"/>
  <c r="O602" i="13" s="1"/>
  <c r="M602" i="13"/>
  <c r="P602" i="13" s="1"/>
  <c r="N602" i="13"/>
  <c r="Q602" i="13"/>
  <c r="R602" i="13"/>
  <c r="U602" i="13" s="1"/>
  <c r="S602" i="13"/>
  <c r="T602" i="13"/>
  <c r="O603" i="13"/>
  <c r="P603" i="13"/>
  <c r="T603" i="13"/>
  <c r="U603" i="13"/>
  <c r="O604" i="13"/>
  <c r="P604" i="13"/>
  <c r="T604" i="13"/>
  <c r="U604" i="13"/>
  <c r="L605" i="13"/>
  <c r="O605" i="13" s="1"/>
  <c r="M605" i="13"/>
  <c r="N605" i="13"/>
  <c r="P605" i="13"/>
  <c r="Q605" i="13"/>
  <c r="R605" i="13"/>
  <c r="U605" i="13" s="1"/>
  <c r="S605" i="13"/>
  <c r="T605" i="13"/>
  <c r="O606" i="13"/>
  <c r="P606" i="13"/>
  <c r="T606" i="13"/>
  <c r="U606" i="13"/>
  <c r="O607" i="13"/>
  <c r="P607" i="13"/>
  <c r="T607" i="13"/>
  <c r="U607" i="13"/>
  <c r="L617" i="13"/>
  <c r="M617" i="13"/>
  <c r="N617" i="13"/>
  <c r="P617" i="13"/>
  <c r="Q617" i="13"/>
  <c r="T617" i="13" s="1"/>
  <c r="R617" i="13"/>
  <c r="S617" i="13"/>
  <c r="L618" i="13"/>
  <c r="M618" i="13"/>
  <c r="P618" i="13" s="1"/>
  <c r="N618" i="13"/>
  <c r="N616" i="13" s="1"/>
  <c r="O618" i="13"/>
  <c r="L619" i="13"/>
  <c r="M619" i="13"/>
  <c r="N619" i="13"/>
  <c r="O619" i="13"/>
  <c r="P619" i="13"/>
  <c r="O620" i="13"/>
  <c r="P620" i="13"/>
  <c r="T620" i="13"/>
  <c r="U620" i="13"/>
  <c r="O621" i="13"/>
  <c r="P621" i="13"/>
  <c r="Q621" i="13"/>
  <c r="Q618" i="13" s="1"/>
  <c r="R621" i="13"/>
  <c r="R619" i="13" s="1"/>
  <c r="S621" i="13"/>
  <c r="S618" i="13" s="1"/>
  <c r="S616" i="13" s="1"/>
  <c r="L622" i="13"/>
  <c r="O622" i="13" s="1"/>
  <c r="M622" i="13"/>
  <c r="P622" i="13" s="1"/>
  <c r="N622" i="13"/>
  <c r="Q622" i="13"/>
  <c r="T622" i="13" s="1"/>
  <c r="R622" i="13"/>
  <c r="U622" i="13" s="1"/>
  <c r="S622" i="13"/>
  <c r="O623" i="13"/>
  <c r="P623" i="13"/>
  <c r="T623" i="13"/>
  <c r="U623" i="13"/>
  <c r="O624" i="13"/>
  <c r="P624" i="13"/>
  <c r="T624" i="13"/>
  <c r="U624" i="13"/>
  <c r="I626" i="13"/>
  <c r="K631" i="13" s="1"/>
  <c r="I627" i="13"/>
  <c r="K627" i="13" s="1"/>
  <c r="I628" i="13"/>
  <c r="K628" i="13" s="1"/>
  <c r="J632" i="13"/>
  <c r="J626" i="13" s="1"/>
  <c r="J615" i="13" s="1"/>
  <c r="I635" i="13"/>
  <c r="K635" i="13" s="1"/>
  <c r="J635" i="13"/>
  <c r="J636" i="13"/>
  <c r="M642" i="13"/>
  <c r="P642" i="13" s="1"/>
  <c r="L643" i="13"/>
  <c r="M643" i="13"/>
  <c r="P643" i="13" s="1"/>
  <c r="N643" i="13"/>
  <c r="Q643" i="13"/>
  <c r="T643" i="13" s="1"/>
  <c r="R643" i="13"/>
  <c r="S643" i="13"/>
  <c r="L644" i="13"/>
  <c r="O644" i="13" s="1"/>
  <c r="M644" i="13"/>
  <c r="N644" i="13"/>
  <c r="P644" i="13"/>
  <c r="L645" i="13"/>
  <c r="O645" i="13" s="1"/>
  <c r="M645" i="13"/>
  <c r="N645" i="13"/>
  <c r="P645" i="13"/>
  <c r="O646" i="13"/>
  <c r="P646" i="13"/>
  <c r="T646" i="13"/>
  <c r="U646" i="13"/>
  <c r="O647" i="13"/>
  <c r="P647" i="13"/>
  <c r="Q647" i="13"/>
  <c r="Q645" i="13" s="1"/>
  <c r="R647" i="13"/>
  <c r="S647" i="13"/>
  <c r="S645" i="13" s="1"/>
  <c r="L648" i="13"/>
  <c r="O648" i="13" s="1"/>
  <c r="M648" i="13"/>
  <c r="N648" i="13"/>
  <c r="P648" i="13"/>
  <c r="Q648" i="13"/>
  <c r="R648" i="13"/>
  <c r="U648" i="13" s="1"/>
  <c r="S648" i="13"/>
  <c r="T648" i="13"/>
  <c r="O649" i="13"/>
  <c r="P649" i="13"/>
  <c r="T649" i="13"/>
  <c r="U649" i="13"/>
  <c r="O650" i="13"/>
  <c r="P650" i="13"/>
  <c r="T650" i="13"/>
  <c r="U650" i="13"/>
  <c r="I652" i="13"/>
  <c r="K652" i="13" s="1"/>
  <c r="J652" i="13"/>
  <c r="I653" i="13"/>
  <c r="J653" i="13"/>
  <c r="I654" i="13"/>
  <c r="K654" i="13" s="1"/>
  <c r="J654" i="13"/>
  <c r="I657" i="13"/>
  <c r="I660" i="13"/>
  <c r="I661" i="13"/>
  <c r="J661" i="13"/>
  <c r="J671" i="13"/>
  <c r="J672" i="13"/>
  <c r="I673" i="13"/>
  <c r="K673" i="13" s="1"/>
  <c r="J673" i="13"/>
  <c r="I674" i="13"/>
  <c r="I675" i="13"/>
  <c r="I676" i="13"/>
  <c r="J676" i="13"/>
  <c r="J677" i="13"/>
  <c r="I678" i="13"/>
  <c r="J678" i="13"/>
  <c r="I679" i="13"/>
  <c r="K679" i="13" s="1"/>
  <c r="J679" i="13"/>
  <c r="J680" i="13"/>
  <c r="I681" i="13"/>
  <c r="K681" i="13" s="1"/>
  <c r="J681" i="13"/>
  <c r="I682" i="13"/>
  <c r="K682" i="13" s="1"/>
  <c r="J682" i="13"/>
  <c r="M690" i="13"/>
  <c r="P690" i="13" s="1"/>
  <c r="L691" i="13"/>
  <c r="M691" i="13"/>
  <c r="P691" i="13" s="1"/>
  <c r="N691" i="13"/>
  <c r="O691" i="13"/>
  <c r="Q691" i="13"/>
  <c r="T691" i="13" s="1"/>
  <c r="R691" i="13"/>
  <c r="U691" i="13" s="1"/>
  <c r="S691" i="13"/>
  <c r="L692" i="13"/>
  <c r="M692" i="13"/>
  <c r="P692" i="13" s="1"/>
  <c r="N692" i="13"/>
  <c r="N690" i="13" s="1"/>
  <c r="O692" i="13"/>
  <c r="L693" i="13"/>
  <c r="M693" i="13"/>
  <c r="P693" i="13" s="1"/>
  <c r="N693" i="13"/>
  <c r="O693" i="13"/>
  <c r="O694" i="13"/>
  <c r="P694" i="13"/>
  <c r="T694" i="13"/>
  <c r="U694" i="13"/>
  <c r="O695" i="13"/>
  <c r="P695" i="13"/>
  <c r="Q695" i="13"/>
  <c r="R695" i="13"/>
  <c r="R692" i="13" s="1"/>
  <c r="S695" i="13"/>
  <c r="S693" i="13" s="1"/>
  <c r="L696" i="13"/>
  <c r="O696" i="13" s="1"/>
  <c r="M696" i="13"/>
  <c r="N696" i="13"/>
  <c r="P696" i="13"/>
  <c r="Q696" i="13"/>
  <c r="T696" i="13" s="1"/>
  <c r="R696" i="13"/>
  <c r="U696" i="13" s="1"/>
  <c r="S696" i="13"/>
  <c r="O697" i="13"/>
  <c r="P697" i="13"/>
  <c r="T697" i="13"/>
  <c r="U697" i="13"/>
  <c r="O698" i="13"/>
  <c r="P698" i="13"/>
  <c r="T698" i="13"/>
  <c r="U698" i="13"/>
  <c r="I700" i="13"/>
  <c r="K700" i="13" s="1"/>
  <c r="K702" i="13"/>
  <c r="I703" i="13"/>
  <c r="J703" i="13"/>
  <c r="J704" i="13"/>
  <c r="K704" i="13"/>
  <c r="I705" i="13"/>
  <c r="J705" i="13"/>
  <c r="J706" i="13"/>
  <c r="K706" i="13"/>
  <c r="I707" i="13"/>
  <c r="J707" i="13"/>
  <c r="J689" i="13" s="1"/>
  <c r="J708" i="13"/>
  <c r="K708" i="13"/>
  <c r="I709" i="13"/>
  <c r="J709" i="13"/>
  <c r="J710" i="13"/>
  <c r="K710" i="13"/>
  <c r="J712" i="13"/>
  <c r="K712" i="13"/>
  <c r="L715" i="13"/>
  <c r="M715" i="13"/>
  <c r="M714" i="13" s="1"/>
  <c r="P714" i="13" s="1"/>
  <c r="N715" i="13"/>
  <c r="N714" i="13" s="1"/>
  <c r="O715" i="13"/>
  <c r="Q715" i="13"/>
  <c r="T715" i="13" s="1"/>
  <c r="R715" i="13"/>
  <c r="S715" i="13"/>
  <c r="U715" i="13"/>
  <c r="L716" i="13"/>
  <c r="M716" i="13"/>
  <c r="P716" i="13" s="1"/>
  <c r="N716" i="13"/>
  <c r="Q716" i="13"/>
  <c r="T716" i="13" s="1"/>
  <c r="R716" i="13"/>
  <c r="S716" i="13"/>
  <c r="L717" i="13"/>
  <c r="M717" i="13"/>
  <c r="P717" i="13" s="1"/>
  <c r="N717" i="13"/>
  <c r="O717" i="13"/>
  <c r="Q717" i="13"/>
  <c r="T717" i="13" s="1"/>
  <c r="R717" i="13"/>
  <c r="S717" i="13"/>
  <c r="U717" i="13"/>
  <c r="O718" i="13"/>
  <c r="P718" i="13"/>
  <c r="T718" i="13"/>
  <c r="U718" i="13"/>
  <c r="O719" i="13"/>
  <c r="P719" i="13"/>
  <c r="T719" i="13"/>
  <c r="U719" i="13"/>
  <c r="L720" i="13"/>
  <c r="O720" i="13" s="1"/>
  <c r="M720" i="13"/>
  <c r="P720" i="13" s="1"/>
  <c r="N720" i="13"/>
  <c r="Q720" i="13"/>
  <c r="T720" i="13" s="1"/>
  <c r="R720" i="13"/>
  <c r="U720" i="13" s="1"/>
  <c r="S720" i="13"/>
  <c r="O721" i="13"/>
  <c r="P721" i="13"/>
  <c r="T721" i="13"/>
  <c r="U721" i="13"/>
  <c r="O722" i="13"/>
  <c r="P722" i="13"/>
  <c r="T722" i="13"/>
  <c r="U722" i="13"/>
  <c r="I726" i="13"/>
  <c r="J726" i="13"/>
  <c r="I727" i="13"/>
  <c r="K727" i="13" s="1"/>
  <c r="J727" i="13"/>
  <c r="L729" i="13"/>
  <c r="O729" i="13" s="1"/>
  <c r="M729" i="13"/>
  <c r="N729" i="13"/>
  <c r="Q729" i="13"/>
  <c r="T729" i="13" s="1"/>
  <c r="R729" i="13"/>
  <c r="U729" i="13" s="1"/>
  <c r="S729" i="13"/>
  <c r="L730" i="13"/>
  <c r="M730" i="13"/>
  <c r="P730" i="13" s="1"/>
  <c r="N730" i="13"/>
  <c r="N728" i="13" s="1"/>
  <c r="O730" i="13"/>
  <c r="L731" i="13"/>
  <c r="O731" i="13" s="1"/>
  <c r="M731" i="13"/>
  <c r="P731" i="13" s="1"/>
  <c r="N731" i="13"/>
  <c r="O732" i="13"/>
  <c r="P732" i="13"/>
  <c r="T732" i="13"/>
  <c r="U732" i="13"/>
  <c r="O733" i="13"/>
  <c r="P733" i="13"/>
  <c r="Q733" i="13"/>
  <c r="R733" i="13"/>
  <c r="R731" i="13" s="1"/>
  <c r="S733" i="13"/>
  <c r="S730" i="13" s="1"/>
  <c r="L734" i="13"/>
  <c r="O734" i="13" s="1"/>
  <c r="M734" i="13"/>
  <c r="N734" i="13"/>
  <c r="P734" i="13"/>
  <c r="Q734" i="13"/>
  <c r="T734" i="13" s="1"/>
  <c r="R734" i="13"/>
  <c r="U734" i="13" s="1"/>
  <c r="S734" i="13"/>
  <c r="O735" i="13"/>
  <c r="P735" i="13"/>
  <c r="T735" i="13"/>
  <c r="U735" i="13"/>
  <c r="O736" i="13"/>
  <c r="P736" i="13"/>
  <c r="T736" i="13"/>
  <c r="U736" i="13"/>
  <c r="I740" i="13"/>
  <c r="K740" i="13" s="1"/>
  <c r="I742" i="13"/>
  <c r="K742" i="13" s="1"/>
  <c r="I744" i="13"/>
  <c r="K744" i="13" s="1"/>
  <c r="I746" i="13"/>
  <c r="K746" i="13" s="1"/>
  <c r="I749" i="13"/>
  <c r="K749" i="13" s="1"/>
  <c r="I752" i="13"/>
  <c r="K752" i="13" s="1"/>
  <c r="I755" i="13"/>
  <c r="K755" i="13" s="1"/>
  <c r="J758" i="13"/>
  <c r="J759" i="13"/>
  <c r="L761" i="13"/>
  <c r="O761" i="13" s="1"/>
  <c r="M761" i="13"/>
  <c r="P761" i="13" s="1"/>
  <c r="N761" i="13"/>
  <c r="N760" i="13" s="1"/>
  <c r="Q761" i="13"/>
  <c r="R761" i="13"/>
  <c r="U761" i="13" s="1"/>
  <c r="S761" i="13"/>
  <c r="T761" i="13"/>
  <c r="L762" i="13"/>
  <c r="O762" i="13" s="1"/>
  <c r="M762" i="13"/>
  <c r="P762" i="13" s="1"/>
  <c r="N762" i="13"/>
  <c r="L763" i="13"/>
  <c r="O763" i="13" s="1"/>
  <c r="M763" i="13"/>
  <c r="P763" i="13" s="1"/>
  <c r="N763" i="13"/>
  <c r="O764" i="13"/>
  <c r="P764" i="13"/>
  <c r="T764" i="13"/>
  <c r="U764" i="13"/>
  <c r="O765" i="13"/>
  <c r="P765" i="13"/>
  <c r="Q765" i="13"/>
  <c r="Q762" i="13" s="1"/>
  <c r="R765" i="13"/>
  <c r="R763" i="13" s="1"/>
  <c r="S765" i="13"/>
  <c r="S763" i="13" s="1"/>
  <c r="L766" i="13"/>
  <c r="O766" i="13" s="1"/>
  <c r="M766" i="13"/>
  <c r="P766" i="13" s="1"/>
  <c r="N766" i="13"/>
  <c r="Q766" i="13"/>
  <c r="T766" i="13" s="1"/>
  <c r="R766" i="13"/>
  <c r="U766" i="13" s="1"/>
  <c r="S766" i="13"/>
  <c r="O767" i="13"/>
  <c r="P767" i="13"/>
  <c r="T767" i="13"/>
  <c r="U767" i="13"/>
  <c r="O768" i="13"/>
  <c r="P768" i="13"/>
  <c r="T768" i="13"/>
  <c r="U768" i="13"/>
  <c r="I770" i="13"/>
  <c r="K770" i="13" s="1"/>
  <c r="I772" i="13"/>
  <c r="K772" i="13" s="1"/>
  <c r="I774" i="13"/>
  <c r="K774" i="13" s="1"/>
  <c r="I775" i="13"/>
  <c r="I776" i="13"/>
  <c r="H777" i="13"/>
  <c r="I778" i="13"/>
  <c r="J778" i="13"/>
  <c r="I779" i="13"/>
  <c r="J779" i="13"/>
  <c r="I780" i="13"/>
  <c r="J780" i="13"/>
  <c r="I781" i="13"/>
  <c r="J781" i="13"/>
  <c r="I782" i="13"/>
  <c r="J782" i="13"/>
  <c r="I783" i="13"/>
  <c r="J783" i="13"/>
  <c r="I784" i="13"/>
  <c r="J784" i="13"/>
  <c r="I785" i="13"/>
  <c r="J785" i="13"/>
  <c r="A788" i="13"/>
  <c r="A789" i="13"/>
  <c r="L22" i="12"/>
  <c r="M22" i="12"/>
  <c r="N22" i="12"/>
  <c r="O22" i="12"/>
  <c r="Q22" i="12"/>
  <c r="T22" i="12" s="1"/>
  <c r="R22" i="12"/>
  <c r="S22" i="12"/>
  <c r="L25" i="12"/>
  <c r="O25" i="12" s="1"/>
  <c r="M25" i="12"/>
  <c r="N25" i="12"/>
  <c r="Q25" i="12"/>
  <c r="T25" i="12" s="1"/>
  <c r="R25" i="12"/>
  <c r="U25" i="12" s="1"/>
  <c r="S25" i="12"/>
  <c r="S24" i="12" s="1"/>
  <c r="Q26" i="12"/>
  <c r="T26" i="12" s="1"/>
  <c r="R26" i="12"/>
  <c r="S26" i="12"/>
  <c r="U26" i="12"/>
  <c r="L45" i="12"/>
  <c r="O45" i="12" s="1"/>
  <c r="M45" i="12"/>
  <c r="P45" i="12" s="1"/>
  <c r="N45" i="12"/>
  <c r="Q45" i="12"/>
  <c r="Q44" i="12" s="1"/>
  <c r="T44" i="12" s="1"/>
  <c r="R45" i="12"/>
  <c r="U45" i="12" s="1"/>
  <c r="S45" i="12"/>
  <c r="T45" i="12"/>
  <c r="Q46" i="12"/>
  <c r="R46" i="12"/>
  <c r="U46" i="12" s="1"/>
  <c r="S46" i="12"/>
  <c r="S44" i="12" s="1"/>
  <c r="T46" i="12"/>
  <c r="Q47" i="12"/>
  <c r="T47" i="12" s="1"/>
  <c r="R47" i="12"/>
  <c r="U47" i="12" s="1"/>
  <c r="S47" i="12"/>
  <c r="O48" i="12"/>
  <c r="P48" i="12"/>
  <c r="T48" i="12"/>
  <c r="U48" i="12"/>
  <c r="L49" i="12"/>
  <c r="L47" i="12" s="1"/>
  <c r="M49" i="12"/>
  <c r="M47" i="12" s="1"/>
  <c r="N49" i="12"/>
  <c r="N47" i="12" s="1"/>
  <c r="T49" i="12"/>
  <c r="U49" i="12"/>
  <c r="Q50" i="12"/>
  <c r="T50" i="12" s="1"/>
  <c r="R50" i="12"/>
  <c r="S50" i="12"/>
  <c r="U50" i="12"/>
  <c r="O51" i="12"/>
  <c r="P51" i="12"/>
  <c r="T51" i="12"/>
  <c r="U51" i="12"/>
  <c r="L52" i="12"/>
  <c r="M52" i="12"/>
  <c r="N52" i="12"/>
  <c r="T52" i="12"/>
  <c r="U52" i="12"/>
  <c r="L60" i="12"/>
  <c r="O60" i="12" s="1"/>
  <c r="M60" i="12"/>
  <c r="N60" i="12"/>
  <c r="P60" i="12"/>
  <c r="Q60" i="12"/>
  <c r="R60" i="12"/>
  <c r="U60" i="12" s="1"/>
  <c r="S60" i="12"/>
  <c r="T60" i="12"/>
  <c r="Q61" i="12"/>
  <c r="R61" i="12"/>
  <c r="U61" i="12" s="1"/>
  <c r="S61" i="12"/>
  <c r="T61" i="12"/>
  <c r="Q62" i="12"/>
  <c r="T62" i="12" s="1"/>
  <c r="R62" i="12"/>
  <c r="U62" i="12" s="1"/>
  <c r="S62" i="12"/>
  <c r="O63" i="12"/>
  <c r="P63" i="12"/>
  <c r="T63" i="12"/>
  <c r="U63" i="12"/>
  <c r="L64" i="12"/>
  <c r="M64" i="12"/>
  <c r="M62" i="12" s="1"/>
  <c r="N64" i="12"/>
  <c r="T64" i="12"/>
  <c r="U64" i="12"/>
  <c r="Q65" i="12"/>
  <c r="T65" i="12" s="1"/>
  <c r="R65" i="12"/>
  <c r="S65" i="12"/>
  <c r="U65" i="12"/>
  <c r="O66" i="12"/>
  <c r="P66" i="12"/>
  <c r="T66" i="12"/>
  <c r="U66" i="12"/>
  <c r="L67" i="12"/>
  <c r="O67" i="12" s="1"/>
  <c r="M67" i="12"/>
  <c r="N67" i="12"/>
  <c r="N65" i="12" s="1"/>
  <c r="T67" i="12"/>
  <c r="U67" i="12"/>
  <c r="L73" i="12"/>
  <c r="O73" i="12" s="1"/>
  <c r="M73" i="12"/>
  <c r="P73" i="12" s="1"/>
  <c r="N73" i="12"/>
  <c r="Q73" i="12"/>
  <c r="R73" i="12"/>
  <c r="U73" i="12" s="1"/>
  <c r="S73" i="12"/>
  <c r="T73" i="12"/>
  <c r="O76" i="12"/>
  <c r="P76" i="12"/>
  <c r="T76" i="12"/>
  <c r="U76" i="12"/>
  <c r="L77" i="12"/>
  <c r="M77" i="12"/>
  <c r="M75" i="12" s="1"/>
  <c r="N77" i="12"/>
  <c r="N75" i="12" s="1"/>
  <c r="Q77" i="12"/>
  <c r="Q74" i="12" s="1"/>
  <c r="R77" i="12"/>
  <c r="S77" i="12"/>
  <c r="S75" i="12" s="1"/>
  <c r="Q78" i="12"/>
  <c r="R78" i="12"/>
  <c r="U78" i="12" s="1"/>
  <c r="S78" i="12"/>
  <c r="T78" i="12"/>
  <c r="O79" i="12"/>
  <c r="P79" i="12"/>
  <c r="T79" i="12"/>
  <c r="U79" i="12"/>
  <c r="L80" i="12"/>
  <c r="L78" i="12" s="1"/>
  <c r="O78" i="12" s="1"/>
  <c r="M80" i="12"/>
  <c r="N80" i="12"/>
  <c r="N78" i="12" s="1"/>
  <c r="T80" i="12"/>
  <c r="U80" i="12"/>
  <c r="J82" i="12"/>
  <c r="J70" i="12" s="1"/>
  <c r="J83" i="12"/>
  <c r="J71" i="12" s="1"/>
  <c r="I84" i="12"/>
  <c r="I85" i="12"/>
  <c r="K85" i="12" s="1"/>
  <c r="I86" i="12"/>
  <c r="K86" i="12" s="1"/>
  <c r="I87" i="12"/>
  <c r="K87" i="12" s="1"/>
  <c r="I88" i="12"/>
  <c r="K88" i="12" s="1"/>
  <c r="I89" i="12"/>
  <c r="K89" i="12" s="1"/>
  <c r="I90" i="12"/>
  <c r="K90" i="12" s="1"/>
  <c r="J92" i="12"/>
  <c r="J93" i="12"/>
  <c r="L95" i="12"/>
  <c r="M95" i="12"/>
  <c r="P95" i="12" s="1"/>
  <c r="N95" i="12"/>
  <c r="O95" i="12"/>
  <c r="Q95" i="12"/>
  <c r="R95" i="12"/>
  <c r="S95" i="12"/>
  <c r="U95" i="12"/>
  <c r="O98" i="12"/>
  <c r="P98" i="12"/>
  <c r="T98" i="12"/>
  <c r="U98" i="12"/>
  <c r="L99" i="12"/>
  <c r="O99" i="12" s="1"/>
  <c r="M99" i="12"/>
  <c r="N99" i="12"/>
  <c r="Q99" i="12"/>
  <c r="Q97" i="12" s="1"/>
  <c r="T97" i="12" s="1"/>
  <c r="R99" i="12"/>
  <c r="R96" i="12" s="1"/>
  <c r="U96" i="12" s="1"/>
  <c r="S99" i="12"/>
  <c r="S96" i="12" s="1"/>
  <c r="S94" i="12" s="1"/>
  <c r="Q100" i="12"/>
  <c r="T100" i="12" s="1"/>
  <c r="R100" i="12"/>
  <c r="S100" i="12"/>
  <c r="U100" i="12"/>
  <c r="O101" i="12"/>
  <c r="P101" i="12"/>
  <c r="T101" i="12"/>
  <c r="U101" i="12"/>
  <c r="L102" i="12"/>
  <c r="L100" i="12" s="1"/>
  <c r="O100" i="12" s="1"/>
  <c r="M102" i="12"/>
  <c r="P102" i="12" s="1"/>
  <c r="N102" i="12"/>
  <c r="N100" i="12" s="1"/>
  <c r="T102" i="12"/>
  <c r="U102" i="12"/>
  <c r="I108" i="12"/>
  <c r="I92" i="12" s="1"/>
  <c r="K92" i="12" s="1"/>
  <c r="I109" i="12"/>
  <c r="I114" i="12"/>
  <c r="K114" i="12" s="1"/>
  <c r="J116" i="12"/>
  <c r="L118" i="12"/>
  <c r="M118" i="12"/>
  <c r="P118" i="12" s="1"/>
  <c r="N118" i="12"/>
  <c r="O118" i="12"/>
  <c r="Q118" i="12"/>
  <c r="T118" i="12" s="1"/>
  <c r="R118" i="12"/>
  <c r="S118" i="12"/>
  <c r="O121" i="12"/>
  <c r="P121" i="12"/>
  <c r="T121" i="12"/>
  <c r="U121" i="12"/>
  <c r="L122" i="12"/>
  <c r="M122" i="12"/>
  <c r="P122" i="12" s="1"/>
  <c r="N122" i="12"/>
  <c r="Q122" i="12"/>
  <c r="Q119" i="12" s="1"/>
  <c r="R122" i="12"/>
  <c r="R119" i="12" s="1"/>
  <c r="S122" i="12"/>
  <c r="S119" i="12" s="1"/>
  <c r="S117" i="12" s="1"/>
  <c r="Q123" i="12"/>
  <c r="T123" i="12" s="1"/>
  <c r="R123" i="12"/>
  <c r="S123" i="12"/>
  <c r="U123" i="12"/>
  <c r="O124" i="12"/>
  <c r="P124" i="12"/>
  <c r="T124" i="12"/>
  <c r="U124" i="12"/>
  <c r="L125" i="12"/>
  <c r="L123" i="12" s="1"/>
  <c r="O123" i="12" s="1"/>
  <c r="M125" i="12"/>
  <c r="P125" i="12" s="1"/>
  <c r="N125" i="12"/>
  <c r="N123" i="12" s="1"/>
  <c r="T125" i="12"/>
  <c r="U125" i="12"/>
  <c r="I127" i="12"/>
  <c r="K127" i="12" s="1"/>
  <c r="I128" i="12"/>
  <c r="K128" i="12" s="1"/>
  <c r="I129" i="12"/>
  <c r="K129" i="12" s="1"/>
  <c r="I130" i="12"/>
  <c r="K130" i="12" s="1"/>
  <c r="J136" i="12"/>
  <c r="J137" i="12"/>
  <c r="J138" i="12"/>
  <c r="L140" i="12"/>
  <c r="M140" i="12"/>
  <c r="P140" i="12" s="1"/>
  <c r="N140" i="12"/>
  <c r="O140" i="12"/>
  <c r="Q140" i="12"/>
  <c r="T140" i="12" s="1"/>
  <c r="R140" i="12"/>
  <c r="S140" i="12"/>
  <c r="U140" i="12"/>
  <c r="O143" i="12"/>
  <c r="P143" i="12"/>
  <c r="T143" i="12"/>
  <c r="U143" i="12"/>
  <c r="L144" i="12"/>
  <c r="M144" i="12"/>
  <c r="P144" i="12" s="1"/>
  <c r="N144" i="12"/>
  <c r="Q144" i="12"/>
  <c r="T144" i="12" s="1"/>
  <c r="R144" i="12"/>
  <c r="R142" i="12" s="1"/>
  <c r="U142" i="12" s="1"/>
  <c r="S144" i="12"/>
  <c r="Q145" i="12"/>
  <c r="T145" i="12" s="1"/>
  <c r="R145" i="12"/>
  <c r="S145" i="12"/>
  <c r="U145" i="12"/>
  <c r="O146" i="12"/>
  <c r="P146" i="12"/>
  <c r="T146" i="12"/>
  <c r="U146" i="12"/>
  <c r="L147" i="12"/>
  <c r="L145" i="12" s="1"/>
  <c r="O145" i="12" s="1"/>
  <c r="M147" i="12"/>
  <c r="P147" i="12" s="1"/>
  <c r="N147" i="12"/>
  <c r="N145" i="12" s="1"/>
  <c r="T147" i="12"/>
  <c r="U147" i="12"/>
  <c r="I150" i="12"/>
  <c r="K150" i="12" s="1"/>
  <c r="I151" i="12"/>
  <c r="K151" i="12" s="1"/>
  <c r="I152" i="12"/>
  <c r="I137" i="12" s="1"/>
  <c r="K137" i="12" s="1"/>
  <c r="I153" i="12"/>
  <c r="I154" i="12"/>
  <c r="K154" i="12" s="1"/>
  <c r="J156" i="12"/>
  <c r="L158" i="12"/>
  <c r="O158" i="12" s="1"/>
  <c r="M158" i="12"/>
  <c r="N158" i="12"/>
  <c r="Q158" i="12"/>
  <c r="T158" i="12" s="1"/>
  <c r="R158" i="12"/>
  <c r="S158" i="12"/>
  <c r="U158" i="12"/>
  <c r="O161" i="12"/>
  <c r="P161" i="12"/>
  <c r="T161" i="12"/>
  <c r="U161" i="12"/>
  <c r="L162" i="12"/>
  <c r="M162" i="12"/>
  <c r="N162" i="12"/>
  <c r="N160" i="12" s="1"/>
  <c r="Q162" i="12"/>
  <c r="R162" i="12"/>
  <c r="U162" i="12" s="1"/>
  <c r="S162" i="12"/>
  <c r="Q163" i="12"/>
  <c r="T163" i="12" s="1"/>
  <c r="R163" i="12"/>
  <c r="S163" i="12"/>
  <c r="U163" i="12"/>
  <c r="O164" i="12"/>
  <c r="P164" i="12"/>
  <c r="T164" i="12"/>
  <c r="U164" i="12"/>
  <c r="L165" i="12"/>
  <c r="L163" i="12" s="1"/>
  <c r="O163" i="12" s="1"/>
  <c r="M165" i="12"/>
  <c r="P165" i="12" s="1"/>
  <c r="N165" i="12"/>
  <c r="N163" i="12" s="1"/>
  <c r="T165" i="12"/>
  <c r="U165" i="12"/>
  <c r="I167" i="12"/>
  <c r="I156" i="12" s="1"/>
  <c r="K156" i="12" s="1"/>
  <c r="J172" i="12"/>
  <c r="L174" i="12"/>
  <c r="O174" i="12" s="1"/>
  <c r="M174" i="12"/>
  <c r="P174" i="12" s="1"/>
  <c r="N174" i="12"/>
  <c r="Q174" i="12"/>
  <c r="R174" i="12"/>
  <c r="U174" i="12" s="1"/>
  <c r="S174" i="12"/>
  <c r="O177" i="12"/>
  <c r="P177" i="12"/>
  <c r="T177" i="12"/>
  <c r="U177" i="12"/>
  <c r="L178" i="12"/>
  <c r="L176" i="12" s="1"/>
  <c r="M178" i="12"/>
  <c r="M176" i="12" s="1"/>
  <c r="N178" i="12"/>
  <c r="N176" i="12" s="1"/>
  <c r="Q178" i="12"/>
  <c r="Q176" i="12" s="1"/>
  <c r="T176" i="12" s="1"/>
  <c r="R178" i="12"/>
  <c r="S178" i="12"/>
  <c r="S175" i="12" s="1"/>
  <c r="Q179" i="12"/>
  <c r="T179" i="12" s="1"/>
  <c r="R179" i="12"/>
  <c r="S179" i="12"/>
  <c r="U179" i="12"/>
  <c r="O180" i="12"/>
  <c r="P180" i="12"/>
  <c r="T180" i="12"/>
  <c r="U180" i="12"/>
  <c r="L181" i="12"/>
  <c r="M181" i="12"/>
  <c r="N181" i="12"/>
  <c r="T181" i="12"/>
  <c r="U181" i="12"/>
  <c r="I183" i="12"/>
  <c r="I172" i="12" s="1"/>
  <c r="K184" i="12"/>
  <c r="L187" i="12"/>
  <c r="M187" i="12"/>
  <c r="P187" i="12" s="1"/>
  <c r="N187" i="12"/>
  <c r="Q187" i="12"/>
  <c r="T187" i="12" s="1"/>
  <c r="R187" i="12"/>
  <c r="S187" i="12"/>
  <c r="O190" i="12"/>
  <c r="P190" i="12"/>
  <c r="T190" i="12"/>
  <c r="U190" i="12"/>
  <c r="L191" i="12"/>
  <c r="M191" i="12"/>
  <c r="M189" i="12" s="1"/>
  <c r="N191" i="12"/>
  <c r="Q191" i="12"/>
  <c r="Q188" i="12" s="1"/>
  <c r="R191" i="12"/>
  <c r="R188" i="12" s="1"/>
  <c r="S191" i="12"/>
  <c r="S188" i="12" s="1"/>
  <c r="Q192" i="12"/>
  <c r="T192" i="12" s="1"/>
  <c r="R192" i="12"/>
  <c r="U192" i="12" s="1"/>
  <c r="S192" i="12"/>
  <c r="O193" i="12"/>
  <c r="P193" i="12"/>
  <c r="T193" i="12"/>
  <c r="U193" i="12"/>
  <c r="L194" i="12"/>
  <c r="O194" i="12" s="1"/>
  <c r="M194" i="12"/>
  <c r="M192" i="12" s="1"/>
  <c r="P192" i="12" s="1"/>
  <c r="N194" i="12"/>
  <c r="N192" i="12" s="1"/>
  <c r="T194" i="12"/>
  <c r="U194" i="12"/>
  <c r="J195" i="12"/>
  <c r="L196" i="12"/>
  <c r="O196" i="12" s="1"/>
  <c r="P196" i="12"/>
  <c r="I198" i="12"/>
  <c r="I195" i="12" s="1"/>
  <c r="J199" i="12"/>
  <c r="J202" i="12"/>
  <c r="N203" i="12"/>
  <c r="P203" i="12"/>
  <c r="S203" i="12"/>
  <c r="U203" i="12"/>
  <c r="L204" i="12"/>
  <c r="L205" i="12"/>
  <c r="L206" i="12"/>
  <c r="Q206" i="12"/>
  <c r="Q203" i="12" s="1"/>
  <c r="T203" i="12" s="1"/>
  <c r="L207" i="12"/>
  <c r="I209" i="12"/>
  <c r="I211" i="12"/>
  <c r="K211" i="12" s="1"/>
  <c r="I212" i="12"/>
  <c r="K212" i="12" s="1"/>
  <c r="J213" i="12"/>
  <c r="N214" i="12"/>
  <c r="P214" i="12"/>
  <c r="S214" i="12"/>
  <c r="U214" i="12"/>
  <c r="L215" i="12"/>
  <c r="L216" i="12"/>
  <c r="L217" i="12"/>
  <c r="Q217" i="12"/>
  <c r="Q214" i="12" s="1"/>
  <c r="T214" i="12" s="1"/>
  <c r="I219" i="12"/>
  <c r="K219" i="12" s="1"/>
  <c r="I220" i="12"/>
  <c r="I213" i="12" s="1"/>
  <c r="K213" i="12" s="1"/>
  <c r="J221" i="12"/>
  <c r="N222" i="12"/>
  <c r="P222" i="12"/>
  <c r="L223" i="12"/>
  <c r="L224" i="12"/>
  <c r="L225" i="12"/>
  <c r="I228" i="12"/>
  <c r="K228" i="12" s="1"/>
  <c r="I229" i="12"/>
  <c r="K229" i="12" s="1"/>
  <c r="I230" i="12"/>
  <c r="K230" i="12" s="1"/>
  <c r="N233" i="12"/>
  <c r="N234" i="12"/>
  <c r="N235" i="12"/>
  <c r="N236" i="12"/>
  <c r="J238" i="12"/>
  <c r="I240" i="12"/>
  <c r="K240" i="12" s="1"/>
  <c r="J240" i="12"/>
  <c r="I241" i="12"/>
  <c r="K241" i="12" s="1"/>
  <c r="J241" i="12"/>
  <c r="J242" i="12"/>
  <c r="N243" i="12"/>
  <c r="P243" i="12"/>
  <c r="L244" i="12"/>
  <c r="L245" i="12"/>
  <c r="L246" i="12"/>
  <c r="L247" i="12"/>
  <c r="I249" i="12"/>
  <c r="I242" i="12" s="1"/>
  <c r="K251" i="12"/>
  <c r="K252" i="12"/>
  <c r="J253" i="12"/>
  <c r="J231" i="12" s="1"/>
  <c r="J185" i="12" s="1"/>
  <c r="N254" i="12"/>
  <c r="P254" i="12"/>
  <c r="L255" i="12"/>
  <c r="L256" i="12"/>
  <c r="L257" i="12"/>
  <c r="L258" i="12"/>
  <c r="I260" i="12"/>
  <c r="I253" i="12" s="1"/>
  <c r="K253" i="12" s="1"/>
  <c r="K262" i="12"/>
  <c r="K263" i="12"/>
  <c r="J265" i="12"/>
  <c r="L267" i="12"/>
  <c r="O267" i="12" s="1"/>
  <c r="M267" i="12"/>
  <c r="N267" i="12"/>
  <c r="P267" i="12"/>
  <c r="Q267" i="12"/>
  <c r="R267" i="12"/>
  <c r="U267" i="12" s="1"/>
  <c r="S267" i="12"/>
  <c r="T267" i="12"/>
  <c r="O270" i="12"/>
  <c r="P270" i="12"/>
  <c r="T270" i="12"/>
  <c r="U270" i="12"/>
  <c r="L271" i="12"/>
  <c r="M271" i="12"/>
  <c r="N271" i="12"/>
  <c r="N269" i="12" s="1"/>
  <c r="Q271" i="12"/>
  <c r="Q269" i="12" s="1"/>
  <c r="R271" i="12"/>
  <c r="R269" i="12" s="1"/>
  <c r="S271" i="12"/>
  <c r="S268" i="12" s="1"/>
  <c r="Q272" i="12"/>
  <c r="T272" i="12" s="1"/>
  <c r="R272" i="12"/>
  <c r="U272" i="12" s="1"/>
  <c r="S272" i="12"/>
  <c r="O273" i="12"/>
  <c r="P273" i="12"/>
  <c r="T273" i="12"/>
  <c r="U273" i="12"/>
  <c r="L274" i="12"/>
  <c r="O274" i="12" s="1"/>
  <c r="M274" i="12"/>
  <c r="M272" i="12" s="1"/>
  <c r="P272" i="12" s="1"/>
  <c r="N274" i="12"/>
  <c r="N272" i="12" s="1"/>
  <c r="T274" i="12"/>
  <c r="U274" i="12"/>
  <c r="I276" i="12"/>
  <c r="I265" i="12" s="1"/>
  <c r="K265" i="12" s="1"/>
  <c r="J281" i="12"/>
  <c r="L283" i="12"/>
  <c r="M283" i="12"/>
  <c r="P283" i="12" s="1"/>
  <c r="N283" i="12"/>
  <c r="O283" i="12"/>
  <c r="Q283" i="12"/>
  <c r="T283" i="12" s="1"/>
  <c r="R283" i="12"/>
  <c r="S283" i="12"/>
  <c r="S282" i="12" s="1"/>
  <c r="U283" i="12"/>
  <c r="Q284" i="12"/>
  <c r="T284" i="12" s="1"/>
  <c r="R284" i="12"/>
  <c r="U284" i="12" s="1"/>
  <c r="S284" i="12"/>
  <c r="Q285" i="12"/>
  <c r="T285" i="12" s="1"/>
  <c r="R285" i="12"/>
  <c r="U285" i="12" s="1"/>
  <c r="S285" i="12"/>
  <c r="O286" i="12"/>
  <c r="P286" i="12"/>
  <c r="T286" i="12"/>
  <c r="U286" i="12"/>
  <c r="L287" i="12"/>
  <c r="M287" i="12"/>
  <c r="N287" i="12"/>
  <c r="N285" i="12" s="1"/>
  <c r="T287" i="12"/>
  <c r="U287" i="12"/>
  <c r="Q288" i="12"/>
  <c r="T288" i="12" s="1"/>
  <c r="R288" i="12"/>
  <c r="U288" i="12" s="1"/>
  <c r="S288" i="12"/>
  <c r="O289" i="12"/>
  <c r="P289" i="12"/>
  <c r="T289" i="12"/>
  <c r="U289" i="12"/>
  <c r="L290" i="12"/>
  <c r="L288" i="12" s="1"/>
  <c r="O288" i="12" s="1"/>
  <c r="M290" i="12"/>
  <c r="P290" i="12" s="1"/>
  <c r="N290" i="12"/>
  <c r="N288" i="12" s="1"/>
  <c r="T290" i="12"/>
  <c r="U290" i="12"/>
  <c r="I292" i="12"/>
  <c r="I281" i="12" s="1"/>
  <c r="K281" i="12" s="1"/>
  <c r="I293" i="12"/>
  <c r="J293" i="12"/>
  <c r="J280" i="12" s="1"/>
  <c r="I295" i="12"/>
  <c r="K295" i="12" s="1"/>
  <c r="I296" i="12"/>
  <c r="K296" i="12" s="1"/>
  <c r="J302" i="12"/>
  <c r="L304" i="12"/>
  <c r="O304" i="12" s="1"/>
  <c r="M304" i="12"/>
  <c r="P304" i="12" s="1"/>
  <c r="N304" i="12"/>
  <c r="Q304" i="12"/>
  <c r="R304" i="12"/>
  <c r="U304" i="12" s="1"/>
  <c r="S304" i="12"/>
  <c r="O307" i="12"/>
  <c r="P307" i="12"/>
  <c r="T307" i="12"/>
  <c r="U307" i="12"/>
  <c r="L308" i="12"/>
  <c r="L306" i="12" s="1"/>
  <c r="O306" i="12" s="1"/>
  <c r="M308" i="12"/>
  <c r="N308" i="12"/>
  <c r="N306" i="12" s="1"/>
  <c r="Q308" i="12"/>
  <c r="Q305" i="12" s="1"/>
  <c r="R308" i="12"/>
  <c r="S308" i="12"/>
  <c r="S305" i="12" s="1"/>
  <c r="Q309" i="12"/>
  <c r="R309" i="12"/>
  <c r="S309" i="12"/>
  <c r="T309" i="12"/>
  <c r="U309" i="12"/>
  <c r="O310" i="12"/>
  <c r="P310" i="12"/>
  <c r="T310" i="12"/>
  <c r="U310" i="12"/>
  <c r="L311" i="12"/>
  <c r="M311" i="12"/>
  <c r="N311" i="12"/>
  <c r="N309" i="12" s="1"/>
  <c r="T311" i="12"/>
  <c r="U311" i="12"/>
  <c r="I314" i="12"/>
  <c r="J319" i="12"/>
  <c r="U320" i="12"/>
  <c r="L321" i="12"/>
  <c r="M321" i="12"/>
  <c r="N321" i="12"/>
  <c r="O321" i="12"/>
  <c r="P321" i="12"/>
  <c r="Q321" i="12"/>
  <c r="R321" i="12"/>
  <c r="S321" i="12"/>
  <c r="U321" i="12"/>
  <c r="Q322" i="12"/>
  <c r="T322" i="12" s="1"/>
  <c r="R322" i="12"/>
  <c r="R320" i="12" s="1"/>
  <c r="S322" i="12"/>
  <c r="Q323" i="12"/>
  <c r="T323" i="12" s="1"/>
  <c r="R323" i="12"/>
  <c r="U323" i="12" s="1"/>
  <c r="S323" i="12"/>
  <c r="O324" i="12"/>
  <c r="P324" i="12"/>
  <c r="T324" i="12"/>
  <c r="U324" i="12"/>
  <c r="L325" i="12"/>
  <c r="M325" i="12"/>
  <c r="N325" i="12"/>
  <c r="N323" i="12" s="1"/>
  <c r="T325" i="12"/>
  <c r="U325" i="12"/>
  <c r="Q326" i="12"/>
  <c r="T326" i="12" s="1"/>
  <c r="R326" i="12"/>
  <c r="S326" i="12"/>
  <c r="U326" i="12"/>
  <c r="O327" i="12"/>
  <c r="P327" i="12"/>
  <c r="T327" i="12"/>
  <c r="U327" i="12"/>
  <c r="L328" i="12"/>
  <c r="L326" i="12" s="1"/>
  <c r="O326" i="12" s="1"/>
  <c r="M328" i="12"/>
  <c r="N328" i="12"/>
  <c r="N326" i="12" s="1"/>
  <c r="T328" i="12"/>
  <c r="U328" i="12"/>
  <c r="I330" i="12"/>
  <c r="I319" i="12" s="1"/>
  <c r="K319" i="12" s="1"/>
  <c r="L334" i="12"/>
  <c r="M334" i="12"/>
  <c r="P334" i="12" s="1"/>
  <c r="N334" i="12"/>
  <c r="Q334" i="12"/>
  <c r="R334" i="12"/>
  <c r="S334" i="12"/>
  <c r="S333" i="12" s="1"/>
  <c r="U334" i="12"/>
  <c r="Q335" i="12"/>
  <c r="R335" i="12"/>
  <c r="U335" i="12" s="1"/>
  <c r="S335" i="12"/>
  <c r="T335" i="12"/>
  <c r="Q336" i="12"/>
  <c r="R336" i="12"/>
  <c r="S336" i="12"/>
  <c r="T336" i="12"/>
  <c r="U336" i="12"/>
  <c r="O337" i="12"/>
  <c r="P337" i="12"/>
  <c r="T337" i="12"/>
  <c r="U337" i="12"/>
  <c r="L338" i="12"/>
  <c r="M338" i="12"/>
  <c r="N338" i="12"/>
  <c r="T338" i="12"/>
  <c r="U338" i="12"/>
  <c r="Q339" i="12"/>
  <c r="T339" i="12" s="1"/>
  <c r="R339" i="12"/>
  <c r="U339" i="12" s="1"/>
  <c r="S339" i="12"/>
  <c r="O340" i="12"/>
  <c r="P340" i="12"/>
  <c r="T340" i="12"/>
  <c r="U340" i="12"/>
  <c r="L341" i="12"/>
  <c r="L339" i="12" s="1"/>
  <c r="O339" i="12" s="1"/>
  <c r="M341" i="12"/>
  <c r="M339" i="12" s="1"/>
  <c r="P339" i="12" s="1"/>
  <c r="N341" i="12"/>
  <c r="N339" i="12" s="1"/>
  <c r="T341" i="12"/>
  <c r="U341" i="12"/>
  <c r="I344" i="12"/>
  <c r="J344" i="12"/>
  <c r="I346" i="12"/>
  <c r="J346" i="12"/>
  <c r="J347" i="12"/>
  <c r="J348" i="12"/>
  <c r="J349" i="12"/>
  <c r="D350" i="12"/>
  <c r="J352" i="12"/>
  <c r="J353" i="12"/>
  <c r="D354" i="12"/>
  <c r="L357" i="12"/>
  <c r="M357" i="12"/>
  <c r="P357" i="12" s="1"/>
  <c r="N357" i="12"/>
  <c r="Q357" i="12"/>
  <c r="R357" i="12"/>
  <c r="S357" i="12"/>
  <c r="U357" i="12"/>
  <c r="Q358" i="12"/>
  <c r="T358" i="12" s="1"/>
  <c r="R358" i="12"/>
  <c r="U358" i="12" s="1"/>
  <c r="S358" i="12"/>
  <c r="Q359" i="12"/>
  <c r="T359" i="12" s="1"/>
  <c r="R359" i="12"/>
  <c r="U359" i="12" s="1"/>
  <c r="S359" i="12"/>
  <c r="O360" i="12"/>
  <c r="P360" i="12"/>
  <c r="T360" i="12"/>
  <c r="U360" i="12"/>
  <c r="L361" i="12"/>
  <c r="L359" i="12" s="1"/>
  <c r="M361" i="12"/>
  <c r="M359" i="12" s="1"/>
  <c r="N361" i="12"/>
  <c r="T361" i="12"/>
  <c r="U361" i="12"/>
  <c r="Q362" i="12"/>
  <c r="T362" i="12" s="1"/>
  <c r="R362" i="12"/>
  <c r="S362" i="12"/>
  <c r="U362" i="12"/>
  <c r="O363" i="12"/>
  <c r="P363" i="12"/>
  <c r="T363" i="12"/>
  <c r="U363" i="12"/>
  <c r="L364" i="12"/>
  <c r="M364" i="12"/>
  <c r="P364" i="12" s="1"/>
  <c r="N364" i="12"/>
  <c r="N362" i="12" s="1"/>
  <c r="T364" i="12"/>
  <c r="U364" i="12"/>
  <c r="J367" i="12"/>
  <c r="K367" i="12"/>
  <c r="I368" i="12"/>
  <c r="J368" i="12"/>
  <c r="I369" i="12"/>
  <c r="J369" i="12"/>
  <c r="J370" i="12"/>
  <c r="K370" i="12"/>
  <c r="I371" i="12"/>
  <c r="J371" i="12"/>
  <c r="J365" i="12" s="1"/>
  <c r="J372" i="12"/>
  <c r="K372" i="12"/>
  <c r="D373" i="12"/>
  <c r="L376" i="12"/>
  <c r="M376" i="12"/>
  <c r="P376" i="12" s="1"/>
  <c r="N376" i="12"/>
  <c r="Q376" i="12"/>
  <c r="R376" i="12"/>
  <c r="S376" i="12"/>
  <c r="L377" i="12"/>
  <c r="O377" i="12" s="1"/>
  <c r="M377" i="12"/>
  <c r="P377" i="12" s="1"/>
  <c r="N377" i="12"/>
  <c r="L378" i="12"/>
  <c r="M378" i="12"/>
  <c r="P378" i="12" s="1"/>
  <c r="N378" i="12"/>
  <c r="O378" i="12"/>
  <c r="O379" i="12"/>
  <c r="P379" i="12"/>
  <c r="T379" i="12"/>
  <c r="U379" i="12"/>
  <c r="O380" i="12"/>
  <c r="P380" i="12"/>
  <c r="Q380" i="12"/>
  <c r="Q378" i="12" s="1"/>
  <c r="R380" i="12"/>
  <c r="U380" i="12" s="1"/>
  <c r="S380" i="12"/>
  <c r="S377" i="12" s="1"/>
  <c r="S375" i="12" s="1"/>
  <c r="L381" i="12"/>
  <c r="O381" i="12" s="1"/>
  <c r="M381" i="12"/>
  <c r="P381" i="12" s="1"/>
  <c r="N381" i="12"/>
  <c r="Q381" i="12"/>
  <c r="T381" i="12" s="1"/>
  <c r="R381" i="12"/>
  <c r="U381" i="12" s="1"/>
  <c r="S381" i="12"/>
  <c r="O382" i="12"/>
  <c r="P382" i="12"/>
  <c r="T382" i="12"/>
  <c r="U382" i="12"/>
  <c r="O383" i="12"/>
  <c r="P383" i="12"/>
  <c r="T383" i="12"/>
  <c r="U383" i="12"/>
  <c r="J385" i="12"/>
  <c r="K385" i="12"/>
  <c r="I386" i="12"/>
  <c r="J386" i="12"/>
  <c r="J387" i="12"/>
  <c r="K387" i="12"/>
  <c r="I388" i="12"/>
  <c r="K388" i="12" s="1"/>
  <c r="J388" i="12"/>
  <c r="I391" i="12"/>
  <c r="K391" i="12" s="1"/>
  <c r="J391" i="12"/>
  <c r="L393" i="12"/>
  <c r="M393" i="12"/>
  <c r="N393" i="12"/>
  <c r="P393" i="12"/>
  <c r="Q393" i="12"/>
  <c r="T393" i="12" s="1"/>
  <c r="R393" i="12"/>
  <c r="S393" i="12"/>
  <c r="L394" i="12"/>
  <c r="O394" i="12" s="1"/>
  <c r="M394" i="12"/>
  <c r="P394" i="12" s="1"/>
  <c r="N394" i="12"/>
  <c r="Q394" i="12"/>
  <c r="R394" i="12"/>
  <c r="S394" i="12"/>
  <c r="T394" i="12"/>
  <c r="U394" i="12"/>
  <c r="L395" i="12"/>
  <c r="M395" i="12"/>
  <c r="N395" i="12"/>
  <c r="O395" i="12"/>
  <c r="P395" i="12"/>
  <c r="Q395" i="12"/>
  <c r="T395" i="12" s="1"/>
  <c r="R395" i="12"/>
  <c r="S395" i="12"/>
  <c r="U395" i="12"/>
  <c r="O396" i="12"/>
  <c r="P396" i="12"/>
  <c r="T396" i="12"/>
  <c r="U396" i="12"/>
  <c r="O397" i="12"/>
  <c r="P397" i="12"/>
  <c r="T397" i="12"/>
  <c r="U397" i="12"/>
  <c r="L398" i="12"/>
  <c r="O398" i="12" s="1"/>
  <c r="M398" i="12"/>
  <c r="N398" i="12"/>
  <c r="P398" i="12"/>
  <c r="Q398" i="12"/>
  <c r="T398" i="12" s="1"/>
  <c r="R398" i="12"/>
  <c r="U398" i="12" s="1"/>
  <c r="S398" i="12"/>
  <c r="O399" i="12"/>
  <c r="P399" i="12"/>
  <c r="T399" i="12"/>
  <c r="U399" i="12"/>
  <c r="O400" i="12"/>
  <c r="P400" i="12"/>
  <c r="T400" i="12"/>
  <c r="U400" i="12"/>
  <c r="L413" i="12"/>
  <c r="O413" i="12" s="1"/>
  <c r="N413" i="12"/>
  <c r="L414" i="12"/>
  <c r="M414" i="12"/>
  <c r="N414" i="12"/>
  <c r="O414" i="12"/>
  <c r="Q414" i="12"/>
  <c r="T414" i="12" s="1"/>
  <c r="R414" i="12"/>
  <c r="S414" i="12"/>
  <c r="U414" i="12"/>
  <c r="L415" i="12"/>
  <c r="O415" i="12" s="1"/>
  <c r="M415" i="12"/>
  <c r="P415" i="12" s="1"/>
  <c r="N415" i="12"/>
  <c r="L416" i="12"/>
  <c r="O416" i="12" s="1"/>
  <c r="M416" i="12"/>
  <c r="P416" i="12" s="1"/>
  <c r="N416" i="12"/>
  <c r="O417" i="12"/>
  <c r="P417" i="12"/>
  <c r="T417" i="12"/>
  <c r="U417" i="12"/>
  <c r="O418" i="12"/>
  <c r="P418" i="12"/>
  <c r="Q418" i="12"/>
  <c r="R418" i="12"/>
  <c r="U418" i="12" s="1"/>
  <c r="S418" i="12"/>
  <c r="S415" i="12" s="1"/>
  <c r="L419" i="12"/>
  <c r="M419" i="12"/>
  <c r="P419" i="12" s="1"/>
  <c r="N419" i="12"/>
  <c r="O419" i="12"/>
  <c r="Q419" i="12"/>
  <c r="T419" i="12" s="1"/>
  <c r="R419" i="12"/>
  <c r="S419" i="12"/>
  <c r="U419" i="12"/>
  <c r="O420" i="12"/>
  <c r="P420" i="12"/>
  <c r="T420" i="12"/>
  <c r="U420" i="12"/>
  <c r="O421" i="12"/>
  <c r="P421" i="12"/>
  <c r="T421" i="12"/>
  <c r="U421" i="12"/>
  <c r="I424" i="12"/>
  <c r="K424" i="12" s="1"/>
  <c r="J424" i="12"/>
  <c r="I425" i="12"/>
  <c r="K425" i="12" s="1"/>
  <c r="J425" i="12"/>
  <c r="I432" i="12"/>
  <c r="K432" i="12" s="1"/>
  <c r="J432" i="12"/>
  <c r="I433" i="12"/>
  <c r="K433" i="12" s="1"/>
  <c r="J433" i="12"/>
  <c r="I440" i="12"/>
  <c r="I423" i="12" s="1"/>
  <c r="I441" i="12"/>
  <c r="K441" i="12" s="1"/>
  <c r="J441" i="12"/>
  <c r="J446" i="12"/>
  <c r="J440" i="12" s="1"/>
  <c r="J423" i="12" s="1"/>
  <c r="J412" i="12" s="1"/>
  <c r="J447" i="12"/>
  <c r="I457" i="12"/>
  <c r="I456" i="12" s="1"/>
  <c r="K456" i="12" s="1"/>
  <c r="I458" i="12"/>
  <c r="K458" i="12" s="1"/>
  <c r="J459" i="12"/>
  <c r="J457" i="12" s="1"/>
  <c r="J456" i="12" s="1"/>
  <c r="J460" i="12"/>
  <c r="J467" i="12"/>
  <c r="J468" i="12"/>
  <c r="J475" i="12"/>
  <c r="K475" i="12"/>
  <c r="J476" i="12"/>
  <c r="K476" i="12"/>
  <c r="J477" i="12"/>
  <c r="K477" i="12"/>
  <c r="J482" i="12"/>
  <c r="J483" i="12"/>
  <c r="I484" i="12"/>
  <c r="K484" i="12" s="1"/>
  <c r="J484" i="12"/>
  <c r="I485" i="12"/>
  <c r="K485" i="12" s="1"/>
  <c r="J485" i="12"/>
  <c r="L494" i="12"/>
  <c r="O494" i="12" s="1"/>
  <c r="M494" i="12"/>
  <c r="N494" i="12"/>
  <c r="Q494" i="12"/>
  <c r="R494" i="12"/>
  <c r="U494" i="12" s="1"/>
  <c r="S494" i="12"/>
  <c r="L495" i="12"/>
  <c r="O495" i="12" s="1"/>
  <c r="M495" i="12"/>
  <c r="P495" i="12" s="1"/>
  <c r="N495" i="12"/>
  <c r="L496" i="12"/>
  <c r="M496" i="12"/>
  <c r="N496" i="12"/>
  <c r="O496" i="12"/>
  <c r="P496" i="12"/>
  <c r="O497" i="12"/>
  <c r="P497" i="12"/>
  <c r="T497" i="12"/>
  <c r="U497" i="12"/>
  <c r="O498" i="12"/>
  <c r="P498" i="12"/>
  <c r="Q498" i="12"/>
  <c r="Q496" i="12" s="1"/>
  <c r="T496" i="12" s="1"/>
  <c r="R498" i="12"/>
  <c r="R496" i="12" s="1"/>
  <c r="U496" i="12" s="1"/>
  <c r="S498" i="12"/>
  <c r="S496" i="12" s="1"/>
  <c r="L499" i="12"/>
  <c r="O499" i="12" s="1"/>
  <c r="M499" i="12"/>
  <c r="P499" i="12" s="1"/>
  <c r="N499" i="12"/>
  <c r="Q499" i="12"/>
  <c r="T499" i="12" s="1"/>
  <c r="R499" i="12"/>
  <c r="U499" i="12" s="1"/>
  <c r="S499" i="12"/>
  <c r="O500" i="12"/>
  <c r="P500" i="12"/>
  <c r="T500" i="12"/>
  <c r="U500" i="12"/>
  <c r="O501" i="12"/>
  <c r="P501" i="12"/>
  <c r="T501" i="12"/>
  <c r="U501" i="12"/>
  <c r="I503" i="12"/>
  <c r="I492" i="12" s="1"/>
  <c r="K492" i="12" s="1"/>
  <c r="I504" i="12"/>
  <c r="K504" i="12" s="1"/>
  <c r="I505" i="12"/>
  <c r="K505" i="12" s="1"/>
  <c r="I506" i="12"/>
  <c r="K506" i="12" s="1"/>
  <c r="I507" i="12"/>
  <c r="K507" i="12" s="1"/>
  <c r="K508" i="12"/>
  <c r="I509" i="12"/>
  <c r="K509" i="12" s="1"/>
  <c r="I512" i="12"/>
  <c r="K512" i="12" s="1"/>
  <c r="J512" i="12"/>
  <c r="L514" i="12"/>
  <c r="M514" i="12"/>
  <c r="P514" i="12" s="1"/>
  <c r="N514" i="12"/>
  <c r="O514" i="12"/>
  <c r="Q514" i="12"/>
  <c r="R514" i="12"/>
  <c r="S514" i="12"/>
  <c r="T514" i="12"/>
  <c r="U514" i="12"/>
  <c r="Q515" i="12"/>
  <c r="T515" i="12" s="1"/>
  <c r="R515" i="12"/>
  <c r="U515" i="12" s="1"/>
  <c r="S515" i="12"/>
  <c r="Q516" i="12"/>
  <c r="R516" i="12"/>
  <c r="U516" i="12" s="1"/>
  <c r="S516" i="12"/>
  <c r="T516" i="12"/>
  <c r="O517" i="12"/>
  <c r="P517" i="12"/>
  <c r="T517" i="12"/>
  <c r="U517" i="12"/>
  <c r="L518" i="12"/>
  <c r="O518" i="12" s="1"/>
  <c r="M518" i="12"/>
  <c r="P518" i="12" s="1"/>
  <c r="N518" i="12"/>
  <c r="T518" i="12"/>
  <c r="U518" i="12"/>
  <c r="Q519" i="12"/>
  <c r="T519" i="12" s="1"/>
  <c r="R519" i="12"/>
  <c r="U519" i="12" s="1"/>
  <c r="S519" i="12"/>
  <c r="O520" i="12"/>
  <c r="P520" i="12"/>
  <c r="T520" i="12"/>
  <c r="U520" i="12"/>
  <c r="L521" i="12"/>
  <c r="L519" i="12" s="1"/>
  <c r="O519" i="12" s="1"/>
  <c r="M521" i="12"/>
  <c r="M519" i="12" s="1"/>
  <c r="P519" i="12" s="1"/>
  <c r="N521" i="12"/>
  <c r="N519" i="12" s="1"/>
  <c r="T521" i="12"/>
  <c r="U521" i="12"/>
  <c r="K523" i="12"/>
  <c r="K524" i="12"/>
  <c r="I533" i="12"/>
  <c r="K533" i="12" s="1"/>
  <c r="J533" i="12"/>
  <c r="L535" i="12"/>
  <c r="M535" i="12"/>
  <c r="P535" i="12" s="1"/>
  <c r="N535" i="12"/>
  <c r="O535" i="12"/>
  <c r="Q535" i="12"/>
  <c r="T535" i="12" s="1"/>
  <c r="R535" i="12"/>
  <c r="S535" i="12"/>
  <c r="S534" i="12" s="1"/>
  <c r="L536" i="12"/>
  <c r="M536" i="12"/>
  <c r="P536" i="12" s="1"/>
  <c r="N536" i="12"/>
  <c r="O536" i="12"/>
  <c r="Q536" i="12"/>
  <c r="R536" i="12"/>
  <c r="S536" i="12"/>
  <c r="T536" i="12"/>
  <c r="U536" i="12"/>
  <c r="L537" i="12"/>
  <c r="O537" i="12" s="1"/>
  <c r="M537" i="12"/>
  <c r="N537" i="12"/>
  <c r="P537" i="12"/>
  <c r="Q537" i="12"/>
  <c r="T537" i="12" s="1"/>
  <c r="R537" i="12"/>
  <c r="U537" i="12" s="1"/>
  <c r="S537" i="12"/>
  <c r="O538" i="12"/>
  <c r="P538" i="12"/>
  <c r="T538" i="12"/>
  <c r="U538" i="12"/>
  <c r="O539" i="12"/>
  <c r="P539" i="12"/>
  <c r="T539" i="12"/>
  <c r="U539" i="12"/>
  <c r="L540" i="12"/>
  <c r="M540" i="12"/>
  <c r="P540" i="12" s="1"/>
  <c r="N540" i="12"/>
  <c r="O540" i="12"/>
  <c r="Q540" i="12"/>
  <c r="T540" i="12" s="1"/>
  <c r="R540" i="12"/>
  <c r="S540" i="12"/>
  <c r="U540" i="12"/>
  <c r="O541" i="12"/>
  <c r="P541" i="12"/>
  <c r="T541" i="12"/>
  <c r="U541" i="12"/>
  <c r="O542" i="12"/>
  <c r="P542" i="12"/>
  <c r="T542" i="12"/>
  <c r="U542" i="12"/>
  <c r="I554" i="12"/>
  <c r="K554" i="12" s="1"/>
  <c r="J554" i="12"/>
  <c r="S555" i="12"/>
  <c r="L556" i="12"/>
  <c r="M556" i="12"/>
  <c r="N556" i="12"/>
  <c r="N555" i="12" s="1"/>
  <c r="O556" i="12"/>
  <c r="P556" i="12"/>
  <c r="Q556" i="12"/>
  <c r="R556" i="12"/>
  <c r="S556" i="12"/>
  <c r="U556" i="12"/>
  <c r="L557" i="12"/>
  <c r="O557" i="12" s="1"/>
  <c r="M557" i="12"/>
  <c r="P557" i="12" s="1"/>
  <c r="N557" i="12"/>
  <c r="Q557" i="12"/>
  <c r="R557" i="12"/>
  <c r="U557" i="12" s="1"/>
  <c r="S557" i="12"/>
  <c r="T557" i="12"/>
  <c r="L558" i="12"/>
  <c r="O558" i="12" s="1"/>
  <c r="M558" i="12"/>
  <c r="N558" i="12"/>
  <c r="P558" i="12"/>
  <c r="Q558" i="12"/>
  <c r="R558" i="12"/>
  <c r="U558" i="12" s="1"/>
  <c r="S558" i="12"/>
  <c r="T558" i="12"/>
  <c r="O559" i="12"/>
  <c r="P559" i="12"/>
  <c r="T559" i="12"/>
  <c r="U559" i="12"/>
  <c r="O560" i="12"/>
  <c r="P560" i="12"/>
  <c r="T560" i="12"/>
  <c r="U560" i="12"/>
  <c r="L561" i="12"/>
  <c r="O561" i="12" s="1"/>
  <c r="M561" i="12"/>
  <c r="P561" i="12" s="1"/>
  <c r="N561" i="12"/>
  <c r="Q561" i="12"/>
  <c r="R561" i="12"/>
  <c r="U561" i="12" s="1"/>
  <c r="S561" i="12"/>
  <c r="T561" i="12"/>
  <c r="O562" i="12"/>
  <c r="P562" i="12"/>
  <c r="T562" i="12"/>
  <c r="U562" i="12"/>
  <c r="O563" i="12"/>
  <c r="P563" i="12"/>
  <c r="T563" i="12"/>
  <c r="U563" i="12"/>
  <c r="I575" i="12"/>
  <c r="K575" i="12" s="1"/>
  <c r="J575" i="12"/>
  <c r="L577" i="12"/>
  <c r="M577" i="12"/>
  <c r="P577" i="12" s="1"/>
  <c r="N577" i="12"/>
  <c r="Q577" i="12"/>
  <c r="T577" i="12" s="1"/>
  <c r="R577" i="12"/>
  <c r="S577" i="12"/>
  <c r="S576" i="12" s="1"/>
  <c r="L578" i="12"/>
  <c r="M578" i="12"/>
  <c r="P578" i="12" s="1"/>
  <c r="N578" i="12"/>
  <c r="O578" i="12"/>
  <c r="Q578" i="12"/>
  <c r="T578" i="12" s="1"/>
  <c r="R578" i="12"/>
  <c r="U578" i="12" s="1"/>
  <c r="S578" i="12"/>
  <c r="L579" i="12"/>
  <c r="M579" i="12"/>
  <c r="P579" i="12" s="1"/>
  <c r="N579" i="12"/>
  <c r="O579" i="12"/>
  <c r="Q579" i="12"/>
  <c r="T579" i="12" s="1"/>
  <c r="R579" i="12"/>
  <c r="S579" i="12"/>
  <c r="U579" i="12"/>
  <c r="O580" i="12"/>
  <c r="P580" i="12"/>
  <c r="T580" i="12"/>
  <c r="U580" i="12"/>
  <c r="O581" i="12"/>
  <c r="P581" i="12"/>
  <c r="T581" i="12"/>
  <c r="U581" i="12"/>
  <c r="L582" i="12"/>
  <c r="M582" i="12"/>
  <c r="P582" i="12" s="1"/>
  <c r="N582" i="12"/>
  <c r="O582" i="12"/>
  <c r="Q582" i="12"/>
  <c r="T582" i="12" s="1"/>
  <c r="R582" i="12"/>
  <c r="U582" i="12" s="1"/>
  <c r="S582" i="12"/>
  <c r="O583" i="12"/>
  <c r="P583" i="12"/>
  <c r="T583" i="12"/>
  <c r="U583" i="12"/>
  <c r="O584" i="12"/>
  <c r="P584" i="12"/>
  <c r="T584" i="12"/>
  <c r="U584" i="12"/>
  <c r="Q599" i="12"/>
  <c r="T599" i="12" s="1"/>
  <c r="L600" i="12"/>
  <c r="M600" i="12"/>
  <c r="P600" i="12" s="1"/>
  <c r="N600" i="12"/>
  <c r="O600" i="12"/>
  <c r="Q600" i="12"/>
  <c r="T600" i="12" s="1"/>
  <c r="R600" i="12"/>
  <c r="S600" i="12"/>
  <c r="L601" i="12"/>
  <c r="M601" i="12"/>
  <c r="P601" i="12" s="1"/>
  <c r="N601" i="12"/>
  <c r="O601" i="12"/>
  <c r="Q601" i="12"/>
  <c r="R601" i="12"/>
  <c r="S601" i="12"/>
  <c r="S599" i="12" s="1"/>
  <c r="T601" i="12"/>
  <c r="U601" i="12"/>
  <c r="L602" i="12"/>
  <c r="O602" i="12" s="1"/>
  <c r="M602" i="12"/>
  <c r="N602" i="12"/>
  <c r="P602" i="12"/>
  <c r="Q602" i="12"/>
  <c r="T602" i="12" s="1"/>
  <c r="R602" i="12"/>
  <c r="U602" i="12" s="1"/>
  <c r="S602" i="12"/>
  <c r="O603" i="12"/>
  <c r="P603" i="12"/>
  <c r="T603" i="12"/>
  <c r="U603" i="12"/>
  <c r="O604" i="12"/>
  <c r="P604" i="12"/>
  <c r="T604" i="12"/>
  <c r="U604" i="12"/>
  <c r="L605" i="12"/>
  <c r="M605" i="12"/>
  <c r="P605" i="12" s="1"/>
  <c r="N605" i="12"/>
  <c r="O605" i="12"/>
  <c r="Q605" i="12"/>
  <c r="T605" i="12" s="1"/>
  <c r="R605" i="12"/>
  <c r="S605" i="12"/>
  <c r="U605" i="12"/>
  <c r="O606" i="12"/>
  <c r="P606" i="12"/>
  <c r="T606" i="12"/>
  <c r="U606" i="12"/>
  <c r="O607" i="12"/>
  <c r="P607" i="12"/>
  <c r="T607" i="12"/>
  <c r="U607" i="12"/>
  <c r="L617" i="12"/>
  <c r="O617" i="12" s="1"/>
  <c r="M617" i="12"/>
  <c r="M616" i="12" s="1"/>
  <c r="P616" i="12" s="1"/>
  <c r="N617" i="12"/>
  <c r="P617" i="12"/>
  <c r="Q617" i="12"/>
  <c r="R617" i="12"/>
  <c r="U617" i="12" s="1"/>
  <c r="S617" i="12"/>
  <c r="T617" i="12"/>
  <c r="L618" i="12"/>
  <c r="O618" i="12" s="1"/>
  <c r="M618" i="12"/>
  <c r="N618" i="12"/>
  <c r="P618" i="12"/>
  <c r="L619" i="12"/>
  <c r="O619" i="12" s="1"/>
  <c r="M619" i="12"/>
  <c r="N619" i="12"/>
  <c r="P619" i="12"/>
  <c r="O620" i="12"/>
  <c r="P620" i="12"/>
  <c r="T620" i="12"/>
  <c r="U620" i="12"/>
  <c r="O621" i="12"/>
  <c r="P621" i="12"/>
  <c r="Q621" i="12"/>
  <c r="Q619" i="12" s="1"/>
  <c r="R621" i="12"/>
  <c r="R619" i="12" s="1"/>
  <c r="S621" i="12"/>
  <c r="S618" i="12" s="1"/>
  <c r="S616" i="12" s="1"/>
  <c r="L622" i="12"/>
  <c r="M622" i="12"/>
  <c r="N622" i="12"/>
  <c r="O622" i="12"/>
  <c r="P622" i="12"/>
  <c r="Q622" i="12"/>
  <c r="T622" i="12" s="1"/>
  <c r="R622" i="12"/>
  <c r="S622" i="12"/>
  <c r="U622" i="12"/>
  <c r="O623" i="12"/>
  <c r="P623" i="12"/>
  <c r="T623" i="12"/>
  <c r="U623" i="12"/>
  <c r="O624" i="12"/>
  <c r="P624" i="12"/>
  <c r="T624" i="12"/>
  <c r="U624" i="12"/>
  <c r="I626" i="12"/>
  <c r="I627" i="12"/>
  <c r="K627" i="12" s="1"/>
  <c r="I628" i="12"/>
  <c r="K628" i="12" s="1"/>
  <c r="J632" i="12"/>
  <c r="J626" i="12" s="1"/>
  <c r="J615" i="12" s="1"/>
  <c r="I635" i="12"/>
  <c r="K635" i="12" s="1"/>
  <c r="J636" i="12"/>
  <c r="J635" i="12" s="1"/>
  <c r="L643" i="12"/>
  <c r="M643" i="12"/>
  <c r="P643" i="12" s="1"/>
  <c r="N643" i="12"/>
  <c r="N642" i="12" s="1"/>
  <c r="O643" i="12"/>
  <c r="Q643" i="12"/>
  <c r="T643" i="12" s="1"/>
  <c r="R643" i="12"/>
  <c r="S643" i="12"/>
  <c r="U643" i="12"/>
  <c r="L644" i="12"/>
  <c r="O644" i="12" s="1"/>
  <c r="M644" i="12"/>
  <c r="M642" i="12" s="1"/>
  <c r="P642" i="12" s="1"/>
  <c r="N644" i="12"/>
  <c r="L645" i="12"/>
  <c r="O645" i="12" s="1"/>
  <c r="M645" i="12"/>
  <c r="P645" i="12" s="1"/>
  <c r="N645" i="12"/>
  <c r="O646" i="12"/>
  <c r="P646" i="12"/>
  <c r="T646" i="12"/>
  <c r="U646" i="12"/>
  <c r="O647" i="12"/>
  <c r="P647" i="12"/>
  <c r="Q647" i="12"/>
  <c r="R647" i="12"/>
  <c r="R645" i="12" s="1"/>
  <c r="S647" i="12"/>
  <c r="S645" i="12" s="1"/>
  <c r="L648" i="12"/>
  <c r="O648" i="12" s="1"/>
  <c r="M648" i="12"/>
  <c r="N648" i="12"/>
  <c r="P648" i="12"/>
  <c r="Q648" i="12"/>
  <c r="T648" i="12" s="1"/>
  <c r="R648" i="12"/>
  <c r="U648" i="12" s="1"/>
  <c r="S648" i="12"/>
  <c r="O649" i="12"/>
  <c r="P649" i="12"/>
  <c r="T649" i="12"/>
  <c r="U649" i="12"/>
  <c r="O650" i="12"/>
  <c r="P650" i="12"/>
  <c r="T650" i="12"/>
  <c r="U650" i="12"/>
  <c r="I652" i="12"/>
  <c r="K652" i="12" s="1"/>
  <c r="J652" i="12"/>
  <c r="I653" i="12"/>
  <c r="K653" i="12" s="1"/>
  <c r="J653" i="12"/>
  <c r="I654" i="12"/>
  <c r="K654" i="12" s="1"/>
  <c r="J654" i="12"/>
  <c r="I657" i="12"/>
  <c r="I660" i="12"/>
  <c r="I661" i="12"/>
  <c r="K661" i="12" s="1"/>
  <c r="J661" i="12"/>
  <c r="J671" i="12"/>
  <c r="J672" i="12"/>
  <c r="I673" i="12"/>
  <c r="J673" i="12"/>
  <c r="I674" i="12"/>
  <c r="I675" i="12"/>
  <c r="I676" i="12"/>
  <c r="J676" i="12"/>
  <c r="J677" i="12"/>
  <c r="I678" i="12"/>
  <c r="J678" i="12"/>
  <c r="I679" i="12"/>
  <c r="K679" i="12" s="1"/>
  <c r="J679" i="12"/>
  <c r="J680" i="12"/>
  <c r="I681" i="12"/>
  <c r="K681" i="12" s="1"/>
  <c r="J681" i="12"/>
  <c r="I682" i="12"/>
  <c r="K682" i="12" s="1"/>
  <c r="J682" i="12"/>
  <c r="L691" i="12"/>
  <c r="O691" i="12" s="1"/>
  <c r="M691" i="12"/>
  <c r="P691" i="12" s="1"/>
  <c r="N691" i="12"/>
  <c r="Q691" i="12"/>
  <c r="T691" i="12" s="1"/>
  <c r="R691" i="12"/>
  <c r="S691" i="12"/>
  <c r="U691" i="12"/>
  <c r="L692" i="12"/>
  <c r="M692" i="12"/>
  <c r="P692" i="12" s="1"/>
  <c r="N692" i="12"/>
  <c r="O692" i="12"/>
  <c r="L693" i="12"/>
  <c r="O693" i="12" s="1"/>
  <c r="M693" i="12"/>
  <c r="P693" i="12" s="1"/>
  <c r="N693" i="12"/>
  <c r="O694" i="12"/>
  <c r="P694" i="12"/>
  <c r="T694" i="12"/>
  <c r="U694" i="12"/>
  <c r="O695" i="12"/>
  <c r="P695" i="12"/>
  <c r="Q695" i="12"/>
  <c r="Q693" i="12" s="1"/>
  <c r="R695" i="12"/>
  <c r="S695" i="12"/>
  <c r="S692" i="12" s="1"/>
  <c r="L696" i="12"/>
  <c r="O696" i="12" s="1"/>
  <c r="M696" i="12"/>
  <c r="N696" i="12"/>
  <c r="P696" i="12"/>
  <c r="Q696" i="12"/>
  <c r="T696" i="12" s="1"/>
  <c r="R696" i="12"/>
  <c r="U696" i="12" s="1"/>
  <c r="S696" i="12"/>
  <c r="O697" i="12"/>
  <c r="P697" i="12"/>
  <c r="T697" i="12"/>
  <c r="U697" i="12"/>
  <c r="O698" i="12"/>
  <c r="P698" i="12"/>
  <c r="T698" i="12"/>
  <c r="U698" i="12"/>
  <c r="I700" i="12"/>
  <c r="K700" i="12" s="1"/>
  <c r="K702" i="12"/>
  <c r="I703" i="12"/>
  <c r="J703" i="12"/>
  <c r="J704" i="12"/>
  <c r="K704" i="12"/>
  <c r="I705" i="12"/>
  <c r="J705" i="12"/>
  <c r="J706" i="12"/>
  <c r="K706" i="12"/>
  <c r="I707" i="12"/>
  <c r="J707" i="12"/>
  <c r="J689" i="12" s="1"/>
  <c r="J708" i="12"/>
  <c r="K708" i="12"/>
  <c r="I709" i="12"/>
  <c r="J709" i="12"/>
  <c r="J710" i="12"/>
  <c r="K710" i="12"/>
  <c r="J712" i="12"/>
  <c r="K712" i="12"/>
  <c r="L715" i="12"/>
  <c r="O715" i="12" s="1"/>
  <c r="M715" i="12"/>
  <c r="P715" i="12" s="1"/>
  <c r="N715" i="12"/>
  <c r="Q715" i="12"/>
  <c r="R715" i="12"/>
  <c r="U715" i="12" s="1"/>
  <c r="S715" i="12"/>
  <c r="S714" i="12" s="1"/>
  <c r="T715" i="12"/>
  <c r="L716" i="12"/>
  <c r="O716" i="12" s="1"/>
  <c r="M716" i="12"/>
  <c r="N716" i="12"/>
  <c r="P716" i="12"/>
  <c r="Q716" i="12"/>
  <c r="R716" i="12"/>
  <c r="U716" i="12" s="1"/>
  <c r="S716" i="12"/>
  <c r="L717" i="12"/>
  <c r="O717" i="12" s="1"/>
  <c r="M717" i="12"/>
  <c r="P717" i="12" s="1"/>
  <c r="N717" i="12"/>
  <c r="Q717" i="12"/>
  <c r="T717" i="12" s="1"/>
  <c r="R717" i="12"/>
  <c r="U717" i="12" s="1"/>
  <c r="S717" i="12"/>
  <c r="O718" i="12"/>
  <c r="P718" i="12"/>
  <c r="T718" i="12"/>
  <c r="U718" i="12"/>
  <c r="O719" i="12"/>
  <c r="P719" i="12"/>
  <c r="T719" i="12"/>
  <c r="U719" i="12"/>
  <c r="L720" i="12"/>
  <c r="O720" i="12" s="1"/>
  <c r="M720" i="12"/>
  <c r="N720" i="12"/>
  <c r="P720" i="12"/>
  <c r="Q720" i="12"/>
  <c r="T720" i="12" s="1"/>
  <c r="R720" i="12"/>
  <c r="U720" i="12" s="1"/>
  <c r="S720" i="12"/>
  <c r="O721" i="12"/>
  <c r="P721" i="12"/>
  <c r="T721" i="12"/>
  <c r="U721" i="12"/>
  <c r="O722" i="12"/>
  <c r="P722" i="12"/>
  <c r="T722" i="12"/>
  <c r="U722" i="12"/>
  <c r="I726" i="12"/>
  <c r="J726" i="12"/>
  <c r="I727" i="12"/>
  <c r="K727" i="12" s="1"/>
  <c r="J727" i="12"/>
  <c r="L729" i="12"/>
  <c r="M729" i="12"/>
  <c r="N729" i="12"/>
  <c r="N728" i="12" s="1"/>
  <c r="Q729" i="12"/>
  <c r="R729" i="12"/>
  <c r="S729" i="12"/>
  <c r="T729" i="12"/>
  <c r="L730" i="12"/>
  <c r="O730" i="12" s="1"/>
  <c r="M730" i="12"/>
  <c r="P730" i="12" s="1"/>
  <c r="N730" i="12"/>
  <c r="L731" i="12"/>
  <c r="O731" i="12" s="1"/>
  <c r="M731" i="12"/>
  <c r="P731" i="12" s="1"/>
  <c r="N731" i="12"/>
  <c r="O732" i="12"/>
  <c r="P732" i="12"/>
  <c r="T732" i="12"/>
  <c r="U732" i="12"/>
  <c r="O733" i="12"/>
  <c r="P733" i="12"/>
  <c r="Q733" i="12"/>
  <c r="Q730" i="12" s="1"/>
  <c r="R733" i="12"/>
  <c r="R731" i="12" s="1"/>
  <c r="S733" i="12"/>
  <c r="S731" i="12" s="1"/>
  <c r="L734" i="12"/>
  <c r="O734" i="12" s="1"/>
  <c r="M734" i="12"/>
  <c r="P734" i="12" s="1"/>
  <c r="N734" i="12"/>
  <c r="Q734" i="12"/>
  <c r="T734" i="12" s="1"/>
  <c r="R734" i="12"/>
  <c r="U734" i="12" s="1"/>
  <c r="S734" i="12"/>
  <c r="O735" i="12"/>
  <c r="P735" i="12"/>
  <c r="T735" i="12"/>
  <c r="U735" i="12"/>
  <c r="O736" i="12"/>
  <c r="P736" i="12"/>
  <c r="T736" i="12"/>
  <c r="U736" i="12"/>
  <c r="I740" i="12"/>
  <c r="K740" i="12" s="1"/>
  <c r="I742" i="12"/>
  <c r="K742" i="12" s="1"/>
  <c r="I744" i="12"/>
  <c r="K744" i="12" s="1"/>
  <c r="I746" i="12"/>
  <c r="K746" i="12" s="1"/>
  <c r="I749" i="12"/>
  <c r="K749" i="12" s="1"/>
  <c r="I752" i="12"/>
  <c r="K752" i="12" s="1"/>
  <c r="I755" i="12"/>
  <c r="K755" i="12" s="1"/>
  <c r="J758" i="12"/>
  <c r="J759" i="12"/>
  <c r="L760" i="12"/>
  <c r="O760" i="12" s="1"/>
  <c r="L761" i="12"/>
  <c r="O761" i="12" s="1"/>
  <c r="M761" i="12"/>
  <c r="N761" i="12"/>
  <c r="Q761" i="12"/>
  <c r="R761" i="12"/>
  <c r="U761" i="12" s="1"/>
  <c r="S761" i="12"/>
  <c r="L762" i="12"/>
  <c r="M762" i="12"/>
  <c r="P762" i="12" s="1"/>
  <c r="N762" i="12"/>
  <c r="O762" i="12"/>
  <c r="L763" i="12"/>
  <c r="O763" i="12" s="1"/>
  <c r="M763" i="12"/>
  <c r="P763" i="12" s="1"/>
  <c r="N763" i="12"/>
  <c r="O764" i="12"/>
  <c r="P764" i="12"/>
  <c r="T764" i="12"/>
  <c r="U764" i="12"/>
  <c r="O765" i="12"/>
  <c r="P765" i="12"/>
  <c r="Q765" i="12"/>
  <c r="Q762" i="12" s="1"/>
  <c r="R765" i="12"/>
  <c r="R762" i="12" s="1"/>
  <c r="S765" i="12"/>
  <c r="S763" i="12" s="1"/>
  <c r="L766" i="12"/>
  <c r="M766" i="12"/>
  <c r="P766" i="12" s="1"/>
  <c r="N766" i="12"/>
  <c r="O766" i="12"/>
  <c r="Q766" i="12"/>
  <c r="T766" i="12" s="1"/>
  <c r="R766" i="12"/>
  <c r="S766" i="12"/>
  <c r="U766" i="12"/>
  <c r="O767" i="12"/>
  <c r="P767" i="12"/>
  <c r="T767" i="12"/>
  <c r="U767" i="12"/>
  <c r="O768" i="12"/>
  <c r="P768" i="12"/>
  <c r="T768" i="12"/>
  <c r="U768" i="12"/>
  <c r="I770" i="12"/>
  <c r="K770" i="12" s="1"/>
  <c r="I772" i="12"/>
  <c r="I758" i="12" s="1"/>
  <c r="K758" i="12" s="1"/>
  <c r="I774" i="12"/>
  <c r="K774" i="12" s="1"/>
  <c r="I775" i="12"/>
  <c r="I776" i="12"/>
  <c r="H777" i="12"/>
  <c r="I778" i="12"/>
  <c r="J778" i="12"/>
  <c r="I779" i="12"/>
  <c r="J779" i="12"/>
  <c r="I780" i="12"/>
  <c r="J780" i="12"/>
  <c r="I781" i="12"/>
  <c r="J781" i="12"/>
  <c r="I782" i="12"/>
  <c r="K782" i="12" s="1"/>
  <c r="J782" i="12"/>
  <c r="I783" i="12"/>
  <c r="K783" i="12" s="1"/>
  <c r="J783" i="12"/>
  <c r="I784" i="12"/>
  <c r="J784" i="12"/>
  <c r="I785" i="12"/>
  <c r="J785" i="12"/>
  <c r="A788" i="12"/>
  <c r="A789" i="12"/>
  <c r="L22" i="11"/>
  <c r="L19" i="11" s="1"/>
  <c r="M22" i="11"/>
  <c r="N22" i="11"/>
  <c r="Q22" i="11"/>
  <c r="T22" i="11" s="1"/>
  <c r="R22" i="11"/>
  <c r="S22" i="11"/>
  <c r="L25" i="11"/>
  <c r="M25" i="11"/>
  <c r="N25" i="11"/>
  <c r="O25" i="11"/>
  <c r="Q25" i="11"/>
  <c r="T25" i="11" s="1"/>
  <c r="R25" i="11"/>
  <c r="S25" i="11"/>
  <c r="U25" i="11"/>
  <c r="Q26" i="11"/>
  <c r="R26" i="11"/>
  <c r="S26" i="11"/>
  <c r="U26" i="11"/>
  <c r="L45" i="11"/>
  <c r="O45" i="11" s="1"/>
  <c r="M45" i="11"/>
  <c r="P45" i="11" s="1"/>
  <c r="N45" i="11"/>
  <c r="Q45" i="11"/>
  <c r="Q44" i="11" s="1"/>
  <c r="T44" i="11" s="1"/>
  <c r="R45" i="11"/>
  <c r="U45" i="11" s="1"/>
  <c r="S45" i="11"/>
  <c r="T45" i="11"/>
  <c r="Q46" i="11"/>
  <c r="T46" i="11" s="1"/>
  <c r="R46" i="11"/>
  <c r="U46" i="11" s="1"/>
  <c r="S46" i="11"/>
  <c r="Q47" i="11"/>
  <c r="T47" i="11" s="1"/>
  <c r="R47" i="11"/>
  <c r="U47" i="11" s="1"/>
  <c r="S47" i="11"/>
  <c r="O48" i="11"/>
  <c r="P48" i="11"/>
  <c r="T48" i="11"/>
  <c r="U48" i="11"/>
  <c r="L49" i="11"/>
  <c r="L47" i="11" s="1"/>
  <c r="M49" i="11"/>
  <c r="M47" i="11" s="1"/>
  <c r="N49" i="11"/>
  <c r="N47" i="11" s="1"/>
  <c r="T49" i="11"/>
  <c r="U49" i="11"/>
  <c r="Q50" i="11"/>
  <c r="T50" i="11" s="1"/>
  <c r="R50" i="11"/>
  <c r="U50" i="11" s="1"/>
  <c r="S50" i="11"/>
  <c r="O51" i="11"/>
  <c r="P51" i="11"/>
  <c r="T51" i="11"/>
  <c r="U51" i="11"/>
  <c r="L52" i="11"/>
  <c r="M52" i="11"/>
  <c r="N52" i="11"/>
  <c r="T52" i="11"/>
  <c r="U52" i="11"/>
  <c r="L60" i="11"/>
  <c r="O60" i="11" s="1"/>
  <c r="M60" i="11"/>
  <c r="P60" i="11" s="1"/>
  <c r="N60" i="11"/>
  <c r="Q60" i="11"/>
  <c r="R60" i="11"/>
  <c r="U60" i="11" s="1"/>
  <c r="S60" i="11"/>
  <c r="Q61" i="11"/>
  <c r="R61" i="11"/>
  <c r="U61" i="11" s="1"/>
  <c r="S61" i="11"/>
  <c r="S59" i="11" s="1"/>
  <c r="T61" i="11"/>
  <c r="Q62" i="11"/>
  <c r="R62" i="11"/>
  <c r="U62" i="11" s="1"/>
  <c r="S62" i="11"/>
  <c r="T62" i="11"/>
  <c r="O63" i="11"/>
  <c r="P63" i="11"/>
  <c r="T63" i="11"/>
  <c r="U63" i="11"/>
  <c r="L64" i="11"/>
  <c r="M64" i="11"/>
  <c r="N64" i="11"/>
  <c r="N62" i="11" s="1"/>
  <c r="T64" i="11"/>
  <c r="U64" i="11"/>
  <c r="Q65" i="11"/>
  <c r="T65" i="11" s="1"/>
  <c r="R65" i="11"/>
  <c r="S65" i="11"/>
  <c r="U65" i="11"/>
  <c r="O66" i="11"/>
  <c r="P66" i="11"/>
  <c r="T66" i="11"/>
  <c r="U66" i="11"/>
  <c r="L67" i="11"/>
  <c r="M67" i="11"/>
  <c r="N67" i="11"/>
  <c r="N65" i="11" s="1"/>
  <c r="T67" i="11"/>
  <c r="U67" i="11"/>
  <c r="L73" i="11"/>
  <c r="M73" i="11"/>
  <c r="P73" i="11" s="1"/>
  <c r="N73" i="11"/>
  <c r="Q73" i="11"/>
  <c r="R73" i="11"/>
  <c r="U73" i="11" s="1"/>
  <c r="S73" i="11"/>
  <c r="T73" i="11"/>
  <c r="O76" i="11"/>
  <c r="P76" i="11"/>
  <c r="T76" i="11"/>
  <c r="U76" i="11"/>
  <c r="L77" i="11"/>
  <c r="M77" i="11"/>
  <c r="M75" i="11" s="1"/>
  <c r="N77" i="11"/>
  <c r="N75" i="11" s="1"/>
  <c r="Q77" i="11"/>
  <c r="R77" i="11"/>
  <c r="S77" i="11"/>
  <c r="S75" i="11" s="1"/>
  <c r="Q78" i="11"/>
  <c r="T78" i="11" s="1"/>
  <c r="R78" i="11"/>
  <c r="U78" i="11" s="1"/>
  <c r="S78" i="11"/>
  <c r="O79" i="11"/>
  <c r="P79" i="11"/>
  <c r="T79" i="11"/>
  <c r="U79" i="11"/>
  <c r="L80" i="11"/>
  <c r="L78" i="11" s="1"/>
  <c r="O78" i="11" s="1"/>
  <c r="M80" i="11"/>
  <c r="M78" i="11" s="1"/>
  <c r="P78" i="11" s="1"/>
  <c r="N80" i="11"/>
  <c r="N78" i="11" s="1"/>
  <c r="T80" i="11"/>
  <c r="U80" i="11"/>
  <c r="J82" i="11"/>
  <c r="J70" i="11" s="1"/>
  <c r="J83" i="11"/>
  <c r="J71" i="11" s="1"/>
  <c r="I84" i="11"/>
  <c r="K84" i="11" s="1"/>
  <c r="I85" i="11"/>
  <c r="I86" i="11"/>
  <c r="K86" i="11" s="1"/>
  <c r="I87" i="11"/>
  <c r="K87" i="11" s="1"/>
  <c r="I88" i="11"/>
  <c r="K88" i="11" s="1"/>
  <c r="I89" i="11"/>
  <c r="K89" i="11" s="1"/>
  <c r="I90" i="11"/>
  <c r="K90" i="11" s="1"/>
  <c r="J92" i="11"/>
  <c r="J93" i="11"/>
  <c r="L95" i="11"/>
  <c r="M95" i="11"/>
  <c r="P95" i="11" s="1"/>
  <c r="N95" i="11"/>
  <c r="O95" i="11"/>
  <c r="Q95" i="11"/>
  <c r="R95" i="11"/>
  <c r="S95" i="11"/>
  <c r="U95" i="11"/>
  <c r="O98" i="11"/>
  <c r="P98" i="11"/>
  <c r="T98" i="11"/>
  <c r="U98" i="11"/>
  <c r="L99" i="11"/>
  <c r="M99" i="11"/>
  <c r="N99" i="11"/>
  <c r="N97" i="11" s="1"/>
  <c r="Q99" i="11"/>
  <c r="Q96" i="11" s="1"/>
  <c r="R99" i="11"/>
  <c r="R96" i="11" s="1"/>
  <c r="S99" i="11"/>
  <c r="S96" i="11" s="1"/>
  <c r="Q100" i="11"/>
  <c r="T100" i="11" s="1"/>
  <c r="R100" i="11"/>
  <c r="S100" i="11"/>
  <c r="U100" i="11"/>
  <c r="O101" i="11"/>
  <c r="P101" i="11"/>
  <c r="T101" i="11"/>
  <c r="U101" i="11"/>
  <c r="L102" i="11"/>
  <c r="M102" i="11"/>
  <c r="P102" i="11" s="1"/>
  <c r="N102" i="11"/>
  <c r="N100" i="11" s="1"/>
  <c r="T102" i="11"/>
  <c r="U102" i="11"/>
  <c r="I108" i="11"/>
  <c r="K108" i="11" s="1"/>
  <c r="I109" i="11"/>
  <c r="I93" i="11" s="1"/>
  <c r="I113" i="11"/>
  <c r="K113" i="11" s="1"/>
  <c r="I114" i="11"/>
  <c r="K114" i="11" s="1"/>
  <c r="J116" i="11"/>
  <c r="L118" i="11"/>
  <c r="M118" i="11"/>
  <c r="N118" i="11"/>
  <c r="O118" i="11"/>
  <c r="Q118" i="11"/>
  <c r="T118" i="11" s="1"/>
  <c r="R118" i="11"/>
  <c r="S118" i="11"/>
  <c r="U118" i="11"/>
  <c r="O121" i="11"/>
  <c r="P121" i="11"/>
  <c r="T121" i="11"/>
  <c r="U121" i="11"/>
  <c r="L122" i="11"/>
  <c r="M122" i="11"/>
  <c r="P122" i="11" s="1"/>
  <c r="N122" i="11"/>
  <c r="N120" i="11" s="1"/>
  <c r="Q122" i="11"/>
  <c r="Q119" i="11" s="1"/>
  <c r="Q117" i="11" s="1"/>
  <c r="R122" i="11"/>
  <c r="S122" i="11"/>
  <c r="S120" i="11" s="1"/>
  <c r="Q123" i="11"/>
  <c r="T123" i="11" s="1"/>
  <c r="R123" i="11"/>
  <c r="S123" i="11"/>
  <c r="U123" i="11"/>
  <c r="O124" i="11"/>
  <c r="P124" i="11"/>
  <c r="T124" i="11"/>
  <c r="U124" i="11"/>
  <c r="L125" i="11"/>
  <c r="M125" i="11"/>
  <c r="P125" i="11" s="1"/>
  <c r="N125" i="11"/>
  <c r="N123" i="11" s="1"/>
  <c r="T125" i="11"/>
  <c r="U125" i="11"/>
  <c r="I127" i="11"/>
  <c r="I116" i="11" s="1"/>
  <c r="K116" i="11" s="1"/>
  <c r="I128" i="11"/>
  <c r="K128" i="11" s="1"/>
  <c r="I129" i="11"/>
  <c r="K129" i="11" s="1"/>
  <c r="I130" i="11"/>
  <c r="K130" i="11" s="1"/>
  <c r="J136" i="11"/>
  <c r="J137" i="11"/>
  <c r="J138" i="11"/>
  <c r="L140" i="11"/>
  <c r="O140" i="11" s="1"/>
  <c r="M140" i="11"/>
  <c r="P140" i="11" s="1"/>
  <c r="N140" i="11"/>
  <c r="Q140" i="11"/>
  <c r="T140" i="11" s="1"/>
  <c r="R140" i="11"/>
  <c r="U140" i="11" s="1"/>
  <c r="S140" i="11"/>
  <c r="O143" i="11"/>
  <c r="P143" i="11"/>
  <c r="T143" i="11"/>
  <c r="U143" i="11"/>
  <c r="L144" i="11"/>
  <c r="M144" i="11"/>
  <c r="M142" i="11" s="1"/>
  <c r="N144" i="11"/>
  <c r="Q144" i="11"/>
  <c r="T144" i="11" s="1"/>
  <c r="R144" i="11"/>
  <c r="S144" i="11"/>
  <c r="Q145" i="11"/>
  <c r="T145" i="11" s="1"/>
  <c r="R145" i="11"/>
  <c r="U145" i="11" s="1"/>
  <c r="S145" i="11"/>
  <c r="O146" i="11"/>
  <c r="P146" i="11"/>
  <c r="T146" i="11"/>
  <c r="U146" i="11"/>
  <c r="L147" i="11"/>
  <c r="L145" i="11" s="1"/>
  <c r="O145" i="11" s="1"/>
  <c r="M147" i="11"/>
  <c r="P147" i="11" s="1"/>
  <c r="N147" i="11"/>
  <c r="N145" i="11" s="1"/>
  <c r="T147" i="11"/>
  <c r="U147" i="11"/>
  <c r="I150" i="11"/>
  <c r="K150" i="11" s="1"/>
  <c r="I151" i="11"/>
  <c r="K151" i="11" s="1"/>
  <c r="I152" i="11"/>
  <c r="I153" i="11"/>
  <c r="I154" i="11"/>
  <c r="J156" i="11"/>
  <c r="L158" i="11"/>
  <c r="M158" i="11"/>
  <c r="P158" i="11" s="1"/>
  <c r="N158" i="11"/>
  <c r="O158" i="11"/>
  <c r="Q158" i="11"/>
  <c r="R158" i="11"/>
  <c r="S158" i="11"/>
  <c r="U158" i="11"/>
  <c r="O161" i="11"/>
  <c r="P161" i="11"/>
  <c r="T161" i="11"/>
  <c r="U161" i="11"/>
  <c r="L162" i="11"/>
  <c r="L160" i="11" s="1"/>
  <c r="O160" i="11" s="1"/>
  <c r="M162" i="11"/>
  <c r="N162" i="11"/>
  <c r="Q162" i="11"/>
  <c r="T162" i="11" s="1"/>
  <c r="R162" i="11"/>
  <c r="R160" i="11" s="1"/>
  <c r="U160" i="11" s="1"/>
  <c r="S162" i="11"/>
  <c r="S159" i="11" s="1"/>
  <c r="S157" i="11" s="1"/>
  <c r="Q163" i="11"/>
  <c r="R163" i="11"/>
  <c r="S163" i="11"/>
  <c r="T163" i="11"/>
  <c r="U163" i="11"/>
  <c r="O164" i="11"/>
  <c r="P164" i="11"/>
  <c r="T164" i="11"/>
  <c r="U164" i="11"/>
  <c r="L165" i="11"/>
  <c r="M165" i="11"/>
  <c r="P165" i="11" s="1"/>
  <c r="N165" i="11"/>
  <c r="N163" i="11" s="1"/>
  <c r="T165" i="11"/>
  <c r="U165" i="11"/>
  <c r="I167" i="11"/>
  <c r="K167" i="11" s="1"/>
  <c r="I168" i="11"/>
  <c r="K168" i="11" s="1"/>
  <c r="I169" i="11"/>
  <c r="I156" i="11" s="1"/>
  <c r="K156" i="11" s="1"/>
  <c r="J172" i="11"/>
  <c r="L174" i="11"/>
  <c r="O174" i="11" s="1"/>
  <c r="M174" i="11"/>
  <c r="N174" i="11"/>
  <c r="Q174" i="11"/>
  <c r="R174" i="11"/>
  <c r="U174" i="11" s="1"/>
  <c r="S174" i="11"/>
  <c r="O177" i="11"/>
  <c r="P177" i="11"/>
  <c r="T177" i="11"/>
  <c r="U177" i="11"/>
  <c r="L178" i="11"/>
  <c r="M178" i="11"/>
  <c r="N178" i="11"/>
  <c r="Q178" i="11"/>
  <c r="T178" i="11" s="1"/>
  <c r="R178" i="11"/>
  <c r="R176" i="11" s="1"/>
  <c r="U176" i="11" s="1"/>
  <c r="S178" i="11"/>
  <c r="S175" i="11" s="1"/>
  <c r="Q179" i="11"/>
  <c r="R179" i="11"/>
  <c r="S179" i="11"/>
  <c r="T179" i="11"/>
  <c r="U179" i="11"/>
  <c r="O180" i="11"/>
  <c r="P180" i="11"/>
  <c r="T180" i="11"/>
  <c r="U180" i="11"/>
  <c r="L181" i="11"/>
  <c r="M181" i="11"/>
  <c r="P181" i="11" s="1"/>
  <c r="N181" i="11"/>
  <c r="N179" i="11" s="1"/>
  <c r="T181" i="11"/>
  <c r="U181" i="11"/>
  <c r="I183" i="11"/>
  <c r="K184" i="11"/>
  <c r="L187" i="11"/>
  <c r="M187" i="11"/>
  <c r="N187" i="11"/>
  <c r="Q187" i="11"/>
  <c r="R187" i="11"/>
  <c r="U187" i="11" s="1"/>
  <c r="S187" i="11"/>
  <c r="T187" i="11"/>
  <c r="O190" i="11"/>
  <c r="P190" i="11"/>
  <c r="T190" i="11"/>
  <c r="U190" i="11"/>
  <c r="L191" i="11"/>
  <c r="L189" i="11" s="1"/>
  <c r="M191" i="11"/>
  <c r="N191" i="11"/>
  <c r="N189" i="11" s="1"/>
  <c r="Q191" i="11"/>
  <c r="Q188" i="11" s="1"/>
  <c r="R191" i="11"/>
  <c r="R188" i="11" s="1"/>
  <c r="S191" i="11"/>
  <c r="Q192" i="11"/>
  <c r="T192" i="11" s="1"/>
  <c r="R192" i="11"/>
  <c r="U192" i="11" s="1"/>
  <c r="S192" i="11"/>
  <c r="O193" i="11"/>
  <c r="P193" i="11"/>
  <c r="T193" i="11"/>
  <c r="U193" i="11"/>
  <c r="L194" i="11"/>
  <c r="L192" i="11" s="1"/>
  <c r="O192" i="11" s="1"/>
  <c r="M194" i="11"/>
  <c r="N194" i="11"/>
  <c r="N192" i="11" s="1"/>
  <c r="T194" i="11"/>
  <c r="U194" i="11"/>
  <c r="J195" i="11"/>
  <c r="L196" i="11"/>
  <c r="O196" i="11" s="1"/>
  <c r="P196" i="11"/>
  <c r="I198" i="11"/>
  <c r="I195" i="11" s="1"/>
  <c r="K195" i="11" s="1"/>
  <c r="J200" i="11"/>
  <c r="J199" i="11" s="1"/>
  <c r="J202" i="11"/>
  <c r="N203" i="11"/>
  <c r="P203" i="11"/>
  <c r="S203" i="11"/>
  <c r="U203" i="11"/>
  <c r="L204" i="11"/>
  <c r="L205" i="11"/>
  <c r="L206" i="11"/>
  <c r="Q206" i="11"/>
  <c r="Q203" i="11" s="1"/>
  <c r="T203" i="11" s="1"/>
  <c r="L207" i="11"/>
  <c r="I209" i="11"/>
  <c r="I202" i="11" s="1"/>
  <c r="K202" i="11" s="1"/>
  <c r="I211" i="11"/>
  <c r="K211" i="11" s="1"/>
  <c r="I212" i="11"/>
  <c r="K212" i="11" s="1"/>
  <c r="J213" i="11"/>
  <c r="N214" i="11"/>
  <c r="P214" i="11"/>
  <c r="S214" i="11"/>
  <c r="U214" i="11"/>
  <c r="L215" i="11"/>
  <c r="L216" i="11"/>
  <c r="L217" i="11"/>
  <c r="Q217" i="11"/>
  <c r="Q214" i="11" s="1"/>
  <c r="T214" i="11" s="1"/>
  <c r="I219" i="11"/>
  <c r="K219" i="11" s="1"/>
  <c r="I220" i="11"/>
  <c r="J221" i="11"/>
  <c r="N222" i="11"/>
  <c r="P222" i="11"/>
  <c r="L223" i="11"/>
  <c r="L224" i="11"/>
  <c r="L225" i="11"/>
  <c r="I228" i="11"/>
  <c r="K228" i="11" s="1"/>
  <c r="I229" i="11"/>
  <c r="I230" i="11"/>
  <c r="K230" i="11" s="1"/>
  <c r="N233" i="11"/>
  <c r="N234" i="11"/>
  <c r="N235" i="11"/>
  <c r="N236" i="11"/>
  <c r="J238" i="11"/>
  <c r="I240" i="11"/>
  <c r="K240" i="11" s="1"/>
  <c r="J240" i="11"/>
  <c r="I241" i="11"/>
  <c r="J241" i="11"/>
  <c r="K241" i="11"/>
  <c r="J242" i="11"/>
  <c r="N243" i="11"/>
  <c r="P243" i="11"/>
  <c r="L244" i="11"/>
  <c r="L245" i="11"/>
  <c r="L246" i="11"/>
  <c r="L247" i="11"/>
  <c r="I249" i="11"/>
  <c r="K251" i="11"/>
  <c r="K252" i="11"/>
  <c r="J253" i="11"/>
  <c r="N254" i="11"/>
  <c r="P254" i="11"/>
  <c r="L255" i="11"/>
  <c r="L256" i="11"/>
  <c r="L257" i="11"/>
  <c r="L258" i="11"/>
  <c r="I260" i="11"/>
  <c r="K262" i="11"/>
  <c r="K263" i="11"/>
  <c r="J265" i="11"/>
  <c r="L267" i="11"/>
  <c r="M267" i="11"/>
  <c r="N267" i="11"/>
  <c r="Q267" i="11"/>
  <c r="T267" i="11" s="1"/>
  <c r="R267" i="11"/>
  <c r="S267" i="11"/>
  <c r="O270" i="11"/>
  <c r="P270" i="11"/>
  <c r="T270" i="11"/>
  <c r="U270" i="11"/>
  <c r="L271" i="11"/>
  <c r="L269" i="11" s="1"/>
  <c r="O269" i="11" s="1"/>
  <c r="M271" i="11"/>
  <c r="M269" i="11" s="1"/>
  <c r="N271" i="11"/>
  <c r="Q271" i="11"/>
  <c r="R271" i="11"/>
  <c r="S271" i="11"/>
  <c r="S268" i="11" s="1"/>
  <c r="Q272" i="11"/>
  <c r="T272" i="11" s="1"/>
  <c r="R272" i="11"/>
  <c r="U272" i="11" s="1"/>
  <c r="S272" i="11"/>
  <c r="O273" i="11"/>
  <c r="P273" i="11"/>
  <c r="T273" i="11"/>
  <c r="U273" i="11"/>
  <c r="L274" i="11"/>
  <c r="L272" i="11" s="1"/>
  <c r="O272" i="11" s="1"/>
  <c r="M274" i="11"/>
  <c r="M272" i="11" s="1"/>
  <c r="P272" i="11" s="1"/>
  <c r="N274" i="11"/>
  <c r="N272" i="11" s="1"/>
  <c r="T274" i="11"/>
  <c r="U274" i="11"/>
  <c r="I276" i="11"/>
  <c r="I265" i="11" s="1"/>
  <c r="K265" i="11" s="1"/>
  <c r="J281" i="11"/>
  <c r="Q282" i="11"/>
  <c r="T282" i="11" s="1"/>
  <c r="L283" i="11"/>
  <c r="M283" i="11"/>
  <c r="N283" i="11"/>
  <c r="O283" i="11"/>
  <c r="Q283" i="11"/>
  <c r="T283" i="11" s="1"/>
  <c r="R283" i="11"/>
  <c r="R282" i="11" s="1"/>
  <c r="U282" i="11" s="1"/>
  <c r="S283" i="11"/>
  <c r="U283" i="11"/>
  <c r="Q284" i="11"/>
  <c r="T284" i="11" s="1"/>
  <c r="R284" i="11"/>
  <c r="U284" i="11" s="1"/>
  <c r="S284" i="11"/>
  <c r="Q285" i="11"/>
  <c r="T285" i="11" s="1"/>
  <c r="R285" i="11"/>
  <c r="U285" i="11" s="1"/>
  <c r="S285" i="11"/>
  <c r="O286" i="11"/>
  <c r="P286" i="11"/>
  <c r="T286" i="11"/>
  <c r="U286" i="11"/>
  <c r="L287" i="11"/>
  <c r="M287" i="11"/>
  <c r="M285" i="11" s="1"/>
  <c r="P285" i="11" s="1"/>
  <c r="N287" i="11"/>
  <c r="N285" i="11" s="1"/>
  <c r="T287" i="11"/>
  <c r="U287" i="11"/>
  <c r="Q288" i="11"/>
  <c r="T288" i="11" s="1"/>
  <c r="R288" i="11"/>
  <c r="U288" i="11" s="1"/>
  <c r="S288" i="11"/>
  <c r="O289" i="11"/>
  <c r="P289" i="11"/>
  <c r="T289" i="11"/>
  <c r="U289" i="11"/>
  <c r="L290" i="11"/>
  <c r="M290" i="11"/>
  <c r="N290" i="11"/>
  <c r="N288" i="11" s="1"/>
  <c r="T290" i="11"/>
  <c r="U290" i="11"/>
  <c r="I292" i="11"/>
  <c r="I293" i="11"/>
  <c r="J293" i="11"/>
  <c r="J280" i="11" s="1"/>
  <c r="I295" i="11"/>
  <c r="K295" i="11" s="1"/>
  <c r="I296" i="11"/>
  <c r="K296" i="11" s="1"/>
  <c r="J302" i="11"/>
  <c r="L304" i="11"/>
  <c r="M304" i="11"/>
  <c r="N304" i="11"/>
  <c r="O304" i="11"/>
  <c r="Q304" i="11"/>
  <c r="R304" i="11"/>
  <c r="U304" i="11" s="1"/>
  <c r="S304" i="11"/>
  <c r="O307" i="11"/>
  <c r="P307" i="11"/>
  <c r="T307" i="11"/>
  <c r="U307" i="11"/>
  <c r="L308" i="11"/>
  <c r="O308" i="11" s="1"/>
  <c r="M308" i="11"/>
  <c r="M306" i="11" s="1"/>
  <c r="P306" i="11" s="1"/>
  <c r="N308" i="11"/>
  <c r="Q308" i="11"/>
  <c r="Q305" i="11" s="1"/>
  <c r="R308" i="11"/>
  <c r="R306" i="11" s="1"/>
  <c r="S308" i="11"/>
  <c r="S306" i="11" s="1"/>
  <c r="Q309" i="11"/>
  <c r="T309" i="11" s="1"/>
  <c r="R309" i="11"/>
  <c r="U309" i="11" s="1"/>
  <c r="S309" i="11"/>
  <c r="O310" i="11"/>
  <c r="P310" i="11"/>
  <c r="T310" i="11"/>
  <c r="U310" i="11"/>
  <c r="L311" i="11"/>
  <c r="O311" i="11" s="1"/>
  <c r="M311" i="11"/>
  <c r="N311" i="11"/>
  <c r="N309" i="11" s="1"/>
  <c r="T311" i="11"/>
  <c r="U311" i="11"/>
  <c r="I314" i="11"/>
  <c r="K314" i="11" s="1"/>
  <c r="J319" i="11"/>
  <c r="L321" i="11"/>
  <c r="M321" i="11"/>
  <c r="P321" i="11" s="1"/>
  <c r="N321" i="11"/>
  <c r="Q321" i="11"/>
  <c r="R321" i="11"/>
  <c r="S321" i="11"/>
  <c r="T321" i="11"/>
  <c r="Q322" i="11"/>
  <c r="Q320" i="11" s="1"/>
  <c r="T320" i="11" s="1"/>
  <c r="R322" i="11"/>
  <c r="S322" i="11"/>
  <c r="U322" i="11"/>
  <c r="Q323" i="11"/>
  <c r="T323" i="11" s="1"/>
  <c r="R323" i="11"/>
  <c r="U323" i="11" s="1"/>
  <c r="S323" i="11"/>
  <c r="O324" i="11"/>
  <c r="P324" i="11"/>
  <c r="T324" i="11"/>
  <c r="U324" i="11"/>
  <c r="L325" i="11"/>
  <c r="M325" i="11"/>
  <c r="M323" i="11" s="1"/>
  <c r="P323" i="11" s="1"/>
  <c r="N325" i="11"/>
  <c r="N323" i="11" s="1"/>
  <c r="T325" i="11"/>
  <c r="U325" i="11"/>
  <c r="Q326" i="11"/>
  <c r="R326" i="11"/>
  <c r="U326" i="11" s="1"/>
  <c r="S326" i="11"/>
  <c r="T326" i="11"/>
  <c r="O327" i="11"/>
  <c r="P327" i="11"/>
  <c r="T327" i="11"/>
  <c r="U327" i="11"/>
  <c r="L328" i="11"/>
  <c r="O328" i="11" s="1"/>
  <c r="M328" i="11"/>
  <c r="N328" i="11"/>
  <c r="N326" i="11" s="1"/>
  <c r="T328" i="11"/>
  <c r="U328" i="11"/>
  <c r="I330" i="11"/>
  <c r="S333" i="11"/>
  <c r="L334" i="11"/>
  <c r="O334" i="11" s="1"/>
  <c r="M334" i="11"/>
  <c r="N334" i="11"/>
  <c r="P334" i="11"/>
  <c r="Q334" i="11"/>
  <c r="T334" i="11" s="1"/>
  <c r="R334" i="11"/>
  <c r="U334" i="11" s="1"/>
  <c r="S334" i="11"/>
  <c r="Q335" i="11"/>
  <c r="T335" i="11" s="1"/>
  <c r="R335" i="11"/>
  <c r="U335" i="11" s="1"/>
  <c r="S335" i="11"/>
  <c r="Q336" i="11"/>
  <c r="R336" i="11"/>
  <c r="U336" i="11" s="1"/>
  <c r="S336" i="11"/>
  <c r="T336" i="11"/>
  <c r="O337" i="11"/>
  <c r="P337" i="11"/>
  <c r="T337" i="11"/>
  <c r="U337" i="11"/>
  <c r="L338" i="11"/>
  <c r="L336" i="11" s="1"/>
  <c r="M338" i="11"/>
  <c r="N338" i="11"/>
  <c r="N336" i="11" s="1"/>
  <c r="T338" i="11"/>
  <c r="U338" i="11"/>
  <c r="Q339" i="11"/>
  <c r="T339" i="11" s="1"/>
  <c r="R339" i="11"/>
  <c r="U339" i="11" s="1"/>
  <c r="S339" i="11"/>
  <c r="O340" i="11"/>
  <c r="P340" i="11"/>
  <c r="T340" i="11"/>
  <c r="U340" i="11"/>
  <c r="L341" i="11"/>
  <c r="M341" i="11"/>
  <c r="P341" i="11" s="1"/>
  <c r="N341" i="11"/>
  <c r="N339" i="11" s="1"/>
  <c r="T341" i="11"/>
  <c r="U341" i="11"/>
  <c r="I344" i="11"/>
  <c r="J344" i="11"/>
  <c r="I346" i="11"/>
  <c r="J346" i="11"/>
  <c r="J347" i="11"/>
  <c r="J348" i="11"/>
  <c r="J349" i="11"/>
  <c r="D350" i="11"/>
  <c r="J352" i="11"/>
  <c r="J353" i="11"/>
  <c r="J354" i="11"/>
  <c r="L357" i="11"/>
  <c r="M357" i="11"/>
  <c r="N357" i="11"/>
  <c r="O357" i="11"/>
  <c r="Q357" i="11"/>
  <c r="T357" i="11" s="1"/>
  <c r="R357" i="11"/>
  <c r="S357" i="11"/>
  <c r="U357" i="11"/>
  <c r="Q358" i="11"/>
  <c r="T358" i="11" s="1"/>
  <c r="R358" i="11"/>
  <c r="U358" i="11" s="1"/>
  <c r="S358" i="11"/>
  <c r="Q359" i="11"/>
  <c r="T359" i="11" s="1"/>
  <c r="R359" i="11"/>
  <c r="U359" i="11" s="1"/>
  <c r="S359" i="11"/>
  <c r="O360" i="11"/>
  <c r="P360" i="11"/>
  <c r="T360" i="11"/>
  <c r="U360" i="11"/>
  <c r="L361" i="11"/>
  <c r="M361" i="11"/>
  <c r="N361" i="11"/>
  <c r="T361" i="11"/>
  <c r="U361" i="11"/>
  <c r="Q362" i="11"/>
  <c r="T362" i="11" s="1"/>
  <c r="R362" i="11"/>
  <c r="U362" i="11" s="1"/>
  <c r="S362" i="11"/>
  <c r="O363" i="11"/>
  <c r="P363" i="11"/>
  <c r="T363" i="11"/>
  <c r="U363" i="11"/>
  <c r="L364" i="11"/>
  <c r="O364" i="11" s="1"/>
  <c r="M364" i="11"/>
  <c r="N364" i="11"/>
  <c r="N362" i="11" s="1"/>
  <c r="T364" i="11"/>
  <c r="U364" i="11"/>
  <c r="J367" i="11"/>
  <c r="K367" i="11"/>
  <c r="I368" i="11"/>
  <c r="J368" i="11"/>
  <c r="I369" i="11"/>
  <c r="J369" i="11"/>
  <c r="J370" i="11"/>
  <c r="K370" i="11"/>
  <c r="I371" i="11"/>
  <c r="J371" i="11"/>
  <c r="J365" i="11" s="1"/>
  <c r="J372" i="11"/>
  <c r="K372" i="11"/>
  <c r="D373" i="11"/>
  <c r="L376" i="11"/>
  <c r="M376" i="11"/>
  <c r="N376" i="11"/>
  <c r="Q376" i="11"/>
  <c r="R376" i="11"/>
  <c r="S376" i="11"/>
  <c r="L377" i="11"/>
  <c r="M377" i="11"/>
  <c r="P377" i="11" s="1"/>
  <c r="N377" i="11"/>
  <c r="O377" i="11"/>
  <c r="L378" i="11"/>
  <c r="M378" i="11"/>
  <c r="N378" i="11"/>
  <c r="O378" i="11"/>
  <c r="P378" i="11"/>
  <c r="O379" i="11"/>
  <c r="P379" i="11"/>
  <c r="T379" i="11"/>
  <c r="U379" i="11"/>
  <c r="O380" i="11"/>
  <c r="P380" i="11"/>
  <c r="Q380" i="11"/>
  <c r="R380" i="11"/>
  <c r="R378" i="11" s="1"/>
  <c r="S380" i="11"/>
  <c r="S378" i="11" s="1"/>
  <c r="L381" i="11"/>
  <c r="O381" i="11" s="1"/>
  <c r="M381" i="11"/>
  <c r="P381" i="11" s="1"/>
  <c r="N381" i="11"/>
  <c r="Q381" i="11"/>
  <c r="R381" i="11"/>
  <c r="U381" i="11" s="1"/>
  <c r="S381" i="11"/>
  <c r="T381" i="11"/>
  <c r="O382" i="11"/>
  <c r="P382" i="11"/>
  <c r="T382" i="11"/>
  <c r="U382" i="11"/>
  <c r="O383" i="11"/>
  <c r="P383" i="11"/>
  <c r="T383" i="11"/>
  <c r="U383" i="11"/>
  <c r="J385" i="11"/>
  <c r="K385" i="11"/>
  <c r="I386" i="11"/>
  <c r="J386" i="11"/>
  <c r="J387" i="11"/>
  <c r="K387" i="11"/>
  <c r="I388" i="11"/>
  <c r="K388" i="11" s="1"/>
  <c r="J388" i="11"/>
  <c r="I391" i="11"/>
  <c r="J391" i="11"/>
  <c r="K391" i="11"/>
  <c r="L392" i="11"/>
  <c r="O392" i="11" s="1"/>
  <c r="L393" i="11"/>
  <c r="M393" i="11"/>
  <c r="N393" i="11"/>
  <c r="N392" i="11" s="1"/>
  <c r="O393" i="11"/>
  <c r="Q393" i="11"/>
  <c r="R393" i="11"/>
  <c r="R392" i="11" s="1"/>
  <c r="U392" i="11" s="1"/>
  <c r="S393" i="11"/>
  <c r="U393" i="11"/>
  <c r="L394" i="11"/>
  <c r="O394" i="11" s="1"/>
  <c r="M394" i="11"/>
  <c r="N394" i="11"/>
  <c r="P394" i="11"/>
  <c r="Q394" i="11"/>
  <c r="T394" i="11" s="1"/>
  <c r="R394" i="11"/>
  <c r="U394" i="11" s="1"/>
  <c r="S394" i="11"/>
  <c r="L395" i="11"/>
  <c r="O395" i="11" s="1"/>
  <c r="M395" i="11"/>
  <c r="P395" i="11" s="1"/>
  <c r="N395" i="11"/>
  <c r="Q395" i="11"/>
  <c r="T395" i="11" s="1"/>
  <c r="R395" i="11"/>
  <c r="U395" i="11" s="1"/>
  <c r="S395" i="11"/>
  <c r="O396" i="11"/>
  <c r="P396" i="11"/>
  <c r="T396" i="11"/>
  <c r="U396" i="11"/>
  <c r="O397" i="11"/>
  <c r="P397" i="11"/>
  <c r="T397" i="11"/>
  <c r="U397" i="11"/>
  <c r="L398" i="11"/>
  <c r="O398" i="11" s="1"/>
  <c r="M398" i="11"/>
  <c r="P398" i="11" s="1"/>
  <c r="N398" i="11"/>
  <c r="Q398" i="11"/>
  <c r="T398" i="11" s="1"/>
  <c r="R398" i="11"/>
  <c r="U398" i="11" s="1"/>
  <c r="S398" i="11"/>
  <c r="O399" i="11"/>
  <c r="P399" i="11"/>
  <c r="T399" i="11"/>
  <c r="U399" i="11"/>
  <c r="O400" i="11"/>
  <c r="P400" i="11"/>
  <c r="T400" i="11"/>
  <c r="U400" i="11"/>
  <c r="L414" i="11"/>
  <c r="M414" i="11"/>
  <c r="N414" i="11"/>
  <c r="P414" i="11"/>
  <c r="Q414" i="11"/>
  <c r="R414" i="11"/>
  <c r="S414" i="11"/>
  <c r="L415" i="11"/>
  <c r="O415" i="11" s="1"/>
  <c r="M415" i="11"/>
  <c r="P415" i="11" s="1"/>
  <c r="N415" i="11"/>
  <c r="L416" i="11"/>
  <c r="M416" i="11"/>
  <c r="N416" i="11"/>
  <c r="O416" i="11"/>
  <c r="P416" i="11"/>
  <c r="O417" i="11"/>
  <c r="P417" i="11"/>
  <c r="T417" i="11"/>
  <c r="U417" i="11"/>
  <c r="O418" i="11"/>
  <c r="P418" i="11"/>
  <c r="Q418" i="11"/>
  <c r="Q416" i="11" s="1"/>
  <c r="T416" i="11" s="1"/>
  <c r="R418" i="11"/>
  <c r="R416" i="11" s="1"/>
  <c r="U416" i="11" s="1"/>
  <c r="S418" i="11"/>
  <c r="S416" i="11" s="1"/>
  <c r="L419" i="11"/>
  <c r="O419" i="11" s="1"/>
  <c r="M419" i="11"/>
  <c r="P419" i="11" s="1"/>
  <c r="N419" i="11"/>
  <c r="Q419" i="11"/>
  <c r="T419" i="11" s="1"/>
  <c r="R419" i="11"/>
  <c r="U419" i="11" s="1"/>
  <c r="S419" i="11"/>
  <c r="O420" i="11"/>
  <c r="P420" i="11"/>
  <c r="T420" i="11"/>
  <c r="U420" i="11"/>
  <c r="O421" i="11"/>
  <c r="P421" i="11"/>
  <c r="T421" i="11"/>
  <c r="U421" i="11"/>
  <c r="I424" i="11"/>
  <c r="K424" i="11" s="1"/>
  <c r="J424" i="11"/>
  <c r="I425" i="11"/>
  <c r="K425" i="11" s="1"/>
  <c r="J425" i="11"/>
  <c r="I432" i="11"/>
  <c r="K432" i="11" s="1"/>
  <c r="J432" i="11"/>
  <c r="I433" i="11"/>
  <c r="K433" i="11" s="1"/>
  <c r="J433" i="11"/>
  <c r="I440" i="11"/>
  <c r="I441" i="11"/>
  <c r="K441" i="11" s="1"/>
  <c r="J446" i="11"/>
  <c r="J440" i="11" s="1"/>
  <c r="J423" i="11" s="1"/>
  <c r="J412" i="11" s="1"/>
  <c r="J447" i="11"/>
  <c r="J441" i="11" s="1"/>
  <c r="I457" i="11"/>
  <c r="K457" i="11" s="1"/>
  <c r="I458" i="11"/>
  <c r="K458" i="11" s="1"/>
  <c r="J459" i="11"/>
  <c r="J460" i="11"/>
  <c r="J467" i="11"/>
  <c r="J468" i="11"/>
  <c r="J475" i="11"/>
  <c r="K475" i="11"/>
  <c r="J476" i="11"/>
  <c r="K476" i="11"/>
  <c r="J477" i="11"/>
  <c r="K477" i="11"/>
  <c r="J482" i="11"/>
  <c r="J483" i="11"/>
  <c r="I484" i="11"/>
  <c r="K484" i="11" s="1"/>
  <c r="J484" i="11"/>
  <c r="I485" i="11"/>
  <c r="K485" i="11" s="1"/>
  <c r="J485" i="11"/>
  <c r="L494" i="11"/>
  <c r="M494" i="11"/>
  <c r="N494" i="11"/>
  <c r="Q494" i="11"/>
  <c r="T494" i="11" s="1"/>
  <c r="R494" i="11"/>
  <c r="S494" i="11"/>
  <c r="L495" i="11"/>
  <c r="O495" i="11" s="1"/>
  <c r="M495" i="11"/>
  <c r="N495" i="11"/>
  <c r="P495" i="11"/>
  <c r="L496" i="11"/>
  <c r="O496" i="11" s="1"/>
  <c r="M496" i="11"/>
  <c r="P496" i="11" s="1"/>
  <c r="N496" i="11"/>
  <c r="O497" i="11"/>
  <c r="P497" i="11"/>
  <c r="T497" i="11"/>
  <c r="U497" i="11"/>
  <c r="O498" i="11"/>
  <c r="P498" i="11"/>
  <c r="Q498" i="11"/>
  <c r="Q496" i="11" s="1"/>
  <c r="T496" i="11" s="1"/>
  <c r="R498" i="11"/>
  <c r="R495" i="11" s="1"/>
  <c r="U495" i="11" s="1"/>
  <c r="S498" i="11"/>
  <c r="S495" i="11" s="1"/>
  <c r="L499" i="11"/>
  <c r="O499" i="11" s="1"/>
  <c r="M499" i="11"/>
  <c r="N499" i="11"/>
  <c r="P499" i="11"/>
  <c r="Q499" i="11"/>
  <c r="T499" i="11" s="1"/>
  <c r="R499" i="11"/>
  <c r="U499" i="11" s="1"/>
  <c r="S499" i="11"/>
  <c r="O500" i="11"/>
  <c r="P500" i="11"/>
  <c r="T500" i="11"/>
  <c r="U500" i="11"/>
  <c r="O501" i="11"/>
  <c r="P501" i="11"/>
  <c r="T501" i="11"/>
  <c r="U501" i="11"/>
  <c r="I503" i="11"/>
  <c r="I492" i="11" s="1"/>
  <c r="K492" i="11" s="1"/>
  <c r="I504" i="11"/>
  <c r="K504" i="11" s="1"/>
  <c r="I505" i="11"/>
  <c r="K505" i="11" s="1"/>
  <c r="I506" i="11"/>
  <c r="K506" i="11" s="1"/>
  <c r="I507" i="11"/>
  <c r="K507" i="11" s="1"/>
  <c r="K508" i="11"/>
  <c r="I509" i="11"/>
  <c r="K509" i="11" s="1"/>
  <c r="I512" i="11"/>
  <c r="J512" i="11"/>
  <c r="K512" i="11"/>
  <c r="Q513" i="11"/>
  <c r="T513" i="11" s="1"/>
  <c r="L514" i="11"/>
  <c r="M514" i="11"/>
  <c r="N514" i="11"/>
  <c r="Q514" i="11"/>
  <c r="R514" i="11"/>
  <c r="S514" i="11"/>
  <c r="S513" i="11" s="1"/>
  <c r="T514" i="11"/>
  <c r="Q515" i="11"/>
  <c r="R515" i="11"/>
  <c r="S515" i="11"/>
  <c r="T515" i="11"/>
  <c r="U515" i="11"/>
  <c r="Q516" i="11"/>
  <c r="T516" i="11" s="1"/>
  <c r="R516" i="11"/>
  <c r="U516" i="11" s="1"/>
  <c r="S516" i="11"/>
  <c r="O517" i="11"/>
  <c r="P517" i="11"/>
  <c r="T517" i="11"/>
  <c r="U517" i="11"/>
  <c r="L518" i="11"/>
  <c r="M518" i="11"/>
  <c r="N518" i="11"/>
  <c r="N516" i="11" s="1"/>
  <c r="T518" i="11"/>
  <c r="U518" i="11"/>
  <c r="Q519" i="11"/>
  <c r="T519" i="11" s="1"/>
  <c r="R519" i="11"/>
  <c r="S519" i="11"/>
  <c r="U519" i="11"/>
  <c r="O520" i="11"/>
  <c r="P520" i="11"/>
  <c r="T520" i="11"/>
  <c r="U520" i="11"/>
  <c r="L521" i="11"/>
  <c r="M521" i="11"/>
  <c r="P521" i="11" s="1"/>
  <c r="N521" i="11"/>
  <c r="N519" i="11" s="1"/>
  <c r="T521" i="11"/>
  <c r="U521" i="11"/>
  <c r="K523" i="11"/>
  <c r="K524" i="11"/>
  <c r="I533" i="11"/>
  <c r="K533" i="11" s="1"/>
  <c r="J533" i="11"/>
  <c r="L535" i="11"/>
  <c r="M535" i="11"/>
  <c r="N535" i="11"/>
  <c r="N534" i="11" s="1"/>
  <c r="Q535" i="11"/>
  <c r="Q534" i="11" s="1"/>
  <c r="T534" i="11" s="1"/>
  <c r="R535" i="11"/>
  <c r="R534" i="11" s="1"/>
  <c r="U534" i="11" s="1"/>
  <c r="S535" i="11"/>
  <c r="S534" i="11" s="1"/>
  <c r="T535" i="11"/>
  <c r="U535" i="11"/>
  <c r="L536" i="11"/>
  <c r="M536" i="11"/>
  <c r="N536" i="11"/>
  <c r="O536" i="11"/>
  <c r="P536" i="11"/>
  <c r="Q536" i="11"/>
  <c r="T536" i="11" s="1"/>
  <c r="R536" i="11"/>
  <c r="S536" i="11"/>
  <c r="U536" i="11"/>
  <c r="L537" i="11"/>
  <c r="O537" i="11" s="1"/>
  <c r="M537" i="11"/>
  <c r="P537" i="11" s="1"/>
  <c r="N537" i="11"/>
  <c r="Q537" i="11"/>
  <c r="T537" i="11" s="1"/>
  <c r="R537" i="11"/>
  <c r="U537" i="11" s="1"/>
  <c r="S537" i="11"/>
  <c r="O538" i="11"/>
  <c r="P538" i="11"/>
  <c r="T538" i="11"/>
  <c r="U538" i="11"/>
  <c r="O539" i="11"/>
  <c r="P539" i="11"/>
  <c r="T539" i="11"/>
  <c r="U539" i="11"/>
  <c r="L540" i="11"/>
  <c r="O540" i="11" s="1"/>
  <c r="M540" i="11"/>
  <c r="P540" i="11" s="1"/>
  <c r="N540" i="11"/>
  <c r="Q540" i="11"/>
  <c r="T540" i="11" s="1"/>
  <c r="R540" i="11"/>
  <c r="U540" i="11" s="1"/>
  <c r="S540" i="11"/>
  <c r="O541" i="11"/>
  <c r="P541" i="11"/>
  <c r="T541" i="11"/>
  <c r="U541" i="11"/>
  <c r="O542" i="11"/>
  <c r="P542" i="11"/>
  <c r="T542" i="11"/>
  <c r="U542" i="11"/>
  <c r="I554" i="11"/>
  <c r="K554" i="11" s="1"/>
  <c r="J554" i="11"/>
  <c r="N555" i="11"/>
  <c r="L556" i="11"/>
  <c r="L555" i="11" s="1"/>
  <c r="O555" i="11" s="1"/>
  <c r="M556" i="11"/>
  <c r="P556" i="11" s="1"/>
  <c r="N556" i="11"/>
  <c r="Q556" i="11"/>
  <c r="R556" i="11"/>
  <c r="S556" i="11"/>
  <c r="L557" i="11"/>
  <c r="O557" i="11" s="1"/>
  <c r="M557" i="11"/>
  <c r="P557" i="11" s="1"/>
  <c r="N557" i="11"/>
  <c r="Q557" i="11"/>
  <c r="R557" i="11"/>
  <c r="U557" i="11" s="1"/>
  <c r="S557" i="11"/>
  <c r="T557" i="11"/>
  <c r="L558" i="11"/>
  <c r="M558" i="11"/>
  <c r="N558" i="11"/>
  <c r="O558" i="11"/>
  <c r="P558" i="11"/>
  <c r="Q558" i="11"/>
  <c r="T558" i="11" s="1"/>
  <c r="R558" i="11"/>
  <c r="S558" i="11"/>
  <c r="U558" i="11"/>
  <c r="O559" i="11"/>
  <c r="P559" i="11"/>
  <c r="T559" i="11"/>
  <c r="U559" i="11"/>
  <c r="O560" i="11"/>
  <c r="P560" i="11"/>
  <c r="T560" i="11"/>
  <c r="U560" i="11"/>
  <c r="L561" i="11"/>
  <c r="M561" i="11"/>
  <c r="N561" i="11"/>
  <c r="O561" i="11"/>
  <c r="P561" i="11"/>
  <c r="Q561" i="11"/>
  <c r="T561" i="11" s="1"/>
  <c r="R561" i="11"/>
  <c r="U561" i="11" s="1"/>
  <c r="S561" i="11"/>
  <c r="O562" i="11"/>
  <c r="P562" i="11"/>
  <c r="T562" i="11"/>
  <c r="U562" i="11"/>
  <c r="O563" i="11"/>
  <c r="P563" i="11"/>
  <c r="T563" i="11"/>
  <c r="U563" i="11"/>
  <c r="I575" i="11"/>
  <c r="K575" i="11" s="1"/>
  <c r="J575" i="11"/>
  <c r="M576" i="11"/>
  <c r="P576" i="11" s="1"/>
  <c r="L577" i="11"/>
  <c r="L576" i="11" s="1"/>
  <c r="O576" i="11" s="1"/>
  <c r="M577" i="11"/>
  <c r="P577" i="11" s="1"/>
  <c r="N577" i="11"/>
  <c r="Q577" i="11"/>
  <c r="Q576" i="11" s="1"/>
  <c r="T576" i="11" s="1"/>
  <c r="R577" i="11"/>
  <c r="U577" i="11" s="1"/>
  <c r="S577" i="11"/>
  <c r="L578" i="11"/>
  <c r="M578" i="11"/>
  <c r="P578" i="11" s="1"/>
  <c r="N578" i="11"/>
  <c r="O578" i="11"/>
  <c r="Q578" i="11"/>
  <c r="T578" i="11" s="1"/>
  <c r="R578" i="11"/>
  <c r="U578" i="11" s="1"/>
  <c r="S578" i="11"/>
  <c r="L579" i="11"/>
  <c r="O579" i="11" s="1"/>
  <c r="M579" i="11"/>
  <c r="P579" i="11" s="1"/>
  <c r="N579" i="11"/>
  <c r="Q579" i="11"/>
  <c r="T579" i="11" s="1"/>
  <c r="R579" i="11"/>
  <c r="U579" i="11" s="1"/>
  <c r="S579" i="11"/>
  <c r="O580" i="11"/>
  <c r="P580" i="11"/>
  <c r="T580" i="11"/>
  <c r="U580" i="11"/>
  <c r="O581" i="11"/>
  <c r="P581" i="11"/>
  <c r="T581" i="11"/>
  <c r="U581" i="11"/>
  <c r="L582" i="11"/>
  <c r="O582" i="11" s="1"/>
  <c r="M582" i="11"/>
  <c r="P582" i="11" s="1"/>
  <c r="N582" i="11"/>
  <c r="Q582" i="11"/>
  <c r="T582" i="11" s="1"/>
  <c r="R582" i="11"/>
  <c r="U582" i="11" s="1"/>
  <c r="S582" i="11"/>
  <c r="O583" i="11"/>
  <c r="P583" i="11"/>
  <c r="T583" i="11"/>
  <c r="U583" i="11"/>
  <c r="O584" i="11"/>
  <c r="P584" i="11"/>
  <c r="T584" i="11"/>
  <c r="U584" i="11"/>
  <c r="N599" i="11"/>
  <c r="S599" i="11"/>
  <c r="L600" i="11"/>
  <c r="M600" i="11"/>
  <c r="N600" i="11"/>
  <c r="O600" i="11"/>
  <c r="P600" i="11"/>
  <c r="Q600" i="11"/>
  <c r="T600" i="11" s="1"/>
  <c r="R600" i="11"/>
  <c r="S600" i="11"/>
  <c r="U600" i="11"/>
  <c r="L601" i="11"/>
  <c r="O601" i="11" s="1"/>
  <c r="M601" i="11"/>
  <c r="N601" i="11"/>
  <c r="Q601" i="11"/>
  <c r="T601" i="11" s="1"/>
  <c r="R601" i="11"/>
  <c r="U601" i="11" s="1"/>
  <c r="S601" i="11"/>
  <c r="L602" i="11"/>
  <c r="O602" i="11" s="1"/>
  <c r="M602" i="11"/>
  <c r="P602" i="11" s="1"/>
  <c r="N602" i="11"/>
  <c r="Q602" i="11"/>
  <c r="T602" i="11" s="1"/>
  <c r="R602" i="11"/>
  <c r="S602" i="11"/>
  <c r="U602" i="11"/>
  <c r="O603" i="11"/>
  <c r="P603" i="11"/>
  <c r="T603" i="11"/>
  <c r="U603" i="11"/>
  <c r="O604" i="11"/>
  <c r="P604" i="11"/>
  <c r="T604" i="11"/>
  <c r="U604" i="11"/>
  <c r="L605" i="11"/>
  <c r="M605" i="11"/>
  <c r="P605" i="11" s="1"/>
  <c r="N605" i="11"/>
  <c r="O605" i="11"/>
  <c r="Q605" i="11"/>
  <c r="T605" i="11" s="1"/>
  <c r="R605" i="11"/>
  <c r="U605" i="11" s="1"/>
  <c r="S605" i="11"/>
  <c r="O606" i="11"/>
  <c r="P606" i="11"/>
  <c r="T606" i="11"/>
  <c r="U606" i="11"/>
  <c r="O607" i="11"/>
  <c r="P607" i="11"/>
  <c r="T607" i="11"/>
  <c r="U607" i="11"/>
  <c r="N616" i="11"/>
  <c r="L617" i="11"/>
  <c r="O617" i="11" s="1"/>
  <c r="M617" i="11"/>
  <c r="N617" i="11"/>
  <c r="P617" i="11"/>
  <c r="Q617" i="11"/>
  <c r="T617" i="11" s="1"/>
  <c r="R617" i="11"/>
  <c r="U617" i="11" s="1"/>
  <c r="S617" i="11"/>
  <c r="L618" i="11"/>
  <c r="M618" i="11"/>
  <c r="N618" i="11"/>
  <c r="O618" i="11"/>
  <c r="P618" i="11"/>
  <c r="L619" i="11"/>
  <c r="O619" i="11" s="1"/>
  <c r="M619" i="11"/>
  <c r="N619" i="11"/>
  <c r="P619" i="11"/>
  <c r="O620" i="11"/>
  <c r="P620" i="11"/>
  <c r="T620" i="11"/>
  <c r="U620" i="11"/>
  <c r="O621" i="11"/>
  <c r="P621" i="11"/>
  <c r="Q621" i="11"/>
  <c r="Q619" i="11" s="1"/>
  <c r="R621" i="11"/>
  <c r="R618" i="11" s="1"/>
  <c r="S621" i="11"/>
  <c r="L622" i="11"/>
  <c r="O622" i="11" s="1"/>
  <c r="M622" i="11"/>
  <c r="P622" i="11" s="1"/>
  <c r="N622" i="11"/>
  <c r="Q622" i="11"/>
  <c r="R622" i="11"/>
  <c r="U622" i="11" s="1"/>
  <c r="S622" i="11"/>
  <c r="T622" i="11"/>
  <c r="O623" i="11"/>
  <c r="P623" i="11"/>
  <c r="T623" i="11"/>
  <c r="U623" i="11"/>
  <c r="O624" i="11"/>
  <c r="P624" i="11"/>
  <c r="T624" i="11"/>
  <c r="U624" i="11"/>
  <c r="I626" i="11"/>
  <c r="I615" i="11" s="1"/>
  <c r="I627" i="11"/>
  <c r="K627" i="11" s="1"/>
  <c r="I628" i="11"/>
  <c r="K628" i="11" s="1"/>
  <c r="J632" i="11"/>
  <c r="J626" i="11" s="1"/>
  <c r="J615" i="11" s="1"/>
  <c r="I635" i="11"/>
  <c r="K635" i="11" s="1"/>
  <c r="J636" i="11"/>
  <c r="J635" i="11" s="1"/>
  <c r="L643" i="11"/>
  <c r="M643" i="11"/>
  <c r="N643" i="11"/>
  <c r="O643" i="11"/>
  <c r="Q643" i="11"/>
  <c r="R643" i="11"/>
  <c r="S643" i="11"/>
  <c r="U643" i="11"/>
  <c r="L644" i="11"/>
  <c r="O644" i="11" s="1"/>
  <c r="M644" i="11"/>
  <c r="P644" i="11" s="1"/>
  <c r="N644" i="11"/>
  <c r="N642" i="11" s="1"/>
  <c r="L645" i="11"/>
  <c r="O645" i="11" s="1"/>
  <c r="M645" i="11"/>
  <c r="P645" i="11" s="1"/>
  <c r="N645" i="11"/>
  <c r="O646" i="11"/>
  <c r="P646" i="11"/>
  <c r="T646" i="11"/>
  <c r="U646" i="11"/>
  <c r="O647" i="11"/>
  <c r="P647" i="11"/>
  <c r="Q647" i="11"/>
  <c r="R647" i="11"/>
  <c r="R645" i="11" s="1"/>
  <c r="U645" i="11" s="1"/>
  <c r="S647" i="11"/>
  <c r="S644" i="11" s="1"/>
  <c r="L648" i="11"/>
  <c r="O648" i="11" s="1"/>
  <c r="M648" i="11"/>
  <c r="P648" i="11" s="1"/>
  <c r="N648" i="11"/>
  <c r="Q648" i="11"/>
  <c r="R648" i="11"/>
  <c r="U648" i="11" s="1"/>
  <c r="S648" i="11"/>
  <c r="T648" i="11"/>
  <c r="O649" i="11"/>
  <c r="P649" i="11"/>
  <c r="T649" i="11"/>
  <c r="U649" i="11"/>
  <c r="O650" i="11"/>
  <c r="P650" i="11"/>
  <c r="T650" i="11"/>
  <c r="U650" i="11"/>
  <c r="I652" i="11"/>
  <c r="K652" i="11" s="1"/>
  <c r="J652" i="11"/>
  <c r="I653" i="11"/>
  <c r="K653" i="11" s="1"/>
  <c r="J653" i="11"/>
  <c r="I654" i="11"/>
  <c r="K654" i="11" s="1"/>
  <c r="J654" i="11"/>
  <c r="I657" i="11"/>
  <c r="I660" i="11"/>
  <c r="I661" i="11"/>
  <c r="K661" i="11" s="1"/>
  <c r="J661" i="11"/>
  <c r="J671" i="11"/>
  <c r="J672" i="11"/>
  <c r="I673" i="11"/>
  <c r="K673" i="11" s="1"/>
  <c r="J673" i="11"/>
  <c r="I674" i="11"/>
  <c r="K674" i="11" s="1"/>
  <c r="I675" i="11"/>
  <c r="K675" i="11" s="1"/>
  <c r="I676" i="11"/>
  <c r="K676" i="11" s="1"/>
  <c r="J676" i="11"/>
  <c r="J677" i="11"/>
  <c r="I678" i="11"/>
  <c r="K678" i="11" s="1"/>
  <c r="J678" i="11"/>
  <c r="I679" i="11"/>
  <c r="K679" i="11" s="1"/>
  <c r="J679" i="11"/>
  <c r="J680" i="11"/>
  <c r="I681" i="11"/>
  <c r="K681" i="11" s="1"/>
  <c r="J681" i="11"/>
  <c r="I682" i="11"/>
  <c r="K682" i="11" s="1"/>
  <c r="J682" i="11"/>
  <c r="L691" i="11"/>
  <c r="M691" i="11"/>
  <c r="P691" i="11" s="1"/>
  <c r="N691" i="11"/>
  <c r="Q691" i="11"/>
  <c r="T691" i="11" s="1"/>
  <c r="R691" i="11"/>
  <c r="S691" i="11"/>
  <c r="U691" i="11"/>
  <c r="L692" i="11"/>
  <c r="O692" i="11" s="1"/>
  <c r="M692" i="11"/>
  <c r="P692" i="11" s="1"/>
  <c r="N692" i="11"/>
  <c r="L693" i="11"/>
  <c r="M693" i="11"/>
  <c r="N693" i="11"/>
  <c r="O693" i="11"/>
  <c r="P693" i="11"/>
  <c r="O694" i="11"/>
  <c r="P694" i="11"/>
  <c r="T694" i="11"/>
  <c r="U694" i="11"/>
  <c r="O695" i="11"/>
  <c r="P695" i="11"/>
  <c r="Q695" i="11"/>
  <c r="R695" i="11"/>
  <c r="R693" i="11" s="1"/>
  <c r="S695" i="11"/>
  <c r="S693" i="11" s="1"/>
  <c r="L696" i="11"/>
  <c r="O696" i="11" s="1"/>
  <c r="M696" i="11"/>
  <c r="N696" i="11"/>
  <c r="P696" i="11"/>
  <c r="Q696" i="11"/>
  <c r="T696" i="11" s="1"/>
  <c r="R696" i="11"/>
  <c r="U696" i="11" s="1"/>
  <c r="S696" i="11"/>
  <c r="O697" i="11"/>
  <c r="P697" i="11"/>
  <c r="T697" i="11"/>
  <c r="U697" i="11"/>
  <c r="O698" i="11"/>
  <c r="P698" i="11"/>
  <c r="T698" i="11"/>
  <c r="U698" i="11"/>
  <c r="I700" i="11"/>
  <c r="K700" i="11" s="1"/>
  <c r="K702" i="11"/>
  <c r="I703" i="11"/>
  <c r="J703" i="11"/>
  <c r="J704" i="11"/>
  <c r="K704" i="11"/>
  <c r="I705" i="11"/>
  <c r="J705" i="11"/>
  <c r="J706" i="11"/>
  <c r="K706" i="11"/>
  <c r="I707" i="11"/>
  <c r="I689" i="11" s="1"/>
  <c r="J707" i="11"/>
  <c r="J689" i="11" s="1"/>
  <c r="J708" i="11"/>
  <c r="K708" i="11"/>
  <c r="I709" i="11"/>
  <c r="J709" i="11"/>
  <c r="J710" i="11"/>
  <c r="K710" i="11"/>
  <c r="J712" i="11"/>
  <c r="K712" i="11"/>
  <c r="L715" i="11"/>
  <c r="O715" i="11" s="1"/>
  <c r="M715" i="11"/>
  <c r="P715" i="11" s="1"/>
  <c r="N715" i="11"/>
  <c r="N714" i="11" s="1"/>
  <c r="Q715" i="11"/>
  <c r="R715" i="11"/>
  <c r="S715" i="11"/>
  <c r="U715" i="11"/>
  <c r="L716" i="11"/>
  <c r="O716" i="11" s="1"/>
  <c r="M716" i="11"/>
  <c r="P716" i="11" s="1"/>
  <c r="N716" i="11"/>
  <c r="Q716" i="11"/>
  <c r="T716" i="11" s="1"/>
  <c r="R716" i="11"/>
  <c r="U716" i="11" s="1"/>
  <c r="S716" i="11"/>
  <c r="L717" i="11"/>
  <c r="M717" i="11"/>
  <c r="P717" i="11" s="1"/>
  <c r="N717" i="11"/>
  <c r="O717" i="11"/>
  <c r="Q717" i="11"/>
  <c r="T717" i="11" s="1"/>
  <c r="R717" i="11"/>
  <c r="U717" i="11" s="1"/>
  <c r="S717" i="11"/>
  <c r="O718" i="11"/>
  <c r="P718" i="11"/>
  <c r="T718" i="11"/>
  <c r="U718" i="11"/>
  <c r="O719" i="11"/>
  <c r="P719" i="11"/>
  <c r="T719" i="11"/>
  <c r="U719" i="11"/>
  <c r="L720" i="11"/>
  <c r="O720" i="11" s="1"/>
  <c r="M720" i="11"/>
  <c r="P720" i="11" s="1"/>
  <c r="N720" i="11"/>
  <c r="Q720" i="11"/>
  <c r="T720" i="11" s="1"/>
  <c r="R720" i="11"/>
  <c r="U720" i="11" s="1"/>
  <c r="S720" i="11"/>
  <c r="O721" i="11"/>
  <c r="P721" i="11"/>
  <c r="T721" i="11"/>
  <c r="U721" i="11"/>
  <c r="O722" i="11"/>
  <c r="P722" i="11"/>
  <c r="T722" i="11"/>
  <c r="U722" i="11"/>
  <c r="I726" i="11"/>
  <c r="K726" i="11" s="1"/>
  <c r="J726" i="11"/>
  <c r="I727" i="11"/>
  <c r="K727" i="11" s="1"/>
  <c r="J727" i="11"/>
  <c r="L728" i="11"/>
  <c r="O728" i="11" s="1"/>
  <c r="L729" i="11"/>
  <c r="O729" i="11" s="1"/>
  <c r="M729" i="11"/>
  <c r="P729" i="11" s="1"/>
  <c r="N729" i="11"/>
  <c r="Q729" i="11"/>
  <c r="R729" i="11"/>
  <c r="U729" i="11" s="1"/>
  <c r="S729" i="11"/>
  <c r="L730" i="11"/>
  <c r="O730" i="11" s="1"/>
  <c r="M730" i="11"/>
  <c r="N730" i="11"/>
  <c r="L731" i="11"/>
  <c r="M731" i="11"/>
  <c r="P731" i="11" s="1"/>
  <c r="N731" i="11"/>
  <c r="O731" i="11"/>
  <c r="O732" i="11"/>
  <c r="P732" i="11"/>
  <c r="T732" i="11"/>
  <c r="U732" i="11"/>
  <c r="O733" i="11"/>
  <c r="P733" i="11"/>
  <c r="Q733" i="11"/>
  <c r="Q731" i="11" s="1"/>
  <c r="R733" i="11"/>
  <c r="R730" i="11" s="1"/>
  <c r="S733" i="11"/>
  <c r="S730" i="11" s="1"/>
  <c r="S728" i="11" s="1"/>
  <c r="L734" i="11"/>
  <c r="O734" i="11" s="1"/>
  <c r="M734" i="11"/>
  <c r="N734" i="11"/>
  <c r="P734" i="11"/>
  <c r="Q734" i="11"/>
  <c r="T734" i="11" s="1"/>
  <c r="R734" i="11"/>
  <c r="U734" i="11" s="1"/>
  <c r="S734" i="11"/>
  <c r="O735" i="11"/>
  <c r="P735" i="11"/>
  <c r="T735" i="11"/>
  <c r="U735" i="11"/>
  <c r="O736" i="11"/>
  <c r="P736" i="11"/>
  <c r="T736" i="11"/>
  <c r="U736" i="11"/>
  <c r="I740" i="11"/>
  <c r="K740" i="11" s="1"/>
  <c r="I742" i="11"/>
  <c r="K742" i="11" s="1"/>
  <c r="I744" i="11"/>
  <c r="K744" i="11" s="1"/>
  <c r="I746" i="11"/>
  <c r="K746" i="11" s="1"/>
  <c r="I749" i="11"/>
  <c r="K749" i="11" s="1"/>
  <c r="I752" i="11"/>
  <c r="K752" i="11" s="1"/>
  <c r="I755" i="11"/>
  <c r="K755" i="11" s="1"/>
  <c r="J758" i="11"/>
  <c r="J759" i="11"/>
  <c r="L761" i="11"/>
  <c r="L760" i="11" s="1"/>
  <c r="O760" i="11" s="1"/>
  <c r="M761" i="11"/>
  <c r="P761" i="11" s="1"/>
  <c r="N761" i="11"/>
  <c r="Q761" i="11"/>
  <c r="R761" i="11"/>
  <c r="U761" i="11" s="1"/>
  <c r="S761" i="11"/>
  <c r="L762" i="11"/>
  <c r="O762" i="11" s="1"/>
  <c r="M762" i="11"/>
  <c r="P762" i="11" s="1"/>
  <c r="N762" i="11"/>
  <c r="N760" i="11" s="1"/>
  <c r="L763" i="11"/>
  <c r="O763" i="11" s="1"/>
  <c r="M763" i="11"/>
  <c r="P763" i="11" s="1"/>
  <c r="N763" i="11"/>
  <c r="O764" i="11"/>
  <c r="P764" i="11"/>
  <c r="T764" i="11"/>
  <c r="U764" i="11"/>
  <c r="O765" i="11"/>
  <c r="P765" i="11"/>
  <c r="Q765" i="11"/>
  <c r="R765" i="11"/>
  <c r="R763" i="11" s="1"/>
  <c r="S765" i="11"/>
  <c r="S763" i="11" s="1"/>
  <c r="L766" i="11"/>
  <c r="M766" i="11"/>
  <c r="N766" i="11"/>
  <c r="O766" i="11"/>
  <c r="P766" i="11"/>
  <c r="Q766" i="11"/>
  <c r="T766" i="11" s="1"/>
  <c r="R766" i="11"/>
  <c r="U766" i="11" s="1"/>
  <c r="S766" i="11"/>
  <c r="O767" i="11"/>
  <c r="P767" i="11"/>
  <c r="T767" i="11"/>
  <c r="U767" i="11"/>
  <c r="O768" i="11"/>
  <c r="P768" i="11"/>
  <c r="T768" i="11"/>
  <c r="U768" i="11"/>
  <c r="I770" i="11"/>
  <c r="K770" i="11" s="1"/>
  <c r="I772" i="11"/>
  <c r="I758" i="11" s="1"/>
  <c r="K758" i="11" s="1"/>
  <c r="I774" i="11"/>
  <c r="K774" i="11" s="1"/>
  <c r="I775" i="11"/>
  <c r="I776" i="11"/>
  <c r="H777" i="11"/>
  <c r="I778" i="11"/>
  <c r="J778" i="11"/>
  <c r="I779" i="11"/>
  <c r="J779" i="11"/>
  <c r="I780" i="11"/>
  <c r="J780" i="11"/>
  <c r="I781" i="11"/>
  <c r="J781" i="11"/>
  <c r="I782" i="11"/>
  <c r="K782" i="11" s="1"/>
  <c r="J782" i="11"/>
  <c r="I783" i="11"/>
  <c r="K783" i="11" s="1"/>
  <c r="J783" i="11"/>
  <c r="I784" i="11"/>
  <c r="J784" i="11"/>
  <c r="I785" i="11"/>
  <c r="J785" i="11"/>
  <c r="A788" i="11"/>
  <c r="A789" i="11"/>
  <c r="L22" i="10"/>
  <c r="M22" i="10"/>
  <c r="M19" i="10" s="1"/>
  <c r="N22" i="10"/>
  <c r="Q22" i="10"/>
  <c r="R22" i="10"/>
  <c r="S22" i="10"/>
  <c r="S19" i="10" s="1"/>
  <c r="L25" i="10"/>
  <c r="M25" i="10"/>
  <c r="N25" i="10"/>
  <c r="Q25" i="10"/>
  <c r="R25" i="10"/>
  <c r="S25" i="10"/>
  <c r="Q26" i="10"/>
  <c r="R26" i="10"/>
  <c r="S26" i="10"/>
  <c r="T26" i="10"/>
  <c r="U26" i="10"/>
  <c r="L45" i="10"/>
  <c r="O45" i="10" s="1"/>
  <c r="M45" i="10"/>
  <c r="N45" i="10"/>
  <c r="Q45" i="10"/>
  <c r="R45" i="10"/>
  <c r="S45" i="10"/>
  <c r="Q46" i="10"/>
  <c r="R46" i="10"/>
  <c r="U46" i="10" s="1"/>
  <c r="S46" i="10"/>
  <c r="T46" i="10"/>
  <c r="Q47" i="10"/>
  <c r="T47" i="10" s="1"/>
  <c r="R47" i="10"/>
  <c r="U47" i="10" s="1"/>
  <c r="S47" i="10"/>
  <c r="O48" i="10"/>
  <c r="P48" i="10"/>
  <c r="T48" i="10"/>
  <c r="U48" i="10"/>
  <c r="L49" i="10"/>
  <c r="L47" i="10" s="1"/>
  <c r="M49" i="10"/>
  <c r="M47" i="10" s="1"/>
  <c r="N49" i="10"/>
  <c r="T49" i="10"/>
  <c r="U49" i="10"/>
  <c r="Q50" i="10"/>
  <c r="T50" i="10" s="1"/>
  <c r="R50" i="10"/>
  <c r="U50" i="10" s="1"/>
  <c r="S50" i="10"/>
  <c r="O51" i="10"/>
  <c r="P51" i="10"/>
  <c r="T51" i="10"/>
  <c r="U51" i="10"/>
  <c r="L52" i="10"/>
  <c r="M52" i="10"/>
  <c r="N52" i="10"/>
  <c r="N50" i="10" s="1"/>
  <c r="T52" i="10"/>
  <c r="U52" i="10"/>
  <c r="L60" i="10"/>
  <c r="M60" i="10"/>
  <c r="N60" i="10"/>
  <c r="Q60" i="10"/>
  <c r="R60" i="10"/>
  <c r="U60" i="10" s="1"/>
  <c r="S60" i="10"/>
  <c r="Q61" i="10"/>
  <c r="T61" i="10" s="1"/>
  <c r="R61" i="10"/>
  <c r="U61" i="10" s="1"/>
  <c r="S61" i="10"/>
  <c r="Q62" i="10"/>
  <c r="T62" i="10" s="1"/>
  <c r="R62" i="10"/>
  <c r="U62" i="10" s="1"/>
  <c r="S62" i="10"/>
  <c r="O63" i="10"/>
  <c r="P63" i="10"/>
  <c r="T63" i="10"/>
  <c r="U63" i="10"/>
  <c r="L64" i="10"/>
  <c r="L62" i="10" s="1"/>
  <c r="M64" i="10"/>
  <c r="M62" i="10" s="1"/>
  <c r="N64" i="10"/>
  <c r="N62" i="10" s="1"/>
  <c r="T64" i="10"/>
  <c r="U64" i="10"/>
  <c r="Q65" i="10"/>
  <c r="T65" i="10" s="1"/>
  <c r="R65" i="10"/>
  <c r="U65" i="10" s="1"/>
  <c r="S65" i="10"/>
  <c r="O66" i="10"/>
  <c r="P66" i="10"/>
  <c r="T66" i="10"/>
  <c r="U66" i="10"/>
  <c r="L67" i="10"/>
  <c r="M67" i="10"/>
  <c r="P67" i="10" s="1"/>
  <c r="N67" i="10"/>
  <c r="N65" i="10" s="1"/>
  <c r="T67" i="10"/>
  <c r="U67" i="10"/>
  <c r="J71" i="10"/>
  <c r="L73" i="10"/>
  <c r="O73" i="10" s="1"/>
  <c r="M73" i="10"/>
  <c r="N73" i="10"/>
  <c r="Q73" i="10"/>
  <c r="R73" i="10"/>
  <c r="S73" i="10"/>
  <c r="O76" i="10"/>
  <c r="P76" i="10"/>
  <c r="T76" i="10"/>
  <c r="U76" i="10"/>
  <c r="L77" i="10"/>
  <c r="M77" i="10"/>
  <c r="M75" i="10" s="1"/>
  <c r="N77" i="10"/>
  <c r="Q77" i="10"/>
  <c r="Q74" i="10" s="1"/>
  <c r="R77" i="10"/>
  <c r="R74" i="10" s="1"/>
  <c r="S77" i="10"/>
  <c r="S75" i="10" s="1"/>
  <c r="Q78" i="10"/>
  <c r="T78" i="10" s="1"/>
  <c r="R78" i="10"/>
  <c r="U78" i="10" s="1"/>
  <c r="S78" i="10"/>
  <c r="O79" i="10"/>
  <c r="P79" i="10"/>
  <c r="T79" i="10"/>
  <c r="U79" i="10"/>
  <c r="L80" i="10"/>
  <c r="L78" i="10" s="1"/>
  <c r="O78" i="10" s="1"/>
  <c r="M80" i="10"/>
  <c r="M78" i="10" s="1"/>
  <c r="P78" i="10" s="1"/>
  <c r="N80" i="10"/>
  <c r="T80" i="10"/>
  <c r="U80" i="10"/>
  <c r="J82" i="10"/>
  <c r="J70" i="10" s="1"/>
  <c r="J83" i="10"/>
  <c r="I84" i="10"/>
  <c r="K84" i="10" s="1"/>
  <c r="I85" i="10"/>
  <c r="I86" i="10"/>
  <c r="K86" i="10" s="1"/>
  <c r="I87" i="10"/>
  <c r="K87" i="10" s="1"/>
  <c r="I88" i="10"/>
  <c r="K88" i="10" s="1"/>
  <c r="I89" i="10"/>
  <c r="K89" i="10" s="1"/>
  <c r="I90" i="10"/>
  <c r="K90" i="10" s="1"/>
  <c r="J92" i="10"/>
  <c r="J93" i="10"/>
  <c r="L95" i="10"/>
  <c r="M95" i="10"/>
  <c r="P95" i="10" s="1"/>
  <c r="N95" i="10"/>
  <c r="O95" i="10"/>
  <c r="Q95" i="10"/>
  <c r="T95" i="10" s="1"/>
  <c r="R95" i="10"/>
  <c r="S95" i="10"/>
  <c r="U95" i="10"/>
  <c r="O98" i="10"/>
  <c r="P98" i="10"/>
  <c r="T98" i="10"/>
  <c r="U98" i="10"/>
  <c r="L99" i="10"/>
  <c r="L97" i="10" s="1"/>
  <c r="M99" i="10"/>
  <c r="N99" i="10"/>
  <c r="N97" i="10" s="1"/>
  <c r="Q99" i="10"/>
  <c r="Q96" i="10" s="1"/>
  <c r="R99" i="10"/>
  <c r="R96" i="10" s="1"/>
  <c r="S99" i="10"/>
  <c r="S96" i="10" s="1"/>
  <c r="Q100" i="10"/>
  <c r="T100" i="10" s="1"/>
  <c r="R100" i="10"/>
  <c r="U100" i="10" s="1"/>
  <c r="S100" i="10"/>
  <c r="O101" i="10"/>
  <c r="P101" i="10"/>
  <c r="T101" i="10"/>
  <c r="U101" i="10"/>
  <c r="L102" i="10"/>
  <c r="O102" i="10" s="1"/>
  <c r="M102" i="10"/>
  <c r="M100" i="10" s="1"/>
  <c r="P100" i="10" s="1"/>
  <c r="N102" i="10"/>
  <c r="N100" i="10" s="1"/>
  <c r="T102" i="10"/>
  <c r="U102" i="10"/>
  <c r="I108" i="10"/>
  <c r="K108" i="10" s="1"/>
  <c r="I109" i="10"/>
  <c r="I113" i="10"/>
  <c r="K113" i="10" s="1"/>
  <c r="I114" i="10"/>
  <c r="K114" i="10" s="1"/>
  <c r="J116" i="10"/>
  <c r="L118" i="10"/>
  <c r="M118" i="10"/>
  <c r="N118" i="10"/>
  <c r="Q118" i="10"/>
  <c r="T118" i="10" s="1"/>
  <c r="R118" i="10"/>
  <c r="S118" i="10"/>
  <c r="O121" i="10"/>
  <c r="P121" i="10"/>
  <c r="T121" i="10"/>
  <c r="U121" i="10"/>
  <c r="L122" i="10"/>
  <c r="M122" i="10"/>
  <c r="N122" i="10"/>
  <c r="N120" i="10" s="1"/>
  <c r="Q122" i="10"/>
  <c r="Q119" i="10" s="1"/>
  <c r="R122" i="10"/>
  <c r="R120" i="10" s="1"/>
  <c r="S122" i="10"/>
  <c r="S120" i="10" s="1"/>
  <c r="Q123" i="10"/>
  <c r="T123" i="10" s="1"/>
  <c r="R123" i="10"/>
  <c r="S123" i="10"/>
  <c r="U123" i="10"/>
  <c r="O124" i="10"/>
  <c r="P124" i="10"/>
  <c r="T124" i="10"/>
  <c r="U124" i="10"/>
  <c r="L125" i="10"/>
  <c r="L123" i="10" s="1"/>
  <c r="O123" i="10" s="1"/>
  <c r="M125" i="10"/>
  <c r="N125" i="10"/>
  <c r="T125" i="10"/>
  <c r="U125" i="10"/>
  <c r="I127" i="10"/>
  <c r="I116" i="10" s="1"/>
  <c r="I128" i="10"/>
  <c r="K128" i="10" s="1"/>
  <c r="I129" i="10"/>
  <c r="K129" i="10" s="1"/>
  <c r="I130" i="10"/>
  <c r="K130" i="10" s="1"/>
  <c r="J136" i="10"/>
  <c r="J137" i="10"/>
  <c r="J138" i="10"/>
  <c r="L140" i="10"/>
  <c r="M140" i="10"/>
  <c r="N140" i="10"/>
  <c r="O140" i="10"/>
  <c r="P140" i="10"/>
  <c r="Q140" i="10"/>
  <c r="R140" i="10"/>
  <c r="S140" i="10"/>
  <c r="U140" i="10"/>
  <c r="O143" i="10"/>
  <c r="P143" i="10"/>
  <c r="T143" i="10"/>
  <c r="U143" i="10"/>
  <c r="L144" i="10"/>
  <c r="M144" i="10"/>
  <c r="M142" i="10" s="1"/>
  <c r="N144" i="10"/>
  <c r="Q144" i="10"/>
  <c r="R144" i="10"/>
  <c r="R141" i="10" s="1"/>
  <c r="S144" i="10"/>
  <c r="S142" i="10" s="1"/>
  <c r="Q145" i="10"/>
  <c r="R145" i="10"/>
  <c r="S145" i="10"/>
  <c r="T145" i="10"/>
  <c r="U145" i="10"/>
  <c r="O146" i="10"/>
  <c r="P146" i="10"/>
  <c r="T146" i="10"/>
  <c r="U146" i="10"/>
  <c r="L147" i="10"/>
  <c r="M147" i="10"/>
  <c r="N147" i="10"/>
  <c r="N145" i="10" s="1"/>
  <c r="T147" i="10"/>
  <c r="U147" i="10"/>
  <c r="I150" i="10"/>
  <c r="K150" i="10" s="1"/>
  <c r="I151" i="10"/>
  <c r="K151" i="10" s="1"/>
  <c r="I152" i="10"/>
  <c r="I137" i="10" s="1"/>
  <c r="I153" i="10"/>
  <c r="K153" i="10" s="1"/>
  <c r="I154" i="10"/>
  <c r="K154" i="10" s="1"/>
  <c r="J156" i="10"/>
  <c r="L158" i="10"/>
  <c r="M158" i="10"/>
  <c r="N158" i="10"/>
  <c r="Q158" i="10"/>
  <c r="T158" i="10" s="1"/>
  <c r="R158" i="10"/>
  <c r="S158" i="10"/>
  <c r="O161" i="10"/>
  <c r="P161" i="10"/>
  <c r="T161" i="10"/>
  <c r="U161" i="10"/>
  <c r="L162" i="10"/>
  <c r="L160" i="10" s="1"/>
  <c r="O160" i="10" s="1"/>
  <c r="M162" i="10"/>
  <c r="N162" i="10"/>
  <c r="Q162" i="10"/>
  <c r="Q159" i="10" s="1"/>
  <c r="T159" i="10" s="1"/>
  <c r="R162" i="10"/>
  <c r="R160" i="10" s="1"/>
  <c r="U160" i="10" s="1"/>
  <c r="S162" i="10"/>
  <c r="Q163" i="10"/>
  <c r="T163" i="10" s="1"/>
  <c r="R163" i="10"/>
  <c r="S163" i="10"/>
  <c r="U163" i="10"/>
  <c r="O164" i="10"/>
  <c r="P164" i="10"/>
  <c r="T164" i="10"/>
  <c r="U164" i="10"/>
  <c r="L165" i="10"/>
  <c r="L163" i="10" s="1"/>
  <c r="O163" i="10" s="1"/>
  <c r="M165" i="10"/>
  <c r="N165" i="10"/>
  <c r="N163" i="10" s="1"/>
  <c r="T165" i="10"/>
  <c r="U165" i="10"/>
  <c r="I167" i="10"/>
  <c r="K167" i="10" s="1"/>
  <c r="I168" i="10"/>
  <c r="K168" i="10" s="1"/>
  <c r="I169" i="10"/>
  <c r="K169" i="10" s="1"/>
  <c r="J172" i="10"/>
  <c r="L174" i="10"/>
  <c r="M174" i="10"/>
  <c r="N174" i="10"/>
  <c r="Q174" i="10"/>
  <c r="T174" i="10" s="1"/>
  <c r="R174" i="10"/>
  <c r="S174" i="10"/>
  <c r="O177" i="10"/>
  <c r="P177" i="10"/>
  <c r="T177" i="10"/>
  <c r="U177" i="10"/>
  <c r="L178" i="10"/>
  <c r="L176" i="10" s="1"/>
  <c r="M178" i="10"/>
  <c r="N178" i="10"/>
  <c r="Q178" i="10"/>
  <c r="Q175" i="10" s="1"/>
  <c r="Q173" i="10" s="1"/>
  <c r="T173" i="10" s="1"/>
  <c r="R178" i="10"/>
  <c r="R176" i="10" s="1"/>
  <c r="U176" i="10" s="1"/>
  <c r="S178" i="10"/>
  <c r="S176" i="10" s="1"/>
  <c r="Q179" i="10"/>
  <c r="T179" i="10" s="1"/>
  <c r="R179" i="10"/>
  <c r="S179" i="10"/>
  <c r="U179" i="10"/>
  <c r="O180" i="10"/>
  <c r="P180" i="10"/>
  <c r="T180" i="10"/>
  <c r="U180" i="10"/>
  <c r="L181" i="10"/>
  <c r="M181" i="10"/>
  <c r="N181" i="10"/>
  <c r="N179" i="10" s="1"/>
  <c r="T181" i="10"/>
  <c r="U181" i="10"/>
  <c r="I183" i="10"/>
  <c r="I172" i="10" s="1"/>
  <c r="K172" i="10" s="1"/>
  <c r="K184" i="10"/>
  <c r="L187" i="10"/>
  <c r="O187" i="10" s="1"/>
  <c r="M187" i="10"/>
  <c r="N187" i="10"/>
  <c r="P187" i="10"/>
  <c r="Q187" i="10"/>
  <c r="R187" i="10"/>
  <c r="U187" i="10" s="1"/>
  <c r="S187" i="10"/>
  <c r="O190" i="10"/>
  <c r="P190" i="10"/>
  <c r="T190" i="10"/>
  <c r="U190" i="10"/>
  <c r="L191" i="10"/>
  <c r="M191" i="10"/>
  <c r="N191" i="10"/>
  <c r="N189" i="10" s="1"/>
  <c r="Q191" i="10"/>
  <c r="Q188" i="10" s="1"/>
  <c r="R191" i="10"/>
  <c r="R188" i="10" s="1"/>
  <c r="S191" i="10"/>
  <c r="Q192" i="10"/>
  <c r="R192" i="10"/>
  <c r="S192" i="10"/>
  <c r="T192" i="10"/>
  <c r="U192" i="10"/>
  <c r="O193" i="10"/>
  <c r="P193" i="10"/>
  <c r="T193" i="10"/>
  <c r="U193" i="10"/>
  <c r="L194" i="10"/>
  <c r="M194" i="10"/>
  <c r="N194" i="10"/>
  <c r="N192" i="10" s="1"/>
  <c r="T194" i="10"/>
  <c r="U194" i="10"/>
  <c r="J195" i="10"/>
  <c r="L196" i="10"/>
  <c r="O196" i="10" s="1"/>
  <c r="P196" i="10"/>
  <c r="I198" i="10"/>
  <c r="J199" i="10"/>
  <c r="J202" i="10"/>
  <c r="N203" i="10"/>
  <c r="P203" i="10"/>
  <c r="S203" i="10"/>
  <c r="U203" i="10"/>
  <c r="L204" i="10"/>
  <c r="L205" i="10"/>
  <c r="L206" i="10"/>
  <c r="Q206" i="10"/>
  <c r="Q203" i="10" s="1"/>
  <c r="T203" i="10" s="1"/>
  <c r="L207" i="10"/>
  <c r="I209" i="10"/>
  <c r="K209" i="10" s="1"/>
  <c r="I211" i="10"/>
  <c r="K211" i="10" s="1"/>
  <c r="I212" i="10"/>
  <c r="K212" i="10" s="1"/>
  <c r="J213" i="10"/>
  <c r="N214" i="10"/>
  <c r="P214" i="10"/>
  <c r="S214" i="10"/>
  <c r="U214" i="10"/>
  <c r="L215" i="10"/>
  <c r="L216" i="10"/>
  <c r="L217" i="10"/>
  <c r="Q217" i="10"/>
  <c r="Q214" i="10" s="1"/>
  <c r="T214" i="10" s="1"/>
  <c r="I219" i="10"/>
  <c r="K219" i="10" s="1"/>
  <c r="I220" i="10"/>
  <c r="J221" i="10"/>
  <c r="N222" i="10"/>
  <c r="P222" i="10"/>
  <c r="L223" i="10"/>
  <c r="L224" i="10"/>
  <c r="L225" i="10"/>
  <c r="I228" i="10"/>
  <c r="K228" i="10" s="1"/>
  <c r="I229" i="10"/>
  <c r="I221" i="10" s="1"/>
  <c r="K221" i="10" s="1"/>
  <c r="I230" i="10"/>
  <c r="K230" i="10" s="1"/>
  <c r="N233" i="10"/>
  <c r="N234" i="10"/>
  <c r="N235" i="10"/>
  <c r="N236" i="10"/>
  <c r="J238" i="10"/>
  <c r="I240" i="10"/>
  <c r="K240" i="10" s="1"/>
  <c r="J240" i="10"/>
  <c r="I241" i="10"/>
  <c r="K241" i="10" s="1"/>
  <c r="J241" i="10"/>
  <c r="J242" i="10"/>
  <c r="J231" i="10" s="1"/>
  <c r="J185" i="10" s="1"/>
  <c r="N243" i="10"/>
  <c r="P243" i="10"/>
  <c r="L244" i="10"/>
  <c r="L245" i="10"/>
  <c r="L246" i="10"/>
  <c r="L247" i="10"/>
  <c r="I249" i="10"/>
  <c r="K251" i="10"/>
  <c r="K252" i="10"/>
  <c r="J253" i="10"/>
  <c r="N254" i="10"/>
  <c r="N232" i="10" s="1"/>
  <c r="P254" i="10"/>
  <c r="L255" i="10"/>
  <c r="L256" i="10"/>
  <c r="L257" i="10"/>
  <c r="L258" i="10"/>
  <c r="I260" i="10"/>
  <c r="K262" i="10"/>
  <c r="K263" i="10"/>
  <c r="J265" i="10"/>
  <c r="L267" i="10"/>
  <c r="M267" i="10"/>
  <c r="N267" i="10"/>
  <c r="Q267" i="10"/>
  <c r="T267" i="10" s="1"/>
  <c r="R267" i="10"/>
  <c r="S267" i="10"/>
  <c r="O270" i="10"/>
  <c r="P270" i="10"/>
  <c r="T270" i="10"/>
  <c r="U270" i="10"/>
  <c r="L271" i="10"/>
  <c r="O271" i="10" s="1"/>
  <c r="M271" i="10"/>
  <c r="N271" i="10"/>
  <c r="N269" i="10" s="1"/>
  <c r="Q271" i="10"/>
  <c r="R271" i="10"/>
  <c r="R268" i="10" s="1"/>
  <c r="S271" i="10"/>
  <c r="S268" i="10" s="1"/>
  <c r="Q272" i="10"/>
  <c r="T272" i="10" s="1"/>
  <c r="R272" i="10"/>
  <c r="S272" i="10"/>
  <c r="U272" i="10"/>
  <c r="O273" i="10"/>
  <c r="P273" i="10"/>
  <c r="T273" i="10"/>
  <c r="U273" i="10"/>
  <c r="L274" i="10"/>
  <c r="M274" i="10"/>
  <c r="N274" i="10"/>
  <c r="T274" i="10"/>
  <c r="U274" i="10"/>
  <c r="I276" i="10"/>
  <c r="I265" i="10" s="1"/>
  <c r="K265" i="10" s="1"/>
  <c r="J280" i="10"/>
  <c r="J281" i="10"/>
  <c r="L283" i="10"/>
  <c r="M283" i="10"/>
  <c r="N283" i="10"/>
  <c r="Q283" i="10"/>
  <c r="R283" i="10"/>
  <c r="U283" i="10" s="1"/>
  <c r="S283" i="10"/>
  <c r="S282" i="10" s="1"/>
  <c r="T283" i="10"/>
  <c r="Q284" i="10"/>
  <c r="R284" i="10"/>
  <c r="S284" i="10"/>
  <c r="Q285" i="10"/>
  <c r="T285" i="10" s="1"/>
  <c r="R285" i="10"/>
  <c r="U285" i="10" s="1"/>
  <c r="S285" i="10"/>
  <c r="O286" i="10"/>
  <c r="P286" i="10"/>
  <c r="T286" i="10"/>
  <c r="U286" i="10"/>
  <c r="L287" i="10"/>
  <c r="L285" i="10" s="1"/>
  <c r="O285" i="10" s="1"/>
  <c r="M287" i="10"/>
  <c r="M285" i="10" s="1"/>
  <c r="P285" i="10" s="1"/>
  <c r="N287" i="10"/>
  <c r="N285" i="10" s="1"/>
  <c r="T287" i="10"/>
  <c r="U287" i="10"/>
  <c r="Q288" i="10"/>
  <c r="R288" i="10"/>
  <c r="U288" i="10" s="1"/>
  <c r="S288" i="10"/>
  <c r="T288" i="10"/>
  <c r="O289" i="10"/>
  <c r="P289" i="10"/>
  <c r="T289" i="10"/>
  <c r="U289" i="10"/>
  <c r="L290" i="10"/>
  <c r="M290" i="10"/>
  <c r="N290" i="10"/>
  <c r="T290" i="10"/>
  <c r="U290" i="10"/>
  <c r="I292" i="10"/>
  <c r="I281" i="10" s="1"/>
  <c r="K281" i="10" s="1"/>
  <c r="I293" i="10"/>
  <c r="I280" i="10" s="1"/>
  <c r="K280" i="10" s="1"/>
  <c r="J293" i="10"/>
  <c r="I295" i="10"/>
  <c r="K295" i="10" s="1"/>
  <c r="I296" i="10"/>
  <c r="K296" i="10" s="1"/>
  <c r="J302" i="10"/>
  <c r="L304" i="10"/>
  <c r="O304" i="10" s="1"/>
  <c r="M304" i="10"/>
  <c r="P304" i="10" s="1"/>
  <c r="N304" i="10"/>
  <c r="Q304" i="10"/>
  <c r="T304" i="10" s="1"/>
  <c r="R304" i="10"/>
  <c r="U304" i="10" s="1"/>
  <c r="S304" i="10"/>
  <c r="O307" i="10"/>
  <c r="P307" i="10"/>
  <c r="T307" i="10"/>
  <c r="U307" i="10"/>
  <c r="L308" i="10"/>
  <c r="M308" i="10"/>
  <c r="M306" i="10" s="1"/>
  <c r="N308" i="10"/>
  <c r="N306" i="10" s="1"/>
  <c r="Q308" i="10"/>
  <c r="R308" i="10"/>
  <c r="S308" i="10"/>
  <c r="S305" i="10" s="1"/>
  <c r="Q309" i="10"/>
  <c r="T309" i="10" s="1"/>
  <c r="R309" i="10"/>
  <c r="U309" i="10" s="1"/>
  <c r="S309" i="10"/>
  <c r="O310" i="10"/>
  <c r="P310" i="10"/>
  <c r="T310" i="10"/>
  <c r="U310" i="10"/>
  <c r="L311" i="10"/>
  <c r="M311" i="10"/>
  <c r="M309" i="10" s="1"/>
  <c r="P309" i="10" s="1"/>
  <c r="N311" i="10"/>
  <c r="N309" i="10" s="1"/>
  <c r="T311" i="10"/>
  <c r="U311" i="10"/>
  <c r="I314" i="10"/>
  <c r="I302" i="10" s="1"/>
  <c r="J319" i="10"/>
  <c r="Q320" i="10"/>
  <c r="T320" i="10" s="1"/>
  <c r="L321" i="10"/>
  <c r="M321" i="10"/>
  <c r="N321" i="10"/>
  <c r="P321" i="10"/>
  <c r="Q321" i="10"/>
  <c r="T321" i="10" s="1"/>
  <c r="R321" i="10"/>
  <c r="S321" i="10"/>
  <c r="Q322" i="10"/>
  <c r="R322" i="10"/>
  <c r="S322" i="10"/>
  <c r="T322" i="10"/>
  <c r="U322" i="10"/>
  <c r="Q323" i="10"/>
  <c r="T323" i="10" s="1"/>
  <c r="R323" i="10"/>
  <c r="S323" i="10"/>
  <c r="U323" i="10"/>
  <c r="O324" i="10"/>
  <c r="P324" i="10"/>
  <c r="T324" i="10"/>
  <c r="U324" i="10"/>
  <c r="L325" i="10"/>
  <c r="M325" i="10"/>
  <c r="N325" i="10"/>
  <c r="T325" i="10"/>
  <c r="U325" i="10"/>
  <c r="Q326" i="10"/>
  <c r="T326" i="10" s="1"/>
  <c r="R326" i="10"/>
  <c r="U326" i="10" s="1"/>
  <c r="S326" i="10"/>
  <c r="O327" i="10"/>
  <c r="P327" i="10"/>
  <c r="T327" i="10"/>
  <c r="U327" i="10"/>
  <c r="L328" i="10"/>
  <c r="M328" i="10"/>
  <c r="M326" i="10" s="1"/>
  <c r="P326" i="10" s="1"/>
  <c r="N328" i="10"/>
  <c r="N326" i="10" s="1"/>
  <c r="T328" i="10"/>
  <c r="U328" i="10"/>
  <c r="I330" i="10"/>
  <c r="I319" i="10" s="1"/>
  <c r="K319" i="10" s="1"/>
  <c r="L334" i="10"/>
  <c r="M334" i="10"/>
  <c r="P334" i="10" s="1"/>
  <c r="N334" i="10"/>
  <c r="Q334" i="10"/>
  <c r="R334" i="10"/>
  <c r="U334" i="10" s="1"/>
  <c r="S334" i="10"/>
  <c r="Q335" i="10"/>
  <c r="T335" i="10" s="1"/>
  <c r="R335" i="10"/>
  <c r="U335" i="10" s="1"/>
  <c r="S335" i="10"/>
  <c r="Q336" i="10"/>
  <c r="R336" i="10"/>
  <c r="S336" i="10"/>
  <c r="T336" i="10"/>
  <c r="U336" i="10"/>
  <c r="O337" i="10"/>
  <c r="P337" i="10"/>
  <c r="T337" i="10"/>
  <c r="U337" i="10"/>
  <c r="L338" i="10"/>
  <c r="M338" i="10"/>
  <c r="N338" i="10"/>
  <c r="N336" i="10" s="1"/>
  <c r="T338" i="10"/>
  <c r="U338" i="10"/>
  <c r="Q339" i="10"/>
  <c r="T339" i="10" s="1"/>
  <c r="R339" i="10"/>
  <c r="U339" i="10" s="1"/>
  <c r="S339" i="10"/>
  <c r="O340" i="10"/>
  <c r="P340" i="10"/>
  <c r="T340" i="10"/>
  <c r="U340" i="10"/>
  <c r="L341" i="10"/>
  <c r="O341" i="10" s="1"/>
  <c r="M341" i="10"/>
  <c r="M339" i="10" s="1"/>
  <c r="P339" i="10" s="1"/>
  <c r="N341" i="10"/>
  <c r="N339" i="10" s="1"/>
  <c r="T341" i="10"/>
  <c r="U341" i="10"/>
  <c r="I344" i="10"/>
  <c r="I332" i="10" s="1"/>
  <c r="J344" i="10"/>
  <c r="I346" i="10"/>
  <c r="J346" i="10"/>
  <c r="J347" i="10"/>
  <c r="J348" i="10"/>
  <c r="J349" i="10"/>
  <c r="D350" i="10"/>
  <c r="J352" i="10"/>
  <c r="J353" i="10"/>
  <c r="J354" i="10"/>
  <c r="L357" i="10"/>
  <c r="O357" i="10" s="1"/>
  <c r="M357" i="10"/>
  <c r="N357" i="10"/>
  <c r="Q357" i="10"/>
  <c r="R357" i="10"/>
  <c r="R356" i="10" s="1"/>
  <c r="U356" i="10" s="1"/>
  <c r="S357" i="10"/>
  <c r="S356" i="10" s="1"/>
  <c r="T357" i="10"/>
  <c r="U357" i="10"/>
  <c r="Q358" i="10"/>
  <c r="T358" i="10" s="1"/>
  <c r="R358" i="10"/>
  <c r="S358" i="10"/>
  <c r="U358" i="10"/>
  <c r="Q359" i="10"/>
  <c r="T359" i="10" s="1"/>
  <c r="R359" i="10"/>
  <c r="U359" i="10" s="1"/>
  <c r="S359" i="10"/>
  <c r="O360" i="10"/>
  <c r="P360" i="10"/>
  <c r="T360" i="10"/>
  <c r="U360" i="10"/>
  <c r="L361" i="10"/>
  <c r="L359" i="10" s="1"/>
  <c r="M361" i="10"/>
  <c r="N361" i="10"/>
  <c r="T361" i="10"/>
  <c r="U361" i="10"/>
  <c r="Q362" i="10"/>
  <c r="T362" i="10" s="1"/>
  <c r="R362" i="10"/>
  <c r="U362" i="10" s="1"/>
  <c r="S362" i="10"/>
  <c r="O363" i="10"/>
  <c r="P363" i="10"/>
  <c r="T363" i="10"/>
  <c r="U363" i="10"/>
  <c r="L364" i="10"/>
  <c r="M364" i="10"/>
  <c r="N364" i="10"/>
  <c r="N362" i="10" s="1"/>
  <c r="T364" i="10"/>
  <c r="U364" i="10"/>
  <c r="J367" i="10"/>
  <c r="K367" i="10"/>
  <c r="I368" i="10"/>
  <c r="J368" i="10"/>
  <c r="I369" i="10"/>
  <c r="J369" i="10"/>
  <c r="J370" i="10"/>
  <c r="K370" i="10"/>
  <c r="I371" i="10"/>
  <c r="J371" i="10"/>
  <c r="J365" i="10" s="1"/>
  <c r="J372" i="10"/>
  <c r="K372" i="10"/>
  <c r="D373" i="10"/>
  <c r="M375" i="10"/>
  <c r="P375" i="10" s="1"/>
  <c r="L376" i="10"/>
  <c r="M376" i="10"/>
  <c r="P376" i="10" s="1"/>
  <c r="N376" i="10"/>
  <c r="N375" i="10" s="1"/>
  <c r="O376" i="10"/>
  <c r="Q376" i="10"/>
  <c r="R376" i="10"/>
  <c r="S376" i="10"/>
  <c r="U376" i="10"/>
  <c r="L377" i="10"/>
  <c r="O377" i="10" s="1"/>
  <c r="M377" i="10"/>
  <c r="P377" i="10" s="1"/>
  <c r="N377" i="10"/>
  <c r="L378" i="10"/>
  <c r="O378" i="10" s="1"/>
  <c r="M378" i="10"/>
  <c r="P378" i="10" s="1"/>
  <c r="N378" i="10"/>
  <c r="O379" i="10"/>
  <c r="P379" i="10"/>
  <c r="T379" i="10"/>
  <c r="U379" i="10"/>
  <c r="O380" i="10"/>
  <c r="P380" i="10"/>
  <c r="Q380" i="10"/>
  <c r="Q378" i="10" s="1"/>
  <c r="R380" i="10"/>
  <c r="R378" i="10" s="1"/>
  <c r="U378" i="10" s="1"/>
  <c r="S380" i="10"/>
  <c r="S378" i="10" s="1"/>
  <c r="L381" i="10"/>
  <c r="O381" i="10" s="1"/>
  <c r="M381" i="10"/>
  <c r="N381" i="10"/>
  <c r="P381" i="10"/>
  <c r="Q381" i="10"/>
  <c r="T381" i="10" s="1"/>
  <c r="R381" i="10"/>
  <c r="U381" i="10" s="1"/>
  <c r="S381" i="10"/>
  <c r="O382" i="10"/>
  <c r="P382" i="10"/>
  <c r="T382" i="10"/>
  <c r="U382" i="10"/>
  <c r="O383" i="10"/>
  <c r="P383" i="10"/>
  <c r="T383" i="10"/>
  <c r="U383" i="10"/>
  <c r="J385" i="10"/>
  <c r="K385" i="10"/>
  <c r="I386" i="10"/>
  <c r="J386" i="10"/>
  <c r="J387" i="10"/>
  <c r="K387" i="10"/>
  <c r="I388" i="10"/>
  <c r="K388" i="10" s="1"/>
  <c r="J388" i="10"/>
  <c r="I391" i="10"/>
  <c r="K391" i="10" s="1"/>
  <c r="J391" i="10"/>
  <c r="Q392" i="10"/>
  <c r="T392" i="10" s="1"/>
  <c r="L393" i="10"/>
  <c r="M393" i="10"/>
  <c r="N393" i="10"/>
  <c r="Q393" i="10"/>
  <c r="T393" i="10" s="1"/>
  <c r="R393" i="10"/>
  <c r="S393" i="10"/>
  <c r="L394" i="10"/>
  <c r="M394" i="10"/>
  <c r="P394" i="10" s="1"/>
  <c r="N394" i="10"/>
  <c r="O394" i="10"/>
  <c r="Q394" i="10"/>
  <c r="R394" i="10"/>
  <c r="S394" i="10"/>
  <c r="T394" i="10"/>
  <c r="U394" i="10"/>
  <c r="L395" i="10"/>
  <c r="M395" i="10"/>
  <c r="N395" i="10"/>
  <c r="O395" i="10"/>
  <c r="P395" i="10"/>
  <c r="Q395" i="10"/>
  <c r="T395" i="10" s="1"/>
  <c r="R395" i="10"/>
  <c r="S395" i="10"/>
  <c r="U395" i="10"/>
  <c r="O396" i="10"/>
  <c r="P396" i="10"/>
  <c r="T396" i="10"/>
  <c r="U396" i="10"/>
  <c r="O397" i="10"/>
  <c r="P397" i="10"/>
  <c r="T397" i="10"/>
  <c r="U397" i="10"/>
  <c r="L398" i="10"/>
  <c r="O398" i="10" s="1"/>
  <c r="M398" i="10"/>
  <c r="N398" i="10"/>
  <c r="P398" i="10"/>
  <c r="Q398" i="10"/>
  <c r="T398" i="10" s="1"/>
  <c r="R398" i="10"/>
  <c r="U398" i="10" s="1"/>
  <c r="S398" i="10"/>
  <c r="O399" i="10"/>
  <c r="P399" i="10"/>
  <c r="T399" i="10"/>
  <c r="U399" i="10"/>
  <c r="O400" i="10"/>
  <c r="P400" i="10"/>
  <c r="T400" i="10"/>
  <c r="U400" i="10"/>
  <c r="L414" i="10"/>
  <c r="M414" i="10"/>
  <c r="N414" i="10"/>
  <c r="N413" i="10" s="1"/>
  <c r="O414" i="10"/>
  <c r="P414" i="10"/>
  <c r="Q414" i="10"/>
  <c r="R414" i="10"/>
  <c r="U414" i="10" s="1"/>
  <c r="S414" i="10"/>
  <c r="L415" i="10"/>
  <c r="O415" i="10" s="1"/>
  <c r="M415" i="10"/>
  <c r="P415" i="10" s="1"/>
  <c r="N415" i="10"/>
  <c r="L416" i="10"/>
  <c r="O416" i="10" s="1"/>
  <c r="M416" i="10"/>
  <c r="P416" i="10" s="1"/>
  <c r="N416" i="10"/>
  <c r="O417" i="10"/>
  <c r="P417" i="10"/>
  <c r="T417" i="10"/>
  <c r="U417" i="10"/>
  <c r="O418" i="10"/>
  <c r="P418" i="10"/>
  <c r="Q418" i="10"/>
  <c r="R418" i="10"/>
  <c r="S418" i="10"/>
  <c r="L419" i="10"/>
  <c r="M419" i="10"/>
  <c r="P419" i="10" s="1"/>
  <c r="N419" i="10"/>
  <c r="O419" i="10"/>
  <c r="Q419" i="10"/>
  <c r="T419" i="10" s="1"/>
  <c r="R419" i="10"/>
  <c r="S419" i="10"/>
  <c r="U419" i="10"/>
  <c r="O420" i="10"/>
  <c r="P420" i="10"/>
  <c r="T420" i="10"/>
  <c r="U420" i="10"/>
  <c r="O421" i="10"/>
  <c r="P421" i="10"/>
  <c r="T421" i="10"/>
  <c r="U421" i="10"/>
  <c r="I424" i="10"/>
  <c r="K424" i="10" s="1"/>
  <c r="J424" i="10"/>
  <c r="I425" i="10"/>
  <c r="K425" i="10" s="1"/>
  <c r="J425" i="10"/>
  <c r="I432" i="10"/>
  <c r="K432" i="10" s="1"/>
  <c r="J432" i="10"/>
  <c r="I433" i="10"/>
  <c r="K433" i="10" s="1"/>
  <c r="J433" i="10"/>
  <c r="I440" i="10"/>
  <c r="I423" i="10" s="1"/>
  <c r="J440" i="10"/>
  <c r="J423" i="10" s="1"/>
  <c r="J412" i="10" s="1"/>
  <c r="I441" i="10"/>
  <c r="K441" i="10" s="1"/>
  <c r="J446" i="10"/>
  <c r="J447" i="10"/>
  <c r="J441" i="10" s="1"/>
  <c r="I457" i="10"/>
  <c r="J457" i="10"/>
  <c r="J456" i="10" s="1"/>
  <c r="I458" i="10"/>
  <c r="K458" i="10" s="1"/>
  <c r="J459" i="10"/>
  <c r="J460" i="10"/>
  <c r="J467" i="10"/>
  <c r="J468" i="10"/>
  <c r="J475" i="10"/>
  <c r="K475" i="10"/>
  <c r="J476" i="10"/>
  <c r="K476" i="10"/>
  <c r="J477" i="10"/>
  <c r="K477" i="10"/>
  <c r="J482" i="10"/>
  <c r="J483" i="10"/>
  <c r="I484" i="10"/>
  <c r="J484" i="10"/>
  <c r="K484" i="10"/>
  <c r="I485" i="10"/>
  <c r="K485" i="10" s="1"/>
  <c r="J485" i="10"/>
  <c r="L494" i="10"/>
  <c r="O494" i="10" s="1"/>
  <c r="M494" i="10"/>
  <c r="N494" i="10"/>
  <c r="Q494" i="10"/>
  <c r="T494" i="10" s="1"/>
  <c r="R494" i="10"/>
  <c r="U494" i="10" s="1"/>
  <c r="S494" i="10"/>
  <c r="L495" i="10"/>
  <c r="M495" i="10"/>
  <c r="P495" i="10" s="1"/>
  <c r="N495" i="10"/>
  <c r="O495" i="10"/>
  <c r="L496" i="10"/>
  <c r="O496" i="10" s="1"/>
  <c r="M496" i="10"/>
  <c r="N496" i="10"/>
  <c r="P496" i="10"/>
  <c r="O497" i="10"/>
  <c r="P497" i="10"/>
  <c r="T497" i="10"/>
  <c r="U497" i="10"/>
  <c r="O498" i="10"/>
  <c r="P498" i="10"/>
  <c r="Q498" i="10"/>
  <c r="R498" i="10"/>
  <c r="S498" i="10"/>
  <c r="L499" i="10"/>
  <c r="M499" i="10"/>
  <c r="P499" i="10" s="1"/>
  <c r="N499" i="10"/>
  <c r="O499" i="10"/>
  <c r="Q499" i="10"/>
  <c r="R499" i="10"/>
  <c r="S499" i="10"/>
  <c r="T499" i="10"/>
  <c r="U499" i="10"/>
  <c r="O500" i="10"/>
  <c r="P500" i="10"/>
  <c r="T500" i="10"/>
  <c r="U500" i="10"/>
  <c r="O501" i="10"/>
  <c r="P501" i="10"/>
  <c r="T501" i="10"/>
  <c r="U501" i="10"/>
  <c r="I503" i="10"/>
  <c r="I492" i="10" s="1"/>
  <c r="K492" i="10" s="1"/>
  <c r="I504" i="10"/>
  <c r="I505" i="10"/>
  <c r="K505" i="10" s="1"/>
  <c r="I506" i="10"/>
  <c r="K506" i="10" s="1"/>
  <c r="I507" i="10"/>
  <c r="K507" i="10" s="1"/>
  <c r="K508" i="10"/>
  <c r="I509" i="10"/>
  <c r="K509" i="10" s="1"/>
  <c r="I512" i="10"/>
  <c r="K512" i="10" s="1"/>
  <c r="J512" i="10"/>
  <c r="L514" i="10"/>
  <c r="M514" i="10"/>
  <c r="P514" i="10" s="1"/>
  <c r="N514" i="10"/>
  <c r="Q514" i="10"/>
  <c r="R514" i="10"/>
  <c r="S514" i="10"/>
  <c r="Q515" i="10"/>
  <c r="T515" i="10" s="1"/>
  <c r="R515" i="10"/>
  <c r="U515" i="10" s="1"/>
  <c r="S515" i="10"/>
  <c r="Q516" i="10"/>
  <c r="R516" i="10"/>
  <c r="U516" i="10" s="1"/>
  <c r="S516" i="10"/>
  <c r="T516" i="10"/>
  <c r="O517" i="10"/>
  <c r="P517" i="10"/>
  <c r="T517" i="10"/>
  <c r="U517" i="10"/>
  <c r="L518" i="10"/>
  <c r="M518" i="10"/>
  <c r="N518" i="10"/>
  <c r="N516" i="10" s="1"/>
  <c r="T518" i="10"/>
  <c r="U518" i="10"/>
  <c r="Q519" i="10"/>
  <c r="T519" i="10" s="1"/>
  <c r="R519" i="10"/>
  <c r="U519" i="10" s="1"/>
  <c r="S519" i="10"/>
  <c r="O520" i="10"/>
  <c r="P520" i="10"/>
  <c r="T520" i="10"/>
  <c r="U520" i="10"/>
  <c r="L521" i="10"/>
  <c r="M521" i="10"/>
  <c r="P521" i="10" s="1"/>
  <c r="N521" i="10"/>
  <c r="N519" i="10" s="1"/>
  <c r="T521" i="10"/>
  <c r="U521" i="10"/>
  <c r="K523" i="10"/>
  <c r="K524" i="10"/>
  <c r="I533" i="10"/>
  <c r="K533" i="10" s="1"/>
  <c r="J533" i="10"/>
  <c r="L535" i="10"/>
  <c r="M535" i="10"/>
  <c r="M534" i="10" s="1"/>
  <c r="P534" i="10" s="1"/>
  <c r="N535" i="10"/>
  <c r="N534" i="10" s="1"/>
  <c r="Q535" i="10"/>
  <c r="R535" i="10"/>
  <c r="U535" i="10" s="1"/>
  <c r="S535" i="10"/>
  <c r="T535" i="10"/>
  <c r="L536" i="10"/>
  <c r="O536" i="10" s="1"/>
  <c r="M536" i="10"/>
  <c r="P536" i="10" s="1"/>
  <c r="N536" i="10"/>
  <c r="Q536" i="10"/>
  <c r="R536" i="10"/>
  <c r="U536" i="10" s="1"/>
  <c r="S536" i="10"/>
  <c r="L537" i="10"/>
  <c r="O537" i="10" s="1"/>
  <c r="M537" i="10"/>
  <c r="P537" i="10" s="1"/>
  <c r="N537" i="10"/>
  <c r="Q537" i="10"/>
  <c r="T537" i="10" s="1"/>
  <c r="R537" i="10"/>
  <c r="U537" i="10" s="1"/>
  <c r="S537" i="10"/>
  <c r="O538" i="10"/>
  <c r="P538" i="10"/>
  <c r="T538" i="10"/>
  <c r="U538" i="10"/>
  <c r="O539" i="10"/>
  <c r="P539" i="10"/>
  <c r="T539" i="10"/>
  <c r="U539" i="10"/>
  <c r="L540" i="10"/>
  <c r="O540" i="10" s="1"/>
  <c r="M540" i="10"/>
  <c r="N540" i="10"/>
  <c r="P540" i="10"/>
  <c r="Q540" i="10"/>
  <c r="T540" i="10" s="1"/>
  <c r="R540" i="10"/>
  <c r="U540" i="10" s="1"/>
  <c r="S540" i="10"/>
  <c r="O541" i="10"/>
  <c r="P541" i="10"/>
  <c r="T541" i="10"/>
  <c r="U541" i="10"/>
  <c r="O542" i="10"/>
  <c r="P542" i="10"/>
  <c r="T542" i="10"/>
  <c r="U542" i="10"/>
  <c r="I554" i="10"/>
  <c r="K554" i="10" s="1"/>
  <c r="J554" i="10"/>
  <c r="L556" i="10"/>
  <c r="M556" i="10"/>
  <c r="N556" i="10"/>
  <c r="O556" i="10"/>
  <c r="P556" i="10"/>
  <c r="Q556" i="10"/>
  <c r="R556" i="10"/>
  <c r="S556" i="10"/>
  <c r="U556" i="10"/>
  <c r="L557" i="10"/>
  <c r="O557" i="10" s="1"/>
  <c r="M557" i="10"/>
  <c r="N557" i="10"/>
  <c r="N555" i="10" s="1"/>
  <c r="Q557" i="10"/>
  <c r="T557" i="10" s="1"/>
  <c r="R557" i="10"/>
  <c r="U557" i="10" s="1"/>
  <c r="S557" i="10"/>
  <c r="S555" i="10" s="1"/>
  <c r="L558" i="10"/>
  <c r="O558" i="10" s="1"/>
  <c r="M558" i="10"/>
  <c r="P558" i="10" s="1"/>
  <c r="N558" i="10"/>
  <c r="Q558" i="10"/>
  <c r="R558" i="10"/>
  <c r="S558" i="10"/>
  <c r="T558" i="10"/>
  <c r="U558" i="10"/>
  <c r="O559" i="10"/>
  <c r="P559" i="10"/>
  <c r="T559" i="10"/>
  <c r="U559" i="10"/>
  <c r="O560" i="10"/>
  <c r="P560" i="10"/>
  <c r="T560" i="10"/>
  <c r="U560" i="10"/>
  <c r="L561" i="10"/>
  <c r="M561" i="10"/>
  <c r="P561" i="10" s="1"/>
  <c r="N561" i="10"/>
  <c r="O561" i="10"/>
  <c r="Q561" i="10"/>
  <c r="R561" i="10"/>
  <c r="S561" i="10"/>
  <c r="T561" i="10"/>
  <c r="U561" i="10"/>
  <c r="O562" i="10"/>
  <c r="P562" i="10"/>
  <c r="T562" i="10"/>
  <c r="U562" i="10"/>
  <c r="O563" i="10"/>
  <c r="P563" i="10"/>
  <c r="T563" i="10"/>
  <c r="U563" i="10"/>
  <c r="I575" i="10"/>
  <c r="J575" i="10"/>
  <c r="K575" i="10"/>
  <c r="L576" i="10"/>
  <c r="O576" i="10" s="1"/>
  <c r="L577" i="10"/>
  <c r="O577" i="10" s="1"/>
  <c r="M577" i="10"/>
  <c r="M576" i="10" s="1"/>
  <c r="P576" i="10" s="1"/>
  <c r="N577" i="10"/>
  <c r="Q577" i="10"/>
  <c r="T577" i="10" s="1"/>
  <c r="R577" i="10"/>
  <c r="S577" i="10"/>
  <c r="L578" i="10"/>
  <c r="M578" i="10"/>
  <c r="P578" i="10" s="1"/>
  <c r="N578" i="10"/>
  <c r="O578" i="10"/>
  <c r="Q578" i="10"/>
  <c r="R578" i="10"/>
  <c r="S578" i="10"/>
  <c r="T578" i="10"/>
  <c r="U578" i="10"/>
  <c r="L579" i="10"/>
  <c r="O579" i="10" s="1"/>
  <c r="M579" i="10"/>
  <c r="N579" i="10"/>
  <c r="P579" i="10"/>
  <c r="Q579" i="10"/>
  <c r="T579" i="10" s="1"/>
  <c r="R579" i="10"/>
  <c r="U579" i="10" s="1"/>
  <c r="S579" i="10"/>
  <c r="O580" i="10"/>
  <c r="P580" i="10"/>
  <c r="T580" i="10"/>
  <c r="U580" i="10"/>
  <c r="O581" i="10"/>
  <c r="P581" i="10"/>
  <c r="T581" i="10"/>
  <c r="U581" i="10"/>
  <c r="L582" i="10"/>
  <c r="O582" i="10" s="1"/>
  <c r="M582" i="10"/>
  <c r="P582" i="10" s="1"/>
  <c r="N582" i="10"/>
  <c r="Q582" i="10"/>
  <c r="T582" i="10" s="1"/>
  <c r="R582" i="10"/>
  <c r="U582" i="10" s="1"/>
  <c r="S582" i="10"/>
  <c r="O583" i="10"/>
  <c r="P583" i="10"/>
  <c r="T583" i="10"/>
  <c r="U583" i="10"/>
  <c r="O584" i="10"/>
  <c r="P584" i="10"/>
  <c r="T584" i="10"/>
  <c r="U584" i="10"/>
  <c r="L600" i="10"/>
  <c r="O600" i="10" s="1"/>
  <c r="M600" i="10"/>
  <c r="N600" i="10"/>
  <c r="N599" i="10" s="1"/>
  <c r="Q600" i="10"/>
  <c r="Q599" i="10" s="1"/>
  <c r="T599" i="10" s="1"/>
  <c r="R600" i="10"/>
  <c r="U600" i="10" s="1"/>
  <c r="S600" i="10"/>
  <c r="T600" i="10"/>
  <c r="L601" i="10"/>
  <c r="O601" i="10" s="1"/>
  <c r="M601" i="10"/>
  <c r="P601" i="10" s="1"/>
  <c r="N601" i="10"/>
  <c r="Q601" i="10"/>
  <c r="R601" i="10"/>
  <c r="S601" i="10"/>
  <c r="T601" i="10"/>
  <c r="L602" i="10"/>
  <c r="O602" i="10" s="1"/>
  <c r="M602" i="10"/>
  <c r="N602" i="10"/>
  <c r="P602" i="10"/>
  <c r="Q602" i="10"/>
  <c r="T602" i="10" s="1"/>
  <c r="R602" i="10"/>
  <c r="U602" i="10" s="1"/>
  <c r="S602" i="10"/>
  <c r="O603" i="10"/>
  <c r="P603" i="10"/>
  <c r="T603" i="10"/>
  <c r="U603" i="10"/>
  <c r="O604" i="10"/>
  <c r="P604" i="10"/>
  <c r="T604" i="10"/>
  <c r="U604" i="10"/>
  <c r="L605" i="10"/>
  <c r="O605" i="10" s="1"/>
  <c r="M605" i="10"/>
  <c r="N605" i="10"/>
  <c r="P605" i="10"/>
  <c r="Q605" i="10"/>
  <c r="T605" i="10" s="1"/>
  <c r="R605" i="10"/>
  <c r="U605" i="10" s="1"/>
  <c r="S605" i="10"/>
  <c r="O606" i="10"/>
  <c r="P606" i="10"/>
  <c r="T606" i="10"/>
  <c r="U606" i="10"/>
  <c r="O607" i="10"/>
  <c r="P607" i="10"/>
  <c r="T607" i="10"/>
  <c r="U607" i="10"/>
  <c r="L617" i="10"/>
  <c r="O617" i="10" s="1"/>
  <c r="M617" i="10"/>
  <c r="P617" i="10" s="1"/>
  <c r="N617" i="10"/>
  <c r="Q617" i="10"/>
  <c r="R617" i="10"/>
  <c r="U617" i="10" s="1"/>
  <c r="S617" i="10"/>
  <c r="L618" i="10"/>
  <c r="M618" i="10"/>
  <c r="N618" i="10"/>
  <c r="N616" i="10" s="1"/>
  <c r="L619" i="10"/>
  <c r="M619" i="10"/>
  <c r="P619" i="10" s="1"/>
  <c r="N619" i="10"/>
  <c r="O619" i="10"/>
  <c r="O620" i="10"/>
  <c r="P620" i="10"/>
  <c r="T620" i="10"/>
  <c r="U620" i="10"/>
  <c r="O621" i="10"/>
  <c r="P621" i="10"/>
  <c r="Q621" i="10"/>
  <c r="Q618" i="10" s="1"/>
  <c r="R621" i="10"/>
  <c r="R619" i="10" s="1"/>
  <c r="S621" i="10"/>
  <c r="L622" i="10"/>
  <c r="O622" i="10" s="1"/>
  <c r="M622" i="10"/>
  <c r="N622" i="10"/>
  <c r="P622" i="10"/>
  <c r="Q622" i="10"/>
  <c r="T622" i="10" s="1"/>
  <c r="R622" i="10"/>
  <c r="U622" i="10" s="1"/>
  <c r="S622" i="10"/>
  <c r="O623" i="10"/>
  <c r="P623" i="10"/>
  <c r="T623" i="10"/>
  <c r="U623" i="10"/>
  <c r="O624" i="10"/>
  <c r="P624" i="10"/>
  <c r="T624" i="10"/>
  <c r="U624" i="10"/>
  <c r="I626" i="10"/>
  <c r="I615" i="10" s="1"/>
  <c r="I627" i="10"/>
  <c r="K627" i="10" s="1"/>
  <c r="I628" i="10"/>
  <c r="K628" i="10" s="1"/>
  <c r="J632" i="10"/>
  <c r="J626" i="10" s="1"/>
  <c r="J615" i="10" s="1"/>
  <c r="I635" i="10"/>
  <c r="K635" i="10" s="1"/>
  <c r="J636" i="10"/>
  <c r="J635" i="10" s="1"/>
  <c r="N642" i="10"/>
  <c r="L643" i="10"/>
  <c r="M643" i="10"/>
  <c r="N643" i="10"/>
  <c r="O643" i="10"/>
  <c r="P643" i="10"/>
  <c r="Q643" i="10"/>
  <c r="T643" i="10" s="1"/>
  <c r="R643" i="10"/>
  <c r="S643" i="10"/>
  <c r="U643" i="10"/>
  <c r="L644" i="10"/>
  <c r="M644" i="10"/>
  <c r="P644" i="10" s="1"/>
  <c r="N644" i="10"/>
  <c r="L645" i="10"/>
  <c r="O645" i="10" s="1"/>
  <c r="M645" i="10"/>
  <c r="P645" i="10" s="1"/>
  <c r="N645" i="10"/>
  <c r="O646" i="10"/>
  <c r="P646" i="10"/>
  <c r="T646" i="10"/>
  <c r="U646" i="10"/>
  <c r="O647" i="10"/>
  <c r="P647" i="10"/>
  <c r="Q647" i="10"/>
  <c r="R647" i="10"/>
  <c r="S647" i="10"/>
  <c r="S644" i="10" s="1"/>
  <c r="S642" i="10" s="1"/>
  <c r="L648" i="10"/>
  <c r="O648" i="10" s="1"/>
  <c r="M648" i="10"/>
  <c r="P648" i="10" s="1"/>
  <c r="N648" i="10"/>
  <c r="Q648" i="10"/>
  <c r="T648" i="10" s="1"/>
  <c r="R648" i="10"/>
  <c r="S648" i="10"/>
  <c r="U648" i="10"/>
  <c r="O649" i="10"/>
  <c r="P649" i="10"/>
  <c r="T649" i="10"/>
  <c r="U649" i="10"/>
  <c r="O650" i="10"/>
  <c r="P650" i="10"/>
  <c r="T650" i="10"/>
  <c r="U650" i="10"/>
  <c r="I652" i="10"/>
  <c r="K652" i="10" s="1"/>
  <c r="J652" i="10"/>
  <c r="I653" i="10"/>
  <c r="K653" i="10" s="1"/>
  <c r="J653" i="10"/>
  <c r="I654" i="10"/>
  <c r="K654" i="10" s="1"/>
  <c r="J654" i="10"/>
  <c r="I657" i="10"/>
  <c r="I660" i="10"/>
  <c r="I661" i="10"/>
  <c r="K661" i="10" s="1"/>
  <c r="J661" i="10"/>
  <c r="J671" i="10"/>
  <c r="J672" i="10"/>
  <c r="I673" i="10"/>
  <c r="K673" i="10" s="1"/>
  <c r="J673" i="10"/>
  <c r="I674" i="10"/>
  <c r="K674" i="10" s="1"/>
  <c r="I675" i="10"/>
  <c r="K675" i="10" s="1"/>
  <c r="I676" i="10"/>
  <c r="K676" i="10" s="1"/>
  <c r="J676" i="10"/>
  <c r="J677" i="10"/>
  <c r="I678" i="10"/>
  <c r="K678" i="10" s="1"/>
  <c r="J678" i="10"/>
  <c r="I679" i="10"/>
  <c r="K679" i="10" s="1"/>
  <c r="J679" i="10"/>
  <c r="J680" i="10"/>
  <c r="I681" i="10"/>
  <c r="K681" i="10" s="1"/>
  <c r="J681" i="10"/>
  <c r="I682" i="10"/>
  <c r="K682" i="10" s="1"/>
  <c r="J682" i="10"/>
  <c r="M690" i="10"/>
  <c r="P690" i="10" s="1"/>
  <c r="N690" i="10"/>
  <c r="L691" i="10"/>
  <c r="M691" i="10"/>
  <c r="N691" i="10"/>
  <c r="O691" i="10"/>
  <c r="P691" i="10"/>
  <c r="Q691" i="10"/>
  <c r="R691" i="10"/>
  <c r="S691" i="10"/>
  <c r="T691" i="10"/>
  <c r="U691" i="10"/>
  <c r="L692" i="10"/>
  <c r="M692" i="10"/>
  <c r="N692" i="10"/>
  <c r="P692" i="10"/>
  <c r="L693" i="10"/>
  <c r="O693" i="10" s="1"/>
  <c r="M693" i="10"/>
  <c r="P693" i="10" s="1"/>
  <c r="N693" i="10"/>
  <c r="O694" i="10"/>
  <c r="P694" i="10"/>
  <c r="T694" i="10"/>
  <c r="U694" i="10"/>
  <c r="O695" i="10"/>
  <c r="P695" i="10"/>
  <c r="Q695" i="10"/>
  <c r="R695" i="10"/>
  <c r="R693" i="10" s="1"/>
  <c r="S695" i="10"/>
  <c r="S692" i="10" s="1"/>
  <c r="L696" i="10"/>
  <c r="O696" i="10" s="1"/>
  <c r="M696" i="10"/>
  <c r="P696" i="10" s="1"/>
  <c r="N696" i="10"/>
  <c r="Q696" i="10"/>
  <c r="T696" i="10" s="1"/>
  <c r="R696" i="10"/>
  <c r="U696" i="10" s="1"/>
  <c r="S696" i="10"/>
  <c r="O697" i="10"/>
  <c r="P697" i="10"/>
  <c r="T697" i="10"/>
  <c r="U697" i="10"/>
  <c r="O698" i="10"/>
  <c r="P698" i="10"/>
  <c r="T698" i="10"/>
  <c r="U698" i="10"/>
  <c r="I700" i="10"/>
  <c r="K700" i="10" s="1"/>
  <c r="K702" i="10"/>
  <c r="I703" i="10"/>
  <c r="J703" i="10"/>
  <c r="J704" i="10"/>
  <c r="K704" i="10"/>
  <c r="I705" i="10"/>
  <c r="J705" i="10"/>
  <c r="J706" i="10"/>
  <c r="K706" i="10"/>
  <c r="I707" i="10"/>
  <c r="J707" i="10"/>
  <c r="J689" i="10" s="1"/>
  <c r="J708" i="10"/>
  <c r="K708" i="10"/>
  <c r="I709" i="10"/>
  <c r="J709" i="10"/>
  <c r="J710" i="10"/>
  <c r="K710" i="10"/>
  <c r="J712" i="10"/>
  <c r="K712" i="10"/>
  <c r="R714" i="10"/>
  <c r="U714" i="10" s="1"/>
  <c r="L715" i="10"/>
  <c r="M715" i="10"/>
  <c r="N715" i="10"/>
  <c r="Q715" i="10"/>
  <c r="R715" i="10"/>
  <c r="U715" i="10" s="1"/>
  <c r="S715" i="10"/>
  <c r="S714" i="10" s="1"/>
  <c r="T715" i="10"/>
  <c r="L716" i="10"/>
  <c r="M716" i="10"/>
  <c r="N716" i="10"/>
  <c r="O716" i="10"/>
  <c r="P716" i="10"/>
  <c r="Q716" i="10"/>
  <c r="T716" i="10" s="1"/>
  <c r="R716" i="10"/>
  <c r="S716" i="10"/>
  <c r="U716" i="10"/>
  <c r="L717" i="10"/>
  <c r="O717" i="10" s="1"/>
  <c r="M717" i="10"/>
  <c r="P717" i="10" s="1"/>
  <c r="N717" i="10"/>
  <c r="Q717" i="10"/>
  <c r="T717" i="10" s="1"/>
  <c r="R717" i="10"/>
  <c r="U717" i="10" s="1"/>
  <c r="S717" i="10"/>
  <c r="O718" i="10"/>
  <c r="P718" i="10"/>
  <c r="T718" i="10"/>
  <c r="U718" i="10"/>
  <c r="O719" i="10"/>
  <c r="P719" i="10"/>
  <c r="T719" i="10"/>
  <c r="U719" i="10"/>
  <c r="L720" i="10"/>
  <c r="O720" i="10" s="1"/>
  <c r="M720" i="10"/>
  <c r="N720" i="10"/>
  <c r="P720" i="10"/>
  <c r="Q720" i="10"/>
  <c r="T720" i="10" s="1"/>
  <c r="R720" i="10"/>
  <c r="U720" i="10" s="1"/>
  <c r="S720" i="10"/>
  <c r="O721" i="10"/>
  <c r="P721" i="10"/>
  <c r="T721" i="10"/>
  <c r="U721" i="10"/>
  <c r="O722" i="10"/>
  <c r="P722" i="10"/>
  <c r="T722" i="10"/>
  <c r="U722" i="10"/>
  <c r="I726" i="10"/>
  <c r="J726" i="10"/>
  <c r="I727" i="10"/>
  <c r="K727" i="10" s="1"/>
  <c r="J727" i="10"/>
  <c r="L729" i="10"/>
  <c r="M729" i="10"/>
  <c r="N729" i="10"/>
  <c r="Q729" i="10"/>
  <c r="R729" i="10"/>
  <c r="U729" i="10" s="1"/>
  <c r="S729" i="10"/>
  <c r="T729" i="10"/>
  <c r="L730" i="10"/>
  <c r="M730" i="10"/>
  <c r="N730" i="10"/>
  <c r="O730" i="10"/>
  <c r="P730" i="10"/>
  <c r="L731" i="10"/>
  <c r="O731" i="10" s="1"/>
  <c r="M731" i="10"/>
  <c r="N731" i="10"/>
  <c r="P731" i="10"/>
  <c r="O732" i="10"/>
  <c r="P732" i="10"/>
  <c r="T732" i="10"/>
  <c r="U732" i="10"/>
  <c r="O733" i="10"/>
  <c r="P733" i="10"/>
  <c r="Q733" i="10"/>
  <c r="R733" i="10"/>
  <c r="S733" i="10"/>
  <c r="L734" i="10"/>
  <c r="M734" i="10"/>
  <c r="P734" i="10" s="1"/>
  <c r="N734" i="10"/>
  <c r="O734" i="10"/>
  <c r="Q734" i="10"/>
  <c r="T734" i="10" s="1"/>
  <c r="R734" i="10"/>
  <c r="S734" i="10"/>
  <c r="U734" i="10"/>
  <c r="O735" i="10"/>
  <c r="P735" i="10"/>
  <c r="T735" i="10"/>
  <c r="U735" i="10"/>
  <c r="O736" i="10"/>
  <c r="P736" i="10"/>
  <c r="T736" i="10"/>
  <c r="U736" i="10"/>
  <c r="I740" i="10"/>
  <c r="K740" i="10" s="1"/>
  <c r="I742" i="10"/>
  <c r="K742" i="10" s="1"/>
  <c r="I744" i="10"/>
  <c r="K744" i="10" s="1"/>
  <c r="I746" i="10"/>
  <c r="K746" i="10" s="1"/>
  <c r="I749" i="10"/>
  <c r="K749" i="10" s="1"/>
  <c r="I752" i="10"/>
  <c r="K752" i="10" s="1"/>
  <c r="I755" i="10"/>
  <c r="K755" i="10" s="1"/>
  <c r="J758" i="10"/>
  <c r="J759" i="10"/>
  <c r="L761" i="10"/>
  <c r="M761" i="10"/>
  <c r="N761" i="10"/>
  <c r="Q761" i="10"/>
  <c r="R761" i="10"/>
  <c r="S761" i="10"/>
  <c r="T761" i="10"/>
  <c r="U761" i="10"/>
  <c r="L762" i="10"/>
  <c r="M762" i="10"/>
  <c r="N762" i="10"/>
  <c r="O762" i="10"/>
  <c r="P762" i="10"/>
  <c r="L763" i="10"/>
  <c r="O763" i="10" s="1"/>
  <c r="M763" i="10"/>
  <c r="P763" i="10" s="1"/>
  <c r="N763" i="10"/>
  <c r="O764" i="10"/>
  <c r="P764" i="10"/>
  <c r="T764" i="10"/>
  <c r="U764" i="10"/>
  <c r="O765" i="10"/>
  <c r="P765" i="10"/>
  <c r="Q765" i="10"/>
  <c r="Q763" i="10" s="1"/>
  <c r="R765" i="10"/>
  <c r="R762" i="10" s="1"/>
  <c r="S765" i="10"/>
  <c r="S762" i="10" s="1"/>
  <c r="L766" i="10"/>
  <c r="O766" i="10" s="1"/>
  <c r="M766" i="10"/>
  <c r="P766" i="10" s="1"/>
  <c r="N766" i="10"/>
  <c r="Q766" i="10"/>
  <c r="R766" i="10"/>
  <c r="U766" i="10" s="1"/>
  <c r="S766" i="10"/>
  <c r="T766" i="10"/>
  <c r="O767" i="10"/>
  <c r="P767" i="10"/>
  <c r="T767" i="10"/>
  <c r="U767" i="10"/>
  <c r="O768" i="10"/>
  <c r="P768" i="10"/>
  <c r="T768" i="10"/>
  <c r="U768" i="10"/>
  <c r="I770" i="10"/>
  <c r="K770" i="10" s="1"/>
  <c r="I772" i="10"/>
  <c r="K772" i="10" s="1"/>
  <c r="I774" i="10"/>
  <c r="I775" i="10"/>
  <c r="I776" i="10"/>
  <c r="H777" i="10"/>
  <c r="I778" i="10"/>
  <c r="J778" i="10"/>
  <c r="I779" i="10"/>
  <c r="J779" i="10"/>
  <c r="I780" i="10"/>
  <c r="J780" i="10"/>
  <c r="I781" i="10"/>
  <c r="J781" i="10"/>
  <c r="I782" i="10"/>
  <c r="J782" i="10"/>
  <c r="I783" i="10"/>
  <c r="J783" i="10"/>
  <c r="I784" i="10"/>
  <c r="J784" i="10"/>
  <c r="I785" i="10"/>
  <c r="J785" i="10"/>
  <c r="A788" i="10"/>
  <c r="A789" i="10"/>
  <c r="L22" i="9"/>
  <c r="O22" i="9" s="1"/>
  <c r="M22" i="9"/>
  <c r="N22" i="9"/>
  <c r="Q22" i="9"/>
  <c r="T22" i="9" s="1"/>
  <c r="R22" i="9"/>
  <c r="S22" i="9"/>
  <c r="Q24" i="9"/>
  <c r="T24" i="9" s="1"/>
  <c r="L25" i="9"/>
  <c r="M25" i="9"/>
  <c r="N25" i="9"/>
  <c r="Q25" i="9"/>
  <c r="T25" i="9" s="1"/>
  <c r="R25" i="9"/>
  <c r="R24" i="9" s="1"/>
  <c r="U24" i="9" s="1"/>
  <c r="S25" i="9"/>
  <c r="Q26" i="9"/>
  <c r="R26" i="9"/>
  <c r="S26" i="9"/>
  <c r="T26" i="9"/>
  <c r="U26" i="9"/>
  <c r="L45" i="9"/>
  <c r="O45" i="9" s="1"/>
  <c r="M45" i="9"/>
  <c r="N45" i="9"/>
  <c r="Q45" i="9"/>
  <c r="R45" i="9"/>
  <c r="S45" i="9"/>
  <c r="S44" i="9" s="1"/>
  <c r="T45" i="9"/>
  <c r="Q46" i="9"/>
  <c r="R46" i="9"/>
  <c r="U46" i="9" s="1"/>
  <c r="S46" i="9"/>
  <c r="T46" i="9"/>
  <c r="Q47" i="9"/>
  <c r="T47" i="9" s="1"/>
  <c r="R47" i="9"/>
  <c r="U47" i="9" s="1"/>
  <c r="S47" i="9"/>
  <c r="O48" i="9"/>
  <c r="P48" i="9"/>
  <c r="T48" i="9"/>
  <c r="U48" i="9"/>
  <c r="L49" i="9"/>
  <c r="M49" i="9"/>
  <c r="M47" i="9" s="1"/>
  <c r="N49" i="9"/>
  <c r="T49" i="9"/>
  <c r="U49" i="9"/>
  <c r="Q50" i="9"/>
  <c r="T50" i="9" s="1"/>
  <c r="R50" i="9"/>
  <c r="S50" i="9"/>
  <c r="U50" i="9"/>
  <c r="O51" i="9"/>
  <c r="P51" i="9"/>
  <c r="T51" i="9"/>
  <c r="U51" i="9"/>
  <c r="L52" i="9"/>
  <c r="O52" i="9" s="1"/>
  <c r="M52" i="9"/>
  <c r="N52" i="9"/>
  <c r="T52" i="9"/>
  <c r="U52" i="9"/>
  <c r="L60" i="9"/>
  <c r="O60" i="9" s="1"/>
  <c r="M60" i="9"/>
  <c r="P60" i="9" s="1"/>
  <c r="N60" i="9"/>
  <c r="Q60" i="9"/>
  <c r="R60" i="9"/>
  <c r="R59" i="9" s="1"/>
  <c r="U59" i="9" s="1"/>
  <c r="S60" i="9"/>
  <c r="S59" i="9" s="1"/>
  <c r="T60" i="9"/>
  <c r="U60" i="9"/>
  <c r="Q61" i="9"/>
  <c r="T61" i="9" s="1"/>
  <c r="R61" i="9"/>
  <c r="S61" i="9"/>
  <c r="U61" i="9"/>
  <c r="Q62" i="9"/>
  <c r="T62" i="9" s="1"/>
  <c r="R62" i="9"/>
  <c r="U62" i="9" s="1"/>
  <c r="S62" i="9"/>
  <c r="O63" i="9"/>
  <c r="P63" i="9"/>
  <c r="T63" i="9"/>
  <c r="U63" i="9"/>
  <c r="L64" i="9"/>
  <c r="L62" i="9" s="1"/>
  <c r="M64" i="9"/>
  <c r="N64" i="9"/>
  <c r="N62" i="9" s="1"/>
  <c r="T64" i="9"/>
  <c r="U64" i="9"/>
  <c r="Q65" i="9"/>
  <c r="T65" i="9" s="1"/>
  <c r="R65" i="9"/>
  <c r="U65" i="9" s="1"/>
  <c r="S65" i="9"/>
  <c r="O66" i="9"/>
  <c r="P66" i="9"/>
  <c r="T66" i="9"/>
  <c r="U66" i="9"/>
  <c r="L67" i="9"/>
  <c r="O67" i="9" s="1"/>
  <c r="M67" i="9"/>
  <c r="N67" i="9"/>
  <c r="N65" i="9" s="1"/>
  <c r="T67" i="9"/>
  <c r="U67" i="9"/>
  <c r="J70" i="9"/>
  <c r="L73" i="9"/>
  <c r="M73" i="9"/>
  <c r="P73" i="9" s="1"/>
  <c r="N73" i="9"/>
  <c r="Q73" i="9"/>
  <c r="R73" i="9"/>
  <c r="S73" i="9"/>
  <c r="T73" i="9"/>
  <c r="U73" i="9"/>
  <c r="O76" i="9"/>
  <c r="P76" i="9"/>
  <c r="T76" i="9"/>
  <c r="U76" i="9"/>
  <c r="L77" i="9"/>
  <c r="M77" i="9"/>
  <c r="N77" i="9"/>
  <c r="N75" i="9" s="1"/>
  <c r="Q77" i="9"/>
  <c r="R77" i="9"/>
  <c r="S77" i="9"/>
  <c r="S74" i="9" s="1"/>
  <c r="Q78" i="9"/>
  <c r="T78" i="9" s="1"/>
  <c r="R78" i="9"/>
  <c r="U78" i="9" s="1"/>
  <c r="S78" i="9"/>
  <c r="O79" i="9"/>
  <c r="P79" i="9"/>
  <c r="T79" i="9"/>
  <c r="U79" i="9"/>
  <c r="L80" i="9"/>
  <c r="M80" i="9"/>
  <c r="N80" i="9"/>
  <c r="N78" i="9" s="1"/>
  <c r="T80" i="9"/>
  <c r="U80" i="9"/>
  <c r="J82" i="9"/>
  <c r="J83" i="9"/>
  <c r="J71" i="9" s="1"/>
  <c r="I84" i="9"/>
  <c r="I85" i="9"/>
  <c r="K85" i="9" s="1"/>
  <c r="I86" i="9"/>
  <c r="K86" i="9" s="1"/>
  <c r="I87" i="9"/>
  <c r="K87" i="9" s="1"/>
  <c r="I88" i="9"/>
  <c r="K88" i="9" s="1"/>
  <c r="I89" i="9"/>
  <c r="K89" i="9" s="1"/>
  <c r="I90" i="9"/>
  <c r="K90" i="9" s="1"/>
  <c r="J92" i="9"/>
  <c r="J93" i="9"/>
  <c r="L95" i="9"/>
  <c r="O95" i="9" s="1"/>
  <c r="M95" i="9"/>
  <c r="P95" i="9" s="1"/>
  <c r="N95" i="9"/>
  <c r="Q95" i="9"/>
  <c r="R95" i="9"/>
  <c r="U95" i="9" s="1"/>
  <c r="S95" i="9"/>
  <c r="T95" i="9"/>
  <c r="O98" i="9"/>
  <c r="P98" i="9"/>
  <c r="T98" i="9"/>
  <c r="U98" i="9"/>
  <c r="L99" i="9"/>
  <c r="M99" i="9"/>
  <c r="M97" i="9" s="1"/>
  <c r="N99" i="9"/>
  <c r="Q99" i="9"/>
  <c r="R99" i="9"/>
  <c r="S99" i="9"/>
  <c r="S96" i="9" s="1"/>
  <c r="S94" i="9" s="1"/>
  <c r="Q100" i="9"/>
  <c r="T100" i="9" s="1"/>
  <c r="R100" i="9"/>
  <c r="U100" i="9" s="1"/>
  <c r="S100" i="9"/>
  <c r="O101" i="9"/>
  <c r="P101" i="9"/>
  <c r="T101" i="9"/>
  <c r="U101" i="9"/>
  <c r="L102" i="9"/>
  <c r="M102" i="9"/>
  <c r="P102" i="9" s="1"/>
  <c r="N102" i="9"/>
  <c r="N100" i="9" s="1"/>
  <c r="T102" i="9"/>
  <c r="U102" i="9"/>
  <c r="I108" i="9"/>
  <c r="K108" i="9" s="1"/>
  <c r="I109" i="9"/>
  <c r="I93" i="9" s="1"/>
  <c r="K93" i="9" s="1"/>
  <c r="I113" i="9"/>
  <c r="K113" i="9" s="1"/>
  <c r="I114" i="9"/>
  <c r="K114" i="9" s="1"/>
  <c r="J116" i="9"/>
  <c r="L118" i="9"/>
  <c r="O118" i="9" s="1"/>
  <c r="M118" i="9"/>
  <c r="N118" i="9"/>
  <c r="Q118" i="9"/>
  <c r="R118" i="9"/>
  <c r="U118" i="9" s="1"/>
  <c r="S118" i="9"/>
  <c r="T118" i="9"/>
  <c r="O121" i="9"/>
  <c r="P121" i="9"/>
  <c r="T121" i="9"/>
  <c r="U121" i="9"/>
  <c r="L122" i="9"/>
  <c r="O122" i="9" s="1"/>
  <c r="M122" i="9"/>
  <c r="N122" i="9"/>
  <c r="Q122" i="9"/>
  <c r="R122" i="9"/>
  <c r="S122" i="9"/>
  <c r="Q123" i="9"/>
  <c r="T123" i="9" s="1"/>
  <c r="R123" i="9"/>
  <c r="U123" i="9" s="1"/>
  <c r="S123" i="9"/>
  <c r="O124" i="9"/>
  <c r="P124" i="9"/>
  <c r="T124" i="9"/>
  <c r="U124" i="9"/>
  <c r="L125" i="9"/>
  <c r="M125" i="9"/>
  <c r="N125" i="9"/>
  <c r="N123" i="9" s="1"/>
  <c r="T125" i="9"/>
  <c r="U125" i="9"/>
  <c r="I127" i="9"/>
  <c r="I128" i="9"/>
  <c r="K128" i="9" s="1"/>
  <c r="I129" i="9"/>
  <c r="K129" i="9" s="1"/>
  <c r="I130" i="9"/>
  <c r="K130" i="9" s="1"/>
  <c r="J136" i="9"/>
  <c r="J137" i="9"/>
  <c r="J138" i="9"/>
  <c r="L140" i="9"/>
  <c r="O140" i="9" s="1"/>
  <c r="M140" i="9"/>
  <c r="N140" i="9"/>
  <c r="P140" i="9"/>
  <c r="Q140" i="9"/>
  <c r="R140" i="9"/>
  <c r="U140" i="9" s="1"/>
  <c r="S140" i="9"/>
  <c r="T140" i="9"/>
  <c r="O143" i="9"/>
  <c r="P143" i="9"/>
  <c r="T143" i="9"/>
  <c r="U143" i="9"/>
  <c r="L144" i="9"/>
  <c r="L142" i="9" s="1"/>
  <c r="M144" i="9"/>
  <c r="N144" i="9"/>
  <c r="N142" i="9" s="1"/>
  <c r="Q144" i="9"/>
  <c r="R144" i="9"/>
  <c r="S144" i="9"/>
  <c r="S141" i="9" s="1"/>
  <c r="Q145" i="9"/>
  <c r="R145" i="9"/>
  <c r="U145" i="9" s="1"/>
  <c r="S145" i="9"/>
  <c r="T145" i="9"/>
  <c r="O146" i="9"/>
  <c r="P146" i="9"/>
  <c r="T146" i="9"/>
  <c r="U146" i="9"/>
  <c r="L147" i="9"/>
  <c r="O147" i="9" s="1"/>
  <c r="M147" i="9"/>
  <c r="M145" i="9" s="1"/>
  <c r="P145" i="9" s="1"/>
  <c r="N147" i="9"/>
  <c r="N145" i="9" s="1"/>
  <c r="T147" i="9"/>
  <c r="U147" i="9"/>
  <c r="I150" i="9"/>
  <c r="K150" i="9" s="1"/>
  <c r="I151" i="9"/>
  <c r="K151" i="9" s="1"/>
  <c r="I152" i="9"/>
  <c r="I153" i="9"/>
  <c r="K153" i="9" s="1"/>
  <c r="I154" i="9"/>
  <c r="K154" i="9" s="1"/>
  <c r="J156" i="9"/>
  <c r="L158" i="9"/>
  <c r="O158" i="9" s="1"/>
  <c r="M158" i="9"/>
  <c r="P158" i="9" s="1"/>
  <c r="N158" i="9"/>
  <c r="Q158" i="9"/>
  <c r="T158" i="9" s="1"/>
  <c r="R158" i="9"/>
  <c r="U158" i="9" s="1"/>
  <c r="S158" i="9"/>
  <c r="O161" i="9"/>
  <c r="P161" i="9"/>
  <c r="T161" i="9"/>
  <c r="U161" i="9"/>
  <c r="L162" i="9"/>
  <c r="M162" i="9"/>
  <c r="N162" i="9"/>
  <c r="N160" i="9" s="1"/>
  <c r="Q162" i="9"/>
  <c r="Q159" i="9" s="1"/>
  <c r="T159" i="9" s="1"/>
  <c r="R162" i="9"/>
  <c r="U162" i="9" s="1"/>
  <c r="S162" i="9"/>
  <c r="Q163" i="9"/>
  <c r="T163" i="9" s="1"/>
  <c r="R163" i="9"/>
  <c r="U163" i="9" s="1"/>
  <c r="S163" i="9"/>
  <c r="O164" i="9"/>
  <c r="P164" i="9"/>
  <c r="T164" i="9"/>
  <c r="U164" i="9"/>
  <c r="L165" i="9"/>
  <c r="L163" i="9" s="1"/>
  <c r="O163" i="9" s="1"/>
  <c r="M165" i="9"/>
  <c r="M163" i="9" s="1"/>
  <c r="P163" i="9" s="1"/>
  <c r="N165" i="9"/>
  <c r="N163" i="9" s="1"/>
  <c r="T165" i="9"/>
  <c r="U165" i="9"/>
  <c r="I167" i="9"/>
  <c r="K167" i="9" s="1"/>
  <c r="I168" i="9"/>
  <c r="K168" i="9" s="1"/>
  <c r="I169" i="9"/>
  <c r="K169" i="9" s="1"/>
  <c r="J172" i="9"/>
  <c r="L174" i="9"/>
  <c r="O174" i="9" s="1"/>
  <c r="M174" i="9"/>
  <c r="N174" i="9"/>
  <c r="Q174" i="9"/>
  <c r="T174" i="9" s="1"/>
  <c r="R174" i="9"/>
  <c r="U174" i="9" s="1"/>
  <c r="S174" i="9"/>
  <c r="O177" i="9"/>
  <c r="P177" i="9"/>
  <c r="T177" i="9"/>
  <c r="U177" i="9"/>
  <c r="L178" i="9"/>
  <c r="L176" i="9" s="1"/>
  <c r="M178" i="9"/>
  <c r="M176" i="9" s="1"/>
  <c r="N178" i="9"/>
  <c r="Q178" i="9"/>
  <c r="R178" i="9"/>
  <c r="S178" i="9"/>
  <c r="S176" i="9" s="1"/>
  <c r="Q179" i="9"/>
  <c r="T179" i="9" s="1"/>
  <c r="R179" i="9"/>
  <c r="U179" i="9" s="1"/>
  <c r="S179" i="9"/>
  <c r="O180" i="9"/>
  <c r="P180" i="9"/>
  <c r="T180" i="9"/>
  <c r="U180" i="9"/>
  <c r="L181" i="9"/>
  <c r="O181" i="9" s="1"/>
  <c r="M181" i="9"/>
  <c r="N181" i="9"/>
  <c r="N179" i="9" s="1"/>
  <c r="T181" i="9"/>
  <c r="U181" i="9"/>
  <c r="I183" i="9"/>
  <c r="I172" i="9" s="1"/>
  <c r="K172" i="9" s="1"/>
  <c r="K184" i="9"/>
  <c r="L187" i="9"/>
  <c r="O187" i="9" s="1"/>
  <c r="M187" i="9"/>
  <c r="N187" i="9"/>
  <c r="Q187" i="9"/>
  <c r="R187" i="9"/>
  <c r="U187" i="9" s="1"/>
  <c r="S187" i="9"/>
  <c r="O190" i="9"/>
  <c r="P190" i="9"/>
  <c r="T190" i="9"/>
  <c r="U190" i="9"/>
  <c r="L191" i="9"/>
  <c r="M191" i="9"/>
  <c r="N191" i="9"/>
  <c r="Q191" i="9"/>
  <c r="R191" i="9"/>
  <c r="R188" i="9" s="1"/>
  <c r="R186" i="9" s="1"/>
  <c r="S191" i="9"/>
  <c r="S188" i="9" s="1"/>
  <c r="Q192" i="9"/>
  <c r="T192" i="9" s="1"/>
  <c r="R192" i="9"/>
  <c r="S192" i="9"/>
  <c r="U192" i="9"/>
  <c r="O193" i="9"/>
  <c r="P193" i="9"/>
  <c r="T193" i="9"/>
  <c r="U193" i="9"/>
  <c r="L194" i="9"/>
  <c r="M194" i="9"/>
  <c r="M192" i="9" s="1"/>
  <c r="P192" i="9" s="1"/>
  <c r="N194" i="9"/>
  <c r="N192" i="9" s="1"/>
  <c r="T194" i="9"/>
  <c r="U194" i="9"/>
  <c r="J195" i="9"/>
  <c r="L196" i="9"/>
  <c r="O196" i="9" s="1"/>
  <c r="P196" i="9"/>
  <c r="I198" i="9"/>
  <c r="J199" i="9"/>
  <c r="J202" i="9"/>
  <c r="N203" i="9"/>
  <c r="P203" i="9"/>
  <c r="S203" i="9"/>
  <c r="U203" i="9"/>
  <c r="L204" i="9"/>
  <c r="L205" i="9"/>
  <c r="L206" i="9"/>
  <c r="Q206" i="9"/>
  <c r="Q203" i="9" s="1"/>
  <c r="T203" i="9" s="1"/>
  <c r="L207" i="9"/>
  <c r="I209" i="9"/>
  <c r="I211" i="9"/>
  <c r="K211" i="9" s="1"/>
  <c r="I212" i="9"/>
  <c r="K212" i="9" s="1"/>
  <c r="J213" i="9"/>
  <c r="N214" i="9"/>
  <c r="P214" i="9"/>
  <c r="S214" i="9"/>
  <c r="U214" i="9"/>
  <c r="L215" i="9"/>
  <c r="L216" i="9"/>
  <c r="L217" i="9"/>
  <c r="Q217" i="9"/>
  <c r="Q214" i="9" s="1"/>
  <c r="T214" i="9" s="1"/>
  <c r="I219" i="9"/>
  <c r="K219" i="9" s="1"/>
  <c r="I220" i="9"/>
  <c r="J221" i="9"/>
  <c r="N222" i="9"/>
  <c r="P222" i="9"/>
  <c r="L223" i="9"/>
  <c r="L224" i="9"/>
  <c r="L225" i="9"/>
  <c r="I228" i="9"/>
  <c r="K228" i="9" s="1"/>
  <c r="I229" i="9"/>
  <c r="I230" i="9"/>
  <c r="K230" i="9" s="1"/>
  <c r="N233" i="9"/>
  <c r="N234" i="9"/>
  <c r="N235" i="9"/>
  <c r="N236" i="9"/>
  <c r="J238" i="9"/>
  <c r="I240" i="9"/>
  <c r="J240" i="9"/>
  <c r="K240" i="9"/>
  <c r="I241" i="9"/>
  <c r="J241" i="9"/>
  <c r="K241" i="9"/>
  <c r="J242" i="9"/>
  <c r="N243" i="9"/>
  <c r="N232" i="9" s="1"/>
  <c r="P243" i="9"/>
  <c r="L244" i="9"/>
  <c r="L245" i="9"/>
  <c r="L246" i="9"/>
  <c r="L247" i="9"/>
  <c r="I249" i="9"/>
  <c r="K251" i="9"/>
  <c r="K252" i="9"/>
  <c r="J253" i="9"/>
  <c r="N254" i="9"/>
  <c r="P254" i="9"/>
  <c r="L255" i="9"/>
  <c r="L256" i="9"/>
  <c r="L257" i="9"/>
  <c r="L258" i="9"/>
  <c r="I260" i="9"/>
  <c r="K262" i="9"/>
  <c r="K263" i="9"/>
  <c r="J265" i="9"/>
  <c r="L267" i="9"/>
  <c r="M267" i="9"/>
  <c r="N267" i="9"/>
  <c r="O267" i="9"/>
  <c r="Q267" i="9"/>
  <c r="R267" i="9"/>
  <c r="S267" i="9"/>
  <c r="T267" i="9"/>
  <c r="U267" i="9"/>
  <c r="O270" i="9"/>
  <c r="P270" i="9"/>
  <c r="T270" i="9"/>
  <c r="U270" i="9"/>
  <c r="L271" i="9"/>
  <c r="L269" i="9" s="1"/>
  <c r="O269" i="9" s="1"/>
  <c r="M271" i="9"/>
  <c r="N271" i="9"/>
  <c r="N269" i="9" s="1"/>
  <c r="Q271" i="9"/>
  <c r="Q268" i="9" s="1"/>
  <c r="R271" i="9"/>
  <c r="S271" i="9"/>
  <c r="S268" i="9" s="1"/>
  <c r="Q272" i="9"/>
  <c r="T272" i="9" s="1"/>
  <c r="R272" i="9"/>
  <c r="U272" i="9" s="1"/>
  <c r="S272" i="9"/>
  <c r="O273" i="9"/>
  <c r="P273" i="9"/>
  <c r="T273" i="9"/>
  <c r="U273" i="9"/>
  <c r="L274" i="9"/>
  <c r="M274" i="9"/>
  <c r="P274" i="9" s="1"/>
  <c r="N274" i="9"/>
  <c r="N272" i="9" s="1"/>
  <c r="T274" i="9"/>
  <c r="U274" i="9"/>
  <c r="I276" i="9"/>
  <c r="I265" i="9" s="1"/>
  <c r="K265" i="9" s="1"/>
  <c r="J281" i="9"/>
  <c r="L283" i="9"/>
  <c r="M283" i="9"/>
  <c r="N283" i="9"/>
  <c r="O283" i="9"/>
  <c r="Q283" i="9"/>
  <c r="R283" i="9"/>
  <c r="S283" i="9"/>
  <c r="U283" i="9"/>
  <c r="Q284" i="9"/>
  <c r="T284" i="9" s="1"/>
  <c r="R284" i="9"/>
  <c r="R282" i="9" s="1"/>
  <c r="U282" i="9" s="1"/>
  <c r="S284" i="9"/>
  <c r="U284" i="9"/>
  <c r="Q285" i="9"/>
  <c r="R285" i="9"/>
  <c r="U285" i="9" s="1"/>
  <c r="S285" i="9"/>
  <c r="T285" i="9"/>
  <c r="O286" i="9"/>
  <c r="P286" i="9"/>
  <c r="T286" i="9"/>
  <c r="U286" i="9"/>
  <c r="L287" i="9"/>
  <c r="O287" i="9" s="1"/>
  <c r="M287" i="9"/>
  <c r="M285" i="9" s="1"/>
  <c r="P285" i="9" s="1"/>
  <c r="N287" i="9"/>
  <c r="T287" i="9"/>
  <c r="U287" i="9"/>
  <c r="Q288" i="9"/>
  <c r="T288" i="9" s="1"/>
  <c r="R288" i="9"/>
  <c r="U288" i="9" s="1"/>
  <c r="S288" i="9"/>
  <c r="O289" i="9"/>
  <c r="P289" i="9"/>
  <c r="T289" i="9"/>
  <c r="U289" i="9"/>
  <c r="L290" i="9"/>
  <c r="L288" i="9" s="1"/>
  <c r="O288" i="9" s="1"/>
  <c r="M290" i="9"/>
  <c r="N290" i="9"/>
  <c r="N288" i="9" s="1"/>
  <c r="T290" i="9"/>
  <c r="U290" i="9"/>
  <c r="I292" i="9"/>
  <c r="K292" i="9" s="1"/>
  <c r="I293" i="9"/>
  <c r="J293" i="9"/>
  <c r="J280" i="9" s="1"/>
  <c r="I295" i="9"/>
  <c r="K295" i="9" s="1"/>
  <c r="I296" i="9"/>
  <c r="K296" i="9" s="1"/>
  <c r="J302" i="9"/>
  <c r="L304" i="9"/>
  <c r="M304" i="9"/>
  <c r="N304" i="9"/>
  <c r="O304" i="9"/>
  <c r="P304" i="9"/>
  <c r="Q304" i="9"/>
  <c r="R304" i="9"/>
  <c r="S304" i="9"/>
  <c r="U304" i="9"/>
  <c r="O307" i="9"/>
  <c r="P307" i="9"/>
  <c r="T307" i="9"/>
  <c r="U307" i="9"/>
  <c r="L308" i="9"/>
  <c r="M308" i="9"/>
  <c r="N308" i="9"/>
  <c r="N306" i="9" s="1"/>
  <c r="Q308" i="9"/>
  <c r="R308" i="9"/>
  <c r="R305" i="9" s="1"/>
  <c r="R303" i="9" s="1"/>
  <c r="S308" i="9"/>
  <c r="S306" i="9" s="1"/>
  <c r="Q309" i="9"/>
  <c r="R309" i="9"/>
  <c r="U309" i="9" s="1"/>
  <c r="S309" i="9"/>
  <c r="T309" i="9"/>
  <c r="O310" i="9"/>
  <c r="P310" i="9"/>
  <c r="T310" i="9"/>
  <c r="U310" i="9"/>
  <c r="L311" i="9"/>
  <c r="L309" i="9" s="1"/>
  <c r="O309" i="9" s="1"/>
  <c r="M311" i="9"/>
  <c r="M309" i="9" s="1"/>
  <c r="P309" i="9" s="1"/>
  <c r="N311" i="9"/>
  <c r="N309" i="9" s="1"/>
  <c r="T311" i="9"/>
  <c r="U311" i="9"/>
  <c r="I314" i="9"/>
  <c r="K314" i="9" s="1"/>
  <c r="J319" i="9"/>
  <c r="L321" i="9"/>
  <c r="M321" i="9"/>
  <c r="P321" i="9" s="1"/>
  <c r="N321" i="9"/>
  <c r="O321" i="9"/>
  <c r="Q321" i="9"/>
  <c r="R321" i="9"/>
  <c r="U321" i="9" s="1"/>
  <c r="S321" i="9"/>
  <c r="Q322" i="9"/>
  <c r="T322" i="9" s="1"/>
  <c r="R322" i="9"/>
  <c r="S322" i="9"/>
  <c r="S320" i="9" s="1"/>
  <c r="U322" i="9"/>
  <c r="Q323" i="9"/>
  <c r="T323" i="9" s="1"/>
  <c r="R323" i="9"/>
  <c r="U323" i="9" s="1"/>
  <c r="S323" i="9"/>
  <c r="O324" i="9"/>
  <c r="P324" i="9"/>
  <c r="T324" i="9"/>
  <c r="U324" i="9"/>
  <c r="L325" i="9"/>
  <c r="M325" i="9"/>
  <c r="N325" i="9"/>
  <c r="N323" i="9" s="1"/>
  <c r="T325" i="9"/>
  <c r="U325" i="9"/>
  <c r="Q326" i="9"/>
  <c r="T326" i="9" s="1"/>
  <c r="R326" i="9"/>
  <c r="U326" i="9" s="1"/>
  <c r="S326" i="9"/>
  <c r="O327" i="9"/>
  <c r="P327" i="9"/>
  <c r="T327" i="9"/>
  <c r="U327" i="9"/>
  <c r="L328" i="9"/>
  <c r="O328" i="9" s="1"/>
  <c r="M328" i="9"/>
  <c r="M326" i="9" s="1"/>
  <c r="P326" i="9" s="1"/>
  <c r="N328" i="9"/>
  <c r="N326" i="9" s="1"/>
  <c r="T328" i="9"/>
  <c r="U328" i="9"/>
  <c r="I330" i="9"/>
  <c r="K330" i="9" s="1"/>
  <c r="R333" i="9"/>
  <c r="U333" i="9" s="1"/>
  <c r="L334" i="9"/>
  <c r="M334" i="9"/>
  <c r="P334" i="9" s="1"/>
  <c r="N334" i="9"/>
  <c r="Q334" i="9"/>
  <c r="T334" i="9" s="1"/>
  <c r="R334" i="9"/>
  <c r="U334" i="9" s="1"/>
  <c r="S334" i="9"/>
  <c r="S333" i="9" s="1"/>
  <c r="Q335" i="9"/>
  <c r="Q333" i="9" s="1"/>
  <c r="T333" i="9" s="1"/>
  <c r="R335" i="9"/>
  <c r="U335" i="9" s="1"/>
  <c r="S335" i="9"/>
  <c r="Q336" i="9"/>
  <c r="T336" i="9" s="1"/>
  <c r="R336" i="9"/>
  <c r="U336" i="9" s="1"/>
  <c r="S336" i="9"/>
  <c r="O337" i="9"/>
  <c r="P337" i="9"/>
  <c r="T337" i="9"/>
  <c r="U337" i="9"/>
  <c r="L338" i="9"/>
  <c r="L336" i="9" s="1"/>
  <c r="M338" i="9"/>
  <c r="N338" i="9"/>
  <c r="T338" i="9"/>
  <c r="U338" i="9"/>
  <c r="Q339" i="9"/>
  <c r="T339" i="9" s="1"/>
  <c r="R339" i="9"/>
  <c r="U339" i="9" s="1"/>
  <c r="S339" i="9"/>
  <c r="O340" i="9"/>
  <c r="P340" i="9"/>
  <c r="T340" i="9"/>
  <c r="U340" i="9"/>
  <c r="L341" i="9"/>
  <c r="O341" i="9" s="1"/>
  <c r="M341" i="9"/>
  <c r="N341" i="9"/>
  <c r="N339" i="9" s="1"/>
  <c r="T341" i="9"/>
  <c r="U341" i="9"/>
  <c r="I344" i="9"/>
  <c r="J344" i="9"/>
  <c r="I346" i="9"/>
  <c r="J346" i="9"/>
  <c r="J347" i="9"/>
  <c r="J348" i="9"/>
  <c r="J349" i="9"/>
  <c r="D350" i="9"/>
  <c r="J352" i="9"/>
  <c r="J353" i="9"/>
  <c r="J354" i="9"/>
  <c r="L357" i="9"/>
  <c r="M357" i="9"/>
  <c r="P357" i="9" s="1"/>
  <c r="N357" i="9"/>
  <c r="Q357" i="9"/>
  <c r="T357" i="9" s="1"/>
  <c r="R357" i="9"/>
  <c r="U357" i="9" s="1"/>
  <c r="S357" i="9"/>
  <c r="Q358" i="9"/>
  <c r="T358" i="9" s="1"/>
  <c r="R358" i="9"/>
  <c r="U358" i="9" s="1"/>
  <c r="S358" i="9"/>
  <c r="Q359" i="9"/>
  <c r="T359" i="9" s="1"/>
  <c r="R359" i="9"/>
  <c r="U359" i="9" s="1"/>
  <c r="S359" i="9"/>
  <c r="O360" i="9"/>
  <c r="P360" i="9"/>
  <c r="T360" i="9"/>
  <c r="U360" i="9"/>
  <c r="L361" i="9"/>
  <c r="M361" i="9"/>
  <c r="M359" i="9" s="1"/>
  <c r="N361" i="9"/>
  <c r="N359" i="9" s="1"/>
  <c r="T361" i="9"/>
  <c r="U361" i="9"/>
  <c r="Q362" i="9"/>
  <c r="T362" i="9" s="1"/>
  <c r="R362" i="9"/>
  <c r="U362" i="9" s="1"/>
  <c r="S362" i="9"/>
  <c r="O363" i="9"/>
  <c r="P363" i="9"/>
  <c r="T363" i="9"/>
  <c r="U363" i="9"/>
  <c r="L364" i="9"/>
  <c r="L362" i="9" s="1"/>
  <c r="O362" i="9" s="1"/>
  <c r="M364" i="9"/>
  <c r="M362" i="9" s="1"/>
  <c r="P362" i="9" s="1"/>
  <c r="N364" i="9"/>
  <c r="N362" i="9" s="1"/>
  <c r="T364" i="9"/>
  <c r="U364" i="9"/>
  <c r="J367" i="9"/>
  <c r="K367" i="9"/>
  <c r="I368" i="9"/>
  <c r="J368" i="9"/>
  <c r="I369" i="9"/>
  <c r="J369" i="9"/>
  <c r="J370" i="9"/>
  <c r="K370" i="9"/>
  <c r="I371" i="9"/>
  <c r="I365" i="9" s="1"/>
  <c r="J371" i="9"/>
  <c r="J365" i="9" s="1"/>
  <c r="J372" i="9"/>
  <c r="K372" i="9"/>
  <c r="D373" i="9"/>
  <c r="L375" i="9"/>
  <c r="O375" i="9" s="1"/>
  <c r="L376" i="9"/>
  <c r="O376" i="9" s="1"/>
  <c r="M376" i="9"/>
  <c r="N376" i="9"/>
  <c r="Q376" i="9"/>
  <c r="R376" i="9"/>
  <c r="U376" i="9" s="1"/>
  <c r="S376" i="9"/>
  <c r="L377" i="9"/>
  <c r="M377" i="9"/>
  <c r="P377" i="9" s="1"/>
  <c r="N377" i="9"/>
  <c r="N375" i="9" s="1"/>
  <c r="O377" i="9"/>
  <c r="L378" i="9"/>
  <c r="O378" i="9" s="1"/>
  <c r="M378" i="9"/>
  <c r="N378" i="9"/>
  <c r="P378" i="9"/>
  <c r="O379" i="9"/>
  <c r="P379" i="9"/>
  <c r="T379" i="9"/>
  <c r="U379" i="9"/>
  <c r="O380" i="9"/>
  <c r="P380" i="9"/>
  <c r="Q380" i="9"/>
  <c r="Q378" i="9" s="1"/>
  <c r="R380" i="9"/>
  <c r="R377" i="9" s="1"/>
  <c r="U377" i="9" s="1"/>
  <c r="S380" i="9"/>
  <c r="L381" i="9"/>
  <c r="M381" i="9"/>
  <c r="P381" i="9" s="1"/>
  <c r="N381" i="9"/>
  <c r="O381" i="9"/>
  <c r="Q381" i="9"/>
  <c r="T381" i="9" s="1"/>
  <c r="R381" i="9"/>
  <c r="U381" i="9" s="1"/>
  <c r="S381" i="9"/>
  <c r="O382" i="9"/>
  <c r="P382" i="9"/>
  <c r="T382" i="9"/>
  <c r="U382" i="9"/>
  <c r="O383" i="9"/>
  <c r="P383" i="9"/>
  <c r="T383" i="9"/>
  <c r="U383" i="9"/>
  <c r="J385" i="9"/>
  <c r="K385" i="9"/>
  <c r="I386" i="9"/>
  <c r="J386" i="9"/>
  <c r="J387" i="9"/>
  <c r="K387" i="9"/>
  <c r="I388" i="9"/>
  <c r="K388" i="9" s="1"/>
  <c r="J388" i="9"/>
  <c r="I391" i="9"/>
  <c r="J391" i="9"/>
  <c r="K391" i="9"/>
  <c r="L393" i="9"/>
  <c r="M393" i="9"/>
  <c r="M392" i="9" s="1"/>
  <c r="P392" i="9" s="1"/>
  <c r="N393" i="9"/>
  <c r="O393" i="9"/>
  <c r="Q393" i="9"/>
  <c r="R393" i="9"/>
  <c r="S393" i="9"/>
  <c r="S392" i="9" s="1"/>
  <c r="T393" i="9"/>
  <c r="U393" i="9"/>
  <c r="L394" i="9"/>
  <c r="M394" i="9"/>
  <c r="N394" i="9"/>
  <c r="N392" i="9" s="1"/>
  <c r="P394" i="9"/>
  <c r="Q394" i="9"/>
  <c r="R394" i="9"/>
  <c r="U394" i="9" s="1"/>
  <c r="S394" i="9"/>
  <c r="L395" i="9"/>
  <c r="O395" i="9" s="1"/>
  <c r="M395" i="9"/>
  <c r="P395" i="9" s="1"/>
  <c r="N395" i="9"/>
  <c r="Q395" i="9"/>
  <c r="T395" i="9" s="1"/>
  <c r="R395" i="9"/>
  <c r="U395" i="9" s="1"/>
  <c r="S395" i="9"/>
  <c r="O396" i="9"/>
  <c r="P396" i="9"/>
  <c r="T396" i="9"/>
  <c r="U396" i="9"/>
  <c r="O397" i="9"/>
  <c r="P397" i="9"/>
  <c r="T397" i="9"/>
  <c r="U397" i="9"/>
  <c r="L398" i="9"/>
  <c r="O398" i="9" s="1"/>
  <c r="M398" i="9"/>
  <c r="P398" i="9" s="1"/>
  <c r="N398" i="9"/>
  <c r="Q398" i="9"/>
  <c r="T398" i="9" s="1"/>
  <c r="R398" i="9"/>
  <c r="U398" i="9" s="1"/>
  <c r="S398" i="9"/>
  <c r="O399" i="9"/>
  <c r="P399" i="9"/>
  <c r="T399" i="9"/>
  <c r="U399" i="9"/>
  <c r="O400" i="9"/>
  <c r="P400" i="9"/>
  <c r="T400" i="9"/>
  <c r="U400" i="9"/>
  <c r="L414" i="9"/>
  <c r="M414" i="9"/>
  <c r="N414" i="9"/>
  <c r="Q414" i="9"/>
  <c r="T414" i="9" s="1"/>
  <c r="R414" i="9"/>
  <c r="S414" i="9"/>
  <c r="L415" i="9"/>
  <c r="M415" i="9"/>
  <c r="P415" i="9" s="1"/>
  <c r="N415" i="9"/>
  <c r="N413" i="9" s="1"/>
  <c r="O415" i="9"/>
  <c r="L416" i="9"/>
  <c r="M416" i="9"/>
  <c r="P416" i="9" s="1"/>
  <c r="N416" i="9"/>
  <c r="O416" i="9"/>
  <c r="O417" i="9"/>
  <c r="P417" i="9"/>
  <c r="T417" i="9"/>
  <c r="U417" i="9"/>
  <c r="O418" i="9"/>
  <c r="P418" i="9"/>
  <c r="Q418" i="9"/>
  <c r="Q416" i="9" s="1"/>
  <c r="T416" i="9" s="1"/>
  <c r="R418" i="9"/>
  <c r="R416" i="9" s="1"/>
  <c r="U416" i="9" s="1"/>
  <c r="S418" i="9"/>
  <c r="L419" i="9"/>
  <c r="O419" i="9" s="1"/>
  <c r="M419" i="9"/>
  <c r="P419" i="9" s="1"/>
  <c r="N419" i="9"/>
  <c r="Q419" i="9"/>
  <c r="T419" i="9" s="1"/>
  <c r="R419" i="9"/>
  <c r="U419" i="9" s="1"/>
  <c r="S419" i="9"/>
  <c r="O420" i="9"/>
  <c r="P420" i="9"/>
  <c r="T420" i="9"/>
  <c r="U420" i="9"/>
  <c r="O421" i="9"/>
  <c r="P421" i="9"/>
  <c r="T421" i="9"/>
  <c r="U421" i="9"/>
  <c r="I424" i="9"/>
  <c r="K424" i="9" s="1"/>
  <c r="J424" i="9"/>
  <c r="I425" i="9"/>
  <c r="K425" i="9" s="1"/>
  <c r="J425" i="9"/>
  <c r="I432" i="9"/>
  <c r="K432" i="9" s="1"/>
  <c r="J432" i="9"/>
  <c r="I433" i="9"/>
  <c r="K433" i="9" s="1"/>
  <c r="J433" i="9"/>
  <c r="I440" i="9"/>
  <c r="I423" i="9" s="1"/>
  <c r="J440" i="9"/>
  <c r="J423" i="9" s="1"/>
  <c r="J412" i="9" s="1"/>
  <c r="I441" i="9"/>
  <c r="K441" i="9" s="1"/>
  <c r="J441" i="9"/>
  <c r="J446" i="9"/>
  <c r="J447" i="9"/>
  <c r="I457" i="9"/>
  <c r="I458" i="9"/>
  <c r="K458" i="9" s="1"/>
  <c r="J459" i="9"/>
  <c r="J460" i="9"/>
  <c r="J467" i="9"/>
  <c r="J468" i="9"/>
  <c r="J458" i="9" s="1"/>
  <c r="J475" i="9"/>
  <c r="K475" i="9"/>
  <c r="J476" i="9"/>
  <c r="K476" i="9"/>
  <c r="J477" i="9"/>
  <c r="K477" i="9"/>
  <c r="J482" i="9"/>
  <c r="J483" i="9"/>
  <c r="I484" i="9"/>
  <c r="K484" i="9" s="1"/>
  <c r="J484" i="9"/>
  <c r="I485" i="9"/>
  <c r="K485" i="9" s="1"/>
  <c r="J485" i="9"/>
  <c r="L494" i="9"/>
  <c r="O494" i="9" s="1"/>
  <c r="M494" i="9"/>
  <c r="M493" i="9" s="1"/>
  <c r="P493" i="9" s="1"/>
  <c r="N494" i="9"/>
  <c r="Q494" i="9"/>
  <c r="R494" i="9"/>
  <c r="S494" i="9"/>
  <c r="U494" i="9"/>
  <c r="L495" i="9"/>
  <c r="O495" i="9" s="1"/>
  <c r="M495" i="9"/>
  <c r="P495" i="9" s="1"/>
  <c r="N495" i="9"/>
  <c r="L496" i="9"/>
  <c r="O496" i="9" s="1"/>
  <c r="M496" i="9"/>
  <c r="P496" i="9" s="1"/>
  <c r="N496" i="9"/>
  <c r="O497" i="9"/>
  <c r="P497" i="9"/>
  <c r="T497" i="9"/>
  <c r="U497" i="9"/>
  <c r="O498" i="9"/>
  <c r="P498" i="9"/>
  <c r="Q498" i="9"/>
  <c r="T498" i="9" s="1"/>
  <c r="R498" i="9"/>
  <c r="S498" i="9"/>
  <c r="L499" i="9"/>
  <c r="M499" i="9"/>
  <c r="N499" i="9"/>
  <c r="O499" i="9"/>
  <c r="P499" i="9"/>
  <c r="Q499" i="9"/>
  <c r="R499" i="9"/>
  <c r="S499" i="9"/>
  <c r="T499" i="9"/>
  <c r="U499" i="9"/>
  <c r="O500" i="9"/>
  <c r="P500" i="9"/>
  <c r="T500" i="9"/>
  <c r="U500" i="9"/>
  <c r="O501" i="9"/>
  <c r="P501" i="9"/>
  <c r="T501" i="9"/>
  <c r="U501" i="9"/>
  <c r="I503" i="9"/>
  <c r="K503" i="9" s="1"/>
  <c r="I504" i="9"/>
  <c r="K504" i="9" s="1"/>
  <c r="I505" i="9"/>
  <c r="K505" i="9" s="1"/>
  <c r="I506" i="9"/>
  <c r="K506" i="9" s="1"/>
  <c r="I507" i="9"/>
  <c r="K507" i="9" s="1"/>
  <c r="K508" i="9"/>
  <c r="I509" i="9"/>
  <c r="K509" i="9" s="1"/>
  <c r="I512" i="9"/>
  <c r="K512" i="9" s="1"/>
  <c r="J512" i="9"/>
  <c r="L514" i="9"/>
  <c r="M514" i="9"/>
  <c r="P514" i="9" s="1"/>
  <c r="N514" i="9"/>
  <c r="O514" i="9"/>
  <c r="Q514" i="9"/>
  <c r="R514" i="9"/>
  <c r="U514" i="9" s="1"/>
  <c r="S514" i="9"/>
  <c r="S513" i="9" s="1"/>
  <c r="Q515" i="9"/>
  <c r="R515" i="9"/>
  <c r="U515" i="9" s="1"/>
  <c r="S515" i="9"/>
  <c r="T515" i="9"/>
  <c r="Q516" i="9"/>
  <c r="T516" i="9" s="1"/>
  <c r="R516" i="9"/>
  <c r="U516" i="9" s="1"/>
  <c r="S516" i="9"/>
  <c r="O517" i="9"/>
  <c r="P517" i="9"/>
  <c r="T517" i="9"/>
  <c r="U517" i="9"/>
  <c r="L518" i="9"/>
  <c r="M518" i="9"/>
  <c r="M516" i="9" s="1"/>
  <c r="P516" i="9" s="1"/>
  <c r="N518" i="9"/>
  <c r="N516" i="9" s="1"/>
  <c r="T518" i="9"/>
  <c r="U518" i="9"/>
  <c r="Q519" i="9"/>
  <c r="T519" i="9" s="1"/>
  <c r="R519" i="9"/>
  <c r="S519" i="9"/>
  <c r="U519" i="9"/>
  <c r="O520" i="9"/>
  <c r="P520" i="9"/>
  <c r="T520" i="9"/>
  <c r="U520" i="9"/>
  <c r="L521" i="9"/>
  <c r="O521" i="9" s="1"/>
  <c r="M521" i="9"/>
  <c r="N521" i="9"/>
  <c r="N519" i="9" s="1"/>
  <c r="T521" i="9"/>
  <c r="U521" i="9"/>
  <c r="K523" i="9"/>
  <c r="K524" i="9"/>
  <c r="I533" i="9"/>
  <c r="J533" i="9"/>
  <c r="K533" i="9"/>
  <c r="L535" i="9"/>
  <c r="M535" i="9"/>
  <c r="P535" i="9" s="1"/>
  <c r="N535" i="9"/>
  <c r="Q535" i="9"/>
  <c r="T535" i="9" s="1"/>
  <c r="R535" i="9"/>
  <c r="S535" i="9"/>
  <c r="S534" i="9" s="1"/>
  <c r="L536" i="9"/>
  <c r="O536" i="9" s="1"/>
  <c r="M536" i="9"/>
  <c r="N536" i="9"/>
  <c r="N534" i="9" s="1"/>
  <c r="P536" i="9"/>
  <c r="Q536" i="9"/>
  <c r="R536" i="9"/>
  <c r="U536" i="9" s="1"/>
  <c r="S536" i="9"/>
  <c r="T536" i="9"/>
  <c r="L537" i="9"/>
  <c r="O537" i="9" s="1"/>
  <c r="M537" i="9"/>
  <c r="P537" i="9" s="1"/>
  <c r="N537" i="9"/>
  <c r="Q537" i="9"/>
  <c r="T537" i="9" s="1"/>
  <c r="R537" i="9"/>
  <c r="U537" i="9" s="1"/>
  <c r="S537" i="9"/>
  <c r="O538" i="9"/>
  <c r="P538" i="9"/>
  <c r="T538" i="9"/>
  <c r="U538" i="9"/>
  <c r="O539" i="9"/>
  <c r="P539" i="9"/>
  <c r="T539" i="9"/>
  <c r="U539" i="9"/>
  <c r="L540" i="9"/>
  <c r="O540" i="9" s="1"/>
  <c r="M540" i="9"/>
  <c r="P540" i="9" s="1"/>
  <c r="N540" i="9"/>
  <c r="Q540" i="9"/>
  <c r="R540" i="9"/>
  <c r="U540" i="9" s="1"/>
  <c r="S540" i="9"/>
  <c r="T540" i="9"/>
  <c r="O541" i="9"/>
  <c r="P541" i="9"/>
  <c r="T541" i="9"/>
  <c r="U541" i="9"/>
  <c r="O542" i="9"/>
  <c r="P542" i="9"/>
  <c r="T542" i="9"/>
  <c r="U542" i="9"/>
  <c r="I554" i="9"/>
  <c r="K554" i="9" s="1"/>
  <c r="J554" i="9"/>
  <c r="M555" i="9"/>
  <c r="P555" i="9" s="1"/>
  <c r="S555" i="9"/>
  <c r="L556" i="9"/>
  <c r="L555" i="9" s="1"/>
  <c r="O555" i="9" s="1"/>
  <c r="M556" i="9"/>
  <c r="P556" i="9" s="1"/>
  <c r="N556" i="9"/>
  <c r="N555" i="9" s="1"/>
  <c r="Q556" i="9"/>
  <c r="R556" i="9"/>
  <c r="R555" i="9" s="1"/>
  <c r="U555" i="9" s="1"/>
  <c r="S556" i="9"/>
  <c r="T556" i="9"/>
  <c r="U556" i="9"/>
  <c r="L557" i="9"/>
  <c r="M557" i="9"/>
  <c r="P557" i="9" s="1"/>
  <c r="N557" i="9"/>
  <c r="O557" i="9"/>
  <c r="Q557" i="9"/>
  <c r="T557" i="9" s="1"/>
  <c r="R557" i="9"/>
  <c r="S557" i="9"/>
  <c r="U557" i="9"/>
  <c r="L558" i="9"/>
  <c r="O558" i="9" s="1"/>
  <c r="M558" i="9"/>
  <c r="P558" i="9" s="1"/>
  <c r="N558" i="9"/>
  <c r="Q558" i="9"/>
  <c r="T558" i="9" s="1"/>
  <c r="R558" i="9"/>
  <c r="U558" i="9" s="1"/>
  <c r="S558" i="9"/>
  <c r="O559" i="9"/>
  <c r="P559" i="9"/>
  <c r="T559" i="9"/>
  <c r="U559" i="9"/>
  <c r="O560" i="9"/>
  <c r="P560" i="9"/>
  <c r="T560" i="9"/>
  <c r="U560" i="9"/>
  <c r="L561" i="9"/>
  <c r="O561" i="9" s="1"/>
  <c r="M561" i="9"/>
  <c r="P561" i="9" s="1"/>
  <c r="N561" i="9"/>
  <c r="Q561" i="9"/>
  <c r="T561" i="9" s="1"/>
  <c r="R561" i="9"/>
  <c r="U561" i="9" s="1"/>
  <c r="S561" i="9"/>
  <c r="O562" i="9"/>
  <c r="P562" i="9"/>
  <c r="T562" i="9"/>
  <c r="U562" i="9"/>
  <c r="O563" i="9"/>
  <c r="P563" i="9"/>
  <c r="T563" i="9"/>
  <c r="U563" i="9"/>
  <c r="I575" i="9"/>
  <c r="K575" i="9" s="1"/>
  <c r="J575" i="9"/>
  <c r="L577" i="9"/>
  <c r="L576" i="9" s="1"/>
  <c r="O576" i="9" s="1"/>
  <c r="M577" i="9"/>
  <c r="N577" i="9"/>
  <c r="N576" i="9" s="1"/>
  <c r="P577" i="9"/>
  <c r="Q577" i="9"/>
  <c r="R577" i="9"/>
  <c r="S577" i="9"/>
  <c r="L578" i="9"/>
  <c r="O578" i="9" s="1"/>
  <c r="M578" i="9"/>
  <c r="N578" i="9"/>
  <c r="Q578" i="9"/>
  <c r="T578" i="9" s="1"/>
  <c r="R578" i="9"/>
  <c r="U578" i="9" s="1"/>
  <c r="S578" i="9"/>
  <c r="S576" i="9" s="1"/>
  <c r="L579" i="9"/>
  <c r="O579" i="9" s="1"/>
  <c r="M579" i="9"/>
  <c r="N579" i="9"/>
  <c r="P579" i="9"/>
  <c r="Q579" i="9"/>
  <c r="R579" i="9"/>
  <c r="U579" i="9" s="1"/>
  <c r="S579" i="9"/>
  <c r="T579" i="9"/>
  <c r="O580" i="9"/>
  <c r="P580" i="9"/>
  <c r="T580" i="9"/>
  <c r="U580" i="9"/>
  <c r="O581" i="9"/>
  <c r="P581" i="9"/>
  <c r="T581" i="9"/>
  <c r="U581" i="9"/>
  <c r="L582" i="9"/>
  <c r="O582" i="9" s="1"/>
  <c r="M582" i="9"/>
  <c r="N582" i="9"/>
  <c r="P582" i="9"/>
  <c r="Q582" i="9"/>
  <c r="R582" i="9"/>
  <c r="U582" i="9" s="1"/>
  <c r="S582" i="9"/>
  <c r="T582" i="9"/>
  <c r="O583" i="9"/>
  <c r="P583" i="9"/>
  <c r="T583" i="9"/>
  <c r="U583" i="9"/>
  <c r="O584" i="9"/>
  <c r="P584" i="9"/>
  <c r="T584" i="9"/>
  <c r="U584" i="9"/>
  <c r="L600" i="9"/>
  <c r="M600" i="9"/>
  <c r="N600" i="9"/>
  <c r="N599" i="9" s="1"/>
  <c r="P600" i="9"/>
  <c r="Q600" i="9"/>
  <c r="R600" i="9"/>
  <c r="S600" i="9"/>
  <c r="L601" i="9"/>
  <c r="O601" i="9" s="1"/>
  <c r="M601" i="9"/>
  <c r="N601" i="9"/>
  <c r="Q601" i="9"/>
  <c r="R601" i="9"/>
  <c r="U601" i="9" s="1"/>
  <c r="S601" i="9"/>
  <c r="S599" i="9" s="1"/>
  <c r="T601" i="9"/>
  <c r="L602" i="9"/>
  <c r="M602" i="9"/>
  <c r="P602" i="9" s="1"/>
  <c r="N602" i="9"/>
  <c r="O602" i="9"/>
  <c r="Q602" i="9"/>
  <c r="T602" i="9" s="1"/>
  <c r="R602" i="9"/>
  <c r="S602" i="9"/>
  <c r="U602" i="9"/>
  <c r="O603" i="9"/>
  <c r="P603" i="9"/>
  <c r="T603" i="9"/>
  <c r="U603" i="9"/>
  <c r="O604" i="9"/>
  <c r="P604" i="9"/>
  <c r="T604" i="9"/>
  <c r="U604" i="9"/>
  <c r="L605" i="9"/>
  <c r="M605" i="9"/>
  <c r="P605" i="9" s="1"/>
  <c r="N605" i="9"/>
  <c r="O605" i="9"/>
  <c r="Q605" i="9"/>
  <c r="T605" i="9" s="1"/>
  <c r="R605" i="9"/>
  <c r="S605" i="9"/>
  <c r="U605" i="9"/>
  <c r="O606" i="9"/>
  <c r="P606" i="9"/>
  <c r="T606" i="9"/>
  <c r="U606" i="9"/>
  <c r="O607" i="9"/>
  <c r="P607" i="9"/>
  <c r="T607" i="9"/>
  <c r="U607" i="9"/>
  <c r="L617" i="9"/>
  <c r="M617" i="9"/>
  <c r="P617" i="9" s="1"/>
  <c r="N617" i="9"/>
  <c r="N616" i="9" s="1"/>
  <c r="Q617" i="9"/>
  <c r="T617" i="9" s="1"/>
  <c r="R617" i="9"/>
  <c r="S617" i="9"/>
  <c r="U617" i="9"/>
  <c r="L618" i="9"/>
  <c r="M618" i="9"/>
  <c r="P618" i="9" s="1"/>
  <c r="N618" i="9"/>
  <c r="O618" i="9"/>
  <c r="L619" i="9"/>
  <c r="O619" i="9" s="1"/>
  <c r="M619" i="9"/>
  <c r="P619" i="9" s="1"/>
  <c r="N619" i="9"/>
  <c r="O620" i="9"/>
  <c r="P620" i="9"/>
  <c r="T620" i="9"/>
  <c r="U620" i="9"/>
  <c r="O621" i="9"/>
  <c r="P621" i="9"/>
  <c r="Q621" i="9"/>
  <c r="Q619" i="9" s="1"/>
  <c r="R621" i="9"/>
  <c r="R618" i="9" s="1"/>
  <c r="S621" i="9"/>
  <c r="S618" i="9" s="1"/>
  <c r="L622" i="9"/>
  <c r="O622" i="9" s="1"/>
  <c r="M622" i="9"/>
  <c r="N622" i="9"/>
  <c r="P622" i="9"/>
  <c r="Q622" i="9"/>
  <c r="R622" i="9"/>
  <c r="U622" i="9" s="1"/>
  <c r="S622" i="9"/>
  <c r="T622" i="9"/>
  <c r="O623" i="9"/>
  <c r="P623" i="9"/>
  <c r="T623" i="9"/>
  <c r="U623" i="9"/>
  <c r="O624" i="9"/>
  <c r="P624" i="9"/>
  <c r="T624" i="9"/>
  <c r="U624" i="9"/>
  <c r="I626" i="9"/>
  <c r="K631" i="9" s="1"/>
  <c r="I627" i="9"/>
  <c r="K627" i="9" s="1"/>
  <c r="I628" i="9"/>
  <c r="K628" i="9" s="1"/>
  <c r="J632" i="9"/>
  <c r="J626" i="9" s="1"/>
  <c r="J615" i="9" s="1"/>
  <c r="I635" i="9"/>
  <c r="K635" i="9" s="1"/>
  <c r="J636" i="9"/>
  <c r="J635" i="9" s="1"/>
  <c r="L643" i="9"/>
  <c r="O643" i="9" s="1"/>
  <c r="M643" i="9"/>
  <c r="N643" i="9"/>
  <c r="Q643" i="9"/>
  <c r="T643" i="9" s="1"/>
  <c r="R643" i="9"/>
  <c r="U643" i="9" s="1"/>
  <c r="S643" i="9"/>
  <c r="L644" i="9"/>
  <c r="O644" i="9" s="1"/>
  <c r="M644" i="9"/>
  <c r="N644" i="9"/>
  <c r="P644" i="9"/>
  <c r="L645" i="9"/>
  <c r="O645" i="9" s="1"/>
  <c r="M645" i="9"/>
  <c r="N645" i="9"/>
  <c r="P645" i="9"/>
  <c r="O646" i="9"/>
  <c r="P646" i="9"/>
  <c r="T646" i="9"/>
  <c r="U646" i="9"/>
  <c r="O647" i="9"/>
  <c r="P647" i="9"/>
  <c r="Q647" i="9"/>
  <c r="Q644" i="9" s="1"/>
  <c r="T644" i="9" s="1"/>
  <c r="R647" i="9"/>
  <c r="R644" i="9" s="1"/>
  <c r="R642" i="9" s="1"/>
  <c r="U642" i="9" s="1"/>
  <c r="S647" i="9"/>
  <c r="L648" i="9"/>
  <c r="O648" i="9" s="1"/>
  <c r="M648" i="9"/>
  <c r="P648" i="9" s="1"/>
  <c r="N648" i="9"/>
  <c r="Q648" i="9"/>
  <c r="T648" i="9" s="1"/>
  <c r="R648" i="9"/>
  <c r="S648" i="9"/>
  <c r="U648" i="9"/>
  <c r="O649" i="9"/>
  <c r="P649" i="9"/>
  <c r="T649" i="9"/>
  <c r="U649" i="9"/>
  <c r="O650" i="9"/>
  <c r="P650" i="9"/>
  <c r="T650" i="9"/>
  <c r="U650" i="9"/>
  <c r="I652" i="9"/>
  <c r="K652" i="9" s="1"/>
  <c r="J652" i="9"/>
  <c r="I653" i="9"/>
  <c r="K653" i="9" s="1"/>
  <c r="J653" i="9"/>
  <c r="I654" i="9"/>
  <c r="K654" i="9" s="1"/>
  <c r="J654" i="9"/>
  <c r="I657" i="9"/>
  <c r="I660" i="9"/>
  <c r="I661" i="9"/>
  <c r="K661" i="9" s="1"/>
  <c r="J661" i="9"/>
  <c r="J671" i="9"/>
  <c r="J672" i="9"/>
  <c r="I673" i="9"/>
  <c r="K673" i="9" s="1"/>
  <c r="J673" i="9"/>
  <c r="I674" i="9"/>
  <c r="K674" i="9" s="1"/>
  <c r="I675" i="9"/>
  <c r="K675" i="9" s="1"/>
  <c r="I676" i="9"/>
  <c r="K676" i="9" s="1"/>
  <c r="J676" i="9"/>
  <c r="J677" i="9"/>
  <c r="I678" i="9"/>
  <c r="K678" i="9" s="1"/>
  <c r="J678" i="9"/>
  <c r="I679" i="9"/>
  <c r="K679" i="9" s="1"/>
  <c r="J679" i="9"/>
  <c r="J680" i="9"/>
  <c r="I681" i="9"/>
  <c r="K681" i="9" s="1"/>
  <c r="J681" i="9"/>
  <c r="I682" i="9"/>
  <c r="K682" i="9" s="1"/>
  <c r="J682" i="9"/>
  <c r="L690" i="9"/>
  <c r="O690" i="9" s="1"/>
  <c r="L691" i="9"/>
  <c r="O691" i="9" s="1"/>
  <c r="M691" i="9"/>
  <c r="N691" i="9"/>
  <c r="N690" i="9" s="1"/>
  <c r="Q691" i="9"/>
  <c r="T691" i="9" s="1"/>
  <c r="R691" i="9"/>
  <c r="U691" i="9" s="1"/>
  <c r="S691" i="9"/>
  <c r="L692" i="9"/>
  <c r="O692" i="9" s="1"/>
  <c r="M692" i="9"/>
  <c r="N692" i="9"/>
  <c r="P692" i="9"/>
  <c r="L693" i="9"/>
  <c r="O693" i="9" s="1"/>
  <c r="M693" i="9"/>
  <c r="N693" i="9"/>
  <c r="P693" i="9"/>
  <c r="O694" i="9"/>
  <c r="P694" i="9"/>
  <c r="T694" i="9"/>
  <c r="U694" i="9"/>
  <c r="O695" i="9"/>
  <c r="P695" i="9"/>
  <c r="Q695" i="9"/>
  <c r="Q692" i="9" s="1"/>
  <c r="T692" i="9" s="1"/>
  <c r="R695" i="9"/>
  <c r="R693" i="9" s="1"/>
  <c r="U693" i="9" s="1"/>
  <c r="S695" i="9"/>
  <c r="S693" i="9" s="1"/>
  <c r="L696" i="9"/>
  <c r="O696" i="9" s="1"/>
  <c r="M696" i="9"/>
  <c r="P696" i="9" s="1"/>
  <c r="N696" i="9"/>
  <c r="Q696" i="9"/>
  <c r="T696" i="9" s="1"/>
  <c r="R696" i="9"/>
  <c r="S696" i="9"/>
  <c r="U696" i="9"/>
  <c r="O697" i="9"/>
  <c r="P697" i="9"/>
  <c r="T697" i="9"/>
  <c r="U697" i="9"/>
  <c r="O698" i="9"/>
  <c r="P698" i="9"/>
  <c r="T698" i="9"/>
  <c r="U698" i="9"/>
  <c r="I700" i="9"/>
  <c r="K700" i="9" s="1"/>
  <c r="K702" i="9"/>
  <c r="I703" i="9"/>
  <c r="K703" i="9" s="1"/>
  <c r="J703" i="9"/>
  <c r="J704" i="9"/>
  <c r="K704" i="9"/>
  <c r="I705" i="9"/>
  <c r="J705" i="9"/>
  <c r="J706" i="9"/>
  <c r="K706" i="9"/>
  <c r="I707" i="9"/>
  <c r="J707" i="9"/>
  <c r="J689" i="9" s="1"/>
  <c r="J708" i="9"/>
  <c r="K708" i="9"/>
  <c r="I709" i="9"/>
  <c r="K709" i="9" s="1"/>
  <c r="J709" i="9"/>
  <c r="J710" i="9"/>
  <c r="K710" i="9"/>
  <c r="J712" i="9"/>
  <c r="K712" i="9"/>
  <c r="M714" i="9"/>
  <c r="P714" i="9" s="1"/>
  <c r="L715" i="9"/>
  <c r="M715" i="9"/>
  <c r="N715" i="9"/>
  <c r="P715" i="9"/>
  <c r="Q715" i="9"/>
  <c r="T715" i="9" s="1"/>
  <c r="R715" i="9"/>
  <c r="R714" i="9" s="1"/>
  <c r="U714" i="9" s="1"/>
  <c r="S715" i="9"/>
  <c r="L716" i="9"/>
  <c r="O716" i="9" s="1"/>
  <c r="M716" i="9"/>
  <c r="P716" i="9" s="1"/>
  <c r="N716" i="9"/>
  <c r="Q716" i="9"/>
  <c r="T716" i="9" s="1"/>
  <c r="R716" i="9"/>
  <c r="U716" i="9" s="1"/>
  <c r="S716" i="9"/>
  <c r="L717" i="9"/>
  <c r="O717" i="9" s="1"/>
  <c r="M717" i="9"/>
  <c r="N717" i="9"/>
  <c r="P717" i="9"/>
  <c r="Q717" i="9"/>
  <c r="T717" i="9" s="1"/>
  <c r="R717" i="9"/>
  <c r="U717" i="9" s="1"/>
  <c r="S717" i="9"/>
  <c r="O718" i="9"/>
  <c r="P718" i="9"/>
  <c r="T718" i="9"/>
  <c r="U718" i="9"/>
  <c r="O719" i="9"/>
  <c r="P719" i="9"/>
  <c r="T719" i="9"/>
  <c r="U719" i="9"/>
  <c r="L720" i="9"/>
  <c r="O720" i="9" s="1"/>
  <c r="M720" i="9"/>
  <c r="N720" i="9"/>
  <c r="P720" i="9"/>
  <c r="Q720" i="9"/>
  <c r="T720" i="9" s="1"/>
  <c r="R720" i="9"/>
  <c r="U720" i="9" s="1"/>
  <c r="S720" i="9"/>
  <c r="O721" i="9"/>
  <c r="P721" i="9"/>
  <c r="T721" i="9"/>
  <c r="U721" i="9"/>
  <c r="O722" i="9"/>
  <c r="P722" i="9"/>
  <c r="T722" i="9"/>
  <c r="U722" i="9"/>
  <c r="I726" i="9"/>
  <c r="J726" i="9"/>
  <c r="I727" i="9"/>
  <c r="J727" i="9"/>
  <c r="L728" i="9"/>
  <c r="O728" i="9" s="1"/>
  <c r="L729" i="9"/>
  <c r="M729" i="9"/>
  <c r="N729" i="9"/>
  <c r="O729" i="9"/>
  <c r="P729" i="9"/>
  <c r="Q729" i="9"/>
  <c r="R729" i="9"/>
  <c r="S729" i="9"/>
  <c r="U729" i="9"/>
  <c r="L730" i="9"/>
  <c r="O730" i="9" s="1"/>
  <c r="M730" i="9"/>
  <c r="M728" i="9" s="1"/>
  <c r="P728" i="9" s="1"/>
  <c r="N730" i="9"/>
  <c r="L731" i="9"/>
  <c r="M731" i="9"/>
  <c r="P731" i="9" s="1"/>
  <c r="N731" i="9"/>
  <c r="O731" i="9"/>
  <c r="O732" i="9"/>
  <c r="P732" i="9"/>
  <c r="T732" i="9"/>
  <c r="U732" i="9"/>
  <c r="O733" i="9"/>
  <c r="P733" i="9"/>
  <c r="Q733" i="9"/>
  <c r="R733" i="9"/>
  <c r="R731" i="9" s="1"/>
  <c r="S733" i="9"/>
  <c r="L734" i="9"/>
  <c r="M734" i="9"/>
  <c r="P734" i="9" s="1"/>
  <c r="N734" i="9"/>
  <c r="O734" i="9"/>
  <c r="Q734" i="9"/>
  <c r="T734" i="9" s="1"/>
  <c r="R734" i="9"/>
  <c r="U734" i="9" s="1"/>
  <c r="S734" i="9"/>
  <c r="O735" i="9"/>
  <c r="P735" i="9"/>
  <c r="T735" i="9"/>
  <c r="U735" i="9"/>
  <c r="O736" i="9"/>
  <c r="P736" i="9"/>
  <c r="T736" i="9"/>
  <c r="U736" i="9"/>
  <c r="I740" i="9"/>
  <c r="K740" i="9" s="1"/>
  <c r="I742" i="9"/>
  <c r="K742" i="9" s="1"/>
  <c r="I744" i="9"/>
  <c r="K744" i="9" s="1"/>
  <c r="I746" i="9"/>
  <c r="K746" i="9" s="1"/>
  <c r="I749" i="9"/>
  <c r="K749" i="9" s="1"/>
  <c r="I752" i="9"/>
  <c r="K752" i="9" s="1"/>
  <c r="I755" i="9"/>
  <c r="K755" i="9" s="1"/>
  <c r="J758" i="9"/>
  <c r="J759" i="9"/>
  <c r="L761" i="9"/>
  <c r="M761" i="9"/>
  <c r="N761" i="9"/>
  <c r="P761" i="9"/>
  <c r="Q761" i="9"/>
  <c r="T761" i="9" s="1"/>
  <c r="R761" i="9"/>
  <c r="U761" i="9" s="1"/>
  <c r="S761" i="9"/>
  <c r="L762" i="9"/>
  <c r="M762" i="9"/>
  <c r="P762" i="9" s="1"/>
  <c r="N762" i="9"/>
  <c r="N760" i="9" s="1"/>
  <c r="O762" i="9"/>
  <c r="L763" i="9"/>
  <c r="M763" i="9"/>
  <c r="P763" i="9" s="1"/>
  <c r="N763" i="9"/>
  <c r="O763" i="9"/>
  <c r="O764" i="9"/>
  <c r="P764" i="9"/>
  <c r="T764" i="9"/>
  <c r="U764" i="9"/>
  <c r="O765" i="9"/>
  <c r="P765" i="9"/>
  <c r="Q765" i="9"/>
  <c r="Q763" i="9" s="1"/>
  <c r="R765" i="9"/>
  <c r="S765" i="9"/>
  <c r="S762" i="9" s="1"/>
  <c r="S760" i="9" s="1"/>
  <c r="L766" i="9"/>
  <c r="O766" i="9" s="1"/>
  <c r="M766" i="9"/>
  <c r="P766" i="9" s="1"/>
  <c r="N766" i="9"/>
  <c r="Q766" i="9"/>
  <c r="T766" i="9" s="1"/>
  <c r="R766" i="9"/>
  <c r="U766" i="9" s="1"/>
  <c r="S766" i="9"/>
  <c r="O767" i="9"/>
  <c r="P767" i="9"/>
  <c r="T767" i="9"/>
  <c r="U767" i="9"/>
  <c r="O768" i="9"/>
  <c r="P768" i="9"/>
  <c r="T768" i="9"/>
  <c r="U768" i="9"/>
  <c r="I770" i="9"/>
  <c r="K770" i="9" s="1"/>
  <c r="I772" i="9"/>
  <c r="I774" i="9"/>
  <c r="I759" i="9" s="1"/>
  <c r="K759" i="9" s="1"/>
  <c r="I775" i="9"/>
  <c r="I776" i="9"/>
  <c r="H777" i="9"/>
  <c r="I778" i="9"/>
  <c r="J778" i="9"/>
  <c r="I779" i="9"/>
  <c r="J779" i="9"/>
  <c r="I780" i="9"/>
  <c r="J780" i="9"/>
  <c r="I781" i="9"/>
  <c r="J781" i="9"/>
  <c r="I782" i="9"/>
  <c r="K782" i="9" s="1"/>
  <c r="J782" i="9"/>
  <c r="I783" i="9"/>
  <c r="K783" i="9" s="1"/>
  <c r="J783" i="9"/>
  <c r="I784" i="9"/>
  <c r="J784" i="9"/>
  <c r="I785" i="9"/>
  <c r="J785" i="9"/>
  <c r="A788" i="9"/>
  <c r="A789" i="9"/>
  <c r="L22" i="8"/>
  <c r="M22" i="8"/>
  <c r="N22" i="8"/>
  <c r="N19" i="8" s="1"/>
  <c r="Q22" i="8"/>
  <c r="R22" i="8"/>
  <c r="S22" i="8"/>
  <c r="S19" i="8" s="1"/>
  <c r="L25" i="8"/>
  <c r="L19" i="8" s="1"/>
  <c r="M25" i="8"/>
  <c r="M19" i="8" s="1"/>
  <c r="N25" i="8"/>
  <c r="Q25" i="8"/>
  <c r="Q24" i="8" s="1"/>
  <c r="T24" i="8" s="1"/>
  <c r="R25" i="8"/>
  <c r="S25" i="8"/>
  <c r="T25" i="8"/>
  <c r="Q26" i="8"/>
  <c r="T26" i="8" s="1"/>
  <c r="R26" i="8"/>
  <c r="U26" i="8" s="1"/>
  <c r="S26" i="8"/>
  <c r="Q44" i="8"/>
  <c r="T44" i="8" s="1"/>
  <c r="R44" i="8"/>
  <c r="U44" i="8" s="1"/>
  <c r="L45" i="8"/>
  <c r="O45" i="8" s="1"/>
  <c r="M45" i="8"/>
  <c r="N45" i="8"/>
  <c r="Q45" i="8"/>
  <c r="T45" i="8" s="1"/>
  <c r="R45" i="8"/>
  <c r="U45" i="8" s="1"/>
  <c r="S45" i="8"/>
  <c r="Q46" i="8"/>
  <c r="T46" i="8" s="1"/>
  <c r="R46" i="8"/>
  <c r="U46" i="8" s="1"/>
  <c r="S46" i="8"/>
  <c r="Q47" i="8"/>
  <c r="T47" i="8" s="1"/>
  <c r="R47" i="8"/>
  <c r="U47" i="8" s="1"/>
  <c r="S47" i="8"/>
  <c r="O48" i="8"/>
  <c r="P48" i="8"/>
  <c r="T48" i="8"/>
  <c r="U48" i="8"/>
  <c r="L49" i="8"/>
  <c r="M49" i="8"/>
  <c r="N49" i="8"/>
  <c r="N47" i="8" s="1"/>
  <c r="T49" i="8"/>
  <c r="U49" i="8"/>
  <c r="Q50" i="8"/>
  <c r="T50" i="8" s="1"/>
  <c r="R50" i="8"/>
  <c r="S50" i="8"/>
  <c r="U50" i="8"/>
  <c r="O51" i="8"/>
  <c r="P51" i="8"/>
  <c r="T51" i="8"/>
  <c r="U51" i="8"/>
  <c r="L52" i="8"/>
  <c r="M52" i="8"/>
  <c r="N52" i="8"/>
  <c r="N50" i="8" s="1"/>
  <c r="T52" i="8"/>
  <c r="U52" i="8"/>
  <c r="L60" i="8"/>
  <c r="O60" i="8" s="1"/>
  <c r="M60" i="8"/>
  <c r="N60" i="8"/>
  <c r="Q60" i="8"/>
  <c r="Q59" i="8" s="1"/>
  <c r="T59" i="8" s="1"/>
  <c r="R60" i="8"/>
  <c r="R59" i="8" s="1"/>
  <c r="U59" i="8" s="1"/>
  <c r="S60" i="8"/>
  <c r="S59" i="8" s="1"/>
  <c r="T60" i="8"/>
  <c r="U60" i="8"/>
  <c r="Q61" i="8"/>
  <c r="T61" i="8" s="1"/>
  <c r="R61" i="8"/>
  <c r="S61" i="8"/>
  <c r="U61" i="8"/>
  <c r="Q62" i="8"/>
  <c r="T62" i="8" s="1"/>
  <c r="R62" i="8"/>
  <c r="U62" i="8" s="1"/>
  <c r="S62" i="8"/>
  <c r="O63" i="8"/>
  <c r="P63" i="8"/>
  <c r="T63" i="8"/>
  <c r="U63" i="8"/>
  <c r="L64" i="8"/>
  <c r="M64" i="8"/>
  <c r="M62" i="8" s="1"/>
  <c r="N64" i="8"/>
  <c r="T64" i="8"/>
  <c r="U64" i="8"/>
  <c r="Q65" i="8"/>
  <c r="T65" i="8" s="1"/>
  <c r="R65" i="8"/>
  <c r="U65" i="8" s="1"/>
  <c r="S65" i="8"/>
  <c r="O66" i="8"/>
  <c r="P66" i="8"/>
  <c r="T66" i="8"/>
  <c r="U66" i="8"/>
  <c r="L67" i="8"/>
  <c r="M67" i="8"/>
  <c r="N67" i="8"/>
  <c r="N65" i="8" s="1"/>
  <c r="T67" i="8"/>
  <c r="U67" i="8"/>
  <c r="J70" i="8"/>
  <c r="L73" i="8"/>
  <c r="M73" i="8"/>
  <c r="N73" i="8"/>
  <c r="O73" i="8"/>
  <c r="Q73" i="8"/>
  <c r="T73" i="8" s="1"/>
  <c r="R73" i="8"/>
  <c r="S73" i="8"/>
  <c r="U73" i="8"/>
  <c r="O76" i="8"/>
  <c r="P76" i="8"/>
  <c r="T76" i="8"/>
  <c r="U76" i="8"/>
  <c r="L77" i="8"/>
  <c r="L75" i="8" s="1"/>
  <c r="M77" i="8"/>
  <c r="M75" i="8" s="1"/>
  <c r="N77" i="8"/>
  <c r="N75" i="8" s="1"/>
  <c r="Q77" i="8"/>
  <c r="Q74" i="8" s="1"/>
  <c r="R77" i="8"/>
  <c r="R74" i="8" s="1"/>
  <c r="S77" i="8"/>
  <c r="S75" i="8" s="1"/>
  <c r="Q78" i="8"/>
  <c r="T78" i="8" s="1"/>
  <c r="R78" i="8"/>
  <c r="U78" i="8" s="1"/>
  <c r="S78" i="8"/>
  <c r="O79" i="8"/>
  <c r="P79" i="8"/>
  <c r="T79" i="8"/>
  <c r="U79" i="8"/>
  <c r="L80" i="8"/>
  <c r="L78" i="8" s="1"/>
  <c r="O78" i="8" s="1"/>
  <c r="M80" i="8"/>
  <c r="M78" i="8" s="1"/>
  <c r="P78" i="8" s="1"/>
  <c r="N80" i="8"/>
  <c r="N78" i="8" s="1"/>
  <c r="T80" i="8"/>
  <c r="U80" i="8"/>
  <c r="J82" i="8"/>
  <c r="J83" i="8"/>
  <c r="J71" i="8" s="1"/>
  <c r="I84" i="8"/>
  <c r="I85" i="8"/>
  <c r="I86" i="8"/>
  <c r="K86" i="8" s="1"/>
  <c r="I87" i="8"/>
  <c r="K87" i="8" s="1"/>
  <c r="I88" i="8"/>
  <c r="K88" i="8" s="1"/>
  <c r="I89" i="8"/>
  <c r="K89" i="8" s="1"/>
  <c r="I90" i="8"/>
  <c r="K90" i="8" s="1"/>
  <c r="J92" i="8"/>
  <c r="J93" i="8"/>
  <c r="L95" i="8"/>
  <c r="M95" i="8"/>
  <c r="N95" i="8"/>
  <c r="O95" i="8"/>
  <c r="P95" i="8"/>
  <c r="Q95" i="8"/>
  <c r="R95" i="8"/>
  <c r="S95" i="8"/>
  <c r="T95" i="8"/>
  <c r="U95" i="8"/>
  <c r="O98" i="8"/>
  <c r="P98" i="8"/>
  <c r="T98" i="8"/>
  <c r="U98" i="8"/>
  <c r="L99" i="8"/>
  <c r="L97" i="8" s="1"/>
  <c r="M99" i="8"/>
  <c r="M97" i="8" s="1"/>
  <c r="N99" i="8"/>
  <c r="N97" i="8" s="1"/>
  <c r="Q99" i="8"/>
  <c r="R99" i="8"/>
  <c r="R96" i="8" s="1"/>
  <c r="S99" i="8"/>
  <c r="S96" i="8" s="1"/>
  <c r="S94" i="8" s="1"/>
  <c r="Q100" i="8"/>
  <c r="T100" i="8" s="1"/>
  <c r="R100" i="8"/>
  <c r="U100" i="8" s="1"/>
  <c r="S100" i="8"/>
  <c r="O101" i="8"/>
  <c r="P101" i="8"/>
  <c r="T101" i="8"/>
  <c r="U101" i="8"/>
  <c r="L102" i="8"/>
  <c r="O102" i="8" s="1"/>
  <c r="M102" i="8"/>
  <c r="P102" i="8" s="1"/>
  <c r="N102" i="8"/>
  <c r="N100" i="8" s="1"/>
  <c r="T102" i="8"/>
  <c r="U102" i="8"/>
  <c r="I108" i="8"/>
  <c r="K108" i="8" s="1"/>
  <c r="I109" i="8"/>
  <c r="I113" i="8"/>
  <c r="K113" i="8" s="1"/>
  <c r="I114" i="8"/>
  <c r="K114" i="8" s="1"/>
  <c r="J116" i="8"/>
  <c r="L118" i="8"/>
  <c r="M118" i="8"/>
  <c r="N118" i="8"/>
  <c r="Q118" i="8"/>
  <c r="T118" i="8" s="1"/>
  <c r="R118" i="8"/>
  <c r="S118" i="8"/>
  <c r="O121" i="8"/>
  <c r="P121" i="8"/>
  <c r="T121" i="8"/>
  <c r="U121" i="8"/>
  <c r="L122" i="8"/>
  <c r="M122" i="8"/>
  <c r="N122" i="8"/>
  <c r="Q122" i="8"/>
  <c r="R122" i="8"/>
  <c r="S122" i="8"/>
  <c r="S120" i="8" s="1"/>
  <c r="Q123" i="8"/>
  <c r="T123" i="8" s="1"/>
  <c r="R123" i="8"/>
  <c r="U123" i="8" s="1"/>
  <c r="S123" i="8"/>
  <c r="O124" i="8"/>
  <c r="P124" i="8"/>
  <c r="T124" i="8"/>
  <c r="U124" i="8"/>
  <c r="L125" i="8"/>
  <c r="M125" i="8"/>
  <c r="M123" i="8" s="1"/>
  <c r="P123" i="8" s="1"/>
  <c r="N125" i="8"/>
  <c r="N123" i="8" s="1"/>
  <c r="T125" i="8"/>
  <c r="U125" i="8"/>
  <c r="I127" i="8"/>
  <c r="I128" i="8"/>
  <c r="K128" i="8" s="1"/>
  <c r="I129" i="8"/>
  <c r="K129" i="8" s="1"/>
  <c r="I130" i="8"/>
  <c r="K130" i="8" s="1"/>
  <c r="J136" i="8"/>
  <c r="J137" i="8"/>
  <c r="J138" i="8"/>
  <c r="L140" i="8"/>
  <c r="O140" i="8" s="1"/>
  <c r="M140" i="8"/>
  <c r="N140" i="8"/>
  <c r="P140" i="8"/>
  <c r="Q140" i="8"/>
  <c r="R140" i="8"/>
  <c r="U140" i="8" s="1"/>
  <c r="S140" i="8"/>
  <c r="O143" i="8"/>
  <c r="P143" i="8"/>
  <c r="T143" i="8"/>
  <c r="U143" i="8"/>
  <c r="L144" i="8"/>
  <c r="M144" i="8"/>
  <c r="N144" i="8"/>
  <c r="N142" i="8" s="1"/>
  <c r="Q144" i="8"/>
  <c r="Q141" i="8" s="1"/>
  <c r="T141" i="8" s="1"/>
  <c r="R144" i="8"/>
  <c r="S144" i="8"/>
  <c r="Q145" i="8"/>
  <c r="T145" i="8" s="1"/>
  <c r="R145" i="8"/>
  <c r="S145" i="8"/>
  <c r="U145" i="8"/>
  <c r="O146" i="8"/>
  <c r="P146" i="8"/>
  <c r="T146" i="8"/>
  <c r="U146" i="8"/>
  <c r="L147" i="8"/>
  <c r="M147" i="8"/>
  <c r="N147" i="8"/>
  <c r="N145" i="8" s="1"/>
  <c r="T147" i="8"/>
  <c r="U147" i="8"/>
  <c r="I150" i="8"/>
  <c r="K150" i="8" s="1"/>
  <c r="I151" i="8"/>
  <c r="K151" i="8" s="1"/>
  <c r="I152" i="8"/>
  <c r="I137" i="8" s="1"/>
  <c r="K137" i="8" s="1"/>
  <c r="I153" i="8"/>
  <c r="K153" i="8" s="1"/>
  <c r="I154" i="8"/>
  <c r="K154" i="8" s="1"/>
  <c r="J156" i="8"/>
  <c r="L158" i="8"/>
  <c r="M158" i="8"/>
  <c r="N158" i="8"/>
  <c r="Q158" i="8"/>
  <c r="T158" i="8" s="1"/>
  <c r="R158" i="8"/>
  <c r="S158" i="8"/>
  <c r="O161" i="8"/>
  <c r="P161" i="8"/>
  <c r="T161" i="8"/>
  <c r="U161" i="8"/>
  <c r="L162" i="8"/>
  <c r="L160" i="8" s="1"/>
  <c r="M162" i="8"/>
  <c r="M160" i="8" s="1"/>
  <c r="N162" i="8"/>
  <c r="Q162" i="8"/>
  <c r="R162" i="8"/>
  <c r="S162" i="8"/>
  <c r="Q163" i="8"/>
  <c r="T163" i="8" s="1"/>
  <c r="R163" i="8"/>
  <c r="U163" i="8" s="1"/>
  <c r="S163" i="8"/>
  <c r="O164" i="8"/>
  <c r="P164" i="8"/>
  <c r="T164" i="8"/>
  <c r="U164" i="8"/>
  <c r="L165" i="8"/>
  <c r="L163" i="8" s="1"/>
  <c r="O163" i="8" s="1"/>
  <c r="M165" i="8"/>
  <c r="N165" i="8"/>
  <c r="N163" i="8" s="1"/>
  <c r="T165" i="8"/>
  <c r="U165" i="8"/>
  <c r="I167" i="8"/>
  <c r="K167" i="8" s="1"/>
  <c r="J172" i="8"/>
  <c r="L174" i="8"/>
  <c r="M174" i="8"/>
  <c r="N174" i="8"/>
  <c r="Q174" i="8"/>
  <c r="R174" i="8"/>
  <c r="S174" i="8"/>
  <c r="T174" i="8"/>
  <c r="O177" i="8"/>
  <c r="P177" i="8"/>
  <c r="T177" i="8"/>
  <c r="U177" i="8"/>
  <c r="L178" i="8"/>
  <c r="L176" i="8" s="1"/>
  <c r="M178" i="8"/>
  <c r="M176" i="8" s="1"/>
  <c r="N178" i="8"/>
  <c r="Q178" i="8"/>
  <c r="R178" i="8"/>
  <c r="U178" i="8" s="1"/>
  <c r="S178" i="8"/>
  <c r="S175" i="8" s="1"/>
  <c r="Q179" i="8"/>
  <c r="R179" i="8"/>
  <c r="U179" i="8" s="1"/>
  <c r="S179" i="8"/>
  <c r="T179" i="8"/>
  <c r="O180" i="8"/>
  <c r="P180" i="8"/>
  <c r="T180" i="8"/>
  <c r="U180" i="8"/>
  <c r="L181" i="8"/>
  <c r="M181" i="8"/>
  <c r="P181" i="8" s="1"/>
  <c r="N181" i="8"/>
  <c r="N179" i="8" s="1"/>
  <c r="T181" i="8"/>
  <c r="U181" i="8"/>
  <c r="I183" i="8"/>
  <c r="K184" i="8"/>
  <c r="L187" i="8"/>
  <c r="O187" i="8" s="1"/>
  <c r="M187" i="8"/>
  <c r="N187" i="8"/>
  <c r="Q187" i="8"/>
  <c r="T187" i="8" s="1"/>
  <c r="R187" i="8"/>
  <c r="S187" i="8"/>
  <c r="O190" i="8"/>
  <c r="P190" i="8"/>
  <c r="T190" i="8"/>
  <c r="U190" i="8"/>
  <c r="L191" i="8"/>
  <c r="M191" i="8"/>
  <c r="M189" i="8" s="1"/>
  <c r="N191" i="8"/>
  <c r="N189" i="8" s="1"/>
  <c r="Q191" i="8"/>
  <c r="Q189" i="8" s="1"/>
  <c r="R191" i="8"/>
  <c r="R189" i="8" s="1"/>
  <c r="S191" i="8"/>
  <c r="Q192" i="8"/>
  <c r="T192" i="8" s="1"/>
  <c r="R192" i="8"/>
  <c r="S192" i="8"/>
  <c r="U192" i="8"/>
  <c r="O193" i="8"/>
  <c r="P193" i="8"/>
  <c r="T193" i="8"/>
  <c r="U193" i="8"/>
  <c r="L194" i="8"/>
  <c r="M194" i="8"/>
  <c r="P194" i="8" s="1"/>
  <c r="N194" i="8"/>
  <c r="T194" i="8"/>
  <c r="U194" i="8"/>
  <c r="J195" i="8"/>
  <c r="L196" i="8"/>
  <c r="O196" i="8" s="1"/>
  <c r="P196" i="8"/>
  <c r="I198" i="8"/>
  <c r="K198" i="8" s="1"/>
  <c r="J199" i="8"/>
  <c r="J202" i="8"/>
  <c r="N203" i="8"/>
  <c r="P203" i="8"/>
  <c r="S203" i="8"/>
  <c r="U203" i="8"/>
  <c r="L204" i="8"/>
  <c r="L205" i="8"/>
  <c r="L206" i="8"/>
  <c r="Q206" i="8"/>
  <c r="Q203" i="8" s="1"/>
  <c r="T203" i="8" s="1"/>
  <c r="L207" i="8"/>
  <c r="I209" i="8"/>
  <c r="I202" i="8" s="1"/>
  <c r="K202" i="8" s="1"/>
  <c r="I211" i="8"/>
  <c r="K211" i="8" s="1"/>
  <c r="I212" i="8"/>
  <c r="K212" i="8" s="1"/>
  <c r="J213" i="8"/>
  <c r="N214" i="8"/>
  <c r="P214" i="8"/>
  <c r="S214" i="8"/>
  <c r="U214" i="8"/>
  <c r="L215" i="8"/>
  <c r="L216" i="8"/>
  <c r="L217" i="8"/>
  <c r="Q217" i="8"/>
  <c r="Q214" i="8" s="1"/>
  <c r="I219" i="8"/>
  <c r="K219" i="8" s="1"/>
  <c r="I220" i="8"/>
  <c r="J221" i="8"/>
  <c r="N222" i="8"/>
  <c r="P222" i="8"/>
  <c r="L223" i="8"/>
  <c r="L224" i="8"/>
  <c r="L225" i="8"/>
  <c r="I228" i="8"/>
  <c r="K228" i="8" s="1"/>
  <c r="I229" i="8"/>
  <c r="I230" i="8"/>
  <c r="K230" i="8" s="1"/>
  <c r="N233" i="8"/>
  <c r="N234" i="8"/>
  <c r="N235" i="8"/>
  <c r="N236" i="8"/>
  <c r="J238" i="8"/>
  <c r="I240" i="8"/>
  <c r="J240" i="8"/>
  <c r="K240" i="8"/>
  <c r="I241" i="8"/>
  <c r="K241" i="8" s="1"/>
  <c r="J241" i="8"/>
  <c r="J242" i="8"/>
  <c r="N243" i="8"/>
  <c r="N232" i="8" s="1"/>
  <c r="P243" i="8"/>
  <c r="L244" i="8"/>
  <c r="L245" i="8"/>
  <c r="L246" i="8"/>
  <c r="L247" i="8"/>
  <c r="I249" i="8"/>
  <c r="K251" i="8"/>
  <c r="K252" i="8"/>
  <c r="J253" i="8"/>
  <c r="N254" i="8"/>
  <c r="P254" i="8"/>
  <c r="L255" i="8"/>
  <c r="L256" i="8"/>
  <c r="L257" i="8"/>
  <c r="L258" i="8"/>
  <c r="I260" i="8"/>
  <c r="K262" i="8"/>
  <c r="K263" i="8"/>
  <c r="J265" i="8"/>
  <c r="L267" i="8"/>
  <c r="M267" i="8"/>
  <c r="N267" i="8"/>
  <c r="O267" i="8"/>
  <c r="P267" i="8"/>
  <c r="Q267" i="8"/>
  <c r="T267" i="8" s="1"/>
  <c r="R267" i="8"/>
  <c r="U267" i="8" s="1"/>
  <c r="S267" i="8"/>
  <c r="O270" i="8"/>
  <c r="P270" i="8"/>
  <c r="T270" i="8"/>
  <c r="U270" i="8"/>
  <c r="L271" i="8"/>
  <c r="L269" i="8" s="1"/>
  <c r="O269" i="8" s="1"/>
  <c r="M271" i="8"/>
  <c r="N271" i="8"/>
  <c r="Q271" i="8"/>
  <c r="Q268" i="8" s="1"/>
  <c r="Q266" i="8" s="1"/>
  <c r="R271" i="8"/>
  <c r="S271" i="8"/>
  <c r="S268" i="8" s="1"/>
  <c r="S266" i="8" s="1"/>
  <c r="Q272" i="8"/>
  <c r="R272" i="8"/>
  <c r="S272" i="8"/>
  <c r="T272" i="8"/>
  <c r="U272" i="8"/>
  <c r="O273" i="8"/>
  <c r="P273" i="8"/>
  <c r="T273" i="8"/>
  <c r="U273" i="8"/>
  <c r="L274" i="8"/>
  <c r="M274" i="8"/>
  <c r="P274" i="8" s="1"/>
  <c r="N274" i="8"/>
  <c r="N272" i="8" s="1"/>
  <c r="T274" i="8"/>
  <c r="U274" i="8"/>
  <c r="I276" i="8"/>
  <c r="I265" i="8" s="1"/>
  <c r="J281" i="8"/>
  <c r="L283" i="8"/>
  <c r="O283" i="8" s="1"/>
  <c r="M283" i="8"/>
  <c r="N283" i="8"/>
  <c r="P283" i="8"/>
  <c r="Q283" i="8"/>
  <c r="R283" i="8"/>
  <c r="U283" i="8" s="1"/>
  <c r="S283" i="8"/>
  <c r="Q284" i="8"/>
  <c r="R284" i="8"/>
  <c r="U284" i="8" s="1"/>
  <c r="S284" i="8"/>
  <c r="T284" i="8"/>
  <c r="Q285" i="8"/>
  <c r="R285" i="8"/>
  <c r="U285" i="8" s="1"/>
  <c r="S285" i="8"/>
  <c r="T285" i="8"/>
  <c r="O286" i="8"/>
  <c r="P286" i="8"/>
  <c r="T286" i="8"/>
  <c r="U286" i="8"/>
  <c r="L287" i="8"/>
  <c r="O287" i="8" s="1"/>
  <c r="M287" i="8"/>
  <c r="N287" i="8"/>
  <c r="T287" i="8"/>
  <c r="U287" i="8"/>
  <c r="Q288" i="8"/>
  <c r="T288" i="8" s="1"/>
  <c r="R288" i="8"/>
  <c r="S288" i="8"/>
  <c r="U288" i="8"/>
  <c r="O289" i="8"/>
  <c r="P289" i="8"/>
  <c r="T289" i="8"/>
  <c r="U289" i="8"/>
  <c r="L290" i="8"/>
  <c r="O290" i="8" s="1"/>
  <c r="M290" i="8"/>
  <c r="M288" i="8" s="1"/>
  <c r="P288" i="8" s="1"/>
  <c r="N290" i="8"/>
  <c r="N288" i="8" s="1"/>
  <c r="T290" i="8"/>
  <c r="U290" i="8"/>
  <c r="I292" i="8"/>
  <c r="I293" i="8"/>
  <c r="K293" i="8" s="1"/>
  <c r="J293" i="8"/>
  <c r="J280" i="8" s="1"/>
  <c r="I295" i="8"/>
  <c r="K295" i="8" s="1"/>
  <c r="I296" i="8"/>
  <c r="K296" i="8" s="1"/>
  <c r="J302" i="8"/>
  <c r="L304" i="8"/>
  <c r="O304" i="8" s="1"/>
  <c r="M304" i="8"/>
  <c r="N304" i="8"/>
  <c r="P304" i="8"/>
  <c r="Q304" i="8"/>
  <c r="T304" i="8" s="1"/>
  <c r="R304" i="8"/>
  <c r="U304" i="8" s="1"/>
  <c r="S304" i="8"/>
  <c r="O307" i="8"/>
  <c r="P307" i="8"/>
  <c r="T307" i="8"/>
  <c r="U307" i="8"/>
  <c r="L308" i="8"/>
  <c r="M308" i="8"/>
  <c r="N308" i="8"/>
  <c r="N306" i="8" s="1"/>
  <c r="Q308" i="8"/>
  <c r="R308" i="8"/>
  <c r="R305" i="8" s="1"/>
  <c r="S308" i="8"/>
  <c r="Q309" i="8"/>
  <c r="R309" i="8"/>
  <c r="S309" i="8"/>
  <c r="T309" i="8"/>
  <c r="U309" i="8"/>
  <c r="O310" i="8"/>
  <c r="P310" i="8"/>
  <c r="T310" i="8"/>
  <c r="U310" i="8"/>
  <c r="L311" i="8"/>
  <c r="O311" i="8" s="1"/>
  <c r="M311" i="8"/>
  <c r="N311" i="8"/>
  <c r="N309" i="8" s="1"/>
  <c r="T311" i="8"/>
  <c r="U311" i="8"/>
  <c r="I314" i="8"/>
  <c r="J319" i="8"/>
  <c r="L321" i="8"/>
  <c r="O321" i="8" s="1"/>
  <c r="M321" i="8"/>
  <c r="P321" i="8" s="1"/>
  <c r="N321" i="8"/>
  <c r="Q321" i="8"/>
  <c r="T321" i="8" s="1"/>
  <c r="R321" i="8"/>
  <c r="R320" i="8" s="1"/>
  <c r="U320" i="8" s="1"/>
  <c r="S321" i="8"/>
  <c r="Q322" i="8"/>
  <c r="T322" i="8" s="1"/>
  <c r="R322" i="8"/>
  <c r="S322" i="8"/>
  <c r="U322" i="8"/>
  <c r="Q323" i="8"/>
  <c r="T323" i="8" s="1"/>
  <c r="R323" i="8"/>
  <c r="U323" i="8" s="1"/>
  <c r="S323" i="8"/>
  <c r="O324" i="8"/>
  <c r="P324" i="8"/>
  <c r="T324" i="8"/>
  <c r="U324" i="8"/>
  <c r="L325" i="8"/>
  <c r="M325" i="8"/>
  <c r="N325" i="8"/>
  <c r="N323" i="8" s="1"/>
  <c r="T325" i="8"/>
  <c r="U325" i="8"/>
  <c r="Q326" i="8"/>
  <c r="T326" i="8" s="1"/>
  <c r="R326" i="8"/>
  <c r="U326" i="8" s="1"/>
  <c r="S326" i="8"/>
  <c r="O327" i="8"/>
  <c r="P327" i="8"/>
  <c r="T327" i="8"/>
  <c r="U327" i="8"/>
  <c r="L328" i="8"/>
  <c r="O328" i="8" s="1"/>
  <c r="M328" i="8"/>
  <c r="P328" i="8" s="1"/>
  <c r="N328" i="8"/>
  <c r="N326" i="8" s="1"/>
  <c r="T328" i="8"/>
  <c r="U328" i="8"/>
  <c r="I330" i="8"/>
  <c r="L334" i="8"/>
  <c r="M334" i="8"/>
  <c r="P334" i="8" s="1"/>
  <c r="N334" i="8"/>
  <c r="O334" i="8"/>
  <c r="Q334" i="8"/>
  <c r="Q333" i="8" s="1"/>
  <c r="T333" i="8" s="1"/>
  <c r="R334" i="8"/>
  <c r="S334" i="8"/>
  <c r="T334" i="8"/>
  <c r="U334" i="8"/>
  <c r="Q335" i="8"/>
  <c r="T335" i="8" s="1"/>
  <c r="R335" i="8"/>
  <c r="U335" i="8" s="1"/>
  <c r="S335" i="8"/>
  <c r="Q336" i="8"/>
  <c r="T336" i="8" s="1"/>
  <c r="R336" i="8"/>
  <c r="S336" i="8"/>
  <c r="U336" i="8"/>
  <c r="O337" i="8"/>
  <c r="P337" i="8"/>
  <c r="T337" i="8"/>
  <c r="U337" i="8"/>
  <c r="L338" i="8"/>
  <c r="M338" i="8"/>
  <c r="N338" i="8"/>
  <c r="N336" i="8" s="1"/>
  <c r="T338" i="8"/>
  <c r="U338" i="8"/>
  <c r="Q339" i="8"/>
  <c r="R339" i="8"/>
  <c r="U339" i="8" s="1"/>
  <c r="S339" i="8"/>
  <c r="T339" i="8"/>
  <c r="O340" i="8"/>
  <c r="P340" i="8"/>
  <c r="T340" i="8"/>
  <c r="U340" i="8"/>
  <c r="L341" i="8"/>
  <c r="M341" i="8"/>
  <c r="P341" i="8" s="1"/>
  <c r="N341" i="8"/>
  <c r="N339" i="8" s="1"/>
  <c r="T341" i="8"/>
  <c r="U341" i="8"/>
  <c r="I344" i="8"/>
  <c r="J344" i="8"/>
  <c r="I346" i="8"/>
  <c r="J346" i="8"/>
  <c r="J347" i="8"/>
  <c r="J348" i="8"/>
  <c r="J349" i="8"/>
  <c r="D350" i="8"/>
  <c r="J352" i="8"/>
  <c r="J353" i="8"/>
  <c r="J354" i="8"/>
  <c r="Q356" i="8"/>
  <c r="T356" i="8" s="1"/>
  <c r="L357" i="8"/>
  <c r="M357" i="8"/>
  <c r="P357" i="8" s="1"/>
  <c r="N357" i="8"/>
  <c r="Q357" i="8"/>
  <c r="T357" i="8" s="1"/>
  <c r="R357" i="8"/>
  <c r="R356" i="8" s="1"/>
  <c r="U356" i="8" s="1"/>
  <c r="S357" i="8"/>
  <c r="S356" i="8" s="1"/>
  <c r="U357" i="8"/>
  <c r="Q358" i="8"/>
  <c r="R358" i="8"/>
  <c r="U358" i="8" s="1"/>
  <c r="S358" i="8"/>
  <c r="T358" i="8"/>
  <c r="Q359" i="8"/>
  <c r="T359" i="8" s="1"/>
  <c r="R359" i="8"/>
  <c r="S359" i="8"/>
  <c r="U359" i="8"/>
  <c r="O360" i="8"/>
  <c r="P360" i="8"/>
  <c r="T360" i="8"/>
  <c r="U360" i="8"/>
  <c r="L361" i="8"/>
  <c r="L359" i="8" s="1"/>
  <c r="M361" i="8"/>
  <c r="M359" i="8" s="1"/>
  <c r="N361" i="8"/>
  <c r="T361" i="8"/>
  <c r="U361" i="8"/>
  <c r="Q362" i="8"/>
  <c r="T362" i="8" s="1"/>
  <c r="R362" i="8"/>
  <c r="U362" i="8" s="1"/>
  <c r="S362" i="8"/>
  <c r="O363" i="8"/>
  <c r="P363" i="8"/>
  <c r="T363" i="8"/>
  <c r="U363" i="8"/>
  <c r="L364" i="8"/>
  <c r="L362" i="8" s="1"/>
  <c r="O362" i="8" s="1"/>
  <c r="M364" i="8"/>
  <c r="M362" i="8" s="1"/>
  <c r="P362" i="8" s="1"/>
  <c r="N364" i="8"/>
  <c r="N362" i="8" s="1"/>
  <c r="T364" i="8"/>
  <c r="U364" i="8"/>
  <c r="J367" i="8"/>
  <c r="K367" i="8"/>
  <c r="I368" i="8"/>
  <c r="J368" i="8"/>
  <c r="I369" i="8"/>
  <c r="J369" i="8"/>
  <c r="J370" i="8"/>
  <c r="K370" i="8"/>
  <c r="I371" i="8"/>
  <c r="J371" i="8"/>
  <c r="J365" i="8" s="1"/>
  <c r="J372" i="8"/>
  <c r="K372" i="8"/>
  <c r="D373" i="8"/>
  <c r="L376" i="8"/>
  <c r="M376" i="8"/>
  <c r="M375" i="8" s="1"/>
  <c r="P375" i="8" s="1"/>
  <c r="N376" i="8"/>
  <c r="P376" i="8"/>
  <c r="Q376" i="8"/>
  <c r="T376" i="8" s="1"/>
  <c r="R376" i="8"/>
  <c r="S376" i="8"/>
  <c r="L377" i="8"/>
  <c r="M377" i="8"/>
  <c r="P377" i="8" s="1"/>
  <c r="N377" i="8"/>
  <c r="N375" i="8" s="1"/>
  <c r="O377" i="8"/>
  <c r="L378" i="8"/>
  <c r="M378" i="8"/>
  <c r="N378" i="8"/>
  <c r="O378" i="8"/>
  <c r="P378" i="8"/>
  <c r="O379" i="8"/>
  <c r="P379" i="8"/>
  <c r="T379" i="8"/>
  <c r="U379" i="8"/>
  <c r="O380" i="8"/>
  <c r="P380" i="8"/>
  <c r="Q380" i="8"/>
  <c r="R380" i="8"/>
  <c r="R378" i="8" s="1"/>
  <c r="U378" i="8" s="1"/>
  <c r="S380" i="8"/>
  <c r="L381" i="8"/>
  <c r="O381" i="8" s="1"/>
  <c r="M381" i="8"/>
  <c r="P381" i="8" s="1"/>
  <c r="N381" i="8"/>
  <c r="Q381" i="8"/>
  <c r="T381" i="8" s="1"/>
  <c r="R381" i="8"/>
  <c r="U381" i="8" s="1"/>
  <c r="S381" i="8"/>
  <c r="O382" i="8"/>
  <c r="P382" i="8"/>
  <c r="T382" i="8"/>
  <c r="U382" i="8"/>
  <c r="O383" i="8"/>
  <c r="P383" i="8"/>
  <c r="T383" i="8"/>
  <c r="U383" i="8"/>
  <c r="I385" i="8"/>
  <c r="I374" i="8" s="1"/>
  <c r="J385" i="8"/>
  <c r="I386" i="8"/>
  <c r="J386" i="8"/>
  <c r="J387" i="8"/>
  <c r="K387" i="8"/>
  <c r="J388" i="8"/>
  <c r="K388" i="8"/>
  <c r="I391" i="8"/>
  <c r="K391" i="8" s="1"/>
  <c r="J391" i="8"/>
  <c r="L393" i="8"/>
  <c r="L392" i="8" s="1"/>
  <c r="O392" i="8" s="1"/>
  <c r="M393" i="8"/>
  <c r="P393" i="8" s="1"/>
  <c r="N393" i="8"/>
  <c r="Q393" i="8"/>
  <c r="R393" i="8"/>
  <c r="U393" i="8" s="1"/>
  <c r="S393" i="8"/>
  <c r="S392" i="8" s="1"/>
  <c r="T393" i="8"/>
  <c r="L394" i="8"/>
  <c r="M394" i="8"/>
  <c r="M392" i="8" s="1"/>
  <c r="P392" i="8" s="1"/>
  <c r="N394" i="8"/>
  <c r="O394" i="8"/>
  <c r="P394" i="8"/>
  <c r="Q394" i="8"/>
  <c r="R394" i="8"/>
  <c r="S394" i="8"/>
  <c r="U394" i="8"/>
  <c r="L395" i="8"/>
  <c r="O395" i="8" s="1"/>
  <c r="M395" i="8"/>
  <c r="P395" i="8" s="1"/>
  <c r="N395" i="8"/>
  <c r="Q395" i="8"/>
  <c r="T395" i="8" s="1"/>
  <c r="R395" i="8"/>
  <c r="U395" i="8" s="1"/>
  <c r="S395" i="8"/>
  <c r="O396" i="8"/>
  <c r="P396" i="8"/>
  <c r="T396" i="8"/>
  <c r="U396" i="8"/>
  <c r="O397" i="8"/>
  <c r="P397" i="8"/>
  <c r="T397" i="8"/>
  <c r="U397" i="8"/>
  <c r="L398" i="8"/>
  <c r="O398" i="8" s="1"/>
  <c r="M398" i="8"/>
  <c r="P398" i="8" s="1"/>
  <c r="N398" i="8"/>
  <c r="Q398" i="8"/>
  <c r="T398" i="8" s="1"/>
  <c r="R398" i="8"/>
  <c r="U398" i="8" s="1"/>
  <c r="S398" i="8"/>
  <c r="O399" i="8"/>
  <c r="P399" i="8"/>
  <c r="T399" i="8"/>
  <c r="U399" i="8"/>
  <c r="O400" i="8"/>
  <c r="P400" i="8"/>
  <c r="T400" i="8"/>
  <c r="U400" i="8"/>
  <c r="L414" i="8"/>
  <c r="M414" i="8"/>
  <c r="P414" i="8" s="1"/>
  <c r="N414" i="8"/>
  <c r="Q414" i="8"/>
  <c r="R414" i="8"/>
  <c r="S414" i="8"/>
  <c r="L415" i="8"/>
  <c r="O415" i="8" s="1"/>
  <c r="M415" i="8"/>
  <c r="P415" i="8" s="1"/>
  <c r="N415" i="8"/>
  <c r="N413" i="8" s="1"/>
  <c r="L416" i="8"/>
  <c r="M416" i="8"/>
  <c r="N416" i="8"/>
  <c r="O416" i="8"/>
  <c r="P416" i="8"/>
  <c r="O417" i="8"/>
  <c r="P417" i="8"/>
  <c r="T417" i="8"/>
  <c r="U417" i="8"/>
  <c r="O418" i="8"/>
  <c r="P418" i="8"/>
  <c r="Q418" i="8"/>
  <c r="Q416" i="8" s="1"/>
  <c r="T416" i="8" s="1"/>
  <c r="R418" i="8"/>
  <c r="R415" i="8" s="1"/>
  <c r="U415" i="8" s="1"/>
  <c r="S418" i="8"/>
  <c r="S416" i="8" s="1"/>
  <c r="L419" i="8"/>
  <c r="O419" i="8" s="1"/>
  <c r="M419" i="8"/>
  <c r="N419" i="8"/>
  <c r="P419" i="8"/>
  <c r="Q419" i="8"/>
  <c r="T419" i="8" s="1"/>
  <c r="R419" i="8"/>
  <c r="U419" i="8" s="1"/>
  <c r="S419" i="8"/>
  <c r="O420" i="8"/>
  <c r="P420" i="8"/>
  <c r="T420" i="8"/>
  <c r="U420" i="8"/>
  <c r="O421" i="8"/>
  <c r="P421" i="8"/>
  <c r="T421" i="8"/>
  <c r="U421" i="8"/>
  <c r="I424" i="8"/>
  <c r="K424" i="8" s="1"/>
  <c r="J424" i="8"/>
  <c r="I425" i="8"/>
  <c r="K425" i="8" s="1"/>
  <c r="J425" i="8"/>
  <c r="I432" i="8"/>
  <c r="K432" i="8" s="1"/>
  <c r="J432" i="8"/>
  <c r="I433" i="8"/>
  <c r="K433" i="8" s="1"/>
  <c r="J433" i="8"/>
  <c r="I440" i="8"/>
  <c r="J440" i="8"/>
  <c r="J423" i="8" s="1"/>
  <c r="J412" i="8" s="1"/>
  <c r="I441" i="8"/>
  <c r="K441" i="8" s="1"/>
  <c r="J446" i="8"/>
  <c r="J447" i="8"/>
  <c r="J441" i="8" s="1"/>
  <c r="I457" i="8"/>
  <c r="K457" i="8" s="1"/>
  <c r="I458" i="8"/>
  <c r="K458" i="8" s="1"/>
  <c r="J459" i="8"/>
  <c r="J460" i="8"/>
  <c r="J467" i="8"/>
  <c r="J468" i="8"/>
  <c r="J475" i="8"/>
  <c r="K475" i="8"/>
  <c r="J476" i="8"/>
  <c r="K476" i="8"/>
  <c r="J477" i="8"/>
  <c r="K477" i="8"/>
  <c r="J482" i="8"/>
  <c r="J483" i="8"/>
  <c r="I484" i="8"/>
  <c r="K484" i="8" s="1"/>
  <c r="J484" i="8"/>
  <c r="I485" i="8"/>
  <c r="K485" i="8" s="1"/>
  <c r="J485" i="8"/>
  <c r="L494" i="8"/>
  <c r="M494" i="8"/>
  <c r="N494" i="8"/>
  <c r="Q494" i="8"/>
  <c r="R494" i="8"/>
  <c r="U494" i="8" s="1"/>
  <c r="S494" i="8"/>
  <c r="T494" i="8"/>
  <c r="L495" i="8"/>
  <c r="M495" i="8"/>
  <c r="N495" i="8"/>
  <c r="O495" i="8"/>
  <c r="P495" i="8"/>
  <c r="L496" i="8"/>
  <c r="O496" i="8" s="1"/>
  <c r="M496" i="8"/>
  <c r="P496" i="8" s="1"/>
  <c r="N496" i="8"/>
  <c r="O497" i="8"/>
  <c r="P497" i="8"/>
  <c r="T497" i="8"/>
  <c r="U497" i="8"/>
  <c r="O498" i="8"/>
  <c r="P498" i="8"/>
  <c r="Q498" i="8"/>
  <c r="Q495" i="8" s="1"/>
  <c r="T495" i="8" s="1"/>
  <c r="R498" i="8"/>
  <c r="S498" i="8"/>
  <c r="S495" i="8" s="1"/>
  <c r="L499" i="8"/>
  <c r="O499" i="8" s="1"/>
  <c r="M499" i="8"/>
  <c r="P499" i="8" s="1"/>
  <c r="N499" i="8"/>
  <c r="Q499" i="8"/>
  <c r="R499" i="8"/>
  <c r="U499" i="8" s="1"/>
  <c r="S499" i="8"/>
  <c r="T499" i="8"/>
  <c r="O500" i="8"/>
  <c r="P500" i="8"/>
  <c r="T500" i="8"/>
  <c r="U500" i="8"/>
  <c r="O501" i="8"/>
  <c r="P501" i="8"/>
  <c r="T501" i="8"/>
  <c r="U501" i="8"/>
  <c r="I503" i="8"/>
  <c r="I492" i="8" s="1"/>
  <c r="K492" i="8" s="1"/>
  <c r="I504" i="8"/>
  <c r="I505" i="8"/>
  <c r="K505" i="8" s="1"/>
  <c r="I506" i="8"/>
  <c r="K506" i="8" s="1"/>
  <c r="I507" i="8"/>
  <c r="K507" i="8" s="1"/>
  <c r="K508" i="8"/>
  <c r="I509" i="8"/>
  <c r="K509" i="8" s="1"/>
  <c r="I512" i="8"/>
  <c r="J512" i="8"/>
  <c r="K512" i="8"/>
  <c r="L514" i="8"/>
  <c r="O514" i="8" s="1"/>
  <c r="M514" i="8"/>
  <c r="N514" i="8"/>
  <c r="Q514" i="8"/>
  <c r="R514" i="8"/>
  <c r="U514" i="8" s="1"/>
  <c r="S514" i="8"/>
  <c r="S513" i="8" s="1"/>
  <c r="T514" i="8"/>
  <c r="Q515" i="8"/>
  <c r="R515" i="8"/>
  <c r="S515" i="8"/>
  <c r="T515" i="8"/>
  <c r="U515" i="8"/>
  <c r="Q516" i="8"/>
  <c r="T516" i="8" s="1"/>
  <c r="R516" i="8"/>
  <c r="S516" i="8"/>
  <c r="U516" i="8"/>
  <c r="O517" i="8"/>
  <c r="P517" i="8"/>
  <c r="T517" i="8"/>
  <c r="U517" i="8"/>
  <c r="L518" i="8"/>
  <c r="M518" i="8"/>
  <c r="N518" i="8"/>
  <c r="T518" i="8"/>
  <c r="U518" i="8"/>
  <c r="Q519" i="8"/>
  <c r="R519" i="8"/>
  <c r="S519" i="8"/>
  <c r="T519" i="8"/>
  <c r="U519" i="8"/>
  <c r="O520" i="8"/>
  <c r="P520" i="8"/>
  <c r="T520" i="8"/>
  <c r="U520" i="8"/>
  <c r="L521" i="8"/>
  <c r="O521" i="8" s="1"/>
  <c r="M521" i="8"/>
  <c r="P521" i="8" s="1"/>
  <c r="N521" i="8"/>
  <c r="N519" i="8" s="1"/>
  <c r="T521" i="8"/>
  <c r="U521" i="8"/>
  <c r="K523" i="8"/>
  <c r="K524" i="8"/>
  <c r="I533" i="8"/>
  <c r="K533" i="8" s="1"/>
  <c r="J533" i="8"/>
  <c r="L535" i="8"/>
  <c r="O535" i="8" s="1"/>
  <c r="M535" i="8"/>
  <c r="N535" i="8"/>
  <c r="N534" i="8" s="1"/>
  <c r="Q535" i="8"/>
  <c r="R535" i="8"/>
  <c r="S535" i="8"/>
  <c r="T535" i="8"/>
  <c r="U535" i="8"/>
  <c r="L536" i="8"/>
  <c r="O536" i="8" s="1"/>
  <c r="M536" i="8"/>
  <c r="N536" i="8"/>
  <c r="P536" i="8"/>
  <c r="Q536" i="8"/>
  <c r="Q534" i="8" s="1"/>
  <c r="T534" i="8" s="1"/>
  <c r="R536" i="8"/>
  <c r="U536" i="8" s="1"/>
  <c r="S536" i="8"/>
  <c r="L537" i="8"/>
  <c r="O537" i="8" s="1"/>
  <c r="M537" i="8"/>
  <c r="P537" i="8" s="1"/>
  <c r="N537" i="8"/>
  <c r="Q537" i="8"/>
  <c r="T537" i="8" s="1"/>
  <c r="R537" i="8"/>
  <c r="U537" i="8" s="1"/>
  <c r="S537" i="8"/>
  <c r="O538" i="8"/>
  <c r="P538" i="8"/>
  <c r="T538" i="8"/>
  <c r="U538" i="8"/>
  <c r="O539" i="8"/>
  <c r="P539" i="8"/>
  <c r="T539" i="8"/>
  <c r="U539" i="8"/>
  <c r="L540" i="8"/>
  <c r="O540" i="8" s="1"/>
  <c r="M540" i="8"/>
  <c r="P540" i="8" s="1"/>
  <c r="N540" i="8"/>
  <c r="Q540" i="8"/>
  <c r="T540" i="8" s="1"/>
  <c r="R540" i="8"/>
  <c r="U540" i="8" s="1"/>
  <c r="S540" i="8"/>
  <c r="O541" i="8"/>
  <c r="P541" i="8"/>
  <c r="T541" i="8"/>
  <c r="U541" i="8"/>
  <c r="O542" i="8"/>
  <c r="P542" i="8"/>
  <c r="T542" i="8"/>
  <c r="U542" i="8"/>
  <c r="I554" i="8"/>
  <c r="K554" i="8" s="1"/>
  <c r="J554" i="8"/>
  <c r="L556" i="8"/>
  <c r="O556" i="8" s="1"/>
  <c r="M556" i="8"/>
  <c r="P556" i="8" s="1"/>
  <c r="N556" i="8"/>
  <c r="N555" i="8" s="1"/>
  <c r="Q556" i="8"/>
  <c r="R556" i="8"/>
  <c r="U556" i="8" s="1"/>
  <c r="S556" i="8"/>
  <c r="L557" i="8"/>
  <c r="O557" i="8" s="1"/>
  <c r="M557" i="8"/>
  <c r="P557" i="8" s="1"/>
  <c r="N557" i="8"/>
  <c r="Q557" i="8"/>
  <c r="T557" i="8" s="1"/>
  <c r="R557" i="8"/>
  <c r="U557" i="8" s="1"/>
  <c r="S557" i="8"/>
  <c r="L558" i="8"/>
  <c r="M558" i="8"/>
  <c r="P558" i="8" s="1"/>
  <c r="N558" i="8"/>
  <c r="O558" i="8"/>
  <c r="Q558" i="8"/>
  <c r="R558" i="8"/>
  <c r="S558" i="8"/>
  <c r="T558" i="8"/>
  <c r="U558" i="8"/>
  <c r="O559" i="8"/>
  <c r="P559" i="8"/>
  <c r="T559" i="8"/>
  <c r="U559" i="8"/>
  <c r="O560" i="8"/>
  <c r="P560" i="8"/>
  <c r="T560" i="8"/>
  <c r="U560" i="8"/>
  <c r="L561" i="8"/>
  <c r="M561" i="8"/>
  <c r="P561" i="8" s="1"/>
  <c r="N561" i="8"/>
  <c r="O561" i="8"/>
  <c r="Q561" i="8"/>
  <c r="R561" i="8"/>
  <c r="S561" i="8"/>
  <c r="T561" i="8"/>
  <c r="U561" i="8"/>
  <c r="O562" i="8"/>
  <c r="P562" i="8"/>
  <c r="T562" i="8"/>
  <c r="U562" i="8"/>
  <c r="O563" i="8"/>
  <c r="P563" i="8"/>
  <c r="T563" i="8"/>
  <c r="U563" i="8"/>
  <c r="I575" i="8"/>
  <c r="J575" i="8"/>
  <c r="K575" i="8"/>
  <c r="L577" i="8"/>
  <c r="M577" i="8"/>
  <c r="P577" i="8" s="1"/>
  <c r="N577" i="8"/>
  <c r="O577" i="8"/>
  <c r="Q577" i="8"/>
  <c r="T577" i="8" s="1"/>
  <c r="R577" i="8"/>
  <c r="S577" i="8"/>
  <c r="U577" i="8"/>
  <c r="L578" i="8"/>
  <c r="O578" i="8" s="1"/>
  <c r="M578" i="8"/>
  <c r="P578" i="8" s="1"/>
  <c r="N578" i="8"/>
  <c r="Q578" i="8"/>
  <c r="R578" i="8"/>
  <c r="U578" i="8" s="1"/>
  <c r="S578" i="8"/>
  <c r="L579" i="8"/>
  <c r="O579" i="8" s="1"/>
  <c r="M579" i="8"/>
  <c r="P579" i="8" s="1"/>
  <c r="N579" i="8"/>
  <c r="Q579" i="8"/>
  <c r="T579" i="8" s="1"/>
  <c r="R579" i="8"/>
  <c r="U579" i="8" s="1"/>
  <c r="S579" i="8"/>
  <c r="O580" i="8"/>
  <c r="P580" i="8"/>
  <c r="T580" i="8"/>
  <c r="U580" i="8"/>
  <c r="O581" i="8"/>
  <c r="P581" i="8"/>
  <c r="T581" i="8"/>
  <c r="U581" i="8"/>
  <c r="L582" i="8"/>
  <c r="M582" i="8"/>
  <c r="P582" i="8" s="1"/>
  <c r="N582" i="8"/>
  <c r="O582" i="8"/>
  <c r="Q582" i="8"/>
  <c r="T582" i="8" s="1"/>
  <c r="R582" i="8"/>
  <c r="S582" i="8"/>
  <c r="U582" i="8"/>
  <c r="O583" i="8"/>
  <c r="P583" i="8"/>
  <c r="T583" i="8"/>
  <c r="U583" i="8"/>
  <c r="O584" i="8"/>
  <c r="P584" i="8"/>
  <c r="T584" i="8"/>
  <c r="U584" i="8"/>
  <c r="L600" i="8"/>
  <c r="M600" i="8"/>
  <c r="P600" i="8" s="1"/>
  <c r="N600" i="8"/>
  <c r="Q600" i="8"/>
  <c r="T600" i="8" s="1"/>
  <c r="R600" i="8"/>
  <c r="S600" i="8"/>
  <c r="U600" i="8"/>
  <c r="L601" i="8"/>
  <c r="M601" i="8"/>
  <c r="P601" i="8" s="1"/>
  <c r="N601" i="8"/>
  <c r="O601" i="8"/>
  <c r="Q601" i="8"/>
  <c r="T601" i="8" s="1"/>
  <c r="R601" i="8"/>
  <c r="U601" i="8" s="1"/>
  <c r="S601" i="8"/>
  <c r="L602" i="8"/>
  <c r="M602" i="8"/>
  <c r="P602" i="8" s="1"/>
  <c r="N602" i="8"/>
  <c r="O602" i="8"/>
  <c r="Q602" i="8"/>
  <c r="T602" i="8" s="1"/>
  <c r="R602" i="8"/>
  <c r="S602" i="8"/>
  <c r="U602" i="8"/>
  <c r="O603" i="8"/>
  <c r="P603" i="8"/>
  <c r="T603" i="8"/>
  <c r="U603" i="8"/>
  <c r="O604" i="8"/>
  <c r="P604" i="8"/>
  <c r="T604" i="8"/>
  <c r="U604" i="8"/>
  <c r="L605" i="8"/>
  <c r="M605" i="8"/>
  <c r="N605" i="8"/>
  <c r="O605" i="8"/>
  <c r="P605" i="8"/>
  <c r="Q605" i="8"/>
  <c r="T605" i="8" s="1"/>
  <c r="R605" i="8"/>
  <c r="S605" i="8"/>
  <c r="U605" i="8"/>
  <c r="O606" i="8"/>
  <c r="P606" i="8"/>
  <c r="T606" i="8"/>
  <c r="U606" i="8"/>
  <c r="O607" i="8"/>
  <c r="P607" i="8"/>
  <c r="T607" i="8"/>
  <c r="U607" i="8"/>
  <c r="L617" i="8"/>
  <c r="M617" i="8"/>
  <c r="N617" i="8"/>
  <c r="N616" i="8" s="1"/>
  <c r="O617" i="8"/>
  <c r="Q617" i="8"/>
  <c r="R617" i="8"/>
  <c r="S617" i="8"/>
  <c r="T617" i="8"/>
  <c r="U617" i="8"/>
  <c r="L618" i="8"/>
  <c r="O618" i="8" s="1"/>
  <c r="M618" i="8"/>
  <c r="N618" i="8"/>
  <c r="P618" i="8"/>
  <c r="L619" i="8"/>
  <c r="O619" i="8" s="1"/>
  <c r="M619" i="8"/>
  <c r="P619" i="8" s="1"/>
  <c r="N619" i="8"/>
  <c r="O620" i="8"/>
  <c r="P620" i="8"/>
  <c r="T620" i="8"/>
  <c r="U620" i="8"/>
  <c r="O621" i="8"/>
  <c r="P621" i="8"/>
  <c r="Q621" i="8"/>
  <c r="Q619" i="8" s="1"/>
  <c r="R621" i="8"/>
  <c r="R619" i="8" s="1"/>
  <c r="S621" i="8"/>
  <c r="L622" i="8"/>
  <c r="M622" i="8"/>
  <c r="N622" i="8"/>
  <c r="O622" i="8"/>
  <c r="P622" i="8"/>
  <c r="Q622" i="8"/>
  <c r="T622" i="8" s="1"/>
  <c r="R622" i="8"/>
  <c r="S622" i="8"/>
  <c r="U622" i="8"/>
  <c r="O623" i="8"/>
  <c r="P623" i="8"/>
  <c r="T623" i="8"/>
  <c r="U623" i="8"/>
  <c r="O624" i="8"/>
  <c r="P624" i="8"/>
  <c r="T624" i="8"/>
  <c r="U624" i="8"/>
  <c r="I626" i="8"/>
  <c r="K629" i="8" s="1"/>
  <c r="I627" i="8"/>
  <c r="K627" i="8" s="1"/>
  <c r="I628" i="8"/>
  <c r="K628" i="8" s="1"/>
  <c r="J632" i="8"/>
  <c r="J626" i="8" s="1"/>
  <c r="J615" i="8" s="1"/>
  <c r="I635" i="8"/>
  <c r="K635" i="8" s="1"/>
  <c r="J636" i="8"/>
  <c r="J635" i="8" s="1"/>
  <c r="L643" i="8"/>
  <c r="M643" i="8"/>
  <c r="N643" i="8"/>
  <c r="Q643" i="8"/>
  <c r="T643" i="8" s="1"/>
  <c r="R643" i="8"/>
  <c r="S643" i="8"/>
  <c r="L644" i="8"/>
  <c r="M644" i="8"/>
  <c r="P644" i="8" s="1"/>
  <c r="N644" i="8"/>
  <c r="O644" i="8"/>
  <c r="L645" i="8"/>
  <c r="O645" i="8" s="1"/>
  <c r="M645" i="8"/>
  <c r="N645" i="8"/>
  <c r="P645" i="8"/>
  <c r="O646" i="8"/>
  <c r="P646" i="8"/>
  <c r="T646" i="8"/>
  <c r="U646" i="8"/>
  <c r="O647" i="8"/>
  <c r="P647" i="8"/>
  <c r="Q647" i="8"/>
  <c r="R647" i="8"/>
  <c r="S647" i="8"/>
  <c r="S645" i="8" s="1"/>
  <c r="L648" i="8"/>
  <c r="M648" i="8"/>
  <c r="P648" i="8" s="1"/>
  <c r="N648" i="8"/>
  <c r="O648" i="8"/>
  <c r="Q648" i="8"/>
  <c r="R648" i="8"/>
  <c r="S648" i="8"/>
  <c r="T648" i="8"/>
  <c r="U648" i="8"/>
  <c r="O649" i="8"/>
  <c r="P649" i="8"/>
  <c r="T649" i="8"/>
  <c r="U649" i="8"/>
  <c r="O650" i="8"/>
  <c r="P650" i="8"/>
  <c r="T650" i="8"/>
  <c r="U650" i="8"/>
  <c r="I652" i="8"/>
  <c r="K652" i="8" s="1"/>
  <c r="J652" i="8"/>
  <c r="I653" i="8"/>
  <c r="K653" i="8" s="1"/>
  <c r="J653" i="8"/>
  <c r="I654" i="8"/>
  <c r="K654" i="8" s="1"/>
  <c r="J654" i="8"/>
  <c r="I657" i="8"/>
  <c r="I660" i="8"/>
  <c r="I661" i="8"/>
  <c r="J661" i="8"/>
  <c r="J671" i="8"/>
  <c r="J672" i="8"/>
  <c r="I673" i="8"/>
  <c r="K673" i="8" s="1"/>
  <c r="J673" i="8"/>
  <c r="I674" i="8"/>
  <c r="I675" i="8"/>
  <c r="I676" i="8"/>
  <c r="J676" i="8"/>
  <c r="J677" i="8"/>
  <c r="I678" i="8"/>
  <c r="J678" i="8"/>
  <c r="I679" i="8"/>
  <c r="K679" i="8" s="1"/>
  <c r="J679" i="8"/>
  <c r="J680" i="8"/>
  <c r="I681" i="8"/>
  <c r="K681" i="8" s="1"/>
  <c r="J681" i="8"/>
  <c r="I682" i="8"/>
  <c r="J682" i="8"/>
  <c r="L691" i="8"/>
  <c r="O691" i="8" s="1"/>
  <c r="M691" i="8"/>
  <c r="N691" i="8"/>
  <c r="Q691" i="8"/>
  <c r="T691" i="8" s="1"/>
  <c r="R691" i="8"/>
  <c r="U691" i="8" s="1"/>
  <c r="S691" i="8"/>
  <c r="L692" i="8"/>
  <c r="O692" i="8" s="1"/>
  <c r="M692" i="8"/>
  <c r="P692" i="8" s="1"/>
  <c r="N692" i="8"/>
  <c r="L693" i="8"/>
  <c r="O693" i="8" s="1"/>
  <c r="M693" i="8"/>
  <c r="N693" i="8"/>
  <c r="P693" i="8"/>
  <c r="O694" i="8"/>
  <c r="P694" i="8"/>
  <c r="T694" i="8"/>
  <c r="U694" i="8"/>
  <c r="O695" i="8"/>
  <c r="P695" i="8"/>
  <c r="Q695" i="8"/>
  <c r="Q693" i="8" s="1"/>
  <c r="R695" i="8"/>
  <c r="R693" i="8" s="1"/>
  <c r="S695" i="8"/>
  <c r="L696" i="8"/>
  <c r="M696" i="8"/>
  <c r="P696" i="8" s="1"/>
  <c r="N696" i="8"/>
  <c r="O696" i="8"/>
  <c r="Q696" i="8"/>
  <c r="R696" i="8"/>
  <c r="S696" i="8"/>
  <c r="T696" i="8"/>
  <c r="U696" i="8"/>
  <c r="O697" i="8"/>
  <c r="P697" i="8"/>
  <c r="T697" i="8"/>
  <c r="U697" i="8"/>
  <c r="O698" i="8"/>
  <c r="P698" i="8"/>
  <c r="T698" i="8"/>
  <c r="U698" i="8"/>
  <c r="I700" i="8"/>
  <c r="K700" i="8" s="1"/>
  <c r="K702" i="8"/>
  <c r="I703" i="8"/>
  <c r="J703" i="8"/>
  <c r="J704" i="8"/>
  <c r="K704" i="8"/>
  <c r="I705" i="8"/>
  <c r="J705" i="8"/>
  <c r="J706" i="8"/>
  <c r="K706" i="8"/>
  <c r="I707" i="8"/>
  <c r="I689" i="8" s="1"/>
  <c r="J707" i="8"/>
  <c r="J689" i="8" s="1"/>
  <c r="J708" i="8"/>
  <c r="K708" i="8"/>
  <c r="I709" i="8"/>
  <c r="J709" i="8"/>
  <c r="J710" i="8"/>
  <c r="K710" i="8"/>
  <c r="J712" i="8"/>
  <c r="K712" i="8"/>
  <c r="L715" i="8"/>
  <c r="M715" i="8"/>
  <c r="N715" i="8"/>
  <c r="P715" i="8"/>
  <c r="Q715" i="8"/>
  <c r="R715" i="8"/>
  <c r="S715" i="8"/>
  <c r="L716" i="8"/>
  <c r="O716" i="8" s="1"/>
  <c r="M716" i="8"/>
  <c r="N716" i="8"/>
  <c r="N714" i="8" s="1"/>
  <c r="Q716" i="8"/>
  <c r="T716" i="8" s="1"/>
  <c r="R716" i="8"/>
  <c r="U716" i="8" s="1"/>
  <c r="S716" i="8"/>
  <c r="S714" i="8" s="1"/>
  <c r="L717" i="8"/>
  <c r="M717" i="8"/>
  <c r="P717" i="8" s="1"/>
  <c r="N717" i="8"/>
  <c r="O717" i="8"/>
  <c r="Q717" i="8"/>
  <c r="R717" i="8"/>
  <c r="S717" i="8"/>
  <c r="T717" i="8"/>
  <c r="U717" i="8"/>
  <c r="O718" i="8"/>
  <c r="P718" i="8"/>
  <c r="T718" i="8"/>
  <c r="U718" i="8"/>
  <c r="O719" i="8"/>
  <c r="P719" i="8"/>
  <c r="T719" i="8"/>
  <c r="U719" i="8"/>
  <c r="L720" i="8"/>
  <c r="M720" i="8"/>
  <c r="P720" i="8" s="1"/>
  <c r="N720" i="8"/>
  <c r="O720" i="8"/>
  <c r="Q720" i="8"/>
  <c r="R720" i="8"/>
  <c r="S720" i="8"/>
  <c r="T720" i="8"/>
  <c r="U720" i="8"/>
  <c r="O721" i="8"/>
  <c r="P721" i="8"/>
  <c r="T721" i="8"/>
  <c r="U721" i="8"/>
  <c r="O722" i="8"/>
  <c r="P722" i="8"/>
  <c r="T722" i="8"/>
  <c r="U722" i="8"/>
  <c r="I726" i="8"/>
  <c r="K726" i="8" s="1"/>
  <c r="J726" i="8"/>
  <c r="I727" i="8"/>
  <c r="K727" i="8" s="1"/>
  <c r="J727" i="8"/>
  <c r="L729" i="8"/>
  <c r="M729" i="8"/>
  <c r="N729" i="8"/>
  <c r="P729" i="8"/>
  <c r="Q729" i="8"/>
  <c r="R729" i="8"/>
  <c r="S729" i="8"/>
  <c r="L730" i="8"/>
  <c r="O730" i="8" s="1"/>
  <c r="M730" i="8"/>
  <c r="N730" i="8"/>
  <c r="N728" i="8" s="1"/>
  <c r="L731" i="8"/>
  <c r="M731" i="8"/>
  <c r="N731" i="8"/>
  <c r="O731" i="8"/>
  <c r="P731" i="8"/>
  <c r="O732" i="8"/>
  <c r="P732" i="8"/>
  <c r="T732" i="8"/>
  <c r="U732" i="8"/>
  <c r="O733" i="8"/>
  <c r="P733" i="8"/>
  <c r="Q733" i="8"/>
  <c r="R733" i="8"/>
  <c r="S733" i="8"/>
  <c r="L734" i="8"/>
  <c r="O734" i="8" s="1"/>
  <c r="M734" i="8"/>
  <c r="P734" i="8" s="1"/>
  <c r="N734" i="8"/>
  <c r="Q734" i="8"/>
  <c r="T734" i="8" s="1"/>
  <c r="R734" i="8"/>
  <c r="U734" i="8" s="1"/>
  <c r="S734" i="8"/>
  <c r="O735" i="8"/>
  <c r="P735" i="8"/>
  <c r="T735" i="8"/>
  <c r="U735" i="8"/>
  <c r="O736" i="8"/>
  <c r="P736" i="8"/>
  <c r="T736" i="8"/>
  <c r="U736" i="8"/>
  <c r="I740" i="8"/>
  <c r="K740" i="8" s="1"/>
  <c r="I742" i="8"/>
  <c r="K742" i="8" s="1"/>
  <c r="I744" i="8"/>
  <c r="K744" i="8" s="1"/>
  <c r="I746" i="8"/>
  <c r="K746" i="8" s="1"/>
  <c r="I749" i="8"/>
  <c r="K749" i="8" s="1"/>
  <c r="I752" i="8"/>
  <c r="K752" i="8" s="1"/>
  <c r="I755" i="8"/>
  <c r="K755" i="8" s="1"/>
  <c r="J758" i="8"/>
  <c r="J759" i="8"/>
  <c r="L761" i="8"/>
  <c r="M761" i="8"/>
  <c r="N761" i="8"/>
  <c r="Q761" i="8"/>
  <c r="T761" i="8" s="1"/>
  <c r="R761" i="8"/>
  <c r="S761" i="8"/>
  <c r="L762" i="8"/>
  <c r="M762" i="8"/>
  <c r="P762" i="8" s="1"/>
  <c r="N762" i="8"/>
  <c r="N760" i="8" s="1"/>
  <c r="O762" i="8"/>
  <c r="L763" i="8"/>
  <c r="O763" i="8" s="1"/>
  <c r="M763" i="8"/>
  <c r="N763" i="8"/>
  <c r="P763" i="8"/>
  <c r="O764" i="8"/>
  <c r="P764" i="8"/>
  <c r="T764" i="8"/>
  <c r="U764" i="8"/>
  <c r="O765" i="8"/>
  <c r="P765" i="8"/>
  <c r="Q765" i="8"/>
  <c r="R765" i="8"/>
  <c r="S765" i="8"/>
  <c r="S763" i="8" s="1"/>
  <c r="L766" i="8"/>
  <c r="O766" i="8" s="1"/>
  <c r="M766" i="8"/>
  <c r="P766" i="8" s="1"/>
  <c r="N766" i="8"/>
  <c r="Q766" i="8"/>
  <c r="T766" i="8" s="1"/>
  <c r="R766" i="8"/>
  <c r="U766" i="8" s="1"/>
  <c r="S766" i="8"/>
  <c r="O767" i="8"/>
  <c r="P767" i="8"/>
  <c r="T767" i="8"/>
  <c r="U767" i="8"/>
  <c r="O768" i="8"/>
  <c r="P768" i="8"/>
  <c r="T768" i="8"/>
  <c r="U768" i="8"/>
  <c r="I770" i="8"/>
  <c r="K770" i="8" s="1"/>
  <c r="I772" i="8"/>
  <c r="I774" i="8"/>
  <c r="K774" i="8" s="1"/>
  <c r="I775" i="8"/>
  <c r="I776" i="8"/>
  <c r="H777" i="8"/>
  <c r="I778" i="8"/>
  <c r="J778" i="8"/>
  <c r="I779" i="8"/>
  <c r="J779" i="8"/>
  <c r="I780" i="8"/>
  <c r="J780" i="8"/>
  <c r="I781" i="8"/>
  <c r="J781" i="8"/>
  <c r="I782" i="8"/>
  <c r="J782" i="8"/>
  <c r="I783" i="8"/>
  <c r="J783" i="8"/>
  <c r="I784" i="8"/>
  <c r="J784" i="8"/>
  <c r="I785" i="8"/>
  <c r="J785" i="8"/>
  <c r="A788" i="8"/>
  <c r="A789" i="8"/>
  <c r="L22" i="7"/>
  <c r="M22" i="7"/>
  <c r="N22" i="7"/>
  <c r="Q22" i="7"/>
  <c r="Q19" i="7" s="1"/>
  <c r="T19" i="7" s="1"/>
  <c r="R22" i="7"/>
  <c r="S22" i="7"/>
  <c r="S19" i="7" s="1"/>
  <c r="L25" i="7"/>
  <c r="M25" i="7"/>
  <c r="N25" i="7"/>
  <c r="Q25" i="7"/>
  <c r="Q24" i="7" s="1"/>
  <c r="T24" i="7" s="1"/>
  <c r="R25" i="7"/>
  <c r="S25" i="7"/>
  <c r="Q26" i="7"/>
  <c r="T26" i="7" s="1"/>
  <c r="R26" i="7"/>
  <c r="U26" i="7" s="1"/>
  <c r="S26" i="7"/>
  <c r="L45" i="7"/>
  <c r="O45" i="7" s="1"/>
  <c r="M45" i="7"/>
  <c r="N45" i="7"/>
  <c r="Q45" i="7"/>
  <c r="Q44" i="7" s="1"/>
  <c r="T44" i="7" s="1"/>
  <c r="R45" i="7"/>
  <c r="U45" i="7" s="1"/>
  <c r="S45" i="7"/>
  <c r="S44" i="7" s="1"/>
  <c r="T45" i="7"/>
  <c r="Q46" i="7"/>
  <c r="T46" i="7" s="1"/>
  <c r="R46" i="7"/>
  <c r="S46" i="7"/>
  <c r="U46" i="7"/>
  <c r="Q47" i="7"/>
  <c r="T47" i="7" s="1"/>
  <c r="R47" i="7"/>
  <c r="U47" i="7" s="1"/>
  <c r="S47" i="7"/>
  <c r="O48" i="7"/>
  <c r="P48" i="7"/>
  <c r="T48" i="7"/>
  <c r="U48" i="7"/>
  <c r="L49" i="7"/>
  <c r="L47" i="7" s="1"/>
  <c r="M49" i="7"/>
  <c r="M47" i="7" s="1"/>
  <c r="N49" i="7"/>
  <c r="T49" i="7"/>
  <c r="U49" i="7"/>
  <c r="Q50" i="7"/>
  <c r="T50" i="7" s="1"/>
  <c r="R50" i="7"/>
  <c r="S50" i="7"/>
  <c r="U50" i="7"/>
  <c r="O51" i="7"/>
  <c r="P51" i="7"/>
  <c r="T51" i="7"/>
  <c r="U51" i="7"/>
  <c r="L52" i="7"/>
  <c r="M52" i="7"/>
  <c r="N52" i="7"/>
  <c r="N50" i="7" s="1"/>
  <c r="T52" i="7"/>
  <c r="U52" i="7"/>
  <c r="L60" i="7"/>
  <c r="O60" i="7" s="1"/>
  <c r="M60" i="7"/>
  <c r="N60" i="7"/>
  <c r="Q60" i="7"/>
  <c r="Q59" i="7" s="1"/>
  <c r="T59" i="7" s="1"/>
  <c r="R60" i="7"/>
  <c r="R59" i="7" s="1"/>
  <c r="U59" i="7" s="1"/>
  <c r="S60" i="7"/>
  <c r="S59" i="7" s="1"/>
  <c r="T60" i="7"/>
  <c r="U60" i="7"/>
  <c r="Q61" i="7"/>
  <c r="T61" i="7" s="1"/>
  <c r="R61" i="7"/>
  <c r="S61" i="7"/>
  <c r="U61" i="7"/>
  <c r="Q62" i="7"/>
  <c r="T62" i="7" s="1"/>
  <c r="R62" i="7"/>
  <c r="U62" i="7" s="1"/>
  <c r="S62" i="7"/>
  <c r="O63" i="7"/>
  <c r="P63" i="7"/>
  <c r="T63" i="7"/>
  <c r="U63" i="7"/>
  <c r="L64" i="7"/>
  <c r="L62" i="7" s="1"/>
  <c r="M64" i="7"/>
  <c r="M62" i="7" s="1"/>
  <c r="N64" i="7"/>
  <c r="N62" i="7" s="1"/>
  <c r="T64" i="7"/>
  <c r="U64" i="7"/>
  <c r="Q65" i="7"/>
  <c r="R65" i="7"/>
  <c r="U65" i="7" s="1"/>
  <c r="S65" i="7"/>
  <c r="T65" i="7"/>
  <c r="O66" i="7"/>
  <c r="P66" i="7"/>
  <c r="T66" i="7"/>
  <c r="U66" i="7"/>
  <c r="L67" i="7"/>
  <c r="M67" i="7"/>
  <c r="N67" i="7"/>
  <c r="N65" i="7" s="1"/>
  <c r="T67" i="7"/>
  <c r="U67" i="7"/>
  <c r="L73" i="7"/>
  <c r="M73" i="7"/>
  <c r="N73" i="7"/>
  <c r="O73" i="7"/>
  <c r="Q73" i="7"/>
  <c r="R73" i="7"/>
  <c r="U73" i="7" s="1"/>
  <c r="S73" i="7"/>
  <c r="O76" i="7"/>
  <c r="P76" i="7"/>
  <c r="T76" i="7"/>
  <c r="U76" i="7"/>
  <c r="L77" i="7"/>
  <c r="M77" i="7"/>
  <c r="N77" i="7"/>
  <c r="N75" i="7" s="1"/>
  <c r="Q77" i="7"/>
  <c r="Q74" i="7" s="1"/>
  <c r="T74" i="7" s="1"/>
  <c r="R77" i="7"/>
  <c r="S77" i="7"/>
  <c r="S75" i="7" s="1"/>
  <c r="Q78" i="7"/>
  <c r="T78" i="7" s="1"/>
  <c r="R78" i="7"/>
  <c r="U78" i="7" s="1"/>
  <c r="S78" i="7"/>
  <c r="O79" i="7"/>
  <c r="P79" i="7"/>
  <c r="T79" i="7"/>
  <c r="U79" i="7"/>
  <c r="L80" i="7"/>
  <c r="M80" i="7"/>
  <c r="N80" i="7"/>
  <c r="N78" i="7" s="1"/>
  <c r="T80" i="7"/>
  <c r="U80" i="7"/>
  <c r="J82" i="7"/>
  <c r="J70" i="7" s="1"/>
  <c r="J83" i="7"/>
  <c r="J71" i="7" s="1"/>
  <c r="I84" i="7"/>
  <c r="I85" i="7"/>
  <c r="I86" i="7"/>
  <c r="K86" i="7" s="1"/>
  <c r="I87" i="7"/>
  <c r="K87" i="7" s="1"/>
  <c r="I88" i="7"/>
  <c r="K88" i="7" s="1"/>
  <c r="I89" i="7"/>
  <c r="K89" i="7" s="1"/>
  <c r="I90" i="7"/>
  <c r="K90" i="7" s="1"/>
  <c r="J92" i="7"/>
  <c r="J93" i="7"/>
  <c r="L95" i="7"/>
  <c r="M95" i="7"/>
  <c r="N95" i="7"/>
  <c r="O95" i="7"/>
  <c r="P95" i="7"/>
  <c r="Q95" i="7"/>
  <c r="R95" i="7"/>
  <c r="S95" i="7"/>
  <c r="T95" i="7"/>
  <c r="U95" i="7"/>
  <c r="O98" i="7"/>
  <c r="P98" i="7"/>
  <c r="T98" i="7"/>
  <c r="U98" i="7"/>
  <c r="L99" i="7"/>
  <c r="M99" i="7"/>
  <c r="N99" i="7"/>
  <c r="N97" i="7" s="1"/>
  <c r="Q99" i="7"/>
  <c r="R99" i="7"/>
  <c r="R96" i="7" s="1"/>
  <c r="S99" i="7"/>
  <c r="S96" i="7" s="1"/>
  <c r="S94" i="7" s="1"/>
  <c r="Q100" i="7"/>
  <c r="T100" i="7" s="1"/>
  <c r="R100" i="7"/>
  <c r="U100" i="7" s="1"/>
  <c r="S100" i="7"/>
  <c r="O101" i="7"/>
  <c r="P101" i="7"/>
  <c r="T101" i="7"/>
  <c r="U101" i="7"/>
  <c r="L102" i="7"/>
  <c r="O102" i="7" s="1"/>
  <c r="M102" i="7"/>
  <c r="N102" i="7"/>
  <c r="N100" i="7" s="1"/>
  <c r="T102" i="7"/>
  <c r="U102" i="7"/>
  <c r="I108" i="7"/>
  <c r="I92" i="7" s="1"/>
  <c r="K92" i="7" s="1"/>
  <c r="I109" i="7"/>
  <c r="I113" i="7"/>
  <c r="K113" i="7" s="1"/>
  <c r="I114" i="7"/>
  <c r="K114" i="7" s="1"/>
  <c r="J116" i="7"/>
  <c r="L118" i="7"/>
  <c r="M118" i="7"/>
  <c r="N118" i="7"/>
  <c r="Q118" i="7"/>
  <c r="T118" i="7" s="1"/>
  <c r="R118" i="7"/>
  <c r="S118" i="7"/>
  <c r="O121" i="7"/>
  <c r="P121" i="7"/>
  <c r="T121" i="7"/>
  <c r="U121" i="7"/>
  <c r="L122" i="7"/>
  <c r="L120" i="7" s="1"/>
  <c r="O120" i="7" s="1"/>
  <c r="M122" i="7"/>
  <c r="P122" i="7" s="1"/>
  <c r="N122" i="7"/>
  <c r="N120" i="7" s="1"/>
  <c r="Q122" i="7"/>
  <c r="Q119" i="7" s="1"/>
  <c r="R122" i="7"/>
  <c r="R120" i="7" s="1"/>
  <c r="S122" i="7"/>
  <c r="S119" i="7" s="1"/>
  <c r="Q123" i="7"/>
  <c r="T123" i="7" s="1"/>
  <c r="R123" i="7"/>
  <c r="U123" i="7" s="1"/>
  <c r="S123" i="7"/>
  <c r="O124" i="7"/>
  <c r="P124" i="7"/>
  <c r="T124" i="7"/>
  <c r="U124" i="7"/>
  <c r="L125" i="7"/>
  <c r="L123" i="7" s="1"/>
  <c r="O123" i="7" s="1"/>
  <c r="M125" i="7"/>
  <c r="N125" i="7"/>
  <c r="N123" i="7" s="1"/>
  <c r="T125" i="7"/>
  <c r="U125" i="7"/>
  <c r="I127" i="7"/>
  <c r="I116" i="7" s="1"/>
  <c r="I128" i="7"/>
  <c r="K128" i="7" s="1"/>
  <c r="I129" i="7"/>
  <c r="K129" i="7" s="1"/>
  <c r="I130" i="7"/>
  <c r="K130" i="7" s="1"/>
  <c r="J136" i="7"/>
  <c r="J137" i="7"/>
  <c r="J138" i="7"/>
  <c r="L140" i="7"/>
  <c r="O140" i="7" s="1"/>
  <c r="M140" i="7"/>
  <c r="P140" i="7" s="1"/>
  <c r="N140" i="7"/>
  <c r="Q140" i="7"/>
  <c r="R140" i="7"/>
  <c r="U140" i="7" s="1"/>
  <c r="S140" i="7"/>
  <c r="O143" i="7"/>
  <c r="P143" i="7"/>
  <c r="T143" i="7"/>
  <c r="U143" i="7"/>
  <c r="L144" i="7"/>
  <c r="M144" i="7"/>
  <c r="N144" i="7"/>
  <c r="Q144" i="7"/>
  <c r="Q141" i="7" s="1"/>
  <c r="T141" i="7" s="1"/>
  <c r="R144" i="7"/>
  <c r="R141" i="7" s="1"/>
  <c r="S144" i="7"/>
  <c r="S142" i="7" s="1"/>
  <c r="Q145" i="7"/>
  <c r="T145" i="7" s="1"/>
  <c r="R145" i="7"/>
  <c r="U145" i="7" s="1"/>
  <c r="S145" i="7"/>
  <c r="O146" i="7"/>
  <c r="P146" i="7"/>
  <c r="T146" i="7"/>
  <c r="U146" i="7"/>
  <c r="L147" i="7"/>
  <c r="M147" i="7"/>
  <c r="N147" i="7"/>
  <c r="N145" i="7" s="1"/>
  <c r="T147" i="7"/>
  <c r="U147" i="7"/>
  <c r="I150" i="7"/>
  <c r="K150" i="7" s="1"/>
  <c r="I151" i="7"/>
  <c r="K151" i="7" s="1"/>
  <c r="I152" i="7"/>
  <c r="I137" i="7" s="1"/>
  <c r="K137" i="7" s="1"/>
  <c r="I153" i="7"/>
  <c r="K153" i="7" s="1"/>
  <c r="I154" i="7"/>
  <c r="I136" i="7" s="1"/>
  <c r="K136" i="7" s="1"/>
  <c r="J156" i="7"/>
  <c r="L158" i="7"/>
  <c r="M158" i="7"/>
  <c r="N158" i="7"/>
  <c r="Q158" i="7"/>
  <c r="R158" i="7"/>
  <c r="S158" i="7"/>
  <c r="T158" i="7"/>
  <c r="O161" i="7"/>
  <c r="P161" i="7"/>
  <c r="T161" i="7"/>
  <c r="U161" i="7"/>
  <c r="L162" i="7"/>
  <c r="L160" i="7" s="1"/>
  <c r="M162" i="7"/>
  <c r="N162" i="7"/>
  <c r="Q162" i="7"/>
  <c r="Q159" i="7" s="1"/>
  <c r="Q157" i="7" s="1"/>
  <c r="T157" i="7" s="1"/>
  <c r="R162" i="7"/>
  <c r="R160" i="7" s="1"/>
  <c r="U160" i="7" s="1"/>
  <c r="S162" i="7"/>
  <c r="S159" i="7" s="1"/>
  <c r="Q163" i="7"/>
  <c r="T163" i="7" s="1"/>
  <c r="R163" i="7"/>
  <c r="U163" i="7" s="1"/>
  <c r="S163" i="7"/>
  <c r="O164" i="7"/>
  <c r="P164" i="7"/>
  <c r="T164" i="7"/>
  <c r="U164" i="7"/>
  <c r="L165" i="7"/>
  <c r="L163" i="7" s="1"/>
  <c r="O163" i="7" s="1"/>
  <c r="M165" i="7"/>
  <c r="M163" i="7" s="1"/>
  <c r="P163" i="7" s="1"/>
  <c r="N165" i="7"/>
  <c r="T165" i="7"/>
  <c r="U165" i="7"/>
  <c r="I167" i="7"/>
  <c r="I156" i="7" s="1"/>
  <c r="K156" i="7" s="1"/>
  <c r="J172" i="7"/>
  <c r="L174" i="7"/>
  <c r="M174" i="7"/>
  <c r="N174" i="7"/>
  <c r="Q174" i="7"/>
  <c r="R174" i="7"/>
  <c r="S174" i="7"/>
  <c r="T174" i="7"/>
  <c r="O177" i="7"/>
  <c r="P177" i="7"/>
  <c r="T177" i="7"/>
  <c r="U177" i="7"/>
  <c r="L178" i="7"/>
  <c r="L176" i="7" s="1"/>
  <c r="M178" i="7"/>
  <c r="N178" i="7"/>
  <c r="Q178" i="7"/>
  <c r="Q175" i="7" s="1"/>
  <c r="T175" i="7" s="1"/>
  <c r="R178" i="7"/>
  <c r="R176" i="7" s="1"/>
  <c r="U176" i="7" s="1"/>
  <c r="S178" i="7"/>
  <c r="S175" i="7" s="1"/>
  <c r="Q179" i="7"/>
  <c r="T179" i="7" s="1"/>
  <c r="R179" i="7"/>
  <c r="U179" i="7" s="1"/>
  <c r="S179" i="7"/>
  <c r="O180" i="7"/>
  <c r="P180" i="7"/>
  <c r="T180" i="7"/>
  <c r="U180" i="7"/>
  <c r="L181" i="7"/>
  <c r="L179" i="7" s="1"/>
  <c r="O179" i="7" s="1"/>
  <c r="M181" i="7"/>
  <c r="P181" i="7" s="1"/>
  <c r="N181" i="7"/>
  <c r="T181" i="7"/>
  <c r="U181" i="7"/>
  <c r="I183" i="7"/>
  <c r="I172" i="7" s="1"/>
  <c r="K172" i="7" s="1"/>
  <c r="K184" i="7"/>
  <c r="L187" i="7"/>
  <c r="O187" i="7" s="1"/>
  <c r="M187" i="7"/>
  <c r="N187" i="7"/>
  <c r="P187" i="7"/>
  <c r="Q187" i="7"/>
  <c r="T187" i="7" s="1"/>
  <c r="R187" i="7"/>
  <c r="U187" i="7" s="1"/>
  <c r="S187" i="7"/>
  <c r="O190" i="7"/>
  <c r="P190" i="7"/>
  <c r="T190" i="7"/>
  <c r="U190" i="7"/>
  <c r="L191" i="7"/>
  <c r="L189" i="7" s="1"/>
  <c r="M191" i="7"/>
  <c r="M189" i="7" s="1"/>
  <c r="N191" i="7"/>
  <c r="N189" i="7" s="1"/>
  <c r="Q191" i="7"/>
  <c r="R191" i="7"/>
  <c r="R189" i="7" s="1"/>
  <c r="S191" i="7"/>
  <c r="S188" i="7" s="1"/>
  <c r="S186" i="7" s="1"/>
  <c r="Q192" i="7"/>
  <c r="T192" i="7" s="1"/>
  <c r="R192" i="7"/>
  <c r="U192" i="7" s="1"/>
  <c r="S192" i="7"/>
  <c r="O193" i="7"/>
  <c r="P193" i="7"/>
  <c r="T193" i="7"/>
  <c r="U193" i="7"/>
  <c r="L194" i="7"/>
  <c r="L192" i="7" s="1"/>
  <c r="O192" i="7" s="1"/>
  <c r="M194" i="7"/>
  <c r="P194" i="7" s="1"/>
  <c r="N194" i="7"/>
  <c r="N192" i="7" s="1"/>
  <c r="T194" i="7"/>
  <c r="U194" i="7"/>
  <c r="J195" i="7"/>
  <c r="L196" i="7"/>
  <c r="O196" i="7" s="1"/>
  <c r="P196" i="7"/>
  <c r="I198" i="7"/>
  <c r="I195" i="7" s="1"/>
  <c r="J199" i="7"/>
  <c r="J202" i="7"/>
  <c r="N203" i="7"/>
  <c r="P203" i="7"/>
  <c r="S203" i="7"/>
  <c r="U203" i="7"/>
  <c r="L204" i="7"/>
  <c r="L205" i="7"/>
  <c r="L206" i="7"/>
  <c r="Q206" i="7"/>
  <c r="Q203" i="7" s="1"/>
  <c r="L207" i="7"/>
  <c r="I209" i="7"/>
  <c r="I211" i="7"/>
  <c r="K211" i="7" s="1"/>
  <c r="I212" i="7"/>
  <c r="K212" i="7" s="1"/>
  <c r="J213" i="7"/>
  <c r="N214" i="7"/>
  <c r="P214" i="7"/>
  <c r="S214" i="7"/>
  <c r="U214" i="7"/>
  <c r="L215" i="7"/>
  <c r="L216" i="7"/>
  <c r="L217" i="7"/>
  <c r="Q217" i="7"/>
  <c r="Q214" i="7" s="1"/>
  <c r="I219" i="7"/>
  <c r="K219" i="7" s="1"/>
  <c r="I220" i="7"/>
  <c r="I213" i="7" s="1"/>
  <c r="K213" i="7" s="1"/>
  <c r="J221" i="7"/>
  <c r="N222" i="7"/>
  <c r="P222" i="7"/>
  <c r="L223" i="7"/>
  <c r="L224" i="7"/>
  <c r="L225" i="7"/>
  <c r="I228" i="7"/>
  <c r="K228" i="7" s="1"/>
  <c r="I229" i="7"/>
  <c r="I230" i="7"/>
  <c r="K230" i="7" s="1"/>
  <c r="N233" i="7"/>
  <c r="N234" i="7"/>
  <c r="N235" i="7"/>
  <c r="N236" i="7"/>
  <c r="J238" i="7"/>
  <c r="I240" i="7"/>
  <c r="K240" i="7" s="1"/>
  <c r="J240" i="7"/>
  <c r="I241" i="7"/>
  <c r="K241" i="7" s="1"/>
  <c r="J241" i="7"/>
  <c r="J242" i="7"/>
  <c r="N243" i="7"/>
  <c r="P243" i="7"/>
  <c r="L244" i="7"/>
  <c r="L245" i="7"/>
  <c r="L246" i="7"/>
  <c r="L247" i="7"/>
  <c r="I249" i="7"/>
  <c r="K251" i="7"/>
  <c r="K252" i="7"/>
  <c r="J253" i="7"/>
  <c r="N254" i="7"/>
  <c r="P254" i="7"/>
  <c r="L255" i="7"/>
  <c r="L256" i="7"/>
  <c r="L257" i="7"/>
  <c r="L258" i="7"/>
  <c r="I260" i="7"/>
  <c r="I253" i="7" s="1"/>
  <c r="K253" i="7" s="1"/>
  <c r="K262" i="7"/>
  <c r="K263" i="7"/>
  <c r="J265" i="7"/>
  <c r="L267" i="7"/>
  <c r="O267" i="7" s="1"/>
  <c r="M267" i="7"/>
  <c r="N267" i="7"/>
  <c r="Q267" i="7"/>
  <c r="T267" i="7" s="1"/>
  <c r="R267" i="7"/>
  <c r="U267" i="7" s="1"/>
  <c r="S267" i="7"/>
  <c r="O270" i="7"/>
  <c r="P270" i="7"/>
  <c r="T270" i="7"/>
  <c r="U270" i="7"/>
  <c r="L271" i="7"/>
  <c r="M271" i="7"/>
  <c r="N271" i="7"/>
  <c r="N269" i="7" s="1"/>
  <c r="Q271" i="7"/>
  <c r="R271" i="7"/>
  <c r="S271" i="7"/>
  <c r="Q272" i="7"/>
  <c r="T272" i="7" s="1"/>
  <c r="R272" i="7"/>
  <c r="U272" i="7" s="1"/>
  <c r="S272" i="7"/>
  <c r="O273" i="7"/>
  <c r="P273" i="7"/>
  <c r="T273" i="7"/>
  <c r="U273" i="7"/>
  <c r="L274" i="7"/>
  <c r="M274" i="7"/>
  <c r="N274" i="7"/>
  <c r="N272" i="7" s="1"/>
  <c r="T274" i="7"/>
  <c r="U274" i="7"/>
  <c r="I276" i="7"/>
  <c r="I265" i="7" s="1"/>
  <c r="K265" i="7" s="1"/>
  <c r="J281" i="7"/>
  <c r="L283" i="7"/>
  <c r="M283" i="7"/>
  <c r="N283" i="7"/>
  <c r="O283" i="7"/>
  <c r="P283" i="7"/>
  <c r="Q283" i="7"/>
  <c r="R283" i="7"/>
  <c r="S283" i="7"/>
  <c r="U283" i="7"/>
  <c r="Q284" i="7"/>
  <c r="T284" i="7" s="1"/>
  <c r="R284" i="7"/>
  <c r="U284" i="7" s="1"/>
  <c r="S284" i="7"/>
  <c r="Q285" i="7"/>
  <c r="R285" i="7"/>
  <c r="U285" i="7" s="1"/>
  <c r="S285" i="7"/>
  <c r="T285" i="7"/>
  <c r="O286" i="7"/>
  <c r="P286" i="7"/>
  <c r="T286" i="7"/>
  <c r="U286" i="7"/>
  <c r="L287" i="7"/>
  <c r="M287" i="7"/>
  <c r="N287" i="7"/>
  <c r="T287" i="7"/>
  <c r="U287" i="7"/>
  <c r="Q288" i="7"/>
  <c r="T288" i="7" s="1"/>
  <c r="R288" i="7"/>
  <c r="U288" i="7" s="1"/>
  <c r="S288" i="7"/>
  <c r="O289" i="7"/>
  <c r="P289" i="7"/>
  <c r="T289" i="7"/>
  <c r="U289" i="7"/>
  <c r="L290" i="7"/>
  <c r="O290" i="7" s="1"/>
  <c r="M290" i="7"/>
  <c r="P290" i="7" s="1"/>
  <c r="N290" i="7"/>
  <c r="N288" i="7" s="1"/>
  <c r="T290" i="7"/>
  <c r="U290" i="7"/>
  <c r="I292" i="7"/>
  <c r="I281" i="7" s="1"/>
  <c r="K281" i="7" s="1"/>
  <c r="I293" i="7"/>
  <c r="J293" i="7"/>
  <c r="J280" i="7" s="1"/>
  <c r="I295" i="7"/>
  <c r="K295" i="7" s="1"/>
  <c r="I296" i="7"/>
  <c r="K296" i="7" s="1"/>
  <c r="J302" i="7"/>
  <c r="L304" i="7"/>
  <c r="M304" i="7"/>
  <c r="N304" i="7"/>
  <c r="O304" i="7"/>
  <c r="P304" i="7"/>
  <c r="Q304" i="7"/>
  <c r="R304" i="7"/>
  <c r="S304" i="7"/>
  <c r="U304" i="7"/>
  <c r="O307" i="7"/>
  <c r="P307" i="7"/>
  <c r="T307" i="7"/>
  <c r="U307" i="7"/>
  <c r="L308" i="7"/>
  <c r="M308" i="7"/>
  <c r="N308" i="7"/>
  <c r="N306" i="7" s="1"/>
  <c r="Q308" i="7"/>
  <c r="T308" i="7" s="1"/>
  <c r="R308" i="7"/>
  <c r="S308" i="7"/>
  <c r="S306" i="7" s="1"/>
  <c r="Q309" i="7"/>
  <c r="R309" i="7"/>
  <c r="S309" i="7"/>
  <c r="T309" i="7"/>
  <c r="U309" i="7"/>
  <c r="O310" i="7"/>
  <c r="P310" i="7"/>
  <c r="T310" i="7"/>
  <c r="U310" i="7"/>
  <c r="L311" i="7"/>
  <c r="M311" i="7"/>
  <c r="N311" i="7"/>
  <c r="N309" i="7" s="1"/>
  <c r="T311" i="7"/>
  <c r="U311" i="7"/>
  <c r="I314" i="7"/>
  <c r="J319" i="7"/>
  <c r="L321" i="7"/>
  <c r="M321" i="7"/>
  <c r="P321" i="7" s="1"/>
  <c r="N321" i="7"/>
  <c r="O321" i="7"/>
  <c r="Q321" i="7"/>
  <c r="T321" i="7" s="1"/>
  <c r="R321" i="7"/>
  <c r="U321" i="7" s="1"/>
  <c r="S321" i="7"/>
  <c r="Q322" i="7"/>
  <c r="T322" i="7" s="1"/>
  <c r="R322" i="7"/>
  <c r="U322" i="7" s="1"/>
  <c r="S322" i="7"/>
  <c r="S320" i="7" s="1"/>
  <c r="Q323" i="7"/>
  <c r="T323" i="7" s="1"/>
  <c r="R323" i="7"/>
  <c r="U323" i="7" s="1"/>
  <c r="S323" i="7"/>
  <c r="O324" i="7"/>
  <c r="P324" i="7"/>
  <c r="T324" i="7"/>
  <c r="U324" i="7"/>
  <c r="L325" i="7"/>
  <c r="M325" i="7"/>
  <c r="M323" i="7" s="1"/>
  <c r="P323" i="7" s="1"/>
  <c r="N325" i="7"/>
  <c r="N323" i="7" s="1"/>
  <c r="T325" i="7"/>
  <c r="U325" i="7"/>
  <c r="Q326" i="7"/>
  <c r="R326" i="7"/>
  <c r="U326" i="7" s="1"/>
  <c r="S326" i="7"/>
  <c r="T326" i="7"/>
  <c r="O327" i="7"/>
  <c r="P327" i="7"/>
  <c r="T327" i="7"/>
  <c r="U327" i="7"/>
  <c r="L328" i="7"/>
  <c r="O328" i="7" s="1"/>
  <c r="M328" i="7"/>
  <c r="N328" i="7"/>
  <c r="N326" i="7" s="1"/>
  <c r="T328" i="7"/>
  <c r="U328" i="7"/>
  <c r="I330" i="7"/>
  <c r="S333" i="7"/>
  <c r="L334" i="7"/>
  <c r="M334" i="7"/>
  <c r="N334" i="7"/>
  <c r="O334" i="7"/>
  <c r="P334" i="7"/>
  <c r="Q334" i="7"/>
  <c r="Q333" i="7" s="1"/>
  <c r="T333" i="7" s="1"/>
  <c r="R334" i="7"/>
  <c r="S334" i="7"/>
  <c r="U334" i="7"/>
  <c r="Q335" i="7"/>
  <c r="T335" i="7" s="1"/>
  <c r="R335" i="7"/>
  <c r="U335" i="7" s="1"/>
  <c r="S335" i="7"/>
  <c r="Q336" i="7"/>
  <c r="R336" i="7"/>
  <c r="U336" i="7" s="1"/>
  <c r="S336" i="7"/>
  <c r="T336" i="7"/>
  <c r="O337" i="7"/>
  <c r="P337" i="7"/>
  <c r="T337" i="7"/>
  <c r="U337" i="7"/>
  <c r="L338" i="7"/>
  <c r="M338" i="7"/>
  <c r="M336" i="7" s="1"/>
  <c r="N338" i="7"/>
  <c r="N336" i="7" s="1"/>
  <c r="T338" i="7"/>
  <c r="U338" i="7"/>
  <c r="Q339" i="7"/>
  <c r="T339" i="7" s="1"/>
  <c r="R339" i="7"/>
  <c r="S339" i="7"/>
  <c r="U339" i="7"/>
  <c r="O340" i="7"/>
  <c r="P340" i="7"/>
  <c r="T340" i="7"/>
  <c r="U340" i="7"/>
  <c r="L341" i="7"/>
  <c r="O341" i="7" s="1"/>
  <c r="M341" i="7"/>
  <c r="P341" i="7" s="1"/>
  <c r="N341" i="7"/>
  <c r="N339" i="7" s="1"/>
  <c r="T341" i="7"/>
  <c r="U341" i="7"/>
  <c r="I344" i="7"/>
  <c r="J344" i="7"/>
  <c r="I346" i="7"/>
  <c r="J346" i="7"/>
  <c r="J347" i="7"/>
  <c r="J348" i="7"/>
  <c r="J349" i="7"/>
  <c r="D350" i="7"/>
  <c r="J352" i="7"/>
  <c r="J353" i="7"/>
  <c r="J354" i="7"/>
  <c r="L357" i="7"/>
  <c r="M357" i="7"/>
  <c r="N357" i="7"/>
  <c r="Q357" i="7"/>
  <c r="T357" i="7" s="1"/>
  <c r="R357" i="7"/>
  <c r="S357" i="7"/>
  <c r="Q358" i="7"/>
  <c r="T358" i="7" s="1"/>
  <c r="R358" i="7"/>
  <c r="U358" i="7" s="1"/>
  <c r="S358" i="7"/>
  <c r="Q359" i="7"/>
  <c r="T359" i="7" s="1"/>
  <c r="R359" i="7"/>
  <c r="U359" i="7" s="1"/>
  <c r="S359" i="7"/>
  <c r="O360" i="7"/>
  <c r="P360" i="7"/>
  <c r="T360" i="7"/>
  <c r="U360" i="7"/>
  <c r="L361" i="7"/>
  <c r="L359" i="7" s="1"/>
  <c r="M361" i="7"/>
  <c r="M359" i="7" s="1"/>
  <c r="N361" i="7"/>
  <c r="N359" i="7" s="1"/>
  <c r="T361" i="7"/>
  <c r="U361" i="7"/>
  <c r="Q362" i="7"/>
  <c r="R362" i="7"/>
  <c r="U362" i="7" s="1"/>
  <c r="S362" i="7"/>
  <c r="T362" i="7"/>
  <c r="O363" i="7"/>
  <c r="P363" i="7"/>
  <c r="T363" i="7"/>
  <c r="U363" i="7"/>
  <c r="L364" i="7"/>
  <c r="M364" i="7"/>
  <c r="M362" i="7" s="1"/>
  <c r="P362" i="7" s="1"/>
  <c r="N364" i="7"/>
  <c r="N362" i="7" s="1"/>
  <c r="T364" i="7"/>
  <c r="U364" i="7"/>
  <c r="J367" i="7"/>
  <c r="K367" i="7"/>
  <c r="I368" i="7"/>
  <c r="J368" i="7"/>
  <c r="I369" i="7"/>
  <c r="J369" i="7"/>
  <c r="J370" i="7"/>
  <c r="K370" i="7"/>
  <c r="I371" i="7"/>
  <c r="I365" i="7" s="1"/>
  <c r="J371" i="7"/>
  <c r="J365" i="7" s="1"/>
  <c r="J372" i="7"/>
  <c r="K372" i="7"/>
  <c r="D373" i="7"/>
  <c r="L376" i="7"/>
  <c r="M376" i="7"/>
  <c r="M375" i="7" s="1"/>
  <c r="P375" i="7" s="1"/>
  <c r="N376" i="7"/>
  <c r="N375" i="7" s="1"/>
  <c r="O376" i="7"/>
  <c r="Q376" i="7"/>
  <c r="R376" i="7"/>
  <c r="S376" i="7"/>
  <c r="U376" i="7"/>
  <c r="L377" i="7"/>
  <c r="O377" i="7" s="1"/>
  <c r="M377" i="7"/>
  <c r="P377" i="7" s="1"/>
  <c r="N377" i="7"/>
  <c r="L378" i="7"/>
  <c r="O378" i="7" s="1"/>
  <c r="M378" i="7"/>
  <c r="P378" i="7" s="1"/>
  <c r="N378" i="7"/>
  <c r="O379" i="7"/>
  <c r="P379" i="7"/>
  <c r="T379" i="7"/>
  <c r="U379" i="7"/>
  <c r="O380" i="7"/>
  <c r="P380" i="7"/>
  <c r="Q380" i="7"/>
  <c r="Q377" i="7" s="1"/>
  <c r="R380" i="7"/>
  <c r="R378" i="7" s="1"/>
  <c r="S380" i="7"/>
  <c r="L381" i="7"/>
  <c r="M381" i="7"/>
  <c r="P381" i="7" s="1"/>
  <c r="N381" i="7"/>
  <c r="O381" i="7"/>
  <c r="Q381" i="7"/>
  <c r="T381" i="7" s="1"/>
  <c r="R381" i="7"/>
  <c r="S381" i="7"/>
  <c r="U381" i="7"/>
  <c r="O382" i="7"/>
  <c r="P382" i="7"/>
  <c r="T382" i="7"/>
  <c r="U382" i="7"/>
  <c r="O383" i="7"/>
  <c r="P383" i="7"/>
  <c r="T383" i="7"/>
  <c r="U383" i="7"/>
  <c r="J385" i="7"/>
  <c r="K385" i="7"/>
  <c r="I386" i="7"/>
  <c r="J386" i="7"/>
  <c r="J387" i="7"/>
  <c r="K387" i="7"/>
  <c r="I388" i="7"/>
  <c r="K388" i="7" s="1"/>
  <c r="J388" i="7"/>
  <c r="I391" i="7"/>
  <c r="K391" i="7" s="1"/>
  <c r="J391" i="7"/>
  <c r="N392" i="7"/>
  <c r="L393" i="7"/>
  <c r="M393" i="7"/>
  <c r="M392" i="7" s="1"/>
  <c r="P392" i="7" s="1"/>
  <c r="N393" i="7"/>
  <c r="Q393" i="7"/>
  <c r="R393" i="7"/>
  <c r="S393" i="7"/>
  <c r="L394" i="7"/>
  <c r="O394" i="7" s="1"/>
  <c r="M394" i="7"/>
  <c r="P394" i="7" s="1"/>
  <c r="N394" i="7"/>
  <c r="Q394" i="7"/>
  <c r="R394" i="7"/>
  <c r="U394" i="7" s="1"/>
  <c r="S394" i="7"/>
  <c r="T394" i="7"/>
  <c r="L395" i="7"/>
  <c r="M395" i="7"/>
  <c r="P395" i="7" s="1"/>
  <c r="N395" i="7"/>
  <c r="O395" i="7"/>
  <c r="Q395" i="7"/>
  <c r="T395" i="7" s="1"/>
  <c r="R395" i="7"/>
  <c r="S395" i="7"/>
  <c r="U395" i="7"/>
  <c r="O396" i="7"/>
  <c r="P396" i="7"/>
  <c r="T396" i="7"/>
  <c r="U396" i="7"/>
  <c r="O397" i="7"/>
  <c r="P397" i="7"/>
  <c r="T397" i="7"/>
  <c r="U397" i="7"/>
  <c r="L398" i="7"/>
  <c r="M398" i="7"/>
  <c r="N398" i="7"/>
  <c r="O398" i="7"/>
  <c r="P398" i="7"/>
  <c r="Q398" i="7"/>
  <c r="T398" i="7" s="1"/>
  <c r="R398" i="7"/>
  <c r="S398" i="7"/>
  <c r="U398" i="7"/>
  <c r="O399" i="7"/>
  <c r="P399" i="7"/>
  <c r="T399" i="7"/>
  <c r="U399" i="7"/>
  <c r="O400" i="7"/>
  <c r="P400" i="7"/>
  <c r="T400" i="7"/>
  <c r="U400" i="7"/>
  <c r="L414" i="7"/>
  <c r="L413" i="7" s="1"/>
  <c r="O413" i="7" s="1"/>
  <c r="M414" i="7"/>
  <c r="N414" i="7"/>
  <c r="N413" i="7" s="1"/>
  <c r="O414" i="7"/>
  <c r="Q414" i="7"/>
  <c r="R414" i="7"/>
  <c r="S414" i="7"/>
  <c r="T414" i="7"/>
  <c r="U414" i="7"/>
  <c r="L415" i="7"/>
  <c r="O415" i="7" s="1"/>
  <c r="M415" i="7"/>
  <c r="N415" i="7"/>
  <c r="P415" i="7"/>
  <c r="L416" i="7"/>
  <c r="O416" i="7" s="1"/>
  <c r="M416" i="7"/>
  <c r="P416" i="7" s="1"/>
  <c r="N416" i="7"/>
  <c r="O417" i="7"/>
  <c r="P417" i="7"/>
  <c r="T417" i="7"/>
  <c r="U417" i="7"/>
  <c r="O418" i="7"/>
  <c r="P418" i="7"/>
  <c r="Q418" i="7"/>
  <c r="Q415" i="7" s="1"/>
  <c r="T415" i="7" s="1"/>
  <c r="R418" i="7"/>
  <c r="R416" i="7" s="1"/>
  <c r="U416" i="7" s="1"/>
  <c r="S418" i="7"/>
  <c r="L419" i="7"/>
  <c r="M419" i="7"/>
  <c r="P419" i="7" s="1"/>
  <c r="N419" i="7"/>
  <c r="O419" i="7"/>
  <c r="Q419" i="7"/>
  <c r="R419" i="7"/>
  <c r="S419" i="7"/>
  <c r="T419" i="7"/>
  <c r="U419" i="7"/>
  <c r="O420" i="7"/>
  <c r="P420" i="7"/>
  <c r="T420" i="7"/>
  <c r="U420" i="7"/>
  <c r="O421" i="7"/>
  <c r="P421" i="7"/>
  <c r="T421" i="7"/>
  <c r="U421" i="7"/>
  <c r="I424" i="7"/>
  <c r="K424" i="7" s="1"/>
  <c r="J424" i="7"/>
  <c r="I425" i="7"/>
  <c r="K425" i="7" s="1"/>
  <c r="J425" i="7"/>
  <c r="I432" i="7"/>
  <c r="K432" i="7" s="1"/>
  <c r="J432" i="7"/>
  <c r="I433" i="7"/>
  <c r="K433" i="7" s="1"/>
  <c r="J433" i="7"/>
  <c r="I440" i="7"/>
  <c r="I441" i="7"/>
  <c r="K441" i="7" s="1"/>
  <c r="J446" i="7"/>
  <c r="J440" i="7" s="1"/>
  <c r="J423" i="7" s="1"/>
  <c r="J412" i="7" s="1"/>
  <c r="J447" i="7"/>
  <c r="J441" i="7" s="1"/>
  <c r="I457" i="7"/>
  <c r="I458" i="7"/>
  <c r="K458" i="7" s="1"/>
  <c r="J459" i="7"/>
  <c r="J457" i="7" s="1"/>
  <c r="J456" i="7" s="1"/>
  <c r="J460" i="7"/>
  <c r="J458" i="7" s="1"/>
  <c r="J467" i="7"/>
  <c r="J468" i="7"/>
  <c r="J475" i="7"/>
  <c r="K475" i="7"/>
  <c r="J476" i="7"/>
  <c r="K476" i="7"/>
  <c r="J477" i="7"/>
  <c r="K477" i="7"/>
  <c r="J482" i="7"/>
  <c r="J483" i="7"/>
  <c r="I484" i="7"/>
  <c r="K484" i="7" s="1"/>
  <c r="J484" i="7"/>
  <c r="I485" i="7"/>
  <c r="K485" i="7" s="1"/>
  <c r="J485" i="7"/>
  <c r="L494" i="7"/>
  <c r="M494" i="7"/>
  <c r="N494" i="7"/>
  <c r="Q494" i="7"/>
  <c r="T494" i="7" s="1"/>
  <c r="R494" i="7"/>
  <c r="U494" i="7" s="1"/>
  <c r="S494" i="7"/>
  <c r="L495" i="7"/>
  <c r="M495" i="7"/>
  <c r="N495" i="7"/>
  <c r="O495" i="7"/>
  <c r="P495" i="7"/>
  <c r="L496" i="7"/>
  <c r="M496" i="7"/>
  <c r="N496" i="7"/>
  <c r="O496" i="7"/>
  <c r="P496" i="7"/>
  <c r="O497" i="7"/>
  <c r="P497" i="7"/>
  <c r="T497" i="7"/>
  <c r="U497" i="7"/>
  <c r="O498" i="7"/>
  <c r="P498" i="7"/>
  <c r="Q498" i="7"/>
  <c r="Q496" i="7" s="1"/>
  <c r="T496" i="7" s="1"/>
  <c r="R498" i="7"/>
  <c r="S498" i="7"/>
  <c r="S496" i="7" s="1"/>
  <c r="L499" i="7"/>
  <c r="O499" i="7" s="1"/>
  <c r="M499" i="7"/>
  <c r="P499" i="7" s="1"/>
  <c r="N499" i="7"/>
  <c r="Q499" i="7"/>
  <c r="R499" i="7"/>
  <c r="U499" i="7" s="1"/>
  <c r="S499" i="7"/>
  <c r="T499" i="7"/>
  <c r="O500" i="7"/>
  <c r="P500" i="7"/>
  <c r="T500" i="7"/>
  <c r="U500" i="7"/>
  <c r="O501" i="7"/>
  <c r="P501" i="7"/>
  <c r="T501" i="7"/>
  <c r="U501" i="7"/>
  <c r="I503" i="7"/>
  <c r="K503" i="7" s="1"/>
  <c r="I504" i="7"/>
  <c r="K504" i="7" s="1"/>
  <c r="I505" i="7"/>
  <c r="K505" i="7" s="1"/>
  <c r="I506" i="7"/>
  <c r="I507" i="7"/>
  <c r="K507" i="7" s="1"/>
  <c r="K508" i="7"/>
  <c r="I509" i="7"/>
  <c r="K509" i="7" s="1"/>
  <c r="I512" i="7"/>
  <c r="K512" i="7" s="1"/>
  <c r="J512" i="7"/>
  <c r="L514" i="7"/>
  <c r="M514" i="7"/>
  <c r="N514" i="7"/>
  <c r="O514" i="7"/>
  <c r="P514" i="7"/>
  <c r="Q514" i="7"/>
  <c r="R514" i="7"/>
  <c r="S514" i="7"/>
  <c r="S513" i="7" s="1"/>
  <c r="U514" i="7"/>
  <c r="Q515" i="7"/>
  <c r="R515" i="7"/>
  <c r="U515" i="7" s="1"/>
  <c r="S515" i="7"/>
  <c r="T515" i="7"/>
  <c r="Q516" i="7"/>
  <c r="R516" i="7"/>
  <c r="S516" i="7"/>
  <c r="T516" i="7"/>
  <c r="U516" i="7"/>
  <c r="O517" i="7"/>
  <c r="P517" i="7"/>
  <c r="T517" i="7"/>
  <c r="U517" i="7"/>
  <c r="L518" i="7"/>
  <c r="M518" i="7"/>
  <c r="N518" i="7"/>
  <c r="T518" i="7"/>
  <c r="U518" i="7"/>
  <c r="Q519" i="7"/>
  <c r="T519" i="7" s="1"/>
  <c r="R519" i="7"/>
  <c r="U519" i="7" s="1"/>
  <c r="S519" i="7"/>
  <c r="O520" i="7"/>
  <c r="P520" i="7"/>
  <c r="T520" i="7"/>
  <c r="U520" i="7"/>
  <c r="L521" i="7"/>
  <c r="O521" i="7" s="1"/>
  <c r="M521" i="7"/>
  <c r="M519" i="7" s="1"/>
  <c r="P519" i="7" s="1"/>
  <c r="N521" i="7"/>
  <c r="N519" i="7" s="1"/>
  <c r="T521" i="7"/>
  <c r="U521" i="7"/>
  <c r="K523" i="7"/>
  <c r="K524" i="7"/>
  <c r="I533" i="7"/>
  <c r="K533" i="7" s="1"/>
  <c r="J533" i="7"/>
  <c r="L535" i="7"/>
  <c r="M535" i="7"/>
  <c r="N535" i="7"/>
  <c r="Q535" i="7"/>
  <c r="R535" i="7"/>
  <c r="S535" i="7"/>
  <c r="L536" i="7"/>
  <c r="M536" i="7"/>
  <c r="P536" i="7" s="1"/>
  <c r="N536" i="7"/>
  <c r="O536" i="7"/>
  <c r="Q536" i="7"/>
  <c r="T536" i="7" s="1"/>
  <c r="R536" i="7"/>
  <c r="S536" i="7"/>
  <c r="U536" i="7"/>
  <c r="L537" i="7"/>
  <c r="O537" i="7" s="1"/>
  <c r="M537" i="7"/>
  <c r="P537" i="7" s="1"/>
  <c r="N537" i="7"/>
  <c r="Q537" i="7"/>
  <c r="T537" i="7" s="1"/>
  <c r="R537" i="7"/>
  <c r="U537" i="7" s="1"/>
  <c r="S537" i="7"/>
  <c r="O538" i="7"/>
  <c r="P538" i="7"/>
  <c r="T538" i="7"/>
  <c r="U538" i="7"/>
  <c r="O539" i="7"/>
  <c r="P539" i="7"/>
  <c r="T539" i="7"/>
  <c r="U539" i="7"/>
  <c r="L540" i="7"/>
  <c r="O540" i="7" s="1"/>
  <c r="M540" i="7"/>
  <c r="P540" i="7" s="1"/>
  <c r="N540" i="7"/>
  <c r="Q540" i="7"/>
  <c r="T540" i="7" s="1"/>
  <c r="R540" i="7"/>
  <c r="U540" i="7" s="1"/>
  <c r="S540" i="7"/>
  <c r="O541" i="7"/>
  <c r="P541" i="7"/>
  <c r="T541" i="7"/>
  <c r="U541" i="7"/>
  <c r="O542" i="7"/>
  <c r="P542" i="7"/>
  <c r="T542" i="7"/>
  <c r="U542" i="7"/>
  <c r="I554" i="7"/>
  <c r="K554" i="7" s="1"/>
  <c r="J554" i="7"/>
  <c r="L555" i="7"/>
  <c r="O555" i="7" s="1"/>
  <c r="L556" i="7"/>
  <c r="O556" i="7" s="1"/>
  <c r="M556" i="7"/>
  <c r="M555" i="7" s="1"/>
  <c r="P555" i="7" s="1"/>
  <c r="N556" i="7"/>
  <c r="N555" i="7" s="1"/>
  <c r="Q556" i="7"/>
  <c r="R556" i="7"/>
  <c r="U556" i="7" s="1"/>
  <c r="S556" i="7"/>
  <c r="S555" i="7" s="1"/>
  <c r="T556" i="7"/>
  <c r="L557" i="7"/>
  <c r="O557" i="7" s="1"/>
  <c r="M557" i="7"/>
  <c r="P557" i="7" s="1"/>
  <c r="N557" i="7"/>
  <c r="Q557" i="7"/>
  <c r="T557" i="7" s="1"/>
  <c r="R557" i="7"/>
  <c r="U557" i="7" s="1"/>
  <c r="S557" i="7"/>
  <c r="L558" i="7"/>
  <c r="O558" i="7" s="1"/>
  <c r="M558" i="7"/>
  <c r="P558" i="7" s="1"/>
  <c r="N558" i="7"/>
  <c r="Q558" i="7"/>
  <c r="T558" i="7" s="1"/>
  <c r="R558" i="7"/>
  <c r="U558" i="7" s="1"/>
  <c r="S558" i="7"/>
  <c r="O559" i="7"/>
  <c r="P559" i="7"/>
  <c r="T559" i="7"/>
  <c r="U559" i="7"/>
  <c r="O560" i="7"/>
  <c r="P560" i="7"/>
  <c r="T560" i="7"/>
  <c r="U560" i="7"/>
  <c r="L561" i="7"/>
  <c r="O561" i="7" s="1"/>
  <c r="M561" i="7"/>
  <c r="P561" i="7" s="1"/>
  <c r="N561" i="7"/>
  <c r="Q561" i="7"/>
  <c r="R561" i="7"/>
  <c r="U561" i="7" s="1"/>
  <c r="S561" i="7"/>
  <c r="T561" i="7"/>
  <c r="O562" i="7"/>
  <c r="P562" i="7"/>
  <c r="T562" i="7"/>
  <c r="U562" i="7"/>
  <c r="O563" i="7"/>
  <c r="P563" i="7"/>
  <c r="T563" i="7"/>
  <c r="U563" i="7"/>
  <c r="I575" i="7"/>
  <c r="K575" i="7" s="1"/>
  <c r="J575" i="7"/>
  <c r="L577" i="7"/>
  <c r="M577" i="7"/>
  <c r="N577" i="7"/>
  <c r="Q577" i="7"/>
  <c r="R577" i="7"/>
  <c r="S577" i="7"/>
  <c r="L578" i="7"/>
  <c r="M578" i="7"/>
  <c r="P578" i="7" s="1"/>
  <c r="N578" i="7"/>
  <c r="O578" i="7"/>
  <c r="Q578" i="7"/>
  <c r="R578" i="7"/>
  <c r="S578" i="7"/>
  <c r="T578" i="7"/>
  <c r="U578" i="7"/>
  <c r="L579" i="7"/>
  <c r="O579" i="7" s="1"/>
  <c r="M579" i="7"/>
  <c r="N579" i="7"/>
  <c r="P579" i="7"/>
  <c r="Q579" i="7"/>
  <c r="T579" i="7" s="1"/>
  <c r="R579" i="7"/>
  <c r="U579" i="7" s="1"/>
  <c r="S579" i="7"/>
  <c r="O580" i="7"/>
  <c r="P580" i="7"/>
  <c r="T580" i="7"/>
  <c r="U580" i="7"/>
  <c r="O581" i="7"/>
  <c r="P581" i="7"/>
  <c r="T581" i="7"/>
  <c r="U581" i="7"/>
  <c r="L582" i="7"/>
  <c r="M582" i="7"/>
  <c r="N582" i="7"/>
  <c r="O582" i="7"/>
  <c r="P582" i="7"/>
  <c r="Q582" i="7"/>
  <c r="T582" i="7" s="1"/>
  <c r="R582" i="7"/>
  <c r="S582" i="7"/>
  <c r="U582" i="7"/>
  <c r="O583" i="7"/>
  <c r="P583" i="7"/>
  <c r="T583" i="7"/>
  <c r="U583" i="7"/>
  <c r="O584" i="7"/>
  <c r="P584" i="7"/>
  <c r="T584" i="7"/>
  <c r="U584" i="7"/>
  <c r="L600" i="7"/>
  <c r="M600" i="7"/>
  <c r="N600" i="7"/>
  <c r="Q600" i="7"/>
  <c r="R600" i="7"/>
  <c r="S600" i="7"/>
  <c r="L601" i="7"/>
  <c r="O601" i="7" s="1"/>
  <c r="M601" i="7"/>
  <c r="P601" i="7" s="1"/>
  <c r="N601" i="7"/>
  <c r="Q601" i="7"/>
  <c r="R601" i="7"/>
  <c r="S601" i="7"/>
  <c r="T601" i="7"/>
  <c r="U601" i="7"/>
  <c r="L602" i="7"/>
  <c r="M602" i="7"/>
  <c r="N602" i="7"/>
  <c r="O602" i="7"/>
  <c r="P602" i="7"/>
  <c r="Q602" i="7"/>
  <c r="T602" i="7" s="1"/>
  <c r="R602" i="7"/>
  <c r="U602" i="7" s="1"/>
  <c r="S602" i="7"/>
  <c r="O603" i="7"/>
  <c r="P603" i="7"/>
  <c r="T603" i="7"/>
  <c r="U603" i="7"/>
  <c r="O604" i="7"/>
  <c r="P604" i="7"/>
  <c r="T604" i="7"/>
  <c r="U604" i="7"/>
  <c r="L605" i="7"/>
  <c r="O605" i="7" s="1"/>
  <c r="M605" i="7"/>
  <c r="N605" i="7"/>
  <c r="P605" i="7"/>
  <c r="Q605" i="7"/>
  <c r="T605" i="7" s="1"/>
  <c r="R605" i="7"/>
  <c r="U605" i="7" s="1"/>
  <c r="S605" i="7"/>
  <c r="O606" i="7"/>
  <c r="P606" i="7"/>
  <c r="T606" i="7"/>
  <c r="U606" i="7"/>
  <c r="O607" i="7"/>
  <c r="P607" i="7"/>
  <c r="T607" i="7"/>
  <c r="U607" i="7"/>
  <c r="L617" i="7"/>
  <c r="L616" i="7" s="1"/>
  <c r="O616" i="7" s="1"/>
  <c r="M617" i="7"/>
  <c r="M616" i="7" s="1"/>
  <c r="P616" i="7" s="1"/>
  <c r="N617" i="7"/>
  <c r="N616" i="7" s="1"/>
  <c r="Q617" i="7"/>
  <c r="R617" i="7"/>
  <c r="U617" i="7" s="1"/>
  <c r="S617" i="7"/>
  <c r="T617" i="7"/>
  <c r="L618" i="7"/>
  <c r="O618" i="7" s="1"/>
  <c r="M618" i="7"/>
  <c r="N618" i="7"/>
  <c r="P618" i="7"/>
  <c r="L619" i="7"/>
  <c r="O619" i="7" s="1"/>
  <c r="M619" i="7"/>
  <c r="P619" i="7" s="1"/>
  <c r="N619" i="7"/>
  <c r="O620" i="7"/>
  <c r="P620" i="7"/>
  <c r="T620" i="7"/>
  <c r="U620" i="7"/>
  <c r="O621" i="7"/>
  <c r="P621" i="7"/>
  <c r="Q621" i="7"/>
  <c r="Q619" i="7" s="1"/>
  <c r="R621" i="7"/>
  <c r="R618" i="7" s="1"/>
  <c r="S621" i="7"/>
  <c r="S619" i="7" s="1"/>
  <c r="L622" i="7"/>
  <c r="M622" i="7"/>
  <c r="P622" i="7" s="1"/>
  <c r="N622" i="7"/>
  <c r="O622" i="7"/>
  <c r="Q622" i="7"/>
  <c r="T622" i="7" s="1"/>
  <c r="R622" i="7"/>
  <c r="S622" i="7"/>
  <c r="U622" i="7"/>
  <c r="O623" i="7"/>
  <c r="P623" i="7"/>
  <c r="T623" i="7"/>
  <c r="U623" i="7"/>
  <c r="O624" i="7"/>
  <c r="P624" i="7"/>
  <c r="T624" i="7"/>
  <c r="U624" i="7"/>
  <c r="I626" i="7"/>
  <c r="I615" i="7" s="1"/>
  <c r="K615" i="7" s="1"/>
  <c r="I627" i="7"/>
  <c r="K627" i="7" s="1"/>
  <c r="I628" i="7"/>
  <c r="K628" i="7" s="1"/>
  <c r="J632" i="7"/>
  <c r="J626" i="7" s="1"/>
  <c r="J615" i="7" s="1"/>
  <c r="I635" i="7"/>
  <c r="K635" i="7" s="1"/>
  <c r="J636" i="7"/>
  <c r="J635" i="7" s="1"/>
  <c r="L642" i="7"/>
  <c r="O642" i="7" s="1"/>
  <c r="L643" i="7"/>
  <c r="O643" i="7" s="1"/>
  <c r="M643" i="7"/>
  <c r="N643" i="7"/>
  <c r="N642" i="7" s="1"/>
  <c r="Q643" i="7"/>
  <c r="R643" i="7"/>
  <c r="S643" i="7"/>
  <c r="U643" i="7"/>
  <c r="L644" i="7"/>
  <c r="M644" i="7"/>
  <c r="P644" i="7" s="1"/>
  <c r="N644" i="7"/>
  <c r="O644" i="7"/>
  <c r="L645" i="7"/>
  <c r="O645" i="7" s="1"/>
  <c r="M645" i="7"/>
  <c r="P645" i="7" s="1"/>
  <c r="N645" i="7"/>
  <c r="O646" i="7"/>
  <c r="P646" i="7"/>
  <c r="T646" i="7"/>
  <c r="U646" i="7"/>
  <c r="O647" i="7"/>
  <c r="P647" i="7"/>
  <c r="Q647" i="7"/>
  <c r="Q644" i="7" s="1"/>
  <c r="T644" i="7" s="1"/>
  <c r="R647" i="7"/>
  <c r="S647" i="7"/>
  <c r="L648" i="7"/>
  <c r="M648" i="7"/>
  <c r="N648" i="7"/>
  <c r="O648" i="7"/>
  <c r="P648" i="7"/>
  <c r="Q648" i="7"/>
  <c r="T648" i="7" s="1"/>
  <c r="R648" i="7"/>
  <c r="S648" i="7"/>
  <c r="U648" i="7"/>
  <c r="O649" i="7"/>
  <c r="P649" i="7"/>
  <c r="T649" i="7"/>
  <c r="U649" i="7"/>
  <c r="O650" i="7"/>
  <c r="P650" i="7"/>
  <c r="T650" i="7"/>
  <c r="U650" i="7"/>
  <c r="I652" i="7"/>
  <c r="K652" i="7" s="1"/>
  <c r="J652" i="7"/>
  <c r="I653" i="7"/>
  <c r="K653" i="7" s="1"/>
  <c r="J653" i="7"/>
  <c r="I654" i="7"/>
  <c r="K654" i="7" s="1"/>
  <c r="J654" i="7"/>
  <c r="I657" i="7"/>
  <c r="I660" i="7"/>
  <c r="I661" i="7"/>
  <c r="K661" i="7" s="1"/>
  <c r="J661" i="7"/>
  <c r="J671" i="7"/>
  <c r="J672" i="7"/>
  <c r="I673" i="7"/>
  <c r="K673" i="7" s="1"/>
  <c r="J673" i="7"/>
  <c r="I674" i="7"/>
  <c r="K674" i="7" s="1"/>
  <c r="I675" i="7"/>
  <c r="K675" i="7" s="1"/>
  <c r="I676" i="7"/>
  <c r="K676" i="7" s="1"/>
  <c r="J676" i="7"/>
  <c r="J677" i="7"/>
  <c r="I678" i="7"/>
  <c r="K678" i="7" s="1"/>
  <c r="J678" i="7"/>
  <c r="I679" i="7"/>
  <c r="K679" i="7" s="1"/>
  <c r="J679" i="7"/>
  <c r="J680" i="7"/>
  <c r="I681" i="7"/>
  <c r="K681" i="7" s="1"/>
  <c r="J681" i="7"/>
  <c r="I682" i="7"/>
  <c r="K682" i="7" s="1"/>
  <c r="J682" i="7"/>
  <c r="L690" i="7"/>
  <c r="O690" i="7" s="1"/>
  <c r="L691" i="7"/>
  <c r="M691" i="7"/>
  <c r="N691" i="7"/>
  <c r="O691" i="7"/>
  <c r="Q691" i="7"/>
  <c r="R691" i="7"/>
  <c r="S691" i="7"/>
  <c r="U691" i="7"/>
  <c r="L692" i="7"/>
  <c r="O692" i="7" s="1"/>
  <c r="M692" i="7"/>
  <c r="P692" i="7" s="1"/>
  <c r="N692" i="7"/>
  <c r="L693" i="7"/>
  <c r="O693" i="7" s="1"/>
  <c r="M693" i="7"/>
  <c r="P693" i="7" s="1"/>
  <c r="N693" i="7"/>
  <c r="O694" i="7"/>
  <c r="P694" i="7"/>
  <c r="T694" i="7"/>
  <c r="U694" i="7"/>
  <c r="O695" i="7"/>
  <c r="P695" i="7"/>
  <c r="Q695" i="7"/>
  <c r="Q693" i="7" s="1"/>
  <c r="R695" i="7"/>
  <c r="R693" i="7" s="1"/>
  <c r="S695" i="7"/>
  <c r="L696" i="7"/>
  <c r="M696" i="7"/>
  <c r="N696" i="7"/>
  <c r="O696" i="7"/>
  <c r="P696" i="7"/>
  <c r="Q696" i="7"/>
  <c r="T696" i="7" s="1"/>
  <c r="R696" i="7"/>
  <c r="S696" i="7"/>
  <c r="U696" i="7"/>
  <c r="O697" i="7"/>
  <c r="P697" i="7"/>
  <c r="T697" i="7"/>
  <c r="U697" i="7"/>
  <c r="O698" i="7"/>
  <c r="P698" i="7"/>
  <c r="T698" i="7"/>
  <c r="U698" i="7"/>
  <c r="I700" i="7"/>
  <c r="K700" i="7" s="1"/>
  <c r="K702" i="7"/>
  <c r="I703" i="7"/>
  <c r="J703" i="7"/>
  <c r="J704" i="7"/>
  <c r="K704" i="7"/>
  <c r="I705" i="7"/>
  <c r="J705" i="7"/>
  <c r="J706" i="7"/>
  <c r="K706" i="7"/>
  <c r="I707" i="7"/>
  <c r="I689" i="7" s="1"/>
  <c r="J707" i="7"/>
  <c r="J689" i="7" s="1"/>
  <c r="J708" i="7"/>
  <c r="K708" i="7"/>
  <c r="I709" i="7"/>
  <c r="J709" i="7"/>
  <c r="J710" i="7"/>
  <c r="K710" i="7"/>
  <c r="J712" i="7"/>
  <c r="K712" i="7"/>
  <c r="L715" i="7"/>
  <c r="M715" i="7"/>
  <c r="N715" i="7"/>
  <c r="Q715" i="7"/>
  <c r="R715" i="7"/>
  <c r="S715" i="7"/>
  <c r="L716" i="7"/>
  <c r="O716" i="7" s="1"/>
  <c r="M716" i="7"/>
  <c r="P716" i="7" s="1"/>
  <c r="N716" i="7"/>
  <c r="Q716" i="7"/>
  <c r="R716" i="7"/>
  <c r="S716" i="7"/>
  <c r="T716" i="7"/>
  <c r="U716" i="7"/>
  <c r="L717" i="7"/>
  <c r="M717" i="7"/>
  <c r="N717" i="7"/>
  <c r="O717" i="7"/>
  <c r="P717" i="7"/>
  <c r="Q717" i="7"/>
  <c r="T717" i="7" s="1"/>
  <c r="R717" i="7"/>
  <c r="S717" i="7"/>
  <c r="U717" i="7"/>
  <c r="O718" i="7"/>
  <c r="P718" i="7"/>
  <c r="T718" i="7"/>
  <c r="U718" i="7"/>
  <c r="O719" i="7"/>
  <c r="P719" i="7"/>
  <c r="T719" i="7"/>
  <c r="U719" i="7"/>
  <c r="L720" i="7"/>
  <c r="M720" i="7"/>
  <c r="N720" i="7"/>
  <c r="O720" i="7"/>
  <c r="P720" i="7"/>
  <c r="Q720" i="7"/>
  <c r="T720" i="7" s="1"/>
  <c r="R720" i="7"/>
  <c r="U720" i="7" s="1"/>
  <c r="S720" i="7"/>
  <c r="O721" i="7"/>
  <c r="P721" i="7"/>
  <c r="T721" i="7"/>
  <c r="U721" i="7"/>
  <c r="O722" i="7"/>
  <c r="P722" i="7"/>
  <c r="T722" i="7"/>
  <c r="U722" i="7"/>
  <c r="I726" i="7"/>
  <c r="K726" i="7" s="1"/>
  <c r="J726" i="7"/>
  <c r="I727" i="7"/>
  <c r="J727" i="7"/>
  <c r="L729" i="7"/>
  <c r="M729" i="7"/>
  <c r="N729" i="7"/>
  <c r="Q729" i="7"/>
  <c r="R729" i="7"/>
  <c r="S729" i="7"/>
  <c r="L730" i="7"/>
  <c r="M730" i="7"/>
  <c r="P730" i="7" s="1"/>
  <c r="N730" i="7"/>
  <c r="O730" i="7"/>
  <c r="L731" i="7"/>
  <c r="M731" i="7"/>
  <c r="N731" i="7"/>
  <c r="O731" i="7"/>
  <c r="P731" i="7"/>
  <c r="O732" i="7"/>
  <c r="P732" i="7"/>
  <c r="T732" i="7"/>
  <c r="U732" i="7"/>
  <c r="O733" i="7"/>
  <c r="P733" i="7"/>
  <c r="Q733" i="7"/>
  <c r="Q731" i="7" s="1"/>
  <c r="R733" i="7"/>
  <c r="S733" i="7"/>
  <c r="S731" i="7" s="1"/>
  <c r="L734" i="7"/>
  <c r="O734" i="7" s="1"/>
  <c r="M734" i="7"/>
  <c r="P734" i="7" s="1"/>
  <c r="N734" i="7"/>
  <c r="Q734" i="7"/>
  <c r="R734" i="7"/>
  <c r="U734" i="7" s="1"/>
  <c r="S734" i="7"/>
  <c r="T734" i="7"/>
  <c r="O735" i="7"/>
  <c r="P735" i="7"/>
  <c r="T735" i="7"/>
  <c r="U735" i="7"/>
  <c r="O736" i="7"/>
  <c r="P736" i="7"/>
  <c r="T736" i="7"/>
  <c r="U736" i="7"/>
  <c r="I740" i="7"/>
  <c r="K740" i="7" s="1"/>
  <c r="I742" i="7"/>
  <c r="K742" i="7" s="1"/>
  <c r="I744" i="7"/>
  <c r="K744" i="7" s="1"/>
  <c r="I746" i="7"/>
  <c r="K746" i="7" s="1"/>
  <c r="I749" i="7"/>
  <c r="K749" i="7" s="1"/>
  <c r="I752" i="7"/>
  <c r="K752" i="7" s="1"/>
  <c r="I755" i="7"/>
  <c r="K755" i="7" s="1"/>
  <c r="J758" i="7"/>
  <c r="J759" i="7"/>
  <c r="L761" i="7"/>
  <c r="O761" i="7" s="1"/>
  <c r="M761" i="7"/>
  <c r="N761" i="7"/>
  <c r="Q761" i="7"/>
  <c r="T761" i="7" s="1"/>
  <c r="R761" i="7"/>
  <c r="U761" i="7" s="1"/>
  <c r="S761" i="7"/>
  <c r="L762" i="7"/>
  <c r="M762" i="7"/>
  <c r="P762" i="7" s="1"/>
  <c r="N762" i="7"/>
  <c r="O762" i="7"/>
  <c r="L763" i="7"/>
  <c r="O763" i="7" s="1"/>
  <c r="M763" i="7"/>
  <c r="N763" i="7"/>
  <c r="P763" i="7"/>
  <c r="O764" i="7"/>
  <c r="P764" i="7"/>
  <c r="T764" i="7"/>
  <c r="U764" i="7"/>
  <c r="O765" i="7"/>
  <c r="P765" i="7"/>
  <c r="Q765" i="7"/>
  <c r="Q762" i="7" s="1"/>
  <c r="R765" i="7"/>
  <c r="R763" i="7" s="1"/>
  <c r="S765" i="7"/>
  <c r="L766" i="7"/>
  <c r="M766" i="7"/>
  <c r="P766" i="7" s="1"/>
  <c r="N766" i="7"/>
  <c r="O766" i="7"/>
  <c r="Q766" i="7"/>
  <c r="R766" i="7"/>
  <c r="S766" i="7"/>
  <c r="T766" i="7"/>
  <c r="U766" i="7"/>
  <c r="O767" i="7"/>
  <c r="P767" i="7"/>
  <c r="T767" i="7"/>
  <c r="U767" i="7"/>
  <c r="O768" i="7"/>
  <c r="P768" i="7"/>
  <c r="T768" i="7"/>
  <c r="U768" i="7"/>
  <c r="I770" i="7"/>
  <c r="K770" i="7" s="1"/>
  <c r="I772" i="7"/>
  <c r="K772" i="7" s="1"/>
  <c r="I774" i="7"/>
  <c r="I775" i="7"/>
  <c r="I776" i="7"/>
  <c r="H777" i="7"/>
  <c r="I778" i="7"/>
  <c r="J778" i="7"/>
  <c r="I779" i="7"/>
  <c r="J779" i="7"/>
  <c r="I780" i="7"/>
  <c r="J780" i="7"/>
  <c r="I781" i="7"/>
  <c r="J781" i="7"/>
  <c r="I782" i="7"/>
  <c r="J782" i="7"/>
  <c r="I783" i="7"/>
  <c r="J783" i="7"/>
  <c r="I784" i="7"/>
  <c r="J784" i="7"/>
  <c r="I785" i="7"/>
  <c r="J785" i="7"/>
  <c r="A788" i="7"/>
  <c r="A789" i="7"/>
  <c r="L22" i="6"/>
  <c r="L19" i="6" s="1"/>
  <c r="M22" i="6"/>
  <c r="M19" i="6" s="1"/>
  <c r="N22" i="6"/>
  <c r="Q22" i="6"/>
  <c r="Q19" i="6" s="1"/>
  <c r="T19" i="6" s="1"/>
  <c r="R22" i="6"/>
  <c r="S22" i="6"/>
  <c r="Q24" i="6"/>
  <c r="T24" i="6" s="1"/>
  <c r="L25" i="6"/>
  <c r="M25" i="6"/>
  <c r="N25" i="6"/>
  <c r="Q25" i="6"/>
  <c r="R25" i="6"/>
  <c r="S25" i="6"/>
  <c r="S24" i="6" s="1"/>
  <c r="T25" i="6"/>
  <c r="Q26" i="6"/>
  <c r="T26" i="6" s="1"/>
  <c r="R26" i="6"/>
  <c r="U26" i="6" s="1"/>
  <c r="S26" i="6"/>
  <c r="L45" i="6"/>
  <c r="O45" i="6" s="1"/>
  <c r="M45" i="6"/>
  <c r="N45" i="6"/>
  <c r="Q45" i="6"/>
  <c r="Q44" i="6" s="1"/>
  <c r="T44" i="6" s="1"/>
  <c r="R45" i="6"/>
  <c r="U45" i="6" s="1"/>
  <c r="S45" i="6"/>
  <c r="S44" i="6" s="1"/>
  <c r="T45" i="6"/>
  <c r="Q46" i="6"/>
  <c r="T46" i="6" s="1"/>
  <c r="R46" i="6"/>
  <c r="S46" i="6"/>
  <c r="U46" i="6"/>
  <c r="Q47" i="6"/>
  <c r="T47" i="6" s="1"/>
  <c r="R47" i="6"/>
  <c r="U47" i="6" s="1"/>
  <c r="S47" i="6"/>
  <c r="O48" i="6"/>
  <c r="P48" i="6"/>
  <c r="T48" i="6"/>
  <c r="U48" i="6"/>
  <c r="L49" i="6"/>
  <c r="L47" i="6" s="1"/>
  <c r="M49" i="6"/>
  <c r="M47" i="6" s="1"/>
  <c r="N49" i="6"/>
  <c r="N47" i="6" s="1"/>
  <c r="T49" i="6"/>
  <c r="U49" i="6"/>
  <c r="Q50" i="6"/>
  <c r="T50" i="6" s="1"/>
  <c r="R50" i="6"/>
  <c r="U50" i="6" s="1"/>
  <c r="S50" i="6"/>
  <c r="O51" i="6"/>
  <c r="P51" i="6"/>
  <c r="T51" i="6"/>
  <c r="U51" i="6"/>
  <c r="L52" i="6"/>
  <c r="M52" i="6"/>
  <c r="N52" i="6"/>
  <c r="N50" i="6" s="1"/>
  <c r="T52" i="6"/>
  <c r="U52" i="6"/>
  <c r="L60" i="6"/>
  <c r="M60" i="6"/>
  <c r="N60" i="6"/>
  <c r="O60" i="6"/>
  <c r="Q60" i="6"/>
  <c r="Q59" i="6" s="1"/>
  <c r="T59" i="6" s="1"/>
  <c r="R60" i="6"/>
  <c r="R59" i="6" s="1"/>
  <c r="U59" i="6" s="1"/>
  <c r="S60" i="6"/>
  <c r="S59" i="6" s="1"/>
  <c r="T60" i="6"/>
  <c r="U60" i="6"/>
  <c r="Q61" i="6"/>
  <c r="T61" i="6" s="1"/>
  <c r="R61" i="6"/>
  <c r="S61" i="6"/>
  <c r="U61" i="6"/>
  <c r="Q62" i="6"/>
  <c r="T62" i="6" s="1"/>
  <c r="R62" i="6"/>
  <c r="U62" i="6" s="1"/>
  <c r="S62" i="6"/>
  <c r="O63" i="6"/>
  <c r="P63" i="6"/>
  <c r="T63" i="6"/>
  <c r="U63" i="6"/>
  <c r="L64" i="6"/>
  <c r="M64" i="6"/>
  <c r="M62" i="6" s="1"/>
  <c r="N64" i="6"/>
  <c r="N62" i="6" s="1"/>
  <c r="T64" i="6"/>
  <c r="U64" i="6"/>
  <c r="Q65" i="6"/>
  <c r="R65" i="6"/>
  <c r="S65" i="6"/>
  <c r="T65" i="6"/>
  <c r="U65" i="6"/>
  <c r="O66" i="6"/>
  <c r="P66" i="6"/>
  <c r="T66" i="6"/>
  <c r="U66" i="6"/>
  <c r="L67" i="6"/>
  <c r="M67" i="6"/>
  <c r="N67" i="6"/>
  <c r="N65" i="6" s="1"/>
  <c r="T67" i="6"/>
  <c r="U67" i="6"/>
  <c r="L73" i="6"/>
  <c r="M73" i="6"/>
  <c r="N73" i="6"/>
  <c r="Q73" i="6"/>
  <c r="T73" i="6" s="1"/>
  <c r="R73" i="6"/>
  <c r="U73" i="6" s="1"/>
  <c r="S73" i="6"/>
  <c r="O76" i="6"/>
  <c r="P76" i="6"/>
  <c r="T76" i="6"/>
  <c r="U76" i="6"/>
  <c r="L77" i="6"/>
  <c r="L75" i="6" s="1"/>
  <c r="M77" i="6"/>
  <c r="M75" i="6" s="1"/>
  <c r="N77" i="6"/>
  <c r="N75" i="6" s="1"/>
  <c r="Q77" i="6"/>
  <c r="Q74" i="6" s="1"/>
  <c r="R77" i="6"/>
  <c r="R74" i="6" s="1"/>
  <c r="S77" i="6"/>
  <c r="S75" i="6" s="1"/>
  <c r="Q78" i="6"/>
  <c r="T78" i="6" s="1"/>
  <c r="R78" i="6"/>
  <c r="U78" i="6" s="1"/>
  <c r="S78" i="6"/>
  <c r="O79" i="6"/>
  <c r="P79" i="6"/>
  <c r="T79" i="6"/>
  <c r="U79" i="6"/>
  <c r="L80" i="6"/>
  <c r="L78" i="6" s="1"/>
  <c r="O78" i="6" s="1"/>
  <c r="M80" i="6"/>
  <c r="M78" i="6" s="1"/>
  <c r="P78" i="6" s="1"/>
  <c r="N80" i="6"/>
  <c r="N78" i="6" s="1"/>
  <c r="T80" i="6"/>
  <c r="U80" i="6"/>
  <c r="J82" i="6"/>
  <c r="J70" i="6" s="1"/>
  <c r="J83" i="6"/>
  <c r="J71" i="6" s="1"/>
  <c r="I84" i="6"/>
  <c r="I85" i="6"/>
  <c r="K85" i="6" s="1"/>
  <c r="I86" i="6"/>
  <c r="K86" i="6" s="1"/>
  <c r="I87" i="6"/>
  <c r="K87" i="6" s="1"/>
  <c r="I88" i="6"/>
  <c r="K88" i="6" s="1"/>
  <c r="I89" i="6"/>
  <c r="K89" i="6" s="1"/>
  <c r="I90" i="6"/>
  <c r="K90" i="6" s="1"/>
  <c r="J92" i="6"/>
  <c r="J93" i="6"/>
  <c r="L95" i="6"/>
  <c r="M95" i="6"/>
  <c r="N95" i="6"/>
  <c r="O95" i="6"/>
  <c r="P95" i="6"/>
  <c r="Q95" i="6"/>
  <c r="T95" i="6" s="1"/>
  <c r="R95" i="6"/>
  <c r="S95" i="6"/>
  <c r="U95" i="6"/>
  <c r="O98" i="6"/>
  <c r="P98" i="6"/>
  <c r="T98" i="6"/>
  <c r="U98" i="6"/>
  <c r="L99" i="6"/>
  <c r="M99" i="6"/>
  <c r="N99" i="6"/>
  <c r="N97" i="6" s="1"/>
  <c r="Q99" i="6"/>
  <c r="Q96" i="6" s="1"/>
  <c r="R99" i="6"/>
  <c r="R96" i="6" s="1"/>
  <c r="S99" i="6"/>
  <c r="S96" i="6" s="1"/>
  <c r="S94" i="6" s="1"/>
  <c r="Q100" i="6"/>
  <c r="T100" i="6" s="1"/>
  <c r="R100" i="6"/>
  <c r="U100" i="6" s="1"/>
  <c r="S100" i="6"/>
  <c r="O101" i="6"/>
  <c r="P101" i="6"/>
  <c r="T101" i="6"/>
  <c r="U101" i="6"/>
  <c r="L102" i="6"/>
  <c r="O102" i="6" s="1"/>
  <c r="M102" i="6"/>
  <c r="M100" i="6" s="1"/>
  <c r="P100" i="6" s="1"/>
  <c r="N102" i="6"/>
  <c r="N100" i="6" s="1"/>
  <c r="T102" i="6"/>
  <c r="U102" i="6"/>
  <c r="I108" i="6"/>
  <c r="I92" i="6" s="1"/>
  <c r="K92" i="6" s="1"/>
  <c r="I109" i="6"/>
  <c r="I93" i="6" s="1"/>
  <c r="K93" i="6" s="1"/>
  <c r="I113" i="6"/>
  <c r="K113" i="6" s="1"/>
  <c r="I114" i="6"/>
  <c r="K114" i="6" s="1"/>
  <c r="J116" i="6"/>
  <c r="L118" i="6"/>
  <c r="M118" i="6"/>
  <c r="N118" i="6"/>
  <c r="P118" i="6"/>
  <c r="Q118" i="6"/>
  <c r="R118" i="6"/>
  <c r="S118" i="6"/>
  <c r="T118" i="6"/>
  <c r="O121" i="6"/>
  <c r="P121" i="6"/>
  <c r="T121" i="6"/>
  <c r="U121" i="6"/>
  <c r="L122" i="6"/>
  <c r="L120" i="6" s="1"/>
  <c r="O120" i="6" s="1"/>
  <c r="M122" i="6"/>
  <c r="N122" i="6"/>
  <c r="N120" i="6" s="1"/>
  <c r="Q122" i="6"/>
  <c r="Q119" i="6" s="1"/>
  <c r="Q117" i="6" s="1"/>
  <c r="R122" i="6"/>
  <c r="R120" i="6" s="1"/>
  <c r="S122" i="6"/>
  <c r="S120" i="6" s="1"/>
  <c r="Q123" i="6"/>
  <c r="T123" i="6" s="1"/>
  <c r="R123" i="6"/>
  <c r="U123" i="6" s="1"/>
  <c r="S123" i="6"/>
  <c r="O124" i="6"/>
  <c r="P124" i="6"/>
  <c r="T124" i="6"/>
  <c r="U124" i="6"/>
  <c r="L125" i="6"/>
  <c r="M125" i="6"/>
  <c r="M123" i="6" s="1"/>
  <c r="P123" i="6" s="1"/>
  <c r="N125" i="6"/>
  <c r="N123" i="6" s="1"/>
  <c r="T125" i="6"/>
  <c r="U125" i="6"/>
  <c r="I127" i="6"/>
  <c r="I128" i="6"/>
  <c r="K128" i="6" s="1"/>
  <c r="I129" i="6"/>
  <c r="K129" i="6" s="1"/>
  <c r="I130" i="6"/>
  <c r="K130" i="6" s="1"/>
  <c r="J136" i="6"/>
  <c r="J137" i="6"/>
  <c r="J138" i="6"/>
  <c r="L140" i="6"/>
  <c r="O140" i="6" s="1"/>
  <c r="M140" i="6"/>
  <c r="P140" i="6" s="1"/>
  <c r="N140" i="6"/>
  <c r="Q140" i="6"/>
  <c r="T140" i="6" s="1"/>
  <c r="R140" i="6"/>
  <c r="U140" i="6" s="1"/>
  <c r="S140" i="6"/>
  <c r="O143" i="6"/>
  <c r="P143" i="6"/>
  <c r="T143" i="6"/>
  <c r="U143" i="6"/>
  <c r="L144" i="6"/>
  <c r="M144" i="6"/>
  <c r="M142" i="6" s="1"/>
  <c r="N144" i="6"/>
  <c r="Q144" i="6"/>
  <c r="Q142" i="6" s="1"/>
  <c r="T142" i="6" s="1"/>
  <c r="R144" i="6"/>
  <c r="U144" i="6" s="1"/>
  <c r="S144" i="6"/>
  <c r="S142" i="6" s="1"/>
  <c r="Q145" i="6"/>
  <c r="T145" i="6" s="1"/>
  <c r="R145" i="6"/>
  <c r="S145" i="6"/>
  <c r="U145" i="6"/>
  <c r="O146" i="6"/>
  <c r="P146" i="6"/>
  <c r="T146" i="6"/>
  <c r="U146" i="6"/>
  <c r="L147" i="6"/>
  <c r="O147" i="6" s="1"/>
  <c r="M147" i="6"/>
  <c r="N147" i="6"/>
  <c r="N145" i="6" s="1"/>
  <c r="T147" i="6"/>
  <c r="U147" i="6"/>
  <c r="I150" i="6"/>
  <c r="K150" i="6" s="1"/>
  <c r="I151" i="6"/>
  <c r="K151" i="6" s="1"/>
  <c r="I152" i="6"/>
  <c r="I137" i="6" s="1"/>
  <c r="K137" i="6" s="1"/>
  <c r="I153" i="6"/>
  <c r="I154" i="6"/>
  <c r="I136" i="6" s="1"/>
  <c r="K136" i="6" s="1"/>
  <c r="J156" i="6"/>
  <c r="L158" i="6"/>
  <c r="M158" i="6"/>
  <c r="P158" i="6" s="1"/>
  <c r="N158" i="6"/>
  <c r="Q158" i="6"/>
  <c r="R158" i="6"/>
  <c r="S158" i="6"/>
  <c r="T158" i="6"/>
  <c r="O161" i="6"/>
  <c r="P161" i="6"/>
  <c r="T161" i="6"/>
  <c r="U161" i="6"/>
  <c r="L162" i="6"/>
  <c r="L160" i="6" s="1"/>
  <c r="M162" i="6"/>
  <c r="N162" i="6"/>
  <c r="Q162" i="6"/>
  <c r="Q159" i="6" s="1"/>
  <c r="R162" i="6"/>
  <c r="S162" i="6"/>
  <c r="S160" i="6" s="1"/>
  <c r="Q163" i="6"/>
  <c r="T163" i="6" s="1"/>
  <c r="R163" i="6"/>
  <c r="U163" i="6" s="1"/>
  <c r="S163" i="6"/>
  <c r="O164" i="6"/>
  <c r="P164" i="6"/>
  <c r="T164" i="6"/>
  <c r="U164" i="6"/>
  <c r="L165" i="6"/>
  <c r="O165" i="6" s="1"/>
  <c r="M165" i="6"/>
  <c r="P165" i="6" s="1"/>
  <c r="N165" i="6"/>
  <c r="N163" i="6" s="1"/>
  <c r="T165" i="6"/>
  <c r="U165" i="6"/>
  <c r="I167" i="6"/>
  <c r="J172" i="6"/>
  <c r="L174" i="6"/>
  <c r="M174" i="6"/>
  <c r="P174" i="6" s="1"/>
  <c r="N174" i="6"/>
  <c r="Q174" i="6"/>
  <c r="R174" i="6"/>
  <c r="S174" i="6"/>
  <c r="O177" i="6"/>
  <c r="P177" i="6"/>
  <c r="T177" i="6"/>
  <c r="U177" i="6"/>
  <c r="L178" i="6"/>
  <c r="L176" i="6" s="1"/>
  <c r="M178" i="6"/>
  <c r="N178" i="6"/>
  <c r="Q178" i="6"/>
  <c r="R178" i="6"/>
  <c r="R176" i="6" s="1"/>
  <c r="U176" i="6" s="1"/>
  <c r="S178" i="6"/>
  <c r="S176" i="6" s="1"/>
  <c r="Q179" i="6"/>
  <c r="T179" i="6" s="1"/>
  <c r="R179" i="6"/>
  <c r="U179" i="6" s="1"/>
  <c r="S179" i="6"/>
  <c r="O180" i="6"/>
  <c r="P180" i="6"/>
  <c r="T180" i="6"/>
  <c r="U180" i="6"/>
  <c r="L181" i="6"/>
  <c r="M181" i="6"/>
  <c r="N181" i="6"/>
  <c r="N179" i="6" s="1"/>
  <c r="T181" i="6"/>
  <c r="U181" i="6"/>
  <c r="I183" i="6"/>
  <c r="K184" i="6"/>
  <c r="L187" i="6"/>
  <c r="M187" i="6"/>
  <c r="N187" i="6"/>
  <c r="O187" i="6"/>
  <c r="Q187" i="6"/>
  <c r="R187" i="6"/>
  <c r="U187" i="6" s="1"/>
  <c r="S187" i="6"/>
  <c r="O190" i="6"/>
  <c r="P190" i="6"/>
  <c r="T190" i="6"/>
  <c r="U190" i="6"/>
  <c r="L191" i="6"/>
  <c r="L189" i="6" s="1"/>
  <c r="M191" i="6"/>
  <c r="M189" i="6" s="1"/>
  <c r="N191" i="6"/>
  <c r="Q191" i="6"/>
  <c r="Q188" i="6" s="1"/>
  <c r="R191" i="6"/>
  <c r="R188" i="6" s="1"/>
  <c r="S191" i="6"/>
  <c r="Q192" i="6"/>
  <c r="T192" i="6" s="1"/>
  <c r="R192" i="6"/>
  <c r="S192" i="6"/>
  <c r="U192" i="6"/>
  <c r="O193" i="6"/>
  <c r="P193" i="6"/>
  <c r="T193" i="6"/>
  <c r="U193" i="6"/>
  <c r="L194" i="6"/>
  <c r="L192" i="6" s="1"/>
  <c r="O192" i="6" s="1"/>
  <c r="M194" i="6"/>
  <c r="P194" i="6" s="1"/>
  <c r="N194" i="6"/>
  <c r="T194" i="6"/>
  <c r="U194" i="6"/>
  <c r="J195" i="6"/>
  <c r="L196" i="6"/>
  <c r="O196" i="6" s="1"/>
  <c r="P196" i="6"/>
  <c r="I198" i="6"/>
  <c r="I195" i="6" s="1"/>
  <c r="K195" i="6" s="1"/>
  <c r="J199" i="6"/>
  <c r="J202" i="6"/>
  <c r="N203" i="6"/>
  <c r="P203" i="6"/>
  <c r="S203" i="6"/>
  <c r="U203" i="6"/>
  <c r="L204" i="6"/>
  <c r="L205" i="6"/>
  <c r="L206" i="6"/>
  <c r="Q206" i="6"/>
  <c r="Q203" i="6" s="1"/>
  <c r="T203" i="6" s="1"/>
  <c r="L207" i="6"/>
  <c r="I209" i="6"/>
  <c r="I211" i="6"/>
  <c r="K211" i="6" s="1"/>
  <c r="I212" i="6"/>
  <c r="K212" i="6" s="1"/>
  <c r="J213" i="6"/>
  <c r="N214" i="6"/>
  <c r="P214" i="6"/>
  <c r="S214" i="6"/>
  <c r="U214" i="6"/>
  <c r="L215" i="6"/>
  <c r="L216" i="6"/>
  <c r="L217" i="6"/>
  <c r="Q217" i="6"/>
  <c r="Q214" i="6" s="1"/>
  <c r="T214" i="6" s="1"/>
  <c r="I219" i="6"/>
  <c r="K219" i="6" s="1"/>
  <c r="I220" i="6"/>
  <c r="J221" i="6"/>
  <c r="N222" i="6"/>
  <c r="P222" i="6"/>
  <c r="L223" i="6"/>
  <c r="L224" i="6"/>
  <c r="L225" i="6"/>
  <c r="I228" i="6"/>
  <c r="K228" i="6" s="1"/>
  <c r="I229" i="6"/>
  <c r="I221" i="6" s="1"/>
  <c r="K221" i="6" s="1"/>
  <c r="I230" i="6"/>
  <c r="N232" i="6"/>
  <c r="N233" i="6"/>
  <c r="N234" i="6"/>
  <c r="N235" i="6"/>
  <c r="N236" i="6"/>
  <c r="J238" i="6"/>
  <c r="I240" i="6"/>
  <c r="K240" i="6" s="1"/>
  <c r="J240" i="6"/>
  <c r="I241" i="6"/>
  <c r="K241" i="6" s="1"/>
  <c r="J241" i="6"/>
  <c r="J242" i="6"/>
  <c r="J231" i="6" s="1"/>
  <c r="J185" i="6" s="1"/>
  <c r="N243" i="6"/>
  <c r="P243" i="6"/>
  <c r="L244" i="6"/>
  <c r="L245" i="6"/>
  <c r="L246" i="6"/>
  <c r="L247" i="6"/>
  <c r="I249" i="6"/>
  <c r="K249" i="6" s="1"/>
  <c r="K251" i="6"/>
  <c r="K252" i="6"/>
  <c r="J253" i="6"/>
  <c r="N254" i="6"/>
  <c r="P254" i="6"/>
  <c r="L255" i="6"/>
  <c r="L256" i="6"/>
  <c r="L257" i="6"/>
  <c r="L258" i="6"/>
  <c r="I260" i="6"/>
  <c r="I253" i="6" s="1"/>
  <c r="K253" i="6" s="1"/>
  <c r="K262" i="6"/>
  <c r="K263" i="6"/>
  <c r="J265" i="6"/>
  <c r="L267" i="6"/>
  <c r="O267" i="6" s="1"/>
  <c r="M267" i="6"/>
  <c r="P267" i="6" s="1"/>
  <c r="N267" i="6"/>
  <c r="Q267" i="6"/>
  <c r="T267" i="6" s="1"/>
  <c r="R267" i="6"/>
  <c r="U267" i="6" s="1"/>
  <c r="S267" i="6"/>
  <c r="O270" i="6"/>
  <c r="P270" i="6"/>
  <c r="T270" i="6"/>
  <c r="U270" i="6"/>
  <c r="L271" i="6"/>
  <c r="O271" i="6" s="1"/>
  <c r="M271" i="6"/>
  <c r="M269" i="6" s="1"/>
  <c r="N271" i="6"/>
  <c r="N269" i="6" s="1"/>
  <c r="Q271" i="6"/>
  <c r="R271" i="6"/>
  <c r="S271" i="6"/>
  <c r="S268" i="6" s="1"/>
  <c r="S266" i="6" s="1"/>
  <c r="Q272" i="6"/>
  <c r="T272" i="6" s="1"/>
  <c r="R272" i="6"/>
  <c r="U272" i="6" s="1"/>
  <c r="S272" i="6"/>
  <c r="O273" i="6"/>
  <c r="P273" i="6"/>
  <c r="T273" i="6"/>
  <c r="U273" i="6"/>
  <c r="L274" i="6"/>
  <c r="M274" i="6"/>
  <c r="M272" i="6" s="1"/>
  <c r="P272" i="6" s="1"/>
  <c r="N274" i="6"/>
  <c r="N272" i="6" s="1"/>
  <c r="T274" i="6"/>
  <c r="U274" i="6"/>
  <c r="I276" i="6"/>
  <c r="K276" i="6" s="1"/>
  <c r="J281" i="6"/>
  <c r="S282" i="6"/>
  <c r="L283" i="6"/>
  <c r="M283" i="6"/>
  <c r="P283" i="6" s="1"/>
  <c r="N283" i="6"/>
  <c r="Q283" i="6"/>
  <c r="R283" i="6"/>
  <c r="U283" i="6" s="1"/>
  <c r="S283" i="6"/>
  <c r="T283" i="6"/>
  <c r="Q284" i="6"/>
  <c r="T284" i="6" s="1"/>
  <c r="R284" i="6"/>
  <c r="S284" i="6"/>
  <c r="Q285" i="6"/>
  <c r="R285" i="6"/>
  <c r="U285" i="6" s="1"/>
  <c r="S285" i="6"/>
  <c r="T285" i="6"/>
  <c r="O286" i="6"/>
  <c r="P286" i="6"/>
  <c r="T286" i="6"/>
  <c r="U286" i="6"/>
  <c r="L287" i="6"/>
  <c r="M287" i="6"/>
  <c r="M285" i="6" s="1"/>
  <c r="N287" i="6"/>
  <c r="T287" i="6"/>
  <c r="U287" i="6"/>
  <c r="Q288" i="6"/>
  <c r="T288" i="6" s="1"/>
  <c r="R288" i="6"/>
  <c r="S288" i="6"/>
  <c r="U288" i="6"/>
  <c r="O289" i="6"/>
  <c r="P289" i="6"/>
  <c r="T289" i="6"/>
  <c r="U289" i="6"/>
  <c r="L290" i="6"/>
  <c r="L288" i="6" s="1"/>
  <c r="O288" i="6" s="1"/>
  <c r="M290" i="6"/>
  <c r="M288" i="6" s="1"/>
  <c r="P288" i="6" s="1"/>
  <c r="N290" i="6"/>
  <c r="N288" i="6" s="1"/>
  <c r="T290" i="6"/>
  <c r="U290" i="6"/>
  <c r="I292" i="6"/>
  <c r="I281" i="6" s="1"/>
  <c r="I293" i="6"/>
  <c r="J293" i="6"/>
  <c r="J280" i="6" s="1"/>
  <c r="I295" i="6"/>
  <c r="K295" i="6" s="1"/>
  <c r="I296" i="6"/>
  <c r="K296" i="6" s="1"/>
  <c r="J302" i="6"/>
  <c r="L304" i="6"/>
  <c r="M304" i="6"/>
  <c r="N304" i="6"/>
  <c r="P304" i="6"/>
  <c r="Q304" i="6"/>
  <c r="R304" i="6"/>
  <c r="S304" i="6"/>
  <c r="O307" i="6"/>
  <c r="P307" i="6"/>
  <c r="T307" i="6"/>
  <c r="U307" i="6"/>
  <c r="L308" i="6"/>
  <c r="L306" i="6" s="1"/>
  <c r="M308" i="6"/>
  <c r="M306" i="6" s="1"/>
  <c r="N308" i="6"/>
  <c r="Q308" i="6"/>
  <c r="R308" i="6"/>
  <c r="R306" i="6" s="1"/>
  <c r="S308" i="6"/>
  <c r="S305" i="6" s="1"/>
  <c r="Q309" i="6"/>
  <c r="R309" i="6"/>
  <c r="U309" i="6" s="1"/>
  <c r="S309" i="6"/>
  <c r="T309" i="6"/>
  <c r="O310" i="6"/>
  <c r="P310" i="6"/>
  <c r="T310" i="6"/>
  <c r="U310" i="6"/>
  <c r="L311" i="6"/>
  <c r="M311" i="6"/>
  <c r="N311" i="6"/>
  <c r="N309" i="6" s="1"/>
  <c r="T311" i="6"/>
  <c r="U311" i="6"/>
  <c r="I314" i="6"/>
  <c r="I302" i="6" s="1"/>
  <c r="J319" i="6"/>
  <c r="L321" i="6"/>
  <c r="M321" i="6"/>
  <c r="N321" i="6"/>
  <c r="Q321" i="6"/>
  <c r="T321" i="6" s="1"/>
  <c r="R321" i="6"/>
  <c r="S321" i="6"/>
  <c r="Q322" i="6"/>
  <c r="R322" i="6"/>
  <c r="U322" i="6" s="1"/>
  <c r="S322" i="6"/>
  <c r="Q323" i="6"/>
  <c r="R323" i="6"/>
  <c r="U323" i="6" s="1"/>
  <c r="S323" i="6"/>
  <c r="T323" i="6"/>
  <c r="O324" i="6"/>
  <c r="P324" i="6"/>
  <c r="T324" i="6"/>
  <c r="U324" i="6"/>
  <c r="L325" i="6"/>
  <c r="L323" i="6" s="1"/>
  <c r="M325" i="6"/>
  <c r="M323" i="6" s="1"/>
  <c r="N325" i="6"/>
  <c r="N323" i="6" s="1"/>
  <c r="T325" i="6"/>
  <c r="U325" i="6"/>
  <c r="Q326" i="6"/>
  <c r="T326" i="6" s="1"/>
  <c r="R326" i="6"/>
  <c r="U326" i="6" s="1"/>
  <c r="S326" i="6"/>
  <c r="O327" i="6"/>
  <c r="P327" i="6"/>
  <c r="T327" i="6"/>
  <c r="U327" i="6"/>
  <c r="L328" i="6"/>
  <c r="L326" i="6" s="1"/>
  <c r="O326" i="6" s="1"/>
  <c r="M328" i="6"/>
  <c r="P328" i="6" s="1"/>
  <c r="N328" i="6"/>
  <c r="N326" i="6" s="1"/>
  <c r="T328" i="6"/>
  <c r="U328" i="6"/>
  <c r="I330" i="6"/>
  <c r="L334" i="6"/>
  <c r="M334" i="6"/>
  <c r="P334" i="6" s="1"/>
  <c r="N334" i="6"/>
  <c r="O334" i="6"/>
  <c r="Q334" i="6"/>
  <c r="R334" i="6"/>
  <c r="S334" i="6"/>
  <c r="T334" i="6"/>
  <c r="U334" i="6"/>
  <c r="Q335" i="6"/>
  <c r="T335" i="6" s="1"/>
  <c r="R335" i="6"/>
  <c r="U335" i="6" s="1"/>
  <c r="S335" i="6"/>
  <c r="Q336" i="6"/>
  <c r="T336" i="6" s="1"/>
  <c r="R336" i="6"/>
  <c r="U336" i="6" s="1"/>
  <c r="S336" i="6"/>
  <c r="O337" i="6"/>
  <c r="P337" i="6"/>
  <c r="T337" i="6"/>
  <c r="U337" i="6"/>
  <c r="L338" i="6"/>
  <c r="L336" i="6" s="1"/>
  <c r="M338" i="6"/>
  <c r="M336" i="6" s="1"/>
  <c r="N338" i="6"/>
  <c r="N336" i="6" s="1"/>
  <c r="T338" i="6"/>
  <c r="U338" i="6"/>
  <c r="Q339" i="6"/>
  <c r="R339" i="6"/>
  <c r="U339" i="6" s="1"/>
  <c r="S339" i="6"/>
  <c r="T339" i="6"/>
  <c r="O340" i="6"/>
  <c r="P340" i="6"/>
  <c r="T340" i="6"/>
  <c r="U340" i="6"/>
  <c r="L341" i="6"/>
  <c r="M341" i="6"/>
  <c r="N341" i="6"/>
  <c r="N339" i="6" s="1"/>
  <c r="T341" i="6"/>
  <c r="U341" i="6"/>
  <c r="I344" i="6"/>
  <c r="J344" i="6"/>
  <c r="I346" i="6"/>
  <c r="J346" i="6"/>
  <c r="J347" i="6"/>
  <c r="J348" i="6"/>
  <c r="J349" i="6"/>
  <c r="D350" i="6"/>
  <c r="J352" i="6"/>
  <c r="J353" i="6"/>
  <c r="J354" i="6"/>
  <c r="L357" i="6"/>
  <c r="M357" i="6"/>
  <c r="N357" i="6"/>
  <c r="Q357" i="6"/>
  <c r="Q356" i="6" s="1"/>
  <c r="T356" i="6" s="1"/>
  <c r="R357" i="6"/>
  <c r="S357" i="6"/>
  <c r="S356" i="6" s="1"/>
  <c r="T357" i="6"/>
  <c r="Q358" i="6"/>
  <c r="T358" i="6" s="1"/>
  <c r="R358" i="6"/>
  <c r="U358" i="6" s="1"/>
  <c r="S358" i="6"/>
  <c r="Q359" i="6"/>
  <c r="T359" i="6" s="1"/>
  <c r="R359" i="6"/>
  <c r="U359" i="6" s="1"/>
  <c r="S359" i="6"/>
  <c r="O360" i="6"/>
  <c r="P360" i="6"/>
  <c r="T360" i="6"/>
  <c r="U360" i="6"/>
  <c r="L361" i="6"/>
  <c r="M361" i="6"/>
  <c r="N361" i="6"/>
  <c r="N359" i="6" s="1"/>
  <c r="T361" i="6"/>
  <c r="U361" i="6"/>
  <c r="Q362" i="6"/>
  <c r="T362" i="6" s="1"/>
  <c r="R362" i="6"/>
  <c r="U362" i="6" s="1"/>
  <c r="S362" i="6"/>
  <c r="O363" i="6"/>
  <c r="P363" i="6"/>
  <c r="T363" i="6"/>
  <c r="U363" i="6"/>
  <c r="L364" i="6"/>
  <c r="L362" i="6" s="1"/>
  <c r="O362" i="6" s="1"/>
  <c r="M364" i="6"/>
  <c r="M362" i="6" s="1"/>
  <c r="P362" i="6" s="1"/>
  <c r="N364" i="6"/>
  <c r="T364" i="6"/>
  <c r="U364" i="6"/>
  <c r="J367" i="6"/>
  <c r="K367" i="6"/>
  <c r="I368" i="6"/>
  <c r="J368" i="6"/>
  <c r="I369" i="6"/>
  <c r="J369" i="6"/>
  <c r="J370" i="6"/>
  <c r="K370" i="6"/>
  <c r="I371" i="6"/>
  <c r="I365" i="6" s="1"/>
  <c r="J371" i="6"/>
  <c r="J365" i="6" s="1"/>
  <c r="J372" i="6"/>
  <c r="K372" i="6"/>
  <c r="D373" i="6"/>
  <c r="L376" i="6"/>
  <c r="M376" i="6"/>
  <c r="P376" i="6" s="1"/>
  <c r="N376" i="6"/>
  <c r="N375" i="6" s="1"/>
  <c r="Q376" i="6"/>
  <c r="T376" i="6" s="1"/>
  <c r="R376" i="6"/>
  <c r="S376" i="6"/>
  <c r="L377" i="6"/>
  <c r="O377" i="6" s="1"/>
  <c r="M377" i="6"/>
  <c r="P377" i="6" s="1"/>
  <c r="N377" i="6"/>
  <c r="L378" i="6"/>
  <c r="O378" i="6" s="1"/>
  <c r="M378" i="6"/>
  <c r="P378" i="6" s="1"/>
  <c r="N378" i="6"/>
  <c r="O379" i="6"/>
  <c r="P379" i="6"/>
  <c r="T379" i="6"/>
  <c r="U379" i="6"/>
  <c r="O380" i="6"/>
  <c r="P380" i="6"/>
  <c r="Q380" i="6"/>
  <c r="Q378" i="6" s="1"/>
  <c r="R380" i="6"/>
  <c r="R378" i="6" s="1"/>
  <c r="U378" i="6" s="1"/>
  <c r="S380" i="6"/>
  <c r="S378" i="6" s="1"/>
  <c r="L381" i="6"/>
  <c r="O381" i="6" s="1"/>
  <c r="M381" i="6"/>
  <c r="P381" i="6" s="1"/>
  <c r="N381" i="6"/>
  <c r="Q381" i="6"/>
  <c r="R381" i="6"/>
  <c r="U381" i="6" s="1"/>
  <c r="S381" i="6"/>
  <c r="T381" i="6"/>
  <c r="O382" i="6"/>
  <c r="P382" i="6"/>
  <c r="T382" i="6"/>
  <c r="U382" i="6"/>
  <c r="O383" i="6"/>
  <c r="P383" i="6"/>
  <c r="T383" i="6"/>
  <c r="U383" i="6"/>
  <c r="J385" i="6"/>
  <c r="K385" i="6"/>
  <c r="I386" i="6"/>
  <c r="J386" i="6"/>
  <c r="J387" i="6"/>
  <c r="K387" i="6"/>
  <c r="I388" i="6"/>
  <c r="J388" i="6"/>
  <c r="I391" i="6"/>
  <c r="J391" i="6"/>
  <c r="K391" i="6"/>
  <c r="L393" i="6"/>
  <c r="M393" i="6"/>
  <c r="P393" i="6" s="1"/>
  <c r="N393" i="6"/>
  <c r="Q393" i="6"/>
  <c r="R393" i="6"/>
  <c r="U393" i="6" s="1"/>
  <c r="S393" i="6"/>
  <c r="S392" i="6" s="1"/>
  <c r="T393" i="6"/>
  <c r="L394" i="6"/>
  <c r="M394" i="6"/>
  <c r="P394" i="6" s="1"/>
  <c r="N394" i="6"/>
  <c r="O394" i="6"/>
  <c r="Q394" i="6"/>
  <c r="Q392" i="6" s="1"/>
  <c r="T392" i="6" s="1"/>
  <c r="R394" i="6"/>
  <c r="S394" i="6"/>
  <c r="U394" i="6"/>
  <c r="L395" i="6"/>
  <c r="O395" i="6" s="1"/>
  <c r="M395" i="6"/>
  <c r="P395" i="6" s="1"/>
  <c r="N395" i="6"/>
  <c r="Q395" i="6"/>
  <c r="T395" i="6" s="1"/>
  <c r="R395" i="6"/>
  <c r="U395" i="6" s="1"/>
  <c r="S395" i="6"/>
  <c r="O396" i="6"/>
  <c r="P396" i="6"/>
  <c r="T396" i="6"/>
  <c r="U396" i="6"/>
  <c r="O397" i="6"/>
  <c r="P397" i="6"/>
  <c r="T397" i="6"/>
  <c r="U397" i="6"/>
  <c r="L398" i="6"/>
  <c r="O398" i="6" s="1"/>
  <c r="M398" i="6"/>
  <c r="P398" i="6" s="1"/>
  <c r="N398" i="6"/>
  <c r="Q398" i="6"/>
  <c r="T398" i="6" s="1"/>
  <c r="R398" i="6"/>
  <c r="U398" i="6" s="1"/>
  <c r="S398" i="6"/>
  <c r="O399" i="6"/>
  <c r="P399" i="6"/>
  <c r="T399" i="6"/>
  <c r="U399" i="6"/>
  <c r="O400" i="6"/>
  <c r="P400" i="6"/>
  <c r="T400" i="6"/>
  <c r="U400" i="6"/>
  <c r="L414" i="6"/>
  <c r="M414" i="6"/>
  <c r="P414" i="6" s="1"/>
  <c r="N414" i="6"/>
  <c r="N413" i="6" s="1"/>
  <c r="Q414" i="6"/>
  <c r="R414" i="6"/>
  <c r="S414" i="6"/>
  <c r="L415" i="6"/>
  <c r="O415" i="6" s="1"/>
  <c r="M415" i="6"/>
  <c r="P415" i="6" s="1"/>
  <c r="N415" i="6"/>
  <c r="L416" i="6"/>
  <c r="O416" i="6" s="1"/>
  <c r="M416" i="6"/>
  <c r="P416" i="6" s="1"/>
  <c r="N416" i="6"/>
  <c r="O417" i="6"/>
  <c r="P417" i="6"/>
  <c r="T417" i="6"/>
  <c r="U417" i="6"/>
  <c r="O418" i="6"/>
  <c r="P418" i="6"/>
  <c r="Q418" i="6"/>
  <c r="Q416" i="6" s="1"/>
  <c r="T416" i="6" s="1"/>
  <c r="R418" i="6"/>
  <c r="R415" i="6" s="1"/>
  <c r="U415" i="6" s="1"/>
  <c r="S418" i="6"/>
  <c r="S416" i="6" s="1"/>
  <c r="L419" i="6"/>
  <c r="O419" i="6" s="1"/>
  <c r="M419" i="6"/>
  <c r="P419" i="6" s="1"/>
  <c r="N419" i="6"/>
  <c r="Q419" i="6"/>
  <c r="T419" i="6" s="1"/>
  <c r="R419" i="6"/>
  <c r="U419" i="6" s="1"/>
  <c r="S419" i="6"/>
  <c r="O420" i="6"/>
  <c r="P420" i="6"/>
  <c r="T420" i="6"/>
  <c r="U420" i="6"/>
  <c r="O421" i="6"/>
  <c r="P421" i="6"/>
  <c r="T421" i="6"/>
  <c r="U421" i="6"/>
  <c r="I424" i="6"/>
  <c r="K424" i="6" s="1"/>
  <c r="J424" i="6"/>
  <c r="I425" i="6"/>
  <c r="K425" i="6" s="1"/>
  <c r="J425" i="6"/>
  <c r="I432" i="6"/>
  <c r="K432" i="6" s="1"/>
  <c r="J432" i="6"/>
  <c r="I433" i="6"/>
  <c r="K433" i="6" s="1"/>
  <c r="J433" i="6"/>
  <c r="I440" i="6"/>
  <c r="I423" i="6" s="1"/>
  <c r="J440" i="6"/>
  <c r="J423" i="6" s="1"/>
  <c r="J412" i="6" s="1"/>
  <c r="I441" i="6"/>
  <c r="K441" i="6" s="1"/>
  <c r="J441" i="6"/>
  <c r="J446" i="6"/>
  <c r="J447" i="6"/>
  <c r="I457" i="6"/>
  <c r="K457" i="6" s="1"/>
  <c r="I458" i="6"/>
  <c r="K458" i="6" s="1"/>
  <c r="J459" i="6"/>
  <c r="J457" i="6" s="1"/>
  <c r="J456" i="6" s="1"/>
  <c r="J460" i="6"/>
  <c r="J458" i="6" s="1"/>
  <c r="J467" i="6"/>
  <c r="J468" i="6"/>
  <c r="J475" i="6"/>
  <c r="K475" i="6"/>
  <c r="J476" i="6"/>
  <c r="K476" i="6"/>
  <c r="J477" i="6"/>
  <c r="K477" i="6"/>
  <c r="J482" i="6"/>
  <c r="J483" i="6"/>
  <c r="I484" i="6"/>
  <c r="K484" i="6" s="1"/>
  <c r="J484" i="6"/>
  <c r="I485" i="6"/>
  <c r="K485" i="6" s="1"/>
  <c r="J485" i="6"/>
  <c r="L493" i="6"/>
  <c r="O493" i="6" s="1"/>
  <c r="L494" i="6"/>
  <c r="O494" i="6" s="1"/>
  <c r="M494" i="6"/>
  <c r="N494" i="6"/>
  <c r="P494" i="6"/>
  <c r="Q494" i="6"/>
  <c r="R494" i="6"/>
  <c r="U494" i="6" s="1"/>
  <c r="S494" i="6"/>
  <c r="L495" i="6"/>
  <c r="O495" i="6" s="1"/>
  <c r="M495" i="6"/>
  <c r="P495" i="6" s="1"/>
  <c r="N495" i="6"/>
  <c r="L496" i="6"/>
  <c r="M496" i="6"/>
  <c r="N496" i="6"/>
  <c r="O496" i="6"/>
  <c r="P496" i="6"/>
  <c r="O497" i="6"/>
  <c r="P497" i="6"/>
  <c r="T497" i="6"/>
  <c r="U497" i="6"/>
  <c r="O498" i="6"/>
  <c r="P498" i="6"/>
  <c r="Q498" i="6"/>
  <c r="Q496" i="6" s="1"/>
  <c r="R498" i="6"/>
  <c r="R495" i="6" s="1"/>
  <c r="S498" i="6"/>
  <c r="S496" i="6" s="1"/>
  <c r="L499" i="6"/>
  <c r="O499" i="6" s="1"/>
  <c r="M499" i="6"/>
  <c r="P499" i="6" s="1"/>
  <c r="N499" i="6"/>
  <c r="Q499" i="6"/>
  <c r="T499" i="6" s="1"/>
  <c r="R499" i="6"/>
  <c r="U499" i="6" s="1"/>
  <c r="S499" i="6"/>
  <c r="O500" i="6"/>
  <c r="P500" i="6"/>
  <c r="T500" i="6"/>
  <c r="U500" i="6"/>
  <c r="O501" i="6"/>
  <c r="P501" i="6"/>
  <c r="T501" i="6"/>
  <c r="U501" i="6"/>
  <c r="I503" i="6"/>
  <c r="J503" i="6" s="1"/>
  <c r="J492" i="6" s="1"/>
  <c r="I504" i="6"/>
  <c r="K504" i="6" s="1"/>
  <c r="I505" i="6"/>
  <c r="K505" i="6" s="1"/>
  <c r="I506" i="6"/>
  <c r="K506" i="6" s="1"/>
  <c r="I507" i="6"/>
  <c r="K507" i="6" s="1"/>
  <c r="K508" i="6"/>
  <c r="I509" i="6"/>
  <c r="K509" i="6" s="1"/>
  <c r="I512" i="6"/>
  <c r="K512" i="6" s="1"/>
  <c r="J512" i="6"/>
  <c r="S513" i="6"/>
  <c r="L514" i="6"/>
  <c r="O514" i="6" s="1"/>
  <c r="M514" i="6"/>
  <c r="P514" i="6" s="1"/>
  <c r="N514" i="6"/>
  <c r="Q514" i="6"/>
  <c r="R514" i="6"/>
  <c r="U514" i="6" s="1"/>
  <c r="S514" i="6"/>
  <c r="Q515" i="6"/>
  <c r="T515" i="6" s="1"/>
  <c r="R515" i="6"/>
  <c r="U515" i="6" s="1"/>
  <c r="S515" i="6"/>
  <c r="Q516" i="6"/>
  <c r="R516" i="6"/>
  <c r="U516" i="6" s="1"/>
  <c r="S516" i="6"/>
  <c r="T516" i="6"/>
  <c r="O517" i="6"/>
  <c r="P517" i="6"/>
  <c r="T517" i="6"/>
  <c r="U517" i="6"/>
  <c r="L518" i="6"/>
  <c r="M518" i="6"/>
  <c r="M516" i="6" s="1"/>
  <c r="P516" i="6" s="1"/>
  <c r="N518" i="6"/>
  <c r="N516" i="6" s="1"/>
  <c r="T518" i="6"/>
  <c r="U518" i="6"/>
  <c r="Q519" i="6"/>
  <c r="T519" i="6" s="1"/>
  <c r="R519" i="6"/>
  <c r="U519" i="6" s="1"/>
  <c r="S519" i="6"/>
  <c r="O520" i="6"/>
  <c r="P520" i="6"/>
  <c r="T520" i="6"/>
  <c r="U520" i="6"/>
  <c r="L521" i="6"/>
  <c r="O521" i="6" s="1"/>
  <c r="M521" i="6"/>
  <c r="P521" i="6" s="1"/>
  <c r="N521" i="6"/>
  <c r="N519" i="6" s="1"/>
  <c r="T521" i="6"/>
  <c r="U521" i="6"/>
  <c r="K523" i="6"/>
  <c r="K524" i="6"/>
  <c r="I533" i="6"/>
  <c r="K533" i="6" s="1"/>
  <c r="J533" i="6"/>
  <c r="Q534" i="6"/>
  <c r="T534" i="6" s="1"/>
  <c r="L535" i="6"/>
  <c r="L534" i="6" s="1"/>
  <c r="O534" i="6" s="1"/>
  <c r="M535" i="6"/>
  <c r="N535" i="6"/>
  <c r="P535" i="6"/>
  <c r="Q535" i="6"/>
  <c r="T535" i="6" s="1"/>
  <c r="R535" i="6"/>
  <c r="U535" i="6" s="1"/>
  <c r="S535" i="6"/>
  <c r="S534" i="6" s="1"/>
  <c r="L536" i="6"/>
  <c r="O536" i="6" s="1"/>
  <c r="M536" i="6"/>
  <c r="P536" i="6" s="1"/>
  <c r="N536" i="6"/>
  <c r="N534" i="6" s="1"/>
  <c r="Q536" i="6"/>
  <c r="T536" i="6" s="1"/>
  <c r="R536" i="6"/>
  <c r="U536" i="6" s="1"/>
  <c r="S536" i="6"/>
  <c r="L537" i="6"/>
  <c r="M537" i="6"/>
  <c r="P537" i="6" s="1"/>
  <c r="N537" i="6"/>
  <c r="O537" i="6"/>
  <c r="Q537" i="6"/>
  <c r="R537" i="6"/>
  <c r="S537" i="6"/>
  <c r="T537" i="6"/>
  <c r="U537" i="6"/>
  <c r="O538" i="6"/>
  <c r="P538" i="6"/>
  <c r="T538" i="6"/>
  <c r="U538" i="6"/>
  <c r="O539" i="6"/>
  <c r="P539" i="6"/>
  <c r="T539" i="6"/>
  <c r="U539" i="6"/>
  <c r="L540" i="6"/>
  <c r="M540" i="6"/>
  <c r="P540" i="6" s="1"/>
  <c r="N540" i="6"/>
  <c r="O540" i="6"/>
  <c r="Q540" i="6"/>
  <c r="T540" i="6" s="1"/>
  <c r="R540" i="6"/>
  <c r="S540" i="6"/>
  <c r="U540" i="6"/>
  <c r="O541" i="6"/>
  <c r="P541" i="6"/>
  <c r="T541" i="6"/>
  <c r="U541" i="6"/>
  <c r="O542" i="6"/>
  <c r="P542" i="6"/>
  <c r="T542" i="6"/>
  <c r="U542" i="6"/>
  <c r="I554" i="6"/>
  <c r="K554" i="6" s="1"/>
  <c r="J554" i="6"/>
  <c r="N555" i="6"/>
  <c r="L556" i="6"/>
  <c r="M556" i="6"/>
  <c r="M555" i="6" s="1"/>
  <c r="P555" i="6" s="1"/>
  <c r="N556" i="6"/>
  <c r="Q556" i="6"/>
  <c r="Q555" i="6" s="1"/>
  <c r="T555" i="6" s="1"/>
  <c r="R556" i="6"/>
  <c r="R555" i="6" s="1"/>
  <c r="U555" i="6" s="1"/>
  <c r="S556" i="6"/>
  <c r="S555" i="6" s="1"/>
  <c r="T556" i="6"/>
  <c r="L557" i="6"/>
  <c r="M557" i="6"/>
  <c r="N557" i="6"/>
  <c r="O557" i="6"/>
  <c r="P557" i="6"/>
  <c r="Q557" i="6"/>
  <c r="T557" i="6" s="1"/>
  <c r="R557" i="6"/>
  <c r="S557" i="6"/>
  <c r="U557" i="6"/>
  <c r="L558" i="6"/>
  <c r="O558" i="6" s="1"/>
  <c r="M558" i="6"/>
  <c r="P558" i="6" s="1"/>
  <c r="N558" i="6"/>
  <c r="Q558" i="6"/>
  <c r="T558" i="6" s="1"/>
  <c r="R558" i="6"/>
  <c r="U558" i="6" s="1"/>
  <c r="S558" i="6"/>
  <c r="O559" i="6"/>
  <c r="P559" i="6"/>
  <c r="T559" i="6"/>
  <c r="U559" i="6"/>
  <c r="O560" i="6"/>
  <c r="P560" i="6"/>
  <c r="T560" i="6"/>
  <c r="U560" i="6"/>
  <c r="L561" i="6"/>
  <c r="O561" i="6" s="1"/>
  <c r="M561" i="6"/>
  <c r="N561" i="6"/>
  <c r="P561" i="6"/>
  <c r="Q561" i="6"/>
  <c r="T561" i="6" s="1"/>
  <c r="R561" i="6"/>
  <c r="U561" i="6" s="1"/>
  <c r="S561" i="6"/>
  <c r="O562" i="6"/>
  <c r="P562" i="6"/>
  <c r="T562" i="6"/>
  <c r="U562" i="6"/>
  <c r="O563" i="6"/>
  <c r="P563" i="6"/>
  <c r="T563" i="6"/>
  <c r="U563" i="6"/>
  <c r="I575" i="6"/>
  <c r="J575" i="6"/>
  <c r="K575" i="6"/>
  <c r="L577" i="6"/>
  <c r="L576" i="6" s="1"/>
  <c r="O576" i="6" s="1"/>
  <c r="M577" i="6"/>
  <c r="M576" i="6" s="1"/>
  <c r="P576" i="6" s="1"/>
  <c r="N577" i="6"/>
  <c r="Q577" i="6"/>
  <c r="R577" i="6"/>
  <c r="S577" i="6"/>
  <c r="U577" i="6"/>
  <c r="L578" i="6"/>
  <c r="O578" i="6" s="1"/>
  <c r="M578" i="6"/>
  <c r="P578" i="6" s="1"/>
  <c r="N578" i="6"/>
  <c r="Q578" i="6"/>
  <c r="T578" i="6" s="1"/>
  <c r="R578" i="6"/>
  <c r="U578" i="6" s="1"/>
  <c r="S578" i="6"/>
  <c r="L579" i="6"/>
  <c r="M579" i="6"/>
  <c r="P579" i="6" s="1"/>
  <c r="N579" i="6"/>
  <c r="O579" i="6"/>
  <c r="Q579" i="6"/>
  <c r="T579" i="6" s="1"/>
  <c r="R579" i="6"/>
  <c r="S579" i="6"/>
  <c r="U579" i="6"/>
  <c r="O580" i="6"/>
  <c r="P580" i="6"/>
  <c r="T580" i="6"/>
  <c r="U580" i="6"/>
  <c r="O581" i="6"/>
  <c r="P581" i="6"/>
  <c r="T581" i="6"/>
  <c r="U581" i="6"/>
  <c r="L582" i="6"/>
  <c r="M582" i="6"/>
  <c r="P582" i="6" s="1"/>
  <c r="N582" i="6"/>
  <c r="O582" i="6"/>
  <c r="Q582" i="6"/>
  <c r="T582" i="6" s="1"/>
  <c r="R582" i="6"/>
  <c r="U582" i="6" s="1"/>
  <c r="S582" i="6"/>
  <c r="O583" i="6"/>
  <c r="P583" i="6"/>
  <c r="T583" i="6"/>
  <c r="U583" i="6"/>
  <c r="O584" i="6"/>
  <c r="P584" i="6"/>
  <c r="T584" i="6"/>
  <c r="U584" i="6"/>
  <c r="N599" i="6"/>
  <c r="Q599" i="6"/>
  <c r="T599" i="6" s="1"/>
  <c r="L600" i="6"/>
  <c r="M600" i="6"/>
  <c r="N600" i="6"/>
  <c r="O600" i="6"/>
  <c r="Q600" i="6"/>
  <c r="T600" i="6" s="1"/>
  <c r="R600" i="6"/>
  <c r="S600" i="6"/>
  <c r="S599" i="6" s="1"/>
  <c r="U600" i="6"/>
  <c r="L601" i="6"/>
  <c r="O601" i="6" s="1"/>
  <c r="M601" i="6"/>
  <c r="P601" i="6" s="1"/>
  <c r="N601" i="6"/>
  <c r="Q601" i="6"/>
  <c r="T601" i="6" s="1"/>
  <c r="R601" i="6"/>
  <c r="U601" i="6" s="1"/>
  <c r="S601" i="6"/>
  <c r="L602" i="6"/>
  <c r="O602" i="6" s="1"/>
  <c r="M602" i="6"/>
  <c r="P602" i="6" s="1"/>
  <c r="N602" i="6"/>
  <c r="Q602" i="6"/>
  <c r="T602" i="6" s="1"/>
  <c r="R602" i="6"/>
  <c r="U602" i="6" s="1"/>
  <c r="S602" i="6"/>
  <c r="O603" i="6"/>
  <c r="P603" i="6"/>
  <c r="T603" i="6"/>
  <c r="U603" i="6"/>
  <c r="O604" i="6"/>
  <c r="P604" i="6"/>
  <c r="T604" i="6"/>
  <c r="U604" i="6"/>
  <c r="L605" i="6"/>
  <c r="O605" i="6" s="1"/>
  <c r="M605" i="6"/>
  <c r="P605" i="6" s="1"/>
  <c r="N605" i="6"/>
  <c r="Q605" i="6"/>
  <c r="R605" i="6"/>
  <c r="U605" i="6" s="1"/>
  <c r="S605" i="6"/>
  <c r="T605" i="6"/>
  <c r="O606" i="6"/>
  <c r="P606" i="6"/>
  <c r="T606" i="6"/>
  <c r="U606" i="6"/>
  <c r="O607" i="6"/>
  <c r="P607" i="6"/>
  <c r="T607" i="6"/>
  <c r="U607" i="6"/>
  <c r="N616" i="6"/>
  <c r="L617" i="6"/>
  <c r="M617" i="6"/>
  <c r="N617" i="6"/>
  <c r="Q617" i="6"/>
  <c r="R617" i="6"/>
  <c r="S617" i="6"/>
  <c r="T617" i="6"/>
  <c r="L618" i="6"/>
  <c r="O618" i="6" s="1"/>
  <c r="M618" i="6"/>
  <c r="N618" i="6"/>
  <c r="P618" i="6"/>
  <c r="L619" i="6"/>
  <c r="O619" i="6" s="1"/>
  <c r="M619" i="6"/>
  <c r="P619" i="6" s="1"/>
  <c r="N619" i="6"/>
  <c r="O620" i="6"/>
  <c r="P620" i="6"/>
  <c r="T620" i="6"/>
  <c r="U620" i="6"/>
  <c r="O621" i="6"/>
  <c r="P621" i="6"/>
  <c r="Q621" i="6"/>
  <c r="R621" i="6"/>
  <c r="R619" i="6" s="1"/>
  <c r="S621" i="6"/>
  <c r="S619" i="6" s="1"/>
  <c r="L622" i="6"/>
  <c r="M622" i="6"/>
  <c r="P622" i="6" s="1"/>
  <c r="N622" i="6"/>
  <c r="O622" i="6"/>
  <c r="Q622" i="6"/>
  <c r="T622" i="6" s="1"/>
  <c r="R622" i="6"/>
  <c r="U622" i="6" s="1"/>
  <c r="S622" i="6"/>
  <c r="O623" i="6"/>
  <c r="P623" i="6"/>
  <c r="T623" i="6"/>
  <c r="U623" i="6"/>
  <c r="O624" i="6"/>
  <c r="P624" i="6"/>
  <c r="T624" i="6"/>
  <c r="U624" i="6"/>
  <c r="I626" i="6"/>
  <c r="I615" i="6" s="1"/>
  <c r="J626" i="6"/>
  <c r="J615" i="6" s="1"/>
  <c r="I627" i="6"/>
  <c r="K627" i="6" s="1"/>
  <c r="I628" i="6"/>
  <c r="K628" i="6" s="1"/>
  <c r="J632" i="6"/>
  <c r="I635" i="6"/>
  <c r="K635" i="6" s="1"/>
  <c r="J636" i="6"/>
  <c r="J635" i="6" s="1"/>
  <c r="L643" i="6"/>
  <c r="M643" i="6"/>
  <c r="P643" i="6" s="1"/>
  <c r="N643" i="6"/>
  <c r="Q643" i="6"/>
  <c r="R643" i="6"/>
  <c r="S643" i="6"/>
  <c r="L644" i="6"/>
  <c r="O644" i="6" s="1"/>
  <c r="M644" i="6"/>
  <c r="P644" i="6" s="1"/>
  <c r="N644" i="6"/>
  <c r="L645" i="6"/>
  <c r="O645" i="6" s="1"/>
  <c r="M645" i="6"/>
  <c r="P645" i="6" s="1"/>
  <c r="N645" i="6"/>
  <c r="O646" i="6"/>
  <c r="P646" i="6"/>
  <c r="T646" i="6"/>
  <c r="U646" i="6"/>
  <c r="O647" i="6"/>
  <c r="P647" i="6"/>
  <c r="Q647" i="6"/>
  <c r="Q645" i="6" s="1"/>
  <c r="T645" i="6" s="1"/>
  <c r="R647" i="6"/>
  <c r="R645" i="6" s="1"/>
  <c r="U645" i="6" s="1"/>
  <c r="S647" i="6"/>
  <c r="S644" i="6" s="1"/>
  <c r="L648" i="6"/>
  <c r="O648" i="6" s="1"/>
  <c r="M648" i="6"/>
  <c r="P648" i="6" s="1"/>
  <c r="N648" i="6"/>
  <c r="Q648" i="6"/>
  <c r="T648" i="6" s="1"/>
  <c r="R648" i="6"/>
  <c r="U648" i="6" s="1"/>
  <c r="S648" i="6"/>
  <c r="O649" i="6"/>
  <c r="P649" i="6"/>
  <c r="T649" i="6"/>
  <c r="U649" i="6"/>
  <c r="O650" i="6"/>
  <c r="P650" i="6"/>
  <c r="T650" i="6"/>
  <c r="U650" i="6"/>
  <c r="I652" i="6"/>
  <c r="K652" i="6" s="1"/>
  <c r="J652" i="6"/>
  <c r="I653" i="6"/>
  <c r="K653" i="6" s="1"/>
  <c r="J653" i="6"/>
  <c r="I654" i="6"/>
  <c r="K654" i="6" s="1"/>
  <c r="J654" i="6"/>
  <c r="I657" i="6"/>
  <c r="I660" i="6"/>
  <c r="I661" i="6"/>
  <c r="K661" i="6" s="1"/>
  <c r="J661" i="6"/>
  <c r="J671" i="6"/>
  <c r="J672" i="6"/>
  <c r="I673" i="6"/>
  <c r="K673" i="6" s="1"/>
  <c r="J673" i="6"/>
  <c r="I674" i="6"/>
  <c r="K674" i="6" s="1"/>
  <c r="I675" i="6"/>
  <c r="K675" i="6" s="1"/>
  <c r="I676" i="6"/>
  <c r="K676" i="6" s="1"/>
  <c r="J676" i="6"/>
  <c r="J677" i="6"/>
  <c r="I678" i="6"/>
  <c r="K678" i="6" s="1"/>
  <c r="J678" i="6"/>
  <c r="I679" i="6"/>
  <c r="K679" i="6" s="1"/>
  <c r="J679" i="6"/>
  <c r="J680" i="6"/>
  <c r="I681" i="6"/>
  <c r="K681" i="6" s="1"/>
  <c r="J681" i="6"/>
  <c r="I682" i="6"/>
  <c r="K682" i="6" s="1"/>
  <c r="J682" i="6"/>
  <c r="M690" i="6"/>
  <c r="P690" i="6" s="1"/>
  <c r="L691" i="6"/>
  <c r="M691" i="6"/>
  <c r="P691" i="6" s="1"/>
  <c r="N691" i="6"/>
  <c r="Q691" i="6"/>
  <c r="R691" i="6"/>
  <c r="S691" i="6"/>
  <c r="L692" i="6"/>
  <c r="M692" i="6"/>
  <c r="P692" i="6" s="1"/>
  <c r="N692" i="6"/>
  <c r="O692" i="6"/>
  <c r="L693" i="6"/>
  <c r="M693" i="6"/>
  <c r="N693" i="6"/>
  <c r="O693" i="6"/>
  <c r="P693" i="6"/>
  <c r="O694" i="6"/>
  <c r="P694" i="6"/>
  <c r="T694" i="6"/>
  <c r="U694" i="6"/>
  <c r="O695" i="6"/>
  <c r="P695" i="6"/>
  <c r="Q695" i="6"/>
  <c r="Q693" i="6" s="1"/>
  <c r="R695" i="6"/>
  <c r="R693" i="6" s="1"/>
  <c r="S695" i="6"/>
  <c r="S692" i="6" s="1"/>
  <c r="L696" i="6"/>
  <c r="O696" i="6" s="1"/>
  <c r="M696" i="6"/>
  <c r="P696" i="6" s="1"/>
  <c r="N696" i="6"/>
  <c r="Q696" i="6"/>
  <c r="R696" i="6"/>
  <c r="U696" i="6" s="1"/>
  <c r="S696" i="6"/>
  <c r="T696" i="6"/>
  <c r="O697" i="6"/>
  <c r="P697" i="6"/>
  <c r="T697" i="6"/>
  <c r="U697" i="6"/>
  <c r="O698" i="6"/>
  <c r="P698" i="6"/>
  <c r="T698" i="6"/>
  <c r="U698" i="6"/>
  <c r="I700" i="6"/>
  <c r="K700" i="6" s="1"/>
  <c r="K702" i="6"/>
  <c r="I703" i="6"/>
  <c r="J703" i="6"/>
  <c r="J704" i="6"/>
  <c r="K704" i="6"/>
  <c r="I705" i="6"/>
  <c r="J705" i="6"/>
  <c r="J706" i="6"/>
  <c r="K706" i="6"/>
  <c r="I707" i="6"/>
  <c r="I689" i="6" s="1"/>
  <c r="J707" i="6"/>
  <c r="J689" i="6" s="1"/>
  <c r="J708" i="6"/>
  <c r="K708" i="6"/>
  <c r="I709" i="6"/>
  <c r="J709" i="6"/>
  <c r="J710" i="6"/>
  <c r="K710" i="6"/>
  <c r="J712" i="6"/>
  <c r="K712" i="6"/>
  <c r="L715" i="6"/>
  <c r="L714" i="6" s="1"/>
  <c r="O714" i="6" s="1"/>
  <c r="M715" i="6"/>
  <c r="M714" i="6" s="1"/>
  <c r="P714" i="6" s="1"/>
  <c r="N715" i="6"/>
  <c r="N714" i="6" s="1"/>
  <c r="Q715" i="6"/>
  <c r="T715" i="6" s="1"/>
  <c r="R715" i="6"/>
  <c r="R714" i="6" s="1"/>
  <c r="U714" i="6" s="1"/>
  <c r="S715" i="6"/>
  <c r="U715" i="6"/>
  <c r="L716" i="6"/>
  <c r="O716" i="6" s="1"/>
  <c r="M716" i="6"/>
  <c r="P716" i="6" s="1"/>
  <c r="N716" i="6"/>
  <c r="Q716" i="6"/>
  <c r="T716" i="6" s="1"/>
  <c r="R716" i="6"/>
  <c r="U716" i="6" s="1"/>
  <c r="S716" i="6"/>
  <c r="L717" i="6"/>
  <c r="O717" i="6" s="1"/>
  <c r="M717" i="6"/>
  <c r="P717" i="6" s="1"/>
  <c r="N717" i="6"/>
  <c r="Q717" i="6"/>
  <c r="T717" i="6" s="1"/>
  <c r="R717" i="6"/>
  <c r="U717" i="6" s="1"/>
  <c r="S717" i="6"/>
  <c r="O718" i="6"/>
  <c r="P718" i="6"/>
  <c r="T718" i="6"/>
  <c r="U718" i="6"/>
  <c r="O719" i="6"/>
  <c r="P719" i="6"/>
  <c r="T719" i="6"/>
  <c r="U719" i="6"/>
  <c r="L720" i="6"/>
  <c r="O720" i="6" s="1"/>
  <c r="M720" i="6"/>
  <c r="P720" i="6" s="1"/>
  <c r="N720" i="6"/>
  <c r="Q720" i="6"/>
  <c r="T720" i="6" s="1"/>
  <c r="R720" i="6"/>
  <c r="U720" i="6" s="1"/>
  <c r="S720" i="6"/>
  <c r="O721" i="6"/>
  <c r="P721" i="6"/>
  <c r="T721" i="6"/>
  <c r="U721" i="6"/>
  <c r="O722" i="6"/>
  <c r="P722" i="6"/>
  <c r="T722" i="6"/>
  <c r="U722" i="6"/>
  <c r="I726" i="6"/>
  <c r="J726" i="6"/>
  <c r="I727" i="6"/>
  <c r="K727" i="6" s="1"/>
  <c r="J727" i="6"/>
  <c r="L729" i="6"/>
  <c r="L728" i="6" s="1"/>
  <c r="O728" i="6" s="1"/>
  <c r="M729" i="6"/>
  <c r="N729" i="6"/>
  <c r="O729" i="6"/>
  <c r="P729" i="6"/>
  <c r="Q729" i="6"/>
  <c r="T729" i="6" s="1"/>
  <c r="R729" i="6"/>
  <c r="S729" i="6"/>
  <c r="L730" i="6"/>
  <c r="O730" i="6" s="1"/>
  <c r="M730" i="6"/>
  <c r="P730" i="6" s="1"/>
  <c r="N730" i="6"/>
  <c r="N728" i="6" s="1"/>
  <c r="L731" i="6"/>
  <c r="M731" i="6"/>
  <c r="P731" i="6" s="1"/>
  <c r="N731" i="6"/>
  <c r="O731" i="6"/>
  <c r="O732" i="6"/>
  <c r="P732" i="6"/>
  <c r="T732" i="6"/>
  <c r="U732" i="6"/>
  <c r="O733" i="6"/>
  <c r="P733" i="6"/>
  <c r="Q733" i="6"/>
  <c r="Q731" i="6" s="1"/>
  <c r="R733" i="6"/>
  <c r="S733" i="6"/>
  <c r="L734" i="6"/>
  <c r="O734" i="6" s="1"/>
  <c r="M734" i="6"/>
  <c r="N734" i="6"/>
  <c r="P734" i="6"/>
  <c r="Q734" i="6"/>
  <c r="T734" i="6" s="1"/>
  <c r="R734" i="6"/>
  <c r="U734" i="6" s="1"/>
  <c r="S734" i="6"/>
  <c r="O735" i="6"/>
  <c r="P735" i="6"/>
  <c r="T735" i="6"/>
  <c r="U735" i="6"/>
  <c r="O736" i="6"/>
  <c r="P736" i="6"/>
  <c r="T736" i="6"/>
  <c r="U736" i="6"/>
  <c r="I740" i="6"/>
  <c r="K740" i="6" s="1"/>
  <c r="I742" i="6"/>
  <c r="K742" i="6" s="1"/>
  <c r="I744" i="6"/>
  <c r="K744" i="6" s="1"/>
  <c r="I746" i="6"/>
  <c r="K746" i="6" s="1"/>
  <c r="I749" i="6"/>
  <c r="K749" i="6" s="1"/>
  <c r="I752" i="6"/>
  <c r="K752" i="6" s="1"/>
  <c r="I755" i="6"/>
  <c r="K755" i="6" s="1"/>
  <c r="J758" i="6"/>
  <c r="J759" i="6"/>
  <c r="L761" i="6"/>
  <c r="M761" i="6"/>
  <c r="N761" i="6"/>
  <c r="Q761" i="6"/>
  <c r="R761" i="6"/>
  <c r="U761" i="6" s="1"/>
  <c r="S761" i="6"/>
  <c r="L762" i="6"/>
  <c r="O762" i="6" s="1"/>
  <c r="M762" i="6"/>
  <c r="P762" i="6" s="1"/>
  <c r="N762" i="6"/>
  <c r="L763" i="6"/>
  <c r="M763" i="6"/>
  <c r="N763" i="6"/>
  <c r="O763" i="6"/>
  <c r="P763" i="6"/>
  <c r="O764" i="6"/>
  <c r="P764" i="6"/>
  <c r="T764" i="6"/>
  <c r="U764" i="6"/>
  <c r="O765" i="6"/>
  <c r="P765" i="6"/>
  <c r="Q765" i="6"/>
  <c r="Q763" i="6" s="1"/>
  <c r="R765" i="6"/>
  <c r="R762" i="6" s="1"/>
  <c r="S765" i="6"/>
  <c r="S763" i="6" s="1"/>
  <c r="L766" i="6"/>
  <c r="O766" i="6" s="1"/>
  <c r="M766" i="6"/>
  <c r="P766" i="6" s="1"/>
  <c r="N766" i="6"/>
  <c r="Q766" i="6"/>
  <c r="T766" i="6" s="1"/>
  <c r="R766" i="6"/>
  <c r="U766" i="6" s="1"/>
  <c r="S766" i="6"/>
  <c r="O767" i="6"/>
  <c r="P767" i="6"/>
  <c r="T767" i="6"/>
  <c r="U767" i="6"/>
  <c r="O768" i="6"/>
  <c r="P768" i="6"/>
  <c r="T768" i="6"/>
  <c r="U768" i="6"/>
  <c r="I770" i="6"/>
  <c r="K770" i="6" s="1"/>
  <c r="I772" i="6"/>
  <c r="I758" i="6" s="1"/>
  <c r="K758" i="6" s="1"/>
  <c r="I774" i="6"/>
  <c r="K774" i="6" s="1"/>
  <c r="I775" i="6"/>
  <c r="I776" i="6"/>
  <c r="H777" i="6"/>
  <c r="I778" i="6"/>
  <c r="J778" i="6"/>
  <c r="I779" i="6"/>
  <c r="J779" i="6"/>
  <c r="I780" i="6"/>
  <c r="J780" i="6"/>
  <c r="I781" i="6"/>
  <c r="J781" i="6"/>
  <c r="I782" i="6"/>
  <c r="J782" i="6"/>
  <c r="I783" i="6"/>
  <c r="J783" i="6"/>
  <c r="I784" i="6"/>
  <c r="J784" i="6"/>
  <c r="I785" i="6"/>
  <c r="J785" i="6"/>
  <c r="A788" i="6"/>
  <c r="A789" i="6"/>
  <c r="L22" i="5"/>
  <c r="L19" i="5" s="1"/>
  <c r="M22" i="5"/>
  <c r="N22" i="5"/>
  <c r="Q22" i="5"/>
  <c r="T22" i="5" s="1"/>
  <c r="R22" i="5"/>
  <c r="S22" i="5"/>
  <c r="S19" i="5" s="1"/>
  <c r="L25" i="5"/>
  <c r="M25" i="5"/>
  <c r="N25" i="5"/>
  <c r="O25" i="5"/>
  <c r="Q25" i="5"/>
  <c r="T25" i="5" s="1"/>
  <c r="R25" i="5"/>
  <c r="S25" i="5"/>
  <c r="U25" i="5"/>
  <c r="Q26" i="5"/>
  <c r="T26" i="5" s="1"/>
  <c r="R26" i="5"/>
  <c r="R24" i="5" s="1"/>
  <c r="U24" i="5" s="1"/>
  <c r="S26" i="5"/>
  <c r="L45" i="5"/>
  <c r="O45" i="5" s="1"/>
  <c r="M45" i="5"/>
  <c r="P45" i="5" s="1"/>
  <c r="N45" i="5"/>
  <c r="Q45" i="5"/>
  <c r="R45" i="5"/>
  <c r="U45" i="5" s="1"/>
  <c r="S45" i="5"/>
  <c r="T45" i="5"/>
  <c r="Q46" i="5"/>
  <c r="T46" i="5" s="1"/>
  <c r="R46" i="5"/>
  <c r="U46" i="5" s="1"/>
  <c r="S46" i="5"/>
  <c r="Q47" i="5"/>
  <c r="T47" i="5" s="1"/>
  <c r="R47" i="5"/>
  <c r="U47" i="5" s="1"/>
  <c r="S47" i="5"/>
  <c r="O48" i="5"/>
  <c r="P48" i="5"/>
  <c r="T48" i="5"/>
  <c r="U48" i="5"/>
  <c r="L49" i="5"/>
  <c r="L47" i="5" s="1"/>
  <c r="M49" i="5"/>
  <c r="M47" i="5" s="1"/>
  <c r="N49" i="5"/>
  <c r="N47" i="5" s="1"/>
  <c r="T49" i="5"/>
  <c r="U49" i="5"/>
  <c r="Q50" i="5"/>
  <c r="T50" i="5" s="1"/>
  <c r="R50" i="5"/>
  <c r="U50" i="5" s="1"/>
  <c r="S50" i="5"/>
  <c r="O51" i="5"/>
  <c r="P51" i="5"/>
  <c r="T51" i="5"/>
  <c r="U51" i="5"/>
  <c r="L52" i="5"/>
  <c r="M52" i="5"/>
  <c r="N52" i="5"/>
  <c r="T52" i="5"/>
  <c r="U52" i="5"/>
  <c r="R59" i="5"/>
  <c r="U59" i="5" s="1"/>
  <c r="L60" i="5"/>
  <c r="O60" i="5" s="1"/>
  <c r="M60" i="5"/>
  <c r="P60" i="5" s="1"/>
  <c r="N60" i="5"/>
  <c r="Q60" i="5"/>
  <c r="R60" i="5"/>
  <c r="U60" i="5" s="1"/>
  <c r="S60" i="5"/>
  <c r="Q61" i="5"/>
  <c r="R61" i="5"/>
  <c r="U61" i="5" s="1"/>
  <c r="S61" i="5"/>
  <c r="S59" i="5" s="1"/>
  <c r="T61" i="5"/>
  <c r="Q62" i="5"/>
  <c r="R62" i="5"/>
  <c r="U62" i="5" s="1"/>
  <c r="S62" i="5"/>
  <c r="T62" i="5"/>
  <c r="O63" i="5"/>
  <c r="P63" i="5"/>
  <c r="T63" i="5"/>
  <c r="U63" i="5"/>
  <c r="L64" i="5"/>
  <c r="L62" i="5" s="1"/>
  <c r="M64" i="5"/>
  <c r="N64" i="5"/>
  <c r="N62" i="5" s="1"/>
  <c r="T64" i="5"/>
  <c r="U64" i="5"/>
  <c r="Q65" i="5"/>
  <c r="T65" i="5" s="1"/>
  <c r="R65" i="5"/>
  <c r="U65" i="5" s="1"/>
  <c r="S65" i="5"/>
  <c r="O66" i="5"/>
  <c r="P66" i="5"/>
  <c r="T66" i="5"/>
  <c r="U66" i="5"/>
  <c r="L67" i="5"/>
  <c r="L65" i="5" s="1"/>
  <c r="O65" i="5" s="1"/>
  <c r="M67" i="5"/>
  <c r="N67" i="5"/>
  <c r="N65" i="5" s="1"/>
  <c r="T67" i="5"/>
  <c r="U67" i="5"/>
  <c r="L73" i="5"/>
  <c r="M73" i="5"/>
  <c r="P73" i="5" s="1"/>
  <c r="N73" i="5"/>
  <c r="Q73" i="5"/>
  <c r="R73" i="5"/>
  <c r="U73" i="5" s="1"/>
  <c r="S73" i="5"/>
  <c r="T73" i="5"/>
  <c r="O76" i="5"/>
  <c r="P76" i="5"/>
  <c r="T76" i="5"/>
  <c r="U76" i="5"/>
  <c r="L77" i="5"/>
  <c r="M77" i="5"/>
  <c r="M75" i="5" s="1"/>
  <c r="P75" i="5" s="1"/>
  <c r="N77" i="5"/>
  <c r="N75" i="5" s="1"/>
  <c r="Q77" i="5"/>
  <c r="R77" i="5"/>
  <c r="S77" i="5"/>
  <c r="S75" i="5" s="1"/>
  <c r="Q78" i="5"/>
  <c r="R78" i="5"/>
  <c r="U78" i="5" s="1"/>
  <c r="S78" i="5"/>
  <c r="T78" i="5"/>
  <c r="O79" i="5"/>
  <c r="P79" i="5"/>
  <c r="T79" i="5"/>
  <c r="U79" i="5"/>
  <c r="L80" i="5"/>
  <c r="L78" i="5" s="1"/>
  <c r="O78" i="5" s="1"/>
  <c r="M80" i="5"/>
  <c r="M78" i="5" s="1"/>
  <c r="P78" i="5" s="1"/>
  <c r="N80" i="5"/>
  <c r="N78" i="5" s="1"/>
  <c r="T80" i="5"/>
  <c r="U80" i="5"/>
  <c r="J82" i="5"/>
  <c r="J70" i="5" s="1"/>
  <c r="J83" i="5"/>
  <c r="J71" i="5" s="1"/>
  <c r="I84" i="5"/>
  <c r="K84" i="5" s="1"/>
  <c r="I85" i="5"/>
  <c r="I86" i="5"/>
  <c r="K86" i="5" s="1"/>
  <c r="I87" i="5"/>
  <c r="K87" i="5" s="1"/>
  <c r="I88" i="5"/>
  <c r="K88" i="5" s="1"/>
  <c r="I89" i="5"/>
  <c r="K89" i="5" s="1"/>
  <c r="I90" i="5"/>
  <c r="K90" i="5" s="1"/>
  <c r="J92" i="5"/>
  <c r="J93" i="5"/>
  <c r="L95" i="5"/>
  <c r="O95" i="5" s="1"/>
  <c r="M95" i="5"/>
  <c r="P95" i="5" s="1"/>
  <c r="N95" i="5"/>
  <c r="Q95" i="5"/>
  <c r="R95" i="5"/>
  <c r="U95" i="5" s="1"/>
  <c r="S95" i="5"/>
  <c r="O98" i="5"/>
  <c r="P98" i="5"/>
  <c r="T98" i="5"/>
  <c r="U98" i="5"/>
  <c r="L99" i="5"/>
  <c r="O99" i="5" s="1"/>
  <c r="M99" i="5"/>
  <c r="M97" i="5" s="1"/>
  <c r="N99" i="5"/>
  <c r="N97" i="5" s="1"/>
  <c r="Q99" i="5"/>
  <c r="Q96" i="5" s="1"/>
  <c r="R99" i="5"/>
  <c r="R96" i="5" s="1"/>
  <c r="S99" i="5"/>
  <c r="S96" i="5" s="1"/>
  <c r="Q100" i="5"/>
  <c r="T100" i="5" s="1"/>
  <c r="R100" i="5"/>
  <c r="U100" i="5" s="1"/>
  <c r="S100" i="5"/>
  <c r="O101" i="5"/>
  <c r="P101" i="5"/>
  <c r="T101" i="5"/>
  <c r="U101" i="5"/>
  <c r="L102" i="5"/>
  <c r="M102" i="5"/>
  <c r="P102" i="5" s="1"/>
  <c r="N102" i="5"/>
  <c r="N100" i="5" s="1"/>
  <c r="T102" i="5"/>
  <c r="U102" i="5"/>
  <c r="I108" i="5"/>
  <c r="I92" i="5" s="1"/>
  <c r="K92" i="5" s="1"/>
  <c r="I109" i="5"/>
  <c r="I113" i="5"/>
  <c r="K113" i="5" s="1"/>
  <c r="I114" i="5"/>
  <c r="K114" i="5" s="1"/>
  <c r="J116" i="5"/>
  <c r="L118" i="5"/>
  <c r="M118" i="5"/>
  <c r="N118" i="5"/>
  <c r="O118" i="5"/>
  <c r="Q118" i="5"/>
  <c r="T118" i="5" s="1"/>
  <c r="R118" i="5"/>
  <c r="U118" i="5" s="1"/>
  <c r="S118" i="5"/>
  <c r="O121" i="5"/>
  <c r="P121" i="5"/>
  <c r="T121" i="5"/>
  <c r="U121" i="5"/>
  <c r="L122" i="5"/>
  <c r="L120" i="5" s="1"/>
  <c r="O120" i="5" s="1"/>
  <c r="M122" i="5"/>
  <c r="N122" i="5"/>
  <c r="Q122" i="5"/>
  <c r="R122" i="5"/>
  <c r="R120" i="5" s="1"/>
  <c r="S122" i="5"/>
  <c r="S120" i="5" s="1"/>
  <c r="Q123" i="5"/>
  <c r="T123" i="5" s="1"/>
  <c r="R123" i="5"/>
  <c r="U123" i="5" s="1"/>
  <c r="S123" i="5"/>
  <c r="O124" i="5"/>
  <c r="P124" i="5"/>
  <c r="T124" i="5"/>
  <c r="U124" i="5"/>
  <c r="L125" i="5"/>
  <c r="L123" i="5" s="1"/>
  <c r="O123" i="5" s="1"/>
  <c r="M125" i="5"/>
  <c r="P125" i="5" s="1"/>
  <c r="N125" i="5"/>
  <c r="N123" i="5" s="1"/>
  <c r="T125" i="5"/>
  <c r="U125" i="5"/>
  <c r="I127" i="5"/>
  <c r="K127" i="5" s="1"/>
  <c r="I128" i="5"/>
  <c r="K128" i="5" s="1"/>
  <c r="I129" i="5"/>
  <c r="K129" i="5" s="1"/>
  <c r="I130" i="5"/>
  <c r="K130" i="5" s="1"/>
  <c r="J136" i="5"/>
  <c r="J137" i="5"/>
  <c r="J138" i="5"/>
  <c r="L140" i="5"/>
  <c r="O140" i="5" s="1"/>
  <c r="M140" i="5"/>
  <c r="P140" i="5" s="1"/>
  <c r="N140" i="5"/>
  <c r="Q140" i="5"/>
  <c r="R140" i="5"/>
  <c r="U140" i="5" s="1"/>
  <c r="S140" i="5"/>
  <c r="T140" i="5"/>
  <c r="O143" i="5"/>
  <c r="P143" i="5"/>
  <c r="T143" i="5"/>
  <c r="U143" i="5"/>
  <c r="L144" i="5"/>
  <c r="L142" i="5" s="1"/>
  <c r="M144" i="5"/>
  <c r="M142" i="5" s="1"/>
  <c r="N144" i="5"/>
  <c r="Q144" i="5"/>
  <c r="Q141" i="5" s="1"/>
  <c r="R144" i="5"/>
  <c r="S144" i="5"/>
  <c r="Q145" i="5"/>
  <c r="T145" i="5" s="1"/>
  <c r="R145" i="5"/>
  <c r="U145" i="5" s="1"/>
  <c r="S145" i="5"/>
  <c r="O146" i="5"/>
  <c r="P146" i="5"/>
  <c r="T146" i="5"/>
  <c r="U146" i="5"/>
  <c r="L147" i="5"/>
  <c r="M147" i="5"/>
  <c r="N147" i="5"/>
  <c r="N145" i="5" s="1"/>
  <c r="T147" i="5"/>
  <c r="U147" i="5"/>
  <c r="I150" i="5"/>
  <c r="K150" i="5" s="1"/>
  <c r="I151" i="5"/>
  <c r="K151" i="5" s="1"/>
  <c r="I152" i="5"/>
  <c r="I153" i="5"/>
  <c r="I154" i="5"/>
  <c r="I136" i="5" s="1"/>
  <c r="K136" i="5" s="1"/>
  <c r="J156" i="5"/>
  <c r="L158" i="5"/>
  <c r="M158" i="5"/>
  <c r="N158" i="5"/>
  <c r="O158" i="5"/>
  <c r="Q158" i="5"/>
  <c r="R158" i="5"/>
  <c r="S158" i="5"/>
  <c r="T158" i="5"/>
  <c r="U158" i="5"/>
  <c r="O161" i="5"/>
  <c r="P161" i="5"/>
  <c r="T161" i="5"/>
  <c r="U161" i="5"/>
  <c r="L162" i="5"/>
  <c r="L160" i="5" s="1"/>
  <c r="O160" i="5" s="1"/>
  <c r="M162" i="5"/>
  <c r="N162" i="5"/>
  <c r="N160" i="5" s="1"/>
  <c r="Q162" i="5"/>
  <c r="Q159" i="5" s="1"/>
  <c r="R162" i="5"/>
  <c r="S162" i="5"/>
  <c r="S159" i="5" s="1"/>
  <c r="Q163" i="5"/>
  <c r="R163" i="5"/>
  <c r="U163" i="5" s="1"/>
  <c r="S163" i="5"/>
  <c r="T163" i="5"/>
  <c r="O164" i="5"/>
  <c r="P164" i="5"/>
  <c r="T164" i="5"/>
  <c r="U164" i="5"/>
  <c r="L165" i="5"/>
  <c r="L163" i="5" s="1"/>
  <c r="O163" i="5" s="1"/>
  <c r="M165" i="5"/>
  <c r="P165" i="5" s="1"/>
  <c r="N165" i="5"/>
  <c r="N163" i="5" s="1"/>
  <c r="T165" i="5"/>
  <c r="U165" i="5"/>
  <c r="I167" i="5"/>
  <c r="K167" i="5" s="1"/>
  <c r="I168" i="5"/>
  <c r="K168" i="5" s="1"/>
  <c r="I169" i="5"/>
  <c r="I156" i="5" s="1"/>
  <c r="K156" i="5" s="1"/>
  <c r="J172" i="5"/>
  <c r="L174" i="5"/>
  <c r="O174" i="5" s="1"/>
  <c r="M174" i="5"/>
  <c r="N174" i="5"/>
  <c r="Q174" i="5"/>
  <c r="R174" i="5"/>
  <c r="S174" i="5"/>
  <c r="T174" i="5"/>
  <c r="U174" i="5"/>
  <c r="O177" i="5"/>
  <c r="P177" i="5"/>
  <c r="T177" i="5"/>
  <c r="U177" i="5"/>
  <c r="L178" i="5"/>
  <c r="L176" i="5" s="1"/>
  <c r="M178" i="5"/>
  <c r="M176" i="5" s="1"/>
  <c r="N178" i="5"/>
  <c r="N176" i="5" s="1"/>
  <c r="Q178" i="5"/>
  <c r="R178" i="5"/>
  <c r="R176" i="5" s="1"/>
  <c r="U176" i="5" s="1"/>
  <c r="S178" i="5"/>
  <c r="S175" i="5" s="1"/>
  <c r="S173" i="5" s="1"/>
  <c r="Q179" i="5"/>
  <c r="T179" i="5" s="1"/>
  <c r="R179" i="5"/>
  <c r="U179" i="5" s="1"/>
  <c r="S179" i="5"/>
  <c r="O180" i="5"/>
  <c r="P180" i="5"/>
  <c r="T180" i="5"/>
  <c r="U180" i="5"/>
  <c r="L181" i="5"/>
  <c r="L179" i="5" s="1"/>
  <c r="O179" i="5" s="1"/>
  <c r="M181" i="5"/>
  <c r="M179" i="5" s="1"/>
  <c r="P179" i="5" s="1"/>
  <c r="N181" i="5"/>
  <c r="N179" i="5" s="1"/>
  <c r="T181" i="5"/>
  <c r="U181" i="5"/>
  <c r="I183" i="5"/>
  <c r="K183" i="5" s="1"/>
  <c r="K184" i="5"/>
  <c r="L187" i="5"/>
  <c r="M187" i="5"/>
  <c r="N187" i="5"/>
  <c r="Q187" i="5"/>
  <c r="R187" i="5"/>
  <c r="S187" i="5"/>
  <c r="T187" i="5"/>
  <c r="O190" i="5"/>
  <c r="P190" i="5"/>
  <c r="T190" i="5"/>
  <c r="U190" i="5"/>
  <c r="L191" i="5"/>
  <c r="L189" i="5" s="1"/>
  <c r="M191" i="5"/>
  <c r="N191" i="5"/>
  <c r="Q191" i="5"/>
  <c r="Q188" i="5" s="1"/>
  <c r="Q186" i="5" s="1"/>
  <c r="R191" i="5"/>
  <c r="R189" i="5" s="1"/>
  <c r="S191" i="5"/>
  <c r="S189" i="5" s="1"/>
  <c r="Q192" i="5"/>
  <c r="T192" i="5" s="1"/>
  <c r="R192" i="5"/>
  <c r="U192" i="5" s="1"/>
  <c r="S192" i="5"/>
  <c r="O193" i="5"/>
  <c r="P193" i="5"/>
  <c r="T193" i="5"/>
  <c r="U193" i="5"/>
  <c r="L194" i="5"/>
  <c r="L192" i="5" s="1"/>
  <c r="O192" i="5" s="1"/>
  <c r="M194" i="5"/>
  <c r="M192" i="5" s="1"/>
  <c r="P192" i="5" s="1"/>
  <c r="N194" i="5"/>
  <c r="N192" i="5" s="1"/>
  <c r="T194" i="5"/>
  <c r="U194" i="5"/>
  <c r="J195" i="5"/>
  <c r="L196" i="5"/>
  <c r="O196" i="5" s="1"/>
  <c r="P196" i="5"/>
  <c r="I198" i="5"/>
  <c r="J199" i="5"/>
  <c r="J202" i="5"/>
  <c r="N203" i="5"/>
  <c r="P203" i="5"/>
  <c r="S203" i="5"/>
  <c r="U203" i="5"/>
  <c r="L204" i="5"/>
  <c r="L205" i="5"/>
  <c r="L206" i="5"/>
  <c r="Q206" i="5"/>
  <c r="Q203" i="5" s="1"/>
  <c r="L207" i="5"/>
  <c r="I209" i="5"/>
  <c r="I202" i="5" s="1"/>
  <c r="K202" i="5" s="1"/>
  <c r="I211" i="5"/>
  <c r="K211" i="5" s="1"/>
  <c r="I212" i="5"/>
  <c r="K212" i="5" s="1"/>
  <c r="J213" i="5"/>
  <c r="N214" i="5"/>
  <c r="P214" i="5"/>
  <c r="S214" i="5"/>
  <c r="U214" i="5"/>
  <c r="L215" i="5"/>
  <c r="L216" i="5"/>
  <c r="L217" i="5"/>
  <c r="Q217" i="5"/>
  <c r="Q214" i="5" s="1"/>
  <c r="T214" i="5" s="1"/>
  <c r="I219" i="5"/>
  <c r="K219" i="5" s="1"/>
  <c r="I220" i="5"/>
  <c r="J221" i="5"/>
  <c r="N222" i="5"/>
  <c r="P222" i="5"/>
  <c r="L223" i="5"/>
  <c r="L224" i="5"/>
  <c r="L225" i="5"/>
  <c r="I228" i="5"/>
  <c r="K228" i="5" s="1"/>
  <c r="I229" i="5"/>
  <c r="I221" i="5" s="1"/>
  <c r="K221" i="5" s="1"/>
  <c r="I230" i="5"/>
  <c r="K230" i="5" s="1"/>
  <c r="J231" i="5"/>
  <c r="J185" i="5" s="1"/>
  <c r="N233" i="5"/>
  <c r="N234" i="5"/>
  <c r="N235" i="5"/>
  <c r="N236" i="5"/>
  <c r="J238" i="5"/>
  <c r="I240" i="5"/>
  <c r="K240" i="5" s="1"/>
  <c r="J240" i="5"/>
  <c r="I241" i="5"/>
  <c r="K241" i="5" s="1"/>
  <c r="J241" i="5"/>
  <c r="J242" i="5"/>
  <c r="N243" i="5"/>
  <c r="P243" i="5"/>
  <c r="L244" i="5"/>
  <c r="L245" i="5"/>
  <c r="L246" i="5"/>
  <c r="L247" i="5"/>
  <c r="I249" i="5"/>
  <c r="K251" i="5"/>
  <c r="K252" i="5"/>
  <c r="J253" i="5"/>
  <c r="N254" i="5"/>
  <c r="P254" i="5"/>
  <c r="L255" i="5"/>
  <c r="L256" i="5"/>
  <c r="L257" i="5"/>
  <c r="L258" i="5"/>
  <c r="I260" i="5"/>
  <c r="K260" i="5" s="1"/>
  <c r="K262" i="5"/>
  <c r="K263" i="5"/>
  <c r="J265" i="5"/>
  <c r="L267" i="5"/>
  <c r="O267" i="5" s="1"/>
  <c r="M267" i="5"/>
  <c r="N267" i="5"/>
  <c r="Q267" i="5"/>
  <c r="T267" i="5" s="1"/>
  <c r="R267" i="5"/>
  <c r="S267" i="5"/>
  <c r="O270" i="5"/>
  <c r="P270" i="5"/>
  <c r="T270" i="5"/>
  <c r="U270" i="5"/>
  <c r="L271" i="5"/>
  <c r="L269" i="5" s="1"/>
  <c r="O269" i="5" s="1"/>
  <c r="M271" i="5"/>
  <c r="M269" i="5" s="1"/>
  <c r="N271" i="5"/>
  <c r="N269" i="5" s="1"/>
  <c r="Q271" i="5"/>
  <c r="R271" i="5"/>
  <c r="R269" i="5" s="1"/>
  <c r="S271" i="5"/>
  <c r="S268" i="5" s="1"/>
  <c r="S266" i="5" s="1"/>
  <c r="Q272" i="5"/>
  <c r="T272" i="5" s="1"/>
  <c r="R272" i="5"/>
  <c r="U272" i="5" s="1"/>
  <c r="S272" i="5"/>
  <c r="O273" i="5"/>
  <c r="P273" i="5"/>
  <c r="T273" i="5"/>
  <c r="U273" i="5"/>
  <c r="L274" i="5"/>
  <c r="M274" i="5"/>
  <c r="P274" i="5" s="1"/>
  <c r="N274" i="5"/>
  <c r="N272" i="5" s="1"/>
  <c r="T274" i="5"/>
  <c r="U274" i="5"/>
  <c r="I276" i="5"/>
  <c r="I265" i="5" s="1"/>
  <c r="J281" i="5"/>
  <c r="L283" i="5"/>
  <c r="M283" i="5"/>
  <c r="N283" i="5"/>
  <c r="O283" i="5"/>
  <c r="P283" i="5"/>
  <c r="Q283" i="5"/>
  <c r="R283" i="5"/>
  <c r="S283" i="5"/>
  <c r="U283" i="5"/>
  <c r="Q284" i="5"/>
  <c r="T284" i="5" s="1"/>
  <c r="R284" i="5"/>
  <c r="U284" i="5" s="1"/>
  <c r="S284" i="5"/>
  <c r="Q285" i="5"/>
  <c r="T285" i="5" s="1"/>
  <c r="R285" i="5"/>
  <c r="U285" i="5" s="1"/>
  <c r="S285" i="5"/>
  <c r="O286" i="5"/>
  <c r="P286" i="5"/>
  <c r="T286" i="5"/>
  <c r="U286" i="5"/>
  <c r="L287" i="5"/>
  <c r="O287" i="5" s="1"/>
  <c r="M287" i="5"/>
  <c r="M285" i="5" s="1"/>
  <c r="P285" i="5" s="1"/>
  <c r="N287" i="5"/>
  <c r="N285" i="5" s="1"/>
  <c r="T287" i="5"/>
  <c r="U287" i="5"/>
  <c r="Q288" i="5"/>
  <c r="T288" i="5" s="1"/>
  <c r="R288" i="5"/>
  <c r="U288" i="5" s="1"/>
  <c r="S288" i="5"/>
  <c r="O289" i="5"/>
  <c r="P289" i="5"/>
  <c r="T289" i="5"/>
  <c r="U289" i="5"/>
  <c r="L290" i="5"/>
  <c r="M290" i="5"/>
  <c r="N290" i="5"/>
  <c r="N288" i="5" s="1"/>
  <c r="T290" i="5"/>
  <c r="U290" i="5"/>
  <c r="I292" i="5"/>
  <c r="I293" i="5"/>
  <c r="K293" i="5" s="1"/>
  <c r="J293" i="5"/>
  <c r="J280" i="5" s="1"/>
  <c r="I295" i="5"/>
  <c r="K295" i="5" s="1"/>
  <c r="I296" i="5"/>
  <c r="K296" i="5" s="1"/>
  <c r="J302" i="5"/>
  <c r="L304" i="5"/>
  <c r="M304" i="5"/>
  <c r="N304" i="5"/>
  <c r="O304" i="5"/>
  <c r="P304" i="5"/>
  <c r="Q304" i="5"/>
  <c r="R304" i="5"/>
  <c r="S304" i="5"/>
  <c r="U304" i="5"/>
  <c r="O307" i="5"/>
  <c r="P307" i="5"/>
  <c r="T307" i="5"/>
  <c r="U307" i="5"/>
  <c r="L308" i="5"/>
  <c r="M308" i="5"/>
  <c r="N308" i="5"/>
  <c r="Q308" i="5"/>
  <c r="R308" i="5"/>
  <c r="R305" i="5" s="1"/>
  <c r="R303" i="5" s="1"/>
  <c r="S308" i="5"/>
  <c r="S305" i="5" s="1"/>
  <c r="Q309" i="5"/>
  <c r="R309" i="5"/>
  <c r="U309" i="5" s="1"/>
  <c r="S309" i="5"/>
  <c r="T309" i="5"/>
  <c r="O310" i="5"/>
  <c r="P310" i="5"/>
  <c r="T310" i="5"/>
  <c r="U310" i="5"/>
  <c r="L311" i="5"/>
  <c r="O311" i="5" s="1"/>
  <c r="M311" i="5"/>
  <c r="P311" i="5" s="1"/>
  <c r="N311" i="5"/>
  <c r="N309" i="5" s="1"/>
  <c r="T311" i="5"/>
  <c r="U311" i="5"/>
  <c r="I314" i="5"/>
  <c r="K314" i="5" s="1"/>
  <c r="J319" i="5"/>
  <c r="L321" i="5"/>
  <c r="M321" i="5"/>
  <c r="P321" i="5" s="1"/>
  <c r="N321" i="5"/>
  <c r="Q321" i="5"/>
  <c r="R321" i="5"/>
  <c r="S321" i="5"/>
  <c r="S320" i="5" s="1"/>
  <c r="Q322" i="5"/>
  <c r="T322" i="5" s="1"/>
  <c r="R322" i="5"/>
  <c r="U322" i="5" s="1"/>
  <c r="S322" i="5"/>
  <c r="Q323" i="5"/>
  <c r="T323" i="5" s="1"/>
  <c r="R323" i="5"/>
  <c r="U323" i="5" s="1"/>
  <c r="S323" i="5"/>
  <c r="O324" i="5"/>
  <c r="P324" i="5"/>
  <c r="T324" i="5"/>
  <c r="U324" i="5"/>
  <c r="L325" i="5"/>
  <c r="O325" i="5" s="1"/>
  <c r="M325" i="5"/>
  <c r="M323" i="5" s="1"/>
  <c r="P323" i="5" s="1"/>
  <c r="N325" i="5"/>
  <c r="N323" i="5" s="1"/>
  <c r="T325" i="5"/>
  <c r="U325" i="5"/>
  <c r="Q326" i="5"/>
  <c r="R326" i="5"/>
  <c r="U326" i="5" s="1"/>
  <c r="S326" i="5"/>
  <c r="T326" i="5"/>
  <c r="O327" i="5"/>
  <c r="P327" i="5"/>
  <c r="T327" i="5"/>
  <c r="U327" i="5"/>
  <c r="L328" i="5"/>
  <c r="O328" i="5" s="1"/>
  <c r="M328" i="5"/>
  <c r="N328" i="5"/>
  <c r="N326" i="5" s="1"/>
  <c r="T328" i="5"/>
  <c r="U328" i="5"/>
  <c r="I330" i="5"/>
  <c r="L334" i="5"/>
  <c r="M334" i="5"/>
  <c r="N334" i="5"/>
  <c r="O334" i="5"/>
  <c r="Q334" i="5"/>
  <c r="T334" i="5" s="1"/>
  <c r="R334" i="5"/>
  <c r="S334" i="5"/>
  <c r="U334" i="5"/>
  <c r="Q335" i="5"/>
  <c r="R335" i="5"/>
  <c r="S335" i="5"/>
  <c r="Q336" i="5"/>
  <c r="T336" i="5" s="1"/>
  <c r="R336" i="5"/>
  <c r="U336" i="5" s="1"/>
  <c r="S336" i="5"/>
  <c r="O337" i="5"/>
  <c r="P337" i="5"/>
  <c r="T337" i="5"/>
  <c r="U337" i="5"/>
  <c r="L338" i="5"/>
  <c r="M338" i="5"/>
  <c r="N338" i="5"/>
  <c r="N336" i="5" s="1"/>
  <c r="T338" i="5"/>
  <c r="U338" i="5"/>
  <c r="Q339" i="5"/>
  <c r="T339" i="5" s="1"/>
  <c r="R339" i="5"/>
  <c r="U339" i="5" s="1"/>
  <c r="S339" i="5"/>
  <c r="O340" i="5"/>
  <c r="P340" i="5"/>
  <c r="T340" i="5"/>
  <c r="U340" i="5"/>
  <c r="L341" i="5"/>
  <c r="M341" i="5"/>
  <c r="N341" i="5"/>
  <c r="N339" i="5" s="1"/>
  <c r="T341" i="5"/>
  <c r="U341" i="5"/>
  <c r="I344" i="5"/>
  <c r="J344" i="5"/>
  <c r="I346" i="5"/>
  <c r="J346" i="5"/>
  <c r="J347" i="5"/>
  <c r="J348" i="5"/>
  <c r="J349" i="5"/>
  <c r="D350" i="5"/>
  <c r="J352" i="5"/>
  <c r="J353" i="5"/>
  <c r="J354" i="5"/>
  <c r="Q356" i="5"/>
  <c r="T356" i="5" s="1"/>
  <c r="L357" i="5"/>
  <c r="M357" i="5"/>
  <c r="N357" i="5"/>
  <c r="Q357" i="5"/>
  <c r="R357" i="5"/>
  <c r="S357" i="5"/>
  <c r="S356" i="5" s="1"/>
  <c r="T357" i="5"/>
  <c r="Q358" i="5"/>
  <c r="R358" i="5"/>
  <c r="S358" i="5"/>
  <c r="T358" i="5"/>
  <c r="U358" i="5"/>
  <c r="Q359" i="5"/>
  <c r="T359" i="5" s="1"/>
  <c r="R359" i="5"/>
  <c r="U359" i="5" s="1"/>
  <c r="S359" i="5"/>
  <c r="O360" i="5"/>
  <c r="P360" i="5"/>
  <c r="T360" i="5"/>
  <c r="U360" i="5"/>
  <c r="L361" i="5"/>
  <c r="L359" i="5" s="1"/>
  <c r="M361" i="5"/>
  <c r="N361" i="5"/>
  <c r="T361" i="5"/>
  <c r="U361" i="5"/>
  <c r="Q362" i="5"/>
  <c r="T362" i="5" s="1"/>
  <c r="R362" i="5"/>
  <c r="U362" i="5" s="1"/>
  <c r="S362" i="5"/>
  <c r="O363" i="5"/>
  <c r="P363" i="5"/>
  <c r="T363" i="5"/>
  <c r="U363" i="5"/>
  <c r="L364" i="5"/>
  <c r="M364" i="5"/>
  <c r="P364" i="5" s="1"/>
  <c r="N364" i="5"/>
  <c r="N362" i="5" s="1"/>
  <c r="T364" i="5"/>
  <c r="U364" i="5"/>
  <c r="J367" i="5"/>
  <c r="K367" i="5"/>
  <c r="I368" i="5"/>
  <c r="J368" i="5"/>
  <c r="I369" i="5"/>
  <c r="J369" i="5"/>
  <c r="J370" i="5"/>
  <c r="K370" i="5"/>
  <c r="I371" i="5"/>
  <c r="I365" i="5" s="1"/>
  <c r="J371" i="5"/>
  <c r="J365" i="5" s="1"/>
  <c r="J372" i="5"/>
  <c r="K372" i="5"/>
  <c r="D373" i="5"/>
  <c r="L375" i="5"/>
  <c r="O375" i="5" s="1"/>
  <c r="M375" i="5"/>
  <c r="P375" i="5" s="1"/>
  <c r="L376" i="5"/>
  <c r="M376" i="5"/>
  <c r="N376" i="5"/>
  <c r="O376" i="5"/>
  <c r="P376" i="5"/>
  <c r="Q376" i="5"/>
  <c r="T376" i="5" s="1"/>
  <c r="R376" i="5"/>
  <c r="S376" i="5"/>
  <c r="U376" i="5"/>
  <c r="L377" i="5"/>
  <c r="O377" i="5" s="1"/>
  <c r="M377" i="5"/>
  <c r="N377" i="5"/>
  <c r="P377" i="5"/>
  <c r="L378" i="5"/>
  <c r="O378" i="5" s="1"/>
  <c r="M378" i="5"/>
  <c r="P378" i="5" s="1"/>
  <c r="N378" i="5"/>
  <c r="O379" i="5"/>
  <c r="P379" i="5"/>
  <c r="T379" i="5"/>
  <c r="U379" i="5"/>
  <c r="O380" i="5"/>
  <c r="P380" i="5"/>
  <c r="Q380" i="5"/>
  <c r="Q378" i="5" s="1"/>
  <c r="R380" i="5"/>
  <c r="R378" i="5" s="1"/>
  <c r="S380" i="5"/>
  <c r="L381" i="5"/>
  <c r="O381" i="5" s="1"/>
  <c r="M381" i="5"/>
  <c r="N381" i="5"/>
  <c r="P381" i="5"/>
  <c r="Q381" i="5"/>
  <c r="T381" i="5" s="1"/>
  <c r="R381" i="5"/>
  <c r="S381" i="5"/>
  <c r="U381" i="5"/>
  <c r="O382" i="5"/>
  <c r="P382" i="5"/>
  <c r="T382" i="5"/>
  <c r="U382" i="5"/>
  <c r="O383" i="5"/>
  <c r="P383" i="5"/>
  <c r="T383" i="5"/>
  <c r="U383" i="5"/>
  <c r="J385" i="5"/>
  <c r="K385" i="5"/>
  <c r="I386" i="5"/>
  <c r="J386" i="5"/>
  <c r="J387" i="5"/>
  <c r="K387" i="5"/>
  <c r="I388" i="5"/>
  <c r="K388" i="5" s="1"/>
  <c r="J388" i="5"/>
  <c r="I391" i="5"/>
  <c r="K391" i="5" s="1"/>
  <c r="J391" i="5"/>
  <c r="N392" i="5"/>
  <c r="L393" i="5"/>
  <c r="M393" i="5"/>
  <c r="M392" i="5" s="1"/>
  <c r="P392" i="5" s="1"/>
  <c r="N393" i="5"/>
  <c r="Q393" i="5"/>
  <c r="R393" i="5"/>
  <c r="S393" i="5"/>
  <c r="L394" i="5"/>
  <c r="O394" i="5" s="1"/>
  <c r="M394" i="5"/>
  <c r="P394" i="5" s="1"/>
  <c r="N394" i="5"/>
  <c r="Q394" i="5"/>
  <c r="T394" i="5" s="1"/>
  <c r="R394" i="5"/>
  <c r="U394" i="5" s="1"/>
  <c r="S394" i="5"/>
  <c r="L395" i="5"/>
  <c r="M395" i="5"/>
  <c r="N395" i="5"/>
  <c r="O395" i="5"/>
  <c r="P395" i="5"/>
  <c r="Q395" i="5"/>
  <c r="R395" i="5"/>
  <c r="S395" i="5"/>
  <c r="T395" i="5"/>
  <c r="U395" i="5"/>
  <c r="O396" i="5"/>
  <c r="P396" i="5"/>
  <c r="T396" i="5"/>
  <c r="U396" i="5"/>
  <c r="O397" i="5"/>
  <c r="P397" i="5"/>
  <c r="T397" i="5"/>
  <c r="U397" i="5"/>
  <c r="L398" i="5"/>
  <c r="M398" i="5"/>
  <c r="P398" i="5" s="1"/>
  <c r="N398" i="5"/>
  <c r="O398" i="5"/>
  <c r="Q398" i="5"/>
  <c r="R398" i="5"/>
  <c r="S398" i="5"/>
  <c r="T398" i="5"/>
  <c r="U398" i="5"/>
  <c r="O399" i="5"/>
  <c r="P399" i="5"/>
  <c r="T399" i="5"/>
  <c r="U399" i="5"/>
  <c r="O400" i="5"/>
  <c r="P400" i="5"/>
  <c r="T400" i="5"/>
  <c r="U400" i="5"/>
  <c r="L414" i="5"/>
  <c r="M414" i="5"/>
  <c r="N414" i="5"/>
  <c r="Q414" i="5"/>
  <c r="R414" i="5"/>
  <c r="S414" i="5"/>
  <c r="T414" i="5"/>
  <c r="U414" i="5"/>
  <c r="L415" i="5"/>
  <c r="M415" i="5"/>
  <c r="N415" i="5"/>
  <c r="O415" i="5"/>
  <c r="P415" i="5"/>
  <c r="L416" i="5"/>
  <c r="O416" i="5" s="1"/>
  <c r="M416" i="5"/>
  <c r="P416" i="5" s="1"/>
  <c r="N416" i="5"/>
  <c r="O417" i="5"/>
  <c r="P417" i="5"/>
  <c r="T417" i="5"/>
  <c r="U417" i="5"/>
  <c r="O418" i="5"/>
  <c r="P418" i="5"/>
  <c r="Q418" i="5"/>
  <c r="R418" i="5"/>
  <c r="S418" i="5"/>
  <c r="L419" i="5"/>
  <c r="M419" i="5"/>
  <c r="P419" i="5" s="1"/>
  <c r="N419" i="5"/>
  <c r="O419" i="5"/>
  <c r="Q419" i="5"/>
  <c r="R419" i="5"/>
  <c r="S419" i="5"/>
  <c r="T419" i="5"/>
  <c r="U419" i="5"/>
  <c r="O420" i="5"/>
  <c r="P420" i="5"/>
  <c r="T420" i="5"/>
  <c r="U420" i="5"/>
  <c r="O421" i="5"/>
  <c r="P421" i="5"/>
  <c r="T421" i="5"/>
  <c r="U421" i="5"/>
  <c r="I424" i="5"/>
  <c r="K424" i="5" s="1"/>
  <c r="J424" i="5"/>
  <c r="I425" i="5"/>
  <c r="K425" i="5" s="1"/>
  <c r="J425" i="5"/>
  <c r="I432" i="5"/>
  <c r="K432" i="5" s="1"/>
  <c r="J432" i="5"/>
  <c r="I433" i="5"/>
  <c r="K433" i="5" s="1"/>
  <c r="J433" i="5"/>
  <c r="I440" i="5"/>
  <c r="I441" i="5"/>
  <c r="K441" i="5" s="1"/>
  <c r="J446" i="5"/>
  <c r="J440" i="5" s="1"/>
  <c r="J423" i="5" s="1"/>
  <c r="J412" i="5" s="1"/>
  <c r="J447" i="5"/>
  <c r="J441" i="5" s="1"/>
  <c r="I457" i="5"/>
  <c r="I458" i="5"/>
  <c r="K458" i="5" s="1"/>
  <c r="J459" i="5"/>
  <c r="J460" i="5"/>
  <c r="J458" i="5" s="1"/>
  <c r="J467" i="5"/>
  <c r="J457" i="5" s="1"/>
  <c r="J456" i="5" s="1"/>
  <c r="J468" i="5"/>
  <c r="J475" i="5"/>
  <c r="K475" i="5"/>
  <c r="J476" i="5"/>
  <c r="K476" i="5"/>
  <c r="J477" i="5"/>
  <c r="K477" i="5"/>
  <c r="J482" i="5"/>
  <c r="J483" i="5"/>
  <c r="I484" i="5"/>
  <c r="K484" i="5" s="1"/>
  <c r="J484" i="5"/>
  <c r="I485" i="5"/>
  <c r="K485" i="5" s="1"/>
  <c r="J485" i="5"/>
  <c r="L494" i="5"/>
  <c r="M494" i="5"/>
  <c r="N494" i="5"/>
  <c r="Q494" i="5"/>
  <c r="R494" i="5"/>
  <c r="S494" i="5"/>
  <c r="L495" i="5"/>
  <c r="M495" i="5"/>
  <c r="P495" i="5" s="1"/>
  <c r="N495" i="5"/>
  <c r="O495" i="5"/>
  <c r="L496" i="5"/>
  <c r="M496" i="5"/>
  <c r="N496" i="5"/>
  <c r="O496" i="5"/>
  <c r="P496" i="5"/>
  <c r="O497" i="5"/>
  <c r="P497" i="5"/>
  <c r="T497" i="5"/>
  <c r="U497" i="5"/>
  <c r="O498" i="5"/>
  <c r="P498" i="5"/>
  <c r="Q498" i="5"/>
  <c r="R498" i="5"/>
  <c r="R496" i="5" s="1"/>
  <c r="U496" i="5" s="1"/>
  <c r="S498" i="5"/>
  <c r="S496" i="5" s="1"/>
  <c r="L499" i="5"/>
  <c r="O499" i="5" s="1"/>
  <c r="M499" i="5"/>
  <c r="P499" i="5" s="1"/>
  <c r="N499" i="5"/>
  <c r="Q499" i="5"/>
  <c r="R499" i="5"/>
  <c r="U499" i="5" s="1"/>
  <c r="S499" i="5"/>
  <c r="T499" i="5"/>
  <c r="O500" i="5"/>
  <c r="P500" i="5"/>
  <c r="T500" i="5"/>
  <c r="U500" i="5"/>
  <c r="O501" i="5"/>
  <c r="P501" i="5"/>
  <c r="T501" i="5"/>
  <c r="U501" i="5"/>
  <c r="I503" i="5"/>
  <c r="K503" i="5" s="1"/>
  <c r="I504" i="5"/>
  <c r="K504" i="5" s="1"/>
  <c r="I505" i="5"/>
  <c r="I506" i="5"/>
  <c r="K506" i="5" s="1"/>
  <c r="I507" i="5"/>
  <c r="K507" i="5" s="1"/>
  <c r="K508" i="5"/>
  <c r="I509" i="5"/>
  <c r="K509" i="5" s="1"/>
  <c r="I512" i="5"/>
  <c r="K512" i="5" s="1"/>
  <c r="J512" i="5"/>
  <c r="L514" i="5"/>
  <c r="M514" i="5"/>
  <c r="N514" i="5"/>
  <c r="O514" i="5"/>
  <c r="P514" i="5"/>
  <c r="Q514" i="5"/>
  <c r="R514" i="5"/>
  <c r="R513" i="5" s="1"/>
  <c r="U513" i="5" s="1"/>
  <c r="S514" i="5"/>
  <c r="S513" i="5" s="1"/>
  <c r="Q515" i="5"/>
  <c r="T515" i="5" s="1"/>
  <c r="R515" i="5"/>
  <c r="U515" i="5" s="1"/>
  <c r="S515" i="5"/>
  <c r="Q516" i="5"/>
  <c r="T516" i="5" s="1"/>
  <c r="R516" i="5"/>
  <c r="U516" i="5" s="1"/>
  <c r="S516" i="5"/>
  <c r="O517" i="5"/>
  <c r="P517" i="5"/>
  <c r="T517" i="5"/>
  <c r="U517" i="5"/>
  <c r="L518" i="5"/>
  <c r="M518" i="5"/>
  <c r="N518" i="5"/>
  <c r="N516" i="5" s="1"/>
  <c r="T518" i="5"/>
  <c r="U518" i="5"/>
  <c r="Q519" i="5"/>
  <c r="T519" i="5" s="1"/>
  <c r="R519" i="5"/>
  <c r="U519" i="5" s="1"/>
  <c r="S519" i="5"/>
  <c r="O520" i="5"/>
  <c r="P520" i="5"/>
  <c r="T520" i="5"/>
  <c r="U520" i="5"/>
  <c r="L521" i="5"/>
  <c r="M521" i="5"/>
  <c r="N521" i="5"/>
  <c r="N519" i="5" s="1"/>
  <c r="T521" i="5"/>
  <c r="U521" i="5"/>
  <c r="K523" i="5"/>
  <c r="K524" i="5"/>
  <c r="I533" i="5"/>
  <c r="K533" i="5" s="1"/>
  <c r="J533" i="5"/>
  <c r="L535" i="5"/>
  <c r="M535" i="5"/>
  <c r="P535" i="5" s="1"/>
  <c r="N535" i="5"/>
  <c r="Q535" i="5"/>
  <c r="R535" i="5"/>
  <c r="S535" i="5"/>
  <c r="L536" i="5"/>
  <c r="O536" i="5" s="1"/>
  <c r="M536" i="5"/>
  <c r="P536" i="5" s="1"/>
  <c r="N536" i="5"/>
  <c r="Q536" i="5"/>
  <c r="R536" i="5"/>
  <c r="U536" i="5" s="1"/>
  <c r="S536" i="5"/>
  <c r="T536" i="5"/>
  <c r="L537" i="5"/>
  <c r="O537" i="5" s="1"/>
  <c r="M537" i="5"/>
  <c r="N537" i="5"/>
  <c r="P537" i="5"/>
  <c r="Q537" i="5"/>
  <c r="T537" i="5" s="1"/>
  <c r="R537" i="5"/>
  <c r="U537" i="5" s="1"/>
  <c r="S537" i="5"/>
  <c r="O538" i="5"/>
  <c r="P538" i="5"/>
  <c r="T538" i="5"/>
  <c r="U538" i="5"/>
  <c r="O539" i="5"/>
  <c r="P539" i="5"/>
  <c r="T539" i="5"/>
  <c r="U539" i="5"/>
  <c r="L540" i="5"/>
  <c r="O540" i="5" s="1"/>
  <c r="M540" i="5"/>
  <c r="N540" i="5"/>
  <c r="P540" i="5"/>
  <c r="Q540" i="5"/>
  <c r="T540" i="5" s="1"/>
  <c r="R540" i="5"/>
  <c r="U540" i="5" s="1"/>
  <c r="S540" i="5"/>
  <c r="O541" i="5"/>
  <c r="P541" i="5"/>
  <c r="T541" i="5"/>
  <c r="U541" i="5"/>
  <c r="O542" i="5"/>
  <c r="P542" i="5"/>
  <c r="T542" i="5"/>
  <c r="U542" i="5"/>
  <c r="I554" i="5"/>
  <c r="K554" i="5" s="1"/>
  <c r="J554" i="5"/>
  <c r="L556" i="5"/>
  <c r="M556" i="5"/>
  <c r="P556" i="5" s="1"/>
  <c r="N556" i="5"/>
  <c r="Q556" i="5"/>
  <c r="T556" i="5" s="1"/>
  <c r="R556" i="5"/>
  <c r="S556" i="5"/>
  <c r="S555" i="5" s="1"/>
  <c r="L557" i="5"/>
  <c r="M557" i="5"/>
  <c r="P557" i="5" s="1"/>
  <c r="N557" i="5"/>
  <c r="O557" i="5"/>
  <c r="Q557" i="5"/>
  <c r="T557" i="5" s="1"/>
  <c r="R557" i="5"/>
  <c r="S557" i="5"/>
  <c r="U557" i="5"/>
  <c r="L558" i="5"/>
  <c r="O558" i="5" s="1"/>
  <c r="M558" i="5"/>
  <c r="P558" i="5" s="1"/>
  <c r="N558" i="5"/>
  <c r="Q558" i="5"/>
  <c r="T558" i="5" s="1"/>
  <c r="R558" i="5"/>
  <c r="U558" i="5" s="1"/>
  <c r="S558" i="5"/>
  <c r="O559" i="5"/>
  <c r="P559" i="5"/>
  <c r="T559" i="5"/>
  <c r="U559" i="5"/>
  <c r="O560" i="5"/>
  <c r="P560" i="5"/>
  <c r="T560" i="5"/>
  <c r="U560" i="5"/>
  <c r="L561" i="5"/>
  <c r="O561" i="5" s="1"/>
  <c r="M561" i="5"/>
  <c r="P561" i="5" s="1"/>
  <c r="N561" i="5"/>
  <c r="Q561" i="5"/>
  <c r="T561" i="5" s="1"/>
  <c r="R561" i="5"/>
  <c r="U561" i="5" s="1"/>
  <c r="S561" i="5"/>
  <c r="O562" i="5"/>
  <c r="P562" i="5"/>
  <c r="T562" i="5"/>
  <c r="U562" i="5"/>
  <c r="O563" i="5"/>
  <c r="P563" i="5"/>
  <c r="T563" i="5"/>
  <c r="U563" i="5"/>
  <c r="I575" i="5"/>
  <c r="K575" i="5" s="1"/>
  <c r="J575" i="5"/>
  <c r="L577" i="5"/>
  <c r="M577" i="5"/>
  <c r="N577" i="5"/>
  <c r="P577" i="5"/>
  <c r="Q577" i="5"/>
  <c r="T577" i="5" s="1"/>
  <c r="R577" i="5"/>
  <c r="S577" i="5"/>
  <c r="L578" i="5"/>
  <c r="M578" i="5"/>
  <c r="P578" i="5" s="1"/>
  <c r="N578" i="5"/>
  <c r="N576" i="5" s="1"/>
  <c r="O578" i="5"/>
  <c r="Q578" i="5"/>
  <c r="T578" i="5" s="1"/>
  <c r="R578" i="5"/>
  <c r="S578" i="5"/>
  <c r="U578" i="5"/>
  <c r="L579" i="5"/>
  <c r="O579" i="5" s="1"/>
  <c r="M579" i="5"/>
  <c r="P579" i="5" s="1"/>
  <c r="N579" i="5"/>
  <c r="Q579" i="5"/>
  <c r="T579" i="5" s="1"/>
  <c r="R579" i="5"/>
  <c r="U579" i="5" s="1"/>
  <c r="S579" i="5"/>
  <c r="O580" i="5"/>
  <c r="P580" i="5"/>
  <c r="T580" i="5"/>
  <c r="U580" i="5"/>
  <c r="O581" i="5"/>
  <c r="P581" i="5"/>
  <c r="T581" i="5"/>
  <c r="U581" i="5"/>
  <c r="L582" i="5"/>
  <c r="O582" i="5" s="1"/>
  <c r="M582" i="5"/>
  <c r="P582" i="5" s="1"/>
  <c r="N582" i="5"/>
  <c r="Q582" i="5"/>
  <c r="T582" i="5" s="1"/>
  <c r="R582" i="5"/>
  <c r="S582" i="5"/>
  <c r="U582" i="5"/>
  <c r="O583" i="5"/>
  <c r="P583" i="5"/>
  <c r="T583" i="5"/>
  <c r="U583" i="5"/>
  <c r="O584" i="5"/>
  <c r="P584" i="5"/>
  <c r="T584" i="5"/>
  <c r="U584" i="5"/>
  <c r="L600" i="5"/>
  <c r="M600" i="5"/>
  <c r="N600" i="5"/>
  <c r="Q600" i="5"/>
  <c r="T600" i="5" s="1"/>
  <c r="R600" i="5"/>
  <c r="S600" i="5"/>
  <c r="L601" i="5"/>
  <c r="O601" i="5" s="1"/>
  <c r="M601" i="5"/>
  <c r="P601" i="5" s="1"/>
  <c r="N601" i="5"/>
  <c r="Q601" i="5"/>
  <c r="R601" i="5"/>
  <c r="U601" i="5" s="1"/>
  <c r="S601" i="5"/>
  <c r="T601" i="5"/>
  <c r="L602" i="5"/>
  <c r="O602" i="5" s="1"/>
  <c r="M602" i="5"/>
  <c r="N602" i="5"/>
  <c r="P602" i="5"/>
  <c r="Q602" i="5"/>
  <c r="T602" i="5" s="1"/>
  <c r="R602" i="5"/>
  <c r="U602" i="5" s="1"/>
  <c r="S602" i="5"/>
  <c r="O603" i="5"/>
  <c r="P603" i="5"/>
  <c r="T603" i="5"/>
  <c r="U603" i="5"/>
  <c r="O604" i="5"/>
  <c r="P604" i="5"/>
  <c r="T604" i="5"/>
  <c r="U604" i="5"/>
  <c r="L605" i="5"/>
  <c r="O605" i="5" s="1"/>
  <c r="M605" i="5"/>
  <c r="N605" i="5"/>
  <c r="P605" i="5"/>
  <c r="Q605" i="5"/>
  <c r="T605" i="5" s="1"/>
  <c r="R605" i="5"/>
  <c r="U605" i="5" s="1"/>
  <c r="S605" i="5"/>
  <c r="O606" i="5"/>
  <c r="P606" i="5"/>
  <c r="T606" i="5"/>
  <c r="U606" i="5"/>
  <c r="O607" i="5"/>
  <c r="P607" i="5"/>
  <c r="T607" i="5"/>
  <c r="U607" i="5"/>
  <c r="L617" i="5"/>
  <c r="O617" i="5" s="1"/>
  <c r="M617" i="5"/>
  <c r="N617" i="5"/>
  <c r="Q617" i="5"/>
  <c r="R617" i="5"/>
  <c r="U617" i="5" s="1"/>
  <c r="S617" i="5"/>
  <c r="T617" i="5"/>
  <c r="L618" i="5"/>
  <c r="O618" i="5" s="1"/>
  <c r="M618" i="5"/>
  <c r="N618" i="5"/>
  <c r="P618" i="5"/>
  <c r="L619" i="5"/>
  <c r="O619" i="5" s="1"/>
  <c r="M619" i="5"/>
  <c r="P619" i="5" s="1"/>
  <c r="N619" i="5"/>
  <c r="O620" i="5"/>
  <c r="P620" i="5"/>
  <c r="T620" i="5"/>
  <c r="U620" i="5"/>
  <c r="O621" i="5"/>
  <c r="P621" i="5"/>
  <c r="Q621" i="5"/>
  <c r="Q618" i="5" s="1"/>
  <c r="R621" i="5"/>
  <c r="S621" i="5"/>
  <c r="L622" i="5"/>
  <c r="M622" i="5"/>
  <c r="N622" i="5"/>
  <c r="O622" i="5"/>
  <c r="P622" i="5"/>
  <c r="Q622" i="5"/>
  <c r="T622" i="5" s="1"/>
  <c r="R622" i="5"/>
  <c r="S622" i="5"/>
  <c r="U622" i="5"/>
  <c r="O623" i="5"/>
  <c r="P623" i="5"/>
  <c r="T623" i="5"/>
  <c r="U623" i="5"/>
  <c r="O624" i="5"/>
  <c r="P624" i="5"/>
  <c r="T624" i="5"/>
  <c r="U624" i="5"/>
  <c r="I626" i="5"/>
  <c r="K631" i="5" s="1"/>
  <c r="I627" i="5"/>
  <c r="K627" i="5" s="1"/>
  <c r="I628" i="5"/>
  <c r="K628" i="5" s="1"/>
  <c r="J632" i="5"/>
  <c r="J626" i="5" s="1"/>
  <c r="J615" i="5" s="1"/>
  <c r="I635" i="5"/>
  <c r="K635" i="5" s="1"/>
  <c r="J636" i="5"/>
  <c r="J635" i="5" s="1"/>
  <c r="L643" i="5"/>
  <c r="M643" i="5"/>
  <c r="P643" i="5" s="1"/>
  <c r="N643" i="5"/>
  <c r="O643" i="5"/>
  <c r="Q643" i="5"/>
  <c r="R643" i="5"/>
  <c r="U643" i="5" s="1"/>
  <c r="S643" i="5"/>
  <c r="L644" i="5"/>
  <c r="L642" i="5" s="1"/>
  <c r="O642" i="5" s="1"/>
  <c r="M644" i="5"/>
  <c r="P644" i="5" s="1"/>
  <c r="N644" i="5"/>
  <c r="L645" i="5"/>
  <c r="O645" i="5" s="1"/>
  <c r="M645" i="5"/>
  <c r="P645" i="5" s="1"/>
  <c r="N645" i="5"/>
  <c r="O646" i="5"/>
  <c r="P646" i="5"/>
  <c r="T646" i="5"/>
  <c r="U646" i="5"/>
  <c r="O647" i="5"/>
  <c r="P647" i="5"/>
  <c r="Q647" i="5"/>
  <c r="Q644" i="5" s="1"/>
  <c r="R647" i="5"/>
  <c r="R644" i="5" s="1"/>
  <c r="S647" i="5"/>
  <c r="S644" i="5" s="1"/>
  <c r="L648" i="5"/>
  <c r="M648" i="5"/>
  <c r="P648" i="5" s="1"/>
  <c r="N648" i="5"/>
  <c r="O648" i="5"/>
  <c r="Q648" i="5"/>
  <c r="T648" i="5" s="1"/>
  <c r="R648" i="5"/>
  <c r="S648" i="5"/>
  <c r="U648" i="5"/>
  <c r="O649" i="5"/>
  <c r="P649" i="5"/>
  <c r="T649" i="5"/>
  <c r="U649" i="5"/>
  <c r="O650" i="5"/>
  <c r="P650" i="5"/>
  <c r="T650" i="5"/>
  <c r="U650" i="5"/>
  <c r="I652" i="5"/>
  <c r="K652" i="5" s="1"/>
  <c r="J652" i="5"/>
  <c r="I653" i="5"/>
  <c r="J653" i="5"/>
  <c r="I654" i="5"/>
  <c r="K654" i="5" s="1"/>
  <c r="J654" i="5"/>
  <c r="I657" i="5"/>
  <c r="I660" i="5"/>
  <c r="I661" i="5"/>
  <c r="K661" i="5" s="1"/>
  <c r="J661" i="5"/>
  <c r="J671" i="5"/>
  <c r="J672" i="5"/>
  <c r="I673" i="5"/>
  <c r="K673" i="5" s="1"/>
  <c r="J673" i="5"/>
  <c r="I674" i="5"/>
  <c r="K674" i="5" s="1"/>
  <c r="I675" i="5"/>
  <c r="K675" i="5" s="1"/>
  <c r="I676" i="5"/>
  <c r="K676" i="5" s="1"/>
  <c r="J676" i="5"/>
  <c r="J677" i="5"/>
  <c r="I678" i="5"/>
  <c r="K678" i="5" s="1"/>
  <c r="J678" i="5"/>
  <c r="I679" i="5"/>
  <c r="K679" i="5" s="1"/>
  <c r="J679" i="5"/>
  <c r="J680" i="5"/>
  <c r="I681" i="5"/>
  <c r="K681" i="5" s="1"/>
  <c r="J681" i="5"/>
  <c r="I682" i="5"/>
  <c r="K682" i="5" s="1"/>
  <c r="J682" i="5"/>
  <c r="L691" i="5"/>
  <c r="O691" i="5" s="1"/>
  <c r="M691" i="5"/>
  <c r="P691" i="5" s="1"/>
  <c r="N691" i="5"/>
  <c r="Q691" i="5"/>
  <c r="T691" i="5" s="1"/>
  <c r="R691" i="5"/>
  <c r="U691" i="5" s="1"/>
  <c r="S691" i="5"/>
  <c r="L692" i="5"/>
  <c r="O692" i="5" s="1"/>
  <c r="M692" i="5"/>
  <c r="P692" i="5" s="1"/>
  <c r="N692" i="5"/>
  <c r="N690" i="5" s="1"/>
  <c r="L693" i="5"/>
  <c r="O693" i="5" s="1"/>
  <c r="M693" i="5"/>
  <c r="N693" i="5"/>
  <c r="P693" i="5"/>
  <c r="O694" i="5"/>
  <c r="P694" i="5"/>
  <c r="T694" i="5"/>
  <c r="U694" i="5"/>
  <c r="O695" i="5"/>
  <c r="P695" i="5"/>
  <c r="Q695" i="5"/>
  <c r="Q693" i="5" s="1"/>
  <c r="R695" i="5"/>
  <c r="S695" i="5"/>
  <c r="S692" i="5" s="1"/>
  <c r="S690" i="5" s="1"/>
  <c r="L696" i="5"/>
  <c r="M696" i="5"/>
  <c r="P696" i="5" s="1"/>
  <c r="N696" i="5"/>
  <c r="O696" i="5"/>
  <c r="Q696" i="5"/>
  <c r="R696" i="5"/>
  <c r="S696" i="5"/>
  <c r="T696" i="5"/>
  <c r="U696" i="5"/>
  <c r="O697" i="5"/>
  <c r="P697" i="5"/>
  <c r="T697" i="5"/>
  <c r="U697" i="5"/>
  <c r="O698" i="5"/>
  <c r="P698" i="5"/>
  <c r="T698" i="5"/>
  <c r="U698" i="5"/>
  <c r="I700" i="5"/>
  <c r="K700" i="5" s="1"/>
  <c r="K702" i="5"/>
  <c r="I703" i="5"/>
  <c r="K703" i="5" s="1"/>
  <c r="J703" i="5"/>
  <c r="J704" i="5"/>
  <c r="K704" i="5"/>
  <c r="I705" i="5"/>
  <c r="J705" i="5"/>
  <c r="J706" i="5"/>
  <c r="K706" i="5"/>
  <c r="I707" i="5"/>
  <c r="I689" i="5" s="1"/>
  <c r="K689" i="5" s="1"/>
  <c r="J707" i="5"/>
  <c r="J689" i="5" s="1"/>
  <c r="J708" i="5"/>
  <c r="K708" i="5"/>
  <c r="I709" i="5"/>
  <c r="J709" i="5"/>
  <c r="J710" i="5"/>
  <c r="K710" i="5"/>
  <c r="J712" i="5"/>
  <c r="K712" i="5"/>
  <c r="L715" i="5"/>
  <c r="O715" i="5" s="1"/>
  <c r="M715" i="5"/>
  <c r="P715" i="5" s="1"/>
  <c r="N715" i="5"/>
  <c r="N714" i="5" s="1"/>
  <c r="Q715" i="5"/>
  <c r="R715" i="5"/>
  <c r="U715" i="5" s="1"/>
  <c r="S715" i="5"/>
  <c r="L716" i="5"/>
  <c r="O716" i="5" s="1"/>
  <c r="M716" i="5"/>
  <c r="P716" i="5" s="1"/>
  <c r="N716" i="5"/>
  <c r="Q716" i="5"/>
  <c r="R716" i="5"/>
  <c r="U716" i="5" s="1"/>
  <c r="S716" i="5"/>
  <c r="T716" i="5"/>
  <c r="L717" i="5"/>
  <c r="O717" i="5" s="1"/>
  <c r="M717" i="5"/>
  <c r="P717" i="5" s="1"/>
  <c r="N717" i="5"/>
  <c r="Q717" i="5"/>
  <c r="T717" i="5" s="1"/>
  <c r="R717" i="5"/>
  <c r="U717" i="5" s="1"/>
  <c r="S717" i="5"/>
  <c r="O718" i="5"/>
  <c r="P718" i="5"/>
  <c r="T718" i="5"/>
  <c r="U718" i="5"/>
  <c r="O719" i="5"/>
  <c r="P719" i="5"/>
  <c r="T719" i="5"/>
  <c r="U719" i="5"/>
  <c r="L720" i="5"/>
  <c r="O720" i="5" s="1"/>
  <c r="M720" i="5"/>
  <c r="P720" i="5" s="1"/>
  <c r="N720" i="5"/>
  <c r="Q720" i="5"/>
  <c r="T720" i="5" s="1"/>
  <c r="R720" i="5"/>
  <c r="U720" i="5" s="1"/>
  <c r="S720" i="5"/>
  <c r="O721" i="5"/>
  <c r="P721" i="5"/>
  <c r="T721" i="5"/>
  <c r="U721" i="5"/>
  <c r="O722" i="5"/>
  <c r="P722" i="5"/>
  <c r="T722" i="5"/>
  <c r="U722" i="5"/>
  <c r="I726" i="5"/>
  <c r="K726" i="5" s="1"/>
  <c r="J726" i="5"/>
  <c r="I727" i="5"/>
  <c r="K727" i="5" s="1"/>
  <c r="J727" i="5"/>
  <c r="N728" i="5"/>
  <c r="L729" i="5"/>
  <c r="O729" i="5" s="1"/>
  <c r="M729" i="5"/>
  <c r="M728" i="5" s="1"/>
  <c r="P728" i="5" s="1"/>
  <c r="N729" i="5"/>
  <c r="P729" i="5"/>
  <c r="Q729" i="5"/>
  <c r="R729" i="5"/>
  <c r="U729" i="5" s="1"/>
  <c r="S729" i="5"/>
  <c r="L730" i="5"/>
  <c r="O730" i="5" s="1"/>
  <c r="M730" i="5"/>
  <c r="P730" i="5" s="1"/>
  <c r="N730" i="5"/>
  <c r="L731" i="5"/>
  <c r="O731" i="5" s="1"/>
  <c r="M731" i="5"/>
  <c r="P731" i="5" s="1"/>
  <c r="N731" i="5"/>
  <c r="O732" i="5"/>
  <c r="P732" i="5"/>
  <c r="T732" i="5"/>
  <c r="U732" i="5"/>
  <c r="O733" i="5"/>
  <c r="P733" i="5"/>
  <c r="Q733" i="5"/>
  <c r="Q730" i="5" s="1"/>
  <c r="R733" i="5"/>
  <c r="R731" i="5" s="1"/>
  <c r="S733" i="5"/>
  <c r="S731" i="5" s="1"/>
  <c r="L734" i="5"/>
  <c r="O734" i="5" s="1"/>
  <c r="M734" i="5"/>
  <c r="P734" i="5" s="1"/>
  <c r="N734" i="5"/>
  <c r="Q734" i="5"/>
  <c r="T734" i="5" s="1"/>
  <c r="R734" i="5"/>
  <c r="U734" i="5" s="1"/>
  <c r="S734" i="5"/>
  <c r="O735" i="5"/>
  <c r="P735" i="5"/>
  <c r="T735" i="5"/>
  <c r="U735" i="5"/>
  <c r="O736" i="5"/>
  <c r="P736" i="5"/>
  <c r="T736" i="5"/>
  <c r="U736" i="5"/>
  <c r="I740" i="5"/>
  <c r="K740" i="5" s="1"/>
  <c r="I742" i="5"/>
  <c r="K742" i="5" s="1"/>
  <c r="I744" i="5"/>
  <c r="K744" i="5" s="1"/>
  <c r="I746" i="5"/>
  <c r="K746" i="5" s="1"/>
  <c r="I749" i="5"/>
  <c r="K749" i="5" s="1"/>
  <c r="I752" i="5"/>
  <c r="K752" i="5" s="1"/>
  <c r="I755" i="5"/>
  <c r="K755" i="5" s="1"/>
  <c r="J758" i="5"/>
  <c r="J759" i="5"/>
  <c r="L761" i="5"/>
  <c r="M761" i="5"/>
  <c r="P761" i="5" s="1"/>
  <c r="N761" i="5"/>
  <c r="Q761" i="5"/>
  <c r="R761" i="5"/>
  <c r="S761" i="5"/>
  <c r="L762" i="5"/>
  <c r="M762" i="5"/>
  <c r="P762" i="5" s="1"/>
  <c r="N762" i="5"/>
  <c r="O762" i="5"/>
  <c r="L763" i="5"/>
  <c r="O763" i="5" s="1"/>
  <c r="M763" i="5"/>
  <c r="N763" i="5"/>
  <c r="P763" i="5"/>
  <c r="O764" i="5"/>
  <c r="P764" i="5"/>
  <c r="T764" i="5"/>
  <c r="U764" i="5"/>
  <c r="O765" i="5"/>
  <c r="P765" i="5"/>
  <c r="Q765" i="5"/>
  <c r="R765" i="5"/>
  <c r="R762" i="5" s="1"/>
  <c r="S765" i="5"/>
  <c r="S763" i="5" s="1"/>
  <c r="L766" i="5"/>
  <c r="O766" i="5" s="1"/>
  <c r="M766" i="5"/>
  <c r="P766" i="5" s="1"/>
  <c r="N766" i="5"/>
  <c r="Q766" i="5"/>
  <c r="T766" i="5" s="1"/>
  <c r="R766" i="5"/>
  <c r="U766" i="5" s="1"/>
  <c r="S766" i="5"/>
  <c r="O767" i="5"/>
  <c r="P767" i="5"/>
  <c r="T767" i="5"/>
  <c r="U767" i="5"/>
  <c r="O768" i="5"/>
  <c r="P768" i="5"/>
  <c r="T768" i="5"/>
  <c r="U768" i="5"/>
  <c r="I770" i="5"/>
  <c r="K770" i="5" s="1"/>
  <c r="I772" i="5"/>
  <c r="I758" i="5" s="1"/>
  <c r="K758" i="5" s="1"/>
  <c r="I774" i="5"/>
  <c r="K774" i="5" s="1"/>
  <c r="I775" i="5"/>
  <c r="I776" i="5"/>
  <c r="H777" i="5"/>
  <c r="I778" i="5"/>
  <c r="J778" i="5"/>
  <c r="I779" i="5"/>
  <c r="J779" i="5"/>
  <c r="I780" i="5"/>
  <c r="J780" i="5"/>
  <c r="I781" i="5"/>
  <c r="J781" i="5"/>
  <c r="I782" i="5"/>
  <c r="J782" i="5"/>
  <c r="I783" i="5"/>
  <c r="J783" i="5"/>
  <c r="I784" i="5"/>
  <c r="J784" i="5"/>
  <c r="I785" i="5"/>
  <c r="J785" i="5"/>
  <c r="A788" i="5"/>
  <c r="A789" i="5"/>
  <c r="L22" i="4"/>
  <c r="M22" i="4"/>
  <c r="P22" i="4" s="1"/>
  <c r="N22" i="4"/>
  <c r="N19" i="4" s="1"/>
  <c r="Q22" i="4"/>
  <c r="T22" i="4" s="1"/>
  <c r="R22" i="4"/>
  <c r="R19" i="4" s="1"/>
  <c r="S22" i="4"/>
  <c r="L25" i="4"/>
  <c r="M25" i="4"/>
  <c r="N25" i="4"/>
  <c r="Q25" i="4"/>
  <c r="T25" i="4" s="1"/>
  <c r="R25" i="4"/>
  <c r="S25" i="4"/>
  <c r="S24" i="4" s="1"/>
  <c r="Q26" i="4"/>
  <c r="R26" i="4"/>
  <c r="U26" i="4" s="1"/>
  <c r="S26" i="4"/>
  <c r="T26" i="4"/>
  <c r="L45" i="4"/>
  <c r="O45" i="4" s="1"/>
  <c r="M45" i="4"/>
  <c r="N45" i="4"/>
  <c r="Q45" i="4"/>
  <c r="Q44" i="4" s="1"/>
  <c r="T44" i="4" s="1"/>
  <c r="R45" i="4"/>
  <c r="U45" i="4" s="1"/>
  <c r="S45" i="4"/>
  <c r="S44" i="4" s="1"/>
  <c r="Q46" i="4"/>
  <c r="T46" i="4" s="1"/>
  <c r="R46" i="4"/>
  <c r="S46" i="4"/>
  <c r="U46" i="4"/>
  <c r="Q47" i="4"/>
  <c r="T47" i="4" s="1"/>
  <c r="R47" i="4"/>
  <c r="U47" i="4" s="1"/>
  <c r="S47" i="4"/>
  <c r="O48" i="4"/>
  <c r="P48" i="4"/>
  <c r="T48" i="4"/>
  <c r="U48" i="4"/>
  <c r="L49" i="4"/>
  <c r="L47" i="4" s="1"/>
  <c r="M49" i="4"/>
  <c r="M47" i="4" s="1"/>
  <c r="N49" i="4"/>
  <c r="T49" i="4"/>
  <c r="U49" i="4"/>
  <c r="Q50" i="4"/>
  <c r="R50" i="4"/>
  <c r="U50" i="4" s="1"/>
  <c r="S50" i="4"/>
  <c r="T50" i="4"/>
  <c r="O51" i="4"/>
  <c r="P51" i="4"/>
  <c r="T51" i="4"/>
  <c r="U51" i="4"/>
  <c r="L52" i="4"/>
  <c r="M52" i="4"/>
  <c r="N52" i="4"/>
  <c r="N50" i="4" s="1"/>
  <c r="T52" i="4"/>
  <c r="U52" i="4"/>
  <c r="L60" i="4"/>
  <c r="M60" i="4"/>
  <c r="N60" i="4"/>
  <c r="Q60" i="4"/>
  <c r="R60" i="4"/>
  <c r="U60" i="4" s="1"/>
  <c r="S60" i="4"/>
  <c r="T60" i="4"/>
  <c r="Q61" i="4"/>
  <c r="T61" i="4" s="1"/>
  <c r="R61" i="4"/>
  <c r="S61" i="4"/>
  <c r="U61" i="4"/>
  <c r="Q62" i="4"/>
  <c r="T62" i="4" s="1"/>
  <c r="R62" i="4"/>
  <c r="S62" i="4"/>
  <c r="U62" i="4"/>
  <c r="O63" i="4"/>
  <c r="P63" i="4"/>
  <c r="T63" i="4"/>
  <c r="U63" i="4"/>
  <c r="L64" i="4"/>
  <c r="M64" i="4"/>
  <c r="N64" i="4"/>
  <c r="N62" i="4" s="1"/>
  <c r="T64" i="4"/>
  <c r="U64" i="4"/>
  <c r="Q65" i="4"/>
  <c r="R65" i="4"/>
  <c r="U65" i="4" s="1"/>
  <c r="S65" i="4"/>
  <c r="T65" i="4"/>
  <c r="O66" i="4"/>
  <c r="P66" i="4"/>
  <c r="T66" i="4"/>
  <c r="U66" i="4"/>
  <c r="L67" i="4"/>
  <c r="M67" i="4"/>
  <c r="N67" i="4"/>
  <c r="N65" i="4" s="1"/>
  <c r="T67" i="4"/>
  <c r="U67" i="4"/>
  <c r="L73" i="4"/>
  <c r="O73" i="4" s="1"/>
  <c r="M73" i="4"/>
  <c r="N73" i="4"/>
  <c r="Q73" i="4"/>
  <c r="T73" i="4" s="1"/>
  <c r="R73" i="4"/>
  <c r="U73" i="4" s="1"/>
  <c r="S73" i="4"/>
  <c r="O76" i="4"/>
  <c r="P76" i="4"/>
  <c r="T76" i="4"/>
  <c r="U76" i="4"/>
  <c r="L77" i="4"/>
  <c r="L75" i="4" s="1"/>
  <c r="O75" i="4" s="1"/>
  <c r="M77" i="4"/>
  <c r="N77" i="4"/>
  <c r="N75" i="4" s="1"/>
  <c r="Q77" i="4"/>
  <c r="Q74" i="4" s="1"/>
  <c r="Q72" i="4" s="1"/>
  <c r="T72" i="4" s="1"/>
  <c r="R77" i="4"/>
  <c r="R74" i="4" s="1"/>
  <c r="U74" i="4" s="1"/>
  <c r="S77" i="4"/>
  <c r="S75" i="4" s="1"/>
  <c r="Q78" i="4"/>
  <c r="T78" i="4" s="1"/>
  <c r="R78" i="4"/>
  <c r="U78" i="4" s="1"/>
  <c r="S78" i="4"/>
  <c r="O79" i="4"/>
  <c r="P79" i="4"/>
  <c r="T79" i="4"/>
  <c r="U79" i="4"/>
  <c r="L80" i="4"/>
  <c r="L78" i="4" s="1"/>
  <c r="O78" i="4" s="1"/>
  <c r="M80" i="4"/>
  <c r="N80" i="4"/>
  <c r="N78" i="4" s="1"/>
  <c r="T80" i="4"/>
  <c r="U80" i="4"/>
  <c r="J82" i="4"/>
  <c r="J70" i="4" s="1"/>
  <c r="J83" i="4"/>
  <c r="J71" i="4" s="1"/>
  <c r="I84" i="4"/>
  <c r="I85" i="4"/>
  <c r="K85" i="4" s="1"/>
  <c r="I86" i="4"/>
  <c r="K86" i="4" s="1"/>
  <c r="I87" i="4"/>
  <c r="I88" i="4"/>
  <c r="K88" i="4" s="1"/>
  <c r="I89" i="4"/>
  <c r="K89" i="4" s="1"/>
  <c r="I90" i="4"/>
  <c r="K90" i="4" s="1"/>
  <c r="J92" i="4"/>
  <c r="J93" i="4"/>
  <c r="L95" i="4"/>
  <c r="M95" i="4"/>
  <c r="P95" i="4" s="1"/>
  <c r="N95" i="4"/>
  <c r="Q95" i="4"/>
  <c r="R95" i="4"/>
  <c r="U95" i="4" s="1"/>
  <c r="S95" i="4"/>
  <c r="T95" i="4"/>
  <c r="O98" i="4"/>
  <c r="P98" i="4"/>
  <c r="T98" i="4"/>
  <c r="U98" i="4"/>
  <c r="L99" i="4"/>
  <c r="M99" i="4"/>
  <c r="M97" i="4" s="1"/>
  <c r="P97" i="4" s="1"/>
  <c r="N99" i="4"/>
  <c r="N97" i="4" s="1"/>
  <c r="Q99" i="4"/>
  <c r="R99" i="4"/>
  <c r="S99" i="4"/>
  <c r="S96" i="4" s="1"/>
  <c r="Q100" i="4"/>
  <c r="T100" i="4" s="1"/>
  <c r="R100" i="4"/>
  <c r="U100" i="4" s="1"/>
  <c r="S100" i="4"/>
  <c r="O101" i="4"/>
  <c r="P101" i="4"/>
  <c r="T101" i="4"/>
  <c r="U101" i="4"/>
  <c r="L102" i="4"/>
  <c r="M102" i="4"/>
  <c r="M100" i="4" s="1"/>
  <c r="P100" i="4" s="1"/>
  <c r="N102" i="4"/>
  <c r="N100" i="4" s="1"/>
  <c r="T102" i="4"/>
  <c r="U102" i="4"/>
  <c r="I108" i="4"/>
  <c r="K108" i="4" s="1"/>
  <c r="I109" i="4"/>
  <c r="I93" i="4" s="1"/>
  <c r="K93" i="4" s="1"/>
  <c r="I114" i="4"/>
  <c r="K114" i="4" s="1"/>
  <c r="J116" i="4"/>
  <c r="L118" i="4"/>
  <c r="M118" i="4"/>
  <c r="P118" i="4" s="1"/>
  <c r="N118" i="4"/>
  <c r="O118" i="4"/>
  <c r="Q118" i="4"/>
  <c r="R118" i="4"/>
  <c r="U118" i="4" s="1"/>
  <c r="S118" i="4"/>
  <c r="T118" i="4"/>
  <c r="O121" i="4"/>
  <c r="P121" i="4"/>
  <c r="T121" i="4"/>
  <c r="U121" i="4"/>
  <c r="L122" i="4"/>
  <c r="L120" i="4" s="1"/>
  <c r="O120" i="4" s="1"/>
  <c r="M122" i="4"/>
  <c r="N122" i="4"/>
  <c r="N120" i="4" s="1"/>
  <c r="Q122" i="4"/>
  <c r="Q119" i="4" s="1"/>
  <c r="Q117" i="4" s="1"/>
  <c r="R122" i="4"/>
  <c r="R119" i="4" s="1"/>
  <c r="S122" i="4"/>
  <c r="S119" i="4" s="1"/>
  <c r="S117" i="4" s="1"/>
  <c r="Q123" i="4"/>
  <c r="T123" i="4" s="1"/>
  <c r="R123" i="4"/>
  <c r="U123" i="4" s="1"/>
  <c r="S123" i="4"/>
  <c r="O124" i="4"/>
  <c r="P124" i="4"/>
  <c r="T124" i="4"/>
  <c r="U124" i="4"/>
  <c r="L125" i="4"/>
  <c r="L123" i="4" s="1"/>
  <c r="O123" i="4" s="1"/>
  <c r="M125" i="4"/>
  <c r="N125" i="4"/>
  <c r="N123" i="4" s="1"/>
  <c r="T125" i="4"/>
  <c r="U125" i="4"/>
  <c r="I127" i="4"/>
  <c r="I128" i="4"/>
  <c r="K128" i="4" s="1"/>
  <c r="I129" i="4"/>
  <c r="K129" i="4" s="1"/>
  <c r="I130" i="4"/>
  <c r="K130" i="4" s="1"/>
  <c r="J136" i="4"/>
  <c r="J137" i="4"/>
  <c r="J138" i="4"/>
  <c r="L140" i="4"/>
  <c r="O140" i="4" s="1"/>
  <c r="M140" i="4"/>
  <c r="N140" i="4"/>
  <c r="P140" i="4"/>
  <c r="Q140" i="4"/>
  <c r="T140" i="4" s="1"/>
  <c r="R140" i="4"/>
  <c r="S140" i="4"/>
  <c r="U140" i="4"/>
  <c r="O143" i="4"/>
  <c r="P143" i="4"/>
  <c r="T143" i="4"/>
  <c r="U143" i="4"/>
  <c r="L144" i="4"/>
  <c r="L142" i="4" s="1"/>
  <c r="O142" i="4" s="1"/>
  <c r="M144" i="4"/>
  <c r="P144" i="4" s="1"/>
  <c r="N144" i="4"/>
  <c r="N142" i="4" s="1"/>
  <c r="Q144" i="4"/>
  <c r="Q142" i="4" s="1"/>
  <c r="T142" i="4" s="1"/>
  <c r="R144" i="4"/>
  <c r="S144" i="4"/>
  <c r="S141" i="4" s="1"/>
  <c r="Q145" i="4"/>
  <c r="T145" i="4" s="1"/>
  <c r="R145" i="4"/>
  <c r="S145" i="4"/>
  <c r="U145" i="4"/>
  <c r="O146" i="4"/>
  <c r="P146" i="4"/>
  <c r="T146" i="4"/>
  <c r="U146" i="4"/>
  <c r="L147" i="4"/>
  <c r="M147" i="4"/>
  <c r="N147" i="4"/>
  <c r="N145" i="4" s="1"/>
  <c r="T147" i="4"/>
  <c r="U147" i="4"/>
  <c r="I150" i="4"/>
  <c r="K150" i="4" s="1"/>
  <c r="I151" i="4"/>
  <c r="K151" i="4" s="1"/>
  <c r="I152" i="4"/>
  <c r="I137" i="4" s="1"/>
  <c r="K137" i="4" s="1"/>
  <c r="I153" i="4"/>
  <c r="I138" i="4" s="1"/>
  <c r="K138" i="4" s="1"/>
  <c r="I154" i="4"/>
  <c r="J156" i="4"/>
  <c r="L158" i="4"/>
  <c r="M158" i="4"/>
  <c r="P158" i="4" s="1"/>
  <c r="N158" i="4"/>
  <c r="O158" i="4"/>
  <c r="Q158" i="4"/>
  <c r="R158" i="4"/>
  <c r="U158" i="4" s="1"/>
  <c r="S158" i="4"/>
  <c r="T158" i="4"/>
  <c r="O161" i="4"/>
  <c r="P161" i="4"/>
  <c r="T161" i="4"/>
  <c r="U161" i="4"/>
  <c r="L162" i="4"/>
  <c r="L160" i="4" s="1"/>
  <c r="O160" i="4" s="1"/>
  <c r="M162" i="4"/>
  <c r="N162" i="4"/>
  <c r="N160" i="4" s="1"/>
  <c r="Q162" i="4"/>
  <c r="Q160" i="4" s="1"/>
  <c r="T160" i="4" s="1"/>
  <c r="R162" i="4"/>
  <c r="S162" i="4"/>
  <c r="S159" i="4" s="1"/>
  <c r="Q163" i="4"/>
  <c r="T163" i="4" s="1"/>
  <c r="R163" i="4"/>
  <c r="U163" i="4" s="1"/>
  <c r="S163" i="4"/>
  <c r="O164" i="4"/>
  <c r="P164" i="4"/>
  <c r="T164" i="4"/>
  <c r="U164" i="4"/>
  <c r="L165" i="4"/>
  <c r="L163" i="4" s="1"/>
  <c r="O163" i="4" s="1"/>
  <c r="M165" i="4"/>
  <c r="N165" i="4"/>
  <c r="N163" i="4" s="1"/>
  <c r="T165" i="4"/>
  <c r="U165" i="4"/>
  <c r="I167" i="4"/>
  <c r="K167" i="4" s="1"/>
  <c r="I168" i="4"/>
  <c r="K168" i="4" s="1"/>
  <c r="I169" i="4"/>
  <c r="J172" i="4"/>
  <c r="L174" i="4"/>
  <c r="O174" i="4" s="1"/>
  <c r="M174" i="4"/>
  <c r="N174" i="4"/>
  <c r="Q174" i="4"/>
  <c r="R174" i="4"/>
  <c r="U174" i="4" s="1"/>
  <c r="S174" i="4"/>
  <c r="O177" i="4"/>
  <c r="P177" i="4"/>
  <c r="T177" i="4"/>
  <c r="U177" i="4"/>
  <c r="L178" i="4"/>
  <c r="M178" i="4"/>
  <c r="N178" i="4"/>
  <c r="N176" i="4" s="1"/>
  <c r="Q178" i="4"/>
  <c r="Q176" i="4" s="1"/>
  <c r="T176" i="4" s="1"/>
  <c r="R178" i="4"/>
  <c r="R175" i="4" s="1"/>
  <c r="U175" i="4" s="1"/>
  <c r="S178" i="4"/>
  <c r="Q179" i="4"/>
  <c r="R179" i="4"/>
  <c r="U179" i="4" s="1"/>
  <c r="S179" i="4"/>
  <c r="T179" i="4"/>
  <c r="O180" i="4"/>
  <c r="P180" i="4"/>
  <c r="T180" i="4"/>
  <c r="U180" i="4"/>
  <c r="L181" i="4"/>
  <c r="O181" i="4" s="1"/>
  <c r="M181" i="4"/>
  <c r="N181" i="4"/>
  <c r="N179" i="4" s="1"/>
  <c r="T181" i="4"/>
  <c r="U181" i="4"/>
  <c r="I183" i="4"/>
  <c r="I172" i="4" s="1"/>
  <c r="K184" i="4"/>
  <c r="L187" i="4"/>
  <c r="M187" i="4"/>
  <c r="N187" i="4"/>
  <c r="Q187" i="4"/>
  <c r="T187" i="4" s="1"/>
  <c r="R187" i="4"/>
  <c r="S187" i="4"/>
  <c r="U187" i="4"/>
  <c r="O190" i="4"/>
  <c r="P190" i="4"/>
  <c r="T190" i="4"/>
  <c r="U190" i="4"/>
  <c r="L191" i="4"/>
  <c r="M191" i="4"/>
  <c r="M189" i="4" s="1"/>
  <c r="N191" i="4"/>
  <c r="Q191" i="4"/>
  <c r="R191" i="4"/>
  <c r="S191" i="4"/>
  <c r="Q192" i="4"/>
  <c r="T192" i="4" s="1"/>
  <c r="R192" i="4"/>
  <c r="S192" i="4"/>
  <c r="U192" i="4"/>
  <c r="O193" i="4"/>
  <c r="P193" i="4"/>
  <c r="T193" i="4"/>
  <c r="U193" i="4"/>
  <c r="L194" i="4"/>
  <c r="M194" i="4"/>
  <c r="M192" i="4" s="1"/>
  <c r="P192" i="4" s="1"/>
  <c r="N194" i="4"/>
  <c r="N192" i="4" s="1"/>
  <c r="T194" i="4"/>
  <c r="U194" i="4"/>
  <c r="J195" i="4"/>
  <c r="L196" i="4"/>
  <c r="O196" i="4" s="1"/>
  <c r="P196" i="4"/>
  <c r="I198" i="4"/>
  <c r="I195" i="4" s="1"/>
  <c r="K195" i="4" s="1"/>
  <c r="J199" i="4"/>
  <c r="J202" i="4"/>
  <c r="N203" i="4"/>
  <c r="P203" i="4"/>
  <c r="S203" i="4"/>
  <c r="U203" i="4"/>
  <c r="L204" i="4"/>
  <c r="L205" i="4"/>
  <c r="L206" i="4"/>
  <c r="Q206" i="4"/>
  <c r="Q203" i="4" s="1"/>
  <c r="T203" i="4" s="1"/>
  <c r="L207" i="4"/>
  <c r="I209" i="4"/>
  <c r="K209" i="4" s="1"/>
  <c r="I211" i="4"/>
  <c r="K211" i="4" s="1"/>
  <c r="I212" i="4"/>
  <c r="K212" i="4" s="1"/>
  <c r="J213" i="4"/>
  <c r="N214" i="4"/>
  <c r="P214" i="4"/>
  <c r="S214" i="4"/>
  <c r="U214" i="4"/>
  <c r="L215" i="4"/>
  <c r="L216" i="4"/>
  <c r="L217" i="4"/>
  <c r="Q217" i="4"/>
  <c r="Q214" i="4" s="1"/>
  <c r="T214" i="4" s="1"/>
  <c r="I219" i="4"/>
  <c r="K219" i="4" s="1"/>
  <c r="I220" i="4"/>
  <c r="J221" i="4"/>
  <c r="N222" i="4"/>
  <c r="P222" i="4"/>
  <c r="L223" i="4"/>
  <c r="L224" i="4"/>
  <c r="L225" i="4"/>
  <c r="I228" i="4"/>
  <c r="K228" i="4" s="1"/>
  <c r="I229" i="4"/>
  <c r="I230" i="4"/>
  <c r="K230" i="4" s="1"/>
  <c r="N233" i="4"/>
  <c r="N234" i="4"/>
  <c r="N235" i="4"/>
  <c r="N236" i="4"/>
  <c r="J238" i="4"/>
  <c r="I240" i="4"/>
  <c r="J240" i="4"/>
  <c r="K240" i="4"/>
  <c r="I241" i="4"/>
  <c r="J241" i="4"/>
  <c r="K241" i="4"/>
  <c r="J242" i="4"/>
  <c r="N243" i="4"/>
  <c r="N232" i="4" s="1"/>
  <c r="P243" i="4"/>
  <c r="L244" i="4"/>
  <c r="L245" i="4"/>
  <c r="L246" i="4"/>
  <c r="L247" i="4"/>
  <c r="I249" i="4"/>
  <c r="K251" i="4"/>
  <c r="K252" i="4"/>
  <c r="J253" i="4"/>
  <c r="J231" i="4" s="1"/>
  <c r="J185" i="4" s="1"/>
  <c r="N254" i="4"/>
  <c r="P254" i="4"/>
  <c r="L255" i="4"/>
  <c r="L256" i="4"/>
  <c r="L257" i="4"/>
  <c r="L258" i="4"/>
  <c r="I260" i="4"/>
  <c r="I253" i="4" s="1"/>
  <c r="K253" i="4" s="1"/>
  <c r="K262" i="4"/>
  <c r="K263" i="4"/>
  <c r="J265" i="4"/>
  <c r="L267" i="4"/>
  <c r="M267" i="4"/>
  <c r="N267" i="4"/>
  <c r="O267" i="4"/>
  <c r="Q267" i="4"/>
  <c r="R267" i="4"/>
  <c r="S267" i="4"/>
  <c r="U267" i="4"/>
  <c r="O270" i="4"/>
  <c r="P270" i="4"/>
  <c r="T270" i="4"/>
  <c r="U270" i="4"/>
  <c r="L271" i="4"/>
  <c r="L269" i="4" s="1"/>
  <c r="O269" i="4" s="1"/>
  <c r="M271" i="4"/>
  <c r="M269" i="4" s="1"/>
  <c r="N271" i="4"/>
  <c r="N269" i="4" s="1"/>
  <c r="Q271" i="4"/>
  <c r="Q269" i="4" s="1"/>
  <c r="R271" i="4"/>
  <c r="R268" i="4" s="1"/>
  <c r="R266" i="4" s="1"/>
  <c r="S271" i="4"/>
  <c r="S269" i="4" s="1"/>
  <c r="Q272" i="4"/>
  <c r="R272" i="4"/>
  <c r="U272" i="4" s="1"/>
  <c r="S272" i="4"/>
  <c r="T272" i="4"/>
  <c r="O273" i="4"/>
  <c r="P273" i="4"/>
  <c r="T273" i="4"/>
  <c r="U273" i="4"/>
  <c r="L274" i="4"/>
  <c r="O274" i="4" s="1"/>
  <c r="M274" i="4"/>
  <c r="P274" i="4" s="1"/>
  <c r="N274" i="4"/>
  <c r="N272" i="4" s="1"/>
  <c r="T274" i="4"/>
  <c r="U274" i="4"/>
  <c r="I276" i="4"/>
  <c r="K276" i="4" s="1"/>
  <c r="J281" i="4"/>
  <c r="L283" i="4"/>
  <c r="O283" i="4" s="1"/>
  <c r="M283" i="4"/>
  <c r="N283" i="4"/>
  <c r="P283" i="4"/>
  <c r="Q283" i="4"/>
  <c r="R283" i="4"/>
  <c r="R282" i="4" s="1"/>
  <c r="U282" i="4" s="1"/>
  <c r="S283" i="4"/>
  <c r="T283" i="4"/>
  <c r="Q284" i="4"/>
  <c r="T284" i="4" s="1"/>
  <c r="R284" i="4"/>
  <c r="U284" i="4" s="1"/>
  <c r="S284" i="4"/>
  <c r="S282" i="4" s="1"/>
  <c r="Q285" i="4"/>
  <c r="T285" i="4" s="1"/>
  <c r="R285" i="4"/>
  <c r="S285" i="4"/>
  <c r="U285" i="4"/>
  <c r="O286" i="4"/>
  <c r="P286" i="4"/>
  <c r="T286" i="4"/>
  <c r="U286" i="4"/>
  <c r="L287" i="4"/>
  <c r="M287" i="4"/>
  <c r="M285" i="4" s="1"/>
  <c r="N287" i="4"/>
  <c r="T287" i="4"/>
  <c r="U287" i="4"/>
  <c r="Q288" i="4"/>
  <c r="T288" i="4" s="1"/>
  <c r="R288" i="4"/>
  <c r="U288" i="4" s="1"/>
  <c r="S288" i="4"/>
  <c r="O289" i="4"/>
  <c r="P289" i="4"/>
  <c r="T289" i="4"/>
  <c r="U289" i="4"/>
  <c r="L290" i="4"/>
  <c r="L288" i="4" s="1"/>
  <c r="O288" i="4" s="1"/>
  <c r="M290" i="4"/>
  <c r="M288" i="4" s="1"/>
  <c r="P288" i="4" s="1"/>
  <c r="N290" i="4"/>
  <c r="N288" i="4" s="1"/>
  <c r="T290" i="4"/>
  <c r="U290" i="4"/>
  <c r="I292" i="4"/>
  <c r="I281" i="4" s="1"/>
  <c r="I293" i="4"/>
  <c r="J293" i="4"/>
  <c r="J280" i="4" s="1"/>
  <c r="I295" i="4"/>
  <c r="K295" i="4" s="1"/>
  <c r="I296" i="4"/>
  <c r="K296" i="4" s="1"/>
  <c r="J302" i="4"/>
  <c r="L304" i="4"/>
  <c r="O304" i="4" s="1"/>
  <c r="M304" i="4"/>
  <c r="N304" i="4"/>
  <c r="P304" i="4"/>
  <c r="Q304" i="4"/>
  <c r="R304" i="4"/>
  <c r="U304" i="4" s="1"/>
  <c r="S304" i="4"/>
  <c r="T304" i="4"/>
  <c r="O307" i="4"/>
  <c r="P307" i="4"/>
  <c r="T307" i="4"/>
  <c r="U307" i="4"/>
  <c r="L308" i="4"/>
  <c r="M308" i="4"/>
  <c r="N308" i="4"/>
  <c r="Q308" i="4"/>
  <c r="Q306" i="4" s="1"/>
  <c r="R308" i="4"/>
  <c r="S308" i="4"/>
  <c r="Q309" i="4"/>
  <c r="R309" i="4"/>
  <c r="U309" i="4" s="1"/>
  <c r="S309" i="4"/>
  <c r="T309" i="4"/>
  <c r="O310" i="4"/>
  <c r="P310" i="4"/>
  <c r="T310" i="4"/>
  <c r="U310" i="4"/>
  <c r="L311" i="4"/>
  <c r="O311" i="4" s="1"/>
  <c r="M311" i="4"/>
  <c r="N311" i="4"/>
  <c r="N309" i="4" s="1"/>
  <c r="T311" i="4"/>
  <c r="U311" i="4"/>
  <c r="I314" i="4"/>
  <c r="I302" i="4" s="1"/>
  <c r="J319" i="4"/>
  <c r="L321" i="4"/>
  <c r="M321" i="4"/>
  <c r="N321" i="4"/>
  <c r="Q321" i="4"/>
  <c r="R321" i="4"/>
  <c r="S321" i="4"/>
  <c r="Q322" i="4"/>
  <c r="T322" i="4" s="1"/>
  <c r="R322" i="4"/>
  <c r="S322" i="4"/>
  <c r="U322" i="4"/>
  <c r="Q323" i="4"/>
  <c r="T323" i="4" s="1"/>
  <c r="R323" i="4"/>
  <c r="U323" i="4" s="1"/>
  <c r="S323" i="4"/>
  <c r="O324" i="4"/>
  <c r="P324" i="4"/>
  <c r="T324" i="4"/>
  <c r="U324" i="4"/>
  <c r="L325" i="4"/>
  <c r="M325" i="4"/>
  <c r="P325" i="4" s="1"/>
  <c r="N325" i="4"/>
  <c r="N323" i="4" s="1"/>
  <c r="T325" i="4"/>
  <c r="U325" i="4"/>
  <c r="Q326" i="4"/>
  <c r="R326" i="4"/>
  <c r="U326" i="4" s="1"/>
  <c r="S326" i="4"/>
  <c r="T326" i="4"/>
  <c r="O327" i="4"/>
  <c r="P327" i="4"/>
  <c r="T327" i="4"/>
  <c r="U327" i="4"/>
  <c r="L328" i="4"/>
  <c r="M328" i="4"/>
  <c r="P328" i="4" s="1"/>
  <c r="N328" i="4"/>
  <c r="N326" i="4" s="1"/>
  <c r="T328" i="4"/>
  <c r="U328" i="4"/>
  <c r="I330" i="4"/>
  <c r="I319" i="4" s="1"/>
  <c r="K319" i="4" s="1"/>
  <c r="L334" i="4"/>
  <c r="M334" i="4"/>
  <c r="N334" i="4"/>
  <c r="O334" i="4"/>
  <c r="Q334" i="4"/>
  <c r="Q333" i="4" s="1"/>
  <c r="T333" i="4" s="1"/>
  <c r="R334" i="4"/>
  <c r="U334" i="4" s="1"/>
  <c r="S334" i="4"/>
  <c r="T334" i="4"/>
  <c r="Q335" i="4"/>
  <c r="T335" i="4" s="1"/>
  <c r="R335" i="4"/>
  <c r="U335" i="4" s="1"/>
  <c r="S335" i="4"/>
  <c r="Q336" i="4"/>
  <c r="T336" i="4" s="1"/>
  <c r="R336" i="4"/>
  <c r="U336" i="4" s="1"/>
  <c r="S336" i="4"/>
  <c r="O337" i="4"/>
  <c r="P337" i="4"/>
  <c r="T337" i="4"/>
  <c r="U337" i="4"/>
  <c r="L338" i="4"/>
  <c r="L336" i="4" s="1"/>
  <c r="M338" i="4"/>
  <c r="M336" i="4" s="1"/>
  <c r="N338" i="4"/>
  <c r="T338" i="4"/>
  <c r="U338" i="4"/>
  <c r="Q339" i="4"/>
  <c r="R339" i="4"/>
  <c r="U339" i="4" s="1"/>
  <c r="S339" i="4"/>
  <c r="T339" i="4"/>
  <c r="O340" i="4"/>
  <c r="P340" i="4"/>
  <c r="T340" i="4"/>
  <c r="U340" i="4"/>
  <c r="L341" i="4"/>
  <c r="M341" i="4"/>
  <c r="N341" i="4"/>
  <c r="N339" i="4" s="1"/>
  <c r="T341" i="4"/>
  <c r="U341" i="4"/>
  <c r="I344" i="4"/>
  <c r="I332" i="4" s="1"/>
  <c r="J344" i="4"/>
  <c r="I346" i="4"/>
  <c r="J346" i="4"/>
  <c r="J347" i="4"/>
  <c r="J348" i="4"/>
  <c r="J349" i="4"/>
  <c r="D350" i="4"/>
  <c r="J352" i="4"/>
  <c r="J353" i="4"/>
  <c r="J354" i="4"/>
  <c r="L357" i="4"/>
  <c r="O357" i="4" s="1"/>
  <c r="M357" i="4"/>
  <c r="N357" i="4"/>
  <c r="P357" i="4"/>
  <c r="Q357" i="4"/>
  <c r="R357" i="4"/>
  <c r="U357" i="4" s="1"/>
  <c r="S357" i="4"/>
  <c r="S356" i="4" s="1"/>
  <c r="Q358" i="4"/>
  <c r="R358" i="4"/>
  <c r="S358" i="4"/>
  <c r="T358" i="4"/>
  <c r="Q359" i="4"/>
  <c r="T359" i="4" s="1"/>
  <c r="R359" i="4"/>
  <c r="S359" i="4"/>
  <c r="U359" i="4"/>
  <c r="O360" i="4"/>
  <c r="P360" i="4"/>
  <c r="T360" i="4"/>
  <c r="U360" i="4"/>
  <c r="L361" i="4"/>
  <c r="M361" i="4"/>
  <c r="N361" i="4"/>
  <c r="T361" i="4"/>
  <c r="U361" i="4"/>
  <c r="Q362" i="4"/>
  <c r="T362" i="4" s="1"/>
  <c r="R362" i="4"/>
  <c r="U362" i="4" s="1"/>
  <c r="S362" i="4"/>
  <c r="O363" i="4"/>
  <c r="P363" i="4"/>
  <c r="T363" i="4"/>
  <c r="U363" i="4"/>
  <c r="L364" i="4"/>
  <c r="L362" i="4" s="1"/>
  <c r="O362" i="4" s="1"/>
  <c r="M364" i="4"/>
  <c r="M362" i="4" s="1"/>
  <c r="P362" i="4" s="1"/>
  <c r="N364" i="4"/>
  <c r="N362" i="4" s="1"/>
  <c r="T364" i="4"/>
  <c r="U364" i="4"/>
  <c r="J367" i="4"/>
  <c r="K367" i="4"/>
  <c r="I368" i="4"/>
  <c r="J368" i="4"/>
  <c r="I369" i="4"/>
  <c r="J369" i="4"/>
  <c r="J370" i="4"/>
  <c r="K370" i="4"/>
  <c r="I371" i="4"/>
  <c r="I365" i="4" s="1"/>
  <c r="J371" i="4"/>
  <c r="J365" i="4" s="1"/>
  <c r="J372" i="4"/>
  <c r="K372" i="4"/>
  <c r="D373" i="4"/>
  <c r="J374" i="4"/>
  <c r="L376" i="4"/>
  <c r="M376" i="4"/>
  <c r="M375" i="4" s="1"/>
  <c r="P375" i="4" s="1"/>
  <c r="N376" i="4"/>
  <c r="Q376" i="4"/>
  <c r="T376" i="4" s="1"/>
  <c r="R376" i="4"/>
  <c r="S376" i="4"/>
  <c r="L377" i="4"/>
  <c r="O377" i="4" s="1"/>
  <c r="M377" i="4"/>
  <c r="N377" i="4"/>
  <c r="N375" i="4" s="1"/>
  <c r="P377" i="4"/>
  <c r="L378" i="4"/>
  <c r="O378" i="4" s="1"/>
  <c r="M378" i="4"/>
  <c r="N378" i="4"/>
  <c r="P378" i="4"/>
  <c r="O379" i="4"/>
  <c r="P379" i="4"/>
  <c r="T379" i="4"/>
  <c r="U379" i="4"/>
  <c r="O380" i="4"/>
  <c r="P380" i="4"/>
  <c r="Q380" i="4"/>
  <c r="Q378" i="4" s="1"/>
  <c r="T378" i="4" s="1"/>
  <c r="R380" i="4"/>
  <c r="R378" i="4" s="1"/>
  <c r="U378" i="4" s="1"/>
  <c r="S380" i="4"/>
  <c r="S377" i="4" s="1"/>
  <c r="L381" i="4"/>
  <c r="M381" i="4"/>
  <c r="P381" i="4" s="1"/>
  <c r="N381" i="4"/>
  <c r="O381" i="4"/>
  <c r="Q381" i="4"/>
  <c r="T381" i="4" s="1"/>
  <c r="R381" i="4"/>
  <c r="U381" i="4" s="1"/>
  <c r="S381" i="4"/>
  <c r="O382" i="4"/>
  <c r="P382" i="4"/>
  <c r="T382" i="4"/>
  <c r="U382" i="4"/>
  <c r="O383" i="4"/>
  <c r="P383" i="4"/>
  <c r="T383" i="4"/>
  <c r="U383" i="4"/>
  <c r="I385" i="4"/>
  <c r="I374" i="4" s="1"/>
  <c r="K374" i="4" s="1"/>
  <c r="I386" i="4"/>
  <c r="K386" i="4" s="1"/>
  <c r="K387" i="4"/>
  <c r="K388" i="4"/>
  <c r="I391" i="4"/>
  <c r="J391" i="4"/>
  <c r="K391" i="4"/>
  <c r="L393" i="4"/>
  <c r="M393" i="4"/>
  <c r="N393" i="4"/>
  <c r="N392" i="4" s="1"/>
  <c r="Q393" i="4"/>
  <c r="R393" i="4"/>
  <c r="S393" i="4"/>
  <c r="T393" i="4"/>
  <c r="L394" i="4"/>
  <c r="M394" i="4"/>
  <c r="P394" i="4" s="1"/>
  <c r="N394" i="4"/>
  <c r="O394" i="4"/>
  <c r="Q394" i="4"/>
  <c r="T394" i="4" s="1"/>
  <c r="R394" i="4"/>
  <c r="S394" i="4"/>
  <c r="U394" i="4"/>
  <c r="L395" i="4"/>
  <c r="O395" i="4" s="1"/>
  <c r="M395" i="4"/>
  <c r="P395" i="4" s="1"/>
  <c r="N395" i="4"/>
  <c r="Q395" i="4"/>
  <c r="R395" i="4"/>
  <c r="U395" i="4" s="1"/>
  <c r="S395" i="4"/>
  <c r="T395" i="4"/>
  <c r="O396" i="4"/>
  <c r="P396" i="4"/>
  <c r="T396" i="4"/>
  <c r="U396" i="4"/>
  <c r="O397" i="4"/>
  <c r="P397" i="4"/>
  <c r="T397" i="4"/>
  <c r="U397" i="4"/>
  <c r="L398" i="4"/>
  <c r="O398" i="4" s="1"/>
  <c r="M398" i="4"/>
  <c r="N398" i="4"/>
  <c r="P398" i="4"/>
  <c r="Q398" i="4"/>
  <c r="R398" i="4"/>
  <c r="U398" i="4" s="1"/>
  <c r="S398" i="4"/>
  <c r="T398" i="4"/>
  <c r="O399" i="4"/>
  <c r="P399" i="4"/>
  <c r="T399" i="4"/>
  <c r="U399" i="4"/>
  <c r="O400" i="4"/>
  <c r="P400" i="4"/>
  <c r="T400" i="4"/>
  <c r="U400" i="4"/>
  <c r="L414" i="4"/>
  <c r="O414" i="4" s="1"/>
  <c r="M414" i="4"/>
  <c r="N414" i="4"/>
  <c r="N413" i="4" s="1"/>
  <c r="P414" i="4"/>
  <c r="Q414" i="4"/>
  <c r="T414" i="4" s="1"/>
  <c r="R414" i="4"/>
  <c r="S414" i="4"/>
  <c r="U414" i="4"/>
  <c r="L415" i="4"/>
  <c r="O415" i="4" s="1"/>
  <c r="M415" i="4"/>
  <c r="P415" i="4" s="1"/>
  <c r="N415" i="4"/>
  <c r="L416" i="4"/>
  <c r="O416" i="4" s="1"/>
  <c r="M416" i="4"/>
  <c r="P416" i="4" s="1"/>
  <c r="N416" i="4"/>
  <c r="O417" i="4"/>
  <c r="P417" i="4"/>
  <c r="T417" i="4"/>
  <c r="U417" i="4"/>
  <c r="O418" i="4"/>
  <c r="P418" i="4"/>
  <c r="Q418" i="4"/>
  <c r="R418" i="4"/>
  <c r="S418" i="4"/>
  <c r="S415" i="4" s="1"/>
  <c r="S413" i="4" s="1"/>
  <c r="L419" i="4"/>
  <c r="O419" i="4" s="1"/>
  <c r="M419" i="4"/>
  <c r="P419" i="4" s="1"/>
  <c r="N419" i="4"/>
  <c r="Q419" i="4"/>
  <c r="T419" i="4" s="1"/>
  <c r="R419" i="4"/>
  <c r="U419" i="4" s="1"/>
  <c r="S419" i="4"/>
  <c r="O420" i="4"/>
  <c r="P420" i="4"/>
  <c r="T420" i="4"/>
  <c r="U420" i="4"/>
  <c r="O421" i="4"/>
  <c r="P421" i="4"/>
  <c r="T421" i="4"/>
  <c r="U421" i="4"/>
  <c r="I424" i="4"/>
  <c r="K424" i="4" s="1"/>
  <c r="J424" i="4"/>
  <c r="I425" i="4"/>
  <c r="K425" i="4" s="1"/>
  <c r="J425" i="4"/>
  <c r="I432" i="4"/>
  <c r="K432" i="4" s="1"/>
  <c r="J432" i="4"/>
  <c r="I433" i="4"/>
  <c r="K433" i="4" s="1"/>
  <c r="J433" i="4"/>
  <c r="I440" i="4"/>
  <c r="I423" i="4" s="1"/>
  <c r="I441" i="4"/>
  <c r="K441" i="4" s="1"/>
  <c r="J446" i="4"/>
  <c r="J440" i="4" s="1"/>
  <c r="J423" i="4" s="1"/>
  <c r="J412" i="4" s="1"/>
  <c r="J447" i="4"/>
  <c r="J441" i="4" s="1"/>
  <c r="I457" i="4"/>
  <c r="I456" i="4" s="1"/>
  <c r="K456" i="4" s="1"/>
  <c r="I458" i="4"/>
  <c r="K458" i="4" s="1"/>
  <c r="J459" i="4"/>
  <c r="J460" i="4"/>
  <c r="J467" i="4"/>
  <c r="J468" i="4"/>
  <c r="J458" i="4" s="1"/>
  <c r="J475" i="4"/>
  <c r="K475" i="4"/>
  <c r="J476" i="4"/>
  <c r="K476" i="4"/>
  <c r="J477" i="4"/>
  <c r="K477" i="4"/>
  <c r="J482" i="4"/>
  <c r="J483" i="4"/>
  <c r="I484" i="4"/>
  <c r="K484" i="4" s="1"/>
  <c r="J484" i="4"/>
  <c r="I485" i="4"/>
  <c r="K485" i="4" s="1"/>
  <c r="J485" i="4"/>
  <c r="L494" i="4"/>
  <c r="O494" i="4" s="1"/>
  <c r="M494" i="4"/>
  <c r="N494" i="4"/>
  <c r="N493" i="4" s="1"/>
  <c r="Q494" i="4"/>
  <c r="R494" i="4"/>
  <c r="S494" i="4"/>
  <c r="U494" i="4"/>
  <c r="L495" i="4"/>
  <c r="M495" i="4"/>
  <c r="P495" i="4" s="1"/>
  <c r="N495" i="4"/>
  <c r="O495" i="4"/>
  <c r="L496" i="4"/>
  <c r="O496" i="4" s="1"/>
  <c r="M496" i="4"/>
  <c r="P496" i="4" s="1"/>
  <c r="N496" i="4"/>
  <c r="O497" i="4"/>
  <c r="P497" i="4"/>
  <c r="T497" i="4"/>
  <c r="U497" i="4"/>
  <c r="O498" i="4"/>
  <c r="P498" i="4"/>
  <c r="Q498" i="4"/>
  <c r="Q495" i="4" s="1"/>
  <c r="T495" i="4" s="1"/>
  <c r="R498" i="4"/>
  <c r="S498" i="4"/>
  <c r="S496" i="4" s="1"/>
  <c r="L499" i="4"/>
  <c r="O499" i="4" s="1"/>
  <c r="M499" i="4"/>
  <c r="N499" i="4"/>
  <c r="P499" i="4"/>
  <c r="Q499" i="4"/>
  <c r="T499" i="4" s="1"/>
  <c r="R499" i="4"/>
  <c r="U499" i="4" s="1"/>
  <c r="S499" i="4"/>
  <c r="O500" i="4"/>
  <c r="P500" i="4"/>
  <c r="T500" i="4"/>
  <c r="U500" i="4"/>
  <c r="O501" i="4"/>
  <c r="P501" i="4"/>
  <c r="T501" i="4"/>
  <c r="U501" i="4"/>
  <c r="I503" i="4"/>
  <c r="I504" i="4"/>
  <c r="I505" i="4"/>
  <c r="K505" i="4" s="1"/>
  <c r="I506" i="4"/>
  <c r="K506" i="4" s="1"/>
  <c r="I507" i="4"/>
  <c r="K507" i="4" s="1"/>
  <c r="K508" i="4"/>
  <c r="I509" i="4"/>
  <c r="K509" i="4" s="1"/>
  <c r="I512" i="4"/>
  <c r="K512" i="4" s="1"/>
  <c r="J512" i="4"/>
  <c r="L514" i="4"/>
  <c r="M514" i="4"/>
  <c r="P514" i="4" s="1"/>
  <c r="N514" i="4"/>
  <c r="O514" i="4"/>
  <c r="Q514" i="4"/>
  <c r="R514" i="4"/>
  <c r="U514" i="4" s="1"/>
  <c r="S514" i="4"/>
  <c r="S513" i="4" s="1"/>
  <c r="Q515" i="4"/>
  <c r="T515" i="4" s="1"/>
  <c r="R515" i="4"/>
  <c r="S515" i="4"/>
  <c r="U515" i="4"/>
  <c r="Q516" i="4"/>
  <c r="T516" i="4" s="1"/>
  <c r="R516" i="4"/>
  <c r="U516" i="4" s="1"/>
  <c r="S516" i="4"/>
  <c r="O517" i="4"/>
  <c r="P517" i="4"/>
  <c r="T517" i="4"/>
  <c r="U517" i="4"/>
  <c r="L518" i="4"/>
  <c r="L516" i="4" s="1"/>
  <c r="O516" i="4" s="1"/>
  <c r="M518" i="4"/>
  <c r="M516" i="4" s="1"/>
  <c r="P516" i="4" s="1"/>
  <c r="N518" i="4"/>
  <c r="T518" i="4"/>
  <c r="U518" i="4"/>
  <c r="Q519" i="4"/>
  <c r="T519" i="4" s="1"/>
  <c r="R519" i="4"/>
  <c r="U519" i="4" s="1"/>
  <c r="S519" i="4"/>
  <c r="O520" i="4"/>
  <c r="P520" i="4"/>
  <c r="T520" i="4"/>
  <c r="U520" i="4"/>
  <c r="L521" i="4"/>
  <c r="O521" i="4" s="1"/>
  <c r="M521" i="4"/>
  <c r="P521" i="4" s="1"/>
  <c r="N521" i="4"/>
  <c r="N519" i="4" s="1"/>
  <c r="T521" i="4"/>
  <c r="U521" i="4"/>
  <c r="K523" i="4"/>
  <c r="K524" i="4"/>
  <c r="I533" i="4"/>
  <c r="K533" i="4" s="1"/>
  <c r="J533" i="4"/>
  <c r="L535" i="4"/>
  <c r="O535" i="4" s="1"/>
  <c r="M535" i="4"/>
  <c r="P535" i="4" s="1"/>
  <c r="N535" i="4"/>
  <c r="N534" i="4" s="1"/>
  <c r="Q535" i="4"/>
  <c r="Q534" i="4" s="1"/>
  <c r="T534" i="4" s="1"/>
  <c r="R535" i="4"/>
  <c r="S535" i="4"/>
  <c r="U535" i="4"/>
  <c r="L536" i="4"/>
  <c r="M536" i="4"/>
  <c r="P536" i="4" s="1"/>
  <c r="N536" i="4"/>
  <c r="O536" i="4"/>
  <c r="Q536" i="4"/>
  <c r="T536" i="4" s="1"/>
  <c r="R536" i="4"/>
  <c r="R534" i="4" s="1"/>
  <c r="U534" i="4" s="1"/>
  <c r="S536" i="4"/>
  <c r="L537" i="4"/>
  <c r="O537" i="4" s="1"/>
  <c r="M537" i="4"/>
  <c r="P537" i="4" s="1"/>
  <c r="N537" i="4"/>
  <c r="Q537" i="4"/>
  <c r="T537" i="4" s="1"/>
  <c r="R537" i="4"/>
  <c r="U537" i="4" s="1"/>
  <c r="S537" i="4"/>
  <c r="O538" i="4"/>
  <c r="P538" i="4"/>
  <c r="T538" i="4"/>
  <c r="U538" i="4"/>
  <c r="O539" i="4"/>
  <c r="P539" i="4"/>
  <c r="T539" i="4"/>
  <c r="U539" i="4"/>
  <c r="L540" i="4"/>
  <c r="O540" i="4" s="1"/>
  <c r="M540" i="4"/>
  <c r="P540" i="4" s="1"/>
  <c r="N540" i="4"/>
  <c r="Q540" i="4"/>
  <c r="R540" i="4"/>
  <c r="U540" i="4" s="1"/>
  <c r="S540" i="4"/>
  <c r="T540" i="4"/>
  <c r="O541" i="4"/>
  <c r="P541" i="4"/>
  <c r="T541" i="4"/>
  <c r="U541" i="4"/>
  <c r="O542" i="4"/>
  <c r="P542" i="4"/>
  <c r="T542" i="4"/>
  <c r="U542" i="4"/>
  <c r="I554" i="4"/>
  <c r="K554" i="4" s="1"/>
  <c r="J554" i="4"/>
  <c r="L556" i="4"/>
  <c r="M556" i="4"/>
  <c r="N556" i="4"/>
  <c r="P556" i="4"/>
  <c r="Q556" i="4"/>
  <c r="R556" i="4"/>
  <c r="S556" i="4"/>
  <c r="U556" i="4"/>
  <c r="L557" i="4"/>
  <c r="M557" i="4"/>
  <c r="P557" i="4" s="1"/>
  <c r="N557" i="4"/>
  <c r="N555" i="4" s="1"/>
  <c r="O557" i="4"/>
  <c r="Q557" i="4"/>
  <c r="R557" i="4"/>
  <c r="U557" i="4" s="1"/>
  <c r="S557" i="4"/>
  <c r="T557" i="4"/>
  <c r="L558" i="4"/>
  <c r="O558" i="4" s="1"/>
  <c r="M558" i="4"/>
  <c r="N558" i="4"/>
  <c r="P558" i="4"/>
  <c r="Q558" i="4"/>
  <c r="T558" i="4" s="1"/>
  <c r="R558" i="4"/>
  <c r="S558" i="4"/>
  <c r="U558" i="4"/>
  <c r="O559" i="4"/>
  <c r="P559" i="4"/>
  <c r="T559" i="4"/>
  <c r="U559" i="4"/>
  <c r="O560" i="4"/>
  <c r="P560" i="4"/>
  <c r="T560" i="4"/>
  <c r="U560" i="4"/>
  <c r="L561" i="4"/>
  <c r="O561" i="4" s="1"/>
  <c r="M561" i="4"/>
  <c r="P561" i="4" s="1"/>
  <c r="N561" i="4"/>
  <c r="Q561" i="4"/>
  <c r="T561" i="4" s="1"/>
  <c r="R561" i="4"/>
  <c r="U561" i="4" s="1"/>
  <c r="S561" i="4"/>
  <c r="O562" i="4"/>
  <c r="P562" i="4"/>
  <c r="T562" i="4"/>
  <c r="U562" i="4"/>
  <c r="O563" i="4"/>
  <c r="P563" i="4"/>
  <c r="T563" i="4"/>
  <c r="U563" i="4"/>
  <c r="I575" i="4"/>
  <c r="K575" i="4" s="1"/>
  <c r="J575" i="4"/>
  <c r="L577" i="4"/>
  <c r="M577" i="4"/>
  <c r="P577" i="4" s="1"/>
  <c r="N577" i="4"/>
  <c r="Q577" i="4"/>
  <c r="R577" i="4"/>
  <c r="S577" i="4"/>
  <c r="T577" i="4"/>
  <c r="L578" i="4"/>
  <c r="M578" i="4"/>
  <c r="P578" i="4" s="1"/>
  <c r="N578" i="4"/>
  <c r="N576" i="4" s="1"/>
  <c r="O578" i="4"/>
  <c r="Q578" i="4"/>
  <c r="R578" i="4"/>
  <c r="S578" i="4"/>
  <c r="U578" i="4"/>
  <c r="L579" i="4"/>
  <c r="O579" i="4" s="1"/>
  <c r="M579" i="4"/>
  <c r="P579" i="4" s="1"/>
  <c r="N579" i="4"/>
  <c r="Q579" i="4"/>
  <c r="T579" i="4" s="1"/>
  <c r="R579" i="4"/>
  <c r="U579" i="4" s="1"/>
  <c r="S579" i="4"/>
  <c r="O580" i="4"/>
  <c r="P580" i="4"/>
  <c r="T580" i="4"/>
  <c r="U580" i="4"/>
  <c r="O581" i="4"/>
  <c r="P581" i="4"/>
  <c r="T581" i="4"/>
  <c r="U581" i="4"/>
  <c r="L582" i="4"/>
  <c r="O582" i="4" s="1"/>
  <c r="M582" i="4"/>
  <c r="P582" i="4" s="1"/>
  <c r="N582" i="4"/>
  <c r="Q582" i="4"/>
  <c r="T582" i="4" s="1"/>
  <c r="R582" i="4"/>
  <c r="U582" i="4" s="1"/>
  <c r="S582" i="4"/>
  <c r="O583" i="4"/>
  <c r="P583" i="4"/>
  <c r="T583" i="4"/>
  <c r="U583" i="4"/>
  <c r="O584" i="4"/>
  <c r="P584" i="4"/>
  <c r="T584" i="4"/>
  <c r="U584" i="4"/>
  <c r="L600" i="4"/>
  <c r="M600" i="4"/>
  <c r="P600" i="4" s="1"/>
  <c r="N600" i="4"/>
  <c r="N599" i="4" s="1"/>
  <c r="Q600" i="4"/>
  <c r="R600" i="4"/>
  <c r="S600" i="4"/>
  <c r="T600" i="4"/>
  <c r="L601" i="4"/>
  <c r="O601" i="4" s="1"/>
  <c r="M601" i="4"/>
  <c r="P601" i="4" s="1"/>
  <c r="N601" i="4"/>
  <c r="Q601" i="4"/>
  <c r="R601" i="4"/>
  <c r="U601" i="4" s="1"/>
  <c r="S601" i="4"/>
  <c r="L602" i="4"/>
  <c r="O602" i="4" s="1"/>
  <c r="M602" i="4"/>
  <c r="P602" i="4" s="1"/>
  <c r="N602" i="4"/>
  <c r="Q602" i="4"/>
  <c r="T602" i="4" s="1"/>
  <c r="R602" i="4"/>
  <c r="U602" i="4" s="1"/>
  <c r="S602" i="4"/>
  <c r="O603" i="4"/>
  <c r="P603" i="4"/>
  <c r="T603" i="4"/>
  <c r="U603" i="4"/>
  <c r="O604" i="4"/>
  <c r="P604" i="4"/>
  <c r="T604" i="4"/>
  <c r="U604" i="4"/>
  <c r="L605" i="4"/>
  <c r="O605" i="4" s="1"/>
  <c r="M605" i="4"/>
  <c r="N605" i="4"/>
  <c r="P605" i="4"/>
  <c r="Q605" i="4"/>
  <c r="T605" i="4" s="1"/>
  <c r="R605" i="4"/>
  <c r="U605" i="4" s="1"/>
  <c r="S605" i="4"/>
  <c r="O606" i="4"/>
  <c r="P606" i="4"/>
  <c r="T606" i="4"/>
  <c r="U606" i="4"/>
  <c r="O607" i="4"/>
  <c r="P607" i="4"/>
  <c r="T607" i="4"/>
  <c r="U607" i="4"/>
  <c r="L617" i="4"/>
  <c r="M617" i="4"/>
  <c r="P617" i="4" s="1"/>
  <c r="N617" i="4"/>
  <c r="O617" i="4"/>
  <c r="Q617" i="4"/>
  <c r="T617" i="4" s="1"/>
  <c r="R617" i="4"/>
  <c r="U617" i="4" s="1"/>
  <c r="S617" i="4"/>
  <c r="L618" i="4"/>
  <c r="O618" i="4" s="1"/>
  <c r="M618" i="4"/>
  <c r="P618" i="4" s="1"/>
  <c r="N618" i="4"/>
  <c r="N616" i="4" s="1"/>
  <c r="L619" i="4"/>
  <c r="M619" i="4"/>
  <c r="P619" i="4" s="1"/>
  <c r="N619" i="4"/>
  <c r="O619" i="4"/>
  <c r="O620" i="4"/>
  <c r="P620" i="4"/>
  <c r="T620" i="4"/>
  <c r="U620" i="4"/>
  <c r="O621" i="4"/>
  <c r="P621" i="4"/>
  <c r="Q621" i="4"/>
  <c r="R621" i="4"/>
  <c r="R619" i="4" s="1"/>
  <c r="S621" i="4"/>
  <c r="S618" i="4" s="1"/>
  <c r="L622" i="4"/>
  <c r="O622" i="4" s="1"/>
  <c r="M622" i="4"/>
  <c r="P622" i="4" s="1"/>
  <c r="N622" i="4"/>
  <c r="Q622" i="4"/>
  <c r="R622" i="4"/>
  <c r="U622" i="4" s="1"/>
  <c r="S622" i="4"/>
  <c r="T622" i="4"/>
  <c r="O623" i="4"/>
  <c r="P623" i="4"/>
  <c r="T623" i="4"/>
  <c r="U623" i="4"/>
  <c r="O624" i="4"/>
  <c r="P624" i="4"/>
  <c r="T624" i="4"/>
  <c r="U624" i="4"/>
  <c r="I626" i="4"/>
  <c r="I627" i="4"/>
  <c r="K627" i="4" s="1"/>
  <c r="I628" i="4"/>
  <c r="K628" i="4" s="1"/>
  <c r="J632" i="4"/>
  <c r="J626" i="4" s="1"/>
  <c r="I635" i="4"/>
  <c r="K635" i="4" s="1"/>
  <c r="J636" i="4"/>
  <c r="J635" i="4" s="1"/>
  <c r="L642" i="4"/>
  <c r="O642" i="4" s="1"/>
  <c r="L643" i="4"/>
  <c r="M643" i="4"/>
  <c r="N643" i="4"/>
  <c r="N642" i="4" s="1"/>
  <c r="O643" i="4"/>
  <c r="P643" i="4"/>
  <c r="Q643" i="4"/>
  <c r="R643" i="4"/>
  <c r="S643" i="4"/>
  <c r="T643" i="4"/>
  <c r="U643" i="4"/>
  <c r="L644" i="4"/>
  <c r="O644" i="4" s="1"/>
  <c r="M644" i="4"/>
  <c r="N644" i="4"/>
  <c r="L645" i="4"/>
  <c r="O645" i="4" s="1"/>
  <c r="M645" i="4"/>
  <c r="N645" i="4"/>
  <c r="P645" i="4"/>
  <c r="O646" i="4"/>
  <c r="P646" i="4"/>
  <c r="T646" i="4"/>
  <c r="U646" i="4"/>
  <c r="O647" i="4"/>
  <c r="P647" i="4"/>
  <c r="Q647" i="4"/>
  <c r="R647" i="4"/>
  <c r="S647" i="4"/>
  <c r="S644" i="4" s="1"/>
  <c r="L648" i="4"/>
  <c r="O648" i="4" s="1"/>
  <c r="M648" i="4"/>
  <c r="P648" i="4" s="1"/>
  <c r="N648" i="4"/>
  <c r="Q648" i="4"/>
  <c r="T648" i="4" s="1"/>
  <c r="R648" i="4"/>
  <c r="U648" i="4" s="1"/>
  <c r="S648" i="4"/>
  <c r="O649" i="4"/>
  <c r="P649" i="4"/>
  <c r="T649" i="4"/>
  <c r="U649" i="4"/>
  <c r="O650" i="4"/>
  <c r="P650" i="4"/>
  <c r="T650" i="4"/>
  <c r="U650" i="4"/>
  <c r="I652" i="4"/>
  <c r="K652" i="4" s="1"/>
  <c r="J652" i="4"/>
  <c r="I653" i="4"/>
  <c r="K653" i="4" s="1"/>
  <c r="J653" i="4"/>
  <c r="I654" i="4"/>
  <c r="J654" i="4"/>
  <c r="I657" i="4"/>
  <c r="I660" i="4"/>
  <c r="I661" i="4"/>
  <c r="J661" i="4"/>
  <c r="J671" i="4"/>
  <c r="J672" i="4"/>
  <c r="I673" i="4"/>
  <c r="K673" i="4" s="1"/>
  <c r="J673" i="4"/>
  <c r="I674" i="4"/>
  <c r="I675" i="4"/>
  <c r="I676" i="4"/>
  <c r="J676" i="4"/>
  <c r="J677" i="4"/>
  <c r="I678" i="4"/>
  <c r="J678" i="4"/>
  <c r="I679" i="4"/>
  <c r="K679" i="4" s="1"/>
  <c r="J679" i="4"/>
  <c r="J680" i="4"/>
  <c r="I681" i="4"/>
  <c r="K681" i="4" s="1"/>
  <c r="J681" i="4"/>
  <c r="I682" i="4"/>
  <c r="K682" i="4" s="1"/>
  <c r="J682" i="4"/>
  <c r="L691" i="4"/>
  <c r="O691" i="4" s="1"/>
  <c r="M691" i="4"/>
  <c r="P691" i="4" s="1"/>
  <c r="N691" i="4"/>
  <c r="N690" i="4" s="1"/>
  <c r="Q691" i="4"/>
  <c r="R691" i="4"/>
  <c r="U691" i="4" s="1"/>
  <c r="S691" i="4"/>
  <c r="L692" i="4"/>
  <c r="O692" i="4" s="1"/>
  <c r="M692" i="4"/>
  <c r="P692" i="4" s="1"/>
  <c r="N692" i="4"/>
  <c r="L693" i="4"/>
  <c r="M693" i="4"/>
  <c r="P693" i="4" s="1"/>
  <c r="N693" i="4"/>
  <c r="O693" i="4"/>
  <c r="O694" i="4"/>
  <c r="P694" i="4"/>
  <c r="T694" i="4"/>
  <c r="U694" i="4"/>
  <c r="O695" i="4"/>
  <c r="P695" i="4"/>
  <c r="Q695" i="4"/>
  <c r="Q693" i="4" s="1"/>
  <c r="R695" i="4"/>
  <c r="S695" i="4"/>
  <c r="S693" i="4" s="1"/>
  <c r="L696" i="4"/>
  <c r="O696" i="4" s="1"/>
  <c r="M696" i="4"/>
  <c r="P696" i="4" s="1"/>
  <c r="N696" i="4"/>
  <c r="Q696" i="4"/>
  <c r="T696" i="4" s="1"/>
  <c r="R696" i="4"/>
  <c r="U696" i="4" s="1"/>
  <c r="S696" i="4"/>
  <c r="O697" i="4"/>
  <c r="P697" i="4"/>
  <c r="T697" i="4"/>
  <c r="U697" i="4"/>
  <c r="O698" i="4"/>
  <c r="P698" i="4"/>
  <c r="T698" i="4"/>
  <c r="U698" i="4"/>
  <c r="I700" i="4"/>
  <c r="K700" i="4" s="1"/>
  <c r="K702" i="4"/>
  <c r="I703" i="4"/>
  <c r="J703" i="4"/>
  <c r="J704" i="4"/>
  <c r="K704" i="4"/>
  <c r="I705" i="4"/>
  <c r="J705" i="4"/>
  <c r="J706" i="4"/>
  <c r="K706" i="4"/>
  <c r="I707" i="4"/>
  <c r="J707" i="4"/>
  <c r="J689" i="4" s="1"/>
  <c r="J708" i="4"/>
  <c r="K708" i="4"/>
  <c r="I709" i="4"/>
  <c r="J709" i="4"/>
  <c r="J710" i="4"/>
  <c r="K710" i="4"/>
  <c r="J712" i="4"/>
  <c r="K712" i="4"/>
  <c r="L715" i="4"/>
  <c r="L714" i="4" s="1"/>
  <c r="O714" i="4" s="1"/>
  <c r="M715" i="4"/>
  <c r="P715" i="4" s="1"/>
  <c r="N715" i="4"/>
  <c r="O715" i="4"/>
  <c r="Q715" i="4"/>
  <c r="T715" i="4" s="1"/>
  <c r="R715" i="4"/>
  <c r="S715" i="4"/>
  <c r="S714" i="4" s="1"/>
  <c r="U715" i="4"/>
  <c r="L716" i="4"/>
  <c r="O716" i="4" s="1"/>
  <c r="M716" i="4"/>
  <c r="M714" i="4" s="1"/>
  <c r="P714" i="4" s="1"/>
  <c r="N716" i="4"/>
  <c r="Q716" i="4"/>
  <c r="T716" i="4" s="1"/>
  <c r="R716" i="4"/>
  <c r="U716" i="4" s="1"/>
  <c r="S716" i="4"/>
  <c r="L717" i="4"/>
  <c r="O717" i="4" s="1"/>
  <c r="M717" i="4"/>
  <c r="P717" i="4" s="1"/>
  <c r="N717" i="4"/>
  <c r="Q717" i="4"/>
  <c r="R717" i="4"/>
  <c r="U717" i="4" s="1"/>
  <c r="S717" i="4"/>
  <c r="T717" i="4"/>
  <c r="O718" i="4"/>
  <c r="P718" i="4"/>
  <c r="T718" i="4"/>
  <c r="U718" i="4"/>
  <c r="O719" i="4"/>
  <c r="P719" i="4"/>
  <c r="T719" i="4"/>
  <c r="U719" i="4"/>
  <c r="L720" i="4"/>
  <c r="O720" i="4" s="1"/>
  <c r="M720" i="4"/>
  <c r="P720" i="4" s="1"/>
  <c r="N720" i="4"/>
  <c r="Q720" i="4"/>
  <c r="T720" i="4" s="1"/>
  <c r="R720" i="4"/>
  <c r="U720" i="4" s="1"/>
  <c r="S720" i="4"/>
  <c r="O721" i="4"/>
  <c r="P721" i="4"/>
  <c r="T721" i="4"/>
  <c r="U721" i="4"/>
  <c r="O722" i="4"/>
  <c r="P722" i="4"/>
  <c r="T722" i="4"/>
  <c r="U722" i="4"/>
  <c r="I726" i="4"/>
  <c r="J726" i="4"/>
  <c r="I727" i="4"/>
  <c r="K727" i="4" s="1"/>
  <c r="J727" i="4"/>
  <c r="L729" i="4"/>
  <c r="L728" i="4" s="1"/>
  <c r="O728" i="4" s="1"/>
  <c r="M729" i="4"/>
  <c r="M728" i="4" s="1"/>
  <c r="P728" i="4" s="1"/>
  <c r="N729" i="4"/>
  <c r="Q729" i="4"/>
  <c r="T729" i="4" s="1"/>
  <c r="R729" i="4"/>
  <c r="U729" i="4" s="1"/>
  <c r="S729" i="4"/>
  <c r="L730" i="4"/>
  <c r="O730" i="4" s="1"/>
  <c r="M730" i="4"/>
  <c r="N730" i="4"/>
  <c r="P730" i="4"/>
  <c r="L731" i="4"/>
  <c r="O731" i="4" s="1"/>
  <c r="M731" i="4"/>
  <c r="P731" i="4" s="1"/>
  <c r="N731" i="4"/>
  <c r="O732" i="4"/>
  <c r="P732" i="4"/>
  <c r="T732" i="4"/>
  <c r="U732" i="4"/>
  <c r="O733" i="4"/>
  <c r="P733" i="4"/>
  <c r="Q733" i="4"/>
  <c r="Q731" i="4" s="1"/>
  <c r="R733" i="4"/>
  <c r="R731" i="4" s="1"/>
  <c r="S733" i="4"/>
  <c r="L734" i="4"/>
  <c r="O734" i="4" s="1"/>
  <c r="M734" i="4"/>
  <c r="N734" i="4"/>
  <c r="P734" i="4"/>
  <c r="Q734" i="4"/>
  <c r="T734" i="4" s="1"/>
  <c r="R734" i="4"/>
  <c r="U734" i="4" s="1"/>
  <c r="S734" i="4"/>
  <c r="O735" i="4"/>
  <c r="P735" i="4"/>
  <c r="T735" i="4"/>
  <c r="U735" i="4"/>
  <c r="O736" i="4"/>
  <c r="P736" i="4"/>
  <c r="T736" i="4"/>
  <c r="U736" i="4"/>
  <c r="I740" i="4"/>
  <c r="K740" i="4" s="1"/>
  <c r="I742" i="4"/>
  <c r="K742" i="4" s="1"/>
  <c r="I744" i="4"/>
  <c r="K744" i="4" s="1"/>
  <c r="I746" i="4"/>
  <c r="K746" i="4" s="1"/>
  <c r="I749" i="4"/>
  <c r="K749" i="4" s="1"/>
  <c r="I752" i="4"/>
  <c r="K752" i="4" s="1"/>
  <c r="I755" i="4"/>
  <c r="K755" i="4" s="1"/>
  <c r="J758" i="4"/>
  <c r="J759" i="4"/>
  <c r="L761" i="4"/>
  <c r="L760" i="4" s="1"/>
  <c r="O760" i="4" s="1"/>
  <c r="M761" i="4"/>
  <c r="M760" i="4" s="1"/>
  <c r="P760" i="4" s="1"/>
  <c r="N761" i="4"/>
  <c r="N760" i="4" s="1"/>
  <c r="Q761" i="4"/>
  <c r="R761" i="4"/>
  <c r="S761" i="4"/>
  <c r="U761" i="4"/>
  <c r="L762" i="4"/>
  <c r="O762" i="4" s="1"/>
  <c r="M762" i="4"/>
  <c r="P762" i="4" s="1"/>
  <c r="N762" i="4"/>
  <c r="L763" i="4"/>
  <c r="M763" i="4"/>
  <c r="P763" i="4" s="1"/>
  <c r="N763" i="4"/>
  <c r="O763" i="4"/>
  <c r="O764" i="4"/>
  <c r="P764" i="4"/>
  <c r="T764" i="4"/>
  <c r="U764" i="4"/>
  <c r="O765" i="4"/>
  <c r="P765" i="4"/>
  <c r="Q765" i="4"/>
  <c r="Q763" i="4" s="1"/>
  <c r="T763" i="4" s="1"/>
  <c r="R765" i="4"/>
  <c r="S765" i="4"/>
  <c r="L766" i="4"/>
  <c r="O766" i="4" s="1"/>
  <c r="M766" i="4"/>
  <c r="N766" i="4"/>
  <c r="P766" i="4"/>
  <c r="Q766" i="4"/>
  <c r="T766" i="4" s="1"/>
  <c r="R766" i="4"/>
  <c r="U766" i="4" s="1"/>
  <c r="S766" i="4"/>
  <c r="O767" i="4"/>
  <c r="P767" i="4"/>
  <c r="T767" i="4"/>
  <c r="U767" i="4"/>
  <c r="O768" i="4"/>
  <c r="P768" i="4"/>
  <c r="T768" i="4"/>
  <c r="U768" i="4"/>
  <c r="I770" i="4"/>
  <c r="K770" i="4" s="1"/>
  <c r="I772" i="4"/>
  <c r="I758" i="4" s="1"/>
  <c r="K758" i="4" s="1"/>
  <c r="I774" i="4"/>
  <c r="I759" i="4" s="1"/>
  <c r="K759" i="4" s="1"/>
  <c r="I775" i="4"/>
  <c r="I776" i="4"/>
  <c r="H777" i="4"/>
  <c r="I778" i="4"/>
  <c r="J778" i="4"/>
  <c r="I779" i="4"/>
  <c r="J779" i="4"/>
  <c r="I780" i="4"/>
  <c r="J780" i="4"/>
  <c r="I781" i="4"/>
  <c r="J781" i="4"/>
  <c r="I782" i="4"/>
  <c r="J782" i="4"/>
  <c r="I783" i="4"/>
  <c r="J783" i="4"/>
  <c r="I784" i="4"/>
  <c r="J784" i="4"/>
  <c r="I785" i="4"/>
  <c r="J785" i="4"/>
  <c r="A788" i="4"/>
  <c r="A789" i="4"/>
  <c r="L22" i="3"/>
  <c r="L19" i="3" s="1"/>
  <c r="M22" i="3"/>
  <c r="N22" i="3"/>
  <c r="Q22" i="3"/>
  <c r="R22" i="3"/>
  <c r="S22" i="3"/>
  <c r="S19" i="3" s="1"/>
  <c r="L25" i="3"/>
  <c r="M25" i="3"/>
  <c r="N25" i="3"/>
  <c r="Q25" i="3"/>
  <c r="T25" i="3" s="1"/>
  <c r="R25" i="3"/>
  <c r="S25" i="3"/>
  <c r="Q26" i="3"/>
  <c r="R26" i="3"/>
  <c r="U26" i="3" s="1"/>
  <c r="S26" i="3"/>
  <c r="L45" i="3"/>
  <c r="O45" i="3" s="1"/>
  <c r="M45" i="3"/>
  <c r="N45" i="3"/>
  <c r="Q45" i="3"/>
  <c r="Q44" i="3" s="1"/>
  <c r="T44" i="3" s="1"/>
  <c r="R45" i="3"/>
  <c r="U45" i="3" s="1"/>
  <c r="S45" i="3"/>
  <c r="T45" i="3"/>
  <c r="Q46" i="3"/>
  <c r="T46" i="3" s="1"/>
  <c r="R46" i="3"/>
  <c r="S46" i="3"/>
  <c r="U46" i="3"/>
  <c r="Q47" i="3"/>
  <c r="T47" i="3" s="1"/>
  <c r="R47" i="3"/>
  <c r="U47" i="3" s="1"/>
  <c r="S47" i="3"/>
  <c r="O48" i="3"/>
  <c r="P48" i="3"/>
  <c r="T48" i="3"/>
  <c r="U48" i="3"/>
  <c r="L49" i="3"/>
  <c r="L47" i="3" s="1"/>
  <c r="M49" i="3"/>
  <c r="M47" i="3" s="1"/>
  <c r="N49" i="3"/>
  <c r="T49" i="3"/>
  <c r="U49" i="3"/>
  <c r="Q50" i="3"/>
  <c r="T50" i="3" s="1"/>
  <c r="R50" i="3"/>
  <c r="U50" i="3" s="1"/>
  <c r="S50" i="3"/>
  <c r="O51" i="3"/>
  <c r="P51" i="3"/>
  <c r="T51" i="3"/>
  <c r="U51" i="3"/>
  <c r="L52" i="3"/>
  <c r="M52" i="3"/>
  <c r="N52" i="3"/>
  <c r="N50" i="3" s="1"/>
  <c r="T52" i="3"/>
  <c r="U52" i="3"/>
  <c r="L60" i="3"/>
  <c r="O60" i="3" s="1"/>
  <c r="M60" i="3"/>
  <c r="N60" i="3"/>
  <c r="Q60" i="3"/>
  <c r="R60" i="3"/>
  <c r="U60" i="3" s="1"/>
  <c r="S60" i="3"/>
  <c r="Q61" i="3"/>
  <c r="R61" i="3"/>
  <c r="S61" i="3"/>
  <c r="T61" i="3"/>
  <c r="Q62" i="3"/>
  <c r="T62" i="3" s="1"/>
  <c r="R62" i="3"/>
  <c r="U62" i="3" s="1"/>
  <c r="S62" i="3"/>
  <c r="O63" i="3"/>
  <c r="P63" i="3"/>
  <c r="T63" i="3"/>
  <c r="U63" i="3"/>
  <c r="L64" i="3"/>
  <c r="M64" i="3"/>
  <c r="N64" i="3"/>
  <c r="N62" i="3" s="1"/>
  <c r="T64" i="3"/>
  <c r="U64" i="3"/>
  <c r="Q65" i="3"/>
  <c r="T65" i="3" s="1"/>
  <c r="R65" i="3"/>
  <c r="S65" i="3"/>
  <c r="U65" i="3"/>
  <c r="O66" i="3"/>
  <c r="P66" i="3"/>
  <c r="T66" i="3"/>
  <c r="U66" i="3"/>
  <c r="L67" i="3"/>
  <c r="M67" i="3"/>
  <c r="N67" i="3"/>
  <c r="N65" i="3" s="1"/>
  <c r="T67" i="3"/>
  <c r="U67" i="3"/>
  <c r="L73" i="3"/>
  <c r="O73" i="3" s="1"/>
  <c r="M73" i="3"/>
  <c r="N73" i="3"/>
  <c r="Q73" i="3"/>
  <c r="T73" i="3" s="1"/>
  <c r="R73" i="3"/>
  <c r="U73" i="3" s="1"/>
  <c r="S73" i="3"/>
  <c r="O76" i="3"/>
  <c r="P76" i="3"/>
  <c r="T76" i="3"/>
  <c r="U76" i="3"/>
  <c r="L77" i="3"/>
  <c r="M77" i="3"/>
  <c r="M75" i="3" s="1"/>
  <c r="N77" i="3"/>
  <c r="N75" i="3" s="1"/>
  <c r="Q77" i="3"/>
  <c r="Q74" i="3" s="1"/>
  <c r="R77" i="3"/>
  <c r="S77" i="3"/>
  <c r="S75" i="3" s="1"/>
  <c r="Q78" i="3"/>
  <c r="T78" i="3" s="1"/>
  <c r="R78" i="3"/>
  <c r="U78" i="3" s="1"/>
  <c r="S78" i="3"/>
  <c r="O79" i="3"/>
  <c r="P79" i="3"/>
  <c r="T79" i="3"/>
  <c r="U79" i="3"/>
  <c r="L80" i="3"/>
  <c r="M80" i="3"/>
  <c r="N80" i="3"/>
  <c r="N78" i="3" s="1"/>
  <c r="T80" i="3"/>
  <c r="U80" i="3"/>
  <c r="J82" i="3"/>
  <c r="J70" i="3" s="1"/>
  <c r="J83" i="3"/>
  <c r="J71" i="3" s="1"/>
  <c r="I84" i="3"/>
  <c r="I85" i="3"/>
  <c r="K85" i="3" s="1"/>
  <c r="I86" i="3"/>
  <c r="K86" i="3" s="1"/>
  <c r="I87" i="3"/>
  <c r="I88" i="3"/>
  <c r="K88" i="3" s="1"/>
  <c r="I89" i="3"/>
  <c r="K89" i="3" s="1"/>
  <c r="I90" i="3"/>
  <c r="K90" i="3" s="1"/>
  <c r="J92" i="3"/>
  <c r="J93" i="3"/>
  <c r="L95" i="3"/>
  <c r="M95" i="3"/>
  <c r="N95" i="3"/>
  <c r="O95" i="3"/>
  <c r="P95" i="3"/>
  <c r="Q95" i="3"/>
  <c r="R95" i="3"/>
  <c r="S95" i="3"/>
  <c r="T95" i="3"/>
  <c r="U95" i="3"/>
  <c r="O98" i="3"/>
  <c r="P98" i="3"/>
  <c r="T98" i="3"/>
  <c r="U98" i="3"/>
  <c r="L99" i="3"/>
  <c r="M99" i="3"/>
  <c r="N99" i="3"/>
  <c r="N97" i="3" s="1"/>
  <c r="Q99" i="3"/>
  <c r="Q96" i="3" s="1"/>
  <c r="R99" i="3"/>
  <c r="R96" i="3" s="1"/>
  <c r="R94" i="3" s="1"/>
  <c r="S99" i="3"/>
  <c r="S96" i="3" s="1"/>
  <c r="Q100" i="3"/>
  <c r="R100" i="3"/>
  <c r="U100" i="3" s="1"/>
  <c r="S100" i="3"/>
  <c r="T100" i="3"/>
  <c r="O101" i="3"/>
  <c r="P101" i="3"/>
  <c r="T101" i="3"/>
  <c r="U101" i="3"/>
  <c r="L102" i="3"/>
  <c r="O102" i="3" s="1"/>
  <c r="M102" i="3"/>
  <c r="N102" i="3"/>
  <c r="N100" i="3" s="1"/>
  <c r="T102" i="3"/>
  <c r="U102" i="3"/>
  <c r="I108" i="3"/>
  <c r="K108" i="3" s="1"/>
  <c r="I109" i="3"/>
  <c r="I113" i="3"/>
  <c r="K113" i="3" s="1"/>
  <c r="I114" i="3"/>
  <c r="K114" i="3" s="1"/>
  <c r="J116" i="3"/>
  <c r="L118" i="3"/>
  <c r="M118" i="3"/>
  <c r="N118" i="3"/>
  <c r="Q118" i="3"/>
  <c r="T118" i="3" s="1"/>
  <c r="R118" i="3"/>
  <c r="S118" i="3"/>
  <c r="O121" i="3"/>
  <c r="P121" i="3"/>
  <c r="T121" i="3"/>
  <c r="U121" i="3"/>
  <c r="L122" i="3"/>
  <c r="L120" i="3" s="1"/>
  <c r="O120" i="3" s="1"/>
  <c r="M122" i="3"/>
  <c r="P122" i="3" s="1"/>
  <c r="N122" i="3"/>
  <c r="N120" i="3" s="1"/>
  <c r="Q122" i="3"/>
  <c r="R122" i="3"/>
  <c r="S122" i="3"/>
  <c r="S120" i="3" s="1"/>
  <c r="Q123" i="3"/>
  <c r="T123" i="3" s="1"/>
  <c r="R123" i="3"/>
  <c r="U123" i="3" s="1"/>
  <c r="S123" i="3"/>
  <c r="O124" i="3"/>
  <c r="P124" i="3"/>
  <c r="T124" i="3"/>
  <c r="U124" i="3"/>
  <c r="L125" i="3"/>
  <c r="L123" i="3" s="1"/>
  <c r="O123" i="3" s="1"/>
  <c r="M125" i="3"/>
  <c r="P125" i="3" s="1"/>
  <c r="N125" i="3"/>
  <c r="N123" i="3" s="1"/>
  <c r="T125" i="3"/>
  <c r="U125" i="3"/>
  <c r="I127" i="3"/>
  <c r="I116" i="3" s="1"/>
  <c r="K116" i="3" s="1"/>
  <c r="I128" i="3"/>
  <c r="K128" i="3" s="1"/>
  <c r="I129" i="3"/>
  <c r="K129" i="3" s="1"/>
  <c r="I130" i="3"/>
  <c r="K130" i="3" s="1"/>
  <c r="J136" i="3"/>
  <c r="J137" i="3"/>
  <c r="J138" i="3"/>
  <c r="L140" i="3"/>
  <c r="M140" i="3"/>
  <c r="N140" i="3"/>
  <c r="O140" i="3"/>
  <c r="P140" i="3"/>
  <c r="Q140" i="3"/>
  <c r="R140" i="3"/>
  <c r="S140" i="3"/>
  <c r="U140" i="3"/>
  <c r="O143" i="3"/>
  <c r="P143" i="3"/>
  <c r="T143" i="3"/>
  <c r="U143" i="3"/>
  <c r="L144" i="3"/>
  <c r="M144" i="3"/>
  <c r="N144" i="3"/>
  <c r="N142" i="3" s="1"/>
  <c r="Q144" i="3"/>
  <c r="T144" i="3" s="1"/>
  <c r="R144" i="3"/>
  <c r="R141" i="3" s="1"/>
  <c r="U141" i="3" s="1"/>
  <c r="S144" i="3"/>
  <c r="S142" i="3" s="1"/>
  <c r="Q145" i="3"/>
  <c r="T145" i="3" s="1"/>
  <c r="R145" i="3"/>
  <c r="U145" i="3" s="1"/>
  <c r="S145" i="3"/>
  <c r="O146" i="3"/>
  <c r="P146" i="3"/>
  <c r="T146" i="3"/>
  <c r="U146" i="3"/>
  <c r="L147" i="3"/>
  <c r="M147" i="3"/>
  <c r="N147" i="3"/>
  <c r="N145" i="3" s="1"/>
  <c r="T147" i="3"/>
  <c r="U147" i="3"/>
  <c r="I150" i="3"/>
  <c r="K150" i="3" s="1"/>
  <c r="I151" i="3"/>
  <c r="K151" i="3" s="1"/>
  <c r="I152" i="3"/>
  <c r="I153" i="3"/>
  <c r="I154" i="3"/>
  <c r="K154" i="3" s="1"/>
  <c r="J156" i="3"/>
  <c r="L158" i="3"/>
  <c r="M158" i="3"/>
  <c r="N158" i="3"/>
  <c r="Q158" i="3"/>
  <c r="T158" i="3" s="1"/>
  <c r="R158" i="3"/>
  <c r="S158" i="3"/>
  <c r="O161" i="3"/>
  <c r="P161" i="3"/>
  <c r="T161" i="3"/>
  <c r="U161" i="3"/>
  <c r="L162" i="3"/>
  <c r="M162" i="3"/>
  <c r="P162" i="3" s="1"/>
  <c r="N162" i="3"/>
  <c r="Q162" i="3"/>
  <c r="R162" i="3"/>
  <c r="R160" i="3" s="1"/>
  <c r="U160" i="3" s="1"/>
  <c r="S162" i="3"/>
  <c r="S160" i="3" s="1"/>
  <c r="Q163" i="3"/>
  <c r="T163" i="3" s="1"/>
  <c r="R163" i="3"/>
  <c r="U163" i="3" s="1"/>
  <c r="S163" i="3"/>
  <c r="O164" i="3"/>
  <c r="P164" i="3"/>
  <c r="T164" i="3"/>
  <c r="U164" i="3"/>
  <c r="L165" i="3"/>
  <c r="L163" i="3" s="1"/>
  <c r="O163" i="3" s="1"/>
  <c r="M165" i="3"/>
  <c r="P165" i="3" s="1"/>
  <c r="N165" i="3"/>
  <c r="T165" i="3"/>
  <c r="U165" i="3"/>
  <c r="I167" i="3"/>
  <c r="K167" i="3" s="1"/>
  <c r="I168" i="3"/>
  <c r="K168" i="3" s="1"/>
  <c r="I169" i="3"/>
  <c r="I156" i="3" s="1"/>
  <c r="K156" i="3" s="1"/>
  <c r="J172" i="3"/>
  <c r="L174" i="3"/>
  <c r="M174" i="3"/>
  <c r="N174" i="3"/>
  <c r="Q174" i="3"/>
  <c r="R174" i="3"/>
  <c r="S174" i="3"/>
  <c r="O177" i="3"/>
  <c r="P177" i="3"/>
  <c r="T177" i="3"/>
  <c r="U177" i="3"/>
  <c r="L178" i="3"/>
  <c r="M178" i="3"/>
  <c r="N178" i="3"/>
  <c r="Q178" i="3"/>
  <c r="Q175" i="3" s="1"/>
  <c r="T175" i="3" s="1"/>
  <c r="R178" i="3"/>
  <c r="U178" i="3" s="1"/>
  <c r="S178" i="3"/>
  <c r="Q179" i="3"/>
  <c r="R179" i="3"/>
  <c r="U179" i="3" s="1"/>
  <c r="S179" i="3"/>
  <c r="T179" i="3"/>
  <c r="O180" i="3"/>
  <c r="P180" i="3"/>
  <c r="T180" i="3"/>
  <c r="U180" i="3"/>
  <c r="L181" i="3"/>
  <c r="L179" i="3" s="1"/>
  <c r="O179" i="3" s="1"/>
  <c r="M181" i="3"/>
  <c r="N181" i="3"/>
  <c r="N179" i="3" s="1"/>
  <c r="T181" i="3"/>
  <c r="U181" i="3"/>
  <c r="I183" i="3"/>
  <c r="I172" i="3" s="1"/>
  <c r="K172" i="3" s="1"/>
  <c r="K184" i="3"/>
  <c r="L187" i="3"/>
  <c r="M187" i="3"/>
  <c r="N187" i="3"/>
  <c r="O187" i="3"/>
  <c r="Q187" i="3"/>
  <c r="R187" i="3"/>
  <c r="S187" i="3"/>
  <c r="T187" i="3"/>
  <c r="U187" i="3"/>
  <c r="O190" i="3"/>
  <c r="P190" i="3"/>
  <c r="T190" i="3"/>
  <c r="U190" i="3"/>
  <c r="L191" i="3"/>
  <c r="M191" i="3"/>
  <c r="M189" i="3" s="1"/>
  <c r="N191" i="3"/>
  <c r="N189" i="3" s="1"/>
  <c r="Q191" i="3"/>
  <c r="Q188" i="3" s="1"/>
  <c r="R191" i="3"/>
  <c r="S191" i="3"/>
  <c r="S188" i="3" s="1"/>
  <c r="Q192" i="3"/>
  <c r="T192" i="3" s="1"/>
  <c r="R192" i="3"/>
  <c r="U192" i="3" s="1"/>
  <c r="S192" i="3"/>
  <c r="O193" i="3"/>
  <c r="P193" i="3"/>
  <c r="T193" i="3"/>
  <c r="U193" i="3"/>
  <c r="L194" i="3"/>
  <c r="L192" i="3" s="1"/>
  <c r="O192" i="3" s="1"/>
  <c r="M194" i="3"/>
  <c r="M192" i="3" s="1"/>
  <c r="P192" i="3" s="1"/>
  <c r="N194" i="3"/>
  <c r="N192" i="3" s="1"/>
  <c r="T194" i="3"/>
  <c r="U194" i="3"/>
  <c r="J195" i="3"/>
  <c r="L196" i="3"/>
  <c r="O196" i="3" s="1"/>
  <c r="P196" i="3"/>
  <c r="I198" i="3"/>
  <c r="I195" i="3" s="1"/>
  <c r="K195" i="3" s="1"/>
  <c r="J199" i="3"/>
  <c r="J202" i="3"/>
  <c r="N203" i="3"/>
  <c r="P203" i="3"/>
  <c r="S203" i="3"/>
  <c r="U203" i="3"/>
  <c r="L204" i="3"/>
  <c r="L205" i="3"/>
  <c r="L206" i="3"/>
  <c r="Q206" i="3"/>
  <c r="Q203" i="3" s="1"/>
  <c r="L207" i="3"/>
  <c r="I209" i="3"/>
  <c r="I211" i="3"/>
  <c r="K211" i="3" s="1"/>
  <c r="I212" i="3"/>
  <c r="K212" i="3" s="1"/>
  <c r="J213" i="3"/>
  <c r="N214" i="3"/>
  <c r="P214" i="3"/>
  <c r="S214" i="3"/>
  <c r="U214" i="3"/>
  <c r="L215" i="3"/>
  <c r="L216" i="3"/>
  <c r="L217" i="3"/>
  <c r="Q217" i="3"/>
  <c r="Q214" i="3" s="1"/>
  <c r="T214" i="3" s="1"/>
  <c r="I219" i="3"/>
  <c r="K219" i="3" s="1"/>
  <c r="I220" i="3"/>
  <c r="I213" i="3" s="1"/>
  <c r="K213" i="3" s="1"/>
  <c r="J221" i="3"/>
  <c r="N222" i="3"/>
  <c r="P222" i="3"/>
  <c r="L223" i="3"/>
  <c r="L224" i="3"/>
  <c r="L225" i="3"/>
  <c r="I228" i="3"/>
  <c r="K228" i="3" s="1"/>
  <c r="I229" i="3"/>
  <c r="I221" i="3" s="1"/>
  <c r="K221" i="3" s="1"/>
  <c r="I230" i="3"/>
  <c r="K230" i="3" s="1"/>
  <c r="N233" i="3"/>
  <c r="N234" i="3"/>
  <c r="N235" i="3"/>
  <c r="N236" i="3"/>
  <c r="J238" i="3"/>
  <c r="I240" i="3"/>
  <c r="K240" i="3" s="1"/>
  <c r="J240" i="3"/>
  <c r="I241" i="3"/>
  <c r="K241" i="3" s="1"/>
  <c r="J241" i="3"/>
  <c r="J242" i="3"/>
  <c r="N243" i="3"/>
  <c r="P243" i="3"/>
  <c r="L244" i="3"/>
  <c r="L245" i="3"/>
  <c r="L246" i="3"/>
  <c r="L247" i="3"/>
  <c r="I249" i="3"/>
  <c r="K251" i="3"/>
  <c r="K252" i="3"/>
  <c r="J253" i="3"/>
  <c r="N254" i="3"/>
  <c r="P254" i="3"/>
  <c r="L255" i="3"/>
  <c r="L256" i="3"/>
  <c r="L257" i="3"/>
  <c r="L258" i="3"/>
  <c r="I260" i="3"/>
  <c r="I253" i="3" s="1"/>
  <c r="K253" i="3" s="1"/>
  <c r="K262" i="3"/>
  <c r="K263" i="3"/>
  <c r="J265" i="3"/>
  <c r="L267" i="3"/>
  <c r="M267" i="3"/>
  <c r="N267" i="3"/>
  <c r="O267" i="3"/>
  <c r="P267" i="3"/>
  <c r="Q267" i="3"/>
  <c r="R267" i="3"/>
  <c r="S267" i="3"/>
  <c r="U267" i="3"/>
  <c r="O270" i="3"/>
  <c r="P270" i="3"/>
  <c r="T270" i="3"/>
  <c r="U270" i="3"/>
  <c r="L271" i="3"/>
  <c r="M271" i="3"/>
  <c r="M269" i="3" s="1"/>
  <c r="N271" i="3"/>
  <c r="Q271" i="3"/>
  <c r="Q268" i="3" s="1"/>
  <c r="R271" i="3"/>
  <c r="S271" i="3"/>
  <c r="Q272" i="3"/>
  <c r="R272" i="3"/>
  <c r="U272" i="3" s="1"/>
  <c r="S272" i="3"/>
  <c r="T272" i="3"/>
  <c r="O273" i="3"/>
  <c r="P273" i="3"/>
  <c r="T273" i="3"/>
  <c r="U273" i="3"/>
  <c r="L274" i="3"/>
  <c r="M274" i="3"/>
  <c r="P274" i="3" s="1"/>
  <c r="N274" i="3"/>
  <c r="N272" i="3" s="1"/>
  <c r="T274" i="3"/>
  <c r="U274" i="3"/>
  <c r="I276" i="3"/>
  <c r="I265" i="3" s="1"/>
  <c r="K265" i="3" s="1"/>
  <c r="J281" i="3"/>
  <c r="L283" i="3"/>
  <c r="M283" i="3"/>
  <c r="N283" i="3"/>
  <c r="P283" i="3"/>
  <c r="Q283" i="3"/>
  <c r="R283" i="3"/>
  <c r="S283" i="3"/>
  <c r="Q284" i="3"/>
  <c r="T284" i="3" s="1"/>
  <c r="R284" i="3"/>
  <c r="U284" i="3" s="1"/>
  <c r="S284" i="3"/>
  <c r="Q285" i="3"/>
  <c r="R285" i="3"/>
  <c r="U285" i="3" s="1"/>
  <c r="S285" i="3"/>
  <c r="T285" i="3"/>
  <c r="O286" i="3"/>
  <c r="P286" i="3"/>
  <c r="T286" i="3"/>
  <c r="U286" i="3"/>
  <c r="L287" i="3"/>
  <c r="M287" i="3"/>
  <c r="N287" i="3"/>
  <c r="T287" i="3"/>
  <c r="U287" i="3"/>
  <c r="Q288" i="3"/>
  <c r="T288" i="3" s="1"/>
  <c r="R288" i="3"/>
  <c r="U288" i="3" s="1"/>
  <c r="S288" i="3"/>
  <c r="O289" i="3"/>
  <c r="P289" i="3"/>
  <c r="T289" i="3"/>
  <c r="U289" i="3"/>
  <c r="L290" i="3"/>
  <c r="O290" i="3" s="1"/>
  <c r="M290" i="3"/>
  <c r="N290" i="3"/>
  <c r="N288" i="3" s="1"/>
  <c r="T290" i="3"/>
  <c r="U290" i="3"/>
  <c r="I292" i="3"/>
  <c r="K292" i="3" s="1"/>
  <c r="I293" i="3"/>
  <c r="J293" i="3"/>
  <c r="J280" i="3" s="1"/>
  <c r="I295" i="3"/>
  <c r="K295" i="3" s="1"/>
  <c r="I296" i="3"/>
  <c r="K296" i="3" s="1"/>
  <c r="J302" i="3"/>
  <c r="L304" i="3"/>
  <c r="M304" i="3"/>
  <c r="N304" i="3"/>
  <c r="P304" i="3"/>
  <c r="Q304" i="3"/>
  <c r="R304" i="3"/>
  <c r="S304" i="3"/>
  <c r="O307" i="3"/>
  <c r="P307" i="3"/>
  <c r="T307" i="3"/>
  <c r="U307" i="3"/>
  <c r="L308" i="3"/>
  <c r="M308" i="3"/>
  <c r="N308" i="3"/>
  <c r="Q308" i="3"/>
  <c r="R308" i="3"/>
  <c r="R305" i="3" s="1"/>
  <c r="S308" i="3"/>
  <c r="S305" i="3" s="1"/>
  <c r="Q309" i="3"/>
  <c r="R309" i="3"/>
  <c r="U309" i="3" s="1"/>
  <c r="S309" i="3"/>
  <c r="T309" i="3"/>
  <c r="O310" i="3"/>
  <c r="P310" i="3"/>
  <c r="T310" i="3"/>
  <c r="U310" i="3"/>
  <c r="L311" i="3"/>
  <c r="M311" i="3"/>
  <c r="N311" i="3"/>
  <c r="N309" i="3" s="1"/>
  <c r="T311" i="3"/>
  <c r="U311" i="3"/>
  <c r="I314" i="3"/>
  <c r="K314" i="3" s="1"/>
  <c r="J319" i="3"/>
  <c r="L321" i="3"/>
  <c r="M321" i="3"/>
  <c r="P321" i="3" s="1"/>
  <c r="N321" i="3"/>
  <c r="O321" i="3"/>
  <c r="Q321" i="3"/>
  <c r="R321" i="3"/>
  <c r="S321" i="3"/>
  <c r="S320" i="3" s="1"/>
  <c r="T321" i="3"/>
  <c r="U321" i="3"/>
  <c r="Q322" i="3"/>
  <c r="T322" i="3" s="1"/>
  <c r="R322" i="3"/>
  <c r="U322" i="3" s="1"/>
  <c r="S322" i="3"/>
  <c r="Q323" i="3"/>
  <c r="R323" i="3"/>
  <c r="U323" i="3" s="1"/>
  <c r="S323" i="3"/>
  <c r="T323" i="3"/>
  <c r="O324" i="3"/>
  <c r="P324" i="3"/>
  <c r="T324" i="3"/>
  <c r="U324" i="3"/>
  <c r="L325" i="3"/>
  <c r="L323" i="3" s="1"/>
  <c r="O323" i="3" s="1"/>
  <c r="M325" i="3"/>
  <c r="P325" i="3" s="1"/>
  <c r="N325" i="3"/>
  <c r="T325" i="3"/>
  <c r="U325" i="3"/>
  <c r="Q326" i="3"/>
  <c r="T326" i="3" s="1"/>
  <c r="R326" i="3"/>
  <c r="U326" i="3" s="1"/>
  <c r="S326" i="3"/>
  <c r="O327" i="3"/>
  <c r="P327" i="3"/>
  <c r="T327" i="3"/>
  <c r="U327" i="3"/>
  <c r="L328" i="3"/>
  <c r="L326" i="3" s="1"/>
  <c r="O326" i="3" s="1"/>
  <c r="M328" i="3"/>
  <c r="N328" i="3"/>
  <c r="N326" i="3" s="1"/>
  <c r="T328" i="3"/>
  <c r="U328" i="3"/>
  <c r="I330" i="3"/>
  <c r="I319" i="3" s="1"/>
  <c r="K319" i="3" s="1"/>
  <c r="L334" i="3"/>
  <c r="O334" i="3" s="1"/>
  <c r="M334" i="3"/>
  <c r="P334" i="3" s="1"/>
  <c r="N334" i="3"/>
  <c r="Q334" i="3"/>
  <c r="R334" i="3"/>
  <c r="R333" i="3" s="1"/>
  <c r="U333" i="3" s="1"/>
  <c r="S334" i="3"/>
  <c r="Q335" i="3"/>
  <c r="R335" i="3"/>
  <c r="U335" i="3" s="1"/>
  <c r="S335" i="3"/>
  <c r="T335" i="3"/>
  <c r="Q336" i="3"/>
  <c r="R336" i="3"/>
  <c r="S336" i="3"/>
  <c r="T336" i="3"/>
  <c r="U336" i="3"/>
  <c r="O337" i="3"/>
  <c r="P337" i="3"/>
  <c r="T337" i="3"/>
  <c r="U337" i="3"/>
  <c r="L338" i="3"/>
  <c r="M338" i="3"/>
  <c r="N338" i="3"/>
  <c r="N336" i="3" s="1"/>
  <c r="T338" i="3"/>
  <c r="U338" i="3"/>
  <c r="Q339" i="3"/>
  <c r="T339" i="3" s="1"/>
  <c r="R339" i="3"/>
  <c r="U339" i="3" s="1"/>
  <c r="S339" i="3"/>
  <c r="O340" i="3"/>
  <c r="P340" i="3"/>
  <c r="T340" i="3"/>
  <c r="U340" i="3"/>
  <c r="L341" i="3"/>
  <c r="L339" i="3" s="1"/>
  <c r="O339" i="3" s="1"/>
  <c r="M341" i="3"/>
  <c r="M339" i="3" s="1"/>
  <c r="P339" i="3" s="1"/>
  <c r="N341" i="3"/>
  <c r="T341" i="3"/>
  <c r="U341" i="3"/>
  <c r="I344" i="3"/>
  <c r="J344" i="3"/>
  <c r="I346" i="3"/>
  <c r="J346" i="3"/>
  <c r="J347" i="3"/>
  <c r="J348" i="3"/>
  <c r="J349" i="3"/>
  <c r="D350" i="3"/>
  <c r="J352" i="3"/>
  <c r="J353" i="3"/>
  <c r="J354" i="3"/>
  <c r="S356" i="3"/>
  <c r="L357" i="3"/>
  <c r="M357" i="3"/>
  <c r="N357" i="3"/>
  <c r="P357" i="3"/>
  <c r="Q357" i="3"/>
  <c r="T357" i="3" s="1"/>
  <c r="R357" i="3"/>
  <c r="U357" i="3" s="1"/>
  <c r="S357" i="3"/>
  <c r="Q358" i="3"/>
  <c r="T358" i="3" s="1"/>
  <c r="R358" i="3"/>
  <c r="U358" i="3" s="1"/>
  <c r="S358" i="3"/>
  <c r="Q359" i="3"/>
  <c r="T359" i="3" s="1"/>
  <c r="R359" i="3"/>
  <c r="U359" i="3" s="1"/>
  <c r="S359" i="3"/>
  <c r="O360" i="3"/>
  <c r="P360" i="3"/>
  <c r="T360" i="3"/>
  <c r="U360" i="3"/>
  <c r="L361" i="3"/>
  <c r="L359" i="3" s="1"/>
  <c r="M361" i="3"/>
  <c r="M359" i="3" s="1"/>
  <c r="N361" i="3"/>
  <c r="N359" i="3" s="1"/>
  <c r="T361" i="3"/>
  <c r="U361" i="3"/>
  <c r="Q362" i="3"/>
  <c r="T362" i="3" s="1"/>
  <c r="R362" i="3"/>
  <c r="S362" i="3"/>
  <c r="U362" i="3"/>
  <c r="O363" i="3"/>
  <c r="P363" i="3"/>
  <c r="T363" i="3"/>
  <c r="U363" i="3"/>
  <c r="L364" i="3"/>
  <c r="M364" i="3"/>
  <c r="N364" i="3"/>
  <c r="N362" i="3" s="1"/>
  <c r="T364" i="3"/>
  <c r="U364" i="3"/>
  <c r="J367" i="3"/>
  <c r="K367" i="3"/>
  <c r="I368" i="3"/>
  <c r="J368" i="3"/>
  <c r="I369" i="3"/>
  <c r="J369" i="3"/>
  <c r="J370" i="3"/>
  <c r="K370" i="3"/>
  <c r="I371" i="3"/>
  <c r="J371" i="3"/>
  <c r="J365" i="3" s="1"/>
  <c r="J372" i="3"/>
  <c r="K372" i="3"/>
  <c r="D373" i="3"/>
  <c r="L376" i="3"/>
  <c r="M376" i="3"/>
  <c r="N376" i="3"/>
  <c r="N375" i="3" s="1"/>
  <c r="P376" i="3"/>
  <c r="Q376" i="3"/>
  <c r="R376" i="3"/>
  <c r="S376" i="3"/>
  <c r="L377" i="3"/>
  <c r="O377" i="3" s="1"/>
  <c r="M377" i="3"/>
  <c r="P377" i="3" s="1"/>
  <c r="N377" i="3"/>
  <c r="L378" i="3"/>
  <c r="M378" i="3"/>
  <c r="P378" i="3" s="1"/>
  <c r="N378" i="3"/>
  <c r="O378" i="3"/>
  <c r="O379" i="3"/>
  <c r="P379" i="3"/>
  <c r="T379" i="3"/>
  <c r="U379" i="3"/>
  <c r="O380" i="3"/>
  <c r="P380" i="3"/>
  <c r="Q380" i="3"/>
  <c r="R380" i="3"/>
  <c r="S380" i="3"/>
  <c r="S378" i="3" s="1"/>
  <c r="L381" i="3"/>
  <c r="O381" i="3" s="1"/>
  <c r="M381" i="3"/>
  <c r="P381" i="3" s="1"/>
  <c r="N381" i="3"/>
  <c r="Q381" i="3"/>
  <c r="T381" i="3" s="1"/>
  <c r="R381" i="3"/>
  <c r="U381" i="3" s="1"/>
  <c r="S381" i="3"/>
  <c r="O382" i="3"/>
  <c r="P382" i="3"/>
  <c r="T382" i="3"/>
  <c r="U382" i="3"/>
  <c r="O383" i="3"/>
  <c r="P383" i="3"/>
  <c r="T383" i="3"/>
  <c r="U383" i="3"/>
  <c r="J385" i="3"/>
  <c r="K385" i="3"/>
  <c r="I386" i="3"/>
  <c r="J386" i="3"/>
  <c r="J387" i="3"/>
  <c r="K387" i="3"/>
  <c r="I388" i="3"/>
  <c r="K388" i="3" s="1"/>
  <c r="J388" i="3"/>
  <c r="I391" i="3"/>
  <c r="K391" i="3" s="1"/>
  <c r="J391" i="3"/>
  <c r="L393" i="3"/>
  <c r="M393" i="3"/>
  <c r="N393" i="3"/>
  <c r="Q393" i="3"/>
  <c r="Q392" i="3" s="1"/>
  <c r="T392" i="3" s="1"/>
  <c r="R393" i="3"/>
  <c r="S393" i="3"/>
  <c r="T393" i="3"/>
  <c r="L394" i="3"/>
  <c r="O394" i="3" s="1"/>
  <c r="M394" i="3"/>
  <c r="P394" i="3" s="1"/>
  <c r="N394" i="3"/>
  <c r="Q394" i="3"/>
  <c r="T394" i="3" s="1"/>
  <c r="R394" i="3"/>
  <c r="U394" i="3" s="1"/>
  <c r="S394" i="3"/>
  <c r="L395" i="3"/>
  <c r="O395" i="3" s="1"/>
  <c r="M395" i="3"/>
  <c r="P395" i="3" s="1"/>
  <c r="N395" i="3"/>
  <c r="Q395" i="3"/>
  <c r="T395" i="3" s="1"/>
  <c r="R395" i="3"/>
  <c r="U395" i="3" s="1"/>
  <c r="S395" i="3"/>
  <c r="O396" i="3"/>
  <c r="P396" i="3"/>
  <c r="T396" i="3"/>
  <c r="U396" i="3"/>
  <c r="O397" i="3"/>
  <c r="P397" i="3"/>
  <c r="T397" i="3"/>
  <c r="U397" i="3"/>
  <c r="L398" i="3"/>
  <c r="O398" i="3" s="1"/>
  <c r="M398" i="3"/>
  <c r="P398" i="3" s="1"/>
  <c r="N398" i="3"/>
  <c r="Q398" i="3"/>
  <c r="T398" i="3" s="1"/>
  <c r="R398" i="3"/>
  <c r="U398" i="3" s="1"/>
  <c r="S398" i="3"/>
  <c r="O399" i="3"/>
  <c r="P399" i="3"/>
  <c r="T399" i="3"/>
  <c r="U399" i="3"/>
  <c r="O400" i="3"/>
  <c r="P400" i="3"/>
  <c r="T400" i="3"/>
  <c r="U400" i="3"/>
  <c r="L414" i="3"/>
  <c r="M414" i="3"/>
  <c r="M413" i="3" s="1"/>
  <c r="P413" i="3" s="1"/>
  <c r="N414" i="3"/>
  <c r="O414" i="3"/>
  <c r="P414" i="3"/>
  <c r="Q414" i="3"/>
  <c r="R414" i="3"/>
  <c r="S414" i="3"/>
  <c r="U414" i="3"/>
  <c r="L415" i="3"/>
  <c r="O415" i="3" s="1"/>
  <c r="M415" i="3"/>
  <c r="P415" i="3" s="1"/>
  <c r="N415" i="3"/>
  <c r="N413" i="3" s="1"/>
  <c r="L416" i="3"/>
  <c r="M416" i="3"/>
  <c r="P416" i="3" s="1"/>
  <c r="N416" i="3"/>
  <c r="O416" i="3"/>
  <c r="O417" i="3"/>
  <c r="P417" i="3"/>
  <c r="T417" i="3"/>
  <c r="U417" i="3"/>
  <c r="O418" i="3"/>
  <c r="P418" i="3"/>
  <c r="Q418" i="3"/>
  <c r="Q416" i="3" s="1"/>
  <c r="T416" i="3" s="1"/>
  <c r="R418" i="3"/>
  <c r="S418" i="3"/>
  <c r="L419" i="3"/>
  <c r="O419" i="3" s="1"/>
  <c r="M419" i="3"/>
  <c r="N419" i="3"/>
  <c r="P419" i="3"/>
  <c r="Q419" i="3"/>
  <c r="T419" i="3" s="1"/>
  <c r="R419" i="3"/>
  <c r="U419" i="3" s="1"/>
  <c r="S419" i="3"/>
  <c r="O420" i="3"/>
  <c r="P420" i="3"/>
  <c r="T420" i="3"/>
  <c r="U420" i="3"/>
  <c r="O421" i="3"/>
  <c r="P421" i="3"/>
  <c r="T421" i="3"/>
  <c r="U421" i="3"/>
  <c r="I424" i="3"/>
  <c r="K424" i="3" s="1"/>
  <c r="J424" i="3"/>
  <c r="I425" i="3"/>
  <c r="K425" i="3" s="1"/>
  <c r="J425" i="3"/>
  <c r="I432" i="3"/>
  <c r="K432" i="3" s="1"/>
  <c r="J432" i="3"/>
  <c r="I433" i="3"/>
  <c r="K433" i="3" s="1"/>
  <c r="J433" i="3"/>
  <c r="I440" i="3"/>
  <c r="K440" i="3" s="1"/>
  <c r="J440" i="3"/>
  <c r="J423" i="3" s="1"/>
  <c r="J412" i="3" s="1"/>
  <c r="I441" i="3"/>
  <c r="K441" i="3" s="1"/>
  <c r="J446" i="3"/>
  <c r="J447" i="3"/>
  <c r="J441" i="3" s="1"/>
  <c r="I457" i="3"/>
  <c r="K457" i="3" s="1"/>
  <c r="I458" i="3"/>
  <c r="K458" i="3" s="1"/>
  <c r="J459" i="3"/>
  <c r="J460" i="3"/>
  <c r="J467" i="3"/>
  <c r="J468" i="3"/>
  <c r="J458" i="3" s="1"/>
  <c r="J475" i="3"/>
  <c r="K475" i="3"/>
  <c r="J476" i="3"/>
  <c r="K476" i="3"/>
  <c r="J477" i="3"/>
  <c r="K477" i="3"/>
  <c r="J482" i="3"/>
  <c r="J483" i="3"/>
  <c r="I484" i="3"/>
  <c r="J484" i="3"/>
  <c r="K484" i="3"/>
  <c r="I485" i="3"/>
  <c r="K485" i="3" s="1"/>
  <c r="J485" i="3"/>
  <c r="L494" i="3"/>
  <c r="L493" i="3" s="1"/>
  <c r="O493" i="3" s="1"/>
  <c r="M494" i="3"/>
  <c r="N494" i="3"/>
  <c r="N493" i="3" s="1"/>
  <c r="O494" i="3"/>
  <c r="Q494" i="3"/>
  <c r="R494" i="3"/>
  <c r="S494" i="3"/>
  <c r="T494" i="3"/>
  <c r="U494" i="3"/>
  <c r="L495" i="3"/>
  <c r="O495" i="3" s="1"/>
  <c r="M495" i="3"/>
  <c r="N495" i="3"/>
  <c r="P495" i="3"/>
  <c r="L496" i="3"/>
  <c r="O496" i="3" s="1"/>
  <c r="M496" i="3"/>
  <c r="P496" i="3" s="1"/>
  <c r="N496" i="3"/>
  <c r="O497" i="3"/>
  <c r="P497" i="3"/>
  <c r="T497" i="3"/>
  <c r="U497" i="3"/>
  <c r="O498" i="3"/>
  <c r="P498" i="3"/>
  <c r="Q498" i="3"/>
  <c r="R498" i="3"/>
  <c r="R496" i="3" s="1"/>
  <c r="U496" i="3" s="1"/>
  <c r="S498" i="3"/>
  <c r="L499" i="3"/>
  <c r="M499" i="3"/>
  <c r="P499" i="3" s="1"/>
  <c r="N499" i="3"/>
  <c r="O499" i="3"/>
  <c r="Q499" i="3"/>
  <c r="R499" i="3"/>
  <c r="S499" i="3"/>
  <c r="T499" i="3"/>
  <c r="U499" i="3"/>
  <c r="O500" i="3"/>
  <c r="P500" i="3"/>
  <c r="T500" i="3"/>
  <c r="U500" i="3"/>
  <c r="O501" i="3"/>
  <c r="P501" i="3"/>
  <c r="T501" i="3"/>
  <c r="U501" i="3"/>
  <c r="I503" i="3"/>
  <c r="I492" i="3" s="1"/>
  <c r="K492" i="3" s="1"/>
  <c r="I504" i="3"/>
  <c r="I505" i="3"/>
  <c r="K505" i="3" s="1"/>
  <c r="I506" i="3"/>
  <c r="K506" i="3" s="1"/>
  <c r="I507" i="3"/>
  <c r="K507" i="3" s="1"/>
  <c r="K508" i="3"/>
  <c r="I509" i="3"/>
  <c r="K509" i="3" s="1"/>
  <c r="I512" i="3"/>
  <c r="K512" i="3" s="1"/>
  <c r="J512" i="3"/>
  <c r="L514" i="3"/>
  <c r="M514" i="3"/>
  <c r="N514" i="3"/>
  <c r="Q514" i="3"/>
  <c r="R514" i="3"/>
  <c r="S514" i="3"/>
  <c r="Q515" i="3"/>
  <c r="T515" i="3" s="1"/>
  <c r="R515" i="3"/>
  <c r="U515" i="3" s="1"/>
  <c r="S515" i="3"/>
  <c r="Q516" i="3"/>
  <c r="T516" i="3" s="1"/>
  <c r="R516" i="3"/>
  <c r="S516" i="3"/>
  <c r="U516" i="3"/>
  <c r="O517" i="3"/>
  <c r="P517" i="3"/>
  <c r="T517" i="3"/>
  <c r="U517" i="3"/>
  <c r="L518" i="3"/>
  <c r="L516" i="3" s="1"/>
  <c r="O516" i="3" s="1"/>
  <c r="M518" i="3"/>
  <c r="N518" i="3"/>
  <c r="N516" i="3" s="1"/>
  <c r="T518" i="3"/>
  <c r="U518" i="3"/>
  <c r="Q519" i="3"/>
  <c r="T519" i="3" s="1"/>
  <c r="R519" i="3"/>
  <c r="U519" i="3" s="1"/>
  <c r="S519" i="3"/>
  <c r="O520" i="3"/>
  <c r="P520" i="3"/>
  <c r="T520" i="3"/>
  <c r="U520" i="3"/>
  <c r="L521" i="3"/>
  <c r="O521" i="3" s="1"/>
  <c r="M521" i="3"/>
  <c r="P521" i="3" s="1"/>
  <c r="N521" i="3"/>
  <c r="N519" i="3" s="1"/>
  <c r="T521" i="3"/>
  <c r="U521" i="3"/>
  <c r="K523" i="3"/>
  <c r="K524" i="3"/>
  <c r="I533" i="3"/>
  <c r="J533" i="3"/>
  <c r="K533" i="3"/>
  <c r="Q534" i="3"/>
  <c r="T534" i="3" s="1"/>
  <c r="L535" i="3"/>
  <c r="M535" i="3"/>
  <c r="N535" i="3"/>
  <c r="Q535" i="3"/>
  <c r="R535" i="3"/>
  <c r="S535" i="3"/>
  <c r="S534" i="3" s="1"/>
  <c r="T535" i="3"/>
  <c r="L536" i="3"/>
  <c r="M536" i="3"/>
  <c r="N536" i="3"/>
  <c r="O536" i="3"/>
  <c r="P536" i="3"/>
  <c r="Q536" i="3"/>
  <c r="R536" i="3"/>
  <c r="S536" i="3"/>
  <c r="T536" i="3"/>
  <c r="U536" i="3"/>
  <c r="L537" i="3"/>
  <c r="O537" i="3" s="1"/>
  <c r="M537" i="3"/>
  <c r="N537" i="3"/>
  <c r="P537" i="3"/>
  <c r="Q537" i="3"/>
  <c r="T537" i="3" s="1"/>
  <c r="R537" i="3"/>
  <c r="U537" i="3" s="1"/>
  <c r="S537" i="3"/>
  <c r="O538" i="3"/>
  <c r="P538" i="3"/>
  <c r="T538" i="3"/>
  <c r="U538" i="3"/>
  <c r="O539" i="3"/>
  <c r="P539" i="3"/>
  <c r="T539" i="3"/>
  <c r="U539" i="3"/>
  <c r="L540" i="3"/>
  <c r="O540" i="3" s="1"/>
  <c r="M540" i="3"/>
  <c r="N540" i="3"/>
  <c r="P540" i="3"/>
  <c r="Q540" i="3"/>
  <c r="T540" i="3" s="1"/>
  <c r="R540" i="3"/>
  <c r="U540" i="3" s="1"/>
  <c r="S540" i="3"/>
  <c r="O541" i="3"/>
  <c r="P541" i="3"/>
  <c r="T541" i="3"/>
  <c r="U541" i="3"/>
  <c r="O542" i="3"/>
  <c r="P542" i="3"/>
  <c r="T542" i="3"/>
  <c r="U542" i="3"/>
  <c r="I554" i="3"/>
  <c r="K554" i="3" s="1"/>
  <c r="J554" i="3"/>
  <c r="L556" i="3"/>
  <c r="M556" i="3"/>
  <c r="N556" i="3"/>
  <c r="N555" i="3" s="1"/>
  <c r="Q556" i="3"/>
  <c r="R556" i="3"/>
  <c r="S556" i="3"/>
  <c r="S555" i="3" s="1"/>
  <c r="L557" i="3"/>
  <c r="O557" i="3" s="1"/>
  <c r="M557" i="3"/>
  <c r="P557" i="3" s="1"/>
  <c r="N557" i="3"/>
  <c r="Q557" i="3"/>
  <c r="T557" i="3" s="1"/>
  <c r="R557" i="3"/>
  <c r="U557" i="3" s="1"/>
  <c r="S557" i="3"/>
  <c r="L558" i="3"/>
  <c r="M558" i="3"/>
  <c r="P558" i="3" s="1"/>
  <c r="N558" i="3"/>
  <c r="O558" i="3"/>
  <c r="Q558" i="3"/>
  <c r="T558" i="3" s="1"/>
  <c r="R558" i="3"/>
  <c r="S558" i="3"/>
  <c r="U558" i="3"/>
  <c r="O559" i="3"/>
  <c r="P559" i="3"/>
  <c r="T559" i="3"/>
  <c r="U559" i="3"/>
  <c r="O560" i="3"/>
  <c r="P560" i="3"/>
  <c r="T560" i="3"/>
  <c r="U560" i="3"/>
  <c r="L561" i="3"/>
  <c r="M561" i="3"/>
  <c r="P561" i="3" s="1"/>
  <c r="N561" i="3"/>
  <c r="O561" i="3"/>
  <c r="Q561" i="3"/>
  <c r="T561" i="3" s="1"/>
  <c r="R561" i="3"/>
  <c r="U561" i="3" s="1"/>
  <c r="S561" i="3"/>
  <c r="O562" i="3"/>
  <c r="P562" i="3"/>
  <c r="T562" i="3"/>
  <c r="U562" i="3"/>
  <c r="O563" i="3"/>
  <c r="P563" i="3"/>
  <c r="T563" i="3"/>
  <c r="U563" i="3"/>
  <c r="I575" i="3"/>
  <c r="K575" i="3" s="1"/>
  <c r="J575" i="3"/>
  <c r="L577" i="3"/>
  <c r="M577" i="3"/>
  <c r="N577" i="3"/>
  <c r="N576" i="3" s="1"/>
  <c r="Q577" i="3"/>
  <c r="Q576" i="3" s="1"/>
  <c r="T576" i="3" s="1"/>
  <c r="R577" i="3"/>
  <c r="S577" i="3"/>
  <c r="T577" i="3"/>
  <c r="L578" i="3"/>
  <c r="O578" i="3" s="1"/>
  <c r="M578" i="3"/>
  <c r="P578" i="3" s="1"/>
  <c r="N578" i="3"/>
  <c r="Q578" i="3"/>
  <c r="T578" i="3" s="1"/>
  <c r="R578" i="3"/>
  <c r="U578" i="3" s="1"/>
  <c r="S578" i="3"/>
  <c r="L579" i="3"/>
  <c r="O579" i="3" s="1"/>
  <c r="M579" i="3"/>
  <c r="N579" i="3"/>
  <c r="P579" i="3"/>
  <c r="Q579" i="3"/>
  <c r="T579" i="3" s="1"/>
  <c r="R579" i="3"/>
  <c r="U579" i="3" s="1"/>
  <c r="S579" i="3"/>
  <c r="O580" i="3"/>
  <c r="P580" i="3"/>
  <c r="T580" i="3"/>
  <c r="U580" i="3"/>
  <c r="O581" i="3"/>
  <c r="P581" i="3"/>
  <c r="T581" i="3"/>
  <c r="U581" i="3"/>
  <c r="L582" i="3"/>
  <c r="O582" i="3" s="1"/>
  <c r="M582" i="3"/>
  <c r="N582" i="3"/>
  <c r="P582" i="3"/>
  <c r="Q582" i="3"/>
  <c r="T582" i="3" s="1"/>
  <c r="R582" i="3"/>
  <c r="U582" i="3" s="1"/>
  <c r="S582" i="3"/>
  <c r="O583" i="3"/>
  <c r="P583" i="3"/>
  <c r="T583" i="3"/>
  <c r="U583" i="3"/>
  <c r="O584" i="3"/>
  <c r="P584" i="3"/>
  <c r="T584" i="3"/>
  <c r="U584" i="3"/>
  <c r="L600" i="3"/>
  <c r="M600" i="3"/>
  <c r="N600" i="3"/>
  <c r="Q600" i="3"/>
  <c r="R600" i="3"/>
  <c r="S600" i="3"/>
  <c r="T600" i="3"/>
  <c r="L601" i="3"/>
  <c r="O601" i="3" s="1"/>
  <c r="M601" i="3"/>
  <c r="P601" i="3" s="1"/>
  <c r="N601" i="3"/>
  <c r="Q601" i="3"/>
  <c r="T601" i="3" s="1"/>
  <c r="R601" i="3"/>
  <c r="U601" i="3" s="1"/>
  <c r="S601" i="3"/>
  <c r="L602" i="3"/>
  <c r="O602" i="3" s="1"/>
  <c r="M602" i="3"/>
  <c r="N602" i="3"/>
  <c r="P602" i="3"/>
  <c r="Q602" i="3"/>
  <c r="T602" i="3" s="1"/>
  <c r="R602" i="3"/>
  <c r="U602" i="3" s="1"/>
  <c r="S602" i="3"/>
  <c r="O603" i="3"/>
  <c r="P603" i="3"/>
  <c r="T603" i="3"/>
  <c r="U603" i="3"/>
  <c r="O604" i="3"/>
  <c r="P604" i="3"/>
  <c r="T604" i="3"/>
  <c r="U604" i="3"/>
  <c r="L605" i="3"/>
  <c r="O605" i="3" s="1"/>
  <c r="M605" i="3"/>
  <c r="N605" i="3"/>
  <c r="P605" i="3"/>
  <c r="Q605" i="3"/>
  <c r="T605" i="3" s="1"/>
  <c r="R605" i="3"/>
  <c r="U605" i="3" s="1"/>
  <c r="S605" i="3"/>
  <c r="O606" i="3"/>
  <c r="P606" i="3"/>
  <c r="T606" i="3"/>
  <c r="U606" i="3"/>
  <c r="O607" i="3"/>
  <c r="P607" i="3"/>
  <c r="T607" i="3"/>
  <c r="U607" i="3"/>
  <c r="L617" i="3"/>
  <c r="M617" i="3"/>
  <c r="M616" i="3" s="1"/>
  <c r="P616" i="3" s="1"/>
  <c r="N617" i="3"/>
  <c r="Q617" i="3"/>
  <c r="R617" i="3"/>
  <c r="U617" i="3" s="1"/>
  <c r="S617" i="3"/>
  <c r="L618" i="3"/>
  <c r="O618" i="3" s="1"/>
  <c r="M618" i="3"/>
  <c r="P618" i="3" s="1"/>
  <c r="N618" i="3"/>
  <c r="L619" i="3"/>
  <c r="M619" i="3"/>
  <c r="P619" i="3" s="1"/>
  <c r="N619" i="3"/>
  <c r="O619" i="3"/>
  <c r="O620" i="3"/>
  <c r="P620" i="3"/>
  <c r="T620" i="3"/>
  <c r="U620" i="3"/>
  <c r="O621" i="3"/>
  <c r="P621" i="3"/>
  <c r="Q621" i="3"/>
  <c r="Q619" i="3" s="1"/>
  <c r="R621" i="3"/>
  <c r="R619" i="3" s="1"/>
  <c r="S621" i="3"/>
  <c r="S619" i="3" s="1"/>
  <c r="L622" i="3"/>
  <c r="O622" i="3" s="1"/>
  <c r="M622" i="3"/>
  <c r="P622" i="3" s="1"/>
  <c r="N622" i="3"/>
  <c r="Q622" i="3"/>
  <c r="T622" i="3" s="1"/>
  <c r="R622" i="3"/>
  <c r="U622" i="3" s="1"/>
  <c r="S622" i="3"/>
  <c r="O623" i="3"/>
  <c r="P623" i="3"/>
  <c r="T623" i="3"/>
  <c r="U623" i="3"/>
  <c r="O624" i="3"/>
  <c r="P624" i="3"/>
  <c r="T624" i="3"/>
  <c r="U624" i="3"/>
  <c r="I626" i="3"/>
  <c r="I615" i="3" s="1"/>
  <c r="I627" i="3"/>
  <c r="K627" i="3" s="1"/>
  <c r="I628" i="3"/>
  <c r="K628" i="3" s="1"/>
  <c r="J632" i="3"/>
  <c r="J626" i="3" s="1"/>
  <c r="J615" i="3" s="1"/>
  <c r="I635" i="3"/>
  <c r="K635" i="3" s="1"/>
  <c r="J636" i="3"/>
  <c r="J635" i="3" s="1"/>
  <c r="L643" i="3"/>
  <c r="L642" i="3" s="1"/>
  <c r="O642" i="3" s="1"/>
  <c r="M643" i="3"/>
  <c r="N643" i="3"/>
  <c r="N642" i="3" s="1"/>
  <c r="Q643" i="3"/>
  <c r="R643" i="3"/>
  <c r="U643" i="3" s="1"/>
  <c r="S643" i="3"/>
  <c r="T643" i="3"/>
  <c r="L644" i="3"/>
  <c r="O644" i="3" s="1"/>
  <c r="M644" i="3"/>
  <c r="N644" i="3"/>
  <c r="P644" i="3"/>
  <c r="L645" i="3"/>
  <c r="O645" i="3" s="1"/>
  <c r="M645" i="3"/>
  <c r="P645" i="3" s="1"/>
  <c r="N645" i="3"/>
  <c r="O646" i="3"/>
  <c r="P646" i="3"/>
  <c r="T646" i="3"/>
  <c r="U646" i="3"/>
  <c r="O647" i="3"/>
  <c r="P647" i="3"/>
  <c r="Q647" i="3"/>
  <c r="Q644" i="3" s="1"/>
  <c r="R647" i="3"/>
  <c r="R644" i="3" s="1"/>
  <c r="S647" i="3"/>
  <c r="L648" i="3"/>
  <c r="O648" i="3" s="1"/>
  <c r="M648" i="3"/>
  <c r="P648" i="3" s="1"/>
  <c r="N648" i="3"/>
  <c r="Q648" i="3"/>
  <c r="T648" i="3" s="1"/>
  <c r="R648" i="3"/>
  <c r="S648" i="3"/>
  <c r="U648" i="3"/>
  <c r="O649" i="3"/>
  <c r="P649" i="3"/>
  <c r="T649" i="3"/>
  <c r="U649" i="3"/>
  <c r="O650" i="3"/>
  <c r="P650" i="3"/>
  <c r="T650" i="3"/>
  <c r="U650" i="3"/>
  <c r="I652" i="3"/>
  <c r="K652" i="3" s="1"/>
  <c r="J652" i="3"/>
  <c r="I653" i="3"/>
  <c r="K653" i="3" s="1"/>
  <c r="J653" i="3"/>
  <c r="I654" i="3"/>
  <c r="J654" i="3"/>
  <c r="I657" i="3"/>
  <c r="I660" i="3"/>
  <c r="I661" i="3"/>
  <c r="K661" i="3" s="1"/>
  <c r="J661" i="3"/>
  <c r="J671" i="3"/>
  <c r="J672" i="3"/>
  <c r="I673" i="3"/>
  <c r="J673" i="3"/>
  <c r="I674" i="3"/>
  <c r="K674" i="3" s="1"/>
  <c r="I675" i="3"/>
  <c r="K675" i="3" s="1"/>
  <c r="I676" i="3"/>
  <c r="K676" i="3" s="1"/>
  <c r="J676" i="3"/>
  <c r="J677" i="3"/>
  <c r="I678" i="3"/>
  <c r="K678" i="3" s="1"/>
  <c r="J678" i="3"/>
  <c r="I679" i="3"/>
  <c r="K679" i="3" s="1"/>
  <c r="J679" i="3"/>
  <c r="J680" i="3"/>
  <c r="I681" i="3"/>
  <c r="K681" i="3" s="1"/>
  <c r="J681" i="3"/>
  <c r="I682" i="3"/>
  <c r="K682" i="3" s="1"/>
  <c r="J682" i="3"/>
  <c r="L691" i="3"/>
  <c r="M691" i="3"/>
  <c r="P691" i="3" s="1"/>
  <c r="N691" i="3"/>
  <c r="Q691" i="3"/>
  <c r="R691" i="3"/>
  <c r="U691" i="3" s="1"/>
  <c r="S691" i="3"/>
  <c r="L692" i="3"/>
  <c r="O692" i="3" s="1"/>
  <c r="M692" i="3"/>
  <c r="N692" i="3"/>
  <c r="L693" i="3"/>
  <c r="O693" i="3" s="1"/>
  <c r="M693" i="3"/>
  <c r="P693" i="3" s="1"/>
  <c r="N693" i="3"/>
  <c r="O694" i="3"/>
  <c r="P694" i="3"/>
  <c r="T694" i="3"/>
  <c r="U694" i="3"/>
  <c r="O695" i="3"/>
  <c r="P695" i="3"/>
  <c r="Q695" i="3"/>
  <c r="Q693" i="3" s="1"/>
  <c r="R695" i="3"/>
  <c r="R692" i="3" s="1"/>
  <c r="R690" i="3" s="1"/>
  <c r="S695" i="3"/>
  <c r="L696" i="3"/>
  <c r="O696" i="3" s="1"/>
  <c r="M696" i="3"/>
  <c r="N696" i="3"/>
  <c r="P696" i="3"/>
  <c r="Q696" i="3"/>
  <c r="T696" i="3" s="1"/>
  <c r="R696" i="3"/>
  <c r="U696" i="3" s="1"/>
  <c r="S696" i="3"/>
  <c r="O697" i="3"/>
  <c r="P697" i="3"/>
  <c r="T697" i="3"/>
  <c r="U697" i="3"/>
  <c r="O698" i="3"/>
  <c r="P698" i="3"/>
  <c r="T698" i="3"/>
  <c r="U698" i="3"/>
  <c r="I700" i="3"/>
  <c r="K700" i="3" s="1"/>
  <c r="K702" i="3"/>
  <c r="I703" i="3"/>
  <c r="J703" i="3"/>
  <c r="J704" i="3"/>
  <c r="K704" i="3"/>
  <c r="I705" i="3"/>
  <c r="J705" i="3"/>
  <c r="J706" i="3"/>
  <c r="K706" i="3"/>
  <c r="I707" i="3"/>
  <c r="J707" i="3"/>
  <c r="J689" i="3" s="1"/>
  <c r="J708" i="3"/>
  <c r="K708" i="3"/>
  <c r="I709" i="3"/>
  <c r="J709" i="3"/>
  <c r="J710" i="3"/>
  <c r="K710" i="3"/>
  <c r="J712" i="3"/>
  <c r="K712" i="3"/>
  <c r="L715" i="3"/>
  <c r="L714" i="3" s="1"/>
  <c r="O714" i="3" s="1"/>
  <c r="M715" i="3"/>
  <c r="P715" i="3" s="1"/>
  <c r="N715" i="3"/>
  <c r="Q715" i="3"/>
  <c r="R715" i="3"/>
  <c r="U715" i="3" s="1"/>
  <c r="S715" i="3"/>
  <c r="S714" i="3" s="1"/>
  <c r="T715" i="3"/>
  <c r="L716" i="3"/>
  <c r="M716" i="3"/>
  <c r="N716" i="3"/>
  <c r="O716" i="3"/>
  <c r="P716" i="3"/>
  <c r="Q716" i="3"/>
  <c r="Q714" i="3" s="1"/>
  <c r="T714" i="3" s="1"/>
  <c r="R716" i="3"/>
  <c r="S716" i="3"/>
  <c r="U716" i="3"/>
  <c r="L717" i="3"/>
  <c r="O717" i="3" s="1"/>
  <c r="M717" i="3"/>
  <c r="P717" i="3" s="1"/>
  <c r="N717" i="3"/>
  <c r="Q717" i="3"/>
  <c r="T717" i="3" s="1"/>
  <c r="R717" i="3"/>
  <c r="U717" i="3" s="1"/>
  <c r="S717" i="3"/>
  <c r="O718" i="3"/>
  <c r="P718" i="3"/>
  <c r="T718" i="3"/>
  <c r="U718" i="3"/>
  <c r="O719" i="3"/>
  <c r="P719" i="3"/>
  <c r="T719" i="3"/>
  <c r="U719" i="3"/>
  <c r="L720" i="3"/>
  <c r="O720" i="3" s="1"/>
  <c r="M720" i="3"/>
  <c r="P720" i="3" s="1"/>
  <c r="N720" i="3"/>
  <c r="Q720" i="3"/>
  <c r="T720" i="3" s="1"/>
  <c r="R720" i="3"/>
  <c r="U720" i="3" s="1"/>
  <c r="S720" i="3"/>
  <c r="O721" i="3"/>
  <c r="P721" i="3"/>
  <c r="T721" i="3"/>
  <c r="U721" i="3"/>
  <c r="O722" i="3"/>
  <c r="P722" i="3"/>
  <c r="T722" i="3"/>
  <c r="U722" i="3"/>
  <c r="I726" i="3"/>
  <c r="J726" i="3"/>
  <c r="I727" i="3"/>
  <c r="K727" i="3" s="1"/>
  <c r="J727" i="3"/>
  <c r="L729" i="3"/>
  <c r="M729" i="3"/>
  <c r="P729" i="3" s="1"/>
  <c r="N729" i="3"/>
  <c r="Q729" i="3"/>
  <c r="T729" i="3" s="1"/>
  <c r="R729" i="3"/>
  <c r="U729" i="3" s="1"/>
  <c r="S729" i="3"/>
  <c r="L730" i="3"/>
  <c r="M730" i="3"/>
  <c r="P730" i="3" s="1"/>
  <c r="N730" i="3"/>
  <c r="O730" i="3"/>
  <c r="L731" i="3"/>
  <c r="O731" i="3" s="1"/>
  <c r="M731" i="3"/>
  <c r="P731" i="3" s="1"/>
  <c r="N731" i="3"/>
  <c r="O732" i="3"/>
  <c r="P732" i="3"/>
  <c r="T732" i="3"/>
  <c r="U732" i="3"/>
  <c r="O733" i="3"/>
  <c r="P733" i="3"/>
  <c r="Q733" i="3"/>
  <c r="Q730" i="3" s="1"/>
  <c r="R733" i="3"/>
  <c r="R730" i="3" s="1"/>
  <c r="S733" i="3"/>
  <c r="S730" i="3" s="1"/>
  <c r="L734" i="3"/>
  <c r="O734" i="3" s="1"/>
  <c r="M734" i="3"/>
  <c r="N734" i="3"/>
  <c r="P734" i="3"/>
  <c r="Q734" i="3"/>
  <c r="T734" i="3" s="1"/>
  <c r="R734" i="3"/>
  <c r="U734" i="3" s="1"/>
  <c r="S734" i="3"/>
  <c r="O735" i="3"/>
  <c r="P735" i="3"/>
  <c r="T735" i="3"/>
  <c r="U735" i="3"/>
  <c r="O736" i="3"/>
  <c r="P736" i="3"/>
  <c r="T736" i="3"/>
  <c r="U736" i="3"/>
  <c r="I740" i="3"/>
  <c r="K740" i="3" s="1"/>
  <c r="I742" i="3"/>
  <c r="K742" i="3" s="1"/>
  <c r="I744" i="3"/>
  <c r="K744" i="3" s="1"/>
  <c r="I746" i="3"/>
  <c r="K746" i="3" s="1"/>
  <c r="I749" i="3"/>
  <c r="K749" i="3" s="1"/>
  <c r="I752" i="3"/>
  <c r="K752" i="3" s="1"/>
  <c r="I755" i="3"/>
  <c r="K755" i="3" s="1"/>
  <c r="J758" i="3"/>
  <c r="J759" i="3"/>
  <c r="L761" i="3"/>
  <c r="M761" i="3"/>
  <c r="N761" i="3"/>
  <c r="N760" i="3" s="1"/>
  <c r="Q761" i="3"/>
  <c r="R761" i="3"/>
  <c r="S761" i="3"/>
  <c r="L762" i="3"/>
  <c r="O762" i="3" s="1"/>
  <c r="M762" i="3"/>
  <c r="P762" i="3" s="1"/>
  <c r="N762" i="3"/>
  <c r="L763" i="3"/>
  <c r="O763" i="3" s="1"/>
  <c r="M763" i="3"/>
  <c r="P763" i="3" s="1"/>
  <c r="N763" i="3"/>
  <c r="O764" i="3"/>
  <c r="P764" i="3"/>
  <c r="T764" i="3"/>
  <c r="U764" i="3"/>
  <c r="O765" i="3"/>
  <c r="P765" i="3"/>
  <c r="Q765" i="3"/>
  <c r="Q763" i="3" s="1"/>
  <c r="R765" i="3"/>
  <c r="R763" i="3" s="1"/>
  <c r="S765" i="3"/>
  <c r="L766" i="3"/>
  <c r="O766" i="3" s="1"/>
  <c r="M766" i="3"/>
  <c r="P766" i="3" s="1"/>
  <c r="N766" i="3"/>
  <c r="Q766" i="3"/>
  <c r="T766" i="3" s="1"/>
  <c r="R766" i="3"/>
  <c r="U766" i="3" s="1"/>
  <c r="S766" i="3"/>
  <c r="O767" i="3"/>
  <c r="P767" i="3"/>
  <c r="T767" i="3"/>
  <c r="U767" i="3"/>
  <c r="O768" i="3"/>
  <c r="P768" i="3"/>
  <c r="T768" i="3"/>
  <c r="U768" i="3"/>
  <c r="I770" i="3"/>
  <c r="K770" i="3" s="1"/>
  <c r="I772" i="3"/>
  <c r="I758" i="3" s="1"/>
  <c r="I774" i="3"/>
  <c r="I759" i="3" s="1"/>
  <c r="K759" i="3" s="1"/>
  <c r="I775" i="3"/>
  <c r="I776" i="3"/>
  <c r="H777" i="3"/>
  <c r="I778" i="3"/>
  <c r="J778" i="3"/>
  <c r="I779" i="3"/>
  <c r="J779" i="3"/>
  <c r="I780" i="3"/>
  <c r="J780" i="3"/>
  <c r="I781" i="3"/>
  <c r="J781" i="3"/>
  <c r="I782" i="3"/>
  <c r="J782" i="3"/>
  <c r="I783" i="3"/>
  <c r="J783" i="3"/>
  <c r="I784" i="3"/>
  <c r="J784" i="3"/>
  <c r="I785" i="3"/>
  <c r="J785" i="3"/>
  <c r="A788" i="3"/>
  <c r="A789" i="3"/>
  <c r="L22" i="2"/>
  <c r="M22" i="2"/>
  <c r="N22" i="2"/>
  <c r="Q22" i="2"/>
  <c r="R22" i="2"/>
  <c r="S22" i="2"/>
  <c r="S19" i="2" s="1"/>
  <c r="L25" i="2"/>
  <c r="M25" i="2"/>
  <c r="N25" i="2"/>
  <c r="Q25" i="2"/>
  <c r="T25" i="2" s="1"/>
  <c r="R25" i="2"/>
  <c r="S25" i="2"/>
  <c r="S24" i="2" s="1"/>
  <c r="Q26" i="2"/>
  <c r="R26" i="2"/>
  <c r="U26" i="2" s="1"/>
  <c r="S26" i="2"/>
  <c r="L45" i="2"/>
  <c r="O45" i="2" s="1"/>
  <c r="M45" i="2"/>
  <c r="N45" i="2"/>
  <c r="Q45" i="2"/>
  <c r="Q44" i="2" s="1"/>
  <c r="T44" i="2" s="1"/>
  <c r="R45" i="2"/>
  <c r="U45" i="2" s="1"/>
  <c r="S45" i="2"/>
  <c r="T45" i="2"/>
  <c r="Q46" i="2"/>
  <c r="T46" i="2" s="1"/>
  <c r="R46" i="2"/>
  <c r="S46" i="2"/>
  <c r="U46" i="2"/>
  <c r="Q47" i="2"/>
  <c r="T47" i="2" s="1"/>
  <c r="R47" i="2"/>
  <c r="U47" i="2" s="1"/>
  <c r="S47" i="2"/>
  <c r="O48" i="2"/>
  <c r="P48" i="2"/>
  <c r="T48" i="2"/>
  <c r="U48" i="2"/>
  <c r="L49" i="2"/>
  <c r="L47" i="2" s="1"/>
  <c r="M49" i="2"/>
  <c r="N49" i="2"/>
  <c r="T49" i="2"/>
  <c r="U49" i="2"/>
  <c r="Q50" i="2"/>
  <c r="T50" i="2" s="1"/>
  <c r="R50" i="2"/>
  <c r="U50" i="2" s="1"/>
  <c r="S50" i="2"/>
  <c r="O51" i="2"/>
  <c r="P51" i="2"/>
  <c r="T51" i="2"/>
  <c r="U51" i="2"/>
  <c r="L52" i="2"/>
  <c r="M52" i="2"/>
  <c r="N52" i="2"/>
  <c r="N50" i="2" s="1"/>
  <c r="T52" i="2"/>
  <c r="U52" i="2"/>
  <c r="L60" i="2"/>
  <c r="O60" i="2" s="1"/>
  <c r="M60" i="2"/>
  <c r="N60" i="2"/>
  <c r="Q60" i="2"/>
  <c r="R60" i="2"/>
  <c r="U60" i="2" s="1"/>
  <c r="S60" i="2"/>
  <c r="S59" i="2" s="1"/>
  <c r="Q61" i="2"/>
  <c r="T61" i="2" s="1"/>
  <c r="R61" i="2"/>
  <c r="S61" i="2"/>
  <c r="Q62" i="2"/>
  <c r="T62" i="2" s="1"/>
  <c r="R62" i="2"/>
  <c r="U62" i="2" s="1"/>
  <c r="S62" i="2"/>
  <c r="O63" i="2"/>
  <c r="P63" i="2"/>
  <c r="T63" i="2"/>
  <c r="U63" i="2"/>
  <c r="L64" i="2"/>
  <c r="L62" i="2" s="1"/>
  <c r="M64" i="2"/>
  <c r="N64" i="2"/>
  <c r="N62" i="2" s="1"/>
  <c r="T64" i="2"/>
  <c r="U64" i="2"/>
  <c r="Q65" i="2"/>
  <c r="R65" i="2"/>
  <c r="S65" i="2"/>
  <c r="T65" i="2"/>
  <c r="U65" i="2"/>
  <c r="O66" i="2"/>
  <c r="P66" i="2"/>
  <c r="T66" i="2"/>
  <c r="U66" i="2"/>
  <c r="L67" i="2"/>
  <c r="M67" i="2"/>
  <c r="N67" i="2"/>
  <c r="N65" i="2" s="1"/>
  <c r="T67" i="2"/>
  <c r="U67" i="2"/>
  <c r="L73" i="2"/>
  <c r="O73" i="2" s="1"/>
  <c r="M73" i="2"/>
  <c r="N73" i="2"/>
  <c r="Q73" i="2"/>
  <c r="R73" i="2"/>
  <c r="U73" i="2" s="1"/>
  <c r="S73" i="2"/>
  <c r="T73" i="2"/>
  <c r="O76" i="2"/>
  <c r="P76" i="2"/>
  <c r="T76" i="2"/>
  <c r="U76" i="2"/>
  <c r="L77" i="2"/>
  <c r="O77" i="2" s="1"/>
  <c r="M77" i="2"/>
  <c r="P77" i="2" s="1"/>
  <c r="N77" i="2"/>
  <c r="N75" i="2" s="1"/>
  <c r="Q77" i="2"/>
  <c r="Q75" i="2" s="1"/>
  <c r="T75" i="2" s="1"/>
  <c r="R77" i="2"/>
  <c r="R74" i="2" s="1"/>
  <c r="U74" i="2" s="1"/>
  <c r="S77" i="2"/>
  <c r="S74" i="2" s="1"/>
  <c r="Q78" i="2"/>
  <c r="T78" i="2" s="1"/>
  <c r="R78" i="2"/>
  <c r="U78" i="2" s="1"/>
  <c r="S78" i="2"/>
  <c r="O79" i="2"/>
  <c r="P79" i="2"/>
  <c r="T79" i="2"/>
  <c r="U79" i="2"/>
  <c r="L80" i="2"/>
  <c r="O80" i="2" s="1"/>
  <c r="M80" i="2"/>
  <c r="M78" i="2" s="1"/>
  <c r="P78" i="2" s="1"/>
  <c r="N80" i="2"/>
  <c r="N78" i="2" s="1"/>
  <c r="T80" i="2"/>
  <c r="U80" i="2"/>
  <c r="J82" i="2"/>
  <c r="J70" i="2" s="1"/>
  <c r="J83" i="2"/>
  <c r="J71" i="2" s="1"/>
  <c r="I84" i="2"/>
  <c r="K84" i="2" s="1"/>
  <c r="I85" i="2"/>
  <c r="I86" i="2"/>
  <c r="K86" i="2" s="1"/>
  <c r="I87" i="2"/>
  <c r="K87" i="2" s="1"/>
  <c r="I88" i="2"/>
  <c r="K88" i="2" s="1"/>
  <c r="I89" i="2"/>
  <c r="K89" i="2" s="1"/>
  <c r="I90" i="2"/>
  <c r="K90" i="2" s="1"/>
  <c r="J92" i="2"/>
  <c r="J93" i="2"/>
  <c r="L95" i="2"/>
  <c r="M95" i="2"/>
  <c r="N95" i="2"/>
  <c r="O95" i="2"/>
  <c r="P95" i="2"/>
  <c r="Q95" i="2"/>
  <c r="R95" i="2"/>
  <c r="S95" i="2"/>
  <c r="T95" i="2"/>
  <c r="U95" i="2"/>
  <c r="O98" i="2"/>
  <c r="P98" i="2"/>
  <c r="T98" i="2"/>
  <c r="U98" i="2"/>
  <c r="L99" i="2"/>
  <c r="L97" i="2" s="1"/>
  <c r="O97" i="2" s="1"/>
  <c r="M99" i="2"/>
  <c r="N99" i="2"/>
  <c r="Q99" i="2"/>
  <c r="R99" i="2"/>
  <c r="R96" i="2" s="1"/>
  <c r="U96" i="2" s="1"/>
  <c r="S99" i="2"/>
  <c r="S96" i="2" s="1"/>
  <c r="S94" i="2" s="1"/>
  <c r="Q100" i="2"/>
  <c r="R100" i="2"/>
  <c r="U100" i="2" s="1"/>
  <c r="S100" i="2"/>
  <c r="T100" i="2"/>
  <c r="O101" i="2"/>
  <c r="P101" i="2"/>
  <c r="T101" i="2"/>
  <c r="U101" i="2"/>
  <c r="L102" i="2"/>
  <c r="O102" i="2" s="1"/>
  <c r="M102" i="2"/>
  <c r="P102" i="2" s="1"/>
  <c r="N102" i="2"/>
  <c r="N100" i="2" s="1"/>
  <c r="T102" i="2"/>
  <c r="U102" i="2"/>
  <c r="I108" i="2"/>
  <c r="K108" i="2" s="1"/>
  <c r="I109" i="2"/>
  <c r="I114" i="2"/>
  <c r="K114" i="2" s="1"/>
  <c r="J116" i="2"/>
  <c r="L118" i="2"/>
  <c r="M118" i="2"/>
  <c r="P118" i="2" s="1"/>
  <c r="N118" i="2"/>
  <c r="O118" i="2"/>
  <c r="Q118" i="2"/>
  <c r="R118" i="2"/>
  <c r="S118" i="2"/>
  <c r="T118" i="2"/>
  <c r="U118" i="2"/>
  <c r="O121" i="2"/>
  <c r="P121" i="2"/>
  <c r="T121" i="2"/>
  <c r="U121" i="2"/>
  <c r="L122" i="2"/>
  <c r="M122" i="2"/>
  <c r="M120" i="2" s="1"/>
  <c r="P120" i="2" s="1"/>
  <c r="N122" i="2"/>
  <c r="N120" i="2" s="1"/>
  <c r="Q122" i="2"/>
  <c r="R122" i="2"/>
  <c r="R119" i="2" s="1"/>
  <c r="R117" i="2" s="1"/>
  <c r="S122" i="2"/>
  <c r="Q123" i="2"/>
  <c r="T123" i="2" s="1"/>
  <c r="R123" i="2"/>
  <c r="U123" i="2" s="1"/>
  <c r="S123" i="2"/>
  <c r="O124" i="2"/>
  <c r="P124" i="2"/>
  <c r="T124" i="2"/>
  <c r="U124" i="2"/>
  <c r="L125" i="2"/>
  <c r="M125" i="2"/>
  <c r="M123" i="2" s="1"/>
  <c r="P123" i="2" s="1"/>
  <c r="N125" i="2"/>
  <c r="N123" i="2" s="1"/>
  <c r="T125" i="2"/>
  <c r="U125" i="2"/>
  <c r="I127" i="2"/>
  <c r="I116" i="2" s="1"/>
  <c r="K116" i="2" s="1"/>
  <c r="I128" i="2"/>
  <c r="K128" i="2" s="1"/>
  <c r="I129" i="2"/>
  <c r="K129" i="2" s="1"/>
  <c r="I130" i="2"/>
  <c r="K130" i="2" s="1"/>
  <c r="J136" i="2"/>
  <c r="J137" i="2"/>
  <c r="J138" i="2"/>
  <c r="L140" i="2"/>
  <c r="M140" i="2"/>
  <c r="N140" i="2"/>
  <c r="Q140" i="2"/>
  <c r="T140" i="2" s="1"/>
  <c r="R140" i="2"/>
  <c r="S140" i="2"/>
  <c r="O143" i="2"/>
  <c r="P143" i="2"/>
  <c r="T143" i="2"/>
  <c r="U143" i="2"/>
  <c r="L144" i="2"/>
  <c r="L142" i="2" s="1"/>
  <c r="O142" i="2" s="1"/>
  <c r="M144" i="2"/>
  <c r="M142" i="2" s="1"/>
  <c r="P142" i="2" s="1"/>
  <c r="N144" i="2"/>
  <c r="Q144" i="2"/>
  <c r="Q141" i="2" s="1"/>
  <c r="R144" i="2"/>
  <c r="R142" i="2" s="1"/>
  <c r="U142" i="2" s="1"/>
  <c r="S144" i="2"/>
  <c r="S142" i="2" s="1"/>
  <c r="Q145" i="2"/>
  <c r="T145" i="2" s="1"/>
  <c r="R145" i="2"/>
  <c r="U145" i="2" s="1"/>
  <c r="S145" i="2"/>
  <c r="O146" i="2"/>
  <c r="P146" i="2"/>
  <c r="T146" i="2"/>
  <c r="U146" i="2"/>
  <c r="L147" i="2"/>
  <c r="L145" i="2" s="1"/>
  <c r="O145" i="2" s="1"/>
  <c r="M147" i="2"/>
  <c r="M145" i="2" s="1"/>
  <c r="P145" i="2" s="1"/>
  <c r="N147" i="2"/>
  <c r="T147" i="2"/>
  <c r="U147" i="2"/>
  <c r="I150" i="2"/>
  <c r="K150" i="2" s="1"/>
  <c r="I151" i="2"/>
  <c r="K151" i="2" s="1"/>
  <c r="I152" i="2"/>
  <c r="I137" i="2" s="1"/>
  <c r="K137" i="2" s="1"/>
  <c r="I153" i="2"/>
  <c r="I138" i="2" s="1"/>
  <c r="K138" i="2" s="1"/>
  <c r="I154" i="2"/>
  <c r="J156" i="2"/>
  <c r="L158" i="2"/>
  <c r="M158" i="2"/>
  <c r="P158" i="2" s="1"/>
  <c r="N158" i="2"/>
  <c r="O158" i="2"/>
  <c r="Q158" i="2"/>
  <c r="T158" i="2" s="1"/>
  <c r="R158" i="2"/>
  <c r="S158" i="2"/>
  <c r="U158" i="2"/>
  <c r="O161" i="2"/>
  <c r="P161" i="2"/>
  <c r="T161" i="2"/>
  <c r="U161" i="2"/>
  <c r="L162" i="2"/>
  <c r="L160" i="2" s="1"/>
  <c r="M162" i="2"/>
  <c r="N162" i="2"/>
  <c r="N160" i="2" s="1"/>
  <c r="Q162" i="2"/>
  <c r="R162" i="2"/>
  <c r="S162" i="2"/>
  <c r="S159" i="2" s="1"/>
  <c r="Q163" i="2"/>
  <c r="T163" i="2" s="1"/>
  <c r="R163" i="2"/>
  <c r="U163" i="2" s="1"/>
  <c r="S163" i="2"/>
  <c r="O164" i="2"/>
  <c r="P164" i="2"/>
  <c r="T164" i="2"/>
  <c r="U164" i="2"/>
  <c r="L165" i="2"/>
  <c r="M165" i="2"/>
  <c r="P165" i="2" s="1"/>
  <c r="N165" i="2"/>
  <c r="N163" i="2" s="1"/>
  <c r="T165" i="2"/>
  <c r="U165" i="2"/>
  <c r="I167" i="2"/>
  <c r="J172" i="2"/>
  <c r="L174" i="2"/>
  <c r="O174" i="2" s="1"/>
  <c r="M174" i="2"/>
  <c r="P174" i="2" s="1"/>
  <c r="N174" i="2"/>
  <c r="Q174" i="2"/>
  <c r="R174" i="2"/>
  <c r="S174" i="2"/>
  <c r="T174" i="2"/>
  <c r="U174" i="2"/>
  <c r="O177" i="2"/>
  <c r="P177" i="2"/>
  <c r="T177" i="2"/>
  <c r="U177" i="2"/>
  <c r="L178" i="2"/>
  <c r="M178" i="2"/>
  <c r="N178" i="2"/>
  <c r="N176" i="2" s="1"/>
  <c r="Q178" i="2"/>
  <c r="Q175" i="2" s="1"/>
  <c r="T175" i="2" s="1"/>
  <c r="R178" i="2"/>
  <c r="R175" i="2" s="1"/>
  <c r="U175" i="2" s="1"/>
  <c r="S178" i="2"/>
  <c r="S175" i="2" s="1"/>
  <c r="S173" i="2" s="1"/>
  <c r="Q179" i="2"/>
  <c r="R179" i="2"/>
  <c r="S179" i="2"/>
  <c r="T179" i="2"/>
  <c r="U179" i="2"/>
  <c r="O180" i="2"/>
  <c r="P180" i="2"/>
  <c r="T180" i="2"/>
  <c r="U180" i="2"/>
  <c r="L181" i="2"/>
  <c r="O181" i="2" s="1"/>
  <c r="M181" i="2"/>
  <c r="P181" i="2" s="1"/>
  <c r="N181" i="2"/>
  <c r="N179" i="2" s="1"/>
  <c r="T181" i="2"/>
  <c r="U181" i="2"/>
  <c r="I183" i="2"/>
  <c r="K184" i="2"/>
  <c r="L187" i="2"/>
  <c r="O187" i="2" s="1"/>
  <c r="M187" i="2"/>
  <c r="N187" i="2"/>
  <c r="P187" i="2"/>
  <c r="Q187" i="2"/>
  <c r="R187" i="2"/>
  <c r="S187" i="2"/>
  <c r="O190" i="2"/>
  <c r="P190" i="2"/>
  <c r="T190" i="2"/>
  <c r="U190" i="2"/>
  <c r="L191" i="2"/>
  <c r="M191" i="2"/>
  <c r="N191" i="2"/>
  <c r="N189" i="2" s="1"/>
  <c r="Q191" i="2"/>
  <c r="R191" i="2"/>
  <c r="R188" i="2" s="1"/>
  <c r="S191" i="2"/>
  <c r="S188" i="2" s="1"/>
  <c r="S186" i="2" s="1"/>
  <c r="Q192" i="2"/>
  <c r="T192" i="2" s="1"/>
  <c r="R192" i="2"/>
  <c r="U192" i="2" s="1"/>
  <c r="S192" i="2"/>
  <c r="O193" i="2"/>
  <c r="P193" i="2"/>
  <c r="T193" i="2"/>
  <c r="U193" i="2"/>
  <c r="L194" i="2"/>
  <c r="O194" i="2" s="1"/>
  <c r="M194" i="2"/>
  <c r="P194" i="2" s="1"/>
  <c r="N194" i="2"/>
  <c r="N192" i="2" s="1"/>
  <c r="T194" i="2"/>
  <c r="U194" i="2"/>
  <c r="J195" i="2"/>
  <c r="L196" i="2"/>
  <c r="O196" i="2" s="1"/>
  <c r="P196" i="2"/>
  <c r="I198" i="2"/>
  <c r="J199" i="2"/>
  <c r="J202" i="2"/>
  <c r="N203" i="2"/>
  <c r="P203" i="2"/>
  <c r="S203" i="2"/>
  <c r="U203" i="2"/>
  <c r="L204" i="2"/>
  <c r="L205" i="2"/>
  <c r="L206" i="2"/>
  <c r="Q206" i="2"/>
  <c r="Q203" i="2" s="1"/>
  <c r="T203" i="2" s="1"/>
  <c r="L207" i="2"/>
  <c r="I209" i="2"/>
  <c r="I211" i="2"/>
  <c r="K211" i="2" s="1"/>
  <c r="I212" i="2"/>
  <c r="K212" i="2" s="1"/>
  <c r="J213" i="2"/>
  <c r="N214" i="2"/>
  <c r="P214" i="2"/>
  <c r="S214" i="2"/>
  <c r="U214" i="2"/>
  <c r="L215" i="2"/>
  <c r="L216" i="2"/>
  <c r="L217" i="2"/>
  <c r="Q217" i="2"/>
  <c r="Q214" i="2" s="1"/>
  <c r="T214" i="2" s="1"/>
  <c r="I219" i="2"/>
  <c r="K219" i="2" s="1"/>
  <c r="I220" i="2"/>
  <c r="K220" i="2" s="1"/>
  <c r="J221" i="2"/>
  <c r="N222" i="2"/>
  <c r="P222" i="2"/>
  <c r="L223" i="2"/>
  <c r="L224" i="2"/>
  <c r="L225" i="2"/>
  <c r="I228" i="2"/>
  <c r="K228" i="2" s="1"/>
  <c r="I229" i="2"/>
  <c r="I221" i="2" s="1"/>
  <c r="K221" i="2" s="1"/>
  <c r="I230" i="2"/>
  <c r="K230" i="2" s="1"/>
  <c r="N232" i="2"/>
  <c r="N233" i="2"/>
  <c r="N234" i="2"/>
  <c r="N235" i="2"/>
  <c r="N236" i="2"/>
  <c r="J238" i="2"/>
  <c r="I240" i="2"/>
  <c r="K240" i="2" s="1"/>
  <c r="J240" i="2"/>
  <c r="I241" i="2"/>
  <c r="K241" i="2" s="1"/>
  <c r="J241" i="2"/>
  <c r="J242" i="2"/>
  <c r="J231" i="2" s="1"/>
  <c r="J185" i="2" s="1"/>
  <c r="N243" i="2"/>
  <c r="P243" i="2"/>
  <c r="L244" i="2"/>
  <c r="L245" i="2"/>
  <c r="L246" i="2"/>
  <c r="L247" i="2"/>
  <c r="I249" i="2"/>
  <c r="K249" i="2" s="1"/>
  <c r="K251" i="2"/>
  <c r="K252" i="2"/>
  <c r="J253" i="2"/>
  <c r="N254" i="2"/>
  <c r="P254" i="2"/>
  <c r="L255" i="2"/>
  <c r="L256" i="2"/>
  <c r="L257" i="2"/>
  <c r="L258" i="2"/>
  <c r="I260" i="2"/>
  <c r="K262" i="2"/>
  <c r="K263" i="2"/>
  <c r="J265" i="2"/>
  <c r="L267" i="2"/>
  <c r="O267" i="2" s="1"/>
  <c r="M267" i="2"/>
  <c r="N267" i="2"/>
  <c r="P267" i="2"/>
  <c r="Q267" i="2"/>
  <c r="R267" i="2"/>
  <c r="U267" i="2" s="1"/>
  <c r="S267" i="2"/>
  <c r="O270" i="2"/>
  <c r="P270" i="2"/>
  <c r="T270" i="2"/>
  <c r="U270" i="2"/>
  <c r="L271" i="2"/>
  <c r="L269" i="2" s="1"/>
  <c r="O269" i="2" s="1"/>
  <c r="M271" i="2"/>
  <c r="M269" i="2" s="1"/>
  <c r="N271" i="2"/>
  <c r="Q271" i="2"/>
  <c r="R271" i="2"/>
  <c r="S271" i="2"/>
  <c r="S269" i="2" s="1"/>
  <c r="Q272" i="2"/>
  <c r="T272" i="2" s="1"/>
  <c r="R272" i="2"/>
  <c r="U272" i="2" s="1"/>
  <c r="S272" i="2"/>
  <c r="O273" i="2"/>
  <c r="P273" i="2"/>
  <c r="T273" i="2"/>
  <c r="U273" i="2"/>
  <c r="L274" i="2"/>
  <c r="M274" i="2"/>
  <c r="M272" i="2" s="1"/>
  <c r="P272" i="2" s="1"/>
  <c r="N274" i="2"/>
  <c r="N272" i="2" s="1"/>
  <c r="T274" i="2"/>
  <c r="U274" i="2"/>
  <c r="I276" i="2"/>
  <c r="K276" i="2" s="1"/>
  <c r="J280" i="2"/>
  <c r="J281" i="2"/>
  <c r="L283" i="2"/>
  <c r="M283" i="2"/>
  <c r="P283" i="2" s="1"/>
  <c r="N283" i="2"/>
  <c r="Q283" i="2"/>
  <c r="T283" i="2" s="1"/>
  <c r="R283" i="2"/>
  <c r="S283" i="2"/>
  <c r="Q284" i="2"/>
  <c r="R284" i="2"/>
  <c r="U284" i="2" s="1"/>
  <c r="S284" i="2"/>
  <c r="T284" i="2"/>
  <c r="Q285" i="2"/>
  <c r="T285" i="2" s="1"/>
  <c r="R285" i="2"/>
  <c r="S285" i="2"/>
  <c r="U285" i="2"/>
  <c r="O286" i="2"/>
  <c r="P286" i="2"/>
  <c r="T286" i="2"/>
  <c r="U286" i="2"/>
  <c r="L287" i="2"/>
  <c r="M287" i="2"/>
  <c r="N287" i="2"/>
  <c r="N285" i="2" s="1"/>
  <c r="T287" i="2"/>
  <c r="U287" i="2"/>
  <c r="Q288" i="2"/>
  <c r="R288" i="2"/>
  <c r="U288" i="2" s="1"/>
  <c r="S288" i="2"/>
  <c r="T288" i="2"/>
  <c r="O289" i="2"/>
  <c r="P289" i="2"/>
  <c r="T289" i="2"/>
  <c r="U289" i="2"/>
  <c r="L290" i="2"/>
  <c r="M290" i="2"/>
  <c r="M288" i="2" s="1"/>
  <c r="P288" i="2" s="1"/>
  <c r="N290" i="2"/>
  <c r="N288" i="2" s="1"/>
  <c r="T290" i="2"/>
  <c r="U290" i="2"/>
  <c r="I292" i="2"/>
  <c r="K292" i="2" s="1"/>
  <c r="I293" i="2"/>
  <c r="I280" i="2" s="1"/>
  <c r="J293" i="2"/>
  <c r="I295" i="2"/>
  <c r="K295" i="2" s="1"/>
  <c r="I296" i="2"/>
  <c r="K296" i="2" s="1"/>
  <c r="J302" i="2"/>
  <c r="L304" i="2"/>
  <c r="O304" i="2" s="1"/>
  <c r="M304" i="2"/>
  <c r="P304" i="2" s="1"/>
  <c r="N304" i="2"/>
  <c r="Q304" i="2"/>
  <c r="R304" i="2"/>
  <c r="U304" i="2" s="1"/>
  <c r="S304" i="2"/>
  <c r="T304" i="2"/>
  <c r="O307" i="2"/>
  <c r="P307" i="2"/>
  <c r="T307" i="2"/>
  <c r="U307" i="2"/>
  <c r="L308" i="2"/>
  <c r="L306" i="2" s="1"/>
  <c r="O306" i="2" s="1"/>
  <c r="M308" i="2"/>
  <c r="N308" i="2"/>
  <c r="N306" i="2" s="1"/>
  <c r="Q308" i="2"/>
  <c r="R308" i="2"/>
  <c r="S308" i="2"/>
  <c r="S306" i="2" s="1"/>
  <c r="Q309" i="2"/>
  <c r="T309" i="2" s="1"/>
  <c r="R309" i="2"/>
  <c r="U309" i="2" s="1"/>
  <c r="S309" i="2"/>
  <c r="O310" i="2"/>
  <c r="P310" i="2"/>
  <c r="T310" i="2"/>
  <c r="U310" i="2"/>
  <c r="L311" i="2"/>
  <c r="M311" i="2"/>
  <c r="M309" i="2" s="1"/>
  <c r="P309" i="2" s="1"/>
  <c r="N311" i="2"/>
  <c r="N309" i="2" s="1"/>
  <c r="T311" i="2"/>
  <c r="U311" i="2"/>
  <c r="I314" i="2"/>
  <c r="I302" i="2" s="1"/>
  <c r="K302" i="2" s="1"/>
  <c r="J319" i="2"/>
  <c r="L321" i="2"/>
  <c r="O321" i="2" s="1"/>
  <c r="M321" i="2"/>
  <c r="N321" i="2"/>
  <c r="Q321" i="2"/>
  <c r="T321" i="2" s="1"/>
  <c r="R321" i="2"/>
  <c r="R320" i="2" s="1"/>
  <c r="U320" i="2" s="1"/>
  <c r="S321" i="2"/>
  <c r="Q322" i="2"/>
  <c r="T322" i="2" s="1"/>
  <c r="R322" i="2"/>
  <c r="U322" i="2" s="1"/>
  <c r="S322" i="2"/>
  <c r="Q323" i="2"/>
  <c r="R323" i="2"/>
  <c r="S323" i="2"/>
  <c r="T323" i="2"/>
  <c r="U323" i="2"/>
  <c r="O324" i="2"/>
  <c r="P324" i="2"/>
  <c r="T324" i="2"/>
  <c r="U324" i="2"/>
  <c r="L325" i="2"/>
  <c r="L323" i="2" s="1"/>
  <c r="M325" i="2"/>
  <c r="N325" i="2"/>
  <c r="T325" i="2"/>
  <c r="U325" i="2"/>
  <c r="Q326" i="2"/>
  <c r="T326" i="2" s="1"/>
  <c r="R326" i="2"/>
  <c r="U326" i="2" s="1"/>
  <c r="S326" i="2"/>
  <c r="O327" i="2"/>
  <c r="P327" i="2"/>
  <c r="T327" i="2"/>
  <c r="U327" i="2"/>
  <c r="L328" i="2"/>
  <c r="O328" i="2" s="1"/>
  <c r="M328" i="2"/>
  <c r="M326" i="2" s="1"/>
  <c r="P326" i="2" s="1"/>
  <c r="N328" i="2"/>
  <c r="N326" i="2" s="1"/>
  <c r="T328" i="2"/>
  <c r="U328" i="2"/>
  <c r="I330" i="2"/>
  <c r="K330" i="2" s="1"/>
  <c r="R333" i="2"/>
  <c r="U333" i="2" s="1"/>
  <c r="L334" i="2"/>
  <c r="M334" i="2"/>
  <c r="P334" i="2" s="1"/>
  <c r="N334" i="2"/>
  <c r="Q334" i="2"/>
  <c r="T334" i="2" s="1"/>
  <c r="R334" i="2"/>
  <c r="U334" i="2" s="1"/>
  <c r="S334" i="2"/>
  <c r="S333" i="2" s="1"/>
  <c r="Q335" i="2"/>
  <c r="T335" i="2" s="1"/>
  <c r="R335" i="2"/>
  <c r="S335" i="2"/>
  <c r="U335" i="2"/>
  <c r="Q336" i="2"/>
  <c r="T336" i="2" s="1"/>
  <c r="R336" i="2"/>
  <c r="U336" i="2" s="1"/>
  <c r="S336" i="2"/>
  <c r="O337" i="2"/>
  <c r="P337" i="2"/>
  <c r="T337" i="2"/>
  <c r="U337" i="2"/>
  <c r="L338" i="2"/>
  <c r="L336" i="2" s="1"/>
  <c r="M338" i="2"/>
  <c r="M336" i="2" s="1"/>
  <c r="N338" i="2"/>
  <c r="T338" i="2"/>
  <c r="U338" i="2"/>
  <c r="Q339" i="2"/>
  <c r="T339" i="2" s="1"/>
  <c r="R339" i="2"/>
  <c r="S339" i="2"/>
  <c r="U339" i="2"/>
  <c r="O340" i="2"/>
  <c r="P340" i="2"/>
  <c r="T340" i="2"/>
  <c r="U340" i="2"/>
  <c r="L341" i="2"/>
  <c r="M341" i="2"/>
  <c r="P341" i="2" s="1"/>
  <c r="N341" i="2"/>
  <c r="N339" i="2" s="1"/>
  <c r="T341" i="2"/>
  <c r="U341" i="2"/>
  <c r="I344" i="2"/>
  <c r="I332" i="2" s="1"/>
  <c r="J344" i="2"/>
  <c r="I346" i="2"/>
  <c r="J346" i="2"/>
  <c r="J347" i="2"/>
  <c r="J348" i="2"/>
  <c r="J349" i="2"/>
  <c r="D350" i="2"/>
  <c r="J352" i="2"/>
  <c r="J353" i="2"/>
  <c r="J354" i="2"/>
  <c r="S356" i="2"/>
  <c r="L357" i="2"/>
  <c r="M357" i="2"/>
  <c r="N357" i="2"/>
  <c r="O357" i="2"/>
  <c r="P357" i="2"/>
  <c r="Q357" i="2"/>
  <c r="R357" i="2"/>
  <c r="S357" i="2"/>
  <c r="U357" i="2"/>
  <c r="Q358" i="2"/>
  <c r="T358" i="2" s="1"/>
  <c r="R358" i="2"/>
  <c r="U358" i="2" s="1"/>
  <c r="S358" i="2"/>
  <c r="Q359" i="2"/>
  <c r="T359" i="2" s="1"/>
  <c r="R359" i="2"/>
  <c r="U359" i="2" s="1"/>
  <c r="S359" i="2"/>
  <c r="O360" i="2"/>
  <c r="P360" i="2"/>
  <c r="T360" i="2"/>
  <c r="U360" i="2"/>
  <c r="L361" i="2"/>
  <c r="M361" i="2"/>
  <c r="N361" i="2"/>
  <c r="N359" i="2" s="1"/>
  <c r="T361" i="2"/>
  <c r="U361" i="2"/>
  <c r="Q362" i="2"/>
  <c r="T362" i="2" s="1"/>
  <c r="R362" i="2"/>
  <c r="S362" i="2"/>
  <c r="U362" i="2"/>
  <c r="O363" i="2"/>
  <c r="P363" i="2"/>
  <c r="T363" i="2"/>
  <c r="U363" i="2"/>
  <c r="L364" i="2"/>
  <c r="O364" i="2" s="1"/>
  <c r="M364" i="2"/>
  <c r="M362" i="2" s="1"/>
  <c r="P362" i="2" s="1"/>
  <c r="N364" i="2"/>
  <c r="N362" i="2" s="1"/>
  <c r="T364" i="2"/>
  <c r="U364" i="2"/>
  <c r="J367" i="2"/>
  <c r="K367" i="2"/>
  <c r="I368" i="2"/>
  <c r="J368" i="2"/>
  <c r="I369" i="2"/>
  <c r="J369" i="2"/>
  <c r="J370" i="2"/>
  <c r="K370" i="2"/>
  <c r="I371" i="2"/>
  <c r="I365" i="2" s="1"/>
  <c r="J371" i="2"/>
  <c r="J365" i="2" s="1"/>
  <c r="J372" i="2"/>
  <c r="K372" i="2"/>
  <c r="D373" i="2"/>
  <c r="L376" i="2"/>
  <c r="M376" i="2"/>
  <c r="N376" i="2"/>
  <c r="O376" i="2"/>
  <c r="Q376" i="2"/>
  <c r="R376" i="2"/>
  <c r="U376" i="2" s="1"/>
  <c r="S376" i="2"/>
  <c r="L377" i="2"/>
  <c r="O377" i="2" s="1"/>
  <c r="M377" i="2"/>
  <c r="P377" i="2" s="1"/>
  <c r="N377" i="2"/>
  <c r="L378" i="2"/>
  <c r="O378" i="2" s="1"/>
  <c r="M378" i="2"/>
  <c r="P378" i="2" s="1"/>
  <c r="N378" i="2"/>
  <c r="O379" i="2"/>
  <c r="P379" i="2"/>
  <c r="T379" i="2"/>
  <c r="U379" i="2"/>
  <c r="O380" i="2"/>
  <c r="P380" i="2"/>
  <c r="Q380" i="2"/>
  <c r="R380" i="2"/>
  <c r="S380" i="2"/>
  <c r="S377" i="2" s="1"/>
  <c r="S375" i="2" s="1"/>
  <c r="L381" i="2"/>
  <c r="O381" i="2" s="1"/>
  <c r="M381" i="2"/>
  <c r="N381" i="2"/>
  <c r="P381" i="2"/>
  <c r="Q381" i="2"/>
  <c r="R381" i="2"/>
  <c r="U381" i="2" s="1"/>
  <c r="S381" i="2"/>
  <c r="T381" i="2"/>
  <c r="O382" i="2"/>
  <c r="P382" i="2"/>
  <c r="T382" i="2"/>
  <c r="U382" i="2"/>
  <c r="O383" i="2"/>
  <c r="P383" i="2"/>
  <c r="T383" i="2"/>
  <c r="U383" i="2"/>
  <c r="J385" i="2"/>
  <c r="K385" i="2"/>
  <c r="I386" i="2"/>
  <c r="J386" i="2"/>
  <c r="J387" i="2"/>
  <c r="K387" i="2"/>
  <c r="I388" i="2"/>
  <c r="K388" i="2" s="1"/>
  <c r="J388" i="2"/>
  <c r="I391" i="2"/>
  <c r="J391" i="2"/>
  <c r="K391" i="2"/>
  <c r="L393" i="2"/>
  <c r="M393" i="2"/>
  <c r="N393" i="2"/>
  <c r="Q393" i="2"/>
  <c r="T393" i="2" s="1"/>
  <c r="R393" i="2"/>
  <c r="S393" i="2"/>
  <c r="S392" i="2" s="1"/>
  <c r="L394" i="2"/>
  <c r="M394" i="2"/>
  <c r="P394" i="2" s="1"/>
  <c r="N394" i="2"/>
  <c r="O394" i="2"/>
  <c r="Q394" i="2"/>
  <c r="T394" i="2" s="1"/>
  <c r="R394" i="2"/>
  <c r="U394" i="2" s="1"/>
  <c r="S394" i="2"/>
  <c r="L395" i="2"/>
  <c r="O395" i="2" s="1"/>
  <c r="M395" i="2"/>
  <c r="P395" i="2" s="1"/>
  <c r="N395" i="2"/>
  <c r="Q395" i="2"/>
  <c r="T395" i="2" s="1"/>
  <c r="R395" i="2"/>
  <c r="S395" i="2"/>
  <c r="U395" i="2"/>
  <c r="O396" i="2"/>
  <c r="P396" i="2"/>
  <c r="T396" i="2"/>
  <c r="U396" i="2"/>
  <c r="O397" i="2"/>
  <c r="P397" i="2"/>
  <c r="T397" i="2"/>
  <c r="U397" i="2"/>
  <c r="L398" i="2"/>
  <c r="M398" i="2"/>
  <c r="P398" i="2" s="1"/>
  <c r="N398" i="2"/>
  <c r="O398" i="2"/>
  <c r="Q398" i="2"/>
  <c r="T398" i="2" s="1"/>
  <c r="R398" i="2"/>
  <c r="U398" i="2" s="1"/>
  <c r="S398" i="2"/>
  <c r="O399" i="2"/>
  <c r="P399" i="2"/>
  <c r="T399" i="2"/>
  <c r="U399" i="2"/>
  <c r="O400" i="2"/>
  <c r="P400" i="2"/>
  <c r="T400" i="2"/>
  <c r="U400" i="2"/>
  <c r="L414" i="2"/>
  <c r="O414" i="2" s="1"/>
  <c r="M414" i="2"/>
  <c r="N414" i="2"/>
  <c r="P414" i="2"/>
  <c r="Q414" i="2"/>
  <c r="T414" i="2" s="1"/>
  <c r="R414" i="2"/>
  <c r="U414" i="2" s="1"/>
  <c r="S414" i="2"/>
  <c r="L415" i="2"/>
  <c r="O415" i="2" s="1"/>
  <c r="M415" i="2"/>
  <c r="N415" i="2"/>
  <c r="P415" i="2"/>
  <c r="L416" i="2"/>
  <c r="O416" i="2" s="1"/>
  <c r="M416" i="2"/>
  <c r="N416" i="2"/>
  <c r="P416" i="2"/>
  <c r="O417" i="2"/>
  <c r="P417" i="2"/>
  <c r="T417" i="2"/>
  <c r="U417" i="2"/>
  <c r="O418" i="2"/>
  <c r="P418" i="2"/>
  <c r="Q418" i="2"/>
  <c r="Q415" i="2" s="1"/>
  <c r="T415" i="2" s="1"/>
  <c r="R418" i="2"/>
  <c r="R415" i="2" s="1"/>
  <c r="U415" i="2" s="1"/>
  <c r="S418" i="2"/>
  <c r="L419" i="2"/>
  <c r="M419" i="2"/>
  <c r="P419" i="2" s="1"/>
  <c r="N419" i="2"/>
  <c r="O419" i="2"/>
  <c r="Q419" i="2"/>
  <c r="T419" i="2" s="1"/>
  <c r="R419" i="2"/>
  <c r="U419" i="2" s="1"/>
  <c r="S419" i="2"/>
  <c r="O420" i="2"/>
  <c r="P420" i="2"/>
  <c r="T420" i="2"/>
  <c r="U420" i="2"/>
  <c r="O421" i="2"/>
  <c r="P421" i="2"/>
  <c r="T421" i="2"/>
  <c r="U421" i="2"/>
  <c r="I424" i="2"/>
  <c r="K424" i="2" s="1"/>
  <c r="J424" i="2"/>
  <c r="I425" i="2"/>
  <c r="K425" i="2" s="1"/>
  <c r="J425" i="2"/>
  <c r="I432" i="2"/>
  <c r="K432" i="2" s="1"/>
  <c r="J432" i="2"/>
  <c r="I433" i="2"/>
  <c r="K433" i="2" s="1"/>
  <c r="J433" i="2"/>
  <c r="I440" i="2"/>
  <c r="I423" i="2" s="1"/>
  <c r="I441" i="2"/>
  <c r="K441" i="2" s="1"/>
  <c r="J446" i="2"/>
  <c r="J440" i="2" s="1"/>
  <c r="J423" i="2" s="1"/>
  <c r="J412" i="2" s="1"/>
  <c r="J447" i="2"/>
  <c r="J441" i="2" s="1"/>
  <c r="I457" i="2"/>
  <c r="I458" i="2"/>
  <c r="K458" i="2" s="1"/>
  <c r="J458" i="2"/>
  <c r="J459" i="2"/>
  <c r="J457" i="2" s="1"/>
  <c r="J456" i="2" s="1"/>
  <c r="J460" i="2"/>
  <c r="J467" i="2"/>
  <c r="J468" i="2"/>
  <c r="J475" i="2"/>
  <c r="K475" i="2"/>
  <c r="J476" i="2"/>
  <c r="K476" i="2"/>
  <c r="J477" i="2"/>
  <c r="K477" i="2"/>
  <c r="J482" i="2"/>
  <c r="J483" i="2"/>
  <c r="I484" i="2"/>
  <c r="K484" i="2" s="1"/>
  <c r="J484" i="2"/>
  <c r="I485" i="2"/>
  <c r="K485" i="2" s="1"/>
  <c r="J485" i="2"/>
  <c r="M493" i="2"/>
  <c r="P493" i="2" s="1"/>
  <c r="L494" i="2"/>
  <c r="M494" i="2"/>
  <c r="N494" i="2"/>
  <c r="P494" i="2"/>
  <c r="Q494" i="2"/>
  <c r="T494" i="2" s="1"/>
  <c r="R494" i="2"/>
  <c r="U494" i="2" s="1"/>
  <c r="S494" i="2"/>
  <c r="L495" i="2"/>
  <c r="O495" i="2" s="1"/>
  <c r="M495" i="2"/>
  <c r="P495" i="2" s="1"/>
  <c r="N495" i="2"/>
  <c r="L496" i="2"/>
  <c r="O496" i="2" s="1"/>
  <c r="M496" i="2"/>
  <c r="N496" i="2"/>
  <c r="P496" i="2"/>
  <c r="O497" i="2"/>
  <c r="P497" i="2"/>
  <c r="T497" i="2"/>
  <c r="U497" i="2"/>
  <c r="O498" i="2"/>
  <c r="P498" i="2"/>
  <c r="Q498" i="2"/>
  <c r="Q496" i="2" s="1"/>
  <c r="R498" i="2"/>
  <c r="R495" i="2" s="1"/>
  <c r="S498" i="2"/>
  <c r="S496" i="2" s="1"/>
  <c r="L499" i="2"/>
  <c r="M499" i="2"/>
  <c r="P499" i="2" s="1"/>
  <c r="N499" i="2"/>
  <c r="O499" i="2"/>
  <c r="Q499" i="2"/>
  <c r="T499" i="2" s="1"/>
  <c r="R499" i="2"/>
  <c r="U499" i="2" s="1"/>
  <c r="S499" i="2"/>
  <c r="O500" i="2"/>
  <c r="P500" i="2"/>
  <c r="T500" i="2"/>
  <c r="U500" i="2"/>
  <c r="O501" i="2"/>
  <c r="P501" i="2"/>
  <c r="T501" i="2"/>
  <c r="U501" i="2"/>
  <c r="I503" i="2"/>
  <c r="I492" i="2" s="1"/>
  <c r="I504" i="2"/>
  <c r="K504" i="2" s="1"/>
  <c r="I505" i="2"/>
  <c r="K505" i="2" s="1"/>
  <c r="I506" i="2"/>
  <c r="K506" i="2" s="1"/>
  <c r="I507" i="2"/>
  <c r="K507" i="2" s="1"/>
  <c r="K508" i="2"/>
  <c r="I509" i="2"/>
  <c r="K509" i="2" s="1"/>
  <c r="I512" i="2"/>
  <c r="J512" i="2"/>
  <c r="K512" i="2"/>
  <c r="Q513" i="2"/>
  <c r="T513" i="2" s="1"/>
  <c r="L514" i="2"/>
  <c r="M514" i="2"/>
  <c r="P514" i="2" s="1"/>
  <c r="N514" i="2"/>
  <c r="Q514" i="2"/>
  <c r="T514" i="2" s="1"/>
  <c r="R514" i="2"/>
  <c r="S514" i="2"/>
  <c r="Q515" i="2"/>
  <c r="R515" i="2"/>
  <c r="U515" i="2" s="1"/>
  <c r="S515" i="2"/>
  <c r="T515" i="2"/>
  <c r="Q516" i="2"/>
  <c r="T516" i="2" s="1"/>
  <c r="R516" i="2"/>
  <c r="U516" i="2" s="1"/>
  <c r="S516" i="2"/>
  <c r="O517" i="2"/>
  <c r="P517" i="2"/>
  <c r="T517" i="2"/>
  <c r="U517" i="2"/>
  <c r="L518" i="2"/>
  <c r="M518" i="2"/>
  <c r="P518" i="2" s="1"/>
  <c r="N518" i="2"/>
  <c r="T518" i="2"/>
  <c r="U518" i="2"/>
  <c r="Q519" i="2"/>
  <c r="T519" i="2" s="1"/>
  <c r="R519" i="2"/>
  <c r="U519" i="2" s="1"/>
  <c r="S519" i="2"/>
  <c r="O520" i="2"/>
  <c r="P520" i="2"/>
  <c r="T520" i="2"/>
  <c r="U520" i="2"/>
  <c r="L521" i="2"/>
  <c r="L519" i="2" s="1"/>
  <c r="O519" i="2" s="1"/>
  <c r="M521" i="2"/>
  <c r="P521" i="2" s="1"/>
  <c r="N521" i="2"/>
  <c r="N519" i="2" s="1"/>
  <c r="T521" i="2"/>
  <c r="U521" i="2"/>
  <c r="K523" i="2"/>
  <c r="K524" i="2"/>
  <c r="I533" i="2"/>
  <c r="K533" i="2" s="1"/>
  <c r="J533" i="2"/>
  <c r="L535" i="2"/>
  <c r="M535" i="2"/>
  <c r="N535" i="2"/>
  <c r="Q535" i="2"/>
  <c r="R535" i="2"/>
  <c r="U535" i="2" s="1"/>
  <c r="S535" i="2"/>
  <c r="S534" i="2" s="1"/>
  <c r="T535" i="2"/>
  <c r="L536" i="2"/>
  <c r="O536" i="2" s="1"/>
  <c r="M536" i="2"/>
  <c r="N536" i="2"/>
  <c r="P536" i="2"/>
  <c r="Q536" i="2"/>
  <c r="T536" i="2" s="1"/>
  <c r="R536" i="2"/>
  <c r="U536" i="2" s="1"/>
  <c r="S536" i="2"/>
  <c r="L537" i="2"/>
  <c r="O537" i="2" s="1"/>
  <c r="M537" i="2"/>
  <c r="P537" i="2" s="1"/>
  <c r="N537" i="2"/>
  <c r="Q537" i="2"/>
  <c r="T537" i="2" s="1"/>
  <c r="R537" i="2"/>
  <c r="U537" i="2" s="1"/>
  <c r="S537" i="2"/>
  <c r="O538" i="2"/>
  <c r="P538" i="2"/>
  <c r="T538" i="2"/>
  <c r="U538" i="2"/>
  <c r="O539" i="2"/>
  <c r="P539" i="2"/>
  <c r="T539" i="2"/>
  <c r="U539" i="2"/>
  <c r="L540" i="2"/>
  <c r="O540" i="2" s="1"/>
  <c r="M540" i="2"/>
  <c r="N540" i="2"/>
  <c r="P540" i="2"/>
  <c r="Q540" i="2"/>
  <c r="T540" i="2" s="1"/>
  <c r="R540" i="2"/>
  <c r="U540" i="2" s="1"/>
  <c r="S540" i="2"/>
  <c r="O541" i="2"/>
  <c r="P541" i="2"/>
  <c r="T541" i="2"/>
  <c r="U541" i="2"/>
  <c r="O542" i="2"/>
  <c r="P542" i="2"/>
  <c r="T542" i="2"/>
  <c r="U542" i="2"/>
  <c r="I554" i="2"/>
  <c r="K554" i="2" s="1"/>
  <c r="J554" i="2"/>
  <c r="Q555" i="2"/>
  <c r="T555" i="2" s="1"/>
  <c r="L556" i="2"/>
  <c r="O556" i="2" s="1"/>
  <c r="M556" i="2"/>
  <c r="N556" i="2"/>
  <c r="Q556" i="2"/>
  <c r="T556" i="2" s="1"/>
  <c r="R556" i="2"/>
  <c r="U556" i="2" s="1"/>
  <c r="S556" i="2"/>
  <c r="L557" i="2"/>
  <c r="L555" i="2" s="1"/>
  <c r="O555" i="2" s="1"/>
  <c r="M557" i="2"/>
  <c r="P557" i="2" s="1"/>
  <c r="N557" i="2"/>
  <c r="Q557" i="2"/>
  <c r="T557" i="2" s="1"/>
  <c r="R557" i="2"/>
  <c r="R555" i="2" s="1"/>
  <c r="U555" i="2" s="1"/>
  <c r="S557" i="2"/>
  <c r="L558" i="2"/>
  <c r="M558" i="2"/>
  <c r="P558" i="2" s="1"/>
  <c r="N558" i="2"/>
  <c r="O558" i="2"/>
  <c r="Q558" i="2"/>
  <c r="R558" i="2"/>
  <c r="S558" i="2"/>
  <c r="T558" i="2"/>
  <c r="U558" i="2"/>
  <c r="O559" i="2"/>
  <c r="P559" i="2"/>
  <c r="T559" i="2"/>
  <c r="U559" i="2"/>
  <c r="O560" i="2"/>
  <c r="P560" i="2"/>
  <c r="T560" i="2"/>
  <c r="U560" i="2"/>
  <c r="L561" i="2"/>
  <c r="M561" i="2"/>
  <c r="P561" i="2" s="1"/>
  <c r="N561" i="2"/>
  <c r="O561" i="2"/>
  <c r="Q561" i="2"/>
  <c r="R561" i="2"/>
  <c r="S561" i="2"/>
  <c r="T561" i="2"/>
  <c r="U561" i="2"/>
  <c r="O562" i="2"/>
  <c r="P562" i="2"/>
  <c r="T562" i="2"/>
  <c r="U562" i="2"/>
  <c r="O563" i="2"/>
  <c r="P563" i="2"/>
  <c r="T563" i="2"/>
  <c r="U563" i="2"/>
  <c r="I575" i="2"/>
  <c r="J575" i="2"/>
  <c r="K575" i="2"/>
  <c r="L577" i="2"/>
  <c r="M577" i="2"/>
  <c r="N577" i="2"/>
  <c r="N576" i="2" s="1"/>
  <c r="O577" i="2"/>
  <c r="P577" i="2"/>
  <c r="Q577" i="2"/>
  <c r="R577" i="2"/>
  <c r="R576" i="2" s="1"/>
  <c r="U576" i="2" s="1"/>
  <c r="S577" i="2"/>
  <c r="U577" i="2"/>
  <c r="L578" i="2"/>
  <c r="L576" i="2" s="1"/>
  <c r="O576" i="2" s="1"/>
  <c r="M578" i="2"/>
  <c r="P578" i="2" s="1"/>
  <c r="N578" i="2"/>
  <c r="Q578" i="2"/>
  <c r="T578" i="2" s="1"/>
  <c r="R578" i="2"/>
  <c r="U578" i="2" s="1"/>
  <c r="S578" i="2"/>
  <c r="L579" i="2"/>
  <c r="O579" i="2" s="1"/>
  <c r="M579" i="2"/>
  <c r="P579" i="2" s="1"/>
  <c r="N579" i="2"/>
  <c r="Q579" i="2"/>
  <c r="T579" i="2" s="1"/>
  <c r="R579" i="2"/>
  <c r="S579" i="2"/>
  <c r="U579" i="2"/>
  <c r="O580" i="2"/>
  <c r="P580" i="2"/>
  <c r="T580" i="2"/>
  <c r="U580" i="2"/>
  <c r="O581" i="2"/>
  <c r="P581" i="2"/>
  <c r="T581" i="2"/>
  <c r="U581" i="2"/>
  <c r="L582" i="2"/>
  <c r="M582" i="2"/>
  <c r="P582" i="2" s="1"/>
  <c r="N582" i="2"/>
  <c r="O582" i="2"/>
  <c r="Q582" i="2"/>
  <c r="T582" i="2" s="1"/>
  <c r="R582" i="2"/>
  <c r="U582" i="2" s="1"/>
  <c r="S582" i="2"/>
  <c r="O583" i="2"/>
  <c r="P583" i="2"/>
  <c r="T583" i="2"/>
  <c r="U583" i="2"/>
  <c r="O584" i="2"/>
  <c r="P584" i="2"/>
  <c r="T584" i="2"/>
  <c r="U584" i="2"/>
  <c r="N599" i="2"/>
  <c r="L600" i="2"/>
  <c r="M600" i="2"/>
  <c r="N600" i="2"/>
  <c r="O600" i="2"/>
  <c r="P600" i="2"/>
  <c r="Q600" i="2"/>
  <c r="R600" i="2"/>
  <c r="R599" i="2" s="1"/>
  <c r="U599" i="2" s="1"/>
  <c r="S600" i="2"/>
  <c r="U600" i="2"/>
  <c r="L601" i="2"/>
  <c r="L599" i="2" s="1"/>
  <c r="O599" i="2" s="1"/>
  <c r="M601" i="2"/>
  <c r="P601" i="2" s="1"/>
  <c r="N601" i="2"/>
  <c r="Q601" i="2"/>
  <c r="T601" i="2" s="1"/>
  <c r="R601" i="2"/>
  <c r="U601" i="2" s="1"/>
  <c r="S601" i="2"/>
  <c r="L602" i="2"/>
  <c r="O602" i="2" s="1"/>
  <c r="M602" i="2"/>
  <c r="P602" i="2" s="1"/>
  <c r="N602" i="2"/>
  <c r="Q602" i="2"/>
  <c r="T602" i="2" s="1"/>
  <c r="R602" i="2"/>
  <c r="U602" i="2" s="1"/>
  <c r="S602" i="2"/>
  <c r="O603" i="2"/>
  <c r="P603" i="2"/>
  <c r="T603" i="2"/>
  <c r="U603" i="2"/>
  <c r="O604" i="2"/>
  <c r="P604" i="2"/>
  <c r="T604" i="2"/>
  <c r="U604" i="2"/>
  <c r="L605" i="2"/>
  <c r="O605" i="2" s="1"/>
  <c r="M605" i="2"/>
  <c r="P605" i="2" s="1"/>
  <c r="N605" i="2"/>
  <c r="Q605" i="2"/>
  <c r="T605" i="2" s="1"/>
  <c r="R605" i="2"/>
  <c r="U605" i="2" s="1"/>
  <c r="S605" i="2"/>
  <c r="O606" i="2"/>
  <c r="P606" i="2"/>
  <c r="T606" i="2"/>
  <c r="U606" i="2"/>
  <c r="O607" i="2"/>
  <c r="P607" i="2"/>
  <c r="T607" i="2"/>
  <c r="U607" i="2"/>
  <c r="N616" i="2"/>
  <c r="L617" i="2"/>
  <c r="O617" i="2" s="1"/>
  <c r="M617" i="2"/>
  <c r="N617" i="2"/>
  <c r="P617" i="2"/>
  <c r="Q617" i="2"/>
  <c r="R617" i="2"/>
  <c r="S617" i="2"/>
  <c r="L618" i="2"/>
  <c r="M618" i="2"/>
  <c r="P618" i="2" s="1"/>
  <c r="N618" i="2"/>
  <c r="L619" i="2"/>
  <c r="O619" i="2" s="1"/>
  <c r="M619" i="2"/>
  <c r="N619" i="2"/>
  <c r="P619" i="2"/>
  <c r="O620" i="2"/>
  <c r="P620" i="2"/>
  <c r="T620" i="2"/>
  <c r="U620" i="2"/>
  <c r="O621" i="2"/>
  <c r="P621" i="2"/>
  <c r="Q621" i="2"/>
  <c r="Q619" i="2" s="1"/>
  <c r="R621" i="2"/>
  <c r="S621" i="2"/>
  <c r="S619" i="2" s="1"/>
  <c r="L622" i="2"/>
  <c r="O622" i="2" s="1"/>
  <c r="M622" i="2"/>
  <c r="P622" i="2" s="1"/>
  <c r="N622" i="2"/>
  <c r="Q622" i="2"/>
  <c r="T622" i="2" s="1"/>
  <c r="R622" i="2"/>
  <c r="U622" i="2" s="1"/>
  <c r="S622" i="2"/>
  <c r="O623" i="2"/>
  <c r="P623" i="2"/>
  <c r="T623" i="2"/>
  <c r="U623" i="2"/>
  <c r="O624" i="2"/>
  <c r="P624" i="2"/>
  <c r="T624" i="2"/>
  <c r="U624" i="2"/>
  <c r="I626" i="2"/>
  <c r="K629" i="2" s="1"/>
  <c r="I627" i="2"/>
  <c r="K627" i="2" s="1"/>
  <c r="I628" i="2"/>
  <c r="K628" i="2" s="1"/>
  <c r="J632" i="2"/>
  <c r="J626" i="2" s="1"/>
  <c r="J615" i="2" s="1"/>
  <c r="I635" i="2"/>
  <c r="K635" i="2" s="1"/>
  <c r="J636" i="2"/>
  <c r="J635" i="2" s="1"/>
  <c r="N642" i="2"/>
  <c r="L643" i="2"/>
  <c r="M643" i="2"/>
  <c r="N643" i="2"/>
  <c r="P643" i="2"/>
  <c r="Q643" i="2"/>
  <c r="R643" i="2"/>
  <c r="S643" i="2"/>
  <c r="L644" i="2"/>
  <c r="O644" i="2" s="1"/>
  <c r="M644" i="2"/>
  <c r="P644" i="2" s="1"/>
  <c r="N644" i="2"/>
  <c r="L645" i="2"/>
  <c r="M645" i="2"/>
  <c r="P645" i="2" s="1"/>
  <c r="N645" i="2"/>
  <c r="O645" i="2"/>
  <c r="O646" i="2"/>
  <c r="P646" i="2"/>
  <c r="T646" i="2"/>
  <c r="U646" i="2"/>
  <c r="O647" i="2"/>
  <c r="P647" i="2"/>
  <c r="Q647" i="2"/>
  <c r="Q645" i="2" s="1"/>
  <c r="R647" i="2"/>
  <c r="S647" i="2"/>
  <c r="L648" i="2"/>
  <c r="O648" i="2" s="1"/>
  <c r="M648" i="2"/>
  <c r="N648" i="2"/>
  <c r="P648" i="2"/>
  <c r="Q648" i="2"/>
  <c r="T648" i="2" s="1"/>
  <c r="R648" i="2"/>
  <c r="U648" i="2" s="1"/>
  <c r="S648" i="2"/>
  <c r="O649" i="2"/>
  <c r="P649" i="2"/>
  <c r="T649" i="2"/>
  <c r="U649" i="2"/>
  <c r="O650" i="2"/>
  <c r="P650" i="2"/>
  <c r="T650" i="2"/>
  <c r="U650" i="2"/>
  <c r="I652" i="2"/>
  <c r="K652" i="2" s="1"/>
  <c r="J652" i="2"/>
  <c r="I653" i="2"/>
  <c r="J653" i="2"/>
  <c r="I654" i="2"/>
  <c r="J654" i="2"/>
  <c r="I657" i="2"/>
  <c r="I660" i="2"/>
  <c r="I661" i="2"/>
  <c r="K661" i="2" s="1"/>
  <c r="J661" i="2"/>
  <c r="J671" i="2"/>
  <c r="J672" i="2"/>
  <c r="I673" i="2"/>
  <c r="K673" i="2" s="1"/>
  <c r="J673" i="2"/>
  <c r="I674" i="2"/>
  <c r="I675" i="2"/>
  <c r="I676" i="2"/>
  <c r="J676" i="2"/>
  <c r="J677" i="2"/>
  <c r="I678" i="2"/>
  <c r="J678" i="2"/>
  <c r="I679" i="2"/>
  <c r="K679" i="2" s="1"/>
  <c r="J679" i="2"/>
  <c r="J680" i="2"/>
  <c r="I681" i="2"/>
  <c r="K681" i="2" s="1"/>
  <c r="J681" i="2"/>
  <c r="I682" i="2"/>
  <c r="K682" i="2" s="1"/>
  <c r="J682" i="2"/>
  <c r="M690" i="2"/>
  <c r="P690" i="2" s="1"/>
  <c r="L691" i="2"/>
  <c r="M691" i="2"/>
  <c r="P691" i="2" s="1"/>
  <c r="N691" i="2"/>
  <c r="N690" i="2" s="1"/>
  <c r="O691" i="2"/>
  <c r="Q691" i="2"/>
  <c r="R691" i="2"/>
  <c r="S691" i="2"/>
  <c r="U691" i="2"/>
  <c r="L692" i="2"/>
  <c r="O692" i="2" s="1"/>
  <c r="M692" i="2"/>
  <c r="P692" i="2" s="1"/>
  <c r="N692" i="2"/>
  <c r="L693" i="2"/>
  <c r="O693" i="2" s="1"/>
  <c r="M693" i="2"/>
  <c r="P693" i="2" s="1"/>
  <c r="N693" i="2"/>
  <c r="O694" i="2"/>
  <c r="P694" i="2"/>
  <c r="T694" i="2"/>
  <c r="U694" i="2"/>
  <c r="O695" i="2"/>
  <c r="P695" i="2"/>
  <c r="Q695" i="2"/>
  <c r="R695" i="2"/>
  <c r="R693" i="2" s="1"/>
  <c r="S695" i="2"/>
  <c r="S693" i="2" s="1"/>
  <c r="L696" i="2"/>
  <c r="O696" i="2" s="1"/>
  <c r="M696" i="2"/>
  <c r="P696" i="2" s="1"/>
  <c r="N696" i="2"/>
  <c r="Q696" i="2"/>
  <c r="T696" i="2" s="1"/>
  <c r="R696" i="2"/>
  <c r="U696" i="2" s="1"/>
  <c r="S696" i="2"/>
  <c r="O697" i="2"/>
  <c r="P697" i="2"/>
  <c r="T697" i="2"/>
  <c r="U697" i="2"/>
  <c r="O698" i="2"/>
  <c r="P698" i="2"/>
  <c r="T698" i="2"/>
  <c r="U698" i="2"/>
  <c r="I700" i="2"/>
  <c r="K700" i="2" s="1"/>
  <c r="K702" i="2"/>
  <c r="I703" i="2"/>
  <c r="J703" i="2"/>
  <c r="J704" i="2"/>
  <c r="K704" i="2"/>
  <c r="I705" i="2"/>
  <c r="J705" i="2"/>
  <c r="J706" i="2"/>
  <c r="K706" i="2"/>
  <c r="I707" i="2"/>
  <c r="I689" i="2" s="1"/>
  <c r="J707" i="2"/>
  <c r="J689" i="2" s="1"/>
  <c r="J708" i="2"/>
  <c r="K708" i="2"/>
  <c r="I709" i="2"/>
  <c r="J709" i="2"/>
  <c r="J710" i="2"/>
  <c r="K710" i="2"/>
  <c r="J712" i="2"/>
  <c r="K712" i="2"/>
  <c r="Q714" i="2"/>
  <c r="T714" i="2" s="1"/>
  <c r="L715" i="2"/>
  <c r="M715" i="2"/>
  <c r="N715" i="2"/>
  <c r="O715" i="2"/>
  <c r="Q715" i="2"/>
  <c r="T715" i="2" s="1"/>
  <c r="R715" i="2"/>
  <c r="R714" i="2" s="1"/>
  <c r="U714" i="2" s="1"/>
  <c r="S715" i="2"/>
  <c r="L716" i="2"/>
  <c r="O716" i="2" s="1"/>
  <c r="M716" i="2"/>
  <c r="P716" i="2" s="1"/>
  <c r="N716" i="2"/>
  <c r="Q716" i="2"/>
  <c r="T716" i="2" s="1"/>
  <c r="R716" i="2"/>
  <c r="U716" i="2" s="1"/>
  <c r="S716" i="2"/>
  <c r="L717" i="2"/>
  <c r="O717" i="2" s="1"/>
  <c r="M717" i="2"/>
  <c r="P717" i="2" s="1"/>
  <c r="N717" i="2"/>
  <c r="Q717" i="2"/>
  <c r="T717" i="2" s="1"/>
  <c r="R717" i="2"/>
  <c r="U717" i="2" s="1"/>
  <c r="S717" i="2"/>
  <c r="O718" i="2"/>
  <c r="P718" i="2"/>
  <c r="T718" i="2"/>
  <c r="U718" i="2"/>
  <c r="O719" i="2"/>
  <c r="P719" i="2"/>
  <c r="T719" i="2"/>
  <c r="U719" i="2"/>
  <c r="L720" i="2"/>
  <c r="O720" i="2" s="1"/>
  <c r="M720" i="2"/>
  <c r="P720" i="2" s="1"/>
  <c r="N720" i="2"/>
  <c r="Q720" i="2"/>
  <c r="T720" i="2" s="1"/>
  <c r="R720" i="2"/>
  <c r="U720" i="2" s="1"/>
  <c r="S720" i="2"/>
  <c r="O721" i="2"/>
  <c r="P721" i="2"/>
  <c r="T721" i="2"/>
  <c r="U721" i="2"/>
  <c r="O722" i="2"/>
  <c r="P722" i="2"/>
  <c r="T722" i="2"/>
  <c r="U722" i="2"/>
  <c r="I726" i="2"/>
  <c r="K726" i="2" s="1"/>
  <c r="J726" i="2"/>
  <c r="I727" i="2"/>
  <c r="K727" i="2" s="1"/>
  <c r="J727" i="2"/>
  <c r="L728" i="2"/>
  <c r="O728" i="2" s="1"/>
  <c r="L729" i="2"/>
  <c r="O729" i="2" s="1"/>
  <c r="M729" i="2"/>
  <c r="N729" i="2"/>
  <c r="Q729" i="2"/>
  <c r="T729" i="2" s="1"/>
  <c r="R729" i="2"/>
  <c r="U729" i="2" s="1"/>
  <c r="S729" i="2"/>
  <c r="L730" i="2"/>
  <c r="M730" i="2"/>
  <c r="P730" i="2" s="1"/>
  <c r="N730" i="2"/>
  <c r="O730" i="2"/>
  <c r="L731" i="2"/>
  <c r="O731" i="2" s="1"/>
  <c r="M731" i="2"/>
  <c r="P731" i="2" s="1"/>
  <c r="N731" i="2"/>
  <c r="O732" i="2"/>
  <c r="P732" i="2"/>
  <c r="T732" i="2"/>
  <c r="U732" i="2"/>
  <c r="O733" i="2"/>
  <c r="P733" i="2"/>
  <c r="Q733" i="2"/>
  <c r="Q731" i="2" s="1"/>
  <c r="R733" i="2"/>
  <c r="S733" i="2"/>
  <c r="S731" i="2" s="1"/>
  <c r="L734" i="2"/>
  <c r="O734" i="2" s="1"/>
  <c r="M734" i="2"/>
  <c r="P734" i="2" s="1"/>
  <c r="N734" i="2"/>
  <c r="Q734" i="2"/>
  <c r="R734" i="2"/>
  <c r="U734" i="2" s="1"/>
  <c r="S734" i="2"/>
  <c r="T734" i="2"/>
  <c r="O735" i="2"/>
  <c r="P735" i="2"/>
  <c r="T735" i="2"/>
  <c r="U735" i="2"/>
  <c r="O736" i="2"/>
  <c r="P736" i="2"/>
  <c r="T736" i="2"/>
  <c r="U736" i="2"/>
  <c r="I740" i="2"/>
  <c r="K740" i="2" s="1"/>
  <c r="I742" i="2"/>
  <c r="K742" i="2" s="1"/>
  <c r="I744" i="2"/>
  <c r="K744" i="2" s="1"/>
  <c r="I746" i="2"/>
  <c r="K746" i="2" s="1"/>
  <c r="I749" i="2"/>
  <c r="K749" i="2" s="1"/>
  <c r="I752" i="2"/>
  <c r="K752" i="2" s="1"/>
  <c r="I755" i="2"/>
  <c r="K755" i="2" s="1"/>
  <c r="J758" i="2"/>
  <c r="J759" i="2"/>
  <c r="L761" i="2"/>
  <c r="M761" i="2"/>
  <c r="M760" i="2" s="1"/>
  <c r="P760" i="2" s="1"/>
  <c r="N761" i="2"/>
  <c r="Q761" i="2"/>
  <c r="R761" i="2"/>
  <c r="S761" i="2"/>
  <c r="L762" i="2"/>
  <c r="O762" i="2" s="1"/>
  <c r="M762" i="2"/>
  <c r="P762" i="2" s="1"/>
  <c r="N762" i="2"/>
  <c r="L763" i="2"/>
  <c r="O763" i="2" s="1"/>
  <c r="M763" i="2"/>
  <c r="P763" i="2" s="1"/>
  <c r="N763" i="2"/>
  <c r="O764" i="2"/>
  <c r="P764" i="2"/>
  <c r="T764" i="2"/>
  <c r="U764" i="2"/>
  <c r="O765" i="2"/>
  <c r="P765" i="2"/>
  <c r="Q765" i="2"/>
  <c r="Q763" i="2" s="1"/>
  <c r="R765" i="2"/>
  <c r="R763" i="2" s="1"/>
  <c r="S765" i="2"/>
  <c r="L766" i="2"/>
  <c r="O766" i="2" s="1"/>
  <c r="M766" i="2"/>
  <c r="P766" i="2" s="1"/>
  <c r="N766" i="2"/>
  <c r="Q766" i="2"/>
  <c r="T766" i="2" s="1"/>
  <c r="R766" i="2"/>
  <c r="U766" i="2" s="1"/>
  <c r="S766" i="2"/>
  <c r="O767" i="2"/>
  <c r="P767" i="2"/>
  <c r="T767" i="2"/>
  <c r="U767" i="2"/>
  <c r="O768" i="2"/>
  <c r="P768" i="2"/>
  <c r="T768" i="2"/>
  <c r="U768" i="2"/>
  <c r="I770" i="2"/>
  <c r="K770" i="2" s="1"/>
  <c r="I772" i="2"/>
  <c r="K772" i="2" s="1"/>
  <c r="I774" i="2"/>
  <c r="K774" i="2" s="1"/>
  <c r="I775" i="2"/>
  <c r="I776" i="2"/>
  <c r="H777" i="2"/>
  <c r="I778" i="2"/>
  <c r="J778" i="2"/>
  <c r="I779" i="2"/>
  <c r="J779" i="2"/>
  <c r="I780" i="2"/>
  <c r="J780" i="2"/>
  <c r="I781" i="2"/>
  <c r="J781" i="2"/>
  <c r="I782" i="2"/>
  <c r="J782" i="2"/>
  <c r="I783" i="2"/>
  <c r="J783" i="2"/>
  <c r="I784" i="2"/>
  <c r="J784" i="2"/>
  <c r="I785" i="2"/>
  <c r="J785" i="2"/>
  <c r="A788" i="2"/>
  <c r="A789" i="2"/>
  <c r="A789" i="1"/>
  <c r="A788" i="1"/>
  <c r="J785" i="1"/>
  <c r="I785" i="1"/>
  <c r="J784" i="1"/>
  <c r="I784" i="1"/>
  <c r="J783" i="1"/>
  <c r="I783" i="1"/>
  <c r="J782" i="1"/>
  <c r="I782" i="1"/>
  <c r="J781" i="1"/>
  <c r="I781" i="1"/>
  <c r="J780" i="1"/>
  <c r="I780" i="1"/>
  <c r="J779" i="1"/>
  <c r="I779" i="1"/>
  <c r="J778" i="1"/>
  <c r="I778" i="1"/>
  <c r="H777" i="1"/>
  <c r="J776" i="1"/>
  <c r="I776" i="1"/>
  <c r="J775" i="1"/>
  <c r="I775" i="1"/>
  <c r="J774" i="1"/>
  <c r="I774" i="1"/>
  <c r="I759" i="1" s="1"/>
  <c r="J772" i="1"/>
  <c r="J758" i="1" s="1"/>
  <c r="I772" i="1"/>
  <c r="I758" i="1" s="1"/>
  <c r="J770" i="1"/>
  <c r="I770" i="1"/>
  <c r="K770" i="1" s="1"/>
  <c r="S768" i="1"/>
  <c r="R768" i="1"/>
  <c r="U768" i="1" s="1"/>
  <c r="Q768" i="1"/>
  <c r="T768" i="1" s="1"/>
  <c r="N768" i="1"/>
  <c r="M768" i="1"/>
  <c r="P768" i="1" s="1"/>
  <c r="L768" i="1"/>
  <c r="O768" i="1" s="1"/>
  <c r="S767" i="1"/>
  <c r="R767" i="1"/>
  <c r="Q767" i="1"/>
  <c r="N767" i="1"/>
  <c r="M767" i="1"/>
  <c r="L767" i="1"/>
  <c r="S765" i="1"/>
  <c r="R765" i="1"/>
  <c r="R762" i="1" s="1"/>
  <c r="Q765" i="1"/>
  <c r="N765" i="1"/>
  <c r="M765" i="1"/>
  <c r="P765" i="1" s="1"/>
  <c r="L765" i="1"/>
  <c r="S764" i="1"/>
  <c r="S761" i="1" s="1"/>
  <c r="R764" i="1"/>
  <c r="Q764" i="1"/>
  <c r="T764" i="1" s="1"/>
  <c r="N764" i="1"/>
  <c r="M764" i="1"/>
  <c r="L764" i="1"/>
  <c r="L761" i="1" s="1"/>
  <c r="J757" i="1"/>
  <c r="J756" i="1"/>
  <c r="J755" i="1"/>
  <c r="I755" i="1"/>
  <c r="J753" i="1"/>
  <c r="J752" i="1"/>
  <c r="I752" i="1"/>
  <c r="J749" i="1"/>
  <c r="I749" i="1"/>
  <c r="J748" i="1"/>
  <c r="J746" i="1"/>
  <c r="I746" i="1"/>
  <c r="J745" i="1"/>
  <c r="J744" i="1"/>
  <c r="I744" i="1"/>
  <c r="J742" i="1"/>
  <c r="I742" i="1"/>
  <c r="J741" i="1"/>
  <c r="J740" i="1"/>
  <c r="I740" i="1"/>
  <c r="S736" i="1"/>
  <c r="R736" i="1"/>
  <c r="U736" i="1" s="1"/>
  <c r="Q736" i="1"/>
  <c r="N736" i="1"/>
  <c r="M736" i="1"/>
  <c r="P736" i="1" s="1"/>
  <c r="L736" i="1"/>
  <c r="O736" i="1" s="1"/>
  <c r="S735" i="1"/>
  <c r="R735" i="1"/>
  <c r="Q735" i="1"/>
  <c r="T735" i="1" s="1"/>
  <c r="N735" i="1"/>
  <c r="M735" i="1"/>
  <c r="L735" i="1"/>
  <c r="O735" i="1" s="1"/>
  <c r="S733" i="1"/>
  <c r="R733" i="1"/>
  <c r="Q733" i="1"/>
  <c r="N733" i="1"/>
  <c r="M733" i="1"/>
  <c r="L733" i="1"/>
  <c r="O733" i="1" s="1"/>
  <c r="S732" i="1"/>
  <c r="S731" i="1" s="1"/>
  <c r="R732" i="1"/>
  <c r="Q732" i="1"/>
  <c r="N732" i="1"/>
  <c r="N731" i="1" s="1"/>
  <c r="M732" i="1"/>
  <c r="M731" i="1" s="1"/>
  <c r="P731" i="1" s="1"/>
  <c r="L732" i="1"/>
  <c r="O732" i="1" s="1"/>
  <c r="I727" i="1"/>
  <c r="I726" i="1"/>
  <c r="S722" i="1"/>
  <c r="R722" i="1"/>
  <c r="U722" i="1" s="1"/>
  <c r="Q722" i="1"/>
  <c r="N722" i="1"/>
  <c r="M722" i="1"/>
  <c r="P722" i="1" s="1"/>
  <c r="L722" i="1"/>
  <c r="O722" i="1" s="1"/>
  <c r="S721" i="1"/>
  <c r="R721" i="1"/>
  <c r="Q721" i="1"/>
  <c r="T721" i="1" s="1"/>
  <c r="N721" i="1"/>
  <c r="M721" i="1"/>
  <c r="L721" i="1"/>
  <c r="S719" i="1"/>
  <c r="R719" i="1"/>
  <c r="U719" i="1" s="1"/>
  <c r="Q719" i="1"/>
  <c r="T719" i="1" s="1"/>
  <c r="N719" i="1"/>
  <c r="M719" i="1"/>
  <c r="L719" i="1"/>
  <c r="O719" i="1" s="1"/>
  <c r="S718" i="1"/>
  <c r="S717" i="1" s="1"/>
  <c r="R718" i="1"/>
  <c r="R717" i="1" s="1"/>
  <c r="U717" i="1" s="1"/>
  <c r="Q718" i="1"/>
  <c r="N718" i="1"/>
  <c r="M718" i="1"/>
  <c r="P718" i="1" s="1"/>
  <c r="L718" i="1"/>
  <c r="O718" i="1" s="1"/>
  <c r="K712" i="1"/>
  <c r="J712" i="1"/>
  <c r="K710" i="1"/>
  <c r="J710" i="1"/>
  <c r="J709" i="1"/>
  <c r="I709" i="1"/>
  <c r="K708" i="1"/>
  <c r="J708" i="1"/>
  <c r="J707" i="1"/>
  <c r="J689" i="1" s="1"/>
  <c r="I707" i="1"/>
  <c r="K706" i="1"/>
  <c r="J706" i="1"/>
  <c r="J705" i="1"/>
  <c r="I705" i="1"/>
  <c r="K704" i="1"/>
  <c r="J704" i="1"/>
  <c r="J703" i="1"/>
  <c r="I703" i="1"/>
  <c r="K702" i="1"/>
  <c r="J700" i="1"/>
  <c r="I700" i="1"/>
  <c r="S698" i="1"/>
  <c r="R698" i="1"/>
  <c r="U698" i="1" s="1"/>
  <c r="Q698" i="1"/>
  <c r="T698" i="1" s="1"/>
  <c r="N698" i="1"/>
  <c r="M698" i="1"/>
  <c r="L698" i="1"/>
  <c r="S697" i="1"/>
  <c r="R697" i="1"/>
  <c r="Q697" i="1"/>
  <c r="T697" i="1" s="1"/>
  <c r="N697" i="1"/>
  <c r="N696" i="1" s="1"/>
  <c r="M697" i="1"/>
  <c r="P697" i="1" s="1"/>
  <c r="L697" i="1"/>
  <c r="O697" i="1" s="1"/>
  <c r="S695" i="1"/>
  <c r="R695" i="1"/>
  <c r="Q695" i="1"/>
  <c r="N695" i="1"/>
  <c r="M695" i="1"/>
  <c r="P695" i="1" s="1"/>
  <c r="L695" i="1"/>
  <c r="S694" i="1"/>
  <c r="R694" i="1"/>
  <c r="U694" i="1" s="1"/>
  <c r="Q694" i="1"/>
  <c r="T694" i="1" s="1"/>
  <c r="N694" i="1"/>
  <c r="M694" i="1"/>
  <c r="L694" i="1"/>
  <c r="O694" i="1" s="1"/>
  <c r="J688" i="1"/>
  <c r="J687" i="1"/>
  <c r="J686" i="1"/>
  <c r="J685" i="1"/>
  <c r="J684" i="1"/>
  <c r="J683" i="1"/>
  <c r="I682" i="1"/>
  <c r="J681" i="1"/>
  <c r="I681" i="1"/>
  <c r="K681" i="1" s="1"/>
  <c r="J680" i="1"/>
  <c r="J679" i="1"/>
  <c r="I679" i="1"/>
  <c r="K679" i="1" s="1"/>
  <c r="J678" i="1"/>
  <c r="I678" i="1"/>
  <c r="J677" i="1"/>
  <c r="J676" i="1"/>
  <c r="I676" i="1"/>
  <c r="I675" i="1"/>
  <c r="I674" i="1"/>
  <c r="J673" i="1"/>
  <c r="I673" i="1"/>
  <c r="J672" i="1"/>
  <c r="J671" i="1"/>
  <c r="J670" i="1"/>
  <c r="J669" i="1"/>
  <c r="J668" i="1"/>
  <c r="J667" i="1"/>
  <c r="J666" i="1"/>
  <c r="J665" i="1"/>
  <c r="J663" i="1"/>
  <c r="J662" i="1"/>
  <c r="I661" i="1"/>
  <c r="J660" i="1"/>
  <c r="I660" i="1"/>
  <c r="J659" i="1"/>
  <c r="J658" i="1"/>
  <c r="J657" i="1"/>
  <c r="I657" i="1"/>
  <c r="J656" i="1"/>
  <c r="J655" i="1"/>
  <c r="I654" i="1"/>
  <c r="J653" i="1"/>
  <c r="I653" i="1"/>
  <c r="J652" i="1"/>
  <c r="I652" i="1"/>
  <c r="S650" i="1"/>
  <c r="R650" i="1"/>
  <c r="Q650" i="1"/>
  <c r="T650" i="1" s="1"/>
  <c r="N650" i="1"/>
  <c r="M650" i="1"/>
  <c r="P650" i="1" s="1"/>
  <c r="L650" i="1"/>
  <c r="O650" i="1" s="1"/>
  <c r="S649" i="1"/>
  <c r="R649" i="1"/>
  <c r="U649" i="1" s="1"/>
  <c r="Q649" i="1"/>
  <c r="T649" i="1" s="1"/>
  <c r="N649" i="1"/>
  <c r="M649" i="1"/>
  <c r="P649" i="1" s="1"/>
  <c r="L649" i="1"/>
  <c r="S647" i="1"/>
  <c r="R647" i="1"/>
  <c r="Q647" i="1"/>
  <c r="Q644" i="1" s="1"/>
  <c r="N647" i="1"/>
  <c r="M647" i="1"/>
  <c r="P647" i="1" s="1"/>
  <c r="L647" i="1"/>
  <c r="O647" i="1" s="1"/>
  <c r="S646" i="1"/>
  <c r="R646" i="1"/>
  <c r="Q646" i="1"/>
  <c r="T646" i="1" s="1"/>
  <c r="N646" i="1"/>
  <c r="M646" i="1"/>
  <c r="P646" i="1" s="1"/>
  <c r="L646" i="1"/>
  <c r="J640" i="1"/>
  <c r="J639" i="1"/>
  <c r="J638" i="1"/>
  <c r="J637" i="1"/>
  <c r="I635" i="1"/>
  <c r="K635" i="1" s="1"/>
  <c r="J634" i="1"/>
  <c r="J633" i="1"/>
  <c r="J631" i="1"/>
  <c r="J630" i="1"/>
  <c r="J629" i="1"/>
  <c r="J628" i="1"/>
  <c r="I628" i="1"/>
  <c r="J627" i="1"/>
  <c r="I627" i="1"/>
  <c r="I626" i="1"/>
  <c r="I615" i="1" s="1"/>
  <c r="S624" i="1"/>
  <c r="R624" i="1"/>
  <c r="U624" i="1" s="1"/>
  <c r="Q624" i="1"/>
  <c r="T624" i="1" s="1"/>
  <c r="N624" i="1"/>
  <c r="M624" i="1"/>
  <c r="L624" i="1"/>
  <c r="O624" i="1" s="1"/>
  <c r="S623" i="1"/>
  <c r="R623" i="1"/>
  <c r="Q623" i="1"/>
  <c r="N623" i="1"/>
  <c r="M623" i="1"/>
  <c r="P623" i="1" s="1"/>
  <c r="L623" i="1"/>
  <c r="S621" i="1"/>
  <c r="R621" i="1"/>
  <c r="Q621" i="1"/>
  <c r="N621" i="1"/>
  <c r="M621" i="1"/>
  <c r="L621" i="1"/>
  <c r="O621" i="1" s="1"/>
  <c r="S620" i="1"/>
  <c r="R620" i="1"/>
  <c r="Q620" i="1"/>
  <c r="N620" i="1"/>
  <c r="M620" i="1"/>
  <c r="P620" i="1" s="1"/>
  <c r="L620" i="1"/>
  <c r="S607" i="1"/>
  <c r="R607" i="1"/>
  <c r="U607" i="1" s="1"/>
  <c r="Q607" i="1"/>
  <c r="T607" i="1" s="1"/>
  <c r="N607" i="1"/>
  <c r="M607" i="1"/>
  <c r="P607" i="1" s="1"/>
  <c r="L607" i="1"/>
  <c r="O607" i="1" s="1"/>
  <c r="S606" i="1"/>
  <c r="R606" i="1"/>
  <c r="U606" i="1" s="1"/>
  <c r="Q606" i="1"/>
  <c r="T606" i="1" s="1"/>
  <c r="N606" i="1"/>
  <c r="M606" i="1"/>
  <c r="L606" i="1"/>
  <c r="S604" i="1"/>
  <c r="R604" i="1"/>
  <c r="Q604" i="1"/>
  <c r="T604" i="1" s="1"/>
  <c r="N604" i="1"/>
  <c r="M604" i="1"/>
  <c r="P604" i="1" s="1"/>
  <c r="L604" i="1"/>
  <c r="S603" i="1"/>
  <c r="S600" i="1" s="1"/>
  <c r="R603" i="1"/>
  <c r="U603" i="1" s="1"/>
  <c r="Q603" i="1"/>
  <c r="N603" i="1"/>
  <c r="M603" i="1"/>
  <c r="P603" i="1" s="1"/>
  <c r="L603" i="1"/>
  <c r="S584" i="1"/>
  <c r="R584" i="1"/>
  <c r="Q584" i="1"/>
  <c r="T584" i="1" s="1"/>
  <c r="N584" i="1"/>
  <c r="M584" i="1"/>
  <c r="P584" i="1" s="1"/>
  <c r="L584" i="1"/>
  <c r="O584" i="1" s="1"/>
  <c r="S583" i="1"/>
  <c r="R583" i="1"/>
  <c r="U583" i="1" s="1"/>
  <c r="Q583" i="1"/>
  <c r="N583" i="1"/>
  <c r="M583" i="1"/>
  <c r="P583" i="1" s="1"/>
  <c r="L583" i="1"/>
  <c r="S581" i="1"/>
  <c r="R581" i="1"/>
  <c r="U581" i="1" s="1"/>
  <c r="Q581" i="1"/>
  <c r="T581" i="1" s="1"/>
  <c r="N581" i="1"/>
  <c r="M581" i="1"/>
  <c r="L581" i="1"/>
  <c r="L578" i="1" s="1"/>
  <c r="O578" i="1" s="1"/>
  <c r="S580" i="1"/>
  <c r="S577" i="1" s="1"/>
  <c r="R580" i="1"/>
  <c r="Q580" i="1"/>
  <c r="N580" i="1"/>
  <c r="N579" i="1" s="1"/>
  <c r="M580" i="1"/>
  <c r="P580" i="1" s="1"/>
  <c r="L580" i="1"/>
  <c r="O580" i="1" s="1"/>
  <c r="J575" i="1"/>
  <c r="I575" i="1"/>
  <c r="K575" i="1" s="1"/>
  <c r="S563" i="1"/>
  <c r="R563" i="1"/>
  <c r="U563" i="1" s="1"/>
  <c r="Q563" i="1"/>
  <c r="T563" i="1" s="1"/>
  <c r="N563" i="1"/>
  <c r="M563" i="1"/>
  <c r="P563" i="1" s="1"/>
  <c r="L563" i="1"/>
  <c r="S562" i="1"/>
  <c r="R562" i="1"/>
  <c r="U562" i="1" s="1"/>
  <c r="Q562" i="1"/>
  <c r="N562" i="1"/>
  <c r="M562" i="1"/>
  <c r="L562" i="1"/>
  <c r="O562" i="1" s="1"/>
  <c r="S560" i="1"/>
  <c r="R560" i="1"/>
  <c r="U560" i="1" s="1"/>
  <c r="Q560" i="1"/>
  <c r="T560" i="1" s="1"/>
  <c r="N560" i="1"/>
  <c r="N557" i="1" s="1"/>
  <c r="M560" i="1"/>
  <c r="L560" i="1"/>
  <c r="O560" i="1" s="1"/>
  <c r="S559" i="1"/>
  <c r="R559" i="1"/>
  <c r="Q559" i="1"/>
  <c r="T559" i="1" s="1"/>
  <c r="N559" i="1"/>
  <c r="N558" i="1" s="1"/>
  <c r="M559" i="1"/>
  <c r="L559" i="1"/>
  <c r="J554" i="1"/>
  <c r="I554" i="1"/>
  <c r="K554" i="1" s="1"/>
  <c r="S542" i="1"/>
  <c r="R542" i="1"/>
  <c r="U542" i="1" s="1"/>
  <c r="Q542" i="1"/>
  <c r="T542" i="1" s="1"/>
  <c r="N542" i="1"/>
  <c r="M542" i="1"/>
  <c r="P542" i="1" s="1"/>
  <c r="L542" i="1"/>
  <c r="O542" i="1" s="1"/>
  <c r="S541" i="1"/>
  <c r="R541" i="1"/>
  <c r="Q541" i="1"/>
  <c r="T541" i="1" s="1"/>
  <c r="N541" i="1"/>
  <c r="M541" i="1"/>
  <c r="L541" i="1"/>
  <c r="S539" i="1"/>
  <c r="R539" i="1"/>
  <c r="Q539" i="1"/>
  <c r="T539" i="1" s="1"/>
  <c r="N539" i="1"/>
  <c r="M539" i="1"/>
  <c r="L539" i="1"/>
  <c r="O539" i="1" s="1"/>
  <c r="S538" i="1"/>
  <c r="R538" i="1"/>
  <c r="Q538" i="1"/>
  <c r="N538" i="1"/>
  <c r="N537" i="1" s="1"/>
  <c r="M538" i="1"/>
  <c r="L538" i="1"/>
  <c r="K533" i="1"/>
  <c r="J533" i="1"/>
  <c r="I533" i="1"/>
  <c r="K524" i="1"/>
  <c r="K523" i="1"/>
  <c r="S521" i="1"/>
  <c r="R521" i="1"/>
  <c r="U521" i="1" s="1"/>
  <c r="Q521" i="1"/>
  <c r="T521" i="1" s="1"/>
  <c r="N521" i="1"/>
  <c r="M521" i="1"/>
  <c r="P521" i="1" s="1"/>
  <c r="L521" i="1"/>
  <c r="O521" i="1" s="1"/>
  <c r="S520" i="1"/>
  <c r="R520" i="1"/>
  <c r="Q520" i="1"/>
  <c r="N520" i="1"/>
  <c r="M520" i="1"/>
  <c r="M519" i="1" s="1"/>
  <c r="P519" i="1" s="1"/>
  <c r="L520" i="1"/>
  <c r="S518" i="1"/>
  <c r="R518" i="1"/>
  <c r="U518" i="1" s="1"/>
  <c r="Q518" i="1"/>
  <c r="T518" i="1" s="1"/>
  <c r="N518" i="1"/>
  <c r="M518" i="1"/>
  <c r="L518" i="1"/>
  <c r="O518" i="1" s="1"/>
  <c r="S517" i="1"/>
  <c r="S516" i="1" s="1"/>
  <c r="R517" i="1"/>
  <c r="Q517" i="1"/>
  <c r="N517" i="1"/>
  <c r="M517" i="1"/>
  <c r="P517" i="1" s="1"/>
  <c r="L517" i="1"/>
  <c r="J512" i="1"/>
  <c r="I512" i="1"/>
  <c r="K512" i="1" s="1"/>
  <c r="J509" i="1"/>
  <c r="I509" i="1"/>
  <c r="K509" i="1" s="1"/>
  <c r="K508" i="1"/>
  <c r="J507" i="1"/>
  <c r="I507" i="1"/>
  <c r="K507" i="1" s="1"/>
  <c r="J506" i="1"/>
  <c r="I506" i="1"/>
  <c r="K506" i="1" s="1"/>
  <c r="J505" i="1"/>
  <c r="I505" i="1"/>
  <c r="K505" i="1" s="1"/>
  <c r="J504" i="1"/>
  <c r="I504" i="1"/>
  <c r="K504" i="1" s="1"/>
  <c r="J503" i="1"/>
  <c r="J492" i="1" s="1"/>
  <c r="I503" i="1"/>
  <c r="I492" i="1" s="1"/>
  <c r="S501" i="1"/>
  <c r="R501" i="1"/>
  <c r="Q501" i="1"/>
  <c r="T501" i="1" s="1"/>
  <c r="N501" i="1"/>
  <c r="M501" i="1"/>
  <c r="P501" i="1" s="1"/>
  <c r="L501" i="1"/>
  <c r="S500" i="1"/>
  <c r="S499" i="1" s="1"/>
  <c r="R500" i="1"/>
  <c r="U500" i="1" s="1"/>
  <c r="Q500" i="1"/>
  <c r="T500" i="1" s="1"/>
  <c r="N500" i="1"/>
  <c r="M500" i="1"/>
  <c r="P500" i="1" s="1"/>
  <c r="L500" i="1"/>
  <c r="O500" i="1" s="1"/>
  <c r="S498" i="1"/>
  <c r="S495" i="1" s="1"/>
  <c r="R498" i="1"/>
  <c r="Q498" i="1"/>
  <c r="N498" i="1"/>
  <c r="N495" i="1" s="1"/>
  <c r="M498" i="1"/>
  <c r="P498" i="1" s="1"/>
  <c r="L498" i="1"/>
  <c r="S497" i="1"/>
  <c r="R497" i="1"/>
  <c r="U497" i="1" s="1"/>
  <c r="Q497" i="1"/>
  <c r="T497" i="1" s="1"/>
  <c r="N497" i="1"/>
  <c r="M497" i="1"/>
  <c r="L497" i="1"/>
  <c r="O497" i="1" s="1"/>
  <c r="J491" i="1"/>
  <c r="J490" i="1"/>
  <c r="J489" i="1"/>
  <c r="J488" i="1"/>
  <c r="J487" i="1"/>
  <c r="J486" i="1"/>
  <c r="J483" i="1"/>
  <c r="J482" i="1"/>
  <c r="J481" i="1"/>
  <c r="I485" i="1" s="1"/>
  <c r="K485" i="1" s="1"/>
  <c r="J480" i="1"/>
  <c r="J479" i="1"/>
  <c r="J478" i="1"/>
  <c r="K477" i="1"/>
  <c r="K476" i="1"/>
  <c r="K475" i="1"/>
  <c r="J474" i="1"/>
  <c r="J473" i="1"/>
  <c r="J472" i="1"/>
  <c r="J471" i="1"/>
  <c r="J470" i="1"/>
  <c r="J469" i="1"/>
  <c r="J466" i="1"/>
  <c r="J465" i="1"/>
  <c r="J464" i="1"/>
  <c r="J463" i="1"/>
  <c r="J462" i="1"/>
  <c r="J461" i="1"/>
  <c r="I458" i="1"/>
  <c r="K458" i="1" s="1"/>
  <c r="I457" i="1"/>
  <c r="K457" i="1" s="1"/>
  <c r="J455" i="1"/>
  <c r="J454" i="1"/>
  <c r="J453" i="1"/>
  <c r="J452" i="1"/>
  <c r="J451" i="1"/>
  <c r="J450" i="1"/>
  <c r="J449" i="1"/>
  <c r="J448" i="1"/>
  <c r="J445" i="1"/>
  <c r="J444" i="1"/>
  <c r="J443" i="1"/>
  <c r="J442" i="1"/>
  <c r="I441" i="1"/>
  <c r="K441" i="1" s="1"/>
  <c r="I440" i="1"/>
  <c r="K440" i="1" s="1"/>
  <c r="J439" i="1"/>
  <c r="J438" i="1"/>
  <c r="J437" i="1"/>
  <c r="J436" i="1"/>
  <c r="J435" i="1"/>
  <c r="J434" i="1"/>
  <c r="I433" i="1"/>
  <c r="K433" i="1" s="1"/>
  <c r="I432" i="1"/>
  <c r="K432" i="1" s="1"/>
  <c r="J431" i="1"/>
  <c r="J430" i="1"/>
  <c r="J429" i="1"/>
  <c r="J428" i="1"/>
  <c r="J427" i="1"/>
  <c r="J426" i="1"/>
  <c r="I425" i="1"/>
  <c r="K425" i="1" s="1"/>
  <c r="I424" i="1"/>
  <c r="K424" i="1" s="1"/>
  <c r="S421" i="1"/>
  <c r="R421" i="1"/>
  <c r="U421" i="1" s="1"/>
  <c r="Q421" i="1"/>
  <c r="N421" i="1"/>
  <c r="M421" i="1"/>
  <c r="P421" i="1" s="1"/>
  <c r="L421" i="1"/>
  <c r="O421" i="1" s="1"/>
  <c r="S420" i="1"/>
  <c r="R420" i="1"/>
  <c r="U420" i="1" s="1"/>
  <c r="Q420" i="1"/>
  <c r="T420" i="1" s="1"/>
  <c r="N420" i="1"/>
  <c r="M420" i="1"/>
  <c r="L420" i="1"/>
  <c r="S418" i="1"/>
  <c r="S415" i="1" s="1"/>
  <c r="R418" i="1"/>
  <c r="U418" i="1" s="1"/>
  <c r="Q418" i="1"/>
  <c r="T418" i="1" s="1"/>
  <c r="N418" i="1"/>
  <c r="M418" i="1"/>
  <c r="P418" i="1" s="1"/>
  <c r="L418" i="1"/>
  <c r="O418" i="1" s="1"/>
  <c r="S417" i="1"/>
  <c r="R417" i="1"/>
  <c r="U417" i="1" s="1"/>
  <c r="Q417" i="1"/>
  <c r="N417" i="1"/>
  <c r="M417" i="1"/>
  <c r="L417" i="1"/>
  <c r="S400" i="1"/>
  <c r="R400" i="1"/>
  <c r="U400" i="1" s="1"/>
  <c r="Q400" i="1"/>
  <c r="T400" i="1" s="1"/>
  <c r="N400" i="1"/>
  <c r="M400" i="1"/>
  <c r="L400" i="1"/>
  <c r="O400" i="1" s="1"/>
  <c r="S399" i="1"/>
  <c r="R399" i="1"/>
  <c r="U399" i="1" s="1"/>
  <c r="Q399" i="1"/>
  <c r="N399" i="1"/>
  <c r="M399" i="1"/>
  <c r="P399" i="1" s="1"/>
  <c r="L399" i="1"/>
  <c r="O399" i="1" s="1"/>
  <c r="S397" i="1"/>
  <c r="R397" i="1"/>
  <c r="U397" i="1" s="1"/>
  <c r="Q397" i="1"/>
  <c r="T397" i="1" s="1"/>
  <c r="N397" i="1"/>
  <c r="M397" i="1"/>
  <c r="P397" i="1" s="1"/>
  <c r="L397" i="1"/>
  <c r="O397" i="1" s="1"/>
  <c r="S396" i="1"/>
  <c r="R396" i="1"/>
  <c r="Q396" i="1"/>
  <c r="T396" i="1" s="1"/>
  <c r="N396" i="1"/>
  <c r="M396" i="1"/>
  <c r="P396" i="1" s="1"/>
  <c r="L396" i="1"/>
  <c r="J391" i="1"/>
  <c r="I391" i="1"/>
  <c r="K391" i="1" s="1"/>
  <c r="J388" i="1"/>
  <c r="I388" i="1"/>
  <c r="J387" i="1"/>
  <c r="I387" i="1"/>
  <c r="K387" i="1" s="1"/>
  <c r="J386" i="1"/>
  <c r="I386" i="1"/>
  <c r="J385" i="1"/>
  <c r="I385" i="1"/>
  <c r="I374" i="1" s="1"/>
  <c r="S383" i="1"/>
  <c r="R383" i="1"/>
  <c r="U383" i="1" s="1"/>
  <c r="Q383" i="1"/>
  <c r="N383" i="1"/>
  <c r="M383" i="1"/>
  <c r="P383" i="1" s="1"/>
  <c r="L383" i="1"/>
  <c r="O383" i="1" s="1"/>
  <c r="S382" i="1"/>
  <c r="R382" i="1"/>
  <c r="U382" i="1" s="1"/>
  <c r="Q382" i="1"/>
  <c r="T382" i="1" s="1"/>
  <c r="N382" i="1"/>
  <c r="M382" i="1"/>
  <c r="P382" i="1" s="1"/>
  <c r="L382" i="1"/>
  <c r="S380" i="1"/>
  <c r="R380" i="1"/>
  <c r="Q380" i="1"/>
  <c r="N380" i="1"/>
  <c r="M380" i="1"/>
  <c r="P380" i="1" s="1"/>
  <c r="L380" i="1"/>
  <c r="S379" i="1"/>
  <c r="R379" i="1"/>
  <c r="Q379" i="1"/>
  <c r="T379" i="1" s="1"/>
  <c r="N379" i="1"/>
  <c r="M379" i="1"/>
  <c r="P379" i="1" s="1"/>
  <c r="L379" i="1"/>
  <c r="D373" i="1"/>
  <c r="K372" i="1"/>
  <c r="J372" i="1"/>
  <c r="J371" i="1"/>
  <c r="I371" i="1"/>
  <c r="I365" i="1" s="1"/>
  <c r="K370" i="1"/>
  <c r="J370" i="1"/>
  <c r="J369" i="1"/>
  <c r="I369" i="1"/>
  <c r="J368" i="1"/>
  <c r="I368" i="1"/>
  <c r="K367" i="1"/>
  <c r="J367" i="1"/>
  <c r="S364" i="1"/>
  <c r="R364" i="1"/>
  <c r="U364" i="1" s="1"/>
  <c r="Q364" i="1"/>
  <c r="T364" i="1" s="1"/>
  <c r="N364" i="1"/>
  <c r="M364" i="1"/>
  <c r="P364" i="1" s="1"/>
  <c r="L364" i="1"/>
  <c r="O364" i="1" s="1"/>
  <c r="S363" i="1"/>
  <c r="S362" i="1" s="1"/>
  <c r="R363" i="1"/>
  <c r="U363" i="1" s="1"/>
  <c r="Q363" i="1"/>
  <c r="N363" i="1"/>
  <c r="M363" i="1"/>
  <c r="L363" i="1"/>
  <c r="O363" i="1" s="1"/>
  <c r="S361" i="1"/>
  <c r="R361" i="1"/>
  <c r="U361" i="1" s="1"/>
  <c r="Q361" i="1"/>
  <c r="N361" i="1"/>
  <c r="M361" i="1"/>
  <c r="L361" i="1"/>
  <c r="S360" i="1"/>
  <c r="R360" i="1"/>
  <c r="Q360" i="1"/>
  <c r="T360" i="1" s="1"/>
  <c r="N360" i="1"/>
  <c r="N357" i="1" s="1"/>
  <c r="M360" i="1"/>
  <c r="L360" i="1"/>
  <c r="O360" i="1" s="1"/>
  <c r="J354" i="1"/>
  <c r="J353" i="1"/>
  <c r="J352" i="1"/>
  <c r="D350" i="1"/>
  <c r="J349" i="1"/>
  <c r="J348" i="1"/>
  <c r="J347" i="1"/>
  <c r="J346" i="1"/>
  <c r="I346" i="1"/>
  <c r="J344" i="1"/>
  <c r="I344" i="1"/>
  <c r="S341" i="1"/>
  <c r="R341" i="1"/>
  <c r="Q341" i="1"/>
  <c r="N341" i="1"/>
  <c r="M341" i="1"/>
  <c r="P341" i="1" s="1"/>
  <c r="L341" i="1"/>
  <c r="S340" i="1"/>
  <c r="S339" i="1" s="1"/>
  <c r="R340" i="1"/>
  <c r="U340" i="1" s="1"/>
  <c r="Q340" i="1"/>
  <c r="T340" i="1" s="1"/>
  <c r="N340" i="1"/>
  <c r="M340" i="1"/>
  <c r="P340" i="1" s="1"/>
  <c r="L340" i="1"/>
  <c r="O340" i="1" s="1"/>
  <c r="S338" i="1"/>
  <c r="S335" i="1" s="1"/>
  <c r="R338" i="1"/>
  <c r="Q338" i="1"/>
  <c r="T338" i="1" s="1"/>
  <c r="N338" i="1"/>
  <c r="N335" i="1" s="1"/>
  <c r="M338" i="1"/>
  <c r="L338" i="1"/>
  <c r="S337" i="1"/>
  <c r="S336" i="1" s="1"/>
  <c r="R337" i="1"/>
  <c r="U337" i="1" s="1"/>
  <c r="Q337" i="1"/>
  <c r="N337" i="1"/>
  <c r="M337" i="1"/>
  <c r="P337" i="1" s="1"/>
  <c r="L337" i="1"/>
  <c r="O337" i="1" s="1"/>
  <c r="J330" i="1"/>
  <c r="J319" i="1" s="1"/>
  <c r="I330" i="1"/>
  <c r="S328" i="1"/>
  <c r="R328" i="1"/>
  <c r="Q328" i="1"/>
  <c r="N328" i="1"/>
  <c r="M328" i="1"/>
  <c r="P328" i="1" s="1"/>
  <c r="L328" i="1"/>
  <c r="S327" i="1"/>
  <c r="S326" i="1" s="1"/>
  <c r="R327" i="1"/>
  <c r="U327" i="1" s="1"/>
  <c r="Q327" i="1"/>
  <c r="N327" i="1"/>
  <c r="M327" i="1"/>
  <c r="P327" i="1" s="1"/>
  <c r="L327" i="1"/>
  <c r="O327" i="1" s="1"/>
  <c r="S325" i="1"/>
  <c r="R325" i="1"/>
  <c r="Q325" i="1"/>
  <c r="T325" i="1" s="1"/>
  <c r="N325" i="1"/>
  <c r="M325" i="1"/>
  <c r="L325" i="1"/>
  <c r="S324" i="1"/>
  <c r="S323" i="1" s="1"/>
  <c r="R324" i="1"/>
  <c r="Q324" i="1"/>
  <c r="N324" i="1"/>
  <c r="M324" i="1"/>
  <c r="L324" i="1"/>
  <c r="J317" i="1"/>
  <c r="I317" i="1"/>
  <c r="K317" i="1" s="1"/>
  <c r="J316" i="1"/>
  <c r="I316" i="1"/>
  <c r="K316" i="1" s="1"/>
  <c r="J315" i="1"/>
  <c r="I315" i="1"/>
  <c r="K315" i="1" s="1"/>
  <c r="J314" i="1"/>
  <c r="J302" i="1" s="1"/>
  <c r="I314" i="1"/>
  <c r="I302" i="1" s="1"/>
  <c r="J313" i="1"/>
  <c r="S311" i="1"/>
  <c r="R311" i="1"/>
  <c r="U311" i="1" s="1"/>
  <c r="Q311" i="1"/>
  <c r="T311" i="1" s="1"/>
  <c r="N311" i="1"/>
  <c r="M311" i="1"/>
  <c r="P311" i="1" s="1"/>
  <c r="L311" i="1"/>
  <c r="O311" i="1" s="1"/>
  <c r="S310" i="1"/>
  <c r="R310" i="1"/>
  <c r="Q310" i="1"/>
  <c r="N310" i="1"/>
  <c r="N309" i="1" s="1"/>
  <c r="M310" i="1"/>
  <c r="P310" i="1" s="1"/>
  <c r="L310" i="1"/>
  <c r="O310" i="1" s="1"/>
  <c r="S308" i="1"/>
  <c r="R308" i="1"/>
  <c r="R305" i="1" s="1"/>
  <c r="Q308" i="1"/>
  <c r="N308" i="1"/>
  <c r="M308" i="1"/>
  <c r="M305" i="1" s="1"/>
  <c r="L308" i="1"/>
  <c r="S307" i="1"/>
  <c r="R307" i="1"/>
  <c r="U307" i="1" s="1"/>
  <c r="Q307" i="1"/>
  <c r="N307" i="1"/>
  <c r="N304" i="1" s="1"/>
  <c r="M307" i="1"/>
  <c r="P307" i="1" s="1"/>
  <c r="L307" i="1"/>
  <c r="O307" i="1" s="1"/>
  <c r="J296" i="1"/>
  <c r="I296" i="1"/>
  <c r="J295" i="1"/>
  <c r="I295" i="1"/>
  <c r="J293" i="1"/>
  <c r="J280" i="1" s="1"/>
  <c r="I293" i="1"/>
  <c r="I280" i="1" s="1"/>
  <c r="J292" i="1"/>
  <c r="J281" i="1" s="1"/>
  <c r="I292" i="1"/>
  <c r="S290" i="1"/>
  <c r="R290" i="1"/>
  <c r="U290" i="1" s="1"/>
  <c r="Q290" i="1"/>
  <c r="T290" i="1" s="1"/>
  <c r="N290" i="1"/>
  <c r="M290" i="1"/>
  <c r="L290" i="1"/>
  <c r="O290" i="1" s="1"/>
  <c r="S289" i="1"/>
  <c r="R289" i="1"/>
  <c r="U289" i="1" s="1"/>
  <c r="Q289" i="1"/>
  <c r="N289" i="1"/>
  <c r="M289" i="1"/>
  <c r="P289" i="1" s="1"/>
  <c r="L289" i="1"/>
  <c r="O289" i="1" s="1"/>
  <c r="S287" i="1"/>
  <c r="R287" i="1"/>
  <c r="Q287" i="1"/>
  <c r="T287" i="1" s="1"/>
  <c r="N287" i="1"/>
  <c r="M287" i="1"/>
  <c r="L287" i="1"/>
  <c r="S286" i="1"/>
  <c r="R286" i="1"/>
  <c r="R285" i="1" s="1"/>
  <c r="U285" i="1" s="1"/>
  <c r="Q286" i="1"/>
  <c r="Q285" i="1" s="1"/>
  <c r="T285" i="1" s="1"/>
  <c r="N286" i="1"/>
  <c r="M286" i="1"/>
  <c r="L286" i="1"/>
  <c r="L283" i="1" s="1"/>
  <c r="O283" i="1" s="1"/>
  <c r="J276" i="1"/>
  <c r="I276" i="1"/>
  <c r="S274" i="1"/>
  <c r="R274" i="1"/>
  <c r="Q274" i="1"/>
  <c r="N274" i="1"/>
  <c r="M274" i="1"/>
  <c r="L274" i="1"/>
  <c r="O274" i="1" s="1"/>
  <c r="S273" i="1"/>
  <c r="R273" i="1"/>
  <c r="U273" i="1" s="1"/>
  <c r="Q273" i="1"/>
  <c r="T273" i="1" s="1"/>
  <c r="N273" i="1"/>
  <c r="M273" i="1"/>
  <c r="P273" i="1" s="1"/>
  <c r="L273" i="1"/>
  <c r="S271" i="1"/>
  <c r="R271" i="1"/>
  <c r="Q271" i="1"/>
  <c r="N271" i="1"/>
  <c r="M271" i="1"/>
  <c r="L271" i="1"/>
  <c r="S270" i="1"/>
  <c r="R270" i="1"/>
  <c r="U270" i="1" s="1"/>
  <c r="Q270" i="1"/>
  <c r="T270" i="1" s="1"/>
  <c r="N270" i="1"/>
  <c r="N269" i="1" s="1"/>
  <c r="M270" i="1"/>
  <c r="L270" i="1"/>
  <c r="O270" i="1" s="1"/>
  <c r="J265" i="1"/>
  <c r="I265" i="1"/>
  <c r="K241" i="1"/>
  <c r="J241" i="1"/>
  <c r="K240" i="1"/>
  <c r="J240" i="1"/>
  <c r="J238" i="1"/>
  <c r="I238" i="1"/>
  <c r="S236" i="1"/>
  <c r="R236" i="1"/>
  <c r="Q236" i="1"/>
  <c r="N236" i="1"/>
  <c r="M236" i="1"/>
  <c r="L236" i="1"/>
  <c r="S235" i="1"/>
  <c r="R235" i="1"/>
  <c r="Q235" i="1"/>
  <c r="N235" i="1"/>
  <c r="M235" i="1"/>
  <c r="L235" i="1"/>
  <c r="S234" i="1"/>
  <c r="R234" i="1"/>
  <c r="Q234" i="1"/>
  <c r="N234" i="1"/>
  <c r="M234" i="1"/>
  <c r="L234" i="1"/>
  <c r="S233" i="1"/>
  <c r="R233" i="1"/>
  <c r="R232" i="1" s="1"/>
  <c r="Q233" i="1"/>
  <c r="N233" i="1"/>
  <c r="M233" i="1"/>
  <c r="M232" i="1" s="1"/>
  <c r="L233" i="1"/>
  <c r="J231" i="1"/>
  <c r="I231" i="1"/>
  <c r="K231" i="1" s="1"/>
  <c r="J230" i="1"/>
  <c r="I230" i="1"/>
  <c r="K230" i="1" s="1"/>
  <c r="J229" i="1"/>
  <c r="J221" i="1" s="1"/>
  <c r="I229" i="1"/>
  <c r="I221" i="1" s="1"/>
  <c r="J228" i="1"/>
  <c r="I228" i="1"/>
  <c r="S224" i="1"/>
  <c r="R224" i="1"/>
  <c r="Q224" i="1"/>
  <c r="N224" i="1"/>
  <c r="M224" i="1"/>
  <c r="L224" i="1"/>
  <c r="S223" i="1"/>
  <c r="R223" i="1"/>
  <c r="Q223" i="1"/>
  <c r="N223" i="1"/>
  <c r="N222" i="1" s="1"/>
  <c r="M223" i="1"/>
  <c r="L223" i="1"/>
  <c r="L222" i="1" s="1"/>
  <c r="J220" i="1"/>
  <c r="J213" i="1" s="1"/>
  <c r="I220" i="1"/>
  <c r="J219" i="1"/>
  <c r="I219" i="1"/>
  <c r="S217" i="1"/>
  <c r="R217" i="1"/>
  <c r="Q217" i="1"/>
  <c r="N217" i="1"/>
  <c r="M217" i="1"/>
  <c r="L217" i="1"/>
  <c r="S216" i="1"/>
  <c r="R216" i="1"/>
  <c r="Q216" i="1"/>
  <c r="N216" i="1"/>
  <c r="M216" i="1"/>
  <c r="L216" i="1"/>
  <c r="S215" i="1"/>
  <c r="R215" i="1"/>
  <c r="R214" i="1" s="1"/>
  <c r="Q215" i="1"/>
  <c r="N215" i="1"/>
  <c r="N214" i="1" s="1"/>
  <c r="M215" i="1"/>
  <c r="L215" i="1"/>
  <c r="K212" i="1"/>
  <c r="J212" i="1"/>
  <c r="K211" i="1"/>
  <c r="J211" i="1"/>
  <c r="J209" i="1"/>
  <c r="J202" i="1" s="1"/>
  <c r="I209" i="1"/>
  <c r="S207" i="1"/>
  <c r="R207" i="1"/>
  <c r="Q207" i="1"/>
  <c r="N207" i="1"/>
  <c r="M207" i="1"/>
  <c r="L207" i="1"/>
  <c r="S206" i="1"/>
  <c r="R206" i="1"/>
  <c r="Q206" i="1"/>
  <c r="N206" i="1"/>
  <c r="M206" i="1"/>
  <c r="L206" i="1"/>
  <c r="S204" i="1"/>
  <c r="R204" i="1"/>
  <c r="Q204" i="1"/>
  <c r="N204" i="1"/>
  <c r="M204" i="1"/>
  <c r="L204" i="1"/>
  <c r="J201" i="1"/>
  <c r="J200" i="1"/>
  <c r="J198" i="1"/>
  <c r="J195" i="1" s="1"/>
  <c r="I198" i="1"/>
  <c r="S196" i="1"/>
  <c r="R196" i="1"/>
  <c r="Q196" i="1"/>
  <c r="N196" i="1"/>
  <c r="M196" i="1"/>
  <c r="L196" i="1"/>
  <c r="S194" i="1"/>
  <c r="R194" i="1"/>
  <c r="U194" i="1" s="1"/>
  <c r="Q194" i="1"/>
  <c r="T194" i="1" s="1"/>
  <c r="N194" i="1"/>
  <c r="M194" i="1"/>
  <c r="L194" i="1"/>
  <c r="O194" i="1" s="1"/>
  <c r="S193" i="1"/>
  <c r="R193" i="1"/>
  <c r="Q193" i="1"/>
  <c r="N193" i="1"/>
  <c r="M193" i="1"/>
  <c r="P193" i="1" s="1"/>
  <c r="L193" i="1"/>
  <c r="S191" i="1"/>
  <c r="R191" i="1"/>
  <c r="Q191" i="1"/>
  <c r="N191" i="1"/>
  <c r="N188" i="1" s="1"/>
  <c r="M191" i="1"/>
  <c r="M188" i="1" s="1"/>
  <c r="L191" i="1"/>
  <c r="S190" i="1"/>
  <c r="S187" i="1" s="1"/>
  <c r="R190" i="1"/>
  <c r="Q190" i="1"/>
  <c r="Q187" i="1" s="1"/>
  <c r="N190" i="1"/>
  <c r="M190" i="1"/>
  <c r="P190" i="1" s="1"/>
  <c r="L190" i="1"/>
  <c r="K184" i="1"/>
  <c r="J183" i="1"/>
  <c r="J172" i="1" s="1"/>
  <c r="I183" i="1"/>
  <c r="S181" i="1"/>
  <c r="R181" i="1"/>
  <c r="U181" i="1" s="1"/>
  <c r="Q181" i="1"/>
  <c r="T181" i="1" s="1"/>
  <c r="N181" i="1"/>
  <c r="M181" i="1"/>
  <c r="P181" i="1" s="1"/>
  <c r="L181" i="1"/>
  <c r="O181" i="1" s="1"/>
  <c r="S180" i="1"/>
  <c r="R180" i="1"/>
  <c r="Q180" i="1"/>
  <c r="N180" i="1"/>
  <c r="M180" i="1"/>
  <c r="L180" i="1"/>
  <c r="S178" i="1"/>
  <c r="R178" i="1"/>
  <c r="U178" i="1" s="1"/>
  <c r="Q178" i="1"/>
  <c r="T178" i="1" s="1"/>
  <c r="N178" i="1"/>
  <c r="M178" i="1"/>
  <c r="L178" i="1"/>
  <c r="S177" i="1"/>
  <c r="R177" i="1"/>
  <c r="Q177" i="1"/>
  <c r="N177" i="1"/>
  <c r="M177" i="1"/>
  <c r="P177" i="1" s="1"/>
  <c r="L177" i="1"/>
  <c r="J167" i="1"/>
  <c r="I167" i="1"/>
  <c r="I168" i="1" s="1"/>
  <c r="S165" i="1"/>
  <c r="R165" i="1"/>
  <c r="U165" i="1" s="1"/>
  <c r="Q165" i="1"/>
  <c r="T165" i="1" s="1"/>
  <c r="N165" i="1"/>
  <c r="M165" i="1"/>
  <c r="P165" i="1" s="1"/>
  <c r="L165" i="1"/>
  <c r="S164" i="1"/>
  <c r="R164" i="1"/>
  <c r="Q164" i="1"/>
  <c r="Q163" i="1" s="1"/>
  <c r="T163" i="1" s="1"/>
  <c r="N164" i="1"/>
  <c r="M164" i="1"/>
  <c r="L164" i="1"/>
  <c r="O164" i="1" s="1"/>
  <c r="S162" i="1"/>
  <c r="R162" i="1"/>
  <c r="U162" i="1" s="1"/>
  <c r="Q162" i="1"/>
  <c r="N162" i="1"/>
  <c r="M162" i="1"/>
  <c r="M159" i="1" s="1"/>
  <c r="L162" i="1"/>
  <c r="S161" i="1"/>
  <c r="S160" i="1" s="1"/>
  <c r="R161" i="1"/>
  <c r="U161" i="1" s="1"/>
  <c r="Q161" i="1"/>
  <c r="T161" i="1" s="1"/>
  <c r="N161" i="1"/>
  <c r="M161" i="1"/>
  <c r="P161" i="1" s="1"/>
  <c r="L161" i="1"/>
  <c r="L160" i="1" s="1"/>
  <c r="J156" i="1"/>
  <c r="J154" i="1"/>
  <c r="J136" i="1" s="1"/>
  <c r="I154" i="1"/>
  <c r="I136" i="1" s="1"/>
  <c r="J153" i="1"/>
  <c r="J138" i="1" s="1"/>
  <c r="I153" i="1"/>
  <c r="J152" i="1"/>
  <c r="J137" i="1" s="1"/>
  <c r="I152" i="1"/>
  <c r="J151" i="1"/>
  <c r="I151" i="1"/>
  <c r="J150" i="1"/>
  <c r="I150" i="1"/>
  <c r="J149" i="1"/>
  <c r="S147" i="1"/>
  <c r="R147" i="1"/>
  <c r="Q147" i="1"/>
  <c r="T147" i="1" s="1"/>
  <c r="N147" i="1"/>
  <c r="M147" i="1"/>
  <c r="P147" i="1" s="1"/>
  <c r="L147" i="1"/>
  <c r="O147" i="1" s="1"/>
  <c r="S146" i="1"/>
  <c r="R146" i="1"/>
  <c r="U146" i="1" s="1"/>
  <c r="Q146" i="1"/>
  <c r="N146" i="1"/>
  <c r="M146" i="1"/>
  <c r="L146" i="1"/>
  <c r="O146" i="1" s="1"/>
  <c r="S144" i="1"/>
  <c r="R144" i="1"/>
  <c r="U144" i="1" s="1"/>
  <c r="Q144" i="1"/>
  <c r="N144" i="1"/>
  <c r="M144" i="1"/>
  <c r="L144" i="1"/>
  <c r="S143" i="1"/>
  <c r="S142" i="1" s="1"/>
  <c r="R143" i="1"/>
  <c r="Q143" i="1"/>
  <c r="Q140" i="1" s="1"/>
  <c r="N143" i="1"/>
  <c r="M143" i="1"/>
  <c r="P143" i="1" s="1"/>
  <c r="L143" i="1"/>
  <c r="J130" i="1"/>
  <c r="I130" i="1"/>
  <c r="K130" i="1" s="1"/>
  <c r="J129" i="1"/>
  <c r="I129" i="1"/>
  <c r="J128" i="1"/>
  <c r="I128" i="1"/>
  <c r="K128" i="1" s="1"/>
  <c r="J127" i="1"/>
  <c r="J116" i="1" s="1"/>
  <c r="I127" i="1"/>
  <c r="S125" i="1"/>
  <c r="R125" i="1"/>
  <c r="U125" i="1" s="1"/>
  <c r="Q125" i="1"/>
  <c r="T125" i="1" s="1"/>
  <c r="N125" i="1"/>
  <c r="M125" i="1"/>
  <c r="P125" i="1" s="1"/>
  <c r="L125" i="1"/>
  <c r="O125" i="1" s="1"/>
  <c r="S124" i="1"/>
  <c r="R124" i="1"/>
  <c r="Q124" i="1"/>
  <c r="T124" i="1" s="1"/>
  <c r="N124" i="1"/>
  <c r="M124" i="1"/>
  <c r="M123" i="1" s="1"/>
  <c r="P123" i="1" s="1"/>
  <c r="L124" i="1"/>
  <c r="S122" i="1"/>
  <c r="S119" i="1" s="1"/>
  <c r="R122" i="1"/>
  <c r="Q122" i="1"/>
  <c r="N122" i="1"/>
  <c r="M122" i="1"/>
  <c r="P122" i="1" s="1"/>
  <c r="L122" i="1"/>
  <c r="S121" i="1"/>
  <c r="S118" i="1" s="1"/>
  <c r="R121" i="1"/>
  <c r="U121" i="1" s="1"/>
  <c r="Q121" i="1"/>
  <c r="T121" i="1" s="1"/>
  <c r="N121" i="1"/>
  <c r="N118" i="1" s="1"/>
  <c r="M121" i="1"/>
  <c r="L121" i="1"/>
  <c r="O121" i="1" s="1"/>
  <c r="J114" i="1"/>
  <c r="I114" i="1"/>
  <c r="J113" i="1"/>
  <c r="I113" i="1"/>
  <c r="J109" i="1"/>
  <c r="J93" i="1" s="1"/>
  <c r="I109" i="1"/>
  <c r="J108" i="1"/>
  <c r="J92" i="1" s="1"/>
  <c r="I108" i="1"/>
  <c r="I92" i="1" s="1"/>
  <c r="S102" i="1"/>
  <c r="R102" i="1"/>
  <c r="U102" i="1" s="1"/>
  <c r="Q102" i="1"/>
  <c r="N102" i="1"/>
  <c r="M102" i="1"/>
  <c r="P102" i="1" s="1"/>
  <c r="L102" i="1"/>
  <c r="O102" i="1" s="1"/>
  <c r="S101" i="1"/>
  <c r="S100" i="1" s="1"/>
  <c r="R101" i="1"/>
  <c r="Q101" i="1"/>
  <c r="T101" i="1" s="1"/>
  <c r="N101" i="1"/>
  <c r="M101" i="1"/>
  <c r="P101" i="1" s="1"/>
  <c r="L101" i="1"/>
  <c r="O101" i="1" s="1"/>
  <c r="S99" i="1"/>
  <c r="R99" i="1"/>
  <c r="Q99" i="1"/>
  <c r="N99" i="1"/>
  <c r="N96" i="1" s="1"/>
  <c r="M99" i="1"/>
  <c r="L99" i="1"/>
  <c r="S98" i="1"/>
  <c r="R98" i="1"/>
  <c r="Q98" i="1"/>
  <c r="T98" i="1" s="1"/>
  <c r="N98" i="1"/>
  <c r="M98" i="1"/>
  <c r="P98" i="1" s="1"/>
  <c r="L98" i="1"/>
  <c r="O98" i="1" s="1"/>
  <c r="J90" i="1"/>
  <c r="I90" i="1"/>
  <c r="J89" i="1"/>
  <c r="I89" i="1"/>
  <c r="J88" i="1"/>
  <c r="I88" i="1"/>
  <c r="J87" i="1"/>
  <c r="I87" i="1"/>
  <c r="J86" i="1"/>
  <c r="I86" i="1"/>
  <c r="J85" i="1"/>
  <c r="I85" i="1"/>
  <c r="J84" i="1"/>
  <c r="I84" i="1"/>
  <c r="S80" i="1"/>
  <c r="R80" i="1"/>
  <c r="U80" i="1" s="1"/>
  <c r="Q80" i="1"/>
  <c r="T80" i="1" s="1"/>
  <c r="N80" i="1"/>
  <c r="M80" i="1"/>
  <c r="P80" i="1" s="1"/>
  <c r="L80" i="1"/>
  <c r="O80" i="1" s="1"/>
  <c r="S79" i="1"/>
  <c r="R79" i="1"/>
  <c r="Q79" i="1"/>
  <c r="T79" i="1" s="1"/>
  <c r="N79" i="1"/>
  <c r="M79" i="1"/>
  <c r="P79" i="1" s="1"/>
  <c r="L79" i="1"/>
  <c r="S77" i="1"/>
  <c r="R77" i="1"/>
  <c r="Q77" i="1"/>
  <c r="N77" i="1"/>
  <c r="M77" i="1"/>
  <c r="L77" i="1"/>
  <c r="L74" i="1" s="1"/>
  <c r="S76" i="1"/>
  <c r="S73" i="1" s="1"/>
  <c r="R76" i="1"/>
  <c r="R73" i="1" s="1"/>
  <c r="Q76" i="1"/>
  <c r="N76" i="1"/>
  <c r="M76" i="1"/>
  <c r="L76" i="1"/>
  <c r="S67" i="1"/>
  <c r="R67" i="1"/>
  <c r="U67" i="1" s="1"/>
  <c r="Q67" i="1"/>
  <c r="T67" i="1" s="1"/>
  <c r="N67" i="1"/>
  <c r="M67" i="1"/>
  <c r="P67" i="1" s="1"/>
  <c r="L67" i="1"/>
  <c r="O67" i="1" s="1"/>
  <c r="S66" i="1"/>
  <c r="R66" i="1"/>
  <c r="Q66" i="1"/>
  <c r="T66" i="1" s="1"/>
  <c r="N66" i="1"/>
  <c r="M66" i="1"/>
  <c r="P66" i="1" s="1"/>
  <c r="L66" i="1"/>
  <c r="S64" i="1"/>
  <c r="R64" i="1"/>
  <c r="U64" i="1" s="1"/>
  <c r="Q64" i="1"/>
  <c r="T64" i="1" s="1"/>
  <c r="N64" i="1"/>
  <c r="M64" i="1"/>
  <c r="M61" i="1" s="1"/>
  <c r="L64" i="1"/>
  <c r="S63" i="1"/>
  <c r="R63" i="1"/>
  <c r="Q63" i="1"/>
  <c r="T63" i="1" s="1"/>
  <c r="N63" i="1"/>
  <c r="M63" i="1"/>
  <c r="L63" i="1"/>
  <c r="S52" i="1"/>
  <c r="S50" i="1" s="1"/>
  <c r="R52" i="1"/>
  <c r="R50" i="1" s="1"/>
  <c r="U50" i="1" s="1"/>
  <c r="Q52" i="1"/>
  <c r="Q50" i="1" s="1"/>
  <c r="T50" i="1" s="1"/>
  <c r="N52" i="1"/>
  <c r="N50" i="1" s="1"/>
  <c r="M52" i="1"/>
  <c r="M50" i="1" s="1"/>
  <c r="P50" i="1" s="1"/>
  <c r="L52" i="1"/>
  <c r="L50" i="1" s="1"/>
  <c r="O50" i="1" s="1"/>
  <c r="U51" i="1"/>
  <c r="T51" i="1"/>
  <c r="P51" i="1"/>
  <c r="O51" i="1"/>
  <c r="S49" i="1"/>
  <c r="R49" i="1"/>
  <c r="R47" i="1" s="1"/>
  <c r="U47" i="1" s="1"/>
  <c r="Q49" i="1"/>
  <c r="Q47" i="1" s="1"/>
  <c r="T47" i="1" s="1"/>
  <c r="N49" i="1"/>
  <c r="M49" i="1"/>
  <c r="M47" i="1" s="1"/>
  <c r="L49" i="1"/>
  <c r="U48" i="1"/>
  <c r="T48" i="1"/>
  <c r="P48" i="1"/>
  <c r="O48" i="1"/>
  <c r="T45" i="1"/>
  <c r="S45" i="1"/>
  <c r="R45" i="1"/>
  <c r="Q45" i="1"/>
  <c r="P45" i="1"/>
  <c r="N45" i="1"/>
  <c r="M45" i="1"/>
  <c r="L45" i="1"/>
  <c r="M214" i="1" l="1"/>
  <c r="N95" i="1"/>
  <c r="Q222" i="1"/>
  <c r="N561" i="1"/>
  <c r="N142" i="1"/>
  <c r="S97" i="1"/>
  <c r="M358" i="1"/>
  <c r="R495" i="1"/>
  <c r="N159" i="1"/>
  <c r="Q618" i="1"/>
  <c r="M535" i="1"/>
  <c r="N761" i="1"/>
  <c r="L141" i="1"/>
  <c r="R222" i="1"/>
  <c r="K369" i="19"/>
  <c r="O338" i="21"/>
  <c r="P308" i="21"/>
  <c r="P80" i="20"/>
  <c r="P269" i="21"/>
  <c r="M516" i="21"/>
  <c r="P516" i="21" s="1"/>
  <c r="P147" i="21"/>
  <c r="T619" i="21"/>
  <c r="L235" i="20"/>
  <c r="K673" i="20"/>
  <c r="S644" i="21"/>
  <c r="S642" i="21" s="1"/>
  <c r="K784" i="20"/>
  <c r="K781" i="20"/>
  <c r="K778" i="20"/>
  <c r="L78" i="21"/>
  <c r="O78" i="21" s="1"/>
  <c r="U733" i="21"/>
  <c r="U695" i="21"/>
  <c r="K198" i="20"/>
  <c r="M175" i="20"/>
  <c r="M173" i="20" s="1"/>
  <c r="O99" i="19"/>
  <c r="N188" i="20"/>
  <c r="N186" i="20" s="1"/>
  <c r="K709" i="18"/>
  <c r="K629" i="21"/>
  <c r="J374" i="21"/>
  <c r="L163" i="21"/>
  <c r="O163" i="21" s="1"/>
  <c r="P102" i="21"/>
  <c r="J701" i="18"/>
  <c r="S415" i="21"/>
  <c r="S413" i="21" s="1"/>
  <c r="I374" i="21"/>
  <c r="P311" i="21"/>
  <c r="L179" i="21"/>
  <c r="O179" i="21" s="1"/>
  <c r="N61" i="21"/>
  <c r="N59" i="21" s="1"/>
  <c r="J351" i="17"/>
  <c r="I238" i="20"/>
  <c r="K238" i="20" s="1"/>
  <c r="K346" i="21"/>
  <c r="K276" i="21"/>
  <c r="M188" i="21"/>
  <c r="M186" i="21" s="1"/>
  <c r="K653" i="20"/>
  <c r="P518" i="20"/>
  <c r="L234" i="21"/>
  <c r="K209" i="21"/>
  <c r="T178" i="19"/>
  <c r="O194" i="21"/>
  <c r="K330" i="17"/>
  <c r="K152" i="18"/>
  <c r="L234" i="19"/>
  <c r="K108" i="20"/>
  <c r="K784" i="21"/>
  <c r="K778" i="21"/>
  <c r="N515" i="21"/>
  <c r="N513" i="21" s="1"/>
  <c r="K249" i="21"/>
  <c r="O144" i="21"/>
  <c r="J351" i="20"/>
  <c r="O80" i="20"/>
  <c r="K783" i="21"/>
  <c r="J675" i="21"/>
  <c r="O518" i="21"/>
  <c r="O274" i="21"/>
  <c r="I221" i="21"/>
  <c r="K221" i="21" s="1"/>
  <c r="Q377" i="19"/>
  <c r="Q375" i="19" s="1"/>
  <c r="K780" i="20"/>
  <c r="K229" i="20"/>
  <c r="K780" i="21"/>
  <c r="K652" i="21"/>
  <c r="J332" i="21"/>
  <c r="K332" i="21" s="1"/>
  <c r="L326" i="21"/>
  <c r="O326" i="21" s="1"/>
  <c r="K251" i="21"/>
  <c r="M192" i="21"/>
  <c r="P192" i="21" s="1"/>
  <c r="M141" i="21"/>
  <c r="M139" i="21" s="1"/>
  <c r="M142" i="21"/>
  <c r="P122" i="21"/>
  <c r="R72" i="21"/>
  <c r="Q72" i="20"/>
  <c r="S157" i="21"/>
  <c r="T693" i="20"/>
  <c r="K709" i="21"/>
  <c r="K368" i="21"/>
  <c r="P328" i="21"/>
  <c r="K153" i="21"/>
  <c r="U144" i="21"/>
  <c r="P99" i="21"/>
  <c r="O77" i="21"/>
  <c r="L268" i="20"/>
  <c r="O268" i="20" s="1"/>
  <c r="K782" i="21"/>
  <c r="K774" i="21"/>
  <c r="R731" i="21"/>
  <c r="M179" i="21"/>
  <c r="P179" i="21" s="1"/>
  <c r="R176" i="21"/>
  <c r="U176" i="21" s="1"/>
  <c r="P80" i="21"/>
  <c r="L306" i="21"/>
  <c r="O306" i="21" s="1"/>
  <c r="K781" i="21"/>
  <c r="T765" i="21"/>
  <c r="K653" i="21"/>
  <c r="P165" i="21"/>
  <c r="S160" i="21"/>
  <c r="U77" i="21"/>
  <c r="O311" i="19"/>
  <c r="T308" i="19"/>
  <c r="L175" i="19"/>
  <c r="T733" i="21"/>
  <c r="J351" i="21"/>
  <c r="M322" i="21"/>
  <c r="P322" i="21" s="1"/>
  <c r="L214" i="21"/>
  <c r="O214" i="21" s="1"/>
  <c r="L519" i="21"/>
  <c r="O519" i="21" s="1"/>
  <c r="O521" i="21"/>
  <c r="U283" i="21"/>
  <c r="R282" i="21"/>
  <c r="U282" i="21" s="1"/>
  <c r="O102" i="21"/>
  <c r="L100" i="21"/>
  <c r="O100" i="21" s="1"/>
  <c r="K709" i="19"/>
  <c r="N358" i="20"/>
  <c r="N356" i="20" s="1"/>
  <c r="O336" i="20"/>
  <c r="U729" i="21"/>
  <c r="R728" i="21"/>
  <c r="J702" i="21"/>
  <c r="M616" i="21"/>
  <c r="P616" i="21" s="1"/>
  <c r="L534" i="21"/>
  <c r="O534" i="21" s="1"/>
  <c r="Q268" i="21"/>
  <c r="Q269" i="21"/>
  <c r="T271" i="21"/>
  <c r="L145" i="21"/>
  <c r="O145" i="21" s="1"/>
  <c r="O147" i="21"/>
  <c r="M123" i="21"/>
  <c r="P123" i="21" s="1"/>
  <c r="P125" i="21"/>
  <c r="R377" i="21"/>
  <c r="R375" i="21" s="1"/>
  <c r="R378" i="21"/>
  <c r="U378" i="21" s="1"/>
  <c r="R269" i="21"/>
  <c r="U271" i="21"/>
  <c r="Q141" i="21"/>
  <c r="T141" i="21" s="1"/>
  <c r="T144" i="21"/>
  <c r="Q142" i="21"/>
  <c r="T142" i="21" s="1"/>
  <c r="K108" i="21"/>
  <c r="I92" i="21"/>
  <c r="K92" i="21" s="1"/>
  <c r="K652" i="20"/>
  <c r="J374" i="20"/>
  <c r="R160" i="20"/>
  <c r="U160" i="20" s="1"/>
  <c r="N141" i="20"/>
  <c r="N139" i="20" s="1"/>
  <c r="M714" i="21"/>
  <c r="P714" i="21" s="1"/>
  <c r="P715" i="21"/>
  <c r="T645" i="21"/>
  <c r="Q555" i="21"/>
  <c r="T555" i="21" s="1"/>
  <c r="T556" i="21"/>
  <c r="P364" i="21"/>
  <c r="M362" i="21"/>
  <c r="P362" i="21" s="1"/>
  <c r="S320" i="21"/>
  <c r="Q305" i="21"/>
  <c r="Q303" i="21" s="1"/>
  <c r="Q306" i="21"/>
  <c r="T306" i="21" s="1"/>
  <c r="R303" i="21"/>
  <c r="P178" i="21"/>
  <c r="O125" i="21"/>
  <c r="L123" i="21"/>
  <c r="O123" i="21" s="1"/>
  <c r="K85" i="21"/>
  <c r="I83" i="21"/>
  <c r="K83" i="21" s="1"/>
  <c r="R618" i="21"/>
  <c r="R616" i="21" s="1"/>
  <c r="R619" i="21"/>
  <c r="U619" i="21" s="1"/>
  <c r="T162" i="19"/>
  <c r="K782" i="20"/>
  <c r="T162" i="20"/>
  <c r="M120" i="20"/>
  <c r="P120" i="20" s="1"/>
  <c r="R75" i="20"/>
  <c r="U75" i="20" s="1"/>
  <c r="S763" i="21"/>
  <c r="U763" i="21" s="1"/>
  <c r="S762" i="21"/>
  <c r="S760" i="21" s="1"/>
  <c r="L714" i="21"/>
  <c r="O714" i="21" s="1"/>
  <c r="O715" i="21"/>
  <c r="S693" i="21"/>
  <c r="U693" i="21" s="1"/>
  <c r="S692" i="21"/>
  <c r="T692" i="21" s="1"/>
  <c r="N555" i="21"/>
  <c r="Q513" i="21"/>
  <c r="T513" i="21" s="1"/>
  <c r="T515" i="21"/>
  <c r="R495" i="21"/>
  <c r="U495" i="21" s="1"/>
  <c r="R496" i="21"/>
  <c r="U496" i="21" s="1"/>
  <c r="U498" i="21"/>
  <c r="L362" i="21"/>
  <c r="O362" i="21" s="1"/>
  <c r="O364" i="21"/>
  <c r="M285" i="21"/>
  <c r="P285" i="21" s="1"/>
  <c r="P287" i="21"/>
  <c r="P308" i="20"/>
  <c r="P125" i="20"/>
  <c r="U77" i="20"/>
  <c r="P762" i="21"/>
  <c r="M760" i="21"/>
  <c r="P760" i="21" s="1"/>
  <c r="M728" i="21"/>
  <c r="P728" i="21" s="1"/>
  <c r="P729" i="21"/>
  <c r="L599" i="21"/>
  <c r="O599" i="21" s="1"/>
  <c r="L515" i="21"/>
  <c r="O515" i="21" s="1"/>
  <c r="Q496" i="21"/>
  <c r="T496" i="21" s="1"/>
  <c r="Q495" i="21"/>
  <c r="T495" i="21" s="1"/>
  <c r="T498" i="21"/>
  <c r="I423" i="21"/>
  <c r="K423" i="21" s="1"/>
  <c r="K440" i="21"/>
  <c r="L285" i="21"/>
  <c r="O285" i="21" s="1"/>
  <c r="O287" i="21"/>
  <c r="I195" i="21"/>
  <c r="K195" i="21" s="1"/>
  <c r="K198" i="21"/>
  <c r="R120" i="21"/>
  <c r="R96" i="21"/>
  <c r="R97" i="21"/>
  <c r="U97" i="21" s="1"/>
  <c r="R59" i="21"/>
  <c r="U59" i="21" s="1"/>
  <c r="U61" i="21"/>
  <c r="N46" i="21"/>
  <c r="N44" i="21" s="1"/>
  <c r="N47" i="21"/>
  <c r="P47" i="21" s="1"/>
  <c r="L232" i="1"/>
  <c r="O158" i="21"/>
  <c r="Q74" i="21"/>
  <c r="Q72" i="21" s="1"/>
  <c r="Q75" i="21"/>
  <c r="T75" i="21" s="1"/>
  <c r="K152" i="19"/>
  <c r="I759" i="20"/>
  <c r="K759" i="20" s="1"/>
  <c r="K709" i="20"/>
  <c r="J702" i="20"/>
  <c r="U695" i="20"/>
  <c r="K276" i="20"/>
  <c r="I82" i="20"/>
  <c r="I70" i="20" s="1"/>
  <c r="K70" i="20" s="1"/>
  <c r="N61" i="20"/>
  <c r="N59" i="20" s="1"/>
  <c r="K779" i="21"/>
  <c r="L728" i="21"/>
  <c r="O728" i="21" s="1"/>
  <c r="O729" i="21"/>
  <c r="U715" i="21"/>
  <c r="R714" i="21"/>
  <c r="U714" i="21" s="1"/>
  <c r="R599" i="21"/>
  <c r="U599" i="21" s="1"/>
  <c r="K369" i="21"/>
  <c r="N188" i="21"/>
  <c r="M159" i="21"/>
  <c r="M157" i="21" s="1"/>
  <c r="P157" i="21" s="1"/>
  <c r="P162" i="21"/>
  <c r="M160" i="21"/>
  <c r="P160" i="21" s="1"/>
  <c r="T140" i="21"/>
  <c r="S119" i="21"/>
  <c r="S117" i="21" s="1"/>
  <c r="S120" i="21"/>
  <c r="L119" i="21"/>
  <c r="L120" i="21"/>
  <c r="O120" i="21" s="1"/>
  <c r="P77" i="21"/>
  <c r="O75" i="21"/>
  <c r="P64" i="21"/>
  <c r="N62" i="21"/>
  <c r="P62" i="21" s="1"/>
  <c r="R44" i="21"/>
  <c r="U44" i="21" s="1"/>
  <c r="Q19" i="21"/>
  <c r="T19" i="21" s="1"/>
  <c r="K726" i="21"/>
  <c r="I701" i="21"/>
  <c r="M690" i="21"/>
  <c r="P690" i="21" s="1"/>
  <c r="S576" i="21"/>
  <c r="M555" i="21"/>
  <c r="P555" i="21" s="1"/>
  <c r="U535" i="21"/>
  <c r="M534" i="21"/>
  <c r="P534" i="21" s="1"/>
  <c r="S392" i="21"/>
  <c r="N358" i="21"/>
  <c r="N356" i="21" s="1"/>
  <c r="P341" i="21"/>
  <c r="I319" i="21"/>
  <c r="K319" i="21" s="1"/>
  <c r="O311" i="21"/>
  <c r="I280" i="21"/>
  <c r="K280" i="21" s="1"/>
  <c r="M272" i="21"/>
  <c r="P272" i="21" s="1"/>
  <c r="O271" i="21"/>
  <c r="N268" i="21"/>
  <c r="N266" i="21" s="1"/>
  <c r="K220" i="21"/>
  <c r="L203" i="21"/>
  <c r="O203" i="21" s="1"/>
  <c r="O191" i="21"/>
  <c r="M175" i="21"/>
  <c r="M173" i="21" s="1"/>
  <c r="S176" i="21"/>
  <c r="L159" i="21"/>
  <c r="O159" i="21" s="1"/>
  <c r="R160" i="21"/>
  <c r="U160" i="21" s="1"/>
  <c r="K137" i="21"/>
  <c r="O64" i="21"/>
  <c r="Q44" i="21"/>
  <c r="T44" i="21" s="1"/>
  <c r="N19" i="21"/>
  <c r="K626" i="21"/>
  <c r="S618" i="21"/>
  <c r="S616" i="21" s="1"/>
  <c r="Q599" i="21"/>
  <c r="T599" i="21" s="1"/>
  <c r="S377" i="21"/>
  <c r="S375" i="21" s="1"/>
  <c r="M358" i="21"/>
  <c r="R356" i="21"/>
  <c r="U356" i="21" s="1"/>
  <c r="K314" i="21"/>
  <c r="U308" i="21"/>
  <c r="N305" i="21"/>
  <c r="N303" i="21" s="1"/>
  <c r="S266" i="21"/>
  <c r="L235" i="21"/>
  <c r="L222" i="21"/>
  <c r="O222" i="21" s="1"/>
  <c r="L175" i="21"/>
  <c r="L173" i="21" s="1"/>
  <c r="N74" i="21"/>
  <c r="N72" i="21" s="1"/>
  <c r="K785" i="21"/>
  <c r="R762" i="21"/>
  <c r="R760" i="21" s="1"/>
  <c r="K707" i="21"/>
  <c r="Q693" i="21"/>
  <c r="K631" i="21"/>
  <c r="I615" i="21"/>
  <c r="K615" i="21" s="1"/>
  <c r="J343" i="21"/>
  <c r="L323" i="21"/>
  <c r="O323" i="21" s="1"/>
  <c r="N322" i="21"/>
  <c r="N320" i="21" s="1"/>
  <c r="R306" i="21"/>
  <c r="U306" i="21" s="1"/>
  <c r="P271" i="21"/>
  <c r="S269" i="21"/>
  <c r="M176" i="21"/>
  <c r="P176" i="21" s="1"/>
  <c r="L160" i="21"/>
  <c r="O160" i="21" s="1"/>
  <c r="K109" i="21"/>
  <c r="M96" i="21"/>
  <c r="M94" i="21" s="1"/>
  <c r="P94" i="21" s="1"/>
  <c r="S97" i="21"/>
  <c r="P75" i="21"/>
  <c r="R75" i="21"/>
  <c r="U75" i="21" s="1"/>
  <c r="P49" i="21"/>
  <c r="L19" i="21"/>
  <c r="U765" i="21"/>
  <c r="Q762" i="21"/>
  <c r="Q760" i="21" s="1"/>
  <c r="L760" i="21"/>
  <c r="O760" i="21" s="1"/>
  <c r="S731" i="21"/>
  <c r="Q730" i="21"/>
  <c r="Q728" i="21" s="1"/>
  <c r="T729" i="21"/>
  <c r="N728" i="21"/>
  <c r="T715" i="21"/>
  <c r="N714" i="21"/>
  <c r="J701" i="21"/>
  <c r="R692" i="21"/>
  <c r="R690" i="21" s="1"/>
  <c r="Q690" i="21"/>
  <c r="I689" i="21"/>
  <c r="K689" i="21" s="1"/>
  <c r="J674" i="21"/>
  <c r="U645" i="21"/>
  <c r="S599" i="21"/>
  <c r="Q534" i="21"/>
  <c r="T534" i="21" s="1"/>
  <c r="K386" i="21"/>
  <c r="L305" i="21"/>
  <c r="N284" i="21"/>
  <c r="N282" i="21" s="1"/>
  <c r="S282" i="21"/>
  <c r="L233" i="21"/>
  <c r="I241" i="21"/>
  <c r="K241" i="21" s="1"/>
  <c r="L176" i="21"/>
  <c r="O176" i="21" s="1"/>
  <c r="M119" i="21"/>
  <c r="M117" i="21" s="1"/>
  <c r="P117" i="21" s="1"/>
  <c r="L96" i="21"/>
  <c r="O96" i="21" s="1"/>
  <c r="L74" i="21"/>
  <c r="L72" i="21" s="1"/>
  <c r="O49" i="21"/>
  <c r="M642" i="21"/>
  <c r="P642" i="21" s="1"/>
  <c r="M493" i="21"/>
  <c r="P493" i="21" s="1"/>
  <c r="U414" i="21"/>
  <c r="O361" i="21"/>
  <c r="L359" i="21"/>
  <c r="O359" i="21" s="1"/>
  <c r="L358" i="21"/>
  <c r="L356" i="21" s="1"/>
  <c r="K703" i="17"/>
  <c r="L519" i="19"/>
  <c r="O519" i="19" s="1"/>
  <c r="R730" i="20"/>
  <c r="R728" i="20" s="1"/>
  <c r="K705" i="20"/>
  <c r="R693" i="20"/>
  <c r="U693" i="20" s="1"/>
  <c r="L358" i="20"/>
  <c r="L356" i="20" s="1"/>
  <c r="P274" i="20"/>
  <c r="R189" i="20"/>
  <c r="N175" i="20"/>
  <c r="S142" i="20"/>
  <c r="L100" i="20"/>
  <c r="O100" i="20" s="1"/>
  <c r="R97" i="20"/>
  <c r="U97" i="20" s="1"/>
  <c r="R94" i="20"/>
  <c r="U94" i="20" s="1"/>
  <c r="P64" i="20"/>
  <c r="K772" i="21"/>
  <c r="T695" i="21"/>
  <c r="R644" i="21"/>
  <c r="K630" i="21"/>
  <c r="P600" i="21"/>
  <c r="S555" i="21"/>
  <c r="P535" i="21"/>
  <c r="N519" i="21"/>
  <c r="U514" i="21"/>
  <c r="I492" i="21"/>
  <c r="K492" i="21" s="1"/>
  <c r="I456" i="21"/>
  <c r="K456" i="21" s="1"/>
  <c r="L413" i="21"/>
  <c r="O413" i="21" s="1"/>
  <c r="O414" i="21"/>
  <c r="L493" i="21"/>
  <c r="O493" i="21" s="1"/>
  <c r="R415" i="21"/>
  <c r="U415" i="21" s="1"/>
  <c r="J674" i="20"/>
  <c r="T645" i="20"/>
  <c r="K629" i="20"/>
  <c r="N305" i="20"/>
  <c r="N303" i="20" s="1"/>
  <c r="O290" i="20"/>
  <c r="T191" i="20"/>
  <c r="L188" i="20"/>
  <c r="M145" i="20"/>
  <c r="P145" i="20" s="1"/>
  <c r="N142" i="20"/>
  <c r="L96" i="20"/>
  <c r="K703" i="21"/>
  <c r="T691" i="21"/>
  <c r="L690" i="21"/>
  <c r="O690" i="21" s="1"/>
  <c r="U647" i="21"/>
  <c r="Q644" i="21"/>
  <c r="U621" i="21"/>
  <c r="O618" i="21"/>
  <c r="O557" i="21"/>
  <c r="M519" i="21"/>
  <c r="P519" i="21" s="1"/>
  <c r="M515" i="21"/>
  <c r="J503" i="21"/>
  <c r="J492" i="21" s="1"/>
  <c r="T494" i="21"/>
  <c r="P283" i="21"/>
  <c r="I253" i="21"/>
  <c r="K253" i="21" s="1"/>
  <c r="K260" i="21"/>
  <c r="I238" i="21"/>
  <c r="K238" i="21" s="1"/>
  <c r="P19" i="21"/>
  <c r="K705" i="19"/>
  <c r="L515" i="19"/>
  <c r="O515" i="19" s="1"/>
  <c r="R320" i="21"/>
  <c r="U320" i="21" s="1"/>
  <c r="U321" i="21"/>
  <c r="N159" i="18"/>
  <c r="N157" i="18" s="1"/>
  <c r="K626" i="19"/>
  <c r="M362" i="19"/>
  <c r="P362" i="19" s="1"/>
  <c r="J332" i="20"/>
  <c r="M305" i="20"/>
  <c r="M303" i="20" s="1"/>
  <c r="N306" i="20"/>
  <c r="O306" i="20" s="1"/>
  <c r="P271" i="20"/>
  <c r="O194" i="20"/>
  <c r="P77" i="20"/>
  <c r="S730" i="21"/>
  <c r="S728" i="21" s="1"/>
  <c r="K705" i="21"/>
  <c r="T647" i="21"/>
  <c r="L642" i="21"/>
  <c r="O642" i="21" s="1"/>
  <c r="T600" i="21"/>
  <c r="P577" i="21"/>
  <c r="T535" i="21"/>
  <c r="U418" i="21"/>
  <c r="P393" i="21"/>
  <c r="L392" i="21"/>
  <c r="O392" i="21" s="1"/>
  <c r="L375" i="21"/>
  <c r="O375" i="21" s="1"/>
  <c r="O376" i="21"/>
  <c r="N336" i="21"/>
  <c r="P336" i="21" s="1"/>
  <c r="N335" i="21"/>
  <c r="N333" i="21" s="1"/>
  <c r="O19" i="21"/>
  <c r="Q618" i="21"/>
  <c r="T621" i="21"/>
  <c r="O321" i="21"/>
  <c r="L188" i="18"/>
  <c r="L186" i="18" s="1"/>
  <c r="K785" i="20"/>
  <c r="S495" i="21"/>
  <c r="S493" i="21" s="1"/>
  <c r="Q415" i="21"/>
  <c r="T418" i="21"/>
  <c r="K369" i="20"/>
  <c r="P336" i="20"/>
  <c r="S305" i="20"/>
  <c r="S303" i="20" s="1"/>
  <c r="M284" i="20"/>
  <c r="P284" i="20" s="1"/>
  <c r="P287" i="20"/>
  <c r="L233" i="20"/>
  <c r="O77" i="20"/>
  <c r="P617" i="21"/>
  <c r="P556" i="21"/>
  <c r="R555" i="21"/>
  <c r="U555" i="21" s="1"/>
  <c r="M413" i="21"/>
  <c r="P413" i="21" s="1"/>
  <c r="U267" i="21"/>
  <c r="U394" i="21"/>
  <c r="U376" i="21"/>
  <c r="T358" i="21"/>
  <c r="Q356" i="21"/>
  <c r="T356" i="21" s="1"/>
  <c r="P338" i="21"/>
  <c r="P334" i="21"/>
  <c r="Q320" i="21"/>
  <c r="T320" i="21" s="1"/>
  <c r="T321" i="21"/>
  <c r="P290" i="21"/>
  <c r="M288" i="21"/>
  <c r="P288" i="21" s="1"/>
  <c r="N232" i="21"/>
  <c r="K213" i="21"/>
  <c r="M189" i="21"/>
  <c r="P189" i="21" s="1"/>
  <c r="P191" i="21"/>
  <c r="T376" i="21"/>
  <c r="O334" i="21"/>
  <c r="P325" i="21"/>
  <c r="M323" i="21"/>
  <c r="P323" i="21" s="1"/>
  <c r="P304" i="21"/>
  <c r="O290" i="21"/>
  <c r="L288" i="21"/>
  <c r="O288" i="21" s="1"/>
  <c r="L284" i="21"/>
  <c r="L236" i="21"/>
  <c r="L243" i="21"/>
  <c r="T191" i="21"/>
  <c r="S189" i="21"/>
  <c r="U159" i="21"/>
  <c r="R157" i="21"/>
  <c r="U157" i="21" s="1"/>
  <c r="R117" i="21"/>
  <c r="U22" i="21"/>
  <c r="K292" i="21"/>
  <c r="I281" i="21"/>
  <c r="K281" i="21" s="1"/>
  <c r="P267" i="21"/>
  <c r="L254" i="21"/>
  <c r="O254" i="21" s="1"/>
  <c r="T162" i="21"/>
  <c r="Q160" i="21"/>
  <c r="T160" i="21" s="1"/>
  <c r="Q159" i="21"/>
  <c r="T159" i="21" s="1"/>
  <c r="T122" i="21"/>
  <c r="Q120" i="21"/>
  <c r="Q119" i="21"/>
  <c r="Q378" i="21"/>
  <c r="T378" i="21" s="1"/>
  <c r="Q377" i="21"/>
  <c r="T380" i="21"/>
  <c r="P377" i="21"/>
  <c r="M375" i="21"/>
  <c r="P375" i="21" s="1"/>
  <c r="N375" i="21"/>
  <c r="K371" i="21"/>
  <c r="I365" i="21"/>
  <c r="K365" i="21" s="1"/>
  <c r="P359" i="21"/>
  <c r="O341" i="21"/>
  <c r="L339" i="21"/>
  <c r="O339" i="21" s="1"/>
  <c r="R333" i="21"/>
  <c r="U333" i="21" s="1"/>
  <c r="U334" i="21"/>
  <c r="O267" i="21"/>
  <c r="O187" i="21"/>
  <c r="K154" i="21"/>
  <c r="I136" i="21"/>
  <c r="K136" i="21" s="1"/>
  <c r="O140" i="21"/>
  <c r="P60" i="21"/>
  <c r="R24" i="21"/>
  <c r="U24" i="21" s="1"/>
  <c r="U25" i="21"/>
  <c r="R19" i="21"/>
  <c r="U380" i="21"/>
  <c r="P361" i="21"/>
  <c r="K344" i="21"/>
  <c r="M335" i="21"/>
  <c r="L322" i="21"/>
  <c r="O322" i="21" s="1"/>
  <c r="T308" i="21"/>
  <c r="M268" i="21"/>
  <c r="K242" i="21"/>
  <c r="U191" i="21"/>
  <c r="R189" i="21"/>
  <c r="R188" i="21"/>
  <c r="U188" i="21" s="1"/>
  <c r="S186" i="21"/>
  <c r="U140" i="21"/>
  <c r="P67" i="21"/>
  <c r="M65" i="21"/>
  <c r="P65" i="21" s="1"/>
  <c r="L335" i="21"/>
  <c r="S305" i="21"/>
  <c r="U305" i="21" s="1"/>
  <c r="M305" i="21"/>
  <c r="P305" i="21" s="1"/>
  <c r="M284" i="21"/>
  <c r="P284" i="21" s="1"/>
  <c r="R268" i="21"/>
  <c r="U268" i="21" s="1"/>
  <c r="L268" i="21"/>
  <c r="O268" i="21" s="1"/>
  <c r="Q189" i="21"/>
  <c r="Q188" i="21"/>
  <c r="T188" i="21" s="1"/>
  <c r="U187" i="21"/>
  <c r="T178" i="21"/>
  <c r="Q176" i="21"/>
  <c r="T176" i="21" s="1"/>
  <c r="K169" i="21"/>
  <c r="I156" i="21"/>
  <c r="K156" i="21" s="1"/>
  <c r="O67" i="21"/>
  <c r="L65" i="21"/>
  <c r="O65" i="21" s="1"/>
  <c r="L61" i="21"/>
  <c r="P52" i="21"/>
  <c r="M26" i="21"/>
  <c r="P26" i="21" s="1"/>
  <c r="M50" i="21"/>
  <c r="P50" i="21" s="1"/>
  <c r="P45" i="21"/>
  <c r="N26" i="21"/>
  <c r="N24" i="21" s="1"/>
  <c r="P25" i="21"/>
  <c r="T187" i="21"/>
  <c r="Q173" i="21"/>
  <c r="T173" i="21" s="1"/>
  <c r="P144" i="21"/>
  <c r="N142" i="21"/>
  <c r="T99" i="21"/>
  <c r="Q97" i="21"/>
  <c r="T97" i="21" s="1"/>
  <c r="I82" i="21"/>
  <c r="P73" i="21"/>
  <c r="O52" i="21"/>
  <c r="L26" i="21"/>
  <c r="O26" i="21" s="1"/>
  <c r="L50" i="21"/>
  <c r="O50" i="21" s="1"/>
  <c r="L46" i="21"/>
  <c r="O25" i="21"/>
  <c r="N23" i="21"/>
  <c r="P22" i="21"/>
  <c r="R173" i="21"/>
  <c r="U173" i="21" s="1"/>
  <c r="N141" i="21"/>
  <c r="P140" i="21"/>
  <c r="Q96" i="21"/>
  <c r="T96" i="21" s="1"/>
  <c r="O22" i="21"/>
  <c r="L188" i="21"/>
  <c r="P187" i="21"/>
  <c r="U178" i="21"/>
  <c r="O178" i="21"/>
  <c r="U162" i="21"/>
  <c r="O162" i="21"/>
  <c r="S141" i="21"/>
  <c r="S139" i="21" s="1"/>
  <c r="U122" i="21"/>
  <c r="O122" i="21"/>
  <c r="U99" i="21"/>
  <c r="O99" i="21"/>
  <c r="K84" i="21"/>
  <c r="T77" i="21"/>
  <c r="S23" i="21"/>
  <c r="S20" i="21" s="1"/>
  <c r="S18" i="21" s="1"/>
  <c r="M23" i="21"/>
  <c r="M21" i="21" s="1"/>
  <c r="K183" i="21"/>
  <c r="N175" i="21"/>
  <c r="N173" i="21" s="1"/>
  <c r="N159" i="21"/>
  <c r="N157" i="21" s="1"/>
  <c r="K152" i="21"/>
  <c r="R141" i="21"/>
  <c r="U141" i="21" s="1"/>
  <c r="L141" i="21"/>
  <c r="K127" i="21"/>
  <c r="N119" i="21"/>
  <c r="N117" i="21" s="1"/>
  <c r="N96" i="21"/>
  <c r="N94" i="21" s="1"/>
  <c r="S74" i="21"/>
  <c r="U74" i="21" s="1"/>
  <c r="M74" i="21"/>
  <c r="M61" i="21"/>
  <c r="M46" i="21"/>
  <c r="M44" i="21" s="1"/>
  <c r="R23" i="21"/>
  <c r="L23" i="21"/>
  <c r="L21" i="21" s="1"/>
  <c r="L189" i="21"/>
  <c r="O189" i="21" s="1"/>
  <c r="Q23" i="21"/>
  <c r="U733" i="20"/>
  <c r="S730" i="20"/>
  <c r="S728" i="20" s="1"/>
  <c r="S731" i="20"/>
  <c r="U731" i="20" s="1"/>
  <c r="S619" i="20"/>
  <c r="S618" i="20"/>
  <c r="S616" i="20" s="1"/>
  <c r="U283" i="20"/>
  <c r="R282" i="20"/>
  <c r="U282" i="20" s="1"/>
  <c r="N179" i="20"/>
  <c r="O178" i="20"/>
  <c r="L176" i="20"/>
  <c r="O176" i="20" s="1"/>
  <c r="L599" i="20"/>
  <c r="O599" i="20" s="1"/>
  <c r="J365" i="20"/>
  <c r="K365" i="20" s="1"/>
  <c r="K371" i="20"/>
  <c r="M163" i="20"/>
  <c r="P163" i="20" s="1"/>
  <c r="P165" i="20"/>
  <c r="M141" i="20"/>
  <c r="P141" i="20" s="1"/>
  <c r="M142" i="20"/>
  <c r="P142" i="20" s="1"/>
  <c r="P144" i="20"/>
  <c r="Q232" i="1"/>
  <c r="K781" i="18"/>
  <c r="L285" i="18"/>
  <c r="O285" i="18" s="1"/>
  <c r="O287" i="18"/>
  <c r="R645" i="20"/>
  <c r="U645" i="20" s="1"/>
  <c r="U647" i="20"/>
  <c r="K293" i="20"/>
  <c r="I280" i="20"/>
  <c r="K280" i="20" s="1"/>
  <c r="S222" i="1"/>
  <c r="J689" i="20"/>
  <c r="K689" i="20" s="1"/>
  <c r="K707" i="20"/>
  <c r="I138" i="20"/>
  <c r="K138" i="20" s="1"/>
  <c r="K153" i="20"/>
  <c r="Q188" i="17"/>
  <c r="T188" i="17" s="1"/>
  <c r="S188" i="19"/>
  <c r="S186" i="19" s="1"/>
  <c r="S189" i="19"/>
  <c r="U189" i="19" s="1"/>
  <c r="T762" i="20"/>
  <c r="Q513" i="20"/>
  <c r="T513" i="20" s="1"/>
  <c r="S268" i="20"/>
  <c r="S266" i="20" s="1"/>
  <c r="S269" i="20"/>
  <c r="U269" i="20" s="1"/>
  <c r="O271" i="20"/>
  <c r="L269" i="20"/>
  <c r="O269" i="20" s="1"/>
  <c r="L234" i="17"/>
  <c r="M728" i="20"/>
  <c r="P728" i="20" s="1"/>
  <c r="P729" i="20"/>
  <c r="S496" i="20"/>
  <c r="S495" i="20"/>
  <c r="S493" i="20" s="1"/>
  <c r="K440" i="20"/>
  <c r="I423" i="20"/>
  <c r="K423" i="20" s="1"/>
  <c r="N359" i="20"/>
  <c r="L285" i="20"/>
  <c r="O285" i="20" s="1"/>
  <c r="L284" i="20"/>
  <c r="O284" i="20" s="1"/>
  <c r="O287" i="20"/>
  <c r="O283" i="20"/>
  <c r="N46" i="20"/>
  <c r="N44" i="20" s="1"/>
  <c r="N47" i="20"/>
  <c r="O47" i="20" s="1"/>
  <c r="P49" i="18"/>
  <c r="K774" i="19"/>
  <c r="P521" i="19"/>
  <c r="M268" i="19"/>
  <c r="M266" i="19" s="1"/>
  <c r="R714" i="20"/>
  <c r="U714" i="20" s="1"/>
  <c r="R692" i="20"/>
  <c r="R690" i="20" s="1"/>
  <c r="N599" i="20"/>
  <c r="N576" i="20"/>
  <c r="O535" i="20"/>
  <c r="O518" i="20"/>
  <c r="S378" i="20"/>
  <c r="T378" i="20" s="1"/>
  <c r="K368" i="20"/>
  <c r="P364" i="20"/>
  <c r="S333" i="20"/>
  <c r="O308" i="20"/>
  <c r="M306" i="20"/>
  <c r="U271" i="20"/>
  <c r="I253" i="20"/>
  <c r="K253" i="20" s="1"/>
  <c r="L203" i="20"/>
  <c r="O203" i="20" s="1"/>
  <c r="S189" i="20"/>
  <c r="S159" i="20"/>
  <c r="S157" i="20" s="1"/>
  <c r="K152" i="20"/>
  <c r="Q142" i="20"/>
  <c r="T142" i="20" s="1"/>
  <c r="L123" i="20"/>
  <c r="O123" i="20" s="1"/>
  <c r="M119" i="20"/>
  <c r="M117" i="20" s="1"/>
  <c r="P117" i="20" s="1"/>
  <c r="S120" i="20"/>
  <c r="K109" i="20"/>
  <c r="P102" i="20"/>
  <c r="O64" i="20"/>
  <c r="O62" i="20"/>
  <c r="R44" i="20"/>
  <c r="U44" i="20" s="1"/>
  <c r="Q19" i="20"/>
  <c r="T19" i="20" s="1"/>
  <c r="R305" i="19"/>
  <c r="R303" i="19" s="1"/>
  <c r="P64" i="19"/>
  <c r="K779" i="20"/>
  <c r="S763" i="20"/>
  <c r="U763" i="20" s="1"/>
  <c r="K726" i="20"/>
  <c r="Q714" i="20"/>
  <c r="T714" i="20" s="1"/>
  <c r="J701" i="20"/>
  <c r="K701" i="20" s="1"/>
  <c r="N534" i="20"/>
  <c r="N515" i="20"/>
  <c r="N513" i="20" s="1"/>
  <c r="O364" i="20"/>
  <c r="J343" i="20"/>
  <c r="L326" i="20"/>
  <c r="O326" i="20" s="1"/>
  <c r="M309" i="20"/>
  <c r="P309" i="20" s="1"/>
  <c r="T271" i="20"/>
  <c r="P269" i="20"/>
  <c r="L214" i="20"/>
  <c r="O214" i="20" s="1"/>
  <c r="I213" i="20"/>
  <c r="K213" i="20" s="1"/>
  <c r="R159" i="20"/>
  <c r="U159" i="20" s="1"/>
  <c r="S139" i="20"/>
  <c r="K127" i="20"/>
  <c r="L119" i="20"/>
  <c r="O119" i="20" s="1"/>
  <c r="R120" i="20"/>
  <c r="M96" i="20"/>
  <c r="P96" i="20" s="1"/>
  <c r="S97" i="20"/>
  <c r="N74" i="20"/>
  <c r="N72" i="20" s="1"/>
  <c r="Q44" i="20"/>
  <c r="T44" i="20" s="1"/>
  <c r="N19" i="20"/>
  <c r="S762" i="19"/>
  <c r="S760" i="19" s="1"/>
  <c r="Q763" i="20"/>
  <c r="L616" i="20"/>
  <c r="O616" i="20" s="1"/>
  <c r="S513" i="20"/>
  <c r="K346" i="20"/>
  <c r="M335" i="20"/>
  <c r="M333" i="20" s="1"/>
  <c r="K330" i="20"/>
  <c r="L322" i="20"/>
  <c r="O322" i="20" s="1"/>
  <c r="L254" i="20"/>
  <c r="O254" i="20" s="1"/>
  <c r="L222" i="20"/>
  <c r="O222" i="20" s="1"/>
  <c r="L189" i="20"/>
  <c r="Q159" i="20"/>
  <c r="T159" i="20" s="1"/>
  <c r="Q139" i="20"/>
  <c r="T139" i="20" s="1"/>
  <c r="P62" i="20"/>
  <c r="T763" i="19"/>
  <c r="K783" i="20"/>
  <c r="T765" i="20"/>
  <c r="S760" i="20"/>
  <c r="L760" i="20"/>
  <c r="O760" i="20" s="1"/>
  <c r="O729" i="20"/>
  <c r="J675" i="20"/>
  <c r="S644" i="20"/>
  <c r="S642" i="20" s="1"/>
  <c r="Q599" i="20"/>
  <c r="T599" i="20" s="1"/>
  <c r="U498" i="20"/>
  <c r="R495" i="20"/>
  <c r="U495" i="20" s="1"/>
  <c r="R392" i="20"/>
  <c r="U392" i="20" s="1"/>
  <c r="N375" i="20"/>
  <c r="R303" i="20"/>
  <c r="R306" i="20"/>
  <c r="U306" i="20" s="1"/>
  <c r="N268" i="20"/>
  <c r="N266" i="20" s="1"/>
  <c r="R268" i="20"/>
  <c r="R266" i="20" s="1"/>
  <c r="N232" i="20"/>
  <c r="Q188" i="20"/>
  <c r="Q186" i="20" s="1"/>
  <c r="U144" i="20"/>
  <c r="O144" i="20"/>
  <c r="L120" i="20"/>
  <c r="O120" i="20" s="1"/>
  <c r="R117" i="20"/>
  <c r="U117" i="20" s="1"/>
  <c r="M97" i="20"/>
  <c r="P97" i="20" s="1"/>
  <c r="L74" i="20"/>
  <c r="Q75" i="20"/>
  <c r="T75" i="20" s="1"/>
  <c r="P49" i="20"/>
  <c r="T22" i="20"/>
  <c r="L19" i="20"/>
  <c r="K703" i="18"/>
  <c r="R730" i="19"/>
  <c r="U730" i="19" s="1"/>
  <c r="J674" i="19"/>
  <c r="L362" i="19"/>
  <c r="O362" i="19" s="1"/>
  <c r="O341" i="19"/>
  <c r="O287" i="19"/>
  <c r="S94" i="19"/>
  <c r="O77" i="19"/>
  <c r="N728" i="20"/>
  <c r="M599" i="20"/>
  <c r="P599" i="20" s="1"/>
  <c r="P577" i="20"/>
  <c r="T498" i="20"/>
  <c r="Q495" i="20"/>
  <c r="T495" i="20" s="1"/>
  <c r="L493" i="20"/>
  <c r="O493" i="20" s="1"/>
  <c r="R416" i="20"/>
  <c r="U416" i="20" s="1"/>
  <c r="S415" i="20"/>
  <c r="S413" i="20" s="1"/>
  <c r="M339" i="20"/>
  <c r="P339" i="20" s="1"/>
  <c r="P325" i="20"/>
  <c r="L323" i="20"/>
  <c r="O323" i="20" s="1"/>
  <c r="T308" i="20"/>
  <c r="Q306" i="20"/>
  <c r="T306" i="20" s="1"/>
  <c r="O274" i="20"/>
  <c r="M268" i="20"/>
  <c r="P268" i="20" s="1"/>
  <c r="Q268" i="20"/>
  <c r="L236" i="20"/>
  <c r="P181" i="20"/>
  <c r="S176" i="20"/>
  <c r="T144" i="20"/>
  <c r="L97" i="20"/>
  <c r="O97" i="20" s="1"/>
  <c r="N75" i="20"/>
  <c r="O75" i="20" s="1"/>
  <c r="O49" i="20"/>
  <c r="T414" i="20"/>
  <c r="O174" i="20"/>
  <c r="K785" i="19"/>
  <c r="O361" i="20"/>
  <c r="L359" i="20"/>
  <c r="T647" i="18"/>
  <c r="O361" i="18"/>
  <c r="I136" i="18"/>
  <c r="K136" i="18" s="1"/>
  <c r="Q75" i="18"/>
  <c r="S731" i="19"/>
  <c r="U731" i="19" s="1"/>
  <c r="K707" i="19"/>
  <c r="K631" i="19"/>
  <c r="R619" i="19"/>
  <c r="S269" i="19"/>
  <c r="U269" i="19" s="1"/>
  <c r="P194" i="19"/>
  <c r="M100" i="19"/>
  <c r="P100" i="19" s="1"/>
  <c r="P99" i="19"/>
  <c r="I92" i="19"/>
  <c r="K92" i="19" s="1"/>
  <c r="T77" i="19"/>
  <c r="P67" i="19"/>
  <c r="O49" i="19"/>
  <c r="O761" i="20"/>
  <c r="K727" i="20"/>
  <c r="U715" i="20"/>
  <c r="O715" i="20"/>
  <c r="M690" i="20"/>
  <c r="P690" i="20" s="1"/>
  <c r="M642" i="20"/>
  <c r="P642" i="20" s="1"/>
  <c r="N555" i="20"/>
  <c r="P521" i="20"/>
  <c r="M519" i="20"/>
  <c r="P519" i="20" s="1"/>
  <c r="M515" i="20"/>
  <c r="P515" i="20" s="1"/>
  <c r="Q416" i="20"/>
  <c r="T416" i="20" s="1"/>
  <c r="Q415" i="20"/>
  <c r="T415" i="20" s="1"/>
  <c r="T418" i="20"/>
  <c r="M413" i="20"/>
  <c r="P413" i="20" s="1"/>
  <c r="Q392" i="20"/>
  <c r="T392" i="20" s="1"/>
  <c r="S375" i="20"/>
  <c r="R356" i="20"/>
  <c r="U356" i="20" s="1"/>
  <c r="P334" i="20"/>
  <c r="T321" i="20"/>
  <c r="Q320" i="20"/>
  <c r="T320" i="20" s="1"/>
  <c r="L305" i="20"/>
  <c r="Q269" i="20"/>
  <c r="M192" i="20"/>
  <c r="P192" i="20" s="1"/>
  <c r="P194" i="20"/>
  <c r="P67" i="20"/>
  <c r="M65" i="20"/>
  <c r="P65" i="20" s="1"/>
  <c r="R618" i="20"/>
  <c r="U621" i="20"/>
  <c r="P361" i="20"/>
  <c r="M359" i="20"/>
  <c r="Q282" i="20"/>
  <c r="T282" i="20" s="1"/>
  <c r="T283" i="20"/>
  <c r="P49" i="19"/>
  <c r="M760" i="20"/>
  <c r="P760" i="20" s="1"/>
  <c r="Q730" i="20"/>
  <c r="L145" i="20"/>
  <c r="O145" i="20" s="1"/>
  <c r="O147" i="20"/>
  <c r="L269" i="19"/>
  <c r="O269" i="19" s="1"/>
  <c r="O194" i="19"/>
  <c r="S139" i="19"/>
  <c r="T120" i="19"/>
  <c r="U99" i="19"/>
  <c r="R96" i="19"/>
  <c r="U96" i="19" s="1"/>
  <c r="M78" i="19"/>
  <c r="P78" i="19" s="1"/>
  <c r="I758" i="20"/>
  <c r="K758" i="20" s="1"/>
  <c r="K772" i="20"/>
  <c r="R762" i="20"/>
  <c r="U762" i="20" s="1"/>
  <c r="Q760" i="20"/>
  <c r="T733" i="20"/>
  <c r="T715" i="20"/>
  <c r="Q692" i="20"/>
  <c r="T695" i="20"/>
  <c r="S692" i="20"/>
  <c r="L690" i="20"/>
  <c r="O690" i="20" s="1"/>
  <c r="O691" i="20"/>
  <c r="L642" i="20"/>
  <c r="O642" i="20" s="1"/>
  <c r="O643" i="20"/>
  <c r="K631" i="20"/>
  <c r="K626" i="20"/>
  <c r="R619" i="20"/>
  <c r="I615" i="20"/>
  <c r="K615" i="20" s="1"/>
  <c r="R599" i="20"/>
  <c r="U599" i="20" s="1"/>
  <c r="M555" i="20"/>
  <c r="P555" i="20" s="1"/>
  <c r="Q534" i="20"/>
  <c r="T534" i="20" s="1"/>
  <c r="O521" i="20"/>
  <c r="L519" i="20"/>
  <c r="O519" i="20" s="1"/>
  <c r="L515" i="20"/>
  <c r="P514" i="20"/>
  <c r="L413" i="20"/>
  <c r="O413" i="20" s="1"/>
  <c r="O414" i="20"/>
  <c r="U376" i="20"/>
  <c r="Q356" i="20"/>
  <c r="T356" i="20" s="1"/>
  <c r="T357" i="20"/>
  <c r="L243" i="20"/>
  <c r="L234" i="20"/>
  <c r="U178" i="20"/>
  <c r="R175" i="20"/>
  <c r="R176" i="20"/>
  <c r="U176" i="20" s="1"/>
  <c r="I83" i="20"/>
  <c r="K85" i="20"/>
  <c r="P19" i="20"/>
  <c r="R555" i="20"/>
  <c r="U555" i="20" s="1"/>
  <c r="U556" i="20"/>
  <c r="T304" i="20"/>
  <c r="S692" i="16"/>
  <c r="S690" i="16" s="1"/>
  <c r="S377" i="18"/>
  <c r="S375" i="18" s="1"/>
  <c r="K779" i="19"/>
  <c r="Q618" i="20"/>
  <c r="T621" i="20"/>
  <c r="K386" i="20"/>
  <c r="I374" i="20"/>
  <c r="K374" i="20" s="1"/>
  <c r="L375" i="20"/>
  <c r="O375" i="20" s="1"/>
  <c r="O376" i="20"/>
  <c r="U321" i="20"/>
  <c r="R320" i="20"/>
  <c r="U320" i="20" s="1"/>
  <c r="S186" i="20"/>
  <c r="U188" i="20"/>
  <c r="K220" i="18"/>
  <c r="J701" i="19"/>
  <c r="Q693" i="19"/>
  <c r="S495" i="19"/>
  <c r="S493" i="19" s="1"/>
  <c r="L233" i="19"/>
  <c r="S142" i="19"/>
  <c r="K109" i="19"/>
  <c r="L78" i="19"/>
  <c r="O78" i="19" s="1"/>
  <c r="P52" i="19"/>
  <c r="U765" i="20"/>
  <c r="P716" i="20"/>
  <c r="K703" i="20"/>
  <c r="U691" i="20"/>
  <c r="Q644" i="20"/>
  <c r="T647" i="20"/>
  <c r="R644" i="20"/>
  <c r="R642" i="20" s="1"/>
  <c r="U643" i="20"/>
  <c r="K630" i="20"/>
  <c r="Q619" i="20"/>
  <c r="N616" i="20"/>
  <c r="T600" i="20"/>
  <c r="Q576" i="20"/>
  <c r="T576" i="20" s="1"/>
  <c r="L555" i="20"/>
  <c r="O555" i="20" s="1"/>
  <c r="O556" i="20"/>
  <c r="R378" i="20"/>
  <c r="R377" i="20"/>
  <c r="U377" i="20" s="1"/>
  <c r="U380" i="20"/>
  <c r="L335" i="20"/>
  <c r="O338" i="20"/>
  <c r="Q333" i="20"/>
  <c r="T333" i="20" s="1"/>
  <c r="K292" i="20"/>
  <c r="M288" i="20"/>
  <c r="P288" i="20" s="1"/>
  <c r="P290" i="20"/>
  <c r="S282" i="20"/>
  <c r="P267" i="20"/>
  <c r="P187" i="20"/>
  <c r="Q176" i="20"/>
  <c r="T176" i="20" s="1"/>
  <c r="T178" i="20"/>
  <c r="Q175" i="20"/>
  <c r="T175" i="20" s="1"/>
  <c r="O19" i="20"/>
  <c r="M375" i="20"/>
  <c r="P375" i="20" s="1"/>
  <c r="P376" i="20"/>
  <c r="P328" i="20"/>
  <c r="M326" i="20"/>
  <c r="P326" i="20" s="1"/>
  <c r="N159" i="20"/>
  <c r="N157" i="20" s="1"/>
  <c r="N160" i="20"/>
  <c r="Q555" i="20"/>
  <c r="T555" i="20" s="1"/>
  <c r="T556" i="20"/>
  <c r="N413" i="20"/>
  <c r="N23" i="20"/>
  <c r="Q416" i="17"/>
  <c r="T416" i="17" s="1"/>
  <c r="L516" i="18"/>
  <c r="O516" i="18" s="1"/>
  <c r="N358" i="18"/>
  <c r="N356" i="18" s="1"/>
  <c r="K346" i="18"/>
  <c r="I138" i="18"/>
  <c r="K138" i="18" s="1"/>
  <c r="S97" i="18"/>
  <c r="I701" i="19"/>
  <c r="U498" i="19"/>
  <c r="R495" i="19"/>
  <c r="U495" i="19" s="1"/>
  <c r="U77" i="19"/>
  <c r="R75" i="19"/>
  <c r="U75" i="19" s="1"/>
  <c r="M616" i="20"/>
  <c r="P616" i="20" s="1"/>
  <c r="P617" i="20"/>
  <c r="P601" i="20"/>
  <c r="K505" i="20"/>
  <c r="J503" i="20"/>
  <c r="J492" i="20" s="1"/>
  <c r="R413" i="20"/>
  <c r="U413" i="20" s="1"/>
  <c r="U414" i="20"/>
  <c r="Q377" i="20"/>
  <c r="T380" i="20"/>
  <c r="M358" i="20"/>
  <c r="N322" i="20"/>
  <c r="N320" i="20" s="1"/>
  <c r="L309" i="20"/>
  <c r="O309" i="20" s="1"/>
  <c r="P556" i="20"/>
  <c r="T494" i="20"/>
  <c r="I456" i="20"/>
  <c r="K456" i="20" s="1"/>
  <c r="U418" i="20"/>
  <c r="P414" i="20"/>
  <c r="U357" i="20"/>
  <c r="O357" i="20"/>
  <c r="O341" i="20"/>
  <c r="U335" i="20"/>
  <c r="M322" i="20"/>
  <c r="U308" i="20"/>
  <c r="N284" i="20"/>
  <c r="N282" i="20" s="1"/>
  <c r="P162" i="20"/>
  <c r="M159" i="20"/>
  <c r="M160" i="20"/>
  <c r="K503" i="20"/>
  <c r="P338" i="20"/>
  <c r="N335" i="20"/>
  <c r="Q305" i="20"/>
  <c r="I242" i="20"/>
  <c r="K249" i="20"/>
  <c r="U187" i="20"/>
  <c r="R186" i="20"/>
  <c r="K183" i="20"/>
  <c r="M176" i="20"/>
  <c r="P176" i="20" s="1"/>
  <c r="P178" i="20"/>
  <c r="I168" i="20"/>
  <c r="K168" i="20" s="1"/>
  <c r="K167" i="20"/>
  <c r="I156" i="20"/>
  <c r="K156" i="20" s="1"/>
  <c r="O165" i="20"/>
  <c r="L159" i="20"/>
  <c r="U22" i="20"/>
  <c r="I332" i="20"/>
  <c r="K344" i="20"/>
  <c r="N189" i="20"/>
  <c r="P189" i="20" s="1"/>
  <c r="O191" i="20"/>
  <c r="K172" i="20"/>
  <c r="O181" i="20"/>
  <c r="L179" i="20"/>
  <c r="O179" i="20" s="1"/>
  <c r="I302" i="20"/>
  <c r="K302" i="20" s="1"/>
  <c r="I202" i="20"/>
  <c r="K202" i="20" s="1"/>
  <c r="R72" i="20"/>
  <c r="P60" i="20"/>
  <c r="R24" i="20"/>
  <c r="U24" i="20" s="1"/>
  <c r="U25" i="20"/>
  <c r="R19" i="20"/>
  <c r="P191" i="20"/>
  <c r="M188" i="20"/>
  <c r="L175" i="20"/>
  <c r="O162" i="20"/>
  <c r="L141" i="20"/>
  <c r="O141" i="20" s="1"/>
  <c r="P73" i="20"/>
  <c r="O67" i="20"/>
  <c r="L65" i="20"/>
  <c r="O65" i="20" s="1"/>
  <c r="L61" i="20"/>
  <c r="U191" i="20"/>
  <c r="L160" i="20"/>
  <c r="K154" i="20"/>
  <c r="U119" i="20"/>
  <c r="T99" i="20"/>
  <c r="Q97" i="20"/>
  <c r="T97" i="20" s="1"/>
  <c r="P52" i="20"/>
  <c r="M26" i="20"/>
  <c r="P26" i="20" s="1"/>
  <c r="M50" i="20"/>
  <c r="P50" i="20" s="1"/>
  <c r="P45" i="20"/>
  <c r="N26" i="20"/>
  <c r="N24" i="20" s="1"/>
  <c r="P25" i="20"/>
  <c r="O140" i="20"/>
  <c r="T122" i="20"/>
  <c r="Q120" i="20"/>
  <c r="Q94" i="20"/>
  <c r="T94" i="20" s="1"/>
  <c r="O52" i="20"/>
  <c r="L26" i="20"/>
  <c r="O26" i="20" s="1"/>
  <c r="L50" i="20"/>
  <c r="O50" i="20" s="1"/>
  <c r="L46" i="20"/>
  <c r="O25" i="20"/>
  <c r="P22" i="20"/>
  <c r="R141" i="20"/>
  <c r="U141" i="20" s="1"/>
  <c r="U140" i="20"/>
  <c r="Q119" i="20"/>
  <c r="T119" i="20" s="1"/>
  <c r="O22" i="20"/>
  <c r="U122" i="20"/>
  <c r="O122" i="20"/>
  <c r="U99" i="20"/>
  <c r="O99" i="20"/>
  <c r="K84" i="20"/>
  <c r="T77" i="20"/>
  <c r="S23" i="20"/>
  <c r="S20" i="20" s="1"/>
  <c r="S18" i="20" s="1"/>
  <c r="M23" i="20"/>
  <c r="M21" i="20" s="1"/>
  <c r="N119" i="20"/>
  <c r="N117" i="20" s="1"/>
  <c r="N96" i="20"/>
  <c r="N94" i="20" s="1"/>
  <c r="S74" i="20"/>
  <c r="T74" i="20" s="1"/>
  <c r="M74" i="20"/>
  <c r="M61" i="20"/>
  <c r="M46" i="20"/>
  <c r="R23" i="20"/>
  <c r="L23" i="20"/>
  <c r="L21" i="20" s="1"/>
  <c r="Q23" i="20"/>
  <c r="R555" i="19"/>
  <c r="U555" i="19" s="1"/>
  <c r="M335" i="19"/>
  <c r="M333" i="19" s="1"/>
  <c r="M336" i="19"/>
  <c r="P336" i="19" s="1"/>
  <c r="P338" i="19"/>
  <c r="L288" i="19"/>
  <c r="O288" i="19" s="1"/>
  <c r="L284" i="19"/>
  <c r="O284" i="19" s="1"/>
  <c r="O290" i="19"/>
  <c r="O165" i="19"/>
  <c r="L163" i="19"/>
  <c r="O163" i="19" s="1"/>
  <c r="O144" i="19"/>
  <c r="L141" i="19"/>
  <c r="O141" i="19" s="1"/>
  <c r="L142" i="19"/>
  <c r="O142" i="19" s="1"/>
  <c r="P95" i="19"/>
  <c r="S619" i="18"/>
  <c r="T619" i="18" s="1"/>
  <c r="M326" i="18"/>
  <c r="P326" i="18" s="1"/>
  <c r="I253" i="18"/>
  <c r="K253" i="18" s="1"/>
  <c r="I242" i="18"/>
  <c r="I238" i="18"/>
  <c r="K238" i="18" s="1"/>
  <c r="M100" i="18"/>
  <c r="P100" i="18" s="1"/>
  <c r="J675" i="19"/>
  <c r="L375" i="19"/>
  <c r="O375" i="19" s="1"/>
  <c r="K368" i="19"/>
  <c r="L335" i="19"/>
  <c r="L333" i="19" s="1"/>
  <c r="L336" i="19"/>
  <c r="O336" i="19" s="1"/>
  <c r="O334" i="19"/>
  <c r="K292" i="19"/>
  <c r="I281" i="19"/>
  <c r="K281" i="19" s="1"/>
  <c r="K249" i="19"/>
  <c r="I238" i="19"/>
  <c r="K238" i="19" s="1"/>
  <c r="I242" i="19"/>
  <c r="T60" i="19"/>
  <c r="Q59" i="19"/>
  <c r="T59" i="19" s="1"/>
  <c r="Q19" i="19"/>
  <c r="T19" i="19" s="1"/>
  <c r="P311" i="18"/>
  <c r="M288" i="18"/>
  <c r="P288" i="18" s="1"/>
  <c r="O274" i="18"/>
  <c r="I92" i="18"/>
  <c r="K92" i="18" s="1"/>
  <c r="K784" i="19"/>
  <c r="K781" i="19"/>
  <c r="K778" i="19"/>
  <c r="K772" i="19"/>
  <c r="K726" i="19"/>
  <c r="J702" i="19"/>
  <c r="I615" i="19"/>
  <c r="K632" i="19"/>
  <c r="K629" i="19"/>
  <c r="Q619" i="19"/>
  <c r="T621" i="19"/>
  <c r="O518" i="19"/>
  <c r="L516" i="19"/>
  <c r="O516" i="19" s="1"/>
  <c r="N392" i="19"/>
  <c r="K346" i="19"/>
  <c r="R282" i="19"/>
  <c r="U282" i="19" s="1"/>
  <c r="N268" i="19"/>
  <c r="N269" i="19"/>
  <c r="P269" i="19" s="1"/>
  <c r="L236" i="19"/>
  <c r="J231" i="19"/>
  <c r="J185" i="19" s="1"/>
  <c r="S159" i="19"/>
  <c r="S157" i="19" s="1"/>
  <c r="M120" i="19"/>
  <c r="P120" i="19" s="1"/>
  <c r="P122" i="19"/>
  <c r="Q44" i="19"/>
  <c r="T44" i="19" s="1"/>
  <c r="T45" i="19"/>
  <c r="L690" i="19"/>
  <c r="O690" i="19" s="1"/>
  <c r="M599" i="19"/>
  <c r="P599" i="19" s="1"/>
  <c r="P600" i="19"/>
  <c r="J503" i="19"/>
  <c r="J492" i="19" s="1"/>
  <c r="M392" i="19"/>
  <c r="P392" i="19" s="1"/>
  <c r="P393" i="19"/>
  <c r="R333" i="19"/>
  <c r="U333" i="19" s="1"/>
  <c r="R320" i="19"/>
  <c r="U320" i="19" s="1"/>
  <c r="K260" i="19"/>
  <c r="I253" i="19"/>
  <c r="K253" i="19" s="1"/>
  <c r="K229" i="19"/>
  <c r="I221" i="19"/>
  <c r="K221" i="19" s="1"/>
  <c r="P191" i="19"/>
  <c r="N189" i="19"/>
  <c r="O189" i="19" s="1"/>
  <c r="O162" i="19"/>
  <c r="L160" i="19"/>
  <c r="O160" i="19" s="1"/>
  <c r="M145" i="19"/>
  <c r="P145" i="19" s="1"/>
  <c r="P147" i="19"/>
  <c r="Q96" i="19"/>
  <c r="T96" i="19" s="1"/>
  <c r="Q97" i="19"/>
  <c r="T99" i="19"/>
  <c r="P325" i="18"/>
  <c r="P122" i="18"/>
  <c r="K780" i="19"/>
  <c r="S714" i="19"/>
  <c r="S599" i="19"/>
  <c r="M323" i="19"/>
  <c r="P323" i="19" s="1"/>
  <c r="P325" i="19"/>
  <c r="I265" i="19"/>
  <c r="K265" i="19" s="1"/>
  <c r="K276" i="19"/>
  <c r="M188" i="19"/>
  <c r="M186" i="19" s="1"/>
  <c r="M189" i="19"/>
  <c r="P189" i="19" s="1"/>
  <c r="M123" i="19"/>
  <c r="P123" i="19" s="1"/>
  <c r="P125" i="19"/>
  <c r="T498" i="15"/>
  <c r="S378" i="16"/>
  <c r="L222" i="18"/>
  <c r="O222" i="18" s="1"/>
  <c r="K198" i="18"/>
  <c r="K127" i="18"/>
  <c r="T733" i="19"/>
  <c r="Q730" i="19"/>
  <c r="T730" i="19" s="1"/>
  <c r="Q731" i="19"/>
  <c r="R714" i="19"/>
  <c r="U714" i="19" s="1"/>
  <c r="T535" i="19"/>
  <c r="Q534" i="19"/>
  <c r="T534" i="19" s="1"/>
  <c r="L358" i="19"/>
  <c r="L356" i="19" s="1"/>
  <c r="L359" i="19"/>
  <c r="L323" i="19"/>
  <c r="O323" i="19" s="1"/>
  <c r="O325" i="19"/>
  <c r="M309" i="19"/>
  <c r="P309" i="19" s="1"/>
  <c r="M288" i="19"/>
  <c r="P288" i="19" s="1"/>
  <c r="P290" i="19"/>
  <c r="M179" i="19"/>
  <c r="P179" i="19" s="1"/>
  <c r="P181" i="19"/>
  <c r="K153" i="19"/>
  <c r="L235" i="19"/>
  <c r="N19" i="19"/>
  <c r="U733" i="19"/>
  <c r="M728" i="19"/>
  <c r="P728" i="19" s="1"/>
  <c r="N714" i="19"/>
  <c r="Q599" i="19"/>
  <c r="T599" i="19" s="1"/>
  <c r="R599" i="19"/>
  <c r="U599" i="19" s="1"/>
  <c r="M534" i="19"/>
  <c r="P534" i="19" s="1"/>
  <c r="K371" i="19"/>
  <c r="Q305" i="19"/>
  <c r="Q303" i="19" s="1"/>
  <c r="M285" i="19"/>
  <c r="P285" i="19" s="1"/>
  <c r="M284" i="19"/>
  <c r="P284" i="19" s="1"/>
  <c r="L214" i="19"/>
  <c r="O214" i="19" s="1"/>
  <c r="K202" i="19"/>
  <c r="K198" i="19"/>
  <c r="K169" i="19"/>
  <c r="P144" i="19"/>
  <c r="M96" i="19"/>
  <c r="M94" i="19" s="1"/>
  <c r="S97" i="19"/>
  <c r="U97" i="19" s="1"/>
  <c r="L74" i="19"/>
  <c r="L72" i="19" s="1"/>
  <c r="Q75" i="19"/>
  <c r="T75" i="19" s="1"/>
  <c r="M19" i="19"/>
  <c r="S728" i="19"/>
  <c r="J458" i="19"/>
  <c r="J343" i="19"/>
  <c r="S266" i="19"/>
  <c r="L254" i="19"/>
  <c r="O254" i="19" s="1"/>
  <c r="L243" i="19"/>
  <c r="L222" i="19"/>
  <c r="O222" i="19" s="1"/>
  <c r="K220" i="19"/>
  <c r="P178" i="19"/>
  <c r="N159" i="19"/>
  <c r="N157" i="19" s="1"/>
  <c r="K154" i="19"/>
  <c r="N141" i="19"/>
  <c r="N139" i="19" s="1"/>
  <c r="L96" i="19"/>
  <c r="L94" i="19" s="1"/>
  <c r="L75" i="19"/>
  <c r="O75" i="19" s="1"/>
  <c r="S59" i="19"/>
  <c r="L47" i="19"/>
  <c r="O47" i="19" s="1"/>
  <c r="L19" i="19"/>
  <c r="T695" i="19"/>
  <c r="Q645" i="19"/>
  <c r="T645" i="19" s="1"/>
  <c r="Q644" i="19"/>
  <c r="T644" i="19" s="1"/>
  <c r="M642" i="19"/>
  <c r="P642" i="19" s="1"/>
  <c r="U618" i="19"/>
  <c r="N599" i="19"/>
  <c r="S555" i="19"/>
  <c r="L555" i="19"/>
  <c r="O555" i="19" s="1"/>
  <c r="S534" i="19"/>
  <c r="L493" i="19"/>
  <c r="O493" i="19" s="1"/>
  <c r="K365" i="19"/>
  <c r="I302" i="19"/>
  <c r="K302" i="19" s="1"/>
  <c r="O191" i="19"/>
  <c r="T144" i="19"/>
  <c r="M141" i="19"/>
  <c r="M139" i="19" s="1"/>
  <c r="P139" i="19" s="1"/>
  <c r="N119" i="19"/>
  <c r="N117" i="19" s="1"/>
  <c r="M97" i="19"/>
  <c r="O62" i="19"/>
  <c r="S44" i="19"/>
  <c r="S19" i="19"/>
  <c r="M272" i="17"/>
  <c r="P272" i="17" s="1"/>
  <c r="P274" i="17"/>
  <c r="K689" i="19"/>
  <c r="K386" i="19"/>
  <c r="I374" i="19"/>
  <c r="O67" i="16"/>
  <c r="L65" i="16"/>
  <c r="O65" i="16" s="1"/>
  <c r="N306" i="18"/>
  <c r="N305" i="18"/>
  <c r="N303" i="18" s="1"/>
  <c r="M272" i="18"/>
  <c r="P272" i="18" s="1"/>
  <c r="P274" i="18"/>
  <c r="R268" i="18"/>
  <c r="R266" i="18" s="1"/>
  <c r="U266" i="18" s="1"/>
  <c r="R269" i="18"/>
  <c r="M123" i="18"/>
  <c r="P123" i="18" s="1"/>
  <c r="P125" i="18"/>
  <c r="O102" i="18"/>
  <c r="L100" i="18"/>
  <c r="O100" i="18" s="1"/>
  <c r="L576" i="19"/>
  <c r="O576" i="19" s="1"/>
  <c r="O577" i="19"/>
  <c r="R619" i="18"/>
  <c r="U621" i="18"/>
  <c r="N515" i="18"/>
  <c r="N513" i="18" s="1"/>
  <c r="R378" i="18"/>
  <c r="U378" i="18" s="1"/>
  <c r="U380" i="18"/>
  <c r="O364" i="18"/>
  <c r="L362" i="18"/>
  <c r="O362" i="18" s="1"/>
  <c r="L309" i="18"/>
  <c r="O309" i="18" s="1"/>
  <c r="O311" i="18"/>
  <c r="R762" i="19"/>
  <c r="R763" i="19"/>
  <c r="U763" i="19" s="1"/>
  <c r="U765" i="19"/>
  <c r="Q690" i="19"/>
  <c r="U643" i="19"/>
  <c r="R576" i="19"/>
  <c r="U576" i="19" s="1"/>
  <c r="U577" i="19"/>
  <c r="R74" i="15"/>
  <c r="R72" i="15" s="1"/>
  <c r="R75" i="15"/>
  <c r="U75" i="15" s="1"/>
  <c r="M516" i="17"/>
  <c r="P516" i="17" s="1"/>
  <c r="P518" i="17"/>
  <c r="T729" i="19"/>
  <c r="L616" i="19"/>
  <c r="O616" i="19" s="1"/>
  <c r="O617" i="19"/>
  <c r="K626" i="17"/>
  <c r="K629" i="17"/>
  <c r="M284" i="18"/>
  <c r="P284" i="18" s="1"/>
  <c r="M285" i="18"/>
  <c r="P285" i="18" s="1"/>
  <c r="P287" i="18"/>
  <c r="Q175" i="18"/>
  <c r="T178" i="18"/>
  <c r="M714" i="19"/>
  <c r="P714" i="19" s="1"/>
  <c r="P715" i="19"/>
  <c r="S644" i="19"/>
  <c r="S642" i="19" s="1"/>
  <c r="S645" i="19"/>
  <c r="R616" i="19"/>
  <c r="U616" i="19" s="1"/>
  <c r="U617" i="19"/>
  <c r="Q555" i="19"/>
  <c r="T555" i="19" s="1"/>
  <c r="T557" i="19"/>
  <c r="R696" i="1"/>
  <c r="U696" i="1" s="1"/>
  <c r="P336" i="17"/>
  <c r="K503" i="18"/>
  <c r="K457" i="18"/>
  <c r="L236" i="18"/>
  <c r="O122" i="18"/>
  <c r="L120" i="18"/>
  <c r="O120" i="18" s="1"/>
  <c r="N642" i="19"/>
  <c r="Q618" i="19"/>
  <c r="R416" i="19"/>
  <c r="U416" i="19" s="1"/>
  <c r="R415" i="19"/>
  <c r="U415" i="19" s="1"/>
  <c r="U418" i="19"/>
  <c r="S378" i="19"/>
  <c r="T378" i="19" s="1"/>
  <c r="T380" i="19"/>
  <c r="S377" i="19"/>
  <c r="O328" i="19"/>
  <c r="L326" i="19"/>
  <c r="O326" i="19" s="1"/>
  <c r="L322" i="19"/>
  <c r="I280" i="19"/>
  <c r="K280" i="19" s="1"/>
  <c r="K293" i="19"/>
  <c r="Q189" i="19"/>
  <c r="T191" i="19"/>
  <c r="T158" i="19"/>
  <c r="N362" i="1"/>
  <c r="K386" i="17"/>
  <c r="J702" i="18"/>
  <c r="J374" i="18"/>
  <c r="L254" i="18"/>
  <c r="O254" i="18" s="1"/>
  <c r="R692" i="19"/>
  <c r="R690" i="19" s="1"/>
  <c r="U695" i="19"/>
  <c r="J615" i="19"/>
  <c r="L599" i="19"/>
  <c r="O599" i="19" s="1"/>
  <c r="Q576" i="19"/>
  <c r="T576" i="19" s="1"/>
  <c r="P535" i="19"/>
  <c r="Q415" i="19"/>
  <c r="T418" i="19"/>
  <c r="M413" i="19"/>
  <c r="P413" i="19" s="1"/>
  <c r="P414" i="19"/>
  <c r="R392" i="19"/>
  <c r="U392" i="19" s="1"/>
  <c r="L392" i="19"/>
  <c r="O392" i="19" s="1"/>
  <c r="R377" i="19"/>
  <c r="U380" i="19"/>
  <c r="R356" i="19"/>
  <c r="U356" i="19" s="1"/>
  <c r="U357" i="19"/>
  <c r="J332" i="19"/>
  <c r="Q188" i="19"/>
  <c r="U178" i="19"/>
  <c r="R175" i="19"/>
  <c r="U175" i="19" s="1"/>
  <c r="R176" i="19"/>
  <c r="U176" i="19" s="1"/>
  <c r="N160" i="19"/>
  <c r="N515" i="17"/>
  <c r="N513" i="17" s="1"/>
  <c r="K780" i="18"/>
  <c r="I374" i="18"/>
  <c r="K365" i="18"/>
  <c r="J343" i="18"/>
  <c r="N284" i="18"/>
  <c r="N282" i="18" s="1"/>
  <c r="S186" i="18"/>
  <c r="L760" i="19"/>
  <c r="O760" i="19" s="1"/>
  <c r="L728" i="19"/>
  <c r="O728" i="19" s="1"/>
  <c r="U715" i="19"/>
  <c r="Q714" i="19"/>
  <c r="T714" i="19" s="1"/>
  <c r="K703" i="19"/>
  <c r="S692" i="19"/>
  <c r="S690" i="19" s="1"/>
  <c r="U621" i="19"/>
  <c r="S619" i="19"/>
  <c r="O535" i="19"/>
  <c r="M516" i="19"/>
  <c r="P516" i="19" s="1"/>
  <c r="M515" i="19"/>
  <c r="Q513" i="19"/>
  <c r="T513" i="19" s="1"/>
  <c r="M493" i="19"/>
  <c r="P493" i="19" s="1"/>
  <c r="I492" i="19"/>
  <c r="K492" i="19" s="1"/>
  <c r="Q416" i="19"/>
  <c r="T416" i="19" s="1"/>
  <c r="L413" i="19"/>
  <c r="O413" i="19" s="1"/>
  <c r="O414" i="19"/>
  <c r="Q392" i="19"/>
  <c r="T392" i="19" s="1"/>
  <c r="J374" i="19"/>
  <c r="Q356" i="19"/>
  <c r="T356" i="19" s="1"/>
  <c r="T357" i="19"/>
  <c r="I332" i="19"/>
  <c r="K344" i="19"/>
  <c r="P341" i="19"/>
  <c r="M339" i="19"/>
  <c r="P339" i="19" s="1"/>
  <c r="N305" i="19"/>
  <c r="N303" i="19" s="1"/>
  <c r="P304" i="19"/>
  <c r="P274" i="19"/>
  <c r="M272" i="19"/>
  <c r="P272" i="19" s="1"/>
  <c r="O361" i="19"/>
  <c r="N359" i="19"/>
  <c r="Q333" i="19"/>
  <c r="T333" i="19" s="1"/>
  <c r="O274" i="19"/>
  <c r="L272" i="19"/>
  <c r="O272" i="19" s="1"/>
  <c r="U267" i="19"/>
  <c r="U174" i="19"/>
  <c r="S160" i="15"/>
  <c r="J374" i="16"/>
  <c r="K785" i="18"/>
  <c r="K388" i="18"/>
  <c r="L214" i="18"/>
  <c r="O214" i="18" s="1"/>
  <c r="M188" i="18"/>
  <c r="M186" i="18" s="1"/>
  <c r="S189" i="18"/>
  <c r="O125" i="18"/>
  <c r="L123" i="18"/>
  <c r="O123" i="18" s="1"/>
  <c r="Q762" i="19"/>
  <c r="T765" i="19"/>
  <c r="P729" i="19"/>
  <c r="L714" i="19"/>
  <c r="O714" i="19" s="1"/>
  <c r="S693" i="19"/>
  <c r="R644" i="19"/>
  <c r="U644" i="19" s="1"/>
  <c r="U647" i="19"/>
  <c r="K457" i="19"/>
  <c r="I456" i="19"/>
  <c r="K456" i="19" s="1"/>
  <c r="U414" i="19"/>
  <c r="M375" i="19"/>
  <c r="P375" i="19" s="1"/>
  <c r="P376" i="19"/>
  <c r="P361" i="19"/>
  <c r="M359" i="19"/>
  <c r="N358" i="19"/>
  <c r="I319" i="19"/>
  <c r="K319" i="19" s="1"/>
  <c r="L306" i="19"/>
  <c r="O306" i="19" s="1"/>
  <c r="L305" i="19"/>
  <c r="O305" i="19" s="1"/>
  <c r="O308" i="19"/>
  <c r="U271" i="19"/>
  <c r="R268" i="19"/>
  <c r="U268" i="19" s="1"/>
  <c r="T267" i="19"/>
  <c r="P308" i="19"/>
  <c r="M305" i="19"/>
  <c r="P305" i="19" s="1"/>
  <c r="O304" i="19"/>
  <c r="R203" i="1"/>
  <c r="L61" i="16"/>
  <c r="L59" i="16" s="1"/>
  <c r="N284" i="17"/>
  <c r="N282" i="17" s="1"/>
  <c r="P269" i="17"/>
  <c r="L222" i="17"/>
  <c r="O222" i="17" s="1"/>
  <c r="N46" i="17"/>
  <c r="N44" i="17" s="1"/>
  <c r="K784" i="18"/>
  <c r="K779" i="18"/>
  <c r="K705" i="18"/>
  <c r="J351" i="18"/>
  <c r="K293" i="18"/>
  <c r="P178" i="18"/>
  <c r="M760" i="19"/>
  <c r="P760" i="19" s="1"/>
  <c r="R693" i="19"/>
  <c r="U600" i="19"/>
  <c r="M576" i="19"/>
  <c r="P576" i="19" s="1"/>
  <c r="R534" i="19"/>
  <c r="U534" i="19" s="1"/>
  <c r="N515" i="19"/>
  <c r="N513" i="19" s="1"/>
  <c r="R513" i="19"/>
  <c r="U513" i="19" s="1"/>
  <c r="K505" i="19"/>
  <c r="T494" i="19"/>
  <c r="M358" i="19"/>
  <c r="O357" i="19"/>
  <c r="J351" i="19"/>
  <c r="P328" i="19"/>
  <c r="M326" i="19"/>
  <c r="P326" i="19" s="1"/>
  <c r="P321" i="19"/>
  <c r="U308" i="19"/>
  <c r="S305" i="19"/>
  <c r="S306" i="19"/>
  <c r="U304" i="19"/>
  <c r="N284" i="19"/>
  <c r="N282" i="19" s="1"/>
  <c r="N285" i="19"/>
  <c r="Q269" i="19"/>
  <c r="Q268" i="19"/>
  <c r="T268" i="19" s="1"/>
  <c r="T271" i="19"/>
  <c r="U187" i="19"/>
  <c r="L173" i="19"/>
  <c r="K127" i="19"/>
  <c r="I116" i="19"/>
  <c r="K116" i="19" s="1"/>
  <c r="O125" i="19"/>
  <c r="L123" i="19"/>
  <c r="O123" i="19" s="1"/>
  <c r="O49" i="18"/>
  <c r="T498" i="19"/>
  <c r="Q495" i="19"/>
  <c r="T495" i="19" s="1"/>
  <c r="U494" i="19"/>
  <c r="O494" i="19"/>
  <c r="I423" i="19"/>
  <c r="S415" i="19"/>
  <c r="S413" i="19" s="1"/>
  <c r="T393" i="19"/>
  <c r="O338" i="19"/>
  <c r="N322" i="19"/>
  <c r="N320" i="19" s="1"/>
  <c r="M322" i="19"/>
  <c r="P322" i="19" s="1"/>
  <c r="U283" i="19"/>
  <c r="Q282" i="19"/>
  <c r="T282" i="19" s="1"/>
  <c r="P271" i="19"/>
  <c r="L268" i="19"/>
  <c r="U191" i="19"/>
  <c r="N188" i="19"/>
  <c r="S175" i="19"/>
  <c r="S173" i="19" s="1"/>
  <c r="O19" i="19"/>
  <c r="N335" i="19"/>
  <c r="K209" i="19"/>
  <c r="L203" i="19"/>
  <c r="O203" i="19" s="1"/>
  <c r="L188" i="19"/>
  <c r="L186" i="19" s="1"/>
  <c r="L179" i="19"/>
  <c r="O179" i="19" s="1"/>
  <c r="N175" i="19"/>
  <c r="N176" i="19"/>
  <c r="P176" i="19" s="1"/>
  <c r="U118" i="19"/>
  <c r="I172" i="19"/>
  <c r="K172" i="19" s="1"/>
  <c r="K183" i="19"/>
  <c r="K213" i="19"/>
  <c r="R188" i="19"/>
  <c r="O178" i="19"/>
  <c r="L176" i="19"/>
  <c r="R59" i="19"/>
  <c r="U59" i="19" s="1"/>
  <c r="U60" i="19"/>
  <c r="O52" i="19"/>
  <c r="L26" i="19"/>
  <c r="O26" i="19" s="1"/>
  <c r="L50" i="19"/>
  <c r="O50" i="19" s="1"/>
  <c r="T22" i="19"/>
  <c r="M159" i="19"/>
  <c r="P159" i="19" s="1"/>
  <c r="N120" i="19"/>
  <c r="N97" i="19"/>
  <c r="I83" i="19"/>
  <c r="K85" i="19"/>
  <c r="O67" i="19"/>
  <c r="L65" i="19"/>
  <c r="O65" i="19" s="1"/>
  <c r="N26" i="19"/>
  <c r="N24" i="19" s="1"/>
  <c r="S23" i="19"/>
  <c r="S20" i="19" s="1"/>
  <c r="S18" i="19" s="1"/>
  <c r="P165" i="19"/>
  <c r="L159" i="19"/>
  <c r="O159" i="19" s="1"/>
  <c r="R142" i="19"/>
  <c r="U142" i="19" s="1"/>
  <c r="R141" i="19"/>
  <c r="T122" i="19"/>
  <c r="L120" i="19"/>
  <c r="O120" i="19" s="1"/>
  <c r="M119" i="19"/>
  <c r="P119" i="19" s="1"/>
  <c r="O102" i="19"/>
  <c r="P77" i="19"/>
  <c r="P73" i="19"/>
  <c r="O64" i="19"/>
  <c r="N46" i="19"/>
  <c r="N44" i="19" s="1"/>
  <c r="P45" i="19"/>
  <c r="M26" i="19"/>
  <c r="P26" i="19" s="1"/>
  <c r="O25" i="19"/>
  <c r="N23" i="19"/>
  <c r="P19" i="19"/>
  <c r="R160" i="19"/>
  <c r="U160" i="19" s="1"/>
  <c r="Q141" i="19"/>
  <c r="T141" i="19" s="1"/>
  <c r="L119" i="19"/>
  <c r="L97" i="19"/>
  <c r="N96" i="19"/>
  <c r="I82" i="19"/>
  <c r="N74" i="19"/>
  <c r="O73" i="19"/>
  <c r="P60" i="19"/>
  <c r="O45" i="19"/>
  <c r="S24" i="19"/>
  <c r="M23" i="19"/>
  <c r="O22" i="19"/>
  <c r="R159" i="19"/>
  <c r="U122" i="19"/>
  <c r="R120" i="19"/>
  <c r="U120" i="19" s="1"/>
  <c r="S119" i="19"/>
  <c r="S117" i="19" s="1"/>
  <c r="T118" i="19"/>
  <c r="N61" i="19"/>
  <c r="N59" i="19" s="1"/>
  <c r="O60" i="19"/>
  <c r="L46" i="19"/>
  <c r="R24" i="19"/>
  <c r="U24" i="19" s="1"/>
  <c r="U25" i="19"/>
  <c r="M175" i="19"/>
  <c r="P162" i="19"/>
  <c r="L145" i="19"/>
  <c r="O145" i="19" s="1"/>
  <c r="R119" i="19"/>
  <c r="Q74" i="19"/>
  <c r="Q23" i="19"/>
  <c r="R72" i="19"/>
  <c r="U73" i="19"/>
  <c r="L61" i="19"/>
  <c r="R44" i="19"/>
  <c r="U44" i="19" s="1"/>
  <c r="U45" i="19"/>
  <c r="Q24" i="19"/>
  <c r="T24" i="19" s="1"/>
  <c r="T25" i="19"/>
  <c r="U22" i="19"/>
  <c r="R19" i="19"/>
  <c r="S74" i="19"/>
  <c r="U74" i="19" s="1"/>
  <c r="M74" i="19"/>
  <c r="M72" i="19" s="1"/>
  <c r="M61" i="19"/>
  <c r="M59" i="19" s="1"/>
  <c r="M46" i="19"/>
  <c r="P25" i="19"/>
  <c r="R23" i="19"/>
  <c r="R21" i="19" s="1"/>
  <c r="L23" i="19"/>
  <c r="L21" i="19" s="1"/>
  <c r="P22" i="19"/>
  <c r="Q175" i="19"/>
  <c r="T175" i="19" s="1"/>
  <c r="Q159" i="19"/>
  <c r="T159" i="19" s="1"/>
  <c r="Q119" i="19"/>
  <c r="M75" i="19"/>
  <c r="P75" i="19" s="1"/>
  <c r="M62" i="19"/>
  <c r="P62" i="19" s="1"/>
  <c r="M47" i="19"/>
  <c r="P47" i="19" s="1"/>
  <c r="L306" i="17"/>
  <c r="O306" i="17" s="1"/>
  <c r="O308" i="17"/>
  <c r="L326" i="18"/>
  <c r="O326" i="18" s="1"/>
  <c r="O328" i="18"/>
  <c r="K785" i="17"/>
  <c r="K782" i="17"/>
  <c r="K779" i="17"/>
  <c r="K774" i="17"/>
  <c r="J701" i="17"/>
  <c r="U498" i="17"/>
  <c r="M362" i="17"/>
  <c r="P362" i="17" s="1"/>
  <c r="P364" i="17"/>
  <c r="K249" i="17"/>
  <c r="I242" i="17"/>
  <c r="K242" i="17" s="1"/>
  <c r="Q714" i="18"/>
  <c r="T714" i="18" s="1"/>
  <c r="R692" i="18"/>
  <c r="R690" i="18" s="1"/>
  <c r="R693" i="18"/>
  <c r="K626" i="18"/>
  <c r="R176" i="18"/>
  <c r="U176" i="18" s="1"/>
  <c r="U178" i="18"/>
  <c r="L163" i="18"/>
  <c r="O163" i="18" s="1"/>
  <c r="O165" i="18"/>
  <c r="K109" i="18"/>
  <c r="L74" i="18"/>
  <c r="L72" i="18" s="1"/>
  <c r="O77" i="18"/>
  <c r="L75" i="18"/>
  <c r="O75" i="18" s="1"/>
  <c r="Q24" i="18"/>
  <c r="T24" i="18" s="1"/>
  <c r="T25" i="18"/>
  <c r="M642" i="18"/>
  <c r="P642" i="18" s="1"/>
  <c r="P644" i="18"/>
  <c r="O521" i="18"/>
  <c r="L519" i="18"/>
  <c r="O519" i="18" s="1"/>
  <c r="R416" i="18"/>
  <c r="U416" i="18" s="1"/>
  <c r="U418" i="18"/>
  <c r="R415" i="18"/>
  <c r="U415" i="18" s="1"/>
  <c r="O75" i="15"/>
  <c r="J675" i="16"/>
  <c r="R74" i="17"/>
  <c r="R72" i="17" s="1"/>
  <c r="R75" i="17"/>
  <c r="U75" i="17" s="1"/>
  <c r="I615" i="18"/>
  <c r="K615" i="18" s="1"/>
  <c r="K629" i="18"/>
  <c r="P600" i="18"/>
  <c r="M599" i="18"/>
  <c r="P599" i="18" s="1"/>
  <c r="Q534" i="18"/>
  <c r="T534" i="18" s="1"/>
  <c r="T536" i="18"/>
  <c r="Q493" i="18"/>
  <c r="T493" i="18" s="1"/>
  <c r="T494" i="18"/>
  <c r="I423" i="18"/>
  <c r="I412" i="18" s="1"/>
  <c r="K412" i="18" s="1"/>
  <c r="K440" i="18"/>
  <c r="P393" i="18"/>
  <c r="M392" i="18"/>
  <c r="P392" i="18" s="1"/>
  <c r="Q320" i="18"/>
  <c r="T320" i="18" s="1"/>
  <c r="T321" i="18"/>
  <c r="L288" i="18"/>
  <c r="O288" i="18" s="1"/>
  <c r="O290" i="18"/>
  <c r="L268" i="18"/>
  <c r="O268" i="18" s="1"/>
  <c r="O271" i="18"/>
  <c r="L269" i="18"/>
  <c r="O269" i="18" s="1"/>
  <c r="L160" i="18"/>
  <c r="O160" i="18" s="1"/>
  <c r="O162" i="18"/>
  <c r="N141" i="18"/>
  <c r="N139" i="18" s="1"/>
  <c r="N142" i="18"/>
  <c r="K93" i="18"/>
  <c r="S75" i="18"/>
  <c r="T77" i="18"/>
  <c r="U695" i="18"/>
  <c r="S693" i="18"/>
  <c r="T693" i="18" s="1"/>
  <c r="S692" i="18"/>
  <c r="S690" i="18" s="1"/>
  <c r="M75" i="18"/>
  <c r="P75" i="18" s="1"/>
  <c r="P77" i="18"/>
  <c r="Q762" i="16"/>
  <c r="T762" i="16" s="1"/>
  <c r="K784" i="17"/>
  <c r="K781" i="17"/>
  <c r="K778" i="17"/>
  <c r="I423" i="17"/>
  <c r="K423" i="17" s="1"/>
  <c r="K630" i="18"/>
  <c r="N493" i="18"/>
  <c r="M359" i="18"/>
  <c r="P359" i="18" s="1"/>
  <c r="P361" i="18"/>
  <c r="U358" i="18"/>
  <c r="R356" i="18"/>
  <c r="U356" i="18" s="1"/>
  <c r="I281" i="18"/>
  <c r="K281" i="18" s="1"/>
  <c r="K292" i="18"/>
  <c r="K85" i="18"/>
  <c r="I83" i="18"/>
  <c r="I71" i="18" s="1"/>
  <c r="K71" i="18" s="1"/>
  <c r="R74" i="18"/>
  <c r="R72" i="18" s="1"/>
  <c r="U77" i="18"/>
  <c r="Q44" i="18"/>
  <c r="T44" i="18" s="1"/>
  <c r="T46" i="18"/>
  <c r="R693" i="17"/>
  <c r="L714" i="18"/>
  <c r="O714" i="18" s="1"/>
  <c r="O715" i="18"/>
  <c r="L690" i="18"/>
  <c r="O690" i="18" s="1"/>
  <c r="T643" i="18"/>
  <c r="T414" i="18"/>
  <c r="M413" i="18"/>
  <c r="P413" i="18" s="1"/>
  <c r="S392" i="18"/>
  <c r="J332" i="18"/>
  <c r="P338" i="18"/>
  <c r="M335" i="18"/>
  <c r="M333" i="18" s="1"/>
  <c r="L234" i="18"/>
  <c r="R160" i="18"/>
  <c r="U160" i="18" s="1"/>
  <c r="U162" i="18"/>
  <c r="Q119" i="18"/>
  <c r="Q117" i="18" s="1"/>
  <c r="Q120" i="18"/>
  <c r="T120" i="18" s="1"/>
  <c r="T122" i="18"/>
  <c r="N96" i="18"/>
  <c r="N94" i="18" s="1"/>
  <c r="N97" i="18"/>
  <c r="U60" i="18"/>
  <c r="R59" i="18"/>
  <c r="U59" i="18" s="1"/>
  <c r="L203" i="1"/>
  <c r="L284" i="17"/>
  <c r="O284" i="17" s="1"/>
  <c r="O287" i="17"/>
  <c r="K229" i="17"/>
  <c r="I221" i="17"/>
  <c r="K221" i="17" s="1"/>
  <c r="R763" i="18"/>
  <c r="U765" i="18"/>
  <c r="R762" i="18"/>
  <c r="R760" i="18" s="1"/>
  <c r="R333" i="18"/>
  <c r="U333" i="18" s="1"/>
  <c r="U334" i="18"/>
  <c r="O80" i="18"/>
  <c r="L78" i="18"/>
  <c r="O78" i="18" s="1"/>
  <c r="M62" i="18"/>
  <c r="P64" i="18"/>
  <c r="S141" i="16"/>
  <c r="S139" i="16" s="1"/>
  <c r="O125" i="16"/>
  <c r="K783" i="17"/>
  <c r="K780" i="17"/>
  <c r="K673" i="17"/>
  <c r="L519" i="17"/>
  <c r="O519" i="17" s="1"/>
  <c r="J374" i="17"/>
  <c r="L269" i="17"/>
  <c r="O269" i="17" s="1"/>
  <c r="O271" i="17"/>
  <c r="M160" i="17"/>
  <c r="P160" i="17" s="1"/>
  <c r="L145" i="17"/>
  <c r="O145" i="17" s="1"/>
  <c r="O147" i="17"/>
  <c r="S763" i="18"/>
  <c r="S762" i="18"/>
  <c r="S760" i="18" s="1"/>
  <c r="M760" i="18"/>
  <c r="P760" i="18" s="1"/>
  <c r="K689" i="18"/>
  <c r="M519" i="18"/>
  <c r="P519" i="18" s="1"/>
  <c r="P521" i="18"/>
  <c r="M515" i="18"/>
  <c r="P515" i="18" s="1"/>
  <c r="U514" i="18"/>
  <c r="R513" i="18"/>
  <c r="U513" i="18" s="1"/>
  <c r="S415" i="18"/>
  <c r="S413" i="18" s="1"/>
  <c r="S416" i="18"/>
  <c r="K344" i="18"/>
  <c r="I332" i="18"/>
  <c r="L176" i="18"/>
  <c r="O176" i="18" s="1"/>
  <c r="O178" i="18"/>
  <c r="Q159" i="18"/>
  <c r="T159" i="18" s="1"/>
  <c r="Q160" i="18"/>
  <c r="T160" i="18" s="1"/>
  <c r="T162" i="18"/>
  <c r="M96" i="18"/>
  <c r="P96" i="18" s="1"/>
  <c r="P99" i="18"/>
  <c r="M97" i="18"/>
  <c r="M78" i="18"/>
  <c r="P78" i="18" s="1"/>
  <c r="P80" i="18"/>
  <c r="N62" i="18"/>
  <c r="O62" i="18" s="1"/>
  <c r="O64" i="18"/>
  <c r="Q303" i="17"/>
  <c r="T303" i="17" s="1"/>
  <c r="R266" i="17"/>
  <c r="M96" i="17"/>
  <c r="P96" i="17" s="1"/>
  <c r="S97" i="17"/>
  <c r="Q72" i="17"/>
  <c r="T763" i="18"/>
  <c r="U730" i="18"/>
  <c r="K726" i="18"/>
  <c r="K707" i="18"/>
  <c r="J674" i="18"/>
  <c r="T621" i="18"/>
  <c r="U556" i="18"/>
  <c r="T380" i="18"/>
  <c r="Q378" i="18"/>
  <c r="T378" i="18" s="1"/>
  <c r="R377" i="18"/>
  <c r="M375" i="18"/>
  <c r="P375" i="18" s="1"/>
  <c r="M322" i="18"/>
  <c r="P322" i="18" s="1"/>
  <c r="I319" i="18"/>
  <c r="K319" i="18" s="1"/>
  <c r="R282" i="18"/>
  <c r="U282" i="18" s="1"/>
  <c r="K265" i="18"/>
  <c r="L233" i="18"/>
  <c r="K195" i="18"/>
  <c r="N188" i="18"/>
  <c r="N186" i="18" s="1"/>
  <c r="K169" i="18"/>
  <c r="P162" i="18"/>
  <c r="T144" i="18"/>
  <c r="U122" i="18"/>
  <c r="S94" i="18"/>
  <c r="L96" i="18"/>
  <c r="R97" i="18"/>
  <c r="I82" i="18"/>
  <c r="L61" i="18"/>
  <c r="L59" i="18" s="1"/>
  <c r="S44" i="18"/>
  <c r="R44" i="18"/>
  <c r="U44" i="18" s="1"/>
  <c r="Q19" i="18"/>
  <c r="T19" i="18" s="1"/>
  <c r="Q730" i="18"/>
  <c r="T730" i="18" s="1"/>
  <c r="L728" i="18"/>
  <c r="O728" i="18" s="1"/>
  <c r="Q692" i="18"/>
  <c r="Q690" i="18" s="1"/>
  <c r="Q644" i="18"/>
  <c r="T644" i="18" s="1"/>
  <c r="N642" i="18"/>
  <c r="M576" i="18"/>
  <c r="P576" i="18" s="1"/>
  <c r="Q415" i="18"/>
  <c r="T415" i="18" s="1"/>
  <c r="L375" i="18"/>
  <c r="O375" i="18" s="1"/>
  <c r="K371" i="18"/>
  <c r="K369" i="18"/>
  <c r="M339" i="18"/>
  <c r="P339" i="18" s="1"/>
  <c r="L322" i="18"/>
  <c r="O322" i="18" s="1"/>
  <c r="K314" i="18"/>
  <c r="M305" i="18"/>
  <c r="P305" i="18" s="1"/>
  <c r="S306" i="18"/>
  <c r="N19" i="18"/>
  <c r="S94" i="17"/>
  <c r="L78" i="17"/>
  <c r="O78" i="17" s="1"/>
  <c r="Q762" i="18"/>
  <c r="Q760" i="18" s="1"/>
  <c r="L760" i="18"/>
  <c r="O760" i="18" s="1"/>
  <c r="R731" i="18"/>
  <c r="J675" i="18"/>
  <c r="R645" i="18"/>
  <c r="U645" i="18" s="1"/>
  <c r="R618" i="18"/>
  <c r="R616" i="18" s="1"/>
  <c r="U616" i="18" s="1"/>
  <c r="J457" i="18"/>
  <c r="J456" i="18" s="1"/>
  <c r="Q375" i="18"/>
  <c r="K368" i="18"/>
  <c r="S320" i="18"/>
  <c r="M192" i="18"/>
  <c r="P192" i="18" s="1"/>
  <c r="N189" i="18"/>
  <c r="K116" i="18"/>
  <c r="R120" i="18"/>
  <c r="U120" i="18" s="1"/>
  <c r="S24" i="18"/>
  <c r="R173" i="17"/>
  <c r="U173" i="17" s="1"/>
  <c r="K778" i="18"/>
  <c r="T765" i="18"/>
  <c r="N760" i="18"/>
  <c r="R728" i="18"/>
  <c r="U728" i="18" s="1"/>
  <c r="M690" i="18"/>
  <c r="P690" i="18" s="1"/>
  <c r="K632" i="18"/>
  <c r="Q618" i="18"/>
  <c r="T618" i="18" s="1"/>
  <c r="L616" i="18"/>
  <c r="O616" i="18" s="1"/>
  <c r="L555" i="18"/>
  <c r="O555" i="18" s="1"/>
  <c r="Q496" i="18"/>
  <c r="T496" i="18" s="1"/>
  <c r="J458" i="18"/>
  <c r="T418" i="18"/>
  <c r="L413" i="18"/>
  <c r="O413" i="18" s="1"/>
  <c r="N392" i="18"/>
  <c r="R320" i="18"/>
  <c r="U320" i="18" s="1"/>
  <c r="M306" i="18"/>
  <c r="P306" i="18" s="1"/>
  <c r="U283" i="18"/>
  <c r="J231" i="18"/>
  <c r="J185" i="18" s="1"/>
  <c r="M189" i="18"/>
  <c r="Q176" i="18"/>
  <c r="T176" i="18" s="1"/>
  <c r="L119" i="18"/>
  <c r="O119" i="18" s="1"/>
  <c r="L97" i="18"/>
  <c r="O97" i="18" s="1"/>
  <c r="S59" i="18"/>
  <c r="Q303" i="18"/>
  <c r="T303" i="18" s="1"/>
  <c r="T305" i="18"/>
  <c r="K784" i="13"/>
  <c r="K781" i="13"/>
  <c r="K778" i="13"/>
  <c r="M119" i="15"/>
  <c r="P119" i="15" s="1"/>
  <c r="U144" i="16"/>
  <c r="S762" i="17"/>
  <c r="S760" i="17" s="1"/>
  <c r="Q496" i="17"/>
  <c r="T496" i="17" s="1"/>
  <c r="N358" i="17"/>
  <c r="N356" i="17" s="1"/>
  <c r="L326" i="17"/>
  <c r="O326" i="17" s="1"/>
  <c r="I280" i="17"/>
  <c r="K280" i="17" s="1"/>
  <c r="O274" i="17"/>
  <c r="P191" i="17"/>
  <c r="R189" i="17"/>
  <c r="P176" i="17"/>
  <c r="R176" i="17"/>
  <c r="U176" i="17" s="1"/>
  <c r="L123" i="17"/>
  <c r="O123" i="17" s="1"/>
  <c r="R120" i="17"/>
  <c r="P102" i="17"/>
  <c r="M97" i="17"/>
  <c r="P97" i="17" s="1"/>
  <c r="U77" i="17"/>
  <c r="K772" i="18"/>
  <c r="T761" i="18"/>
  <c r="U715" i="18"/>
  <c r="N714" i="18"/>
  <c r="M714" i="18"/>
  <c r="P714" i="18" s="1"/>
  <c r="T695" i="18"/>
  <c r="T691" i="18"/>
  <c r="R642" i="18"/>
  <c r="U642" i="18" s="1"/>
  <c r="R599" i="18"/>
  <c r="U599" i="18" s="1"/>
  <c r="U600" i="18"/>
  <c r="N576" i="18"/>
  <c r="L534" i="18"/>
  <c r="O534" i="18" s="1"/>
  <c r="O535" i="18"/>
  <c r="M269" i="18"/>
  <c r="P269" i="18" s="1"/>
  <c r="M268" i="18"/>
  <c r="P271" i="18"/>
  <c r="P73" i="18"/>
  <c r="R763" i="16"/>
  <c r="I701" i="16"/>
  <c r="K673" i="16"/>
  <c r="K709" i="17"/>
  <c r="K632" i="17"/>
  <c r="S616" i="17"/>
  <c r="R416" i="17"/>
  <c r="U416" i="17" s="1"/>
  <c r="O194" i="17"/>
  <c r="L175" i="17"/>
  <c r="L173" i="17" s="1"/>
  <c r="L119" i="17"/>
  <c r="L120" i="17"/>
  <c r="O120" i="17" s="1"/>
  <c r="O729" i="18"/>
  <c r="P692" i="18"/>
  <c r="S644" i="18"/>
  <c r="S642" i="18" s="1"/>
  <c r="R496" i="18"/>
  <c r="U496" i="18" s="1"/>
  <c r="R495" i="18"/>
  <c r="U498" i="18"/>
  <c r="M493" i="18"/>
  <c r="P493" i="18" s="1"/>
  <c r="P494" i="18"/>
  <c r="L392" i="18"/>
  <c r="O392" i="18" s="1"/>
  <c r="O393" i="18"/>
  <c r="Q356" i="18"/>
  <c r="T356" i="18" s="1"/>
  <c r="T357" i="18"/>
  <c r="O321" i="18"/>
  <c r="U271" i="18"/>
  <c r="S269" i="18"/>
  <c r="T269" i="18" s="1"/>
  <c r="T271" i="18"/>
  <c r="L235" i="18"/>
  <c r="L243" i="18"/>
  <c r="Q730" i="16"/>
  <c r="Q728" i="16" s="1"/>
  <c r="P308" i="17"/>
  <c r="M284" i="17"/>
  <c r="P284" i="17" s="1"/>
  <c r="M163" i="17"/>
  <c r="P163" i="17" s="1"/>
  <c r="P147" i="17"/>
  <c r="I83" i="17"/>
  <c r="K83" i="17" s="1"/>
  <c r="U729" i="18"/>
  <c r="N728" i="18"/>
  <c r="M728" i="18"/>
  <c r="P728" i="18" s="1"/>
  <c r="I701" i="18"/>
  <c r="U617" i="18"/>
  <c r="O617" i="18"/>
  <c r="N599" i="18"/>
  <c r="L576" i="18"/>
  <c r="O576" i="18" s="1"/>
  <c r="O577" i="18"/>
  <c r="Q555" i="18"/>
  <c r="T555" i="18" s="1"/>
  <c r="R534" i="18"/>
  <c r="U534" i="18" s="1"/>
  <c r="U535" i="18"/>
  <c r="P364" i="18"/>
  <c r="M362" i="18"/>
  <c r="P362" i="18" s="1"/>
  <c r="N336" i="18"/>
  <c r="O336" i="18" s="1"/>
  <c r="O338" i="18"/>
  <c r="N335" i="18"/>
  <c r="K230" i="18"/>
  <c r="Q513" i="18"/>
  <c r="T513" i="18" s="1"/>
  <c r="T514" i="18"/>
  <c r="U765" i="16"/>
  <c r="K676" i="17"/>
  <c r="K631" i="17"/>
  <c r="U418" i="17"/>
  <c r="S139" i="17"/>
  <c r="I759" i="18"/>
  <c r="K759" i="18" s="1"/>
  <c r="U733" i="18"/>
  <c r="P518" i="18"/>
  <c r="M516" i="18"/>
  <c r="P516" i="18" s="1"/>
  <c r="S513" i="18"/>
  <c r="R392" i="18"/>
  <c r="U392" i="18" s="1"/>
  <c r="U393" i="18"/>
  <c r="O308" i="18"/>
  <c r="L305" i="18"/>
  <c r="O305" i="18" s="1"/>
  <c r="P19" i="18"/>
  <c r="K661" i="17"/>
  <c r="K630" i="17"/>
  <c r="K503" i="17"/>
  <c r="I374" i="17"/>
  <c r="U380" i="17"/>
  <c r="K369" i="17"/>
  <c r="O311" i="17"/>
  <c r="L285" i="17"/>
  <c r="O285" i="17" s="1"/>
  <c r="K220" i="17"/>
  <c r="P178" i="17"/>
  <c r="K127" i="17"/>
  <c r="R117" i="17"/>
  <c r="U117" i="17" s="1"/>
  <c r="T733" i="18"/>
  <c r="S731" i="18"/>
  <c r="T731" i="18" s="1"/>
  <c r="L599" i="18"/>
  <c r="O599" i="18" s="1"/>
  <c r="O600" i="18"/>
  <c r="R576" i="18"/>
  <c r="U576" i="18" s="1"/>
  <c r="U577" i="18"/>
  <c r="N534" i="18"/>
  <c r="M358" i="18"/>
  <c r="R305" i="18"/>
  <c r="U305" i="18" s="1"/>
  <c r="U308" i="18"/>
  <c r="R306" i="18"/>
  <c r="U306" i="18" s="1"/>
  <c r="O144" i="18"/>
  <c r="L142" i="18"/>
  <c r="O142" i="18" s="1"/>
  <c r="L141" i="18"/>
  <c r="O141" i="18" s="1"/>
  <c r="N516" i="18"/>
  <c r="L515" i="18"/>
  <c r="J503" i="18"/>
  <c r="J492" i="18" s="1"/>
  <c r="K386" i="18"/>
  <c r="N362" i="18"/>
  <c r="L358" i="18"/>
  <c r="L339" i="18"/>
  <c r="O339" i="18" s="1"/>
  <c r="M336" i="18"/>
  <c r="L203" i="18"/>
  <c r="O203" i="18" s="1"/>
  <c r="O191" i="18"/>
  <c r="L189" i="18"/>
  <c r="N163" i="18"/>
  <c r="N26" i="18"/>
  <c r="N24" i="18" s="1"/>
  <c r="N160" i="18"/>
  <c r="N23" i="18"/>
  <c r="N21" i="18" s="1"/>
  <c r="O147" i="18"/>
  <c r="L145" i="18"/>
  <c r="O145" i="18" s="1"/>
  <c r="S142" i="18"/>
  <c r="S141" i="18"/>
  <c r="S139" i="18" s="1"/>
  <c r="S495" i="18"/>
  <c r="S493" i="18" s="1"/>
  <c r="O357" i="18"/>
  <c r="L335" i="18"/>
  <c r="O325" i="18"/>
  <c r="N322" i="18"/>
  <c r="N320" i="18" s="1"/>
  <c r="Q306" i="18"/>
  <c r="T306" i="18" s="1"/>
  <c r="N285" i="18"/>
  <c r="K276" i="18"/>
  <c r="N268" i="18"/>
  <c r="N266" i="18" s="1"/>
  <c r="O194" i="18"/>
  <c r="L192" i="18"/>
  <c r="O192" i="18" s="1"/>
  <c r="L179" i="18"/>
  <c r="O179" i="18" s="1"/>
  <c r="O181" i="18"/>
  <c r="O67" i="18"/>
  <c r="L65" i="18"/>
  <c r="O65" i="18" s="1"/>
  <c r="U191" i="18"/>
  <c r="R189" i="18"/>
  <c r="I172" i="18"/>
  <c r="K172" i="18" s="1"/>
  <c r="K183" i="18"/>
  <c r="U174" i="18"/>
  <c r="N120" i="18"/>
  <c r="N119" i="18"/>
  <c r="N117" i="18" s="1"/>
  <c r="O19" i="18"/>
  <c r="U22" i="18"/>
  <c r="U647" i="18"/>
  <c r="T498" i="18"/>
  <c r="T308" i="18"/>
  <c r="T267" i="18"/>
  <c r="T191" i="18"/>
  <c r="Q189" i="18"/>
  <c r="R188" i="18"/>
  <c r="U188" i="18" s="1"/>
  <c r="L46" i="18"/>
  <c r="S19" i="18"/>
  <c r="L359" i="18"/>
  <c r="O359" i="18" s="1"/>
  <c r="L284" i="18"/>
  <c r="O284" i="18" s="1"/>
  <c r="T188" i="18"/>
  <c r="Q186" i="18"/>
  <c r="P158" i="18"/>
  <c r="U96" i="18"/>
  <c r="R94" i="18"/>
  <c r="O52" i="18"/>
  <c r="L26" i="18"/>
  <c r="O26" i="18" s="1"/>
  <c r="L50" i="18"/>
  <c r="O50" i="18" s="1"/>
  <c r="R24" i="18"/>
  <c r="U24" i="18" s="1"/>
  <c r="U25" i="18"/>
  <c r="R19" i="18"/>
  <c r="K229" i="18"/>
  <c r="I202" i="18"/>
  <c r="K202" i="18" s="1"/>
  <c r="P191" i="18"/>
  <c r="O158" i="18"/>
  <c r="U144" i="18"/>
  <c r="R142" i="18"/>
  <c r="U142" i="18" s="1"/>
  <c r="R139" i="18"/>
  <c r="U139" i="18" s="1"/>
  <c r="P118" i="18"/>
  <c r="T99" i="18"/>
  <c r="Q97" i="18"/>
  <c r="O47" i="18"/>
  <c r="Q268" i="18"/>
  <c r="T268" i="18" s="1"/>
  <c r="T140" i="18"/>
  <c r="O118" i="18"/>
  <c r="P60" i="18"/>
  <c r="P45" i="18"/>
  <c r="P25" i="18"/>
  <c r="P174" i="18"/>
  <c r="U158" i="18"/>
  <c r="T96" i="18"/>
  <c r="Q94" i="18"/>
  <c r="Q72" i="18"/>
  <c r="O25" i="18"/>
  <c r="P22" i="18"/>
  <c r="P181" i="18"/>
  <c r="M179" i="18"/>
  <c r="P179" i="18" s="1"/>
  <c r="N175" i="18"/>
  <c r="N173" i="18" s="1"/>
  <c r="O174" i="18"/>
  <c r="P147" i="18"/>
  <c r="M145" i="18"/>
  <c r="P145" i="18" s="1"/>
  <c r="P144" i="18"/>
  <c r="M142" i="18"/>
  <c r="P142" i="18" s="1"/>
  <c r="M141" i="18"/>
  <c r="P141" i="18" s="1"/>
  <c r="R117" i="18"/>
  <c r="U118" i="18"/>
  <c r="P67" i="18"/>
  <c r="M65" i="18"/>
  <c r="P65" i="18" s="1"/>
  <c r="P52" i="18"/>
  <c r="M26" i="18"/>
  <c r="P26" i="18" s="1"/>
  <c r="M50" i="18"/>
  <c r="P50" i="18" s="1"/>
  <c r="P47" i="18"/>
  <c r="O22" i="18"/>
  <c r="S175" i="18"/>
  <c r="S173" i="18" s="1"/>
  <c r="M175" i="18"/>
  <c r="S159" i="18"/>
  <c r="S157" i="18" s="1"/>
  <c r="M159" i="18"/>
  <c r="P159" i="18" s="1"/>
  <c r="Q141" i="18"/>
  <c r="T141" i="18" s="1"/>
  <c r="U140" i="18"/>
  <c r="O140" i="18"/>
  <c r="S119" i="18"/>
  <c r="M119" i="18"/>
  <c r="P119" i="18" s="1"/>
  <c r="U99" i="18"/>
  <c r="O99" i="18"/>
  <c r="N74" i="18"/>
  <c r="N61" i="18"/>
  <c r="N46" i="18"/>
  <c r="N44" i="18" s="1"/>
  <c r="S23" i="18"/>
  <c r="S20" i="18" s="1"/>
  <c r="M23" i="18"/>
  <c r="R175" i="18"/>
  <c r="U175" i="18" s="1"/>
  <c r="L175" i="18"/>
  <c r="R159" i="18"/>
  <c r="U159" i="18" s="1"/>
  <c r="L159" i="18"/>
  <c r="O159" i="18" s="1"/>
  <c r="S74" i="18"/>
  <c r="T74" i="18" s="1"/>
  <c r="M74" i="18"/>
  <c r="M61" i="18"/>
  <c r="M46" i="18"/>
  <c r="M44" i="18" s="1"/>
  <c r="R23" i="18"/>
  <c r="R21" i="18" s="1"/>
  <c r="L23" i="18"/>
  <c r="L21" i="18" s="1"/>
  <c r="M176" i="18"/>
  <c r="P176" i="18" s="1"/>
  <c r="M163" i="18"/>
  <c r="P163" i="18" s="1"/>
  <c r="Q23" i="18"/>
  <c r="S232" i="1"/>
  <c r="U733" i="17"/>
  <c r="S731" i="17"/>
  <c r="T731" i="17" s="1"/>
  <c r="Q619" i="17"/>
  <c r="T621" i="17"/>
  <c r="L375" i="17"/>
  <c r="O375" i="17" s="1"/>
  <c r="P325" i="17"/>
  <c r="M322" i="17"/>
  <c r="P322" i="17" s="1"/>
  <c r="O191" i="17"/>
  <c r="L189" i="17"/>
  <c r="O189" i="17" s="1"/>
  <c r="I137" i="17"/>
  <c r="K137" i="17" s="1"/>
  <c r="K152" i="17"/>
  <c r="N61" i="17"/>
  <c r="N59" i="17" s="1"/>
  <c r="O64" i="17"/>
  <c r="N62" i="17"/>
  <c r="O62" i="17" s="1"/>
  <c r="K369" i="13"/>
  <c r="K365" i="14"/>
  <c r="K209" i="15"/>
  <c r="P518" i="16"/>
  <c r="L309" i="16"/>
  <c r="O309" i="16" s="1"/>
  <c r="S303" i="16"/>
  <c r="R731" i="17"/>
  <c r="R730" i="17"/>
  <c r="R728" i="17" s="1"/>
  <c r="M728" i="17"/>
  <c r="P728" i="17" s="1"/>
  <c r="Q692" i="17"/>
  <c r="T692" i="17" s="1"/>
  <c r="Q693" i="17"/>
  <c r="M358" i="17"/>
  <c r="M359" i="17"/>
  <c r="M326" i="17"/>
  <c r="P326" i="17" s="1"/>
  <c r="L322" i="17"/>
  <c r="O322" i="17" s="1"/>
  <c r="L323" i="17"/>
  <c r="O323" i="17" s="1"/>
  <c r="O325" i="17"/>
  <c r="L214" i="17"/>
  <c r="O214" i="17" s="1"/>
  <c r="N175" i="17"/>
  <c r="R96" i="17"/>
  <c r="U96" i="17" s="1"/>
  <c r="R97" i="17"/>
  <c r="U97" i="17" s="1"/>
  <c r="M62" i="17"/>
  <c r="P64" i="17"/>
  <c r="R303" i="16"/>
  <c r="U303" i="16" s="1"/>
  <c r="N326" i="17"/>
  <c r="N322" i="17"/>
  <c r="N320" i="17" s="1"/>
  <c r="N285" i="17"/>
  <c r="Q268" i="17"/>
  <c r="Q269" i="17"/>
  <c r="T269" i="17" s="1"/>
  <c r="O102" i="17"/>
  <c r="L100" i="17"/>
  <c r="O100" i="17" s="1"/>
  <c r="M78" i="17"/>
  <c r="P78" i="17" s="1"/>
  <c r="P80" i="17"/>
  <c r="O73" i="17"/>
  <c r="N60" i="1"/>
  <c r="P518" i="14"/>
  <c r="M305" i="16"/>
  <c r="M303" i="16" s="1"/>
  <c r="K707" i="17"/>
  <c r="I689" i="17"/>
  <c r="K689" i="17" s="1"/>
  <c r="U645" i="17"/>
  <c r="L534" i="17"/>
  <c r="O534" i="17" s="1"/>
  <c r="Q356" i="17"/>
  <c r="T356" i="17" s="1"/>
  <c r="J332" i="17"/>
  <c r="K332" i="17" s="1"/>
  <c r="Q141" i="17"/>
  <c r="Q142" i="17"/>
  <c r="T142" i="17" s="1"/>
  <c r="T144" i="17"/>
  <c r="U144" i="12"/>
  <c r="O518" i="14"/>
  <c r="S377" i="14"/>
  <c r="S375" i="14" s="1"/>
  <c r="S120" i="15"/>
  <c r="U695" i="16"/>
  <c r="L519" i="16"/>
  <c r="O519" i="16" s="1"/>
  <c r="L192" i="16"/>
  <c r="O192" i="16" s="1"/>
  <c r="L188" i="16"/>
  <c r="L186" i="16" s="1"/>
  <c r="T765" i="17"/>
  <c r="Q762" i="17"/>
  <c r="Q763" i="17"/>
  <c r="T763" i="17" s="1"/>
  <c r="Q714" i="17"/>
  <c r="T714" i="17" s="1"/>
  <c r="T715" i="17"/>
  <c r="M714" i="17"/>
  <c r="P714" i="17" s="1"/>
  <c r="Q642" i="17"/>
  <c r="T643" i="17"/>
  <c r="Q618" i="17"/>
  <c r="T618" i="17" s="1"/>
  <c r="P556" i="17"/>
  <c r="M555" i="17"/>
  <c r="P555" i="17" s="1"/>
  <c r="N493" i="17"/>
  <c r="O414" i="17"/>
  <c r="L413" i="17"/>
  <c r="O413" i="17" s="1"/>
  <c r="R303" i="17"/>
  <c r="U303" i="17" s="1"/>
  <c r="Q266" i="17"/>
  <c r="T267" i="17"/>
  <c r="I92" i="17"/>
  <c r="K92" i="17" s="1"/>
  <c r="N74" i="17"/>
  <c r="N72" i="17" s="1"/>
  <c r="O77" i="17"/>
  <c r="N75" i="17"/>
  <c r="O75" i="17" s="1"/>
  <c r="S59" i="17"/>
  <c r="K781" i="16"/>
  <c r="K629" i="16"/>
  <c r="K457" i="16"/>
  <c r="O325" i="16"/>
  <c r="K198" i="16"/>
  <c r="O692" i="17"/>
  <c r="L690" i="17"/>
  <c r="O690" i="17" s="1"/>
  <c r="M690" i="17"/>
  <c r="P690" i="17" s="1"/>
  <c r="P691" i="17"/>
  <c r="J674" i="17"/>
  <c r="K674" i="17" s="1"/>
  <c r="N642" i="17"/>
  <c r="R618" i="17"/>
  <c r="R616" i="17" s="1"/>
  <c r="R619" i="17"/>
  <c r="O556" i="17"/>
  <c r="L555" i="17"/>
  <c r="O555" i="17" s="1"/>
  <c r="O393" i="17"/>
  <c r="L392" i="17"/>
  <c r="O392" i="17" s="1"/>
  <c r="Q378" i="17"/>
  <c r="T378" i="17" s="1"/>
  <c r="Q377" i="17"/>
  <c r="S320" i="17"/>
  <c r="M75" i="17"/>
  <c r="P77" i="17"/>
  <c r="L47" i="17"/>
  <c r="O49" i="17"/>
  <c r="R44" i="17"/>
  <c r="U44" i="17" s="1"/>
  <c r="Q44" i="17"/>
  <c r="T44" i="17" s="1"/>
  <c r="P178" i="16"/>
  <c r="L760" i="17"/>
  <c r="O760" i="17" s="1"/>
  <c r="J702" i="17"/>
  <c r="S619" i="17"/>
  <c r="L576" i="17"/>
  <c r="O576" i="17" s="1"/>
  <c r="K457" i="17"/>
  <c r="R378" i="17"/>
  <c r="U378" i="17" s="1"/>
  <c r="S377" i="17"/>
  <c r="S375" i="17" s="1"/>
  <c r="K368" i="17"/>
  <c r="M335" i="17"/>
  <c r="U308" i="17"/>
  <c r="N305" i="17"/>
  <c r="N303" i="17" s="1"/>
  <c r="S282" i="17"/>
  <c r="N268" i="17"/>
  <c r="N266" i="17" s="1"/>
  <c r="U267" i="17"/>
  <c r="K209" i="17"/>
  <c r="L203" i="17"/>
  <c r="O203" i="17" s="1"/>
  <c r="L179" i="17"/>
  <c r="O179" i="17" s="1"/>
  <c r="I169" i="17"/>
  <c r="K169" i="17" s="1"/>
  <c r="L163" i="17"/>
  <c r="O163" i="17" s="1"/>
  <c r="M159" i="17"/>
  <c r="S160" i="17"/>
  <c r="U144" i="17"/>
  <c r="M141" i="17"/>
  <c r="M139" i="17" s="1"/>
  <c r="S142" i="17"/>
  <c r="P125" i="17"/>
  <c r="P99" i="17"/>
  <c r="L74" i="17"/>
  <c r="L72" i="17" s="1"/>
  <c r="Q75" i="17"/>
  <c r="T75" i="17" s="1"/>
  <c r="P49" i="17"/>
  <c r="N47" i="17"/>
  <c r="P47" i="17" s="1"/>
  <c r="U45" i="17"/>
  <c r="Q730" i="17"/>
  <c r="Q728" i="17" s="1"/>
  <c r="K727" i="17"/>
  <c r="R690" i="17"/>
  <c r="K654" i="17"/>
  <c r="R555" i="17"/>
  <c r="U555" i="17" s="1"/>
  <c r="R534" i="17"/>
  <c r="U534" i="17" s="1"/>
  <c r="Q513" i="17"/>
  <c r="T513" i="17" s="1"/>
  <c r="M333" i="17"/>
  <c r="U271" i="17"/>
  <c r="R269" i="17"/>
  <c r="U269" i="17" s="1"/>
  <c r="I265" i="17"/>
  <c r="K265" i="17" s="1"/>
  <c r="L236" i="17"/>
  <c r="K202" i="17"/>
  <c r="K198" i="17"/>
  <c r="K183" i="17"/>
  <c r="K167" i="17"/>
  <c r="L159" i="17"/>
  <c r="O159" i="17" s="1"/>
  <c r="R160" i="17"/>
  <c r="U160" i="17" s="1"/>
  <c r="K153" i="17"/>
  <c r="M119" i="17"/>
  <c r="P119" i="17" s="1"/>
  <c r="S120" i="17"/>
  <c r="K109" i="17"/>
  <c r="L714" i="17"/>
  <c r="O714" i="17" s="1"/>
  <c r="Q645" i="17"/>
  <c r="T645" i="17" s="1"/>
  <c r="Q392" i="17"/>
  <c r="T392" i="17" s="1"/>
  <c r="N359" i="17"/>
  <c r="O359" i="17" s="1"/>
  <c r="M339" i="17"/>
  <c r="P339" i="17" s="1"/>
  <c r="L305" i="17"/>
  <c r="R306" i="17"/>
  <c r="U306" i="17" s="1"/>
  <c r="L268" i="17"/>
  <c r="L235" i="17"/>
  <c r="K172" i="17"/>
  <c r="U763" i="17"/>
  <c r="O761" i="17"/>
  <c r="T733" i="17"/>
  <c r="L728" i="17"/>
  <c r="O728" i="17" s="1"/>
  <c r="L642" i="17"/>
  <c r="O642" i="17" s="1"/>
  <c r="P617" i="17"/>
  <c r="L599" i="17"/>
  <c r="O599" i="17" s="1"/>
  <c r="N555" i="17"/>
  <c r="N534" i="17"/>
  <c r="S496" i="17"/>
  <c r="R495" i="17"/>
  <c r="U495" i="17" s="1"/>
  <c r="N413" i="17"/>
  <c r="N375" i="17"/>
  <c r="S333" i="17"/>
  <c r="Q306" i="17"/>
  <c r="T306" i="17" s="1"/>
  <c r="I302" i="17"/>
  <c r="K302" i="17" s="1"/>
  <c r="Q282" i="17"/>
  <c r="T282" i="17" s="1"/>
  <c r="I241" i="17"/>
  <c r="K241" i="17" s="1"/>
  <c r="T203" i="17"/>
  <c r="N188" i="17"/>
  <c r="N186" i="17" s="1"/>
  <c r="L176" i="17"/>
  <c r="O176" i="17" s="1"/>
  <c r="K116" i="17"/>
  <c r="M120" i="17"/>
  <c r="P120" i="17" s="1"/>
  <c r="L96" i="17"/>
  <c r="O96" i="17" s="1"/>
  <c r="Q19" i="17"/>
  <c r="T19" i="17" s="1"/>
  <c r="L516" i="15"/>
  <c r="O516" i="15" s="1"/>
  <c r="U765" i="17"/>
  <c r="O600" i="17"/>
  <c r="P341" i="14"/>
  <c r="S619" i="16"/>
  <c r="U619" i="16" s="1"/>
  <c r="I137" i="16"/>
  <c r="K137" i="16" s="1"/>
  <c r="K152" i="16"/>
  <c r="U715" i="17"/>
  <c r="O715" i="17"/>
  <c r="K678" i="17"/>
  <c r="J675" i="17"/>
  <c r="K675" i="17" s="1"/>
  <c r="O535" i="17"/>
  <c r="Q493" i="17"/>
  <c r="T493" i="17" s="1"/>
  <c r="K371" i="17"/>
  <c r="I365" i="17"/>
  <c r="K365" i="17" s="1"/>
  <c r="P67" i="17"/>
  <c r="M65" i="17"/>
  <c r="P65" i="17" s="1"/>
  <c r="Q139" i="15"/>
  <c r="T139" i="15" s="1"/>
  <c r="L306" i="16"/>
  <c r="L305" i="16"/>
  <c r="L303" i="16" s="1"/>
  <c r="R268" i="16"/>
  <c r="R266" i="16" s="1"/>
  <c r="R269" i="16"/>
  <c r="U269" i="16" s="1"/>
  <c r="P761" i="17"/>
  <c r="P521" i="17"/>
  <c r="M515" i="17"/>
  <c r="P515" i="17" s="1"/>
  <c r="M179" i="17"/>
  <c r="P179" i="17" s="1"/>
  <c r="K369" i="15"/>
  <c r="K346" i="15"/>
  <c r="M188" i="15"/>
  <c r="M186" i="15" s="1"/>
  <c r="K153" i="15"/>
  <c r="L189" i="16"/>
  <c r="L119" i="16"/>
  <c r="O119" i="16" s="1"/>
  <c r="R762" i="17"/>
  <c r="K726" i="17"/>
  <c r="N714" i="17"/>
  <c r="R576" i="17"/>
  <c r="U576" i="17" s="1"/>
  <c r="U577" i="17"/>
  <c r="P536" i="17"/>
  <c r="M534" i="17"/>
  <c r="P534" i="17" s="1"/>
  <c r="O518" i="17"/>
  <c r="L515" i="17"/>
  <c r="R513" i="17"/>
  <c r="U513" i="17" s="1"/>
  <c r="R599" i="17"/>
  <c r="U599" i="17" s="1"/>
  <c r="U600" i="17"/>
  <c r="L234" i="14"/>
  <c r="K705" i="15"/>
  <c r="J675" i="15"/>
  <c r="S305" i="15"/>
  <c r="S303" i="15" s="1"/>
  <c r="N268" i="15"/>
  <c r="N266" i="15" s="1"/>
  <c r="L214" i="15"/>
  <c r="O214" i="15" s="1"/>
  <c r="K371" i="16"/>
  <c r="K346" i="16"/>
  <c r="I302" i="16"/>
  <c r="K302" i="16" s="1"/>
  <c r="K314" i="16"/>
  <c r="I202" i="16"/>
  <c r="K202" i="16" s="1"/>
  <c r="K209" i="16"/>
  <c r="I701" i="17"/>
  <c r="K705" i="17"/>
  <c r="S644" i="17"/>
  <c r="S642" i="17" s="1"/>
  <c r="L362" i="17"/>
  <c r="O362" i="17" s="1"/>
  <c r="L358" i="17"/>
  <c r="R496" i="16"/>
  <c r="U496" i="16" s="1"/>
  <c r="U498" i="16"/>
  <c r="O341" i="16"/>
  <c r="P75" i="12"/>
  <c r="P176" i="14"/>
  <c r="R763" i="15"/>
  <c r="U763" i="15" s="1"/>
  <c r="Q731" i="15"/>
  <c r="T731" i="15" s="1"/>
  <c r="S730" i="15"/>
  <c r="T730" i="15" s="1"/>
  <c r="P178" i="15"/>
  <c r="M362" i="16"/>
  <c r="P362" i="16" s="1"/>
  <c r="P364" i="16"/>
  <c r="I136" i="16"/>
  <c r="K136" i="16" s="1"/>
  <c r="K154" i="16"/>
  <c r="R74" i="16"/>
  <c r="U74" i="16" s="1"/>
  <c r="R75" i="16"/>
  <c r="U75" i="16" s="1"/>
  <c r="I758" i="17"/>
  <c r="K758" i="17" s="1"/>
  <c r="K772" i="17"/>
  <c r="N728" i="17"/>
  <c r="S693" i="17"/>
  <c r="U695" i="17"/>
  <c r="U692" i="17"/>
  <c r="S690" i="17"/>
  <c r="O577" i="17"/>
  <c r="M493" i="17"/>
  <c r="P493" i="17" s="1"/>
  <c r="P494" i="17"/>
  <c r="I238" i="17"/>
  <c r="K238" i="17" s="1"/>
  <c r="I253" i="17"/>
  <c r="K253" i="17" s="1"/>
  <c r="K260" i="17"/>
  <c r="K230" i="17"/>
  <c r="K785" i="16"/>
  <c r="K779" i="16"/>
  <c r="R416" i="16"/>
  <c r="U416" i="16" s="1"/>
  <c r="N322" i="16"/>
  <c r="N320" i="16" s="1"/>
  <c r="S730" i="17"/>
  <c r="N599" i="17"/>
  <c r="Q576" i="17"/>
  <c r="T576" i="17" s="1"/>
  <c r="T577" i="17"/>
  <c r="R413" i="17"/>
  <c r="U413" i="17" s="1"/>
  <c r="O376" i="17"/>
  <c r="P357" i="17"/>
  <c r="K784" i="16"/>
  <c r="U762" i="16"/>
  <c r="L335" i="16"/>
  <c r="L333" i="16" s="1"/>
  <c r="I83" i="16"/>
  <c r="I71" i="16" s="1"/>
  <c r="K71" i="16" s="1"/>
  <c r="P80" i="16"/>
  <c r="M642" i="17"/>
  <c r="P642" i="17" s="1"/>
  <c r="P643" i="17"/>
  <c r="Q534" i="17"/>
  <c r="T534" i="17" s="1"/>
  <c r="T535" i="17"/>
  <c r="J503" i="17"/>
  <c r="J492" i="17" s="1"/>
  <c r="P377" i="17"/>
  <c r="M375" i="17"/>
  <c r="P375" i="17" s="1"/>
  <c r="L335" i="17"/>
  <c r="L333" i="17" s="1"/>
  <c r="K251" i="17"/>
  <c r="I240" i="17"/>
  <c r="K240" i="17" s="1"/>
  <c r="L243" i="17"/>
  <c r="L233" i="17"/>
  <c r="S763" i="16"/>
  <c r="T763" i="16" s="1"/>
  <c r="M160" i="16"/>
  <c r="P160" i="16" s="1"/>
  <c r="R644" i="17"/>
  <c r="U647" i="17"/>
  <c r="Q599" i="17"/>
  <c r="T599" i="17" s="1"/>
  <c r="T600" i="17"/>
  <c r="Q555" i="17"/>
  <c r="T555" i="17" s="1"/>
  <c r="S493" i="17"/>
  <c r="P338" i="17"/>
  <c r="O338" i="17"/>
  <c r="N335" i="17"/>
  <c r="N333" i="17" s="1"/>
  <c r="S189" i="17"/>
  <c r="T189" i="17" s="1"/>
  <c r="U191" i="17"/>
  <c r="M188" i="17"/>
  <c r="M189" i="17"/>
  <c r="P189" i="17" s="1"/>
  <c r="P73" i="17"/>
  <c r="O64" i="15"/>
  <c r="K783" i="16"/>
  <c r="I758" i="16"/>
  <c r="K758" i="16" s="1"/>
  <c r="J702" i="16"/>
  <c r="M358" i="16"/>
  <c r="M356" i="16" s="1"/>
  <c r="P338" i="16"/>
  <c r="P271" i="16"/>
  <c r="S189" i="16"/>
  <c r="O165" i="16"/>
  <c r="T162" i="16"/>
  <c r="Q159" i="16"/>
  <c r="T159" i="16" s="1"/>
  <c r="O147" i="16"/>
  <c r="U99" i="16"/>
  <c r="I93" i="16"/>
  <c r="K93" i="16" s="1"/>
  <c r="P77" i="16"/>
  <c r="T695" i="17"/>
  <c r="M576" i="17"/>
  <c r="P576" i="17" s="1"/>
  <c r="U535" i="17"/>
  <c r="T514" i="17"/>
  <c r="O341" i="17"/>
  <c r="R333" i="17"/>
  <c r="U333" i="17" s="1"/>
  <c r="U334" i="17"/>
  <c r="J231" i="17"/>
  <c r="J185" i="17" s="1"/>
  <c r="K154" i="17"/>
  <c r="I136" i="17"/>
  <c r="K136" i="17" s="1"/>
  <c r="N145" i="17"/>
  <c r="N26" i="17"/>
  <c r="N24" i="17" s="1"/>
  <c r="I615" i="17"/>
  <c r="K615" i="17" s="1"/>
  <c r="T498" i="17"/>
  <c r="U494" i="17"/>
  <c r="O494" i="17"/>
  <c r="Q413" i="17"/>
  <c r="T413" i="17" s="1"/>
  <c r="T380" i="17"/>
  <c r="K346" i="17"/>
  <c r="T304" i="17"/>
  <c r="P304" i="17"/>
  <c r="P271" i="17"/>
  <c r="T122" i="17"/>
  <c r="Q120" i="17"/>
  <c r="Q119" i="17"/>
  <c r="T119" i="17" s="1"/>
  <c r="I82" i="17"/>
  <c r="P60" i="17"/>
  <c r="P45" i="17"/>
  <c r="U22" i="17"/>
  <c r="T647" i="17"/>
  <c r="U621" i="17"/>
  <c r="S415" i="17"/>
  <c r="S413" i="17" s="1"/>
  <c r="M392" i="17"/>
  <c r="P392" i="17" s="1"/>
  <c r="P393" i="17"/>
  <c r="J343" i="17"/>
  <c r="O336" i="17"/>
  <c r="P334" i="17"/>
  <c r="U321" i="17"/>
  <c r="P311" i="17"/>
  <c r="S305" i="17"/>
  <c r="S303" i="17" s="1"/>
  <c r="P290" i="17"/>
  <c r="P287" i="17"/>
  <c r="P283" i="17"/>
  <c r="M268" i="17"/>
  <c r="T191" i="17"/>
  <c r="Q176" i="17"/>
  <c r="T176" i="17" s="1"/>
  <c r="Q175" i="17"/>
  <c r="T175" i="17" s="1"/>
  <c r="N160" i="17"/>
  <c r="N159" i="17"/>
  <c r="N157" i="17" s="1"/>
  <c r="P52" i="17"/>
  <c r="M26" i="17"/>
  <c r="P26" i="17" s="1"/>
  <c r="M50" i="17"/>
  <c r="P50" i="17" s="1"/>
  <c r="R24" i="17"/>
  <c r="U24" i="17" s="1"/>
  <c r="U25" i="17"/>
  <c r="S392" i="17"/>
  <c r="R375" i="17"/>
  <c r="R356" i="17"/>
  <c r="U356" i="17" s="1"/>
  <c r="P267" i="17"/>
  <c r="L254" i="17"/>
  <c r="O254" i="17" s="1"/>
  <c r="O187" i="17"/>
  <c r="Q94" i="17"/>
  <c r="T94" i="17" s="1"/>
  <c r="P19" i="17"/>
  <c r="U19" i="17"/>
  <c r="M413" i="17"/>
  <c r="P413" i="17" s="1"/>
  <c r="T376" i="17"/>
  <c r="O361" i="17"/>
  <c r="O334" i="17"/>
  <c r="M323" i="17"/>
  <c r="P323" i="17" s="1"/>
  <c r="Q320" i="17"/>
  <c r="T320" i="17" s="1"/>
  <c r="T321" i="17"/>
  <c r="M305" i="17"/>
  <c r="P305" i="17" s="1"/>
  <c r="L288" i="17"/>
  <c r="O288" i="17" s="1"/>
  <c r="I281" i="17"/>
  <c r="K281" i="17" s="1"/>
  <c r="S268" i="17"/>
  <c r="U268" i="17" s="1"/>
  <c r="K213" i="17"/>
  <c r="M175" i="17"/>
  <c r="P144" i="17"/>
  <c r="N142" i="17"/>
  <c r="P142" i="17" s="1"/>
  <c r="N141" i="17"/>
  <c r="N139" i="17" s="1"/>
  <c r="N23" i="17"/>
  <c r="O144" i="17"/>
  <c r="O140" i="17"/>
  <c r="P25" i="17"/>
  <c r="O19" i="17"/>
  <c r="T418" i="17"/>
  <c r="P361" i="17"/>
  <c r="K344" i="17"/>
  <c r="T308" i="17"/>
  <c r="T271" i="17"/>
  <c r="P194" i="17"/>
  <c r="T162" i="17"/>
  <c r="Q159" i="17"/>
  <c r="T159" i="17" s="1"/>
  <c r="U140" i="17"/>
  <c r="U119" i="17"/>
  <c r="T99" i="17"/>
  <c r="Q97" i="17"/>
  <c r="T97" i="17" s="1"/>
  <c r="O67" i="17"/>
  <c r="L65" i="17"/>
  <c r="O65" i="17" s="1"/>
  <c r="L61" i="17"/>
  <c r="U188" i="17"/>
  <c r="L188" i="17"/>
  <c r="L186" i="17" s="1"/>
  <c r="R186" i="17"/>
  <c r="U186" i="17" s="1"/>
  <c r="S176" i="17"/>
  <c r="R157" i="17"/>
  <c r="U157" i="17" s="1"/>
  <c r="O52" i="17"/>
  <c r="L26" i="17"/>
  <c r="O26" i="17" s="1"/>
  <c r="L50" i="17"/>
  <c r="O50" i="17" s="1"/>
  <c r="L46" i="17"/>
  <c r="O25" i="17"/>
  <c r="P22" i="17"/>
  <c r="P140" i="17"/>
  <c r="O22" i="17"/>
  <c r="U178" i="17"/>
  <c r="O178" i="17"/>
  <c r="I168" i="17"/>
  <c r="K168" i="17" s="1"/>
  <c r="U162" i="17"/>
  <c r="O162" i="17"/>
  <c r="U122" i="17"/>
  <c r="O122" i="17"/>
  <c r="U99" i="17"/>
  <c r="O99" i="17"/>
  <c r="K84" i="17"/>
  <c r="T77" i="17"/>
  <c r="S23" i="17"/>
  <c r="S20" i="17" s="1"/>
  <c r="S18" i="17" s="1"/>
  <c r="M23" i="17"/>
  <c r="M21" i="17" s="1"/>
  <c r="R141" i="17"/>
  <c r="U141" i="17" s="1"/>
  <c r="L141" i="17"/>
  <c r="N119" i="17"/>
  <c r="N117" i="17" s="1"/>
  <c r="N96" i="17"/>
  <c r="N94" i="17" s="1"/>
  <c r="S74" i="17"/>
  <c r="M74" i="17"/>
  <c r="M61" i="17"/>
  <c r="M46" i="17"/>
  <c r="R23" i="17"/>
  <c r="R21" i="17" s="1"/>
  <c r="L23" i="17"/>
  <c r="Q23" i="17"/>
  <c r="S416" i="15"/>
  <c r="S415" i="15"/>
  <c r="S413" i="15" s="1"/>
  <c r="M760" i="16"/>
  <c r="P760" i="16" s="1"/>
  <c r="P761" i="16"/>
  <c r="I213" i="16"/>
  <c r="K213" i="16" s="1"/>
  <c r="K220" i="16"/>
  <c r="R188" i="16"/>
  <c r="R186" i="16" s="1"/>
  <c r="R189" i="16"/>
  <c r="U191" i="16"/>
  <c r="R160" i="16"/>
  <c r="U160" i="16" s="1"/>
  <c r="U162" i="16"/>
  <c r="R159" i="16"/>
  <c r="U159" i="16" s="1"/>
  <c r="M145" i="16"/>
  <c r="P145" i="16" s="1"/>
  <c r="P147" i="16"/>
  <c r="R59" i="16"/>
  <c r="U59" i="16" s="1"/>
  <c r="R19" i="16"/>
  <c r="U22" i="16"/>
  <c r="K440" i="15"/>
  <c r="I423" i="15"/>
  <c r="I412" i="15" s="1"/>
  <c r="K412" i="15" s="1"/>
  <c r="I240" i="15"/>
  <c r="K240" i="15" s="1"/>
  <c r="K251" i="15"/>
  <c r="Q513" i="16"/>
  <c r="T513" i="16" s="1"/>
  <c r="T514" i="16"/>
  <c r="I456" i="15"/>
  <c r="K456" i="15" s="1"/>
  <c r="K457" i="15"/>
  <c r="K632" i="16"/>
  <c r="J626" i="16"/>
  <c r="J615" i="16" s="1"/>
  <c r="K615" i="16" s="1"/>
  <c r="M392" i="16"/>
  <c r="P392" i="16" s="1"/>
  <c r="P393" i="16"/>
  <c r="L100" i="16"/>
  <c r="O100" i="16" s="1"/>
  <c r="O102" i="16"/>
  <c r="N62" i="16"/>
  <c r="P62" i="16" s="1"/>
  <c r="P64" i="16"/>
  <c r="M599" i="16"/>
  <c r="P599" i="16" s="1"/>
  <c r="T380" i="16"/>
  <c r="Q378" i="16"/>
  <c r="I156" i="16"/>
  <c r="K156" i="16" s="1"/>
  <c r="K169" i="16"/>
  <c r="O95" i="16"/>
  <c r="S619" i="13"/>
  <c r="U619" i="13" s="1"/>
  <c r="L515" i="16"/>
  <c r="O515" i="16" s="1"/>
  <c r="L516" i="16"/>
  <c r="O516" i="16" s="1"/>
  <c r="T26" i="16"/>
  <c r="Q24" i="16"/>
  <c r="T24" i="16" s="1"/>
  <c r="L192" i="13"/>
  <c r="O192" i="13" s="1"/>
  <c r="L714" i="16"/>
  <c r="O714" i="16" s="1"/>
  <c r="O715" i="16"/>
  <c r="S645" i="16"/>
  <c r="U645" i="16" s="1"/>
  <c r="S644" i="16"/>
  <c r="S642" i="16" s="1"/>
  <c r="R513" i="16"/>
  <c r="U513" i="16" s="1"/>
  <c r="L142" i="16"/>
  <c r="O142" i="16" s="1"/>
  <c r="L141" i="16"/>
  <c r="O141" i="16" s="1"/>
  <c r="L50" i="16"/>
  <c r="O50" i="16" s="1"/>
  <c r="O52" i="16"/>
  <c r="K709" i="14"/>
  <c r="K292" i="14"/>
  <c r="R730" i="15"/>
  <c r="Q728" i="15"/>
  <c r="Q235" i="15"/>
  <c r="M159" i="15"/>
  <c r="M157" i="15" s="1"/>
  <c r="R97" i="15"/>
  <c r="U97" i="15" s="1"/>
  <c r="K782" i="16"/>
  <c r="T765" i="16"/>
  <c r="R760" i="16"/>
  <c r="L760" i="16"/>
  <c r="O760" i="16" s="1"/>
  <c r="R731" i="16"/>
  <c r="U731" i="16" s="1"/>
  <c r="T695" i="16"/>
  <c r="Q693" i="16"/>
  <c r="T693" i="16" s="1"/>
  <c r="R692" i="16"/>
  <c r="K631" i="16"/>
  <c r="K626" i="16"/>
  <c r="U535" i="16"/>
  <c r="P494" i="16"/>
  <c r="R392" i="16"/>
  <c r="U392" i="16" s="1"/>
  <c r="L392" i="16"/>
  <c r="O392" i="16" s="1"/>
  <c r="K369" i="16"/>
  <c r="L362" i="16"/>
  <c r="O362" i="16" s="1"/>
  <c r="L358" i="16"/>
  <c r="L356" i="16" s="1"/>
  <c r="J351" i="16"/>
  <c r="N335" i="16"/>
  <c r="N333" i="16" s="1"/>
  <c r="L336" i="16"/>
  <c r="O336" i="16" s="1"/>
  <c r="R320" i="16"/>
  <c r="U320" i="16" s="1"/>
  <c r="M309" i="16"/>
  <c r="P309" i="16" s="1"/>
  <c r="S306" i="16"/>
  <c r="T306" i="16" s="1"/>
  <c r="U304" i="16"/>
  <c r="N284" i="16"/>
  <c r="N282" i="16" s="1"/>
  <c r="N285" i="16"/>
  <c r="M268" i="16"/>
  <c r="M266" i="16" s="1"/>
  <c r="L236" i="16"/>
  <c r="L222" i="16"/>
  <c r="O222" i="16" s="1"/>
  <c r="K195" i="16"/>
  <c r="P194" i="16"/>
  <c r="O181" i="16"/>
  <c r="M176" i="16"/>
  <c r="P176" i="16" s="1"/>
  <c r="Q94" i="16"/>
  <c r="T94" i="16" s="1"/>
  <c r="K85" i="16"/>
  <c r="S59" i="16"/>
  <c r="Q59" i="16"/>
  <c r="T59" i="16" s="1"/>
  <c r="P49" i="16"/>
  <c r="R306" i="15"/>
  <c r="U306" i="15" s="1"/>
  <c r="L236" i="15"/>
  <c r="O176" i="15"/>
  <c r="M163" i="15"/>
  <c r="P163" i="15" s="1"/>
  <c r="L100" i="15"/>
  <c r="O100" i="15" s="1"/>
  <c r="S760" i="16"/>
  <c r="K726" i="16"/>
  <c r="Q714" i="16"/>
  <c r="T714" i="16" s="1"/>
  <c r="K654" i="16"/>
  <c r="K630" i="16"/>
  <c r="L599" i="16"/>
  <c r="O599" i="16" s="1"/>
  <c r="M555" i="16"/>
  <c r="P555" i="16" s="1"/>
  <c r="K365" i="16"/>
  <c r="P336" i="16"/>
  <c r="M284" i="16"/>
  <c r="M282" i="16" s="1"/>
  <c r="M175" i="16"/>
  <c r="M173" i="16" s="1"/>
  <c r="M163" i="16"/>
  <c r="P163" i="16" s="1"/>
  <c r="R44" i="16"/>
  <c r="U44" i="16" s="1"/>
  <c r="J701" i="15"/>
  <c r="K778" i="16"/>
  <c r="M728" i="16"/>
  <c r="P728" i="16" s="1"/>
  <c r="M714" i="16"/>
  <c r="P714" i="16" s="1"/>
  <c r="U693" i="16"/>
  <c r="Q690" i="16"/>
  <c r="J674" i="16"/>
  <c r="R599" i="16"/>
  <c r="U599" i="16" s="1"/>
  <c r="L555" i="16"/>
  <c r="O555" i="16" s="1"/>
  <c r="L534" i="16"/>
  <c r="O534" i="16" s="1"/>
  <c r="J332" i="16"/>
  <c r="K332" i="16" s="1"/>
  <c r="N326" i="16"/>
  <c r="L243" i="16"/>
  <c r="O243" i="16" s="1"/>
  <c r="R141" i="16"/>
  <c r="R139" i="16" s="1"/>
  <c r="U139" i="16" s="1"/>
  <c r="I138" i="16"/>
  <c r="K138" i="16" s="1"/>
  <c r="M97" i="16"/>
  <c r="P97" i="16" s="1"/>
  <c r="I82" i="16"/>
  <c r="K82" i="16" s="1"/>
  <c r="N19" i="16"/>
  <c r="K631" i="15"/>
  <c r="Q619" i="15"/>
  <c r="T619" i="15" s="1"/>
  <c r="L362" i="15"/>
  <c r="O362" i="15" s="1"/>
  <c r="K229" i="15"/>
  <c r="S157" i="15"/>
  <c r="U761" i="16"/>
  <c r="O761" i="16"/>
  <c r="N714" i="16"/>
  <c r="J701" i="16"/>
  <c r="P691" i="16"/>
  <c r="S616" i="16"/>
  <c r="N515" i="16"/>
  <c r="N513" i="16" s="1"/>
  <c r="K503" i="16"/>
  <c r="J458" i="16"/>
  <c r="O393" i="16"/>
  <c r="K368" i="16"/>
  <c r="O361" i="16"/>
  <c r="L359" i="16"/>
  <c r="R333" i="16"/>
  <c r="U333" i="16" s="1"/>
  <c r="Q320" i="16"/>
  <c r="T320" i="16" s="1"/>
  <c r="U308" i="16"/>
  <c r="O290" i="16"/>
  <c r="R282" i="16"/>
  <c r="U282" i="16" s="1"/>
  <c r="N268" i="16"/>
  <c r="N266" i="16" s="1"/>
  <c r="L235" i="16"/>
  <c r="L233" i="16"/>
  <c r="L214" i="16"/>
  <c r="O214" i="16" s="1"/>
  <c r="T191" i="16"/>
  <c r="I172" i="16"/>
  <c r="K172" i="16" s="1"/>
  <c r="N141" i="16"/>
  <c r="N139" i="16" s="1"/>
  <c r="Q141" i="16"/>
  <c r="K127" i="16"/>
  <c r="L96" i="16"/>
  <c r="O96" i="16" s="1"/>
  <c r="S96" i="16"/>
  <c r="S94" i="16" s="1"/>
  <c r="L46" i="16"/>
  <c r="L44" i="16" s="1"/>
  <c r="R760" i="15"/>
  <c r="P285" i="15"/>
  <c r="K780" i="16"/>
  <c r="K703" i="16"/>
  <c r="O691" i="16"/>
  <c r="R576" i="16"/>
  <c r="U576" i="16" s="1"/>
  <c r="S495" i="16"/>
  <c r="S493" i="16" s="1"/>
  <c r="L375" i="16"/>
  <c r="O375" i="16" s="1"/>
  <c r="N358" i="16"/>
  <c r="N356" i="16" s="1"/>
  <c r="R356" i="16"/>
  <c r="U356" i="16" s="1"/>
  <c r="J343" i="16"/>
  <c r="O334" i="16"/>
  <c r="U305" i="16"/>
  <c r="M272" i="16"/>
  <c r="P272" i="16" s="1"/>
  <c r="P269" i="16"/>
  <c r="L254" i="16"/>
  <c r="O254" i="16" s="1"/>
  <c r="M141" i="16"/>
  <c r="P141" i="16" s="1"/>
  <c r="Q142" i="16"/>
  <c r="T142" i="16" s="1"/>
  <c r="P140" i="16"/>
  <c r="T77" i="16"/>
  <c r="L62" i="16"/>
  <c r="R24" i="16"/>
  <c r="U24" i="16" s="1"/>
  <c r="L19" i="16"/>
  <c r="O19" i="16" s="1"/>
  <c r="T731" i="16"/>
  <c r="K689" i="16"/>
  <c r="R728" i="16"/>
  <c r="Q616" i="16"/>
  <c r="T618" i="16"/>
  <c r="R413" i="16"/>
  <c r="U413" i="16" s="1"/>
  <c r="U414" i="16"/>
  <c r="O328" i="16"/>
  <c r="L326" i="16"/>
  <c r="O326" i="16" s="1"/>
  <c r="O147" i="14"/>
  <c r="K784" i="15"/>
  <c r="K781" i="15"/>
  <c r="K778" i="15"/>
  <c r="Q693" i="15"/>
  <c r="R415" i="15"/>
  <c r="U415" i="15" s="1"/>
  <c r="M335" i="15"/>
  <c r="M333" i="15" s="1"/>
  <c r="L309" i="15"/>
  <c r="O309" i="15" s="1"/>
  <c r="N269" i="15"/>
  <c r="P269" i="15" s="1"/>
  <c r="M160" i="15"/>
  <c r="P160" i="15" s="1"/>
  <c r="M120" i="15"/>
  <c r="P120" i="15" s="1"/>
  <c r="P75" i="15"/>
  <c r="P64" i="15"/>
  <c r="L62" i="15"/>
  <c r="O62" i="15" s="1"/>
  <c r="Q599" i="16"/>
  <c r="T599" i="16" s="1"/>
  <c r="T600" i="16"/>
  <c r="Q534" i="16"/>
  <c r="T534" i="16" s="1"/>
  <c r="T535" i="16"/>
  <c r="P521" i="16"/>
  <c r="M519" i="16"/>
  <c r="P519" i="16" s="1"/>
  <c r="L493" i="16"/>
  <c r="O493" i="16" s="1"/>
  <c r="K386" i="16"/>
  <c r="I374" i="16"/>
  <c r="L322" i="16"/>
  <c r="Q186" i="16"/>
  <c r="T188" i="16"/>
  <c r="P187" i="16"/>
  <c r="L616" i="16"/>
  <c r="O616" i="16" s="1"/>
  <c r="L235" i="13"/>
  <c r="Q645" i="15"/>
  <c r="T645" i="15" s="1"/>
  <c r="Q415" i="15"/>
  <c r="Q413" i="15" s="1"/>
  <c r="T413" i="15" s="1"/>
  <c r="P341" i="15"/>
  <c r="K292" i="15"/>
  <c r="L272" i="15"/>
  <c r="O272" i="15" s="1"/>
  <c r="L235" i="15"/>
  <c r="I92" i="15"/>
  <c r="K92" i="15" s="1"/>
  <c r="T691" i="16"/>
  <c r="O577" i="16"/>
  <c r="T557" i="16"/>
  <c r="R493" i="16"/>
  <c r="U493" i="16" s="1"/>
  <c r="N413" i="16"/>
  <c r="T377" i="16"/>
  <c r="O287" i="16"/>
  <c r="L284" i="16"/>
  <c r="L285" i="16"/>
  <c r="I242" i="16"/>
  <c r="K249" i="16"/>
  <c r="I238" i="16"/>
  <c r="K238" i="16" s="1"/>
  <c r="N189" i="16"/>
  <c r="P189" i="16" s="1"/>
  <c r="N188" i="16"/>
  <c r="N186" i="16" s="1"/>
  <c r="O191" i="16"/>
  <c r="P191" i="16"/>
  <c r="N97" i="16"/>
  <c r="N96" i="16"/>
  <c r="N94" i="16" s="1"/>
  <c r="Q644" i="16"/>
  <c r="Q642" i="16" s="1"/>
  <c r="T647" i="16"/>
  <c r="K782" i="14"/>
  <c r="Q731" i="14"/>
  <c r="J702" i="14"/>
  <c r="L285" i="14"/>
  <c r="O285" i="14" s="1"/>
  <c r="S762" i="15"/>
  <c r="U762" i="15" s="1"/>
  <c r="U418" i="15"/>
  <c r="P338" i="15"/>
  <c r="L234" i="15"/>
  <c r="S176" i="15"/>
  <c r="S730" i="16"/>
  <c r="S728" i="16" s="1"/>
  <c r="K705" i="16"/>
  <c r="Q645" i="16"/>
  <c r="T621" i="16"/>
  <c r="Q619" i="16"/>
  <c r="O600" i="16"/>
  <c r="U577" i="16"/>
  <c r="M375" i="16"/>
  <c r="P375" i="16" s="1"/>
  <c r="P376" i="16"/>
  <c r="P361" i="16"/>
  <c r="M359" i="16"/>
  <c r="S356" i="16"/>
  <c r="N175" i="16"/>
  <c r="N173" i="16" s="1"/>
  <c r="N179" i="16"/>
  <c r="R117" i="16"/>
  <c r="U118" i="16"/>
  <c r="Q576" i="16"/>
  <c r="T576" i="16" s="1"/>
  <c r="T577" i="16"/>
  <c r="R378" i="16"/>
  <c r="R377" i="16"/>
  <c r="U380" i="16"/>
  <c r="K630" i="15"/>
  <c r="R619" i="15"/>
  <c r="U619" i="15" s="1"/>
  <c r="K386" i="15"/>
  <c r="O338" i="15"/>
  <c r="L288" i="15"/>
  <c r="O288" i="15" s="1"/>
  <c r="U269" i="15"/>
  <c r="M176" i="15"/>
  <c r="P176" i="15" s="1"/>
  <c r="P162" i="15"/>
  <c r="P77" i="15"/>
  <c r="I759" i="16"/>
  <c r="K759" i="16" s="1"/>
  <c r="U733" i="16"/>
  <c r="K707" i="16"/>
  <c r="M642" i="16"/>
  <c r="P642" i="16" s="1"/>
  <c r="P643" i="16"/>
  <c r="N616" i="16"/>
  <c r="U600" i="16"/>
  <c r="M576" i="16"/>
  <c r="P576" i="16" s="1"/>
  <c r="K505" i="16"/>
  <c r="J503" i="16"/>
  <c r="J492" i="16" s="1"/>
  <c r="Q416" i="16"/>
  <c r="T416" i="16" s="1"/>
  <c r="Q415" i="16"/>
  <c r="T418" i="16"/>
  <c r="L413" i="16"/>
  <c r="O413" i="16" s="1"/>
  <c r="O414" i="16"/>
  <c r="S375" i="16"/>
  <c r="T375" i="16" s="1"/>
  <c r="P341" i="16"/>
  <c r="M339" i="16"/>
  <c r="P339" i="16" s="1"/>
  <c r="P308" i="16"/>
  <c r="N305" i="16"/>
  <c r="N303" i="16" s="1"/>
  <c r="N306" i="16"/>
  <c r="O77" i="15"/>
  <c r="T733" i="16"/>
  <c r="R644" i="16"/>
  <c r="U647" i="16"/>
  <c r="L642" i="16"/>
  <c r="O642" i="16" s="1"/>
  <c r="R618" i="16"/>
  <c r="U618" i="16" s="1"/>
  <c r="U621" i="16"/>
  <c r="M616" i="16"/>
  <c r="P616" i="16" s="1"/>
  <c r="Q356" i="16"/>
  <c r="T356" i="16" s="1"/>
  <c r="T357" i="16"/>
  <c r="O274" i="16"/>
  <c r="L272" i="16"/>
  <c r="O272" i="16" s="1"/>
  <c r="Q266" i="16"/>
  <c r="T267" i="16"/>
  <c r="O518" i="16"/>
  <c r="T498" i="16"/>
  <c r="Q495" i="16"/>
  <c r="U494" i="16"/>
  <c r="O494" i="16"/>
  <c r="I423" i="16"/>
  <c r="S415" i="16"/>
  <c r="S413" i="16" s="1"/>
  <c r="T393" i="16"/>
  <c r="N359" i="16"/>
  <c r="P357" i="16"/>
  <c r="O338" i="16"/>
  <c r="M326" i="16"/>
  <c r="P326" i="16" s="1"/>
  <c r="U321" i="16"/>
  <c r="P311" i="16"/>
  <c r="T308" i="16"/>
  <c r="Q305" i="16"/>
  <c r="T305" i="16" s="1"/>
  <c r="K293" i="16"/>
  <c r="M285" i="16"/>
  <c r="I281" i="16"/>
  <c r="K281" i="16" s="1"/>
  <c r="O271" i="16"/>
  <c r="Q269" i="16"/>
  <c r="T269" i="16" s="1"/>
  <c r="S268" i="16"/>
  <c r="S266" i="16" s="1"/>
  <c r="L268" i="16"/>
  <c r="P267" i="16"/>
  <c r="L234" i="16"/>
  <c r="L203" i="16"/>
  <c r="O203" i="16" s="1"/>
  <c r="Q175" i="16"/>
  <c r="T175" i="16" s="1"/>
  <c r="P174" i="16"/>
  <c r="L159" i="16"/>
  <c r="O159" i="16" s="1"/>
  <c r="O144" i="16"/>
  <c r="T122" i="16"/>
  <c r="P122" i="16"/>
  <c r="M119" i="16"/>
  <c r="P119" i="16" s="1"/>
  <c r="M120" i="16"/>
  <c r="P120" i="16" s="1"/>
  <c r="S24" i="16"/>
  <c r="S19" i="16"/>
  <c r="U418" i="16"/>
  <c r="U357" i="16"/>
  <c r="O357" i="16"/>
  <c r="M322" i="16"/>
  <c r="M323" i="16"/>
  <c r="P323" i="16" s="1"/>
  <c r="O308" i="16"/>
  <c r="P290" i="16"/>
  <c r="U271" i="16"/>
  <c r="K260" i="16"/>
  <c r="K230" i="16"/>
  <c r="S186" i="16"/>
  <c r="T178" i="16"/>
  <c r="L176" i="16"/>
  <c r="O176" i="16" s="1"/>
  <c r="L175" i="16"/>
  <c r="O178" i="16"/>
  <c r="O162" i="16"/>
  <c r="S119" i="16"/>
  <c r="U119" i="16" s="1"/>
  <c r="U122" i="16"/>
  <c r="S120" i="16"/>
  <c r="T120" i="16" s="1"/>
  <c r="M515" i="16"/>
  <c r="K344" i="16"/>
  <c r="M335" i="16"/>
  <c r="P287" i="16"/>
  <c r="Q282" i="16"/>
  <c r="T282" i="16" s="1"/>
  <c r="K229" i="16"/>
  <c r="Q189" i="16"/>
  <c r="S176" i="16"/>
  <c r="S175" i="16"/>
  <c r="S173" i="16" s="1"/>
  <c r="N160" i="16"/>
  <c r="N159" i="16"/>
  <c r="N157" i="16" s="1"/>
  <c r="S159" i="16"/>
  <c r="S157" i="16" s="1"/>
  <c r="N75" i="16"/>
  <c r="N74" i="16"/>
  <c r="N72" i="16" s="1"/>
  <c r="K330" i="16"/>
  <c r="R306" i="16"/>
  <c r="O174" i="16"/>
  <c r="Q119" i="16"/>
  <c r="Q117" i="16" s="1"/>
  <c r="I92" i="16"/>
  <c r="K92" i="16" s="1"/>
  <c r="K108" i="16"/>
  <c r="P52" i="16"/>
  <c r="M26" i="16"/>
  <c r="P26" i="16" s="1"/>
  <c r="M50" i="16"/>
  <c r="P50" i="16" s="1"/>
  <c r="T271" i="16"/>
  <c r="I265" i="16"/>
  <c r="K265" i="16" s="1"/>
  <c r="U174" i="16"/>
  <c r="U19" i="16"/>
  <c r="M188" i="16"/>
  <c r="M179" i="16"/>
  <c r="P179" i="16" s="1"/>
  <c r="M123" i="16"/>
  <c r="P123" i="16" s="1"/>
  <c r="T99" i="16"/>
  <c r="M96" i="16"/>
  <c r="Q72" i="16"/>
  <c r="T72" i="16" s="1"/>
  <c r="U187" i="16"/>
  <c r="U178" i="16"/>
  <c r="R175" i="16"/>
  <c r="U175" i="16" s="1"/>
  <c r="M159" i="16"/>
  <c r="P159" i="16" s="1"/>
  <c r="P158" i="16"/>
  <c r="P144" i="16"/>
  <c r="N119" i="16"/>
  <c r="N117" i="16" s="1"/>
  <c r="K84" i="16"/>
  <c r="L26" i="16"/>
  <c r="O80" i="16"/>
  <c r="L74" i="16"/>
  <c r="P67" i="16"/>
  <c r="M65" i="16"/>
  <c r="P65" i="16" s="1"/>
  <c r="O47" i="16"/>
  <c r="Q97" i="16"/>
  <c r="T97" i="16" s="1"/>
  <c r="R94" i="16"/>
  <c r="U94" i="16" s="1"/>
  <c r="P47" i="16"/>
  <c r="P22" i="16"/>
  <c r="M19" i="16"/>
  <c r="M100" i="16"/>
  <c r="P100" i="16" s="1"/>
  <c r="N26" i="16"/>
  <c r="N24" i="16" s="1"/>
  <c r="P25" i="16"/>
  <c r="R120" i="16"/>
  <c r="L120" i="16"/>
  <c r="O120" i="16" s="1"/>
  <c r="R97" i="16"/>
  <c r="U97" i="16" s="1"/>
  <c r="L97" i="16"/>
  <c r="O97" i="16" s="1"/>
  <c r="U77" i="16"/>
  <c r="O77" i="16"/>
  <c r="Q75" i="16"/>
  <c r="T75" i="16" s="1"/>
  <c r="O64" i="16"/>
  <c r="N50" i="16"/>
  <c r="O49" i="16"/>
  <c r="N23" i="16"/>
  <c r="N61" i="16"/>
  <c r="N59" i="16" s="1"/>
  <c r="N46" i="16"/>
  <c r="N44" i="16" s="1"/>
  <c r="S23" i="16"/>
  <c r="S20" i="16" s="1"/>
  <c r="M23" i="16"/>
  <c r="M21" i="16" s="1"/>
  <c r="Q19" i="16"/>
  <c r="S74" i="16"/>
  <c r="S72" i="16" s="1"/>
  <c r="M74" i="16"/>
  <c r="M61" i="16"/>
  <c r="M46" i="16"/>
  <c r="R23" i="16"/>
  <c r="L23" i="16"/>
  <c r="Q23" i="16"/>
  <c r="Q644" i="14"/>
  <c r="T644" i="14" s="1"/>
  <c r="I172" i="14"/>
  <c r="K172" i="14" s="1"/>
  <c r="K183" i="14"/>
  <c r="J674" i="15"/>
  <c r="P577" i="15"/>
  <c r="M576" i="15"/>
  <c r="P576" i="15" s="1"/>
  <c r="R392" i="15"/>
  <c r="U392" i="15" s="1"/>
  <c r="U393" i="15"/>
  <c r="L305" i="15"/>
  <c r="L306" i="15"/>
  <c r="O306" i="15" s="1"/>
  <c r="Q268" i="15"/>
  <c r="Q266" i="15" s="1"/>
  <c r="Q269" i="15"/>
  <c r="T269" i="15" s="1"/>
  <c r="L96" i="15"/>
  <c r="O96" i="15" s="1"/>
  <c r="L97" i="15"/>
  <c r="O97" i="15" s="1"/>
  <c r="I221" i="14"/>
  <c r="K221" i="14" s="1"/>
  <c r="K229" i="14"/>
  <c r="L163" i="14"/>
  <c r="O163" i="14" s="1"/>
  <c r="O165" i="14"/>
  <c r="I689" i="15"/>
  <c r="K689" i="15" s="1"/>
  <c r="K707" i="15"/>
  <c r="L576" i="15"/>
  <c r="O576" i="15" s="1"/>
  <c r="O577" i="15"/>
  <c r="M555" i="15"/>
  <c r="P555" i="15" s="1"/>
  <c r="P556" i="15"/>
  <c r="L359" i="15"/>
  <c r="O359" i="15" s="1"/>
  <c r="O361" i="15"/>
  <c r="L339" i="15"/>
  <c r="O339" i="15" s="1"/>
  <c r="O341" i="15"/>
  <c r="L335" i="15"/>
  <c r="L333" i="15" s="1"/>
  <c r="I280" i="15"/>
  <c r="K280" i="15" s="1"/>
  <c r="K293" i="15"/>
  <c r="Q188" i="15"/>
  <c r="Q186" i="15" s="1"/>
  <c r="Q189" i="15"/>
  <c r="M145" i="15"/>
  <c r="P145" i="15" s="1"/>
  <c r="P147" i="15"/>
  <c r="R119" i="15"/>
  <c r="R117" i="15" s="1"/>
  <c r="R120" i="15"/>
  <c r="M47" i="15"/>
  <c r="P47" i="15" s="1"/>
  <c r="P49" i="15"/>
  <c r="Q189" i="12"/>
  <c r="R305" i="14"/>
  <c r="R303" i="14" s="1"/>
  <c r="R306" i="14"/>
  <c r="U306" i="14" s="1"/>
  <c r="Q117" i="14"/>
  <c r="T117" i="14" s="1"/>
  <c r="I759" i="15"/>
  <c r="K759" i="15" s="1"/>
  <c r="M714" i="15"/>
  <c r="P714" i="15" s="1"/>
  <c r="P715" i="15"/>
  <c r="Q616" i="15"/>
  <c r="M599" i="15"/>
  <c r="P599" i="15" s="1"/>
  <c r="L555" i="15"/>
  <c r="O555" i="15" s="1"/>
  <c r="N515" i="15"/>
  <c r="N513" i="15" s="1"/>
  <c r="P336" i="15"/>
  <c r="R175" i="15"/>
  <c r="R176" i="15"/>
  <c r="U176" i="15" s="1"/>
  <c r="I93" i="15"/>
  <c r="K93" i="15" s="1"/>
  <c r="K109" i="15"/>
  <c r="M100" i="15"/>
  <c r="P100" i="15" s="1"/>
  <c r="P102" i="15"/>
  <c r="L46" i="15"/>
  <c r="L44" i="15" s="1"/>
  <c r="O49" i="15"/>
  <c r="L47" i="15"/>
  <c r="O47" i="15" s="1"/>
  <c r="T25" i="15"/>
  <c r="Q24" i="15"/>
  <c r="T24" i="15" s="1"/>
  <c r="J374" i="13"/>
  <c r="U647" i="14"/>
  <c r="I423" i="14"/>
  <c r="I412" i="14" s="1"/>
  <c r="K412" i="14" s="1"/>
  <c r="R378" i="14"/>
  <c r="U378" i="14" s="1"/>
  <c r="U380" i="14"/>
  <c r="P125" i="14"/>
  <c r="M123" i="14"/>
  <c r="P123" i="14" s="1"/>
  <c r="L714" i="15"/>
  <c r="O714" i="15" s="1"/>
  <c r="S555" i="15"/>
  <c r="S377" i="15"/>
  <c r="S375" i="15" s="1"/>
  <c r="T380" i="15"/>
  <c r="S378" i="15"/>
  <c r="T378" i="15" s="1"/>
  <c r="M322" i="15"/>
  <c r="P322" i="15" s="1"/>
  <c r="M323" i="15"/>
  <c r="P323" i="15" s="1"/>
  <c r="P325" i="15"/>
  <c r="L269" i="15"/>
  <c r="O269" i="15" s="1"/>
  <c r="O271" i="15"/>
  <c r="R268" i="15"/>
  <c r="R266" i="15" s="1"/>
  <c r="Q232" i="15"/>
  <c r="T243" i="15"/>
  <c r="L142" i="15"/>
  <c r="O144" i="15"/>
  <c r="Q74" i="15"/>
  <c r="Q72" i="15" s="1"/>
  <c r="Q75" i="15"/>
  <c r="T75" i="15" s="1"/>
  <c r="Q59" i="15"/>
  <c r="T59" i="15" s="1"/>
  <c r="Q44" i="15"/>
  <c r="T44" i="15" s="1"/>
  <c r="T45" i="15"/>
  <c r="N322" i="13"/>
  <c r="N320" i="13" s="1"/>
  <c r="K780" i="14"/>
  <c r="Q378" i="14"/>
  <c r="T378" i="14" s="1"/>
  <c r="T380" i="14"/>
  <c r="O311" i="14"/>
  <c r="L309" i="14"/>
  <c r="O309" i="14" s="1"/>
  <c r="M179" i="14"/>
  <c r="P179" i="14" s="1"/>
  <c r="P181" i="14"/>
  <c r="L123" i="14"/>
  <c r="O123" i="14" s="1"/>
  <c r="O125" i="14"/>
  <c r="K785" i="15"/>
  <c r="K779" i="15"/>
  <c r="S714" i="15"/>
  <c r="S534" i="15"/>
  <c r="R377" i="15"/>
  <c r="R375" i="15" s="1"/>
  <c r="R378" i="15"/>
  <c r="U380" i="15"/>
  <c r="K368" i="15"/>
  <c r="T357" i="15"/>
  <c r="Q356" i="15"/>
  <c r="T356" i="15" s="1"/>
  <c r="L323" i="15"/>
  <c r="O323" i="15" s="1"/>
  <c r="O325" i="15"/>
  <c r="I241" i="15"/>
  <c r="K241" i="15" s="1"/>
  <c r="K252" i="15"/>
  <c r="O181" i="15"/>
  <c r="L179" i="15"/>
  <c r="O179" i="15" s="1"/>
  <c r="O125" i="15"/>
  <c r="L123" i="15"/>
  <c r="O123" i="15" s="1"/>
  <c r="S269" i="14"/>
  <c r="U269" i="14" s="1"/>
  <c r="T271" i="14"/>
  <c r="L179" i="14"/>
  <c r="O179" i="14" s="1"/>
  <c r="O181" i="14"/>
  <c r="I701" i="15"/>
  <c r="O617" i="15"/>
  <c r="L616" i="15"/>
  <c r="O616" i="15" s="1"/>
  <c r="M326" i="15"/>
  <c r="P326" i="15" s="1"/>
  <c r="M309" i="15"/>
  <c r="P309" i="15" s="1"/>
  <c r="M305" i="15"/>
  <c r="M303" i="15" s="1"/>
  <c r="M306" i="15"/>
  <c r="P306" i="15" s="1"/>
  <c r="N284" i="15"/>
  <c r="N282" i="15" s="1"/>
  <c r="K172" i="15"/>
  <c r="R142" i="15"/>
  <c r="U142" i="15" s="1"/>
  <c r="U144" i="15"/>
  <c r="I116" i="15"/>
  <c r="K116" i="15" s="1"/>
  <c r="K127" i="15"/>
  <c r="M96" i="15"/>
  <c r="P99" i="15"/>
  <c r="M97" i="15"/>
  <c r="P97" i="15" s="1"/>
  <c r="S97" i="15"/>
  <c r="O80" i="15"/>
  <c r="L78" i="15"/>
  <c r="O78" i="15" s="1"/>
  <c r="R44" i="15"/>
  <c r="U44" i="15" s="1"/>
  <c r="U46" i="15"/>
  <c r="N358" i="14"/>
  <c r="N356" i="14" s="1"/>
  <c r="O189" i="14"/>
  <c r="K772" i="15"/>
  <c r="N760" i="15"/>
  <c r="U733" i="15"/>
  <c r="K727" i="15"/>
  <c r="R714" i="15"/>
  <c r="U714" i="15" s="1"/>
  <c r="K709" i="15"/>
  <c r="J702" i="15"/>
  <c r="N690" i="15"/>
  <c r="N642" i="15"/>
  <c r="K632" i="15"/>
  <c r="L599" i="15"/>
  <c r="O599" i="15" s="1"/>
  <c r="P600" i="15"/>
  <c r="R576" i="15"/>
  <c r="U576" i="15" s="1"/>
  <c r="Q534" i="15"/>
  <c r="T534" i="15" s="1"/>
  <c r="N534" i="15"/>
  <c r="O494" i="15"/>
  <c r="J374" i="15"/>
  <c r="Q377" i="15"/>
  <c r="Q375" i="15" s="1"/>
  <c r="L375" i="15"/>
  <c r="O375" i="15" s="1"/>
  <c r="M284" i="15"/>
  <c r="M282" i="15" s="1"/>
  <c r="O285" i="15"/>
  <c r="P271" i="15"/>
  <c r="L233" i="15"/>
  <c r="L203" i="15"/>
  <c r="O203" i="15" s="1"/>
  <c r="N188" i="15"/>
  <c r="N186" i="15" s="1"/>
  <c r="I169" i="15"/>
  <c r="K169" i="15" s="1"/>
  <c r="L163" i="15"/>
  <c r="O163" i="15" s="1"/>
  <c r="P122" i="15"/>
  <c r="I83" i="15"/>
  <c r="K83" i="15" s="1"/>
  <c r="P80" i="15"/>
  <c r="S59" i="15"/>
  <c r="J374" i="14"/>
  <c r="K249" i="14"/>
  <c r="M119" i="14"/>
  <c r="P119" i="14" s="1"/>
  <c r="M120" i="14"/>
  <c r="P120" i="14" s="1"/>
  <c r="M760" i="15"/>
  <c r="P760" i="15" s="1"/>
  <c r="Q714" i="15"/>
  <c r="T714" i="15" s="1"/>
  <c r="M690" i="15"/>
  <c r="P690" i="15" s="1"/>
  <c r="M642" i="15"/>
  <c r="P642" i="15" s="1"/>
  <c r="L519" i="15"/>
  <c r="O519" i="15" s="1"/>
  <c r="L515" i="15"/>
  <c r="O515" i="15" s="1"/>
  <c r="Q495" i="15"/>
  <c r="N493" i="15"/>
  <c r="J457" i="15"/>
  <c r="J456" i="15" s="1"/>
  <c r="N358" i="15"/>
  <c r="N356" i="15" s="1"/>
  <c r="J343" i="15"/>
  <c r="K344" i="15"/>
  <c r="L284" i="15"/>
  <c r="L282" i="15" s="1"/>
  <c r="S282" i="15"/>
  <c r="J231" i="15"/>
  <c r="J185" i="15" s="1"/>
  <c r="K167" i="15"/>
  <c r="L159" i="15"/>
  <c r="L157" i="15" s="1"/>
  <c r="R160" i="15"/>
  <c r="U160" i="15" s="1"/>
  <c r="K152" i="15"/>
  <c r="P125" i="15"/>
  <c r="I82" i="15"/>
  <c r="K82" i="15" s="1"/>
  <c r="U77" i="15"/>
  <c r="N19" i="15"/>
  <c r="M163" i="14"/>
  <c r="P163" i="14" s="1"/>
  <c r="L760" i="15"/>
  <c r="O760" i="15" s="1"/>
  <c r="U731" i="15"/>
  <c r="M728" i="15"/>
  <c r="P728" i="15" s="1"/>
  <c r="K703" i="15"/>
  <c r="L690" i="15"/>
  <c r="O690" i="15" s="1"/>
  <c r="L642" i="15"/>
  <c r="O642" i="15" s="1"/>
  <c r="L534" i="15"/>
  <c r="O534" i="15" s="1"/>
  <c r="K503" i="15"/>
  <c r="M493" i="15"/>
  <c r="P493" i="15" s="1"/>
  <c r="Q392" i="15"/>
  <c r="T392" i="15" s="1"/>
  <c r="L254" i="15"/>
  <c r="O254" i="15" s="1"/>
  <c r="L222" i="15"/>
  <c r="O222" i="15" s="1"/>
  <c r="L188" i="15"/>
  <c r="S44" i="15"/>
  <c r="Q269" i="14"/>
  <c r="M188" i="14"/>
  <c r="M186" i="14" s="1"/>
  <c r="M142" i="14"/>
  <c r="P142" i="14" s="1"/>
  <c r="L78" i="14"/>
  <c r="O78" i="14" s="1"/>
  <c r="K780" i="15"/>
  <c r="L728" i="15"/>
  <c r="O728" i="15" s="1"/>
  <c r="S693" i="15"/>
  <c r="S645" i="15"/>
  <c r="N616" i="15"/>
  <c r="N576" i="15"/>
  <c r="R534" i="15"/>
  <c r="U534" i="15" s="1"/>
  <c r="N375" i="15"/>
  <c r="O336" i="15"/>
  <c r="N322" i="15"/>
  <c r="N320" i="15" s="1"/>
  <c r="S320" i="15"/>
  <c r="S173" i="15"/>
  <c r="L175" i="15"/>
  <c r="L173" i="15" s="1"/>
  <c r="O160" i="15"/>
  <c r="O147" i="15"/>
  <c r="T144" i="15"/>
  <c r="Q142" i="15"/>
  <c r="T142" i="15" s="1"/>
  <c r="S117" i="15"/>
  <c r="L119" i="15"/>
  <c r="L74" i="15"/>
  <c r="L72" i="15" s="1"/>
  <c r="L61" i="15"/>
  <c r="L59" i="15" s="1"/>
  <c r="S24" i="15"/>
  <c r="R493" i="15"/>
  <c r="U493" i="15" s="1"/>
  <c r="U495" i="15"/>
  <c r="J615" i="15"/>
  <c r="K615" i="15" s="1"/>
  <c r="K626" i="15"/>
  <c r="Q690" i="15"/>
  <c r="T692" i="15"/>
  <c r="Q642" i="15"/>
  <c r="T642" i="15" s="1"/>
  <c r="T644" i="15"/>
  <c r="R616" i="15"/>
  <c r="T763" i="15"/>
  <c r="S690" i="15"/>
  <c r="S642" i="15"/>
  <c r="R186" i="14"/>
  <c r="U186" i="14" s="1"/>
  <c r="P178" i="13"/>
  <c r="P162" i="13"/>
  <c r="J503" i="14"/>
  <c r="J492" i="14" s="1"/>
  <c r="L358" i="14"/>
  <c r="L222" i="14"/>
  <c r="O222" i="14" s="1"/>
  <c r="L203" i="14"/>
  <c r="O203" i="14" s="1"/>
  <c r="R599" i="15"/>
  <c r="U599" i="15" s="1"/>
  <c r="R555" i="15"/>
  <c r="U555" i="15" s="1"/>
  <c r="J365" i="15"/>
  <c r="K365" i="15" s="1"/>
  <c r="K371" i="15"/>
  <c r="P321" i="15"/>
  <c r="R303" i="15"/>
  <c r="U304" i="15"/>
  <c r="R282" i="15"/>
  <c r="U282" i="15" s="1"/>
  <c r="U283" i="15"/>
  <c r="O194" i="15"/>
  <c r="L192" i="15"/>
  <c r="O192" i="15" s="1"/>
  <c r="N141" i="1"/>
  <c r="O141" i="1" s="1"/>
  <c r="J702" i="13"/>
  <c r="N141" i="13"/>
  <c r="P125" i="13"/>
  <c r="P361" i="14"/>
  <c r="N359" i="14"/>
  <c r="O359" i="14" s="1"/>
  <c r="I280" i="14"/>
  <c r="K280" i="14" s="1"/>
  <c r="L243" i="14"/>
  <c r="O243" i="14" s="1"/>
  <c r="I195" i="14"/>
  <c r="K195" i="14" s="1"/>
  <c r="U99" i="14"/>
  <c r="O67" i="14"/>
  <c r="U765" i="15"/>
  <c r="P761" i="15"/>
  <c r="T733" i="15"/>
  <c r="U729" i="15"/>
  <c r="O729" i="15"/>
  <c r="U715" i="15"/>
  <c r="O715" i="15"/>
  <c r="K629" i="15"/>
  <c r="Q599" i="15"/>
  <c r="T599" i="15" s="1"/>
  <c r="Q555" i="15"/>
  <c r="T555" i="15" s="1"/>
  <c r="M515" i="15"/>
  <c r="P515" i="15" s="1"/>
  <c r="U498" i="15"/>
  <c r="R496" i="15"/>
  <c r="U496" i="15" s="1"/>
  <c r="P494" i="15"/>
  <c r="T394" i="15"/>
  <c r="O376" i="15"/>
  <c r="P364" i="15"/>
  <c r="T304" i="15"/>
  <c r="Q282" i="15"/>
  <c r="T282" i="15" s="1"/>
  <c r="T283" i="15"/>
  <c r="K276" i="15"/>
  <c r="I265" i="15"/>
  <c r="K265" i="15" s="1"/>
  <c r="K260" i="15"/>
  <c r="I253" i="15"/>
  <c r="K253" i="15" s="1"/>
  <c r="P194" i="15"/>
  <c r="M192" i="15"/>
  <c r="P192" i="15" s="1"/>
  <c r="T733" i="13"/>
  <c r="T763" i="14"/>
  <c r="R762" i="14"/>
  <c r="R760" i="14" s="1"/>
  <c r="O361" i="14"/>
  <c r="K276" i="14"/>
  <c r="U162" i="14"/>
  <c r="O144" i="14"/>
  <c r="P77" i="14"/>
  <c r="T765" i="15"/>
  <c r="Q762" i="15"/>
  <c r="U761" i="15"/>
  <c r="O761" i="15"/>
  <c r="T729" i="15"/>
  <c r="T715" i="15"/>
  <c r="U695" i="15"/>
  <c r="R692" i="15"/>
  <c r="U692" i="15" s="1"/>
  <c r="P691" i="15"/>
  <c r="U647" i="15"/>
  <c r="R644" i="15"/>
  <c r="U644" i="15" s="1"/>
  <c r="P643" i="15"/>
  <c r="S618" i="15"/>
  <c r="T618" i="15" s="1"/>
  <c r="O601" i="15"/>
  <c r="T578" i="15"/>
  <c r="P521" i="15"/>
  <c r="P518" i="15"/>
  <c r="T514" i="15"/>
  <c r="O414" i="15"/>
  <c r="U376" i="15"/>
  <c r="M359" i="15"/>
  <c r="P359" i="15" s="1"/>
  <c r="M358" i="15"/>
  <c r="P361" i="15"/>
  <c r="L358" i="15"/>
  <c r="P357" i="15"/>
  <c r="P308" i="15"/>
  <c r="M175" i="15"/>
  <c r="P25" i="15"/>
  <c r="K314" i="15"/>
  <c r="I302" i="15"/>
  <c r="K302" i="15" s="1"/>
  <c r="M272" i="15"/>
  <c r="P272" i="15" s="1"/>
  <c r="P274" i="15"/>
  <c r="K293" i="13"/>
  <c r="M145" i="13"/>
  <c r="P145" i="13" s="1"/>
  <c r="I758" i="14"/>
  <c r="K758" i="14" s="1"/>
  <c r="S644" i="14"/>
  <c r="S642" i="14" s="1"/>
  <c r="N335" i="14"/>
  <c r="N333" i="14" s="1"/>
  <c r="O325" i="14"/>
  <c r="I319" i="14"/>
  <c r="K319" i="14" s="1"/>
  <c r="M288" i="14"/>
  <c r="P288" i="14" s="1"/>
  <c r="L192" i="14"/>
  <c r="O192" i="14" s="1"/>
  <c r="L188" i="14"/>
  <c r="L186" i="14" s="1"/>
  <c r="T761" i="15"/>
  <c r="T695" i="15"/>
  <c r="U691" i="15"/>
  <c r="O691" i="15"/>
  <c r="T647" i="15"/>
  <c r="U643" i="15"/>
  <c r="O643" i="15"/>
  <c r="U621" i="15"/>
  <c r="P617" i="15"/>
  <c r="O556" i="15"/>
  <c r="T536" i="15"/>
  <c r="S496" i="15"/>
  <c r="S495" i="15"/>
  <c r="S493" i="15" s="1"/>
  <c r="T418" i="15"/>
  <c r="U414" i="15"/>
  <c r="O393" i="15"/>
  <c r="P376" i="15"/>
  <c r="M375" i="15"/>
  <c r="P375" i="15" s="1"/>
  <c r="S333" i="15"/>
  <c r="L326" i="15"/>
  <c r="O326" i="15" s="1"/>
  <c r="L322" i="15"/>
  <c r="O322" i="15" s="1"/>
  <c r="O328" i="15"/>
  <c r="M179" i="15"/>
  <c r="P179" i="15" s="1"/>
  <c r="P181" i="15"/>
  <c r="Q333" i="15"/>
  <c r="T333" i="15" s="1"/>
  <c r="T334" i="15"/>
  <c r="T191" i="15"/>
  <c r="S189" i="15"/>
  <c r="S188" i="15"/>
  <c r="S186" i="15" s="1"/>
  <c r="R141" i="12"/>
  <c r="U141" i="12" s="1"/>
  <c r="K653" i="13"/>
  <c r="Q189" i="13"/>
  <c r="K783" i="14"/>
  <c r="K778" i="14"/>
  <c r="S693" i="14"/>
  <c r="U693" i="14" s="1"/>
  <c r="R644" i="14"/>
  <c r="U644" i="14" s="1"/>
  <c r="Q377" i="14"/>
  <c r="N322" i="14"/>
  <c r="N320" i="14" s="1"/>
  <c r="L288" i="14"/>
  <c r="O288" i="14" s="1"/>
  <c r="L214" i="14"/>
  <c r="O214" i="14" s="1"/>
  <c r="S142" i="14"/>
  <c r="S120" i="14"/>
  <c r="P80" i="14"/>
  <c r="P49" i="14"/>
  <c r="T621" i="15"/>
  <c r="U556" i="15"/>
  <c r="R513" i="15"/>
  <c r="U513" i="15" s="1"/>
  <c r="K504" i="15"/>
  <c r="J503" i="15"/>
  <c r="J492" i="15" s="1"/>
  <c r="M392" i="15"/>
  <c r="P392" i="15" s="1"/>
  <c r="J351" i="15"/>
  <c r="I319" i="15"/>
  <c r="K319" i="15" s="1"/>
  <c r="K330" i="15"/>
  <c r="Q320" i="15"/>
  <c r="T320" i="15" s="1"/>
  <c r="T322" i="15"/>
  <c r="N305" i="15"/>
  <c r="I213" i="15"/>
  <c r="K213" i="15" s="1"/>
  <c r="K220" i="15"/>
  <c r="O191" i="15"/>
  <c r="L189" i="15"/>
  <c r="O189" i="15" s="1"/>
  <c r="T556" i="15"/>
  <c r="P514" i="15"/>
  <c r="S356" i="15"/>
  <c r="N335" i="15"/>
  <c r="N333" i="15" s="1"/>
  <c r="R320" i="15"/>
  <c r="U320" i="15" s="1"/>
  <c r="T308" i="15"/>
  <c r="P290" i="15"/>
  <c r="U271" i="15"/>
  <c r="K249" i="15"/>
  <c r="I242" i="15"/>
  <c r="L243" i="15"/>
  <c r="I238" i="15"/>
  <c r="K238" i="15" s="1"/>
  <c r="I195" i="15"/>
  <c r="K195" i="15" s="1"/>
  <c r="U191" i="15"/>
  <c r="R189" i="15"/>
  <c r="K183" i="15"/>
  <c r="U159" i="15"/>
  <c r="R157" i="15"/>
  <c r="U157" i="15" s="1"/>
  <c r="U96" i="15"/>
  <c r="R94" i="15"/>
  <c r="U94" i="15" s="1"/>
  <c r="I374" i="15"/>
  <c r="P287" i="15"/>
  <c r="M268" i="15"/>
  <c r="T162" i="15"/>
  <c r="Q160" i="15"/>
  <c r="T160" i="15" s="1"/>
  <c r="Q159" i="15"/>
  <c r="T159" i="15" s="1"/>
  <c r="L268" i="15"/>
  <c r="T187" i="15"/>
  <c r="K154" i="15"/>
  <c r="I136" i="15"/>
  <c r="K136" i="15" s="1"/>
  <c r="N145" i="15"/>
  <c r="N26" i="15"/>
  <c r="N24" i="15" s="1"/>
  <c r="P52" i="15"/>
  <c r="M26" i="15"/>
  <c r="P26" i="15" s="1"/>
  <c r="M50" i="15"/>
  <c r="P50" i="15" s="1"/>
  <c r="S19" i="15"/>
  <c r="R356" i="15"/>
  <c r="U356" i="15" s="1"/>
  <c r="J332" i="15"/>
  <c r="K332" i="15" s="1"/>
  <c r="T306" i="15"/>
  <c r="Q305" i="15"/>
  <c r="S268" i="15"/>
  <c r="P267" i="15"/>
  <c r="P191" i="15"/>
  <c r="M189" i="15"/>
  <c r="P189" i="15" s="1"/>
  <c r="R188" i="15"/>
  <c r="O140" i="15"/>
  <c r="U308" i="15"/>
  <c r="O308" i="15"/>
  <c r="O287" i="15"/>
  <c r="T271" i="15"/>
  <c r="U187" i="15"/>
  <c r="U140" i="15"/>
  <c r="T99" i="15"/>
  <c r="Q97" i="15"/>
  <c r="T97" i="15" s="1"/>
  <c r="P67" i="15"/>
  <c r="M65" i="15"/>
  <c r="P65" i="15" s="1"/>
  <c r="P62" i="15"/>
  <c r="T178" i="15"/>
  <c r="Q176" i="15"/>
  <c r="T176" i="15" s="1"/>
  <c r="T122" i="15"/>
  <c r="Q120" i="15"/>
  <c r="Q94" i="15"/>
  <c r="T94" i="15" s="1"/>
  <c r="Q175" i="15"/>
  <c r="T175" i="15" s="1"/>
  <c r="Q119" i="15"/>
  <c r="T119" i="15" s="1"/>
  <c r="P22" i="15"/>
  <c r="M19" i="15"/>
  <c r="P144" i="15"/>
  <c r="N142" i="15"/>
  <c r="P142" i="15" s="1"/>
  <c r="N23" i="15"/>
  <c r="N141" i="15"/>
  <c r="N139" i="15" s="1"/>
  <c r="P140" i="15"/>
  <c r="R19" i="15"/>
  <c r="L19" i="15"/>
  <c r="U178" i="15"/>
  <c r="O178" i="15"/>
  <c r="I168" i="15"/>
  <c r="K168" i="15" s="1"/>
  <c r="U162" i="15"/>
  <c r="O162" i="15"/>
  <c r="S141" i="15"/>
  <c r="S139" i="15" s="1"/>
  <c r="M141" i="15"/>
  <c r="U122" i="15"/>
  <c r="O122" i="15"/>
  <c r="U99" i="15"/>
  <c r="O99" i="15"/>
  <c r="K84" i="15"/>
  <c r="T77" i="15"/>
  <c r="N74" i="15"/>
  <c r="N61" i="15"/>
  <c r="N46" i="15"/>
  <c r="S23" i="15"/>
  <c r="S20" i="15" s="1"/>
  <c r="M23" i="15"/>
  <c r="M21" i="15" s="1"/>
  <c r="Q19" i="15"/>
  <c r="N175" i="15"/>
  <c r="N159" i="15"/>
  <c r="N157" i="15" s="1"/>
  <c r="R141" i="15"/>
  <c r="U141" i="15" s="1"/>
  <c r="L141" i="15"/>
  <c r="L139" i="15" s="1"/>
  <c r="N119" i="15"/>
  <c r="N117" i="15" s="1"/>
  <c r="N96" i="15"/>
  <c r="N94" i="15" s="1"/>
  <c r="S74" i="15"/>
  <c r="S72" i="15" s="1"/>
  <c r="M74" i="15"/>
  <c r="M72" i="15" s="1"/>
  <c r="L65" i="15"/>
  <c r="O65" i="15" s="1"/>
  <c r="M61" i="15"/>
  <c r="L50" i="15"/>
  <c r="O50" i="15" s="1"/>
  <c r="M46" i="15"/>
  <c r="L26" i="15"/>
  <c r="O26" i="15" s="1"/>
  <c r="R23" i="15"/>
  <c r="R21" i="15" s="1"/>
  <c r="L23" i="15"/>
  <c r="P73" i="15"/>
  <c r="P60" i="15"/>
  <c r="P45" i="15"/>
  <c r="U25" i="15"/>
  <c r="O25" i="15"/>
  <c r="Q23" i="15"/>
  <c r="U22" i="15"/>
  <c r="O22" i="15"/>
  <c r="K292" i="12"/>
  <c r="T191" i="12"/>
  <c r="J675" i="13"/>
  <c r="K675" i="13" s="1"/>
  <c r="K661" i="13"/>
  <c r="L358" i="13"/>
  <c r="L356" i="13" s="1"/>
  <c r="K346" i="13"/>
  <c r="K209" i="13"/>
  <c r="R189" i="13"/>
  <c r="Q714" i="14"/>
  <c r="T714" i="14" s="1"/>
  <c r="J674" i="14"/>
  <c r="T619" i="14"/>
  <c r="Q576" i="14"/>
  <c r="T576" i="14" s="1"/>
  <c r="Q415" i="14"/>
  <c r="T415" i="14" s="1"/>
  <c r="Q416" i="14"/>
  <c r="T416" i="14" s="1"/>
  <c r="P311" i="14"/>
  <c r="M309" i="14"/>
  <c r="P309" i="14" s="1"/>
  <c r="K220" i="14"/>
  <c r="L96" i="14"/>
  <c r="O96" i="14" s="1"/>
  <c r="O99" i="14"/>
  <c r="Q59" i="14"/>
  <c r="T59" i="14" s="1"/>
  <c r="T60" i="14"/>
  <c r="R19" i="14"/>
  <c r="U22" i="14"/>
  <c r="U178" i="13"/>
  <c r="R175" i="13"/>
  <c r="U175" i="13" s="1"/>
  <c r="U729" i="14"/>
  <c r="R728" i="14"/>
  <c r="U728" i="14" s="1"/>
  <c r="I615" i="14"/>
  <c r="K615" i="14" s="1"/>
  <c r="K629" i="14"/>
  <c r="R495" i="14"/>
  <c r="U495" i="14" s="1"/>
  <c r="M413" i="14"/>
  <c r="P413" i="14" s="1"/>
  <c r="P414" i="14"/>
  <c r="K85" i="14"/>
  <c r="I83" i="14"/>
  <c r="K83" i="14" s="1"/>
  <c r="K785" i="13"/>
  <c r="K782" i="13"/>
  <c r="K779" i="13"/>
  <c r="U647" i="13"/>
  <c r="P194" i="13"/>
  <c r="M179" i="13"/>
  <c r="P179" i="13" s="1"/>
  <c r="P181" i="13"/>
  <c r="Q692" i="14"/>
  <c r="T692" i="14" s="1"/>
  <c r="T695" i="14"/>
  <c r="Q693" i="14"/>
  <c r="M599" i="14"/>
  <c r="P599" i="14" s="1"/>
  <c r="P600" i="14"/>
  <c r="M576" i="14"/>
  <c r="P576" i="14" s="1"/>
  <c r="P577" i="14"/>
  <c r="Q496" i="14"/>
  <c r="T496" i="14" s="1"/>
  <c r="T498" i="14"/>
  <c r="Q495" i="14"/>
  <c r="T495" i="14" s="1"/>
  <c r="M493" i="14"/>
  <c r="P493" i="14" s="1"/>
  <c r="P494" i="14"/>
  <c r="Q392" i="14"/>
  <c r="T392" i="14" s="1"/>
  <c r="M326" i="14"/>
  <c r="P326" i="14" s="1"/>
  <c r="P328" i="14"/>
  <c r="N306" i="14"/>
  <c r="N305" i="14"/>
  <c r="N303" i="14" s="1"/>
  <c r="M192" i="14"/>
  <c r="P192" i="14" s="1"/>
  <c r="P194" i="14"/>
  <c r="Q175" i="14"/>
  <c r="T175" i="14" s="1"/>
  <c r="T178" i="14"/>
  <c r="Q176" i="14"/>
  <c r="T176" i="14" s="1"/>
  <c r="R157" i="14"/>
  <c r="U157" i="14" s="1"/>
  <c r="U158" i="14"/>
  <c r="P102" i="14"/>
  <c r="M100" i="14"/>
  <c r="P100" i="14" s="1"/>
  <c r="S94" i="14"/>
  <c r="I82" i="14"/>
  <c r="K82" i="14" s="1"/>
  <c r="K709" i="11"/>
  <c r="Q763" i="12"/>
  <c r="T763" i="12" s="1"/>
  <c r="K369" i="12"/>
  <c r="T188" i="12"/>
  <c r="S728" i="13"/>
  <c r="N515" i="13"/>
  <c r="N513" i="13" s="1"/>
  <c r="R413" i="13"/>
  <c r="U413" i="13" s="1"/>
  <c r="L236" i="13"/>
  <c r="U763" i="14"/>
  <c r="U733" i="14"/>
  <c r="N728" i="14"/>
  <c r="K630" i="14"/>
  <c r="R496" i="14"/>
  <c r="U496" i="14" s="1"/>
  <c r="L326" i="14"/>
  <c r="O326" i="14" s="1"/>
  <c r="O328" i="14"/>
  <c r="M306" i="14"/>
  <c r="P306" i="14" s="1"/>
  <c r="P308" i="14"/>
  <c r="M62" i="14"/>
  <c r="P62" i="14" s="1"/>
  <c r="P64" i="14"/>
  <c r="O62" i="10"/>
  <c r="M515" i="13"/>
  <c r="P515" i="13" s="1"/>
  <c r="M728" i="14"/>
  <c r="P728" i="14" s="1"/>
  <c r="P729" i="14"/>
  <c r="I689" i="14"/>
  <c r="K689" i="14" s="1"/>
  <c r="K707" i="14"/>
  <c r="S618" i="14"/>
  <c r="S616" i="14" s="1"/>
  <c r="J332" i="14"/>
  <c r="N269" i="14"/>
  <c r="N268" i="14"/>
  <c r="N266" i="14" s="1"/>
  <c r="L119" i="14"/>
  <c r="O119" i="14" s="1"/>
  <c r="O122" i="14"/>
  <c r="I93" i="14"/>
  <c r="K93" i="14" s="1"/>
  <c r="Q74" i="14"/>
  <c r="T74" i="14" s="1"/>
  <c r="T77" i="14"/>
  <c r="L61" i="14"/>
  <c r="L59" i="14" s="1"/>
  <c r="L62" i="14"/>
  <c r="O62" i="14" s="1"/>
  <c r="L50" i="14"/>
  <c r="O50" i="14" s="1"/>
  <c r="O52" i="14"/>
  <c r="P521" i="12"/>
  <c r="L516" i="12"/>
  <c r="O516" i="12" s="1"/>
  <c r="L145" i="13"/>
  <c r="O145" i="13" s="1"/>
  <c r="O147" i="13"/>
  <c r="R74" i="13"/>
  <c r="U74" i="13" s="1"/>
  <c r="R75" i="13"/>
  <c r="U75" i="13" s="1"/>
  <c r="N760" i="14"/>
  <c r="U730" i="14"/>
  <c r="L728" i="14"/>
  <c r="O728" i="14" s="1"/>
  <c r="O729" i="14"/>
  <c r="R618" i="14"/>
  <c r="R616" i="14" s="1"/>
  <c r="U621" i="14"/>
  <c r="R619" i="14"/>
  <c r="U619" i="14" s="1"/>
  <c r="I456" i="14"/>
  <c r="K456" i="14" s="1"/>
  <c r="I332" i="14"/>
  <c r="K344" i="14"/>
  <c r="O341" i="14"/>
  <c r="L339" i="14"/>
  <c r="O339" i="14" s="1"/>
  <c r="M305" i="14"/>
  <c r="P305" i="14" s="1"/>
  <c r="O304" i="14"/>
  <c r="M269" i="14"/>
  <c r="M268" i="14"/>
  <c r="M266" i="14" s="1"/>
  <c r="P271" i="14"/>
  <c r="R142" i="14"/>
  <c r="U142" i="14" s="1"/>
  <c r="U144" i="14"/>
  <c r="M96" i="14"/>
  <c r="P96" i="14" s="1"/>
  <c r="S97" i="14"/>
  <c r="N323" i="14"/>
  <c r="L305" i="14"/>
  <c r="O305" i="14" s="1"/>
  <c r="T306" i="14"/>
  <c r="I238" i="14"/>
  <c r="K238" i="14" s="1"/>
  <c r="P162" i="14"/>
  <c r="M160" i="14"/>
  <c r="P160" i="14" s="1"/>
  <c r="N74" i="14"/>
  <c r="N72" i="14" s="1"/>
  <c r="R72" i="14"/>
  <c r="U72" i="14" s="1"/>
  <c r="R44" i="14"/>
  <c r="U44" i="14" s="1"/>
  <c r="L760" i="14"/>
  <c r="O760" i="14" s="1"/>
  <c r="Q728" i="14"/>
  <c r="T728" i="14" s="1"/>
  <c r="K703" i="14"/>
  <c r="J675" i="14"/>
  <c r="Q599" i="14"/>
  <c r="T599" i="14" s="1"/>
  <c r="M519" i="14"/>
  <c r="P519" i="14" s="1"/>
  <c r="M515" i="14"/>
  <c r="P515" i="14" s="1"/>
  <c r="U418" i="14"/>
  <c r="S415" i="14"/>
  <c r="S413" i="14" s="1"/>
  <c r="K371" i="14"/>
  <c r="K368" i="14"/>
  <c r="J351" i="14"/>
  <c r="K346" i="14"/>
  <c r="M322" i="14"/>
  <c r="P322" i="14" s="1"/>
  <c r="U271" i="14"/>
  <c r="R268" i="14"/>
  <c r="R266" i="14" s="1"/>
  <c r="L236" i="14"/>
  <c r="L235" i="14"/>
  <c r="L159" i="14"/>
  <c r="O159" i="14" s="1"/>
  <c r="S159" i="14"/>
  <c r="S157" i="14" s="1"/>
  <c r="M145" i="14"/>
  <c r="P145" i="14" s="1"/>
  <c r="N141" i="14"/>
  <c r="N139" i="14" s="1"/>
  <c r="K116" i="14"/>
  <c r="R75" i="14"/>
  <c r="U75" i="14" s="1"/>
  <c r="P47" i="14"/>
  <c r="S44" i="14"/>
  <c r="Q44" i="14"/>
  <c r="T44" i="14" s="1"/>
  <c r="U26" i="14"/>
  <c r="Q24" i="14"/>
  <c r="T24" i="14" s="1"/>
  <c r="N19" i="14"/>
  <c r="K784" i="14"/>
  <c r="S690" i="14"/>
  <c r="L690" i="14"/>
  <c r="O690" i="14" s="1"/>
  <c r="L576" i="14"/>
  <c r="O576" i="14" s="1"/>
  <c r="N534" i="14"/>
  <c r="J457" i="14"/>
  <c r="J456" i="14" s="1"/>
  <c r="R415" i="14"/>
  <c r="U415" i="14" s="1"/>
  <c r="L306" i="14"/>
  <c r="O306" i="14" s="1"/>
  <c r="L254" i="14"/>
  <c r="O254" i="14" s="1"/>
  <c r="R117" i="14"/>
  <c r="U117" i="14" s="1"/>
  <c r="L74" i="14"/>
  <c r="O74" i="14" s="1"/>
  <c r="N75" i="14"/>
  <c r="S59" i="14"/>
  <c r="L46" i="14"/>
  <c r="L44" i="14" s="1"/>
  <c r="K781" i="14"/>
  <c r="Q762" i="14"/>
  <c r="Q760" i="14" s="1"/>
  <c r="R731" i="14"/>
  <c r="S714" i="14"/>
  <c r="K705" i="14"/>
  <c r="L599" i="14"/>
  <c r="O599" i="14" s="1"/>
  <c r="N555" i="14"/>
  <c r="S493" i="14"/>
  <c r="O393" i="14"/>
  <c r="J343" i="14"/>
  <c r="S320" i="14"/>
  <c r="O308" i="14"/>
  <c r="U283" i="14"/>
  <c r="L233" i="14"/>
  <c r="R189" i="14"/>
  <c r="O102" i="14"/>
  <c r="R94" i="14"/>
  <c r="U94" i="14" s="1"/>
  <c r="L75" i="14"/>
  <c r="O75" i="14" s="1"/>
  <c r="R59" i="14"/>
  <c r="U59" i="14" s="1"/>
  <c r="L19" i="14"/>
  <c r="K330" i="13"/>
  <c r="I319" i="13"/>
  <c r="K319" i="13" s="1"/>
  <c r="I221" i="11"/>
  <c r="K221" i="11" s="1"/>
  <c r="K229" i="11"/>
  <c r="L65" i="11"/>
  <c r="O65" i="11" s="1"/>
  <c r="O67" i="11"/>
  <c r="Q693" i="13"/>
  <c r="T693" i="13" s="1"/>
  <c r="T695" i="13"/>
  <c r="L519" i="13"/>
  <c r="O519" i="13" s="1"/>
  <c r="O521" i="13"/>
  <c r="I689" i="13"/>
  <c r="K689" i="13" s="1"/>
  <c r="K707" i="13"/>
  <c r="M375" i="14"/>
  <c r="P375" i="14" s="1"/>
  <c r="P376" i="14"/>
  <c r="O338" i="14"/>
  <c r="L336" i="14"/>
  <c r="O336" i="14" s="1"/>
  <c r="K781" i="12"/>
  <c r="K368" i="12"/>
  <c r="K368" i="13"/>
  <c r="K785" i="14"/>
  <c r="S762" i="14"/>
  <c r="M760" i="14"/>
  <c r="P760" i="14" s="1"/>
  <c r="M714" i="14"/>
  <c r="P714" i="14" s="1"/>
  <c r="M690" i="14"/>
  <c r="P690" i="14" s="1"/>
  <c r="R599" i="14"/>
  <c r="U599" i="14" s="1"/>
  <c r="R576" i="14"/>
  <c r="U576" i="14" s="1"/>
  <c r="R534" i="14"/>
  <c r="U534" i="14" s="1"/>
  <c r="O521" i="14"/>
  <c r="L519" i="14"/>
  <c r="O519" i="14" s="1"/>
  <c r="L375" i="14"/>
  <c r="O375" i="14" s="1"/>
  <c r="O376" i="14"/>
  <c r="T321" i="14"/>
  <c r="Q320" i="14"/>
  <c r="T320" i="14" s="1"/>
  <c r="Q305" i="14"/>
  <c r="Q303" i="14" s="1"/>
  <c r="T308" i="14"/>
  <c r="K209" i="14"/>
  <c r="I202" i="14"/>
  <c r="K202" i="14" s="1"/>
  <c r="K314" i="14"/>
  <c r="I302" i="14"/>
  <c r="K302" i="14" s="1"/>
  <c r="K783" i="13"/>
  <c r="K780" i="13"/>
  <c r="K678" i="13"/>
  <c r="P521" i="13"/>
  <c r="S495" i="13"/>
  <c r="S493" i="13" s="1"/>
  <c r="I374" i="13"/>
  <c r="O287" i="13"/>
  <c r="I93" i="13"/>
  <c r="K93" i="13" s="1"/>
  <c r="U77" i="13"/>
  <c r="O64" i="13"/>
  <c r="U761" i="14"/>
  <c r="O761" i="14"/>
  <c r="T733" i="14"/>
  <c r="S731" i="14"/>
  <c r="L714" i="14"/>
  <c r="O714" i="14" s="1"/>
  <c r="O691" i="14"/>
  <c r="T647" i="14"/>
  <c r="L642" i="14"/>
  <c r="O642" i="14" s="1"/>
  <c r="L616" i="14"/>
  <c r="O616" i="14" s="1"/>
  <c r="T600" i="14"/>
  <c r="T577" i="14"/>
  <c r="S555" i="14"/>
  <c r="Q534" i="14"/>
  <c r="T534" i="14" s="1"/>
  <c r="R513" i="14"/>
  <c r="U513" i="14" s="1"/>
  <c r="U514" i="14"/>
  <c r="K504" i="14"/>
  <c r="N285" i="14"/>
  <c r="N284" i="14"/>
  <c r="N282" i="14" s="1"/>
  <c r="I253" i="14"/>
  <c r="M189" i="14"/>
  <c r="P189" i="14" s="1"/>
  <c r="P191" i="14"/>
  <c r="S173" i="14"/>
  <c r="S24" i="14"/>
  <c r="S19" i="14"/>
  <c r="O514" i="14"/>
  <c r="K154" i="14"/>
  <c r="I136" i="14"/>
  <c r="K136" i="14" s="1"/>
  <c r="L234" i="12"/>
  <c r="O176" i="12"/>
  <c r="I759" i="13"/>
  <c r="K759" i="13" s="1"/>
  <c r="J351" i="13"/>
  <c r="N335" i="13"/>
  <c r="N333" i="13" s="1"/>
  <c r="Q306" i="13"/>
  <c r="R157" i="13"/>
  <c r="U157" i="13" s="1"/>
  <c r="T761" i="14"/>
  <c r="T715" i="14"/>
  <c r="R714" i="14"/>
  <c r="U714" i="14" s="1"/>
  <c r="I701" i="14"/>
  <c r="R692" i="14"/>
  <c r="U692" i="14" s="1"/>
  <c r="K632" i="14"/>
  <c r="O601" i="14"/>
  <c r="O578" i="14"/>
  <c r="U557" i="14"/>
  <c r="O557" i="14"/>
  <c r="L534" i="14"/>
  <c r="O534" i="14" s="1"/>
  <c r="S496" i="14"/>
  <c r="T414" i="14"/>
  <c r="M392" i="14"/>
  <c r="P392" i="14" s="1"/>
  <c r="P393" i="14"/>
  <c r="U376" i="14"/>
  <c r="T304" i="14"/>
  <c r="M284" i="14"/>
  <c r="P284" i="14" s="1"/>
  <c r="P287" i="14"/>
  <c r="P283" i="14"/>
  <c r="T267" i="14"/>
  <c r="Q266" i="14"/>
  <c r="T191" i="14"/>
  <c r="S189" i="14"/>
  <c r="O415" i="14"/>
  <c r="L413" i="14"/>
  <c r="O413" i="14" s="1"/>
  <c r="T144" i="14"/>
  <c r="Q142" i="14"/>
  <c r="T142" i="14" s="1"/>
  <c r="Q141" i="14"/>
  <c r="K183" i="10"/>
  <c r="M159" i="12"/>
  <c r="M157" i="12" s="1"/>
  <c r="Q760" i="13"/>
  <c r="K726" i="13"/>
  <c r="J674" i="13"/>
  <c r="K674" i="13" s="1"/>
  <c r="T647" i="13"/>
  <c r="O144" i="13"/>
  <c r="K779" i="14"/>
  <c r="U765" i="14"/>
  <c r="I759" i="14"/>
  <c r="K759" i="14" s="1"/>
  <c r="J701" i="14"/>
  <c r="U695" i="14"/>
  <c r="P643" i="14"/>
  <c r="Q618" i="14"/>
  <c r="T621" i="14"/>
  <c r="S534" i="14"/>
  <c r="M534" i="14"/>
  <c r="P534" i="14" s="1"/>
  <c r="I374" i="14"/>
  <c r="M362" i="14"/>
  <c r="P362" i="14" s="1"/>
  <c r="M358" i="14"/>
  <c r="P364" i="14"/>
  <c r="S176" i="14"/>
  <c r="T730" i="14"/>
  <c r="N175" i="12"/>
  <c r="N173" i="12" s="1"/>
  <c r="T765" i="14"/>
  <c r="K631" i="14"/>
  <c r="K626" i="14"/>
  <c r="M616" i="14"/>
  <c r="P616" i="14" s="1"/>
  <c r="P556" i="14"/>
  <c r="N515" i="14"/>
  <c r="N513" i="14" s="1"/>
  <c r="P514" i="14"/>
  <c r="O364" i="14"/>
  <c r="L362" i="14"/>
  <c r="O362" i="14" s="1"/>
  <c r="U358" i="14"/>
  <c r="R356" i="14"/>
  <c r="U356" i="14" s="1"/>
  <c r="M336" i="14"/>
  <c r="P336" i="14" s="1"/>
  <c r="M335" i="14"/>
  <c r="P338" i="14"/>
  <c r="L335" i="14"/>
  <c r="P334" i="14"/>
  <c r="L272" i="14"/>
  <c r="O272" i="14" s="1"/>
  <c r="T214" i="14"/>
  <c r="L175" i="14"/>
  <c r="L173" i="14" s="1"/>
  <c r="L176" i="14"/>
  <c r="O176" i="14" s="1"/>
  <c r="O178" i="14"/>
  <c r="K503" i="14"/>
  <c r="T418" i="14"/>
  <c r="S333" i="14"/>
  <c r="L322" i="14"/>
  <c r="O322" i="14" s="1"/>
  <c r="U308" i="14"/>
  <c r="S305" i="14"/>
  <c r="L284" i="14"/>
  <c r="P274" i="14"/>
  <c r="O271" i="14"/>
  <c r="S268" i="14"/>
  <c r="S266" i="14" s="1"/>
  <c r="L268" i="14"/>
  <c r="U188" i="14"/>
  <c r="R175" i="14"/>
  <c r="U175" i="14" s="1"/>
  <c r="R176" i="14"/>
  <c r="U176" i="14" s="1"/>
  <c r="Q160" i="14"/>
  <c r="T160" i="14" s="1"/>
  <c r="T162" i="14"/>
  <c r="Q159" i="14"/>
  <c r="T159" i="14" s="1"/>
  <c r="P52" i="14"/>
  <c r="M26" i="14"/>
  <c r="P26" i="14" s="1"/>
  <c r="M50" i="14"/>
  <c r="P50" i="14" s="1"/>
  <c r="L515" i="14"/>
  <c r="O515" i="14" s="1"/>
  <c r="K386" i="14"/>
  <c r="Q188" i="14"/>
  <c r="T188" i="14" s="1"/>
  <c r="K369" i="14"/>
  <c r="T158" i="14"/>
  <c r="U19" i="14"/>
  <c r="R377" i="14"/>
  <c r="U377" i="14" s="1"/>
  <c r="R333" i="14"/>
  <c r="U333" i="14" s="1"/>
  <c r="M323" i="14"/>
  <c r="P323" i="14" s="1"/>
  <c r="R320" i="14"/>
  <c r="U320" i="14" s="1"/>
  <c r="N188" i="14"/>
  <c r="N186" i="14" s="1"/>
  <c r="O174" i="14"/>
  <c r="T119" i="14"/>
  <c r="U191" i="14"/>
  <c r="O191" i="14"/>
  <c r="I137" i="14"/>
  <c r="K137" i="14" s="1"/>
  <c r="K152" i="14"/>
  <c r="U119" i="14"/>
  <c r="Q94" i="14"/>
  <c r="T94" i="14" s="1"/>
  <c r="P67" i="14"/>
  <c r="M65" i="14"/>
  <c r="P65" i="14" s="1"/>
  <c r="O47" i="14"/>
  <c r="M159" i="14"/>
  <c r="T122" i="14"/>
  <c r="Q120" i="14"/>
  <c r="L26" i="14"/>
  <c r="N175" i="14"/>
  <c r="N173" i="14" s="1"/>
  <c r="P140" i="14"/>
  <c r="P22" i="14"/>
  <c r="M19" i="14"/>
  <c r="P178" i="14"/>
  <c r="M175" i="14"/>
  <c r="I156" i="14"/>
  <c r="K156" i="14" s="1"/>
  <c r="S139" i="14"/>
  <c r="T99" i="14"/>
  <c r="Q97" i="14"/>
  <c r="T97" i="14" s="1"/>
  <c r="N26" i="14"/>
  <c r="N24" i="14" s="1"/>
  <c r="P25" i="14"/>
  <c r="O19" i="14"/>
  <c r="R160" i="14"/>
  <c r="U160" i="14" s="1"/>
  <c r="L160" i="14"/>
  <c r="O160" i="14" s="1"/>
  <c r="K153" i="14"/>
  <c r="P122" i="14"/>
  <c r="R120" i="14"/>
  <c r="L120" i="14"/>
  <c r="O120" i="14" s="1"/>
  <c r="T118" i="14"/>
  <c r="P99" i="14"/>
  <c r="R97" i="14"/>
  <c r="U97" i="14" s="1"/>
  <c r="L97" i="14"/>
  <c r="O97" i="14" s="1"/>
  <c r="T95" i="14"/>
  <c r="I92" i="14"/>
  <c r="K92" i="14" s="1"/>
  <c r="U77" i="14"/>
  <c r="O77" i="14"/>
  <c r="Q75" i="14"/>
  <c r="T75" i="14" s="1"/>
  <c r="O64" i="14"/>
  <c r="N50" i="14"/>
  <c r="O49" i="14"/>
  <c r="N23" i="14"/>
  <c r="M141" i="14"/>
  <c r="P141" i="14" s="1"/>
  <c r="U122" i="14"/>
  <c r="K84" i="14"/>
  <c r="N61" i="14"/>
  <c r="N59" i="14" s="1"/>
  <c r="N46" i="14"/>
  <c r="S23" i="14"/>
  <c r="S20" i="14" s="1"/>
  <c r="M23" i="14"/>
  <c r="M21" i="14" s="1"/>
  <c r="Q19" i="14"/>
  <c r="N159" i="14"/>
  <c r="N157" i="14" s="1"/>
  <c r="R141" i="14"/>
  <c r="L141" i="14"/>
  <c r="K127" i="14"/>
  <c r="N119" i="14"/>
  <c r="N117" i="14" s="1"/>
  <c r="N96" i="14"/>
  <c r="N94" i="14" s="1"/>
  <c r="S74" i="14"/>
  <c r="S72" i="14" s="1"/>
  <c r="M74" i="14"/>
  <c r="P74" i="14" s="1"/>
  <c r="M61" i="14"/>
  <c r="M46" i="14"/>
  <c r="R23" i="14"/>
  <c r="L23" i="14"/>
  <c r="Q23" i="14"/>
  <c r="L762" i="1"/>
  <c r="O762" i="1" s="1"/>
  <c r="K629" i="11"/>
  <c r="K785" i="12"/>
  <c r="I701" i="12"/>
  <c r="M305" i="12"/>
  <c r="P305" i="12" s="1"/>
  <c r="S306" i="12"/>
  <c r="P194" i="12"/>
  <c r="K183" i="12"/>
  <c r="S97" i="12"/>
  <c r="R762" i="13"/>
  <c r="R760" i="13" s="1"/>
  <c r="I758" i="13"/>
  <c r="K758" i="13" s="1"/>
  <c r="S731" i="13"/>
  <c r="U731" i="13" s="1"/>
  <c r="Q730" i="13"/>
  <c r="K676" i="13"/>
  <c r="L599" i="13"/>
  <c r="O599" i="13" s="1"/>
  <c r="O600" i="13"/>
  <c r="Q378" i="13"/>
  <c r="T380" i="13"/>
  <c r="P361" i="13"/>
  <c r="L326" i="13"/>
  <c r="O326" i="13" s="1"/>
  <c r="O328" i="13"/>
  <c r="R186" i="13"/>
  <c r="Q141" i="13"/>
  <c r="Q139" i="13" s="1"/>
  <c r="T139" i="13" s="1"/>
  <c r="Q142" i="13"/>
  <c r="T142" i="13" s="1"/>
  <c r="T144" i="13"/>
  <c r="Q214" i="1"/>
  <c r="J702" i="11"/>
  <c r="Q377" i="12"/>
  <c r="Q375" i="12" s="1"/>
  <c r="T375" i="12" s="1"/>
  <c r="O341" i="12"/>
  <c r="S176" i="12"/>
  <c r="Q731" i="13"/>
  <c r="R714" i="13"/>
  <c r="U714" i="13" s="1"/>
  <c r="U716" i="13"/>
  <c r="Q534" i="13"/>
  <c r="T534" i="13" s="1"/>
  <c r="T535" i="13"/>
  <c r="L493" i="13"/>
  <c r="O493" i="13" s="1"/>
  <c r="O494" i="13"/>
  <c r="T377" i="13"/>
  <c r="P359" i="13"/>
  <c r="I332" i="13"/>
  <c r="K344" i="13"/>
  <c r="R305" i="13"/>
  <c r="R303" i="13" s="1"/>
  <c r="R306" i="13"/>
  <c r="U308" i="13"/>
  <c r="I221" i="13"/>
  <c r="K221" i="13" s="1"/>
  <c r="K229" i="13"/>
  <c r="N61" i="13"/>
  <c r="N59" i="13" s="1"/>
  <c r="N62" i="13"/>
  <c r="O62" i="13" s="1"/>
  <c r="M326" i="13"/>
  <c r="P326" i="13" s="1"/>
  <c r="P328" i="13"/>
  <c r="N46" i="13"/>
  <c r="N44" i="13" s="1"/>
  <c r="N47" i="13"/>
  <c r="O47" i="13" s="1"/>
  <c r="J702" i="12"/>
  <c r="I83" i="12"/>
  <c r="K83" i="12" s="1"/>
  <c r="L760" i="13"/>
  <c r="O760" i="13" s="1"/>
  <c r="R599" i="13"/>
  <c r="U599" i="13" s="1"/>
  <c r="U600" i="13"/>
  <c r="N516" i="13"/>
  <c r="Q415" i="13"/>
  <c r="T415" i="13" s="1"/>
  <c r="Q416" i="13"/>
  <c r="T416" i="13" s="1"/>
  <c r="T418" i="13"/>
  <c r="M413" i="13"/>
  <c r="P413" i="13" s="1"/>
  <c r="P415" i="13"/>
  <c r="J332" i="13"/>
  <c r="Q268" i="13"/>
  <c r="T268" i="13" s="1"/>
  <c r="T271" i="13"/>
  <c r="Q269" i="13"/>
  <c r="Q176" i="13"/>
  <c r="T176" i="13" s="1"/>
  <c r="T178" i="13"/>
  <c r="P64" i="13"/>
  <c r="L714" i="13"/>
  <c r="O714" i="13" s="1"/>
  <c r="O716" i="13"/>
  <c r="L305" i="13"/>
  <c r="O308" i="13"/>
  <c r="I265" i="13"/>
  <c r="K265" i="13" s="1"/>
  <c r="K276" i="13"/>
  <c r="M74" i="13"/>
  <c r="P74" i="13" s="1"/>
  <c r="M75" i="13"/>
  <c r="P75" i="13" s="1"/>
  <c r="P77" i="13"/>
  <c r="S763" i="10"/>
  <c r="T763" i="10" s="1"/>
  <c r="K709" i="12"/>
  <c r="S690" i="12"/>
  <c r="T621" i="12"/>
  <c r="S269" i="12"/>
  <c r="T269" i="12" s="1"/>
  <c r="K260" i="12"/>
  <c r="M760" i="13"/>
  <c r="P760" i="13" s="1"/>
  <c r="K705" i="13"/>
  <c r="O415" i="13"/>
  <c r="L413" i="13"/>
  <c r="O413" i="13" s="1"/>
  <c r="K386" i="13"/>
  <c r="M309" i="13"/>
  <c r="P309" i="13" s="1"/>
  <c r="P311" i="13"/>
  <c r="N119" i="13"/>
  <c r="N117" i="13" s="1"/>
  <c r="N120" i="13"/>
  <c r="M78" i="13"/>
  <c r="P78" i="13" s="1"/>
  <c r="P80" i="13"/>
  <c r="L272" i="13"/>
  <c r="O272" i="13" s="1"/>
  <c r="O274" i="13"/>
  <c r="L254" i="13"/>
  <c r="O254" i="13" s="1"/>
  <c r="L188" i="13"/>
  <c r="L186" i="13" s="1"/>
  <c r="O191" i="13"/>
  <c r="L189" i="13"/>
  <c r="O189" i="13" s="1"/>
  <c r="L78" i="13"/>
  <c r="O78" i="13" s="1"/>
  <c r="O80" i="13"/>
  <c r="N74" i="13"/>
  <c r="N72" i="13" s="1"/>
  <c r="N75" i="13"/>
  <c r="R44" i="13"/>
  <c r="U44" i="13" s="1"/>
  <c r="S714" i="13"/>
  <c r="T621" i="13"/>
  <c r="S576" i="13"/>
  <c r="N534" i="13"/>
  <c r="S513" i="13"/>
  <c r="U418" i="13"/>
  <c r="R416" i="13"/>
  <c r="U416" i="13" s="1"/>
  <c r="N392" i="13"/>
  <c r="U380" i="13"/>
  <c r="N284" i="13"/>
  <c r="N282" i="13" s="1"/>
  <c r="R282" i="13"/>
  <c r="U282" i="13" s="1"/>
  <c r="M268" i="13"/>
  <c r="M266" i="13" s="1"/>
  <c r="J231" i="13"/>
  <c r="J185" i="13" s="1"/>
  <c r="L214" i="13"/>
  <c r="O214" i="13" s="1"/>
  <c r="K198" i="13"/>
  <c r="P165" i="13"/>
  <c r="U144" i="13"/>
  <c r="L123" i="13"/>
  <c r="O123" i="13" s="1"/>
  <c r="M119" i="13"/>
  <c r="M117" i="13" s="1"/>
  <c r="P117" i="13" s="1"/>
  <c r="S120" i="13"/>
  <c r="P102" i="13"/>
  <c r="I92" i="13"/>
  <c r="K92" i="13" s="1"/>
  <c r="L74" i="13"/>
  <c r="L72" i="13" s="1"/>
  <c r="O72" i="13" s="1"/>
  <c r="Q75" i="13"/>
  <c r="T75" i="13" s="1"/>
  <c r="Q44" i="13"/>
  <c r="T44" i="13" s="1"/>
  <c r="N19" i="13"/>
  <c r="Q714" i="13"/>
  <c r="T714" i="13" s="1"/>
  <c r="N642" i="13"/>
  <c r="M555" i="13"/>
  <c r="P555" i="13" s="1"/>
  <c r="Q513" i="13"/>
  <c r="T513" i="13" s="1"/>
  <c r="S378" i="13"/>
  <c r="O359" i="13"/>
  <c r="S356" i="13"/>
  <c r="P341" i="13"/>
  <c r="Q333" i="13"/>
  <c r="T333" i="13" s="1"/>
  <c r="R320" i="13"/>
  <c r="U320" i="13" s="1"/>
  <c r="L288" i="13"/>
  <c r="O288" i="13" s="1"/>
  <c r="N232" i="13"/>
  <c r="K183" i="13"/>
  <c r="L179" i="13"/>
  <c r="O179" i="13" s="1"/>
  <c r="L163" i="13"/>
  <c r="O163" i="13" s="1"/>
  <c r="M159" i="13"/>
  <c r="M157" i="13" s="1"/>
  <c r="S160" i="13"/>
  <c r="M141" i="13"/>
  <c r="M139" i="13" s="1"/>
  <c r="S142" i="13"/>
  <c r="K116" i="13"/>
  <c r="L119" i="13"/>
  <c r="O119" i="13" s="1"/>
  <c r="R120" i="13"/>
  <c r="L100" i="13"/>
  <c r="O100" i="13" s="1"/>
  <c r="M96" i="13"/>
  <c r="M94" i="13" s="1"/>
  <c r="P94" i="13" s="1"/>
  <c r="S97" i="13"/>
  <c r="I83" i="13"/>
  <c r="K83" i="13" s="1"/>
  <c r="Q24" i="13"/>
  <c r="T24" i="13" s="1"/>
  <c r="M19" i="13"/>
  <c r="L728" i="13"/>
  <c r="O728" i="13" s="1"/>
  <c r="K709" i="13"/>
  <c r="J701" i="13"/>
  <c r="S692" i="13"/>
  <c r="S690" i="13" s="1"/>
  <c r="T645" i="13"/>
  <c r="S644" i="13"/>
  <c r="S642" i="13" s="1"/>
  <c r="Q555" i="13"/>
  <c r="T555" i="13" s="1"/>
  <c r="L555" i="13"/>
  <c r="O555" i="13" s="1"/>
  <c r="R378" i="13"/>
  <c r="L322" i="13"/>
  <c r="O322" i="13" s="1"/>
  <c r="L309" i="13"/>
  <c r="O309" i="13" s="1"/>
  <c r="N305" i="13"/>
  <c r="N303" i="13" s="1"/>
  <c r="R268" i="13"/>
  <c r="U268" i="13" s="1"/>
  <c r="L234" i="13"/>
  <c r="L222" i="13"/>
  <c r="O222" i="13" s="1"/>
  <c r="K172" i="13"/>
  <c r="M175" i="13"/>
  <c r="M173" i="13" s="1"/>
  <c r="L159" i="13"/>
  <c r="R160" i="13"/>
  <c r="U160" i="13" s="1"/>
  <c r="K153" i="13"/>
  <c r="L96" i="13"/>
  <c r="O96" i="13" s="1"/>
  <c r="R97" i="13"/>
  <c r="U97" i="13" s="1"/>
  <c r="P49" i="13"/>
  <c r="T22" i="13"/>
  <c r="M728" i="13"/>
  <c r="P728" i="13" s="1"/>
  <c r="I701" i="13"/>
  <c r="Q692" i="13"/>
  <c r="Q690" i="13" s="1"/>
  <c r="L690" i="13"/>
  <c r="O690" i="13" s="1"/>
  <c r="R644" i="13"/>
  <c r="L642" i="13"/>
  <c r="O642" i="13" s="1"/>
  <c r="L616" i="13"/>
  <c r="O616" i="13" s="1"/>
  <c r="S534" i="13"/>
  <c r="I492" i="13"/>
  <c r="K492" i="13" s="1"/>
  <c r="R375" i="13"/>
  <c r="U375" i="13" s="1"/>
  <c r="L233" i="13"/>
  <c r="L203" i="13"/>
  <c r="O203" i="13" s="1"/>
  <c r="M176" i="13"/>
  <c r="M160" i="13"/>
  <c r="P160" i="13" s="1"/>
  <c r="M142" i="13"/>
  <c r="M120" i="13"/>
  <c r="P120" i="13" s="1"/>
  <c r="M97" i="13"/>
  <c r="P97" i="13" s="1"/>
  <c r="O77" i="13"/>
  <c r="L75" i="13"/>
  <c r="O75" i="13" s="1"/>
  <c r="O49" i="13"/>
  <c r="U763" i="13"/>
  <c r="R690" i="13"/>
  <c r="Q616" i="13"/>
  <c r="T616" i="13" s="1"/>
  <c r="T618" i="13"/>
  <c r="S693" i="10"/>
  <c r="U693" i="10" s="1"/>
  <c r="O165" i="10"/>
  <c r="U162" i="10"/>
  <c r="I136" i="10"/>
  <c r="K136" i="10" s="1"/>
  <c r="I456" i="11"/>
  <c r="K456" i="11" s="1"/>
  <c r="R189" i="11"/>
  <c r="K780" i="12"/>
  <c r="K673" i="12"/>
  <c r="T647" i="12"/>
  <c r="N335" i="12"/>
  <c r="N333" i="12" s="1"/>
  <c r="N305" i="12"/>
  <c r="N303" i="12" s="1"/>
  <c r="K276" i="12"/>
  <c r="I168" i="12"/>
  <c r="K168" i="12" s="1"/>
  <c r="P77" i="12"/>
  <c r="Q763" i="13"/>
  <c r="T763" i="13" s="1"/>
  <c r="K703" i="13"/>
  <c r="R693" i="13"/>
  <c r="U693" i="13" s="1"/>
  <c r="R645" i="13"/>
  <c r="U645" i="13" s="1"/>
  <c r="Q619" i="13"/>
  <c r="T578" i="13"/>
  <c r="R576" i="13"/>
  <c r="U576" i="13" s="1"/>
  <c r="L576" i="13"/>
  <c r="O576" i="13" s="1"/>
  <c r="M576" i="13"/>
  <c r="P576" i="13" s="1"/>
  <c r="O556" i="13"/>
  <c r="M534" i="13"/>
  <c r="P534" i="13" s="1"/>
  <c r="P535" i="13"/>
  <c r="J503" i="13"/>
  <c r="J492" i="13" s="1"/>
  <c r="K504" i="13"/>
  <c r="Q495" i="13"/>
  <c r="T495" i="13" s="1"/>
  <c r="Q496" i="13"/>
  <c r="T496" i="13" s="1"/>
  <c r="I423" i="13"/>
  <c r="Q392" i="13"/>
  <c r="T392" i="13" s="1"/>
  <c r="Q375" i="13"/>
  <c r="T375" i="13" s="1"/>
  <c r="T376" i="13"/>
  <c r="O361" i="13"/>
  <c r="S333" i="13"/>
  <c r="O334" i="13"/>
  <c r="K314" i="13"/>
  <c r="I302" i="13"/>
  <c r="K302" i="13" s="1"/>
  <c r="Q303" i="13"/>
  <c r="P290" i="13"/>
  <c r="S266" i="13"/>
  <c r="K779" i="12"/>
  <c r="J674" i="12"/>
  <c r="K674" i="12" s="1"/>
  <c r="R415" i="12"/>
  <c r="U415" i="12" s="1"/>
  <c r="R378" i="12"/>
  <c r="U378" i="12" s="1"/>
  <c r="R377" i="12"/>
  <c r="U377" i="12" s="1"/>
  <c r="M335" i="12"/>
  <c r="M333" i="12" s="1"/>
  <c r="K632" i="13"/>
  <c r="M616" i="13"/>
  <c r="P616" i="13" s="1"/>
  <c r="N358" i="13"/>
  <c r="N356" i="13" s="1"/>
  <c r="O338" i="13"/>
  <c r="O19" i="13"/>
  <c r="Q599" i="13"/>
  <c r="T599" i="13" s="1"/>
  <c r="L516" i="13"/>
  <c r="O516" i="13" s="1"/>
  <c r="L515" i="13"/>
  <c r="O515" i="13" s="1"/>
  <c r="R495" i="13"/>
  <c r="U498" i="13"/>
  <c r="L335" i="13"/>
  <c r="L222" i="10"/>
  <c r="O222" i="10" s="1"/>
  <c r="P99" i="10"/>
  <c r="J332" i="12"/>
  <c r="P341" i="12"/>
  <c r="O328" i="12"/>
  <c r="T308" i="12"/>
  <c r="T271" i="12"/>
  <c r="Q268" i="12"/>
  <c r="T268" i="12" s="1"/>
  <c r="T99" i="12"/>
  <c r="S762" i="13"/>
  <c r="S760" i="13" s="1"/>
  <c r="U733" i="13"/>
  <c r="R730" i="13"/>
  <c r="P729" i="13"/>
  <c r="P715" i="13"/>
  <c r="U643" i="13"/>
  <c r="O643" i="13"/>
  <c r="O617" i="13"/>
  <c r="O518" i="13"/>
  <c r="R496" i="13"/>
  <c r="U496" i="13" s="1"/>
  <c r="O376" i="13"/>
  <c r="P364" i="13"/>
  <c r="M362" i="13"/>
  <c r="P362" i="13" s="1"/>
  <c r="O341" i="13"/>
  <c r="M285" i="13"/>
  <c r="P285" i="13" s="1"/>
  <c r="M284" i="13"/>
  <c r="P284" i="13" s="1"/>
  <c r="P67" i="13"/>
  <c r="M65" i="13"/>
  <c r="P65" i="13" s="1"/>
  <c r="T358" i="13"/>
  <c r="Q356" i="13"/>
  <c r="T356" i="13" s="1"/>
  <c r="L100" i="10"/>
  <c r="O100" i="10" s="1"/>
  <c r="O144" i="11"/>
  <c r="K784" i="12"/>
  <c r="S303" i="12"/>
  <c r="O287" i="12"/>
  <c r="L235" i="12"/>
  <c r="U765" i="13"/>
  <c r="Q644" i="13"/>
  <c r="K630" i="13"/>
  <c r="K626" i="13"/>
  <c r="R618" i="13"/>
  <c r="U618" i="13" s="1"/>
  <c r="U617" i="13"/>
  <c r="R555" i="13"/>
  <c r="U555" i="13" s="1"/>
  <c r="U535" i="13"/>
  <c r="R534" i="13"/>
  <c r="U534" i="13" s="1"/>
  <c r="P494" i="13"/>
  <c r="M493" i="13"/>
  <c r="P493" i="13" s="1"/>
  <c r="I456" i="13"/>
  <c r="K456" i="13" s="1"/>
  <c r="S415" i="13"/>
  <c r="S413" i="13" s="1"/>
  <c r="U376" i="13"/>
  <c r="N336" i="13"/>
  <c r="O336" i="13" s="1"/>
  <c r="P334" i="13"/>
  <c r="K292" i="13"/>
  <c r="I281" i="13"/>
  <c r="K281" i="13" s="1"/>
  <c r="L269" i="13"/>
  <c r="O269" i="13" s="1"/>
  <c r="L268" i="13"/>
  <c r="O268" i="13" s="1"/>
  <c r="R189" i="9"/>
  <c r="S690" i="10"/>
  <c r="T175" i="10"/>
  <c r="O162" i="10"/>
  <c r="K778" i="12"/>
  <c r="K457" i="12"/>
  <c r="M288" i="12"/>
  <c r="P288" i="12" s="1"/>
  <c r="S266" i="12"/>
  <c r="L192" i="12"/>
  <c r="O192" i="12" s="1"/>
  <c r="R189" i="12"/>
  <c r="O165" i="12"/>
  <c r="L65" i="12"/>
  <c r="O65" i="12" s="1"/>
  <c r="T765" i="13"/>
  <c r="U695" i="13"/>
  <c r="K629" i="13"/>
  <c r="U621" i="13"/>
  <c r="I615" i="13"/>
  <c r="K615" i="13" s="1"/>
  <c r="P518" i="13"/>
  <c r="M516" i="13"/>
  <c r="P516" i="13" s="1"/>
  <c r="T414" i="13"/>
  <c r="P325" i="13"/>
  <c r="M322" i="13"/>
  <c r="M323" i="13"/>
  <c r="P323" i="13" s="1"/>
  <c r="Q282" i="13"/>
  <c r="T282" i="13" s="1"/>
  <c r="T191" i="13"/>
  <c r="S188" i="13"/>
  <c r="T188" i="13" s="1"/>
  <c r="U191" i="13"/>
  <c r="S189" i="13"/>
  <c r="M392" i="13"/>
  <c r="P392" i="13" s="1"/>
  <c r="P393" i="13"/>
  <c r="K371" i="13"/>
  <c r="I365" i="13"/>
  <c r="K365" i="13" s="1"/>
  <c r="M358" i="13"/>
  <c r="J343" i="13"/>
  <c r="P338" i="13"/>
  <c r="M336" i="13"/>
  <c r="R333" i="13"/>
  <c r="U333" i="13" s="1"/>
  <c r="U334" i="13"/>
  <c r="T308" i="13"/>
  <c r="S306" i="13"/>
  <c r="S305" i="13"/>
  <c r="M188" i="13"/>
  <c r="P191" i="13"/>
  <c r="N26" i="13"/>
  <c r="N24" i="13" s="1"/>
  <c r="N179" i="13"/>
  <c r="T122" i="13"/>
  <c r="Q120" i="13"/>
  <c r="Q119" i="13"/>
  <c r="T119" i="13" s="1"/>
  <c r="T99" i="13"/>
  <c r="Q97" i="13"/>
  <c r="T97" i="13" s="1"/>
  <c r="Q96" i="13"/>
  <c r="T96" i="13" s="1"/>
  <c r="R24" i="13"/>
  <c r="U24" i="13" s="1"/>
  <c r="U25" i="13"/>
  <c r="P19" i="13"/>
  <c r="O187" i="13"/>
  <c r="R513" i="13"/>
  <c r="U513" i="13" s="1"/>
  <c r="N493" i="13"/>
  <c r="R392" i="13"/>
  <c r="U392" i="13" s="1"/>
  <c r="U377" i="13"/>
  <c r="O364" i="13"/>
  <c r="M335" i="13"/>
  <c r="P308" i="13"/>
  <c r="M305" i="13"/>
  <c r="P305" i="13" s="1"/>
  <c r="P304" i="13"/>
  <c r="L284" i="13"/>
  <c r="P283" i="13"/>
  <c r="U271" i="13"/>
  <c r="N268" i="13"/>
  <c r="N266" i="13" s="1"/>
  <c r="M189" i="13"/>
  <c r="P189" i="13" s="1"/>
  <c r="S175" i="13"/>
  <c r="S173" i="13" s="1"/>
  <c r="S176" i="13"/>
  <c r="L175" i="13"/>
  <c r="O178" i="13"/>
  <c r="L176" i="13"/>
  <c r="U140" i="13"/>
  <c r="Q320" i="13"/>
  <c r="T320" i="13" s="1"/>
  <c r="T321" i="13"/>
  <c r="I242" i="13"/>
  <c r="K249" i="13"/>
  <c r="I238" i="13"/>
  <c r="K238" i="13" s="1"/>
  <c r="T74" i="13"/>
  <c r="Q72" i="13"/>
  <c r="T72" i="13" s="1"/>
  <c r="M61" i="13"/>
  <c r="L323" i="13"/>
  <c r="O323" i="13" s="1"/>
  <c r="N306" i="13"/>
  <c r="N285" i="13"/>
  <c r="M272" i="13"/>
  <c r="P272" i="13" s="1"/>
  <c r="S269" i="13"/>
  <c r="M269" i="13"/>
  <c r="P269" i="13" s="1"/>
  <c r="U267" i="13"/>
  <c r="O267" i="13"/>
  <c r="P144" i="13"/>
  <c r="N142" i="13"/>
  <c r="P73" i="13"/>
  <c r="O67" i="13"/>
  <c r="L65" i="13"/>
  <c r="O65" i="13" s="1"/>
  <c r="L61" i="13"/>
  <c r="P60" i="13"/>
  <c r="U22" i="13"/>
  <c r="R19" i="13"/>
  <c r="O325" i="13"/>
  <c r="P271" i="13"/>
  <c r="K260" i="13"/>
  <c r="L243" i="13"/>
  <c r="K220" i="13"/>
  <c r="N188" i="13"/>
  <c r="R176" i="13"/>
  <c r="U176" i="13" s="1"/>
  <c r="T162" i="13"/>
  <c r="Q160" i="13"/>
  <c r="T160" i="13" s="1"/>
  <c r="K154" i="13"/>
  <c r="I136" i="13"/>
  <c r="K136" i="13" s="1"/>
  <c r="R94" i="13"/>
  <c r="U94" i="13" s="1"/>
  <c r="Q157" i="13"/>
  <c r="T157" i="13" s="1"/>
  <c r="P140" i="13"/>
  <c r="U117" i="13"/>
  <c r="P52" i="13"/>
  <c r="M26" i="13"/>
  <c r="P26" i="13" s="1"/>
  <c r="M50" i="13"/>
  <c r="P50" i="13" s="1"/>
  <c r="P45" i="13"/>
  <c r="P25" i="13"/>
  <c r="N175" i="13"/>
  <c r="K169" i="13"/>
  <c r="I156" i="13"/>
  <c r="K156" i="13" s="1"/>
  <c r="O140" i="13"/>
  <c r="O52" i="13"/>
  <c r="L26" i="13"/>
  <c r="O26" i="13" s="1"/>
  <c r="L50" i="13"/>
  <c r="O50" i="13" s="1"/>
  <c r="L46" i="13"/>
  <c r="O25" i="13"/>
  <c r="N23" i="13"/>
  <c r="N21" i="13" s="1"/>
  <c r="P22" i="13"/>
  <c r="K202" i="13"/>
  <c r="N176" i="13"/>
  <c r="Q173" i="13"/>
  <c r="T173" i="13" s="1"/>
  <c r="S139" i="13"/>
  <c r="U119" i="13"/>
  <c r="I82" i="13"/>
  <c r="O22" i="13"/>
  <c r="U162" i="13"/>
  <c r="O162" i="13"/>
  <c r="U122" i="13"/>
  <c r="O122" i="13"/>
  <c r="U99" i="13"/>
  <c r="O99" i="13"/>
  <c r="K84" i="13"/>
  <c r="T77" i="13"/>
  <c r="S23" i="13"/>
  <c r="S20" i="13" s="1"/>
  <c r="S18" i="13" s="1"/>
  <c r="M23" i="13"/>
  <c r="M21" i="13" s="1"/>
  <c r="N159" i="13"/>
  <c r="K152" i="13"/>
  <c r="R141" i="13"/>
  <c r="U141" i="13" s="1"/>
  <c r="L141" i="13"/>
  <c r="K127" i="13"/>
  <c r="N96" i="13"/>
  <c r="N94" i="13" s="1"/>
  <c r="S74" i="13"/>
  <c r="S72" i="13" s="1"/>
  <c r="M46" i="13"/>
  <c r="R23" i="13"/>
  <c r="R21" i="13" s="1"/>
  <c r="L23" i="13"/>
  <c r="L21" i="13" s="1"/>
  <c r="Q23" i="13"/>
  <c r="S175" i="1"/>
  <c r="S619" i="11"/>
  <c r="T619" i="11" s="1"/>
  <c r="U621" i="11"/>
  <c r="L285" i="11"/>
  <c r="O285" i="11" s="1"/>
  <c r="O287" i="11"/>
  <c r="L375" i="12"/>
  <c r="O375" i="12" s="1"/>
  <c r="O376" i="12"/>
  <c r="T321" i="12"/>
  <c r="Q320" i="12"/>
  <c r="T320" i="12" s="1"/>
  <c r="M268" i="12"/>
  <c r="M266" i="12" s="1"/>
  <c r="P271" i="12"/>
  <c r="M269" i="12"/>
  <c r="P269" i="12" s="1"/>
  <c r="R59" i="12"/>
  <c r="U59" i="12" s="1"/>
  <c r="R19" i="12"/>
  <c r="U22" i="12"/>
  <c r="P338" i="9"/>
  <c r="I758" i="10"/>
  <c r="K758" i="10" s="1"/>
  <c r="L100" i="11"/>
  <c r="O100" i="11" s="1"/>
  <c r="O102" i="11"/>
  <c r="M555" i="12"/>
  <c r="P555" i="12" s="1"/>
  <c r="N515" i="12"/>
  <c r="N513" i="12" s="1"/>
  <c r="N516" i="12"/>
  <c r="S75" i="9"/>
  <c r="Q268" i="10"/>
  <c r="Q266" i="10" s="1"/>
  <c r="Q269" i="10"/>
  <c r="L642" i="12"/>
  <c r="O642" i="12" s="1"/>
  <c r="U376" i="12"/>
  <c r="M336" i="12"/>
  <c r="Q159" i="12"/>
  <c r="Q157" i="12" s="1"/>
  <c r="T157" i="12" s="1"/>
  <c r="T162" i="12"/>
  <c r="N120" i="12"/>
  <c r="N119" i="12"/>
  <c r="N117" i="12" s="1"/>
  <c r="N62" i="12"/>
  <c r="P62" i="12" s="1"/>
  <c r="P64" i="12"/>
  <c r="L272" i="10"/>
  <c r="O272" i="10" s="1"/>
  <c r="O274" i="10"/>
  <c r="Q714" i="12"/>
  <c r="T714" i="12" s="1"/>
  <c r="T716" i="12"/>
  <c r="I615" i="12"/>
  <c r="K615" i="12" s="1"/>
  <c r="K629" i="12"/>
  <c r="K631" i="12"/>
  <c r="Q555" i="12"/>
  <c r="T555" i="12" s="1"/>
  <c r="T556" i="12"/>
  <c r="M323" i="12"/>
  <c r="P323" i="12" s="1"/>
  <c r="P325" i="12"/>
  <c r="M96" i="12"/>
  <c r="P96" i="12" s="1"/>
  <c r="M97" i="12"/>
  <c r="P97" i="12" s="1"/>
  <c r="J701" i="9"/>
  <c r="P194" i="9"/>
  <c r="T695" i="11"/>
  <c r="Q692" i="11"/>
  <c r="Q690" i="11" s="1"/>
  <c r="Q693" i="11"/>
  <c r="T693" i="11" s="1"/>
  <c r="L516" i="11"/>
  <c r="O516" i="11" s="1"/>
  <c r="O518" i="11"/>
  <c r="R693" i="12"/>
  <c r="R692" i="12"/>
  <c r="R690" i="12" s="1"/>
  <c r="U695" i="12"/>
  <c r="R599" i="12"/>
  <c r="U599" i="12" s="1"/>
  <c r="U600" i="12"/>
  <c r="T418" i="12"/>
  <c r="Q416" i="12"/>
  <c r="T416" i="12" s="1"/>
  <c r="Q415" i="12"/>
  <c r="T415" i="12" s="1"/>
  <c r="M362" i="12"/>
  <c r="P362" i="12" s="1"/>
  <c r="K661" i="8"/>
  <c r="S760" i="10"/>
  <c r="Q760" i="12"/>
  <c r="T761" i="12"/>
  <c r="I374" i="12"/>
  <c r="K386" i="12"/>
  <c r="Q356" i="12"/>
  <c r="T356" i="12" s="1"/>
  <c r="T357" i="12"/>
  <c r="M78" i="12"/>
  <c r="P78" i="12" s="1"/>
  <c r="P80" i="12"/>
  <c r="R74" i="12"/>
  <c r="R72" i="12" s="1"/>
  <c r="R75" i="12"/>
  <c r="U75" i="12" s="1"/>
  <c r="L50" i="12"/>
  <c r="O50" i="12" s="1"/>
  <c r="O52" i="12"/>
  <c r="P191" i="10"/>
  <c r="T178" i="10"/>
  <c r="K346" i="11"/>
  <c r="L236" i="11"/>
  <c r="K209" i="11"/>
  <c r="M728" i="12"/>
  <c r="P728" i="12" s="1"/>
  <c r="K726" i="12"/>
  <c r="M714" i="12"/>
  <c r="P714" i="12" s="1"/>
  <c r="J701" i="12"/>
  <c r="R576" i="12"/>
  <c r="U576" i="12" s="1"/>
  <c r="M576" i="12"/>
  <c r="P576" i="12" s="1"/>
  <c r="O521" i="12"/>
  <c r="S513" i="12"/>
  <c r="K503" i="12"/>
  <c r="R416" i="12"/>
  <c r="U416" i="12" s="1"/>
  <c r="M392" i="12"/>
  <c r="P392" i="12" s="1"/>
  <c r="K346" i="12"/>
  <c r="Q306" i="12"/>
  <c r="L268" i="12"/>
  <c r="L254" i="12"/>
  <c r="O254" i="12" s="1"/>
  <c r="L203" i="12"/>
  <c r="O203" i="12" s="1"/>
  <c r="U191" i="12"/>
  <c r="S189" i="12"/>
  <c r="N179" i="12"/>
  <c r="I169" i="12"/>
  <c r="K169" i="12" s="1"/>
  <c r="M163" i="12"/>
  <c r="P163" i="12" s="1"/>
  <c r="N141" i="12"/>
  <c r="N139" i="12" s="1"/>
  <c r="O125" i="12"/>
  <c r="U122" i="12"/>
  <c r="M120" i="12"/>
  <c r="P120" i="12" s="1"/>
  <c r="L96" i="12"/>
  <c r="O96" i="12" s="1"/>
  <c r="S59" i="12"/>
  <c r="Q59" i="12"/>
  <c r="T59" i="12" s="1"/>
  <c r="P49" i="12"/>
  <c r="R415" i="11"/>
  <c r="U415" i="11" s="1"/>
  <c r="P287" i="11"/>
  <c r="P274" i="11"/>
  <c r="L235" i="11"/>
  <c r="M96" i="11"/>
  <c r="M94" i="11" s="1"/>
  <c r="M97" i="11"/>
  <c r="P97" i="11" s="1"/>
  <c r="P49" i="11"/>
  <c r="K772" i="12"/>
  <c r="N760" i="12"/>
  <c r="L728" i="12"/>
  <c r="O728" i="12" s="1"/>
  <c r="Q644" i="12"/>
  <c r="Q642" i="12" s="1"/>
  <c r="M413" i="12"/>
  <c r="P413" i="12" s="1"/>
  <c r="T305" i="12"/>
  <c r="N232" i="12"/>
  <c r="L188" i="12"/>
  <c r="L186" i="12" s="1"/>
  <c r="M145" i="12"/>
  <c r="P145" i="12" s="1"/>
  <c r="L119" i="12"/>
  <c r="O119" i="12" s="1"/>
  <c r="L61" i="12"/>
  <c r="L59" i="12" s="1"/>
  <c r="R44" i="12"/>
  <c r="U44" i="12" s="1"/>
  <c r="K707" i="11"/>
  <c r="R619" i="11"/>
  <c r="M100" i="11"/>
  <c r="P100" i="11" s="1"/>
  <c r="R763" i="12"/>
  <c r="U763" i="12" s="1"/>
  <c r="M760" i="12"/>
  <c r="P760" i="12" s="1"/>
  <c r="S693" i="12"/>
  <c r="L690" i="12"/>
  <c r="O690" i="12" s="1"/>
  <c r="J675" i="12"/>
  <c r="K675" i="12" s="1"/>
  <c r="R618" i="12"/>
  <c r="U618" i="12" s="1"/>
  <c r="N599" i="12"/>
  <c r="R495" i="12"/>
  <c r="R493" i="12" s="1"/>
  <c r="U493" i="12" s="1"/>
  <c r="S413" i="12"/>
  <c r="Q333" i="12"/>
  <c r="T333" i="12" s="1"/>
  <c r="K330" i="12"/>
  <c r="L269" i="12"/>
  <c r="O269" i="12" s="1"/>
  <c r="L236" i="12"/>
  <c r="I238" i="12"/>
  <c r="K238" i="12" s="1"/>
  <c r="K220" i="12"/>
  <c r="L214" i="12"/>
  <c r="O214" i="12" s="1"/>
  <c r="K198" i="12"/>
  <c r="N142" i="12"/>
  <c r="U119" i="12"/>
  <c r="Q72" i="12"/>
  <c r="P47" i="12"/>
  <c r="Q24" i="12"/>
  <c r="T24" i="12" s="1"/>
  <c r="N19" i="12"/>
  <c r="O64" i="10"/>
  <c r="J374" i="11"/>
  <c r="N268" i="11"/>
  <c r="N266" i="11" s="1"/>
  <c r="Q731" i="12"/>
  <c r="T731" i="12" s="1"/>
  <c r="T695" i="12"/>
  <c r="Q692" i="12"/>
  <c r="T692" i="12" s="1"/>
  <c r="N690" i="12"/>
  <c r="Q645" i="12"/>
  <c r="T645" i="12" s="1"/>
  <c r="Q618" i="12"/>
  <c r="T618" i="12" s="1"/>
  <c r="N616" i="12"/>
  <c r="L534" i="12"/>
  <c r="O534" i="12" s="1"/>
  <c r="N375" i="12"/>
  <c r="M358" i="12"/>
  <c r="M356" i="12" s="1"/>
  <c r="S356" i="12"/>
  <c r="N284" i="12"/>
  <c r="N282" i="12" s="1"/>
  <c r="Q282" i="12"/>
  <c r="T282" i="12" s="1"/>
  <c r="L222" i="12"/>
  <c r="O222" i="12" s="1"/>
  <c r="K172" i="12"/>
  <c r="S173" i="12"/>
  <c r="M142" i="12"/>
  <c r="P142" i="12" s="1"/>
  <c r="T119" i="12"/>
  <c r="R94" i="12"/>
  <c r="U94" i="12" s="1"/>
  <c r="I82" i="12"/>
  <c r="K82" i="12" s="1"/>
  <c r="L46" i="12"/>
  <c r="L44" i="12" s="1"/>
  <c r="L214" i="11"/>
  <c r="O214" i="11" s="1"/>
  <c r="L599" i="12"/>
  <c r="O599" i="12" s="1"/>
  <c r="L576" i="12"/>
  <c r="O576" i="12" s="1"/>
  <c r="R534" i="12"/>
  <c r="U534" i="12" s="1"/>
  <c r="N392" i="12"/>
  <c r="J374" i="12"/>
  <c r="R356" i="12"/>
  <c r="U356" i="12" s="1"/>
  <c r="N336" i="12"/>
  <c r="U322" i="12"/>
  <c r="O290" i="12"/>
  <c r="P274" i="12"/>
  <c r="Q186" i="12"/>
  <c r="L189" i="12"/>
  <c r="O122" i="12"/>
  <c r="R117" i="12"/>
  <c r="U117" i="12" s="1"/>
  <c r="O102" i="12"/>
  <c r="U99" i="12"/>
  <c r="L74" i="12"/>
  <c r="L72" i="12" s="1"/>
  <c r="L75" i="12"/>
  <c r="O75" i="12" s="1"/>
  <c r="L62" i="12"/>
  <c r="R24" i="12"/>
  <c r="U24" i="12" s="1"/>
  <c r="L19" i="12"/>
  <c r="Q728" i="12"/>
  <c r="U645" i="12"/>
  <c r="R760" i="12"/>
  <c r="U731" i="12"/>
  <c r="L323" i="12"/>
  <c r="O323" i="12" s="1"/>
  <c r="O325" i="12"/>
  <c r="S377" i="10"/>
  <c r="S375" i="10" s="1"/>
  <c r="P306" i="10"/>
  <c r="K784" i="11"/>
  <c r="K778" i="11"/>
  <c r="U306" i="11"/>
  <c r="R305" i="11"/>
  <c r="R303" i="11" s="1"/>
  <c r="L142" i="11"/>
  <c r="K707" i="12"/>
  <c r="M690" i="12"/>
  <c r="P690" i="12" s="1"/>
  <c r="S644" i="12"/>
  <c r="S642" i="12" s="1"/>
  <c r="R555" i="12"/>
  <c r="U555" i="12" s="1"/>
  <c r="Q534" i="12"/>
  <c r="T534" i="12" s="1"/>
  <c r="N493" i="12"/>
  <c r="Q392" i="12"/>
  <c r="T392" i="12" s="1"/>
  <c r="M326" i="12"/>
  <c r="P326" i="12" s="1"/>
  <c r="P328" i="12"/>
  <c r="K314" i="12"/>
  <c r="I302" i="12"/>
  <c r="K302" i="12" s="1"/>
  <c r="I280" i="12"/>
  <c r="K280" i="12" s="1"/>
  <c r="K293" i="12"/>
  <c r="P287" i="12"/>
  <c r="M285" i="12"/>
  <c r="P285" i="12" s="1"/>
  <c r="R496" i="11"/>
  <c r="U496" i="11" s="1"/>
  <c r="U378" i="11"/>
  <c r="L362" i="11"/>
  <c r="O362" i="11" s="1"/>
  <c r="O194" i="11"/>
  <c r="S730" i="12"/>
  <c r="T730" i="12" s="1"/>
  <c r="L714" i="12"/>
  <c r="O714" i="12" s="1"/>
  <c r="R644" i="12"/>
  <c r="U647" i="12"/>
  <c r="M599" i="12"/>
  <c r="P599" i="12" s="1"/>
  <c r="O577" i="12"/>
  <c r="Q576" i="12"/>
  <c r="T576" i="12" s="1"/>
  <c r="N534" i="12"/>
  <c r="M493" i="12"/>
  <c r="P493" i="12" s="1"/>
  <c r="P494" i="12"/>
  <c r="L493" i="12"/>
  <c r="O493" i="12" s="1"/>
  <c r="J458" i="12"/>
  <c r="S378" i="12"/>
  <c r="T378" i="12" s="1"/>
  <c r="L358" i="12"/>
  <c r="L356" i="12" s="1"/>
  <c r="O357" i="12"/>
  <c r="J343" i="12"/>
  <c r="O334" i="12"/>
  <c r="R306" i="12"/>
  <c r="R305" i="12"/>
  <c r="U305" i="12" s="1"/>
  <c r="U308" i="12"/>
  <c r="T304" i="12"/>
  <c r="Q303" i="12"/>
  <c r="P191" i="12"/>
  <c r="N189" i="12"/>
  <c r="P189" i="12" s="1"/>
  <c r="O191" i="12"/>
  <c r="N188" i="12"/>
  <c r="S305" i="11"/>
  <c r="T305" i="11" s="1"/>
  <c r="I365" i="12"/>
  <c r="K365" i="12" s="1"/>
  <c r="K371" i="12"/>
  <c r="P361" i="12"/>
  <c r="N359" i="12"/>
  <c r="P359" i="12" s="1"/>
  <c r="N358" i="12"/>
  <c r="O361" i="12"/>
  <c r="L309" i="12"/>
  <c r="O309" i="12" s="1"/>
  <c r="O311" i="12"/>
  <c r="M100" i="9"/>
  <c r="P100" i="9" s="1"/>
  <c r="U621" i="10"/>
  <c r="K440" i="10"/>
  <c r="L339" i="10"/>
  <c r="O339" i="10" s="1"/>
  <c r="K330" i="10"/>
  <c r="K276" i="10"/>
  <c r="K780" i="11"/>
  <c r="J674" i="11"/>
  <c r="U498" i="11"/>
  <c r="J332" i="11"/>
  <c r="P308" i="11"/>
  <c r="L234" i="11"/>
  <c r="N175" i="11"/>
  <c r="N173" i="11" s="1"/>
  <c r="S762" i="12"/>
  <c r="T762" i="12" s="1"/>
  <c r="I759" i="12"/>
  <c r="K759" i="12" s="1"/>
  <c r="U733" i="12"/>
  <c r="R730" i="12"/>
  <c r="P729" i="12"/>
  <c r="R714" i="12"/>
  <c r="U714" i="12" s="1"/>
  <c r="K703" i="12"/>
  <c r="K678" i="12"/>
  <c r="P644" i="12"/>
  <c r="K632" i="12"/>
  <c r="N576" i="12"/>
  <c r="U535" i="12"/>
  <c r="M515" i="12"/>
  <c r="M516" i="12"/>
  <c r="P516" i="12" s="1"/>
  <c r="J503" i="12"/>
  <c r="J492" i="12" s="1"/>
  <c r="S495" i="12"/>
  <c r="S493" i="12" s="1"/>
  <c r="T494" i="12"/>
  <c r="K440" i="12"/>
  <c r="S416" i="12"/>
  <c r="T380" i="12"/>
  <c r="R333" i="12"/>
  <c r="U333" i="12" s="1"/>
  <c r="M322" i="12"/>
  <c r="P322" i="12" s="1"/>
  <c r="K778" i="9"/>
  <c r="J675" i="10"/>
  <c r="K503" i="10"/>
  <c r="K293" i="10"/>
  <c r="Q176" i="10"/>
  <c r="T176" i="10" s="1"/>
  <c r="S692" i="11"/>
  <c r="M519" i="11"/>
  <c r="P519" i="11" s="1"/>
  <c r="T498" i="11"/>
  <c r="K368" i="11"/>
  <c r="L326" i="11"/>
  <c r="O326" i="11" s="1"/>
  <c r="O189" i="11"/>
  <c r="M175" i="11"/>
  <c r="M173" i="11" s="1"/>
  <c r="Q159" i="11"/>
  <c r="T159" i="11" s="1"/>
  <c r="U765" i="12"/>
  <c r="P761" i="12"/>
  <c r="T733" i="12"/>
  <c r="U729" i="12"/>
  <c r="O729" i="12"/>
  <c r="N714" i="12"/>
  <c r="K705" i="12"/>
  <c r="I689" i="12"/>
  <c r="K689" i="12" s="1"/>
  <c r="L616" i="12"/>
  <c r="O616" i="12" s="1"/>
  <c r="U577" i="12"/>
  <c r="M534" i="12"/>
  <c r="P534" i="12" s="1"/>
  <c r="L515" i="12"/>
  <c r="O515" i="12" s="1"/>
  <c r="I412" i="12"/>
  <c r="K412" i="12" s="1"/>
  <c r="K423" i="12"/>
  <c r="P414" i="12"/>
  <c r="T376" i="12"/>
  <c r="O364" i="12"/>
  <c r="L362" i="12"/>
  <c r="O362" i="12" s="1"/>
  <c r="L322" i="12"/>
  <c r="M284" i="12"/>
  <c r="L243" i="12"/>
  <c r="S269" i="1"/>
  <c r="U733" i="11"/>
  <c r="L222" i="11"/>
  <c r="O222" i="11" s="1"/>
  <c r="U178" i="11"/>
  <c r="S176" i="11"/>
  <c r="I83" i="11"/>
  <c r="K83" i="11" s="1"/>
  <c r="P80" i="11"/>
  <c r="T765" i="12"/>
  <c r="K676" i="12"/>
  <c r="U621" i="12"/>
  <c r="S619" i="12"/>
  <c r="T619" i="12" s="1"/>
  <c r="L555" i="12"/>
  <c r="O555" i="12" s="1"/>
  <c r="R513" i="12"/>
  <c r="U513" i="12" s="1"/>
  <c r="Q495" i="12"/>
  <c r="T495" i="12" s="1"/>
  <c r="T498" i="12"/>
  <c r="R392" i="12"/>
  <c r="U392" i="12" s="1"/>
  <c r="U393" i="12"/>
  <c r="M375" i="12"/>
  <c r="P375" i="12" s="1"/>
  <c r="P181" i="12"/>
  <c r="M179" i="12"/>
  <c r="P179" i="12" s="1"/>
  <c r="M175" i="12"/>
  <c r="K630" i="12"/>
  <c r="K626" i="12"/>
  <c r="U498" i="12"/>
  <c r="J351" i="12"/>
  <c r="O338" i="12"/>
  <c r="L336" i="12"/>
  <c r="L335" i="12"/>
  <c r="S320" i="12"/>
  <c r="L285" i="12"/>
  <c r="O285" i="12" s="1"/>
  <c r="L284" i="12"/>
  <c r="L282" i="12" s="1"/>
  <c r="I202" i="12"/>
  <c r="K202" i="12" s="1"/>
  <c r="K209" i="12"/>
  <c r="Q175" i="12"/>
  <c r="T175" i="12" s="1"/>
  <c r="T178" i="12"/>
  <c r="S186" i="12"/>
  <c r="K153" i="12"/>
  <c r="I138" i="12"/>
  <c r="K138" i="12" s="1"/>
  <c r="Q513" i="12"/>
  <c r="T513" i="12" s="1"/>
  <c r="S392" i="12"/>
  <c r="L392" i="12"/>
  <c r="O392" i="12" s="1"/>
  <c r="O393" i="12"/>
  <c r="I332" i="12"/>
  <c r="K344" i="12"/>
  <c r="P311" i="12"/>
  <c r="M309" i="12"/>
  <c r="P309" i="12" s="1"/>
  <c r="P308" i="12"/>
  <c r="M306" i="12"/>
  <c r="P306" i="12" s="1"/>
  <c r="K195" i="12"/>
  <c r="U188" i="12"/>
  <c r="S159" i="12"/>
  <c r="S157" i="12" s="1"/>
  <c r="S160" i="12"/>
  <c r="P158" i="12"/>
  <c r="I136" i="12"/>
  <c r="K136" i="12" s="1"/>
  <c r="I116" i="12"/>
  <c r="K116" i="12" s="1"/>
  <c r="P338" i="12"/>
  <c r="T334" i="12"/>
  <c r="N322" i="12"/>
  <c r="N320" i="12" s="1"/>
  <c r="O308" i="12"/>
  <c r="L305" i="12"/>
  <c r="O305" i="12" s="1"/>
  <c r="R282" i="12"/>
  <c r="U282" i="12" s="1"/>
  <c r="R268" i="12"/>
  <c r="U271" i="12"/>
  <c r="L179" i="12"/>
  <c r="O179" i="12" s="1"/>
  <c r="O181" i="12"/>
  <c r="P176" i="12"/>
  <c r="P162" i="12"/>
  <c r="M160" i="12"/>
  <c r="P160" i="12" s="1"/>
  <c r="M141" i="12"/>
  <c r="P52" i="12"/>
  <c r="M26" i="12"/>
  <c r="P26" i="12" s="1"/>
  <c r="M50" i="12"/>
  <c r="P50" i="12" s="1"/>
  <c r="L233" i="12"/>
  <c r="I221" i="12"/>
  <c r="K221" i="12" s="1"/>
  <c r="O187" i="12"/>
  <c r="R176" i="12"/>
  <c r="U176" i="12" s="1"/>
  <c r="R175" i="12"/>
  <c r="U175" i="12" s="1"/>
  <c r="U178" i="12"/>
  <c r="T174" i="12"/>
  <c r="L159" i="12"/>
  <c r="L157" i="12" s="1"/>
  <c r="L160" i="12"/>
  <c r="O160" i="12" s="1"/>
  <c r="O162" i="12"/>
  <c r="L142" i="12"/>
  <c r="O142" i="12" s="1"/>
  <c r="O144" i="12"/>
  <c r="L141" i="12"/>
  <c r="M123" i="12"/>
  <c r="P123" i="12" s="1"/>
  <c r="S19" i="12"/>
  <c r="S141" i="12"/>
  <c r="S139" i="12" s="1"/>
  <c r="S142" i="12"/>
  <c r="Q117" i="12"/>
  <c r="T117" i="12" s="1"/>
  <c r="U19" i="12"/>
  <c r="L272" i="12"/>
  <c r="O272" i="12" s="1"/>
  <c r="I231" i="12"/>
  <c r="K231" i="12" s="1"/>
  <c r="K242" i="12"/>
  <c r="R186" i="12"/>
  <c r="U187" i="12"/>
  <c r="O271" i="12"/>
  <c r="M188" i="12"/>
  <c r="O178" i="12"/>
  <c r="L175" i="12"/>
  <c r="K167" i="12"/>
  <c r="R159" i="12"/>
  <c r="U159" i="12" s="1"/>
  <c r="R160" i="12"/>
  <c r="U160" i="12" s="1"/>
  <c r="Q160" i="12"/>
  <c r="T160" i="12" s="1"/>
  <c r="K152" i="12"/>
  <c r="O147" i="12"/>
  <c r="T122" i="12"/>
  <c r="M119" i="12"/>
  <c r="P119" i="12" s="1"/>
  <c r="Q96" i="12"/>
  <c r="T96" i="12" s="1"/>
  <c r="P67" i="12"/>
  <c r="M65" i="12"/>
  <c r="P65" i="12" s="1"/>
  <c r="O47" i="12"/>
  <c r="N268" i="12"/>
  <c r="N266" i="12" s="1"/>
  <c r="Q142" i="12"/>
  <c r="T142" i="12" s="1"/>
  <c r="S120" i="12"/>
  <c r="U118" i="12"/>
  <c r="I93" i="12"/>
  <c r="K93" i="12" s="1"/>
  <c r="K109" i="12"/>
  <c r="K249" i="12"/>
  <c r="P178" i="12"/>
  <c r="Q141" i="12"/>
  <c r="T141" i="12" s="1"/>
  <c r="Q120" i="12"/>
  <c r="K108" i="12"/>
  <c r="M100" i="12"/>
  <c r="P100" i="12" s="1"/>
  <c r="L26" i="12"/>
  <c r="P22" i="12"/>
  <c r="M19" i="12"/>
  <c r="N159" i="12"/>
  <c r="N157" i="12" s="1"/>
  <c r="N97" i="12"/>
  <c r="N96" i="12"/>
  <c r="N94" i="12" s="1"/>
  <c r="N26" i="12"/>
  <c r="N24" i="12" s="1"/>
  <c r="P25" i="12"/>
  <c r="O19" i="12"/>
  <c r="R120" i="12"/>
  <c r="L120" i="12"/>
  <c r="O120" i="12" s="1"/>
  <c r="P99" i="12"/>
  <c r="R97" i="12"/>
  <c r="U97" i="12" s="1"/>
  <c r="L97" i="12"/>
  <c r="O97" i="12" s="1"/>
  <c r="T95" i="12"/>
  <c r="O80" i="12"/>
  <c r="U77" i="12"/>
  <c r="O77" i="12"/>
  <c r="Q75" i="12"/>
  <c r="T75" i="12" s="1"/>
  <c r="O64" i="12"/>
  <c r="N50" i="12"/>
  <c r="O49" i="12"/>
  <c r="N23" i="12"/>
  <c r="K84" i="12"/>
  <c r="T77" i="12"/>
  <c r="N74" i="12"/>
  <c r="N61" i="12"/>
  <c r="N46" i="12"/>
  <c r="N44" i="12" s="1"/>
  <c r="S23" i="12"/>
  <c r="S20" i="12" s="1"/>
  <c r="M23" i="12"/>
  <c r="Q19" i="12"/>
  <c r="S74" i="12"/>
  <c r="S72" i="12" s="1"/>
  <c r="M74" i="12"/>
  <c r="M61" i="12"/>
  <c r="M46" i="12"/>
  <c r="R23" i="12"/>
  <c r="L23" i="12"/>
  <c r="Q23" i="12"/>
  <c r="L534" i="11"/>
  <c r="O534" i="11" s="1"/>
  <c r="O535" i="11"/>
  <c r="Q74" i="11"/>
  <c r="Q72" i="11" s="1"/>
  <c r="T77" i="11"/>
  <c r="R377" i="10"/>
  <c r="U377" i="10" s="1"/>
  <c r="Q763" i="11"/>
  <c r="T763" i="11" s="1"/>
  <c r="Q762" i="11"/>
  <c r="Q760" i="11" s="1"/>
  <c r="T729" i="11"/>
  <c r="K705" i="11"/>
  <c r="L322" i="11"/>
  <c r="O322" i="11" s="1"/>
  <c r="O325" i="11"/>
  <c r="L323" i="11"/>
  <c r="O323" i="11" s="1"/>
  <c r="L288" i="11"/>
  <c r="O288" i="11" s="1"/>
  <c r="O290" i="11"/>
  <c r="R269" i="11"/>
  <c r="U271" i="11"/>
  <c r="L176" i="11"/>
  <c r="O178" i="11"/>
  <c r="L120" i="11"/>
  <c r="O120" i="11" s="1"/>
  <c r="O122" i="11"/>
  <c r="S94" i="11"/>
  <c r="Q59" i="11"/>
  <c r="T59" i="11" s="1"/>
  <c r="T60" i="11"/>
  <c r="R19" i="11"/>
  <c r="U22" i="11"/>
  <c r="L493" i="11"/>
  <c r="O493" i="11" s="1"/>
  <c r="O494" i="11"/>
  <c r="P174" i="11"/>
  <c r="O364" i="9"/>
  <c r="R618" i="10"/>
  <c r="U494" i="11"/>
  <c r="R493" i="11"/>
  <c r="U493" i="11" s="1"/>
  <c r="Q392" i="11"/>
  <c r="T392" i="11" s="1"/>
  <c r="M362" i="11"/>
  <c r="P362" i="11" s="1"/>
  <c r="P364" i="11"/>
  <c r="Q268" i="11"/>
  <c r="Q266" i="11" s="1"/>
  <c r="Q269" i="11"/>
  <c r="T271" i="11"/>
  <c r="S173" i="11"/>
  <c r="O73" i="11"/>
  <c r="T647" i="11"/>
  <c r="Q644" i="11"/>
  <c r="T644" i="11" s="1"/>
  <c r="Q645" i="11"/>
  <c r="T645" i="11" s="1"/>
  <c r="M515" i="11"/>
  <c r="P515" i="11" s="1"/>
  <c r="M516" i="11"/>
  <c r="P516" i="11" s="1"/>
  <c r="P518" i="11"/>
  <c r="K781" i="10"/>
  <c r="T308" i="10"/>
  <c r="I156" i="10"/>
  <c r="K156" i="10" s="1"/>
  <c r="Q120" i="10"/>
  <c r="T120" i="10" s="1"/>
  <c r="R75" i="10"/>
  <c r="U75" i="10" s="1"/>
  <c r="P62" i="10"/>
  <c r="M728" i="11"/>
  <c r="P728" i="11" s="1"/>
  <c r="P730" i="11"/>
  <c r="N413" i="11"/>
  <c r="M335" i="11"/>
  <c r="M333" i="11" s="1"/>
  <c r="M336" i="11"/>
  <c r="P336" i="11" s="1"/>
  <c r="Q303" i="11"/>
  <c r="T304" i="11"/>
  <c r="R120" i="11"/>
  <c r="U120" i="11" s="1"/>
  <c r="U122" i="11"/>
  <c r="M62" i="11"/>
  <c r="P62" i="11" s="1"/>
  <c r="P64" i="11"/>
  <c r="T26" i="11"/>
  <c r="Q24" i="11"/>
  <c r="T24" i="11" s="1"/>
  <c r="K330" i="11"/>
  <c r="I319" i="11"/>
  <c r="K319" i="11" s="1"/>
  <c r="U380" i="9"/>
  <c r="I136" i="9"/>
  <c r="K136" i="9" s="1"/>
  <c r="U695" i="10"/>
  <c r="S645" i="10"/>
  <c r="J374" i="10"/>
  <c r="L236" i="10"/>
  <c r="L203" i="10"/>
  <c r="O203" i="10" s="1"/>
  <c r="O178" i="10"/>
  <c r="O125" i="10"/>
  <c r="U77" i="10"/>
  <c r="S714" i="11"/>
  <c r="M326" i="11"/>
  <c r="P326" i="11" s="1"/>
  <c r="P328" i="11"/>
  <c r="S97" i="11"/>
  <c r="K85" i="11"/>
  <c r="L50" i="11"/>
  <c r="O50" i="11" s="1"/>
  <c r="O52" i="11"/>
  <c r="R141" i="11"/>
  <c r="R139" i="11" s="1"/>
  <c r="U139" i="11" s="1"/>
  <c r="R142" i="11"/>
  <c r="U142" i="11" s="1"/>
  <c r="U144" i="11"/>
  <c r="L145" i="9"/>
  <c r="O145" i="9" s="1"/>
  <c r="L50" i="9"/>
  <c r="O50" i="9" s="1"/>
  <c r="T380" i="10"/>
  <c r="P341" i="10"/>
  <c r="K292" i="10"/>
  <c r="P102" i="10"/>
  <c r="R762" i="11"/>
  <c r="R760" i="11" s="1"/>
  <c r="T643" i="11"/>
  <c r="P601" i="11"/>
  <c r="M599" i="11"/>
  <c r="P599" i="11" s="1"/>
  <c r="R576" i="11"/>
  <c r="U576" i="11" s="1"/>
  <c r="M493" i="11"/>
  <c r="P493" i="11" s="1"/>
  <c r="P494" i="11"/>
  <c r="I423" i="11"/>
  <c r="K423" i="11" s="1"/>
  <c r="K440" i="11"/>
  <c r="L123" i="11"/>
  <c r="O123" i="11" s="1"/>
  <c r="O125" i="11"/>
  <c r="L96" i="11"/>
  <c r="O96" i="11" s="1"/>
  <c r="O99" i="11"/>
  <c r="R74" i="11"/>
  <c r="R75" i="11"/>
  <c r="U75" i="11" s="1"/>
  <c r="R59" i="11"/>
  <c r="U59" i="11" s="1"/>
  <c r="K772" i="11"/>
  <c r="L690" i="11"/>
  <c r="O690" i="11" s="1"/>
  <c r="J675" i="11"/>
  <c r="O577" i="11"/>
  <c r="S493" i="11"/>
  <c r="J457" i="11"/>
  <c r="J456" i="11" s="1"/>
  <c r="U418" i="11"/>
  <c r="T393" i="11"/>
  <c r="K369" i="11"/>
  <c r="M339" i="11"/>
  <c r="P339" i="11" s="1"/>
  <c r="N305" i="11"/>
  <c r="N303" i="11" s="1"/>
  <c r="N284" i="11"/>
  <c r="N282" i="11" s="1"/>
  <c r="O274" i="11"/>
  <c r="O271" i="11"/>
  <c r="L243" i="11"/>
  <c r="O243" i="11" s="1"/>
  <c r="Q186" i="11"/>
  <c r="N176" i="11"/>
  <c r="O162" i="11"/>
  <c r="O147" i="11"/>
  <c r="M145" i="11"/>
  <c r="P145" i="11" s="1"/>
  <c r="K93" i="11"/>
  <c r="P77" i="11"/>
  <c r="L61" i="11"/>
  <c r="L59" i="11" s="1"/>
  <c r="R44" i="11"/>
  <c r="U44" i="11" s="1"/>
  <c r="O22" i="11"/>
  <c r="Q714" i="11"/>
  <c r="T714" i="11" s="1"/>
  <c r="U693" i="11"/>
  <c r="U647" i="11"/>
  <c r="S645" i="11"/>
  <c r="M642" i="11"/>
  <c r="P642" i="11" s="1"/>
  <c r="N576" i="11"/>
  <c r="S392" i="11"/>
  <c r="K386" i="11"/>
  <c r="N358" i="11"/>
  <c r="N356" i="11" s="1"/>
  <c r="N359" i="11"/>
  <c r="S356" i="11"/>
  <c r="S320" i="11"/>
  <c r="S282" i="11"/>
  <c r="K276" i="11"/>
  <c r="T191" i="11"/>
  <c r="N159" i="11"/>
  <c r="N157" i="11" s="1"/>
  <c r="N141" i="11"/>
  <c r="N139" i="11" s="1"/>
  <c r="M141" i="11"/>
  <c r="I82" i="11"/>
  <c r="I70" i="11" s="1"/>
  <c r="K70" i="11" s="1"/>
  <c r="S44" i="11"/>
  <c r="N19" i="11"/>
  <c r="R731" i="11"/>
  <c r="Q730" i="11"/>
  <c r="Q728" i="11" s="1"/>
  <c r="T728" i="11" s="1"/>
  <c r="N728" i="11"/>
  <c r="N690" i="11"/>
  <c r="R644" i="11"/>
  <c r="U644" i="11" s="1"/>
  <c r="S642" i="11"/>
  <c r="K615" i="11"/>
  <c r="M358" i="11"/>
  <c r="M356" i="11" s="1"/>
  <c r="M359" i="11"/>
  <c r="Q356" i="11"/>
  <c r="T356" i="11" s="1"/>
  <c r="U308" i="11"/>
  <c r="Q306" i="11"/>
  <c r="T306" i="11" s="1"/>
  <c r="L284" i="11"/>
  <c r="M268" i="11"/>
  <c r="S269" i="11"/>
  <c r="L254" i="11"/>
  <c r="O254" i="11" s="1"/>
  <c r="I238" i="11"/>
  <c r="K238" i="11" s="1"/>
  <c r="N232" i="11"/>
  <c r="L203" i="11"/>
  <c r="O203" i="11" s="1"/>
  <c r="L188" i="11"/>
  <c r="L186" i="11" s="1"/>
  <c r="K169" i="11"/>
  <c r="P162" i="11"/>
  <c r="P144" i="11"/>
  <c r="N119" i="11"/>
  <c r="N117" i="11" s="1"/>
  <c r="P75" i="11"/>
  <c r="L46" i="11"/>
  <c r="L44" i="11" s="1"/>
  <c r="K630" i="11"/>
  <c r="S618" i="11"/>
  <c r="U618" i="11" s="1"/>
  <c r="S576" i="11"/>
  <c r="S496" i="11"/>
  <c r="Q495" i="11"/>
  <c r="T495" i="11" s="1"/>
  <c r="N493" i="11"/>
  <c r="J458" i="11"/>
  <c r="S415" i="11"/>
  <c r="S413" i="11" s="1"/>
  <c r="S377" i="11"/>
  <c r="S375" i="11" s="1"/>
  <c r="I374" i="11"/>
  <c r="J343" i="11"/>
  <c r="N306" i="11"/>
  <c r="J231" i="11"/>
  <c r="J185" i="11" s="1"/>
  <c r="M179" i="11"/>
  <c r="P179" i="11" s="1"/>
  <c r="N160" i="11"/>
  <c r="L141" i="11"/>
  <c r="Q120" i="11"/>
  <c r="T120" i="11" s="1"/>
  <c r="R94" i="11"/>
  <c r="L74" i="11"/>
  <c r="L72" i="11" s="1"/>
  <c r="L75" i="11"/>
  <c r="O75" i="11" s="1"/>
  <c r="L62" i="11"/>
  <c r="O62" i="11" s="1"/>
  <c r="R24" i="11"/>
  <c r="U24" i="11" s="1"/>
  <c r="U763" i="11"/>
  <c r="U730" i="11"/>
  <c r="R728" i="11"/>
  <c r="U728" i="11" s="1"/>
  <c r="K689" i="11"/>
  <c r="M375" i="11"/>
  <c r="P375" i="11" s="1"/>
  <c r="M288" i="11"/>
  <c r="P288" i="11" s="1"/>
  <c r="P290" i="11"/>
  <c r="M284" i="11"/>
  <c r="P284" i="11" s="1"/>
  <c r="U618" i="9"/>
  <c r="K386" i="9"/>
  <c r="Q619" i="10"/>
  <c r="K346" i="10"/>
  <c r="L214" i="10"/>
  <c r="O214" i="10" s="1"/>
  <c r="K785" i="11"/>
  <c r="S762" i="11"/>
  <c r="M760" i="11"/>
  <c r="P760" i="11" s="1"/>
  <c r="M714" i="11"/>
  <c r="P714" i="11" s="1"/>
  <c r="M690" i="11"/>
  <c r="P690" i="11" s="1"/>
  <c r="L599" i="11"/>
  <c r="O599" i="11" s="1"/>
  <c r="R555" i="11"/>
  <c r="U555" i="11" s="1"/>
  <c r="M413" i="11"/>
  <c r="P413" i="11" s="1"/>
  <c r="Q378" i="11"/>
  <c r="T378" i="11" s="1"/>
  <c r="Q377" i="11"/>
  <c r="T380" i="11"/>
  <c r="L375" i="11"/>
  <c r="O375" i="11" s="1"/>
  <c r="O376" i="11"/>
  <c r="R333" i="11"/>
  <c r="U333" i="11" s="1"/>
  <c r="O321" i="11"/>
  <c r="L305" i="11"/>
  <c r="I302" i="11"/>
  <c r="K302" i="11" s="1"/>
  <c r="K292" i="11"/>
  <c r="I281" i="11"/>
  <c r="K281" i="11" s="1"/>
  <c r="O267" i="11"/>
  <c r="J675" i="9"/>
  <c r="K440" i="9"/>
  <c r="L339" i="9"/>
  <c r="O339" i="9" s="1"/>
  <c r="R763" i="10"/>
  <c r="J701" i="10"/>
  <c r="U380" i="10"/>
  <c r="Q377" i="10"/>
  <c r="K344" i="10"/>
  <c r="N322" i="10"/>
  <c r="N320" i="10" s="1"/>
  <c r="P287" i="10"/>
  <c r="L268" i="10"/>
  <c r="O268" i="10" s="1"/>
  <c r="T162" i="10"/>
  <c r="M159" i="10"/>
  <c r="P159" i="10" s="1"/>
  <c r="Q160" i="10"/>
  <c r="T160" i="10" s="1"/>
  <c r="L141" i="10"/>
  <c r="L139" i="10" s="1"/>
  <c r="U99" i="10"/>
  <c r="I92" i="10"/>
  <c r="K92" i="10" s="1"/>
  <c r="P64" i="10"/>
  <c r="O761" i="11"/>
  <c r="T733" i="11"/>
  <c r="S731" i="11"/>
  <c r="L714" i="11"/>
  <c r="O714" i="11" s="1"/>
  <c r="O691" i="11"/>
  <c r="L642" i="11"/>
  <c r="O642" i="11" s="1"/>
  <c r="L616" i="11"/>
  <c r="O616" i="11" s="1"/>
  <c r="R599" i="11"/>
  <c r="U599" i="11" s="1"/>
  <c r="Q555" i="11"/>
  <c r="T555" i="11" s="1"/>
  <c r="T556" i="11"/>
  <c r="L413" i="11"/>
  <c r="O413" i="11" s="1"/>
  <c r="L358" i="11"/>
  <c r="O361" i="11"/>
  <c r="L359" i="11"/>
  <c r="L339" i="11"/>
  <c r="O339" i="11" s="1"/>
  <c r="L335" i="11"/>
  <c r="O341" i="11"/>
  <c r="Q333" i="11"/>
  <c r="T333" i="11" s="1"/>
  <c r="P304" i="11"/>
  <c r="L179" i="11"/>
  <c r="O179" i="11" s="1"/>
  <c r="O181" i="11"/>
  <c r="P178" i="11"/>
  <c r="M176" i="11"/>
  <c r="T158" i="11"/>
  <c r="S24" i="11"/>
  <c r="S19" i="11"/>
  <c r="S555" i="11"/>
  <c r="R513" i="11"/>
  <c r="U513" i="11" s="1"/>
  <c r="U514" i="11"/>
  <c r="O336" i="11"/>
  <c r="K293" i="11"/>
  <c r="I280" i="11"/>
  <c r="K280" i="11" s="1"/>
  <c r="P267" i="11"/>
  <c r="I213" i="11"/>
  <c r="K213" i="11" s="1"/>
  <c r="K220" i="11"/>
  <c r="L519" i="9"/>
  <c r="O519" i="9" s="1"/>
  <c r="Q269" i="9"/>
  <c r="M519" i="10"/>
  <c r="P519" i="10" s="1"/>
  <c r="M322" i="10"/>
  <c r="P322" i="10" s="1"/>
  <c r="O287" i="10"/>
  <c r="N141" i="10"/>
  <c r="N139" i="10" s="1"/>
  <c r="O99" i="10"/>
  <c r="T761" i="11"/>
  <c r="T715" i="11"/>
  <c r="R714" i="11"/>
  <c r="U714" i="11" s="1"/>
  <c r="I701" i="11"/>
  <c r="R692" i="11"/>
  <c r="K632" i="11"/>
  <c r="R616" i="11"/>
  <c r="Q599" i="11"/>
  <c r="T599" i="11" s="1"/>
  <c r="M534" i="11"/>
  <c r="P534" i="11" s="1"/>
  <c r="P535" i="11"/>
  <c r="N515" i="11"/>
  <c r="N513" i="11" s="1"/>
  <c r="P514" i="11"/>
  <c r="U376" i="11"/>
  <c r="U321" i="11"/>
  <c r="R320" i="11"/>
  <c r="U320" i="11" s="1"/>
  <c r="M272" i="9"/>
  <c r="P272" i="9" s="1"/>
  <c r="L235" i="9"/>
  <c r="T162" i="9"/>
  <c r="I156" i="9"/>
  <c r="K156" i="9" s="1"/>
  <c r="M141" i="9"/>
  <c r="M139" i="9" s="1"/>
  <c r="U178" i="10"/>
  <c r="M175" i="10"/>
  <c r="M173" i="10" s="1"/>
  <c r="M119" i="10"/>
  <c r="P119" i="10" s="1"/>
  <c r="O80" i="10"/>
  <c r="T77" i="10"/>
  <c r="L74" i="10"/>
  <c r="L72" i="10" s="1"/>
  <c r="Q75" i="10"/>
  <c r="T75" i="10" s="1"/>
  <c r="K779" i="11"/>
  <c r="U765" i="11"/>
  <c r="I759" i="11"/>
  <c r="K759" i="11" s="1"/>
  <c r="J701" i="11"/>
  <c r="U695" i="11"/>
  <c r="P643" i="11"/>
  <c r="Q618" i="11"/>
  <c r="T621" i="11"/>
  <c r="T577" i="11"/>
  <c r="O514" i="11"/>
  <c r="T414" i="11"/>
  <c r="M392" i="11"/>
  <c r="P392" i="11" s="1"/>
  <c r="P393" i="11"/>
  <c r="T376" i="11"/>
  <c r="O338" i="11"/>
  <c r="N335" i="11"/>
  <c r="N333" i="11" s="1"/>
  <c r="P338" i="11"/>
  <c r="R186" i="11"/>
  <c r="L163" i="11"/>
  <c r="O163" i="11" s="1"/>
  <c r="O165" i="11"/>
  <c r="K779" i="9"/>
  <c r="L234" i="9"/>
  <c r="K783" i="10"/>
  <c r="K705" i="10"/>
  <c r="R692" i="10"/>
  <c r="U692" i="10" s="1"/>
  <c r="J351" i="10"/>
  <c r="P328" i="10"/>
  <c r="K781" i="11"/>
  <c r="T765" i="11"/>
  <c r="K703" i="11"/>
  <c r="K631" i="11"/>
  <c r="K626" i="11"/>
  <c r="M616" i="11"/>
  <c r="P616" i="11" s="1"/>
  <c r="M555" i="11"/>
  <c r="P555" i="11" s="1"/>
  <c r="O521" i="11"/>
  <c r="L519" i="11"/>
  <c r="O519" i="11" s="1"/>
  <c r="J503" i="11"/>
  <c r="J492" i="11" s="1"/>
  <c r="N375" i="11"/>
  <c r="K371" i="11"/>
  <c r="I365" i="11"/>
  <c r="K365" i="11" s="1"/>
  <c r="P357" i="11"/>
  <c r="J351" i="11"/>
  <c r="M309" i="11"/>
  <c r="P309" i="11" s="1"/>
  <c r="P311" i="11"/>
  <c r="L309" i="11"/>
  <c r="O309" i="11" s="1"/>
  <c r="U556" i="11"/>
  <c r="O556" i="11"/>
  <c r="K503" i="11"/>
  <c r="T418" i="11"/>
  <c r="Q415" i="11"/>
  <c r="T415" i="11" s="1"/>
  <c r="U414" i="11"/>
  <c r="O414" i="11"/>
  <c r="U380" i="11"/>
  <c r="R377" i="11"/>
  <c r="P376" i="11"/>
  <c r="P361" i="11"/>
  <c r="R356" i="11"/>
  <c r="U356" i="11" s="1"/>
  <c r="P325" i="11"/>
  <c r="T322" i="11"/>
  <c r="N322" i="11"/>
  <c r="N320" i="11" s="1"/>
  <c r="S266" i="11"/>
  <c r="I253" i="11"/>
  <c r="K253" i="11" s="1"/>
  <c r="K260" i="11"/>
  <c r="O191" i="11"/>
  <c r="N188" i="11"/>
  <c r="N186" i="11" s="1"/>
  <c r="K183" i="11"/>
  <c r="I172" i="11"/>
  <c r="K172" i="11" s="1"/>
  <c r="P52" i="11"/>
  <c r="M26" i="11"/>
  <c r="P26" i="11" s="1"/>
  <c r="M50" i="11"/>
  <c r="P50" i="11" s="1"/>
  <c r="L515" i="11"/>
  <c r="O515" i="11" s="1"/>
  <c r="M322" i="11"/>
  <c r="L306" i="11"/>
  <c r="O306" i="11" s="1"/>
  <c r="M305" i="11"/>
  <c r="P305" i="11" s="1"/>
  <c r="U267" i="11"/>
  <c r="P194" i="11"/>
  <c r="M192" i="11"/>
  <c r="P192" i="11" s="1"/>
  <c r="M189" i="11"/>
  <c r="P189" i="11" s="1"/>
  <c r="M188" i="11"/>
  <c r="P191" i="11"/>
  <c r="P187" i="11"/>
  <c r="S141" i="11"/>
  <c r="S139" i="11" s="1"/>
  <c r="S142" i="11"/>
  <c r="P271" i="11"/>
  <c r="N269" i="11"/>
  <c r="P269" i="11" s="1"/>
  <c r="K198" i="11"/>
  <c r="O187" i="11"/>
  <c r="K154" i="11"/>
  <c r="I136" i="11"/>
  <c r="K136" i="11" s="1"/>
  <c r="U19" i="11"/>
  <c r="I332" i="11"/>
  <c r="K344" i="11"/>
  <c r="P283" i="11"/>
  <c r="L233" i="11"/>
  <c r="S189" i="11"/>
  <c r="S188" i="11"/>
  <c r="T188" i="11" s="1"/>
  <c r="U191" i="11"/>
  <c r="T174" i="11"/>
  <c r="M163" i="11"/>
  <c r="P163" i="11" s="1"/>
  <c r="K153" i="11"/>
  <c r="I138" i="11"/>
  <c r="K138" i="11" s="1"/>
  <c r="T308" i="11"/>
  <c r="K249" i="11"/>
  <c r="I242" i="11"/>
  <c r="L175" i="11"/>
  <c r="U162" i="11"/>
  <c r="M160" i="11"/>
  <c r="M159" i="11"/>
  <c r="I137" i="11"/>
  <c r="K137" i="11" s="1"/>
  <c r="K152" i="11"/>
  <c r="Q94" i="11"/>
  <c r="P67" i="11"/>
  <c r="M65" i="11"/>
  <c r="P65" i="11" s="1"/>
  <c r="O47" i="11"/>
  <c r="R268" i="11"/>
  <c r="U268" i="11" s="1"/>
  <c r="L268" i="11"/>
  <c r="O268" i="11" s="1"/>
  <c r="L159" i="11"/>
  <c r="P118" i="11"/>
  <c r="L26" i="11"/>
  <c r="Q189" i="11"/>
  <c r="Q176" i="11"/>
  <c r="T176" i="11" s="1"/>
  <c r="R175" i="11"/>
  <c r="S160" i="11"/>
  <c r="Q142" i="11"/>
  <c r="T142" i="11" s="1"/>
  <c r="Q141" i="11"/>
  <c r="U96" i="11"/>
  <c r="T96" i="11"/>
  <c r="P47" i="11"/>
  <c r="P22" i="11"/>
  <c r="M19" i="11"/>
  <c r="Q175" i="11"/>
  <c r="T175" i="11" s="1"/>
  <c r="Q160" i="11"/>
  <c r="T160" i="11" s="1"/>
  <c r="R159" i="11"/>
  <c r="T99" i="11"/>
  <c r="Q97" i="11"/>
  <c r="N26" i="11"/>
  <c r="N24" i="11" s="1"/>
  <c r="P25" i="11"/>
  <c r="O19" i="11"/>
  <c r="N142" i="11"/>
  <c r="P142" i="11" s="1"/>
  <c r="K127" i="11"/>
  <c r="T122" i="11"/>
  <c r="K109" i="11"/>
  <c r="P99" i="11"/>
  <c r="R97" i="11"/>
  <c r="L97" i="11"/>
  <c r="O97" i="11" s="1"/>
  <c r="T95" i="11"/>
  <c r="I92" i="11"/>
  <c r="K92" i="11" s="1"/>
  <c r="O80" i="11"/>
  <c r="U77" i="11"/>
  <c r="O77" i="11"/>
  <c r="Q75" i="11"/>
  <c r="T75" i="11" s="1"/>
  <c r="O64" i="11"/>
  <c r="N50" i="11"/>
  <c r="O49" i="11"/>
  <c r="N23" i="11"/>
  <c r="S119" i="11"/>
  <c r="T119" i="11" s="1"/>
  <c r="M119" i="11"/>
  <c r="P119" i="11" s="1"/>
  <c r="U99" i="11"/>
  <c r="N74" i="11"/>
  <c r="N72" i="11" s="1"/>
  <c r="N61" i="11"/>
  <c r="N46" i="11"/>
  <c r="N44" i="11" s="1"/>
  <c r="S23" i="11"/>
  <c r="S20" i="11" s="1"/>
  <c r="M23" i="11"/>
  <c r="Q19" i="11"/>
  <c r="R119" i="11"/>
  <c r="L119" i="11"/>
  <c r="N96" i="11"/>
  <c r="N94" i="11" s="1"/>
  <c r="S74" i="11"/>
  <c r="S72" i="11" s="1"/>
  <c r="M74" i="11"/>
  <c r="M61" i="11"/>
  <c r="M46" i="11"/>
  <c r="R23" i="11"/>
  <c r="L23" i="11"/>
  <c r="M123" i="11"/>
  <c r="P123" i="11" s="1"/>
  <c r="M120" i="11"/>
  <c r="P120" i="11" s="1"/>
  <c r="Q23" i="11"/>
  <c r="M222" i="1"/>
  <c r="Q645" i="10"/>
  <c r="T645" i="10" s="1"/>
  <c r="T647" i="10"/>
  <c r="Q644" i="10"/>
  <c r="Q642" i="10" s="1"/>
  <c r="T642" i="10" s="1"/>
  <c r="U577" i="10"/>
  <c r="R576" i="10"/>
  <c r="U576" i="10" s="1"/>
  <c r="L214" i="1"/>
  <c r="O214" i="1" s="1"/>
  <c r="K369" i="7"/>
  <c r="R763" i="9"/>
  <c r="U765" i="9"/>
  <c r="K346" i="9"/>
  <c r="P761" i="10"/>
  <c r="M760" i="10"/>
  <c r="P760" i="10" s="1"/>
  <c r="M599" i="10"/>
  <c r="P599" i="10" s="1"/>
  <c r="Q416" i="10"/>
  <c r="T416" i="10" s="1"/>
  <c r="T418" i="10"/>
  <c r="Q415" i="10"/>
  <c r="T415" i="10" s="1"/>
  <c r="K386" i="10"/>
  <c r="K371" i="10"/>
  <c r="I365" i="10"/>
  <c r="K365" i="10" s="1"/>
  <c r="K368" i="10"/>
  <c r="M359" i="10"/>
  <c r="P361" i="10"/>
  <c r="R305" i="10"/>
  <c r="U305" i="10" s="1"/>
  <c r="U308" i="10"/>
  <c r="K504" i="10"/>
  <c r="J503" i="10"/>
  <c r="J492" i="10" s="1"/>
  <c r="O361" i="10"/>
  <c r="N359" i="10"/>
  <c r="O359" i="10" s="1"/>
  <c r="S188" i="10"/>
  <c r="S186" i="10" s="1"/>
  <c r="S189" i="10"/>
  <c r="O191" i="9"/>
  <c r="K780" i="10"/>
  <c r="L760" i="10"/>
  <c r="O760" i="10" s="1"/>
  <c r="O761" i="10"/>
  <c r="O729" i="10"/>
  <c r="L728" i="10"/>
  <c r="O728" i="10" s="1"/>
  <c r="K726" i="10"/>
  <c r="Q714" i="10"/>
  <c r="T714" i="10" s="1"/>
  <c r="I701" i="10"/>
  <c r="T536" i="10"/>
  <c r="Q534" i="10"/>
  <c r="T534" i="10" s="1"/>
  <c r="K457" i="10"/>
  <c r="I456" i="10"/>
  <c r="K456" i="10" s="1"/>
  <c r="I374" i="10"/>
  <c r="R282" i="10"/>
  <c r="U282" i="10" s="1"/>
  <c r="U284" i="10"/>
  <c r="S141" i="10"/>
  <c r="S139" i="10" s="1"/>
  <c r="T25" i="10"/>
  <c r="Q24" i="10"/>
  <c r="T24" i="10" s="1"/>
  <c r="P194" i="10"/>
  <c r="M188" i="10"/>
  <c r="M186" i="10" s="1"/>
  <c r="U498" i="9"/>
  <c r="R496" i="9"/>
  <c r="U496" i="9" s="1"/>
  <c r="I202" i="9"/>
  <c r="K202" i="9" s="1"/>
  <c r="K209" i="9"/>
  <c r="K198" i="9"/>
  <c r="I195" i="9"/>
  <c r="K195" i="9" s="1"/>
  <c r="U601" i="10"/>
  <c r="R599" i="10"/>
  <c r="U599" i="10" s="1"/>
  <c r="Q282" i="10"/>
  <c r="T282" i="10" s="1"/>
  <c r="T284" i="10"/>
  <c r="Q72" i="10"/>
  <c r="T73" i="10"/>
  <c r="Q44" i="10"/>
  <c r="T44" i="10" s="1"/>
  <c r="T45" i="10"/>
  <c r="R416" i="10"/>
  <c r="U416" i="10" s="1"/>
  <c r="U418" i="10"/>
  <c r="R415" i="10"/>
  <c r="U415" i="10" s="1"/>
  <c r="L516" i="9"/>
  <c r="O516" i="9" s="1"/>
  <c r="O518" i="9"/>
  <c r="Q142" i="9"/>
  <c r="T142" i="9" s="1"/>
  <c r="T144" i="9"/>
  <c r="Q730" i="10"/>
  <c r="Q728" i="10" s="1"/>
  <c r="Q731" i="10"/>
  <c r="Q693" i="10"/>
  <c r="T695" i="10"/>
  <c r="Q692" i="10"/>
  <c r="T692" i="10" s="1"/>
  <c r="T414" i="10"/>
  <c r="M413" i="10"/>
  <c r="P413" i="10" s="1"/>
  <c r="L309" i="10"/>
  <c r="O309" i="10" s="1"/>
  <c r="O311" i="10"/>
  <c r="R306" i="10"/>
  <c r="N160" i="10"/>
  <c r="N159" i="10"/>
  <c r="N157" i="10" s="1"/>
  <c r="M642" i="10"/>
  <c r="P642" i="10" s="1"/>
  <c r="O535" i="10"/>
  <c r="L534" i="10"/>
  <c r="O534" i="10" s="1"/>
  <c r="N123" i="10"/>
  <c r="N119" i="10"/>
  <c r="N117" i="10" s="1"/>
  <c r="K167" i="7"/>
  <c r="I423" i="8"/>
  <c r="I412" i="8" s="1"/>
  <c r="K412" i="8" s="1"/>
  <c r="K440" i="8"/>
  <c r="U418" i="8"/>
  <c r="O715" i="10"/>
  <c r="L714" i="10"/>
  <c r="O714" i="10" s="1"/>
  <c r="R645" i="10"/>
  <c r="U645" i="10" s="1"/>
  <c r="U647" i="10"/>
  <c r="R644" i="10"/>
  <c r="U644" i="10" s="1"/>
  <c r="S619" i="10"/>
  <c r="S618" i="10"/>
  <c r="S616" i="10" s="1"/>
  <c r="Q576" i="10"/>
  <c r="T576" i="10" s="1"/>
  <c r="L413" i="10"/>
  <c r="O413" i="10" s="1"/>
  <c r="L323" i="10"/>
  <c r="O323" i="10" s="1"/>
  <c r="O325" i="10"/>
  <c r="K302" i="10"/>
  <c r="L305" i="10"/>
  <c r="L303" i="10" s="1"/>
  <c r="L306" i="10"/>
  <c r="O306" i="10" s="1"/>
  <c r="O308" i="10"/>
  <c r="K249" i="10"/>
  <c r="I242" i="10"/>
  <c r="K242" i="10" s="1"/>
  <c r="M192" i="10"/>
  <c r="P192" i="10" s="1"/>
  <c r="L120" i="10"/>
  <c r="O120" i="10" s="1"/>
  <c r="O122" i="10"/>
  <c r="Q59" i="10"/>
  <c r="T59" i="10" s="1"/>
  <c r="T60" i="10"/>
  <c r="T144" i="8"/>
  <c r="L141" i="8"/>
  <c r="O141" i="8" s="1"/>
  <c r="I92" i="9"/>
  <c r="K92" i="9" s="1"/>
  <c r="K785" i="10"/>
  <c r="K779" i="10"/>
  <c r="T765" i="10"/>
  <c r="J702" i="10"/>
  <c r="N576" i="10"/>
  <c r="S534" i="10"/>
  <c r="R534" i="10"/>
  <c r="U534" i="10" s="1"/>
  <c r="L358" i="10"/>
  <c r="P311" i="10"/>
  <c r="P308" i="10"/>
  <c r="M268" i="10"/>
  <c r="M266" i="10" s="1"/>
  <c r="R269" i="10"/>
  <c r="L254" i="10"/>
  <c r="O254" i="10" s="1"/>
  <c r="L235" i="10"/>
  <c r="K127" i="10"/>
  <c r="U120" i="10"/>
  <c r="N61" i="10"/>
  <c r="N59" i="10" s="1"/>
  <c r="N19" i="10"/>
  <c r="M358" i="9"/>
  <c r="M356" i="9" s="1"/>
  <c r="S599" i="10"/>
  <c r="L375" i="10"/>
  <c r="O375" i="10" s="1"/>
  <c r="L234" i="10"/>
  <c r="M96" i="10"/>
  <c r="M94" i="10" s="1"/>
  <c r="S97" i="10"/>
  <c r="L75" i="10"/>
  <c r="K386" i="8"/>
  <c r="I492" i="9"/>
  <c r="K492" i="9" s="1"/>
  <c r="L322" i="9"/>
  <c r="O322" i="9" s="1"/>
  <c r="S72" i="9"/>
  <c r="U762" i="10"/>
  <c r="N728" i="10"/>
  <c r="N714" i="10"/>
  <c r="S513" i="10"/>
  <c r="L493" i="10"/>
  <c r="O493" i="10" s="1"/>
  <c r="K369" i="10"/>
  <c r="N323" i="10"/>
  <c r="K314" i="10"/>
  <c r="L284" i="10"/>
  <c r="O284" i="10" s="1"/>
  <c r="N188" i="10"/>
  <c r="N186" i="10" s="1"/>
  <c r="S175" i="10"/>
  <c r="S173" i="10" s="1"/>
  <c r="K152" i="10"/>
  <c r="N142" i="10"/>
  <c r="P142" i="10" s="1"/>
  <c r="L96" i="10"/>
  <c r="L94" i="10" s="1"/>
  <c r="R97" i="10"/>
  <c r="S94" i="10"/>
  <c r="M65" i="10"/>
  <c r="P65" i="10" s="1"/>
  <c r="S59" i="10"/>
  <c r="R59" i="10"/>
  <c r="U59" i="10" s="1"/>
  <c r="S44" i="10"/>
  <c r="R619" i="9"/>
  <c r="T418" i="9"/>
  <c r="L326" i="9"/>
  <c r="O326" i="9" s="1"/>
  <c r="L254" i="9"/>
  <c r="O254" i="9" s="1"/>
  <c r="Q762" i="10"/>
  <c r="T762" i="10" s="1"/>
  <c r="N760" i="10"/>
  <c r="J674" i="10"/>
  <c r="L599" i="10"/>
  <c r="O599" i="10" s="1"/>
  <c r="S576" i="10"/>
  <c r="T378" i="10"/>
  <c r="M305" i="10"/>
  <c r="M303" i="10" s="1"/>
  <c r="S306" i="10"/>
  <c r="S303" i="10"/>
  <c r="L269" i="10"/>
  <c r="O269" i="10" s="1"/>
  <c r="K137" i="10"/>
  <c r="T99" i="10"/>
  <c r="M97" i="10"/>
  <c r="P97" i="10" s="1"/>
  <c r="P80" i="10"/>
  <c r="O77" i="10"/>
  <c r="L61" i="10"/>
  <c r="O49" i="10"/>
  <c r="R97" i="1"/>
  <c r="S415" i="9"/>
  <c r="S413" i="9" s="1"/>
  <c r="S416" i="9"/>
  <c r="O194" i="9"/>
  <c r="L192" i="9"/>
  <c r="O192" i="9" s="1"/>
  <c r="L78" i="9"/>
  <c r="O78" i="9" s="1"/>
  <c r="O80" i="9"/>
  <c r="Q555" i="10"/>
  <c r="T555" i="10" s="1"/>
  <c r="T556" i="10"/>
  <c r="K678" i="8"/>
  <c r="O64" i="8"/>
  <c r="L62" i="8"/>
  <c r="K781" i="9"/>
  <c r="M288" i="9"/>
  <c r="P288" i="9" s="1"/>
  <c r="P290" i="9"/>
  <c r="Q175" i="9"/>
  <c r="T175" i="9" s="1"/>
  <c r="T178" i="9"/>
  <c r="M123" i="9"/>
  <c r="P123" i="9" s="1"/>
  <c r="P125" i="9"/>
  <c r="P64" i="9"/>
  <c r="M62" i="9"/>
  <c r="P62" i="9" s="1"/>
  <c r="R730" i="10"/>
  <c r="U733" i="10"/>
  <c r="K709" i="10"/>
  <c r="P618" i="10"/>
  <c r="M616" i="10"/>
  <c r="P616" i="10" s="1"/>
  <c r="P557" i="10"/>
  <c r="M555" i="10"/>
  <c r="P555" i="10" s="1"/>
  <c r="O334" i="10"/>
  <c r="K198" i="10"/>
  <c r="I195" i="10"/>
  <c r="K195" i="10" s="1"/>
  <c r="N46" i="7"/>
  <c r="N44" i="7" s="1"/>
  <c r="Q731" i="9"/>
  <c r="T733" i="9"/>
  <c r="M179" i="9"/>
  <c r="P179" i="9" s="1"/>
  <c r="P181" i="9"/>
  <c r="I138" i="9"/>
  <c r="K138" i="9" s="1"/>
  <c r="O125" i="9"/>
  <c r="L123" i="9"/>
  <c r="O123" i="9" s="1"/>
  <c r="K782" i="10"/>
  <c r="K774" i="10"/>
  <c r="I759" i="10"/>
  <c r="K759" i="10" s="1"/>
  <c r="R760" i="10"/>
  <c r="M728" i="10"/>
  <c r="P728" i="10" s="1"/>
  <c r="P729" i="10"/>
  <c r="O644" i="10"/>
  <c r="L642" i="10"/>
  <c r="O642" i="10" s="1"/>
  <c r="O618" i="10"/>
  <c r="L616" i="10"/>
  <c r="O616" i="10" s="1"/>
  <c r="S415" i="10"/>
  <c r="S413" i="10" s="1"/>
  <c r="S416" i="10"/>
  <c r="R94" i="10"/>
  <c r="U96" i="10"/>
  <c r="I83" i="10"/>
  <c r="K85" i="10"/>
  <c r="S731" i="10"/>
  <c r="S730" i="10"/>
  <c r="O692" i="10"/>
  <c r="L690" i="10"/>
  <c r="O690" i="10" s="1"/>
  <c r="Q616" i="10"/>
  <c r="T617" i="10"/>
  <c r="P290" i="10"/>
  <c r="M288" i="10"/>
  <c r="P288" i="10" s="1"/>
  <c r="M100" i="7"/>
  <c r="P100" i="7" s="1"/>
  <c r="P102" i="7"/>
  <c r="R74" i="9"/>
  <c r="U74" i="9" s="1"/>
  <c r="R75" i="9"/>
  <c r="R731" i="10"/>
  <c r="M714" i="10"/>
  <c r="P714" i="10" s="1"/>
  <c r="P715" i="10"/>
  <c r="K615" i="10"/>
  <c r="O514" i="10"/>
  <c r="N392" i="10"/>
  <c r="O274" i="6"/>
  <c r="L272" i="6"/>
  <c r="O272" i="6" s="1"/>
  <c r="R269" i="8"/>
  <c r="R268" i="8"/>
  <c r="U268" i="8" s="1"/>
  <c r="K784" i="10"/>
  <c r="K778" i="10"/>
  <c r="P357" i="10"/>
  <c r="Q186" i="10"/>
  <c r="T187" i="10"/>
  <c r="S23" i="10"/>
  <c r="S20" i="10" s="1"/>
  <c r="S18" i="10" s="1"/>
  <c r="Q203" i="1"/>
  <c r="N175" i="8"/>
  <c r="N173" i="8" s="1"/>
  <c r="Q188" i="9"/>
  <c r="Q186" i="9" s="1"/>
  <c r="Q189" i="9"/>
  <c r="R119" i="9"/>
  <c r="R117" i="9" s="1"/>
  <c r="U122" i="9"/>
  <c r="R120" i="9"/>
  <c r="M78" i="9"/>
  <c r="P78" i="9" s="1"/>
  <c r="P80" i="9"/>
  <c r="I689" i="10"/>
  <c r="K689" i="10" s="1"/>
  <c r="K707" i="10"/>
  <c r="K629" i="10"/>
  <c r="K626" i="10"/>
  <c r="K630" i="10"/>
  <c r="K631" i="10"/>
  <c r="K632" i="10"/>
  <c r="L519" i="10"/>
  <c r="O519" i="10" s="1"/>
  <c r="O521" i="10"/>
  <c r="R513" i="10"/>
  <c r="U513" i="10" s="1"/>
  <c r="U514" i="10"/>
  <c r="S496" i="10"/>
  <c r="S495" i="10"/>
  <c r="S493" i="10" s="1"/>
  <c r="M392" i="10"/>
  <c r="P392" i="10" s="1"/>
  <c r="P393" i="10"/>
  <c r="L326" i="10"/>
  <c r="O326" i="10" s="1"/>
  <c r="O328" i="10"/>
  <c r="Q306" i="10"/>
  <c r="S269" i="10"/>
  <c r="T271" i="10"/>
  <c r="U271" i="10"/>
  <c r="L243" i="10"/>
  <c r="U141" i="10"/>
  <c r="R139" i="10"/>
  <c r="U139" i="10" s="1"/>
  <c r="K116" i="10"/>
  <c r="M175" i="7"/>
  <c r="M173" i="7" s="1"/>
  <c r="P189" i="8"/>
  <c r="P361" i="9"/>
  <c r="J351" i="9"/>
  <c r="T308" i="9"/>
  <c r="M175" i="9"/>
  <c r="M173" i="9" s="1"/>
  <c r="L96" i="9"/>
  <c r="L94" i="9" s="1"/>
  <c r="P77" i="9"/>
  <c r="K703" i="10"/>
  <c r="T621" i="10"/>
  <c r="Q513" i="10"/>
  <c r="T513" i="10" s="1"/>
  <c r="T514" i="10"/>
  <c r="R495" i="10"/>
  <c r="U498" i="10"/>
  <c r="L392" i="10"/>
  <c r="O392" i="10" s="1"/>
  <c r="O393" i="10"/>
  <c r="T376" i="10"/>
  <c r="T334" i="10"/>
  <c r="Q333" i="10"/>
  <c r="T333" i="10" s="1"/>
  <c r="R333" i="10"/>
  <c r="U333" i="10" s="1"/>
  <c r="U268" i="10"/>
  <c r="P158" i="10"/>
  <c r="T144" i="10"/>
  <c r="Q142" i="10"/>
  <c r="T142" i="10" s="1"/>
  <c r="Q141" i="10"/>
  <c r="T141" i="10" s="1"/>
  <c r="O60" i="10"/>
  <c r="P52" i="10"/>
  <c r="M50" i="10"/>
  <c r="P50" i="10" s="1"/>
  <c r="M26" i="10"/>
  <c r="P26" i="10" s="1"/>
  <c r="Q415" i="9"/>
  <c r="T415" i="9" s="1"/>
  <c r="L214" i="9"/>
  <c r="O214" i="9" s="1"/>
  <c r="R555" i="10"/>
  <c r="U555" i="10" s="1"/>
  <c r="L555" i="10"/>
  <c r="O555" i="10" s="1"/>
  <c r="P518" i="10"/>
  <c r="M516" i="10"/>
  <c r="P516" i="10" s="1"/>
  <c r="N515" i="10"/>
  <c r="N513" i="10" s="1"/>
  <c r="Q495" i="10"/>
  <c r="T498" i="10"/>
  <c r="N493" i="10"/>
  <c r="J458" i="10"/>
  <c r="S392" i="10"/>
  <c r="P338" i="10"/>
  <c r="M336" i="10"/>
  <c r="P336" i="10" s="1"/>
  <c r="N335" i="10"/>
  <c r="N333" i="10" s="1"/>
  <c r="L322" i="10"/>
  <c r="O322" i="10" s="1"/>
  <c r="R266" i="10"/>
  <c r="U267" i="10"/>
  <c r="I238" i="10"/>
  <c r="K238" i="10" s="1"/>
  <c r="I253" i="10"/>
  <c r="K260" i="10"/>
  <c r="O191" i="10"/>
  <c r="L189" i="10"/>
  <c r="O189" i="10" s="1"/>
  <c r="L188" i="10"/>
  <c r="O174" i="10"/>
  <c r="O158" i="10"/>
  <c r="K785" i="9"/>
  <c r="S616" i="9"/>
  <c r="R495" i="9"/>
  <c r="R493" i="9" s="1"/>
  <c r="U493" i="9" s="1"/>
  <c r="R378" i="9"/>
  <c r="U378" i="9" s="1"/>
  <c r="O361" i="9"/>
  <c r="M305" i="9"/>
  <c r="P305" i="9" s="1"/>
  <c r="Q306" i="9"/>
  <c r="T306" i="9" s="1"/>
  <c r="S266" i="9"/>
  <c r="L188" i="9"/>
  <c r="L186" i="9" s="1"/>
  <c r="I82" i="9"/>
  <c r="K82" i="9" s="1"/>
  <c r="M74" i="9"/>
  <c r="M72" i="9" s="1"/>
  <c r="P600" i="10"/>
  <c r="P577" i="10"/>
  <c r="P535" i="10"/>
  <c r="O518" i="10"/>
  <c r="L516" i="10"/>
  <c r="O516" i="10" s="1"/>
  <c r="M515" i="10"/>
  <c r="R496" i="10"/>
  <c r="U496" i="10" s="1"/>
  <c r="M493" i="10"/>
  <c r="P493" i="10" s="1"/>
  <c r="P494" i="10"/>
  <c r="I412" i="10"/>
  <c r="K412" i="10" s="1"/>
  <c r="K423" i="10"/>
  <c r="R392" i="10"/>
  <c r="U392" i="10" s="1"/>
  <c r="U393" i="10"/>
  <c r="P364" i="10"/>
  <c r="M362" i="10"/>
  <c r="P362" i="10" s="1"/>
  <c r="N358" i="10"/>
  <c r="N356" i="10" s="1"/>
  <c r="Q356" i="10"/>
  <c r="T356" i="10" s="1"/>
  <c r="O338" i="10"/>
  <c r="L336" i="10"/>
  <c r="O336" i="10" s="1"/>
  <c r="M335" i="10"/>
  <c r="M333" i="10" s="1"/>
  <c r="L233" i="10"/>
  <c r="O194" i="10"/>
  <c r="L192" i="10"/>
  <c r="O192" i="10" s="1"/>
  <c r="P181" i="10"/>
  <c r="M179" i="10"/>
  <c r="P179" i="10" s="1"/>
  <c r="Q117" i="10"/>
  <c r="P118" i="10"/>
  <c r="U73" i="10"/>
  <c r="R72" i="10"/>
  <c r="U45" i="10"/>
  <c r="R44" i="10"/>
  <c r="U44" i="10" s="1"/>
  <c r="K785" i="7"/>
  <c r="J374" i="8"/>
  <c r="K374" i="8" s="1"/>
  <c r="L235" i="8"/>
  <c r="K784" i="9"/>
  <c r="U733" i="9"/>
  <c r="U418" i="9"/>
  <c r="K369" i="9"/>
  <c r="O311" i="9"/>
  <c r="L120" i="9"/>
  <c r="O120" i="9" s="1"/>
  <c r="L74" i="9"/>
  <c r="L72" i="9" s="1"/>
  <c r="L46" i="9"/>
  <c r="L44" i="9" s="1"/>
  <c r="U765" i="10"/>
  <c r="T733" i="10"/>
  <c r="L515" i="10"/>
  <c r="O515" i="10" s="1"/>
  <c r="Q496" i="10"/>
  <c r="T496" i="10" s="1"/>
  <c r="O364" i="10"/>
  <c r="L362" i="10"/>
  <c r="O362" i="10" s="1"/>
  <c r="M358" i="10"/>
  <c r="J343" i="10"/>
  <c r="L335" i="10"/>
  <c r="J332" i="10"/>
  <c r="K332" i="10" s="1"/>
  <c r="Q305" i="10"/>
  <c r="N284" i="10"/>
  <c r="N282" i="10" s="1"/>
  <c r="N288" i="10"/>
  <c r="O283" i="10"/>
  <c r="N272" i="10"/>
  <c r="N268" i="10"/>
  <c r="U191" i="10"/>
  <c r="R189" i="10"/>
  <c r="R186" i="10"/>
  <c r="L179" i="10"/>
  <c r="O179" i="10" s="1"/>
  <c r="O181" i="10"/>
  <c r="N176" i="10"/>
  <c r="O176" i="10" s="1"/>
  <c r="N175" i="10"/>
  <c r="N173" i="10" s="1"/>
  <c r="S320" i="10"/>
  <c r="O321" i="10"/>
  <c r="N305" i="10"/>
  <c r="N303" i="10" s="1"/>
  <c r="O290" i="10"/>
  <c r="L288" i="10"/>
  <c r="O288" i="10" s="1"/>
  <c r="P274" i="10"/>
  <c r="M272" i="10"/>
  <c r="P272" i="10" s="1"/>
  <c r="P267" i="10"/>
  <c r="I213" i="10"/>
  <c r="K213" i="10" s="1"/>
  <c r="K220" i="10"/>
  <c r="T191" i="10"/>
  <c r="Q189" i="10"/>
  <c r="S160" i="10"/>
  <c r="S159" i="10"/>
  <c r="S157" i="10" s="1"/>
  <c r="P144" i="10"/>
  <c r="M141" i="10"/>
  <c r="M23" i="10"/>
  <c r="O118" i="10"/>
  <c r="N75" i="10"/>
  <c r="O75" i="10" s="1"/>
  <c r="P77" i="10"/>
  <c r="N74" i="10"/>
  <c r="N72" i="10" s="1"/>
  <c r="P49" i="10"/>
  <c r="O25" i="10"/>
  <c r="P19" i="10"/>
  <c r="P325" i="10"/>
  <c r="M323" i="10"/>
  <c r="P323" i="10" s="1"/>
  <c r="R320" i="10"/>
  <c r="U320" i="10" s="1"/>
  <c r="U321" i="10"/>
  <c r="M284" i="10"/>
  <c r="P284" i="10" s="1"/>
  <c r="O267" i="10"/>
  <c r="M189" i="10"/>
  <c r="P189" i="10" s="1"/>
  <c r="U174" i="10"/>
  <c r="P147" i="10"/>
  <c r="M145" i="10"/>
  <c r="P145" i="10" s="1"/>
  <c r="I93" i="10"/>
  <c r="K93" i="10" s="1"/>
  <c r="K109" i="10"/>
  <c r="T96" i="10"/>
  <c r="Q94" i="10"/>
  <c r="N78" i="10"/>
  <c r="N26" i="10"/>
  <c r="N24" i="10" s="1"/>
  <c r="S24" i="10"/>
  <c r="U22" i="10"/>
  <c r="R19" i="10"/>
  <c r="L19" i="10"/>
  <c r="S333" i="10"/>
  <c r="P283" i="10"/>
  <c r="P271" i="10"/>
  <c r="M269" i="10"/>
  <c r="P269" i="10" s="1"/>
  <c r="S266" i="10"/>
  <c r="N47" i="10"/>
  <c r="P47" i="10" s="1"/>
  <c r="N23" i="10"/>
  <c r="N21" i="10" s="1"/>
  <c r="N46" i="10"/>
  <c r="N44" i="10" s="1"/>
  <c r="R24" i="10"/>
  <c r="U24" i="10" s="1"/>
  <c r="U25" i="10"/>
  <c r="T22" i="10"/>
  <c r="Q19" i="10"/>
  <c r="K229" i="10"/>
  <c r="I202" i="10"/>
  <c r="K202" i="10" s="1"/>
  <c r="P178" i="10"/>
  <c r="M176" i="10"/>
  <c r="O147" i="10"/>
  <c r="L145" i="10"/>
  <c r="O145" i="10" s="1"/>
  <c r="O144" i="10"/>
  <c r="L142" i="10"/>
  <c r="P125" i="10"/>
  <c r="M123" i="10"/>
  <c r="P123" i="10" s="1"/>
  <c r="U122" i="10"/>
  <c r="U118" i="10"/>
  <c r="Q97" i="10"/>
  <c r="I82" i="10"/>
  <c r="O52" i="10"/>
  <c r="L26" i="10"/>
  <c r="O26" i="10" s="1"/>
  <c r="L50" i="10"/>
  <c r="O50" i="10" s="1"/>
  <c r="P45" i="10"/>
  <c r="P22" i="10"/>
  <c r="P165" i="10"/>
  <c r="M163" i="10"/>
  <c r="P163" i="10" s="1"/>
  <c r="U158" i="10"/>
  <c r="Q157" i="10"/>
  <c r="T157" i="10" s="1"/>
  <c r="T140" i="10"/>
  <c r="T122" i="10"/>
  <c r="P122" i="10"/>
  <c r="M120" i="10"/>
  <c r="P120" i="10" s="1"/>
  <c r="S119" i="10"/>
  <c r="T119" i="10" s="1"/>
  <c r="P73" i="10"/>
  <c r="L46" i="10"/>
  <c r="O22" i="10"/>
  <c r="P174" i="10"/>
  <c r="P162" i="10"/>
  <c r="M160" i="10"/>
  <c r="P160" i="10" s="1"/>
  <c r="U144" i="10"/>
  <c r="R142" i="10"/>
  <c r="U142" i="10" s="1"/>
  <c r="I138" i="10"/>
  <c r="K138" i="10" s="1"/>
  <c r="O97" i="10"/>
  <c r="O67" i="10"/>
  <c r="L65" i="10"/>
  <c r="O65" i="10" s="1"/>
  <c r="P60" i="10"/>
  <c r="P25" i="10"/>
  <c r="R175" i="10"/>
  <c r="U175" i="10" s="1"/>
  <c r="L175" i="10"/>
  <c r="R159" i="10"/>
  <c r="U159" i="10" s="1"/>
  <c r="L159" i="10"/>
  <c r="O159" i="10" s="1"/>
  <c r="R119" i="10"/>
  <c r="R117" i="10" s="1"/>
  <c r="L119" i="10"/>
  <c r="O119" i="10" s="1"/>
  <c r="N96" i="10"/>
  <c r="S74" i="10"/>
  <c r="S72" i="10" s="1"/>
  <c r="M74" i="10"/>
  <c r="M61" i="10"/>
  <c r="M46" i="10"/>
  <c r="R23" i="10"/>
  <c r="R21" i="10" s="1"/>
  <c r="L23" i="10"/>
  <c r="Q23" i="10"/>
  <c r="K368" i="9"/>
  <c r="O162" i="9"/>
  <c r="L160" i="9"/>
  <c r="O160" i="9" s="1"/>
  <c r="Q157" i="9"/>
  <c r="T157" i="9" s="1"/>
  <c r="U45" i="9"/>
  <c r="R44" i="9"/>
  <c r="U44" i="9" s="1"/>
  <c r="K705" i="9"/>
  <c r="I701" i="9"/>
  <c r="K701" i="9" s="1"/>
  <c r="L616" i="9"/>
  <c r="O616" i="9" s="1"/>
  <c r="O617" i="9"/>
  <c r="K293" i="9"/>
  <c r="I280" i="9"/>
  <c r="K280" i="9" s="1"/>
  <c r="I93" i="7"/>
  <c r="K93" i="7" s="1"/>
  <c r="K109" i="7"/>
  <c r="Q119" i="9"/>
  <c r="Q117" i="9" s="1"/>
  <c r="Q120" i="9"/>
  <c r="T494" i="9"/>
  <c r="K457" i="9"/>
  <c r="I456" i="9"/>
  <c r="K456" i="9" s="1"/>
  <c r="R392" i="9"/>
  <c r="U392" i="9" s="1"/>
  <c r="N47" i="9"/>
  <c r="P47" i="9" s="1"/>
  <c r="P49" i="9"/>
  <c r="N96" i="9"/>
  <c r="N94" i="9" s="1"/>
  <c r="N97" i="9"/>
  <c r="P97" i="9" s="1"/>
  <c r="N493" i="9"/>
  <c r="R175" i="9"/>
  <c r="U175" i="9" s="1"/>
  <c r="R176" i="9"/>
  <c r="U176" i="9" s="1"/>
  <c r="U178" i="9"/>
  <c r="U144" i="9"/>
  <c r="R142" i="9"/>
  <c r="U142" i="9" s="1"/>
  <c r="R599" i="9"/>
  <c r="U599" i="9" s="1"/>
  <c r="Q282" i="9"/>
  <c r="T282" i="9" s="1"/>
  <c r="T283" i="9"/>
  <c r="L272" i="9"/>
  <c r="O272" i="9" s="1"/>
  <c r="O274" i="9"/>
  <c r="I701" i="7"/>
  <c r="K108" i="7"/>
  <c r="J674" i="8"/>
  <c r="K674" i="8" s="1"/>
  <c r="M179" i="8"/>
  <c r="P179" i="8" s="1"/>
  <c r="O165" i="8"/>
  <c r="K780" i="9"/>
  <c r="S714" i="9"/>
  <c r="N642" i="9"/>
  <c r="T621" i="9"/>
  <c r="Q534" i="9"/>
  <c r="T534" i="9" s="1"/>
  <c r="P518" i="9"/>
  <c r="J374" i="9"/>
  <c r="P364" i="9"/>
  <c r="J343" i="9"/>
  <c r="N335" i="9"/>
  <c r="N333" i="9" s="1"/>
  <c r="P328" i="9"/>
  <c r="I319" i="9"/>
  <c r="K319" i="9" s="1"/>
  <c r="L305" i="9"/>
  <c r="P287" i="9"/>
  <c r="M284" i="9"/>
  <c r="P284" i="9" s="1"/>
  <c r="I281" i="9"/>
  <c r="K281" i="9" s="1"/>
  <c r="M268" i="9"/>
  <c r="M266" i="9" s="1"/>
  <c r="S269" i="9"/>
  <c r="L236" i="9"/>
  <c r="N188" i="9"/>
  <c r="N186" i="9" s="1"/>
  <c r="M96" i="9"/>
  <c r="M94" i="9" s="1"/>
  <c r="S97" i="9"/>
  <c r="K84" i="9"/>
  <c r="Q44" i="9"/>
  <c r="T44" i="9" s="1"/>
  <c r="K705" i="7"/>
  <c r="I138" i="8"/>
  <c r="K138" i="8" s="1"/>
  <c r="P77" i="8"/>
  <c r="M760" i="9"/>
  <c r="P760" i="9" s="1"/>
  <c r="K727" i="9"/>
  <c r="L714" i="9"/>
  <c r="O714" i="9" s="1"/>
  <c r="J674" i="9"/>
  <c r="M616" i="9"/>
  <c r="P616" i="9" s="1"/>
  <c r="N515" i="9"/>
  <c r="N513" i="9" s="1"/>
  <c r="L493" i="9"/>
  <c r="O493" i="9" s="1"/>
  <c r="J457" i="9"/>
  <c r="J456" i="9" s="1"/>
  <c r="N284" i="9"/>
  <c r="N282" i="9" s="1"/>
  <c r="N285" i="9"/>
  <c r="L222" i="9"/>
  <c r="O222" i="9" s="1"/>
  <c r="L203" i="9"/>
  <c r="O203" i="9" s="1"/>
  <c r="K183" i="9"/>
  <c r="R159" i="9"/>
  <c r="U159" i="9" s="1"/>
  <c r="N119" i="9"/>
  <c r="N117" i="9" s="1"/>
  <c r="K705" i="8"/>
  <c r="K503" i="8"/>
  <c r="P364" i="8"/>
  <c r="R576" i="9"/>
  <c r="U576" i="9" s="1"/>
  <c r="M413" i="9"/>
  <c r="P413" i="9" s="1"/>
  <c r="L335" i="9"/>
  <c r="N19" i="9"/>
  <c r="K154" i="7"/>
  <c r="L100" i="7"/>
  <c r="O100" i="7" s="1"/>
  <c r="O80" i="8"/>
  <c r="Q75" i="8"/>
  <c r="T75" i="8" s="1"/>
  <c r="S763" i="9"/>
  <c r="T763" i="9" s="1"/>
  <c r="S731" i="9"/>
  <c r="U731" i="9" s="1"/>
  <c r="R730" i="9"/>
  <c r="R728" i="9" s="1"/>
  <c r="K726" i="9"/>
  <c r="J702" i="9"/>
  <c r="M690" i="9"/>
  <c r="P690" i="9" s="1"/>
  <c r="L642" i="9"/>
  <c r="O642" i="9" s="1"/>
  <c r="Q618" i="9"/>
  <c r="T618" i="9" s="1"/>
  <c r="Q555" i="9"/>
  <c r="T555" i="9" s="1"/>
  <c r="Q496" i="9"/>
  <c r="T496" i="9" s="1"/>
  <c r="Q495" i="9"/>
  <c r="T495" i="9" s="1"/>
  <c r="M375" i="9"/>
  <c r="P375" i="9" s="1"/>
  <c r="P359" i="9"/>
  <c r="O334" i="9"/>
  <c r="O308" i="9"/>
  <c r="S282" i="9"/>
  <c r="K276" i="9"/>
  <c r="M269" i="9"/>
  <c r="P269" i="9" s="1"/>
  <c r="N189" i="9"/>
  <c r="Q176" i="9"/>
  <c r="T176" i="9" s="1"/>
  <c r="N159" i="9"/>
  <c r="N157" i="9" s="1"/>
  <c r="O144" i="9"/>
  <c r="L119" i="9"/>
  <c r="M75" i="9"/>
  <c r="P75" i="9" s="1"/>
  <c r="L65" i="9"/>
  <c r="O65" i="9" s="1"/>
  <c r="L61" i="9"/>
  <c r="L59" i="9" s="1"/>
  <c r="L47" i="9"/>
  <c r="Q142" i="8"/>
  <c r="T142" i="8" s="1"/>
  <c r="O75" i="8"/>
  <c r="R762" i="9"/>
  <c r="U762" i="9" s="1"/>
  <c r="L760" i="9"/>
  <c r="O760" i="9" s="1"/>
  <c r="Q693" i="9"/>
  <c r="T693" i="9" s="1"/>
  <c r="R692" i="9"/>
  <c r="U692" i="9" s="1"/>
  <c r="Q645" i="9"/>
  <c r="T645" i="9" s="1"/>
  <c r="S619" i="9"/>
  <c r="T619" i="9" s="1"/>
  <c r="L599" i="9"/>
  <c r="O599" i="9" s="1"/>
  <c r="O556" i="9"/>
  <c r="L392" i="9"/>
  <c r="O392" i="9" s="1"/>
  <c r="P393" i="9"/>
  <c r="K365" i="9"/>
  <c r="S356" i="9"/>
  <c r="R356" i="9"/>
  <c r="U356" i="9" s="1"/>
  <c r="T335" i="9"/>
  <c r="O325" i="9"/>
  <c r="L323" i="9"/>
  <c r="O323" i="9" s="1"/>
  <c r="P311" i="9"/>
  <c r="N305" i="9"/>
  <c r="N303" i="9" s="1"/>
  <c r="O290" i="9"/>
  <c r="L268" i="9"/>
  <c r="O268" i="9" s="1"/>
  <c r="P267" i="9"/>
  <c r="L189" i="9"/>
  <c r="O165" i="9"/>
  <c r="Q160" i="9"/>
  <c r="T160" i="9" s="1"/>
  <c r="S139" i="9"/>
  <c r="O142" i="9"/>
  <c r="N120" i="9"/>
  <c r="L75" i="9"/>
  <c r="O75" i="9" s="1"/>
  <c r="O73" i="9"/>
  <c r="S24" i="9"/>
  <c r="K109" i="8"/>
  <c r="I93" i="8"/>
  <c r="K93" i="8" s="1"/>
  <c r="M326" i="6"/>
  <c r="P326" i="6" s="1"/>
  <c r="K783" i="7"/>
  <c r="Q645" i="7"/>
  <c r="T645" i="7" s="1"/>
  <c r="K292" i="7"/>
  <c r="O122" i="7"/>
  <c r="K784" i="8"/>
  <c r="K781" i="8"/>
  <c r="K778" i="8"/>
  <c r="K709" i="8"/>
  <c r="J702" i="8"/>
  <c r="K703" i="8"/>
  <c r="K631" i="8"/>
  <c r="S493" i="8"/>
  <c r="Q493" i="8"/>
  <c r="T493" i="8" s="1"/>
  <c r="R416" i="8"/>
  <c r="U416" i="8" s="1"/>
  <c r="O364" i="8"/>
  <c r="L284" i="8"/>
  <c r="O284" i="8" s="1"/>
  <c r="Q119" i="8"/>
  <c r="Q117" i="8" s="1"/>
  <c r="Q120" i="8"/>
  <c r="T120" i="8" s="1"/>
  <c r="P99" i="8"/>
  <c r="I758" i="9"/>
  <c r="K758" i="9" s="1"/>
  <c r="K772" i="9"/>
  <c r="Q762" i="9"/>
  <c r="S730" i="9"/>
  <c r="S728" i="9" s="1"/>
  <c r="U715" i="9"/>
  <c r="O715" i="9"/>
  <c r="U695" i="9"/>
  <c r="R645" i="9"/>
  <c r="U645" i="9" s="1"/>
  <c r="U644" i="9"/>
  <c r="K632" i="9"/>
  <c r="Q576" i="9"/>
  <c r="T576" i="9" s="1"/>
  <c r="T577" i="9"/>
  <c r="S496" i="9"/>
  <c r="S495" i="9"/>
  <c r="S493" i="9" s="1"/>
  <c r="U414" i="9"/>
  <c r="M323" i="9"/>
  <c r="P323" i="9" s="1"/>
  <c r="P325" i="9"/>
  <c r="M322" i="9"/>
  <c r="Q320" i="9"/>
  <c r="T320" i="9" s="1"/>
  <c r="T321" i="9"/>
  <c r="U418" i="6"/>
  <c r="K630" i="8"/>
  <c r="N714" i="9"/>
  <c r="P691" i="9"/>
  <c r="Q690" i="9"/>
  <c r="T690" i="9" s="1"/>
  <c r="U647" i="9"/>
  <c r="R534" i="9"/>
  <c r="U534" i="9" s="1"/>
  <c r="U535" i="9"/>
  <c r="P341" i="9"/>
  <c r="M339" i="9"/>
  <c r="P339" i="9" s="1"/>
  <c r="T304" i="9"/>
  <c r="T647" i="7"/>
  <c r="Q496" i="8"/>
  <c r="T496" i="8" s="1"/>
  <c r="T418" i="8"/>
  <c r="K385" i="8"/>
  <c r="K346" i="8"/>
  <c r="P290" i="8"/>
  <c r="T191" i="8"/>
  <c r="M100" i="8"/>
  <c r="P100" i="8" s="1"/>
  <c r="T765" i="9"/>
  <c r="Q730" i="9"/>
  <c r="T729" i="9"/>
  <c r="N728" i="9"/>
  <c r="S692" i="9"/>
  <c r="S690" i="9" s="1"/>
  <c r="S645" i="9"/>
  <c r="S644" i="9"/>
  <c r="S642" i="9" s="1"/>
  <c r="Q642" i="9"/>
  <c r="T642" i="9" s="1"/>
  <c r="R616" i="9"/>
  <c r="Q599" i="9"/>
  <c r="T599" i="9" s="1"/>
  <c r="T600" i="9"/>
  <c r="P578" i="9"/>
  <c r="M576" i="9"/>
  <c r="P576" i="9" s="1"/>
  <c r="T394" i="9"/>
  <c r="Q392" i="9"/>
  <c r="T392" i="9" s="1"/>
  <c r="J332" i="9"/>
  <c r="S159" i="8"/>
  <c r="S157" i="8" s="1"/>
  <c r="S160" i="8"/>
  <c r="M642" i="9"/>
  <c r="P642" i="9" s="1"/>
  <c r="P643" i="9"/>
  <c r="O535" i="9"/>
  <c r="L534" i="9"/>
  <c r="O534" i="9" s="1"/>
  <c r="K726" i="6"/>
  <c r="J674" i="7"/>
  <c r="J351" i="8"/>
  <c r="T271" i="8"/>
  <c r="I116" i="8"/>
  <c r="K116" i="8" s="1"/>
  <c r="K127" i="8"/>
  <c r="P730" i="9"/>
  <c r="I689" i="9"/>
  <c r="K689" i="9" s="1"/>
  <c r="K707" i="9"/>
  <c r="P521" i="9"/>
  <c r="M519" i="9"/>
  <c r="P519" i="9" s="1"/>
  <c r="T376" i="9"/>
  <c r="I332" i="9"/>
  <c r="K344" i="9"/>
  <c r="R269" i="9"/>
  <c r="U271" i="9"/>
  <c r="R268" i="9"/>
  <c r="U268" i="9" s="1"/>
  <c r="S203" i="1"/>
  <c r="O62" i="2"/>
  <c r="K781" i="7"/>
  <c r="T119" i="7"/>
  <c r="R97" i="7"/>
  <c r="K779" i="8"/>
  <c r="S762" i="8"/>
  <c r="S760" i="8" s="1"/>
  <c r="T498" i="8"/>
  <c r="M335" i="8"/>
  <c r="M333" i="8" s="1"/>
  <c r="P80" i="8"/>
  <c r="O77" i="8"/>
  <c r="K774" i="9"/>
  <c r="O761" i="9"/>
  <c r="Q714" i="9"/>
  <c r="T714" i="9" s="1"/>
  <c r="P601" i="9"/>
  <c r="M599" i="9"/>
  <c r="P599" i="9" s="1"/>
  <c r="T514" i="9"/>
  <c r="Q513" i="9"/>
  <c r="T513" i="9" s="1"/>
  <c r="I412" i="9"/>
  <c r="K412" i="9" s="1"/>
  <c r="K423" i="9"/>
  <c r="L413" i="9"/>
  <c r="O413" i="9" s="1"/>
  <c r="O414" i="9"/>
  <c r="S378" i="9"/>
  <c r="T378" i="9" s="1"/>
  <c r="S377" i="9"/>
  <c r="S375" i="9" s="1"/>
  <c r="T268" i="9"/>
  <c r="Q266" i="9"/>
  <c r="K630" i="9"/>
  <c r="K626" i="9"/>
  <c r="M534" i="9"/>
  <c r="P534" i="9" s="1"/>
  <c r="M515" i="9"/>
  <c r="R513" i="9"/>
  <c r="U513" i="9" s="1"/>
  <c r="J503" i="9"/>
  <c r="J492" i="9" s="1"/>
  <c r="P376" i="9"/>
  <c r="R375" i="9"/>
  <c r="U375" i="9" s="1"/>
  <c r="K371" i="9"/>
  <c r="L359" i="9"/>
  <c r="O359" i="9" s="1"/>
  <c r="N358" i="9"/>
  <c r="O338" i="9"/>
  <c r="N322" i="9"/>
  <c r="N320" i="9" s="1"/>
  <c r="R320" i="9"/>
  <c r="U320" i="9" s="1"/>
  <c r="I221" i="9"/>
  <c r="K221" i="9" s="1"/>
  <c r="K229" i="9"/>
  <c r="K629" i="9"/>
  <c r="U600" i="9"/>
  <c r="O600" i="9"/>
  <c r="U577" i="9"/>
  <c r="O577" i="9"/>
  <c r="P494" i="9"/>
  <c r="P414" i="9"/>
  <c r="O394" i="9"/>
  <c r="Q377" i="9"/>
  <c r="T380" i="9"/>
  <c r="Q356" i="9"/>
  <c r="T356" i="9" s="1"/>
  <c r="N336" i="9"/>
  <c r="O336" i="9" s="1"/>
  <c r="U308" i="9"/>
  <c r="M306" i="9"/>
  <c r="P306" i="9" s="1"/>
  <c r="P308" i="9"/>
  <c r="L306" i="9"/>
  <c r="O306" i="9" s="1"/>
  <c r="L285" i="9"/>
  <c r="O285" i="9" s="1"/>
  <c r="O271" i="9"/>
  <c r="J231" i="9"/>
  <c r="J185" i="9" s="1"/>
  <c r="M189" i="9"/>
  <c r="P191" i="9"/>
  <c r="M188" i="9"/>
  <c r="I615" i="9"/>
  <c r="K615" i="9" s="1"/>
  <c r="I374" i="9"/>
  <c r="L358" i="9"/>
  <c r="L356" i="9" s="1"/>
  <c r="M335" i="9"/>
  <c r="M336" i="9"/>
  <c r="I213" i="9"/>
  <c r="K213" i="9" s="1"/>
  <c r="K220" i="9"/>
  <c r="S189" i="9"/>
  <c r="T191" i="9"/>
  <c r="U191" i="9"/>
  <c r="S186" i="9"/>
  <c r="U186" i="9" s="1"/>
  <c r="L175" i="9"/>
  <c r="L179" i="9"/>
  <c r="O179" i="9" s="1"/>
  <c r="T695" i="9"/>
  <c r="T647" i="9"/>
  <c r="U621" i="9"/>
  <c r="L515" i="9"/>
  <c r="R415" i="9"/>
  <c r="U415" i="9" s="1"/>
  <c r="O357" i="9"/>
  <c r="R306" i="9"/>
  <c r="U306" i="9" s="1"/>
  <c r="S305" i="9"/>
  <c r="U305" i="9" s="1"/>
  <c r="L284" i="9"/>
  <c r="P283" i="9"/>
  <c r="T271" i="9"/>
  <c r="M160" i="9"/>
  <c r="P160" i="9" s="1"/>
  <c r="P162" i="9"/>
  <c r="M159" i="9"/>
  <c r="T187" i="9"/>
  <c r="I302" i="9"/>
  <c r="K302" i="9" s="1"/>
  <c r="N268" i="9"/>
  <c r="N266" i="9" s="1"/>
  <c r="P271" i="9"/>
  <c r="I253" i="9"/>
  <c r="K253" i="9" s="1"/>
  <c r="K260" i="9"/>
  <c r="I242" i="9"/>
  <c r="K249" i="9"/>
  <c r="I238" i="9"/>
  <c r="K238" i="9" s="1"/>
  <c r="N176" i="9"/>
  <c r="P176" i="9" s="1"/>
  <c r="O178" i="9"/>
  <c r="P178" i="9"/>
  <c r="N175" i="9"/>
  <c r="N173" i="9" s="1"/>
  <c r="K152" i="9"/>
  <c r="I137" i="9"/>
  <c r="K137" i="9" s="1"/>
  <c r="M142" i="9"/>
  <c r="P142" i="9" s="1"/>
  <c r="P144" i="9"/>
  <c r="L233" i="9"/>
  <c r="U188" i="9"/>
  <c r="S160" i="9"/>
  <c r="S159" i="9"/>
  <c r="S157" i="9" s="1"/>
  <c r="S19" i="9"/>
  <c r="P174" i="9"/>
  <c r="L159" i="9"/>
  <c r="P147" i="9"/>
  <c r="S142" i="9"/>
  <c r="S120" i="9"/>
  <c r="S119" i="9"/>
  <c r="T122" i="9"/>
  <c r="M120" i="9"/>
  <c r="P120" i="9" s="1"/>
  <c r="M119" i="9"/>
  <c r="P119" i="9" s="1"/>
  <c r="L23" i="9"/>
  <c r="O99" i="9"/>
  <c r="L97" i="9"/>
  <c r="P67" i="9"/>
  <c r="M65" i="9"/>
  <c r="P65" i="9" s="1"/>
  <c r="M61" i="9"/>
  <c r="P25" i="9"/>
  <c r="Q305" i="9"/>
  <c r="Q303" i="9" s="1"/>
  <c r="L243" i="9"/>
  <c r="S175" i="9"/>
  <c r="S173" i="9" s="1"/>
  <c r="R160" i="9"/>
  <c r="U160" i="9" s="1"/>
  <c r="P118" i="9"/>
  <c r="I83" i="9"/>
  <c r="N26" i="9"/>
  <c r="N24" i="9" s="1"/>
  <c r="Q141" i="9"/>
  <c r="T141" i="9" s="1"/>
  <c r="O102" i="9"/>
  <c r="L100" i="9"/>
  <c r="O100" i="9" s="1"/>
  <c r="R23" i="9"/>
  <c r="U99" i="9"/>
  <c r="R97" i="9"/>
  <c r="Q59" i="9"/>
  <c r="T59" i="9" s="1"/>
  <c r="P52" i="9"/>
  <c r="M26" i="9"/>
  <c r="P26" i="9" s="1"/>
  <c r="M50" i="9"/>
  <c r="P50" i="9" s="1"/>
  <c r="P187" i="9"/>
  <c r="P122" i="9"/>
  <c r="T99" i="9"/>
  <c r="Q97" i="9"/>
  <c r="R96" i="9"/>
  <c r="U96" i="9" s="1"/>
  <c r="Q23" i="9"/>
  <c r="T77" i="9"/>
  <c r="Q75" i="9"/>
  <c r="P22" i="9"/>
  <c r="M19" i="9"/>
  <c r="P165" i="9"/>
  <c r="N141" i="9"/>
  <c r="N139" i="9" s="1"/>
  <c r="I116" i="9"/>
  <c r="K116" i="9" s="1"/>
  <c r="K127" i="9"/>
  <c r="Q96" i="9"/>
  <c r="Q74" i="9"/>
  <c r="T74" i="9" s="1"/>
  <c r="O62" i="9"/>
  <c r="R141" i="9"/>
  <c r="L141" i="9"/>
  <c r="L139" i="9" s="1"/>
  <c r="K109" i="9"/>
  <c r="P99" i="9"/>
  <c r="U77" i="9"/>
  <c r="O77" i="9"/>
  <c r="O64" i="9"/>
  <c r="N50" i="9"/>
  <c r="O49" i="9"/>
  <c r="N23" i="9"/>
  <c r="R19" i="9"/>
  <c r="L19" i="9"/>
  <c r="N74" i="9"/>
  <c r="N61" i="9"/>
  <c r="N46" i="9"/>
  <c r="S23" i="9"/>
  <c r="S20" i="9" s="1"/>
  <c r="M23" i="9"/>
  <c r="Q19" i="9"/>
  <c r="M46" i="9"/>
  <c r="M44" i="9" s="1"/>
  <c r="L26" i="9"/>
  <c r="O26" i="9" s="1"/>
  <c r="P45" i="9"/>
  <c r="U25" i="9"/>
  <c r="O25" i="9"/>
  <c r="U22" i="9"/>
  <c r="N339" i="1"/>
  <c r="P187" i="8"/>
  <c r="M47" i="8"/>
  <c r="P47" i="8" s="1"/>
  <c r="P49" i="8"/>
  <c r="L78" i="7"/>
  <c r="O78" i="7" s="1"/>
  <c r="O80" i="7"/>
  <c r="M75" i="7"/>
  <c r="P75" i="7" s="1"/>
  <c r="P77" i="7"/>
  <c r="K783" i="8"/>
  <c r="L413" i="8"/>
  <c r="O413" i="8" s="1"/>
  <c r="O414" i="8"/>
  <c r="N358" i="8"/>
  <c r="N356" i="8" s="1"/>
  <c r="N359" i="8"/>
  <c r="P359" i="8" s="1"/>
  <c r="M306" i="8"/>
  <c r="P306" i="8" s="1"/>
  <c r="P308" i="8"/>
  <c r="M285" i="8"/>
  <c r="P285" i="8" s="1"/>
  <c r="P287" i="8"/>
  <c r="N268" i="8"/>
  <c r="N266" i="8" s="1"/>
  <c r="N269" i="8"/>
  <c r="Q159" i="8"/>
  <c r="T159" i="8" s="1"/>
  <c r="Q160" i="8"/>
  <c r="T160" i="8" s="1"/>
  <c r="L47" i="8"/>
  <c r="O47" i="8" s="1"/>
  <c r="O49" i="8"/>
  <c r="N284" i="8"/>
  <c r="N282" i="8" s="1"/>
  <c r="N285" i="8"/>
  <c r="O328" i="6"/>
  <c r="L515" i="7"/>
  <c r="O515" i="7" s="1"/>
  <c r="L75" i="7"/>
  <c r="O75" i="7" s="1"/>
  <c r="O77" i="7"/>
  <c r="K682" i="8"/>
  <c r="Q618" i="8"/>
  <c r="Q616" i="8" s="1"/>
  <c r="O600" i="8"/>
  <c r="L599" i="8"/>
  <c r="O599" i="8" s="1"/>
  <c r="P535" i="8"/>
  <c r="M534" i="8"/>
  <c r="P534" i="8" s="1"/>
  <c r="P361" i="8"/>
  <c r="M323" i="8"/>
  <c r="P323" i="8" s="1"/>
  <c r="P325" i="8"/>
  <c r="O308" i="8"/>
  <c r="L306" i="8"/>
  <c r="O306" i="8" s="1"/>
  <c r="M268" i="8"/>
  <c r="M266" i="8" s="1"/>
  <c r="M269" i="8"/>
  <c r="L254" i="8"/>
  <c r="O254" i="8" s="1"/>
  <c r="S188" i="8"/>
  <c r="S186" i="8" s="1"/>
  <c r="S189" i="8"/>
  <c r="T189" i="8" s="1"/>
  <c r="T178" i="8"/>
  <c r="Q176" i="8"/>
  <c r="T176" i="8" s="1"/>
  <c r="M163" i="8"/>
  <c r="P163" i="8" s="1"/>
  <c r="P165" i="8"/>
  <c r="L123" i="8"/>
  <c r="O123" i="8" s="1"/>
  <c r="O125" i="8"/>
  <c r="M119" i="8"/>
  <c r="P119" i="8" s="1"/>
  <c r="M120" i="8"/>
  <c r="P120" i="8" s="1"/>
  <c r="P122" i="8"/>
  <c r="N61" i="8"/>
  <c r="N59" i="8" s="1"/>
  <c r="N62" i="8"/>
  <c r="P64" i="8"/>
  <c r="Q19" i="8"/>
  <c r="T19" i="8" s="1"/>
  <c r="T22" i="8"/>
  <c r="O494" i="8"/>
  <c r="L493" i="8"/>
  <c r="O493" i="8" s="1"/>
  <c r="Q142" i="5"/>
  <c r="T142" i="5" s="1"/>
  <c r="T144" i="6"/>
  <c r="Q618" i="7"/>
  <c r="Q616" i="7" s="1"/>
  <c r="L519" i="7"/>
  <c r="O519" i="7" s="1"/>
  <c r="Q306" i="7"/>
  <c r="T306" i="7" s="1"/>
  <c r="M288" i="7"/>
  <c r="P288" i="7" s="1"/>
  <c r="L284" i="7"/>
  <c r="O284" i="7" s="1"/>
  <c r="S268" i="7"/>
  <c r="S266" i="7" s="1"/>
  <c r="S269" i="7"/>
  <c r="P99" i="7"/>
  <c r="L616" i="8"/>
  <c r="O616" i="8" s="1"/>
  <c r="S415" i="8"/>
  <c r="S413" i="8" s="1"/>
  <c r="R413" i="8"/>
  <c r="U413" i="8" s="1"/>
  <c r="U414" i="8"/>
  <c r="Q392" i="8"/>
  <c r="T392" i="8" s="1"/>
  <c r="T394" i="8"/>
  <c r="M336" i="8"/>
  <c r="P336" i="8" s="1"/>
  <c r="S320" i="8"/>
  <c r="M309" i="8"/>
  <c r="P309" i="8" s="1"/>
  <c r="P311" i="8"/>
  <c r="S306" i="8"/>
  <c r="S305" i="8"/>
  <c r="S303" i="8" s="1"/>
  <c r="M272" i="8"/>
  <c r="P272" i="8" s="1"/>
  <c r="I172" i="8"/>
  <c r="K172" i="8" s="1"/>
  <c r="K183" i="8"/>
  <c r="I156" i="8"/>
  <c r="K156" i="8" s="1"/>
  <c r="I168" i="8"/>
  <c r="K168" i="8" s="1"/>
  <c r="I169" i="8"/>
  <c r="K169" i="8" s="1"/>
  <c r="K152" i="8"/>
  <c r="L120" i="8"/>
  <c r="O120" i="8" s="1"/>
  <c r="O122" i="8"/>
  <c r="I83" i="8"/>
  <c r="K83" i="8" s="1"/>
  <c r="K85" i="8"/>
  <c r="M78" i="7"/>
  <c r="P78" i="7" s="1"/>
  <c r="P80" i="7"/>
  <c r="K707" i="5"/>
  <c r="P325" i="7"/>
  <c r="L288" i="7"/>
  <c r="O288" i="7" s="1"/>
  <c r="P125" i="7"/>
  <c r="M123" i="7"/>
  <c r="P123" i="7" s="1"/>
  <c r="R74" i="7"/>
  <c r="U74" i="7" s="1"/>
  <c r="U77" i="7"/>
  <c r="S731" i="8"/>
  <c r="S730" i="8"/>
  <c r="S728" i="8" s="1"/>
  <c r="R599" i="8"/>
  <c r="U599" i="8" s="1"/>
  <c r="L516" i="8"/>
  <c r="O516" i="8" s="1"/>
  <c r="O518" i="8"/>
  <c r="L339" i="8"/>
  <c r="O339" i="8" s="1"/>
  <c r="O341" i="8"/>
  <c r="S119" i="8"/>
  <c r="T122" i="8"/>
  <c r="N203" i="1"/>
  <c r="P518" i="6"/>
  <c r="Q642" i="7"/>
  <c r="T642" i="7" s="1"/>
  <c r="M272" i="7"/>
  <c r="P272" i="7" s="1"/>
  <c r="P274" i="7"/>
  <c r="K127" i="7"/>
  <c r="R730" i="8"/>
  <c r="R728" i="8" s="1"/>
  <c r="U733" i="8"/>
  <c r="R731" i="8"/>
  <c r="M576" i="8"/>
  <c r="P576" i="8" s="1"/>
  <c r="M519" i="8"/>
  <c r="P519" i="8" s="1"/>
  <c r="S377" i="8"/>
  <c r="S375" i="8" s="1"/>
  <c r="S378" i="8"/>
  <c r="I365" i="8"/>
  <c r="K365" i="8" s="1"/>
  <c r="K371" i="8"/>
  <c r="R303" i="8"/>
  <c r="N159" i="8"/>
  <c r="N157" i="8" s="1"/>
  <c r="R120" i="8"/>
  <c r="U120" i="8" s="1"/>
  <c r="U122" i="8"/>
  <c r="P189" i="7"/>
  <c r="O181" i="7"/>
  <c r="M179" i="7"/>
  <c r="P179" i="7" s="1"/>
  <c r="K780" i="8"/>
  <c r="I759" i="8"/>
  <c r="K759" i="8" s="1"/>
  <c r="K707" i="8"/>
  <c r="N576" i="8"/>
  <c r="Q513" i="8"/>
  <c r="T513" i="8" s="1"/>
  <c r="I456" i="8"/>
  <c r="K456" i="8" s="1"/>
  <c r="S333" i="8"/>
  <c r="L322" i="8"/>
  <c r="L288" i="8"/>
  <c r="O288" i="8" s="1"/>
  <c r="Q282" i="8"/>
  <c r="T282" i="8" s="1"/>
  <c r="I280" i="8"/>
  <c r="K280" i="8" s="1"/>
  <c r="U271" i="8"/>
  <c r="S269" i="8"/>
  <c r="L236" i="8"/>
  <c r="L222" i="8"/>
  <c r="O222" i="8" s="1"/>
  <c r="T214" i="8"/>
  <c r="K209" i="8"/>
  <c r="S173" i="8"/>
  <c r="O162" i="8"/>
  <c r="P125" i="8"/>
  <c r="L100" i="8"/>
  <c r="O100" i="8" s="1"/>
  <c r="M96" i="8"/>
  <c r="M94" i="8" s="1"/>
  <c r="S97" i="8"/>
  <c r="I92" i="8"/>
  <c r="K92" i="8" s="1"/>
  <c r="U77" i="8"/>
  <c r="N74" i="8"/>
  <c r="N72" i="8" s="1"/>
  <c r="S24" i="8"/>
  <c r="L235" i="7"/>
  <c r="K220" i="7"/>
  <c r="N141" i="7"/>
  <c r="N139" i="7" s="1"/>
  <c r="I83" i="7"/>
  <c r="K83" i="7" s="1"/>
  <c r="K785" i="8"/>
  <c r="K782" i="8"/>
  <c r="K626" i="8"/>
  <c r="S534" i="8"/>
  <c r="T308" i="8"/>
  <c r="K265" i="8"/>
  <c r="Q269" i="8"/>
  <c r="I195" i="8"/>
  <c r="K195" i="8" s="1"/>
  <c r="M175" i="8"/>
  <c r="M173" i="8" s="1"/>
  <c r="S176" i="8"/>
  <c r="L96" i="8"/>
  <c r="L94" i="8" s="1"/>
  <c r="R97" i="8"/>
  <c r="P75" i="8"/>
  <c r="R75" i="8"/>
  <c r="U75" i="8" s="1"/>
  <c r="M268" i="7"/>
  <c r="M266" i="7" s="1"/>
  <c r="M119" i="7"/>
  <c r="P119" i="7" s="1"/>
  <c r="K689" i="8"/>
  <c r="L690" i="8"/>
  <c r="O690" i="8" s="1"/>
  <c r="K632" i="8"/>
  <c r="S576" i="8"/>
  <c r="L576" i="8"/>
  <c r="O576" i="8" s="1"/>
  <c r="R534" i="8"/>
  <c r="U534" i="8" s="1"/>
  <c r="L534" i="8"/>
  <c r="O534" i="8" s="1"/>
  <c r="N493" i="8"/>
  <c r="J458" i="8"/>
  <c r="L203" i="8"/>
  <c r="O203" i="8" s="1"/>
  <c r="M159" i="8"/>
  <c r="M157" i="8" s="1"/>
  <c r="P97" i="8"/>
  <c r="L74" i="8"/>
  <c r="L141" i="7"/>
  <c r="L139" i="7" s="1"/>
  <c r="S599" i="8"/>
  <c r="N599" i="8"/>
  <c r="R576" i="8"/>
  <c r="U576" i="8" s="1"/>
  <c r="S555" i="8"/>
  <c r="J457" i="8"/>
  <c r="J456" i="8" s="1"/>
  <c r="R377" i="8"/>
  <c r="U377" i="8" s="1"/>
  <c r="K368" i="8"/>
  <c r="O361" i="8"/>
  <c r="L358" i="8"/>
  <c r="O325" i="8"/>
  <c r="L323" i="8"/>
  <c r="O323" i="8" s="1"/>
  <c r="N305" i="8"/>
  <c r="N303" i="8" s="1"/>
  <c r="T283" i="8"/>
  <c r="L233" i="8"/>
  <c r="M188" i="8"/>
  <c r="M186" i="8" s="1"/>
  <c r="N141" i="8"/>
  <c r="N139" i="8" s="1"/>
  <c r="I136" i="8"/>
  <c r="K136" i="8" s="1"/>
  <c r="O97" i="8"/>
  <c r="N46" i="8"/>
  <c r="N44" i="8" s="1"/>
  <c r="S44" i="8"/>
  <c r="Q762" i="8"/>
  <c r="T765" i="8"/>
  <c r="J503" i="8"/>
  <c r="J492" i="8" s="1"/>
  <c r="K504" i="8"/>
  <c r="I213" i="8"/>
  <c r="K213" i="8" s="1"/>
  <c r="K220" i="8"/>
  <c r="M760" i="8"/>
  <c r="P760" i="8" s="1"/>
  <c r="P761" i="8"/>
  <c r="P730" i="8"/>
  <c r="M728" i="8"/>
  <c r="P728" i="8" s="1"/>
  <c r="N690" i="8"/>
  <c r="J675" i="8"/>
  <c r="K675" i="8" s="1"/>
  <c r="U643" i="8"/>
  <c r="L336" i="8"/>
  <c r="O336" i="8" s="1"/>
  <c r="O338" i="8"/>
  <c r="L335" i="8"/>
  <c r="L333" i="8" s="1"/>
  <c r="K705" i="6"/>
  <c r="N515" i="7"/>
  <c r="N513" i="7" s="1"/>
  <c r="K368" i="7"/>
  <c r="J351" i="7"/>
  <c r="K346" i="7"/>
  <c r="Q763" i="8"/>
  <c r="T763" i="8" s="1"/>
  <c r="L760" i="8"/>
  <c r="O760" i="8" s="1"/>
  <c r="O761" i="8"/>
  <c r="J701" i="8"/>
  <c r="M690" i="8"/>
  <c r="P690" i="8" s="1"/>
  <c r="P691" i="8"/>
  <c r="S619" i="8"/>
  <c r="U619" i="8" s="1"/>
  <c r="T621" i="8"/>
  <c r="S618" i="8"/>
  <c r="S616" i="8" s="1"/>
  <c r="R392" i="8"/>
  <c r="U392" i="8" s="1"/>
  <c r="L192" i="8"/>
  <c r="O192" i="8" s="1"/>
  <c r="O194" i="8"/>
  <c r="P67" i="8"/>
  <c r="M65" i="8"/>
  <c r="P65" i="8" s="1"/>
  <c r="R24" i="8"/>
  <c r="U24" i="8" s="1"/>
  <c r="U25" i="8"/>
  <c r="R19" i="8"/>
  <c r="Q731" i="8"/>
  <c r="Q730" i="8"/>
  <c r="Q728" i="8" s="1"/>
  <c r="T733" i="8"/>
  <c r="P494" i="8"/>
  <c r="M493" i="8"/>
  <c r="P493" i="8" s="1"/>
  <c r="K183" i="4"/>
  <c r="U731" i="5"/>
  <c r="J374" i="6"/>
  <c r="K368" i="6"/>
  <c r="K260" i="6"/>
  <c r="K152" i="6"/>
  <c r="K689" i="7"/>
  <c r="J675" i="7"/>
  <c r="M515" i="7"/>
  <c r="P515" i="7" s="1"/>
  <c r="Q413" i="7"/>
  <c r="T413" i="7" s="1"/>
  <c r="I374" i="7"/>
  <c r="O359" i="7"/>
  <c r="P336" i="7"/>
  <c r="L234" i="7"/>
  <c r="K198" i="7"/>
  <c r="S173" i="7"/>
  <c r="O162" i="7"/>
  <c r="O125" i="7"/>
  <c r="U122" i="7"/>
  <c r="L96" i="7"/>
  <c r="L94" i="7" s="1"/>
  <c r="L97" i="7"/>
  <c r="O97" i="7" s="1"/>
  <c r="R75" i="7"/>
  <c r="U75" i="7" s="1"/>
  <c r="L728" i="8"/>
  <c r="O728" i="8" s="1"/>
  <c r="O729" i="8"/>
  <c r="L714" i="8"/>
  <c r="O714" i="8" s="1"/>
  <c r="O715" i="8"/>
  <c r="I701" i="8"/>
  <c r="R645" i="8"/>
  <c r="U645" i="8" s="1"/>
  <c r="R644" i="8"/>
  <c r="R642" i="8" s="1"/>
  <c r="U647" i="8"/>
  <c r="N642" i="8"/>
  <c r="R618" i="8"/>
  <c r="U621" i="8"/>
  <c r="Q599" i="8"/>
  <c r="T599" i="8" s="1"/>
  <c r="Q576" i="8"/>
  <c r="T576" i="8" s="1"/>
  <c r="T578" i="8"/>
  <c r="N516" i="8"/>
  <c r="N515" i="8"/>
  <c r="N513" i="8" s="1"/>
  <c r="R692" i="8"/>
  <c r="U695" i="8"/>
  <c r="M616" i="8"/>
  <c r="P616" i="8" s="1"/>
  <c r="P617" i="8"/>
  <c r="K784" i="7"/>
  <c r="Q378" i="7"/>
  <c r="M176" i="7"/>
  <c r="R715" i="1"/>
  <c r="U715" i="1" s="1"/>
  <c r="O125" i="5"/>
  <c r="R416" i="6"/>
  <c r="U416" i="6" s="1"/>
  <c r="I169" i="7"/>
  <c r="K169" i="7" s="1"/>
  <c r="P165" i="7"/>
  <c r="M120" i="7"/>
  <c r="P120" i="7" s="1"/>
  <c r="P64" i="7"/>
  <c r="I758" i="8"/>
  <c r="K758" i="8" s="1"/>
  <c r="K772" i="8"/>
  <c r="U761" i="8"/>
  <c r="U729" i="8"/>
  <c r="R714" i="8"/>
  <c r="U714" i="8" s="1"/>
  <c r="U715" i="8"/>
  <c r="Q644" i="8"/>
  <c r="T647" i="8"/>
  <c r="M642" i="8"/>
  <c r="P642" i="8" s="1"/>
  <c r="P643" i="8"/>
  <c r="M516" i="8"/>
  <c r="P516" i="8" s="1"/>
  <c r="M515" i="8"/>
  <c r="P515" i="8" s="1"/>
  <c r="P518" i="8"/>
  <c r="Q377" i="8"/>
  <c r="T380" i="8"/>
  <c r="Q378" i="8"/>
  <c r="O357" i="8"/>
  <c r="T266" i="8"/>
  <c r="U187" i="8"/>
  <c r="S157" i="7"/>
  <c r="R513" i="8"/>
  <c r="U513" i="8" s="1"/>
  <c r="L189" i="8"/>
  <c r="O189" i="8" s="1"/>
  <c r="O191" i="8"/>
  <c r="L188" i="8"/>
  <c r="L186" i="8" s="1"/>
  <c r="L617" i="1"/>
  <c r="O617" i="1" s="1"/>
  <c r="K346" i="6"/>
  <c r="P716" i="8"/>
  <c r="M714" i="8"/>
  <c r="P714" i="8" s="1"/>
  <c r="Q692" i="8"/>
  <c r="T695" i="8"/>
  <c r="U376" i="8"/>
  <c r="J701" i="6"/>
  <c r="M268" i="6"/>
  <c r="M266" i="6" s="1"/>
  <c r="R97" i="6"/>
  <c r="K709" i="7"/>
  <c r="K703" i="7"/>
  <c r="P521" i="7"/>
  <c r="K260" i="7"/>
  <c r="O178" i="7"/>
  <c r="I168" i="7"/>
  <c r="K168" i="7" s="1"/>
  <c r="O165" i="7"/>
  <c r="U162" i="7"/>
  <c r="K152" i="7"/>
  <c r="O64" i="7"/>
  <c r="R763" i="8"/>
  <c r="U763" i="8" s="1"/>
  <c r="R762" i="8"/>
  <c r="U765" i="8"/>
  <c r="T729" i="8"/>
  <c r="Q714" i="8"/>
  <c r="T714" i="8" s="1"/>
  <c r="T715" i="8"/>
  <c r="S693" i="8"/>
  <c r="U693" i="8" s="1"/>
  <c r="S692" i="8"/>
  <c r="S690" i="8" s="1"/>
  <c r="K676" i="8"/>
  <c r="Q645" i="8"/>
  <c r="T645" i="8" s="1"/>
  <c r="L642" i="8"/>
  <c r="O642" i="8" s="1"/>
  <c r="O643" i="8"/>
  <c r="L519" i="8"/>
  <c r="O519" i="8" s="1"/>
  <c r="R495" i="8"/>
  <c r="R496" i="8"/>
  <c r="U496" i="8" s="1"/>
  <c r="U498" i="8"/>
  <c r="I319" i="8"/>
  <c r="K319" i="8" s="1"/>
  <c r="K330" i="8"/>
  <c r="L272" i="8"/>
  <c r="O272" i="8" s="1"/>
  <c r="O274" i="8"/>
  <c r="Q72" i="7"/>
  <c r="T72" i="7" s="1"/>
  <c r="S644" i="8"/>
  <c r="S642" i="8" s="1"/>
  <c r="T536" i="8"/>
  <c r="L515" i="8"/>
  <c r="O515" i="8" s="1"/>
  <c r="M413" i="8"/>
  <c r="P413" i="8" s="1"/>
  <c r="O393" i="8"/>
  <c r="U321" i="8"/>
  <c r="K314" i="8"/>
  <c r="I302" i="8"/>
  <c r="K302" i="8" s="1"/>
  <c r="L309" i="8"/>
  <c r="O309" i="8" s="1"/>
  <c r="M305" i="8"/>
  <c r="P158" i="8"/>
  <c r="N120" i="8"/>
  <c r="N119" i="8"/>
  <c r="N117" i="8" s="1"/>
  <c r="O118" i="8"/>
  <c r="I615" i="8"/>
  <c r="K615" i="8" s="1"/>
  <c r="R555" i="8"/>
  <c r="U555" i="8" s="1"/>
  <c r="L555" i="8"/>
  <c r="O555" i="8" s="1"/>
  <c r="S496" i="8"/>
  <c r="Q415" i="8"/>
  <c r="T415" i="8" s="1"/>
  <c r="N392" i="8"/>
  <c r="U380" i="8"/>
  <c r="K369" i="8"/>
  <c r="L305" i="8"/>
  <c r="Q139" i="8"/>
  <c r="T139" i="8" s="1"/>
  <c r="T140" i="8"/>
  <c r="T99" i="8"/>
  <c r="Q97" i="8"/>
  <c r="Q96" i="8"/>
  <c r="T96" i="8" s="1"/>
  <c r="M599" i="8"/>
  <c r="P599" i="8" s="1"/>
  <c r="Q555" i="8"/>
  <c r="T555" i="8" s="1"/>
  <c r="T556" i="8"/>
  <c r="M555" i="8"/>
  <c r="P555" i="8" s="1"/>
  <c r="P514" i="8"/>
  <c r="T414" i="8"/>
  <c r="I332" i="8"/>
  <c r="K344" i="8"/>
  <c r="K292" i="8"/>
  <c r="I281" i="8"/>
  <c r="K281" i="8" s="1"/>
  <c r="N188" i="8"/>
  <c r="N186" i="8" s="1"/>
  <c r="Q188" i="8"/>
  <c r="L179" i="8"/>
  <c r="O179" i="8" s="1"/>
  <c r="L175" i="8"/>
  <c r="O181" i="8"/>
  <c r="S142" i="8"/>
  <c r="S141" i="8"/>
  <c r="S139" i="8" s="1"/>
  <c r="P60" i="8"/>
  <c r="L375" i="8"/>
  <c r="O375" i="8" s="1"/>
  <c r="O376" i="8"/>
  <c r="K229" i="8"/>
  <c r="I221" i="8"/>
  <c r="K221" i="8" s="1"/>
  <c r="N26" i="8"/>
  <c r="N24" i="8" s="1"/>
  <c r="N192" i="8"/>
  <c r="R176" i="8"/>
  <c r="U176" i="8" s="1"/>
  <c r="R175" i="8"/>
  <c r="U175" i="8" s="1"/>
  <c r="P174" i="8"/>
  <c r="U144" i="8"/>
  <c r="R142" i="8"/>
  <c r="U142" i="8" s="1"/>
  <c r="R141" i="8"/>
  <c r="R333" i="8"/>
  <c r="U333" i="8" s="1"/>
  <c r="Q320" i="8"/>
  <c r="T320" i="8" s="1"/>
  <c r="L268" i="8"/>
  <c r="O268" i="8" s="1"/>
  <c r="P19" i="8"/>
  <c r="N335" i="8"/>
  <c r="N333" i="8" s="1"/>
  <c r="M326" i="8"/>
  <c r="P326" i="8" s="1"/>
  <c r="M322" i="8"/>
  <c r="N322" i="8"/>
  <c r="N320" i="8" s="1"/>
  <c r="U308" i="8"/>
  <c r="R306" i="8"/>
  <c r="L285" i="8"/>
  <c r="O285" i="8" s="1"/>
  <c r="M284" i="8"/>
  <c r="P284" i="8" s="1"/>
  <c r="R282" i="8"/>
  <c r="U282" i="8" s="1"/>
  <c r="O271" i="8"/>
  <c r="I253" i="8"/>
  <c r="K253" i="8" s="1"/>
  <c r="K260" i="8"/>
  <c r="I242" i="8"/>
  <c r="K249" i="8"/>
  <c r="I238" i="8"/>
  <c r="K238" i="8" s="1"/>
  <c r="L214" i="8"/>
  <c r="O214" i="8" s="1"/>
  <c r="P178" i="8"/>
  <c r="N176" i="8"/>
  <c r="P176" i="8" s="1"/>
  <c r="O178" i="8"/>
  <c r="Q175" i="8"/>
  <c r="R160" i="8"/>
  <c r="U160" i="8" s="1"/>
  <c r="R159" i="8"/>
  <c r="U159" i="8" s="1"/>
  <c r="U162" i="8"/>
  <c r="U22" i="8"/>
  <c r="J332" i="8"/>
  <c r="J343" i="8"/>
  <c r="S282" i="8"/>
  <c r="T268" i="8"/>
  <c r="L234" i="8"/>
  <c r="L243" i="8"/>
  <c r="J231" i="8"/>
  <c r="J185" i="8" s="1"/>
  <c r="U96" i="8"/>
  <c r="R94" i="8"/>
  <c r="U94" i="8" s="1"/>
  <c r="R72" i="8"/>
  <c r="M358" i="8"/>
  <c r="P338" i="8"/>
  <c r="Q305" i="8"/>
  <c r="P271" i="8"/>
  <c r="R188" i="8"/>
  <c r="O158" i="8"/>
  <c r="P118" i="8"/>
  <c r="I82" i="8"/>
  <c r="P73" i="8"/>
  <c r="O67" i="8"/>
  <c r="L65" i="8"/>
  <c r="O65" i="8" s="1"/>
  <c r="L61" i="8"/>
  <c r="P52" i="8"/>
  <c r="M26" i="8"/>
  <c r="P26" i="8" s="1"/>
  <c r="M50" i="8"/>
  <c r="P50" i="8" s="1"/>
  <c r="P45" i="8"/>
  <c r="P25" i="8"/>
  <c r="O19" i="8"/>
  <c r="M339" i="8"/>
  <c r="P339" i="8" s="1"/>
  <c r="L326" i="8"/>
  <c r="O326" i="8" s="1"/>
  <c r="Q306" i="8"/>
  <c r="K276" i="8"/>
  <c r="M192" i="8"/>
  <c r="P192" i="8" s="1"/>
  <c r="P162" i="8"/>
  <c r="N160" i="8"/>
  <c r="P160" i="8" s="1"/>
  <c r="U158" i="8"/>
  <c r="P147" i="8"/>
  <c r="M145" i="8"/>
  <c r="P145" i="8" s="1"/>
  <c r="P144" i="8"/>
  <c r="M142" i="8"/>
  <c r="P142" i="8" s="1"/>
  <c r="O52" i="8"/>
  <c r="L26" i="8"/>
  <c r="O26" i="8" s="1"/>
  <c r="L50" i="8"/>
  <c r="O50" i="8" s="1"/>
  <c r="L46" i="8"/>
  <c r="O25" i="8"/>
  <c r="N23" i="8"/>
  <c r="P22" i="8"/>
  <c r="U191" i="8"/>
  <c r="U174" i="8"/>
  <c r="O174" i="8"/>
  <c r="T162" i="8"/>
  <c r="O147" i="8"/>
  <c r="L145" i="8"/>
  <c r="O145" i="8" s="1"/>
  <c r="O144" i="8"/>
  <c r="L142" i="8"/>
  <c r="O142" i="8" s="1"/>
  <c r="M141" i="8"/>
  <c r="P141" i="8" s="1"/>
  <c r="U118" i="8"/>
  <c r="Q72" i="8"/>
  <c r="O22" i="8"/>
  <c r="P191" i="8"/>
  <c r="U99" i="8"/>
  <c r="O99" i="8"/>
  <c r="K84" i="8"/>
  <c r="T77" i="8"/>
  <c r="S23" i="8"/>
  <c r="S20" i="8" s="1"/>
  <c r="S18" i="8" s="1"/>
  <c r="M23" i="8"/>
  <c r="L159" i="8"/>
  <c r="R119" i="8"/>
  <c r="L119" i="8"/>
  <c r="O119" i="8" s="1"/>
  <c r="N96" i="8"/>
  <c r="S74" i="8"/>
  <c r="T74" i="8" s="1"/>
  <c r="M74" i="8"/>
  <c r="M61" i="8"/>
  <c r="M46" i="8"/>
  <c r="R23" i="8"/>
  <c r="L23" i="8"/>
  <c r="Q23" i="8"/>
  <c r="M339" i="7"/>
  <c r="P339" i="7" s="1"/>
  <c r="P287" i="5"/>
  <c r="L285" i="5"/>
  <c r="O285" i="5" s="1"/>
  <c r="K209" i="5"/>
  <c r="Q730" i="6"/>
  <c r="Q728" i="6" s="1"/>
  <c r="S415" i="6"/>
  <c r="S413" i="6" s="1"/>
  <c r="M175" i="6"/>
  <c r="M173" i="6" s="1"/>
  <c r="L100" i="6"/>
  <c r="O100" i="6" s="1"/>
  <c r="L96" i="6"/>
  <c r="O96" i="6" s="1"/>
  <c r="O47" i="6"/>
  <c r="K778" i="7"/>
  <c r="N760" i="7"/>
  <c r="R619" i="7"/>
  <c r="U619" i="7" s="1"/>
  <c r="N493" i="7"/>
  <c r="Q416" i="7"/>
  <c r="T416" i="7" s="1"/>
  <c r="P376" i="7"/>
  <c r="N358" i="7"/>
  <c r="N356" i="7" s="1"/>
  <c r="L339" i="7"/>
  <c r="O339" i="7" s="1"/>
  <c r="R320" i="7"/>
  <c r="U320" i="7" s="1"/>
  <c r="N232" i="7"/>
  <c r="L214" i="7"/>
  <c r="O214" i="7" s="1"/>
  <c r="R188" i="7"/>
  <c r="U188" i="7" s="1"/>
  <c r="Q173" i="7"/>
  <c r="T173" i="7" s="1"/>
  <c r="N119" i="7"/>
  <c r="N117" i="7" s="1"/>
  <c r="O62" i="7"/>
  <c r="R44" i="7"/>
  <c r="U44" i="7" s="1"/>
  <c r="N232" i="1"/>
  <c r="O232" i="1" s="1"/>
  <c r="Q375" i="7"/>
  <c r="M305" i="5"/>
  <c r="M303" i="5" s="1"/>
  <c r="T496" i="6"/>
  <c r="R175" i="6"/>
  <c r="U175" i="6" s="1"/>
  <c r="Q692" i="7"/>
  <c r="Q690" i="7" s="1"/>
  <c r="N690" i="7"/>
  <c r="T621" i="7"/>
  <c r="P518" i="7"/>
  <c r="R513" i="7"/>
  <c r="U513" i="7" s="1"/>
  <c r="M493" i="7"/>
  <c r="P493" i="7" s="1"/>
  <c r="T418" i="7"/>
  <c r="P393" i="7"/>
  <c r="K386" i="7"/>
  <c r="R377" i="7"/>
  <c r="R375" i="7" s="1"/>
  <c r="L375" i="7"/>
  <c r="O375" i="7" s="1"/>
  <c r="K365" i="7"/>
  <c r="P361" i="7"/>
  <c r="S356" i="7"/>
  <c r="Q356" i="7"/>
  <c r="T356" i="7" s="1"/>
  <c r="K276" i="7"/>
  <c r="M269" i="7"/>
  <c r="P269" i="7" s="1"/>
  <c r="P267" i="7"/>
  <c r="L236" i="7"/>
  <c r="J231" i="7"/>
  <c r="J185" i="7" s="1"/>
  <c r="T203" i="7"/>
  <c r="K195" i="7"/>
  <c r="O191" i="7"/>
  <c r="K183" i="7"/>
  <c r="U178" i="7"/>
  <c r="T162" i="7"/>
  <c r="M159" i="7"/>
  <c r="M157" i="7" s="1"/>
  <c r="S160" i="7"/>
  <c r="T144" i="7"/>
  <c r="Q142" i="7"/>
  <c r="T142" i="7" s="1"/>
  <c r="T122" i="7"/>
  <c r="M96" i="7"/>
  <c r="M94" i="7" s="1"/>
  <c r="S97" i="7"/>
  <c r="N74" i="7"/>
  <c r="N72" i="7" s="1"/>
  <c r="N61" i="7"/>
  <c r="N59" i="7" s="1"/>
  <c r="T25" i="7"/>
  <c r="N19" i="7"/>
  <c r="L322" i="7"/>
  <c r="O322" i="7" s="1"/>
  <c r="S495" i="5"/>
  <c r="S493" i="5" s="1"/>
  <c r="M119" i="5"/>
  <c r="P119" i="5" s="1"/>
  <c r="S377" i="6"/>
  <c r="S375" i="6" s="1"/>
  <c r="P290" i="6"/>
  <c r="R75" i="6"/>
  <c r="U75" i="6" s="1"/>
  <c r="S730" i="7"/>
  <c r="S728" i="7" s="1"/>
  <c r="K727" i="7"/>
  <c r="J701" i="7"/>
  <c r="T691" i="7"/>
  <c r="T643" i="7"/>
  <c r="K632" i="7"/>
  <c r="R616" i="7"/>
  <c r="N516" i="7"/>
  <c r="J374" i="7"/>
  <c r="T376" i="7"/>
  <c r="P364" i="7"/>
  <c r="L358" i="7"/>
  <c r="L356" i="7" s="1"/>
  <c r="T334" i="7"/>
  <c r="O325" i="7"/>
  <c r="L222" i="7"/>
  <c r="O222" i="7" s="1"/>
  <c r="O194" i="7"/>
  <c r="N188" i="7"/>
  <c r="N186" i="7" s="1"/>
  <c r="T178" i="7"/>
  <c r="S176" i="7"/>
  <c r="Q160" i="7"/>
  <c r="T160" i="7" s="1"/>
  <c r="N142" i="7"/>
  <c r="S120" i="7"/>
  <c r="T73" i="7"/>
  <c r="P62" i="7"/>
  <c r="S24" i="7"/>
  <c r="M19" i="7"/>
  <c r="P19" i="7" s="1"/>
  <c r="Q642" i="5"/>
  <c r="Q616" i="5"/>
  <c r="I242" i="6"/>
  <c r="K242" i="6" s="1"/>
  <c r="I238" i="6"/>
  <c r="K238" i="6" s="1"/>
  <c r="U77" i="6"/>
  <c r="O49" i="6"/>
  <c r="K779" i="7"/>
  <c r="Q760" i="7"/>
  <c r="L760" i="7"/>
  <c r="O760" i="7" s="1"/>
  <c r="P617" i="7"/>
  <c r="P556" i="7"/>
  <c r="R555" i="7"/>
  <c r="U555" i="7" s="1"/>
  <c r="S534" i="7"/>
  <c r="M516" i="7"/>
  <c r="P516" i="7" s="1"/>
  <c r="N322" i="7"/>
  <c r="N320" i="7" s="1"/>
  <c r="L323" i="7"/>
  <c r="O323" i="7" s="1"/>
  <c r="N305" i="7"/>
  <c r="N303" i="7" s="1"/>
  <c r="N284" i="7"/>
  <c r="N282" i="7" s="1"/>
  <c r="N285" i="7"/>
  <c r="M192" i="7"/>
  <c r="P192" i="7" s="1"/>
  <c r="M188" i="7"/>
  <c r="M186" i="7" s="1"/>
  <c r="P186" i="7" s="1"/>
  <c r="S189" i="7"/>
  <c r="U189" i="7" s="1"/>
  <c r="Q176" i="7"/>
  <c r="T176" i="7" s="1"/>
  <c r="M160" i="7"/>
  <c r="S141" i="7"/>
  <c r="S139" i="7" s="1"/>
  <c r="U120" i="7"/>
  <c r="Q120" i="7"/>
  <c r="M97" i="7"/>
  <c r="P97" i="7" s="1"/>
  <c r="L74" i="7"/>
  <c r="Q75" i="7"/>
  <c r="T75" i="7" s="1"/>
  <c r="P49" i="7"/>
  <c r="N47" i="7"/>
  <c r="O47" i="7" s="1"/>
  <c r="T22" i="7"/>
  <c r="L19" i="7"/>
  <c r="U120" i="5"/>
  <c r="L254" i="6"/>
  <c r="O254" i="6" s="1"/>
  <c r="L214" i="6"/>
  <c r="O214" i="6" s="1"/>
  <c r="K108" i="6"/>
  <c r="K631" i="7"/>
  <c r="T619" i="7"/>
  <c r="O617" i="7"/>
  <c r="M335" i="7"/>
  <c r="M333" i="7" s="1"/>
  <c r="L326" i="7"/>
  <c r="O326" i="7" s="1"/>
  <c r="M322" i="7"/>
  <c r="M320" i="7" s="1"/>
  <c r="P320" i="7" s="1"/>
  <c r="N268" i="7"/>
  <c r="N266" i="7" s="1"/>
  <c r="L203" i="7"/>
  <c r="O203" i="7" s="1"/>
  <c r="T159" i="7"/>
  <c r="K85" i="7"/>
  <c r="O49" i="7"/>
  <c r="U729" i="7"/>
  <c r="M642" i="7"/>
  <c r="P642" i="7" s="1"/>
  <c r="P643" i="7"/>
  <c r="Q534" i="7"/>
  <c r="T534" i="7" s="1"/>
  <c r="T535" i="7"/>
  <c r="I319" i="7"/>
  <c r="K319" i="7" s="1"/>
  <c r="K330" i="7"/>
  <c r="K705" i="5"/>
  <c r="K653" i="5"/>
  <c r="K709" i="6"/>
  <c r="K780" i="7"/>
  <c r="M760" i="7"/>
  <c r="P760" i="7" s="1"/>
  <c r="P761" i="7"/>
  <c r="N534" i="7"/>
  <c r="U308" i="7"/>
  <c r="R306" i="7"/>
  <c r="U306" i="7" s="1"/>
  <c r="R305" i="7"/>
  <c r="U305" i="7" s="1"/>
  <c r="K183" i="1"/>
  <c r="P189" i="3"/>
  <c r="J675" i="5"/>
  <c r="T96" i="5"/>
  <c r="R763" i="6"/>
  <c r="U763" i="6" s="1"/>
  <c r="S762" i="6"/>
  <c r="S760" i="6" s="1"/>
  <c r="I759" i="6"/>
  <c r="K759" i="6" s="1"/>
  <c r="J675" i="6"/>
  <c r="K630" i="6"/>
  <c r="R496" i="6"/>
  <c r="U496" i="6" s="1"/>
  <c r="S495" i="6"/>
  <c r="U495" i="6" s="1"/>
  <c r="P364" i="6"/>
  <c r="O144" i="6"/>
  <c r="K782" i="7"/>
  <c r="Q763" i="7"/>
  <c r="Q730" i="7"/>
  <c r="Q728" i="7" s="1"/>
  <c r="T733" i="7"/>
  <c r="N728" i="7"/>
  <c r="R714" i="7"/>
  <c r="U714" i="7" s="1"/>
  <c r="U715" i="7"/>
  <c r="J702" i="7"/>
  <c r="M690" i="7"/>
  <c r="P690" i="7" s="1"/>
  <c r="P691" i="7"/>
  <c r="S645" i="7"/>
  <c r="S644" i="7"/>
  <c r="S642" i="7" s="1"/>
  <c r="U621" i="7"/>
  <c r="S618" i="7"/>
  <c r="S616" i="7" s="1"/>
  <c r="R599" i="7"/>
  <c r="U599" i="7" s="1"/>
  <c r="U600" i="7"/>
  <c r="N576" i="7"/>
  <c r="M534" i="7"/>
  <c r="P534" i="7" s="1"/>
  <c r="S495" i="7"/>
  <c r="O494" i="7"/>
  <c r="L493" i="7"/>
  <c r="O493" i="7" s="1"/>
  <c r="S392" i="7"/>
  <c r="L392" i="7"/>
  <c r="O392" i="7" s="1"/>
  <c r="K314" i="7"/>
  <c r="I302" i="7"/>
  <c r="K302" i="7" s="1"/>
  <c r="P67" i="7"/>
  <c r="M65" i="7"/>
  <c r="P65" i="7" s="1"/>
  <c r="L714" i="7"/>
  <c r="O714" i="7" s="1"/>
  <c r="O715" i="7"/>
  <c r="R576" i="7"/>
  <c r="U576" i="7" s="1"/>
  <c r="U577" i="7"/>
  <c r="K784" i="6"/>
  <c r="R731" i="7"/>
  <c r="U731" i="7" s="1"/>
  <c r="R730" i="7"/>
  <c r="U733" i="7"/>
  <c r="S599" i="7"/>
  <c r="T191" i="7"/>
  <c r="Q189" i="7"/>
  <c r="Q188" i="7"/>
  <c r="P122" i="2"/>
  <c r="K783" i="4"/>
  <c r="K780" i="4"/>
  <c r="O271" i="4"/>
  <c r="Q159" i="4"/>
  <c r="T159" i="4" s="1"/>
  <c r="T74" i="4"/>
  <c r="O64" i="4"/>
  <c r="P325" i="5"/>
  <c r="M272" i="5"/>
  <c r="P272" i="5" s="1"/>
  <c r="P181" i="5"/>
  <c r="L519" i="6"/>
  <c r="O519" i="6" s="1"/>
  <c r="S269" i="6"/>
  <c r="Q120" i="6"/>
  <c r="T120" i="6" s="1"/>
  <c r="T765" i="7"/>
  <c r="M728" i="7"/>
  <c r="P728" i="7" s="1"/>
  <c r="Q714" i="7"/>
  <c r="T714" i="7" s="1"/>
  <c r="T715" i="7"/>
  <c r="R644" i="7"/>
  <c r="U647" i="7"/>
  <c r="Q599" i="7"/>
  <c r="T599" i="7" s="1"/>
  <c r="T600" i="7"/>
  <c r="M576" i="7"/>
  <c r="P576" i="7" s="1"/>
  <c r="Q555" i="7"/>
  <c r="T555" i="7" s="1"/>
  <c r="L534" i="7"/>
  <c r="O534" i="7" s="1"/>
  <c r="O535" i="7"/>
  <c r="J503" i="7"/>
  <c r="J492" i="7" s="1"/>
  <c r="K506" i="7"/>
  <c r="S493" i="7"/>
  <c r="M413" i="7"/>
  <c r="P413" i="7" s="1"/>
  <c r="P414" i="7"/>
  <c r="U380" i="7"/>
  <c r="S377" i="7"/>
  <c r="S375" i="7" s="1"/>
  <c r="T380" i="7"/>
  <c r="S378" i="7"/>
  <c r="R333" i="7"/>
  <c r="U333" i="7" s="1"/>
  <c r="M335" i="6"/>
  <c r="M333" i="6" s="1"/>
  <c r="U271" i="7"/>
  <c r="R269" i="7"/>
  <c r="U189" i="5"/>
  <c r="K778" i="6"/>
  <c r="Q576" i="7"/>
  <c r="T576" i="7" s="1"/>
  <c r="T577" i="7"/>
  <c r="T271" i="7"/>
  <c r="Q269" i="7"/>
  <c r="Q268" i="7"/>
  <c r="N179" i="7"/>
  <c r="N175" i="7"/>
  <c r="N173" i="7" s="1"/>
  <c r="T733" i="4"/>
  <c r="M519" i="4"/>
  <c r="P519" i="4" s="1"/>
  <c r="O125" i="4"/>
  <c r="K709" i="5"/>
  <c r="O181" i="5"/>
  <c r="K707" i="6"/>
  <c r="S642" i="6"/>
  <c r="O338" i="6"/>
  <c r="O178" i="6"/>
  <c r="K774" i="7"/>
  <c r="I759" i="7"/>
  <c r="K759" i="7" s="1"/>
  <c r="S763" i="7"/>
  <c r="U763" i="7" s="1"/>
  <c r="S762" i="7"/>
  <c r="S760" i="7" s="1"/>
  <c r="I758" i="7"/>
  <c r="K758" i="7" s="1"/>
  <c r="T731" i="7"/>
  <c r="L728" i="7"/>
  <c r="O728" i="7" s="1"/>
  <c r="O729" i="7"/>
  <c r="N714" i="7"/>
  <c r="S693" i="7"/>
  <c r="T693" i="7" s="1"/>
  <c r="T695" i="7"/>
  <c r="S692" i="7"/>
  <c r="S690" i="7" s="1"/>
  <c r="N599" i="7"/>
  <c r="L576" i="7"/>
  <c r="O576" i="7" s="1"/>
  <c r="O577" i="7"/>
  <c r="J332" i="7"/>
  <c r="J343" i="7"/>
  <c r="O338" i="7"/>
  <c r="L336" i="7"/>
  <c r="O336" i="7" s="1"/>
  <c r="L335" i="7"/>
  <c r="L268" i="7"/>
  <c r="O268" i="7" s="1"/>
  <c r="K229" i="7"/>
  <c r="I221" i="7"/>
  <c r="K221" i="7" s="1"/>
  <c r="Q139" i="7"/>
  <c r="T139" i="7" s="1"/>
  <c r="T140" i="7"/>
  <c r="O19" i="7"/>
  <c r="L599" i="7"/>
  <c r="O599" i="7" s="1"/>
  <c r="O600" i="7"/>
  <c r="R495" i="7"/>
  <c r="U495" i="7" s="1"/>
  <c r="U498" i="7"/>
  <c r="R496" i="7"/>
  <c r="U496" i="7" s="1"/>
  <c r="O274" i="7"/>
  <c r="L272" i="7"/>
  <c r="O272" i="7" s="1"/>
  <c r="R268" i="7"/>
  <c r="S540" i="1"/>
  <c r="K781" i="6"/>
  <c r="K631" i="6"/>
  <c r="L97" i="6"/>
  <c r="O97" i="6" s="1"/>
  <c r="T729" i="7"/>
  <c r="S714" i="7"/>
  <c r="Q731" i="5"/>
  <c r="T731" i="5" s="1"/>
  <c r="S119" i="5"/>
  <c r="J674" i="6"/>
  <c r="L358" i="6"/>
  <c r="L356" i="6" s="1"/>
  <c r="L284" i="6"/>
  <c r="L282" i="6" s="1"/>
  <c r="P274" i="6"/>
  <c r="L269" i="6"/>
  <c r="O269" i="6" s="1"/>
  <c r="K154" i="6"/>
  <c r="P144" i="6"/>
  <c r="P125" i="6"/>
  <c r="M96" i="6"/>
  <c r="M94" i="6" s="1"/>
  <c r="S97" i="6"/>
  <c r="R762" i="7"/>
  <c r="U765" i="7"/>
  <c r="M714" i="7"/>
  <c r="P714" i="7" s="1"/>
  <c r="R692" i="7"/>
  <c r="U695" i="7"/>
  <c r="R645" i="7"/>
  <c r="U645" i="7" s="1"/>
  <c r="M599" i="7"/>
  <c r="P599" i="7" s="1"/>
  <c r="S576" i="7"/>
  <c r="R534" i="7"/>
  <c r="U534" i="7" s="1"/>
  <c r="U535" i="7"/>
  <c r="I492" i="7"/>
  <c r="K492" i="7" s="1"/>
  <c r="K440" i="7"/>
  <c r="I423" i="7"/>
  <c r="O357" i="7"/>
  <c r="I332" i="7"/>
  <c r="K344" i="7"/>
  <c r="K293" i="7"/>
  <c r="I280" i="7"/>
  <c r="K280" i="7" s="1"/>
  <c r="P287" i="7"/>
  <c r="M285" i="7"/>
  <c r="P285" i="7" s="1"/>
  <c r="M284" i="7"/>
  <c r="P284" i="7" s="1"/>
  <c r="T214" i="7"/>
  <c r="P729" i="7"/>
  <c r="P715" i="7"/>
  <c r="K707" i="7"/>
  <c r="K630" i="7"/>
  <c r="K626" i="7"/>
  <c r="P600" i="7"/>
  <c r="P577" i="7"/>
  <c r="P535" i="7"/>
  <c r="Q495" i="7"/>
  <c r="T495" i="7" s="1"/>
  <c r="T498" i="7"/>
  <c r="K457" i="7"/>
  <c r="I456" i="7"/>
  <c r="K456" i="7" s="1"/>
  <c r="S416" i="7"/>
  <c r="S415" i="7"/>
  <c r="S413" i="7" s="1"/>
  <c r="R392" i="7"/>
  <c r="U392" i="7" s="1"/>
  <c r="O364" i="7"/>
  <c r="L362" i="7"/>
  <c r="O362" i="7" s="1"/>
  <c r="R356" i="7"/>
  <c r="U356" i="7" s="1"/>
  <c r="U357" i="7"/>
  <c r="Q320" i="7"/>
  <c r="T320" i="7" s="1"/>
  <c r="S305" i="7"/>
  <c r="S303" i="7" s="1"/>
  <c r="O287" i="7"/>
  <c r="L285" i="7"/>
  <c r="O285" i="7" s="1"/>
  <c r="S282" i="7"/>
  <c r="L254" i="7"/>
  <c r="O254" i="7" s="1"/>
  <c r="L233" i="7"/>
  <c r="U174" i="7"/>
  <c r="N163" i="7"/>
  <c r="N26" i="7"/>
  <c r="N24" i="7" s="1"/>
  <c r="P162" i="7"/>
  <c r="N160" i="7"/>
  <c r="N23" i="7"/>
  <c r="N159" i="7"/>
  <c r="N157" i="7" s="1"/>
  <c r="K116" i="7"/>
  <c r="P118" i="7"/>
  <c r="K629" i="7"/>
  <c r="R415" i="7"/>
  <c r="U418" i="7"/>
  <c r="Q392" i="7"/>
  <c r="T392" i="7" s="1"/>
  <c r="T393" i="7"/>
  <c r="O361" i="7"/>
  <c r="P359" i="7"/>
  <c r="P308" i="7"/>
  <c r="M306" i="7"/>
  <c r="P306" i="7" s="1"/>
  <c r="T304" i="7"/>
  <c r="R282" i="7"/>
  <c r="U282" i="7" s="1"/>
  <c r="U22" i="7"/>
  <c r="O518" i="7"/>
  <c r="L516" i="7"/>
  <c r="O516" i="7" s="1"/>
  <c r="Q513" i="7"/>
  <c r="T513" i="7" s="1"/>
  <c r="T514" i="7"/>
  <c r="N335" i="7"/>
  <c r="N333" i="7" s="1"/>
  <c r="P328" i="7"/>
  <c r="M326" i="7"/>
  <c r="P326" i="7" s="1"/>
  <c r="P311" i="7"/>
  <c r="M309" i="7"/>
  <c r="P309" i="7" s="1"/>
  <c r="O308" i="7"/>
  <c r="L306" i="7"/>
  <c r="O306" i="7" s="1"/>
  <c r="M305" i="7"/>
  <c r="P305" i="7" s="1"/>
  <c r="Q282" i="7"/>
  <c r="T282" i="7" s="1"/>
  <c r="T283" i="7"/>
  <c r="O271" i="7"/>
  <c r="L269" i="7"/>
  <c r="O269" i="7" s="1"/>
  <c r="I242" i="7"/>
  <c r="K249" i="7"/>
  <c r="I238" i="7"/>
  <c r="K238" i="7" s="1"/>
  <c r="I202" i="7"/>
  <c r="K202" i="7" s="1"/>
  <c r="K209" i="7"/>
  <c r="U158" i="7"/>
  <c r="P357" i="7"/>
  <c r="O311" i="7"/>
  <c r="L309" i="7"/>
  <c r="O309" i="7" s="1"/>
  <c r="L305" i="7"/>
  <c r="O305" i="7" s="1"/>
  <c r="U96" i="7"/>
  <c r="R94" i="7"/>
  <c r="U94" i="7" s="1"/>
  <c r="P60" i="7"/>
  <c r="R24" i="7"/>
  <c r="U24" i="7" s="1"/>
  <c r="U25" i="7"/>
  <c r="R19" i="7"/>
  <c r="P494" i="7"/>
  <c r="U393" i="7"/>
  <c r="O393" i="7"/>
  <c r="K371" i="7"/>
  <c r="M358" i="7"/>
  <c r="P338" i="7"/>
  <c r="Q305" i="7"/>
  <c r="T305" i="7" s="1"/>
  <c r="P271" i="7"/>
  <c r="L243" i="7"/>
  <c r="P178" i="7"/>
  <c r="N176" i="7"/>
  <c r="P147" i="7"/>
  <c r="M145" i="7"/>
  <c r="P145" i="7" s="1"/>
  <c r="P144" i="7"/>
  <c r="M142" i="7"/>
  <c r="U141" i="7"/>
  <c r="R139" i="7"/>
  <c r="U139" i="7" s="1"/>
  <c r="O118" i="7"/>
  <c r="T99" i="7"/>
  <c r="Q97" i="7"/>
  <c r="O67" i="7"/>
  <c r="L65" i="7"/>
  <c r="O65" i="7" s="1"/>
  <c r="L61" i="7"/>
  <c r="U191" i="7"/>
  <c r="P158" i="7"/>
  <c r="O147" i="7"/>
  <c r="L145" i="7"/>
  <c r="O145" i="7" s="1"/>
  <c r="O144" i="7"/>
  <c r="L142" i="7"/>
  <c r="M141" i="7"/>
  <c r="S117" i="7"/>
  <c r="Q117" i="7"/>
  <c r="Q96" i="7"/>
  <c r="T96" i="7" s="1"/>
  <c r="I82" i="7"/>
  <c r="P73" i="7"/>
  <c r="P52" i="7"/>
  <c r="M26" i="7"/>
  <c r="P26" i="7" s="1"/>
  <c r="M50" i="7"/>
  <c r="P50" i="7" s="1"/>
  <c r="P45" i="7"/>
  <c r="P25" i="7"/>
  <c r="O189" i="7"/>
  <c r="L188" i="7"/>
  <c r="P174" i="7"/>
  <c r="O158" i="7"/>
  <c r="U118" i="7"/>
  <c r="O52" i="7"/>
  <c r="L26" i="7"/>
  <c r="O26" i="7" s="1"/>
  <c r="L50" i="7"/>
  <c r="O50" i="7" s="1"/>
  <c r="L46" i="7"/>
  <c r="O25" i="7"/>
  <c r="P22" i="7"/>
  <c r="O174" i="7"/>
  <c r="U144" i="7"/>
  <c r="R142" i="7"/>
  <c r="U142" i="7" s="1"/>
  <c r="I138" i="7"/>
  <c r="K138" i="7" s="1"/>
  <c r="O22" i="7"/>
  <c r="P191" i="7"/>
  <c r="U99" i="7"/>
  <c r="O99" i="7"/>
  <c r="K84" i="7"/>
  <c r="T77" i="7"/>
  <c r="S23" i="7"/>
  <c r="S20" i="7" s="1"/>
  <c r="S18" i="7" s="1"/>
  <c r="M23" i="7"/>
  <c r="M21" i="7" s="1"/>
  <c r="R175" i="7"/>
  <c r="U175" i="7" s="1"/>
  <c r="L175" i="7"/>
  <c r="L173" i="7" s="1"/>
  <c r="R159" i="7"/>
  <c r="U159" i="7" s="1"/>
  <c r="L159" i="7"/>
  <c r="R119" i="7"/>
  <c r="U119" i="7" s="1"/>
  <c r="L119" i="7"/>
  <c r="O119" i="7" s="1"/>
  <c r="N96" i="7"/>
  <c r="S74" i="7"/>
  <c r="S72" i="7" s="1"/>
  <c r="M74" i="7"/>
  <c r="P74" i="7" s="1"/>
  <c r="M61" i="7"/>
  <c r="M46" i="7"/>
  <c r="R23" i="7"/>
  <c r="R21" i="7" s="1"/>
  <c r="L23" i="7"/>
  <c r="L21" i="7" s="1"/>
  <c r="Q23" i="7"/>
  <c r="K780" i="5"/>
  <c r="K785" i="6"/>
  <c r="K782" i="6"/>
  <c r="K779" i="6"/>
  <c r="N760" i="6"/>
  <c r="N690" i="6"/>
  <c r="T577" i="6"/>
  <c r="Q576" i="6"/>
  <c r="T576" i="6" s="1"/>
  <c r="S333" i="6"/>
  <c r="O290" i="4"/>
  <c r="L235" i="5"/>
  <c r="M760" i="6"/>
  <c r="P760" i="6" s="1"/>
  <c r="P761" i="6"/>
  <c r="Q618" i="6"/>
  <c r="Q616" i="6" s="1"/>
  <c r="Q619" i="6"/>
  <c r="T619" i="6" s="1"/>
  <c r="N576" i="6"/>
  <c r="K220" i="6"/>
  <c r="I213" i="6"/>
  <c r="K213" i="6" s="1"/>
  <c r="L515" i="6"/>
  <c r="O515" i="6" s="1"/>
  <c r="L516" i="6"/>
  <c r="O516" i="6" s="1"/>
  <c r="L515" i="5"/>
  <c r="O515" i="5" s="1"/>
  <c r="K276" i="5"/>
  <c r="I116" i="5"/>
  <c r="K116" i="5" s="1"/>
  <c r="K772" i="6"/>
  <c r="O761" i="6"/>
  <c r="L760" i="6"/>
  <c r="O760" i="6" s="1"/>
  <c r="S730" i="6"/>
  <c r="S728" i="6" s="1"/>
  <c r="S731" i="6"/>
  <c r="T731" i="6" s="1"/>
  <c r="I701" i="6"/>
  <c r="L690" i="6"/>
  <c r="O690" i="6" s="1"/>
  <c r="Q513" i="6"/>
  <c r="T513" i="6" s="1"/>
  <c r="T514" i="6"/>
  <c r="O283" i="6"/>
  <c r="O73" i="6"/>
  <c r="S762" i="5"/>
  <c r="S760" i="5" s="1"/>
  <c r="I759" i="5"/>
  <c r="K759" i="5" s="1"/>
  <c r="S730" i="5"/>
  <c r="S728" i="5" s="1"/>
  <c r="Q645" i="5"/>
  <c r="R760" i="6"/>
  <c r="R731" i="6"/>
  <c r="R730" i="6"/>
  <c r="U733" i="6"/>
  <c r="U729" i="6"/>
  <c r="O715" i="6"/>
  <c r="S690" i="6"/>
  <c r="R268" i="6"/>
  <c r="R269" i="6"/>
  <c r="U271" i="6"/>
  <c r="L236" i="6"/>
  <c r="Q175" i="6"/>
  <c r="T175" i="6" s="1"/>
  <c r="Q176" i="6"/>
  <c r="T176" i="6" s="1"/>
  <c r="T178" i="6"/>
  <c r="I169" i="6"/>
  <c r="K169" i="6" s="1"/>
  <c r="K167" i="6"/>
  <c r="I168" i="6"/>
  <c r="K168" i="6" s="1"/>
  <c r="I116" i="6"/>
  <c r="K116" i="6" s="1"/>
  <c r="K127" i="6"/>
  <c r="O64" i="6"/>
  <c r="L62" i="6"/>
  <c r="O62" i="6" s="1"/>
  <c r="M203" i="1"/>
  <c r="K346" i="4"/>
  <c r="R763" i="5"/>
  <c r="U763" i="5" s="1"/>
  <c r="N305" i="5"/>
  <c r="K265" i="5"/>
  <c r="P176" i="5"/>
  <c r="K783" i="6"/>
  <c r="K780" i="6"/>
  <c r="M599" i="6"/>
  <c r="P599" i="6" s="1"/>
  <c r="P600" i="6"/>
  <c r="T378" i="6"/>
  <c r="N305" i="6"/>
  <c r="N303" i="6" s="1"/>
  <c r="N306" i="6"/>
  <c r="P306" i="6" s="1"/>
  <c r="U191" i="6"/>
  <c r="S189" i="6"/>
  <c r="M120" i="6"/>
  <c r="P120" i="6" s="1"/>
  <c r="P122" i="6"/>
  <c r="S645" i="6"/>
  <c r="K632" i="6"/>
  <c r="R599" i="6"/>
  <c r="U599" i="6" s="1"/>
  <c r="L599" i="6"/>
  <c r="O599" i="6" s="1"/>
  <c r="P577" i="6"/>
  <c r="O535" i="6"/>
  <c r="N493" i="6"/>
  <c r="T394" i="6"/>
  <c r="S306" i="6"/>
  <c r="U306" i="6" s="1"/>
  <c r="K293" i="6"/>
  <c r="O290" i="6"/>
  <c r="I265" i="6"/>
  <c r="K265" i="6" s="1"/>
  <c r="Q157" i="6"/>
  <c r="T157" i="6" s="1"/>
  <c r="N141" i="6"/>
  <c r="N139" i="6" s="1"/>
  <c r="R119" i="6"/>
  <c r="R117" i="6" s="1"/>
  <c r="P99" i="6"/>
  <c r="R72" i="6"/>
  <c r="R44" i="6"/>
  <c r="U44" i="6" s="1"/>
  <c r="T733" i="6"/>
  <c r="M728" i="6"/>
  <c r="P728" i="6" s="1"/>
  <c r="P715" i="6"/>
  <c r="Q714" i="6"/>
  <c r="T714" i="6" s="1"/>
  <c r="J702" i="6"/>
  <c r="S693" i="6"/>
  <c r="T693" i="6" s="1"/>
  <c r="M642" i="6"/>
  <c r="P642" i="6" s="1"/>
  <c r="K626" i="6"/>
  <c r="O577" i="6"/>
  <c r="M493" i="6"/>
  <c r="P493" i="6" s="1"/>
  <c r="K386" i="6"/>
  <c r="R377" i="6"/>
  <c r="U377" i="6" s="1"/>
  <c r="O364" i="6"/>
  <c r="O361" i="6"/>
  <c r="J343" i="6"/>
  <c r="P336" i="6"/>
  <c r="Q320" i="6"/>
  <c r="T320" i="6" s="1"/>
  <c r="O308" i="6"/>
  <c r="K292" i="6"/>
  <c r="L234" i="6"/>
  <c r="L203" i="6"/>
  <c r="O203" i="6" s="1"/>
  <c r="N175" i="6"/>
  <c r="N173" i="6" s="1"/>
  <c r="N142" i="6"/>
  <c r="P142" i="6" s="1"/>
  <c r="K109" i="6"/>
  <c r="P102" i="6"/>
  <c r="L74" i="6"/>
  <c r="L72" i="6" s="1"/>
  <c r="Q75" i="6"/>
  <c r="T75" i="6" s="1"/>
  <c r="P64" i="6"/>
  <c r="N19" i="6"/>
  <c r="N642" i="6"/>
  <c r="M534" i="6"/>
  <c r="P534" i="6" s="1"/>
  <c r="O336" i="6"/>
  <c r="S303" i="6"/>
  <c r="N268" i="6"/>
  <c r="L233" i="6"/>
  <c r="S141" i="6"/>
  <c r="S139" i="6" s="1"/>
  <c r="O75" i="6"/>
  <c r="K615" i="6"/>
  <c r="M616" i="6"/>
  <c r="P616" i="6" s="1"/>
  <c r="S576" i="6"/>
  <c r="L555" i="6"/>
  <c r="O555" i="6" s="1"/>
  <c r="R534" i="6"/>
  <c r="U534" i="6" s="1"/>
  <c r="R493" i="6"/>
  <c r="L392" i="6"/>
  <c r="O392" i="6" s="1"/>
  <c r="J351" i="6"/>
  <c r="S320" i="6"/>
  <c r="P269" i="6"/>
  <c r="O194" i="6"/>
  <c r="T162" i="6"/>
  <c r="Q160" i="6"/>
  <c r="T160" i="6" s="1"/>
  <c r="L141" i="6"/>
  <c r="U122" i="6"/>
  <c r="O122" i="6"/>
  <c r="P80" i="6"/>
  <c r="P77" i="6"/>
  <c r="T22" i="6"/>
  <c r="S714" i="6"/>
  <c r="K689" i="6"/>
  <c r="L642" i="6"/>
  <c r="O642" i="6" s="1"/>
  <c r="K629" i="6"/>
  <c r="L616" i="6"/>
  <c r="O616" i="6" s="1"/>
  <c r="R576" i="6"/>
  <c r="U576" i="6" s="1"/>
  <c r="M519" i="6"/>
  <c r="P519" i="6" s="1"/>
  <c r="M515" i="6"/>
  <c r="M513" i="6" s="1"/>
  <c r="P513" i="6" s="1"/>
  <c r="R513" i="6"/>
  <c r="U513" i="6" s="1"/>
  <c r="L413" i="6"/>
  <c r="O413" i="6" s="1"/>
  <c r="K371" i="6"/>
  <c r="K369" i="6"/>
  <c r="M322" i="6"/>
  <c r="M320" i="6" s="1"/>
  <c r="K302" i="6"/>
  <c r="M305" i="6"/>
  <c r="M303" i="6" s="1"/>
  <c r="P287" i="6"/>
  <c r="L268" i="6"/>
  <c r="O268" i="6" s="1"/>
  <c r="L188" i="6"/>
  <c r="L186" i="6" s="1"/>
  <c r="R189" i="6"/>
  <c r="S175" i="6"/>
  <c r="S173" i="6" s="1"/>
  <c r="T159" i="6"/>
  <c r="T122" i="6"/>
  <c r="M97" i="6"/>
  <c r="P97" i="6" s="1"/>
  <c r="O80" i="6"/>
  <c r="O77" i="6"/>
  <c r="P62" i="6"/>
  <c r="P49" i="6"/>
  <c r="K365" i="6"/>
  <c r="K423" i="6"/>
  <c r="I412" i="6"/>
  <c r="K412" i="6" s="1"/>
  <c r="T763" i="6"/>
  <c r="U619" i="6"/>
  <c r="R320" i="6"/>
  <c r="U320" i="6" s="1"/>
  <c r="U321" i="6"/>
  <c r="N74" i="1"/>
  <c r="O74" i="1" s="1"/>
  <c r="L233" i="2"/>
  <c r="U380" i="4"/>
  <c r="K784" i="5"/>
  <c r="K778" i="5"/>
  <c r="J374" i="5"/>
  <c r="R268" i="5"/>
  <c r="U268" i="5" s="1"/>
  <c r="L234" i="5"/>
  <c r="L214" i="5"/>
  <c r="O214" i="5" s="1"/>
  <c r="U765" i="6"/>
  <c r="U498" i="6"/>
  <c r="Q415" i="6"/>
  <c r="T415" i="6" s="1"/>
  <c r="R413" i="6"/>
  <c r="U413" i="6" s="1"/>
  <c r="R392" i="6"/>
  <c r="U392" i="6" s="1"/>
  <c r="N358" i="6"/>
  <c r="N356" i="6" s="1"/>
  <c r="N362" i="6"/>
  <c r="M359" i="6"/>
  <c r="P359" i="6" s="1"/>
  <c r="M358" i="6"/>
  <c r="M356" i="6" s="1"/>
  <c r="U357" i="6"/>
  <c r="R356" i="6"/>
  <c r="U356" i="6" s="1"/>
  <c r="P311" i="6"/>
  <c r="M309" i="6"/>
  <c r="P309" i="6" s="1"/>
  <c r="O304" i="6"/>
  <c r="N26" i="6"/>
  <c r="N24" i="6" s="1"/>
  <c r="N192" i="6"/>
  <c r="I172" i="6"/>
  <c r="K172" i="6" s="1"/>
  <c r="K183" i="6"/>
  <c r="U376" i="6"/>
  <c r="T271" i="6"/>
  <c r="Q268" i="6"/>
  <c r="Q269" i="6"/>
  <c r="J675" i="4"/>
  <c r="K675" i="4" s="1"/>
  <c r="M515" i="4"/>
  <c r="P515" i="4" s="1"/>
  <c r="J702" i="5"/>
  <c r="I374" i="5"/>
  <c r="K369" i="5"/>
  <c r="T308" i="5"/>
  <c r="O191" i="5"/>
  <c r="K154" i="5"/>
  <c r="T144" i="5"/>
  <c r="R119" i="5"/>
  <c r="R117" i="5" s="1"/>
  <c r="T765" i="6"/>
  <c r="Q762" i="6"/>
  <c r="U695" i="6"/>
  <c r="R692" i="6"/>
  <c r="U692" i="6" s="1"/>
  <c r="U647" i="6"/>
  <c r="R644" i="6"/>
  <c r="U644" i="6" s="1"/>
  <c r="S618" i="6"/>
  <c r="S616" i="6" s="1"/>
  <c r="O518" i="6"/>
  <c r="T498" i="6"/>
  <c r="Q495" i="6"/>
  <c r="K440" i="6"/>
  <c r="T414" i="6"/>
  <c r="M413" i="6"/>
  <c r="P413" i="6" s="1"/>
  <c r="O393" i="6"/>
  <c r="U380" i="6"/>
  <c r="I374" i="6"/>
  <c r="L359" i="6"/>
  <c r="O359" i="6" s="1"/>
  <c r="P338" i="6"/>
  <c r="Q333" i="6"/>
  <c r="T333" i="6" s="1"/>
  <c r="I319" i="6"/>
  <c r="K319" i="6" s="1"/>
  <c r="K330" i="6"/>
  <c r="P323" i="6"/>
  <c r="K314" i="6"/>
  <c r="O311" i="6"/>
  <c r="L309" i="6"/>
  <c r="O309" i="6" s="1"/>
  <c r="U304" i="6"/>
  <c r="U284" i="6"/>
  <c r="R282" i="6"/>
  <c r="U282" i="6" s="1"/>
  <c r="I280" i="6"/>
  <c r="K280" i="6" s="1"/>
  <c r="K209" i="6"/>
  <c r="I202" i="6"/>
  <c r="K202" i="6" s="1"/>
  <c r="N188" i="6"/>
  <c r="N186" i="6" s="1"/>
  <c r="M145" i="6"/>
  <c r="P145" i="6" s="1"/>
  <c r="P147" i="6"/>
  <c r="L123" i="6"/>
  <c r="O123" i="6" s="1"/>
  <c r="L119" i="6"/>
  <c r="O119" i="6" s="1"/>
  <c r="O125" i="6"/>
  <c r="L519" i="4"/>
  <c r="O519" i="4" s="1"/>
  <c r="S693" i="5"/>
  <c r="T693" i="5" s="1"/>
  <c r="L326" i="5"/>
  <c r="O326" i="5" s="1"/>
  <c r="O271" i="5"/>
  <c r="U191" i="5"/>
  <c r="I83" i="5"/>
  <c r="K83" i="5" s="1"/>
  <c r="O67" i="5"/>
  <c r="T761" i="6"/>
  <c r="T695" i="6"/>
  <c r="Q692" i="6"/>
  <c r="T692" i="6" s="1"/>
  <c r="U691" i="6"/>
  <c r="O691" i="6"/>
  <c r="T647" i="6"/>
  <c r="Q644" i="6"/>
  <c r="T644" i="6" s="1"/>
  <c r="U643" i="6"/>
  <c r="O643" i="6"/>
  <c r="U621" i="6"/>
  <c r="R618" i="6"/>
  <c r="P617" i="6"/>
  <c r="P556" i="6"/>
  <c r="N515" i="6"/>
  <c r="N513" i="6" s="1"/>
  <c r="T494" i="6"/>
  <c r="I456" i="6"/>
  <c r="K456" i="6" s="1"/>
  <c r="T418" i="6"/>
  <c r="N392" i="6"/>
  <c r="O323" i="6"/>
  <c r="P321" i="6"/>
  <c r="U308" i="6"/>
  <c r="R305" i="6"/>
  <c r="U305" i="6" s="1"/>
  <c r="T304" i="6"/>
  <c r="S179" i="1"/>
  <c r="I492" i="6"/>
  <c r="K492" i="6" s="1"/>
  <c r="I185" i="1"/>
  <c r="K185" i="1" s="1"/>
  <c r="I701" i="4"/>
  <c r="P194" i="4"/>
  <c r="T77" i="4"/>
  <c r="K365" i="5"/>
  <c r="J351" i="5"/>
  <c r="P308" i="5"/>
  <c r="R306" i="5"/>
  <c r="O194" i="5"/>
  <c r="T191" i="5"/>
  <c r="L188" i="5"/>
  <c r="L186" i="5" s="1"/>
  <c r="K703" i="6"/>
  <c r="T691" i="6"/>
  <c r="T643" i="6"/>
  <c r="T621" i="6"/>
  <c r="U617" i="6"/>
  <c r="O617" i="6"/>
  <c r="U556" i="6"/>
  <c r="O556" i="6"/>
  <c r="K503" i="6"/>
  <c r="O414" i="6"/>
  <c r="M392" i="6"/>
  <c r="P392" i="6" s="1"/>
  <c r="K388" i="6"/>
  <c r="M375" i="6"/>
  <c r="P375" i="6" s="1"/>
  <c r="P357" i="6"/>
  <c r="M339" i="6"/>
  <c r="P339" i="6" s="1"/>
  <c r="P341" i="6"/>
  <c r="N335" i="6"/>
  <c r="N333" i="6" s="1"/>
  <c r="R333" i="6"/>
  <c r="U333" i="6" s="1"/>
  <c r="O321" i="6"/>
  <c r="Q306" i="6"/>
  <c r="Q305" i="6"/>
  <c r="T305" i="6" s="1"/>
  <c r="T308" i="6"/>
  <c r="R160" i="6"/>
  <c r="U160" i="6" s="1"/>
  <c r="U162" i="6"/>
  <c r="R159" i="6"/>
  <c r="U159" i="6" s="1"/>
  <c r="S19" i="6"/>
  <c r="S214" i="1"/>
  <c r="O338" i="4"/>
  <c r="O80" i="4"/>
  <c r="J503" i="5"/>
  <c r="J492" i="5" s="1"/>
  <c r="K346" i="5"/>
  <c r="L323" i="5"/>
  <c r="O323" i="5" s="1"/>
  <c r="M306" i="5"/>
  <c r="L236" i="5"/>
  <c r="P49" i="5"/>
  <c r="U414" i="6"/>
  <c r="Q377" i="6"/>
  <c r="T380" i="6"/>
  <c r="L375" i="6"/>
  <c r="O375" i="6" s="1"/>
  <c r="O376" i="6"/>
  <c r="P361" i="6"/>
  <c r="O357" i="6"/>
  <c r="I332" i="6"/>
  <c r="K344" i="6"/>
  <c r="L335" i="6"/>
  <c r="O341" i="6"/>
  <c r="L339" i="6"/>
  <c r="O339" i="6" s="1"/>
  <c r="L322" i="6"/>
  <c r="L320" i="6" s="1"/>
  <c r="O325" i="6"/>
  <c r="N284" i="6"/>
  <c r="N282" i="6" s="1"/>
  <c r="N285" i="6"/>
  <c r="P285" i="6" s="1"/>
  <c r="Q189" i="6"/>
  <c r="T191" i="6"/>
  <c r="Q186" i="6"/>
  <c r="T187" i="6"/>
  <c r="M141" i="6"/>
  <c r="N119" i="6"/>
  <c r="N117" i="6" s="1"/>
  <c r="P325" i="6"/>
  <c r="T322" i="6"/>
  <c r="N322" i="6"/>
  <c r="P308" i="6"/>
  <c r="L305" i="6"/>
  <c r="K281" i="6"/>
  <c r="M284" i="6"/>
  <c r="P271" i="6"/>
  <c r="L243" i="6"/>
  <c r="M192" i="6"/>
  <c r="P192" i="6" s="1"/>
  <c r="O191" i="6"/>
  <c r="N189" i="6"/>
  <c r="M188" i="6"/>
  <c r="O162" i="6"/>
  <c r="N23" i="6"/>
  <c r="N160" i="6"/>
  <c r="O160" i="6" s="1"/>
  <c r="N159" i="6"/>
  <c r="N157" i="6" s="1"/>
  <c r="O118" i="6"/>
  <c r="U22" i="6"/>
  <c r="J332" i="6"/>
  <c r="O287" i="6"/>
  <c r="L285" i="6"/>
  <c r="Q282" i="6"/>
  <c r="T282" i="6" s="1"/>
  <c r="L235" i="6"/>
  <c r="K230" i="6"/>
  <c r="L222" i="6"/>
  <c r="O222" i="6" s="1"/>
  <c r="K198" i="6"/>
  <c r="P191" i="6"/>
  <c r="U174" i="6"/>
  <c r="P162" i="6"/>
  <c r="U118" i="6"/>
  <c r="Q72" i="6"/>
  <c r="P181" i="6"/>
  <c r="M179" i="6"/>
  <c r="P179" i="6" s="1"/>
  <c r="T174" i="6"/>
  <c r="L163" i="6"/>
  <c r="O163" i="6" s="1"/>
  <c r="L159" i="6"/>
  <c r="O158" i="6"/>
  <c r="K153" i="6"/>
  <c r="I138" i="6"/>
  <c r="K138" i="6" s="1"/>
  <c r="R24" i="6"/>
  <c r="U24" i="6" s="1"/>
  <c r="U25" i="6"/>
  <c r="R19" i="6"/>
  <c r="S188" i="6"/>
  <c r="S186" i="6" s="1"/>
  <c r="R186" i="6"/>
  <c r="L179" i="6"/>
  <c r="O179" i="6" s="1"/>
  <c r="O181" i="6"/>
  <c r="P178" i="6"/>
  <c r="M176" i="6"/>
  <c r="U158" i="6"/>
  <c r="U96" i="6"/>
  <c r="R94" i="6"/>
  <c r="U94" i="6" s="1"/>
  <c r="I82" i="6"/>
  <c r="P19" i="6"/>
  <c r="P187" i="6"/>
  <c r="U178" i="6"/>
  <c r="N176" i="6"/>
  <c r="O176" i="6" s="1"/>
  <c r="L145" i="6"/>
  <c r="O145" i="6" s="1"/>
  <c r="L142" i="6"/>
  <c r="U120" i="6"/>
  <c r="T99" i="6"/>
  <c r="Q97" i="6"/>
  <c r="I83" i="6"/>
  <c r="P60" i="6"/>
  <c r="T96" i="6"/>
  <c r="Q94" i="6"/>
  <c r="T94" i="6" s="1"/>
  <c r="P67" i="6"/>
  <c r="M65" i="6"/>
  <c r="P65" i="6" s="1"/>
  <c r="P45" i="6"/>
  <c r="P25" i="6"/>
  <c r="O19" i="6"/>
  <c r="K229" i="6"/>
  <c r="L175" i="6"/>
  <c r="R141" i="6"/>
  <c r="P75" i="6"/>
  <c r="O67" i="6"/>
  <c r="L65" i="6"/>
  <c r="O65" i="6" s="1"/>
  <c r="L61" i="6"/>
  <c r="P52" i="6"/>
  <c r="M26" i="6"/>
  <c r="P26" i="6" s="1"/>
  <c r="M50" i="6"/>
  <c r="P50" i="6" s="1"/>
  <c r="P47" i="6"/>
  <c r="O25" i="6"/>
  <c r="P22" i="6"/>
  <c r="O174" i="6"/>
  <c r="R142" i="6"/>
  <c r="U142" i="6" s="1"/>
  <c r="P73" i="6"/>
  <c r="O52" i="6"/>
  <c r="L26" i="6"/>
  <c r="O26" i="6" s="1"/>
  <c r="L50" i="6"/>
  <c r="O50" i="6" s="1"/>
  <c r="L46" i="6"/>
  <c r="O22" i="6"/>
  <c r="S159" i="6"/>
  <c r="S157" i="6" s="1"/>
  <c r="M159" i="6"/>
  <c r="I156" i="6"/>
  <c r="K156" i="6" s="1"/>
  <c r="Q141" i="6"/>
  <c r="T141" i="6" s="1"/>
  <c r="S119" i="6"/>
  <c r="T119" i="6" s="1"/>
  <c r="M119" i="6"/>
  <c r="P119" i="6" s="1"/>
  <c r="U99" i="6"/>
  <c r="O99" i="6"/>
  <c r="K84" i="6"/>
  <c r="T77" i="6"/>
  <c r="N74" i="6"/>
  <c r="N61" i="6"/>
  <c r="N59" i="6" s="1"/>
  <c r="N46" i="6"/>
  <c r="N44" i="6" s="1"/>
  <c r="S23" i="6"/>
  <c r="S20" i="6" s="1"/>
  <c r="M23" i="6"/>
  <c r="N96" i="6"/>
  <c r="S74" i="6"/>
  <c r="U74" i="6" s="1"/>
  <c r="M74" i="6"/>
  <c r="M61" i="6"/>
  <c r="M59" i="6" s="1"/>
  <c r="M46" i="6"/>
  <c r="R23" i="6"/>
  <c r="R21" i="6" s="1"/>
  <c r="L23" i="6"/>
  <c r="L21" i="6" s="1"/>
  <c r="M163" i="6"/>
  <c r="P163" i="6" s="1"/>
  <c r="M160" i="6"/>
  <c r="Q23" i="6"/>
  <c r="N599" i="5"/>
  <c r="O414" i="5"/>
  <c r="L413" i="5"/>
  <c r="O413" i="5" s="1"/>
  <c r="M358" i="5"/>
  <c r="M356" i="5" s="1"/>
  <c r="M359" i="5"/>
  <c r="T335" i="5"/>
  <c r="Q333" i="5"/>
  <c r="T333" i="5" s="1"/>
  <c r="L288" i="5"/>
  <c r="O288" i="5" s="1"/>
  <c r="O290" i="5"/>
  <c r="M145" i="5"/>
  <c r="P145" i="5" s="1"/>
  <c r="P147" i="5"/>
  <c r="Q139" i="5"/>
  <c r="T139" i="5" s="1"/>
  <c r="T141" i="5"/>
  <c r="R74" i="5"/>
  <c r="U74" i="5" s="1"/>
  <c r="R75" i="5"/>
  <c r="U75" i="5" s="1"/>
  <c r="K785" i="5"/>
  <c r="K779" i="5"/>
  <c r="I701" i="5"/>
  <c r="L616" i="5"/>
  <c r="O616" i="5" s="1"/>
  <c r="M599" i="5"/>
  <c r="P599" i="5" s="1"/>
  <c r="L555" i="5"/>
  <c r="O555" i="5" s="1"/>
  <c r="O556" i="5"/>
  <c r="M519" i="5"/>
  <c r="P519" i="5" s="1"/>
  <c r="P521" i="5"/>
  <c r="Q415" i="5"/>
  <c r="T415" i="5" s="1"/>
  <c r="T418" i="5"/>
  <c r="M339" i="5"/>
  <c r="P339" i="5" s="1"/>
  <c r="P341" i="5"/>
  <c r="I281" i="5"/>
  <c r="K281" i="5" s="1"/>
  <c r="K292" i="5"/>
  <c r="R282" i="5"/>
  <c r="U282" i="5" s="1"/>
  <c r="O147" i="5"/>
  <c r="L145" i="5"/>
  <c r="O145" i="5" s="1"/>
  <c r="N119" i="5"/>
  <c r="N117" i="5" s="1"/>
  <c r="N120" i="5"/>
  <c r="Q74" i="5"/>
  <c r="T74" i="5" s="1"/>
  <c r="T77" i="5"/>
  <c r="J675" i="1"/>
  <c r="K675" i="1" s="1"/>
  <c r="K742" i="1"/>
  <c r="K709" i="3"/>
  <c r="K629" i="3"/>
  <c r="U621" i="3"/>
  <c r="O125" i="3"/>
  <c r="K785" i="4"/>
  <c r="K782" i="4"/>
  <c r="K779" i="4"/>
  <c r="K709" i="4"/>
  <c r="J702" i="4"/>
  <c r="K344" i="4"/>
  <c r="P269" i="4"/>
  <c r="L214" i="4"/>
  <c r="O214" i="4" s="1"/>
  <c r="P99" i="4"/>
  <c r="K772" i="5"/>
  <c r="U733" i="5"/>
  <c r="R730" i="5"/>
  <c r="T644" i="5"/>
  <c r="N642" i="5"/>
  <c r="K632" i="5"/>
  <c r="S618" i="5"/>
  <c r="S616" i="5" s="1"/>
  <c r="T621" i="5"/>
  <c r="S619" i="5"/>
  <c r="L519" i="5"/>
  <c r="O519" i="5" s="1"/>
  <c r="O521" i="5"/>
  <c r="Q416" i="5"/>
  <c r="T416" i="5" s="1"/>
  <c r="L339" i="5"/>
  <c r="O339" i="5" s="1"/>
  <c r="O341" i="5"/>
  <c r="L306" i="5"/>
  <c r="O308" i="5"/>
  <c r="Q306" i="5"/>
  <c r="L284" i="5"/>
  <c r="O284" i="5" s="1"/>
  <c r="Q269" i="5"/>
  <c r="T271" i="5"/>
  <c r="Q268" i="5"/>
  <c r="Q266" i="5" s="1"/>
  <c r="T266" i="5" s="1"/>
  <c r="P122" i="5"/>
  <c r="M120" i="5"/>
  <c r="P120" i="5" s="1"/>
  <c r="Q59" i="5"/>
  <c r="T59" i="5" s="1"/>
  <c r="T60" i="5"/>
  <c r="N189" i="1"/>
  <c r="N358" i="4"/>
  <c r="N356" i="4" s="1"/>
  <c r="K782" i="5"/>
  <c r="R19" i="5"/>
  <c r="U22" i="5"/>
  <c r="T308" i="4"/>
  <c r="T643" i="5"/>
  <c r="R618" i="5"/>
  <c r="R619" i="5"/>
  <c r="U621" i="5"/>
  <c r="U556" i="5"/>
  <c r="R555" i="5"/>
  <c r="U555" i="5" s="1"/>
  <c r="I319" i="5"/>
  <c r="K319" i="5" s="1"/>
  <c r="K330" i="5"/>
  <c r="U267" i="5"/>
  <c r="O73" i="5"/>
  <c r="M62" i="5"/>
  <c r="P62" i="5" s="1"/>
  <c r="P64" i="5"/>
  <c r="K780" i="3"/>
  <c r="L288" i="3"/>
  <c r="O288" i="3" s="1"/>
  <c r="K127" i="3"/>
  <c r="K784" i="4"/>
  <c r="S378" i="4"/>
  <c r="I202" i="4"/>
  <c r="K202" i="4" s="1"/>
  <c r="J701" i="5"/>
  <c r="J674" i="5"/>
  <c r="S645" i="5"/>
  <c r="O644" i="5"/>
  <c r="S642" i="5"/>
  <c r="N616" i="5"/>
  <c r="K505" i="5"/>
  <c r="R377" i="5"/>
  <c r="R375" i="5" s="1"/>
  <c r="N73" i="1"/>
  <c r="S94" i="3"/>
  <c r="U94" i="3" s="1"/>
  <c r="K661" i="4"/>
  <c r="K330" i="4"/>
  <c r="L234" i="4"/>
  <c r="M690" i="5"/>
  <c r="P690" i="5" s="1"/>
  <c r="U647" i="5"/>
  <c r="M616" i="5"/>
  <c r="P616" i="5" s="1"/>
  <c r="P617" i="5"/>
  <c r="Q576" i="5"/>
  <c r="T576" i="5" s="1"/>
  <c r="O361" i="5"/>
  <c r="N358" i="5"/>
  <c r="N356" i="5" s="1"/>
  <c r="O321" i="5"/>
  <c r="I195" i="5"/>
  <c r="K195" i="5" s="1"/>
  <c r="K198" i="5"/>
  <c r="R141" i="5"/>
  <c r="U141" i="5" s="1"/>
  <c r="R142" i="5"/>
  <c r="U142" i="5" s="1"/>
  <c r="U144" i="5"/>
  <c r="L100" i="5"/>
  <c r="O100" i="5" s="1"/>
  <c r="O102" i="5"/>
  <c r="K85" i="5"/>
  <c r="L50" i="5"/>
  <c r="O50" i="5" s="1"/>
  <c r="O52" i="5"/>
  <c r="U514" i="5"/>
  <c r="P393" i="5"/>
  <c r="K386" i="5"/>
  <c r="Q377" i="5"/>
  <c r="Q375" i="5" s="1"/>
  <c r="N375" i="5"/>
  <c r="K368" i="5"/>
  <c r="N306" i="5"/>
  <c r="S303" i="5"/>
  <c r="U303" i="5" s="1"/>
  <c r="U271" i="5"/>
  <c r="P269" i="5"/>
  <c r="P267" i="5"/>
  <c r="L222" i="5"/>
  <c r="O222" i="5" s="1"/>
  <c r="L203" i="5"/>
  <c r="O203" i="5" s="1"/>
  <c r="Q189" i="5"/>
  <c r="T189" i="5" s="1"/>
  <c r="N159" i="5"/>
  <c r="N157" i="5" s="1"/>
  <c r="S157" i="5"/>
  <c r="U122" i="5"/>
  <c r="S97" i="5"/>
  <c r="P77" i="5"/>
  <c r="L61" i="5"/>
  <c r="L59" i="5" s="1"/>
  <c r="R44" i="5"/>
  <c r="U44" i="5" s="1"/>
  <c r="S24" i="5"/>
  <c r="O22" i="5"/>
  <c r="K626" i="5"/>
  <c r="M515" i="5"/>
  <c r="P515" i="5" s="1"/>
  <c r="M516" i="5"/>
  <c r="P516" i="5" s="1"/>
  <c r="M362" i="5"/>
  <c r="P362" i="5" s="1"/>
  <c r="M335" i="5"/>
  <c r="M333" i="5" s="1"/>
  <c r="M336" i="5"/>
  <c r="P336" i="5" s="1"/>
  <c r="S333" i="5"/>
  <c r="M268" i="5"/>
  <c r="M266" i="5" s="1"/>
  <c r="S269" i="5"/>
  <c r="U269" i="5" s="1"/>
  <c r="L233" i="5"/>
  <c r="N175" i="5"/>
  <c r="N173" i="5" s="1"/>
  <c r="K169" i="5"/>
  <c r="M159" i="5"/>
  <c r="P159" i="5" s="1"/>
  <c r="S160" i="5"/>
  <c r="S94" i="5"/>
  <c r="L96" i="5"/>
  <c r="O96" i="5" s="1"/>
  <c r="P97" i="5"/>
  <c r="I82" i="5"/>
  <c r="K82" i="5" s="1"/>
  <c r="P80" i="5"/>
  <c r="S44" i="5"/>
  <c r="Q44" i="5"/>
  <c r="T44" i="5" s="1"/>
  <c r="U26" i="5"/>
  <c r="Q24" i="5"/>
  <c r="T24" i="5" s="1"/>
  <c r="N19" i="5"/>
  <c r="N555" i="5"/>
  <c r="I492" i="5"/>
  <c r="K492" i="5" s="1"/>
  <c r="M309" i="5"/>
  <c r="P309" i="5" s="1"/>
  <c r="M163" i="5"/>
  <c r="P163" i="5" s="1"/>
  <c r="L46" i="5"/>
  <c r="L44" i="5" s="1"/>
  <c r="K630" i="5"/>
  <c r="Q619" i="5"/>
  <c r="S576" i="5"/>
  <c r="N534" i="5"/>
  <c r="N413" i="5"/>
  <c r="J332" i="5"/>
  <c r="R333" i="5"/>
  <c r="U333" i="5" s="1"/>
  <c r="L322" i="5"/>
  <c r="O322" i="5" s="1"/>
  <c r="S306" i="5"/>
  <c r="L268" i="5"/>
  <c r="L266" i="5" s="1"/>
  <c r="O266" i="5" s="1"/>
  <c r="T203" i="5"/>
  <c r="L141" i="5"/>
  <c r="L139" i="5" s="1"/>
  <c r="L74" i="5"/>
  <c r="O74" i="5" s="1"/>
  <c r="L75" i="5"/>
  <c r="O75" i="5" s="1"/>
  <c r="L160" i="3"/>
  <c r="O160" i="3" s="1"/>
  <c r="O162" i="3"/>
  <c r="Q714" i="5"/>
  <c r="T714" i="5" s="1"/>
  <c r="T715" i="5"/>
  <c r="I492" i="4"/>
  <c r="K492" i="4" s="1"/>
  <c r="K503" i="4"/>
  <c r="T498" i="4"/>
  <c r="Q496" i="4"/>
  <c r="T496" i="4" s="1"/>
  <c r="R188" i="4"/>
  <c r="R186" i="4" s="1"/>
  <c r="R189" i="4"/>
  <c r="U122" i="4"/>
  <c r="L119" i="4"/>
  <c r="O119" i="4" s="1"/>
  <c r="O122" i="4"/>
  <c r="M75" i="4"/>
  <c r="P75" i="4" s="1"/>
  <c r="P77" i="4"/>
  <c r="O67" i="4"/>
  <c r="L65" i="4"/>
  <c r="O65" i="4" s="1"/>
  <c r="K781" i="5"/>
  <c r="N760" i="5"/>
  <c r="L690" i="5"/>
  <c r="O690" i="5" s="1"/>
  <c r="R642" i="5"/>
  <c r="U644" i="5"/>
  <c r="R618" i="2"/>
  <c r="R616" i="2" s="1"/>
  <c r="R619" i="2"/>
  <c r="U619" i="2" s="1"/>
  <c r="O102" i="4"/>
  <c r="L100" i="4"/>
  <c r="O100" i="4" s="1"/>
  <c r="R760" i="5"/>
  <c r="U761" i="5"/>
  <c r="K220" i="5"/>
  <c r="I213" i="5"/>
  <c r="K213" i="5" s="1"/>
  <c r="R763" i="4"/>
  <c r="U763" i="4" s="1"/>
  <c r="R762" i="4"/>
  <c r="U762" i="4" s="1"/>
  <c r="U765" i="4"/>
  <c r="R416" i="4"/>
  <c r="U416" i="4" s="1"/>
  <c r="U418" i="4"/>
  <c r="I280" i="4"/>
  <c r="K280" i="4" s="1"/>
  <c r="K293" i="4"/>
  <c r="K229" i="4"/>
  <c r="I221" i="4"/>
  <c r="K221" i="4" s="1"/>
  <c r="R159" i="4"/>
  <c r="U159" i="4" s="1"/>
  <c r="U162" i="4"/>
  <c r="Q728" i="5"/>
  <c r="T729" i="5"/>
  <c r="R693" i="5"/>
  <c r="U695" i="5"/>
  <c r="N493" i="5"/>
  <c r="O364" i="5"/>
  <c r="L362" i="5"/>
  <c r="O362" i="5" s="1"/>
  <c r="M100" i="3"/>
  <c r="P100" i="3" s="1"/>
  <c r="P102" i="3"/>
  <c r="R645" i="4"/>
  <c r="R644" i="4"/>
  <c r="U644" i="4" s="1"/>
  <c r="K783" i="5"/>
  <c r="Q763" i="5"/>
  <c r="T763" i="5" s="1"/>
  <c r="Q762" i="5"/>
  <c r="T765" i="5"/>
  <c r="L760" i="5"/>
  <c r="O760" i="5" s="1"/>
  <c r="O761" i="5"/>
  <c r="M714" i="5"/>
  <c r="P714" i="5" s="1"/>
  <c r="R692" i="5"/>
  <c r="M413" i="5"/>
  <c r="P413" i="5" s="1"/>
  <c r="P414" i="5"/>
  <c r="U380" i="5"/>
  <c r="S377" i="5"/>
  <c r="S375" i="5" s="1"/>
  <c r="T380" i="5"/>
  <c r="S378" i="5"/>
  <c r="T378" i="5" s="1"/>
  <c r="I242" i="5"/>
  <c r="K249" i="5"/>
  <c r="I238" i="5"/>
  <c r="K238" i="5" s="1"/>
  <c r="K703" i="3"/>
  <c r="K673" i="3"/>
  <c r="I93" i="3"/>
  <c r="K93" i="3" s="1"/>
  <c r="K109" i="3"/>
  <c r="S763" i="4"/>
  <c r="S762" i="4"/>
  <c r="S760" i="4" s="1"/>
  <c r="U695" i="4"/>
  <c r="S692" i="4"/>
  <c r="S690" i="4" s="1"/>
  <c r="K678" i="4"/>
  <c r="K440" i="4"/>
  <c r="K371" i="4"/>
  <c r="S306" i="4"/>
  <c r="T306" i="4" s="1"/>
  <c r="S305" i="4"/>
  <c r="S303" i="4" s="1"/>
  <c r="M163" i="4"/>
  <c r="P163" i="4" s="1"/>
  <c r="P165" i="4"/>
  <c r="S714" i="5"/>
  <c r="R599" i="5"/>
  <c r="U599" i="5" s="1"/>
  <c r="U600" i="5"/>
  <c r="I332" i="5"/>
  <c r="K344" i="5"/>
  <c r="O187" i="5"/>
  <c r="L392" i="5"/>
  <c r="O392" i="5" s="1"/>
  <c r="L309" i="5"/>
  <c r="O309" i="5" s="1"/>
  <c r="N232" i="5"/>
  <c r="O338" i="2"/>
  <c r="O341" i="3"/>
  <c r="U733" i="4"/>
  <c r="K385" i="4"/>
  <c r="O364" i="4"/>
  <c r="M323" i="4"/>
  <c r="P323" i="4" s="1"/>
  <c r="K314" i="4"/>
  <c r="U308" i="4"/>
  <c r="K292" i="4"/>
  <c r="P287" i="4"/>
  <c r="R176" i="4"/>
  <c r="U176" i="4" s="1"/>
  <c r="U119" i="4"/>
  <c r="U765" i="5"/>
  <c r="T733" i="5"/>
  <c r="T647" i="5"/>
  <c r="R645" i="5"/>
  <c r="P600" i="5"/>
  <c r="Q599" i="5"/>
  <c r="T599" i="5" s="1"/>
  <c r="M576" i="5"/>
  <c r="P576" i="5" s="1"/>
  <c r="Q555" i="5"/>
  <c r="T555" i="5" s="1"/>
  <c r="M534" i="5"/>
  <c r="P534" i="5" s="1"/>
  <c r="N515" i="5"/>
  <c r="N513" i="5" s="1"/>
  <c r="Q496" i="5"/>
  <c r="T496" i="5" s="1"/>
  <c r="Q495" i="5"/>
  <c r="T495" i="5" s="1"/>
  <c r="T498" i="5"/>
  <c r="L493" i="5"/>
  <c r="O493" i="5" s="1"/>
  <c r="O494" i="5"/>
  <c r="K457" i="5"/>
  <c r="I456" i="5"/>
  <c r="K456" i="5" s="1"/>
  <c r="S416" i="5"/>
  <c r="S415" i="5"/>
  <c r="S413" i="5" s="1"/>
  <c r="R392" i="5"/>
  <c r="U392" i="5" s="1"/>
  <c r="N335" i="5"/>
  <c r="P328" i="5"/>
  <c r="M326" i="5"/>
  <c r="P326" i="5" s="1"/>
  <c r="U305" i="5"/>
  <c r="S282" i="5"/>
  <c r="M189" i="5"/>
  <c r="M188" i="5"/>
  <c r="M186" i="5" s="1"/>
  <c r="P191" i="5"/>
  <c r="K440" i="5"/>
  <c r="I423" i="5"/>
  <c r="S392" i="5"/>
  <c r="O176" i="5"/>
  <c r="J374" i="3"/>
  <c r="K368" i="3"/>
  <c r="S97" i="3"/>
  <c r="R730" i="4"/>
  <c r="R728" i="4" s="1"/>
  <c r="J674" i="4"/>
  <c r="K674" i="4" s="1"/>
  <c r="P518" i="4"/>
  <c r="N284" i="4"/>
  <c r="N282" i="4" s="1"/>
  <c r="L203" i="4"/>
  <c r="O203" i="4" s="1"/>
  <c r="M760" i="5"/>
  <c r="P760" i="5" s="1"/>
  <c r="L728" i="5"/>
  <c r="O728" i="5" s="1"/>
  <c r="R714" i="5"/>
  <c r="U714" i="5" s="1"/>
  <c r="L714" i="5"/>
  <c r="O714" i="5" s="1"/>
  <c r="M642" i="5"/>
  <c r="P642" i="5" s="1"/>
  <c r="L576" i="5"/>
  <c r="O576" i="5" s="1"/>
  <c r="O577" i="5"/>
  <c r="M555" i="5"/>
  <c r="P555" i="5" s="1"/>
  <c r="S534" i="5"/>
  <c r="L534" i="5"/>
  <c r="O534" i="5" s="1"/>
  <c r="O535" i="5"/>
  <c r="R415" i="5"/>
  <c r="U418" i="5"/>
  <c r="Q392" i="5"/>
  <c r="T392" i="5" s="1"/>
  <c r="T393" i="5"/>
  <c r="P361" i="5"/>
  <c r="N359" i="5"/>
  <c r="U321" i="5"/>
  <c r="R320" i="5"/>
  <c r="U320" i="5" s="1"/>
  <c r="T304" i="5"/>
  <c r="T159" i="5"/>
  <c r="Q157" i="5"/>
  <c r="T157" i="5" s="1"/>
  <c r="Q692" i="5"/>
  <c r="R356" i="5"/>
  <c r="U356" i="5" s="1"/>
  <c r="U357" i="5"/>
  <c r="M288" i="5"/>
  <c r="P288" i="5" s="1"/>
  <c r="P290" i="5"/>
  <c r="R618" i="4"/>
  <c r="R616" i="4" s="1"/>
  <c r="N305" i="4"/>
  <c r="N303" i="4" s="1"/>
  <c r="S268" i="4"/>
  <c r="S266" i="4" s="1"/>
  <c r="U266" i="4" s="1"/>
  <c r="T761" i="5"/>
  <c r="T695" i="5"/>
  <c r="R576" i="5"/>
  <c r="U576" i="5" s="1"/>
  <c r="U577" i="5"/>
  <c r="R534" i="5"/>
  <c r="U534" i="5" s="1"/>
  <c r="U535" i="5"/>
  <c r="O518" i="5"/>
  <c r="L516" i="5"/>
  <c r="O516" i="5" s="1"/>
  <c r="U494" i="5"/>
  <c r="P357" i="5"/>
  <c r="L335" i="5"/>
  <c r="O338" i="5"/>
  <c r="L336" i="5"/>
  <c r="O336" i="5" s="1"/>
  <c r="P334" i="5"/>
  <c r="T321" i="5"/>
  <c r="Q320" i="5"/>
  <c r="T320" i="5" s="1"/>
  <c r="Q282" i="5"/>
  <c r="T282" i="5" s="1"/>
  <c r="T283" i="5"/>
  <c r="P271" i="5"/>
  <c r="N268" i="5"/>
  <c r="N266" i="5" s="1"/>
  <c r="T178" i="5"/>
  <c r="Q176" i="5"/>
  <c r="T176" i="5" s="1"/>
  <c r="Q175" i="5"/>
  <c r="R159" i="5"/>
  <c r="U162" i="5"/>
  <c r="R160" i="5"/>
  <c r="U160" i="5" s="1"/>
  <c r="M493" i="5"/>
  <c r="P493" i="5" s="1"/>
  <c r="N322" i="5"/>
  <c r="N320" i="5" s="1"/>
  <c r="K152" i="5"/>
  <c r="I137" i="5"/>
  <c r="K137" i="5" s="1"/>
  <c r="T52" i="1"/>
  <c r="L335" i="3"/>
  <c r="L333" i="3" s="1"/>
  <c r="K781" i="4"/>
  <c r="K778" i="4"/>
  <c r="T765" i="4"/>
  <c r="Q762" i="4"/>
  <c r="T762" i="4" s="1"/>
  <c r="J351" i="4"/>
  <c r="I615" i="5"/>
  <c r="K615" i="5" s="1"/>
  <c r="K629" i="5"/>
  <c r="S599" i="5"/>
  <c r="L599" i="5"/>
  <c r="O599" i="5" s="1"/>
  <c r="O600" i="5"/>
  <c r="Q534" i="5"/>
  <c r="T534" i="5" s="1"/>
  <c r="T535" i="5"/>
  <c r="Q513" i="5"/>
  <c r="T513" i="5" s="1"/>
  <c r="T494" i="5"/>
  <c r="R416" i="5"/>
  <c r="U416" i="5" s="1"/>
  <c r="L358" i="5"/>
  <c r="O357" i="5"/>
  <c r="J343" i="5"/>
  <c r="L305" i="5"/>
  <c r="M284" i="5"/>
  <c r="T122" i="5"/>
  <c r="Q119" i="5"/>
  <c r="Q120" i="5"/>
  <c r="T120" i="5" s="1"/>
  <c r="P518" i="5"/>
  <c r="T514" i="5"/>
  <c r="U498" i="5"/>
  <c r="R495" i="5"/>
  <c r="U495" i="5" s="1"/>
  <c r="P494" i="5"/>
  <c r="U393" i="5"/>
  <c r="O393" i="5"/>
  <c r="K371" i="5"/>
  <c r="P338" i="5"/>
  <c r="U335" i="5"/>
  <c r="M322" i="5"/>
  <c r="U308" i="5"/>
  <c r="N284" i="5"/>
  <c r="N282" i="5" s="1"/>
  <c r="I280" i="5"/>
  <c r="K280" i="5" s="1"/>
  <c r="O274" i="5"/>
  <c r="L243" i="5"/>
  <c r="S188" i="5"/>
  <c r="S186" i="5" s="1"/>
  <c r="T186" i="5" s="1"/>
  <c r="O165" i="5"/>
  <c r="T162" i="5"/>
  <c r="Q160" i="5"/>
  <c r="T160" i="5" s="1"/>
  <c r="M141" i="5"/>
  <c r="Q305" i="5"/>
  <c r="T305" i="5" s="1"/>
  <c r="L254" i="5"/>
  <c r="O254" i="5" s="1"/>
  <c r="I253" i="5"/>
  <c r="K253" i="5" s="1"/>
  <c r="P194" i="5"/>
  <c r="R188" i="5"/>
  <c r="R186" i="5" s="1"/>
  <c r="U187" i="5"/>
  <c r="M175" i="5"/>
  <c r="P178" i="5"/>
  <c r="P174" i="5"/>
  <c r="P162" i="5"/>
  <c r="P144" i="5"/>
  <c r="P118" i="5"/>
  <c r="K229" i="5"/>
  <c r="U178" i="5"/>
  <c r="L175" i="5"/>
  <c r="O178" i="5"/>
  <c r="R175" i="5"/>
  <c r="M160" i="5"/>
  <c r="P160" i="5" s="1"/>
  <c r="N142" i="5"/>
  <c r="O142" i="5" s="1"/>
  <c r="O144" i="5"/>
  <c r="N141" i="5"/>
  <c r="N139" i="5" s="1"/>
  <c r="I302" i="5"/>
  <c r="K302" i="5" s="1"/>
  <c r="L272" i="5"/>
  <c r="O272" i="5" s="1"/>
  <c r="S176" i="5"/>
  <c r="P52" i="5"/>
  <c r="M26" i="5"/>
  <c r="P26" i="5" s="1"/>
  <c r="M50" i="5"/>
  <c r="P50" i="5" s="1"/>
  <c r="N188" i="5"/>
  <c r="N189" i="5"/>
  <c r="O189" i="5" s="1"/>
  <c r="P187" i="5"/>
  <c r="I172" i="5"/>
  <c r="K172" i="5" s="1"/>
  <c r="L159" i="5"/>
  <c r="O162" i="5"/>
  <c r="P158" i="5"/>
  <c r="I138" i="5"/>
  <c r="K138" i="5" s="1"/>
  <c r="K153" i="5"/>
  <c r="S141" i="5"/>
  <c r="S139" i="5" s="1"/>
  <c r="S142" i="5"/>
  <c r="U19" i="5"/>
  <c r="O122" i="5"/>
  <c r="R94" i="5"/>
  <c r="M123" i="5"/>
  <c r="P123" i="5" s="1"/>
  <c r="M100" i="5"/>
  <c r="P100" i="5" s="1"/>
  <c r="M96" i="5"/>
  <c r="Q94" i="5"/>
  <c r="P67" i="5"/>
  <c r="M65" i="5"/>
  <c r="P65" i="5" s="1"/>
  <c r="O47" i="5"/>
  <c r="I93" i="5"/>
  <c r="K93" i="5" s="1"/>
  <c r="K109" i="5"/>
  <c r="L26" i="5"/>
  <c r="L119" i="5"/>
  <c r="K108" i="5"/>
  <c r="U96" i="5"/>
  <c r="O62" i="5"/>
  <c r="P47" i="5"/>
  <c r="P22" i="5"/>
  <c r="M19" i="5"/>
  <c r="T99" i="5"/>
  <c r="Q97" i="5"/>
  <c r="N26" i="5"/>
  <c r="N24" i="5" s="1"/>
  <c r="P25" i="5"/>
  <c r="O19" i="5"/>
  <c r="P99" i="5"/>
  <c r="R97" i="5"/>
  <c r="L97" i="5"/>
  <c r="O97" i="5" s="1"/>
  <c r="T95" i="5"/>
  <c r="O80" i="5"/>
  <c r="U77" i="5"/>
  <c r="O77" i="5"/>
  <c r="Q75" i="5"/>
  <c r="T75" i="5" s="1"/>
  <c r="O64" i="5"/>
  <c r="N50" i="5"/>
  <c r="O49" i="5"/>
  <c r="N23" i="5"/>
  <c r="U99" i="5"/>
  <c r="N74" i="5"/>
  <c r="N72" i="5" s="1"/>
  <c r="N61" i="5"/>
  <c r="N59" i="5" s="1"/>
  <c r="N46" i="5"/>
  <c r="N44" i="5" s="1"/>
  <c r="S23" i="5"/>
  <c r="S20" i="5" s="1"/>
  <c r="S18" i="5" s="1"/>
  <c r="M23" i="5"/>
  <c r="Q19" i="5"/>
  <c r="N96" i="5"/>
  <c r="N94" i="5" s="1"/>
  <c r="S74" i="5"/>
  <c r="S72" i="5" s="1"/>
  <c r="M74" i="5"/>
  <c r="M61" i="5"/>
  <c r="M46" i="5"/>
  <c r="R23" i="5"/>
  <c r="L23" i="5"/>
  <c r="Q23" i="5"/>
  <c r="S616" i="4"/>
  <c r="S159" i="1"/>
  <c r="S558" i="1"/>
  <c r="M334" i="1"/>
  <c r="P334" i="1" s="1"/>
  <c r="K785" i="2"/>
  <c r="K782" i="2"/>
  <c r="K779" i="2"/>
  <c r="K632" i="2"/>
  <c r="K707" i="3"/>
  <c r="R693" i="3"/>
  <c r="T619" i="3"/>
  <c r="J332" i="3"/>
  <c r="M323" i="3"/>
  <c r="P323" i="3" s="1"/>
  <c r="U305" i="3"/>
  <c r="L268" i="3"/>
  <c r="O268" i="3" s="1"/>
  <c r="L235" i="3"/>
  <c r="L100" i="3"/>
  <c r="O100" i="3" s="1"/>
  <c r="I92" i="3"/>
  <c r="K92" i="3" s="1"/>
  <c r="Q576" i="4"/>
  <c r="T576" i="4" s="1"/>
  <c r="Q493" i="4"/>
  <c r="T493" i="4" s="1"/>
  <c r="T494" i="4"/>
  <c r="Q320" i="4"/>
  <c r="T320" i="4" s="1"/>
  <c r="T321" i="4"/>
  <c r="S359" i="1"/>
  <c r="R96" i="4"/>
  <c r="R94" i="4" s="1"/>
  <c r="U94" i="4" s="1"/>
  <c r="U99" i="4"/>
  <c r="S601" i="1"/>
  <c r="S599" i="1" s="1"/>
  <c r="R173" i="2"/>
  <c r="U173" i="2" s="1"/>
  <c r="P64" i="2"/>
  <c r="Q618" i="3"/>
  <c r="Q616" i="3" s="1"/>
  <c r="O518" i="3"/>
  <c r="K503" i="3"/>
  <c r="P729" i="4"/>
  <c r="K705" i="4"/>
  <c r="R693" i="4"/>
  <c r="U693" i="4" s="1"/>
  <c r="R692" i="4"/>
  <c r="R690" i="4" s="1"/>
  <c r="Q599" i="4"/>
  <c r="T599" i="4" s="1"/>
  <c r="T601" i="4"/>
  <c r="M599" i="4"/>
  <c r="P599" i="4" s="1"/>
  <c r="N516" i="4"/>
  <c r="N515" i="4"/>
  <c r="N513" i="4" s="1"/>
  <c r="Q392" i="4"/>
  <c r="T392" i="4" s="1"/>
  <c r="O60" i="4"/>
  <c r="T695" i="3"/>
  <c r="P194" i="3"/>
  <c r="P761" i="4"/>
  <c r="O729" i="4"/>
  <c r="K631" i="4"/>
  <c r="K630" i="4"/>
  <c r="T535" i="4"/>
  <c r="K784" i="1"/>
  <c r="N268" i="2"/>
  <c r="N266" i="2" s="1"/>
  <c r="K778" i="3"/>
  <c r="J701" i="3"/>
  <c r="M515" i="3"/>
  <c r="P515" i="3" s="1"/>
  <c r="L284" i="3"/>
  <c r="O284" i="3" s="1"/>
  <c r="T96" i="3"/>
  <c r="O49" i="3"/>
  <c r="K774" i="4"/>
  <c r="O761" i="4"/>
  <c r="S731" i="4"/>
  <c r="T731" i="4" s="1"/>
  <c r="Q730" i="4"/>
  <c r="Q728" i="4" s="1"/>
  <c r="P716" i="4"/>
  <c r="R714" i="4"/>
  <c r="U714" i="4" s="1"/>
  <c r="K707" i="4"/>
  <c r="I689" i="4"/>
  <c r="K689" i="4" s="1"/>
  <c r="K676" i="4"/>
  <c r="S645" i="4"/>
  <c r="S642" i="4"/>
  <c r="S619" i="4"/>
  <c r="U619" i="4" s="1"/>
  <c r="T578" i="4"/>
  <c r="R495" i="4"/>
  <c r="U495" i="4" s="1"/>
  <c r="R496" i="4"/>
  <c r="U496" i="4" s="1"/>
  <c r="U498" i="4"/>
  <c r="M392" i="4"/>
  <c r="P392" i="4" s="1"/>
  <c r="P393" i="4"/>
  <c r="L323" i="4"/>
  <c r="O323" i="4" s="1"/>
  <c r="O325" i="4"/>
  <c r="O308" i="4"/>
  <c r="L306" i="4"/>
  <c r="O306" i="4" s="1"/>
  <c r="M284" i="4"/>
  <c r="M282" i="4" s="1"/>
  <c r="Q189" i="4"/>
  <c r="Q188" i="4"/>
  <c r="R97" i="4"/>
  <c r="U97" i="4" s="1"/>
  <c r="I116" i="4"/>
  <c r="K116" i="4" s="1"/>
  <c r="K127" i="4"/>
  <c r="M62" i="4"/>
  <c r="P62" i="4" s="1"/>
  <c r="P64" i="4"/>
  <c r="U99" i="1"/>
  <c r="U191" i="1"/>
  <c r="Q494" i="1"/>
  <c r="T494" i="1" s="1"/>
  <c r="U733" i="3"/>
  <c r="K229" i="3"/>
  <c r="K169" i="3"/>
  <c r="I412" i="4"/>
  <c r="K412" i="4" s="1"/>
  <c r="K423" i="4"/>
  <c r="T418" i="4"/>
  <c r="Q415" i="4"/>
  <c r="T415" i="4" s="1"/>
  <c r="Q416" i="4"/>
  <c r="T416" i="4" s="1"/>
  <c r="M309" i="4"/>
  <c r="P309" i="4" s="1"/>
  <c r="P311" i="4"/>
  <c r="K220" i="4"/>
  <c r="I213" i="4"/>
  <c r="K213" i="4" s="1"/>
  <c r="L192" i="4"/>
  <c r="O192" i="4" s="1"/>
  <c r="O194" i="4"/>
  <c r="K154" i="4"/>
  <c r="I136" i="4"/>
  <c r="K136" i="4" s="1"/>
  <c r="M123" i="4"/>
  <c r="P123" i="4" s="1"/>
  <c r="P125" i="4"/>
  <c r="L96" i="4"/>
  <c r="O96" i="4" s="1"/>
  <c r="O99" i="4"/>
  <c r="L97" i="4"/>
  <c r="O97" i="4" s="1"/>
  <c r="N728" i="4"/>
  <c r="N714" i="4"/>
  <c r="J701" i="4"/>
  <c r="M642" i="4"/>
  <c r="P642" i="4" s="1"/>
  <c r="S576" i="4"/>
  <c r="M576" i="4"/>
  <c r="P576" i="4" s="1"/>
  <c r="S555" i="4"/>
  <c r="L555" i="4"/>
  <c r="O555" i="4" s="1"/>
  <c r="L534" i="4"/>
  <c r="O534" i="4" s="1"/>
  <c r="O518" i="4"/>
  <c r="L493" i="4"/>
  <c r="O493" i="4" s="1"/>
  <c r="S416" i="4"/>
  <c r="M413" i="4"/>
  <c r="P413" i="4" s="1"/>
  <c r="S392" i="4"/>
  <c r="N335" i="4"/>
  <c r="N333" i="4" s="1"/>
  <c r="S333" i="4"/>
  <c r="N285" i="4"/>
  <c r="P285" i="4" s="1"/>
  <c r="U283" i="4"/>
  <c r="M272" i="4"/>
  <c r="P272" i="4" s="1"/>
  <c r="N268" i="4"/>
  <c r="N266" i="4" s="1"/>
  <c r="Q268" i="4"/>
  <c r="Q266" i="4" s="1"/>
  <c r="P267" i="4"/>
  <c r="L235" i="4"/>
  <c r="L243" i="4"/>
  <c r="O243" i="4" s="1"/>
  <c r="R173" i="4"/>
  <c r="U173" i="4" s="1"/>
  <c r="T162" i="4"/>
  <c r="K153" i="4"/>
  <c r="T122" i="4"/>
  <c r="K109" i="4"/>
  <c r="P102" i="4"/>
  <c r="I82" i="4"/>
  <c r="K82" i="4" s="1"/>
  <c r="U77" i="4"/>
  <c r="O77" i="4"/>
  <c r="L61" i="4"/>
  <c r="O49" i="4"/>
  <c r="M358" i="4"/>
  <c r="M356" i="4" s="1"/>
  <c r="R333" i="4"/>
  <c r="U333" i="4" s="1"/>
  <c r="R269" i="4"/>
  <c r="U269" i="4" s="1"/>
  <c r="M268" i="4"/>
  <c r="L159" i="4"/>
  <c r="O159" i="4" s="1"/>
  <c r="R160" i="4"/>
  <c r="U160" i="4" s="1"/>
  <c r="S142" i="4"/>
  <c r="M119" i="4"/>
  <c r="P119" i="4" s="1"/>
  <c r="S120" i="4"/>
  <c r="I92" i="4"/>
  <c r="K92" i="4" s="1"/>
  <c r="I83" i="4"/>
  <c r="K83" i="4" s="1"/>
  <c r="K369" i="4"/>
  <c r="N359" i="4"/>
  <c r="J332" i="4"/>
  <c r="K332" i="4" s="1"/>
  <c r="R305" i="4"/>
  <c r="R303" i="4" s="1"/>
  <c r="L188" i="4"/>
  <c r="L186" i="4" s="1"/>
  <c r="L179" i="4"/>
  <c r="O179" i="4" s="1"/>
  <c r="K172" i="4"/>
  <c r="K152" i="4"/>
  <c r="R120" i="4"/>
  <c r="Q59" i="4"/>
  <c r="T59" i="4" s="1"/>
  <c r="S534" i="4"/>
  <c r="L515" i="4"/>
  <c r="O515" i="4" s="1"/>
  <c r="R377" i="4"/>
  <c r="U377" i="4" s="1"/>
  <c r="K365" i="4"/>
  <c r="S320" i="4"/>
  <c r="Q305" i="4"/>
  <c r="Q303" i="4" s="1"/>
  <c r="L189" i="4"/>
  <c r="R117" i="4"/>
  <c r="U117" i="4" s="1"/>
  <c r="L74" i="4"/>
  <c r="O74" i="4" s="1"/>
  <c r="R75" i="4"/>
  <c r="U75" i="4" s="1"/>
  <c r="K654" i="4"/>
  <c r="S599" i="4"/>
  <c r="U536" i="4"/>
  <c r="R513" i="4"/>
  <c r="U513" i="4" s="1"/>
  <c r="J457" i="4"/>
  <c r="J456" i="4" s="1"/>
  <c r="K368" i="4"/>
  <c r="P364" i="4"/>
  <c r="L358" i="4"/>
  <c r="J343" i="4"/>
  <c r="P338" i="4"/>
  <c r="N336" i="4"/>
  <c r="O336" i="4" s="1"/>
  <c r="M326" i="4"/>
  <c r="P326" i="4" s="1"/>
  <c r="M322" i="4"/>
  <c r="P322" i="4" s="1"/>
  <c r="L309" i="4"/>
  <c r="O309" i="4" s="1"/>
  <c r="P271" i="4"/>
  <c r="L236" i="4"/>
  <c r="L222" i="4"/>
  <c r="O222" i="4" s="1"/>
  <c r="O165" i="4"/>
  <c r="O162" i="4"/>
  <c r="P122" i="4"/>
  <c r="M120" i="4"/>
  <c r="P120" i="4" s="1"/>
  <c r="M96" i="4"/>
  <c r="P96" i="4" s="1"/>
  <c r="S97" i="4"/>
  <c r="S94" i="4"/>
  <c r="Q75" i="4"/>
  <c r="T75" i="4" s="1"/>
  <c r="L62" i="4"/>
  <c r="O62" i="4" s="1"/>
  <c r="N61" i="4"/>
  <c r="N59" i="4" s="1"/>
  <c r="T45" i="4"/>
  <c r="K280" i="1"/>
  <c r="T324" i="1"/>
  <c r="Q323" i="1"/>
  <c r="T323" i="1" s="1"/>
  <c r="R578" i="1"/>
  <c r="U578" i="1" s="1"/>
  <c r="R120" i="3"/>
  <c r="U120" i="3" s="1"/>
  <c r="U122" i="3"/>
  <c r="T691" i="4"/>
  <c r="O600" i="4"/>
  <c r="L599" i="4"/>
  <c r="O599" i="4" s="1"/>
  <c r="T556" i="4"/>
  <c r="Q555" i="4"/>
  <c r="T555" i="4" s="1"/>
  <c r="S188" i="4"/>
  <c r="S186" i="4" s="1"/>
  <c r="U191" i="4"/>
  <c r="S189" i="4"/>
  <c r="T191" i="4"/>
  <c r="K457" i="2"/>
  <c r="I456" i="2"/>
  <c r="K456" i="2" s="1"/>
  <c r="S46" i="1"/>
  <c r="S44" i="1" s="1"/>
  <c r="Q322" i="1"/>
  <c r="T322" i="1" s="1"/>
  <c r="J615" i="4"/>
  <c r="K626" i="4"/>
  <c r="Q619" i="4"/>
  <c r="T621" i="4"/>
  <c r="Q618" i="4"/>
  <c r="L392" i="4"/>
  <c r="O392" i="4" s="1"/>
  <c r="O393" i="4"/>
  <c r="K167" i="1"/>
  <c r="M326" i="3"/>
  <c r="P326" i="3" s="1"/>
  <c r="P328" i="3"/>
  <c r="R599" i="4"/>
  <c r="U599" i="4" s="1"/>
  <c r="U600" i="4"/>
  <c r="O577" i="4"/>
  <c r="L576" i="4"/>
  <c r="O576" i="4" s="1"/>
  <c r="R267" i="1"/>
  <c r="U267" i="1" s="1"/>
  <c r="K726" i="4"/>
  <c r="Q714" i="4"/>
  <c r="T714" i="4" s="1"/>
  <c r="M690" i="4"/>
  <c r="P690" i="4" s="1"/>
  <c r="Q645" i="4"/>
  <c r="T647" i="4"/>
  <c r="Q644" i="4"/>
  <c r="T644" i="4" s="1"/>
  <c r="J199" i="1"/>
  <c r="I137" i="3"/>
  <c r="K137" i="3" s="1"/>
  <c r="K152" i="3"/>
  <c r="T693" i="4"/>
  <c r="R576" i="4"/>
  <c r="U576" i="4" s="1"/>
  <c r="U577" i="4"/>
  <c r="Q513" i="4"/>
  <c r="T513" i="4" s="1"/>
  <c r="T514" i="4"/>
  <c r="P308" i="4"/>
  <c r="M305" i="4"/>
  <c r="M306" i="4"/>
  <c r="P306" i="4" s="1"/>
  <c r="O187" i="4"/>
  <c r="O52" i="4"/>
  <c r="L50" i="4"/>
  <c r="O50" i="4" s="1"/>
  <c r="L26" i="4"/>
  <c r="O26" i="4" s="1"/>
  <c r="S414" i="1"/>
  <c r="S413" i="1" s="1"/>
  <c r="S691" i="1"/>
  <c r="K783" i="3"/>
  <c r="P359" i="3"/>
  <c r="M555" i="4"/>
  <c r="P555" i="4" s="1"/>
  <c r="R392" i="4"/>
  <c r="U392" i="4" s="1"/>
  <c r="U393" i="4"/>
  <c r="N322" i="4"/>
  <c r="N320" i="4" s="1"/>
  <c r="P321" i="4"/>
  <c r="T174" i="4"/>
  <c r="M160" i="4"/>
  <c r="P160" i="4" s="1"/>
  <c r="P162" i="4"/>
  <c r="T99" i="4"/>
  <c r="Q96" i="4"/>
  <c r="Q97" i="4"/>
  <c r="T97" i="4" s="1"/>
  <c r="S322" i="1"/>
  <c r="K628" i="1"/>
  <c r="S692" i="2"/>
  <c r="S690" i="2" s="1"/>
  <c r="K386" i="2"/>
  <c r="R176" i="2"/>
  <c r="U176" i="2" s="1"/>
  <c r="Q692" i="3"/>
  <c r="T621" i="3"/>
  <c r="M519" i="3"/>
  <c r="P519" i="3" s="1"/>
  <c r="O359" i="3"/>
  <c r="L214" i="3"/>
  <c r="O214" i="3" s="1"/>
  <c r="U162" i="3"/>
  <c r="S141" i="3"/>
  <c r="S139" i="3" s="1"/>
  <c r="O122" i="3"/>
  <c r="K772" i="4"/>
  <c r="T761" i="4"/>
  <c r="T695" i="4"/>
  <c r="Q692" i="4"/>
  <c r="U647" i="4"/>
  <c r="P644" i="4"/>
  <c r="K629" i="4"/>
  <c r="U621" i="4"/>
  <c r="I615" i="4"/>
  <c r="O556" i="4"/>
  <c r="S495" i="4"/>
  <c r="S493" i="4" s="1"/>
  <c r="K457" i="4"/>
  <c r="R415" i="4"/>
  <c r="U415" i="4" s="1"/>
  <c r="S375" i="4"/>
  <c r="L375" i="4"/>
  <c r="O375" i="4" s="1"/>
  <c r="O376" i="4"/>
  <c r="P361" i="4"/>
  <c r="M359" i="4"/>
  <c r="P341" i="4"/>
  <c r="M339" i="4"/>
  <c r="P339" i="4" s="1"/>
  <c r="P334" i="4"/>
  <c r="O321" i="4"/>
  <c r="K302" i="4"/>
  <c r="O287" i="4"/>
  <c r="L284" i="4"/>
  <c r="L285" i="4"/>
  <c r="K281" i="4"/>
  <c r="L254" i="4"/>
  <c r="O254" i="4" s="1"/>
  <c r="Q175" i="4"/>
  <c r="T175" i="4" s="1"/>
  <c r="T178" i="4"/>
  <c r="S160" i="4"/>
  <c r="M159" i="4"/>
  <c r="R142" i="4"/>
  <c r="U142" i="4" s="1"/>
  <c r="R23" i="4"/>
  <c r="R21" i="4" s="1"/>
  <c r="U144" i="4"/>
  <c r="R141" i="4"/>
  <c r="U141" i="4" s="1"/>
  <c r="J661" i="1"/>
  <c r="K661" i="1" s="1"/>
  <c r="R692" i="2"/>
  <c r="L179" i="2"/>
  <c r="O179" i="2" s="1"/>
  <c r="L78" i="2"/>
  <c r="O78" i="2" s="1"/>
  <c r="K782" i="3"/>
  <c r="U765" i="3"/>
  <c r="M335" i="3"/>
  <c r="M333" i="3" s="1"/>
  <c r="Q75" i="3"/>
  <c r="T75" i="3" s="1"/>
  <c r="K703" i="4"/>
  <c r="L690" i="4"/>
  <c r="O690" i="4" s="1"/>
  <c r="L616" i="4"/>
  <c r="O616" i="4" s="1"/>
  <c r="M534" i="4"/>
  <c r="P534" i="4" s="1"/>
  <c r="K504" i="4"/>
  <c r="J503" i="4"/>
  <c r="J492" i="4" s="1"/>
  <c r="Q377" i="4"/>
  <c r="T380" i="4"/>
  <c r="U376" i="4"/>
  <c r="O361" i="4"/>
  <c r="L359" i="4"/>
  <c r="O341" i="4"/>
  <c r="L339" i="4"/>
  <c r="O339" i="4" s="1"/>
  <c r="L335" i="4"/>
  <c r="O328" i="4"/>
  <c r="L326" i="4"/>
  <c r="O326" i="4" s="1"/>
  <c r="N306" i="4"/>
  <c r="L272" i="4"/>
  <c r="O272" i="4" s="1"/>
  <c r="T267" i="4"/>
  <c r="I242" i="4"/>
  <c r="K249" i="4"/>
  <c r="I238" i="4"/>
  <c r="K238" i="4" s="1"/>
  <c r="N189" i="4"/>
  <c r="O191" i="4"/>
  <c r="N188" i="4"/>
  <c r="N186" i="4" s="1"/>
  <c r="K346" i="1"/>
  <c r="J351" i="1"/>
  <c r="J702" i="3"/>
  <c r="P341" i="3"/>
  <c r="O328" i="3"/>
  <c r="T178" i="3"/>
  <c r="S730" i="4"/>
  <c r="S728" i="4" s="1"/>
  <c r="L413" i="4"/>
  <c r="O413" i="4" s="1"/>
  <c r="R320" i="4"/>
  <c r="U320" i="4" s="1"/>
  <c r="U321" i="4"/>
  <c r="M188" i="4"/>
  <c r="P191" i="4"/>
  <c r="P181" i="4"/>
  <c r="M179" i="4"/>
  <c r="P179" i="4" s="1"/>
  <c r="M175" i="4"/>
  <c r="N175" i="4"/>
  <c r="N173" i="4" s="1"/>
  <c r="K169" i="4"/>
  <c r="I156" i="4"/>
  <c r="K156" i="4" s="1"/>
  <c r="S139" i="4"/>
  <c r="K87" i="4"/>
  <c r="K84" i="4"/>
  <c r="J374" i="1"/>
  <c r="K374" i="1" s="1"/>
  <c r="J460" i="1"/>
  <c r="N643" i="1"/>
  <c r="K653" i="1"/>
  <c r="K365" i="2"/>
  <c r="K368" i="2"/>
  <c r="L214" i="2"/>
  <c r="O214" i="2" s="1"/>
  <c r="K784" i="3"/>
  <c r="S731" i="3"/>
  <c r="R645" i="3"/>
  <c r="K371" i="3"/>
  <c r="J351" i="3"/>
  <c r="K346" i="3"/>
  <c r="K632" i="4"/>
  <c r="M616" i="4"/>
  <c r="P616" i="4" s="1"/>
  <c r="R555" i="4"/>
  <c r="U555" i="4" s="1"/>
  <c r="M493" i="4"/>
  <c r="P493" i="4" s="1"/>
  <c r="P494" i="4"/>
  <c r="P376" i="4"/>
  <c r="U358" i="4"/>
  <c r="R356" i="4"/>
  <c r="U356" i="4" s="1"/>
  <c r="Q356" i="4"/>
  <c r="T356" i="4" s="1"/>
  <c r="T357" i="4"/>
  <c r="T269" i="4"/>
  <c r="L268" i="4"/>
  <c r="P187" i="4"/>
  <c r="O95" i="4"/>
  <c r="P290" i="4"/>
  <c r="U271" i="4"/>
  <c r="K260" i="4"/>
  <c r="K198" i="4"/>
  <c r="P178" i="4"/>
  <c r="M176" i="4"/>
  <c r="P176" i="4" s="1"/>
  <c r="Q141" i="4"/>
  <c r="T141" i="4" s="1"/>
  <c r="T144" i="4"/>
  <c r="R72" i="4"/>
  <c r="U72" i="4" s="1"/>
  <c r="M335" i="4"/>
  <c r="L322" i="4"/>
  <c r="O322" i="4" s="1"/>
  <c r="Q282" i="4"/>
  <c r="T282" i="4" s="1"/>
  <c r="P174" i="4"/>
  <c r="S157" i="4"/>
  <c r="N26" i="4"/>
  <c r="N24" i="4" s="1"/>
  <c r="T119" i="4"/>
  <c r="M78" i="4"/>
  <c r="P78" i="4" s="1"/>
  <c r="P80" i="4"/>
  <c r="P67" i="4"/>
  <c r="M65" i="4"/>
  <c r="P65" i="4" s="1"/>
  <c r="N47" i="4"/>
  <c r="P49" i="4"/>
  <c r="N46" i="4"/>
  <c r="N44" i="4" s="1"/>
  <c r="N23" i="4"/>
  <c r="R306" i="4"/>
  <c r="L233" i="4"/>
  <c r="P147" i="4"/>
  <c r="M145" i="4"/>
  <c r="P145" i="4" s="1"/>
  <c r="N141" i="4"/>
  <c r="N139" i="4" s="1"/>
  <c r="M61" i="4"/>
  <c r="P60" i="4"/>
  <c r="P25" i="4"/>
  <c r="S19" i="4"/>
  <c r="M19" i="4"/>
  <c r="L305" i="4"/>
  <c r="T271" i="4"/>
  <c r="I265" i="4"/>
  <c r="K265" i="4" s="1"/>
  <c r="S176" i="4"/>
  <c r="S175" i="4"/>
  <c r="S173" i="4" s="1"/>
  <c r="O178" i="4"/>
  <c r="L145" i="4"/>
  <c r="O145" i="4" s="1"/>
  <c r="O147" i="4"/>
  <c r="M141" i="4"/>
  <c r="T117" i="4"/>
  <c r="M26" i="4"/>
  <c r="P26" i="4" s="1"/>
  <c r="M46" i="4"/>
  <c r="P52" i="4"/>
  <c r="M50" i="4"/>
  <c r="P50" i="4" s="1"/>
  <c r="O25" i="4"/>
  <c r="L19" i="4"/>
  <c r="U178" i="4"/>
  <c r="N159" i="4"/>
  <c r="N157" i="4" s="1"/>
  <c r="O144" i="4"/>
  <c r="L141" i="4"/>
  <c r="O141" i="4" s="1"/>
  <c r="Q120" i="4"/>
  <c r="N74" i="4"/>
  <c r="N72" i="4" s="1"/>
  <c r="S59" i="4"/>
  <c r="R44" i="4"/>
  <c r="U44" i="4" s="1"/>
  <c r="R24" i="4"/>
  <c r="U24" i="4" s="1"/>
  <c r="U25" i="4"/>
  <c r="M23" i="4"/>
  <c r="M74" i="4"/>
  <c r="P74" i="4" s="1"/>
  <c r="P73" i="4"/>
  <c r="R59" i="4"/>
  <c r="U59" i="4" s="1"/>
  <c r="L46" i="4"/>
  <c r="L23" i="4"/>
  <c r="N96" i="4"/>
  <c r="N94" i="4" s="1"/>
  <c r="Q24" i="4"/>
  <c r="T24" i="4" s="1"/>
  <c r="S23" i="4"/>
  <c r="S20" i="4" s="1"/>
  <c r="O22" i="4"/>
  <c r="U19" i="4"/>
  <c r="L175" i="4"/>
  <c r="L176" i="4"/>
  <c r="O176" i="4" s="1"/>
  <c r="M142" i="4"/>
  <c r="P142" i="4" s="1"/>
  <c r="N119" i="4"/>
  <c r="N117" i="4" s="1"/>
  <c r="S74" i="4"/>
  <c r="S72" i="4" s="1"/>
  <c r="P45" i="4"/>
  <c r="U22" i="4"/>
  <c r="Q19" i="4"/>
  <c r="Q23" i="4"/>
  <c r="M62" i="2"/>
  <c r="P62" i="2" s="1"/>
  <c r="T498" i="3"/>
  <c r="Q496" i="3"/>
  <c r="T496" i="3" s="1"/>
  <c r="Q159" i="3"/>
  <c r="T159" i="3" s="1"/>
  <c r="Q160" i="3"/>
  <c r="T160" i="3" s="1"/>
  <c r="T162" i="3"/>
  <c r="O80" i="3"/>
  <c r="L78" i="3"/>
  <c r="O78" i="3" s="1"/>
  <c r="M582" i="1"/>
  <c r="P582" i="1" s="1"/>
  <c r="Q416" i="2"/>
  <c r="T416" i="2" s="1"/>
  <c r="K346" i="2"/>
  <c r="P274" i="2"/>
  <c r="S97" i="2"/>
  <c r="L75" i="2"/>
  <c r="O75" i="2" s="1"/>
  <c r="K779" i="3"/>
  <c r="N616" i="3"/>
  <c r="L74" i="3"/>
  <c r="L72" i="3" s="1"/>
  <c r="O77" i="3"/>
  <c r="L75" i="3"/>
  <c r="O75" i="3" s="1"/>
  <c r="M62" i="3"/>
  <c r="P62" i="3" s="1"/>
  <c r="P64" i="3"/>
  <c r="Q377" i="3"/>
  <c r="Q375" i="3" s="1"/>
  <c r="Q378" i="3"/>
  <c r="T378" i="3" s="1"/>
  <c r="R188" i="3"/>
  <c r="U188" i="3" s="1"/>
  <c r="U191" i="3"/>
  <c r="T174" i="3"/>
  <c r="Q173" i="3"/>
  <c r="T173" i="3" s="1"/>
  <c r="R59" i="3"/>
  <c r="U59" i="3" s="1"/>
  <c r="U61" i="3"/>
  <c r="Q175" i="1"/>
  <c r="T175" i="1" s="1"/>
  <c r="Q96" i="1"/>
  <c r="M119" i="1"/>
  <c r="P119" i="1" s="1"/>
  <c r="Q284" i="1"/>
  <c r="T284" i="1" s="1"/>
  <c r="L306" i="1"/>
  <c r="S378" i="1"/>
  <c r="R377" i="1"/>
  <c r="N414" i="1"/>
  <c r="Q540" i="1"/>
  <c r="T540" i="1" s="1"/>
  <c r="S536" i="1"/>
  <c r="L644" i="1"/>
  <c r="O644" i="1" s="1"/>
  <c r="S645" i="1"/>
  <c r="J682" i="1"/>
  <c r="K682" i="1" s="1"/>
  <c r="U718" i="1"/>
  <c r="K740" i="1"/>
  <c r="K752" i="1"/>
  <c r="K784" i="2"/>
  <c r="K781" i="2"/>
  <c r="K778" i="2"/>
  <c r="J374" i="2"/>
  <c r="P338" i="2"/>
  <c r="K153" i="2"/>
  <c r="M100" i="2"/>
  <c r="P100" i="2" s="1"/>
  <c r="K781" i="3"/>
  <c r="K774" i="3"/>
  <c r="K705" i="3"/>
  <c r="M642" i="3"/>
  <c r="P642" i="3" s="1"/>
  <c r="P643" i="3"/>
  <c r="M555" i="3"/>
  <c r="P555" i="3" s="1"/>
  <c r="P556" i="3"/>
  <c r="I456" i="3"/>
  <c r="K456" i="3" s="1"/>
  <c r="S416" i="3"/>
  <c r="S415" i="3"/>
  <c r="S413" i="3" s="1"/>
  <c r="I281" i="3"/>
  <c r="K281" i="3" s="1"/>
  <c r="K87" i="3"/>
  <c r="I83" i="3"/>
  <c r="I71" i="3" s="1"/>
  <c r="K71" i="3" s="1"/>
  <c r="O64" i="3"/>
  <c r="L62" i="3"/>
  <c r="O62" i="3" s="1"/>
  <c r="S44" i="3"/>
  <c r="R44" i="3"/>
  <c r="U44" i="3" s="1"/>
  <c r="Q19" i="3"/>
  <c r="T19" i="3" s="1"/>
  <c r="T22" i="3"/>
  <c r="S763" i="3"/>
  <c r="U763" i="3" s="1"/>
  <c r="S762" i="3"/>
  <c r="S760" i="3" s="1"/>
  <c r="L616" i="3"/>
  <c r="O616" i="3" s="1"/>
  <c r="O617" i="3"/>
  <c r="L555" i="3"/>
  <c r="O555" i="3" s="1"/>
  <c r="O556" i="3"/>
  <c r="R416" i="3"/>
  <c r="U416" i="3" s="1"/>
  <c r="R415" i="3"/>
  <c r="U415" i="3" s="1"/>
  <c r="U418" i="3"/>
  <c r="L362" i="3"/>
  <c r="O362" i="3" s="1"/>
  <c r="O364" i="3"/>
  <c r="S333" i="3"/>
  <c r="R189" i="3"/>
  <c r="M96" i="3"/>
  <c r="M94" i="3" s="1"/>
  <c r="P99" i="3"/>
  <c r="M97" i="3"/>
  <c r="P97" i="3" s="1"/>
  <c r="R74" i="3"/>
  <c r="R72" i="3" s="1"/>
  <c r="R75" i="3"/>
  <c r="U75" i="3" s="1"/>
  <c r="U77" i="3"/>
  <c r="P144" i="1"/>
  <c r="K153" i="1"/>
  <c r="P159" i="1"/>
  <c r="N174" i="1"/>
  <c r="M174" i="1"/>
  <c r="P174" i="1" s="1"/>
  <c r="K209" i="1"/>
  <c r="N321" i="1"/>
  <c r="R381" i="1"/>
  <c r="U381" i="1" s="1"/>
  <c r="R394" i="1"/>
  <c r="U394" i="1" s="1"/>
  <c r="N536" i="1"/>
  <c r="N601" i="1"/>
  <c r="S644" i="1"/>
  <c r="K676" i="1"/>
  <c r="S696" i="1"/>
  <c r="K709" i="1"/>
  <c r="M715" i="1"/>
  <c r="P715" i="1" s="1"/>
  <c r="P311" i="2"/>
  <c r="P162" i="2"/>
  <c r="K785" i="3"/>
  <c r="K758" i="3"/>
  <c r="M760" i="3"/>
  <c r="P760" i="3" s="1"/>
  <c r="P761" i="3"/>
  <c r="I423" i="3"/>
  <c r="I412" i="3" s="1"/>
  <c r="K412" i="3" s="1"/>
  <c r="N322" i="3"/>
  <c r="N320" i="3" s="1"/>
  <c r="N323" i="3"/>
  <c r="Q305" i="3"/>
  <c r="T305" i="3" s="1"/>
  <c r="Q306" i="3"/>
  <c r="M288" i="3"/>
  <c r="P288" i="3" s="1"/>
  <c r="P290" i="3"/>
  <c r="L188" i="3"/>
  <c r="L189" i="3"/>
  <c r="O189" i="3" s="1"/>
  <c r="O191" i="3"/>
  <c r="Q189" i="3"/>
  <c r="Q119" i="3"/>
  <c r="Q117" i="3" s="1"/>
  <c r="Q120" i="3"/>
  <c r="T120" i="3" s="1"/>
  <c r="T122" i="3"/>
  <c r="Q59" i="3"/>
  <c r="T59" i="3" s="1"/>
  <c r="T60" i="3"/>
  <c r="S62" i="1"/>
  <c r="S267" i="1"/>
  <c r="K114" i="1"/>
  <c r="N284" i="1"/>
  <c r="J424" i="1"/>
  <c r="N691" i="1"/>
  <c r="S692" i="1"/>
  <c r="N716" i="1"/>
  <c r="S734" i="1"/>
  <c r="N269" i="2"/>
  <c r="P269" i="2" s="1"/>
  <c r="S189" i="2"/>
  <c r="M179" i="2"/>
  <c r="P179" i="2" s="1"/>
  <c r="S176" i="2"/>
  <c r="M163" i="2"/>
  <c r="P163" i="2" s="1"/>
  <c r="O160" i="2"/>
  <c r="S157" i="2"/>
  <c r="R94" i="2"/>
  <c r="U94" i="2" s="1"/>
  <c r="O691" i="3"/>
  <c r="L690" i="3"/>
  <c r="O690" i="3" s="1"/>
  <c r="Q645" i="3"/>
  <c r="T647" i="3"/>
  <c r="R555" i="3"/>
  <c r="U555" i="3" s="1"/>
  <c r="U556" i="3"/>
  <c r="Q495" i="3"/>
  <c r="R378" i="3"/>
  <c r="U378" i="3" s="1"/>
  <c r="R377" i="3"/>
  <c r="U377" i="3" s="1"/>
  <c r="U380" i="3"/>
  <c r="R356" i="3"/>
  <c r="U356" i="3" s="1"/>
  <c r="N305" i="3"/>
  <c r="N303" i="3" s="1"/>
  <c r="N306" i="3"/>
  <c r="S268" i="3"/>
  <c r="S266" i="3" s="1"/>
  <c r="S269" i="3"/>
  <c r="I202" i="3"/>
  <c r="K202" i="3" s="1"/>
  <c r="K209" i="3"/>
  <c r="M78" i="3"/>
  <c r="P78" i="3" s="1"/>
  <c r="P80" i="3"/>
  <c r="N47" i="3"/>
  <c r="O47" i="3" s="1"/>
  <c r="P49" i="3"/>
  <c r="T26" i="3"/>
  <c r="Q24" i="3"/>
  <c r="T24" i="3" s="1"/>
  <c r="L760" i="3"/>
  <c r="O760" i="3" s="1"/>
  <c r="T733" i="3"/>
  <c r="K726" i="3"/>
  <c r="T716" i="3"/>
  <c r="U695" i="3"/>
  <c r="M690" i="3"/>
  <c r="P690" i="3" s="1"/>
  <c r="P617" i="3"/>
  <c r="Q555" i="3"/>
  <c r="T555" i="3" s="1"/>
  <c r="N515" i="3"/>
  <c r="N513" i="3" s="1"/>
  <c r="S392" i="3"/>
  <c r="M375" i="3"/>
  <c r="P375" i="3" s="1"/>
  <c r="K369" i="3"/>
  <c r="P361" i="3"/>
  <c r="O357" i="3"/>
  <c r="K344" i="3"/>
  <c r="L322" i="3"/>
  <c r="O322" i="3" s="1"/>
  <c r="L254" i="3"/>
  <c r="O254" i="3" s="1"/>
  <c r="T203" i="3"/>
  <c r="O194" i="3"/>
  <c r="P191" i="3"/>
  <c r="O165" i="3"/>
  <c r="L96" i="3"/>
  <c r="L94" i="3" s="1"/>
  <c r="R97" i="3"/>
  <c r="P77" i="3"/>
  <c r="N19" i="3"/>
  <c r="L728" i="3"/>
  <c r="O728" i="3" s="1"/>
  <c r="Q642" i="3"/>
  <c r="R642" i="3"/>
  <c r="S599" i="3"/>
  <c r="Q599" i="3"/>
  <c r="T599" i="3" s="1"/>
  <c r="S576" i="3"/>
  <c r="J457" i="3"/>
  <c r="J456" i="3" s="1"/>
  <c r="L375" i="3"/>
  <c r="O375" i="3" s="1"/>
  <c r="N358" i="3"/>
  <c r="N356" i="3" s="1"/>
  <c r="N284" i="3"/>
  <c r="N282" i="3" s="1"/>
  <c r="N285" i="3"/>
  <c r="N268" i="3"/>
  <c r="N266" i="3" s="1"/>
  <c r="N232" i="3"/>
  <c r="S24" i="3"/>
  <c r="M19" i="3"/>
  <c r="P19" i="3" s="1"/>
  <c r="R762" i="3"/>
  <c r="R760" i="3" s="1"/>
  <c r="U730" i="3"/>
  <c r="S728" i="3"/>
  <c r="S692" i="3"/>
  <c r="S690" i="3" s="1"/>
  <c r="U690" i="3" s="1"/>
  <c r="N690" i="3"/>
  <c r="S618" i="3"/>
  <c r="S616" i="3" s="1"/>
  <c r="L519" i="3"/>
  <c r="O519" i="3" s="1"/>
  <c r="L515" i="3"/>
  <c r="O515" i="3" s="1"/>
  <c r="S377" i="3"/>
  <c r="S375" i="3" s="1"/>
  <c r="M358" i="3"/>
  <c r="M356" i="3" s="1"/>
  <c r="R320" i="3"/>
  <c r="U320" i="3" s="1"/>
  <c r="M284" i="3"/>
  <c r="P284" i="3" s="1"/>
  <c r="M268" i="3"/>
  <c r="M266" i="3" s="1"/>
  <c r="L236" i="3"/>
  <c r="J231" i="3"/>
  <c r="J185" i="3" s="1"/>
  <c r="N188" i="3"/>
  <c r="N186" i="3" s="1"/>
  <c r="Q176" i="3"/>
  <c r="T176" i="3" s="1"/>
  <c r="L97" i="3"/>
  <c r="O97" i="3" s="1"/>
  <c r="S59" i="3"/>
  <c r="S693" i="3"/>
  <c r="J675" i="3"/>
  <c r="K654" i="3"/>
  <c r="O643" i="3"/>
  <c r="R618" i="3"/>
  <c r="R616" i="3" s="1"/>
  <c r="T418" i="3"/>
  <c r="Q415" i="3"/>
  <c r="T415" i="3" s="1"/>
  <c r="L413" i="3"/>
  <c r="O413" i="3" s="1"/>
  <c r="K386" i="3"/>
  <c r="I374" i="3"/>
  <c r="L358" i="3"/>
  <c r="L356" i="3" s="1"/>
  <c r="O356" i="3" s="1"/>
  <c r="P338" i="3"/>
  <c r="M336" i="3"/>
  <c r="P336" i="3" s="1"/>
  <c r="M272" i="3"/>
  <c r="P272" i="3" s="1"/>
  <c r="N269" i="3"/>
  <c r="P269" i="3" s="1"/>
  <c r="L222" i="3"/>
  <c r="O222" i="3" s="1"/>
  <c r="M188" i="3"/>
  <c r="M186" i="3" s="1"/>
  <c r="S189" i="3"/>
  <c r="N141" i="3"/>
  <c r="N139" i="3" s="1"/>
  <c r="R139" i="3"/>
  <c r="U139" i="3" s="1"/>
  <c r="I136" i="3"/>
  <c r="K136" i="3" s="1"/>
  <c r="Q728" i="3"/>
  <c r="T730" i="3"/>
  <c r="R96" i="1"/>
  <c r="M493" i="3"/>
  <c r="P493" i="3" s="1"/>
  <c r="P494" i="3"/>
  <c r="N176" i="3"/>
  <c r="O178" i="3"/>
  <c r="N175" i="3"/>
  <c r="N173" i="3" s="1"/>
  <c r="N160" i="3"/>
  <c r="N23" i="3"/>
  <c r="N159" i="3"/>
  <c r="N157" i="3" s="1"/>
  <c r="Q60" i="1"/>
  <c r="T60" i="1" s="1"/>
  <c r="M160" i="2"/>
  <c r="P160" i="2" s="1"/>
  <c r="U647" i="3"/>
  <c r="S644" i="3"/>
  <c r="S642" i="3" s="1"/>
  <c r="T304" i="3"/>
  <c r="Q46" i="1"/>
  <c r="T46" i="1" s="1"/>
  <c r="L61" i="1"/>
  <c r="S60" i="1"/>
  <c r="K86" i="1"/>
  <c r="K89" i="1"/>
  <c r="L96" i="1"/>
  <c r="O96" i="1" s="1"/>
  <c r="S96" i="1"/>
  <c r="S140" i="1"/>
  <c r="L175" i="1"/>
  <c r="K221" i="1"/>
  <c r="M288" i="1"/>
  <c r="P288" i="1" s="1"/>
  <c r="O361" i="1"/>
  <c r="M376" i="1"/>
  <c r="P376" i="1" s="1"/>
  <c r="R378" i="1"/>
  <c r="N377" i="1"/>
  <c r="K388" i="1"/>
  <c r="Q561" i="1"/>
  <c r="T561" i="1" s="1"/>
  <c r="M577" i="1"/>
  <c r="P577" i="1" s="1"/>
  <c r="R582" i="1"/>
  <c r="U582" i="1" s="1"/>
  <c r="N619" i="1"/>
  <c r="N617" i="1"/>
  <c r="M618" i="1"/>
  <c r="P618" i="1" s="1"/>
  <c r="S648" i="1"/>
  <c r="L691" i="1"/>
  <c r="O691" i="1" s="1"/>
  <c r="R691" i="1"/>
  <c r="U691" i="1" s="1"/>
  <c r="J701" i="2"/>
  <c r="U695" i="2"/>
  <c r="K653" i="2"/>
  <c r="O521" i="2"/>
  <c r="T498" i="2"/>
  <c r="U418" i="2"/>
  <c r="O308" i="2"/>
  <c r="L236" i="2"/>
  <c r="I242" i="2"/>
  <c r="K242" i="2" s="1"/>
  <c r="L203" i="2"/>
  <c r="O203" i="2" s="1"/>
  <c r="P144" i="2"/>
  <c r="R120" i="2"/>
  <c r="L100" i="2"/>
  <c r="O100" i="2" s="1"/>
  <c r="S72" i="2"/>
  <c r="R72" i="2"/>
  <c r="U72" i="2" s="1"/>
  <c r="T765" i="3"/>
  <c r="Q762" i="3"/>
  <c r="U761" i="3"/>
  <c r="O761" i="3"/>
  <c r="R731" i="3"/>
  <c r="R728" i="3"/>
  <c r="R714" i="3"/>
  <c r="U714" i="3" s="1"/>
  <c r="I701" i="3"/>
  <c r="T691" i="3"/>
  <c r="K632" i="3"/>
  <c r="K615" i="3"/>
  <c r="N599" i="3"/>
  <c r="N534" i="3"/>
  <c r="S496" i="3"/>
  <c r="S495" i="3"/>
  <c r="S493" i="3" s="1"/>
  <c r="M392" i="3"/>
  <c r="P392" i="3" s="1"/>
  <c r="P393" i="3"/>
  <c r="T376" i="3"/>
  <c r="P364" i="3"/>
  <c r="M362" i="3"/>
  <c r="P362" i="3" s="1"/>
  <c r="Q515" i="1"/>
  <c r="T515" i="1" s="1"/>
  <c r="N730" i="1"/>
  <c r="M322" i="2"/>
  <c r="M320" i="2" s="1"/>
  <c r="R513" i="3"/>
  <c r="U513" i="3" s="1"/>
  <c r="U514" i="3"/>
  <c r="P308" i="3"/>
  <c r="M306" i="3"/>
  <c r="P306" i="3" s="1"/>
  <c r="M305" i="3"/>
  <c r="P305" i="3" s="1"/>
  <c r="Q74" i="1"/>
  <c r="S268" i="2"/>
  <c r="S266" i="2" s="1"/>
  <c r="L188" i="2"/>
  <c r="L186" i="2" s="1"/>
  <c r="Q513" i="3"/>
  <c r="T513" i="3" s="1"/>
  <c r="T514" i="3"/>
  <c r="P118" i="3"/>
  <c r="M22" i="1"/>
  <c r="P22" i="1" s="1"/>
  <c r="I82" i="1"/>
  <c r="I70" i="1" s="1"/>
  <c r="I83" i="1"/>
  <c r="I71" i="1" s="1"/>
  <c r="Q95" i="1"/>
  <c r="T95" i="1" s="1"/>
  <c r="R272" i="1"/>
  <c r="U272" i="1" s="1"/>
  <c r="K293" i="1"/>
  <c r="Q339" i="1"/>
  <c r="T339" i="1" s="1"/>
  <c r="M377" i="1"/>
  <c r="P377" i="1" s="1"/>
  <c r="L536" i="1"/>
  <c r="O536" i="1" s="1"/>
  <c r="R536" i="1"/>
  <c r="U536" i="1" s="1"/>
  <c r="O581" i="1"/>
  <c r="U584" i="1"/>
  <c r="S693" i="1"/>
  <c r="T695" i="1"/>
  <c r="R720" i="1"/>
  <c r="U720" i="1" s="1"/>
  <c r="K755" i="1"/>
  <c r="J675" i="2"/>
  <c r="K675" i="2" s="1"/>
  <c r="T647" i="2"/>
  <c r="T619" i="2"/>
  <c r="S618" i="2"/>
  <c r="S616" i="2" s="1"/>
  <c r="L254" i="2"/>
  <c r="O254" i="2" s="1"/>
  <c r="L234" i="2"/>
  <c r="P147" i="2"/>
  <c r="U144" i="2"/>
  <c r="O144" i="2"/>
  <c r="P125" i="2"/>
  <c r="I92" i="2"/>
  <c r="K92" i="2" s="1"/>
  <c r="K772" i="3"/>
  <c r="T761" i="3"/>
  <c r="Q731" i="3"/>
  <c r="O729" i="3"/>
  <c r="O715" i="3"/>
  <c r="P692" i="3"/>
  <c r="U619" i="3"/>
  <c r="M599" i="3"/>
  <c r="P599" i="3" s="1"/>
  <c r="P600" i="3"/>
  <c r="M534" i="3"/>
  <c r="P534" i="3" s="1"/>
  <c r="P535" i="3"/>
  <c r="P518" i="3"/>
  <c r="M516" i="3"/>
  <c r="P516" i="3" s="1"/>
  <c r="R495" i="3"/>
  <c r="U498" i="3"/>
  <c r="L392" i="3"/>
  <c r="O392" i="3" s="1"/>
  <c r="O393" i="3"/>
  <c r="I365" i="3"/>
  <c r="K365" i="3" s="1"/>
  <c r="I332" i="3"/>
  <c r="T188" i="3"/>
  <c r="Q186" i="3"/>
  <c r="R534" i="3"/>
  <c r="U534" i="3" s="1"/>
  <c r="U535" i="3"/>
  <c r="N267" i="1"/>
  <c r="K676" i="2"/>
  <c r="N392" i="3"/>
  <c r="P178" i="3"/>
  <c r="R95" i="1"/>
  <c r="U95" i="1" s="1"/>
  <c r="U286" i="1"/>
  <c r="N326" i="1"/>
  <c r="L377" i="1"/>
  <c r="O377" i="1" s="1"/>
  <c r="Q394" i="1"/>
  <c r="T394" i="1" s="1"/>
  <c r="I423" i="1"/>
  <c r="J446" i="1"/>
  <c r="J440" i="1" s="1"/>
  <c r="J423" i="1" s="1"/>
  <c r="J412" i="1" s="1"/>
  <c r="S556" i="1"/>
  <c r="R577" i="1"/>
  <c r="U577" i="1" s="1"/>
  <c r="M601" i="1"/>
  <c r="P601" i="1" s="1"/>
  <c r="N644" i="1"/>
  <c r="N717" i="1"/>
  <c r="S716" i="1"/>
  <c r="S720" i="1"/>
  <c r="Q644" i="2"/>
  <c r="Q642" i="2" s="1"/>
  <c r="P328" i="2"/>
  <c r="K293" i="2"/>
  <c r="O271" i="2"/>
  <c r="I265" i="2"/>
  <c r="K265" i="2" s="1"/>
  <c r="O147" i="2"/>
  <c r="T144" i="2"/>
  <c r="P80" i="2"/>
  <c r="N728" i="3"/>
  <c r="N714" i="3"/>
  <c r="S645" i="3"/>
  <c r="L599" i="3"/>
  <c r="O599" i="3" s="1"/>
  <c r="O600" i="3"/>
  <c r="M576" i="3"/>
  <c r="P576" i="3" s="1"/>
  <c r="P577" i="3"/>
  <c r="L534" i="3"/>
  <c r="O534" i="3" s="1"/>
  <c r="O535" i="3"/>
  <c r="O514" i="3"/>
  <c r="K504" i="3"/>
  <c r="J503" i="3"/>
  <c r="J492" i="3" s="1"/>
  <c r="Q356" i="3"/>
  <c r="T356" i="3" s="1"/>
  <c r="K153" i="3"/>
  <c r="I138" i="3"/>
  <c r="K138" i="3" s="1"/>
  <c r="T140" i="3"/>
  <c r="O19" i="3"/>
  <c r="J674" i="3"/>
  <c r="R599" i="3"/>
  <c r="U599" i="3" s="1"/>
  <c r="U600" i="3"/>
  <c r="N163" i="3"/>
  <c r="N26" i="3"/>
  <c r="N24" i="3" s="1"/>
  <c r="R100" i="1"/>
  <c r="U100" i="1" s="1"/>
  <c r="I172" i="1"/>
  <c r="K172" i="1" s="1"/>
  <c r="I238" i="2"/>
  <c r="K238" i="2" s="1"/>
  <c r="R576" i="3"/>
  <c r="U576" i="3" s="1"/>
  <c r="U577" i="3"/>
  <c r="L26" i="1"/>
  <c r="O26" i="1" s="1"/>
  <c r="Q22" i="1"/>
  <c r="T22" i="1" s="1"/>
  <c r="T77" i="1"/>
  <c r="T122" i="1"/>
  <c r="N140" i="1"/>
  <c r="K219" i="1"/>
  <c r="K265" i="1"/>
  <c r="M285" i="1"/>
  <c r="S288" i="1"/>
  <c r="Q305" i="1"/>
  <c r="Q309" i="1"/>
  <c r="T309" i="1" s="1"/>
  <c r="M393" i="1"/>
  <c r="P393" i="1" s="1"/>
  <c r="U539" i="1"/>
  <c r="S579" i="1"/>
  <c r="M617" i="1"/>
  <c r="P617" i="1" s="1"/>
  <c r="S617" i="1"/>
  <c r="R617" i="1"/>
  <c r="U617" i="1" s="1"/>
  <c r="J702" i="1"/>
  <c r="K783" i="1"/>
  <c r="N336" i="2"/>
  <c r="P336" i="2" s="1"/>
  <c r="N335" i="2"/>
  <c r="N333" i="2" s="1"/>
  <c r="Q142" i="2"/>
  <c r="T142" i="2" s="1"/>
  <c r="M74" i="2"/>
  <c r="P74" i="2" s="1"/>
  <c r="M728" i="3"/>
  <c r="P728" i="3" s="1"/>
  <c r="M714" i="3"/>
  <c r="P714" i="3" s="1"/>
  <c r="I689" i="3"/>
  <c r="K689" i="3" s="1"/>
  <c r="L576" i="3"/>
  <c r="O576" i="3" s="1"/>
  <c r="O577" i="3"/>
  <c r="S513" i="3"/>
  <c r="R392" i="3"/>
  <c r="U392" i="3" s="1"/>
  <c r="U393" i="3"/>
  <c r="J343" i="3"/>
  <c r="N339" i="3"/>
  <c r="N335" i="3"/>
  <c r="N333" i="3" s="1"/>
  <c r="P287" i="3"/>
  <c r="M285" i="3"/>
  <c r="P285" i="3" s="1"/>
  <c r="K631" i="3"/>
  <c r="T617" i="3"/>
  <c r="T556" i="3"/>
  <c r="P514" i="3"/>
  <c r="T414" i="3"/>
  <c r="T380" i="3"/>
  <c r="U376" i="3"/>
  <c r="O376" i="3"/>
  <c r="O361" i="3"/>
  <c r="U334" i="3"/>
  <c r="K330" i="3"/>
  <c r="M322" i="3"/>
  <c r="P311" i="3"/>
  <c r="M309" i="3"/>
  <c r="P309" i="3" s="1"/>
  <c r="O308" i="3"/>
  <c r="L306" i="3"/>
  <c r="O306" i="3" s="1"/>
  <c r="O287" i="3"/>
  <c r="L285" i="3"/>
  <c r="O285" i="3" s="1"/>
  <c r="S282" i="3"/>
  <c r="O271" i="3"/>
  <c r="L269" i="3"/>
  <c r="O269" i="3" s="1"/>
  <c r="L234" i="3"/>
  <c r="L203" i="3"/>
  <c r="O203" i="3" s="1"/>
  <c r="P187" i="3"/>
  <c r="O174" i="3"/>
  <c r="P73" i="3"/>
  <c r="K630" i="3"/>
  <c r="K626" i="3"/>
  <c r="O311" i="3"/>
  <c r="L309" i="3"/>
  <c r="O309" i="3" s="1"/>
  <c r="T308" i="3"/>
  <c r="S306" i="3"/>
  <c r="L305" i="3"/>
  <c r="O305" i="3" s="1"/>
  <c r="K293" i="3"/>
  <c r="I280" i="3"/>
  <c r="K280" i="3" s="1"/>
  <c r="R282" i="3"/>
  <c r="U282" i="3" s="1"/>
  <c r="O274" i="3"/>
  <c r="L272" i="3"/>
  <c r="O272" i="3" s="1"/>
  <c r="L233" i="3"/>
  <c r="S186" i="3"/>
  <c r="P158" i="3"/>
  <c r="T99" i="3"/>
  <c r="Q97" i="3"/>
  <c r="Q94" i="3"/>
  <c r="U22" i="3"/>
  <c r="U308" i="3"/>
  <c r="R306" i="3"/>
  <c r="S303" i="3"/>
  <c r="I302" i="3"/>
  <c r="K302" i="3" s="1"/>
  <c r="Q282" i="3"/>
  <c r="T282" i="3" s="1"/>
  <c r="T283" i="3"/>
  <c r="U271" i="3"/>
  <c r="R269" i="3"/>
  <c r="O158" i="3"/>
  <c r="O338" i="3"/>
  <c r="L336" i="3"/>
  <c r="O336" i="3" s="1"/>
  <c r="Q333" i="3"/>
  <c r="T333" i="3" s="1"/>
  <c r="T334" i="3"/>
  <c r="Q320" i="3"/>
  <c r="T320" i="3" s="1"/>
  <c r="R303" i="3"/>
  <c r="T271" i="3"/>
  <c r="Q269" i="3"/>
  <c r="R268" i="3"/>
  <c r="Q266" i="3"/>
  <c r="I242" i="3"/>
  <c r="K249" i="3"/>
  <c r="I238" i="3"/>
  <c r="K238" i="3" s="1"/>
  <c r="P75" i="3"/>
  <c r="R24" i="3"/>
  <c r="U24" i="3" s="1"/>
  <c r="U25" i="3"/>
  <c r="R19" i="3"/>
  <c r="O325" i="3"/>
  <c r="U304" i="3"/>
  <c r="O304" i="3"/>
  <c r="U283" i="3"/>
  <c r="O283" i="3"/>
  <c r="P271" i="3"/>
  <c r="T267" i="3"/>
  <c r="K260" i="3"/>
  <c r="L243" i="3"/>
  <c r="K220" i="3"/>
  <c r="K198" i="3"/>
  <c r="T191" i="3"/>
  <c r="O181" i="3"/>
  <c r="S176" i="3"/>
  <c r="S175" i="3"/>
  <c r="S173" i="3" s="1"/>
  <c r="L176" i="3"/>
  <c r="L175" i="3"/>
  <c r="U174" i="3"/>
  <c r="P144" i="3"/>
  <c r="M142" i="3"/>
  <c r="P142" i="3" s="1"/>
  <c r="M141" i="3"/>
  <c r="N119" i="3"/>
  <c r="N117" i="3" s="1"/>
  <c r="O118" i="3"/>
  <c r="P60" i="3"/>
  <c r="R176" i="3"/>
  <c r="U176" i="3" s="1"/>
  <c r="R175" i="3"/>
  <c r="U175" i="3" s="1"/>
  <c r="U158" i="3"/>
  <c r="P147" i="3"/>
  <c r="M145" i="3"/>
  <c r="P145" i="3" s="1"/>
  <c r="O144" i="3"/>
  <c r="L142" i="3"/>
  <c r="O142" i="3" s="1"/>
  <c r="L141" i="3"/>
  <c r="Q72" i="3"/>
  <c r="P45" i="3"/>
  <c r="P25" i="3"/>
  <c r="K276" i="3"/>
  <c r="K183" i="3"/>
  <c r="P181" i="3"/>
  <c r="M179" i="3"/>
  <c r="P179" i="3" s="1"/>
  <c r="O147" i="3"/>
  <c r="L145" i="3"/>
  <c r="O145" i="3" s="1"/>
  <c r="U118" i="3"/>
  <c r="I82" i="3"/>
  <c r="P67" i="3"/>
  <c r="M65" i="3"/>
  <c r="P65" i="3" s="1"/>
  <c r="P52" i="3"/>
  <c r="M26" i="3"/>
  <c r="P26" i="3" s="1"/>
  <c r="M50" i="3"/>
  <c r="P50" i="3" s="1"/>
  <c r="O25" i="3"/>
  <c r="P22" i="3"/>
  <c r="P174" i="3"/>
  <c r="U144" i="3"/>
  <c r="R142" i="3"/>
  <c r="U142" i="3" s="1"/>
  <c r="U96" i="3"/>
  <c r="O67" i="3"/>
  <c r="L65" i="3"/>
  <c r="O65" i="3" s="1"/>
  <c r="L61" i="3"/>
  <c r="O52" i="3"/>
  <c r="L26" i="3"/>
  <c r="O26" i="3" s="1"/>
  <c r="L50" i="3"/>
  <c r="O50" i="3" s="1"/>
  <c r="L46" i="3"/>
  <c r="O22" i="3"/>
  <c r="M175" i="3"/>
  <c r="S159" i="3"/>
  <c r="S157" i="3" s="1"/>
  <c r="M159" i="3"/>
  <c r="P159" i="3" s="1"/>
  <c r="Q141" i="3"/>
  <c r="T141" i="3" s="1"/>
  <c r="S119" i="3"/>
  <c r="M119" i="3"/>
  <c r="P119" i="3" s="1"/>
  <c r="U99" i="3"/>
  <c r="O99" i="3"/>
  <c r="K84" i="3"/>
  <c r="T77" i="3"/>
  <c r="N74" i="3"/>
  <c r="N61" i="3"/>
  <c r="N59" i="3" s="1"/>
  <c r="N46" i="3"/>
  <c r="N44" i="3" s="1"/>
  <c r="S23" i="3"/>
  <c r="S20" i="3" s="1"/>
  <c r="S18" i="3" s="1"/>
  <c r="M23" i="3"/>
  <c r="R159" i="3"/>
  <c r="U159" i="3" s="1"/>
  <c r="L159" i="3"/>
  <c r="O159" i="3" s="1"/>
  <c r="R119" i="3"/>
  <c r="R117" i="3" s="1"/>
  <c r="L119" i="3"/>
  <c r="O119" i="3" s="1"/>
  <c r="N96" i="3"/>
  <c r="S74" i="3"/>
  <c r="S72" i="3" s="1"/>
  <c r="M74" i="3"/>
  <c r="M61" i="3"/>
  <c r="M46" i="3"/>
  <c r="M44" i="3" s="1"/>
  <c r="R23" i="3"/>
  <c r="R21" i="3" s="1"/>
  <c r="L23" i="3"/>
  <c r="M176" i="3"/>
  <c r="M163" i="3"/>
  <c r="P163" i="3" s="1"/>
  <c r="M160" i="3"/>
  <c r="P160" i="3" s="1"/>
  <c r="Q142" i="3"/>
  <c r="T142" i="3" s="1"/>
  <c r="M123" i="3"/>
  <c r="P123" i="3" s="1"/>
  <c r="M120" i="3"/>
  <c r="P120" i="3" s="1"/>
  <c r="Q23" i="3"/>
  <c r="L648" i="1"/>
  <c r="O648" i="1" s="1"/>
  <c r="O649" i="1"/>
  <c r="Q378" i="2"/>
  <c r="Q377" i="2"/>
  <c r="Q375" i="2" s="1"/>
  <c r="T375" i="2" s="1"/>
  <c r="T380" i="2"/>
  <c r="R186" i="2"/>
  <c r="U186" i="2" s="1"/>
  <c r="U187" i="2"/>
  <c r="S61" i="1"/>
  <c r="N78" i="1"/>
  <c r="S123" i="1"/>
  <c r="M158" i="1"/>
  <c r="M157" i="1" s="1"/>
  <c r="P164" i="1"/>
  <c r="M163" i="1"/>
  <c r="P163" i="1" s="1"/>
  <c r="R192" i="1"/>
  <c r="U192" i="1" s="1"/>
  <c r="U193" i="1"/>
  <c r="M557" i="1"/>
  <c r="P557" i="1" s="1"/>
  <c r="P560" i="1"/>
  <c r="N578" i="1"/>
  <c r="O606" i="1"/>
  <c r="L605" i="1"/>
  <c r="O605" i="1" s="1"/>
  <c r="M696" i="1"/>
  <c r="P696" i="1" s="1"/>
  <c r="P698" i="1"/>
  <c r="L729" i="1"/>
  <c r="O729" i="1" s="1"/>
  <c r="R731" i="1"/>
  <c r="U731" i="1" s="1"/>
  <c r="U732" i="1"/>
  <c r="R729" i="1"/>
  <c r="U729" i="1" s="1"/>
  <c r="U761" i="2"/>
  <c r="U393" i="2"/>
  <c r="R392" i="2"/>
  <c r="U392" i="2" s="1"/>
  <c r="Q268" i="2"/>
  <c r="Q269" i="2"/>
  <c r="T269" i="2" s="1"/>
  <c r="P52" i="1"/>
  <c r="R60" i="1"/>
  <c r="U60" i="1" s="1"/>
  <c r="Q62" i="1"/>
  <c r="T62" i="1" s="1"/>
  <c r="N25" i="1"/>
  <c r="R74" i="1"/>
  <c r="R72" i="1" s="1"/>
  <c r="S75" i="1"/>
  <c r="K85" i="1"/>
  <c r="K88" i="1"/>
  <c r="K92" i="1"/>
  <c r="S95" i="1"/>
  <c r="K108" i="1"/>
  <c r="M118" i="1"/>
  <c r="P118" i="1" s="1"/>
  <c r="N145" i="1"/>
  <c r="O271" i="1"/>
  <c r="L268" i="1"/>
  <c r="O268" i="1" s="1"/>
  <c r="M323" i="1"/>
  <c r="M321" i="1"/>
  <c r="P321" i="1" s="1"/>
  <c r="M322" i="1"/>
  <c r="P539" i="1"/>
  <c r="M536" i="1"/>
  <c r="P536" i="1" s="1"/>
  <c r="I758" i="2"/>
  <c r="K758" i="2" s="1"/>
  <c r="O494" i="2"/>
  <c r="L493" i="2"/>
  <c r="O493" i="2" s="1"/>
  <c r="I93" i="2"/>
  <c r="K93" i="2" s="1"/>
  <c r="K109" i="2"/>
  <c r="M74" i="1"/>
  <c r="Q321" i="1"/>
  <c r="T321" i="1" s="1"/>
  <c r="T327" i="1"/>
  <c r="L381" i="1"/>
  <c r="O381" i="1" s="1"/>
  <c r="O382" i="1"/>
  <c r="M46" i="1"/>
  <c r="M44" i="1" s="1"/>
  <c r="R61" i="1"/>
  <c r="U61" i="1" s="1"/>
  <c r="S22" i="1"/>
  <c r="Q73" i="1"/>
  <c r="T73" i="1" s="1"/>
  <c r="L22" i="1"/>
  <c r="O22" i="1" s="1"/>
  <c r="T76" i="1"/>
  <c r="S74" i="1"/>
  <c r="S78" i="1"/>
  <c r="L97" i="1"/>
  <c r="K109" i="1"/>
  <c r="K129" i="1"/>
  <c r="S158" i="1"/>
  <c r="O286" i="1"/>
  <c r="L285" i="1"/>
  <c r="T363" i="1"/>
  <c r="Q357" i="1"/>
  <c r="T357" i="1" s="1"/>
  <c r="Q362" i="1"/>
  <c r="T362" i="1" s="1"/>
  <c r="P694" i="1"/>
  <c r="M693" i="1"/>
  <c r="P693" i="1" s="1"/>
  <c r="M691" i="1"/>
  <c r="L715" i="1"/>
  <c r="O715" i="1" s="1"/>
  <c r="O721" i="1"/>
  <c r="O290" i="2"/>
  <c r="L288" i="2"/>
  <c r="O288" i="2" s="1"/>
  <c r="K774" i="1"/>
  <c r="J759" i="1"/>
  <c r="K759" i="1" s="1"/>
  <c r="L60" i="1"/>
  <c r="O60" i="1" s="1"/>
  <c r="R25" i="1"/>
  <c r="U25" i="1" s="1"/>
  <c r="M75" i="1"/>
  <c r="M95" i="1"/>
  <c r="P95" i="1" s="1"/>
  <c r="O99" i="1"/>
  <c r="N123" i="1"/>
  <c r="I319" i="1"/>
  <c r="K319" i="1" s="1"/>
  <c r="K330" i="1"/>
  <c r="L376" i="1"/>
  <c r="O376" i="1" s="1"/>
  <c r="O379" i="1"/>
  <c r="N395" i="1"/>
  <c r="P497" i="1"/>
  <c r="M496" i="1"/>
  <c r="P496" i="1" s="1"/>
  <c r="T603" i="1"/>
  <c r="Q600" i="1"/>
  <c r="T600" i="1" s="1"/>
  <c r="L643" i="1"/>
  <c r="R644" i="1"/>
  <c r="Q305" i="2"/>
  <c r="T308" i="2"/>
  <c r="Q306" i="2"/>
  <c r="T306" i="2" s="1"/>
  <c r="M26" i="1"/>
  <c r="P26" i="1" s="1"/>
  <c r="P99" i="1"/>
  <c r="L100" i="1"/>
  <c r="O100" i="1" s="1"/>
  <c r="S163" i="1"/>
  <c r="L393" i="1"/>
  <c r="O393" i="1" s="1"/>
  <c r="U650" i="1"/>
  <c r="R648" i="1"/>
  <c r="U648" i="1" s="1"/>
  <c r="N734" i="1"/>
  <c r="L760" i="2"/>
  <c r="O760" i="2" s="1"/>
  <c r="O761" i="2"/>
  <c r="R356" i="2"/>
  <c r="U356" i="2" s="1"/>
  <c r="N179" i="1"/>
  <c r="Q267" i="1"/>
  <c r="T267" i="1" s="1"/>
  <c r="R283" i="1"/>
  <c r="U283" i="1" s="1"/>
  <c r="N288" i="1"/>
  <c r="N359" i="1"/>
  <c r="Q376" i="1"/>
  <c r="T376" i="1" s="1"/>
  <c r="Q377" i="1"/>
  <c r="M398" i="1"/>
  <c r="P398" i="1" s="1"/>
  <c r="N519" i="1"/>
  <c r="M761" i="1"/>
  <c r="P761" i="1" s="1"/>
  <c r="K778" i="1"/>
  <c r="L714" i="2"/>
  <c r="O714" i="2" s="1"/>
  <c r="K709" i="2"/>
  <c r="K703" i="2"/>
  <c r="M642" i="2"/>
  <c r="P642" i="2" s="1"/>
  <c r="L272" i="2"/>
  <c r="O272" i="2" s="1"/>
  <c r="O274" i="2"/>
  <c r="L268" i="2"/>
  <c r="O268" i="2" s="1"/>
  <c r="T267" i="2"/>
  <c r="L243" i="2"/>
  <c r="O243" i="2" s="1"/>
  <c r="I195" i="2"/>
  <c r="K195" i="2" s="1"/>
  <c r="K198" i="2"/>
  <c r="R159" i="2"/>
  <c r="U159" i="2" s="1"/>
  <c r="R160" i="2"/>
  <c r="U160" i="2" s="1"/>
  <c r="O125" i="2"/>
  <c r="L123" i="2"/>
  <c r="O123" i="2" s="1"/>
  <c r="L158" i="1"/>
  <c r="O158" i="1" s="1"/>
  <c r="O161" i="1"/>
  <c r="N163" i="1"/>
  <c r="R175" i="1"/>
  <c r="U175" i="1" s="1"/>
  <c r="R174" i="1"/>
  <c r="U174" i="1" s="1"/>
  <c r="O191" i="1"/>
  <c r="L192" i="1"/>
  <c r="O192" i="1" s="1"/>
  <c r="N268" i="1"/>
  <c r="N283" i="1"/>
  <c r="M304" i="1"/>
  <c r="P304" i="1" s="1"/>
  <c r="L305" i="1"/>
  <c r="L309" i="1"/>
  <c r="O309" i="1" s="1"/>
  <c r="S309" i="1"/>
  <c r="M326" i="1"/>
  <c r="P326" i="1" s="1"/>
  <c r="L335" i="1"/>
  <c r="O335" i="1" s="1"/>
  <c r="M339" i="1"/>
  <c r="P339" i="1" s="1"/>
  <c r="S358" i="1"/>
  <c r="R376" i="1"/>
  <c r="U376" i="1" s="1"/>
  <c r="U379" i="1"/>
  <c r="N398" i="1"/>
  <c r="R415" i="1"/>
  <c r="U415" i="1" s="1"/>
  <c r="J467" i="1"/>
  <c r="J475" i="1"/>
  <c r="J485" i="1"/>
  <c r="M495" i="1"/>
  <c r="P495" i="1" s="1"/>
  <c r="R515" i="1"/>
  <c r="U515" i="1" s="1"/>
  <c r="R514" i="1"/>
  <c r="Q556" i="1"/>
  <c r="T556" i="1" s="1"/>
  <c r="Q578" i="1"/>
  <c r="T578" i="1" s="1"/>
  <c r="L582" i="1"/>
  <c r="O582" i="1" s="1"/>
  <c r="L600" i="1"/>
  <c r="O600" i="1" s="1"/>
  <c r="N605" i="1"/>
  <c r="K629" i="1"/>
  <c r="N648" i="1"/>
  <c r="M692" i="1"/>
  <c r="P692" i="1" s="1"/>
  <c r="N720" i="1"/>
  <c r="U721" i="1"/>
  <c r="N729" i="1"/>
  <c r="S730" i="1"/>
  <c r="R734" i="1"/>
  <c r="U734" i="1" s="1"/>
  <c r="K746" i="1"/>
  <c r="K782" i="1"/>
  <c r="K783" i="2"/>
  <c r="K780" i="2"/>
  <c r="P761" i="2"/>
  <c r="U715" i="2"/>
  <c r="N714" i="2"/>
  <c r="L642" i="2"/>
  <c r="O642" i="2" s="1"/>
  <c r="O643" i="2"/>
  <c r="J503" i="2"/>
  <c r="J492" i="2" s="1"/>
  <c r="K492" i="2" s="1"/>
  <c r="M323" i="2"/>
  <c r="O311" i="2"/>
  <c r="L309" i="2"/>
  <c r="O309" i="2" s="1"/>
  <c r="M285" i="2"/>
  <c r="P285" i="2" s="1"/>
  <c r="P287" i="2"/>
  <c r="N96" i="2"/>
  <c r="N94" i="2" s="1"/>
  <c r="N97" i="2"/>
  <c r="S44" i="2"/>
  <c r="R44" i="2"/>
  <c r="U44" i="2" s="1"/>
  <c r="Q19" i="2"/>
  <c r="T19" i="2" s="1"/>
  <c r="T22" i="2"/>
  <c r="Q326" i="1"/>
  <c r="T326" i="1" s="1"/>
  <c r="R535" i="1"/>
  <c r="U535" i="1" s="1"/>
  <c r="K627" i="1"/>
  <c r="Q645" i="1"/>
  <c r="U647" i="1"/>
  <c r="Q691" i="1"/>
  <c r="T691" i="1" s="1"/>
  <c r="S715" i="1"/>
  <c r="L734" i="1"/>
  <c r="O734" i="1" s="1"/>
  <c r="Q763" i="1"/>
  <c r="R762" i="2"/>
  <c r="R760" i="2" s="1"/>
  <c r="Q730" i="2"/>
  <c r="Q728" i="2" s="1"/>
  <c r="N728" i="2"/>
  <c r="I701" i="2"/>
  <c r="Q692" i="2"/>
  <c r="T695" i="2"/>
  <c r="S644" i="2"/>
  <c r="S642" i="2" s="1"/>
  <c r="S645" i="2"/>
  <c r="T645" i="2" s="1"/>
  <c r="U643" i="2"/>
  <c r="O535" i="2"/>
  <c r="L534" i="2"/>
  <c r="O534" i="2" s="1"/>
  <c r="L516" i="2"/>
  <c r="O516" i="2" s="1"/>
  <c r="O518" i="2"/>
  <c r="R413" i="2"/>
  <c r="U413" i="2" s="1"/>
  <c r="L358" i="2"/>
  <c r="L359" i="2"/>
  <c r="O359" i="2" s="1"/>
  <c r="O361" i="2"/>
  <c r="S320" i="2"/>
  <c r="L284" i="2"/>
  <c r="L282" i="2" s="1"/>
  <c r="L285" i="2"/>
  <c r="O285" i="2" s="1"/>
  <c r="O287" i="2"/>
  <c r="I156" i="2"/>
  <c r="K156" i="2" s="1"/>
  <c r="I169" i="2"/>
  <c r="K169" i="2" s="1"/>
  <c r="O165" i="2"/>
  <c r="L163" i="2"/>
  <c r="O163" i="2" s="1"/>
  <c r="K152" i="2"/>
  <c r="M96" i="2"/>
  <c r="M94" i="2" s="1"/>
  <c r="P94" i="2" s="1"/>
  <c r="P99" i="2"/>
  <c r="M97" i="2"/>
  <c r="P97" i="2" s="1"/>
  <c r="Q59" i="2"/>
  <c r="T59" i="2" s="1"/>
  <c r="S305" i="1"/>
  <c r="U305" i="1" s="1"/>
  <c r="K314" i="1"/>
  <c r="S334" i="1"/>
  <c r="S333" i="1" s="1"/>
  <c r="J432" i="1"/>
  <c r="J477" i="1"/>
  <c r="N499" i="1"/>
  <c r="N602" i="1"/>
  <c r="R600" i="1"/>
  <c r="U600" i="1" s="1"/>
  <c r="L618" i="1"/>
  <c r="O618" i="1" s="1"/>
  <c r="R645" i="1"/>
  <c r="N693" i="1"/>
  <c r="N692" i="1"/>
  <c r="U697" i="1"/>
  <c r="P732" i="1"/>
  <c r="Q762" i="2"/>
  <c r="Q760" i="2" s="1"/>
  <c r="T761" i="2"/>
  <c r="N760" i="2"/>
  <c r="S714" i="2"/>
  <c r="R645" i="2"/>
  <c r="R644" i="2"/>
  <c r="U647" i="2"/>
  <c r="R534" i="2"/>
  <c r="U534" i="2" s="1"/>
  <c r="M519" i="2"/>
  <c r="P519" i="2" s="1"/>
  <c r="L392" i="2"/>
  <c r="O392" i="2" s="1"/>
  <c r="O393" i="2"/>
  <c r="L362" i="2"/>
  <c r="O362" i="2" s="1"/>
  <c r="L339" i="2"/>
  <c r="O339" i="2" s="1"/>
  <c r="O341" i="2"/>
  <c r="P178" i="2"/>
  <c r="M176" i="2"/>
  <c r="P176" i="2" s="1"/>
  <c r="S119" i="2"/>
  <c r="S117" i="2" s="1"/>
  <c r="U117" i="2" s="1"/>
  <c r="S120" i="2"/>
  <c r="L119" i="2"/>
  <c r="O119" i="2" s="1"/>
  <c r="L120" i="2"/>
  <c r="O120" i="2" s="1"/>
  <c r="Q74" i="2"/>
  <c r="T74" i="2" s="1"/>
  <c r="T77" i="2"/>
  <c r="N47" i="2"/>
  <c r="O47" i="2" s="1"/>
  <c r="O49" i="2"/>
  <c r="M175" i="1"/>
  <c r="L174" i="1"/>
  <c r="K228" i="1"/>
  <c r="K238" i="1"/>
  <c r="Q269" i="1"/>
  <c r="T271" i="1"/>
  <c r="N285" i="1"/>
  <c r="S283" i="1"/>
  <c r="S321" i="1"/>
  <c r="K368" i="1"/>
  <c r="M378" i="1"/>
  <c r="P378" i="1" s="1"/>
  <c r="Q398" i="1"/>
  <c r="T398" i="1" s="1"/>
  <c r="M415" i="1"/>
  <c r="P415" i="1" s="1"/>
  <c r="N415" i="1"/>
  <c r="S419" i="1"/>
  <c r="J468" i="1"/>
  <c r="S496" i="1"/>
  <c r="N514" i="1"/>
  <c r="N535" i="1"/>
  <c r="O583" i="1"/>
  <c r="O603" i="1"/>
  <c r="R605" i="1"/>
  <c r="U605" i="1" s="1"/>
  <c r="S605" i="1"/>
  <c r="J632" i="1"/>
  <c r="J626" i="1" s="1"/>
  <c r="S643" i="1"/>
  <c r="J654" i="1"/>
  <c r="K654" i="1" s="1"/>
  <c r="M720" i="1"/>
  <c r="P720" i="1" s="1"/>
  <c r="K749" i="1"/>
  <c r="Q762" i="1"/>
  <c r="U765" i="1"/>
  <c r="K780" i="1"/>
  <c r="J702" i="2"/>
  <c r="Q693" i="2"/>
  <c r="T693" i="2" s="1"/>
  <c r="J674" i="2"/>
  <c r="K674" i="2" s="1"/>
  <c r="R377" i="2"/>
  <c r="U377" i="2" s="1"/>
  <c r="R378" i="2"/>
  <c r="U378" i="2" s="1"/>
  <c r="N375" i="2"/>
  <c r="Q356" i="2"/>
  <c r="T356" i="2" s="1"/>
  <c r="T357" i="2"/>
  <c r="R305" i="2"/>
  <c r="R306" i="2"/>
  <c r="U306" i="2" s="1"/>
  <c r="U308" i="2"/>
  <c r="U283" i="2"/>
  <c r="R282" i="2"/>
  <c r="U282" i="2" s="1"/>
  <c r="I281" i="2"/>
  <c r="K281" i="2" s="1"/>
  <c r="R269" i="2"/>
  <c r="U269" i="2" s="1"/>
  <c r="U271" i="2"/>
  <c r="R59" i="2"/>
  <c r="U59" i="2" s="1"/>
  <c r="U61" i="2"/>
  <c r="M47" i="2"/>
  <c r="P49" i="2"/>
  <c r="T26" i="2"/>
  <c r="Q24" i="2"/>
  <c r="T24" i="2" s="1"/>
  <c r="P191" i="2"/>
  <c r="L175" i="2"/>
  <c r="L173" i="2" s="1"/>
  <c r="L96" i="2"/>
  <c r="O96" i="2" s="1"/>
  <c r="R97" i="2"/>
  <c r="U97" i="2" s="1"/>
  <c r="U77" i="2"/>
  <c r="M75" i="2"/>
  <c r="P75" i="2" s="1"/>
  <c r="O64" i="2"/>
  <c r="T60" i="2"/>
  <c r="L19" i="2"/>
  <c r="N19" i="2"/>
  <c r="L690" i="2"/>
  <c r="O690" i="2" s="1"/>
  <c r="K654" i="2"/>
  <c r="U621" i="2"/>
  <c r="N555" i="2"/>
  <c r="N413" i="2"/>
  <c r="Q392" i="2"/>
  <c r="T392" i="2" s="1"/>
  <c r="I374" i="2"/>
  <c r="S378" i="2"/>
  <c r="K371" i="2"/>
  <c r="K369" i="2"/>
  <c r="I319" i="2"/>
  <c r="K319" i="2" s="1"/>
  <c r="S305" i="2"/>
  <c r="S303" i="2" s="1"/>
  <c r="P290" i="2"/>
  <c r="L222" i="2"/>
  <c r="O222" i="2" s="1"/>
  <c r="M192" i="2"/>
  <c r="P192" i="2" s="1"/>
  <c r="M189" i="2"/>
  <c r="P189" i="2" s="1"/>
  <c r="M19" i="2"/>
  <c r="Q534" i="2"/>
  <c r="T534" i="2" s="1"/>
  <c r="N515" i="2"/>
  <c r="N513" i="2" s="1"/>
  <c r="N516" i="2"/>
  <c r="Q495" i="2"/>
  <c r="Q493" i="2" s="1"/>
  <c r="N493" i="2"/>
  <c r="M413" i="2"/>
  <c r="P413" i="2" s="1"/>
  <c r="N392" i="2"/>
  <c r="L375" i="2"/>
  <c r="O375" i="2" s="1"/>
  <c r="N358" i="2"/>
  <c r="N356" i="2" s="1"/>
  <c r="J351" i="2"/>
  <c r="L335" i="2"/>
  <c r="K314" i="2"/>
  <c r="M305" i="2"/>
  <c r="M303" i="2" s="1"/>
  <c r="P303" i="2" s="1"/>
  <c r="N284" i="2"/>
  <c r="N282" i="2" s="1"/>
  <c r="K260" i="2"/>
  <c r="K229" i="2"/>
  <c r="L176" i="2"/>
  <c r="O176" i="2" s="1"/>
  <c r="M159" i="2"/>
  <c r="M157" i="2" s="1"/>
  <c r="S160" i="2"/>
  <c r="N119" i="2"/>
  <c r="N117" i="2" s="1"/>
  <c r="S75" i="2"/>
  <c r="K678" i="2"/>
  <c r="Q599" i="2"/>
  <c r="T599" i="2" s="1"/>
  <c r="Q576" i="2"/>
  <c r="T576" i="2" s="1"/>
  <c r="N534" i="2"/>
  <c r="M516" i="2"/>
  <c r="P516" i="2" s="1"/>
  <c r="S513" i="2"/>
  <c r="R496" i="2"/>
  <c r="U496" i="2" s="1"/>
  <c r="R416" i="2"/>
  <c r="U416" i="2" s="1"/>
  <c r="L322" i="2"/>
  <c r="L320" i="2" s="1"/>
  <c r="L305" i="2"/>
  <c r="O305" i="2" s="1"/>
  <c r="S282" i="2"/>
  <c r="L159" i="2"/>
  <c r="L157" i="2" s="1"/>
  <c r="M119" i="2"/>
  <c r="L74" i="2"/>
  <c r="R75" i="2"/>
  <c r="U75" i="2" s="1"/>
  <c r="Q120" i="1"/>
  <c r="R601" i="1"/>
  <c r="U601" i="1" s="1"/>
  <c r="U604" i="1"/>
  <c r="R602" i="1"/>
  <c r="U602" i="1" s="1"/>
  <c r="M25" i="1"/>
  <c r="L46" i="1"/>
  <c r="L44" i="1" s="1"/>
  <c r="T49" i="1"/>
  <c r="P63" i="1"/>
  <c r="M65" i="1"/>
  <c r="P65" i="1" s="1"/>
  <c r="L73" i="1"/>
  <c r="L72" i="1" s="1"/>
  <c r="O77" i="1"/>
  <c r="K84" i="1"/>
  <c r="K87" i="1"/>
  <c r="K90" i="1"/>
  <c r="N94" i="1"/>
  <c r="M97" i="1"/>
  <c r="N97" i="1"/>
  <c r="M100" i="1"/>
  <c r="P100" i="1" s="1"/>
  <c r="N100" i="1"/>
  <c r="K113" i="1"/>
  <c r="Q118" i="1"/>
  <c r="T118" i="1" s="1"/>
  <c r="S120" i="1"/>
  <c r="I138" i="1"/>
  <c r="K138" i="1" s="1"/>
  <c r="S145" i="1"/>
  <c r="S141" i="1"/>
  <c r="I137" i="1"/>
  <c r="K137" i="1" s="1"/>
  <c r="K152" i="1"/>
  <c r="R160" i="1"/>
  <c r="U160" i="1" s="1"/>
  <c r="R158" i="1"/>
  <c r="U158" i="1" s="1"/>
  <c r="U164" i="1"/>
  <c r="R163" i="1"/>
  <c r="U163" i="1" s="1"/>
  <c r="R189" i="1"/>
  <c r="U190" i="1"/>
  <c r="R187" i="1"/>
  <c r="Q272" i="1"/>
  <c r="T272" i="1" s="1"/>
  <c r="Q268" i="1"/>
  <c r="T274" i="1"/>
  <c r="P308" i="1"/>
  <c r="R321" i="1"/>
  <c r="U321" i="1" s="1"/>
  <c r="U324" i="1"/>
  <c r="N378" i="1"/>
  <c r="N376" i="1"/>
  <c r="Q415" i="1"/>
  <c r="T415" i="1" s="1"/>
  <c r="R494" i="1"/>
  <c r="U494" i="1" s="1"/>
  <c r="T538" i="1"/>
  <c r="Q535" i="1"/>
  <c r="Q537" i="1"/>
  <c r="T537" i="1" s="1"/>
  <c r="M335" i="1"/>
  <c r="P338" i="1"/>
  <c r="M336" i="1"/>
  <c r="Q414" i="1"/>
  <c r="T414" i="1" s="1"/>
  <c r="T417" i="1"/>
  <c r="Q416" i="1"/>
  <c r="T416" i="1" s="1"/>
  <c r="S47" i="1"/>
  <c r="M60" i="1"/>
  <c r="M62" i="1"/>
  <c r="N65" i="1"/>
  <c r="M73" i="1"/>
  <c r="P76" i="1"/>
  <c r="M78" i="1"/>
  <c r="P78" i="1" s="1"/>
  <c r="S117" i="1"/>
  <c r="P146" i="1"/>
  <c r="M145" i="1"/>
  <c r="P145" i="1" s="1"/>
  <c r="O273" i="1"/>
  <c r="L272" i="1"/>
  <c r="O272" i="1" s="1"/>
  <c r="L267" i="1"/>
  <c r="O267" i="1" s="1"/>
  <c r="O308" i="1"/>
  <c r="N305" i="1"/>
  <c r="N303" i="1" s="1"/>
  <c r="Q336" i="1"/>
  <c r="T336" i="1" s="1"/>
  <c r="T337" i="1"/>
  <c r="Q334" i="1"/>
  <c r="S395" i="1"/>
  <c r="S393" i="1"/>
  <c r="L494" i="1"/>
  <c r="O494" i="1" s="1"/>
  <c r="T498" i="1"/>
  <c r="Q495" i="1"/>
  <c r="T495" i="1" s="1"/>
  <c r="S519" i="1"/>
  <c r="S514" i="1"/>
  <c r="P562" i="1"/>
  <c r="M561" i="1"/>
  <c r="P561" i="1" s="1"/>
  <c r="L601" i="1"/>
  <c r="O601" i="1" s="1"/>
  <c r="O604" i="1"/>
  <c r="L602" i="1"/>
  <c r="O602" i="1" s="1"/>
  <c r="R268" i="1"/>
  <c r="U271" i="1"/>
  <c r="M23" i="1"/>
  <c r="S26" i="1"/>
  <c r="L95" i="1"/>
  <c r="Q23" i="1"/>
  <c r="Q26" i="1"/>
  <c r="T26" i="1" s="1"/>
  <c r="O165" i="1"/>
  <c r="L159" i="1"/>
  <c r="O159" i="1" s="1"/>
  <c r="S176" i="1"/>
  <c r="S174" i="1"/>
  <c r="S173" i="1" s="1"/>
  <c r="L189" i="1"/>
  <c r="O190" i="1"/>
  <c r="L187" i="1"/>
  <c r="S192" i="1"/>
  <c r="S188" i="1"/>
  <c r="S186" i="1" s="1"/>
  <c r="U287" i="1"/>
  <c r="R284" i="1"/>
  <c r="Q306" i="1"/>
  <c r="T307" i="1"/>
  <c r="Q304" i="1"/>
  <c r="L321" i="1"/>
  <c r="O321" i="1" s="1"/>
  <c r="O324" i="1"/>
  <c r="N334" i="1"/>
  <c r="N333" i="1" s="1"/>
  <c r="T361" i="1"/>
  <c r="Q359" i="1"/>
  <c r="T359" i="1" s="1"/>
  <c r="Q358" i="1"/>
  <c r="T358" i="1" s="1"/>
  <c r="M394" i="1"/>
  <c r="P394" i="1" s="1"/>
  <c r="P400" i="1"/>
  <c r="P518" i="1"/>
  <c r="M515" i="1"/>
  <c r="P515" i="1" s="1"/>
  <c r="M96" i="1"/>
  <c r="P96" i="1" s="1"/>
  <c r="K220" i="1"/>
  <c r="I213" i="1"/>
  <c r="K213" i="1" s="1"/>
  <c r="O420" i="1"/>
  <c r="L419" i="1"/>
  <c r="O419" i="1" s="1"/>
  <c r="S65" i="1"/>
  <c r="S23" i="1"/>
  <c r="R46" i="1"/>
  <c r="U46" i="1" s="1"/>
  <c r="Q61" i="1"/>
  <c r="L25" i="1"/>
  <c r="O25" i="1" s="1"/>
  <c r="Q65" i="1"/>
  <c r="T65" i="1" s="1"/>
  <c r="Q75" i="1"/>
  <c r="J82" i="1"/>
  <c r="I93" i="1"/>
  <c r="K93" i="1" s="1"/>
  <c r="U98" i="1"/>
  <c r="U101" i="1"/>
  <c r="N120" i="1"/>
  <c r="M140" i="1"/>
  <c r="P140" i="1" s="1"/>
  <c r="L163" i="1"/>
  <c r="O163" i="1" s="1"/>
  <c r="U360" i="1"/>
  <c r="R357" i="1"/>
  <c r="U357" i="1" s="1"/>
  <c r="N494" i="1"/>
  <c r="N493" i="1" s="1"/>
  <c r="N496" i="1"/>
  <c r="R579" i="1"/>
  <c r="U579" i="1" s="1"/>
  <c r="U580" i="1"/>
  <c r="S582" i="1"/>
  <c r="N119" i="1"/>
  <c r="N117" i="1" s="1"/>
  <c r="T191" i="1"/>
  <c r="Q188" i="1"/>
  <c r="Q186" i="1" s="1"/>
  <c r="Q335" i="1"/>
  <c r="T335" i="1" s="1"/>
  <c r="S25" i="1"/>
  <c r="U77" i="1"/>
  <c r="Q78" i="1"/>
  <c r="T78" i="1" s="1"/>
  <c r="P121" i="1"/>
  <c r="P124" i="1"/>
  <c r="K136" i="1"/>
  <c r="K154" i="1"/>
  <c r="Q158" i="1"/>
  <c r="T158" i="1" s="1"/>
  <c r="N160" i="1"/>
  <c r="O160" i="1" s="1"/>
  <c r="M160" i="1"/>
  <c r="P162" i="1"/>
  <c r="N187" i="1"/>
  <c r="N186" i="1" s="1"/>
  <c r="N192" i="1"/>
  <c r="P286" i="1"/>
  <c r="M283" i="1"/>
  <c r="P283" i="1" s="1"/>
  <c r="U310" i="1"/>
  <c r="R309" i="1"/>
  <c r="U309" i="1" s="1"/>
  <c r="N322" i="1"/>
  <c r="N323" i="1"/>
  <c r="P325" i="1"/>
  <c r="S377" i="1"/>
  <c r="S381" i="1"/>
  <c r="Q419" i="1"/>
  <c r="T419" i="1" s="1"/>
  <c r="T421" i="1"/>
  <c r="M556" i="1"/>
  <c r="P559" i="1"/>
  <c r="M558" i="1"/>
  <c r="P558" i="1" s="1"/>
  <c r="S619" i="1"/>
  <c r="S618" i="1"/>
  <c r="T618" i="1" s="1"/>
  <c r="O618" i="2"/>
  <c r="L616" i="2"/>
  <c r="O616" i="2" s="1"/>
  <c r="O193" i="1"/>
  <c r="S285" i="1"/>
  <c r="K302" i="1"/>
  <c r="K371" i="1"/>
  <c r="N516" i="1"/>
  <c r="S557" i="1"/>
  <c r="U695" i="1"/>
  <c r="R692" i="1"/>
  <c r="N763" i="1"/>
  <c r="N762" i="1"/>
  <c r="N760" i="1" s="1"/>
  <c r="S763" i="2"/>
  <c r="U763" i="2" s="1"/>
  <c r="T765" i="2"/>
  <c r="U765" i="2"/>
  <c r="S762" i="2"/>
  <c r="S760" i="2" s="1"/>
  <c r="M555" i="2"/>
  <c r="P555" i="2" s="1"/>
  <c r="P556" i="2"/>
  <c r="Q123" i="1"/>
  <c r="T123" i="1" s="1"/>
  <c r="T164" i="1"/>
  <c r="S189" i="1"/>
  <c r="O196" i="1"/>
  <c r="K198" i="1"/>
  <c r="M267" i="1"/>
  <c r="P267" i="1" s="1"/>
  <c r="P271" i="1"/>
  <c r="N272" i="1"/>
  <c r="O287" i="1"/>
  <c r="L288" i="1"/>
  <c r="O288" i="1" s="1"/>
  <c r="R306" i="1"/>
  <c r="S306" i="1"/>
  <c r="T310" i="1"/>
  <c r="S357" i="1"/>
  <c r="R358" i="1"/>
  <c r="U358" i="1" s="1"/>
  <c r="K369" i="1"/>
  <c r="S376" i="1"/>
  <c r="N393" i="1"/>
  <c r="R416" i="1"/>
  <c r="U416" i="1" s="1"/>
  <c r="S416" i="1"/>
  <c r="N419" i="1"/>
  <c r="I456" i="1"/>
  <c r="K456" i="1" s="1"/>
  <c r="J459" i="1"/>
  <c r="J476" i="1"/>
  <c r="I484" i="1"/>
  <c r="K484" i="1" s="1"/>
  <c r="L495" i="1"/>
  <c r="L577" i="1"/>
  <c r="K630" i="1"/>
  <c r="K631" i="1"/>
  <c r="M716" i="1"/>
  <c r="P716" i="1" s="1"/>
  <c r="M717" i="1"/>
  <c r="P717" i="1" s="1"/>
  <c r="P719" i="1"/>
  <c r="M730" i="1"/>
  <c r="P730" i="1" s="1"/>
  <c r="P733" i="1"/>
  <c r="R731" i="2"/>
  <c r="U731" i="2" s="1"/>
  <c r="R730" i="2"/>
  <c r="U733" i="2"/>
  <c r="K209" i="2"/>
  <c r="I202" i="2"/>
  <c r="K202" i="2" s="1"/>
  <c r="O144" i="1"/>
  <c r="K150" i="1"/>
  <c r="P180" i="1"/>
  <c r="M187" i="1"/>
  <c r="P187" i="1" s="1"/>
  <c r="R188" i="1"/>
  <c r="O222" i="1"/>
  <c r="P287" i="1"/>
  <c r="K295" i="1"/>
  <c r="R304" i="1"/>
  <c r="R322" i="1"/>
  <c r="U322" i="1" s="1"/>
  <c r="N336" i="1"/>
  <c r="K344" i="1"/>
  <c r="L358" i="1"/>
  <c r="P361" i="1"/>
  <c r="U380" i="1"/>
  <c r="M395" i="1"/>
  <c r="P395" i="1" s="1"/>
  <c r="Q496" i="1"/>
  <c r="M499" i="1"/>
  <c r="P499" i="1" s="1"/>
  <c r="P520" i="1"/>
  <c r="Q536" i="1"/>
  <c r="T536" i="1" s="1"/>
  <c r="L579" i="1"/>
  <c r="O579" i="1" s="1"/>
  <c r="S578" i="1"/>
  <c r="S576" i="1" s="1"/>
  <c r="J636" i="1"/>
  <c r="J635" i="1" s="1"/>
  <c r="Q643" i="1"/>
  <c r="T643" i="1" s="1"/>
  <c r="Q715" i="1"/>
  <c r="T715" i="1" s="1"/>
  <c r="T718" i="1"/>
  <c r="Q729" i="1"/>
  <c r="T729" i="1" s="1"/>
  <c r="T732" i="1"/>
  <c r="P735" i="1"/>
  <c r="M734" i="1"/>
  <c r="P734" i="1" s="1"/>
  <c r="M714" i="2"/>
  <c r="P714" i="2" s="1"/>
  <c r="P715" i="2"/>
  <c r="J185" i="1"/>
  <c r="U274" i="1"/>
  <c r="S304" i="1"/>
  <c r="P324" i="1"/>
  <c r="L334" i="1"/>
  <c r="O334" i="1" s="1"/>
  <c r="R334" i="1"/>
  <c r="U334" i="1" s="1"/>
  <c r="L357" i="1"/>
  <c r="O357" i="1" s="1"/>
  <c r="L378" i="1"/>
  <c r="O378" i="1" s="1"/>
  <c r="O380" i="1"/>
  <c r="N381" i="1"/>
  <c r="L415" i="1"/>
  <c r="O415" i="1" s="1"/>
  <c r="M494" i="1"/>
  <c r="S494" i="1"/>
  <c r="S493" i="1" s="1"/>
  <c r="L515" i="1"/>
  <c r="O515" i="1" s="1"/>
  <c r="S515" i="1"/>
  <c r="N577" i="1"/>
  <c r="R693" i="1"/>
  <c r="S729" i="1"/>
  <c r="T731" i="2"/>
  <c r="M728" i="2"/>
  <c r="P728" i="2" s="1"/>
  <c r="P729" i="2"/>
  <c r="R513" i="2"/>
  <c r="U513" i="2" s="1"/>
  <c r="U514" i="2"/>
  <c r="K344" i="2"/>
  <c r="J332" i="2"/>
  <c r="K332" i="2" s="1"/>
  <c r="J343" i="2"/>
  <c r="K151" i="1"/>
  <c r="O162" i="1"/>
  <c r="M176" i="1"/>
  <c r="L188" i="1"/>
  <c r="O188" i="1" s="1"/>
  <c r="K276" i="1"/>
  <c r="R288" i="1"/>
  <c r="U288" i="1" s="1"/>
  <c r="K296" i="1"/>
  <c r="L304" i="1"/>
  <c r="N306" i="1"/>
  <c r="U308" i="1"/>
  <c r="N358" i="1"/>
  <c r="P358" i="1" s="1"/>
  <c r="M381" i="1"/>
  <c r="P381" i="1" s="1"/>
  <c r="K386" i="1"/>
  <c r="N394" i="1"/>
  <c r="R398" i="1"/>
  <c r="U398" i="1" s="1"/>
  <c r="S394" i="1"/>
  <c r="R419" i="1"/>
  <c r="U419" i="1" s="1"/>
  <c r="K492" i="1"/>
  <c r="M514" i="1"/>
  <c r="P514" i="1" s="1"/>
  <c r="M516" i="1"/>
  <c r="P516" i="1" s="1"/>
  <c r="R561" i="1"/>
  <c r="U561" i="1" s="1"/>
  <c r="N582" i="1"/>
  <c r="U621" i="1"/>
  <c r="M644" i="1"/>
  <c r="P644" i="1" s="1"/>
  <c r="O698" i="1"/>
  <c r="L696" i="1"/>
  <c r="O696" i="1" s="1"/>
  <c r="K689" i="2"/>
  <c r="U693" i="2"/>
  <c r="S622" i="1"/>
  <c r="R643" i="1"/>
  <c r="L645" i="1"/>
  <c r="O645" i="1" s="1"/>
  <c r="N645" i="1"/>
  <c r="U646" i="1"/>
  <c r="T647" i="1"/>
  <c r="Q696" i="1"/>
  <c r="T696" i="1" s="1"/>
  <c r="K700" i="1"/>
  <c r="P721" i="1"/>
  <c r="M729" i="1"/>
  <c r="J727" i="1"/>
  <c r="K727" i="1" s="1"/>
  <c r="O765" i="1"/>
  <c r="N766" i="1"/>
  <c r="K785" i="1"/>
  <c r="T691" i="2"/>
  <c r="T643" i="2"/>
  <c r="T621" i="2"/>
  <c r="Q618" i="2"/>
  <c r="U617" i="2"/>
  <c r="T600" i="2"/>
  <c r="T577" i="2"/>
  <c r="S555" i="2"/>
  <c r="U498" i="2"/>
  <c r="S495" i="2"/>
  <c r="S493" i="2" s="1"/>
  <c r="O646" i="1"/>
  <c r="K652" i="1"/>
  <c r="K678" i="1"/>
  <c r="Q693" i="1"/>
  <c r="L717" i="1"/>
  <c r="O717" i="1" s="1"/>
  <c r="L731" i="1"/>
  <c r="O731" i="1" s="1"/>
  <c r="U735" i="1"/>
  <c r="S762" i="1"/>
  <c r="U762" i="1" s="1"/>
  <c r="S730" i="2"/>
  <c r="K705" i="2"/>
  <c r="K631" i="2"/>
  <c r="T617" i="2"/>
  <c r="I615" i="2"/>
  <c r="K615" i="2" s="1"/>
  <c r="O601" i="2"/>
  <c r="S599" i="2"/>
  <c r="M599" i="2"/>
  <c r="P599" i="2" s="1"/>
  <c r="O578" i="2"/>
  <c r="S576" i="2"/>
  <c r="M576" i="2"/>
  <c r="P576" i="2" s="1"/>
  <c r="U557" i="2"/>
  <c r="O557" i="2"/>
  <c r="M375" i="2"/>
  <c r="P375" i="2" s="1"/>
  <c r="O334" i="2"/>
  <c r="O19" i="2"/>
  <c r="K705" i="1"/>
  <c r="N715" i="1"/>
  <c r="L730" i="1"/>
  <c r="O730" i="1" s="1"/>
  <c r="M762" i="1"/>
  <c r="P762" i="1" s="1"/>
  <c r="S763" i="1"/>
  <c r="K781" i="1"/>
  <c r="I759" i="2"/>
  <c r="K759" i="2" s="1"/>
  <c r="K707" i="2"/>
  <c r="K630" i="2"/>
  <c r="K626" i="2"/>
  <c r="M616" i="2"/>
  <c r="P616" i="2" s="1"/>
  <c r="M534" i="2"/>
  <c r="P534" i="2" s="1"/>
  <c r="P535" i="2"/>
  <c r="L515" i="2"/>
  <c r="O515" i="2" s="1"/>
  <c r="T496" i="2"/>
  <c r="R493" i="2"/>
  <c r="S415" i="2"/>
  <c r="S413" i="2" s="1"/>
  <c r="S416" i="2"/>
  <c r="Q413" i="2"/>
  <c r="T413" i="2" s="1"/>
  <c r="N322" i="2"/>
  <c r="N320" i="2" s="1"/>
  <c r="N323" i="2"/>
  <c r="Q189" i="2"/>
  <c r="Q188" i="2"/>
  <c r="T188" i="2" s="1"/>
  <c r="T191" i="2"/>
  <c r="J701" i="1"/>
  <c r="U733" i="1"/>
  <c r="K744" i="1"/>
  <c r="S766" i="1"/>
  <c r="T733" i="2"/>
  <c r="K440" i="2"/>
  <c r="M392" i="2"/>
  <c r="P392" i="2" s="1"/>
  <c r="P393" i="2"/>
  <c r="T99" i="2"/>
  <c r="Q97" i="2"/>
  <c r="T97" i="2" s="1"/>
  <c r="Q96" i="2"/>
  <c r="K85" i="2"/>
  <c r="I83" i="2"/>
  <c r="J674" i="1"/>
  <c r="K674" i="1" s="1"/>
  <c r="K758" i="1"/>
  <c r="K779" i="1"/>
  <c r="O514" i="2"/>
  <c r="I412" i="2"/>
  <c r="K412" i="2" s="1"/>
  <c r="K423" i="2"/>
  <c r="L413" i="2"/>
  <c r="O413" i="2" s="1"/>
  <c r="T376" i="2"/>
  <c r="M358" i="2"/>
  <c r="P361" i="2"/>
  <c r="M359" i="2"/>
  <c r="P359" i="2" s="1"/>
  <c r="O283" i="2"/>
  <c r="M515" i="2"/>
  <c r="P515" i="2" s="1"/>
  <c r="T418" i="2"/>
  <c r="U380" i="2"/>
  <c r="P376" i="2"/>
  <c r="P364" i="2"/>
  <c r="P325" i="2"/>
  <c r="U321" i="2"/>
  <c r="Q320" i="2"/>
  <c r="T320" i="2" s="1"/>
  <c r="K280" i="2"/>
  <c r="T271" i="2"/>
  <c r="R268" i="2"/>
  <c r="I253" i="2"/>
  <c r="L235" i="2"/>
  <c r="I213" i="2"/>
  <c r="K213" i="2" s="1"/>
  <c r="Q173" i="2"/>
  <c r="T173" i="2" s="1"/>
  <c r="N142" i="2"/>
  <c r="N23" i="2"/>
  <c r="N21" i="2" s="1"/>
  <c r="U140" i="2"/>
  <c r="L326" i="2"/>
  <c r="O326" i="2" s="1"/>
  <c r="M306" i="2"/>
  <c r="P306" i="2" s="1"/>
  <c r="K154" i="2"/>
  <c r="I136" i="2"/>
  <c r="K136" i="2" s="1"/>
  <c r="N145" i="2"/>
  <c r="N26" i="2"/>
  <c r="N24" i="2" s="1"/>
  <c r="R24" i="2"/>
  <c r="U24" i="2" s="1"/>
  <c r="U25" i="2"/>
  <c r="P19" i="2"/>
  <c r="M339" i="2"/>
  <c r="P339" i="2" s="1"/>
  <c r="M335" i="2"/>
  <c r="M284" i="2"/>
  <c r="T187" i="2"/>
  <c r="Q333" i="2"/>
  <c r="T333" i="2" s="1"/>
  <c r="N305" i="2"/>
  <c r="N303" i="2" s="1"/>
  <c r="Q282" i="2"/>
  <c r="T282" i="2" s="1"/>
  <c r="N188" i="2"/>
  <c r="I172" i="2"/>
  <c r="K172" i="2" s="1"/>
  <c r="K183" i="2"/>
  <c r="Q139" i="2"/>
  <c r="T139" i="2" s="1"/>
  <c r="T141" i="2"/>
  <c r="N141" i="2"/>
  <c r="N139" i="2" s="1"/>
  <c r="P140" i="2"/>
  <c r="T122" i="2"/>
  <c r="Q120" i="2"/>
  <c r="Q119" i="2"/>
  <c r="O325" i="2"/>
  <c r="P321" i="2"/>
  <c r="P308" i="2"/>
  <c r="P271" i="2"/>
  <c r="M268" i="2"/>
  <c r="U188" i="2"/>
  <c r="M188" i="2"/>
  <c r="T162" i="2"/>
  <c r="Q160" i="2"/>
  <c r="T160" i="2" s="1"/>
  <c r="Q159" i="2"/>
  <c r="T159" i="2" s="1"/>
  <c r="L192" i="2"/>
  <c r="O192" i="2" s="1"/>
  <c r="R189" i="2"/>
  <c r="L189" i="2"/>
  <c r="O189" i="2" s="1"/>
  <c r="P60" i="2"/>
  <c r="U22" i="2"/>
  <c r="R19" i="2"/>
  <c r="U191" i="2"/>
  <c r="O191" i="2"/>
  <c r="T178" i="2"/>
  <c r="Q176" i="2"/>
  <c r="T176" i="2" s="1"/>
  <c r="I82" i="2"/>
  <c r="P67" i="2"/>
  <c r="M65" i="2"/>
  <c r="P65" i="2" s="1"/>
  <c r="M61" i="2"/>
  <c r="M59" i="2" s="1"/>
  <c r="O67" i="2"/>
  <c r="L65" i="2"/>
  <c r="O65" i="2" s="1"/>
  <c r="L61" i="2"/>
  <c r="P52" i="2"/>
  <c r="M26" i="2"/>
  <c r="P26" i="2" s="1"/>
  <c r="M50" i="2"/>
  <c r="P50" i="2" s="1"/>
  <c r="M46" i="2"/>
  <c r="P45" i="2"/>
  <c r="P25" i="2"/>
  <c r="O140" i="2"/>
  <c r="P73" i="2"/>
  <c r="O52" i="2"/>
  <c r="L26" i="2"/>
  <c r="O26" i="2" s="1"/>
  <c r="L50" i="2"/>
  <c r="O50" i="2" s="1"/>
  <c r="L46" i="2"/>
  <c r="O25" i="2"/>
  <c r="P22" i="2"/>
  <c r="M175" i="2"/>
  <c r="O22" i="2"/>
  <c r="U178" i="2"/>
  <c r="O178" i="2"/>
  <c r="I168" i="2"/>
  <c r="K168" i="2" s="1"/>
  <c r="U162" i="2"/>
  <c r="O162" i="2"/>
  <c r="S141" i="2"/>
  <c r="S139" i="2" s="1"/>
  <c r="M141" i="2"/>
  <c r="P141" i="2" s="1"/>
  <c r="U122" i="2"/>
  <c r="O122" i="2"/>
  <c r="U99" i="2"/>
  <c r="O99" i="2"/>
  <c r="N74" i="2"/>
  <c r="N72" i="2" s="1"/>
  <c r="N61" i="2"/>
  <c r="N59" i="2" s="1"/>
  <c r="N46" i="2"/>
  <c r="N44" i="2" s="1"/>
  <c r="S23" i="2"/>
  <c r="S20" i="2" s="1"/>
  <c r="S18" i="2" s="1"/>
  <c r="M23" i="2"/>
  <c r="M21" i="2" s="1"/>
  <c r="N175" i="2"/>
  <c r="K167" i="2"/>
  <c r="N159" i="2"/>
  <c r="R141" i="2"/>
  <c r="U141" i="2" s="1"/>
  <c r="L141" i="2"/>
  <c r="O141" i="2" s="1"/>
  <c r="K127" i="2"/>
  <c r="R23" i="2"/>
  <c r="R21" i="2" s="1"/>
  <c r="L23" i="2"/>
  <c r="Q23" i="2"/>
  <c r="U73" i="1"/>
  <c r="N47" i="1"/>
  <c r="P47" i="1" s="1"/>
  <c r="P49" i="1"/>
  <c r="L23" i="1"/>
  <c r="O122" i="1"/>
  <c r="L119" i="1"/>
  <c r="O119" i="1" s="1"/>
  <c r="L142" i="1"/>
  <c r="O142" i="1" s="1"/>
  <c r="O143" i="1"/>
  <c r="L140" i="1"/>
  <c r="U396" i="1"/>
  <c r="R395" i="1"/>
  <c r="U395" i="1" s="1"/>
  <c r="R393" i="1"/>
  <c r="R22" i="1"/>
  <c r="O45" i="1"/>
  <c r="O64" i="1"/>
  <c r="L120" i="1"/>
  <c r="O120" i="1" s="1"/>
  <c r="N176" i="1"/>
  <c r="N175" i="1"/>
  <c r="N23" i="1"/>
  <c r="U45" i="1"/>
  <c r="K292" i="1"/>
  <c r="I281" i="1"/>
  <c r="K281" i="1" s="1"/>
  <c r="N75" i="1"/>
  <c r="P77" i="1"/>
  <c r="U97" i="1"/>
  <c r="N22" i="1"/>
  <c r="N158" i="1"/>
  <c r="N157" i="1" s="1"/>
  <c r="T162" i="1"/>
  <c r="Q159" i="1"/>
  <c r="T159" i="1" s="1"/>
  <c r="U79" i="1"/>
  <c r="R78" i="1"/>
  <c r="U78" i="1" s="1"/>
  <c r="Q97" i="1"/>
  <c r="T97" i="1" s="1"/>
  <c r="T99" i="1"/>
  <c r="Q100" i="1"/>
  <c r="T100" i="1" s="1"/>
  <c r="T102" i="1"/>
  <c r="R118" i="1"/>
  <c r="U124" i="1"/>
  <c r="R123" i="1"/>
  <c r="U123" i="1" s="1"/>
  <c r="N62" i="1"/>
  <c r="P64" i="1"/>
  <c r="U66" i="1"/>
  <c r="R65" i="1"/>
  <c r="U65" i="1" s="1"/>
  <c r="O76" i="1"/>
  <c r="L75" i="1"/>
  <c r="O79" i="1"/>
  <c r="L78" i="1"/>
  <c r="O78" i="1" s="1"/>
  <c r="L123" i="1"/>
  <c r="O123" i="1" s="1"/>
  <c r="L118" i="1"/>
  <c r="O124" i="1"/>
  <c r="T144" i="1"/>
  <c r="Q141" i="1"/>
  <c r="T141" i="1" s="1"/>
  <c r="N61" i="1"/>
  <c r="U76" i="1"/>
  <c r="R75" i="1"/>
  <c r="N46" i="1"/>
  <c r="U63" i="1"/>
  <c r="R62" i="1"/>
  <c r="U62" i="1" s="1"/>
  <c r="N26" i="1"/>
  <c r="O63" i="1"/>
  <c r="L62" i="1"/>
  <c r="O66" i="1"/>
  <c r="L65" i="1"/>
  <c r="O65" i="1" s="1"/>
  <c r="J83" i="1"/>
  <c r="R23" i="1"/>
  <c r="U122" i="1"/>
  <c r="R119" i="1"/>
  <c r="U119" i="1" s="1"/>
  <c r="T140" i="1"/>
  <c r="R142" i="1"/>
  <c r="U142" i="1" s="1"/>
  <c r="U143" i="1"/>
  <c r="R140" i="1"/>
  <c r="U147" i="1"/>
  <c r="R26" i="1"/>
  <c r="U26" i="1" s="1"/>
  <c r="T180" i="1"/>
  <c r="Q179" i="1"/>
  <c r="T179" i="1" s="1"/>
  <c r="Q25" i="1"/>
  <c r="O49" i="1"/>
  <c r="U49" i="1"/>
  <c r="O52" i="1"/>
  <c r="U52" i="1"/>
  <c r="Q119" i="1"/>
  <c r="M120" i="1"/>
  <c r="P120" i="1" s="1"/>
  <c r="T177" i="1"/>
  <c r="Q176" i="1"/>
  <c r="T176" i="1" s="1"/>
  <c r="U180" i="1"/>
  <c r="R179" i="1"/>
  <c r="U179" i="1" s="1"/>
  <c r="P270" i="1"/>
  <c r="M269" i="1"/>
  <c r="P269" i="1" s="1"/>
  <c r="S268" i="1"/>
  <c r="S272" i="1"/>
  <c r="M284" i="1"/>
  <c r="P290" i="1"/>
  <c r="P606" i="1"/>
  <c r="M605" i="1"/>
  <c r="P605" i="1" s="1"/>
  <c r="L47" i="1"/>
  <c r="K127" i="1"/>
  <c r="R141" i="1"/>
  <c r="U141" i="1" s="1"/>
  <c r="R159" i="1"/>
  <c r="I169" i="1"/>
  <c r="K169" i="1" s="1"/>
  <c r="K168" i="1"/>
  <c r="Q174" i="1"/>
  <c r="U177" i="1"/>
  <c r="R176" i="1"/>
  <c r="U176" i="1" s="1"/>
  <c r="O180" i="1"/>
  <c r="L179" i="1"/>
  <c r="O179" i="1" s="1"/>
  <c r="M268" i="1"/>
  <c r="P274" i="1"/>
  <c r="Q288" i="1"/>
  <c r="T288" i="1" s="1"/>
  <c r="Q283" i="1"/>
  <c r="T289" i="1"/>
  <c r="O541" i="1"/>
  <c r="L540" i="1"/>
  <c r="O540" i="1" s="1"/>
  <c r="Q160" i="1"/>
  <c r="T160" i="1" s="1"/>
  <c r="O177" i="1"/>
  <c r="L176" i="1"/>
  <c r="M179" i="1"/>
  <c r="P179" i="1" s="1"/>
  <c r="P363" i="1"/>
  <c r="M362" i="1"/>
  <c r="P362" i="1" s="1"/>
  <c r="T146" i="1"/>
  <c r="Q145" i="1"/>
  <c r="T145" i="1" s="1"/>
  <c r="O178" i="1"/>
  <c r="P188" i="1"/>
  <c r="M189" i="1"/>
  <c r="P191" i="1"/>
  <c r="M192" i="1"/>
  <c r="P192" i="1" s="1"/>
  <c r="P194" i="1"/>
  <c r="O417" i="1"/>
  <c r="L414" i="1"/>
  <c r="L416" i="1"/>
  <c r="O416" i="1" s="1"/>
  <c r="I116" i="1"/>
  <c r="K116" i="1" s="1"/>
  <c r="R120" i="1"/>
  <c r="M141" i="1"/>
  <c r="M142" i="1"/>
  <c r="P142" i="1" s="1"/>
  <c r="T143" i="1"/>
  <c r="Q142" i="1"/>
  <c r="T142" i="1" s="1"/>
  <c r="L145" i="1"/>
  <c r="O145" i="1" s="1"/>
  <c r="R145" i="1"/>
  <c r="U145" i="1" s="1"/>
  <c r="P178" i="1"/>
  <c r="T187" i="1"/>
  <c r="T190" i="1"/>
  <c r="Q189" i="1"/>
  <c r="T193" i="1"/>
  <c r="Q192" i="1"/>
  <c r="T192" i="1" s="1"/>
  <c r="L323" i="1"/>
  <c r="O325" i="1"/>
  <c r="L322" i="1"/>
  <c r="I156" i="1"/>
  <c r="K156" i="1" s="1"/>
  <c r="I202" i="1"/>
  <c r="K202" i="1" s="1"/>
  <c r="K229" i="1"/>
  <c r="L269" i="1"/>
  <c r="O269" i="1" s="1"/>
  <c r="R269" i="1"/>
  <c r="R336" i="1"/>
  <c r="U336" i="1" s="1"/>
  <c r="U338" i="1"/>
  <c r="J343" i="1"/>
  <c r="J332" i="1"/>
  <c r="P360" i="1"/>
  <c r="M359" i="1"/>
  <c r="O396" i="1"/>
  <c r="L395" i="1"/>
  <c r="O395" i="1" s="1"/>
  <c r="S537" i="1"/>
  <c r="S535" i="1"/>
  <c r="Q582" i="1"/>
  <c r="T582" i="1" s="1"/>
  <c r="T583" i="1"/>
  <c r="M272" i="1"/>
  <c r="P272" i="1" s="1"/>
  <c r="T286" i="1"/>
  <c r="R326" i="1"/>
  <c r="U326" i="1" s="1"/>
  <c r="U328" i="1"/>
  <c r="L336" i="1"/>
  <c r="O338" i="1"/>
  <c r="M357" i="1"/>
  <c r="O517" i="1"/>
  <c r="L516" i="1"/>
  <c r="O516" i="1" s="1"/>
  <c r="L514" i="1"/>
  <c r="O563" i="1"/>
  <c r="L557" i="1"/>
  <c r="O557" i="1" s="1"/>
  <c r="L561" i="1"/>
  <c r="O561" i="1" s="1"/>
  <c r="O695" i="1"/>
  <c r="L693" i="1"/>
  <c r="O693" i="1" s="1"/>
  <c r="L692" i="1"/>
  <c r="I689" i="1"/>
  <c r="K689" i="1" s="1"/>
  <c r="K707" i="1"/>
  <c r="I195" i="1"/>
  <c r="K195" i="1" s="1"/>
  <c r="L284" i="1"/>
  <c r="S284" i="1"/>
  <c r="L326" i="1"/>
  <c r="O326" i="1" s="1"/>
  <c r="O328" i="1"/>
  <c r="R335" i="1"/>
  <c r="Q381" i="1"/>
  <c r="T381" i="1" s="1"/>
  <c r="T383" i="1"/>
  <c r="R339" i="1"/>
  <c r="U339" i="1" s="1"/>
  <c r="U341" i="1"/>
  <c r="P420" i="1"/>
  <c r="M419" i="1"/>
  <c r="P419" i="1" s="1"/>
  <c r="U495" i="1"/>
  <c r="U559" i="1"/>
  <c r="R556" i="1"/>
  <c r="R558" i="1"/>
  <c r="U558" i="1" s="1"/>
  <c r="R323" i="1"/>
  <c r="U323" i="1" s="1"/>
  <c r="U325" i="1"/>
  <c r="L339" i="1"/>
  <c r="O339" i="1" s="1"/>
  <c r="O341" i="1"/>
  <c r="Q378" i="1"/>
  <c r="T380" i="1"/>
  <c r="M306" i="1"/>
  <c r="M309" i="1"/>
  <c r="P309" i="1" s="1"/>
  <c r="I332" i="1"/>
  <c r="L359" i="1"/>
  <c r="R359" i="1"/>
  <c r="U359" i="1" s="1"/>
  <c r="L362" i="1"/>
  <c r="O362" i="1" s="1"/>
  <c r="R362" i="1"/>
  <c r="U362" i="1" s="1"/>
  <c r="K385" i="1"/>
  <c r="Q395" i="1"/>
  <c r="T395" i="1" s="1"/>
  <c r="T399" i="1"/>
  <c r="P417" i="1"/>
  <c r="M416" i="1"/>
  <c r="P416" i="1" s="1"/>
  <c r="R499" i="1"/>
  <c r="U499" i="1" s="1"/>
  <c r="U501" i="1"/>
  <c r="O538" i="1"/>
  <c r="L537" i="1"/>
  <c r="O537" i="1" s="1"/>
  <c r="P541" i="1"/>
  <c r="M540" i="1"/>
  <c r="P540" i="1" s="1"/>
  <c r="R557" i="1"/>
  <c r="U557" i="1" s="1"/>
  <c r="O559" i="1"/>
  <c r="L558" i="1"/>
  <c r="O558" i="1" s="1"/>
  <c r="L556" i="1"/>
  <c r="S561" i="1"/>
  <c r="Q720" i="1"/>
  <c r="T720" i="1" s="1"/>
  <c r="T722" i="1"/>
  <c r="T328" i="1"/>
  <c r="T341" i="1"/>
  <c r="J365" i="1"/>
  <c r="K365" i="1" s="1"/>
  <c r="L398" i="1"/>
  <c r="O398" i="1" s="1"/>
  <c r="S398" i="1"/>
  <c r="M414" i="1"/>
  <c r="N416" i="1"/>
  <c r="J433" i="1"/>
  <c r="L499" i="1"/>
  <c r="O499" i="1" s="1"/>
  <c r="O501" i="1"/>
  <c r="L535" i="1"/>
  <c r="P538" i="1"/>
  <c r="M537" i="1"/>
  <c r="P537" i="1" s="1"/>
  <c r="N540" i="1"/>
  <c r="S602" i="1"/>
  <c r="T620" i="1"/>
  <c r="Q619" i="1"/>
  <c r="Q617" i="1"/>
  <c r="K673" i="1"/>
  <c r="U764" i="1"/>
  <c r="R763" i="1"/>
  <c r="R761" i="1"/>
  <c r="Q499" i="1"/>
  <c r="T499" i="1" s="1"/>
  <c r="T520" i="1"/>
  <c r="Q519" i="1"/>
  <c r="T519" i="1" s="1"/>
  <c r="P535" i="1"/>
  <c r="M578" i="1"/>
  <c r="P581" i="1"/>
  <c r="M579" i="1"/>
  <c r="P579" i="1" s="1"/>
  <c r="U620" i="1"/>
  <c r="R619" i="1"/>
  <c r="T767" i="1"/>
  <c r="Q761" i="1"/>
  <c r="Q766" i="1"/>
  <c r="T766" i="1" s="1"/>
  <c r="T308" i="1"/>
  <c r="L394" i="1"/>
  <c r="O394" i="1" s="1"/>
  <c r="J425" i="1"/>
  <c r="J447" i="1"/>
  <c r="J441" i="1" s="1"/>
  <c r="R496" i="1"/>
  <c r="U498" i="1"/>
  <c r="N515" i="1"/>
  <c r="T517" i="1"/>
  <c r="Q516" i="1"/>
  <c r="T516" i="1" s="1"/>
  <c r="U520" i="1"/>
  <c r="R519" i="1"/>
  <c r="U519" i="1" s="1"/>
  <c r="U541" i="1"/>
  <c r="R540" i="1"/>
  <c r="U540" i="1" s="1"/>
  <c r="Q577" i="1"/>
  <c r="Q579" i="1"/>
  <c r="T579" i="1" s="1"/>
  <c r="T580" i="1"/>
  <c r="N622" i="1"/>
  <c r="N618" i="1"/>
  <c r="Q393" i="1"/>
  <c r="R414" i="1"/>
  <c r="J484" i="1"/>
  <c r="L496" i="1"/>
  <c r="O496" i="1" s="1"/>
  <c r="O498" i="1"/>
  <c r="K503" i="1"/>
  <c r="Q514" i="1"/>
  <c r="U517" i="1"/>
  <c r="R516" i="1"/>
  <c r="U516" i="1" s="1"/>
  <c r="O520" i="1"/>
  <c r="L519" i="1"/>
  <c r="O519" i="1" s="1"/>
  <c r="U538" i="1"/>
  <c r="R537" i="1"/>
  <c r="U537" i="1" s="1"/>
  <c r="R618" i="1"/>
  <c r="T623" i="1"/>
  <c r="Q622" i="1"/>
  <c r="T622" i="1" s="1"/>
  <c r="O761" i="1"/>
  <c r="U767" i="1"/>
  <c r="R766" i="1"/>
  <c r="U766" i="1" s="1"/>
  <c r="O620" i="1"/>
  <c r="L619" i="1"/>
  <c r="O619" i="1" s="1"/>
  <c r="U623" i="1"/>
  <c r="R622" i="1"/>
  <c r="U622" i="1" s="1"/>
  <c r="Q734" i="1"/>
  <c r="T734" i="1" s="1"/>
  <c r="T736" i="1"/>
  <c r="O764" i="1"/>
  <c r="L763" i="1"/>
  <c r="O763" i="1" s="1"/>
  <c r="M600" i="1"/>
  <c r="M602" i="1"/>
  <c r="P602" i="1" s="1"/>
  <c r="Q605" i="1"/>
  <c r="T605" i="1" s="1"/>
  <c r="T621" i="1"/>
  <c r="O623" i="1"/>
  <c r="L622" i="1"/>
  <c r="O622" i="1" s="1"/>
  <c r="Q716" i="1"/>
  <c r="T716" i="1" s="1"/>
  <c r="Q731" i="1"/>
  <c r="T731" i="1" s="1"/>
  <c r="T733" i="1"/>
  <c r="P764" i="1"/>
  <c r="M763" i="1"/>
  <c r="P763" i="1" s="1"/>
  <c r="T765" i="1"/>
  <c r="O767" i="1"/>
  <c r="L766" i="1"/>
  <c r="O766" i="1" s="1"/>
  <c r="N600" i="1"/>
  <c r="Q601" i="1"/>
  <c r="Q602" i="1"/>
  <c r="T602" i="1" s="1"/>
  <c r="M619" i="1"/>
  <c r="P619" i="1" s="1"/>
  <c r="P621" i="1"/>
  <c r="M648" i="1"/>
  <c r="P648" i="1" s="1"/>
  <c r="R716" i="1"/>
  <c r="Q730" i="1"/>
  <c r="P767" i="1"/>
  <c r="M766" i="1"/>
  <c r="P766" i="1" s="1"/>
  <c r="N556" i="1"/>
  <c r="N555" i="1" s="1"/>
  <c r="Q557" i="1"/>
  <c r="T557" i="1" s="1"/>
  <c r="Q558" i="1"/>
  <c r="T558" i="1" s="1"/>
  <c r="T562" i="1"/>
  <c r="M622" i="1"/>
  <c r="P622" i="1" s="1"/>
  <c r="P624" i="1"/>
  <c r="M643" i="1"/>
  <c r="M645" i="1"/>
  <c r="P645" i="1" s="1"/>
  <c r="Q648" i="1"/>
  <c r="T648" i="1" s="1"/>
  <c r="Q692" i="1"/>
  <c r="K703" i="1"/>
  <c r="I701" i="1"/>
  <c r="L716" i="1"/>
  <c r="Q717" i="1"/>
  <c r="T717" i="1" s="1"/>
  <c r="L720" i="1"/>
  <c r="O720" i="1" s="1"/>
  <c r="J726" i="1"/>
  <c r="K726" i="1" s="1"/>
  <c r="R730" i="1"/>
  <c r="K772" i="1"/>
  <c r="U731" i="10" l="1"/>
  <c r="T75" i="18"/>
  <c r="P268" i="15"/>
  <c r="Q186" i="17"/>
  <c r="T186" i="17" s="1"/>
  <c r="T97" i="18"/>
  <c r="P188" i="20"/>
  <c r="T692" i="16"/>
  <c r="O175" i="19"/>
  <c r="P358" i="20"/>
  <c r="I71" i="21"/>
  <c r="K71" i="21" s="1"/>
  <c r="O188" i="20"/>
  <c r="P61" i="21"/>
  <c r="P141" i="21"/>
  <c r="L186" i="20"/>
  <c r="O186" i="20" s="1"/>
  <c r="K83" i="18"/>
  <c r="P175" i="20"/>
  <c r="K332" i="20"/>
  <c r="O358" i="20"/>
  <c r="T730" i="20"/>
  <c r="K82" i="20"/>
  <c r="O356" i="20"/>
  <c r="T760" i="21"/>
  <c r="P303" i="20"/>
  <c r="K374" i="21"/>
  <c r="M94" i="20"/>
  <c r="P94" i="20" s="1"/>
  <c r="K615" i="19"/>
  <c r="L139" i="19"/>
  <c r="O139" i="19" s="1"/>
  <c r="P188" i="21"/>
  <c r="U692" i="16"/>
  <c r="U188" i="19"/>
  <c r="M320" i="21"/>
  <c r="P320" i="21" s="1"/>
  <c r="L94" i="21"/>
  <c r="O94" i="21" s="1"/>
  <c r="P335" i="20"/>
  <c r="U305" i="19"/>
  <c r="U618" i="20"/>
  <c r="U189" i="20"/>
  <c r="U760" i="21"/>
  <c r="T618" i="20"/>
  <c r="T189" i="19"/>
  <c r="T377" i="19"/>
  <c r="L266" i="20"/>
  <c r="O266" i="20" s="1"/>
  <c r="T763" i="21"/>
  <c r="I231" i="18"/>
  <c r="K231" i="18" s="1"/>
  <c r="T377" i="21"/>
  <c r="T644" i="21"/>
  <c r="U644" i="21"/>
  <c r="L513" i="19"/>
  <c r="O513" i="19" s="1"/>
  <c r="T119" i="21"/>
  <c r="U117" i="21"/>
  <c r="U375" i="21"/>
  <c r="U119" i="21"/>
  <c r="U305" i="20"/>
  <c r="P96" i="21"/>
  <c r="O72" i="21"/>
  <c r="Q173" i="20"/>
  <c r="T173" i="20" s="1"/>
  <c r="T619" i="20"/>
  <c r="U189" i="11"/>
  <c r="T305" i="20"/>
  <c r="O141" i="13"/>
  <c r="U186" i="20"/>
  <c r="U268" i="20"/>
  <c r="O188" i="21"/>
  <c r="K701" i="21"/>
  <c r="U731" i="21"/>
  <c r="U762" i="21"/>
  <c r="N186" i="21"/>
  <c r="P186" i="21" s="1"/>
  <c r="K242" i="18"/>
  <c r="O74" i="19"/>
  <c r="K701" i="18"/>
  <c r="O47" i="21"/>
  <c r="T619" i="19"/>
  <c r="O141" i="21"/>
  <c r="R493" i="21"/>
  <c r="U493" i="21" s="1"/>
  <c r="P97" i="19"/>
  <c r="M282" i="19"/>
  <c r="P282" i="19" s="1"/>
  <c r="P61" i="20"/>
  <c r="T186" i="20"/>
  <c r="P74" i="21"/>
  <c r="P268" i="21"/>
  <c r="L117" i="16"/>
  <c r="O117" i="16" s="1"/>
  <c r="U189" i="21"/>
  <c r="P188" i="19"/>
  <c r="L157" i="21"/>
  <c r="O157" i="21" s="1"/>
  <c r="O74" i="18"/>
  <c r="U119" i="19"/>
  <c r="L232" i="19"/>
  <c r="M282" i="20"/>
  <c r="P282" i="20" s="1"/>
  <c r="O358" i="21"/>
  <c r="T762" i="21"/>
  <c r="U120" i="21"/>
  <c r="R728" i="19"/>
  <c r="U728" i="19" s="1"/>
  <c r="P268" i="19"/>
  <c r="S21" i="21"/>
  <c r="P142" i="21"/>
  <c r="M24" i="21"/>
  <c r="P24" i="21" s="1"/>
  <c r="R186" i="21"/>
  <c r="U186" i="21" s="1"/>
  <c r="I231" i="21"/>
  <c r="I185" i="21" s="1"/>
  <c r="K185" i="21" s="1"/>
  <c r="U692" i="21"/>
  <c r="S690" i="21"/>
  <c r="U690" i="21" s="1"/>
  <c r="U269" i="21"/>
  <c r="U377" i="18"/>
  <c r="P335" i="19"/>
  <c r="T377" i="18"/>
  <c r="T188" i="20"/>
  <c r="P46" i="21"/>
  <c r="I412" i="21"/>
  <c r="K412" i="21" s="1"/>
  <c r="T731" i="21"/>
  <c r="P358" i="21"/>
  <c r="U303" i="20"/>
  <c r="Q117" i="21"/>
  <c r="T117" i="21" s="1"/>
  <c r="O175" i="18"/>
  <c r="L303" i="21"/>
  <c r="O303" i="21" s="1"/>
  <c r="O305" i="21"/>
  <c r="U96" i="21"/>
  <c r="R94" i="21"/>
  <c r="U94" i="21" s="1"/>
  <c r="T120" i="17"/>
  <c r="K701" i="19"/>
  <c r="M266" i="20"/>
  <c r="P266" i="20" s="1"/>
  <c r="U730" i="20"/>
  <c r="O356" i="21"/>
  <c r="Q493" i="21"/>
  <c r="T493" i="21" s="1"/>
  <c r="O175" i="17"/>
  <c r="T731" i="19"/>
  <c r="T120" i="20"/>
  <c r="T189" i="20"/>
  <c r="N139" i="21"/>
  <c r="P139" i="21" s="1"/>
  <c r="Q186" i="21"/>
  <c r="T186" i="21" s="1"/>
  <c r="O335" i="21"/>
  <c r="P335" i="21"/>
  <c r="L186" i="21"/>
  <c r="T728" i="21"/>
  <c r="U728" i="20"/>
  <c r="U377" i="21"/>
  <c r="T269" i="21"/>
  <c r="T120" i="21"/>
  <c r="U616" i="21"/>
  <c r="M356" i="21"/>
  <c r="P356" i="21" s="1"/>
  <c r="O74" i="21"/>
  <c r="Q139" i="21"/>
  <c r="T139" i="21" s="1"/>
  <c r="U618" i="21"/>
  <c r="T268" i="21"/>
  <c r="Q266" i="21"/>
  <c r="T266" i="21" s="1"/>
  <c r="P175" i="18"/>
  <c r="N186" i="19"/>
  <c r="P186" i="19" s="1"/>
  <c r="K374" i="18"/>
  <c r="U644" i="20"/>
  <c r="R493" i="20"/>
  <c r="U493" i="20" s="1"/>
  <c r="P119" i="21"/>
  <c r="M282" i="21"/>
  <c r="P282" i="21" s="1"/>
  <c r="O62" i="21"/>
  <c r="T693" i="21"/>
  <c r="O243" i="19"/>
  <c r="L139" i="20"/>
  <c r="O139" i="20" s="1"/>
  <c r="L117" i="20"/>
  <c r="O117" i="20" s="1"/>
  <c r="M513" i="20"/>
  <c r="P513" i="20" s="1"/>
  <c r="T268" i="20"/>
  <c r="Q94" i="21"/>
  <c r="T94" i="21" s="1"/>
  <c r="P159" i="21"/>
  <c r="R139" i="21"/>
  <c r="U139" i="21" s="1"/>
  <c r="M266" i="21"/>
  <c r="P266" i="21" s="1"/>
  <c r="T305" i="21"/>
  <c r="R642" i="21"/>
  <c r="U642" i="21" s="1"/>
  <c r="L513" i="21"/>
  <c r="O513" i="21" s="1"/>
  <c r="U730" i="21"/>
  <c r="O119" i="21"/>
  <c r="L117" i="21"/>
  <c r="O117" i="21" s="1"/>
  <c r="R20" i="21"/>
  <c r="U20" i="21" s="1"/>
  <c r="U23" i="21"/>
  <c r="T618" i="21"/>
  <c r="Q616" i="21"/>
  <c r="T616" i="21" s="1"/>
  <c r="O333" i="17"/>
  <c r="K374" i="17"/>
  <c r="P62" i="18"/>
  <c r="T119" i="19"/>
  <c r="L157" i="19"/>
  <c r="O157" i="19" s="1"/>
  <c r="P96" i="19"/>
  <c r="P46" i="20"/>
  <c r="U619" i="20"/>
  <c r="N173" i="20"/>
  <c r="P173" i="20" s="1"/>
  <c r="P306" i="20"/>
  <c r="S72" i="21"/>
  <c r="N21" i="21"/>
  <c r="P21" i="21" s="1"/>
  <c r="N20" i="21"/>
  <c r="N18" i="21" s="1"/>
  <c r="L59" i="21"/>
  <c r="O59" i="21" s="1"/>
  <c r="O61" i="21"/>
  <c r="L282" i="21"/>
  <c r="O282" i="21" s="1"/>
  <c r="O284" i="21"/>
  <c r="Q375" i="21"/>
  <c r="T375" i="21" s="1"/>
  <c r="O173" i="21"/>
  <c r="P305" i="20"/>
  <c r="P173" i="21"/>
  <c r="R413" i="21"/>
  <c r="U413" i="21" s="1"/>
  <c r="P46" i="19"/>
  <c r="P23" i="21"/>
  <c r="M20" i="21"/>
  <c r="M59" i="21"/>
  <c r="P59" i="21" s="1"/>
  <c r="R21" i="21"/>
  <c r="M333" i="21"/>
  <c r="P333" i="21" s="1"/>
  <c r="O175" i="21"/>
  <c r="P175" i="21"/>
  <c r="U763" i="16"/>
  <c r="P97" i="18"/>
  <c r="P74" i="20"/>
  <c r="U692" i="20"/>
  <c r="T269" i="20"/>
  <c r="T731" i="20"/>
  <c r="U120" i="20"/>
  <c r="Q20" i="21"/>
  <c r="T23" i="21"/>
  <c r="Q21" i="21"/>
  <c r="L24" i="21"/>
  <c r="O24" i="21" s="1"/>
  <c r="M72" i="21"/>
  <c r="P72" i="21" s="1"/>
  <c r="P44" i="21"/>
  <c r="Q157" i="21"/>
  <c r="T157" i="21" s="1"/>
  <c r="L320" i="21"/>
  <c r="O320" i="21" s="1"/>
  <c r="Q642" i="21"/>
  <c r="T642" i="21" s="1"/>
  <c r="U728" i="21"/>
  <c r="M139" i="20"/>
  <c r="P139" i="20" s="1"/>
  <c r="O189" i="20"/>
  <c r="U266" i="20"/>
  <c r="Q493" i="20"/>
  <c r="T493" i="20" s="1"/>
  <c r="P75" i="20"/>
  <c r="P47" i="20"/>
  <c r="L282" i="20"/>
  <c r="O282" i="20" s="1"/>
  <c r="L44" i="21"/>
  <c r="O46" i="21"/>
  <c r="T74" i="21"/>
  <c r="T189" i="21"/>
  <c r="U19" i="21"/>
  <c r="L139" i="21"/>
  <c r="L232" i="21"/>
  <c r="O243" i="21"/>
  <c r="L333" i="21"/>
  <c r="O333" i="21" s="1"/>
  <c r="T415" i="21"/>
  <c r="Q413" i="21"/>
  <c r="T413" i="21" s="1"/>
  <c r="M157" i="19"/>
  <c r="P157" i="19" s="1"/>
  <c r="Q728" i="19"/>
  <c r="T728" i="19" s="1"/>
  <c r="O175" i="20"/>
  <c r="U378" i="20"/>
  <c r="L20" i="21"/>
  <c r="O23" i="21"/>
  <c r="I70" i="21"/>
  <c r="K70" i="21" s="1"/>
  <c r="K82" i="21"/>
  <c r="L266" i="21"/>
  <c r="O266" i="21" s="1"/>
  <c r="S303" i="21"/>
  <c r="O142" i="21"/>
  <c r="M303" i="21"/>
  <c r="P303" i="21" s="1"/>
  <c r="O336" i="21"/>
  <c r="R266" i="21"/>
  <c r="U266" i="21" s="1"/>
  <c r="P515" i="21"/>
  <c r="M513" i="21"/>
  <c r="P513" i="21" s="1"/>
  <c r="O96" i="20"/>
  <c r="L94" i="20"/>
  <c r="O94" i="20" s="1"/>
  <c r="T730" i="21"/>
  <c r="N139" i="1"/>
  <c r="M72" i="20"/>
  <c r="P72" i="20" s="1"/>
  <c r="U619" i="19"/>
  <c r="L320" i="20"/>
  <c r="O320" i="20" s="1"/>
  <c r="I231" i="19"/>
  <c r="K231" i="19" s="1"/>
  <c r="T378" i="16"/>
  <c r="O358" i="18"/>
  <c r="M186" i="20"/>
  <c r="P186" i="20" s="1"/>
  <c r="U642" i="20"/>
  <c r="O359" i="20"/>
  <c r="O74" i="20"/>
  <c r="T763" i="20"/>
  <c r="Q266" i="20"/>
  <c r="T266" i="20" s="1"/>
  <c r="L320" i="17"/>
  <c r="O320" i="17" s="1"/>
  <c r="P175" i="19"/>
  <c r="N20" i="19"/>
  <c r="N18" i="19" s="1"/>
  <c r="P141" i="19"/>
  <c r="N266" i="19"/>
  <c r="P266" i="19" s="1"/>
  <c r="P119" i="20"/>
  <c r="R760" i="20"/>
  <c r="U760" i="20" s="1"/>
  <c r="R157" i="20"/>
  <c r="U157" i="20" s="1"/>
  <c r="L117" i="14"/>
  <c r="O117" i="14" s="1"/>
  <c r="L94" i="17"/>
  <c r="O94" i="17" s="1"/>
  <c r="M282" i="17"/>
  <c r="P282" i="17" s="1"/>
  <c r="M117" i="17"/>
  <c r="P117" i="17" s="1"/>
  <c r="U618" i="17"/>
  <c r="T269" i="19"/>
  <c r="O358" i="19"/>
  <c r="R413" i="19"/>
  <c r="U413" i="19" s="1"/>
  <c r="U619" i="18"/>
  <c r="Q157" i="20"/>
  <c r="T157" i="20" s="1"/>
  <c r="O160" i="20"/>
  <c r="Q728" i="20"/>
  <c r="T728" i="20" s="1"/>
  <c r="S690" i="20"/>
  <c r="U690" i="20" s="1"/>
  <c r="T760" i="20"/>
  <c r="P359" i="20"/>
  <c r="I412" i="20"/>
  <c r="K412" i="20" s="1"/>
  <c r="M282" i="18"/>
  <c r="P282" i="18" s="1"/>
  <c r="U268" i="18"/>
  <c r="U618" i="18"/>
  <c r="N173" i="19"/>
  <c r="O173" i="19" s="1"/>
  <c r="L72" i="20"/>
  <c r="O72" i="20" s="1"/>
  <c r="L117" i="18"/>
  <c r="O117" i="18" s="1"/>
  <c r="Q20" i="20"/>
  <c r="T23" i="20"/>
  <c r="Q21" i="20"/>
  <c r="S72" i="20"/>
  <c r="T72" i="20" s="1"/>
  <c r="U19" i="20"/>
  <c r="U74" i="20"/>
  <c r="N21" i="20"/>
  <c r="P21" i="20" s="1"/>
  <c r="N20" i="20"/>
  <c r="N18" i="20" s="1"/>
  <c r="L333" i="20"/>
  <c r="O335" i="20"/>
  <c r="Q303" i="20"/>
  <c r="T303" i="20" s="1"/>
  <c r="K83" i="20"/>
  <c r="I71" i="20"/>
  <c r="K71" i="20" s="1"/>
  <c r="O358" i="17"/>
  <c r="U692" i="18"/>
  <c r="M117" i="19"/>
  <c r="P117" i="19" s="1"/>
  <c r="L282" i="19"/>
  <c r="O282" i="19" s="1"/>
  <c r="L20" i="20"/>
  <c r="O23" i="20"/>
  <c r="P160" i="20"/>
  <c r="P322" i="20"/>
  <c r="M320" i="20"/>
  <c r="P320" i="20" s="1"/>
  <c r="O305" i="20"/>
  <c r="L303" i="20"/>
  <c r="O303" i="20" s="1"/>
  <c r="L173" i="20"/>
  <c r="O61" i="19"/>
  <c r="R20" i="20"/>
  <c r="U20" i="20" s="1"/>
  <c r="U23" i="20"/>
  <c r="Q117" i="20"/>
  <c r="T117" i="20" s="1"/>
  <c r="M44" i="20"/>
  <c r="M157" i="20"/>
  <c r="P157" i="20" s="1"/>
  <c r="P159" i="20"/>
  <c r="U175" i="20"/>
  <c r="R173" i="20"/>
  <c r="U173" i="20" s="1"/>
  <c r="N333" i="20"/>
  <c r="P333" i="20" s="1"/>
  <c r="M356" i="20"/>
  <c r="P356" i="20" s="1"/>
  <c r="R616" i="20"/>
  <c r="U616" i="20" s="1"/>
  <c r="M320" i="15"/>
  <c r="P320" i="15" s="1"/>
  <c r="Q266" i="18"/>
  <c r="T266" i="18" s="1"/>
  <c r="M513" i="18"/>
  <c r="P513" i="18" s="1"/>
  <c r="U690" i="19"/>
  <c r="P23" i="20"/>
  <c r="M20" i="20"/>
  <c r="R21" i="20"/>
  <c r="Q413" i="20"/>
  <c r="T413" i="20" s="1"/>
  <c r="T377" i="14"/>
  <c r="T94" i="18"/>
  <c r="U94" i="18"/>
  <c r="M303" i="18"/>
  <c r="P303" i="18" s="1"/>
  <c r="U97" i="18"/>
  <c r="R94" i="19"/>
  <c r="U94" i="19" s="1"/>
  <c r="K242" i="19"/>
  <c r="Q266" i="19"/>
  <c r="T266" i="19" s="1"/>
  <c r="T693" i="19"/>
  <c r="L24" i="20"/>
  <c r="O24" i="20" s="1"/>
  <c r="L59" i="20"/>
  <c r="O59" i="20" s="1"/>
  <c r="O61" i="20"/>
  <c r="M59" i="20"/>
  <c r="P59" i="20" s="1"/>
  <c r="O159" i="20"/>
  <c r="L157" i="20"/>
  <c r="O157" i="20" s="1"/>
  <c r="Q375" i="20"/>
  <c r="T375" i="20" s="1"/>
  <c r="T377" i="20"/>
  <c r="Q642" i="20"/>
  <c r="T642" i="20" s="1"/>
  <c r="T644" i="20"/>
  <c r="R493" i="19"/>
  <c r="U493" i="19" s="1"/>
  <c r="O515" i="20"/>
  <c r="L513" i="20"/>
  <c r="O513" i="20" s="1"/>
  <c r="Q690" i="20"/>
  <c r="T692" i="20"/>
  <c r="Q616" i="20"/>
  <c r="T616" i="20" s="1"/>
  <c r="U763" i="10"/>
  <c r="O74" i="15"/>
  <c r="U268" i="15"/>
  <c r="U75" i="18"/>
  <c r="M320" i="18"/>
  <c r="P320" i="18" s="1"/>
  <c r="U120" i="17"/>
  <c r="O176" i="19"/>
  <c r="L303" i="19"/>
  <c r="O303" i="19" s="1"/>
  <c r="R139" i="20"/>
  <c r="U139" i="20" s="1"/>
  <c r="L44" i="20"/>
  <c r="O46" i="20"/>
  <c r="M24" i="20"/>
  <c r="P24" i="20" s="1"/>
  <c r="I231" i="20"/>
  <c r="K242" i="20"/>
  <c r="S21" i="20"/>
  <c r="L232" i="20"/>
  <c r="O243" i="20"/>
  <c r="R375" i="20"/>
  <c r="U375" i="20" s="1"/>
  <c r="T619" i="16"/>
  <c r="U74" i="17"/>
  <c r="O97" i="19"/>
  <c r="T692" i="19"/>
  <c r="K423" i="14"/>
  <c r="T642" i="17"/>
  <c r="L266" i="18"/>
  <c r="O266" i="18" s="1"/>
  <c r="S21" i="19"/>
  <c r="U21" i="19" s="1"/>
  <c r="Q642" i="19"/>
  <c r="T642" i="19" s="1"/>
  <c r="R413" i="14"/>
  <c r="U413" i="14" s="1"/>
  <c r="L513" i="16"/>
  <c r="O513" i="16" s="1"/>
  <c r="K701" i="16"/>
  <c r="P46" i="17"/>
  <c r="Q157" i="18"/>
  <c r="T157" i="18" s="1"/>
  <c r="P186" i="18"/>
  <c r="T690" i="18"/>
  <c r="Q139" i="19"/>
  <c r="T139" i="19" s="1"/>
  <c r="Q117" i="19"/>
  <c r="T117" i="19" s="1"/>
  <c r="S375" i="19"/>
  <c r="T375" i="19" s="1"/>
  <c r="O359" i="19"/>
  <c r="U378" i="16"/>
  <c r="M117" i="15"/>
  <c r="P117" i="15" s="1"/>
  <c r="P61" i="17"/>
  <c r="I412" i="17"/>
  <c r="K412" i="17" s="1"/>
  <c r="O186" i="18"/>
  <c r="P188" i="18"/>
  <c r="T692" i="18"/>
  <c r="Q94" i="19"/>
  <c r="T94" i="19" s="1"/>
  <c r="N333" i="19"/>
  <c r="P333" i="19" s="1"/>
  <c r="R642" i="19"/>
  <c r="U642" i="19" s="1"/>
  <c r="U117" i="15"/>
  <c r="P74" i="17"/>
  <c r="P335" i="17"/>
  <c r="T186" i="18"/>
  <c r="P335" i="18"/>
  <c r="P189" i="18"/>
  <c r="P74" i="19"/>
  <c r="T97" i="19"/>
  <c r="I412" i="19"/>
  <c r="K412" i="19" s="1"/>
  <c r="K423" i="19"/>
  <c r="T120" i="15"/>
  <c r="U375" i="17"/>
  <c r="M94" i="17"/>
  <c r="P94" i="17" s="1"/>
  <c r="Q728" i="18"/>
  <c r="T728" i="18" s="1"/>
  <c r="Q413" i="18"/>
  <c r="T413" i="18" s="1"/>
  <c r="P23" i="19"/>
  <c r="M20" i="19"/>
  <c r="N94" i="19"/>
  <c r="P359" i="19"/>
  <c r="M303" i="19"/>
  <c r="P303" i="19" s="1"/>
  <c r="P59" i="19"/>
  <c r="K374" i="19"/>
  <c r="T189" i="12"/>
  <c r="K374" i="13"/>
  <c r="O46" i="15"/>
  <c r="T415" i="15"/>
  <c r="K374" i="16"/>
  <c r="Q760" i="16"/>
  <c r="T760" i="16" s="1"/>
  <c r="R94" i="17"/>
  <c r="U94" i="17" s="1"/>
  <c r="K701" i="17"/>
  <c r="S72" i="18"/>
  <c r="T72" i="18" s="1"/>
  <c r="T189" i="18"/>
  <c r="O189" i="18"/>
  <c r="U269" i="18"/>
  <c r="U690" i="18"/>
  <c r="N21" i="19"/>
  <c r="O21" i="19" s="1"/>
  <c r="P61" i="19"/>
  <c r="S72" i="19"/>
  <c r="U72" i="19" s="1"/>
  <c r="M44" i="19"/>
  <c r="U141" i="19"/>
  <c r="R139" i="19"/>
  <c r="U139" i="19" s="1"/>
  <c r="N72" i="19"/>
  <c r="O72" i="19" s="1"/>
  <c r="R186" i="19"/>
  <c r="U186" i="19" s="1"/>
  <c r="Q493" i="19"/>
  <c r="T493" i="19" s="1"/>
  <c r="R266" i="19"/>
  <c r="U266" i="19" s="1"/>
  <c r="T305" i="19"/>
  <c r="M513" i="19"/>
  <c r="P513" i="19" s="1"/>
  <c r="P515" i="19"/>
  <c r="U120" i="15"/>
  <c r="U306" i="16"/>
  <c r="I231" i="17"/>
  <c r="K231" i="17" s="1"/>
  <c r="T644" i="17"/>
  <c r="L282" i="17"/>
  <c r="O282" i="17" s="1"/>
  <c r="U730" i="17"/>
  <c r="S18" i="18"/>
  <c r="O335" i="18"/>
  <c r="R413" i="18"/>
  <c r="U413" i="18" s="1"/>
  <c r="M21" i="19"/>
  <c r="Q20" i="19"/>
  <c r="T23" i="19"/>
  <c r="U159" i="19"/>
  <c r="R157" i="19"/>
  <c r="U157" i="19" s="1"/>
  <c r="O119" i="19"/>
  <c r="L117" i="19"/>
  <c r="O117" i="19" s="1"/>
  <c r="M24" i="19"/>
  <c r="P24" i="19" s="1"/>
  <c r="O268" i="19"/>
  <c r="L266" i="19"/>
  <c r="O266" i="19" s="1"/>
  <c r="M320" i="19"/>
  <c r="P320" i="19" s="1"/>
  <c r="U693" i="19"/>
  <c r="N356" i="19"/>
  <c r="O356" i="19" s="1"/>
  <c r="K332" i="19"/>
  <c r="Q186" i="19"/>
  <c r="T186" i="19" s="1"/>
  <c r="T188" i="19"/>
  <c r="T175" i="18"/>
  <c r="Q173" i="18"/>
  <c r="T173" i="18" s="1"/>
  <c r="Q157" i="19"/>
  <c r="T157" i="19" s="1"/>
  <c r="Q375" i="14"/>
  <c r="T375" i="14" s="1"/>
  <c r="K701" i="12"/>
  <c r="U72" i="15"/>
  <c r="O335" i="16"/>
  <c r="P268" i="17"/>
  <c r="U377" i="17"/>
  <c r="U616" i="17"/>
  <c r="O21" i="18"/>
  <c r="L173" i="18"/>
  <c r="O173" i="18" s="1"/>
  <c r="U189" i="18"/>
  <c r="K423" i="18"/>
  <c r="L320" i="18"/>
  <c r="O320" i="18" s="1"/>
  <c r="Q616" i="18"/>
  <c r="T616" i="18" s="1"/>
  <c r="O23" i="19"/>
  <c r="L20" i="19"/>
  <c r="Q72" i="19"/>
  <c r="T74" i="19"/>
  <c r="O46" i="19"/>
  <c r="Q173" i="19"/>
  <c r="T173" i="19" s="1"/>
  <c r="L44" i="19"/>
  <c r="K83" i="19"/>
  <c r="I71" i="19"/>
  <c r="K71" i="19" s="1"/>
  <c r="Q21" i="19"/>
  <c r="O188" i="19"/>
  <c r="P358" i="19"/>
  <c r="M356" i="19"/>
  <c r="O96" i="19"/>
  <c r="Q760" i="19"/>
  <c r="T760" i="19" s="1"/>
  <c r="T762" i="19"/>
  <c r="U762" i="19"/>
  <c r="R760" i="19"/>
  <c r="U760" i="19" s="1"/>
  <c r="L59" i="19"/>
  <c r="O59" i="19" s="1"/>
  <c r="S303" i="19"/>
  <c r="U303" i="19" s="1"/>
  <c r="O203" i="1"/>
  <c r="K374" i="14"/>
  <c r="U119" i="15"/>
  <c r="O359" i="16"/>
  <c r="R690" i="16"/>
  <c r="U690" i="16" s="1"/>
  <c r="M320" i="17"/>
  <c r="P320" i="17" s="1"/>
  <c r="M513" i="17"/>
  <c r="P513" i="17" s="1"/>
  <c r="Q690" i="17"/>
  <c r="T690" i="17" s="1"/>
  <c r="O47" i="17"/>
  <c r="O61" i="18"/>
  <c r="T762" i="18"/>
  <c r="R375" i="18"/>
  <c r="U375" i="18" s="1"/>
  <c r="U23" i="19"/>
  <c r="R20" i="19"/>
  <c r="U20" i="19" s="1"/>
  <c r="U19" i="19"/>
  <c r="I70" i="19"/>
  <c r="K70" i="19" s="1"/>
  <c r="K82" i="19"/>
  <c r="L24" i="19"/>
  <c r="O24" i="19" s="1"/>
  <c r="M173" i="19"/>
  <c r="R117" i="19"/>
  <c r="U117" i="19" s="1"/>
  <c r="T306" i="19"/>
  <c r="U306" i="19"/>
  <c r="R173" i="19"/>
  <c r="U173" i="19" s="1"/>
  <c r="O335" i="19"/>
  <c r="U377" i="19"/>
  <c r="R375" i="19"/>
  <c r="U375" i="19" s="1"/>
  <c r="T415" i="19"/>
  <c r="Q413" i="19"/>
  <c r="T413" i="19" s="1"/>
  <c r="U692" i="19"/>
  <c r="L320" i="19"/>
  <c r="O320" i="19" s="1"/>
  <c r="O322" i="19"/>
  <c r="T618" i="19"/>
  <c r="Q616" i="19"/>
  <c r="T616" i="19" s="1"/>
  <c r="T690" i="19"/>
  <c r="Q493" i="14"/>
  <c r="T493" i="14" s="1"/>
  <c r="K332" i="14"/>
  <c r="T728" i="16"/>
  <c r="P358" i="17"/>
  <c r="P74" i="18"/>
  <c r="N59" i="18"/>
  <c r="O59" i="18" s="1"/>
  <c r="L303" i="18"/>
  <c r="O303" i="18" s="1"/>
  <c r="L139" i="18"/>
  <c r="O139" i="18" s="1"/>
  <c r="T377" i="17"/>
  <c r="M117" i="18"/>
  <c r="P117" i="18" s="1"/>
  <c r="L157" i="18"/>
  <c r="O157" i="18" s="1"/>
  <c r="T760" i="18"/>
  <c r="U762" i="18"/>
  <c r="Q616" i="17"/>
  <c r="T616" i="17" s="1"/>
  <c r="R157" i="18"/>
  <c r="U157" i="18" s="1"/>
  <c r="O96" i="18"/>
  <c r="L94" i="18"/>
  <c r="O94" i="18" s="1"/>
  <c r="T269" i="13"/>
  <c r="Q157" i="16"/>
  <c r="T157" i="16" s="1"/>
  <c r="U760" i="16"/>
  <c r="M59" i="17"/>
  <c r="P59" i="17" s="1"/>
  <c r="U763" i="18"/>
  <c r="M94" i="18"/>
  <c r="P94" i="18" s="1"/>
  <c r="U189" i="16"/>
  <c r="N333" i="18"/>
  <c r="P333" i="18" s="1"/>
  <c r="U760" i="18"/>
  <c r="K332" i="18"/>
  <c r="Q642" i="18"/>
  <c r="T642" i="18" s="1"/>
  <c r="O188" i="18"/>
  <c r="U693" i="18"/>
  <c r="Q173" i="17"/>
  <c r="T173" i="17" s="1"/>
  <c r="U731" i="17"/>
  <c r="P61" i="18"/>
  <c r="M24" i="18"/>
  <c r="P24" i="18" s="1"/>
  <c r="U74" i="18"/>
  <c r="K82" i="18"/>
  <c r="I70" i="18"/>
  <c r="K70" i="18" s="1"/>
  <c r="T375" i="18"/>
  <c r="P44" i="18"/>
  <c r="T186" i="12"/>
  <c r="S760" i="15"/>
  <c r="U760" i="15" s="1"/>
  <c r="K423" i="15"/>
  <c r="K83" i="16"/>
  <c r="U188" i="16"/>
  <c r="L356" i="17"/>
  <c r="O356" i="17" s="1"/>
  <c r="Q157" i="17"/>
  <c r="T157" i="17" s="1"/>
  <c r="M356" i="17"/>
  <c r="P356" i="17" s="1"/>
  <c r="O72" i="17"/>
  <c r="P23" i="18"/>
  <c r="M20" i="18"/>
  <c r="O46" i="18"/>
  <c r="L44" i="18"/>
  <c r="L282" i="18"/>
  <c r="O282" i="18" s="1"/>
  <c r="P358" i="18"/>
  <c r="M356" i="18"/>
  <c r="P356" i="18" s="1"/>
  <c r="L333" i="18"/>
  <c r="O119" i="17"/>
  <c r="L117" i="17"/>
  <c r="O117" i="17" s="1"/>
  <c r="M72" i="18"/>
  <c r="T762" i="15"/>
  <c r="M24" i="16"/>
  <c r="P24" i="16" s="1"/>
  <c r="I71" i="17"/>
  <c r="K71" i="17" s="1"/>
  <c r="U189" i="17"/>
  <c r="U762" i="17"/>
  <c r="S21" i="18"/>
  <c r="U21" i="18" s="1"/>
  <c r="L232" i="18"/>
  <c r="O243" i="18"/>
  <c r="T269" i="10"/>
  <c r="P305" i="15"/>
  <c r="O188" i="15"/>
  <c r="P188" i="16"/>
  <c r="L20" i="18"/>
  <c r="O23" i="18"/>
  <c r="U119" i="18"/>
  <c r="T119" i="18"/>
  <c r="M21" i="18"/>
  <c r="P21" i="18" s="1"/>
  <c r="M173" i="18"/>
  <c r="P173" i="18" s="1"/>
  <c r="M157" i="18"/>
  <c r="P157" i="18" s="1"/>
  <c r="R303" i="18"/>
  <c r="U303" i="18" s="1"/>
  <c r="M139" i="18"/>
  <c r="P139" i="18" s="1"/>
  <c r="R186" i="18"/>
  <c r="U186" i="18" s="1"/>
  <c r="P336" i="18"/>
  <c r="O515" i="18"/>
  <c r="L513" i="18"/>
  <c r="O513" i="18" s="1"/>
  <c r="I185" i="18"/>
  <c r="K185" i="18" s="1"/>
  <c r="M266" i="18"/>
  <c r="P266" i="18" s="1"/>
  <c r="P268" i="18"/>
  <c r="I70" i="16"/>
  <c r="K70" i="16" s="1"/>
  <c r="O175" i="16"/>
  <c r="M24" i="17"/>
  <c r="P24" i="17" s="1"/>
  <c r="R20" i="18"/>
  <c r="U20" i="18" s="1"/>
  <c r="U23" i="18"/>
  <c r="M59" i="18"/>
  <c r="Q139" i="18"/>
  <c r="T139" i="18" s="1"/>
  <c r="N20" i="18"/>
  <c r="N18" i="18" s="1"/>
  <c r="U731" i="18"/>
  <c r="U644" i="16"/>
  <c r="T645" i="16"/>
  <c r="T693" i="17"/>
  <c r="P75" i="17"/>
  <c r="P359" i="17"/>
  <c r="Q20" i="18"/>
  <c r="T23" i="18"/>
  <c r="Q21" i="18"/>
  <c r="P46" i="18"/>
  <c r="L24" i="18"/>
  <c r="O24" i="18" s="1"/>
  <c r="S117" i="18"/>
  <c r="T117" i="18" s="1"/>
  <c r="U19" i="18"/>
  <c r="N72" i="18"/>
  <c r="O72" i="18" s="1"/>
  <c r="R173" i="18"/>
  <c r="U173" i="18" s="1"/>
  <c r="L356" i="18"/>
  <c r="O356" i="18" s="1"/>
  <c r="R493" i="18"/>
  <c r="U493" i="18" s="1"/>
  <c r="U495" i="18"/>
  <c r="L266" i="17"/>
  <c r="O266" i="17" s="1"/>
  <c r="O268" i="17"/>
  <c r="T760" i="13"/>
  <c r="L139" i="16"/>
  <c r="O139" i="16" s="1"/>
  <c r="U730" i="15"/>
  <c r="N173" i="17"/>
  <c r="O173" i="17" s="1"/>
  <c r="U619" i="17"/>
  <c r="P335" i="14"/>
  <c r="R72" i="16"/>
  <c r="U72" i="16" s="1"/>
  <c r="M157" i="17"/>
  <c r="P157" i="17" s="1"/>
  <c r="P159" i="17"/>
  <c r="T619" i="17"/>
  <c r="R139" i="12"/>
  <c r="U139" i="12" s="1"/>
  <c r="O74" i="13"/>
  <c r="L94" i="15"/>
  <c r="O94" i="15" s="1"/>
  <c r="U303" i="15"/>
  <c r="S728" i="15"/>
  <c r="T728" i="15" s="1"/>
  <c r="U266" i="16"/>
  <c r="L232" i="16"/>
  <c r="P333" i="17"/>
  <c r="R760" i="17"/>
  <c r="U760" i="17" s="1"/>
  <c r="L303" i="17"/>
  <c r="O303" i="17" s="1"/>
  <c r="O305" i="17"/>
  <c r="P62" i="17"/>
  <c r="O282" i="12"/>
  <c r="R616" i="12"/>
  <c r="U616" i="12" s="1"/>
  <c r="M303" i="12"/>
  <c r="P303" i="12" s="1"/>
  <c r="T619" i="13"/>
  <c r="Q413" i="14"/>
  <c r="T413" i="14" s="1"/>
  <c r="U762" i="14"/>
  <c r="K701" i="15"/>
  <c r="O333" i="16"/>
  <c r="U690" i="17"/>
  <c r="T762" i="17"/>
  <c r="Q760" i="17"/>
  <c r="T760" i="17" s="1"/>
  <c r="T141" i="17"/>
  <c r="Q139" i="17"/>
  <c r="T139" i="17" s="1"/>
  <c r="M117" i="14"/>
  <c r="P117" i="14" s="1"/>
  <c r="Q642" i="14"/>
  <c r="T642" i="14" s="1"/>
  <c r="R728" i="15"/>
  <c r="O188" i="16"/>
  <c r="T690" i="16"/>
  <c r="O188" i="17"/>
  <c r="S266" i="17"/>
  <c r="U266" i="17" s="1"/>
  <c r="Q375" i="17"/>
  <c r="T375" i="17" s="1"/>
  <c r="L157" i="17"/>
  <c r="O157" i="17" s="1"/>
  <c r="R493" i="17"/>
  <c r="U493" i="17" s="1"/>
  <c r="O74" i="17"/>
  <c r="Q20" i="17"/>
  <c r="T23" i="17"/>
  <c r="Q21" i="17"/>
  <c r="P188" i="17"/>
  <c r="M186" i="17"/>
  <c r="P186" i="17" s="1"/>
  <c r="R642" i="17"/>
  <c r="U642" i="17" s="1"/>
  <c r="U644" i="17"/>
  <c r="L232" i="17"/>
  <c r="O243" i="17"/>
  <c r="L94" i="12"/>
  <c r="O94" i="12" s="1"/>
  <c r="P336" i="13"/>
  <c r="P266" i="16"/>
  <c r="L20" i="17"/>
  <c r="O23" i="17"/>
  <c r="L21" i="17"/>
  <c r="P139" i="17"/>
  <c r="S72" i="17"/>
  <c r="O175" i="12"/>
  <c r="T305" i="15"/>
  <c r="R20" i="17"/>
  <c r="U23" i="17"/>
  <c r="O142" i="17"/>
  <c r="L24" i="17"/>
  <c r="O24" i="17" s="1"/>
  <c r="Q117" i="17"/>
  <c r="T117" i="17" s="1"/>
  <c r="R139" i="17"/>
  <c r="U139" i="17" s="1"/>
  <c r="T74" i="17"/>
  <c r="M303" i="17"/>
  <c r="P303" i="17" s="1"/>
  <c r="T730" i="17"/>
  <c r="S728" i="17"/>
  <c r="U728" i="17" s="1"/>
  <c r="O515" i="17"/>
  <c r="L513" i="17"/>
  <c r="O513" i="17" s="1"/>
  <c r="U305" i="15"/>
  <c r="R157" i="16"/>
  <c r="U157" i="16" s="1"/>
  <c r="U141" i="16"/>
  <c r="P284" i="16"/>
  <c r="O141" i="17"/>
  <c r="L44" i="17"/>
  <c r="O46" i="17"/>
  <c r="P141" i="17"/>
  <c r="L139" i="17"/>
  <c r="O139" i="17" s="1"/>
  <c r="I70" i="17"/>
  <c r="K70" i="17" s="1"/>
  <c r="K82" i="17"/>
  <c r="S21" i="17"/>
  <c r="U21" i="17" s="1"/>
  <c r="Q690" i="12"/>
  <c r="T690" i="12" s="1"/>
  <c r="O175" i="15"/>
  <c r="I71" i="15"/>
  <c r="K71" i="15" s="1"/>
  <c r="T189" i="16"/>
  <c r="O303" i="16"/>
  <c r="U186" i="16"/>
  <c r="P175" i="17"/>
  <c r="M173" i="17"/>
  <c r="O186" i="17"/>
  <c r="M266" i="17"/>
  <c r="P266" i="17" s="1"/>
  <c r="T268" i="17"/>
  <c r="M72" i="17"/>
  <c r="P72" i="17" s="1"/>
  <c r="P46" i="13"/>
  <c r="P188" i="15"/>
  <c r="U378" i="15"/>
  <c r="O61" i="16"/>
  <c r="P23" i="17"/>
  <c r="M20" i="17"/>
  <c r="L59" i="17"/>
  <c r="O59" i="17" s="1"/>
  <c r="O61" i="17"/>
  <c r="N21" i="17"/>
  <c r="P21" i="17" s="1"/>
  <c r="N20" i="17"/>
  <c r="N18" i="17" s="1"/>
  <c r="M44" i="17"/>
  <c r="O335" i="17"/>
  <c r="U693" i="17"/>
  <c r="U97" i="11"/>
  <c r="T377" i="15"/>
  <c r="P285" i="16"/>
  <c r="P303" i="16"/>
  <c r="O356" i="16"/>
  <c r="T616" i="16"/>
  <c r="P268" i="16"/>
  <c r="P358" i="16"/>
  <c r="P173" i="16"/>
  <c r="P356" i="16"/>
  <c r="T642" i="16"/>
  <c r="O61" i="15"/>
  <c r="T268" i="15"/>
  <c r="T644" i="16"/>
  <c r="O285" i="16"/>
  <c r="L94" i="16"/>
  <c r="O94" i="16" s="1"/>
  <c r="T141" i="16"/>
  <c r="Q139" i="16"/>
  <c r="T139" i="16" s="1"/>
  <c r="M139" i="16"/>
  <c r="P139" i="16" s="1"/>
  <c r="P284" i="15"/>
  <c r="O305" i="16"/>
  <c r="O96" i="10"/>
  <c r="O59" i="14"/>
  <c r="M320" i="14"/>
  <c r="P320" i="14" s="1"/>
  <c r="S616" i="15"/>
  <c r="T616" i="15" s="1"/>
  <c r="N40" i="16"/>
  <c r="U120" i="16"/>
  <c r="R173" i="16"/>
  <c r="U173" i="16" s="1"/>
  <c r="L157" i="16"/>
  <c r="O157" i="16" s="1"/>
  <c r="P305" i="16"/>
  <c r="O62" i="16"/>
  <c r="O358" i="16"/>
  <c r="T375" i="15"/>
  <c r="O305" i="15"/>
  <c r="M44" i="16"/>
  <c r="P46" i="16"/>
  <c r="P96" i="16"/>
  <c r="M94" i="16"/>
  <c r="P94" i="16" s="1"/>
  <c r="M333" i="16"/>
  <c r="P333" i="16" s="1"/>
  <c r="P335" i="16"/>
  <c r="M320" i="16"/>
  <c r="P320" i="16" s="1"/>
  <c r="P322" i="16"/>
  <c r="R375" i="16"/>
  <c r="U375" i="16" s="1"/>
  <c r="U377" i="16"/>
  <c r="T268" i="16"/>
  <c r="U268" i="16"/>
  <c r="M59" i="16"/>
  <c r="P59" i="16" s="1"/>
  <c r="P61" i="16"/>
  <c r="O44" i="16"/>
  <c r="P19" i="16"/>
  <c r="O74" i="16"/>
  <c r="L72" i="16"/>
  <c r="O72" i="16" s="1"/>
  <c r="T495" i="16"/>
  <c r="Q493" i="16"/>
  <c r="T493" i="16" s="1"/>
  <c r="P306" i="16"/>
  <c r="O306" i="16"/>
  <c r="K242" i="16"/>
  <c r="I231" i="16"/>
  <c r="T120" i="14"/>
  <c r="R642" i="14"/>
  <c r="U642" i="14" s="1"/>
  <c r="P141" i="15"/>
  <c r="S266" i="15"/>
  <c r="T266" i="15" s="1"/>
  <c r="L186" i="15"/>
  <c r="O186" i="15" s="1"/>
  <c r="M72" i="16"/>
  <c r="P72" i="16" s="1"/>
  <c r="P74" i="16"/>
  <c r="O46" i="16"/>
  <c r="S117" i="16"/>
  <c r="T117" i="16" s="1"/>
  <c r="M513" i="16"/>
  <c r="P513" i="16" s="1"/>
  <c r="P515" i="16"/>
  <c r="T266" i="16"/>
  <c r="R616" i="16"/>
  <c r="U616" i="16" s="1"/>
  <c r="M186" i="16"/>
  <c r="P186" i="16" s="1"/>
  <c r="P282" i="16"/>
  <c r="U728" i="16"/>
  <c r="U189" i="9"/>
  <c r="P336" i="12"/>
  <c r="U189" i="13"/>
  <c r="N303" i="15"/>
  <c r="P303" i="15" s="1"/>
  <c r="T693" i="15"/>
  <c r="Q20" i="16"/>
  <c r="T20" i="16" s="1"/>
  <c r="T23" i="16"/>
  <c r="Q21" i="16"/>
  <c r="N21" i="16"/>
  <c r="P21" i="16" s="1"/>
  <c r="N20" i="16"/>
  <c r="N18" i="16" s="1"/>
  <c r="L24" i="16"/>
  <c r="O24" i="16" s="1"/>
  <c r="O26" i="16"/>
  <c r="O59" i="16"/>
  <c r="L173" i="16"/>
  <c r="O173" i="16" s="1"/>
  <c r="M157" i="16"/>
  <c r="P157" i="16" s="1"/>
  <c r="O189" i="16"/>
  <c r="O322" i="16"/>
  <c r="L320" i="16"/>
  <c r="O320" i="16" s="1"/>
  <c r="R642" i="16"/>
  <c r="U642" i="16" s="1"/>
  <c r="U730" i="16"/>
  <c r="U269" i="1"/>
  <c r="U75" i="9"/>
  <c r="U760" i="10"/>
  <c r="R413" i="11"/>
  <c r="U413" i="11" s="1"/>
  <c r="T377" i="10"/>
  <c r="U269" i="12"/>
  <c r="K332" i="12"/>
  <c r="P333" i="12"/>
  <c r="S18" i="15"/>
  <c r="O358" i="14"/>
  <c r="L21" i="16"/>
  <c r="L20" i="16"/>
  <c r="O23" i="16"/>
  <c r="T19" i="16"/>
  <c r="S21" i="16"/>
  <c r="Q173" i="16"/>
  <c r="T173" i="16" s="1"/>
  <c r="O186" i="16"/>
  <c r="P175" i="16"/>
  <c r="S18" i="16"/>
  <c r="K423" i="16"/>
  <c r="I412" i="16"/>
  <c r="K412" i="16" s="1"/>
  <c r="P359" i="16"/>
  <c r="O284" i="16"/>
  <c r="L282" i="16"/>
  <c r="O282" i="16" s="1"/>
  <c r="T269" i="1"/>
  <c r="T75" i="9"/>
  <c r="U120" i="14"/>
  <c r="Q173" i="14"/>
  <c r="T173" i="14" s="1"/>
  <c r="P269" i="14"/>
  <c r="Q173" i="15"/>
  <c r="T173" i="15" s="1"/>
  <c r="Q157" i="15"/>
  <c r="T157" i="15" s="1"/>
  <c r="R413" i="15"/>
  <c r="U413" i="15" s="1"/>
  <c r="R21" i="16"/>
  <c r="U21" i="16" s="1"/>
  <c r="R20" i="16"/>
  <c r="U23" i="16"/>
  <c r="P23" i="16"/>
  <c r="M20" i="16"/>
  <c r="M117" i="16"/>
  <c r="P117" i="16" s="1"/>
  <c r="T119" i="16"/>
  <c r="Q303" i="16"/>
  <c r="T303" i="16" s="1"/>
  <c r="O268" i="16"/>
  <c r="L266" i="16"/>
  <c r="O266" i="16" s="1"/>
  <c r="Q413" i="16"/>
  <c r="T413" i="16" s="1"/>
  <c r="T415" i="16"/>
  <c r="U117" i="16"/>
  <c r="T186" i="16"/>
  <c r="T730" i="16"/>
  <c r="L282" i="8"/>
  <c r="O282" i="8" s="1"/>
  <c r="T97" i="11"/>
  <c r="O74" i="12"/>
  <c r="P61" i="13"/>
  <c r="T269" i="14"/>
  <c r="P61" i="15"/>
  <c r="I70" i="15"/>
  <c r="K70" i="15" s="1"/>
  <c r="K374" i="15"/>
  <c r="L303" i="15"/>
  <c r="U618" i="15"/>
  <c r="U693" i="15"/>
  <c r="R173" i="9"/>
  <c r="U173" i="9" s="1"/>
  <c r="K374" i="12"/>
  <c r="P47" i="13"/>
  <c r="O333" i="15"/>
  <c r="P141" i="13"/>
  <c r="T495" i="15"/>
  <c r="Q493" i="15"/>
  <c r="T493" i="15" s="1"/>
  <c r="M282" i="11"/>
  <c r="P282" i="11" s="1"/>
  <c r="N72" i="15"/>
  <c r="O72" i="15" s="1"/>
  <c r="O335" i="15"/>
  <c r="U74" i="15"/>
  <c r="R690" i="15"/>
  <c r="U690" i="15" s="1"/>
  <c r="O119" i="15"/>
  <c r="L117" i="15"/>
  <c r="O117" i="15" s="1"/>
  <c r="M94" i="15"/>
  <c r="P94" i="15" s="1"/>
  <c r="P96" i="15"/>
  <c r="U175" i="15"/>
  <c r="R173" i="15"/>
  <c r="U173" i="15" s="1"/>
  <c r="P46" i="15"/>
  <c r="M94" i="14"/>
  <c r="P94" i="14" s="1"/>
  <c r="L72" i="14"/>
  <c r="O72" i="14" s="1"/>
  <c r="Q690" i="14"/>
  <c r="T690" i="14" s="1"/>
  <c r="Q72" i="14"/>
  <c r="T72" i="14" s="1"/>
  <c r="P359" i="14"/>
  <c r="R139" i="15"/>
  <c r="U139" i="15" s="1"/>
  <c r="N173" i="15"/>
  <c r="O173" i="15" s="1"/>
  <c r="M266" i="15"/>
  <c r="P266" i="15" s="1"/>
  <c r="L320" i="15"/>
  <c r="O320" i="15" s="1"/>
  <c r="T189" i="15"/>
  <c r="P358" i="15"/>
  <c r="L513" i="15"/>
  <c r="O513" i="15" s="1"/>
  <c r="U375" i="15"/>
  <c r="O284" i="15"/>
  <c r="U377" i="15"/>
  <c r="O157" i="15"/>
  <c r="P157" i="15"/>
  <c r="T19" i="15"/>
  <c r="O139" i="15"/>
  <c r="O282" i="15"/>
  <c r="O358" i="15"/>
  <c r="L356" i="15"/>
  <c r="O356" i="15" s="1"/>
  <c r="T72" i="12"/>
  <c r="O62" i="12"/>
  <c r="O19" i="15"/>
  <c r="P282" i="15"/>
  <c r="U306" i="12"/>
  <c r="L157" i="14"/>
  <c r="O157" i="14" s="1"/>
  <c r="I71" i="14"/>
  <c r="K71" i="14" s="1"/>
  <c r="M513" i="14"/>
  <c r="P513" i="14" s="1"/>
  <c r="R690" i="14"/>
  <c r="U690" i="14" s="1"/>
  <c r="O141" i="15"/>
  <c r="U19" i="15"/>
  <c r="T74" i="15"/>
  <c r="M44" i="15"/>
  <c r="Q117" i="15"/>
  <c r="T117" i="15" s="1"/>
  <c r="L24" i="15"/>
  <c r="O24" i="15" s="1"/>
  <c r="U188" i="15"/>
  <c r="R186" i="15"/>
  <c r="U186" i="15" s="1"/>
  <c r="K242" i="15"/>
  <c r="I231" i="15"/>
  <c r="T690" i="15"/>
  <c r="L173" i="12"/>
  <c r="O173" i="12" s="1"/>
  <c r="N21" i="15"/>
  <c r="P21" i="15" s="1"/>
  <c r="N20" i="15"/>
  <c r="N18" i="15" s="1"/>
  <c r="O243" i="15"/>
  <c r="L232" i="15"/>
  <c r="N139" i="13"/>
  <c r="P139" i="13" s="1"/>
  <c r="U690" i="13"/>
  <c r="R173" i="13"/>
  <c r="U173" i="13" s="1"/>
  <c r="T693" i="14"/>
  <c r="Q20" i="15"/>
  <c r="T20" i="15" s="1"/>
  <c r="T23" i="15"/>
  <c r="Q21" i="15"/>
  <c r="L20" i="15"/>
  <c r="O23" i="15"/>
  <c r="L21" i="15"/>
  <c r="N44" i="15"/>
  <c r="O44" i="15" s="1"/>
  <c r="T188" i="15"/>
  <c r="U189" i="15"/>
  <c r="K423" i="8"/>
  <c r="P23" i="15"/>
  <c r="M20" i="15"/>
  <c r="M18" i="15" s="1"/>
  <c r="P18" i="15" s="1"/>
  <c r="T72" i="15"/>
  <c r="O188" i="13"/>
  <c r="U305" i="13"/>
  <c r="R20" i="15"/>
  <c r="U20" i="15" s="1"/>
  <c r="U23" i="15"/>
  <c r="P74" i="15"/>
  <c r="M59" i="15"/>
  <c r="O159" i="15"/>
  <c r="N59" i="15"/>
  <c r="O59" i="15" s="1"/>
  <c r="P159" i="15"/>
  <c r="S21" i="15"/>
  <c r="U21" i="15" s="1"/>
  <c r="O142" i="15"/>
  <c r="T186" i="15"/>
  <c r="P333" i="15"/>
  <c r="M24" i="15"/>
  <c r="P24" i="15" s="1"/>
  <c r="P335" i="15"/>
  <c r="P268" i="11"/>
  <c r="M24" i="13"/>
  <c r="P24" i="13" s="1"/>
  <c r="O46" i="14"/>
  <c r="O186" i="14"/>
  <c r="U268" i="14"/>
  <c r="L356" i="14"/>
  <c r="O356" i="14" s="1"/>
  <c r="M139" i="15"/>
  <c r="P139" i="15" s="1"/>
  <c r="P19" i="15"/>
  <c r="L266" i="15"/>
  <c r="O266" i="15" s="1"/>
  <c r="O268" i="15"/>
  <c r="P175" i="15"/>
  <c r="M173" i="15"/>
  <c r="M356" i="15"/>
  <c r="P356" i="15" s="1"/>
  <c r="Q303" i="15"/>
  <c r="T303" i="15" s="1"/>
  <c r="M513" i="15"/>
  <c r="P513" i="15" s="1"/>
  <c r="P186" i="15"/>
  <c r="R642" i="15"/>
  <c r="U642" i="15" s="1"/>
  <c r="Q760" i="15"/>
  <c r="L117" i="6"/>
  <c r="O117" i="6" s="1"/>
  <c r="T266" i="10"/>
  <c r="I71" i="11"/>
  <c r="K71" i="11" s="1"/>
  <c r="R303" i="12"/>
  <c r="U303" i="12" s="1"/>
  <c r="T377" i="12"/>
  <c r="L24" i="13"/>
  <c r="O24" i="13" s="1"/>
  <c r="L513" i="13"/>
  <c r="O513" i="13" s="1"/>
  <c r="M513" i="13"/>
  <c r="P513" i="13" s="1"/>
  <c r="K332" i="13"/>
  <c r="M24" i="14"/>
  <c r="P24" i="14" s="1"/>
  <c r="M303" i="14"/>
  <c r="P303" i="14" s="1"/>
  <c r="P266" i="14"/>
  <c r="U616" i="14"/>
  <c r="O335" i="12"/>
  <c r="P21" i="13"/>
  <c r="P176" i="13"/>
  <c r="M282" i="13"/>
  <c r="P282" i="13" s="1"/>
  <c r="O335" i="13"/>
  <c r="T690" i="13"/>
  <c r="T692" i="13"/>
  <c r="U120" i="13"/>
  <c r="L320" i="14"/>
  <c r="O320" i="14" s="1"/>
  <c r="M282" i="14"/>
  <c r="P282" i="14" s="1"/>
  <c r="T268" i="14"/>
  <c r="L94" i="14"/>
  <c r="O94" i="14" s="1"/>
  <c r="P268" i="14"/>
  <c r="U618" i="14"/>
  <c r="R72" i="13"/>
  <c r="U72" i="13" s="1"/>
  <c r="T159" i="12"/>
  <c r="R413" i="12"/>
  <c r="U413" i="12" s="1"/>
  <c r="P175" i="13"/>
  <c r="M59" i="13"/>
  <c r="P59" i="13" s="1"/>
  <c r="I70" i="14"/>
  <c r="K70" i="14" s="1"/>
  <c r="R493" i="14"/>
  <c r="U493" i="14" s="1"/>
  <c r="U189" i="10"/>
  <c r="T268" i="10"/>
  <c r="U730" i="12"/>
  <c r="O189" i="12"/>
  <c r="L117" i="13"/>
  <c r="O117" i="13" s="1"/>
  <c r="P96" i="13"/>
  <c r="R139" i="13"/>
  <c r="U139" i="13" s="1"/>
  <c r="U266" i="14"/>
  <c r="U189" i="14"/>
  <c r="L232" i="14"/>
  <c r="L303" i="14"/>
  <c r="O303" i="14" s="1"/>
  <c r="T189" i="10"/>
  <c r="M303" i="13"/>
  <c r="P303" i="13" s="1"/>
  <c r="P61" i="14"/>
  <c r="M139" i="14"/>
  <c r="P139" i="14" s="1"/>
  <c r="Q186" i="14"/>
  <c r="T186" i="14" s="1"/>
  <c r="K701" i="14"/>
  <c r="P188" i="14"/>
  <c r="T619" i="10"/>
  <c r="L333" i="13"/>
  <c r="O333" i="13" s="1"/>
  <c r="O268" i="14"/>
  <c r="L266" i="14"/>
  <c r="O266" i="14" s="1"/>
  <c r="M157" i="10"/>
  <c r="P157" i="10" s="1"/>
  <c r="Q375" i="10"/>
  <c r="T375" i="10" s="1"/>
  <c r="L117" i="12"/>
  <c r="O117" i="12" s="1"/>
  <c r="I70" i="12"/>
  <c r="K70" i="12" s="1"/>
  <c r="O336" i="12"/>
  <c r="O356" i="13"/>
  <c r="U378" i="13"/>
  <c r="P268" i="13"/>
  <c r="Q20" i="14"/>
  <c r="T20" i="14" s="1"/>
  <c r="T23" i="14"/>
  <c r="Q21" i="14"/>
  <c r="S21" i="14"/>
  <c r="M59" i="14"/>
  <c r="P59" i="14" s="1"/>
  <c r="R173" i="14"/>
  <c r="U173" i="14" s="1"/>
  <c r="O61" i="14"/>
  <c r="N44" i="14"/>
  <c r="N40" i="14" s="1"/>
  <c r="M333" i="14"/>
  <c r="P333" i="14" s="1"/>
  <c r="T141" i="14"/>
  <c r="Q139" i="14"/>
  <c r="T139" i="14" s="1"/>
  <c r="O188" i="14"/>
  <c r="L513" i="14"/>
  <c r="O513" i="14" s="1"/>
  <c r="K253" i="14"/>
  <c r="I231" i="14"/>
  <c r="P186" i="14"/>
  <c r="T305" i="14"/>
  <c r="U618" i="10"/>
  <c r="L139" i="14"/>
  <c r="O139" i="14" s="1"/>
  <c r="O141" i="14"/>
  <c r="O358" i="11"/>
  <c r="U690" i="12"/>
  <c r="R139" i="14"/>
  <c r="U139" i="14" s="1"/>
  <c r="U141" i="14"/>
  <c r="U305" i="14"/>
  <c r="S303" i="14"/>
  <c r="U303" i="14" s="1"/>
  <c r="L760" i="1"/>
  <c r="O760" i="1" s="1"/>
  <c r="T97" i="6"/>
  <c r="P142" i="13"/>
  <c r="T120" i="13"/>
  <c r="T644" i="13"/>
  <c r="P62" i="13"/>
  <c r="T378" i="13"/>
  <c r="L21" i="14"/>
  <c r="L20" i="14"/>
  <c r="O23" i="14"/>
  <c r="T19" i="14"/>
  <c r="P175" i="14"/>
  <c r="M173" i="14"/>
  <c r="P173" i="14" s="1"/>
  <c r="M72" i="14"/>
  <c r="P72" i="14" s="1"/>
  <c r="O173" i="14"/>
  <c r="O175" i="14"/>
  <c r="L333" i="14"/>
  <c r="O333" i="14" s="1"/>
  <c r="O335" i="14"/>
  <c r="S18" i="14"/>
  <c r="S760" i="14"/>
  <c r="T762" i="14"/>
  <c r="L24" i="14"/>
  <c r="O24" i="14" s="1"/>
  <c r="O26" i="14"/>
  <c r="P358" i="14"/>
  <c r="M356" i="14"/>
  <c r="P356" i="14" s="1"/>
  <c r="Q616" i="14"/>
  <c r="T616" i="14" s="1"/>
  <c r="T618" i="14"/>
  <c r="T269" i="7"/>
  <c r="U269" i="7"/>
  <c r="O47" i="9"/>
  <c r="P335" i="12"/>
  <c r="L94" i="13"/>
  <c r="O94" i="13" s="1"/>
  <c r="L320" i="13"/>
  <c r="O320" i="13" s="1"/>
  <c r="U306" i="13"/>
  <c r="R21" i="14"/>
  <c r="R20" i="14"/>
  <c r="U23" i="14"/>
  <c r="P23" i="14"/>
  <c r="M20" i="14"/>
  <c r="M18" i="14" s="1"/>
  <c r="Q157" i="14"/>
  <c r="T157" i="14" s="1"/>
  <c r="U731" i="14"/>
  <c r="T731" i="14"/>
  <c r="P159" i="13"/>
  <c r="P335" i="13"/>
  <c r="U189" i="12"/>
  <c r="T305" i="13"/>
  <c r="U644" i="13"/>
  <c r="M44" i="14"/>
  <c r="P46" i="14"/>
  <c r="N21" i="14"/>
  <c r="P21" i="14" s="1"/>
  <c r="N20" i="14"/>
  <c r="N18" i="14" s="1"/>
  <c r="P19" i="14"/>
  <c r="P159" i="14"/>
  <c r="M157" i="14"/>
  <c r="P157" i="14" s="1"/>
  <c r="T189" i="14"/>
  <c r="L282" i="14"/>
  <c r="O282" i="14" s="1"/>
  <c r="O284" i="14"/>
  <c r="T266" i="14"/>
  <c r="R375" i="14"/>
  <c r="U375" i="14" s="1"/>
  <c r="P188" i="13"/>
  <c r="O159" i="13"/>
  <c r="L157" i="13"/>
  <c r="O157" i="13" s="1"/>
  <c r="T266" i="9"/>
  <c r="M24" i="10"/>
  <c r="P24" i="10" s="1"/>
  <c r="K701" i="10"/>
  <c r="K82" i="11"/>
  <c r="M24" i="12"/>
  <c r="P24" i="12" s="1"/>
  <c r="P358" i="12"/>
  <c r="T306" i="12"/>
  <c r="P268" i="12"/>
  <c r="P119" i="13"/>
  <c r="M186" i="13"/>
  <c r="I71" i="13"/>
  <c r="K71" i="13" s="1"/>
  <c r="S186" i="13"/>
  <c r="R266" i="13"/>
  <c r="U266" i="13" s="1"/>
  <c r="Q266" i="13"/>
  <c r="T266" i="13" s="1"/>
  <c r="Q642" i="13"/>
  <c r="T642" i="13" s="1"/>
  <c r="U692" i="13"/>
  <c r="T731" i="13"/>
  <c r="U269" i="8"/>
  <c r="U119" i="9"/>
  <c r="R616" i="10"/>
  <c r="U616" i="10" s="1"/>
  <c r="K332" i="11"/>
  <c r="I71" i="12"/>
  <c r="K71" i="12" s="1"/>
  <c r="N20" i="13"/>
  <c r="N18" i="13" s="1"/>
  <c r="M44" i="13"/>
  <c r="P44" i="13" s="1"/>
  <c r="M72" i="13"/>
  <c r="P72" i="13" s="1"/>
  <c r="U269" i="13"/>
  <c r="T306" i="13"/>
  <c r="Q413" i="13"/>
  <c r="T413" i="13" s="1"/>
  <c r="R642" i="13"/>
  <c r="U642" i="13" s="1"/>
  <c r="M513" i="7"/>
  <c r="P513" i="7" s="1"/>
  <c r="U305" i="8"/>
  <c r="U616" i="9"/>
  <c r="L266" i="10"/>
  <c r="O266" i="10" s="1"/>
  <c r="M24" i="11"/>
  <c r="P24" i="11" s="1"/>
  <c r="Q117" i="13"/>
  <c r="T117" i="13" s="1"/>
  <c r="T141" i="13"/>
  <c r="S303" i="13"/>
  <c r="U303" i="13" s="1"/>
  <c r="R173" i="6"/>
  <c r="U173" i="6" s="1"/>
  <c r="Q642" i="11"/>
  <c r="T642" i="11" s="1"/>
  <c r="S728" i="12"/>
  <c r="T728" i="12" s="1"/>
  <c r="R375" i="12"/>
  <c r="U375" i="12" s="1"/>
  <c r="N186" i="13"/>
  <c r="O186" i="13" s="1"/>
  <c r="K701" i="13"/>
  <c r="L303" i="13"/>
  <c r="O303" i="13" s="1"/>
  <c r="O305" i="13"/>
  <c r="T730" i="13"/>
  <c r="Q728" i="13"/>
  <c r="T728" i="13" s="1"/>
  <c r="I70" i="13"/>
  <c r="K70" i="13" s="1"/>
  <c r="K82" i="13"/>
  <c r="L44" i="13"/>
  <c r="O46" i="13"/>
  <c r="L59" i="13"/>
  <c r="O59" i="13" s="1"/>
  <c r="O61" i="13"/>
  <c r="T693" i="10"/>
  <c r="L94" i="11"/>
  <c r="O94" i="11" s="1"/>
  <c r="R173" i="12"/>
  <c r="U173" i="12" s="1"/>
  <c r="L20" i="13"/>
  <c r="O23" i="13"/>
  <c r="U19" i="13"/>
  <c r="O176" i="13"/>
  <c r="L282" i="13"/>
  <c r="O282" i="13" s="1"/>
  <c r="O284" i="13"/>
  <c r="U188" i="13"/>
  <c r="R616" i="13"/>
  <c r="U616" i="13" s="1"/>
  <c r="U495" i="13"/>
  <c r="R493" i="13"/>
  <c r="U493" i="13" s="1"/>
  <c r="T616" i="10"/>
  <c r="R690" i="10"/>
  <c r="U690" i="10" s="1"/>
  <c r="K374" i="10"/>
  <c r="S616" i="11"/>
  <c r="U616" i="11" s="1"/>
  <c r="T692" i="11"/>
  <c r="Q266" i="12"/>
  <c r="T266" i="12" s="1"/>
  <c r="R20" i="13"/>
  <c r="U20" i="13" s="1"/>
  <c r="U23" i="13"/>
  <c r="L139" i="13"/>
  <c r="O142" i="13"/>
  <c r="N157" i="13"/>
  <c r="P157" i="13" s="1"/>
  <c r="R728" i="13"/>
  <c r="U728" i="13" s="1"/>
  <c r="U730" i="13"/>
  <c r="O358" i="13"/>
  <c r="L266" i="13"/>
  <c r="O266" i="13" s="1"/>
  <c r="U760" i="13"/>
  <c r="T618" i="10"/>
  <c r="R728" i="12"/>
  <c r="O243" i="13"/>
  <c r="L232" i="13"/>
  <c r="S21" i="13"/>
  <c r="U21" i="13" s="1"/>
  <c r="O175" i="13"/>
  <c r="L173" i="13"/>
  <c r="P322" i="13"/>
  <c r="M320" i="13"/>
  <c r="P320" i="13" s="1"/>
  <c r="U189" i="4"/>
  <c r="O46" i="9"/>
  <c r="U72" i="12"/>
  <c r="O21" i="13"/>
  <c r="T189" i="13"/>
  <c r="I231" i="13"/>
  <c r="K242" i="13"/>
  <c r="M356" i="13"/>
  <c r="P356" i="13" s="1"/>
  <c r="P358" i="13"/>
  <c r="M333" i="13"/>
  <c r="P333" i="13" s="1"/>
  <c r="I412" i="13"/>
  <c r="K412" i="13" s="1"/>
  <c r="K423" i="13"/>
  <c r="U762" i="13"/>
  <c r="T74" i="12"/>
  <c r="U186" i="12"/>
  <c r="T303" i="12"/>
  <c r="U693" i="12"/>
  <c r="T693" i="12"/>
  <c r="Q20" i="13"/>
  <c r="T23" i="13"/>
  <c r="Q21" i="13"/>
  <c r="P23" i="13"/>
  <c r="M20" i="13"/>
  <c r="N173" i="13"/>
  <c r="P173" i="13" s="1"/>
  <c r="Q94" i="13"/>
  <c r="T94" i="13" s="1"/>
  <c r="P266" i="13"/>
  <c r="Q493" i="13"/>
  <c r="T493" i="13" s="1"/>
  <c r="T762" i="13"/>
  <c r="N356" i="12"/>
  <c r="P356" i="12" s="1"/>
  <c r="O268" i="12"/>
  <c r="L266" i="12"/>
  <c r="O266" i="12" s="1"/>
  <c r="O61" i="9"/>
  <c r="Q760" i="10"/>
  <c r="T760" i="10" s="1"/>
  <c r="U94" i="11"/>
  <c r="T269" i="11"/>
  <c r="I185" i="12"/>
  <c r="K185" i="12" s="1"/>
  <c r="Q139" i="12"/>
  <c r="T139" i="12" s="1"/>
  <c r="L303" i="12"/>
  <c r="O303" i="12" s="1"/>
  <c r="O284" i="12"/>
  <c r="Q413" i="12"/>
  <c r="T413" i="12" s="1"/>
  <c r="M94" i="12"/>
  <c r="P94" i="12" s="1"/>
  <c r="O175" i="8"/>
  <c r="O188" i="9"/>
  <c r="T72" i="11"/>
  <c r="T377" i="11"/>
  <c r="O61" i="12"/>
  <c r="S18" i="12"/>
  <c r="U268" i="7"/>
  <c r="P160" i="11"/>
  <c r="R642" i="11"/>
  <c r="U642" i="11" s="1"/>
  <c r="P175" i="11"/>
  <c r="K374" i="11"/>
  <c r="P358" i="11"/>
  <c r="P141" i="11"/>
  <c r="S21" i="12"/>
  <c r="U74" i="12"/>
  <c r="Q616" i="12"/>
  <c r="T616" i="12" s="1"/>
  <c r="U495" i="12"/>
  <c r="U305" i="11"/>
  <c r="M320" i="12"/>
  <c r="P320" i="12" s="1"/>
  <c r="U619" i="11"/>
  <c r="I412" i="11"/>
  <c r="K412" i="11" s="1"/>
  <c r="P173" i="11"/>
  <c r="O157" i="12"/>
  <c r="O159" i="12"/>
  <c r="U762" i="12"/>
  <c r="N20" i="6"/>
  <c r="N18" i="6" s="1"/>
  <c r="O175" i="10"/>
  <c r="T94" i="11"/>
  <c r="P356" i="11"/>
  <c r="Q157" i="11"/>
  <c r="T157" i="11" s="1"/>
  <c r="P157" i="12"/>
  <c r="U692" i="12"/>
  <c r="O186" i="11"/>
  <c r="P359" i="11"/>
  <c r="U120" i="12"/>
  <c r="P284" i="12"/>
  <c r="M282" i="12"/>
  <c r="P282" i="12" s="1"/>
  <c r="Q139" i="10"/>
  <c r="T139" i="10" s="1"/>
  <c r="O188" i="11"/>
  <c r="M266" i="11"/>
  <c r="P266" i="11" s="1"/>
  <c r="P176" i="11"/>
  <c r="S690" i="11"/>
  <c r="T690" i="11" s="1"/>
  <c r="M72" i="12"/>
  <c r="P74" i="12"/>
  <c r="O46" i="12"/>
  <c r="L24" i="12"/>
  <c r="O24" i="12" s="1"/>
  <c r="O26" i="12"/>
  <c r="T120" i="12"/>
  <c r="N59" i="12"/>
  <c r="O59" i="12" s="1"/>
  <c r="P188" i="12"/>
  <c r="M186" i="12"/>
  <c r="O322" i="12"/>
  <c r="L320" i="12"/>
  <c r="O320" i="12" s="1"/>
  <c r="L333" i="12"/>
  <c r="O333" i="12" s="1"/>
  <c r="R642" i="12"/>
  <c r="U642" i="12" s="1"/>
  <c r="U644" i="12"/>
  <c r="O62" i="8"/>
  <c r="O186" i="9"/>
  <c r="M59" i="12"/>
  <c r="P61" i="12"/>
  <c r="O44" i="12"/>
  <c r="P141" i="12"/>
  <c r="M139" i="12"/>
  <c r="P139" i="12" s="1"/>
  <c r="S157" i="1"/>
  <c r="U762" i="8"/>
  <c r="P173" i="8"/>
  <c r="P358" i="9"/>
  <c r="U186" i="10"/>
  <c r="M320" i="10"/>
  <c r="P320" i="10" s="1"/>
  <c r="T644" i="10"/>
  <c r="Q690" i="10"/>
  <c r="T690" i="10" s="1"/>
  <c r="T189" i="11"/>
  <c r="T730" i="11"/>
  <c r="T268" i="11"/>
  <c r="S303" i="11"/>
  <c r="T303" i="11" s="1"/>
  <c r="Q20" i="12"/>
  <c r="T20" i="12" s="1"/>
  <c r="T23" i="12"/>
  <c r="Q21" i="12"/>
  <c r="P19" i="12"/>
  <c r="N72" i="12"/>
  <c r="O72" i="12" s="1"/>
  <c r="U268" i="12"/>
  <c r="R266" i="12"/>
  <c r="U266" i="12" s="1"/>
  <c r="N186" i="12"/>
  <c r="O186" i="12" s="1"/>
  <c r="O188" i="12"/>
  <c r="S760" i="12"/>
  <c r="T760" i="12" s="1"/>
  <c r="R266" i="8"/>
  <c r="U266" i="8" s="1"/>
  <c r="L266" i="9"/>
  <c r="O266" i="9" s="1"/>
  <c r="U495" i="9"/>
  <c r="P75" i="10"/>
  <c r="O142" i="11"/>
  <c r="T266" i="11"/>
  <c r="U692" i="11"/>
  <c r="R21" i="12"/>
  <c r="R20" i="12"/>
  <c r="U23" i="12"/>
  <c r="P23" i="12"/>
  <c r="M20" i="12"/>
  <c r="M21" i="12"/>
  <c r="Q94" i="12"/>
  <c r="T94" i="12" s="1"/>
  <c r="L232" i="12"/>
  <c r="O243" i="12"/>
  <c r="P515" i="12"/>
  <c r="M513" i="12"/>
  <c r="P513" i="12" s="1"/>
  <c r="O359" i="12"/>
  <c r="T642" i="12"/>
  <c r="Q493" i="12"/>
  <c r="T493" i="12" s="1"/>
  <c r="L513" i="12"/>
  <c r="O513" i="12" s="1"/>
  <c r="L21" i="12"/>
  <c r="L20" i="12"/>
  <c r="O23" i="12"/>
  <c r="T19" i="12"/>
  <c r="T188" i="9"/>
  <c r="P188" i="9"/>
  <c r="R413" i="10"/>
  <c r="U413" i="10" s="1"/>
  <c r="M139" i="11"/>
  <c r="U377" i="11"/>
  <c r="K701" i="11"/>
  <c r="U74" i="11"/>
  <c r="M44" i="12"/>
  <c r="P46" i="12"/>
  <c r="N21" i="12"/>
  <c r="N20" i="12"/>
  <c r="N18" i="12" s="1"/>
  <c r="M117" i="12"/>
  <c r="P117" i="12" s="1"/>
  <c r="R157" i="12"/>
  <c r="U157" i="12" s="1"/>
  <c r="L139" i="12"/>
  <c r="O139" i="12" s="1"/>
  <c r="O141" i="12"/>
  <c r="Q173" i="12"/>
  <c r="T173" i="12" s="1"/>
  <c r="P159" i="12"/>
  <c r="P175" i="12"/>
  <c r="M173" i="12"/>
  <c r="P173" i="12" s="1"/>
  <c r="P266" i="12"/>
  <c r="O358" i="12"/>
  <c r="T644" i="12"/>
  <c r="U619" i="12"/>
  <c r="O72" i="11"/>
  <c r="L139" i="11"/>
  <c r="O139" i="11" s="1"/>
  <c r="O141" i="11"/>
  <c r="S21" i="11"/>
  <c r="S117" i="11"/>
  <c r="T117" i="11" s="1"/>
  <c r="U188" i="11"/>
  <c r="R375" i="11"/>
  <c r="U375" i="11" s="1"/>
  <c r="R72" i="7"/>
  <c r="U72" i="7" s="1"/>
  <c r="P159" i="9"/>
  <c r="R266" i="9"/>
  <c r="U266" i="9" s="1"/>
  <c r="L320" i="10"/>
  <c r="O320" i="10" s="1"/>
  <c r="M117" i="10"/>
  <c r="P117" i="10" s="1"/>
  <c r="T186" i="10"/>
  <c r="T731" i="10"/>
  <c r="O61" i="11"/>
  <c r="O74" i="11"/>
  <c r="P139" i="11"/>
  <c r="Q173" i="11"/>
  <c r="T173" i="11" s="1"/>
  <c r="R266" i="11"/>
  <c r="U266" i="11" s="1"/>
  <c r="P335" i="11"/>
  <c r="O359" i="11"/>
  <c r="Q493" i="11"/>
  <c r="T493" i="11" s="1"/>
  <c r="L320" i="11"/>
  <c r="O320" i="11" s="1"/>
  <c r="R72" i="11"/>
  <c r="U72" i="11" s="1"/>
  <c r="O176" i="11"/>
  <c r="U269" i="11"/>
  <c r="T305" i="8"/>
  <c r="I70" i="9"/>
  <c r="K70" i="9" s="1"/>
  <c r="R157" i="9"/>
  <c r="U157" i="9" s="1"/>
  <c r="O335" i="9"/>
  <c r="P74" i="10"/>
  <c r="P358" i="10"/>
  <c r="T731" i="9"/>
  <c r="O358" i="10"/>
  <c r="U141" i="11"/>
  <c r="P188" i="11"/>
  <c r="O139" i="10"/>
  <c r="P142" i="7"/>
  <c r="R186" i="7"/>
  <c r="U186" i="7" s="1"/>
  <c r="T97" i="9"/>
  <c r="M282" i="9"/>
  <c r="P282" i="9" s="1"/>
  <c r="T72" i="10"/>
  <c r="R375" i="10"/>
  <c r="U375" i="10" s="1"/>
  <c r="T74" i="11"/>
  <c r="S186" i="11"/>
  <c r="T186" i="11" s="1"/>
  <c r="L232" i="11"/>
  <c r="M513" i="11"/>
  <c r="P513" i="11" s="1"/>
  <c r="O284" i="11"/>
  <c r="L282" i="11"/>
  <c r="O282" i="11" s="1"/>
  <c r="P189" i="1"/>
  <c r="P268" i="10"/>
  <c r="R642" i="10"/>
  <c r="U642" i="10" s="1"/>
  <c r="R690" i="11"/>
  <c r="O141" i="10"/>
  <c r="L356" i="10"/>
  <c r="O356" i="10" s="1"/>
  <c r="Q20" i="11"/>
  <c r="T20" i="11" s="1"/>
  <c r="T23" i="11"/>
  <c r="Q21" i="11"/>
  <c r="T19" i="11"/>
  <c r="L303" i="11"/>
  <c r="O303" i="11" s="1"/>
  <c r="O305" i="11"/>
  <c r="S760" i="11"/>
  <c r="T762" i="11"/>
  <c r="P335" i="4"/>
  <c r="R642" i="4"/>
  <c r="U642" i="4" s="1"/>
  <c r="T303" i="4"/>
  <c r="L139" i="8"/>
  <c r="O139" i="8" s="1"/>
  <c r="T269" i="9"/>
  <c r="O142" i="10"/>
  <c r="U97" i="10"/>
  <c r="P188" i="10"/>
  <c r="M72" i="11"/>
  <c r="P72" i="11" s="1"/>
  <c r="P74" i="11"/>
  <c r="P23" i="11"/>
  <c r="M20" i="11"/>
  <c r="M18" i="11" s="1"/>
  <c r="O44" i="11"/>
  <c r="M21" i="11"/>
  <c r="T141" i="11"/>
  <c r="Q139" i="11"/>
  <c r="T139" i="11" s="1"/>
  <c r="P94" i="11"/>
  <c r="L356" i="11"/>
  <c r="O356" i="11" s="1"/>
  <c r="T188" i="10"/>
  <c r="M59" i="11"/>
  <c r="P61" i="11"/>
  <c r="L173" i="11"/>
  <c r="O173" i="11" s="1"/>
  <c r="O175" i="11"/>
  <c r="Q413" i="11"/>
  <c r="T413" i="11" s="1"/>
  <c r="M513" i="3"/>
  <c r="P513" i="3" s="1"/>
  <c r="K374" i="6"/>
  <c r="U120" i="9"/>
  <c r="T97" i="10"/>
  <c r="L282" i="10"/>
  <c r="O282" i="10" s="1"/>
  <c r="O46" i="11"/>
  <c r="R157" i="11"/>
  <c r="U157" i="11" s="1"/>
  <c r="U159" i="11"/>
  <c r="N59" i="11"/>
  <c r="O59" i="11" s="1"/>
  <c r="M117" i="11"/>
  <c r="P117" i="11" s="1"/>
  <c r="K242" i="11"/>
  <c r="I231" i="11"/>
  <c r="Q375" i="11"/>
  <c r="T375" i="11" s="1"/>
  <c r="L513" i="11"/>
  <c r="O513" i="11" s="1"/>
  <c r="L333" i="11"/>
  <c r="O333" i="11" s="1"/>
  <c r="O335" i="11"/>
  <c r="U731" i="11"/>
  <c r="T731" i="11"/>
  <c r="L266" i="11"/>
  <c r="O266" i="11" s="1"/>
  <c r="L21" i="11"/>
  <c r="L20" i="11"/>
  <c r="O23" i="11"/>
  <c r="L157" i="11"/>
  <c r="O157" i="11" s="1"/>
  <c r="O159" i="11"/>
  <c r="P159" i="11"/>
  <c r="M157" i="11"/>
  <c r="P157" i="11" s="1"/>
  <c r="P333" i="11"/>
  <c r="R157" i="4"/>
  <c r="U157" i="4" s="1"/>
  <c r="O139" i="5"/>
  <c r="Q413" i="9"/>
  <c r="T413" i="9" s="1"/>
  <c r="O74" i="10"/>
  <c r="M282" i="10"/>
  <c r="P282" i="10" s="1"/>
  <c r="P186" i="10"/>
  <c r="U94" i="10"/>
  <c r="O61" i="10"/>
  <c r="Q413" i="10"/>
  <c r="T413" i="10" s="1"/>
  <c r="R21" i="11"/>
  <c r="R20" i="11"/>
  <c r="U23" i="11"/>
  <c r="L117" i="11"/>
  <c r="O117" i="11" s="1"/>
  <c r="O119" i="11"/>
  <c r="R173" i="11"/>
  <c r="U173" i="11" s="1"/>
  <c r="U175" i="11"/>
  <c r="M186" i="11"/>
  <c r="P186" i="11" s="1"/>
  <c r="N21" i="11"/>
  <c r="N20" i="11"/>
  <c r="N18" i="11" s="1"/>
  <c r="P96" i="11"/>
  <c r="P322" i="11"/>
  <c r="M320" i="11"/>
  <c r="P320" i="11" s="1"/>
  <c r="P175" i="8"/>
  <c r="T378" i="8"/>
  <c r="Q157" i="8"/>
  <c r="T157" i="8" s="1"/>
  <c r="Q139" i="9"/>
  <c r="T139" i="9" s="1"/>
  <c r="P61" i="10"/>
  <c r="P176" i="10"/>
  <c r="T94" i="10"/>
  <c r="P175" i="10"/>
  <c r="O188" i="10"/>
  <c r="T306" i="10"/>
  <c r="M44" i="11"/>
  <c r="P46" i="11"/>
  <c r="R117" i="11"/>
  <c r="U119" i="11"/>
  <c r="P19" i="11"/>
  <c r="L24" i="11"/>
  <c r="O24" i="11" s="1"/>
  <c r="O26" i="11"/>
  <c r="Q616" i="11"/>
  <c r="T618" i="11"/>
  <c r="S18" i="11"/>
  <c r="M303" i="11"/>
  <c r="P303" i="11" s="1"/>
  <c r="U762" i="11"/>
  <c r="T616" i="5"/>
  <c r="U693" i="6"/>
  <c r="P61" i="7"/>
  <c r="R72" i="9"/>
  <c r="U72" i="9" s="1"/>
  <c r="L320" i="9"/>
  <c r="O320" i="9" s="1"/>
  <c r="L333" i="9"/>
  <c r="O333" i="9" s="1"/>
  <c r="S21" i="10"/>
  <c r="U21" i="10" s="1"/>
  <c r="L59" i="10"/>
  <c r="O59" i="10" s="1"/>
  <c r="U188" i="10"/>
  <c r="U306" i="10"/>
  <c r="M117" i="8"/>
  <c r="P117" i="8" s="1"/>
  <c r="U97" i="9"/>
  <c r="R303" i="10"/>
  <c r="U303" i="10" s="1"/>
  <c r="P359" i="10"/>
  <c r="P335" i="10"/>
  <c r="U266" i="10"/>
  <c r="T730" i="10"/>
  <c r="R173" i="10"/>
  <c r="U173" i="10" s="1"/>
  <c r="U269" i="10"/>
  <c r="L513" i="10"/>
  <c r="O513" i="10" s="1"/>
  <c r="U619" i="10"/>
  <c r="P74" i="8"/>
  <c r="N94" i="10"/>
  <c r="O94" i="10" s="1"/>
  <c r="O335" i="10"/>
  <c r="S728" i="10"/>
  <c r="T728" i="10" s="1"/>
  <c r="N44" i="9"/>
  <c r="P44" i="9" s="1"/>
  <c r="U619" i="9"/>
  <c r="K82" i="10"/>
  <c r="I70" i="10"/>
  <c r="K70" i="10" s="1"/>
  <c r="U19" i="10"/>
  <c r="P23" i="10"/>
  <c r="M20" i="10"/>
  <c r="N266" i="10"/>
  <c r="P266" i="10" s="1"/>
  <c r="T495" i="10"/>
  <c r="Q493" i="10"/>
  <c r="T493" i="10" s="1"/>
  <c r="P266" i="9"/>
  <c r="Q20" i="10"/>
  <c r="T20" i="10" s="1"/>
  <c r="T23" i="10"/>
  <c r="O46" i="10"/>
  <c r="L44" i="10"/>
  <c r="P141" i="10"/>
  <c r="M139" i="10"/>
  <c r="P139" i="10" s="1"/>
  <c r="O303" i="10"/>
  <c r="Q21" i="10"/>
  <c r="P515" i="10"/>
  <c r="M513" i="10"/>
  <c r="P513" i="10" s="1"/>
  <c r="T642" i="5"/>
  <c r="O159" i="6"/>
  <c r="T495" i="6"/>
  <c r="P305" i="5"/>
  <c r="P46" i="7"/>
  <c r="P141" i="7"/>
  <c r="P333" i="7"/>
  <c r="P74" i="9"/>
  <c r="O97" i="9"/>
  <c r="P173" i="9"/>
  <c r="O189" i="9"/>
  <c r="T74" i="10"/>
  <c r="U74" i="10"/>
  <c r="M59" i="10"/>
  <c r="P59" i="10" s="1"/>
  <c r="P303" i="10"/>
  <c r="S117" i="10"/>
  <c r="U117" i="10" s="1"/>
  <c r="L186" i="10"/>
  <c r="O186" i="10" s="1"/>
  <c r="T305" i="10"/>
  <c r="Q303" i="10"/>
  <c r="T303" i="10" s="1"/>
  <c r="L157" i="10"/>
  <c r="O157" i="10" s="1"/>
  <c r="M356" i="10"/>
  <c r="P356" i="10" s="1"/>
  <c r="O139" i="7"/>
  <c r="M117" i="7"/>
  <c r="P117" i="7" s="1"/>
  <c r="T378" i="7"/>
  <c r="U616" i="7"/>
  <c r="L173" i="8"/>
  <c r="O173" i="8" s="1"/>
  <c r="T728" i="8"/>
  <c r="P96" i="9"/>
  <c r="P175" i="9"/>
  <c r="P189" i="9"/>
  <c r="L20" i="10"/>
  <c r="L18" i="10" s="1"/>
  <c r="O23" i="10"/>
  <c r="P173" i="10"/>
  <c r="M21" i="10"/>
  <c r="P21" i="10" s="1"/>
  <c r="O72" i="10"/>
  <c r="P333" i="10"/>
  <c r="O305" i="10"/>
  <c r="P305" i="10"/>
  <c r="P96" i="10"/>
  <c r="T117" i="10"/>
  <c r="K83" i="10"/>
  <c r="I71" i="10"/>
  <c r="K71" i="10" s="1"/>
  <c r="T762" i="6"/>
  <c r="O141" i="7"/>
  <c r="P176" i="7"/>
  <c r="Q413" i="8"/>
  <c r="T413" i="8" s="1"/>
  <c r="P266" i="8"/>
  <c r="Q173" i="9"/>
  <c r="T173" i="9" s="1"/>
  <c r="U730" i="9"/>
  <c r="R690" i="9"/>
  <c r="U690" i="9" s="1"/>
  <c r="R20" i="10"/>
  <c r="U20" i="10" s="1"/>
  <c r="U23" i="10"/>
  <c r="M72" i="10"/>
  <c r="P72" i="10" s="1"/>
  <c r="R157" i="10"/>
  <c r="U157" i="10" s="1"/>
  <c r="N20" i="10"/>
  <c r="N18" i="10" s="1"/>
  <c r="U72" i="10"/>
  <c r="L173" i="10"/>
  <c r="O173" i="10" s="1"/>
  <c r="L333" i="10"/>
  <c r="O333" i="10" s="1"/>
  <c r="R728" i="10"/>
  <c r="U730" i="10"/>
  <c r="L21" i="1"/>
  <c r="T762" i="5"/>
  <c r="P358" i="7"/>
  <c r="N59" i="9"/>
  <c r="O59" i="9" s="1"/>
  <c r="M157" i="9"/>
  <c r="P157" i="9" s="1"/>
  <c r="M303" i="9"/>
  <c r="P303" i="9" s="1"/>
  <c r="O176" i="9"/>
  <c r="K374" i="9"/>
  <c r="Q616" i="9"/>
  <c r="T616" i="9" s="1"/>
  <c r="P46" i="10"/>
  <c r="U119" i="10"/>
  <c r="L21" i="10"/>
  <c r="O21" i="10" s="1"/>
  <c r="P94" i="10"/>
  <c r="M44" i="10"/>
  <c r="T19" i="10"/>
  <c r="O19" i="10"/>
  <c r="O47" i="10"/>
  <c r="L24" i="10"/>
  <c r="O24" i="10" s="1"/>
  <c r="L117" i="10"/>
  <c r="O117" i="10" s="1"/>
  <c r="K253" i="10"/>
  <c r="I231" i="10"/>
  <c r="U495" i="10"/>
  <c r="R493" i="10"/>
  <c r="U493" i="10" s="1"/>
  <c r="L232" i="10"/>
  <c r="O243" i="10"/>
  <c r="O94" i="9"/>
  <c r="O74" i="9"/>
  <c r="U728" i="9"/>
  <c r="U303" i="4"/>
  <c r="P359" i="5"/>
  <c r="P335" i="5"/>
  <c r="T730" i="5"/>
  <c r="U730" i="5"/>
  <c r="P159" i="6"/>
  <c r="T189" i="6"/>
  <c r="U693" i="7"/>
  <c r="P61" i="8"/>
  <c r="O159" i="8"/>
  <c r="O359" i="8"/>
  <c r="T97" i="8"/>
  <c r="P305" i="8"/>
  <c r="P333" i="8"/>
  <c r="P269" i="8"/>
  <c r="Q72" i="9"/>
  <c r="T72" i="9" s="1"/>
  <c r="R94" i="9"/>
  <c r="U94" i="9" s="1"/>
  <c r="N72" i="9"/>
  <c r="O72" i="9" s="1"/>
  <c r="T189" i="9"/>
  <c r="U763" i="9"/>
  <c r="R760" i="9"/>
  <c r="U760" i="9" s="1"/>
  <c r="O119" i="9"/>
  <c r="L117" i="9"/>
  <c r="O117" i="9" s="1"/>
  <c r="O186" i="8"/>
  <c r="U731" i="4"/>
  <c r="U762" i="7"/>
  <c r="Q493" i="9"/>
  <c r="T493" i="9" s="1"/>
  <c r="R157" i="8"/>
  <c r="U157" i="8" s="1"/>
  <c r="M117" i="9"/>
  <c r="P117" i="9" s="1"/>
  <c r="P94" i="9"/>
  <c r="K701" i="7"/>
  <c r="T119" i="8"/>
  <c r="S18" i="9"/>
  <c r="P268" i="9"/>
  <c r="U269" i="9"/>
  <c r="U97" i="8"/>
  <c r="S117" i="9"/>
  <c r="U117" i="9" s="1"/>
  <c r="S21" i="9"/>
  <c r="P336" i="9"/>
  <c r="T377" i="9"/>
  <c r="T730" i="9"/>
  <c r="R413" i="9"/>
  <c r="U413" i="9" s="1"/>
  <c r="L303" i="9"/>
  <c r="O303" i="9" s="1"/>
  <c r="O305" i="9"/>
  <c r="O96" i="9"/>
  <c r="U303" i="8"/>
  <c r="O139" i="9"/>
  <c r="T19" i="9"/>
  <c r="O19" i="9"/>
  <c r="L282" i="9"/>
  <c r="O282" i="9" s="1"/>
  <c r="O284" i="9"/>
  <c r="T618" i="8"/>
  <c r="P23" i="9"/>
  <c r="M20" i="9"/>
  <c r="M18" i="9" s="1"/>
  <c r="U19" i="9"/>
  <c r="R20" i="9"/>
  <c r="U20" i="9" s="1"/>
  <c r="U23" i="9"/>
  <c r="M24" i="9"/>
  <c r="P24" i="9" s="1"/>
  <c r="O159" i="9"/>
  <c r="L157" i="9"/>
  <c r="O157" i="9" s="1"/>
  <c r="I231" i="9"/>
  <c r="K242" i="9"/>
  <c r="P335" i="9"/>
  <c r="M333" i="9"/>
  <c r="P333" i="9" s="1"/>
  <c r="M513" i="9"/>
  <c r="P513" i="9" s="1"/>
  <c r="P515" i="9"/>
  <c r="P188" i="7"/>
  <c r="M513" i="8"/>
  <c r="P513" i="8" s="1"/>
  <c r="N21" i="9"/>
  <c r="N20" i="9"/>
  <c r="N18" i="9" s="1"/>
  <c r="T96" i="9"/>
  <c r="Q94" i="9"/>
  <c r="T94" i="9" s="1"/>
  <c r="L24" i="9"/>
  <c r="O24" i="9" s="1"/>
  <c r="K83" i="9"/>
  <c r="I71" i="9"/>
  <c r="K71" i="9" s="1"/>
  <c r="M59" i="9"/>
  <c r="P61" i="9"/>
  <c r="S303" i="9"/>
  <c r="U303" i="9" s="1"/>
  <c r="O358" i="9"/>
  <c r="P46" i="6"/>
  <c r="I71" i="7"/>
  <c r="K71" i="7" s="1"/>
  <c r="U642" i="8"/>
  <c r="M282" i="8"/>
  <c r="P282" i="8" s="1"/>
  <c r="P19" i="9"/>
  <c r="O243" i="9"/>
  <c r="L232" i="9"/>
  <c r="L21" i="9"/>
  <c r="L20" i="9"/>
  <c r="L18" i="9" s="1"/>
  <c r="O23" i="9"/>
  <c r="K332" i="9"/>
  <c r="P141" i="9"/>
  <c r="M320" i="9"/>
  <c r="P320" i="9" s="1"/>
  <c r="P322" i="9"/>
  <c r="Q760" i="9"/>
  <c r="T760" i="9" s="1"/>
  <c r="T762" i="9"/>
  <c r="Q728" i="9"/>
  <c r="T728" i="9" s="1"/>
  <c r="M513" i="4"/>
  <c r="P513" i="4" s="1"/>
  <c r="P322" i="7"/>
  <c r="S493" i="6"/>
  <c r="U493" i="6" s="1"/>
  <c r="U97" i="7"/>
  <c r="S117" i="8"/>
  <c r="T117" i="8" s="1"/>
  <c r="T306" i="8"/>
  <c r="I71" i="8"/>
  <c r="K71" i="8" s="1"/>
  <c r="O141" i="9"/>
  <c r="T120" i="9"/>
  <c r="T305" i="9"/>
  <c r="O515" i="9"/>
  <c r="L513" i="9"/>
  <c r="O513" i="9" s="1"/>
  <c r="Q375" i="9"/>
  <c r="T375" i="9" s="1"/>
  <c r="P139" i="9"/>
  <c r="T377" i="7"/>
  <c r="P46" i="8"/>
  <c r="U119" i="8"/>
  <c r="K701" i="8"/>
  <c r="O358" i="8"/>
  <c r="P157" i="8"/>
  <c r="U728" i="8"/>
  <c r="P46" i="9"/>
  <c r="U141" i="9"/>
  <c r="R139" i="9"/>
  <c r="U139" i="9" s="1"/>
  <c r="M21" i="9"/>
  <c r="Q20" i="9"/>
  <c r="T20" i="9" s="1"/>
  <c r="T23" i="9"/>
  <c r="Q21" i="9"/>
  <c r="T119" i="9"/>
  <c r="R21" i="9"/>
  <c r="T186" i="9"/>
  <c r="O175" i="9"/>
  <c r="L173" i="9"/>
  <c r="O173" i="9" s="1"/>
  <c r="M186" i="9"/>
  <c r="P186" i="9" s="1"/>
  <c r="N356" i="9"/>
  <c r="P356" i="9" s="1"/>
  <c r="T690" i="7"/>
  <c r="L117" i="8"/>
  <c r="O117" i="8" s="1"/>
  <c r="U731" i="8"/>
  <c r="L320" i="7"/>
  <c r="O320" i="7" s="1"/>
  <c r="T120" i="7"/>
  <c r="M24" i="8"/>
  <c r="P24" i="8" s="1"/>
  <c r="S72" i="8"/>
  <c r="U72" i="8" s="1"/>
  <c r="R173" i="8"/>
  <c r="U173" i="8" s="1"/>
  <c r="P188" i="8"/>
  <c r="M303" i="8"/>
  <c r="P303" i="8" s="1"/>
  <c r="U306" i="8"/>
  <c r="L266" i="8"/>
  <c r="O266" i="8" s="1"/>
  <c r="L513" i="8"/>
  <c r="O513" i="8" s="1"/>
  <c r="U730" i="8"/>
  <c r="R375" i="8"/>
  <c r="U375" i="8" s="1"/>
  <c r="L356" i="8"/>
  <c r="O356" i="8" s="1"/>
  <c r="T730" i="8"/>
  <c r="T269" i="8"/>
  <c r="P62" i="8"/>
  <c r="Q303" i="8"/>
  <c r="T303" i="8" s="1"/>
  <c r="P61" i="4"/>
  <c r="K701" i="6"/>
  <c r="P96" i="7"/>
  <c r="U119" i="5"/>
  <c r="U730" i="7"/>
  <c r="R117" i="8"/>
  <c r="P159" i="8"/>
  <c r="Q94" i="8"/>
  <c r="T94" i="8" s="1"/>
  <c r="U188" i="8"/>
  <c r="T731" i="8"/>
  <c r="T616" i="8"/>
  <c r="O322" i="8"/>
  <c r="L320" i="8"/>
  <c r="O320" i="8" s="1"/>
  <c r="O285" i="6"/>
  <c r="O305" i="6"/>
  <c r="P141" i="6"/>
  <c r="R303" i="7"/>
  <c r="U303" i="7" s="1"/>
  <c r="L94" i="6"/>
  <c r="O94" i="6" s="1"/>
  <c r="M44" i="8"/>
  <c r="P44" i="8" s="1"/>
  <c r="U189" i="8"/>
  <c r="U74" i="8"/>
  <c r="P186" i="8"/>
  <c r="O188" i="8"/>
  <c r="R186" i="8"/>
  <c r="U186" i="8" s="1"/>
  <c r="O74" i="8"/>
  <c r="L72" i="8"/>
  <c r="O72" i="8" s="1"/>
  <c r="P268" i="8"/>
  <c r="K374" i="2"/>
  <c r="L117" i="4"/>
  <c r="O117" i="4" s="1"/>
  <c r="T117" i="7"/>
  <c r="L282" i="7"/>
  <c r="O282" i="7" s="1"/>
  <c r="L513" i="7"/>
  <c r="O513" i="7" s="1"/>
  <c r="T268" i="7"/>
  <c r="T189" i="7"/>
  <c r="P96" i="8"/>
  <c r="P335" i="8"/>
  <c r="T693" i="8"/>
  <c r="S266" i="1"/>
  <c r="P335" i="2"/>
  <c r="T97" i="5"/>
  <c r="P188" i="6"/>
  <c r="U762" i="6"/>
  <c r="N94" i="8"/>
  <c r="P94" i="8" s="1"/>
  <c r="L59" i="8"/>
  <c r="O59" i="8" s="1"/>
  <c r="O61" i="8"/>
  <c r="K82" i="8"/>
  <c r="I70" i="8"/>
  <c r="K70" i="8" s="1"/>
  <c r="U141" i="8"/>
  <c r="R139" i="8"/>
  <c r="U139" i="8" s="1"/>
  <c r="Q690" i="8"/>
  <c r="T690" i="8" s="1"/>
  <c r="T692" i="8"/>
  <c r="T619" i="8"/>
  <c r="N173" i="1"/>
  <c r="N320" i="1"/>
  <c r="U97" i="5"/>
  <c r="S117" i="5"/>
  <c r="U117" i="5" s="1"/>
  <c r="U269" i="6"/>
  <c r="P23" i="8"/>
  <c r="M20" i="8"/>
  <c r="M21" i="8"/>
  <c r="P358" i="8"/>
  <c r="M356" i="8"/>
  <c r="P356" i="8" s="1"/>
  <c r="O333" i="8"/>
  <c r="O305" i="8"/>
  <c r="L303" i="8"/>
  <c r="O303" i="8" s="1"/>
  <c r="O335" i="8"/>
  <c r="O188" i="5"/>
  <c r="P96" i="6"/>
  <c r="P335" i="6"/>
  <c r="P268" i="6"/>
  <c r="O173" i="7"/>
  <c r="O188" i="7"/>
  <c r="R157" i="7"/>
  <c r="U157" i="7" s="1"/>
  <c r="T618" i="7"/>
  <c r="U618" i="7"/>
  <c r="T730" i="7"/>
  <c r="K374" i="7"/>
  <c r="Q20" i="8"/>
  <c r="T23" i="8"/>
  <c r="Q21" i="8"/>
  <c r="O96" i="8"/>
  <c r="O176" i="8"/>
  <c r="N21" i="8"/>
  <c r="N20" i="8"/>
  <c r="N18" i="8" s="1"/>
  <c r="S21" i="8"/>
  <c r="O160" i="8"/>
  <c r="M59" i="8"/>
  <c r="P59" i="8" s="1"/>
  <c r="K332" i="8"/>
  <c r="R493" i="8"/>
  <c r="U493" i="8" s="1"/>
  <c r="U495" i="8"/>
  <c r="T377" i="8"/>
  <c r="Q375" i="8"/>
  <c r="T375" i="8" s="1"/>
  <c r="R690" i="8"/>
  <c r="U690" i="8" s="1"/>
  <c r="U692" i="8"/>
  <c r="U618" i="8"/>
  <c r="R616" i="8"/>
  <c r="U616" i="8" s="1"/>
  <c r="M139" i="8"/>
  <c r="P139" i="8" s="1"/>
  <c r="U760" i="6"/>
  <c r="L20" i="8"/>
  <c r="O23" i="8"/>
  <c r="L21" i="8"/>
  <c r="O21" i="8" s="1"/>
  <c r="O243" i="8"/>
  <c r="L232" i="8"/>
  <c r="T188" i="8"/>
  <c r="Q186" i="8"/>
  <c r="T186" i="8" s="1"/>
  <c r="T644" i="8"/>
  <c r="Q642" i="8"/>
  <c r="T642" i="8" s="1"/>
  <c r="Q760" i="8"/>
  <c r="T760" i="8" s="1"/>
  <c r="T762" i="8"/>
  <c r="P268" i="2"/>
  <c r="P323" i="2"/>
  <c r="T730" i="2"/>
  <c r="N413" i="1"/>
  <c r="L173" i="1"/>
  <c r="S59" i="1"/>
  <c r="I231" i="6"/>
  <c r="K231" i="6" s="1"/>
  <c r="M72" i="7"/>
  <c r="P72" i="7" s="1"/>
  <c r="T97" i="7"/>
  <c r="R266" i="7"/>
  <c r="U266" i="7" s="1"/>
  <c r="R20" i="8"/>
  <c r="U20" i="8" s="1"/>
  <c r="U23" i="8"/>
  <c r="L24" i="8"/>
  <c r="O24" i="8" s="1"/>
  <c r="M72" i="8"/>
  <c r="P72" i="8" s="1"/>
  <c r="Q173" i="8"/>
  <c r="T173" i="8" s="1"/>
  <c r="T175" i="8"/>
  <c r="R760" i="8"/>
  <c r="U760" i="8" s="1"/>
  <c r="U19" i="8"/>
  <c r="T618" i="5"/>
  <c r="P59" i="6"/>
  <c r="T377" i="6"/>
  <c r="P160" i="7"/>
  <c r="U97" i="6"/>
  <c r="T760" i="7"/>
  <c r="P266" i="7"/>
  <c r="L44" i="8"/>
  <c r="O46" i="8"/>
  <c r="L157" i="8"/>
  <c r="O157" i="8" s="1"/>
  <c r="R21" i="8"/>
  <c r="I231" i="8"/>
  <c r="K242" i="8"/>
  <c r="P322" i="8"/>
  <c r="M320" i="8"/>
  <c r="P320" i="8" s="1"/>
  <c r="U644" i="8"/>
  <c r="R72" i="5"/>
  <c r="U72" i="5" s="1"/>
  <c r="O284" i="6"/>
  <c r="T306" i="6"/>
  <c r="T728" i="6"/>
  <c r="M282" i="7"/>
  <c r="P282" i="7" s="1"/>
  <c r="T616" i="7"/>
  <c r="R728" i="7"/>
  <c r="U728" i="7" s="1"/>
  <c r="K332" i="6"/>
  <c r="Q266" i="7"/>
  <c r="T266" i="7" s="1"/>
  <c r="N616" i="1"/>
  <c r="U693" i="3"/>
  <c r="P358" i="4"/>
  <c r="T269" i="6"/>
  <c r="N72" i="1"/>
  <c r="O72" i="1" s="1"/>
  <c r="M24" i="7"/>
  <c r="P24" i="7" s="1"/>
  <c r="M59" i="7"/>
  <c r="P59" i="7" s="1"/>
  <c r="O358" i="7"/>
  <c r="L303" i="7"/>
  <c r="O303" i="7" s="1"/>
  <c r="N375" i="1"/>
  <c r="T645" i="5"/>
  <c r="O74" i="6"/>
  <c r="S117" i="6"/>
  <c r="T117" i="6" s="1"/>
  <c r="P358" i="6"/>
  <c r="O142" i="7"/>
  <c r="O160" i="7"/>
  <c r="T375" i="7"/>
  <c r="T762" i="7"/>
  <c r="P47" i="7"/>
  <c r="L72" i="7"/>
  <c r="O72" i="7" s="1"/>
  <c r="O74" i="7"/>
  <c r="S320" i="1"/>
  <c r="P356" i="4"/>
  <c r="M117" i="5"/>
  <c r="P117" i="5" s="1"/>
  <c r="K374" i="5"/>
  <c r="O306" i="6"/>
  <c r="U731" i="6"/>
  <c r="Q94" i="7"/>
  <c r="T94" i="7" s="1"/>
  <c r="O96" i="7"/>
  <c r="O356" i="6"/>
  <c r="T728" i="7"/>
  <c r="P268" i="7"/>
  <c r="M44" i="7"/>
  <c r="I70" i="7"/>
  <c r="K70" i="7" s="1"/>
  <c r="K82" i="7"/>
  <c r="M356" i="7"/>
  <c r="P356" i="7" s="1"/>
  <c r="U415" i="7"/>
  <c r="R413" i="7"/>
  <c r="U413" i="7" s="1"/>
  <c r="O356" i="7"/>
  <c r="R690" i="7"/>
  <c r="U690" i="7" s="1"/>
  <c r="U692" i="7"/>
  <c r="O189" i="1"/>
  <c r="T692" i="4"/>
  <c r="U618" i="4"/>
  <c r="T268" i="4"/>
  <c r="U119" i="6"/>
  <c r="O358" i="6"/>
  <c r="O141" i="6"/>
  <c r="O159" i="7"/>
  <c r="P175" i="7"/>
  <c r="L117" i="7"/>
  <c r="O117" i="7" s="1"/>
  <c r="Q493" i="7"/>
  <c r="T493" i="7" s="1"/>
  <c r="I412" i="7"/>
  <c r="K412" i="7" s="1"/>
  <c r="K423" i="7"/>
  <c r="T692" i="7"/>
  <c r="R760" i="7"/>
  <c r="U760" i="7" s="1"/>
  <c r="Q493" i="6"/>
  <c r="U618" i="2"/>
  <c r="T645" i="1"/>
  <c r="U692" i="4"/>
  <c r="M94" i="4"/>
  <c r="P94" i="4" s="1"/>
  <c r="Q157" i="4"/>
  <c r="T157" i="4" s="1"/>
  <c r="N72" i="6"/>
  <c r="O72" i="6" s="1"/>
  <c r="O282" i="6"/>
  <c r="T730" i="6"/>
  <c r="L24" i="7"/>
  <c r="O24" i="7" s="1"/>
  <c r="L157" i="7"/>
  <c r="O157" i="7" s="1"/>
  <c r="P159" i="7"/>
  <c r="O243" i="7"/>
  <c r="L232" i="7"/>
  <c r="U378" i="7"/>
  <c r="Q303" i="7"/>
  <c r="T303" i="7" s="1"/>
  <c r="U377" i="7"/>
  <c r="U375" i="7"/>
  <c r="R493" i="7"/>
  <c r="U493" i="7" s="1"/>
  <c r="L266" i="7"/>
  <c r="O266" i="7" s="1"/>
  <c r="U644" i="7"/>
  <c r="R642" i="7"/>
  <c r="U642" i="7" s="1"/>
  <c r="R157" i="6"/>
  <c r="U157" i="6" s="1"/>
  <c r="U188" i="6"/>
  <c r="Q20" i="7"/>
  <c r="T23" i="7"/>
  <c r="Q21" i="7"/>
  <c r="O175" i="7"/>
  <c r="L44" i="7"/>
  <c r="O46" i="7"/>
  <c r="R117" i="7"/>
  <c r="U117" i="7" s="1"/>
  <c r="M303" i="7"/>
  <c r="P303" i="7" s="1"/>
  <c r="T618" i="2"/>
  <c r="P74" i="1"/>
  <c r="N642" i="1"/>
  <c r="L513" i="5"/>
  <c r="O513" i="5" s="1"/>
  <c r="Q642" i="6"/>
  <c r="T642" i="6" s="1"/>
  <c r="P175" i="6"/>
  <c r="L20" i="7"/>
  <c r="O23" i="7"/>
  <c r="M139" i="7"/>
  <c r="P139" i="7" s="1"/>
  <c r="P173" i="7"/>
  <c r="P335" i="7"/>
  <c r="I231" i="7"/>
  <c r="K242" i="7"/>
  <c r="S21" i="7"/>
  <c r="U21" i="7" s="1"/>
  <c r="N21" i="7"/>
  <c r="P21" i="7" s="1"/>
  <c r="N20" i="7"/>
  <c r="N18" i="7" s="1"/>
  <c r="R173" i="7"/>
  <c r="U173" i="7" s="1"/>
  <c r="K332" i="7"/>
  <c r="T763" i="7"/>
  <c r="S714" i="1"/>
  <c r="K374" i="3"/>
  <c r="T728" i="5"/>
  <c r="U730" i="6"/>
  <c r="R20" i="7"/>
  <c r="U20" i="7" s="1"/>
  <c r="U23" i="7"/>
  <c r="P23" i="7"/>
  <c r="M20" i="7"/>
  <c r="O176" i="7"/>
  <c r="P157" i="7"/>
  <c r="L59" i="7"/>
  <c r="O59" i="7" s="1"/>
  <c r="O61" i="7"/>
  <c r="L186" i="7"/>
  <c r="O186" i="7" s="1"/>
  <c r="U19" i="7"/>
  <c r="N94" i="7"/>
  <c r="O335" i="7"/>
  <c r="L333" i="7"/>
  <c r="O333" i="7" s="1"/>
  <c r="T188" i="7"/>
  <c r="Q186" i="7"/>
  <c r="T186" i="7" s="1"/>
  <c r="R266" i="6"/>
  <c r="U266" i="6" s="1"/>
  <c r="U268" i="6"/>
  <c r="N534" i="1"/>
  <c r="U96" i="4"/>
  <c r="P359" i="4"/>
  <c r="P306" i="5"/>
  <c r="P356" i="6"/>
  <c r="Q303" i="6"/>
  <c r="T303" i="6" s="1"/>
  <c r="N303" i="5"/>
  <c r="P303" i="5" s="1"/>
  <c r="L513" i="6"/>
  <c r="O513" i="6" s="1"/>
  <c r="R642" i="6"/>
  <c r="U642" i="6" s="1"/>
  <c r="P141" i="5"/>
  <c r="U645" i="1"/>
  <c r="N728" i="1"/>
  <c r="T74" i="1"/>
  <c r="O74" i="3"/>
  <c r="M303" i="3"/>
  <c r="P303" i="3" s="1"/>
  <c r="K423" i="3"/>
  <c r="L513" i="3"/>
  <c r="O513" i="3" s="1"/>
  <c r="R760" i="4"/>
  <c r="U760" i="4" s="1"/>
  <c r="M24" i="5"/>
  <c r="P24" i="5" s="1"/>
  <c r="O141" i="5"/>
  <c r="I70" i="5"/>
  <c r="K70" i="5" s="1"/>
  <c r="M513" i="5"/>
  <c r="P513" i="5" s="1"/>
  <c r="U306" i="5"/>
  <c r="R266" i="5"/>
  <c r="U266" i="5" s="1"/>
  <c r="M139" i="6"/>
  <c r="P139" i="6" s="1"/>
  <c r="Q173" i="6"/>
  <c r="T173" i="6" s="1"/>
  <c r="S21" i="6"/>
  <c r="U21" i="6" s="1"/>
  <c r="L266" i="6"/>
  <c r="O266" i="6" s="1"/>
  <c r="P303" i="6"/>
  <c r="Q375" i="6"/>
  <c r="T375" i="6" s="1"/>
  <c r="L139" i="6"/>
  <c r="O139" i="6" s="1"/>
  <c r="P515" i="6"/>
  <c r="N266" i="6"/>
  <c r="P266" i="6" s="1"/>
  <c r="O188" i="6"/>
  <c r="T378" i="1"/>
  <c r="U645" i="3"/>
  <c r="K701" i="4"/>
  <c r="M157" i="5"/>
  <c r="P157" i="5" s="1"/>
  <c r="O268" i="5"/>
  <c r="T268" i="5"/>
  <c r="T269" i="5"/>
  <c r="P74" i="6"/>
  <c r="Q139" i="6"/>
  <c r="T139" i="6" s="1"/>
  <c r="L24" i="6"/>
  <c r="O24" i="6" s="1"/>
  <c r="P173" i="6"/>
  <c r="O142" i="6"/>
  <c r="T74" i="6"/>
  <c r="M186" i="6"/>
  <c r="P186" i="6" s="1"/>
  <c r="P305" i="6"/>
  <c r="O186" i="6"/>
  <c r="R375" i="6"/>
  <c r="U375" i="6" s="1"/>
  <c r="R728" i="6"/>
  <c r="U728" i="6" s="1"/>
  <c r="K83" i="3"/>
  <c r="M59" i="4"/>
  <c r="P59" i="4" s="1"/>
  <c r="M117" i="4"/>
  <c r="P117" i="4" s="1"/>
  <c r="U760" i="5"/>
  <c r="U642" i="5"/>
  <c r="U762" i="5"/>
  <c r="O175" i="6"/>
  <c r="P176" i="6"/>
  <c r="L157" i="6"/>
  <c r="O157" i="6" s="1"/>
  <c r="U618" i="6"/>
  <c r="U189" i="6"/>
  <c r="U141" i="6"/>
  <c r="R139" i="6"/>
  <c r="U139" i="6" s="1"/>
  <c r="O189" i="6"/>
  <c r="P189" i="6"/>
  <c r="M282" i="6"/>
  <c r="P282" i="6" s="1"/>
  <c r="P284" i="6"/>
  <c r="T693" i="3"/>
  <c r="I71" i="4"/>
  <c r="K71" i="4" s="1"/>
  <c r="I71" i="5"/>
  <c r="K71" i="5" s="1"/>
  <c r="Q72" i="5"/>
  <c r="T72" i="5" s="1"/>
  <c r="P175" i="5"/>
  <c r="O358" i="5"/>
  <c r="U378" i="5"/>
  <c r="R728" i="5"/>
  <c r="U728" i="5" s="1"/>
  <c r="U693" i="5"/>
  <c r="Q413" i="5"/>
  <c r="T413" i="5" s="1"/>
  <c r="N21" i="6"/>
  <c r="O21" i="6" s="1"/>
  <c r="M72" i="6"/>
  <c r="L173" i="6"/>
  <c r="O173" i="6" s="1"/>
  <c r="U186" i="6"/>
  <c r="O335" i="6"/>
  <c r="L333" i="6"/>
  <c r="O333" i="6" s="1"/>
  <c r="S72" i="6"/>
  <c r="U72" i="6" s="1"/>
  <c r="R303" i="6"/>
  <c r="U303" i="6" s="1"/>
  <c r="R690" i="6"/>
  <c r="U690" i="6" s="1"/>
  <c r="R616" i="6"/>
  <c r="U616" i="6" s="1"/>
  <c r="N24" i="1"/>
  <c r="P158" i="1"/>
  <c r="N266" i="1"/>
  <c r="L94" i="4"/>
  <c r="O94" i="4" s="1"/>
  <c r="U268" i="4"/>
  <c r="U94" i="5"/>
  <c r="L20" i="6"/>
  <c r="O23" i="6"/>
  <c r="L44" i="6"/>
  <c r="O46" i="6"/>
  <c r="M117" i="6"/>
  <c r="P117" i="6" s="1"/>
  <c r="M24" i="6"/>
  <c r="P24" i="6" s="1"/>
  <c r="K83" i="6"/>
  <c r="I71" i="6"/>
  <c r="K71" i="6" s="1"/>
  <c r="T94" i="5"/>
  <c r="R20" i="6"/>
  <c r="U20" i="6" s="1"/>
  <c r="U23" i="6"/>
  <c r="P23" i="6"/>
  <c r="M20" i="6"/>
  <c r="I70" i="6"/>
  <c r="K70" i="6" s="1"/>
  <c r="K82" i="6"/>
  <c r="U19" i="6"/>
  <c r="L303" i="6"/>
  <c r="O303" i="6" s="1"/>
  <c r="O323" i="1"/>
  <c r="U72" i="3"/>
  <c r="T94" i="3"/>
  <c r="Q20" i="6"/>
  <c r="T23" i="6"/>
  <c r="Q21" i="6"/>
  <c r="M21" i="6"/>
  <c r="M44" i="6"/>
  <c r="N94" i="6"/>
  <c r="P94" i="6" s="1"/>
  <c r="L232" i="6"/>
  <c r="O243" i="6"/>
  <c r="N320" i="6"/>
  <c r="P322" i="6"/>
  <c r="T186" i="6"/>
  <c r="O322" i="6"/>
  <c r="P333" i="6"/>
  <c r="T618" i="6"/>
  <c r="Q760" i="6"/>
  <c r="T760" i="6" s="1"/>
  <c r="U375" i="5"/>
  <c r="R139" i="5"/>
  <c r="U139" i="5" s="1"/>
  <c r="U619" i="5"/>
  <c r="P160" i="6"/>
  <c r="P61" i="6"/>
  <c r="M157" i="6"/>
  <c r="P157" i="6" s="1"/>
  <c r="L59" i="6"/>
  <c r="O59" i="6" s="1"/>
  <c r="O61" i="6"/>
  <c r="S18" i="6"/>
  <c r="Q413" i="6"/>
  <c r="T413" i="6" s="1"/>
  <c r="T268" i="6"/>
  <c r="Q266" i="6"/>
  <c r="T266" i="6" s="1"/>
  <c r="T188" i="6"/>
  <c r="Q690" i="6"/>
  <c r="T690" i="6" s="1"/>
  <c r="T616" i="6"/>
  <c r="M534" i="1"/>
  <c r="P534" i="1" s="1"/>
  <c r="S555" i="1"/>
  <c r="Q44" i="1"/>
  <c r="T44" i="1" s="1"/>
  <c r="O335" i="2"/>
  <c r="T268" i="2"/>
  <c r="K701" i="3"/>
  <c r="P175" i="4"/>
  <c r="R493" i="4"/>
  <c r="U493" i="4" s="1"/>
  <c r="U188" i="4"/>
  <c r="T188" i="4"/>
  <c r="O46" i="5"/>
  <c r="T188" i="5"/>
  <c r="L282" i="5"/>
  <c r="O282" i="5" s="1"/>
  <c r="O306" i="5"/>
  <c r="T619" i="5"/>
  <c r="P358" i="5"/>
  <c r="U120" i="1"/>
  <c r="R375" i="1"/>
  <c r="O359" i="4"/>
  <c r="U186" i="4"/>
  <c r="L356" i="5"/>
  <c r="O356" i="5" s="1"/>
  <c r="P266" i="5"/>
  <c r="Q303" i="5"/>
  <c r="T303" i="5" s="1"/>
  <c r="R266" i="1"/>
  <c r="S616" i="1"/>
  <c r="T305" i="1"/>
  <c r="M616" i="1"/>
  <c r="P616" i="1" s="1"/>
  <c r="T266" i="4"/>
  <c r="S21" i="5"/>
  <c r="M320" i="4"/>
  <c r="P320" i="4" s="1"/>
  <c r="U645" i="4"/>
  <c r="U616" i="4"/>
  <c r="L72" i="5"/>
  <c r="O72" i="5" s="1"/>
  <c r="R616" i="5"/>
  <c r="U616" i="5" s="1"/>
  <c r="U618" i="5"/>
  <c r="K701" i="5"/>
  <c r="M117" i="1"/>
  <c r="P117" i="1" s="1"/>
  <c r="Q21" i="1"/>
  <c r="U495" i="2"/>
  <c r="S728" i="1"/>
  <c r="U378" i="1"/>
  <c r="U306" i="4"/>
  <c r="O358" i="4"/>
  <c r="Q413" i="4"/>
  <c r="T413" i="4" s="1"/>
  <c r="Q760" i="4"/>
  <c r="T760" i="4" s="1"/>
  <c r="U645" i="5"/>
  <c r="K332" i="5"/>
  <c r="L94" i="5"/>
  <c r="O94" i="5" s="1"/>
  <c r="L320" i="5"/>
  <c r="O320" i="5" s="1"/>
  <c r="T306" i="5"/>
  <c r="U189" i="3"/>
  <c r="Q20" i="5"/>
  <c r="T20" i="5" s="1"/>
  <c r="T23" i="5"/>
  <c r="Q21" i="5"/>
  <c r="O305" i="5"/>
  <c r="L303" i="5"/>
  <c r="U159" i="5"/>
  <c r="R157" i="5"/>
  <c r="U157" i="5" s="1"/>
  <c r="P356" i="5"/>
  <c r="T375" i="5"/>
  <c r="O175" i="2"/>
  <c r="T186" i="1"/>
  <c r="R576" i="1"/>
  <c r="U576" i="1" s="1"/>
  <c r="Q303" i="1"/>
  <c r="M20" i="1"/>
  <c r="O358" i="2"/>
  <c r="T119" i="3"/>
  <c r="T266" i="3"/>
  <c r="L266" i="3"/>
  <c r="O266" i="3" s="1"/>
  <c r="T97" i="3"/>
  <c r="U731" i="3"/>
  <c r="U97" i="3"/>
  <c r="L24" i="4"/>
  <c r="O24" i="4" s="1"/>
  <c r="M173" i="4"/>
  <c r="P173" i="4" s="1"/>
  <c r="R375" i="4"/>
  <c r="U375" i="4" s="1"/>
  <c r="O285" i="4"/>
  <c r="O61" i="4"/>
  <c r="L21" i="5"/>
  <c r="L20" i="5"/>
  <c r="O23" i="5"/>
  <c r="P19" i="5"/>
  <c r="L24" i="5"/>
  <c r="O24" i="5" s="1"/>
  <c r="O26" i="5"/>
  <c r="L173" i="5"/>
  <c r="O173" i="5" s="1"/>
  <c r="O175" i="5"/>
  <c r="M173" i="5"/>
  <c r="P173" i="5" s="1"/>
  <c r="U188" i="5"/>
  <c r="M139" i="5"/>
  <c r="P139" i="5" s="1"/>
  <c r="Q493" i="5"/>
  <c r="T493" i="5" s="1"/>
  <c r="T175" i="5"/>
  <c r="Q173" i="5"/>
  <c r="T173" i="5" s="1"/>
  <c r="O359" i="5"/>
  <c r="P188" i="5"/>
  <c r="T692" i="1"/>
  <c r="U496" i="1"/>
  <c r="Q493" i="1"/>
  <c r="T493" i="1" s="1"/>
  <c r="O174" i="1"/>
  <c r="T693" i="1"/>
  <c r="S392" i="1"/>
  <c r="U692" i="1"/>
  <c r="P268" i="3"/>
  <c r="O189" i="4"/>
  <c r="U120" i="4"/>
  <c r="U305" i="4"/>
  <c r="P268" i="4"/>
  <c r="R21" i="5"/>
  <c r="R20" i="5"/>
  <c r="U23" i="5"/>
  <c r="T19" i="5"/>
  <c r="O44" i="5"/>
  <c r="L117" i="5"/>
  <c r="O117" i="5" s="1"/>
  <c r="O119" i="5"/>
  <c r="O59" i="5"/>
  <c r="P322" i="5"/>
  <c r="M320" i="5"/>
  <c r="P320" i="5" s="1"/>
  <c r="T119" i="5"/>
  <c r="Q117" i="5"/>
  <c r="U415" i="5"/>
  <c r="R413" i="5"/>
  <c r="U413" i="5" s="1"/>
  <c r="I412" i="5"/>
  <c r="K412" i="5" s="1"/>
  <c r="K423" i="5"/>
  <c r="P189" i="5"/>
  <c r="Q760" i="5"/>
  <c r="T760" i="5" s="1"/>
  <c r="U728" i="4"/>
  <c r="M44" i="5"/>
  <c r="P46" i="5"/>
  <c r="P23" i="5"/>
  <c r="M20" i="5"/>
  <c r="N21" i="5"/>
  <c r="N20" i="5"/>
  <c r="N18" i="5" s="1"/>
  <c r="M21" i="5"/>
  <c r="O61" i="5"/>
  <c r="L232" i="5"/>
  <c r="O243" i="5"/>
  <c r="R493" i="5"/>
  <c r="U493" i="5" s="1"/>
  <c r="K242" i="5"/>
  <c r="I231" i="5"/>
  <c r="U493" i="2"/>
  <c r="U693" i="1"/>
  <c r="S356" i="1"/>
  <c r="T23" i="1"/>
  <c r="L282" i="3"/>
  <c r="O282" i="3" s="1"/>
  <c r="U692" i="3"/>
  <c r="Q413" i="3"/>
  <c r="T413" i="3" s="1"/>
  <c r="T731" i="3"/>
  <c r="L72" i="4"/>
  <c r="O72" i="4" s="1"/>
  <c r="M24" i="4"/>
  <c r="P24" i="4" s="1"/>
  <c r="Q186" i="4"/>
  <c r="T186" i="4" s="1"/>
  <c r="U690" i="4"/>
  <c r="T645" i="4"/>
  <c r="L356" i="4"/>
  <c r="O356" i="4" s="1"/>
  <c r="M59" i="5"/>
  <c r="P59" i="5" s="1"/>
  <c r="P61" i="5"/>
  <c r="P96" i="5"/>
  <c r="M94" i="5"/>
  <c r="P94" i="5" s="1"/>
  <c r="P268" i="5"/>
  <c r="N186" i="5"/>
  <c r="O186" i="5" s="1"/>
  <c r="L333" i="5"/>
  <c r="O335" i="5"/>
  <c r="T692" i="5"/>
  <c r="Q690" i="5"/>
  <c r="T690" i="5" s="1"/>
  <c r="T377" i="5"/>
  <c r="U377" i="5"/>
  <c r="R690" i="5"/>
  <c r="U690" i="5" s="1"/>
  <c r="U692" i="5"/>
  <c r="S282" i="1"/>
  <c r="T189" i="3"/>
  <c r="O188" i="4"/>
  <c r="P188" i="4"/>
  <c r="U763" i="1"/>
  <c r="T189" i="1"/>
  <c r="Q94" i="1"/>
  <c r="R534" i="1"/>
  <c r="U534" i="1" s="1"/>
  <c r="Q157" i="3"/>
  <c r="T157" i="3" s="1"/>
  <c r="K332" i="3"/>
  <c r="U96" i="1"/>
  <c r="P47" i="3"/>
  <c r="T120" i="4"/>
  <c r="T305" i="4"/>
  <c r="M72" i="5"/>
  <c r="P72" i="5" s="1"/>
  <c r="P74" i="5"/>
  <c r="L157" i="5"/>
  <c r="O157" i="5" s="1"/>
  <c r="O159" i="5"/>
  <c r="U175" i="5"/>
  <c r="R173" i="5"/>
  <c r="U173" i="5" s="1"/>
  <c r="U186" i="5"/>
  <c r="P284" i="5"/>
  <c r="M282" i="5"/>
  <c r="P282" i="5" s="1"/>
  <c r="N333" i="5"/>
  <c r="P333" i="5" s="1"/>
  <c r="P142" i="5"/>
  <c r="O61" i="1"/>
  <c r="P336" i="4"/>
  <c r="M24" i="2"/>
  <c r="P24" i="2" s="1"/>
  <c r="L493" i="1"/>
  <c r="O493" i="1" s="1"/>
  <c r="M282" i="3"/>
  <c r="P282" i="3" s="1"/>
  <c r="T644" i="3"/>
  <c r="T642" i="2"/>
  <c r="T96" i="1"/>
  <c r="N40" i="4"/>
  <c r="P189" i="4"/>
  <c r="S690" i="1"/>
  <c r="L513" i="4"/>
  <c r="O513" i="4" s="1"/>
  <c r="P305" i="2"/>
  <c r="R186" i="3"/>
  <c r="U186" i="3" s="1"/>
  <c r="M266" i="4"/>
  <c r="P266" i="4" s="1"/>
  <c r="T642" i="3"/>
  <c r="L139" i="4"/>
  <c r="O139" i="4" s="1"/>
  <c r="P284" i="4"/>
  <c r="L59" i="4"/>
  <c r="O59" i="4" s="1"/>
  <c r="S303" i="1"/>
  <c r="U728" i="3"/>
  <c r="P266" i="3"/>
  <c r="R139" i="4"/>
  <c r="U139" i="4" s="1"/>
  <c r="L157" i="4"/>
  <c r="O157" i="4" s="1"/>
  <c r="I70" i="4"/>
  <c r="K70" i="4" s="1"/>
  <c r="U692" i="2"/>
  <c r="P282" i="4"/>
  <c r="T619" i="4"/>
  <c r="U644" i="1"/>
  <c r="Q139" i="4"/>
  <c r="T139" i="4" s="1"/>
  <c r="M333" i="4"/>
  <c r="P333" i="4" s="1"/>
  <c r="T692" i="3"/>
  <c r="P23" i="4"/>
  <c r="M20" i="4"/>
  <c r="M18" i="4" s="1"/>
  <c r="P141" i="4"/>
  <c r="M139" i="4"/>
  <c r="P139" i="4" s="1"/>
  <c r="O284" i="4"/>
  <c r="L282" i="4"/>
  <c r="O282" i="4" s="1"/>
  <c r="Q173" i="4"/>
  <c r="T173" i="4" s="1"/>
  <c r="U618" i="1"/>
  <c r="M303" i="1"/>
  <c r="P303" i="1" s="1"/>
  <c r="U189" i="2"/>
  <c r="L232" i="2"/>
  <c r="N392" i="1"/>
  <c r="P160" i="1"/>
  <c r="T692" i="2"/>
  <c r="Q375" i="1"/>
  <c r="O96" i="3"/>
  <c r="T645" i="3"/>
  <c r="Q690" i="3"/>
  <c r="T690" i="3" s="1"/>
  <c r="O46" i="4"/>
  <c r="O19" i="4"/>
  <c r="P46" i="4"/>
  <c r="M186" i="4"/>
  <c r="P186" i="4" s="1"/>
  <c r="R20" i="4"/>
  <c r="U23" i="4"/>
  <c r="T189" i="4"/>
  <c r="Q94" i="4"/>
  <c r="T94" i="4" s="1"/>
  <c r="T96" i="4"/>
  <c r="U730" i="4"/>
  <c r="T728" i="4"/>
  <c r="Q690" i="4"/>
  <c r="T690" i="4" s="1"/>
  <c r="O175" i="4"/>
  <c r="L173" i="4"/>
  <c r="O173" i="4" s="1"/>
  <c r="L20" i="4"/>
  <c r="O23" i="4"/>
  <c r="Q375" i="4"/>
  <c r="T375" i="4" s="1"/>
  <c r="T377" i="4"/>
  <c r="O495" i="1"/>
  <c r="P75" i="1"/>
  <c r="U377" i="1"/>
  <c r="S642" i="1"/>
  <c r="O285" i="1"/>
  <c r="K701" i="2"/>
  <c r="O97" i="1"/>
  <c r="T269" i="3"/>
  <c r="M44" i="4"/>
  <c r="N21" i="4"/>
  <c r="N20" i="4"/>
  <c r="N18" i="4" s="1"/>
  <c r="R413" i="4"/>
  <c r="U413" i="4" s="1"/>
  <c r="K242" i="4"/>
  <c r="I231" i="4"/>
  <c r="K615" i="4"/>
  <c r="O186" i="4"/>
  <c r="L232" i="4"/>
  <c r="T618" i="4"/>
  <c r="Q616" i="4"/>
  <c r="T616" i="4" s="1"/>
  <c r="J457" i="1"/>
  <c r="J456" i="1" s="1"/>
  <c r="R59" i="1"/>
  <c r="U59" i="1" s="1"/>
  <c r="L320" i="3"/>
  <c r="O320" i="3" s="1"/>
  <c r="Q20" i="4"/>
  <c r="T20" i="4" s="1"/>
  <c r="T23" i="4"/>
  <c r="Q21" i="4"/>
  <c r="O305" i="4"/>
  <c r="L303" i="4"/>
  <c r="O303" i="4" s="1"/>
  <c r="P159" i="4"/>
  <c r="M157" i="4"/>
  <c r="P157" i="4" s="1"/>
  <c r="T120" i="1"/>
  <c r="T644" i="1"/>
  <c r="M186" i="1"/>
  <c r="P186" i="1" s="1"/>
  <c r="L94" i="2"/>
  <c r="O94" i="2" s="1"/>
  <c r="R690" i="2"/>
  <c r="U690" i="2" s="1"/>
  <c r="P61" i="3"/>
  <c r="T74" i="3"/>
  <c r="U303" i="3"/>
  <c r="M117" i="3"/>
  <c r="P117" i="3" s="1"/>
  <c r="U120" i="2"/>
  <c r="U642" i="3"/>
  <c r="T19" i="4"/>
  <c r="L21" i="4"/>
  <c r="M72" i="4"/>
  <c r="P72" i="4" s="1"/>
  <c r="L44" i="4"/>
  <c r="P19" i="4"/>
  <c r="O268" i="4"/>
  <c r="L266" i="4"/>
  <c r="O266" i="4" s="1"/>
  <c r="Q642" i="4"/>
  <c r="T642" i="4" s="1"/>
  <c r="L333" i="4"/>
  <c r="O333" i="4" s="1"/>
  <c r="O335" i="4"/>
  <c r="L320" i="4"/>
  <c r="O320" i="4" s="1"/>
  <c r="R173" i="1"/>
  <c r="U173" i="1" s="1"/>
  <c r="U269" i="3"/>
  <c r="O73" i="1"/>
  <c r="L19" i="1"/>
  <c r="O19" i="1" s="1"/>
  <c r="P21" i="2"/>
  <c r="P284" i="2"/>
  <c r="T189" i="2"/>
  <c r="T763" i="1"/>
  <c r="J458" i="1"/>
  <c r="N690" i="1"/>
  <c r="M157" i="3"/>
  <c r="P157" i="3" s="1"/>
  <c r="S21" i="4"/>
  <c r="U21" i="4" s="1"/>
  <c r="M21" i="4"/>
  <c r="S18" i="4"/>
  <c r="O47" i="4"/>
  <c r="P47" i="4"/>
  <c r="M303" i="4"/>
  <c r="P303" i="4" s="1"/>
  <c r="P305" i="4"/>
  <c r="T730" i="4"/>
  <c r="P356" i="3"/>
  <c r="T375" i="3"/>
  <c r="T306" i="3"/>
  <c r="O358" i="3"/>
  <c r="T616" i="3"/>
  <c r="T762" i="3"/>
  <c r="P358" i="3"/>
  <c r="T495" i="3"/>
  <c r="Q493" i="3"/>
  <c r="T493" i="3" s="1"/>
  <c r="O188" i="3"/>
  <c r="L186" i="3"/>
  <c r="O186" i="3" s="1"/>
  <c r="T618" i="3"/>
  <c r="L356" i="1"/>
  <c r="M173" i="1"/>
  <c r="N714" i="1"/>
  <c r="S375" i="1"/>
  <c r="L375" i="1"/>
  <c r="O375" i="1" s="1"/>
  <c r="S72" i="1"/>
  <c r="U72" i="1" s="1"/>
  <c r="P323" i="1"/>
  <c r="U74" i="3"/>
  <c r="O141" i="3"/>
  <c r="R157" i="3"/>
  <c r="U157" i="3" s="1"/>
  <c r="L157" i="3"/>
  <c r="O157" i="3" s="1"/>
  <c r="O333" i="3"/>
  <c r="T377" i="3"/>
  <c r="U644" i="3"/>
  <c r="T728" i="3"/>
  <c r="R413" i="3"/>
  <c r="U413" i="3" s="1"/>
  <c r="R375" i="3"/>
  <c r="U375" i="3" s="1"/>
  <c r="T763" i="3"/>
  <c r="T268" i="3"/>
  <c r="P186" i="3"/>
  <c r="N599" i="1"/>
  <c r="L59" i="1"/>
  <c r="K332" i="1"/>
  <c r="P285" i="1"/>
  <c r="U645" i="2"/>
  <c r="L24" i="1"/>
  <c r="O24" i="1" s="1"/>
  <c r="M320" i="1"/>
  <c r="Q303" i="3"/>
  <c r="T303" i="3" s="1"/>
  <c r="P188" i="3"/>
  <c r="P335" i="3"/>
  <c r="M392" i="1"/>
  <c r="P392" i="1" s="1"/>
  <c r="L117" i="2"/>
  <c r="O117" i="2" s="1"/>
  <c r="L356" i="2"/>
  <c r="O356" i="2" s="1"/>
  <c r="T75" i="1"/>
  <c r="U268" i="3"/>
  <c r="P268" i="1"/>
  <c r="P159" i="2"/>
  <c r="L642" i="1"/>
  <c r="O642" i="1" s="1"/>
  <c r="M375" i="1"/>
  <c r="P375" i="1" s="1"/>
  <c r="R94" i="1"/>
  <c r="P175" i="3"/>
  <c r="R173" i="3"/>
  <c r="U173" i="3" s="1"/>
  <c r="L303" i="3"/>
  <c r="O303" i="3" s="1"/>
  <c r="Q139" i="3"/>
  <c r="T139" i="3" s="1"/>
  <c r="U760" i="3"/>
  <c r="M513" i="1"/>
  <c r="P513" i="1" s="1"/>
  <c r="N513" i="1"/>
  <c r="S534" i="1"/>
  <c r="U75" i="1"/>
  <c r="K503" i="2"/>
  <c r="L513" i="2"/>
  <c r="O513" i="2" s="1"/>
  <c r="O306" i="1"/>
  <c r="R513" i="1"/>
  <c r="U513" i="1" s="1"/>
  <c r="N282" i="1"/>
  <c r="Q266" i="2"/>
  <c r="T266" i="2" s="1"/>
  <c r="P141" i="3"/>
  <c r="O175" i="3"/>
  <c r="U616" i="3"/>
  <c r="U618" i="3"/>
  <c r="U762" i="3"/>
  <c r="T120" i="2"/>
  <c r="O188" i="2"/>
  <c r="P96" i="2"/>
  <c r="U644" i="2"/>
  <c r="R20" i="3"/>
  <c r="U20" i="3" s="1"/>
  <c r="U23" i="3"/>
  <c r="L24" i="3"/>
  <c r="O24" i="3" s="1"/>
  <c r="T72" i="3"/>
  <c r="I231" i="3"/>
  <c r="K242" i="3"/>
  <c r="M320" i="3"/>
  <c r="P320" i="3" s="1"/>
  <c r="P322" i="3"/>
  <c r="K423" i="1"/>
  <c r="I412" i="1"/>
  <c r="K412" i="1" s="1"/>
  <c r="L139" i="3"/>
  <c r="O139" i="3" s="1"/>
  <c r="P44" i="3"/>
  <c r="O159" i="2"/>
  <c r="R493" i="1"/>
  <c r="U493" i="1" s="1"/>
  <c r="L333" i="1"/>
  <c r="O333" i="1" s="1"/>
  <c r="P23" i="1"/>
  <c r="M72" i="2"/>
  <c r="P72" i="2" s="1"/>
  <c r="P46" i="2"/>
  <c r="R157" i="2"/>
  <c r="U157" i="2" s="1"/>
  <c r="T377" i="2"/>
  <c r="L333" i="2"/>
  <c r="O333" i="2" s="1"/>
  <c r="N576" i="1"/>
  <c r="T496" i="1"/>
  <c r="S139" i="1"/>
  <c r="P320" i="2"/>
  <c r="P46" i="3"/>
  <c r="U119" i="3"/>
  <c r="O61" i="3"/>
  <c r="L59" i="3"/>
  <c r="O59" i="3" s="1"/>
  <c r="M139" i="3"/>
  <c r="P139" i="3" s="1"/>
  <c r="M173" i="3"/>
  <c r="P173" i="3" s="1"/>
  <c r="I70" i="3"/>
  <c r="K70" i="3" s="1"/>
  <c r="K82" i="3"/>
  <c r="P96" i="3"/>
  <c r="O176" i="3"/>
  <c r="L173" i="3"/>
  <c r="O173" i="3" s="1"/>
  <c r="O336" i="2"/>
  <c r="T186" i="3"/>
  <c r="P322" i="2"/>
  <c r="S728" i="2"/>
  <c r="T728" i="2" s="1"/>
  <c r="S513" i="1"/>
  <c r="O643" i="1"/>
  <c r="O243" i="3"/>
  <c r="L232" i="3"/>
  <c r="R266" i="3"/>
  <c r="U266" i="3" s="1"/>
  <c r="S21" i="3"/>
  <c r="U21" i="3" s="1"/>
  <c r="O359" i="1"/>
  <c r="U514" i="1"/>
  <c r="K632" i="1"/>
  <c r="U74" i="1"/>
  <c r="Q320" i="1"/>
  <c r="T320" i="1" s="1"/>
  <c r="L44" i="3"/>
  <c r="O46" i="3"/>
  <c r="N94" i="3"/>
  <c r="P94" i="3" s="1"/>
  <c r="M24" i="3"/>
  <c r="P24" i="3" s="1"/>
  <c r="S117" i="3"/>
  <c r="T117" i="3" s="1"/>
  <c r="L117" i="3"/>
  <c r="O117" i="3" s="1"/>
  <c r="U495" i="3"/>
  <c r="R493" i="3"/>
  <c r="U493" i="3" s="1"/>
  <c r="Q760" i="3"/>
  <c r="T760" i="3" s="1"/>
  <c r="L20" i="3"/>
  <c r="O23" i="3"/>
  <c r="U19" i="3"/>
  <c r="T304" i="1"/>
  <c r="L157" i="1"/>
  <c r="O157" i="1" s="1"/>
  <c r="T619" i="1"/>
  <c r="Q266" i="1"/>
  <c r="L21" i="3"/>
  <c r="U619" i="1"/>
  <c r="Q642" i="1"/>
  <c r="T377" i="1"/>
  <c r="P62" i="1"/>
  <c r="L303" i="2"/>
  <c r="O303" i="2" s="1"/>
  <c r="Q186" i="2"/>
  <c r="T186" i="2" s="1"/>
  <c r="S94" i="1"/>
  <c r="P74" i="3"/>
  <c r="L616" i="1"/>
  <c r="O616" i="1" s="1"/>
  <c r="L728" i="1"/>
  <c r="O728" i="1" s="1"/>
  <c r="R356" i="1"/>
  <c r="U356" i="1" s="1"/>
  <c r="P359" i="1"/>
  <c r="Q157" i="1"/>
  <c r="T157" i="1" s="1"/>
  <c r="O46" i="1"/>
  <c r="U119" i="2"/>
  <c r="Q72" i="2"/>
  <c r="T72" i="2" s="1"/>
  <c r="R375" i="2"/>
  <c r="U375" i="2" s="1"/>
  <c r="L266" i="2"/>
  <c r="O266" i="2" s="1"/>
  <c r="U268" i="2"/>
  <c r="T762" i="2"/>
  <c r="U616" i="2"/>
  <c r="Q690" i="2"/>
  <c r="T690" i="2" s="1"/>
  <c r="Q20" i="3"/>
  <c r="T23" i="3"/>
  <c r="Q21" i="3"/>
  <c r="P176" i="3"/>
  <c r="P23" i="3"/>
  <c r="M20" i="3"/>
  <c r="N72" i="3"/>
  <c r="O72" i="3" s="1"/>
  <c r="M21" i="3"/>
  <c r="M59" i="3"/>
  <c r="P59" i="3" s="1"/>
  <c r="U306" i="3"/>
  <c r="M72" i="3"/>
  <c r="O335" i="3"/>
  <c r="P333" i="3"/>
  <c r="N21" i="3"/>
  <c r="N20" i="3"/>
  <c r="N18" i="3" s="1"/>
  <c r="P336" i="1"/>
  <c r="T760" i="2"/>
  <c r="P157" i="1"/>
  <c r="R320" i="1"/>
  <c r="U320" i="1" s="1"/>
  <c r="T763" i="2"/>
  <c r="M714" i="1"/>
  <c r="P714" i="1" s="1"/>
  <c r="N356" i="1"/>
  <c r="O305" i="1"/>
  <c r="L72" i="2"/>
  <c r="O72" i="2" s="1"/>
  <c r="O74" i="2"/>
  <c r="P47" i="2"/>
  <c r="Q303" i="2"/>
  <c r="T303" i="2" s="1"/>
  <c r="T305" i="2"/>
  <c r="O323" i="2"/>
  <c r="P306" i="1"/>
  <c r="L266" i="1"/>
  <c r="O266" i="1" s="1"/>
  <c r="R44" i="1"/>
  <c r="U44" i="1" s="1"/>
  <c r="M44" i="2"/>
  <c r="P44" i="2" s="1"/>
  <c r="R139" i="2"/>
  <c r="U139" i="2" s="1"/>
  <c r="T493" i="2"/>
  <c r="Q616" i="2"/>
  <c r="T616" i="2" s="1"/>
  <c r="P97" i="1"/>
  <c r="M117" i="2"/>
  <c r="P117" i="2" s="1"/>
  <c r="P119" i="2"/>
  <c r="P691" i="1"/>
  <c r="M690" i="1"/>
  <c r="P690" i="1" s="1"/>
  <c r="T378" i="2"/>
  <c r="O284" i="2"/>
  <c r="R642" i="2"/>
  <c r="U642" i="2" s="1"/>
  <c r="Q20" i="1"/>
  <c r="N186" i="2"/>
  <c r="O186" i="2" s="1"/>
  <c r="O282" i="2"/>
  <c r="Q72" i="1"/>
  <c r="U189" i="1"/>
  <c r="M94" i="1"/>
  <c r="P94" i="1" s="1"/>
  <c r="K626" i="1"/>
  <c r="J615" i="1"/>
  <c r="K615" i="1" s="1"/>
  <c r="T644" i="2"/>
  <c r="M760" i="1"/>
  <c r="P760" i="1" s="1"/>
  <c r="Q714" i="1"/>
  <c r="T714" i="1" s="1"/>
  <c r="Q157" i="2"/>
  <c r="T157" i="2" s="1"/>
  <c r="R690" i="1"/>
  <c r="P176" i="1"/>
  <c r="S24" i="1"/>
  <c r="S20" i="1"/>
  <c r="L599" i="1"/>
  <c r="O599" i="1" s="1"/>
  <c r="U305" i="2"/>
  <c r="R303" i="2"/>
  <c r="U303" i="2" s="1"/>
  <c r="R728" i="2"/>
  <c r="U730" i="2"/>
  <c r="L94" i="1"/>
  <c r="O94" i="1" s="1"/>
  <c r="O95" i="1"/>
  <c r="M513" i="2"/>
  <c r="P513" i="2" s="1"/>
  <c r="M728" i="1"/>
  <c r="P728" i="1" s="1"/>
  <c r="P729" i="1"/>
  <c r="U188" i="1"/>
  <c r="U306" i="1"/>
  <c r="P556" i="1"/>
  <c r="M555" i="1"/>
  <c r="P555" i="1" s="1"/>
  <c r="Q356" i="1"/>
  <c r="T356" i="1" s="1"/>
  <c r="M72" i="1"/>
  <c r="P73" i="1"/>
  <c r="P175" i="2"/>
  <c r="M173" i="2"/>
  <c r="O304" i="1"/>
  <c r="L303" i="1"/>
  <c r="O303" i="1" s="1"/>
  <c r="O577" i="1"/>
  <c r="L576" i="1"/>
  <c r="O576" i="1" s="1"/>
  <c r="L139" i="2"/>
  <c r="O139" i="2" s="1"/>
  <c r="M356" i="2"/>
  <c r="P356" i="2" s="1"/>
  <c r="P358" i="2"/>
  <c r="Q413" i="1"/>
  <c r="T413" i="1" s="1"/>
  <c r="Q20" i="2"/>
  <c r="T23" i="2"/>
  <c r="Q21" i="2"/>
  <c r="K82" i="2"/>
  <c r="I70" i="2"/>
  <c r="K70" i="2" s="1"/>
  <c r="P59" i="2"/>
  <c r="M333" i="2"/>
  <c r="P333" i="2" s="1"/>
  <c r="O322" i="2"/>
  <c r="U304" i="1"/>
  <c r="R303" i="1"/>
  <c r="T495" i="2"/>
  <c r="U762" i="2"/>
  <c r="T188" i="1"/>
  <c r="L186" i="1"/>
  <c r="O186" i="1" s="1"/>
  <c r="O187" i="1"/>
  <c r="U760" i="2"/>
  <c r="P335" i="1"/>
  <c r="M333" i="1"/>
  <c r="P333" i="1" s="1"/>
  <c r="T762" i="1"/>
  <c r="O175" i="1"/>
  <c r="O62" i="1"/>
  <c r="P175" i="1"/>
  <c r="M139" i="2"/>
  <c r="P139" i="2" s="1"/>
  <c r="R266" i="2"/>
  <c r="U266" i="2" s="1"/>
  <c r="M282" i="2"/>
  <c r="P282" i="2" s="1"/>
  <c r="K83" i="2"/>
  <c r="I71" i="2"/>
  <c r="K71" i="2" s="1"/>
  <c r="S760" i="1"/>
  <c r="Q59" i="1"/>
  <c r="T59" i="1" s="1"/>
  <c r="T61" i="1"/>
  <c r="T306" i="1"/>
  <c r="Q333" i="1"/>
  <c r="T333" i="1" s="1"/>
  <c r="T334" i="1"/>
  <c r="P305" i="1"/>
  <c r="T535" i="1"/>
  <c r="Q534" i="1"/>
  <c r="T534" i="1" s="1"/>
  <c r="M21" i="1"/>
  <c r="U643" i="1"/>
  <c r="R642" i="1"/>
  <c r="P494" i="1"/>
  <c r="M493" i="1"/>
  <c r="P493" i="1" s="1"/>
  <c r="O358" i="1"/>
  <c r="U284" i="1"/>
  <c r="R282" i="1"/>
  <c r="U282" i="1" s="1"/>
  <c r="R599" i="1"/>
  <c r="U599" i="1" s="1"/>
  <c r="M59" i="1"/>
  <c r="P60" i="1"/>
  <c r="R186" i="1"/>
  <c r="U186" i="1" s="1"/>
  <c r="U187" i="1"/>
  <c r="M24" i="1"/>
  <c r="P24" i="1" s="1"/>
  <c r="P25" i="1"/>
  <c r="M19" i="1"/>
  <c r="S21" i="1"/>
  <c r="P23" i="2"/>
  <c r="M20" i="2"/>
  <c r="O336" i="1"/>
  <c r="K701" i="1"/>
  <c r="R616" i="1"/>
  <c r="L20" i="2"/>
  <c r="O23" i="2"/>
  <c r="L24" i="2"/>
  <c r="O24" i="2" s="1"/>
  <c r="U19" i="2"/>
  <c r="S21" i="2"/>
  <c r="U21" i="2" s="1"/>
  <c r="N20" i="2"/>
  <c r="N18" i="2" s="1"/>
  <c r="K253" i="2"/>
  <c r="I231" i="2"/>
  <c r="O176" i="1"/>
  <c r="Q139" i="1"/>
  <c r="T139" i="1" s="1"/>
  <c r="O75" i="1"/>
  <c r="R20" i="2"/>
  <c r="U20" i="2" s="1"/>
  <c r="U23" i="2"/>
  <c r="L21" i="2"/>
  <c r="O21" i="2" s="1"/>
  <c r="N173" i="2"/>
  <c r="O173" i="2" s="1"/>
  <c r="L44" i="2"/>
  <c r="O46" i="2"/>
  <c r="L59" i="2"/>
  <c r="O59" i="2" s="1"/>
  <c r="O61" i="2"/>
  <c r="P61" i="2"/>
  <c r="N157" i="2"/>
  <c r="M186" i="2"/>
  <c r="P188" i="2"/>
  <c r="T119" i="2"/>
  <c r="Q117" i="2"/>
  <c r="T117" i="2" s="1"/>
  <c r="O320" i="2"/>
  <c r="M266" i="2"/>
  <c r="P266" i="2" s="1"/>
  <c r="T96" i="2"/>
  <c r="Q94" i="2"/>
  <c r="T94" i="2" s="1"/>
  <c r="P322" i="1"/>
  <c r="K82" i="1"/>
  <c r="J70" i="1"/>
  <c r="K70" i="1" s="1"/>
  <c r="S19" i="1"/>
  <c r="Q728" i="1"/>
  <c r="T730" i="1"/>
  <c r="P600" i="1"/>
  <c r="M599" i="1"/>
  <c r="P599" i="1" s="1"/>
  <c r="R21" i="1"/>
  <c r="U22" i="1"/>
  <c r="R19" i="1"/>
  <c r="U716" i="1"/>
  <c r="R714" i="1"/>
  <c r="U714" i="1" s="1"/>
  <c r="T617" i="1"/>
  <c r="Q616" i="1"/>
  <c r="P357" i="1"/>
  <c r="M356" i="1"/>
  <c r="L320" i="1"/>
  <c r="O322" i="1"/>
  <c r="U393" i="1"/>
  <c r="R392" i="1"/>
  <c r="U392" i="1" s="1"/>
  <c r="O716" i="1"/>
  <c r="L714" i="1"/>
  <c r="O714" i="1" s="1"/>
  <c r="Q555" i="1"/>
  <c r="T555" i="1" s="1"/>
  <c r="Q690" i="1"/>
  <c r="T174" i="1"/>
  <c r="Q173" i="1"/>
  <c r="T173" i="1" s="1"/>
  <c r="O47" i="1"/>
  <c r="T119" i="1"/>
  <c r="Q117" i="1"/>
  <c r="T117" i="1" s="1"/>
  <c r="Q19" i="1"/>
  <c r="T25" i="1"/>
  <c r="Q24" i="1"/>
  <c r="T24" i="1" s="1"/>
  <c r="R139" i="1"/>
  <c r="U139" i="1" s="1"/>
  <c r="U140" i="1"/>
  <c r="N59" i="1"/>
  <c r="P61" i="1"/>
  <c r="L117" i="1"/>
  <c r="O117" i="1" s="1"/>
  <c r="O118" i="1"/>
  <c r="U118" i="1"/>
  <c r="R117" i="1"/>
  <c r="U117" i="1" s="1"/>
  <c r="N21" i="1"/>
  <c r="N19" i="1"/>
  <c r="N20" i="1"/>
  <c r="T601" i="1"/>
  <c r="Q599" i="1"/>
  <c r="T599" i="1" s="1"/>
  <c r="R555" i="1"/>
  <c r="U555" i="1" s="1"/>
  <c r="U556" i="1"/>
  <c r="O284" i="1"/>
  <c r="L282" i="1"/>
  <c r="P578" i="1"/>
  <c r="M576" i="1"/>
  <c r="P576" i="1" s="1"/>
  <c r="R333" i="1"/>
  <c r="U333" i="1" s="1"/>
  <c r="U335" i="1"/>
  <c r="P643" i="1"/>
  <c r="M642" i="1"/>
  <c r="P642" i="1" s="1"/>
  <c r="U414" i="1"/>
  <c r="R413" i="1"/>
  <c r="U413" i="1" s="1"/>
  <c r="Q576" i="1"/>
  <c r="T576" i="1" s="1"/>
  <c r="T577" i="1"/>
  <c r="U761" i="1"/>
  <c r="R760" i="1"/>
  <c r="L555" i="1"/>
  <c r="O555" i="1" s="1"/>
  <c r="O556" i="1"/>
  <c r="O414" i="1"/>
  <c r="L413" i="1"/>
  <c r="O413" i="1" s="1"/>
  <c r="U23" i="1"/>
  <c r="R20" i="1"/>
  <c r="R24" i="1"/>
  <c r="U24" i="1" s="1"/>
  <c r="M266" i="1"/>
  <c r="O23" i="1"/>
  <c r="L20" i="1"/>
  <c r="U730" i="1"/>
  <c r="R728" i="1"/>
  <c r="T514" i="1"/>
  <c r="Q513" i="1"/>
  <c r="T513" i="1" s="1"/>
  <c r="T393" i="1"/>
  <c r="Q392" i="1"/>
  <c r="T392" i="1" s="1"/>
  <c r="O535" i="1"/>
  <c r="L534" i="1"/>
  <c r="O534" i="1" s="1"/>
  <c r="P414" i="1"/>
  <c r="M413" i="1"/>
  <c r="P413" i="1" s="1"/>
  <c r="O692" i="1"/>
  <c r="L690" i="1"/>
  <c r="O690" i="1" s="1"/>
  <c r="O514" i="1"/>
  <c r="L513" i="1"/>
  <c r="O513" i="1" s="1"/>
  <c r="P141" i="1"/>
  <c r="M139" i="1"/>
  <c r="P139" i="1" s="1"/>
  <c r="M282" i="1"/>
  <c r="P284" i="1"/>
  <c r="L139" i="1"/>
  <c r="O139" i="1" s="1"/>
  <c r="O140" i="1"/>
  <c r="Q282" i="1"/>
  <c r="T282" i="1" s="1"/>
  <c r="T283" i="1"/>
  <c r="T268" i="1"/>
  <c r="U268" i="1"/>
  <c r="K83" i="1"/>
  <c r="J71" i="1"/>
  <c r="K71" i="1" s="1"/>
  <c r="T761" i="1"/>
  <c r="Q760" i="1"/>
  <c r="U159" i="1"/>
  <c r="R157" i="1"/>
  <c r="U157" i="1" s="1"/>
  <c r="L392" i="1"/>
  <c r="O392" i="1" s="1"/>
  <c r="N44" i="1"/>
  <c r="P44" i="1" s="1"/>
  <c r="P46" i="1"/>
  <c r="T690" i="20" l="1"/>
  <c r="U616" i="15"/>
  <c r="U72" i="18"/>
  <c r="N40" i="21"/>
  <c r="K231" i="21"/>
  <c r="O186" i="21"/>
  <c r="O139" i="21"/>
  <c r="P173" i="19"/>
  <c r="U21" i="21"/>
  <c r="R18" i="21"/>
  <c r="U18" i="21" s="1"/>
  <c r="N40" i="17"/>
  <c r="I185" i="17"/>
  <c r="K185" i="17" s="1"/>
  <c r="T21" i="21"/>
  <c r="O21" i="21"/>
  <c r="T690" i="21"/>
  <c r="O186" i="19"/>
  <c r="I185" i="19"/>
  <c r="K185" i="19" s="1"/>
  <c r="T760" i="15"/>
  <c r="O173" i="20"/>
  <c r="L40" i="21"/>
  <c r="O44" i="21"/>
  <c r="T303" i="21"/>
  <c r="U303" i="21"/>
  <c r="U72" i="21"/>
  <c r="T72" i="21"/>
  <c r="T266" i="17"/>
  <c r="O20" i="21"/>
  <c r="L18" i="21"/>
  <c r="O18" i="21" s="1"/>
  <c r="Q18" i="21"/>
  <c r="T18" i="21" s="1"/>
  <c r="T20" i="21"/>
  <c r="M40" i="21"/>
  <c r="P20" i="21"/>
  <c r="M18" i="21"/>
  <c r="P18" i="21" s="1"/>
  <c r="U72" i="20"/>
  <c r="O21" i="20"/>
  <c r="L40" i="20"/>
  <c r="O44" i="20"/>
  <c r="M40" i="20"/>
  <c r="P44" i="20"/>
  <c r="T21" i="20"/>
  <c r="U21" i="20"/>
  <c r="O20" i="20"/>
  <c r="L18" i="20"/>
  <c r="O18" i="20" s="1"/>
  <c r="U266" i="15"/>
  <c r="T21" i="19"/>
  <c r="K231" i="20"/>
  <c r="I185" i="20"/>
  <c r="K185" i="20" s="1"/>
  <c r="N40" i="20"/>
  <c r="Q18" i="20"/>
  <c r="T18" i="20" s="1"/>
  <c r="T20" i="20"/>
  <c r="P20" i="20"/>
  <c r="M18" i="20"/>
  <c r="P18" i="20" s="1"/>
  <c r="R18" i="20"/>
  <c r="U18" i="20" s="1"/>
  <c r="O333" i="20"/>
  <c r="U728" i="15"/>
  <c r="P356" i="19"/>
  <c r="O18" i="9"/>
  <c r="P72" i="19"/>
  <c r="R18" i="19"/>
  <c r="U18" i="19" s="1"/>
  <c r="O333" i="18"/>
  <c r="O333" i="19"/>
  <c r="T303" i="19"/>
  <c r="P20" i="19"/>
  <c r="M18" i="19"/>
  <c r="P18" i="19" s="1"/>
  <c r="T72" i="19"/>
  <c r="T20" i="19"/>
  <c r="Q18" i="19"/>
  <c r="T18" i="19" s="1"/>
  <c r="U117" i="18"/>
  <c r="O20" i="19"/>
  <c r="L18" i="19"/>
  <c r="O18" i="19" s="1"/>
  <c r="P21" i="19"/>
  <c r="L40" i="19"/>
  <c r="O44" i="19"/>
  <c r="M40" i="19"/>
  <c r="P44" i="19"/>
  <c r="P94" i="19"/>
  <c r="O94" i="19"/>
  <c r="N40" i="19"/>
  <c r="T21" i="17"/>
  <c r="P59" i="18"/>
  <c r="T21" i="14"/>
  <c r="U21" i="14"/>
  <c r="P72" i="18"/>
  <c r="T21" i="18"/>
  <c r="L40" i="18"/>
  <c r="O44" i="18"/>
  <c r="R18" i="18"/>
  <c r="U18" i="18" s="1"/>
  <c r="N40" i="18"/>
  <c r="Q18" i="18"/>
  <c r="T18" i="18" s="1"/>
  <c r="T20" i="18"/>
  <c r="P20" i="18"/>
  <c r="M18" i="18"/>
  <c r="P18" i="18" s="1"/>
  <c r="M40" i="18"/>
  <c r="O20" i="18"/>
  <c r="L18" i="18"/>
  <c r="O18" i="18" s="1"/>
  <c r="O21" i="17"/>
  <c r="P173" i="17"/>
  <c r="L40" i="17"/>
  <c r="O44" i="17"/>
  <c r="U20" i="17"/>
  <c r="R18" i="17"/>
  <c r="U18" i="17" s="1"/>
  <c r="T728" i="17"/>
  <c r="P20" i="17"/>
  <c r="M18" i="17"/>
  <c r="P18" i="17" s="1"/>
  <c r="O20" i="17"/>
  <c r="L18" i="17"/>
  <c r="O18" i="17" s="1"/>
  <c r="M40" i="17"/>
  <c r="P40" i="17" s="1"/>
  <c r="P44" i="17"/>
  <c r="T72" i="17"/>
  <c r="U72" i="17"/>
  <c r="Q18" i="17"/>
  <c r="T18" i="17" s="1"/>
  <c r="T20" i="17"/>
  <c r="T21" i="16"/>
  <c r="O139" i="13"/>
  <c r="P173" i="15"/>
  <c r="Q18" i="16"/>
  <c r="T18" i="16" s="1"/>
  <c r="O20" i="16"/>
  <c r="L18" i="16"/>
  <c r="O18" i="16" s="1"/>
  <c r="L40" i="16"/>
  <c r="O40" i="16" s="1"/>
  <c r="U20" i="16"/>
  <c r="R18" i="16"/>
  <c r="U18" i="16" s="1"/>
  <c r="O21" i="16"/>
  <c r="K231" i="16"/>
  <c r="I185" i="16"/>
  <c r="K185" i="16" s="1"/>
  <c r="P72" i="15"/>
  <c r="O20" i="15"/>
  <c r="O303" i="15"/>
  <c r="M40" i="16"/>
  <c r="P40" i="16" s="1"/>
  <c r="P44" i="16"/>
  <c r="P20" i="15"/>
  <c r="L40" i="15"/>
  <c r="P20" i="16"/>
  <c r="M18" i="16"/>
  <c r="P18" i="16" s="1"/>
  <c r="U728" i="12"/>
  <c r="P59" i="15"/>
  <c r="R18" i="15"/>
  <c r="U18" i="15" s="1"/>
  <c r="L18" i="15"/>
  <c r="O18" i="15" s="1"/>
  <c r="Q18" i="15"/>
  <c r="T18" i="15" s="1"/>
  <c r="U303" i="11"/>
  <c r="T21" i="15"/>
  <c r="I185" i="15"/>
  <c r="K185" i="15" s="1"/>
  <c r="K231" i="15"/>
  <c r="M40" i="15"/>
  <c r="P44" i="15"/>
  <c r="N40" i="15"/>
  <c r="P18" i="14"/>
  <c r="T303" i="14"/>
  <c r="O21" i="15"/>
  <c r="Q18" i="14"/>
  <c r="T18" i="14" s="1"/>
  <c r="R18" i="13"/>
  <c r="U18" i="13" s="1"/>
  <c r="L40" i="14"/>
  <c r="O40" i="14" s="1"/>
  <c r="M40" i="14"/>
  <c r="P40" i="14" s="1"/>
  <c r="P44" i="14"/>
  <c r="U760" i="14"/>
  <c r="T760" i="14"/>
  <c r="O20" i="14"/>
  <c r="L18" i="14"/>
  <c r="O18" i="14" s="1"/>
  <c r="U690" i="11"/>
  <c r="T303" i="13"/>
  <c r="O44" i="14"/>
  <c r="U20" i="14"/>
  <c r="R18" i="14"/>
  <c r="U18" i="14" s="1"/>
  <c r="O21" i="14"/>
  <c r="T616" i="11"/>
  <c r="K231" i="14"/>
  <c r="I185" i="14"/>
  <c r="K185" i="14" s="1"/>
  <c r="P20" i="14"/>
  <c r="P18" i="11"/>
  <c r="O356" i="12"/>
  <c r="U21" i="12"/>
  <c r="P20" i="12"/>
  <c r="T186" i="13"/>
  <c r="U186" i="13"/>
  <c r="P18" i="9"/>
  <c r="P186" i="13"/>
  <c r="O44" i="9"/>
  <c r="P21" i="12"/>
  <c r="P20" i="13"/>
  <c r="M18" i="13"/>
  <c r="P18" i="13" s="1"/>
  <c r="K231" i="13"/>
  <c r="I185" i="13"/>
  <c r="K185" i="13" s="1"/>
  <c r="M40" i="13"/>
  <c r="T21" i="13"/>
  <c r="L40" i="13"/>
  <c r="O44" i="13"/>
  <c r="N40" i="10"/>
  <c r="P72" i="12"/>
  <c r="O173" i="13"/>
  <c r="T21" i="12"/>
  <c r="Q18" i="13"/>
  <c r="T18" i="13" s="1"/>
  <c r="T20" i="13"/>
  <c r="O20" i="13"/>
  <c r="L18" i="13"/>
  <c r="O18" i="13" s="1"/>
  <c r="N40" i="13"/>
  <c r="Q18" i="12"/>
  <c r="T18" i="12" s="1"/>
  <c r="O21" i="1"/>
  <c r="U728" i="10"/>
  <c r="L40" i="12"/>
  <c r="O21" i="12"/>
  <c r="P59" i="12"/>
  <c r="U760" i="12"/>
  <c r="O20" i="12"/>
  <c r="L18" i="12"/>
  <c r="O18" i="12" s="1"/>
  <c r="U20" i="12"/>
  <c r="R18" i="12"/>
  <c r="U18" i="12" s="1"/>
  <c r="P186" i="12"/>
  <c r="M40" i="12"/>
  <c r="P44" i="12"/>
  <c r="M18" i="12"/>
  <c r="P18" i="12" s="1"/>
  <c r="N40" i="12"/>
  <c r="U117" i="11"/>
  <c r="O320" i="1"/>
  <c r="U21" i="11"/>
  <c r="P59" i="11"/>
  <c r="P320" i="1"/>
  <c r="P72" i="9"/>
  <c r="U186" i="11"/>
  <c r="T21" i="11"/>
  <c r="U728" i="1"/>
  <c r="T21" i="10"/>
  <c r="P20" i="11"/>
  <c r="U20" i="11"/>
  <c r="R18" i="11"/>
  <c r="U18" i="11" s="1"/>
  <c r="O21" i="11"/>
  <c r="O20" i="11"/>
  <c r="L18" i="11"/>
  <c r="O18" i="11" s="1"/>
  <c r="S18" i="1"/>
  <c r="P173" i="1"/>
  <c r="M40" i="11"/>
  <c r="P44" i="11"/>
  <c r="U760" i="11"/>
  <c r="T760" i="11"/>
  <c r="Q18" i="10"/>
  <c r="T18" i="10" s="1"/>
  <c r="P21" i="11"/>
  <c r="K231" i="11"/>
  <c r="I185" i="11"/>
  <c r="K185" i="11" s="1"/>
  <c r="L40" i="11"/>
  <c r="Q18" i="11"/>
  <c r="T18" i="11" s="1"/>
  <c r="N40" i="11"/>
  <c r="R18" i="10"/>
  <c r="U18" i="10" s="1"/>
  <c r="T72" i="6"/>
  <c r="T266" i="1"/>
  <c r="O21" i="9"/>
  <c r="P59" i="9"/>
  <c r="L40" i="10"/>
  <c r="O44" i="10"/>
  <c r="T117" i="5"/>
  <c r="P21" i="9"/>
  <c r="M40" i="10"/>
  <c r="P44" i="10"/>
  <c r="U21" i="9"/>
  <c r="P20" i="10"/>
  <c r="M18" i="10"/>
  <c r="P18" i="10" s="1"/>
  <c r="U266" i="1"/>
  <c r="I185" i="6"/>
  <c r="K185" i="6" s="1"/>
  <c r="T21" i="9"/>
  <c r="K231" i="10"/>
  <c r="I185" i="10"/>
  <c r="K185" i="10" s="1"/>
  <c r="O18" i="10"/>
  <c r="O20" i="10"/>
  <c r="T117" i="9"/>
  <c r="T303" i="9"/>
  <c r="O173" i="1"/>
  <c r="T72" i="8"/>
  <c r="U117" i="8"/>
  <c r="L40" i="9"/>
  <c r="R18" i="9"/>
  <c r="U18" i="9" s="1"/>
  <c r="O303" i="5"/>
  <c r="T493" i="6"/>
  <c r="Q18" i="9"/>
  <c r="T18" i="9" s="1"/>
  <c r="T690" i="1"/>
  <c r="T21" i="1"/>
  <c r="P20" i="9"/>
  <c r="N40" i="9"/>
  <c r="U690" i="1"/>
  <c r="M40" i="9"/>
  <c r="O20" i="9"/>
  <c r="K231" i="9"/>
  <c r="I185" i="9"/>
  <c r="K185" i="9" s="1"/>
  <c r="O356" i="9"/>
  <c r="P72" i="1"/>
  <c r="O94" i="8"/>
  <c r="P21" i="8"/>
  <c r="U21" i="8"/>
  <c r="N40" i="8"/>
  <c r="O20" i="8"/>
  <c r="L18" i="8"/>
  <c r="O18" i="8" s="1"/>
  <c r="R18" i="8"/>
  <c r="U18" i="8" s="1"/>
  <c r="U117" i="6"/>
  <c r="L40" i="8"/>
  <c r="O44" i="8"/>
  <c r="T21" i="8"/>
  <c r="K231" i="8"/>
  <c r="I185" i="8"/>
  <c r="K185" i="8" s="1"/>
  <c r="T20" i="8"/>
  <c r="Q18" i="8"/>
  <c r="T18" i="8" s="1"/>
  <c r="O21" i="7"/>
  <c r="P72" i="6"/>
  <c r="P20" i="8"/>
  <c r="M18" i="8"/>
  <c r="P18" i="8" s="1"/>
  <c r="M40" i="8"/>
  <c r="P20" i="1"/>
  <c r="U21" i="5"/>
  <c r="T21" i="7"/>
  <c r="L18" i="1"/>
  <c r="P266" i="1"/>
  <c r="T728" i="1"/>
  <c r="P94" i="7"/>
  <c r="O94" i="7"/>
  <c r="N40" i="7"/>
  <c r="R18" i="7"/>
  <c r="U18" i="7" s="1"/>
  <c r="P20" i="7"/>
  <c r="M18" i="7"/>
  <c r="P18" i="7" s="1"/>
  <c r="Q18" i="7"/>
  <c r="T18" i="7" s="1"/>
  <c r="T20" i="7"/>
  <c r="M40" i="7"/>
  <c r="P44" i="7"/>
  <c r="N40" i="6"/>
  <c r="P21" i="6"/>
  <c r="L40" i="7"/>
  <c r="O44" i="7"/>
  <c r="K231" i="7"/>
  <c r="I185" i="7"/>
  <c r="K185" i="7" s="1"/>
  <c r="O20" i="7"/>
  <c r="L18" i="7"/>
  <c r="O18" i="7" s="1"/>
  <c r="U616" i="1"/>
  <c r="T21" i="6"/>
  <c r="O282" i="1"/>
  <c r="T616" i="1"/>
  <c r="P21" i="5"/>
  <c r="P186" i="5"/>
  <c r="O21" i="5"/>
  <c r="T21" i="5"/>
  <c r="O21" i="4"/>
  <c r="P282" i="1"/>
  <c r="Q18" i="6"/>
  <c r="T18" i="6" s="1"/>
  <c r="T20" i="6"/>
  <c r="T303" i="1"/>
  <c r="M40" i="6"/>
  <c r="P44" i="6"/>
  <c r="L40" i="6"/>
  <c r="O44" i="6"/>
  <c r="P320" i="6"/>
  <c r="P20" i="6"/>
  <c r="M18" i="6"/>
  <c r="P18" i="6" s="1"/>
  <c r="O320" i="6"/>
  <c r="R18" i="6"/>
  <c r="U18" i="6" s="1"/>
  <c r="Q18" i="5"/>
  <c r="T18" i="5" s="1"/>
  <c r="O20" i="6"/>
  <c r="L18" i="6"/>
  <c r="O18" i="6" s="1"/>
  <c r="N40" i="5"/>
  <c r="U303" i="1"/>
  <c r="O20" i="4"/>
  <c r="T375" i="1"/>
  <c r="P20" i="5"/>
  <c r="Q18" i="4"/>
  <c r="T18" i="4" s="1"/>
  <c r="U375" i="1"/>
  <c r="K231" i="5"/>
  <c r="I185" i="5"/>
  <c r="K185" i="5" s="1"/>
  <c r="L40" i="5"/>
  <c r="U20" i="5"/>
  <c r="R18" i="5"/>
  <c r="U18" i="5" s="1"/>
  <c r="M40" i="5"/>
  <c r="P44" i="5"/>
  <c r="M18" i="5"/>
  <c r="P18" i="5" s="1"/>
  <c r="O333" i="5"/>
  <c r="O20" i="5"/>
  <c r="L18" i="5"/>
  <c r="O18" i="5" s="1"/>
  <c r="O356" i="1"/>
  <c r="U20" i="4"/>
  <c r="R18" i="4"/>
  <c r="U18" i="4" s="1"/>
  <c r="M40" i="4"/>
  <c r="P40" i="4" s="1"/>
  <c r="P44" i="4"/>
  <c r="U642" i="1"/>
  <c r="T642" i="1"/>
  <c r="P21" i="4"/>
  <c r="T21" i="4"/>
  <c r="U94" i="1"/>
  <c r="I185" i="4"/>
  <c r="K185" i="4" s="1"/>
  <c r="K231" i="4"/>
  <c r="P18" i="4"/>
  <c r="L18" i="4"/>
  <c r="O18" i="4" s="1"/>
  <c r="P20" i="4"/>
  <c r="T72" i="1"/>
  <c r="L40" i="4"/>
  <c r="O40" i="4" s="1"/>
  <c r="O44" i="4"/>
  <c r="P59" i="1"/>
  <c r="T21" i="3"/>
  <c r="O94" i="3"/>
  <c r="O21" i="3"/>
  <c r="T94" i="1"/>
  <c r="O20" i="3"/>
  <c r="L18" i="3"/>
  <c r="O18" i="3" s="1"/>
  <c r="K231" i="3"/>
  <c r="I185" i="3"/>
  <c r="K185" i="3" s="1"/>
  <c r="M40" i="3"/>
  <c r="P21" i="3"/>
  <c r="Q18" i="3"/>
  <c r="T18" i="3" s="1"/>
  <c r="T20" i="3"/>
  <c r="N40" i="3"/>
  <c r="U728" i="2"/>
  <c r="P20" i="3"/>
  <c r="M18" i="3"/>
  <c r="P18" i="3" s="1"/>
  <c r="U117" i="3"/>
  <c r="U20" i="1"/>
  <c r="T20" i="1"/>
  <c r="P72" i="3"/>
  <c r="L40" i="3"/>
  <c r="O44" i="3"/>
  <c r="P186" i="2"/>
  <c r="R18" i="3"/>
  <c r="U18" i="3" s="1"/>
  <c r="T760" i="1"/>
  <c r="P21" i="1"/>
  <c r="U21" i="1"/>
  <c r="R18" i="2"/>
  <c r="U18" i="2" s="1"/>
  <c r="O44" i="1"/>
  <c r="U760" i="1"/>
  <c r="P356" i="1"/>
  <c r="O157" i="2"/>
  <c r="P157" i="2"/>
  <c r="O59" i="1"/>
  <c r="O20" i="2"/>
  <c r="L18" i="2"/>
  <c r="O18" i="2" s="1"/>
  <c r="M40" i="2"/>
  <c r="T21" i="2"/>
  <c r="K231" i="2"/>
  <c r="I185" i="2"/>
  <c r="K185" i="2" s="1"/>
  <c r="P20" i="2"/>
  <c r="M18" i="2"/>
  <c r="P18" i="2" s="1"/>
  <c r="P173" i="2"/>
  <c r="L40" i="2"/>
  <c r="O44" i="2"/>
  <c r="N40" i="2"/>
  <c r="Q18" i="2"/>
  <c r="T18" i="2" s="1"/>
  <c r="T20" i="2"/>
  <c r="P19" i="1"/>
  <c r="M18" i="1"/>
  <c r="N18" i="1"/>
  <c r="O20" i="1"/>
  <c r="T19" i="1"/>
  <c r="Q18" i="1"/>
  <c r="R18" i="1"/>
  <c r="U19" i="1"/>
  <c r="O40" i="12" l="1"/>
  <c r="P40" i="21"/>
  <c r="O40" i="17"/>
  <c r="O40" i="21"/>
  <c r="P40" i="20"/>
  <c r="O40" i="20"/>
  <c r="O40" i="19"/>
  <c r="P40" i="19"/>
  <c r="O40" i="15"/>
  <c r="P40" i="18"/>
  <c r="O40" i="18"/>
  <c r="P40" i="10"/>
  <c r="P40" i="15"/>
  <c r="O40" i="10"/>
  <c r="O40" i="13"/>
  <c r="P40" i="7"/>
  <c r="T18" i="1"/>
  <c r="P40" i="12"/>
  <c r="P40" i="13"/>
  <c r="U18" i="1"/>
  <c r="O40" i="11"/>
  <c r="P40" i="11"/>
  <c r="O40" i="9"/>
  <c r="O40" i="5"/>
  <c r="O40" i="8"/>
  <c r="P40" i="9"/>
  <c r="P40" i="8"/>
  <c r="O40" i="6"/>
  <c r="P40" i="6"/>
  <c r="O40" i="7"/>
  <c r="P40" i="5"/>
  <c r="O40" i="3"/>
  <c r="P40" i="3"/>
  <c r="O40" i="2"/>
  <c r="P40" i="2"/>
  <c r="P18" i="1"/>
  <c r="O18" i="1"/>
</calcChain>
</file>

<file path=xl/sharedStrings.xml><?xml version="1.0" encoding="utf-8"?>
<sst xmlns="http://schemas.openxmlformats.org/spreadsheetml/2006/main" count="27611" uniqueCount="340">
  <si>
    <t>รายละเอียดแผนงาน/โครงการ ผลผลิต/กิจกรรม ปีงบประมาณ พ.ศ. 2567</t>
  </si>
  <si>
    <t>รวมภาคตะวันออกเฉียงเหนือ</t>
  </si>
  <si>
    <t>งบประมาณตาม พ.ร.บ.</t>
  </si>
  <si>
    <t>งบประมาณกองทุน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</si>
  <si>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</si>
  <si>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</si>
  <si>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</si>
  <si>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</si>
  <si>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</si>
  <si>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</si>
  <si>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</si>
  <si>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</si>
  <si>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</si>
  <si>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</si>
  <si>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</si>
  <si>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</si>
  <si>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</si>
  <si>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 ประจำปีงบประมาณ พ.ศ. 2566 ไปพลางก่อน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</si>
  <si>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</si>
  <si>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</si>
  <si>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</si>
  <si>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</si>
  <si>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</si>
  <si>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งบลงทุน</t>
  </si>
  <si>
    <t>งบบุคลากร</t>
  </si>
  <si>
    <t>งบประมาณ ประจำปีงบประมาณ พ.ศ. 2566 ไปพลางก่อน</t>
  </si>
  <si>
    <t>แผนงานบุคลากรภาครัฐ</t>
  </si>
  <si>
    <t>รายการบุคลากรภาครัฐ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</si>
  <si>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</si>
  <si>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</si>
  <si>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</si>
  <si>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</si>
  <si>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</si>
  <si>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</si>
  <si>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</si>
  <si>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</si>
  <si>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- ส.ป.ก.ส่วนกลาง </t>
  </si>
  <si>
    <t xml:space="preserve">- ส.ป.ก.จังหวัด  </t>
  </si>
  <si>
    <t>ขั้นตอนการดำเนินงาน</t>
  </si>
  <si>
    <t xml:space="preserve"> - อบรมเกษตรกร  </t>
  </si>
  <si>
    <t xml:space="preserve"> - แปลงใหญ่ ปี 2567</t>
  </si>
  <si>
    <t xml:space="preserve"> - แปลงใหญ่ ปี 2566</t>
  </si>
  <si>
    <t xml:space="preserve"> - แปลงใหญ่ ปี 2565</t>
  </si>
  <si>
    <t xml:space="preserve"> - สนับสนุนปัจจัยการผลิต</t>
  </si>
  <si>
    <t>โครงการที่ 2 : โครงการพัฒนาเกษตรกรรมยั่งยืน</t>
  </si>
  <si>
    <t>กิจกรรมส่งเสริมและพัฒนาเกษตรทฤษฎีใหม่ในเขตปฏิรูปที่ดิน</t>
  </si>
  <si>
    <t>ไร่</t>
  </si>
  <si>
    <t>ขั้นที่ 1</t>
  </si>
  <si>
    <t>- พื้นที่ที่ได้รับการส่งเสริมเป็นเกษตรทฤษฎีใหม่</t>
  </si>
  <si>
    <t>- เกษตรกรได้รับการส่งเสริมองค์ความรู้เกี่ยวกับเกษตรทฤษฎีใหม่</t>
  </si>
  <si>
    <t>- สนับสนุนปัจจัยการผลิต</t>
  </si>
  <si>
    <t>โครงการที่ 3 : โครงการพัฒนาธุรกิจชุมชน</t>
  </si>
  <si>
    <t>กิจกรรมพัฒนาธุรกิจชุมชนในเขตปฏิรูปที่ดิน</t>
  </si>
  <si>
    <t xml:space="preserve"> - หลักสูตร การเสริมสร้างความเข้มแข็งและการบริหารจัดการธุรกิจ</t>
  </si>
  <si>
    <t>กลุ่ม</t>
  </si>
  <si>
    <t>- หลักสูตร การเพิ่มมูลค่าสินค้าและการพัฒนาช่องทางด้านการตลาด</t>
  </si>
  <si>
    <t>- หลักสูตร แนวทางการขับเคลื่อนการพัฒนาธุรกิจชุมชนสู่ความสำเร็จ</t>
  </si>
  <si>
    <t>(โดย สพท.)</t>
  </si>
  <si>
    <t>โครงการที่ 4 : โครงการส่งเสริมและพัฒนาสินค้าเกษตรชีวภาพ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</si>
  <si>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</si>
  <si>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โรงอบ</t>
  </si>
  <si>
    <t>แห่ง</t>
  </si>
  <si>
    <t>อบรมเกษตรกร</t>
  </si>
  <si>
    <t>- การเตรียมการ (การจัดทำฐานข้อมูลสมุนไพรและแผนการผลิต ฯ)</t>
  </si>
  <si>
    <r>
      <rPr>
        <b/>
        <sz val="15"/>
        <color theme="1"/>
        <rFont val="Arial"/>
      </rPr>
      <t>- หลักสูตรที่ 1</t>
    </r>
    <r>
      <rPr>
        <b/>
        <sz val="15"/>
        <color theme="1"/>
        <rFont val="Arial"/>
      </rPr>
      <t xml:space="preserve"> การดูแลรักษาโรงอบ ฯ</t>
    </r>
  </si>
  <si>
    <r>
      <rPr>
        <b/>
        <sz val="15"/>
        <color theme="1"/>
        <rFont val="Arial"/>
      </rPr>
      <t>- หลักสูตรที่ 2</t>
    </r>
    <r>
      <rPr>
        <b/>
        <sz val="15"/>
        <color theme="1"/>
        <rFont val="Arial"/>
      </rPr>
      <t xml:space="preserve"> การแปรรูปสมุนไพรด้วยโรงอบ ฯ</t>
    </r>
  </si>
  <si>
    <t>- จัดทำโรงอบ (งบลงทุน)</t>
  </si>
  <si>
    <t>โครงการที่ 5 : โครงการยกระดับคุณภาพมาตรฐานสินค้าเกษตร</t>
  </si>
  <si>
    <t xml:space="preserve">กิจกรรมตรวจรับรองสินค้าเกษตรในเขตปฏิรูปที่ดินตามมาตรฐาน GAP </t>
  </si>
  <si>
    <t>- เกษตรกรยื่นขอรับการรับรองมาตรฐานสินค้า (จังหวัด)</t>
  </si>
  <si>
    <t>- เกษตรกรได้รับการตรวจรับรองมาตรฐาน GAP (ส่วนกลาง)</t>
  </si>
  <si>
    <t>- เกษตรกรได้การรับรองสินค้าตามมาตรฐาน GAP (ส่วนกลาง)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</si>
  <si>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</si>
  <si>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</si>
  <si>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 xml:space="preserve">กิจกรรมพัฒนาและส่งเสริมศิลปหัตถกรรม  </t>
  </si>
  <si>
    <t>- หลักสูตรศิลปาชีพเพื่อเกษตรในเขตปฏิรูปที่ดิน (ระยะสั้น) โดยจังหวัด</t>
  </si>
  <si>
    <t>- หลักสูตรศิลปาชีพเพื่อผู้สนใจ (ระยะยาว) โดย ศพส.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</si>
  <si>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</si>
  <si>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</si>
  <si>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ครั้ง</t>
  </si>
  <si>
    <t>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</si>
  <si>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</si>
  <si>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</si>
  <si>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</si>
  <si>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</si>
  <si>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</si>
  <si>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>- ค่าบริหารโครงการ</t>
  </si>
  <si>
    <t>- ค่าเบี้ยเลี้ยง/ที่พัก/พาหนะ</t>
  </si>
  <si>
    <t>- งบอบรม</t>
  </si>
  <si>
    <t>- ค่าวัสดุการเกษตร</t>
  </si>
  <si>
    <t>- จัดฝึกอบรม</t>
  </si>
  <si>
    <t>- โรงเรียนที่เข้าร่วมโครงการ</t>
  </si>
  <si>
    <t>- ต้นแบบ</t>
  </si>
  <si>
    <t>โรงเรียน/ราย</t>
  </si>
  <si>
    <t>(3) โครงการเพิ่มศักยภาพระบบงานเกษตรภายใต้แผนพัฒนาเด็ก ฯ</t>
  </si>
  <si>
    <t>- วัสดุการเกษตร</t>
  </si>
  <si>
    <t>- สนับสนุนวัสดุการเกษตร</t>
  </si>
  <si>
    <t>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</si>
  <si>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</si>
  <si>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</si>
  <si>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>- งบปลูกแฝก (ค่าขนกล้า)</t>
  </si>
  <si>
    <t>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</si>
  <si>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</si>
  <si>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</si>
  <si>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>- การฝึกอบรมการพัฒนาผลิตภัณฑ์และเชื่อมโยงการตลาด</t>
  </si>
  <si>
    <t>(5) โครงการอันเนื่องมาจากพระราชดำริพัฒนาความรู้ 12 โครงการ</t>
  </si>
  <si>
    <t>- งบปัจจัยรายบุคคล</t>
  </si>
  <si>
    <t>- งบปัจจัยต้นแบบ/ศูนย์/กิจกรรม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</si>
  <si>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</si>
  <si>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</si>
  <si>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</si>
  <si>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>(5) โครงการ...</t>
  </si>
  <si>
    <t>(6) โครงการ...</t>
  </si>
  <si>
    <t>โครงการที่ 2 : โครงการพัฒนาผู้แทนเกษตรกร</t>
  </si>
  <si>
    <t>กิจกรรมพัฒนาผู้แทนเกษตรกรในเขตปฏิรูปที่ดิน</t>
  </si>
  <si>
    <t xml:space="preserve"> - อบรม หลักสูตรการพัฒนาผู้แทนเกษตรกรในระดับพื้นที่ (โดย ส.ป.ก.จังหวัด)</t>
  </si>
  <si>
    <t xml:space="preserve"> - อบรม หลักสูตรการพัฒนาภาวะผู้นำแก่ผู้นำเกษตรกร (สพท.)</t>
  </si>
  <si>
    <t>แผนงานยุทธศาสตร์จัดการมลพิษและสิ่งแวดล้อม</t>
  </si>
  <si>
    <t>โครงการที่ 1 : โครงการเฝ้าระวังการเผาซากพืช วัชพืช และวัสดุทางการเกษตรในเขตปฏิรูปที่ดิน</t>
  </si>
  <si>
    <t>กิจกรรมเฝ้าระวังการเผาซากพืช วัชพืช และวัสดุทางการเกษตร ฯ</t>
  </si>
  <si>
    <t>- พื้นที่ที่ได้รับการส่งเสริมและเฝ้าระวังให้มีการลดการเผา</t>
  </si>
  <si>
    <t>- อบรมเกษตรกร</t>
  </si>
  <si>
    <r>
      <rPr>
        <b/>
        <sz val="15"/>
        <color theme="1"/>
        <rFont val="Arial"/>
      </rPr>
      <t xml:space="preserve">หลักสูตร </t>
    </r>
    <r>
      <rPr>
        <sz val="15"/>
        <color theme="1"/>
        <rFont val="Arial"/>
      </rPr>
      <t>แนวทางการเฝ้าระวังการเผาไหม้ฯ</t>
    </r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</si>
  <si>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theme="1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</si>
  <si>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theme="1"/>
        <rFont val="Arial"/>
      </rPr>
      <t>เฉพาะ</t>
    </r>
    <r>
      <rPr>
        <sz val="15"/>
        <color theme="1"/>
        <rFont val="Arial"/>
      </rPr>
      <t xml:space="preserve"> ที่ได้รับการอบรม</t>
    </r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</si>
  <si>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</si>
  <si>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</si>
  <si>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กิจกรรมพัฒนาเกษตรกรปราดเปรื่องในเขตปฏิรูปที่ดิน (Smart Farmer)</t>
  </si>
  <si>
    <t>- เตรียมความพร้อมและทำแผนพัฒนาเกษตรกร (เตรียมแล้วให้ใส่ 1)</t>
  </si>
  <si>
    <t>- ผู้ประกอบการต้นแบบ</t>
  </si>
  <si>
    <t>- คัดเลือกเกษตรกรปราดเปรื่องต้นแบบ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</si>
  <si>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</si>
  <si>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</si>
  <si>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</si>
  <si>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</si>
  <si>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</si>
  <si>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กิจกรรมศูนย์บริการประชาชน</t>
  </si>
  <si>
    <t>ให้บริการเกษตรกรด้านอื่น ๆ</t>
  </si>
  <si>
    <t>- ให้บริการเกษตรกร ณ ศูนย์บริการประชาชน</t>
  </si>
  <si>
    <t>- ออกศูนย์บริการเคลื่อนที่ในเขตปฏิรูปที่ดิน</t>
  </si>
  <si>
    <t>- ตำบลที่ออกให้บริการ</t>
  </si>
  <si>
    <t>ตำบล</t>
  </si>
  <si>
    <t>- จำนวนผู้มารับบริการ</t>
  </si>
  <si>
    <t>- ผู้รับบริการจากระบบออนไลน์</t>
  </si>
  <si>
    <t>- ผู้รับบริการจากการออกรับบริการร่วมกับหน่วยงานภายนอกอื่น ๆ</t>
  </si>
  <si>
    <t>ให้บริการรับคำร้องแสดงความประสงค์ขอออกโฉนดเพื่อการเกษตร</t>
  </si>
  <si>
    <t>- เจ้าหน้าที่ยังไม่ได้รับเรื่อง</t>
  </si>
  <si>
    <t>- อยู่ระหว่างตรวจสอบตามขั้นตอนออกโฉนด (ขั้นตอน 1-10)</t>
  </si>
  <si>
    <t>- แล้วเสร็จ</t>
  </si>
  <si>
    <t>กิจกรรมจัดที่ดิน</t>
  </si>
  <si>
    <t>จัดที่ดิน แปลงเกษตรกรรม</t>
  </si>
  <si>
    <t>- รังวัด</t>
  </si>
  <si>
    <t>- สอบสวนสิทธิ</t>
  </si>
  <si>
    <t>- มอบ ส.ป.ก. 4-01</t>
  </si>
  <si>
    <t>กิจกรรมแผนที่แปลงที่ดินตามมาตรฐาน RTK GNSS Network</t>
  </si>
  <si>
    <t>ดำเนินการโดย ส.ป.ก. จังหวัด (ข้อมูลจาก สผส.)</t>
  </si>
  <si>
    <t>ดำเนินการโดย สผส.</t>
  </si>
  <si>
    <t>กิจกรรมสำรวจและออกแบบโครงสร้างพื้นฐานในเขตปฏิรูปที่ดิน</t>
  </si>
  <si>
    <t>โครงการตรวจสอบที่ดิน</t>
  </si>
  <si>
    <t xml:space="preserve"> - ส.ป.ก.ส่วนกลาง </t>
  </si>
  <si>
    <t xml:space="preserve"> - ส.ป.ก.จังหวัด  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</si>
  <si>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</si>
  <si>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</si>
  <si>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</si>
  <si>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</si>
  <si>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</si>
  <si>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</si>
  <si>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</si>
  <si>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</si>
  <si>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</si>
  <si>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</si>
  <si>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</si>
  <si>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</si>
  <si>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</si>
  <si>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</si>
  <si>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</si>
  <si>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</si>
  <si>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</si>
  <si>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</si>
  <si>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</si>
  <si>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</si>
  <si>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</si>
  <si>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</si>
  <si>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</si>
  <si>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</si>
  <si>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</si>
  <si>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</si>
  <si>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</si>
  <si>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</si>
  <si>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</t>
  </si>
  <si>
    <t>ด้วยภาพถ่ายทางอากาศและ/หรือภาพดาวเทียมรายละเอียดสูง</t>
  </si>
  <si>
    <t>- ใช้ที่ดินปกติ</t>
  </si>
  <si>
    <t>- ใช้ที่ดินผิดปกติ (จัดส่งข้อมูลให้ ส.ป.ก. จังหวัดตรวจสอบ)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</si>
  <si>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</si>
  <si>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</t>
  </si>
  <si>
    <t xml:space="preserve">  แปลงที่ใช้ที่ดินผิดวัตถุประสงค์ จากการตรวจพบของ สผส.</t>
  </si>
  <si>
    <t>- ใช้ที่ดินตามวัตถุประสงค์</t>
  </si>
  <si>
    <t>- ใช้ที่ดินผิดวัตถุประสงค์</t>
  </si>
  <si>
    <t>- อื่น ๆ</t>
  </si>
  <si>
    <t>กิจกรรมยกระดับรายได้เกษตรกรในเขตปฏิรูปที่ดินเพื่อลดความเหลื่อมล้ำ</t>
  </si>
  <si>
    <t>- จัดฝึกอบรมเกษตรกรตามหลักสูตร</t>
  </si>
  <si>
    <t>- หลักสูตร จัดทำ และสรุปทบทวนแผนชุมชน</t>
  </si>
  <si>
    <t>- หลักสูตร ส่งเสริมพัฒนาอาชีพและการตลาด</t>
  </si>
  <si>
    <t>- หลักสูตร การพัฒนาสถาบันเกษตรกรในพื้นที่ คทช.</t>
  </si>
  <si>
    <t>- หลักสูตร ศึกษาดูงานเพื่อพัฒนาศักยภาพคณะกรรมการและสมาชิกฯ</t>
  </si>
  <si>
    <t>- หลักสูตร พัฒนาผู้นำเกษตรกร และเชื่อมโยงภาคีเครือข่าย (สพท.)</t>
  </si>
  <si>
    <t>แผนงานบูรณาการบริหารจัดการทรัพยากรน้ำ</t>
  </si>
  <si>
    <t>โครงการที่ 1 : โครงการพัฒนาแหล่งน้ำเพื่อการเกษตรในเขตปฏิรูปที่ดิน</t>
  </si>
  <si>
    <t xml:space="preserve">กิจกรรมขุดสระน้ำพร้อมระบบส่งน้ำ </t>
  </si>
  <si>
    <t>- ความก้าวหน้า</t>
  </si>
  <si>
    <t xml:space="preserve">- ขุดสระน้ำพร้อมระบบส่งน้ำ </t>
  </si>
  <si>
    <t>กิจกรรมขุดสระเก็บน้ำสาธารณะ</t>
  </si>
  <si>
    <t>กิจกรรมพัฒนาแหล่งน้ำและระบบกระจายน้ำ</t>
  </si>
  <si>
    <t>กิจกรรมฝายชะลอน้ำแบบชั่วคราวสำหรับการเพิ่มประสิทธิภาพของแหล่งน้ำ</t>
  </si>
  <si>
    <t>โครงการส่งเสริมและพัฒนาสินค้าเกษตรชีวภาพ</t>
  </si>
  <si>
    <t>กิจกรรมส่งเสริมและขยายพันธุ์พืชในเขตปฏิรูปที่ดิน</t>
  </si>
  <si>
    <t>ดำเนินการโดย สพท.</t>
  </si>
  <si>
    <t>- สนับสนุนกล้าไม้</t>
  </si>
  <si>
    <t>- ผู้สนใจเข้าศึกษาดูงาน</t>
  </si>
  <si>
    <t>- ศูนย์ส่งเสริมและขยายพันธุ์ฯ จ.พระนครศรีอยุธยา</t>
  </si>
  <si>
    <t>- ศูนย์ส่งเสริมและขยายพันธุ์ฯ จ.ฉะเชิงเทรา</t>
  </si>
  <si>
    <t>งบประมาณกองทุนการปฏิรูปที่ดินเพื่อเกษตรกรรม</t>
  </si>
  <si>
    <t>โครงการบริหารจัดการที่ดินเอกชน</t>
  </si>
  <si>
    <t>กิจกรรมการจัดหาที่ดินเอกชน</t>
  </si>
  <si>
    <t>1. การจัดหาที่ดินเพื่อการจัดซื้อที่ดินเอกชน ปี 2566</t>
  </si>
  <si>
    <t>- จัดทำป้ายประชาสัมพันธ์เพื่อประกาศพื้นที่</t>
  </si>
  <si>
    <t>- ปิดป้ายประชาสัมพันธ์เพื่อประกาศพื้นที่</t>
  </si>
  <si>
    <t>- รับคำเสนอขาย/ตรวจสอบความถูกต้องหนังสือแสดงสิทธิในที่ดิน</t>
  </si>
  <si>
    <t>- ตรวจสอบสภาพพื้นที่ แปลงที่ดิน การทำประโยชน์/ต่อรองราคา</t>
  </si>
  <si>
    <t>- คณะอนุกรรมการจัดซื้อที่ดินพิจารณาความเหมาะสมของที่ดิน</t>
  </si>
  <si>
    <t>- นำเสนอ คปจ./อกก.คง.</t>
  </si>
  <si>
    <t>- อำนาจ คปจ. เห็นชอบและอนุมัติ กรณีราคาไม่เกิน 1.5 เท่า</t>
  </si>
  <si>
    <t>- อำนาจ อกก.คง. เห็นชอบและอนุมัติ กรณีราคาเกิน 1.5 เท่า</t>
  </si>
  <si>
    <t>2. จัดซื้อที่ดินงานต่อเนื่อง</t>
  </si>
  <si>
    <t>- นำเสนอ คปจ.</t>
  </si>
  <si>
    <t>- ประกาศเขตปฏิรูปที่ดิน</t>
  </si>
  <si>
    <t>- จดทะเบียนสิทธิและนิติกรรม และชำระมูลค่าที่ดิน</t>
  </si>
  <si>
    <t>กิจกรรมการจัดที่ดินเอกชน 7 กิจกรรม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</si>
  <si>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</si>
  <si>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</si>
  <si>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</t>
  </si>
  <si>
    <t>- การเช่าไปสู่การเช่าซื้อ</t>
  </si>
  <si>
    <t>- การเช่าซื้อไปสู่การเช่า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</si>
  <si>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</si>
  <si>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</si>
  <si>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</si>
  <si>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>- อยู่ระหว่างยื่นดำเนินการ</t>
  </si>
  <si>
    <t>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</si>
  <si>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</si>
  <si>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</si>
  <si>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</si>
  <si>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</si>
  <si>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</si>
  <si>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</si>
  <si>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</si>
  <si>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1,2,5,6 ข้อมูลจาก ALRO Land Online</t>
  </si>
  <si>
    <t>โครงการจัดที่ดินชุมชนในเขตปฏิรูปที่ดิน</t>
  </si>
  <si>
    <t>- วงรอบชุมชนใหม่</t>
  </si>
  <si>
    <t>ชุมชน</t>
  </si>
  <si>
    <t>- คปจ.</t>
  </si>
  <si>
    <t>- กิจการสนับสนุน</t>
  </si>
  <si>
    <t>- กิจการสาธารณูปโภค</t>
  </si>
  <si>
    <t>- จัดทำสัญญาเข้าทำประโยชน์ (ส.ป.ก. 4-118)</t>
  </si>
  <si>
    <t>(กิจการสนับสนุนฯ)</t>
  </si>
  <si>
    <t>- หนังสืออนุญาตเข้าทำประโยชน์ (ส.ป.ก. 4-31)</t>
  </si>
  <si>
    <t>(กิจการสาธารณูปโภค)</t>
  </si>
  <si>
    <t>โครงการตรวจสอบมาตรฐานการสำรวจรังวัดและจัดทำระวางแผนที่</t>
  </si>
  <si>
    <t>ตามระเบียบ กมร.</t>
  </si>
  <si>
    <t>แปลงที่ดินผ่านการตรวจทานและรับรองมาตรฐานการสำรวจรังวัด</t>
  </si>
  <si>
    <t>จัดทำระวางแผนที่ต้นฉบับมาตราส่วน 1:4,000</t>
  </si>
  <si>
    <t>โครงการส่งเสริมระบบวนเกษตรในเขตปฏิรูปที่ดิน</t>
  </si>
  <si>
    <t>- ขั้นที่ 1</t>
  </si>
  <si>
    <t>- พื้นที่ที่ได้รับการส่งเสริมเป็นวนเกษตร</t>
  </si>
  <si>
    <r>
      <rPr>
        <sz val="15"/>
        <color theme="1"/>
        <rFont val="Arial"/>
      </rPr>
      <t>- เกษตรกรที่เข้าร่วมโครงการขั้นที่</t>
    </r>
    <r>
      <rPr>
        <sz val="15"/>
        <color rgb="FFFF0000"/>
        <rFont val="Arial"/>
      </rPr>
      <t xml:space="preserve"> 1 ทั้งหมด</t>
    </r>
  </si>
  <si>
    <r>
      <rPr>
        <sz val="15"/>
        <color theme="1"/>
        <rFont val="Arial"/>
      </rPr>
      <t>- เกษต</t>
    </r>
    <r>
      <rPr>
        <sz val="15"/>
        <color rgb="FFFF0000"/>
        <rFont val="Arial"/>
      </rPr>
      <t>รกรเฉ</t>
    </r>
    <r>
      <rPr>
        <sz val="15"/>
        <color theme="1"/>
        <rFont val="Arial"/>
      </rPr>
      <t>พาะที่ได้รับการอบรม ขั้นที่ 1</t>
    </r>
  </si>
  <si>
    <t>- ขั้นที่ 2</t>
  </si>
  <si>
    <r>
      <rPr>
        <sz val="15"/>
        <color theme="1"/>
        <rFont val="Arial"/>
      </rPr>
      <t>- เกษตรกรที่เข้าร่วมโครงการขั้นที่</t>
    </r>
    <r>
      <rPr>
        <sz val="15"/>
        <color rgb="FFFF0000"/>
        <rFont val="Arial"/>
      </rPr>
      <t xml:space="preserve"> 2 ทั้งหมด</t>
    </r>
  </si>
  <si>
    <r>
      <rPr>
        <sz val="15"/>
        <color theme="1"/>
        <rFont val="Arial"/>
      </rPr>
      <t>- เกษต</t>
    </r>
    <r>
      <rPr>
        <sz val="15"/>
        <color rgb="FFFF0000"/>
        <rFont val="Arial"/>
      </rPr>
      <t>รกรเฉ</t>
    </r>
    <r>
      <rPr>
        <sz val="15"/>
        <color theme="1"/>
        <rFont val="Arial"/>
      </rPr>
      <t>พาะที่ได้รับการอบรม ขั้นที่ 2</t>
    </r>
  </si>
  <si>
    <t>- ขั้นที่ 3</t>
  </si>
  <si>
    <r>
      <rPr>
        <sz val="15"/>
        <color theme="1"/>
        <rFont val="Arial"/>
      </rPr>
      <t>- เกษตรกรที่เข้าร่วมโครงการขั้นที่</t>
    </r>
    <r>
      <rPr>
        <sz val="15"/>
        <color rgb="FFFF0000"/>
        <rFont val="Arial"/>
      </rPr>
      <t xml:space="preserve"> 3 ทั้งหมด</t>
    </r>
  </si>
  <si>
    <r>
      <rPr>
        <sz val="15"/>
        <color theme="1"/>
        <rFont val="Arial"/>
      </rPr>
      <t>- เกษต</t>
    </r>
    <r>
      <rPr>
        <sz val="15"/>
        <color rgb="FFFF0000"/>
        <rFont val="Arial"/>
      </rPr>
      <t>รกรเฉ</t>
    </r>
    <r>
      <rPr>
        <sz val="15"/>
        <color theme="1"/>
        <rFont val="Arial"/>
      </rPr>
      <t>พาะที่ได้รับการอบรม ขั้นที่ 3</t>
    </r>
  </si>
  <si>
    <r>
      <rPr>
        <sz val="15"/>
        <color theme="1"/>
        <rFont val="Arial"/>
      </rPr>
      <t>- เกษตรกรขั้นที่ 1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</si>
  <si>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 xml:space="preserve"> - เกษตรกรขั้นที่ 1 (เกษตรกรที่เข้าร่วมโครง</t>
    </r>
    <r>
      <rPr>
        <sz val="15"/>
        <color rgb="FFFF0000"/>
        <rFont val="Arial"/>
      </rPr>
      <t>การทั้ง</t>
    </r>
    <r>
      <rPr>
        <sz val="15"/>
        <color theme="1"/>
        <rFont val="Arial"/>
      </rPr>
      <t>หมด)</t>
    </r>
  </si>
  <si>
    <r>
      <rPr>
        <sz val="15"/>
        <color theme="1"/>
        <rFont val="Arial"/>
      </rPr>
      <t>- เกษตรกรขั้นที่ 2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</si>
  <si>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>- เกษตรกรขั้นที่ 2 (เกษตรกรที่เข้าร่วมโครงการ</t>
    </r>
    <r>
      <rPr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</si>
  <si>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t>- ขั้นที่ 3 ครูต้นแบบวนเกษตรในเขตปฏิรูปที่ดิน</t>
  </si>
  <si>
    <t>โครงการส่งเสริมเกษตรอินทรีย์ในเขตปฏิรูปที่ดิน</t>
  </si>
  <si>
    <t>- อบรม หลักสูตรสำหรับพัฒนากลไกผู้นำเกษตรกรและเจ้าหน้าที่</t>
  </si>
  <si>
    <t>ด้านส่งเสริมเกษตรอินทรีย์ (โดย สพท.)</t>
  </si>
  <si>
    <t xml:space="preserve"> - อบรม หลักสูตรสำหรับส่งเสริมเกษตรอินทรีย์โดยใช้กระบวนการ</t>
  </si>
  <si>
    <t>โรงเรียนเกษตรกร (โดย ส.ป.ก.จังหวัด)</t>
  </si>
  <si>
    <t>- พื้นที่ในเขตปฏิรูปที่ดินได้รับการส่งเสริมเกษตรอินทรีย์</t>
  </si>
  <si>
    <t>การดำเนินงานกองทุนการปฏิรูปที่ดินเพื่อเกษตรกรรม (ใช้ข้อมูลจาก สบท.)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</si>
  <si>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</si>
  <si>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</si>
  <si>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</si>
  <si>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</si>
  <si>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หมายเหตุ :</t>
  </si>
  <si>
    <r>
      <rPr>
        <sz val="15"/>
        <color rgb="FF000000"/>
        <rFont val="Arial"/>
      </rPr>
      <t>- เกษตรกรขั้นที่ 2 (เกษตรกรที่เข้าร่วมโครงการ</t>
    </r>
    <r>
      <rPr>
        <sz val="15"/>
        <color rgb="FF000000"/>
        <rFont val="Arial"/>
      </rPr>
      <t>ทั้งหมด</t>
    </r>
    <r>
      <rPr>
        <sz val="15"/>
        <color rgb="FF000000"/>
        <rFont val="Arial"/>
      </rPr>
      <t>)</t>
    </r>
  </si>
  <si>
    <r>
      <rPr>
        <sz val="15"/>
        <color rgb="FF000000"/>
        <rFont val="Arial"/>
      </rPr>
      <t>- เกษตรกรขั้นที่ 2 (</t>
    </r>
    <r>
      <rPr>
        <sz val="15"/>
        <color rgb="FF000000"/>
        <rFont val="Arial"/>
      </rPr>
      <t>เฉพาะ</t>
    </r>
    <r>
      <rPr>
        <sz val="15"/>
        <color rgb="FF000000"/>
        <rFont val="Arial"/>
      </rPr>
      <t>) ที่ได้รับการอบรม</t>
    </r>
  </si>
  <si>
    <r>
      <rPr>
        <sz val="15"/>
        <color rgb="FF000000"/>
        <rFont val="Arial"/>
      </rPr>
      <t xml:space="preserve"> - เกษตรกรขั้นที่ 1 (เกษตรกรที่เข้าร่วมโครง</t>
    </r>
    <r>
      <rPr>
        <sz val="15"/>
        <color rgb="FF000000"/>
        <rFont val="Arial"/>
      </rPr>
      <t>การทั้ง</t>
    </r>
    <r>
      <rPr>
        <sz val="15"/>
        <color rgb="FF000000"/>
        <rFont val="Arial"/>
      </rPr>
      <t>หมด)</t>
    </r>
  </si>
  <si>
    <r>
      <rPr>
        <sz val="15"/>
        <color rgb="FF000000"/>
        <rFont val="Arial"/>
      </rPr>
      <t>- เกษตรกรขั้นที่ 1 (</t>
    </r>
    <r>
      <rPr>
        <sz val="15"/>
        <color rgb="FF000000"/>
        <rFont val="Arial"/>
      </rPr>
      <t>เฉพาะ</t>
    </r>
    <r>
      <rPr>
        <sz val="15"/>
        <color rgb="FF000000"/>
        <rFont val="Arial"/>
      </rPr>
      <t>) ที่ได้รับการอบรม</t>
    </r>
  </si>
  <si>
    <r>
      <rPr>
        <sz val="15"/>
        <color rgb="FF000000"/>
        <rFont val="Arial"/>
      </rPr>
      <t>- เกษต</t>
    </r>
    <r>
      <rPr>
        <sz val="15"/>
        <color rgb="FF000000"/>
        <rFont val="Arial"/>
      </rPr>
      <t>รกรเฉ</t>
    </r>
    <r>
      <rPr>
        <sz val="15"/>
        <color rgb="FF000000"/>
        <rFont val="Arial"/>
      </rPr>
      <t>พาะที่ได้รับการอบรม ขั้นที่ 3</t>
    </r>
  </si>
  <si>
    <r>
      <rPr>
        <sz val="15"/>
        <color rgb="FF000000"/>
        <rFont val="Arial"/>
      </rPr>
      <t>- เกษตรกรที่เข้าร่วมโครงการขั้นที่</t>
    </r>
    <r>
      <rPr>
        <sz val="15"/>
        <color rgb="FF000000"/>
        <rFont val="Arial"/>
      </rPr>
      <t xml:space="preserve"> 3 ทั้งหมด</t>
    </r>
  </si>
  <si>
    <r>
      <rPr>
        <sz val="15"/>
        <color rgb="FF000000"/>
        <rFont val="Arial"/>
      </rPr>
      <t>- เกษต</t>
    </r>
    <r>
      <rPr>
        <sz val="15"/>
        <color rgb="FF000000"/>
        <rFont val="Arial"/>
      </rPr>
      <t>รกรเฉ</t>
    </r>
    <r>
      <rPr>
        <sz val="15"/>
        <color rgb="FF000000"/>
        <rFont val="Arial"/>
      </rPr>
      <t>พาะที่ได้รับการอบรม ขั้นที่ 2</t>
    </r>
  </si>
  <si>
    <r>
      <rPr>
        <sz val="15"/>
        <color rgb="FF000000"/>
        <rFont val="Arial"/>
      </rPr>
      <t>- เกษตรกรที่เข้าร่วมโครงการขั้นที่</t>
    </r>
    <r>
      <rPr>
        <sz val="15"/>
        <color rgb="FF000000"/>
        <rFont val="Arial"/>
      </rPr>
      <t xml:space="preserve"> 2 ทั้งหมด</t>
    </r>
  </si>
  <si>
    <r>
      <rPr>
        <sz val="15"/>
        <color rgb="FF000000"/>
        <rFont val="Arial"/>
      </rPr>
      <t>- เกษต</t>
    </r>
    <r>
      <rPr>
        <sz val="15"/>
        <color rgb="FF000000"/>
        <rFont val="Arial"/>
      </rPr>
      <t>รกรเฉ</t>
    </r>
    <r>
      <rPr>
        <sz val="15"/>
        <color rgb="FF000000"/>
        <rFont val="Arial"/>
      </rPr>
      <t>พาะที่ได้รับการอบรม ขั้นที่ 1</t>
    </r>
  </si>
  <si>
    <r>
      <rPr>
        <sz val="15"/>
        <color rgb="FF000000"/>
        <rFont val="Arial"/>
      </rPr>
      <t>- เกษตรกรที่เข้าร่วมโครงการขั้นที่</t>
    </r>
    <r>
      <rPr>
        <sz val="15"/>
        <color rgb="FF000000"/>
        <rFont val="Arial"/>
      </rPr>
      <t xml:space="preserve"> 1 ทั้งหมด</t>
    </r>
  </si>
  <si>
    <t>- ค่าจ้างเหมาบริการ</t>
  </si>
  <si>
    <t>- ค่าใช้จ่ายในการบริหารงาน</t>
  </si>
  <si>
    <t>- งบบริหารโครงการ</t>
  </si>
  <si>
    <t>รวม งบประมาณ</t>
  </si>
  <si>
    <t>สำนักงานการปฏิรูปที่ดินจังหวัด กาฬสินธุ์</t>
  </si>
  <si>
    <t>สำนักงานการปฏิรูปที่ดินจังหวัด ขอนแก่น</t>
  </si>
  <si>
    <t>สำนักงานการปฏิรูปที่ดินจังหวัด ชัยภูมิ</t>
  </si>
  <si>
    <t>สำนักงานการปฏิรูปที่ดินจังหวัด นครพนม</t>
  </si>
  <si>
    <t>สำนักงานการปฏิรูปที่ดินจังหวัด นครราชสีมา</t>
  </si>
  <si>
    <t>สำนักงานการปฏิรูปที่ดินจังหวัด บึงกาฬ</t>
  </si>
  <si>
    <t>สำนักงานการปฏิรูปที่ดินจังหวัด บุรีรัมย์</t>
  </si>
  <si>
    <t>สำนักงานการปฏิรูปที่ดินจังหวัด มหาสารคาม</t>
  </si>
  <si>
    <t>สำนักงานการปฏิรูปที่ดินจังหวัด มุกดาหาร</t>
  </si>
  <si>
    <t>สำนักงานการปฏิรูปที่ดินจังหวัด ยโสธร</t>
  </si>
  <si>
    <t>สำนักงานการปฏิรูปที่ดินจังหวัด ร้อยเอ็ด</t>
  </si>
  <si>
    <t>สำนักงานการปฏิรูปที่ดินจังหวัด เลย</t>
  </si>
  <si>
    <t>สำนักงานการปฏิรูปที่ดินจังหวัด ศรีสะเกษ</t>
  </si>
  <si>
    <t>(5) โครงการขยายผลฟาร์มตัวอย่างคำตากล้าฯ</t>
  </si>
  <si>
    <t>สำนักงานการปฏิรูปที่ดินจังหวัด สกลนคร</t>
  </si>
  <si>
    <t>สำนักงานการปฏิรูปที่ดินจังหวัด สุรินทร์</t>
  </si>
  <si>
    <t>โครงการพัฒนาแหล่งน้ำเพื่อการเกษตรในเขตปฏิรูปที่ดิน</t>
  </si>
  <si>
    <t>(6) โครงการพัชรสุธาคชานุรักษ์</t>
  </si>
  <si>
    <t xml:space="preserve"> - เกษตรกรตัวอย่าง</t>
  </si>
  <si>
    <t xml:space="preserve"> - เกษตรกรเป้าหมาย</t>
  </si>
  <si>
    <t>(5) โครงการที่ดินพระราชทาน</t>
  </si>
  <si>
    <t>สำนักงานการปฏิรูปที่ดินจังหวัด หนองคาย</t>
  </si>
  <si>
    <t>สำนักงานการปฏิรูปที่ดินจังหวัด หนองบัวลำภู</t>
  </si>
  <si>
    <t>สำนักงานการปฏิรูปที่ดินจังหวัด อำนาจเจริญ</t>
  </si>
  <si>
    <t>สำนักงานการปฏิรูปที่ดินจังหวัด อุดรธานี</t>
  </si>
  <si>
    <t>(5) โครงการพัฒนาพื้นที่ชายแดน</t>
  </si>
  <si>
    <t>สำนักงานการปฏิรูปที่ดินจังหวัด อุบลราชธานี</t>
  </si>
  <si>
    <t>ข้อมูล ณ วันที่ 30 เม.ย. 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</si>
</sst>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_-;\-* #,##0_-;_-* &quot;-&quot;??_-;_-@"/>
    <numFmt numFmtId="165" formatCode="_-* #,##0.00_-;\-* #,##0.00_-;_-* &quot;-&quot;??_-;_-@"/>
    <numFmt numFmtId="166" formatCode="_-* #,##0_-;\-* #,##0_-;_-* &quot;-&quot;_-;_-@"/>
    <numFmt numFmtId="167" formatCode="_(* #,##0_);_(* \(#,##0\);_(* &quot;-&quot;??_);_(@_)"/>
    <numFmt numFmtId="168" formatCode="_-* #,##0.0_-;\-* #,##0.0_-;_-* &quot;-&quot;_-;_-@"/>
    <numFmt numFmtId="169" formatCode="_-* #,##0.00_-;\-* #,##0.00_-;_-* &quot;-&quot;????_-;_-@"/>
    <numFmt numFmtId="170" formatCode="_-* #,##0.00_-;\-* #,##0.00_-;_-* &quot;-&quot;_-;_-@"/>
  </numFmts>
  <fonts count="46">
    <font>
      <sz val="10"/>
      <color rgb="FF000000"/>
      <name val="Arial"/>
      <scheme val="minor"/>
    </font>
    <font>
      <b/>
      <sz val="15"/>
      <color rgb="FF000000"/>
      <name val="Arial"/>
    </font>
    <font>
      <sz val="10"/>
      <color theme="1"/>
      <name val="Arial"/>
    </font>
    <font>
      <sz val="10"/>
      <color rgb="FF000000"/>
      <name val="Arial"/>
    </font>
    <font>
      <b/>
      <sz val="15"/>
      <color rgb="FFFFFFFF"/>
      <name val="Arial"/>
    </font>
    <font>
      <sz val="10"/>
      <name val="Arial"/>
    </font>
    <font>
      <b/>
      <sz val="15"/>
      <color theme="1"/>
      <name val="Arial"/>
    </font>
    <font>
      <b/>
      <u/>
      <sz val="15"/>
      <color theme="1"/>
      <name val="Arial"/>
    </font>
    <font>
      <sz val="15"/>
      <color theme="1"/>
      <name val="Arial"/>
    </font>
    <font>
      <sz val="15"/>
      <color rgb="FFFF0000"/>
      <name val="Arial"/>
    </font>
    <font>
      <u/>
      <sz val="15"/>
      <color theme="1"/>
      <name val="Arial"/>
    </font>
    <font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u/>
      <sz val="15"/>
      <color theme="1"/>
      <name val="Arial"/>
    </font>
    <font>
      <b/>
      <sz val="15"/>
      <color rgb="FFFF0000"/>
      <name val="Arial"/>
    </font>
    <font>
      <b/>
      <u/>
      <sz val="15"/>
      <color theme="1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u/>
      <sz val="15"/>
      <color theme="1"/>
      <name val="Arial"/>
    </font>
    <font>
      <i/>
      <sz val="13"/>
      <color theme="1"/>
      <name val="Arial"/>
    </font>
    <font>
      <b/>
      <u/>
      <sz val="15"/>
      <color theme="1"/>
      <name val="Arial"/>
    </font>
    <font>
      <sz val="15"/>
      <color rgb="FF000000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sz val="14"/>
      <color theme="1"/>
      <name val="Arial"/>
    </font>
    <font>
      <sz val="14"/>
      <color theme="1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i/>
      <sz val="15"/>
      <color rgb="FF999999"/>
      <name val="Arial"/>
    </font>
    <font>
      <sz val="15"/>
      <color rgb="FF434343"/>
      <name val="Arial"/>
    </font>
    <font>
      <b/>
      <u/>
      <sz val="15"/>
      <color rgb="FFFF0000"/>
      <name val="Arial"/>
    </font>
    <font>
      <u/>
      <sz val="15"/>
      <color rgb="FFFF0000"/>
      <name val="Arial"/>
    </font>
    <font>
      <b/>
      <u/>
      <sz val="15"/>
      <color rgb="FF000000"/>
      <name val="Arial"/>
    </font>
    <font>
      <sz val="10"/>
      <color rgb="FFFF0000"/>
      <name val="Arial"/>
    </font>
    <font>
      <u/>
      <sz val="15"/>
      <color rgb="FF000000"/>
      <name val="Arial"/>
    </font>
    <font>
      <sz val="10"/>
      <color theme="1"/>
      <name val="Arial"/>
      <scheme val="minor"/>
    </font>
    <font>
      <sz val="14"/>
      <color theme="1"/>
      <name val="&quot;TH SarabunIT๙&quot;"/>
    </font>
  </fonts>
  <fills count="41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38761D"/>
        <bgColor rgb="FF38761D"/>
      </patternFill>
    </fill>
    <fill>
      <patternFill patternType="solid">
        <fgColor rgb="FFBF9000"/>
        <bgColor rgb="FFBF9000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99999"/>
        <bgColor rgb="FF999999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00FFFF"/>
        <bgColor rgb="FF00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CE4D6"/>
        <bgColor rgb="FFFCE4D6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FF00"/>
        <bgColor rgb="FFFFFF00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B7B7B7"/>
        <bgColor rgb="FFB7B7B7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1C232"/>
        <bgColor rgb="FFF1C232"/>
      </patternFill>
    </fill>
    <fill>
      <patternFill patternType="solid">
        <fgColor rgb="FFFFD966"/>
        <bgColor rgb="FFFFD966"/>
      </patternFill>
    </fill>
    <fill>
      <patternFill patternType="solid">
        <fgColor rgb="FFFFE599"/>
        <bgColor rgb="FFFFE599"/>
      </patternFill>
    </fill>
    <fill>
      <patternFill patternType="solid">
        <fgColor rgb="FFFFF2CC"/>
        <bgColor rgb="FFFFF2CC"/>
      </patternFill>
    </fill>
    <fill>
      <patternFill patternType="solid">
        <fgColor rgb="FFB45F06"/>
        <bgColor rgb="FFB45F06"/>
      </patternFill>
    </fill>
    <fill>
      <patternFill patternType="solid">
        <fgColor rgb="FFA2C4C9"/>
        <bgColor rgb="FFA2C4C9"/>
      </patternFill>
    </fill>
    <fill>
      <patternFill patternType="solid">
        <fgColor rgb="FFD0E0E3"/>
        <bgColor rgb="FFD0E0E3"/>
      </patternFill>
    </fill>
  </fills>
  <borders count="29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/>
      <diagonal/>
    </border>
  </borders>
  <cellStyleXfs count="1">
    <xf numFmtId="0" fontId="0" fillId="0" borderId="0"/>
  </cellStyleXfs>
  <cellXfs count="895">
    <xf numFmtId="0" fontId="0" fillId="0" borderId="0" xfId="0"/>
    <xf numFmtId="0" fontId="2" fillId="0" borderId="0" xfId="0" applyFont="1"/>
    <xf numFmtId="0" fontId="2" fillId="0" borderId="1" xfId="0" applyFont="1" applyBorder="1"/>
    <xf numFmtId="0" fontId="3" fillId="2" borderId="0" xfId="0" applyFont="1" applyFill="1"/>
    <xf numFmtId="0" fontId="2" fillId="2" borderId="1" xfId="0" applyFont="1" applyFill="1" applyBorder="1"/>
    <xf numFmtId="164" fontId="2" fillId="2" borderId="1" xfId="0" applyNumberFormat="1" applyFont="1" applyFill="1" applyBorder="1"/>
    <xf numFmtId="165" fontId="2" fillId="2" borderId="2" xfId="0" applyNumberFormat="1" applyFont="1" applyFill="1" applyBorder="1"/>
    <xf numFmtId="0" fontId="6" fillId="5" borderId="5" xfId="0" applyFont="1" applyFill="1" applyBorder="1" applyAlignment="1">
      <alignment horizontal="center"/>
    </xf>
    <xf numFmtId="0" fontId="2" fillId="5" borderId="2" xfId="0" applyFont="1" applyFill="1" applyBorder="1"/>
    <xf numFmtId="165" fontId="6" fillId="6" borderId="2" xfId="0" applyNumberFormat="1" applyFont="1" applyFill="1" applyBorder="1" applyAlignment="1">
      <alignment horizontal="center"/>
    </xf>
    <xf numFmtId="164" fontId="6" fillId="6" borderId="2" xfId="0" applyNumberFormat="1" applyFont="1" applyFill="1" applyBorder="1" applyAlignment="1">
      <alignment horizontal="center" wrapText="1"/>
    </xf>
    <xf numFmtId="165" fontId="6" fillId="7" borderId="2" xfId="0" applyNumberFormat="1" applyFont="1" applyFill="1" applyBorder="1" applyAlignment="1">
      <alignment horizontal="center" wrapText="1"/>
    </xf>
    <xf numFmtId="165" fontId="6" fillId="9" borderId="2" xfId="0" applyNumberFormat="1" applyFont="1" applyFill="1" applyBorder="1" applyAlignment="1">
      <alignment horizontal="center" wrapText="1"/>
    </xf>
    <xf numFmtId="165" fontId="6" fillId="8" borderId="2" xfId="0" applyNumberFormat="1" applyFont="1" applyFill="1" applyBorder="1" applyAlignment="1">
      <alignment horizontal="center"/>
    </xf>
    <xf numFmtId="165" fontId="6" fillId="7" borderId="2" xfId="0" applyNumberFormat="1" applyFont="1" applyFill="1" applyBorder="1" applyAlignment="1">
      <alignment horizontal="center"/>
    </xf>
    <xf numFmtId="165" fontId="6" fillId="9" borderId="2" xfId="0" applyNumberFormat="1" applyFont="1" applyFill="1" applyBorder="1" applyAlignment="1">
      <alignment horizontal="center"/>
    </xf>
    <xf numFmtId="0" fontId="2" fillId="10" borderId="8" xfId="0" applyFont="1" applyFill="1" applyBorder="1"/>
    <xf numFmtId="0" fontId="2" fillId="10" borderId="2" xfId="0" applyFont="1" applyFill="1" applyBorder="1"/>
    <xf numFmtId="166" fontId="2" fillId="10" borderId="2" xfId="0" applyNumberFormat="1" applyFont="1" applyFill="1" applyBorder="1"/>
    <xf numFmtId="165" fontId="2" fillId="10" borderId="2" xfId="0" applyNumberFormat="1" applyFont="1" applyFill="1" applyBorder="1"/>
    <xf numFmtId="165" fontId="2" fillId="10" borderId="9" xfId="0" applyNumberFormat="1" applyFont="1" applyFill="1" applyBorder="1"/>
    <xf numFmtId="0" fontId="2" fillId="10" borderId="10" xfId="0" applyFont="1" applyFill="1" applyBorder="1"/>
    <xf numFmtId="0" fontId="2" fillId="10" borderId="11" xfId="0" applyFont="1" applyFill="1" applyBorder="1"/>
    <xf numFmtId="0" fontId="2" fillId="10" borderId="12" xfId="0" applyFont="1" applyFill="1" applyBorder="1"/>
    <xf numFmtId="166" fontId="2" fillId="10" borderId="12" xfId="0" applyNumberFormat="1" applyFont="1" applyFill="1" applyBorder="1"/>
    <xf numFmtId="165" fontId="2" fillId="10" borderId="12" xfId="0" applyNumberFormat="1" applyFont="1" applyFill="1" applyBorder="1"/>
    <xf numFmtId="165" fontId="2" fillId="10" borderId="13" xfId="0" applyNumberFormat="1" applyFont="1" applyFill="1" applyBorder="1"/>
    <xf numFmtId="0" fontId="2" fillId="10" borderId="1" xfId="0" applyFont="1" applyFill="1" applyBorder="1"/>
    <xf numFmtId="165" fontId="2" fillId="10" borderId="14" xfId="0" applyNumberFormat="1" applyFont="1" applyFill="1" applyBorder="1"/>
    <xf numFmtId="0" fontId="2" fillId="11" borderId="2" xfId="0" applyFont="1" applyFill="1" applyBorder="1"/>
    <xf numFmtId="166" fontId="2" fillId="11" borderId="2" xfId="0" applyNumberFormat="1" applyFont="1" applyFill="1" applyBorder="1"/>
    <xf numFmtId="165" fontId="2" fillId="11" borderId="2" xfId="0" applyNumberFormat="1" applyFont="1" applyFill="1" applyBorder="1"/>
    <xf numFmtId="165" fontId="2" fillId="11" borderId="14" xfId="0" applyNumberFormat="1" applyFont="1" applyFill="1" applyBorder="1"/>
    <xf numFmtId="0" fontId="2" fillId="12" borderId="10" xfId="0" applyFont="1" applyFill="1" applyBorder="1"/>
    <xf numFmtId="0" fontId="2" fillId="12" borderId="11" xfId="0" applyFont="1" applyFill="1" applyBorder="1"/>
    <xf numFmtId="0" fontId="6" fillId="12" borderId="11" xfId="0" applyFont="1" applyFill="1" applyBorder="1"/>
    <xf numFmtId="0" fontId="7" fillId="12" borderId="11" xfId="0" applyFont="1" applyFill="1" applyBorder="1"/>
    <xf numFmtId="0" fontId="2" fillId="12" borderId="12" xfId="0" applyFont="1" applyFill="1" applyBorder="1"/>
    <xf numFmtId="0" fontId="6" fillId="12" borderId="12" xfId="0" applyFont="1" applyFill="1" applyBorder="1" applyAlignment="1">
      <alignment horizontal="center"/>
    </xf>
    <xf numFmtId="166" fontId="2" fillId="12" borderId="12" xfId="0" applyNumberFormat="1" applyFont="1" applyFill="1" applyBorder="1"/>
    <xf numFmtId="165" fontId="2" fillId="12" borderId="12" xfId="0" applyNumberFormat="1" applyFont="1" applyFill="1" applyBorder="1"/>
    <xf numFmtId="165" fontId="6" fillId="12" borderId="12" xfId="0" applyNumberFormat="1" applyFont="1" applyFill="1" applyBorder="1"/>
    <xf numFmtId="165" fontId="6" fillId="12" borderId="13" xfId="0" applyNumberFormat="1" applyFont="1" applyFill="1" applyBorder="1"/>
    <xf numFmtId="0" fontId="8" fillId="12" borderId="11" xfId="0" applyFont="1" applyFill="1" applyBorder="1"/>
    <xf numFmtId="0" fontId="8" fillId="12" borderId="12" xfId="0" applyFont="1" applyFill="1" applyBorder="1" applyAlignment="1">
      <alignment horizontal="center"/>
    </xf>
    <xf numFmtId="165" fontId="9" fillId="12" borderId="12" xfId="0" applyNumberFormat="1" applyFont="1" applyFill="1" applyBorder="1"/>
    <xf numFmtId="165" fontId="9" fillId="12" borderId="13" xfId="0" applyNumberFormat="1" applyFont="1" applyFill="1" applyBorder="1"/>
    <xf numFmtId="165" fontId="8" fillId="12" borderId="12" xfId="0" applyNumberFormat="1" applyFont="1" applyFill="1" applyBorder="1"/>
    <xf numFmtId="165" fontId="8" fillId="12" borderId="13" xfId="0" applyNumberFormat="1" applyFont="1" applyFill="1" applyBorder="1"/>
    <xf numFmtId="0" fontId="2" fillId="2" borderId="10" xfId="0" applyFont="1" applyFill="1" applyBorder="1"/>
    <xf numFmtId="0" fontId="2" fillId="2" borderId="11" xfId="0" applyFont="1" applyFill="1" applyBorder="1"/>
    <xf numFmtId="0" fontId="10" fillId="2" borderId="11" xfId="0" applyFont="1" applyFill="1" applyBorder="1"/>
    <xf numFmtId="0" fontId="2" fillId="2" borderId="12" xfId="0" applyFont="1" applyFill="1" applyBorder="1"/>
    <xf numFmtId="0" fontId="8" fillId="2" borderId="12" xfId="0" applyFont="1" applyFill="1" applyBorder="1" applyAlignment="1">
      <alignment horizontal="center"/>
    </xf>
    <xf numFmtId="166" fontId="2" fillId="2" borderId="12" xfId="0" applyNumberFormat="1" applyFont="1" applyFill="1" applyBorder="1"/>
    <xf numFmtId="165" fontId="2" fillId="2" borderId="12" xfId="0" applyNumberFormat="1" applyFont="1" applyFill="1" applyBorder="1"/>
    <xf numFmtId="165" fontId="8" fillId="2" borderId="12" xfId="0" applyNumberFormat="1" applyFont="1" applyFill="1" applyBorder="1"/>
    <xf numFmtId="165" fontId="8" fillId="2" borderId="13" xfId="0" applyNumberFormat="1" applyFont="1" applyFill="1" applyBorder="1"/>
    <xf numFmtId="0" fontId="8" fillId="2" borderId="11" xfId="0" applyFont="1" applyFill="1" applyBorder="1"/>
    <xf numFmtId="165" fontId="9" fillId="2" borderId="12" xfId="0" applyNumberFormat="1" applyFont="1" applyFill="1" applyBorder="1"/>
    <xf numFmtId="165" fontId="9" fillId="2" borderId="13" xfId="0" applyNumberFormat="1" applyFont="1" applyFill="1" applyBorder="1"/>
    <xf numFmtId="0" fontId="11" fillId="2" borderId="11" xfId="0" applyFont="1" applyFill="1" applyBorder="1"/>
    <xf numFmtId="165" fontId="2" fillId="2" borderId="13" xfId="0" applyNumberFormat="1" applyFont="1" applyFill="1" applyBorder="1"/>
    <xf numFmtId="0" fontId="2" fillId="2" borderId="8" xfId="0" applyFont="1" applyFill="1" applyBorder="1"/>
    <xf numFmtId="0" fontId="8" fillId="2" borderId="1" xfId="0" applyFont="1" applyFill="1" applyBorder="1"/>
    <xf numFmtId="0" fontId="2" fillId="2" borderId="2" xfId="0" applyFont="1" applyFill="1" applyBorder="1"/>
    <xf numFmtId="0" fontId="8" fillId="2" borderId="2" xfId="0" applyFont="1" applyFill="1" applyBorder="1" applyAlignment="1">
      <alignment horizontal="center"/>
    </xf>
    <xf numFmtId="166" fontId="2" fillId="2" borderId="2" xfId="0" applyNumberFormat="1" applyFont="1" applyFill="1" applyBorder="1"/>
    <xf numFmtId="165" fontId="2" fillId="2" borderId="14" xfId="0" applyNumberFormat="1" applyFont="1" applyFill="1" applyBorder="1"/>
    <xf numFmtId="0" fontId="6" fillId="13" borderId="8" xfId="0" applyFont="1" applyFill="1" applyBorder="1"/>
    <xf numFmtId="0" fontId="2" fillId="13" borderId="1" xfId="0" applyFont="1" applyFill="1" applyBorder="1"/>
    <xf numFmtId="0" fontId="2" fillId="13" borderId="2" xfId="0" applyFont="1" applyFill="1" applyBorder="1"/>
    <xf numFmtId="166" fontId="2" fillId="13" borderId="2" xfId="0" applyNumberFormat="1" applyFont="1" applyFill="1" applyBorder="1"/>
    <xf numFmtId="165" fontId="2" fillId="13" borderId="2" xfId="0" applyNumberFormat="1" applyFont="1" applyFill="1" applyBorder="1"/>
    <xf numFmtId="165" fontId="2" fillId="13" borderId="14" xfId="0" applyNumberFormat="1" applyFont="1" applyFill="1" applyBorder="1"/>
    <xf numFmtId="0" fontId="6" fillId="14" borderId="8" xfId="0" applyFont="1" applyFill="1" applyBorder="1"/>
    <xf numFmtId="0" fontId="2" fillId="14" borderId="1" xfId="0" applyFont="1" applyFill="1" applyBorder="1"/>
    <xf numFmtId="166" fontId="2" fillId="14" borderId="1" xfId="0" applyNumberFormat="1" applyFont="1" applyFill="1" applyBorder="1"/>
    <xf numFmtId="165" fontId="2" fillId="14" borderId="1" xfId="0" applyNumberFormat="1" applyFont="1" applyFill="1" applyBorder="1"/>
    <xf numFmtId="165" fontId="2" fillId="14" borderId="2" xfId="0" applyNumberFormat="1" applyFont="1" applyFill="1" applyBorder="1"/>
    <xf numFmtId="0" fontId="2" fillId="15" borderId="11" xfId="0" applyFont="1" applyFill="1" applyBorder="1"/>
    <xf numFmtId="0" fontId="6" fillId="15" borderId="11" xfId="0" applyFont="1" applyFill="1" applyBorder="1"/>
    <xf numFmtId="0" fontId="2" fillId="15" borderId="12" xfId="0" applyFont="1" applyFill="1" applyBorder="1"/>
    <xf numFmtId="166" fontId="2" fillId="15" borderId="12" xfId="0" applyNumberFormat="1" applyFont="1" applyFill="1" applyBorder="1"/>
    <xf numFmtId="165" fontId="2" fillId="15" borderId="12" xfId="0" applyNumberFormat="1" applyFont="1" applyFill="1" applyBorder="1"/>
    <xf numFmtId="165" fontId="2" fillId="15" borderId="13" xfId="0" applyNumberFormat="1" applyFont="1" applyFill="1" applyBorder="1"/>
    <xf numFmtId="0" fontId="2" fillId="16" borderId="10" xfId="0" applyFont="1" applyFill="1" applyBorder="1"/>
    <xf numFmtId="0" fontId="2" fillId="16" borderId="11" xfId="0" applyFont="1" applyFill="1" applyBorder="1"/>
    <xf numFmtId="0" fontId="6" fillId="16" borderId="11" xfId="0" applyFont="1" applyFill="1" applyBorder="1"/>
    <xf numFmtId="0" fontId="12" fillId="16" borderId="11" xfId="0" applyFont="1" applyFill="1" applyBorder="1"/>
    <xf numFmtId="0" fontId="2" fillId="16" borderId="12" xfId="0" applyFont="1" applyFill="1" applyBorder="1"/>
    <xf numFmtId="0" fontId="6" fillId="16" borderId="12" xfId="0" applyFont="1" applyFill="1" applyBorder="1" applyAlignment="1">
      <alignment horizontal="center"/>
    </xf>
    <xf numFmtId="166" fontId="2" fillId="16" borderId="12" xfId="0" applyNumberFormat="1" applyFont="1" applyFill="1" applyBorder="1"/>
    <xf numFmtId="165" fontId="2" fillId="16" borderId="12" xfId="0" applyNumberFormat="1" applyFont="1" applyFill="1" applyBorder="1"/>
    <xf numFmtId="165" fontId="6" fillId="16" borderId="12" xfId="0" applyNumberFormat="1" applyFont="1" applyFill="1" applyBorder="1"/>
    <xf numFmtId="165" fontId="6" fillId="16" borderId="13" xfId="0" applyNumberFormat="1" applyFont="1" applyFill="1" applyBorder="1"/>
    <xf numFmtId="0" fontId="8" fillId="16" borderId="11" xfId="0" applyFont="1" applyFill="1" applyBorder="1"/>
    <xf numFmtId="0" fontId="8" fillId="16" borderId="12" xfId="0" applyFont="1" applyFill="1" applyBorder="1" applyAlignment="1">
      <alignment horizontal="center"/>
    </xf>
    <xf numFmtId="165" fontId="9" fillId="16" borderId="12" xfId="0" applyNumberFormat="1" applyFont="1" applyFill="1" applyBorder="1"/>
    <xf numFmtId="165" fontId="9" fillId="16" borderId="13" xfId="0" applyNumberFormat="1" applyFont="1" applyFill="1" applyBorder="1"/>
    <xf numFmtId="165" fontId="8" fillId="16" borderId="12" xfId="0" applyNumberFormat="1" applyFont="1" applyFill="1" applyBorder="1"/>
    <xf numFmtId="165" fontId="8" fillId="16" borderId="13" xfId="0" applyNumberFormat="1" applyFont="1" applyFill="1" applyBorder="1"/>
    <xf numFmtId="165" fontId="9" fillId="2" borderId="12" xfId="0" applyNumberFormat="1" applyFont="1" applyFill="1" applyBorder="1" applyAlignment="1">
      <alignment horizontal="right"/>
    </xf>
    <xf numFmtId="165" fontId="9" fillId="2" borderId="13" xfId="0" applyNumberFormat="1" applyFont="1" applyFill="1" applyBorder="1" applyAlignment="1">
      <alignment horizontal="right"/>
    </xf>
    <xf numFmtId="0" fontId="2" fillId="17" borderId="1" xfId="0" applyFont="1" applyFill="1" applyBorder="1"/>
    <xf numFmtId="166" fontId="2" fillId="17" borderId="1" xfId="0" applyNumberFormat="1" applyFont="1" applyFill="1" applyBorder="1"/>
    <xf numFmtId="165" fontId="2" fillId="17" borderId="1" xfId="0" applyNumberFormat="1" applyFont="1" applyFill="1" applyBorder="1"/>
    <xf numFmtId="165" fontId="2" fillId="17" borderId="2" xfId="0" applyNumberFormat="1" applyFont="1" applyFill="1" applyBorder="1"/>
    <xf numFmtId="0" fontId="2" fillId="18" borderId="10" xfId="0" applyFont="1" applyFill="1" applyBorder="1"/>
    <xf numFmtId="0" fontId="2" fillId="18" borderId="12" xfId="0" applyFont="1" applyFill="1" applyBorder="1"/>
    <xf numFmtId="166" fontId="2" fillId="18" borderId="12" xfId="0" applyNumberFormat="1" applyFont="1" applyFill="1" applyBorder="1"/>
    <xf numFmtId="165" fontId="2" fillId="18" borderId="12" xfId="0" applyNumberFormat="1" applyFont="1" applyFill="1" applyBorder="1"/>
    <xf numFmtId="165" fontId="2" fillId="18" borderId="13" xfId="0" applyNumberFormat="1" applyFont="1" applyFill="1" applyBorder="1"/>
    <xf numFmtId="0" fontId="2" fillId="19" borderId="10" xfId="0" applyFont="1" applyFill="1" applyBorder="1"/>
    <xf numFmtId="0" fontId="6" fillId="19" borderId="11" xfId="0" applyFont="1" applyFill="1" applyBorder="1"/>
    <xf numFmtId="0" fontId="2" fillId="19" borderId="11" xfId="0" applyFont="1" applyFill="1" applyBorder="1"/>
    <xf numFmtId="0" fontId="2" fillId="19" borderId="12" xfId="0" applyFont="1" applyFill="1" applyBorder="1"/>
    <xf numFmtId="166" fontId="2" fillId="19" borderId="12" xfId="0" applyNumberFormat="1" applyFont="1" applyFill="1" applyBorder="1"/>
    <xf numFmtId="165" fontId="2" fillId="19" borderId="12" xfId="0" applyNumberFormat="1" applyFont="1" applyFill="1" applyBorder="1"/>
    <xf numFmtId="165" fontId="2" fillId="19" borderId="13" xfId="0" applyNumberFormat="1" applyFont="1" applyFill="1" applyBorder="1"/>
    <xf numFmtId="0" fontId="2" fillId="20" borderId="10" xfId="0" applyFont="1" applyFill="1" applyBorder="1"/>
    <xf numFmtId="0" fontId="2" fillId="20" borderId="11" xfId="0" applyFont="1" applyFill="1" applyBorder="1"/>
    <xf numFmtId="0" fontId="6" fillId="20" borderId="11" xfId="0" applyFont="1" applyFill="1" applyBorder="1"/>
    <xf numFmtId="0" fontId="13" fillId="20" borderId="11" xfId="0" applyFont="1" applyFill="1" applyBorder="1"/>
    <xf numFmtId="0" fontId="2" fillId="20" borderId="12" xfId="0" applyFont="1" applyFill="1" applyBorder="1"/>
    <xf numFmtId="0" fontId="6" fillId="20" borderId="12" xfId="0" applyFont="1" applyFill="1" applyBorder="1" applyAlignment="1">
      <alignment horizontal="center"/>
    </xf>
    <xf numFmtId="166" fontId="2" fillId="20" borderId="12" xfId="0" applyNumberFormat="1" applyFont="1" applyFill="1" applyBorder="1"/>
    <xf numFmtId="165" fontId="2" fillId="20" borderId="12" xfId="0" applyNumberFormat="1" applyFont="1" applyFill="1" applyBorder="1"/>
    <xf numFmtId="165" fontId="6" fillId="20" borderId="12" xfId="0" applyNumberFormat="1" applyFont="1" applyFill="1" applyBorder="1"/>
    <xf numFmtId="165" fontId="6" fillId="20" borderId="13" xfId="0" applyNumberFormat="1" applyFont="1" applyFill="1" applyBorder="1"/>
    <xf numFmtId="0" fontId="8" fillId="20" borderId="11" xfId="0" applyFont="1" applyFill="1" applyBorder="1"/>
    <xf numFmtId="0" fontId="8" fillId="20" borderId="12" xfId="0" applyFont="1" applyFill="1" applyBorder="1" applyAlignment="1">
      <alignment horizontal="center"/>
    </xf>
    <xf numFmtId="165" fontId="8" fillId="20" borderId="12" xfId="0" applyNumberFormat="1" applyFont="1" applyFill="1" applyBorder="1"/>
    <xf numFmtId="165" fontId="8" fillId="20" borderId="13" xfId="0" applyNumberFormat="1" applyFont="1" applyFill="1" applyBorder="1"/>
    <xf numFmtId="165" fontId="9" fillId="20" borderId="12" xfId="0" applyNumberFormat="1" applyFont="1" applyFill="1" applyBorder="1"/>
    <xf numFmtId="165" fontId="8" fillId="2" borderId="2" xfId="0" applyNumberFormat="1" applyFont="1" applyFill="1" applyBorder="1"/>
    <xf numFmtId="165" fontId="8" fillId="2" borderId="14" xfId="0" applyNumberFormat="1" applyFont="1" applyFill="1" applyBorder="1"/>
    <xf numFmtId="164" fontId="6" fillId="21" borderId="8" xfId="0" applyNumberFormat="1" applyFont="1" applyFill="1" applyBorder="1"/>
    <xf numFmtId="164" fontId="2" fillId="21" borderId="1" xfId="0" applyNumberFormat="1" applyFont="1" applyFill="1" applyBorder="1"/>
    <xf numFmtId="0" fontId="2" fillId="21" borderId="1" xfId="0" applyFont="1" applyFill="1" applyBorder="1"/>
    <xf numFmtId="166" fontId="2" fillId="21" borderId="1" xfId="0" applyNumberFormat="1" applyFont="1" applyFill="1" applyBorder="1"/>
    <xf numFmtId="165" fontId="2" fillId="21" borderId="1" xfId="0" applyNumberFormat="1" applyFont="1" applyFill="1" applyBorder="1"/>
    <xf numFmtId="165" fontId="2" fillId="21" borderId="2" xfId="0" applyNumberFormat="1" applyFont="1" applyFill="1" applyBorder="1"/>
    <xf numFmtId="164" fontId="6" fillId="22" borderId="10" xfId="0" applyNumberFormat="1" applyFont="1" applyFill="1" applyBorder="1"/>
    <xf numFmtId="0" fontId="2" fillId="22" borderId="11" xfId="0" applyFont="1" applyFill="1" applyBorder="1"/>
    <xf numFmtId="164" fontId="2" fillId="22" borderId="11" xfId="0" applyNumberFormat="1" applyFont="1" applyFill="1" applyBorder="1"/>
    <xf numFmtId="0" fontId="2" fillId="22" borderId="12" xfId="0" applyFont="1" applyFill="1" applyBorder="1"/>
    <xf numFmtId="166" fontId="2" fillId="22" borderId="12" xfId="0" applyNumberFormat="1" applyFont="1" applyFill="1" applyBorder="1"/>
    <xf numFmtId="165" fontId="2" fillId="22" borderId="12" xfId="0" applyNumberFormat="1" applyFont="1" applyFill="1" applyBorder="1"/>
    <xf numFmtId="165" fontId="2" fillId="22" borderId="13" xfId="0" applyNumberFormat="1" applyFont="1" applyFill="1" applyBorder="1"/>
    <xf numFmtId="167" fontId="2" fillId="12" borderId="10" xfId="0" applyNumberFormat="1" applyFont="1" applyFill="1" applyBorder="1"/>
    <xf numFmtId="164" fontId="2" fillId="12" borderId="11" xfId="0" applyNumberFormat="1" applyFont="1" applyFill="1" applyBorder="1"/>
    <xf numFmtId="0" fontId="6" fillId="12" borderId="12" xfId="0" applyFont="1" applyFill="1" applyBorder="1" applyAlignment="1">
      <alignment horizontal="center" wrapText="1"/>
    </xf>
    <xf numFmtId="166" fontId="6" fillId="12" borderId="12" xfId="0" applyNumberFormat="1" applyFont="1" applyFill="1" applyBorder="1"/>
    <xf numFmtId="165" fontId="2" fillId="12" borderId="13" xfId="0" applyNumberFormat="1" applyFont="1" applyFill="1" applyBorder="1"/>
    <xf numFmtId="167" fontId="2" fillId="2" borderId="10" xfId="0" applyNumberFormat="1" applyFont="1" applyFill="1" applyBorder="1"/>
    <xf numFmtId="0" fontId="6" fillId="2" borderId="11" xfId="0" applyFont="1" applyFill="1" applyBorder="1"/>
    <xf numFmtId="0" fontId="14" fillId="2" borderId="11" xfId="0" applyFont="1" applyFill="1" applyBorder="1"/>
    <xf numFmtId="164" fontId="6" fillId="2" borderId="12" xfId="0" applyNumberFormat="1" applyFont="1" applyFill="1" applyBorder="1" applyAlignment="1">
      <alignment horizontal="center"/>
    </xf>
    <xf numFmtId="165" fontId="6" fillId="2" borderId="12" xfId="0" applyNumberFormat="1" applyFont="1" applyFill="1" applyBorder="1"/>
    <xf numFmtId="165" fontId="6" fillId="2" borderId="13" xfId="0" applyNumberFormat="1" applyFont="1" applyFill="1" applyBorder="1"/>
    <xf numFmtId="164" fontId="8" fillId="2" borderId="12" xfId="0" applyNumberFormat="1" applyFont="1" applyFill="1" applyBorder="1" applyAlignment="1">
      <alignment horizontal="center"/>
    </xf>
    <xf numFmtId="164" fontId="8" fillId="0" borderId="12" xfId="0" applyNumberFormat="1" applyFont="1" applyBorder="1" applyAlignment="1">
      <alignment horizontal="center" wrapText="1"/>
    </xf>
    <xf numFmtId="166" fontId="2" fillId="0" borderId="12" xfId="0" applyNumberFormat="1" applyFont="1" applyBorder="1"/>
    <xf numFmtId="165" fontId="2" fillId="0" borderId="12" xfId="0" applyNumberFormat="1" applyFont="1" applyBorder="1"/>
    <xf numFmtId="164" fontId="8" fillId="0" borderId="12" xfId="0" applyNumberFormat="1" applyFont="1" applyBorder="1" applyAlignment="1">
      <alignment horizontal="center"/>
    </xf>
    <xf numFmtId="164" fontId="2" fillId="0" borderId="10" xfId="0" applyNumberFormat="1" applyFont="1" applyBorder="1"/>
    <xf numFmtId="164" fontId="2" fillId="0" borderId="11" xfId="0" applyNumberFormat="1" applyFont="1" applyBorder="1"/>
    <xf numFmtId="0" fontId="15" fillId="23" borderId="11" xfId="0" quotePrefix="1" applyFont="1" applyFill="1" applyBorder="1"/>
    <xf numFmtId="0" fontId="2" fillId="23" borderId="11" xfId="0" applyFont="1" applyFill="1" applyBorder="1"/>
    <xf numFmtId="0" fontId="2" fillId="23" borderId="12" xfId="0" applyFont="1" applyFill="1" applyBorder="1"/>
    <xf numFmtId="0" fontId="2" fillId="0" borderId="12" xfId="0" applyFont="1" applyBorder="1"/>
    <xf numFmtId="165" fontId="2" fillId="0" borderId="13" xfId="0" applyNumberFormat="1" applyFont="1" applyBorder="1"/>
    <xf numFmtId="0" fontId="8" fillId="0" borderId="11" xfId="0" quotePrefix="1" applyFont="1" applyBorder="1"/>
    <xf numFmtId="0" fontId="2" fillId="0" borderId="11" xfId="0" applyFont="1" applyBorder="1"/>
    <xf numFmtId="0" fontId="6" fillId="0" borderId="12" xfId="0" applyFont="1" applyBorder="1" applyAlignment="1">
      <alignment horizontal="center" wrapText="1"/>
    </xf>
    <xf numFmtId="166" fontId="6" fillId="2" borderId="12" xfId="0" applyNumberFormat="1" applyFont="1" applyFill="1" applyBorder="1"/>
    <xf numFmtId="165" fontId="6" fillId="0" borderId="12" xfId="0" applyNumberFormat="1" applyFont="1" applyBorder="1"/>
    <xf numFmtId="0" fontId="8" fillId="0" borderId="11" xfId="0" applyFont="1" applyBorder="1"/>
    <xf numFmtId="0" fontId="8" fillId="0" borderId="12" xfId="0" applyFont="1" applyBorder="1" applyAlignment="1">
      <alignment horizontal="center"/>
    </xf>
    <xf numFmtId="166" fontId="8" fillId="0" borderId="12" xfId="0" applyNumberFormat="1" applyFont="1" applyBorder="1"/>
    <xf numFmtId="166" fontId="8" fillId="2" borderId="12" xfId="0" applyNumberFormat="1" applyFont="1" applyFill="1" applyBorder="1"/>
    <xf numFmtId="165" fontId="8" fillId="0" borderId="12" xfId="0" applyNumberFormat="1" applyFont="1" applyBorder="1"/>
    <xf numFmtId="0" fontId="8" fillId="0" borderId="12" xfId="0" applyFont="1" applyBorder="1" applyAlignment="1">
      <alignment horizontal="center" wrapText="1"/>
    </xf>
    <xf numFmtId="164" fontId="2" fillId="22" borderId="12" xfId="0" applyNumberFormat="1" applyFont="1" applyFill="1" applyBorder="1"/>
    <xf numFmtId="164" fontId="6" fillId="12" borderId="12" xfId="0" applyNumberFormat="1" applyFont="1" applyFill="1" applyBorder="1" applyAlignment="1">
      <alignment horizontal="center" wrapText="1"/>
    </xf>
    <xf numFmtId="0" fontId="9" fillId="2" borderId="11" xfId="0" applyFont="1" applyFill="1" applyBorder="1"/>
    <xf numFmtId="164" fontId="9" fillId="2" borderId="12" xfId="0" applyNumberFormat="1" applyFont="1" applyFill="1" applyBorder="1" applyAlignment="1">
      <alignment horizontal="center"/>
    </xf>
    <xf numFmtId="164" fontId="2" fillId="2" borderId="11" xfId="0" applyNumberFormat="1" applyFont="1" applyFill="1" applyBorder="1"/>
    <xf numFmtId="164" fontId="9" fillId="0" borderId="12" xfId="0" applyNumberFormat="1" applyFont="1" applyBorder="1" applyAlignment="1">
      <alignment horizontal="center" wrapText="1"/>
    </xf>
    <xf numFmtId="164" fontId="16" fillId="2" borderId="11" xfId="0" applyNumberFormat="1" applyFont="1" applyFill="1" applyBorder="1"/>
    <xf numFmtId="164" fontId="6" fillId="2" borderId="11" xfId="0" applyNumberFormat="1" applyFont="1" applyFill="1" applyBorder="1"/>
    <xf numFmtId="164" fontId="2" fillId="10" borderId="10" xfId="0" applyNumberFormat="1" applyFont="1" applyFill="1" applyBorder="1"/>
    <xf numFmtId="164" fontId="2" fillId="10" borderId="11" xfId="0" applyNumberFormat="1" applyFont="1" applyFill="1" applyBorder="1"/>
    <xf numFmtId="0" fontId="6" fillId="0" borderId="11" xfId="0" applyFont="1" applyBorder="1"/>
    <xf numFmtId="166" fontId="8" fillId="24" borderId="12" xfId="0" applyNumberFormat="1" applyFont="1" applyFill="1" applyBorder="1"/>
    <xf numFmtId="167" fontId="2" fillId="22" borderId="11" xfId="0" applyNumberFormat="1" applyFont="1" applyFill="1" applyBorder="1"/>
    <xf numFmtId="166" fontId="2" fillId="22" borderId="11" xfId="0" applyNumberFormat="1" applyFont="1" applyFill="1" applyBorder="1"/>
    <xf numFmtId="165" fontId="2" fillId="22" borderId="11" xfId="0" applyNumberFormat="1" applyFont="1" applyFill="1" applyBorder="1"/>
    <xf numFmtId="164" fontId="6" fillId="12" borderId="11" xfId="0" applyNumberFormat="1" applyFont="1" applyFill="1" applyBorder="1"/>
    <xf numFmtId="167" fontId="2" fillId="12" borderId="11" xfId="0" applyNumberFormat="1" applyFont="1" applyFill="1" applyBorder="1"/>
    <xf numFmtId="164" fontId="6" fillId="12" borderId="12" xfId="0" applyNumberFormat="1" applyFont="1" applyFill="1" applyBorder="1" applyAlignment="1">
      <alignment horizontal="center"/>
    </xf>
    <xf numFmtId="167" fontId="2" fillId="2" borderId="11" xfId="0" applyNumberFormat="1" applyFont="1" applyFill="1" applyBorder="1"/>
    <xf numFmtId="164" fontId="8" fillId="2" borderId="12" xfId="0" applyNumberFormat="1" applyFont="1" applyFill="1" applyBorder="1" applyAlignment="1">
      <alignment horizontal="center" wrapText="1"/>
    </xf>
    <xf numFmtId="164" fontId="9" fillId="2" borderId="12" xfId="0" applyNumberFormat="1" applyFont="1" applyFill="1" applyBorder="1" applyAlignment="1">
      <alignment horizontal="center" wrapText="1"/>
    </xf>
    <xf numFmtId="164" fontId="17" fillId="2" borderId="11" xfId="0" applyNumberFormat="1" applyFont="1" applyFill="1" applyBorder="1" applyAlignment="1">
      <alignment horizontal="center"/>
    </xf>
    <xf numFmtId="164" fontId="2" fillId="0" borderId="12" xfId="0" applyNumberFormat="1" applyFont="1" applyBorder="1"/>
    <xf numFmtId="0" fontId="9" fillId="0" borderId="11" xfId="0" applyFont="1" applyBorder="1"/>
    <xf numFmtId="164" fontId="2" fillId="2" borderId="12" xfId="0" applyNumberFormat="1" applyFont="1" applyFill="1" applyBorder="1"/>
    <xf numFmtId="164" fontId="2" fillId="10" borderId="12" xfId="0" applyNumberFormat="1" applyFont="1" applyFill="1" applyBorder="1"/>
    <xf numFmtId="166" fontId="2" fillId="12" borderId="11" xfId="0" applyNumberFormat="1" applyFont="1" applyFill="1" applyBorder="1"/>
    <xf numFmtId="167" fontId="6" fillId="12" borderId="11" xfId="0" applyNumberFormat="1" applyFont="1" applyFill="1" applyBorder="1"/>
    <xf numFmtId="166" fontId="8" fillId="2" borderId="12" xfId="0" applyNumberFormat="1" applyFont="1" applyFill="1" applyBorder="1" applyAlignment="1">
      <alignment horizontal="right"/>
    </xf>
    <xf numFmtId="167" fontId="2" fillId="2" borderId="8" xfId="0" applyNumberFormat="1" applyFont="1" applyFill="1" applyBorder="1"/>
    <xf numFmtId="164" fontId="8" fillId="0" borderId="2" xfId="0" applyNumberFormat="1" applyFont="1" applyBorder="1" applyAlignment="1">
      <alignment horizontal="center"/>
    </xf>
    <xf numFmtId="166" fontId="8" fillId="2" borderId="2" xfId="0" applyNumberFormat="1" applyFont="1" applyFill="1" applyBorder="1"/>
    <xf numFmtId="166" fontId="8" fillId="2" borderId="2" xfId="0" applyNumberFormat="1" applyFont="1" applyFill="1" applyBorder="1" applyAlignment="1">
      <alignment horizontal="right"/>
    </xf>
    <xf numFmtId="164" fontId="6" fillId="9" borderId="8" xfId="0" applyNumberFormat="1" applyFont="1" applyFill="1" applyBorder="1"/>
    <xf numFmtId="164" fontId="2" fillId="9" borderId="1" xfId="0" applyNumberFormat="1" applyFont="1" applyFill="1" applyBorder="1"/>
    <xf numFmtId="0" fontId="2" fillId="9" borderId="1" xfId="0" applyFont="1" applyFill="1" applyBorder="1"/>
    <xf numFmtId="166" fontId="2" fillId="9" borderId="1" xfId="0" applyNumberFormat="1" applyFont="1" applyFill="1" applyBorder="1"/>
    <xf numFmtId="165" fontId="2" fillId="9" borderId="1" xfId="0" applyNumberFormat="1" applyFont="1" applyFill="1" applyBorder="1"/>
    <xf numFmtId="165" fontId="2" fillId="9" borderId="2" xfId="0" applyNumberFormat="1" applyFont="1" applyFill="1" applyBorder="1"/>
    <xf numFmtId="164" fontId="6" fillId="25" borderId="10" xfId="0" applyNumberFormat="1" applyFont="1" applyFill="1" applyBorder="1"/>
    <xf numFmtId="164" fontId="2" fillId="25" borderId="11" xfId="0" applyNumberFormat="1" applyFont="1" applyFill="1" applyBorder="1"/>
    <xf numFmtId="0" fontId="2" fillId="25" borderId="11" xfId="0" applyFont="1" applyFill="1" applyBorder="1"/>
    <xf numFmtId="0" fontId="2" fillId="25" borderId="12" xfId="0" applyFont="1" applyFill="1" applyBorder="1"/>
    <xf numFmtId="166" fontId="2" fillId="25" borderId="12" xfId="0" applyNumberFormat="1" applyFont="1" applyFill="1" applyBorder="1"/>
    <xf numFmtId="165" fontId="2" fillId="25" borderId="12" xfId="0" applyNumberFormat="1" applyFont="1" applyFill="1" applyBorder="1"/>
    <xf numFmtId="165" fontId="2" fillId="25" borderId="13" xfId="0" applyNumberFormat="1" applyFont="1" applyFill="1" applyBorder="1"/>
    <xf numFmtId="164" fontId="2" fillId="23" borderId="10" xfId="0" applyNumberFormat="1" applyFont="1" applyFill="1" applyBorder="1"/>
    <xf numFmtId="0" fontId="6" fillId="23" borderId="11" xfId="0" applyFont="1" applyFill="1" applyBorder="1"/>
    <xf numFmtId="164" fontId="2" fillId="23" borderId="11" xfId="0" applyNumberFormat="1" applyFont="1" applyFill="1" applyBorder="1"/>
    <xf numFmtId="0" fontId="6" fillId="23" borderId="12" xfId="0" applyFont="1" applyFill="1" applyBorder="1" applyAlignment="1">
      <alignment horizontal="center" wrapText="1"/>
    </xf>
    <xf numFmtId="166" fontId="6" fillId="23" borderId="12" xfId="0" applyNumberFormat="1" applyFont="1" applyFill="1" applyBorder="1"/>
    <xf numFmtId="165" fontId="6" fillId="23" borderId="12" xfId="0" applyNumberFormat="1" applyFont="1" applyFill="1" applyBorder="1"/>
    <xf numFmtId="165" fontId="2" fillId="23" borderId="12" xfId="0" applyNumberFormat="1" applyFont="1" applyFill="1" applyBorder="1"/>
    <xf numFmtId="165" fontId="2" fillId="23" borderId="13" xfId="0" applyNumberFormat="1" applyFont="1" applyFill="1" applyBorder="1"/>
    <xf numFmtId="164" fontId="2" fillId="2" borderId="10" xfId="0" applyNumberFormat="1" applyFont="1" applyFill="1" applyBorder="1"/>
    <xf numFmtId="164" fontId="8" fillId="2" borderId="11" xfId="0" applyNumberFormat="1" applyFont="1" applyFill="1" applyBorder="1"/>
    <xf numFmtId="0" fontId="8" fillId="2" borderId="12" xfId="0" applyFont="1" applyFill="1" applyBorder="1" applyAlignment="1">
      <alignment horizontal="center" wrapText="1"/>
    </xf>
    <xf numFmtId="164" fontId="2" fillId="26" borderId="10" xfId="0" applyNumberFormat="1" applyFont="1" applyFill="1" applyBorder="1"/>
    <xf numFmtId="164" fontId="2" fillId="26" borderId="11" xfId="0" applyNumberFormat="1" applyFont="1" applyFill="1" applyBorder="1"/>
    <xf numFmtId="0" fontId="6" fillId="26" borderId="11" xfId="0" applyFont="1" applyFill="1" applyBorder="1"/>
    <xf numFmtId="0" fontId="2" fillId="26" borderId="11" xfId="0" applyFont="1" applyFill="1" applyBorder="1"/>
    <xf numFmtId="0" fontId="2" fillId="26" borderId="12" xfId="0" applyFont="1" applyFill="1" applyBorder="1"/>
    <xf numFmtId="0" fontId="6" fillId="26" borderId="12" xfId="0" applyFont="1" applyFill="1" applyBorder="1" applyAlignment="1">
      <alignment horizontal="center" wrapText="1"/>
    </xf>
    <xf numFmtId="166" fontId="6" fillId="26" borderId="12" xfId="0" applyNumberFormat="1" applyFont="1" applyFill="1" applyBorder="1"/>
    <xf numFmtId="165" fontId="6" fillId="26" borderId="12" xfId="0" applyNumberFormat="1" applyFont="1" applyFill="1" applyBorder="1"/>
    <xf numFmtId="165" fontId="2" fillId="26" borderId="12" xfId="0" applyNumberFormat="1" applyFont="1" applyFill="1" applyBorder="1"/>
    <xf numFmtId="165" fontId="2" fillId="26" borderId="13" xfId="0" applyNumberFormat="1" applyFont="1" applyFill="1" applyBorder="1"/>
    <xf numFmtId="0" fontId="18" fillId="2" borderId="11" xfId="0" quotePrefix="1" applyFont="1" applyFill="1" applyBorder="1"/>
    <xf numFmtId="164" fontId="6" fillId="0" borderId="12" xfId="0" applyNumberFormat="1" applyFont="1" applyBorder="1" applyAlignment="1">
      <alignment horizontal="center" wrapText="1"/>
    </xf>
    <xf numFmtId="0" fontId="6" fillId="2" borderId="12" xfId="0" applyFont="1" applyFill="1" applyBorder="1" applyAlignment="1">
      <alignment horizontal="center" wrapText="1"/>
    </xf>
    <xf numFmtId="0" fontId="6" fillId="26" borderId="12" xfId="0" applyFont="1" applyFill="1" applyBorder="1" applyAlignment="1">
      <alignment horizontal="center"/>
    </xf>
    <xf numFmtId="165" fontId="8" fillId="2" borderId="12" xfId="0" applyNumberFormat="1" applyFont="1" applyFill="1" applyBorder="1" applyAlignment="1">
      <alignment horizontal="right"/>
    </xf>
    <xf numFmtId="165" fontId="8" fillId="2" borderId="13" xfId="0" applyNumberFormat="1" applyFont="1" applyFill="1" applyBorder="1" applyAlignment="1">
      <alignment horizontal="right"/>
    </xf>
    <xf numFmtId="0" fontId="8" fillId="0" borderId="12" xfId="0" applyFont="1" applyBorder="1"/>
    <xf numFmtId="164" fontId="2" fillId="27" borderId="10" xfId="0" applyNumberFormat="1" applyFont="1" applyFill="1" applyBorder="1"/>
    <xf numFmtId="164" fontId="2" fillId="27" borderId="11" xfId="0" applyNumberFormat="1" applyFont="1" applyFill="1" applyBorder="1"/>
    <xf numFmtId="0" fontId="2" fillId="27" borderId="11" xfId="0" applyFont="1" applyFill="1" applyBorder="1"/>
    <xf numFmtId="0" fontId="2" fillId="27" borderId="12" xfId="0" applyFont="1" applyFill="1" applyBorder="1"/>
    <xf numFmtId="164" fontId="2" fillId="27" borderId="12" xfId="0" applyNumberFormat="1" applyFont="1" applyFill="1" applyBorder="1"/>
    <xf numFmtId="166" fontId="2" fillId="27" borderId="12" xfId="0" applyNumberFormat="1" applyFont="1" applyFill="1" applyBorder="1"/>
    <xf numFmtId="165" fontId="2" fillId="27" borderId="12" xfId="0" applyNumberFormat="1" applyFont="1" applyFill="1" applyBorder="1"/>
    <xf numFmtId="165" fontId="2" fillId="27" borderId="13" xfId="0" applyNumberFormat="1" applyFont="1" applyFill="1" applyBorder="1"/>
    <xf numFmtId="164" fontId="8" fillId="0" borderId="11" xfId="0" quotePrefix="1" applyNumberFormat="1" applyFont="1" applyBorder="1"/>
    <xf numFmtId="0" fontId="17" fillId="27" borderId="11" xfId="0" applyFont="1" applyFill="1" applyBorder="1"/>
    <xf numFmtId="0" fontId="17" fillId="27" borderId="12" xfId="0" applyFont="1" applyFill="1" applyBorder="1" applyAlignment="1">
      <alignment horizontal="center" wrapText="1"/>
    </xf>
    <xf numFmtId="167" fontId="2" fillId="27" borderId="10" xfId="0" applyNumberFormat="1" applyFont="1" applyFill="1" applyBorder="1"/>
    <xf numFmtId="0" fontId="19" fillId="27" borderId="11" xfId="0" applyFont="1" applyFill="1" applyBorder="1"/>
    <xf numFmtId="164" fontId="17" fillId="27" borderId="12" xfId="0" applyNumberFormat="1" applyFont="1" applyFill="1" applyBorder="1" applyAlignment="1">
      <alignment horizontal="center" wrapText="1"/>
    </xf>
    <xf numFmtId="0" fontId="9" fillId="27" borderId="11" xfId="0" applyFont="1" applyFill="1" applyBorder="1"/>
    <xf numFmtId="164" fontId="9" fillId="27" borderId="12" xfId="0" applyNumberFormat="1" applyFont="1" applyFill="1" applyBorder="1" applyAlignment="1">
      <alignment horizontal="center" wrapText="1"/>
    </xf>
    <xf numFmtId="164" fontId="17" fillId="27" borderId="11" xfId="0" applyNumberFormat="1" applyFont="1" applyFill="1" applyBorder="1"/>
    <xf numFmtId="0" fontId="20" fillId="27" borderId="11" xfId="0" quotePrefix="1" applyFont="1" applyFill="1" applyBorder="1"/>
    <xf numFmtId="0" fontId="9" fillId="27" borderId="12" xfId="0" applyFont="1" applyFill="1" applyBorder="1" applyAlignment="1">
      <alignment horizontal="center"/>
    </xf>
    <xf numFmtId="164" fontId="9" fillId="27" borderId="11" xfId="0" quotePrefix="1" applyNumberFormat="1" applyFont="1" applyFill="1" applyBorder="1"/>
    <xf numFmtId="0" fontId="9" fillId="27" borderId="11" xfId="0" quotePrefix="1" applyFont="1" applyFill="1" applyBorder="1"/>
    <xf numFmtId="46" fontId="2" fillId="2" borderId="10" xfId="0" applyNumberFormat="1" applyFont="1" applyFill="1" applyBorder="1"/>
    <xf numFmtId="0" fontId="8" fillId="2" borderId="11" xfId="0" quotePrefix="1" applyFont="1" applyFill="1" applyBorder="1"/>
    <xf numFmtId="164" fontId="2" fillId="0" borderId="8" xfId="0" applyNumberFormat="1" applyFont="1" applyBorder="1"/>
    <xf numFmtId="164" fontId="2" fillId="0" borderId="1" xfId="0" applyNumberFormat="1" applyFont="1" applyBorder="1"/>
    <xf numFmtId="0" fontId="8" fillId="0" borderId="1" xfId="0" quotePrefix="1" applyFont="1" applyBorder="1"/>
    <xf numFmtId="0" fontId="2" fillId="0" borderId="2" xfId="0" applyFont="1" applyBorder="1"/>
    <xf numFmtId="165" fontId="8" fillId="0" borderId="2" xfId="0" applyNumberFormat="1" applyFont="1" applyBorder="1" applyAlignment="1">
      <alignment horizontal="right"/>
    </xf>
    <xf numFmtId="165" fontId="2" fillId="0" borderId="2" xfId="0" applyNumberFormat="1" applyFont="1" applyBorder="1"/>
    <xf numFmtId="165" fontId="2" fillId="0" borderId="14" xfId="0" applyNumberFormat="1" applyFont="1" applyBorder="1"/>
    <xf numFmtId="164" fontId="4" fillId="28" borderId="8" xfId="0" applyNumberFormat="1" applyFont="1" applyFill="1" applyBorder="1"/>
    <xf numFmtId="164" fontId="2" fillId="28" borderId="1" xfId="0" applyNumberFormat="1" applyFont="1" applyFill="1" applyBorder="1"/>
    <xf numFmtId="0" fontId="2" fillId="28" borderId="1" xfId="0" applyFont="1" applyFill="1" applyBorder="1"/>
    <xf numFmtId="166" fontId="2" fillId="28" borderId="1" xfId="0" applyNumberFormat="1" applyFont="1" applyFill="1" applyBorder="1"/>
    <xf numFmtId="165" fontId="2" fillId="28" borderId="1" xfId="0" applyNumberFormat="1" applyFont="1" applyFill="1" applyBorder="1"/>
    <xf numFmtId="165" fontId="2" fillId="28" borderId="2" xfId="0" applyNumberFormat="1" applyFont="1" applyFill="1" applyBorder="1"/>
    <xf numFmtId="164" fontId="6" fillId="29" borderId="10" xfId="0" applyNumberFormat="1" applyFont="1" applyFill="1" applyBorder="1"/>
    <xf numFmtId="0" fontId="2" fillId="29" borderId="11" xfId="0" applyFont="1" applyFill="1" applyBorder="1"/>
    <xf numFmtId="164" fontId="2" fillId="29" borderId="11" xfId="0" applyNumberFormat="1" applyFont="1" applyFill="1" applyBorder="1"/>
    <xf numFmtId="166" fontId="2" fillId="29" borderId="11" xfId="0" applyNumberFormat="1" applyFont="1" applyFill="1" applyBorder="1"/>
    <xf numFmtId="166" fontId="2" fillId="29" borderId="12" xfId="0" applyNumberFormat="1" applyFont="1" applyFill="1" applyBorder="1"/>
    <xf numFmtId="165" fontId="2" fillId="29" borderId="12" xfId="0" applyNumberFormat="1" applyFont="1" applyFill="1" applyBorder="1"/>
    <xf numFmtId="165" fontId="2" fillId="29" borderId="13" xfId="0" applyNumberFormat="1" applyFont="1" applyFill="1" applyBorder="1"/>
    <xf numFmtId="167" fontId="2" fillId="30" borderId="10" xfId="0" applyNumberFormat="1" applyFont="1" applyFill="1" applyBorder="1"/>
    <xf numFmtId="0" fontId="6" fillId="30" borderId="11" xfId="0" applyFont="1" applyFill="1" applyBorder="1"/>
    <xf numFmtId="0" fontId="2" fillId="30" borderId="11" xfId="0" applyFont="1" applyFill="1" applyBorder="1"/>
    <xf numFmtId="164" fontId="2" fillId="30" borderId="11" xfId="0" applyNumberFormat="1" applyFont="1" applyFill="1" applyBorder="1"/>
    <xf numFmtId="0" fontId="2" fillId="30" borderId="12" xfId="0" applyFont="1" applyFill="1" applyBorder="1"/>
    <xf numFmtId="0" fontId="6" fillId="30" borderId="12" xfId="0" applyFont="1" applyFill="1" applyBorder="1" applyAlignment="1">
      <alignment horizontal="center" wrapText="1"/>
    </xf>
    <xf numFmtId="166" fontId="6" fillId="30" borderId="12" xfId="0" applyNumberFormat="1" applyFont="1" applyFill="1" applyBorder="1"/>
    <xf numFmtId="165" fontId="6" fillId="30" borderId="12" xfId="0" applyNumberFormat="1" applyFont="1" applyFill="1" applyBorder="1"/>
    <xf numFmtId="165" fontId="2" fillId="30" borderId="12" xfId="0" applyNumberFormat="1" applyFont="1" applyFill="1" applyBorder="1"/>
    <xf numFmtId="165" fontId="2" fillId="30" borderId="13" xfId="0" applyNumberFormat="1" applyFont="1" applyFill="1" applyBorder="1"/>
    <xf numFmtId="164" fontId="2" fillId="10" borderId="8" xfId="0" applyNumberFormat="1" applyFont="1" applyFill="1" applyBorder="1"/>
    <xf numFmtId="164" fontId="2" fillId="10" borderId="1" xfId="0" applyNumberFormat="1" applyFont="1" applyFill="1" applyBorder="1"/>
    <xf numFmtId="164" fontId="6" fillId="31" borderId="8" xfId="0" applyNumberFormat="1" applyFont="1" applyFill="1" applyBorder="1"/>
    <xf numFmtId="164" fontId="2" fillId="31" borderId="1" xfId="0" applyNumberFormat="1" applyFont="1" applyFill="1" applyBorder="1"/>
    <xf numFmtId="0" fontId="2" fillId="31" borderId="1" xfId="0" applyFont="1" applyFill="1" applyBorder="1"/>
    <xf numFmtId="166" fontId="2" fillId="31" borderId="1" xfId="0" applyNumberFormat="1" applyFont="1" applyFill="1" applyBorder="1"/>
    <xf numFmtId="165" fontId="2" fillId="31" borderId="1" xfId="0" applyNumberFormat="1" applyFont="1" applyFill="1" applyBorder="1"/>
    <xf numFmtId="165" fontId="2" fillId="31" borderId="2" xfId="0" applyNumberFormat="1" applyFont="1" applyFill="1" applyBorder="1"/>
    <xf numFmtId="164" fontId="6" fillId="32" borderId="10" xfId="0" applyNumberFormat="1" applyFont="1" applyFill="1" applyBorder="1"/>
    <xf numFmtId="164" fontId="2" fillId="32" borderId="11" xfId="0" applyNumberFormat="1" applyFont="1" applyFill="1" applyBorder="1"/>
    <xf numFmtId="0" fontId="2" fillId="32" borderId="11" xfId="0" applyFont="1" applyFill="1" applyBorder="1"/>
    <xf numFmtId="0" fontId="2" fillId="32" borderId="12" xfId="0" applyFont="1" applyFill="1" applyBorder="1"/>
    <xf numFmtId="166" fontId="2" fillId="32" borderId="12" xfId="0" applyNumberFormat="1" applyFont="1" applyFill="1" applyBorder="1"/>
    <xf numFmtId="165" fontId="2" fillId="32" borderId="12" xfId="0" applyNumberFormat="1" applyFont="1" applyFill="1" applyBorder="1"/>
    <xf numFmtId="165" fontId="2" fillId="32" borderId="13" xfId="0" applyNumberFormat="1" applyFont="1" applyFill="1" applyBorder="1"/>
    <xf numFmtId="164" fontId="2" fillId="33" borderId="10" xfId="0" applyNumberFormat="1" applyFont="1" applyFill="1" applyBorder="1"/>
    <xf numFmtId="0" fontId="6" fillId="33" borderId="11" xfId="0" applyFont="1" applyFill="1" applyBorder="1"/>
    <xf numFmtId="0" fontId="2" fillId="33" borderId="11" xfId="0" applyFont="1" applyFill="1" applyBorder="1"/>
    <xf numFmtId="0" fontId="2" fillId="33" borderId="12" xfId="0" applyFont="1" applyFill="1" applyBorder="1"/>
    <xf numFmtId="0" fontId="6" fillId="33" borderId="12" xfId="0" applyFont="1" applyFill="1" applyBorder="1" applyAlignment="1">
      <alignment horizontal="center" wrapText="1"/>
    </xf>
    <xf numFmtId="166" fontId="6" fillId="33" borderId="12" xfId="0" applyNumberFormat="1" applyFont="1" applyFill="1" applyBorder="1"/>
    <xf numFmtId="165" fontId="6" fillId="33" borderId="12" xfId="0" applyNumberFormat="1" applyFont="1" applyFill="1" applyBorder="1"/>
    <xf numFmtId="165" fontId="2" fillId="33" borderId="12" xfId="0" applyNumberFormat="1" applyFont="1" applyFill="1" applyBorder="1"/>
    <xf numFmtId="165" fontId="2" fillId="33" borderId="13" xfId="0" applyNumberFormat="1" applyFont="1" applyFill="1" applyBorder="1"/>
    <xf numFmtId="167" fontId="2" fillId="33" borderId="10" xfId="0" applyNumberFormat="1" applyFont="1" applyFill="1" applyBorder="1"/>
    <xf numFmtId="167" fontId="2" fillId="33" borderId="11" xfId="0" applyNumberFormat="1" applyFont="1" applyFill="1" applyBorder="1"/>
    <xf numFmtId="164" fontId="2" fillId="33" borderId="11" xfId="0" applyNumberFormat="1" applyFont="1" applyFill="1" applyBorder="1"/>
    <xf numFmtId="164" fontId="21" fillId="26" borderId="11" xfId="0" applyNumberFormat="1" applyFont="1" applyFill="1" applyBorder="1"/>
    <xf numFmtId="166" fontId="6" fillId="26" borderId="12" xfId="0" applyNumberFormat="1" applyFont="1" applyFill="1" applyBorder="1" applyAlignment="1">
      <alignment horizontal="right"/>
    </xf>
    <xf numFmtId="165" fontId="6" fillId="26" borderId="12" xfId="0" applyNumberFormat="1" applyFont="1" applyFill="1" applyBorder="1" applyAlignment="1">
      <alignment horizontal="right"/>
    </xf>
    <xf numFmtId="164" fontId="22" fillId="2" borderId="11" xfId="0" applyNumberFormat="1" applyFont="1" applyFill="1" applyBorder="1"/>
    <xf numFmtId="0" fontId="23" fillId="26" borderId="11" xfId="0" applyFont="1" applyFill="1" applyBorder="1"/>
    <xf numFmtId="164" fontId="2" fillId="2" borderId="15" xfId="0" applyNumberFormat="1" applyFont="1" applyFill="1" applyBorder="1"/>
    <xf numFmtId="0" fontId="2" fillId="2" borderId="15" xfId="0" applyFont="1" applyFill="1" applyBorder="1"/>
    <xf numFmtId="0" fontId="8" fillId="0" borderId="15" xfId="0" applyFont="1" applyBorder="1"/>
    <xf numFmtId="0" fontId="2" fillId="2" borderId="16" xfId="0" applyFont="1" applyFill="1" applyBorder="1"/>
    <xf numFmtId="164" fontId="8" fillId="2" borderId="16" xfId="0" applyNumberFormat="1" applyFont="1" applyFill="1" applyBorder="1" applyAlignment="1">
      <alignment horizontal="center"/>
    </xf>
    <xf numFmtId="166" fontId="2" fillId="2" borderId="16" xfId="0" applyNumberFormat="1" applyFont="1" applyFill="1" applyBorder="1"/>
    <xf numFmtId="166" fontId="8" fillId="2" borderId="16" xfId="0" applyNumberFormat="1" applyFont="1" applyFill="1" applyBorder="1" applyAlignment="1">
      <alignment horizontal="right"/>
    </xf>
    <xf numFmtId="165" fontId="2" fillId="2" borderId="16" xfId="0" applyNumberFormat="1" applyFont="1" applyFill="1" applyBorder="1"/>
    <xf numFmtId="166" fontId="2" fillId="33" borderId="12" xfId="0" applyNumberFormat="1" applyFont="1" applyFill="1" applyBorder="1"/>
    <xf numFmtId="0" fontId="24" fillId="0" borderId="11" xfId="0" quotePrefix="1" applyFont="1" applyBorder="1"/>
    <xf numFmtId="164" fontId="22" fillId="2" borderId="1" xfId="0" applyNumberFormat="1" applyFont="1" applyFill="1" applyBorder="1"/>
    <xf numFmtId="164" fontId="6" fillId="33" borderId="11" xfId="0" applyNumberFormat="1" applyFont="1" applyFill="1" applyBorder="1"/>
    <xf numFmtId="164" fontId="6" fillId="33" borderId="12" xfId="0" applyNumberFormat="1" applyFont="1" applyFill="1" applyBorder="1" applyAlignment="1">
      <alignment horizontal="center" wrapText="1"/>
    </xf>
    <xf numFmtId="164" fontId="25" fillId="2" borderId="11" xfId="0" applyNumberFormat="1" applyFont="1" applyFill="1" applyBorder="1"/>
    <xf numFmtId="164" fontId="26" fillId="23" borderId="11" xfId="0" quotePrefix="1" applyNumberFormat="1" applyFont="1" applyFill="1" applyBorder="1"/>
    <xf numFmtId="164" fontId="9" fillId="2" borderId="11" xfId="0" applyNumberFormat="1" applyFont="1" applyFill="1" applyBorder="1"/>
    <xf numFmtId="166" fontId="9" fillId="2" borderId="12" xfId="0" applyNumberFormat="1" applyFont="1" applyFill="1" applyBorder="1"/>
    <xf numFmtId="164" fontId="2" fillId="27" borderId="1" xfId="0" applyNumberFormat="1" applyFont="1" applyFill="1" applyBorder="1"/>
    <xf numFmtId="164" fontId="2" fillId="27" borderId="2" xfId="0" applyNumberFormat="1" applyFont="1" applyFill="1" applyBorder="1"/>
    <xf numFmtId="166" fontId="2" fillId="27" borderId="2" xfId="0" applyNumberFormat="1" applyFont="1" applyFill="1" applyBorder="1"/>
    <xf numFmtId="165" fontId="2" fillId="27" borderId="2" xfId="0" applyNumberFormat="1" applyFont="1" applyFill="1" applyBorder="1"/>
    <xf numFmtId="165" fontId="2" fillId="27" borderId="14" xfId="0" applyNumberFormat="1" applyFont="1" applyFill="1" applyBorder="1"/>
    <xf numFmtId="164" fontId="2" fillId="33" borderId="12" xfId="0" applyNumberFormat="1" applyFont="1" applyFill="1" applyBorder="1"/>
    <xf numFmtId="164" fontId="6" fillId="33" borderId="12" xfId="0" applyNumberFormat="1" applyFont="1" applyFill="1" applyBorder="1" applyAlignment="1">
      <alignment horizontal="center"/>
    </xf>
    <xf numFmtId="164" fontId="6" fillId="2" borderId="11" xfId="0" applyNumberFormat="1" applyFont="1" applyFill="1" applyBorder="1" applyAlignment="1">
      <alignment horizontal="center"/>
    </xf>
    <xf numFmtId="164" fontId="6" fillId="2" borderId="12" xfId="0" applyNumberFormat="1" applyFont="1" applyFill="1" applyBorder="1" applyAlignment="1">
      <alignment horizontal="center" wrapText="1"/>
    </xf>
    <xf numFmtId="164" fontId="28" fillId="2" borderId="11" xfId="0" quotePrefix="1" applyNumberFormat="1" applyFont="1" applyFill="1" applyBorder="1"/>
    <xf numFmtId="168" fontId="8" fillId="2" borderId="12" xfId="0" applyNumberFormat="1" applyFont="1" applyFill="1" applyBorder="1"/>
    <xf numFmtId="164" fontId="8" fillId="2" borderId="11" xfId="0" quotePrefix="1" applyNumberFormat="1" applyFont="1" applyFill="1" applyBorder="1"/>
    <xf numFmtId="164" fontId="29" fillId="2" borderId="11" xfId="0" applyNumberFormat="1" applyFont="1" applyFill="1" applyBorder="1"/>
    <xf numFmtId="166" fontId="6" fillId="2" borderId="12" xfId="0" applyNumberFormat="1" applyFont="1" applyFill="1" applyBorder="1" applyAlignment="1">
      <alignment horizontal="right"/>
    </xf>
    <xf numFmtId="164" fontId="2" fillId="2" borderId="8" xfId="0" applyNumberFormat="1" applyFont="1" applyFill="1" applyBorder="1"/>
    <xf numFmtId="164" fontId="2" fillId="2" borderId="2" xfId="0" applyNumberFormat="1" applyFont="1" applyFill="1" applyBorder="1"/>
    <xf numFmtId="164" fontId="8" fillId="2" borderId="2" xfId="0" applyNumberFormat="1" applyFont="1" applyFill="1" applyBorder="1" applyAlignment="1">
      <alignment horizontal="center"/>
    </xf>
    <xf numFmtId="0" fontId="30" fillId="2" borderId="11" xfId="0" applyFont="1" applyFill="1" applyBorder="1"/>
    <xf numFmtId="164" fontId="6" fillId="2" borderId="1" xfId="0" applyNumberFormat="1" applyFont="1" applyFill="1" applyBorder="1"/>
    <xf numFmtId="166" fontId="8" fillId="24" borderId="2" xfId="0" applyNumberFormat="1" applyFont="1" applyFill="1" applyBorder="1"/>
    <xf numFmtId="164" fontId="6" fillId="34" borderId="8" xfId="0" applyNumberFormat="1" applyFont="1" applyFill="1" applyBorder="1"/>
    <xf numFmtId="164" fontId="2" fillId="34" borderId="1" xfId="0" applyNumberFormat="1" applyFont="1" applyFill="1" applyBorder="1"/>
    <xf numFmtId="0" fontId="2" fillId="34" borderId="1" xfId="0" applyFont="1" applyFill="1" applyBorder="1"/>
    <xf numFmtId="166" fontId="2" fillId="34" borderId="1" xfId="0" applyNumberFormat="1" applyFont="1" applyFill="1" applyBorder="1"/>
    <xf numFmtId="165" fontId="2" fillId="34" borderId="1" xfId="0" applyNumberFormat="1" applyFont="1" applyFill="1" applyBorder="1"/>
    <xf numFmtId="165" fontId="2" fillId="34" borderId="2" xfId="0" applyNumberFormat="1" applyFont="1" applyFill="1" applyBorder="1"/>
    <xf numFmtId="165" fontId="2" fillId="35" borderId="2" xfId="0" applyNumberFormat="1" applyFont="1" applyFill="1" applyBorder="1"/>
    <xf numFmtId="164" fontId="6" fillId="36" borderId="10" xfId="0" applyNumberFormat="1" applyFont="1" applyFill="1" applyBorder="1"/>
    <xf numFmtId="164" fontId="2" fillId="36" borderId="11" xfId="0" applyNumberFormat="1" applyFont="1" applyFill="1" applyBorder="1"/>
    <xf numFmtId="0" fontId="2" fillId="36" borderId="11" xfId="0" applyFont="1" applyFill="1" applyBorder="1"/>
    <xf numFmtId="0" fontId="2" fillId="36" borderId="12" xfId="0" applyFont="1" applyFill="1" applyBorder="1"/>
    <xf numFmtId="166" fontId="2" fillId="36" borderId="12" xfId="0" applyNumberFormat="1" applyFont="1" applyFill="1" applyBorder="1"/>
    <xf numFmtId="165" fontId="2" fillId="36" borderId="12" xfId="0" applyNumberFormat="1" applyFont="1" applyFill="1" applyBorder="1"/>
    <xf numFmtId="165" fontId="2" fillId="36" borderId="13" xfId="0" applyNumberFormat="1" applyFont="1" applyFill="1" applyBorder="1"/>
    <xf numFmtId="165" fontId="2" fillId="36" borderId="17" xfId="0" applyNumberFormat="1" applyFont="1" applyFill="1" applyBorder="1"/>
    <xf numFmtId="164" fontId="2" fillId="37" borderId="10" xfId="0" applyNumberFormat="1" applyFont="1" applyFill="1" applyBorder="1"/>
    <xf numFmtId="0" fontId="6" fillId="37" borderId="11" xfId="0" applyFont="1" applyFill="1" applyBorder="1"/>
    <xf numFmtId="164" fontId="2" fillId="37" borderId="11" xfId="0" applyNumberFormat="1" applyFont="1" applyFill="1" applyBorder="1"/>
    <xf numFmtId="0" fontId="2" fillId="37" borderId="11" xfId="0" applyFont="1" applyFill="1" applyBorder="1"/>
    <xf numFmtId="0" fontId="2" fillId="37" borderId="12" xfId="0" applyFont="1" applyFill="1" applyBorder="1"/>
    <xf numFmtId="0" fontId="6" fillId="37" borderId="12" xfId="0" applyFont="1" applyFill="1" applyBorder="1" applyAlignment="1">
      <alignment horizontal="center" wrapText="1"/>
    </xf>
    <xf numFmtId="166" fontId="6" fillId="37" borderId="12" xfId="0" applyNumberFormat="1" applyFont="1" applyFill="1" applyBorder="1"/>
    <xf numFmtId="165" fontId="6" fillId="37" borderId="12" xfId="0" applyNumberFormat="1" applyFont="1" applyFill="1" applyBorder="1"/>
    <xf numFmtId="165" fontId="2" fillId="37" borderId="12" xfId="0" applyNumberFormat="1" applyFont="1" applyFill="1" applyBorder="1"/>
    <xf numFmtId="165" fontId="2" fillId="37" borderId="13" xfId="0" applyNumberFormat="1" applyFont="1" applyFill="1" applyBorder="1"/>
    <xf numFmtId="0" fontId="8" fillId="0" borderId="1" xfId="0" applyFont="1" applyBorder="1"/>
    <xf numFmtId="0" fontId="8" fillId="2" borderId="2" xfId="0" applyFont="1" applyFill="1" applyBorder="1" applyAlignment="1">
      <alignment horizontal="center" wrapText="1"/>
    </xf>
    <xf numFmtId="164" fontId="2" fillId="27" borderId="8" xfId="0" applyNumberFormat="1" applyFont="1" applyFill="1" applyBorder="1"/>
    <xf numFmtId="0" fontId="2" fillId="27" borderId="1" xfId="0" applyFont="1" applyFill="1" applyBorder="1"/>
    <xf numFmtId="0" fontId="2" fillId="27" borderId="2" xfId="0" applyFont="1" applyFill="1" applyBorder="1"/>
    <xf numFmtId="164" fontId="6" fillId="37" borderId="12" xfId="0" applyNumberFormat="1" applyFont="1" applyFill="1" applyBorder="1" applyAlignment="1">
      <alignment horizontal="center" wrapText="1"/>
    </xf>
    <xf numFmtId="0" fontId="6" fillId="2" borderId="11" xfId="0" applyFont="1" applyFill="1" applyBorder="1" applyAlignment="1">
      <alignment horizontal="center"/>
    </xf>
    <xf numFmtId="164" fontId="17" fillId="22" borderId="10" xfId="0" applyNumberFormat="1" applyFont="1" applyFill="1" applyBorder="1"/>
    <xf numFmtId="0" fontId="17" fillId="12" borderId="11" xfId="0" applyFont="1" applyFill="1" applyBorder="1"/>
    <xf numFmtId="164" fontId="17" fillId="12" borderId="11" xfId="0" applyNumberFormat="1" applyFont="1" applyFill="1" applyBorder="1" applyAlignment="1">
      <alignment horizontal="center"/>
    </xf>
    <xf numFmtId="164" fontId="2" fillId="12" borderId="10" xfId="0" applyNumberFormat="1" applyFont="1" applyFill="1" applyBorder="1"/>
    <xf numFmtId="164" fontId="9" fillId="12" borderId="11" xfId="0" applyNumberFormat="1" applyFont="1" applyFill="1" applyBorder="1"/>
    <xf numFmtId="164" fontId="17" fillId="12" borderId="12" xfId="0" applyNumberFormat="1" applyFont="1" applyFill="1" applyBorder="1" applyAlignment="1">
      <alignment horizontal="center"/>
    </xf>
    <xf numFmtId="164" fontId="17" fillId="0" borderId="12" xfId="0" applyNumberFormat="1" applyFont="1" applyBorder="1" applyAlignment="1">
      <alignment horizontal="center" wrapText="1"/>
    </xf>
    <xf numFmtId="0" fontId="32" fillId="2" borderId="11" xfId="0" applyFont="1" applyFill="1" applyBorder="1"/>
    <xf numFmtId="164" fontId="17" fillId="0" borderId="12" xfId="0" applyNumberFormat="1" applyFont="1" applyBorder="1" applyAlignment="1">
      <alignment horizontal="center"/>
    </xf>
    <xf numFmtId="164" fontId="9" fillId="0" borderId="12" xfId="0" applyNumberFormat="1" applyFont="1" applyBorder="1" applyAlignment="1">
      <alignment horizontal="center"/>
    </xf>
    <xf numFmtId="0" fontId="33" fillId="23" borderId="11" xfId="0" quotePrefix="1" applyFont="1" applyFill="1" applyBorder="1"/>
    <xf numFmtId="164" fontId="9" fillId="0" borderId="11" xfId="0" applyNumberFormat="1" applyFont="1" applyBorder="1"/>
    <xf numFmtId="164" fontId="2" fillId="0" borderId="18" xfId="0" applyNumberFormat="1" applyFont="1" applyBorder="1"/>
    <xf numFmtId="164" fontId="2" fillId="0" borderId="19" xfId="0" applyNumberFormat="1" applyFont="1" applyBorder="1"/>
    <xf numFmtId="164" fontId="9" fillId="0" borderId="19" xfId="0" applyNumberFormat="1" applyFont="1" applyBorder="1"/>
    <xf numFmtId="0" fontId="2" fillId="0" borderId="19" xfId="0" applyFont="1" applyBorder="1"/>
    <xf numFmtId="0" fontId="2" fillId="0" borderId="20" xfId="0" applyFont="1" applyBorder="1"/>
    <xf numFmtId="164" fontId="9" fillId="0" borderId="20" xfId="0" applyNumberFormat="1" applyFont="1" applyBorder="1" applyAlignment="1">
      <alignment horizontal="center" wrapText="1"/>
    </xf>
    <xf numFmtId="166" fontId="2" fillId="2" borderId="20" xfId="0" applyNumberFormat="1" applyFont="1" applyFill="1" applyBorder="1"/>
    <xf numFmtId="165" fontId="2" fillId="0" borderId="20" xfId="0" applyNumberFormat="1" applyFont="1" applyBorder="1"/>
    <xf numFmtId="165" fontId="2" fillId="2" borderId="20" xfId="0" applyNumberFormat="1" applyFont="1" applyFill="1" applyBorder="1"/>
    <xf numFmtId="165" fontId="2" fillId="2" borderId="21" xfId="0" applyNumberFormat="1" applyFont="1" applyFill="1" applyBorder="1"/>
    <xf numFmtId="164" fontId="4" fillId="38" borderId="8" xfId="0" applyNumberFormat="1" applyFont="1" applyFill="1" applyBorder="1"/>
    <xf numFmtId="164" fontId="2" fillId="38" borderId="1" xfId="0" applyNumberFormat="1" applyFont="1" applyFill="1" applyBorder="1"/>
    <xf numFmtId="0" fontId="2" fillId="38" borderId="1" xfId="0" applyFont="1" applyFill="1" applyBorder="1"/>
    <xf numFmtId="0" fontId="2" fillId="38" borderId="2" xfId="0" applyFont="1" applyFill="1" applyBorder="1"/>
    <xf numFmtId="164" fontId="2" fillId="38" borderId="2" xfId="0" applyNumberFormat="1" applyFont="1" applyFill="1" applyBorder="1"/>
    <xf numFmtId="166" fontId="2" fillId="38" borderId="2" xfId="0" applyNumberFormat="1" applyFont="1" applyFill="1" applyBorder="1"/>
    <xf numFmtId="165" fontId="2" fillId="38" borderId="2" xfId="0" applyNumberFormat="1" applyFont="1" applyFill="1" applyBorder="1"/>
    <xf numFmtId="165" fontId="2" fillId="38" borderId="14" xfId="0" applyNumberFormat="1" applyFont="1" applyFill="1" applyBorder="1"/>
    <xf numFmtId="164" fontId="2" fillId="39" borderId="11" xfId="0" applyNumberFormat="1" applyFont="1" applyFill="1" applyBorder="1"/>
    <xf numFmtId="164" fontId="6" fillId="39" borderId="11" xfId="0" applyNumberFormat="1" applyFont="1" applyFill="1" applyBorder="1"/>
    <xf numFmtId="0" fontId="2" fillId="39" borderId="11" xfId="0" applyFont="1" applyFill="1" applyBorder="1"/>
    <xf numFmtId="0" fontId="2" fillId="39" borderId="12" xfId="0" applyFont="1" applyFill="1" applyBorder="1"/>
    <xf numFmtId="164" fontId="2" fillId="39" borderId="12" xfId="0" applyNumberFormat="1" applyFont="1" applyFill="1" applyBorder="1"/>
    <xf numFmtId="166" fontId="2" fillId="39" borderId="12" xfId="0" applyNumberFormat="1" applyFont="1" applyFill="1" applyBorder="1"/>
    <xf numFmtId="165" fontId="2" fillId="39" borderId="12" xfId="0" applyNumberFormat="1" applyFont="1" applyFill="1" applyBorder="1"/>
    <xf numFmtId="165" fontId="2" fillId="39" borderId="13" xfId="0" applyNumberFormat="1" applyFont="1" applyFill="1" applyBorder="1"/>
    <xf numFmtId="164" fontId="2" fillId="40" borderId="11" xfId="0" applyNumberFormat="1" applyFont="1" applyFill="1" applyBorder="1"/>
    <xf numFmtId="164" fontId="6" fillId="40" borderId="11" xfId="0" applyNumberFormat="1" applyFont="1" applyFill="1" applyBorder="1"/>
    <xf numFmtId="0" fontId="2" fillId="40" borderId="11" xfId="0" applyFont="1" applyFill="1" applyBorder="1"/>
    <xf numFmtId="0" fontId="2" fillId="40" borderId="12" xfId="0" applyFont="1" applyFill="1" applyBorder="1"/>
    <xf numFmtId="164" fontId="6" fillId="40" borderId="12" xfId="0" applyNumberFormat="1" applyFont="1" applyFill="1" applyBorder="1" applyAlignment="1">
      <alignment horizontal="center"/>
    </xf>
    <xf numFmtId="166" fontId="6" fillId="40" borderId="12" xfId="0" applyNumberFormat="1" applyFont="1" applyFill="1" applyBorder="1"/>
    <xf numFmtId="165" fontId="6" fillId="40" borderId="12" xfId="0" applyNumberFormat="1" applyFont="1" applyFill="1" applyBorder="1"/>
    <xf numFmtId="165" fontId="2" fillId="40" borderId="12" xfId="0" applyNumberFormat="1" applyFont="1" applyFill="1" applyBorder="1"/>
    <xf numFmtId="165" fontId="2" fillId="40" borderId="13" xfId="0" applyNumberFormat="1" applyFont="1" applyFill="1" applyBorder="1"/>
    <xf numFmtId="164" fontId="35" fillId="23" borderId="11" xfId="0" applyNumberFormat="1" applyFont="1" applyFill="1" applyBorder="1"/>
    <xf numFmtId="164" fontId="8" fillId="0" borderId="11" xfId="0" applyNumberFormat="1" applyFont="1" applyBorder="1"/>
    <xf numFmtId="164" fontId="6" fillId="0" borderId="12" xfId="0" applyNumberFormat="1" applyFont="1" applyBorder="1" applyAlignment="1">
      <alignment horizontal="center"/>
    </xf>
    <xf numFmtId="164" fontId="2" fillId="40" borderId="12" xfId="0" applyNumberFormat="1" applyFont="1" applyFill="1" applyBorder="1"/>
    <xf numFmtId="166" fontId="2" fillId="40" borderId="12" xfId="0" applyNumberFormat="1" applyFont="1" applyFill="1" applyBorder="1"/>
    <xf numFmtId="0" fontId="36" fillId="23" borderId="11" xfId="0" applyFont="1" applyFill="1" applyBorder="1"/>
    <xf numFmtId="164" fontId="8" fillId="2" borderId="12" xfId="0" applyNumberFormat="1" applyFont="1" applyFill="1" applyBorder="1"/>
    <xf numFmtId="164" fontId="6" fillId="2" borderId="12" xfId="0" applyNumberFormat="1" applyFont="1" applyFill="1" applyBorder="1"/>
    <xf numFmtId="166" fontId="8" fillId="24" borderId="12" xfId="0" applyNumberFormat="1" applyFont="1" applyFill="1" applyBorder="1" applyAlignment="1">
      <alignment horizontal="right"/>
    </xf>
    <xf numFmtId="169" fontId="2" fillId="2" borderId="12" xfId="0" applyNumberFormat="1" applyFont="1" applyFill="1" applyBorder="1"/>
    <xf numFmtId="169" fontId="2" fillId="2" borderId="13" xfId="0" applyNumberFormat="1" applyFont="1" applyFill="1" applyBorder="1"/>
    <xf numFmtId="164" fontId="37" fillId="0" borderId="1" xfId="0" applyNumberFormat="1" applyFont="1" applyBorder="1"/>
    <xf numFmtId="169" fontId="2" fillId="2" borderId="2" xfId="0" applyNumberFormat="1" applyFont="1" applyFill="1" applyBorder="1"/>
    <xf numFmtId="169" fontId="2" fillId="2" borderId="14" xfId="0" applyNumberFormat="1" applyFont="1" applyFill="1" applyBorder="1"/>
    <xf numFmtId="164" fontId="6" fillId="39" borderId="12" xfId="0" applyNumberFormat="1" applyFont="1" applyFill="1" applyBorder="1" applyAlignment="1">
      <alignment horizontal="center"/>
    </xf>
    <xf numFmtId="166" fontId="6" fillId="39" borderId="12" xfId="0" applyNumberFormat="1" applyFont="1" applyFill="1" applyBorder="1"/>
    <xf numFmtId="165" fontId="6" fillId="39" borderId="12" xfId="0" applyNumberFormat="1" applyFont="1" applyFill="1" applyBorder="1"/>
    <xf numFmtId="0" fontId="6" fillId="0" borderId="11" xfId="0" quotePrefix="1" applyFont="1" applyBorder="1"/>
    <xf numFmtId="0" fontId="38" fillId="0" borderId="11" xfId="0" applyFont="1" applyBorder="1"/>
    <xf numFmtId="164" fontId="17" fillId="39" borderId="11" xfId="0" applyNumberFormat="1" applyFont="1" applyFill="1" applyBorder="1"/>
    <xf numFmtId="164" fontId="17" fillId="39" borderId="12" xfId="0" applyNumberFormat="1" applyFont="1" applyFill="1" applyBorder="1" applyAlignment="1">
      <alignment horizontal="center"/>
    </xf>
    <xf numFmtId="166" fontId="17" fillId="39" borderId="12" xfId="0" applyNumberFormat="1" applyFont="1" applyFill="1" applyBorder="1"/>
    <xf numFmtId="165" fontId="17" fillId="39" borderId="12" xfId="0" applyNumberFormat="1" applyFont="1" applyFill="1" applyBorder="1"/>
    <xf numFmtId="0" fontId="39" fillId="23" borderId="11" xfId="0" applyFont="1" applyFill="1" applyBorder="1"/>
    <xf numFmtId="166" fontId="9" fillId="2" borderId="12" xfId="0" applyNumberFormat="1" applyFont="1" applyFill="1" applyBorder="1" applyAlignment="1">
      <alignment horizontal="right"/>
    </xf>
    <xf numFmtId="0" fontId="9" fillId="2" borderId="1" xfId="0" applyFont="1" applyFill="1" applyBorder="1"/>
    <xf numFmtId="164" fontId="9" fillId="0" borderId="2" xfId="0" applyNumberFormat="1" applyFont="1" applyBorder="1" applyAlignment="1">
      <alignment horizontal="center" wrapText="1"/>
    </xf>
    <xf numFmtId="166" fontId="9" fillId="2" borderId="2" xfId="0" applyNumberFormat="1" applyFont="1" applyFill="1" applyBorder="1" applyAlignment="1">
      <alignment horizontal="right"/>
    </xf>
    <xf numFmtId="164" fontId="2" fillId="39" borderId="10" xfId="0" applyNumberFormat="1" applyFont="1" applyFill="1" applyBorder="1"/>
    <xf numFmtId="164" fontId="6" fillId="0" borderId="11" xfId="0" applyNumberFormat="1" applyFont="1" applyBorder="1"/>
    <xf numFmtId="164" fontId="2" fillId="0" borderId="15" xfId="0" applyNumberFormat="1" applyFont="1" applyBorder="1"/>
    <xf numFmtId="164" fontId="8" fillId="0" borderId="15" xfId="0" applyNumberFormat="1" applyFont="1" applyBorder="1"/>
    <xf numFmtId="0" fontId="2" fillId="0" borderId="15" xfId="0" applyFont="1" applyBorder="1"/>
    <xf numFmtId="0" fontId="2" fillId="0" borderId="16" xfId="0" applyFont="1" applyBorder="1"/>
    <xf numFmtId="164" fontId="8" fillId="0" borderId="16" xfId="0" applyNumberFormat="1" applyFont="1" applyBorder="1" applyAlignment="1">
      <alignment horizontal="center"/>
    </xf>
    <xf numFmtId="166" fontId="2" fillId="0" borderId="16" xfId="0" applyNumberFormat="1" applyFont="1" applyBorder="1"/>
    <xf numFmtId="166" fontId="8" fillId="24" borderId="16" xfId="0" applyNumberFormat="1" applyFont="1" applyFill="1" applyBorder="1" applyAlignment="1">
      <alignment horizontal="right"/>
    </xf>
    <xf numFmtId="165" fontId="2" fillId="0" borderId="16" xfId="0" applyNumberFormat="1" applyFont="1" applyBorder="1"/>
    <xf numFmtId="167" fontId="17" fillId="2" borderId="11" xfId="0" applyNumberFormat="1" applyFont="1" applyFill="1" applyBorder="1" applyAlignment="1">
      <alignment horizontal="center"/>
    </xf>
    <xf numFmtId="164" fontId="6" fillId="13" borderId="22" xfId="0" applyNumberFormat="1" applyFont="1" applyFill="1" applyBorder="1"/>
    <xf numFmtId="164" fontId="2" fillId="13" borderId="23" xfId="0" applyNumberFormat="1" applyFont="1" applyFill="1" applyBorder="1"/>
    <xf numFmtId="0" fontId="2" fillId="13" borderId="23" xfId="0" applyFont="1" applyFill="1" applyBorder="1"/>
    <xf numFmtId="0" fontId="2" fillId="13" borderId="24" xfId="0" applyFont="1" applyFill="1" applyBorder="1"/>
    <xf numFmtId="164" fontId="6" fillId="13" borderId="23" xfId="0" applyNumberFormat="1" applyFont="1" applyFill="1" applyBorder="1"/>
    <xf numFmtId="166" fontId="2" fillId="13" borderId="23" xfId="0" applyNumberFormat="1" applyFont="1" applyFill="1" applyBorder="1"/>
    <xf numFmtId="166" fontId="2" fillId="13" borderId="24" xfId="0" applyNumberFormat="1" applyFont="1" applyFill="1" applyBorder="1"/>
    <xf numFmtId="165" fontId="2" fillId="13" borderId="24" xfId="0" applyNumberFormat="1" applyFont="1" applyFill="1" applyBorder="1"/>
    <xf numFmtId="165" fontId="8" fillId="2" borderId="2" xfId="0" applyNumberFormat="1" applyFont="1" applyFill="1" applyBorder="1" applyAlignment="1">
      <alignment horizontal="right"/>
    </xf>
    <xf numFmtId="164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164" fontId="22" fillId="0" borderId="0" xfId="0" applyNumberFormat="1" applyFont="1"/>
    <xf numFmtId="165" fontId="6" fillId="7" borderId="1" xfId="0" applyNumberFormat="1" applyFont="1" applyFill="1" applyBorder="1" applyAlignment="1">
      <alignment horizontal="center" wrapText="1"/>
    </xf>
    <xf numFmtId="0" fontId="5" fillId="0" borderId="2" xfId="0" applyFont="1" applyBorder="1"/>
    <xf numFmtId="165" fontId="6" fillId="8" borderId="1" xfId="0" applyNumberFormat="1" applyFont="1" applyFill="1" applyBorder="1" applyAlignment="1">
      <alignment horizontal="center"/>
    </xf>
    <xf numFmtId="0" fontId="5" fillId="0" borderId="1" xfId="0" applyFont="1" applyBorder="1"/>
    <xf numFmtId="0" fontId="1" fillId="0" borderId="0" xfId="0" applyFont="1" applyAlignment="1">
      <alignment horizontal="center"/>
    </xf>
    <xf numFmtId="0" fontId="0" fillId="0" borderId="0" xfId="0"/>
    <xf numFmtId="164" fontId="4" fillId="3" borderId="1" xfId="0" applyNumberFormat="1" applyFont="1" applyFill="1" applyBorder="1" applyAlignment="1">
      <alignment horizontal="center"/>
    </xf>
    <xf numFmtId="164" fontId="4" fillId="4" borderId="1" xfId="0" applyNumberFormat="1" applyFont="1" applyFill="1" applyBorder="1" applyAlignment="1">
      <alignment horizontal="center"/>
    </xf>
    <xf numFmtId="0" fontId="6" fillId="5" borderId="3" xfId="0" applyFont="1" applyFill="1" applyBorder="1" applyAlignment="1">
      <alignment horizontal="center"/>
    </xf>
    <xf numFmtId="0" fontId="5" fillId="0" borderId="4" xfId="0" applyFont="1" applyBorder="1"/>
    <xf numFmtId="0" fontId="5" fillId="0" borderId="5" xfId="0" applyFont="1" applyBorder="1"/>
    <xf numFmtId="0" fontId="5" fillId="0" borderId="8" xfId="0" applyFont="1" applyBorder="1"/>
    <xf numFmtId="0" fontId="6" fillId="6" borderId="6" xfId="0" applyFont="1" applyFill="1" applyBorder="1" applyAlignment="1">
      <alignment horizontal="center"/>
    </xf>
    <xf numFmtId="0" fontId="5" fillId="0" borderId="6" xfId="0" applyFont="1" applyBorder="1"/>
    <xf numFmtId="0" fontId="5" fillId="0" borderId="7" xfId="0" applyFont="1" applyBorder="1"/>
    <xf numFmtId="0" fontId="2" fillId="10" borderId="8" xfId="0" applyFont="1" applyFill="1" applyBorder="1"/>
    <xf numFmtId="164" fontId="27" fillId="2" borderId="1" xfId="0" applyNumberFormat="1" applyFont="1" applyFill="1" applyBorder="1"/>
    <xf numFmtId="0" fontId="31" fillId="2" borderId="11" xfId="0" applyFont="1" applyFill="1" applyBorder="1"/>
    <xf numFmtId="0" fontId="5" fillId="0" borderId="11" xfId="0" applyFont="1" applyBorder="1"/>
    <xf numFmtId="0" fontId="5" fillId="0" borderId="12" xfId="0" applyFont="1" applyBorder="1"/>
    <xf numFmtId="0" fontId="34" fillId="2" borderId="11" xfId="0" applyFont="1" applyFill="1" applyBorder="1"/>
    <xf numFmtId="0" fontId="6" fillId="11" borderId="8" xfId="0" applyFont="1" applyFill="1" applyBorder="1"/>
    <xf numFmtId="0" fontId="6" fillId="17" borderId="8" xfId="0" applyFont="1" applyFill="1" applyBorder="1"/>
    <xf numFmtId="0" fontId="6" fillId="18" borderId="11" xfId="0" applyFont="1" applyFill="1" applyBorder="1"/>
    <xf numFmtId="0" fontId="22" fillId="0" borderId="0" xfId="0" applyFont="1"/>
    <xf numFmtId="0" fontId="6" fillId="13" borderId="23" xfId="0" applyFont="1" applyFill="1" applyBorder="1"/>
    <xf numFmtId="0" fontId="6" fillId="13" borderId="22" xfId="0" applyFont="1" applyFill="1" applyBorder="1"/>
    <xf numFmtId="166" fontId="8" fillId="24" borderId="2" xfId="0" applyNumberFormat="1" applyFont="1" applyFill="1" applyBorder="1" applyAlignment="1">
      <alignment horizontal="right"/>
    </xf>
    <xf numFmtId="164" fontId="7" fillId="23" borderId="11" xfId="0" applyNumberFormat="1" applyFont="1" applyFill="1" applyBorder="1"/>
    <xf numFmtId="165" fontId="6" fillId="2" borderId="12" xfId="0" applyNumberFormat="1" applyFont="1" applyFill="1" applyBorder="1" applyAlignment="1">
      <alignment horizontal="right"/>
    </xf>
    <xf numFmtId="165" fontId="6" fillId="2" borderId="13" xfId="0" applyNumberFormat="1" applyFont="1" applyFill="1" applyBorder="1" applyAlignment="1">
      <alignment horizontal="right"/>
    </xf>
    <xf numFmtId="0" fontId="7" fillId="2" borderId="11" xfId="0" applyFont="1" applyFill="1" applyBorder="1"/>
    <xf numFmtId="165" fontId="6" fillId="39" borderId="12" xfId="0" applyNumberFormat="1" applyFont="1" applyFill="1" applyBorder="1" applyAlignment="1">
      <alignment horizontal="right"/>
    </xf>
    <xf numFmtId="166" fontId="6" fillId="39" borderId="12" xfId="0" applyNumberFormat="1" applyFont="1" applyFill="1" applyBorder="1" applyAlignment="1">
      <alignment horizontal="right"/>
    </xf>
    <xf numFmtId="165" fontId="3" fillId="2" borderId="12" xfId="0" applyNumberFormat="1" applyFont="1" applyFill="1" applyBorder="1"/>
    <xf numFmtId="165" fontId="3" fillId="2" borderId="13" xfId="0" applyNumberFormat="1" applyFont="1" applyFill="1" applyBorder="1"/>
    <xf numFmtId="166" fontId="24" fillId="24" borderId="12" xfId="0" applyNumberFormat="1" applyFont="1" applyFill="1" applyBorder="1" applyAlignment="1">
      <alignment horizontal="right"/>
    </xf>
    <xf numFmtId="166" fontId="3" fillId="2" borderId="12" xfId="0" applyNumberFormat="1" applyFont="1" applyFill="1" applyBorder="1"/>
    <xf numFmtId="164" fontId="24" fillId="2" borderId="12" xfId="0" applyNumberFormat="1" applyFont="1" applyFill="1" applyBorder="1" applyAlignment="1">
      <alignment horizontal="center"/>
    </xf>
    <xf numFmtId="0" fontId="3" fillId="0" borderId="12" xfId="0" applyFont="1" applyBorder="1"/>
    <xf numFmtId="0" fontId="24" fillId="0" borderId="11" xfId="0" applyFont="1" applyBorder="1"/>
    <xf numFmtId="0" fontId="3" fillId="0" borderId="11" xfId="0" applyFont="1" applyBorder="1"/>
    <xf numFmtId="164" fontId="3" fillId="0" borderId="11" xfId="0" applyNumberFormat="1" applyFont="1" applyBorder="1"/>
    <xf numFmtId="164" fontId="3" fillId="0" borderId="10" xfId="0" applyNumberFormat="1" applyFont="1" applyBorder="1"/>
    <xf numFmtId="165" fontId="24" fillId="2" borderId="12" xfId="0" applyNumberFormat="1" applyFont="1" applyFill="1" applyBorder="1" applyAlignment="1">
      <alignment horizontal="right"/>
    </xf>
    <xf numFmtId="166" fontId="24" fillId="2" borderId="12" xfId="0" applyNumberFormat="1" applyFont="1" applyFill="1" applyBorder="1" applyAlignment="1">
      <alignment horizontal="right"/>
    </xf>
    <xf numFmtId="164" fontId="3" fillId="2" borderId="12" xfId="0" applyNumberFormat="1" applyFont="1" applyFill="1" applyBorder="1"/>
    <xf numFmtId="164" fontId="24" fillId="0" borderId="11" xfId="0" applyNumberFormat="1" applyFont="1" applyBorder="1"/>
    <xf numFmtId="164" fontId="1" fillId="0" borderId="11" xfId="0" applyNumberFormat="1" applyFont="1" applyBorder="1"/>
    <xf numFmtId="164" fontId="7" fillId="23" borderId="11" xfId="0" quotePrefix="1" applyNumberFormat="1" applyFont="1" applyFill="1" applyBorder="1"/>
    <xf numFmtId="0" fontId="19" fillId="23" borderId="11" xfId="0" applyFont="1" applyFill="1" applyBorder="1"/>
    <xf numFmtId="0" fontId="19" fillId="2" borderId="11" xfId="0" applyFont="1" applyFill="1" applyBorder="1"/>
    <xf numFmtId="0" fontId="19" fillId="2" borderId="11" xfId="0" applyFont="1" applyFill="1" applyBorder="1"/>
    <xf numFmtId="165" fontId="17" fillId="39" borderId="12" xfId="0" applyNumberFormat="1" applyFont="1" applyFill="1" applyBorder="1" applyAlignment="1">
      <alignment horizontal="right"/>
    </xf>
    <xf numFmtId="165" fontId="8" fillId="0" borderId="12" xfId="0" applyNumberFormat="1" applyFont="1" applyBorder="1" applyAlignment="1">
      <alignment horizontal="right"/>
    </xf>
    <xf numFmtId="0" fontId="7" fillId="23" borderId="11" xfId="0" quotePrefix="1" applyFont="1" applyFill="1" applyBorder="1"/>
    <xf numFmtId="166" fontId="8" fillId="39" borderId="12" xfId="0" applyNumberFormat="1" applyFont="1" applyFill="1" applyBorder="1" applyAlignment="1">
      <alignment horizontal="right"/>
    </xf>
    <xf numFmtId="164" fontId="8" fillId="39" borderId="12" xfId="0" applyNumberFormat="1" applyFont="1" applyFill="1" applyBorder="1" applyAlignment="1">
      <alignment horizontal="center"/>
    </xf>
    <xf numFmtId="164" fontId="6" fillId="2" borderId="12" xfId="0" applyNumberFormat="1" applyFont="1" applyFill="1" applyBorder="1" applyAlignment="1">
      <alignment horizontal="right"/>
    </xf>
    <xf numFmtId="164" fontId="8" fillId="2" borderId="12" xfId="0" applyNumberFormat="1" applyFont="1" applyFill="1" applyBorder="1" applyAlignment="1">
      <alignment horizontal="right"/>
    </xf>
    <xf numFmtId="0" fontId="7" fillId="23" borderId="11" xfId="0" applyFont="1" applyFill="1" applyBorder="1"/>
    <xf numFmtId="165" fontId="6" fillId="40" borderId="12" xfId="0" applyNumberFormat="1" applyFont="1" applyFill="1" applyBorder="1" applyAlignment="1">
      <alignment horizontal="right"/>
    </xf>
    <xf numFmtId="166" fontId="6" fillId="40" borderId="12" xfId="0" applyNumberFormat="1" applyFont="1" applyFill="1" applyBorder="1" applyAlignment="1">
      <alignment horizontal="right"/>
    </xf>
    <xf numFmtId="0" fontId="19" fillId="23" borderId="11" xfId="0" quotePrefix="1" applyFont="1" applyFill="1" applyBorder="1"/>
    <xf numFmtId="0" fontId="7" fillId="2" borderId="11" xfId="0" applyFont="1" applyFill="1" applyBorder="1"/>
    <xf numFmtId="165" fontId="6" fillId="37" borderId="12" xfId="0" applyNumberFormat="1" applyFont="1" applyFill="1" applyBorder="1" applyAlignment="1">
      <alignment horizontal="right"/>
    </xf>
    <xf numFmtId="166" fontId="2" fillId="37" borderId="12" xfId="0" applyNumberFormat="1" applyFont="1" applyFill="1" applyBorder="1"/>
    <xf numFmtId="165" fontId="2" fillId="27" borderId="16" xfId="0" applyNumberFormat="1" applyFont="1" applyFill="1" applyBorder="1"/>
    <xf numFmtId="166" fontId="2" fillId="27" borderId="16" xfId="0" applyNumberFormat="1" applyFont="1" applyFill="1" applyBorder="1"/>
    <xf numFmtId="164" fontId="2" fillId="27" borderId="16" xfId="0" applyNumberFormat="1" applyFont="1" applyFill="1" applyBorder="1"/>
    <xf numFmtId="0" fontId="2" fillId="27" borderId="16" xfId="0" applyFont="1" applyFill="1" applyBorder="1"/>
    <xf numFmtId="0" fontId="2" fillId="27" borderId="15" xfId="0" applyFont="1" applyFill="1" applyBorder="1"/>
    <xf numFmtId="164" fontId="2" fillId="27" borderId="15" xfId="0" applyNumberFormat="1" applyFont="1" applyFill="1" applyBorder="1"/>
    <xf numFmtId="164" fontId="2" fillId="27" borderId="25" xfId="0" applyNumberFormat="1" applyFont="1" applyFill="1" applyBorder="1"/>
    <xf numFmtId="165" fontId="9" fillId="2" borderId="2" xfId="0" applyNumberFormat="1" applyFont="1" applyFill="1" applyBorder="1" applyAlignment="1">
      <alignment horizontal="right"/>
    </xf>
    <xf numFmtId="166" fontId="9" fillId="24" borderId="2" xfId="0" applyNumberFormat="1" applyFont="1" applyFill="1" applyBorder="1" applyAlignment="1">
      <alignment horizontal="right"/>
    </xf>
    <xf numFmtId="0" fontId="9" fillId="2" borderId="2" xfId="0" applyFont="1" applyFill="1" applyBorder="1" applyAlignment="1">
      <alignment horizontal="center" wrapText="1"/>
    </xf>
    <xf numFmtId="0" fontId="9" fillId="0" borderId="1" xfId="0" applyFont="1" applyBorder="1"/>
    <xf numFmtId="166" fontId="9" fillId="24" borderId="12" xfId="0" applyNumberFormat="1" applyFont="1" applyFill="1" applyBorder="1" applyAlignment="1">
      <alignment horizontal="right"/>
    </xf>
    <xf numFmtId="0" fontId="9" fillId="2" borderId="12" xfId="0" applyFont="1" applyFill="1" applyBorder="1" applyAlignment="1">
      <alignment horizontal="center" wrapText="1"/>
    </xf>
    <xf numFmtId="0" fontId="17" fillId="2" borderId="11" xfId="0" applyFont="1" applyFill="1" applyBorder="1"/>
    <xf numFmtId="0" fontId="40" fillId="2" borderId="11" xfId="0" applyFont="1" applyFill="1" applyBorder="1"/>
    <xf numFmtId="164" fontId="17" fillId="2" borderId="12" xfId="0" applyNumberFormat="1" applyFont="1" applyFill="1" applyBorder="1" applyAlignment="1">
      <alignment horizontal="center"/>
    </xf>
    <xf numFmtId="165" fontId="17" fillId="37" borderId="12" xfId="0" applyNumberFormat="1" applyFont="1" applyFill="1" applyBorder="1" applyAlignment="1">
      <alignment horizontal="right"/>
    </xf>
    <xf numFmtId="166" fontId="17" fillId="37" borderId="12" xfId="0" applyNumberFormat="1" applyFont="1" applyFill="1" applyBorder="1" applyAlignment="1">
      <alignment horizontal="right"/>
    </xf>
    <xf numFmtId="0" fontId="17" fillId="37" borderId="12" xfId="0" applyFont="1" applyFill="1" applyBorder="1" applyAlignment="1">
      <alignment horizontal="center" wrapText="1"/>
    </xf>
    <xf numFmtId="0" fontId="17" fillId="37" borderId="11" xfId="0" applyFont="1" applyFill="1" applyBorder="1"/>
    <xf numFmtId="165" fontId="2" fillId="36" borderId="26" xfId="0" applyNumberFormat="1" applyFont="1" applyFill="1" applyBorder="1"/>
    <xf numFmtId="164" fontId="17" fillId="36" borderId="10" xfId="0" applyNumberFormat="1" applyFont="1" applyFill="1" applyBorder="1"/>
    <xf numFmtId="165" fontId="2" fillId="35" borderId="14" xfId="0" applyNumberFormat="1" applyFont="1" applyFill="1" applyBorder="1"/>
    <xf numFmtId="164" fontId="17" fillId="34" borderId="8" xfId="0" applyNumberFormat="1" applyFont="1" applyFill="1" applyBorder="1"/>
    <xf numFmtId="164" fontId="10" fillId="2" borderId="11" xfId="0" applyNumberFormat="1" applyFont="1" applyFill="1" applyBorder="1"/>
    <xf numFmtId="164" fontId="7" fillId="2" borderId="1" xfId="0" applyNumberFormat="1" applyFont="1" applyFill="1" applyBorder="1"/>
    <xf numFmtId="165" fontId="6" fillId="33" borderId="12" xfId="0" applyNumberFormat="1" applyFont="1" applyFill="1" applyBorder="1" applyAlignment="1">
      <alignment horizontal="right"/>
    </xf>
    <xf numFmtId="166" fontId="6" fillId="33" borderId="12" xfId="0" applyNumberFormat="1" applyFont="1" applyFill="1" applyBorder="1" applyAlignment="1">
      <alignment horizontal="right"/>
    </xf>
    <xf numFmtId="168" fontId="2" fillId="2" borderId="12" xfId="0" applyNumberFormat="1" applyFont="1" applyFill="1" applyBorder="1"/>
    <xf numFmtId="164" fontId="7" fillId="2" borderId="11" xfId="0" quotePrefix="1" applyNumberFormat="1" applyFont="1" applyFill="1" applyBorder="1"/>
    <xf numFmtId="164" fontId="7" fillId="2" borderId="11" xfId="0" applyNumberFormat="1" applyFont="1" applyFill="1" applyBorder="1"/>
    <xf numFmtId="164" fontId="3" fillId="2" borderId="11" xfId="0" applyNumberFormat="1" applyFont="1" applyFill="1" applyBorder="1"/>
    <xf numFmtId="164" fontId="24" fillId="2" borderId="11" xfId="0" applyNumberFormat="1" applyFont="1" applyFill="1" applyBorder="1"/>
    <xf numFmtId="165" fontId="6" fillId="33" borderId="24" xfId="0" applyNumberFormat="1" applyFont="1" applyFill="1" applyBorder="1" applyAlignment="1">
      <alignment horizontal="right"/>
    </xf>
    <xf numFmtId="166" fontId="6" fillId="33" borderId="24" xfId="0" applyNumberFormat="1" applyFont="1" applyFill="1" applyBorder="1" applyAlignment="1">
      <alignment horizontal="right"/>
    </xf>
    <xf numFmtId="164" fontId="6" fillId="33" borderId="24" xfId="0" applyNumberFormat="1" applyFont="1" applyFill="1" applyBorder="1" applyAlignment="1">
      <alignment horizontal="center" wrapText="1"/>
    </xf>
    <xf numFmtId="0" fontId="2" fillId="33" borderId="24" xfId="0" applyFont="1" applyFill="1" applyBorder="1"/>
    <xf numFmtId="0" fontId="2" fillId="33" borderId="23" xfId="0" applyFont="1" applyFill="1" applyBorder="1"/>
    <xf numFmtId="164" fontId="2" fillId="33" borderId="23" xfId="0" applyNumberFormat="1" applyFont="1" applyFill="1" applyBorder="1"/>
    <xf numFmtId="167" fontId="2" fillId="33" borderId="23" xfId="0" applyNumberFormat="1" applyFont="1" applyFill="1" applyBorder="1"/>
    <xf numFmtId="164" fontId="6" fillId="33" borderId="23" xfId="0" applyNumberFormat="1" applyFont="1" applyFill="1" applyBorder="1"/>
    <xf numFmtId="167" fontId="2" fillId="33" borderId="22" xfId="0" applyNumberFormat="1" applyFont="1" applyFill="1" applyBorder="1"/>
    <xf numFmtId="170" fontId="8" fillId="2" borderId="12" xfId="0" applyNumberFormat="1" applyFont="1" applyFill="1" applyBorder="1" applyAlignment="1">
      <alignment horizontal="right"/>
    </xf>
    <xf numFmtId="0" fontId="7" fillId="26" borderId="11" xfId="0" applyFont="1" applyFill="1" applyBorder="1"/>
    <xf numFmtId="165" fontId="6" fillId="26" borderId="16" xfId="0" applyNumberFormat="1" applyFont="1" applyFill="1" applyBorder="1" applyAlignment="1">
      <alignment horizontal="right"/>
    </xf>
    <xf numFmtId="166" fontId="6" fillId="26" borderId="16" xfId="0" applyNumberFormat="1" applyFont="1" applyFill="1" applyBorder="1" applyAlignment="1">
      <alignment horizontal="right"/>
    </xf>
    <xf numFmtId="0" fontId="6" fillId="26" borderId="16" xfId="0" applyFont="1" applyFill="1" applyBorder="1" applyAlignment="1">
      <alignment horizontal="center" wrapText="1"/>
    </xf>
    <xf numFmtId="0" fontId="2" fillId="26" borderId="16" xfId="0" applyFont="1" applyFill="1" applyBorder="1"/>
    <xf numFmtId="0" fontId="2" fillId="26" borderId="15" xfId="0" applyFont="1" applyFill="1" applyBorder="1"/>
    <xf numFmtId="164" fontId="7" fillId="26" borderId="15" xfId="0" applyNumberFormat="1" applyFont="1" applyFill="1" applyBorder="1"/>
    <xf numFmtId="164" fontId="2" fillId="26" borderId="15" xfId="0" applyNumberFormat="1" applyFont="1" applyFill="1" applyBorder="1"/>
    <xf numFmtId="164" fontId="2" fillId="26" borderId="25" xfId="0" applyNumberFormat="1" applyFont="1" applyFill="1" applyBorder="1"/>
    <xf numFmtId="165" fontId="6" fillId="33" borderId="16" xfId="0" applyNumberFormat="1" applyFont="1" applyFill="1" applyBorder="1" applyAlignment="1">
      <alignment horizontal="right"/>
    </xf>
    <xf numFmtId="166" fontId="6" fillId="33" borderId="16" xfId="0" applyNumberFormat="1" applyFont="1" applyFill="1" applyBorder="1" applyAlignment="1">
      <alignment horizontal="right"/>
    </xf>
    <xf numFmtId="166" fontId="6" fillId="33" borderId="27" xfId="0" applyNumberFormat="1" applyFont="1" applyFill="1" applyBorder="1" applyAlignment="1">
      <alignment horizontal="right"/>
    </xf>
    <xf numFmtId="165" fontId="9" fillId="10" borderId="12" xfId="0" applyNumberFormat="1" applyFont="1" applyFill="1" applyBorder="1" applyAlignment="1">
      <alignment horizontal="right"/>
    </xf>
    <xf numFmtId="166" fontId="9" fillId="10" borderId="12" xfId="0" applyNumberFormat="1" applyFont="1" applyFill="1" applyBorder="1" applyAlignment="1">
      <alignment horizontal="right"/>
    </xf>
    <xf numFmtId="0" fontId="9" fillId="10" borderId="12" xfId="0" applyFont="1" applyFill="1" applyBorder="1" applyAlignment="1">
      <alignment horizontal="center"/>
    </xf>
    <xf numFmtId="0" fontId="9" fillId="10" borderId="11" xfId="0" applyFont="1" applyFill="1" applyBorder="1"/>
    <xf numFmtId="165" fontId="8" fillId="10" borderId="12" xfId="0" applyNumberFormat="1" applyFont="1" applyFill="1" applyBorder="1" applyAlignment="1">
      <alignment horizontal="right"/>
    </xf>
    <xf numFmtId="166" fontId="8" fillId="10" borderId="12" xfId="0" applyNumberFormat="1" applyFont="1" applyFill="1" applyBorder="1" applyAlignment="1">
      <alignment horizontal="right"/>
    </xf>
    <xf numFmtId="0" fontId="8" fillId="10" borderId="12" xfId="0" applyFont="1" applyFill="1" applyBorder="1" applyAlignment="1">
      <alignment horizontal="center"/>
    </xf>
    <xf numFmtId="0" fontId="8" fillId="10" borderId="11" xfId="0" applyFont="1" applyFill="1" applyBorder="1"/>
    <xf numFmtId="166" fontId="8" fillId="0" borderId="12" xfId="0" applyNumberFormat="1" applyFont="1" applyBorder="1" applyAlignment="1">
      <alignment horizontal="right"/>
    </xf>
    <xf numFmtId="165" fontId="6" fillId="0" borderId="12" xfId="0" applyNumberFormat="1" applyFont="1" applyBorder="1" applyAlignment="1">
      <alignment horizontal="right"/>
    </xf>
    <xf numFmtId="165" fontId="6" fillId="30" borderId="12" xfId="0" applyNumberFormat="1" applyFont="1" applyFill="1" applyBorder="1" applyAlignment="1">
      <alignment horizontal="right"/>
    </xf>
    <xf numFmtId="166" fontId="6" fillId="30" borderId="12" xfId="0" applyNumberFormat="1" applyFont="1" applyFill="1" applyBorder="1" applyAlignment="1">
      <alignment horizontal="right"/>
    </xf>
    <xf numFmtId="165" fontId="9" fillId="0" borderId="2" xfId="0" applyNumberFormat="1" applyFont="1" applyBorder="1" applyAlignment="1">
      <alignment horizontal="right"/>
    </xf>
    <xf numFmtId="0" fontId="9" fillId="2" borderId="2" xfId="0" applyFont="1" applyFill="1" applyBorder="1" applyAlignment="1">
      <alignment horizontal="center"/>
    </xf>
    <xf numFmtId="0" fontId="9" fillId="0" borderId="1" xfId="0" quotePrefix="1" applyFont="1" applyBorder="1"/>
    <xf numFmtId="165" fontId="24" fillId="2" borderId="16" xfId="0" applyNumberFormat="1" applyFont="1" applyFill="1" applyBorder="1" applyAlignment="1">
      <alignment horizontal="right"/>
    </xf>
    <xf numFmtId="166" fontId="24" fillId="24" borderId="16" xfId="0" applyNumberFormat="1" applyFont="1" applyFill="1" applyBorder="1" applyAlignment="1">
      <alignment horizontal="right"/>
    </xf>
    <xf numFmtId="166" fontId="24" fillId="2" borderId="16" xfId="0" applyNumberFormat="1" applyFont="1" applyFill="1" applyBorder="1" applyAlignment="1">
      <alignment horizontal="right"/>
    </xf>
    <xf numFmtId="164" fontId="24" fillId="2" borderId="16" xfId="0" applyNumberFormat="1" applyFont="1" applyFill="1" applyBorder="1" applyAlignment="1">
      <alignment horizontal="center"/>
    </xf>
    <xf numFmtId="0" fontId="3" fillId="2" borderId="16" xfId="0" applyFont="1" applyFill="1" applyBorder="1"/>
    <xf numFmtId="0" fontId="3" fillId="2" borderId="15" xfId="0" applyFont="1" applyFill="1" applyBorder="1"/>
    <xf numFmtId="0" fontId="24" fillId="2" borderId="15" xfId="0" quotePrefix="1" applyFont="1" applyFill="1" applyBorder="1"/>
    <xf numFmtId="164" fontId="3" fillId="2" borderId="15" xfId="0" applyNumberFormat="1" applyFont="1" applyFill="1" applyBorder="1"/>
    <xf numFmtId="46" fontId="3" fillId="2" borderId="25" xfId="0" applyNumberFormat="1" applyFont="1" applyFill="1" applyBorder="1"/>
    <xf numFmtId="165" fontId="3" fillId="0" borderId="12" xfId="0" applyNumberFormat="1" applyFont="1" applyBorder="1"/>
    <xf numFmtId="165" fontId="3" fillId="0" borderId="13" xfId="0" applyNumberFormat="1" applyFont="1" applyBorder="1"/>
    <xf numFmtId="166" fontId="3" fillId="0" borderId="12" xfId="0" applyNumberFormat="1" applyFont="1" applyBorder="1"/>
    <xf numFmtId="0" fontId="3" fillId="23" borderId="12" xfId="0" applyFont="1" applyFill="1" applyBorder="1"/>
    <xf numFmtId="0" fontId="3" fillId="23" borderId="11" xfId="0" applyFont="1" applyFill="1" applyBorder="1"/>
    <xf numFmtId="0" fontId="41" fillId="23" borderId="11" xfId="0" quotePrefix="1" applyFont="1" applyFill="1" applyBorder="1"/>
    <xf numFmtId="0" fontId="24" fillId="2" borderId="11" xfId="0" applyFont="1" applyFill="1" applyBorder="1"/>
    <xf numFmtId="165" fontId="24" fillId="2" borderId="13" xfId="0" applyNumberFormat="1" applyFont="1" applyFill="1" applyBorder="1" applyAlignment="1">
      <alignment horizontal="right"/>
    </xf>
    <xf numFmtId="164" fontId="24" fillId="0" borderId="12" xfId="0" applyNumberFormat="1" applyFont="1" applyBorder="1" applyAlignment="1">
      <alignment horizontal="center"/>
    </xf>
    <xf numFmtId="0" fontId="3" fillId="2" borderId="12" xfId="0" applyFont="1" applyFill="1" applyBorder="1"/>
    <xf numFmtId="0" fontId="3" fillId="2" borderId="11" xfId="0" applyFont="1" applyFill="1" applyBorder="1"/>
    <xf numFmtId="167" fontId="3" fillId="2" borderId="10" xfId="0" applyNumberFormat="1" applyFont="1" applyFill="1" applyBorder="1"/>
    <xf numFmtId="165" fontId="42" fillId="0" borderId="12" xfId="0" applyNumberFormat="1" applyFont="1" applyBorder="1"/>
    <xf numFmtId="166" fontId="42" fillId="0" borderId="12" xfId="0" applyNumberFormat="1" applyFont="1" applyBorder="1"/>
    <xf numFmtId="0" fontId="42" fillId="2" borderId="12" xfId="0" applyFont="1" applyFill="1" applyBorder="1"/>
    <xf numFmtId="0" fontId="42" fillId="2" borderId="11" xfId="0" applyFont="1" applyFill="1" applyBorder="1"/>
    <xf numFmtId="167" fontId="42" fillId="2" borderId="10" xfId="0" applyNumberFormat="1" applyFont="1" applyFill="1" applyBorder="1"/>
    <xf numFmtId="0" fontId="43" fillId="2" borderId="11" xfId="0" applyFont="1" applyFill="1" applyBorder="1"/>
    <xf numFmtId="164" fontId="24" fillId="0" borderId="12" xfId="0" applyNumberFormat="1" applyFont="1" applyBorder="1" applyAlignment="1">
      <alignment horizontal="center" wrapText="1"/>
    </xf>
    <xf numFmtId="165" fontId="42" fillId="2" borderId="12" xfId="0" applyNumberFormat="1" applyFont="1" applyFill="1" applyBorder="1"/>
    <xf numFmtId="166" fontId="42" fillId="2" borderId="12" xfId="0" applyNumberFormat="1" applyFont="1" applyFill="1" applyBorder="1"/>
    <xf numFmtId="165" fontId="1" fillId="2" borderId="12" xfId="0" applyNumberFormat="1" applyFont="1" applyFill="1" applyBorder="1" applyAlignment="1">
      <alignment horizontal="right"/>
    </xf>
    <xf numFmtId="165" fontId="1" fillId="2" borderId="13" xfId="0" applyNumberFormat="1" applyFont="1" applyFill="1" applyBorder="1" applyAlignment="1">
      <alignment horizontal="right"/>
    </xf>
    <xf numFmtId="164" fontId="1" fillId="2" borderId="12" xfId="0" applyNumberFormat="1" applyFont="1" applyFill="1" applyBorder="1" applyAlignment="1">
      <alignment horizontal="center"/>
    </xf>
    <xf numFmtId="0" fontId="41" fillId="2" borderId="11" xfId="0" applyFont="1" applyFill="1" applyBorder="1"/>
    <xf numFmtId="0" fontId="1" fillId="2" borderId="11" xfId="0" applyFont="1" applyFill="1" applyBorder="1"/>
    <xf numFmtId="165" fontId="3" fillId="23" borderId="12" xfId="0" applyNumberFormat="1" applyFont="1" applyFill="1" applyBorder="1"/>
    <xf numFmtId="165" fontId="3" fillId="23" borderId="13" xfId="0" applyNumberFormat="1" applyFont="1" applyFill="1" applyBorder="1"/>
    <xf numFmtId="165" fontId="1" fillId="23" borderId="12" xfId="0" applyNumberFormat="1" applyFont="1" applyFill="1" applyBorder="1" applyAlignment="1">
      <alignment horizontal="right"/>
    </xf>
    <xf numFmtId="166" fontId="1" fillId="23" borderId="12" xfId="0" applyNumberFormat="1" applyFont="1" applyFill="1" applyBorder="1"/>
    <xf numFmtId="0" fontId="1" fillId="23" borderId="12" xfId="0" applyFont="1" applyFill="1" applyBorder="1" applyAlignment="1">
      <alignment horizontal="center" wrapText="1"/>
    </xf>
    <xf numFmtId="164" fontId="3" fillId="23" borderId="11" xfId="0" applyNumberFormat="1" applyFont="1" applyFill="1" applyBorder="1"/>
    <xf numFmtId="0" fontId="1" fillId="23" borderId="11" xfId="0" applyFont="1" applyFill="1" applyBorder="1"/>
    <xf numFmtId="164" fontId="3" fillId="23" borderId="10" xfId="0" applyNumberFormat="1" applyFont="1" applyFill="1" applyBorder="1"/>
    <xf numFmtId="165" fontId="3" fillId="25" borderId="12" xfId="0" applyNumberFormat="1" applyFont="1" applyFill="1" applyBorder="1"/>
    <xf numFmtId="165" fontId="3" fillId="25" borderId="13" xfId="0" applyNumberFormat="1" applyFont="1" applyFill="1" applyBorder="1"/>
    <xf numFmtId="166" fontId="3" fillId="25" borderId="12" xfId="0" applyNumberFormat="1" applyFont="1" applyFill="1" applyBorder="1"/>
    <xf numFmtId="0" fontId="3" fillId="25" borderId="12" xfId="0" applyFont="1" applyFill="1" applyBorder="1"/>
    <xf numFmtId="0" fontId="3" fillId="25" borderId="11" xfId="0" applyFont="1" applyFill="1" applyBorder="1"/>
    <xf numFmtId="164" fontId="3" fillId="25" borderId="11" xfId="0" applyNumberFormat="1" applyFont="1" applyFill="1" applyBorder="1"/>
    <xf numFmtId="164" fontId="1" fillId="25" borderId="10" xfId="0" applyNumberFormat="1" applyFont="1" applyFill="1" applyBorder="1"/>
    <xf numFmtId="0" fontId="9" fillId="0" borderId="12" xfId="0" applyFont="1" applyBorder="1" applyAlignment="1">
      <alignment horizontal="center"/>
    </xf>
    <xf numFmtId="0" fontId="9" fillId="0" borderId="11" xfId="0" quotePrefix="1" applyFont="1" applyBorder="1"/>
    <xf numFmtId="164" fontId="9" fillId="0" borderId="11" xfId="0" quotePrefix="1" applyNumberFormat="1" applyFont="1" applyBorder="1"/>
    <xf numFmtId="164" fontId="17" fillId="2" borderId="11" xfId="0" applyNumberFormat="1" applyFont="1" applyFill="1" applyBorder="1"/>
    <xf numFmtId="165" fontId="8" fillId="24" borderId="12" xfId="0" applyNumberFormat="1" applyFont="1" applyFill="1" applyBorder="1" applyAlignment="1">
      <alignment horizontal="right"/>
    </xf>
    <xf numFmtId="0" fontId="19" fillId="2" borderId="11" xfId="0" quotePrefix="1" applyFont="1" applyFill="1" applyBorder="1"/>
    <xf numFmtId="165" fontId="17" fillId="26" borderId="12" xfId="0" applyNumberFormat="1" applyFont="1" applyFill="1" applyBorder="1" applyAlignment="1">
      <alignment horizontal="right"/>
    </xf>
    <xf numFmtId="166" fontId="17" fillId="26" borderId="12" xfId="0" applyNumberFormat="1" applyFont="1" applyFill="1" applyBorder="1" applyAlignment="1">
      <alignment horizontal="right"/>
    </xf>
    <xf numFmtId="0" fontId="17" fillId="26" borderId="12" xfId="0" applyFont="1" applyFill="1" applyBorder="1" applyAlignment="1">
      <alignment horizontal="center" wrapText="1"/>
    </xf>
    <xf numFmtId="0" fontId="17" fillId="26" borderId="11" xfId="0" applyFont="1" applyFill="1" applyBorder="1"/>
    <xf numFmtId="165" fontId="8" fillId="2" borderId="16" xfId="0" applyNumberFormat="1" applyFont="1" applyFill="1" applyBorder="1" applyAlignment="1">
      <alignment horizontal="right"/>
    </xf>
    <xf numFmtId="165" fontId="8" fillId="2" borderId="27" xfId="0" applyNumberFormat="1" applyFont="1" applyFill="1" applyBorder="1" applyAlignment="1">
      <alignment horizontal="right"/>
    </xf>
    <xf numFmtId="165" fontId="17" fillId="2" borderId="12" xfId="0" applyNumberFormat="1" applyFont="1" applyFill="1" applyBorder="1" applyAlignment="1">
      <alignment horizontal="right"/>
    </xf>
    <xf numFmtId="165" fontId="17" fillId="2" borderId="13" xfId="0" applyNumberFormat="1" applyFont="1" applyFill="1" applyBorder="1" applyAlignment="1">
      <alignment horizontal="right"/>
    </xf>
    <xf numFmtId="0" fontId="8" fillId="2" borderId="15" xfId="0" applyFont="1" applyFill="1" applyBorder="1"/>
    <xf numFmtId="0" fontId="7" fillId="2" borderId="11" xfId="0" quotePrefix="1" applyFont="1" applyFill="1" applyBorder="1"/>
    <xf numFmtId="165" fontId="6" fillId="2" borderId="16" xfId="0" applyNumberFormat="1" applyFont="1" applyFill="1" applyBorder="1" applyAlignment="1">
      <alignment horizontal="right"/>
    </xf>
    <xf numFmtId="165" fontId="6" fillId="2" borderId="27" xfId="0" applyNumberFormat="1" applyFont="1" applyFill="1" applyBorder="1" applyAlignment="1">
      <alignment horizontal="right"/>
    </xf>
    <xf numFmtId="165" fontId="6" fillId="24" borderId="12" xfId="0" applyNumberFormat="1" applyFont="1" applyFill="1" applyBorder="1" applyAlignment="1">
      <alignment horizontal="right"/>
    </xf>
    <xf numFmtId="165" fontId="6" fillId="23" borderId="12" xfId="0" applyNumberFormat="1" applyFont="1" applyFill="1" applyBorder="1" applyAlignment="1">
      <alignment horizontal="right"/>
    </xf>
    <xf numFmtId="166" fontId="6" fillId="23" borderId="12" xfId="0" applyNumberFormat="1" applyFont="1" applyFill="1" applyBorder="1" applyAlignment="1">
      <alignment horizontal="right"/>
    </xf>
    <xf numFmtId="164" fontId="9" fillId="0" borderId="2" xfId="0" applyNumberFormat="1" applyFont="1" applyBorder="1" applyAlignment="1">
      <alignment horizontal="center"/>
    </xf>
    <xf numFmtId="165" fontId="6" fillId="12" borderId="12" xfId="0" applyNumberFormat="1" applyFont="1" applyFill="1" applyBorder="1" applyAlignment="1">
      <alignment horizontal="right"/>
    </xf>
    <xf numFmtId="166" fontId="6" fillId="12" borderId="12" xfId="0" applyNumberFormat="1" applyFont="1" applyFill="1" applyBorder="1" applyAlignment="1">
      <alignment horizontal="right"/>
    </xf>
    <xf numFmtId="165" fontId="2" fillId="22" borderId="15" xfId="0" applyNumberFormat="1" applyFont="1" applyFill="1" applyBorder="1"/>
    <xf numFmtId="166" fontId="2" fillId="22" borderId="15" xfId="0" applyNumberFormat="1" applyFont="1" applyFill="1" applyBorder="1"/>
    <xf numFmtId="164" fontId="2" fillId="22" borderId="15" xfId="0" applyNumberFormat="1" applyFont="1" applyFill="1" applyBorder="1"/>
    <xf numFmtId="0" fontId="2" fillId="22" borderId="15" xfId="0" applyFont="1" applyFill="1" applyBorder="1"/>
    <xf numFmtId="167" fontId="2" fillId="22" borderId="15" xfId="0" applyNumberFormat="1" applyFont="1" applyFill="1" applyBorder="1"/>
    <xf numFmtId="164" fontId="6" fillId="22" borderId="25" xfId="0" applyNumberFormat="1" applyFont="1" applyFill="1" applyBorder="1"/>
    <xf numFmtId="165" fontId="8" fillId="2" borderId="14" xfId="0" applyNumberFormat="1" applyFont="1" applyFill="1" applyBorder="1" applyAlignment="1">
      <alignment horizontal="right"/>
    </xf>
    <xf numFmtId="0" fontId="9" fillId="2" borderId="12" xfId="0" applyFont="1" applyFill="1" applyBorder="1" applyAlignment="1">
      <alignment horizontal="center"/>
    </xf>
    <xf numFmtId="165" fontId="8" fillId="20" borderId="12" xfId="0" applyNumberFormat="1" applyFont="1" applyFill="1" applyBorder="1" applyAlignment="1">
      <alignment horizontal="right"/>
    </xf>
    <xf numFmtId="165" fontId="8" fillId="20" borderId="13" xfId="0" applyNumberFormat="1" applyFont="1" applyFill="1" applyBorder="1" applyAlignment="1">
      <alignment horizontal="right"/>
    </xf>
    <xf numFmtId="165" fontId="9" fillId="20" borderId="12" xfId="0" applyNumberFormat="1" applyFont="1" applyFill="1" applyBorder="1" applyAlignment="1">
      <alignment horizontal="right"/>
    </xf>
    <xf numFmtId="165" fontId="9" fillId="20" borderId="13" xfId="0" applyNumberFormat="1" applyFont="1" applyFill="1" applyBorder="1" applyAlignment="1">
      <alignment horizontal="right"/>
    </xf>
    <xf numFmtId="0" fontId="9" fillId="20" borderId="12" xfId="0" applyFont="1" applyFill="1" applyBorder="1" applyAlignment="1">
      <alignment horizontal="center"/>
    </xf>
    <xf numFmtId="0" fontId="9" fillId="20" borderId="11" xfId="0" applyFont="1" applyFill="1" applyBorder="1"/>
    <xf numFmtId="165" fontId="6" fillId="20" borderId="12" xfId="0" applyNumberFormat="1" applyFont="1" applyFill="1" applyBorder="1" applyAlignment="1">
      <alignment horizontal="right"/>
    </xf>
    <xf numFmtId="165" fontId="6" fillId="20" borderId="13" xfId="0" applyNumberFormat="1" applyFont="1" applyFill="1" applyBorder="1" applyAlignment="1">
      <alignment horizontal="right"/>
    </xf>
    <xf numFmtId="0" fontId="7" fillId="20" borderId="11" xfId="0" applyFont="1" applyFill="1" applyBorder="1"/>
    <xf numFmtId="165" fontId="8" fillId="16" borderId="12" xfId="0" applyNumberFormat="1" applyFont="1" applyFill="1" applyBorder="1" applyAlignment="1">
      <alignment horizontal="right"/>
    </xf>
    <xf numFmtId="165" fontId="8" fillId="16" borderId="13" xfId="0" applyNumberFormat="1" applyFont="1" applyFill="1" applyBorder="1" applyAlignment="1">
      <alignment horizontal="right"/>
    </xf>
    <xf numFmtId="165" fontId="9" fillId="16" borderId="12" xfId="0" applyNumberFormat="1" applyFont="1" applyFill="1" applyBorder="1" applyAlignment="1">
      <alignment horizontal="right"/>
    </xf>
    <xf numFmtId="165" fontId="9" fillId="16" borderId="13" xfId="0" applyNumberFormat="1" applyFont="1" applyFill="1" applyBorder="1" applyAlignment="1">
      <alignment horizontal="right"/>
    </xf>
    <xf numFmtId="0" fontId="9" fillId="16" borderId="12" xfId="0" applyFont="1" applyFill="1" applyBorder="1" applyAlignment="1">
      <alignment horizontal="center"/>
    </xf>
    <xf numFmtId="0" fontId="9" fillId="16" borderId="11" xfId="0" applyFont="1" applyFill="1" applyBorder="1"/>
    <xf numFmtId="165" fontId="6" fillId="16" borderId="12" xfId="0" applyNumberFormat="1" applyFont="1" applyFill="1" applyBorder="1" applyAlignment="1">
      <alignment horizontal="right"/>
    </xf>
    <xf numFmtId="165" fontId="6" fillId="16" borderId="13" xfId="0" applyNumberFormat="1" applyFont="1" applyFill="1" applyBorder="1" applyAlignment="1">
      <alignment horizontal="right"/>
    </xf>
    <xf numFmtId="0" fontId="7" fillId="16" borderId="11" xfId="0" applyFont="1" applyFill="1" applyBorder="1"/>
    <xf numFmtId="165" fontId="6" fillId="13" borderId="2" xfId="0" applyNumberFormat="1" applyFont="1" applyFill="1" applyBorder="1" applyAlignment="1">
      <alignment horizontal="right"/>
    </xf>
    <xf numFmtId="165" fontId="6" fillId="13" borderId="14" xfId="0" applyNumberFormat="1" applyFont="1" applyFill="1" applyBorder="1" applyAlignment="1">
      <alignment horizontal="right"/>
    </xf>
    <xf numFmtId="0" fontId="44" fillId="0" borderId="1" xfId="0" applyFont="1" applyBorder="1"/>
    <xf numFmtId="165" fontId="8" fillId="12" borderId="12" xfId="0" applyNumberFormat="1" applyFont="1" applyFill="1" applyBorder="1" applyAlignment="1">
      <alignment horizontal="right"/>
    </xf>
    <xf numFmtId="165" fontId="8" fillId="12" borderId="13" xfId="0" applyNumberFormat="1" applyFont="1" applyFill="1" applyBorder="1" applyAlignment="1">
      <alignment horizontal="right"/>
    </xf>
    <xf numFmtId="165" fontId="9" fillId="12" borderId="12" xfId="0" applyNumberFormat="1" applyFont="1" applyFill="1" applyBorder="1" applyAlignment="1">
      <alignment horizontal="right"/>
    </xf>
    <xf numFmtId="165" fontId="9" fillId="12" borderId="13" xfId="0" applyNumberFormat="1" applyFont="1" applyFill="1" applyBorder="1" applyAlignment="1">
      <alignment horizontal="right"/>
    </xf>
    <xf numFmtId="0" fontId="9" fillId="12" borderId="12" xfId="0" applyFont="1" applyFill="1" applyBorder="1" applyAlignment="1">
      <alignment horizontal="center"/>
    </xf>
    <xf numFmtId="0" fontId="9" fillId="12" borderId="11" xfId="0" applyFont="1" applyFill="1" applyBorder="1"/>
    <xf numFmtId="165" fontId="6" fillId="12" borderId="13" xfId="0" applyNumberFormat="1" applyFont="1" applyFill="1" applyBorder="1" applyAlignment="1">
      <alignment horizontal="right"/>
    </xf>
    <xf numFmtId="165" fontId="6" fillId="7" borderId="14" xfId="0" applyNumberFormat="1" applyFont="1" applyFill="1" applyBorder="1" applyAlignment="1">
      <alignment horizontal="center" wrapText="1"/>
    </xf>
    <xf numFmtId="0" fontId="6" fillId="5" borderId="2" xfId="0" applyFont="1" applyFill="1" applyBorder="1" applyAlignment="1">
      <alignment horizontal="center"/>
    </xf>
    <xf numFmtId="165" fontId="6" fillId="7" borderId="8" xfId="0" applyNumberFormat="1" applyFont="1" applyFill="1" applyBorder="1" applyAlignment="1">
      <alignment horizontal="center" wrapText="1"/>
    </xf>
    <xf numFmtId="0" fontId="6" fillId="6" borderId="1" xfId="0" applyFont="1" applyFill="1" applyBorder="1" applyAlignment="1">
      <alignment horizontal="center"/>
    </xf>
    <xf numFmtId="0" fontId="4" fillId="5" borderId="17" xfId="0" applyFont="1" applyFill="1" applyBorder="1" applyAlignment="1">
      <alignment horizontal="center"/>
    </xf>
    <xf numFmtId="0" fontId="5" fillId="0" borderId="17" xfId="0" applyFont="1" applyBorder="1"/>
    <xf numFmtId="0" fontId="4" fillId="5" borderId="28" xfId="0" applyFont="1" applyFill="1" applyBorder="1" applyAlignment="1">
      <alignment horizontal="center" vertical="top"/>
    </xf>
    <xf numFmtId="164" fontId="4" fillId="3" borderId="8" xfId="0" applyNumberFormat="1" applyFont="1" applyFill="1" applyBorder="1" applyAlignment="1">
      <alignment horizontal="center"/>
    </xf>
    <xf numFmtId="165" fontId="2" fillId="2" borderId="1" xfId="0" applyNumberFormat="1" applyFont="1" applyFill="1" applyBorder="1"/>
    <xf numFmtId="167" fontId="1" fillId="2" borderId="11" xfId="0" applyNumberFormat="1" applyFont="1" applyFill="1" applyBorder="1" applyAlignment="1">
      <alignment horizontal="center"/>
    </xf>
    <xf numFmtId="164" fontId="1" fillId="2" borderId="11" xfId="0" applyNumberFormat="1" applyFont="1" applyFill="1" applyBorder="1" applyAlignment="1">
      <alignment horizontal="center"/>
    </xf>
    <xf numFmtId="166" fontId="8" fillId="0" borderId="16" xfId="0" applyNumberFormat="1" applyFont="1" applyBorder="1" applyAlignment="1">
      <alignment horizontal="right"/>
    </xf>
    <xf numFmtId="0" fontId="8" fillId="0" borderId="16" xfId="0" applyFont="1" applyBorder="1" applyAlignment="1">
      <alignment horizontal="center"/>
    </xf>
    <xf numFmtId="164" fontId="2" fillId="0" borderId="25" xfId="0" applyNumberFormat="1" applyFont="1" applyBorder="1"/>
    <xf numFmtId="0" fontId="4" fillId="5" borderId="17" xfId="0" applyFont="1" applyFill="1" applyBorder="1" applyAlignment="1">
      <alignment horizontal="center" vertical="top"/>
    </xf>
    <xf numFmtId="165" fontId="42" fillId="0" borderId="2" xfId="0" applyNumberFormat="1" applyFont="1" applyBorder="1"/>
    <xf numFmtId="165" fontId="42" fillId="0" borderId="14" xfId="0" applyNumberFormat="1" applyFont="1" applyBorder="1"/>
    <xf numFmtId="0" fontId="42" fillId="0" borderId="2" xfId="0" applyFont="1" applyBorder="1"/>
    <xf numFmtId="0" fontId="42" fillId="0" borderId="1" xfId="0" applyFont="1" applyBorder="1"/>
    <xf numFmtId="164" fontId="42" fillId="0" borderId="1" xfId="0" applyNumberFormat="1" applyFont="1" applyBorder="1"/>
    <xf numFmtId="164" fontId="42" fillId="0" borderId="8" xfId="0" applyNumberFormat="1" applyFont="1" applyBorder="1"/>
    <xf numFmtId="0" fontId="6" fillId="5" borderId="17" xfId="0" applyFont="1" applyFill="1" applyBorder="1" applyAlignment="1">
      <alignment horizontal="center"/>
    </xf>
    <xf numFmtId="0" fontId="6" fillId="5" borderId="28" xfId="0" applyFont="1" applyFill="1" applyBorder="1" applyAlignment="1">
      <alignment horizontal="center"/>
    </xf>
    <xf numFmtId="164" fontId="7" fillId="2" borderId="11" xfId="0" applyNumberFormat="1" applyFont="1" applyFill="1" applyBorder="1"/>
    <xf numFmtId="0" fontId="8" fillId="2" borderId="15" xfId="0" quotePrefix="1" applyFont="1" applyFill="1" applyBorder="1"/>
    <xf numFmtId="46" fontId="2" fillId="2" borderId="25" xfId="0" applyNumberFormat="1" applyFont="1" applyFill="1" applyBorder="1"/>
    <xf numFmtId="165" fontId="1" fillId="25" borderId="12" xfId="0" applyNumberFormat="1" applyFont="1" applyFill="1" applyBorder="1"/>
    <xf numFmtId="166" fontId="1" fillId="25" borderId="12" xfId="0" applyNumberFormat="1" applyFont="1" applyFill="1" applyBorder="1"/>
    <xf numFmtId="0" fontId="24" fillId="0" borderId="12" xfId="0" applyFont="1" applyBorder="1" applyAlignment="1">
      <alignment horizontal="center"/>
    </xf>
    <xf numFmtId="164" fontId="24" fillId="0" borderId="11" xfId="0" quotePrefix="1" applyNumberFormat="1" applyFont="1" applyBorder="1"/>
    <xf numFmtId="164" fontId="1" fillId="2" borderId="11" xfId="0" applyNumberFormat="1" applyFont="1" applyFill="1" applyBorder="1"/>
    <xf numFmtId="164" fontId="3" fillId="2" borderId="10" xfId="0" applyNumberFormat="1" applyFont="1" applyFill="1" applyBorder="1"/>
    <xf numFmtId="165" fontId="8" fillId="24" borderId="12" xfId="0" applyNumberFormat="1" applyFont="1" applyFill="1" applyBorder="1"/>
    <xf numFmtId="165" fontId="45" fillId="0" borderId="26" xfId="0" applyNumberFormat="1" applyFont="1" applyBorder="1" applyAlignment="1">
      <alignment horizontal="center"/>
    </xf>
    <xf numFmtId="164" fontId="1" fillId="0" borderId="12" xfId="0" applyNumberFormat="1" applyFont="1" applyBorder="1" applyAlignment="1">
      <alignment horizontal="center" wrapText="1"/>
    </xf>
    <xf numFmtId="165" fontId="1" fillId="26" borderId="12" xfId="0" applyNumberFormat="1" applyFont="1" applyFill="1" applyBorder="1" applyAlignment="1">
      <alignment horizontal="right"/>
    </xf>
    <xf numFmtId="166" fontId="1" fillId="26" borderId="12" xfId="0" applyNumberFormat="1" applyFont="1" applyFill="1" applyBorder="1" applyAlignment="1">
      <alignment horizontal="right"/>
    </xf>
    <xf numFmtId="0" fontId="1" fillId="26" borderId="12" xfId="0" applyFont="1" applyFill="1" applyBorder="1" applyAlignment="1">
      <alignment horizontal="center" wrapText="1"/>
    </xf>
    <xf numFmtId="0" fontId="3" fillId="26" borderId="12" xfId="0" applyFont="1" applyFill="1" applyBorder="1"/>
    <xf numFmtId="0" fontId="3" fillId="26" borderId="11" xfId="0" applyFont="1" applyFill="1" applyBorder="1"/>
    <xf numFmtId="0" fontId="1" fillId="26" borderId="11" xfId="0" applyFont="1" applyFill="1" applyBorder="1"/>
    <xf numFmtId="164" fontId="3" fillId="26" borderId="11" xfId="0" applyNumberFormat="1" applyFont="1" applyFill="1" applyBorder="1"/>
    <xf numFmtId="164" fontId="3" fillId="26" borderId="10" xfId="0" applyNumberFormat="1" applyFont="1" applyFill="1" applyBorder="1"/>
    <xf numFmtId="0" fontId="42" fillId="0" borderId="12" xfId="0" applyFont="1" applyBorder="1"/>
    <xf numFmtId="0" fontId="42" fillId="0" borderId="11" xfId="0" applyFont="1" applyBorder="1"/>
    <xf numFmtId="164" fontId="42" fillId="0" borderId="11" xfId="0" applyNumberFormat="1" applyFont="1" applyBorder="1"/>
    <xf numFmtId="164" fontId="42" fillId="0" borderId="10" xfId="0" applyNumberFormat="1" applyFont="1" applyBorder="1"/>
    <xf numFmtId="0" fontId="42" fillId="23" borderId="12" xfId="0" applyFont="1" applyFill="1" applyBorder="1"/>
    <xf numFmtId="0" fontId="42" fillId="23" borderId="11" xfId="0" applyFont="1" applyFill="1" applyBorder="1"/>
    <xf numFmtId="164" fontId="42" fillId="2" borderId="11" xfId="0" applyNumberFormat="1" applyFont="1" applyFill="1" applyBorder="1"/>
    <xf numFmtId="164" fontId="42" fillId="2" borderId="10" xfId="0" applyNumberFormat="1" applyFont="1" applyFill="1" applyBorder="1"/>
    <xf numFmtId="0" fontId="42" fillId="26" borderId="12" xfId="0" applyFont="1" applyFill="1" applyBorder="1"/>
    <xf numFmtId="0" fontId="42" fillId="26" borderId="11" xfId="0" applyFont="1" applyFill="1" applyBorder="1"/>
    <xf numFmtId="164" fontId="42" fillId="26" borderId="11" xfId="0" applyNumberFormat="1" applyFont="1" applyFill="1" applyBorder="1"/>
    <xf numFmtId="164" fontId="42" fillId="26" borderId="10" xfId="0" applyNumberFormat="1" applyFont="1" applyFill="1" applyBorder="1"/>
    <xf numFmtId="164" fontId="19" fillId="23" borderId="11" xfId="0" quotePrefix="1" applyNumberFormat="1" applyFont="1" applyFill="1" applyBorder="1"/>
    <xf numFmtId="164" fontId="17" fillId="12" borderId="11" xfId="0" applyNumberFormat="1" applyFont="1" applyFill="1" applyBorder="1"/>
    <xf numFmtId="164" fontId="6" fillId="37" borderId="11" xfId="0" applyNumberFormat="1" applyFont="1" applyFill="1" applyBorder="1"/>
    <xf numFmtId="166" fontId="6" fillId="37" borderId="12" xfId="0" applyNumberFormat="1" applyFont="1" applyFill="1" applyBorder="1" applyAlignment="1">
      <alignment horizontal="right"/>
    </xf>
    <xf numFmtId="166" fontId="2" fillId="36" borderId="17" xfId="0" applyNumberFormat="1" applyFont="1" applyFill="1" applyBorder="1"/>
    <xf numFmtId="164" fontId="2" fillId="36" borderId="17" xfId="0" applyNumberFormat="1" applyFont="1" applyFill="1" applyBorder="1"/>
    <xf numFmtId="0" fontId="2" fillId="36" borderId="17" xfId="0" applyFont="1" applyFill="1" applyBorder="1"/>
    <xf numFmtId="0" fontId="2" fillId="36" borderId="0" xfId="0" applyFont="1" applyFill="1"/>
    <xf numFmtId="164" fontId="2" fillId="36" borderId="0" xfId="0" applyNumberFormat="1" applyFont="1" applyFill="1"/>
    <xf numFmtId="164" fontId="6" fillId="36" borderId="28" xfId="0" applyNumberFormat="1" applyFont="1" applyFill="1" applyBorder="1"/>
    <xf numFmtId="166" fontId="2" fillId="35" borderId="2" xfId="0" applyNumberFormat="1" applyFont="1" applyFill="1" applyBorder="1"/>
    <xf numFmtId="164" fontId="2" fillId="35" borderId="2" xfId="0" applyNumberFormat="1" applyFont="1" applyFill="1" applyBorder="1"/>
    <xf numFmtId="0" fontId="2" fillId="35" borderId="2" xfId="0" applyFont="1" applyFill="1" applyBorder="1"/>
    <xf numFmtId="0" fontId="2" fillId="35" borderId="1" xfId="0" applyFont="1" applyFill="1" applyBorder="1"/>
    <xf numFmtId="164" fontId="2" fillId="35" borderId="1" xfId="0" applyNumberFormat="1" applyFont="1" applyFill="1" applyBorder="1"/>
    <xf numFmtId="164" fontId="6" fillId="35" borderId="8" xfId="0" applyNumberFormat="1" applyFont="1" applyFill="1" applyBorder="1"/>
    <xf numFmtId="164" fontId="2" fillId="23" borderId="12" xfId="0" applyNumberFormat="1" applyFont="1" applyFill="1" applyBorder="1"/>
    <xf numFmtId="164" fontId="6" fillId="26" borderId="12" xfId="0" applyNumberFormat="1" applyFont="1" applyFill="1" applyBorder="1" applyAlignment="1">
      <alignment horizontal="center" wrapText="1"/>
    </xf>
    <xf numFmtId="164" fontId="2" fillId="32" borderId="12" xfId="0" applyNumberFormat="1" applyFont="1" applyFill="1" applyBorder="1"/>
    <xf numFmtId="164" fontId="2" fillId="10" borderId="2" xfId="0" applyNumberFormat="1" applyFont="1" applyFill="1" applyBorder="1"/>
    <xf numFmtId="164" fontId="6" fillId="30" borderId="12" xfId="0" applyNumberFormat="1" applyFont="1" applyFill="1" applyBorder="1" applyAlignment="1">
      <alignment horizontal="center" wrapText="1"/>
    </xf>
    <xf numFmtId="164" fontId="9" fillId="2" borderId="2" xfId="0" applyNumberFormat="1" applyFont="1" applyFill="1" applyBorder="1" applyAlignment="1">
      <alignment horizontal="center"/>
    </xf>
    <xf numFmtId="164" fontId="6" fillId="23" borderId="12" xfId="0" applyNumberFormat="1" applyFont="1" applyFill="1" applyBorder="1" applyAlignment="1">
      <alignment horizontal="center" wrapText="1"/>
    </xf>
    <xf numFmtId="164" fontId="2" fillId="25" borderId="12" xfId="0" applyNumberFormat="1" applyFont="1" applyFill="1" applyBorder="1"/>
    <xf numFmtId="164" fontId="42" fillId="0" borderId="12" xfId="0" applyNumberFormat="1" applyFont="1" applyBorder="1"/>
    <xf numFmtId="165" fontId="9" fillId="24" borderId="12" xfId="0" applyNumberFormat="1" applyFont="1" applyFill="1" applyBorder="1" applyAlignment="1">
      <alignment horizontal="right"/>
    </xf>
    <xf numFmtId="165" fontId="42" fillId="26" borderId="12" xfId="0" applyNumberFormat="1" applyFont="1" applyFill="1" applyBorder="1"/>
    <xf numFmtId="164" fontId="17" fillId="26" borderId="12" xfId="0" applyNumberFormat="1" applyFont="1" applyFill="1" applyBorder="1" applyAlignment="1">
      <alignment horizontal="center" wrapText="1"/>
    </xf>
    <xf numFmtId="164" fontId="17" fillId="26" borderId="11" xfId="0" applyNumberFormat="1" applyFont="1" applyFill="1" applyBorder="1"/>
    <xf numFmtId="165" fontId="9" fillId="2" borderId="16" xfId="0" applyNumberFormat="1" applyFont="1" applyFill="1" applyBorder="1" applyAlignment="1">
      <alignment horizontal="right"/>
    </xf>
    <xf numFmtId="165" fontId="9" fillId="2" borderId="27" xfId="0" applyNumberFormat="1" applyFont="1" applyFill="1" applyBorder="1" applyAlignment="1">
      <alignment horizontal="right"/>
    </xf>
    <xf numFmtId="164" fontId="6" fillId="26" borderId="11" xfId="0" applyNumberFormat="1" applyFont="1" applyFill="1" applyBorder="1"/>
    <xf numFmtId="164" fontId="8" fillId="0" borderId="12" xfId="0" applyNumberFormat="1" applyFont="1" applyBorder="1"/>
    <xf numFmtId="164" fontId="6" fillId="26" borderId="12" xfId="0" applyNumberFormat="1" applyFont="1" applyFill="1" applyBorder="1" applyAlignment="1">
      <alignment horizontal="center"/>
    </xf>
    <xf numFmtId="0" fontId="6" fillId="17" borderId="10" xfId="0" applyFont="1" applyFill="1" applyBorder="1"/>
    <xf numFmtId="0" fontId="2" fillId="10" borderId="10" xfId="0" applyFont="1" applyFill="1" applyBorder="1"/>
    <xf numFmtId="0" fontId="2" fillId="10" borderId="1" xfId="0" applyFont="1" applyFill="1" applyBorder="1"/>
    <xf numFmtId="0" fontId="5" fillId="0" borderId="28" xfId="0" applyFont="1" applyBorder="1"/>
    <xf numFmtId="164" fontId="4" fillId="4" borderId="6" xfId="0" applyNumberFormat="1" applyFont="1" applyFill="1" applyBorder="1" applyAlignment="1">
      <alignment horizontal="center"/>
    </xf>
    <xf numFmtId="164" fontId="4" fillId="3" borderId="6" xfId="0" applyNumberFormat="1" applyFont="1" applyFill="1" applyBorder="1" applyAlignment="1">
      <alignment horizontal="center"/>
    </xf>
    <xf numFmtId="0" fontId="6" fillId="6" borderId="0" xfId="0" applyFont="1" applyFill="1" applyAlignment="1">
      <alignment horizontal="center"/>
    </xf>
    <xf numFmtId="0" fontId="2" fillId="5" borderId="5" xfId="0" applyFont="1" applyFill="1" applyBorder="1"/>
    <xf numFmtId="0" fontId="4" fillId="5" borderId="3" xfId="0" applyFont="1" applyFill="1" applyBorder="1" applyAlignment="1">
      <alignment horizontal="center" vertical="center"/>
    </xf>
    <xf numFmtId="165" fontId="9" fillId="0" borderId="2" xfId="0" applyNumberFormat="1" applyFont="1" applyBorder="1"/>
    <xf numFmtId="165" fontId="9" fillId="0" borderId="14" xfId="0" applyNumberFormat="1" applyFont="1" applyBorder="1"/>
    <xf numFmtId="0" fontId="9" fillId="0" borderId="2" xfId="0" applyFont="1" applyBorder="1"/>
    <xf numFmtId="164" fontId="9" fillId="0" borderId="1" xfId="0" applyNumberFormat="1" applyFont="1" applyBorder="1"/>
    <xf numFmtId="164" fontId="9" fillId="0" borderId="8" xfId="0" applyNumberFormat="1" applyFont="1" applyBorder="1"/>
    <xf numFmtId="165" fontId="24" fillId="2" borderId="12" xfId="0" applyNumberFormat="1" applyFont="1" applyFill="1" applyBorder="1"/>
    <xf numFmtId="165" fontId="24" fillId="2" borderId="13" xfId="0" applyNumberFormat="1" applyFont="1" applyFill="1" applyBorder="1"/>
    <xf numFmtId="0" fontId="24" fillId="2" borderId="16" xfId="0" applyFont="1" applyFill="1" applyBorder="1"/>
    <xf numFmtId="0" fontId="24" fillId="2" borderId="15" xfId="0" applyFont="1" applyFill="1" applyBorder="1"/>
    <xf numFmtId="164" fontId="24" fillId="2" borderId="15" xfId="0" applyNumberFormat="1" applyFont="1" applyFill="1" applyBorder="1"/>
    <xf numFmtId="46" fontId="24" fillId="2" borderId="25" xfId="0" applyNumberFormat="1" applyFont="1" applyFill="1" applyBorder="1"/>
    <xf numFmtId="165" fontId="24" fillId="0" borderId="12" xfId="0" applyNumberFormat="1" applyFont="1" applyBorder="1"/>
    <xf numFmtId="165" fontId="24" fillId="0" borderId="13" xfId="0" applyNumberFormat="1" applyFont="1" applyBorder="1"/>
    <xf numFmtId="166" fontId="24" fillId="0" borderId="12" xfId="0" applyNumberFormat="1" applyFont="1" applyBorder="1"/>
    <xf numFmtId="0" fontId="24" fillId="0" borderId="12" xfId="0" applyFont="1" applyBorder="1"/>
    <xf numFmtId="0" fontId="24" fillId="23" borderId="12" xfId="0" applyFont="1" applyFill="1" applyBorder="1"/>
    <xf numFmtId="0" fontId="24" fillId="23" borderId="11" xfId="0" applyFont="1" applyFill="1" applyBorder="1"/>
    <xf numFmtId="164" fontId="24" fillId="0" borderId="10" xfId="0" applyNumberFormat="1" applyFont="1" applyBorder="1"/>
    <xf numFmtId="0" fontId="24" fillId="2" borderId="12" xfId="0" applyFont="1" applyFill="1" applyBorder="1"/>
    <xf numFmtId="167" fontId="24" fillId="2" borderId="10" xfId="0" applyNumberFormat="1" applyFont="1" applyFill="1" applyBorder="1"/>
    <xf numFmtId="165" fontId="9" fillId="0" borderId="12" xfId="0" applyNumberFormat="1" applyFont="1" applyBorder="1"/>
    <xf numFmtId="166" fontId="9" fillId="0" borderId="12" xfId="0" applyNumberFormat="1" applyFont="1" applyBorder="1"/>
    <xf numFmtId="0" fontId="9" fillId="2" borderId="12" xfId="0" applyFont="1" applyFill="1" applyBorder="1"/>
    <xf numFmtId="167" fontId="9" fillId="2" borderId="10" xfId="0" applyNumberFormat="1" applyFont="1" applyFill="1" applyBorder="1"/>
    <xf numFmtId="166" fontId="24" fillId="2" borderId="12" xfId="0" applyNumberFormat="1" applyFont="1" applyFill="1" applyBorder="1"/>
    <xf numFmtId="165" fontId="24" fillId="23" borderId="12" xfId="0" applyNumberFormat="1" applyFont="1" applyFill="1" applyBorder="1"/>
    <xf numFmtId="165" fontId="24" fillId="23" borderId="13" xfId="0" applyNumberFormat="1" applyFont="1" applyFill="1" applyBorder="1"/>
    <xf numFmtId="164" fontId="24" fillId="23" borderId="11" xfId="0" applyNumberFormat="1" applyFont="1" applyFill="1" applyBorder="1"/>
    <xf numFmtId="164" fontId="24" fillId="23" borderId="10" xfId="0" applyNumberFormat="1" applyFont="1" applyFill="1" applyBorder="1"/>
    <xf numFmtId="165" fontId="24" fillId="25" borderId="12" xfId="0" applyNumberFormat="1" applyFont="1" applyFill="1" applyBorder="1"/>
    <xf numFmtId="165" fontId="24" fillId="25" borderId="13" xfId="0" applyNumberFormat="1" applyFont="1" applyFill="1" applyBorder="1"/>
    <xf numFmtId="166" fontId="24" fillId="25" borderId="12" xfId="0" applyNumberFormat="1" applyFont="1" applyFill="1" applyBorder="1"/>
    <xf numFmtId="0" fontId="24" fillId="25" borderId="12" xfId="0" applyFont="1" applyFill="1" applyBorder="1"/>
    <xf numFmtId="0" fontId="24" fillId="25" borderId="11" xfId="0" applyFont="1" applyFill="1" applyBorder="1"/>
    <xf numFmtId="164" fontId="24" fillId="25" borderId="11" xfId="0" applyNumberFormat="1" applyFont="1" applyFill="1" applyBorder="1"/>
    <xf numFmtId="165" fontId="42" fillId="2" borderId="13" xfId="0" applyNumberFormat="1" applyFont="1" applyFill="1" applyBorder="1"/>
    <xf numFmtId="0" fontId="9" fillId="2" borderId="15" xfId="0" applyFont="1" applyFill="1" applyBorder="1"/>
    <xf numFmtId="165" fontId="42" fillId="26" borderId="13" xfId="0" applyNumberFormat="1" applyFont="1" applyFill="1" applyBorder="1"/>
    <xf numFmtId="0" fontId="6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U789"/>
  <sheetViews>
    <sheetView view="pageBreakPreview" zoomScale="60" zoomScaleNormal="60" workbookViewId="0">
      <pane xSplit="8" ySplit="6" topLeftCell="I7" activePane="bottomRight" state="frozen"/>
      <selection pane="topRight" activeCell="I1" sqref="I1"/>
      <selection pane="bottomLeft" activeCell="A7" sqref="A7"/>
      <selection pane="bottomRight" activeCell="T32" sqref="T32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9" width="20.42578125" bestFit="1" customWidth="1"/>
    <col min="10" max="10" width="18.7109375" bestFit="1" customWidth="1"/>
    <col min="11" max="11" width="15.140625" customWidth="1"/>
    <col min="12" max="14" width="23" bestFit="1" customWidth="1"/>
    <col min="15" max="15" width="20.140625" bestFit="1" customWidth="1"/>
    <col min="16" max="16" width="22" bestFit="1" customWidth="1"/>
    <col min="17" max="18" width="23" bestFit="1" customWidth="1"/>
    <col min="19" max="19" width="21.28515625" bestFit="1" customWidth="1"/>
    <col min="20" max="20" width="20.140625" bestFit="1" customWidth="1"/>
    <col min="21" max="21" width="22" bestFit="1" customWidth="1"/>
  </cols>
  <sheetData>
    <row r="1" spans="1:21" ht="15.75" customHeight="1">
      <c r="A1" s="515" t="s">
        <v>0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515"/>
      <c r="N1" s="515"/>
      <c r="O1" s="515"/>
      <c r="P1" s="515"/>
      <c r="Q1" s="515"/>
      <c r="R1" s="515"/>
      <c r="S1" s="515"/>
      <c r="T1" s="515"/>
      <c r="U1" s="515"/>
    </row>
    <row r="2" spans="1:21" ht="15.75" customHeight="1">
      <c r="A2" s="515" t="s">
        <v>1</v>
      </c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515"/>
      <c r="Q2" s="515"/>
      <c r="R2" s="515"/>
      <c r="S2" s="515"/>
      <c r="T2" s="515"/>
      <c r="U2" s="515"/>
    </row>
    <row r="3" spans="1:21" ht="15.75" customHeight="1">
      <c r="A3" s="515" t="s">
        <v>339</v>
      </c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515"/>
      <c r="Q3" s="515"/>
      <c r="R3" s="515"/>
      <c r="S3" s="515"/>
      <c r="T3" s="515"/>
      <c r="U3" s="515"/>
    </row>
    <row r="4" spans="1:21" ht="15.75" customHeight="1">
      <c r="A4" s="3"/>
      <c r="B4" s="3"/>
      <c r="C4" s="3"/>
      <c r="D4" s="3"/>
      <c r="E4" s="3"/>
      <c r="F4" s="3"/>
      <c r="G4" s="3"/>
      <c r="H4" s="3"/>
      <c r="I4" s="4"/>
      <c r="J4" s="5"/>
      <c r="K4" s="6"/>
      <c r="L4" s="517" t="s">
        <v>2</v>
      </c>
      <c r="M4" s="514"/>
      <c r="N4" s="514"/>
      <c r="O4" s="514"/>
      <c r="P4" s="512"/>
      <c r="Q4" s="518" t="s">
        <v>3</v>
      </c>
      <c r="R4" s="514"/>
      <c r="S4" s="514"/>
      <c r="T4" s="514"/>
      <c r="U4" s="512"/>
    </row>
    <row r="5" spans="1:21" ht="15.75" customHeight="1">
      <c r="A5" s="519" t="s">
        <v>4</v>
      </c>
      <c r="B5" s="520"/>
      <c r="C5" s="520"/>
      <c r="D5" s="520"/>
      <c r="E5" s="520"/>
      <c r="F5" s="520"/>
      <c r="G5" s="521"/>
      <c r="H5" s="7" t="s">
        <v>5</v>
      </c>
      <c r="I5" s="523" t="s">
        <v>6</v>
      </c>
      <c r="J5" s="524"/>
      <c r="K5" s="525"/>
      <c r="L5" s="511" t="s">
        <v>7</v>
      </c>
      <c r="M5" s="512"/>
      <c r="N5" s="513" t="s">
        <v>8</v>
      </c>
      <c r="O5" s="514"/>
      <c r="P5" s="512"/>
      <c r="Q5" s="511" t="s">
        <v>7</v>
      </c>
      <c r="R5" s="512"/>
      <c r="S5" s="513" t="s">
        <v>8</v>
      </c>
      <c r="T5" s="514"/>
      <c r="U5" s="512"/>
    </row>
    <row r="6" spans="1:21" ht="15.75" customHeight="1">
      <c r="A6" s="522"/>
      <c r="B6" s="514"/>
      <c r="C6" s="514"/>
      <c r="D6" s="514"/>
      <c r="E6" s="514"/>
      <c r="F6" s="514"/>
      <c r="G6" s="512"/>
      <c r="H6" s="8"/>
      <c r="I6" s="9" t="s">
        <v>9</v>
      </c>
      <c r="J6" s="10" t="s">
        <v>10</v>
      </c>
      <c r="K6" s="9" t="s">
        <v>11</v>
      </c>
      <c r="L6" s="11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>
      <c r="A7" s="526"/>
      <c r="B7" s="514"/>
      <c r="C7" s="514"/>
      <c r="D7" s="514"/>
      <c r="E7" s="514"/>
      <c r="F7" s="514"/>
      <c r="G7" s="512"/>
      <c r="H7" s="17"/>
      <c r="I7" s="18"/>
      <c r="J7" s="18"/>
      <c r="K7" s="19"/>
      <c r="L7" s="19"/>
      <c r="M7" s="19"/>
      <c r="N7" s="19"/>
      <c r="O7" s="19"/>
      <c r="P7" s="19"/>
      <c r="Q7" s="19"/>
      <c r="R7" s="19"/>
      <c r="S7" s="20"/>
      <c r="T7" s="19"/>
      <c r="U7" s="19"/>
    </row>
    <row r="8" spans="1:21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5"/>
      <c r="M8" s="25"/>
      <c r="N8" s="25"/>
      <c r="O8" s="25"/>
      <c r="P8" s="25"/>
      <c r="Q8" s="25"/>
      <c r="R8" s="25"/>
      <c r="S8" s="26"/>
      <c r="T8" s="25"/>
      <c r="U8" s="25"/>
    </row>
    <row r="9" spans="1:21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5"/>
      <c r="M9" s="25"/>
      <c r="N9" s="25"/>
      <c r="O9" s="25"/>
      <c r="P9" s="25"/>
      <c r="Q9" s="25"/>
      <c r="R9" s="25"/>
      <c r="S9" s="26"/>
      <c r="T9" s="25"/>
      <c r="U9" s="25"/>
    </row>
    <row r="10" spans="1:21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5"/>
      <c r="M10" s="25"/>
      <c r="N10" s="25"/>
      <c r="O10" s="25"/>
      <c r="P10" s="25"/>
      <c r="Q10" s="25"/>
      <c r="R10" s="25"/>
      <c r="S10" s="26"/>
      <c r="T10" s="25"/>
      <c r="U10" s="25"/>
    </row>
    <row r="11" spans="1:21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5"/>
      <c r="M11" s="25"/>
      <c r="N11" s="25"/>
      <c r="O11" s="25"/>
      <c r="P11" s="25"/>
      <c r="Q11" s="25"/>
      <c r="R11" s="25"/>
      <c r="S11" s="26"/>
      <c r="T11" s="25"/>
      <c r="U11" s="25"/>
    </row>
    <row r="12" spans="1:21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5"/>
      <c r="M12" s="25"/>
      <c r="N12" s="25"/>
      <c r="O12" s="25"/>
      <c r="P12" s="25"/>
      <c r="Q12" s="25"/>
      <c r="R12" s="25"/>
      <c r="S12" s="26"/>
      <c r="T12" s="25"/>
      <c r="U12" s="25"/>
    </row>
    <row r="13" spans="1:21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5"/>
      <c r="M13" s="25"/>
      <c r="N13" s="25"/>
      <c r="O13" s="25"/>
      <c r="P13" s="25"/>
      <c r="Q13" s="25"/>
      <c r="R13" s="25"/>
      <c r="S13" s="26"/>
      <c r="T13" s="25"/>
      <c r="U13" s="25"/>
    </row>
    <row r="14" spans="1:21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5"/>
      <c r="M14" s="25"/>
      <c r="N14" s="25"/>
      <c r="O14" s="25"/>
      <c r="P14" s="25"/>
      <c r="Q14" s="25"/>
      <c r="R14" s="25"/>
      <c r="S14" s="26"/>
      <c r="T14" s="25"/>
      <c r="U14" s="25"/>
    </row>
    <row r="15" spans="1:21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5"/>
      <c r="M15" s="25"/>
      <c r="N15" s="25"/>
      <c r="O15" s="25"/>
      <c r="P15" s="25"/>
      <c r="Q15" s="25"/>
      <c r="R15" s="25"/>
      <c r="S15" s="26"/>
      <c r="T15" s="25"/>
      <c r="U15" s="25"/>
    </row>
    <row r="16" spans="1:21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19"/>
      <c r="M16" s="19"/>
      <c r="N16" s="19"/>
      <c r="O16" s="19"/>
      <c r="P16" s="19"/>
      <c r="Q16" s="19"/>
      <c r="R16" s="19"/>
      <c r="S16" s="28"/>
      <c r="T16" s="19"/>
      <c r="U16" s="19"/>
    </row>
    <row r="17" spans="1:21" ht="15.75" customHeight="1">
      <c r="A17" s="532" t="s">
        <v>17</v>
      </c>
      <c r="B17" s="514"/>
      <c r="C17" s="514"/>
      <c r="D17" s="514"/>
      <c r="E17" s="514"/>
      <c r="F17" s="514"/>
      <c r="G17" s="512"/>
      <c r="H17" s="29"/>
      <c r="I17" s="30"/>
      <c r="J17" s="30"/>
      <c r="K17" s="31"/>
      <c r="L17" s="31"/>
      <c r="M17" s="31"/>
      <c r="N17" s="31"/>
      <c r="O17" s="31"/>
      <c r="P17" s="31"/>
      <c r="Q17" s="31"/>
      <c r="R17" s="31"/>
      <c r="S17" s="32"/>
      <c r="T17" s="31"/>
      <c r="U17" s="31"/>
    </row>
    <row r="18" spans="1:21" ht="15.75" customHeight="1">
      <c r="A18" s="33"/>
      <c r="B18" s="34"/>
      <c r="C18" s="35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41">
        <f t="shared" ref="L18:N18" ca="1" si="0">L19+L20</f>
        <v>48308723</v>
      </c>
      <c r="M18" s="41">
        <f t="shared" ca="1" si="0"/>
        <v>49430282.119999997</v>
      </c>
      <c r="N18" s="41">
        <f t="shared" ca="1" si="0"/>
        <v>39285805.009999976</v>
      </c>
      <c r="O18" s="41">
        <f t="shared" ref="O18:O26" ca="1" si="1">IF(L18&gt;0,N18*100/L18,0)</f>
        <v>81.322383557934202</v>
      </c>
      <c r="P18" s="41">
        <f t="shared" ref="P18:P26" ca="1" si="2">IF(M18&gt;0,N18*100/M18,0)</f>
        <v>79.477201676954493</v>
      </c>
      <c r="Q18" s="41">
        <f t="shared" ref="Q18:S18" ca="1" si="3">Q19+Q20</f>
        <v>62256557.149999999</v>
      </c>
      <c r="R18" s="41">
        <f t="shared" ca="1" si="3"/>
        <v>60667053</v>
      </c>
      <c r="S18" s="42">
        <f t="shared" ca="1" si="3"/>
        <v>9941259.05999998</v>
      </c>
      <c r="T18" s="41">
        <f t="shared" ref="T18:T26" ca="1" si="4">IF(Q18&gt;0,S18*100/Q18,0)</f>
        <v>15.968212048809031</v>
      </c>
      <c r="U18" s="41">
        <f t="shared" ref="U18:U26" ca="1" si="5">IF(R18&gt;0,S18*100/R18,0)</f>
        <v>16.386586406298623</v>
      </c>
    </row>
    <row r="19" spans="1:21" ht="15.75" customHeight="1">
      <c r="A19" s="33"/>
      <c r="B19" s="34"/>
      <c r="C19" s="34"/>
      <c r="D19" s="34"/>
      <c r="E19" s="43" t="s">
        <v>20</v>
      </c>
      <c r="F19" s="34"/>
      <c r="G19" s="37"/>
      <c r="H19" s="44" t="s">
        <v>14</v>
      </c>
      <c r="I19" s="39"/>
      <c r="J19" s="39"/>
      <c r="K19" s="40"/>
      <c r="L19" s="45">
        <f t="shared" ref="L19:N19" ca="1" si="6">L22+L25</f>
        <v>0</v>
      </c>
      <c r="M19" s="45">
        <f t="shared" ca="1" si="6"/>
        <v>0</v>
      </c>
      <c r="N19" s="45">
        <f t="shared" ca="1" si="6"/>
        <v>0</v>
      </c>
      <c r="O19" s="45">
        <f t="shared" ca="1" si="1"/>
        <v>0</v>
      </c>
      <c r="P19" s="45">
        <f t="shared" ca="1" si="2"/>
        <v>0</v>
      </c>
      <c r="Q19" s="45">
        <f t="shared" ref="Q19:S19" ca="1" si="7">Q22+Q25</f>
        <v>0</v>
      </c>
      <c r="R19" s="45">
        <f t="shared" ca="1" si="7"/>
        <v>0</v>
      </c>
      <c r="S19" s="46">
        <f t="shared" ca="1" si="7"/>
        <v>0</v>
      </c>
      <c r="T19" s="45">
        <f t="shared" ca="1" si="4"/>
        <v>0</v>
      </c>
      <c r="U19" s="45">
        <f t="shared" ca="1" si="5"/>
        <v>0</v>
      </c>
    </row>
    <row r="20" spans="1:21" ht="15.75" customHeight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47">
        <f t="shared" ref="L20:N20" ca="1" si="8">L23+L26</f>
        <v>48308723</v>
      </c>
      <c r="M20" s="47">
        <f t="shared" ca="1" si="8"/>
        <v>49430282.119999997</v>
      </c>
      <c r="N20" s="47">
        <f t="shared" ca="1" si="8"/>
        <v>39285805.009999976</v>
      </c>
      <c r="O20" s="47">
        <f t="shared" ca="1" si="1"/>
        <v>81.322383557934202</v>
      </c>
      <c r="P20" s="47">
        <f t="shared" ca="1" si="2"/>
        <v>79.477201676954493</v>
      </c>
      <c r="Q20" s="47">
        <f t="shared" ref="Q20:S20" ca="1" si="9">Q23+Q26</f>
        <v>62256557.149999999</v>
      </c>
      <c r="R20" s="47">
        <f t="shared" ca="1" si="9"/>
        <v>60667053</v>
      </c>
      <c r="S20" s="48">
        <f t="shared" ca="1" si="9"/>
        <v>9941259.05999998</v>
      </c>
      <c r="T20" s="47">
        <f t="shared" ca="1" si="4"/>
        <v>15.968212048809031</v>
      </c>
      <c r="U20" s="47">
        <f t="shared" ca="1" si="5"/>
        <v>16.386586406298623</v>
      </c>
    </row>
    <row r="21" spans="1:21" ht="15.75" customHeight="1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56">
        <f t="shared" ref="L21:N21" ca="1" si="10">L22+L23</f>
        <v>48308723</v>
      </c>
      <c r="M21" s="56">
        <f t="shared" ca="1" si="10"/>
        <v>49430282.119999997</v>
      </c>
      <c r="N21" s="56">
        <f t="shared" ca="1" si="10"/>
        <v>39285805.009999976</v>
      </c>
      <c r="O21" s="56">
        <f t="shared" ca="1" si="1"/>
        <v>81.322383557934202</v>
      </c>
      <c r="P21" s="56">
        <f t="shared" ca="1" si="2"/>
        <v>79.477201676954493</v>
      </c>
      <c r="Q21" s="56">
        <f t="shared" ref="Q21:S21" ca="1" si="11">Q22+Q23</f>
        <v>62256557.149999999</v>
      </c>
      <c r="R21" s="56">
        <f t="shared" ca="1" si="11"/>
        <v>60667053</v>
      </c>
      <c r="S21" s="57">
        <f t="shared" ca="1" si="11"/>
        <v>9941259.05999998</v>
      </c>
      <c r="T21" s="56">
        <f t="shared" ca="1" si="4"/>
        <v>15.968212048809031</v>
      </c>
      <c r="U21" s="56">
        <f t="shared" ca="1" si="5"/>
        <v>16.386586406298623</v>
      </c>
    </row>
    <row r="22" spans="1:21" ht="15.75" customHeight="1">
      <c r="A22" s="49"/>
      <c r="B22" s="50"/>
      <c r="C22" s="50"/>
      <c r="D22" s="50"/>
      <c r="E22" s="58" t="s">
        <v>20</v>
      </c>
      <c r="F22" s="50"/>
      <c r="G22" s="52"/>
      <c r="H22" s="53" t="s">
        <v>14</v>
      </c>
      <c r="I22" s="54"/>
      <c r="J22" s="54"/>
      <c r="K22" s="55"/>
      <c r="L22" s="59">
        <f t="shared" ref="L22:N22" ca="1" si="12">L48+L63+L76+L98+L121+L143+L161+L190+L177+L270+L286+L307+L324+L337+L360+L379+L396+L417+L497+L517+L538+L559+L580+L603+L620+L646+L694+L718+L732+L764</f>
        <v>0</v>
      </c>
      <c r="M22" s="59">
        <f t="shared" ca="1" si="12"/>
        <v>0</v>
      </c>
      <c r="N22" s="59">
        <f t="shared" ca="1" si="12"/>
        <v>0</v>
      </c>
      <c r="O22" s="59">
        <f t="shared" ca="1" si="1"/>
        <v>0</v>
      </c>
      <c r="P22" s="59">
        <f t="shared" ca="1" si="2"/>
        <v>0</v>
      </c>
      <c r="Q22" s="59">
        <f t="shared" ref="Q22:S22" ca="1" si="13">Q48+Q63+Q76+Q98+Q121+Q143+Q161+Q190+Q177+Q270+Q286+Q307+Q324+Q337+Q360+Q379+Q396+Q417+Q497+Q517+Q538+Q559+Q580+Q603+Q620+Q646+Q694+Q718+Q732+Q764</f>
        <v>0</v>
      </c>
      <c r="R22" s="59">
        <f t="shared" ca="1" si="13"/>
        <v>0</v>
      </c>
      <c r="S22" s="60">
        <f t="shared" ca="1" si="13"/>
        <v>0</v>
      </c>
      <c r="T22" s="59">
        <f t="shared" ca="1" si="4"/>
        <v>0</v>
      </c>
      <c r="U22" s="59">
        <f t="shared" ca="1" si="5"/>
        <v>0</v>
      </c>
    </row>
    <row r="23" spans="1:21" ht="15.75" customHeight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56">
        <f t="shared" ref="L23:N23" ca="1" si="14">L49+L64+L77+L99+L122+L144+L162+L191+L178+L271+L287+L308+L325+L338+L361+L380+L397+L418+L498+L518+L539+L560+L581+L604+L621+L647+L695+L719+L733+L765</f>
        <v>48308723</v>
      </c>
      <c r="M23" s="56">
        <f t="shared" ca="1" si="14"/>
        <v>49430282.119999997</v>
      </c>
      <c r="N23" s="56">
        <f t="shared" ca="1" si="14"/>
        <v>39285805.009999976</v>
      </c>
      <c r="O23" s="56">
        <f t="shared" ca="1" si="1"/>
        <v>81.322383557934202</v>
      </c>
      <c r="P23" s="56">
        <f t="shared" ca="1" si="2"/>
        <v>79.477201676954493</v>
      </c>
      <c r="Q23" s="56">
        <f t="shared" ref="Q23:S23" ca="1" si="15">Q49+Q64+Q77+Q99+Q122+Q144+Q162+Q191+Q178+Q271+Q287+Q308+Q325+Q338+Q361+Q380+Q397+Q418+Q498+Q518+Q539+Q560+Q581+Q604+Q621+Q647+Q695+Q719+Q733+Q765</f>
        <v>62256557.149999999</v>
      </c>
      <c r="R23" s="56">
        <f t="shared" ca="1" si="15"/>
        <v>60667053</v>
      </c>
      <c r="S23" s="57">
        <f t="shared" ca="1" si="15"/>
        <v>9941259.05999998</v>
      </c>
      <c r="T23" s="56">
        <f t="shared" ca="1" si="4"/>
        <v>15.968212048809031</v>
      </c>
      <c r="U23" s="56">
        <f t="shared" ca="1" si="5"/>
        <v>16.386586406298623</v>
      </c>
    </row>
    <row r="24" spans="1:21" ht="15.75" customHeight="1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56">
        <f t="shared" ref="L24:N24" ca="1" si="16">L25+L26</f>
        <v>0</v>
      </c>
      <c r="M24" s="56">
        <f t="shared" ca="1" si="16"/>
        <v>0</v>
      </c>
      <c r="N24" s="56">
        <f t="shared" ca="1" si="16"/>
        <v>0</v>
      </c>
      <c r="O24" s="56">
        <f t="shared" ca="1" si="1"/>
        <v>0</v>
      </c>
      <c r="P24" s="56">
        <f t="shared" ca="1" si="2"/>
        <v>0</v>
      </c>
      <c r="Q24" s="56">
        <f t="shared" ref="Q24:S24" ca="1" si="17">Q25+Q26</f>
        <v>0</v>
      </c>
      <c r="R24" s="56">
        <f t="shared" ca="1" si="17"/>
        <v>0</v>
      </c>
      <c r="S24" s="57">
        <f t="shared" ca="1" si="17"/>
        <v>0</v>
      </c>
      <c r="T24" s="56">
        <f t="shared" ca="1" si="4"/>
        <v>0</v>
      </c>
      <c r="U24" s="56">
        <f t="shared" ca="1" si="5"/>
        <v>0</v>
      </c>
    </row>
    <row r="25" spans="1:21" ht="15.75" customHeight="1">
      <c r="A25" s="49"/>
      <c r="B25" s="50"/>
      <c r="C25" s="50"/>
      <c r="D25" s="50"/>
      <c r="E25" s="58" t="s">
        <v>20</v>
      </c>
      <c r="F25" s="50"/>
      <c r="G25" s="52"/>
      <c r="H25" s="53" t="s">
        <v>14</v>
      </c>
      <c r="I25" s="54"/>
      <c r="J25" s="54"/>
      <c r="K25" s="55"/>
      <c r="L25" s="59">
        <f t="shared" ref="L25:N25" ca="1" si="18">L51+L66+L79+L101+L124+L146+L164+L193+L180+L273+L289+L310+L327+L340+L363+L382+L399+L420+L500+L520+L541+L562+L583+L606+L623+L649+L697+L721+L735+L767</f>
        <v>0</v>
      </c>
      <c r="M25" s="59">
        <f t="shared" ca="1" si="18"/>
        <v>0</v>
      </c>
      <c r="N25" s="59">
        <f t="shared" ca="1" si="18"/>
        <v>0</v>
      </c>
      <c r="O25" s="59">
        <f t="shared" ca="1" si="1"/>
        <v>0</v>
      </c>
      <c r="P25" s="59">
        <f t="shared" ca="1" si="2"/>
        <v>0</v>
      </c>
      <c r="Q25" s="59">
        <f t="shared" ref="Q25:S25" ca="1" si="19">Q51+Q66+Q79+Q101+Q124+Q146+Q164+Q193+Q180+Q273+Q289+Q310+Q327+Q340+Q363+Q382+Q399+Q420+Q500+Q520+Q541+Q562+Q583+Q606+Q623+Q649+Q697+Q721+Q735+Q767</f>
        <v>0</v>
      </c>
      <c r="R25" s="59">
        <f t="shared" ca="1" si="19"/>
        <v>0</v>
      </c>
      <c r="S25" s="60">
        <f t="shared" ca="1" si="19"/>
        <v>0</v>
      </c>
      <c r="T25" s="59">
        <f t="shared" ca="1" si="4"/>
        <v>0</v>
      </c>
      <c r="U25" s="59">
        <f t="shared" ca="1" si="5"/>
        <v>0</v>
      </c>
    </row>
    <row r="26" spans="1:21" ht="15.75" customHeight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56">
        <f t="shared" ref="L26:N26" ca="1" si="20">L52+L67+L80+L102+L125+L147+L165+L194+L181+L274+L290+L311+L328+L341+L364+L383+L400+L421+L501+L521+L542+L563+L584+L607+L624+L650+L698+L722+L736+L768</f>
        <v>0</v>
      </c>
      <c r="M26" s="56">
        <f t="shared" ca="1" si="20"/>
        <v>0</v>
      </c>
      <c r="N26" s="56">
        <f t="shared" ca="1" si="20"/>
        <v>0</v>
      </c>
      <c r="O26" s="56">
        <f t="shared" ca="1" si="1"/>
        <v>0</v>
      </c>
      <c r="P26" s="56">
        <f t="shared" ca="1" si="2"/>
        <v>0</v>
      </c>
      <c r="Q26" s="56">
        <f t="shared" ref="Q26:S26" ca="1" si="21">Q52+Q67+Q80+Q102+Q125+Q147+Q165+Q194+Q181+Q274+Q290+Q311+Q328+Q341+Q364+Q383+Q400+Q421+Q501+Q521+Q542+Q563+Q584+Q607+Q624+Q650+Q698+Q722+Q736+Q768</f>
        <v>0</v>
      </c>
      <c r="R26" s="56">
        <f t="shared" ca="1" si="21"/>
        <v>0</v>
      </c>
      <c r="S26" s="57">
        <f t="shared" ca="1" si="21"/>
        <v>0</v>
      </c>
      <c r="T26" s="56">
        <f t="shared" ca="1" si="4"/>
        <v>0</v>
      </c>
      <c r="U26" s="56">
        <f t="shared" ca="1" si="5"/>
        <v>0</v>
      </c>
    </row>
    <row r="27" spans="1:21" ht="15.75" customHeight="1">
      <c r="A27" s="49"/>
      <c r="B27" s="50"/>
      <c r="C27" s="50"/>
      <c r="D27" s="61" t="s">
        <v>24</v>
      </c>
      <c r="E27" s="50"/>
      <c r="F27" s="50"/>
      <c r="G27" s="52"/>
      <c r="H27" s="53" t="s">
        <v>14</v>
      </c>
      <c r="I27" s="54"/>
      <c r="J27" s="54"/>
      <c r="K27" s="55"/>
      <c r="L27" s="55"/>
      <c r="M27" s="55"/>
      <c r="N27" s="55"/>
      <c r="O27" s="55"/>
      <c r="P27" s="55"/>
      <c r="Q27" s="55"/>
      <c r="R27" s="55"/>
      <c r="S27" s="62"/>
      <c r="T27" s="55"/>
      <c r="U27" s="55"/>
    </row>
    <row r="28" spans="1:21" ht="15.75" customHeight="1">
      <c r="A28" s="49"/>
      <c r="B28" s="50"/>
      <c r="C28" s="50"/>
      <c r="D28" s="50"/>
      <c r="E28" s="58" t="s">
        <v>20</v>
      </c>
      <c r="F28" s="50"/>
      <c r="G28" s="52"/>
      <c r="H28" s="53" t="s">
        <v>14</v>
      </c>
      <c r="I28" s="54"/>
      <c r="J28" s="54"/>
      <c r="K28" s="55"/>
      <c r="L28" s="55"/>
      <c r="M28" s="55"/>
      <c r="N28" s="55"/>
      <c r="O28" s="55"/>
      <c r="P28" s="55"/>
      <c r="Q28" s="55"/>
      <c r="R28" s="55"/>
      <c r="S28" s="62"/>
      <c r="T28" s="55"/>
      <c r="U28" s="55"/>
    </row>
    <row r="29" spans="1:21" ht="15.75" customHeight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"/>
      <c r="M29" s="6"/>
      <c r="N29" s="6"/>
      <c r="O29" s="6"/>
      <c r="P29" s="6"/>
      <c r="Q29" s="6"/>
      <c r="R29" s="6"/>
      <c r="S29" s="68"/>
      <c r="T29" s="6"/>
      <c r="U29" s="6"/>
    </row>
    <row r="30" spans="1:21">
      <c r="A30" s="526"/>
      <c r="B30" s="514"/>
      <c r="C30" s="514"/>
      <c r="D30" s="514"/>
      <c r="E30" s="514"/>
      <c r="F30" s="514"/>
      <c r="G30" s="512"/>
      <c r="H30" s="17"/>
      <c r="I30" s="18"/>
      <c r="J30" s="18"/>
      <c r="K30" s="19"/>
      <c r="L30" s="19"/>
      <c r="M30" s="19"/>
      <c r="N30" s="19"/>
      <c r="O30" s="19"/>
      <c r="P30" s="19"/>
      <c r="Q30" s="19"/>
      <c r="R30" s="19"/>
      <c r="S30" s="28"/>
      <c r="T30" s="19"/>
      <c r="U30" s="19"/>
    </row>
    <row r="31" spans="1:21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5"/>
      <c r="M31" s="25"/>
      <c r="N31" s="25"/>
      <c r="O31" s="25"/>
      <c r="P31" s="25"/>
      <c r="Q31" s="25"/>
      <c r="R31" s="25"/>
      <c r="S31" s="26"/>
      <c r="T31" s="25"/>
      <c r="U31" s="25"/>
    </row>
    <row r="32" spans="1:21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5"/>
      <c r="M32" s="25"/>
      <c r="N32" s="25"/>
      <c r="O32" s="25"/>
      <c r="P32" s="25"/>
      <c r="Q32" s="25"/>
      <c r="R32" s="25"/>
      <c r="S32" s="26"/>
      <c r="T32" s="25"/>
      <c r="U32" s="25"/>
    </row>
    <row r="33" spans="1:21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5"/>
      <c r="M33" s="25"/>
      <c r="N33" s="25"/>
      <c r="O33" s="25"/>
      <c r="P33" s="25"/>
      <c r="Q33" s="25"/>
      <c r="R33" s="25"/>
      <c r="S33" s="26"/>
      <c r="T33" s="25"/>
      <c r="U33" s="25"/>
    </row>
    <row r="34" spans="1:21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5"/>
      <c r="M34" s="25"/>
      <c r="N34" s="25"/>
      <c r="O34" s="25"/>
      <c r="P34" s="25"/>
      <c r="Q34" s="25"/>
      <c r="R34" s="25"/>
      <c r="S34" s="26"/>
      <c r="T34" s="25"/>
      <c r="U34" s="25"/>
    </row>
    <row r="35" spans="1:21" ht="12.75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5"/>
      <c r="M35" s="25"/>
      <c r="N35" s="25"/>
      <c r="O35" s="25"/>
      <c r="P35" s="25"/>
      <c r="Q35" s="25"/>
      <c r="R35" s="25"/>
      <c r="S35" s="26"/>
      <c r="T35" s="25"/>
      <c r="U35" s="25"/>
    </row>
    <row r="36" spans="1:21" ht="12.75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5"/>
      <c r="M36" s="25"/>
      <c r="N36" s="25"/>
      <c r="O36" s="25"/>
      <c r="P36" s="25"/>
      <c r="Q36" s="25"/>
      <c r="R36" s="25"/>
      <c r="S36" s="26"/>
      <c r="T36" s="25"/>
      <c r="U36" s="25"/>
    </row>
    <row r="37" spans="1:21" ht="12.75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5"/>
      <c r="M37" s="25"/>
      <c r="N37" s="25"/>
      <c r="O37" s="25"/>
      <c r="P37" s="25"/>
      <c r="Q37" s="25"/>
      <c r="R37" s="25"/>
      <c r="S37" s="26"/>
      <c r="T37" s="25"/>
      <c r="U37" s="25"/>
    </row>
    <row r="38" spans="1:21" ht="12.75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5"/>
      <c r="M38" s="25"/>
      <c r="N38" s="25"/>
      <c r="O38" s="25"/>
      <c r="P38" s="25"/>
      <c r="Q38" s="25"/>
      <c r="R38" s="25"/>
      <c r="S38" s="26"/>
      <c r="T38" s="25"/>
      <c r="U38" s="25"/>
    </row>
    <row r="39" spans="1:21" ht="12.75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19"/>
      <c r="M39" s="19"/>
      <c r="N39" s="19"/>
      <c r="O39" s="19"/>
      <c r="P39" s="19"/>
      <c r="Q39" s="19"/>
      <c r="R39" s="19"/>
      <c r="S39" s="28"/>
      <c r="T39" s="19"/>
      <c r="U39" s="19"/>
    </row>
    <row r="40" spans="1:21" ht="19.5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73"/>
      <c r="M40" s="73"/>
      <c r="N40" s="73"/>
      <c r="O40" s="73"/>
      <c r="P40" s="73"/>
      <c r="Q40" s="73"/>
      <c r="R40" s="73"/>
      <c r="S40" s="74"/>
      <c r="T40" s="73"/>
      <c r="U40" s="73"/>
    </row>
    <row r="41" spans="1:21" ht="19.5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78"/>
      <c r="R41" s="78"/>
      <c r="S41" s="78"/>
      <c r="T41" s="78"/>
      <c r="U41" s="79"/>
    </row>
    <row r="42" spans="1:21" ht="19.5">
      <c r="A42" s="80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4"/>
      <c r="M42" s="84"/>
      <c r="N42" s="84"/>
      <c r="O42" s="84"/>
      <c r="P42" s="84"/>
      <c r="Q42" s="84"/>
      <c r="R42" s="84"/>
      <c r="S42" s="85"/>
      <c r="T42" s="84"/>
      <c r="U42" s="84"/>
    </row>
    <row r="43" spans="1:21" ht="12.75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5"/>
      <c r="M43" s="25"/>
      <c r="N43" s="25"/>
      <c r="O43" s="25"/>
      <c r="P43" s="25"/>
      <c r="Q43" s="25"/>
      <c r="R43" s="25"/>
      <c r="S43" s="26"/>
      <c r="T43" s="25"/>
      <c r="U43" s="25"/>
    </row>
    <row r="44" spans="1:21" ht="19.5">
      <c r="A44" s="86"/>
      <c r="B44" s="87"/>
      <c r="C44" s="88" t="s">
        <v>18</v>
      </c>
      <c r="D44" s="89" t="s">
        <v>19</v>
      </c>
      <c r="E44" s="87"/>
      <c r="F44" s="87"/>
      <c r="G44" s="90"/>
      <c r="H44" s="91" t="s">
        <v>14</v>
      </c>
      <c r="I44" s="92"/>
      <c r="J44" s="92"/>
      <c r="K44" s="93"/>
      <c r="L44" s="94">
        <f t="shared" ref="L44:N44" ca="1" si="22">L45+L46</f>
        <v>8877553</v>
      </c>
      <c r="M44" s="94">
        <f t="shared" ca="1" si="22"/>
        <v>9668414.1199999992</v>
      </c>
      <c r="N44" s="94">
        <f t="shared" ca="1" si="22"/>
        <v>8138440.2000000002</v>
      </c>
      <c r="O44" s="94">
        <f t="shared" ref="O44:O52" ca="1" si="23">IF(L44&gt;0,N44*100/L44,0)</f>
        <v>91.674363419739649</v>
      </c>
      <c r="P44" s="94">
        <f t="shared" ref="P44:P52" ca="1" si="24">IF(M44&gt;0,N44*100/M44,0)</f>
        <v>84.175544189453902</v>
      </c>
      <c r="Q44" s="94">
        <f t="shared" ref="Q44:S44" ca="1" si="25">Q45+Q46</f>
        <v>0</v>
      </c>
      <c r="R44" s="94">
        <f t="shared" ca="1" si="25"/>
        <v>0</v>
      </c>
      <c r="S44" s="95">
        <f t="shared" ca="1" si="25"/>
        <v>0</v>
      </c>
      <c r="T44" s="94">
        <f t="shared" ref="T44:T52" ca="1" si="26">IF(Q44&gt;0,S44*100/Q44,0)</f>
        <v>0</v>
      </c>
      <c r="U44" s="94">
        <f t="shared" ref="U44:U52" ca="1" si="27">IF(R44&gt;0,S44*100/R44,0)</f>
        <v>0</v>
      </c>
    </row>
    <row r="45" spans="1:21" ht="18.75">
      <c r="A45" s="86"/>
      <c r="B45" s="87"/>
      <c r="C45" s="87"/>
      <c r="D45" s="87"/>
      <c r="E45" s="96" t="s">
        <v>20</v>
      </c>
      <c r="F45" s="87"/>
      <c r="G45" s="90"/>
      <c r="H45" s="97" t="s">
        <v>14</v>
      </c>
      <c r="I45" s="92"/>
      <c r="J45" s="92"/>
      <c r="K45" s="93"/>
      <c r="L45" s="98">
        <f t="shared" ref="L45:N45" si="28">L48+L51</f>
        <v>0</v>
      </c>
      <c r="M45" s="98">
        <f t="shared" si="28"/>
        <v>0</v>
      </c>
      <c r="N45" s="98">
        <f t="shared" si="28"/>
        <v>0</v>
      </c>
      <c r="O45" s="98">
        <f t="shared" si="23"/>
        <v>0</v>
      </c>
      <c r="P45" s="98">
        <f t="shared" si="24"/>
        <v>0</v>
      </c>
      <c r="Q45" s="98">
        <f t="shared" ref="Q45:S45" si="29">Q48+Q51</f>
        <v>0</v>
      </c>
      <c r="R45" s="98">
        <f t="shared" si="29"/>
        <v>0</v>
      </c>
      <c r="S45" s="99">
        <f t="shared" si="29"/>
        <v>0</v>
      </c>
      <c r="T45" s="98">
        <f t="shared" si="26"/>
        <v>0</v>
      </c>
      <c r="U45" s="98">
        <f t="shared" si="27"/>
        <v>0</v>
      </c>
    </row>
    <row r="46" spans="1:21" ht="18.75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100">
        <f t="shared" ref="L46:N46" ca="1" si="30">L49+L52</f>
        <v>8877553</v>
      </c>
      <c r="M46" s="100">
        <f t="shared" ca="1" si="30"/>
        <v>9668414.1199999992</v>
      </c>
      <c r="N46" s="100">
        <f t="shared" ca="1" si="30"/>
        <v>8138440.2000000002</v>
      </c>
      <c r="O46" s="100">
        <f t="shared" ca="1" si="23"/>
        <v>91.674363419739649</v>
      </c>
      <c r="P46" s="100">
        <f t="shared" ca="1" si="24"/>
        <v>84.175544189453902</v>
      </c>
      <c r="Q46" s="100">
        <f t="shared" ref="Q46:S46" ca="1" si="31">Q49+Q52</f>
        <v>0</v>
      </c>
      <c r="R46" s="100">
        <f t="shared" ca="1" si="31"/>
        <v>0</v>
      </c>
      <c r="S46" s="101">
        <f t="shared" ca="1" si="31"/>
        <v>0</v>
      </c>
      <c r="T46" s="100">
        <f t="shared" ca="1" si="26"/>
        <v>0</v>
      </c>
      <c r="U46" s="100">
        <f t="shared" ca="1" si="27"/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56">
        <f t="shared" ref="L47:N47" ca="1" si="32">L48+L49</f>
        <v>8877553</v>
      </c>
      <c r="M47" s="56">
        <f t="shared" ca="1" si="32"/>
        <v>9668414.1199999992</v>
      </c>
      <c r="N47" s="56">
        <f t="shared" ca="1" si="32"/>
        <v>8138440.2000000002</v>
      </c>
      <c r="O47" s="56">
        <f t="shared" ca="1" si="23"/>
        <v>91.674363419739649</v>
      </c>
      <c r="P47" s="56">
        <f t="shared" ca="1" si="24"/>
        <v>84.175544189453902</v>
      </c>
      <c r="Q47" s="56">
        <f t="shared" ref="Q47:S47" ca="1" si="33">Q48+Q49</f>
        <v>0</v>
      </c>
      <c r="R47" s="56">
        <f t="shared" ca="1" si="33"/>
        <v>0</v>
      </c>
      <c r="S47" s="57">
        <f t="shared" ca="1" si="33"/>
        <v>0</v>
      </c>
      <c r="T47" s="56">
        <f t="shared" ca="1" si="26"/>
        <v>0</v>
      </c>
      <c r="U47" s="56">
        <f t="shared" ca="1" si="27"/>
        <v>0</v>
      </c>
    </row>
    <row r="48" spans="1:21" ht="18.75">
      <c r="A48" s="49"/>
      <c r="B48" s="50"/>
      <c r="C48" s="50"/>
      <c r="D48" s="50"/>
      <c r="E48" s="58" t="s">
        <v>20</v>
      </c>
      <c r="F48" s="50"/>
      <c r="G48" s="52"/>
      <c r="H48" s="53" t="s">
        <v>14</v>
      </c>
      <c r="I48" s="54"/>
      <c r="J48" s="54"/>
      <c r="K48" s="55"/>
      <c r="L48" s="102">
        <v>0</v>
      </c>
      <c r="M48" s="102">
        <v>0</v>
      </c>
      <c r="N48" s="102">
        <v>0</v>
      </c>
      <c r="O48" s="59">
        <f t="shared" si="23"/>
        <v>0</v>
      </c>
      <c r="P48" s="59">
        <f t="shared" si="24"/>
        <v>0</v>
      </c>
      <c r="Q48" s="102">
        <v>0</v>
      </c>
      <c r="R48" s="102">
        <v>0</v>
      </c>
      <c r="S48" s="103">
        <v>0</v>
      </c>
      <c r="T48" s="59">
        <f t="shared" si="26"/>
        <v>0</v>
      </c>
      <c r="U48" s="59">
        <f t="shared" si="27"/>
        <v>0</v>
      </c>
    </row>
    <row r="49" spans="1:21" ht="18.75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56">
        <f ca="1">IFERROR(__xludf.DUMMYFUNCTION("IMPORTRANGE(""https://docs.google.com/spreadsheets/d/1yhBcrRPreicbMKl9Bu_Snb2-OcQAF62RKfhTLhJ2eAA/edit?usp=sharing"",""กาฬสินธุ์!L49"")+IMPORTRANGE(""https://docs.google.com/spreadsheets/d/1aHkj4IaQMThhwWwevcOymEh837vdxeC_PycurhTbGFA/edit?usp=sharing"","""&amp;"ขอนแก่น!L49"")+IMPORTRANGE(""https://docs.google.com/spreadsheets/d/1FvTu2DsIWUjP6WCWra38Bkj_oOl_sOMf14r5Fg5srxU/edit?usp=sharing"",""ชัยภูมิ!L49"")+IMPORTRANGE(""https://docs.google.com/spreadsheets/d/1XVB7oCJ3pr-vBUdflwPQ8Z2LlzhnCvZaaYjAfP-647E/edit?usp"&amp;"=sharing"",""นครพนม!L49"")+IMPORTRANGE(""https://docs.google.com/spreadsheets/d/1Mnpb-8PYAgn85W6KOTD40hc_Xc55CaLfHoGAbrZ8tls/edit?usp=sharing"",""นครราชสีมา!L49"")+IMPORTRANGE(""https://docs.google.com/spreadsheets/d/1xoDLGBv9CYbyosIhki0kTq6IpYNj-gpjxfobn"&amp;"aDiut0/edit?usp=sharing"",""บึงกาฬ!L49"")+IMPORTRANGE(""https://docs.google.com/spreadsheets/d/1MMPq-JyI6DSgQETxuSiXkesP-P7JHuemnE6QJIa-Nlw/edit?usp=sharing"",""บุรีรัมย์!L49"")+IMPORTRANGE(""https://docs.google.com/spreadsheets/d/1l6IZ8xUPgMrESzcTYwhA1k_"&amp;"tPjeQjJPTqlm8Gd9eU5g/edit?usp=sharing"",""มหาสารคาม!L49"")+IMPORTRANGE(""https://docs.google.com/spreadsheets/d/1uB74YLqNjWX6FObjekfB2NtSYigTQyR2rq9u4Ub2Sq4/edit?usp=sharing"",""มุกดาหาร!L49"")+IMPORTRANGE(""https://docs.google.com/spreadsheets/d/1NexK3ge"&amp;"CPxCTO1fzNF8dPec7yZyUx3OaWkFBC9HsQOo/edit?usp=sharing"",""ยโสธร!L49"")+IMPORTRANGE(""https://docs.google.com/spreadsheets/d/1v_cJrbBlyqmnHPReHk44g9NrMRdENNlSy_E_c5M9fIg/edit?usp=sharing"",""ร้อยเอ็ด!L49"")+IMPORTRANGE(""https://docs.google.com/spreadsheet"&amp;"s/d/1Ul4RCpCX66NxYADU1QpwAPjOmBzW64SsT11s1wzXw_c/edit?usp=sharing"",""เลย!L49"")+IMPORTRANGE(""https://docs.google.com/spreadsheets/d/1bRrNKwbHDVktQG10isr5vbWRtt5spIZPpkOSWgbT5ug/edit?usp=sharing"",""ศรีสะเกษ!L49"")+IMPORTRANGE(""https://docs.google.com/s"&amp;"preadsheets/d/17P34_Ow5kFBfdQD0qspb2UuPX5zpi6WMrQzslghyvrI/edit?usp=sharing"",""สกลนคร!L49"")+IMPORTRANGE(""https://docs.google.com/spreadsheets/d/1yswqbM3-AEpThF3ZSUa1AcmHnmRTF1vlJ1CZGcJ8YuU/edit?usp=sharing"",""สุรินทร์!L49"")+IMPORTRANGE(""https://docs"&amp;".google.com/spreadsheets/d/13JHU_EFbsQOUQ0JSQ3dWy1VTRosIWcDq6Nc99z2qzdc/edit?usp=sharing"",""หนองคาย!L49"")+IMPORTRANGE(""https://docs.google.com/spreadsheets/d/1Hx73zIEgVdDZZaYSTc46Dqv64atFhpr3GelxLbaIN8A/edit?usp=sharing"",""หนองบัวลำภู!L49"")+IMPORTRAN"&amp;"GE(""https://docs.google.com/spreadsheets/d/1lFxr3ctmjFN90yc-xV6jrQ9Ty8BKYVBWnAZ15wcNIJc/edit?usp=sharing"",""อำนาจเจริญ!L49"")+IMPORTRANGE(""https://docs.google.com/spreadsheets/d/1gF7RJpRnL-1oyjyeWxs5SFWEH7y8ahOZsQlyp2A2e-A/edit?usp=sharing"",""อุดรธานี"&amp;"!L49"")+IMPORTRANGE(""https://docs.google.com/spreadsheets/d/1kfLP0j3INXRa8bTDpcEmoWewMBV61jlFlfzczfjWIgc/edit?usp=sharing"",""อุบลราชธานี!L49"")"),8877553)</f>
        <v>8877553</v>
      </c>
      <c r="M49" s="56">
        <f ca="1">IFERROR(__xludf.DUMMYFUNCTION("IMPORTRANGE(""https://docs.google.com/spreadsheets/d/1yhBcrRPreicbMKl9Bu_Snb2-OcQAF62RKfhTLhJ2eAA/edit?usp=sharing"",""กาฬสินธุ์!M49"")+IMPORTRANGE(""https://docs.google.com/spreadsheets/d/1aHkj4IaQMThhwWwevcOymEh837vdxeC_PycurhTbGFA/edit?usp=sharing"","""&amp;"ขอนแก่น!M49"")+IMPORTRANGE(""https://docs.google.com/spreadsheets/d/1FvTu2DsIWUjP6WCWra38Bkj_oOl_sOMf14r5Fg5srxU/edit?usp=sharing"",""ชัยภูมิ!M49"")+IMPORTRANGE(""https://docs.google.com/spreadsheets/d/1XVB7oCJ3pr-vBUdflwPQ8Z2LlzhnCvZaaYjAfP-647E/edit?usp"&amp;"=sharing"",""นครพนม!M49"")+IMPORTRANGE(""https://docs.google.com/spreadsheets/d/1Mnpb-8PYAgn85W6KOTD40hc_Xc55CaLfHoGAbrZ8tls/edit?usp=sharing"",""นครราชสีมา!M49"")+IMPORTRANGE(""https://docs.google.com/spreadsheets/d/1xoDLGBv9CYbyosIhki0kTq6IpYNj-gpjxfobn"&amp;"aDiut0/edit?usp=sharing"",""บึงกาฬ!M49"")+IMPORTRANGE(""https://docs.google.com/spreadsheets/d/1MMPq-JyI6DSgQETxuSiXkesP-P7JHuemnE6QJIa-Nlw/edit?usp=sharing"",""บุรีรัมย์!M49"")+IMPORTRANGE(""https://docs.google.com/spreadsheets/d/1l6IZ8xUPgMrESzcTYwhA1k_"&amp;"tPjeQjJPTqlm8Gd9eU5g/edit?usp=sharing"",""มหาสารคาม!M49"")+IMPORTRANGE(""https://docs.google.com/spreadsheets/d/1uB74YLqNjWX6FObjekfB2NtSYigTQyR2rq9u4Ub2Sq4/edit?usp=sharing"",""มุกดาหาร!M49"")+IMPORTRANGE(""https://docs.google.com/spreadsheets/d/1NexK3ge"&amp;"CPxCTO1fzNF8dPec7yZyUx3OaWkFBC9HsQOo/edit?usp=sharing"",""ยโสธร!M49"")+IMPORTRANGE(""https://docs.google.com/spreadsheets/d/1v_cJrbBlyqmnHPReHk44g9NrMRdENNlSy_E_c5M9fIg/edit?usp=sharing"",""ร้อยเอ็ด!M49"")+IMPORTRANGE(""https://docs.google.com/spreadsheet"&amp;"s/d/1Ul4RCpCX66NxYADU1QpwAPjOmBzW64SsT11s1wzXw_c/edit?usp=sharing"",""เลย!M49"")+IMPORTRANGE(""https://docs.google.com/spreadsheets/d/1bRrNKwbHDVktQG10isr5vbWRtt5spIZPpkOSWgbT5ug/edit?usp=sharing"",""ศรีสะเกษ!M49"")+IMPORTRANGE(""https://docs.google.com/s"&amp;"preadsheets/d/17P34_Ow5kFBfdQD0qspb2UuPX5zpi6WMrQzslghyvrI/edit?usp=sharing"",""สกลนคร!M49"")+IMPORTRANGE(""https://docs.google.com/spreadsheets/d/1yswqbM3-AEpThF3ZSUa1AcmHnmRTF1vlJ1CZGcJ8YuU/edit?usp=sharing"",""สุรินทร์!M49"")+IMPORTRANGE(""https://docs"&amp;".google.com/spreadsheets/d/13JHU_EFbsQOUQ0JSQ3dWy1VTRosIWcDq6Nc99z2qzdc/edit?usp=sharing"",""หนองคาย!M49"")+IMPORTRANGE(""https://docs.google.com/spreadsheets/d/1Hx73zIEgVdDZZaYSTc46Dqv64atFhpr3GelxLbaIN8A/edit?usp=sharing"",""หนองบัวลำภู!M49"")+IMPORTRAN"&amp;"GE(""https://docs.google.com/spreadsheets/d/1lFxr3ctmjFN90yc-xV6jrQ9Ty8BKYVBWnAZ15wcNIJc/edit?usp=sharing"",""อำนาจเจริญ!M49"")+IMPORTRANGE(""https://docs.google.com/spreadsheets/d/1gF7RJpRnL-1oyjyeWxs5SFWEH7y8ahOZsQlyp2A2e-A/edit?usp=sharing"",""อุดรธานี"&amp;"!M49"")+IMPORTRANGE(""https://docs.google.com/spreadsheets/d/1kfLP0j3INXRa8bTDpcEmoWewMBV61jlFlfzczfjWIgc/edit?usp=sharing"",""อุบลราชธานี!M49"")"),9668414.12)</f>
        <v>9668414.1199999992</v>
      </c>
      <c r="N49" s="56">
        <f ca="1">IFERROR(__xludf.DUMMYFUNCTION("IMPORTRANGE(""https://docs.google.com/spreadsheets/d/1yhBcrRPreicbMKl9Bu_Snb2-OcQAF62RKfhTLhJ2eAA/edit?usp=sharing"",""กาฬสินธุ์!N49"")+IMPORTRANGE(""https://docs.google.com/spreadsheets/d/1aHkj4IaQMThhwWwevcOymEh837vdxeC_PycurhTbGFA/edit?usp=sharing"","""&amp;"ขอนแก่น!N49"")+IMPORTRANGE(""https://docs.google.com/spreadsheets/d/1FvTu2DsIWUjP6WCWra38Bkj_oOl_sOMf14r5Fg5srxU/edit?usp=sharing"",""ชัยภูมิ!N49"")+IMPORTRANGE(""https://docs.google.com/spreadsheets/d/1XVB7oCJ3pr-vBUdflwPQ8Z2LlzhnCvZaaYjAfP-647E/edit?usp"&amp;"=sharing"",""นครพนม!N49"")+IMPORTRANGE(""https://docs.google.com/spreadsheets/d/1Mnpb-8PYAgn85W6KOTD40hc_Xc55CaLfHoGAbrZ8tls/edit?usp=sharing"",""นครราชสีมา!N49"")+IMPORTRANGE(""https://docs.google.com/spreadsheets/d/1xoDLGBv9CYbyosIhki0kTq6IpYNj-gpjxfobn"&amp;"aDiut0/edit?usp=sharing"",""บึงกาฬ!N49"")+IMPORTRANGE(""https://docs.google.com/spreadsheets/d/1MMPq-JyI6DSgQETxuSiXkesP-P7JHuemnE6QJIa-Nlw/edit?usp=sharing"",""บุรีรัมย์!N49"")+IMPORTRANGE(""https://docs.google.com/spreadsheets/d/1l6IZ8xUPgMrESzcTYwhA1k_"&amp;"tPjeQjJPTqlm8Gd9eU5g/edit?usp=sharing"",""มหาสารคาม!N49"")+IMPORTRANGE(""https://docs.google.com/spreadsheets/d/1uB74YLqNjWX6FObjekfB2NtSYigTQyR2rq9u4Ub2Sq4/edit?usp=sharing"",""มุกดาหาร!N49"")+IMPORTRANGE(""https://docs.google.com/spreadsheets/d/1NexK3ge"&amp;"CPxCTO1fzNF8dPec7yZyUx3OaWkFBC9HsQOo/edit?usp=sharing"",""ยโสธร!N49"")+IMPORTRANGE(""https://docs.google.com/spreadsheets/d/1v_cJrbBlyqmnHPReHk44g9NrMRdENNlSy_E_c5M9fIg/edit?usp=sharing"",""ร้อยเอ็ด!N49"")+IMPORTRANGE(""https://docs.google.com/spreadsheet"&amp;"s/d/1Ul4RCpCX66NxYADU1QpwAPjOmBzW64SsT11s1wzXw_c/edit?usp=sharing"",""เลย!N49"")+IMPORTRANGE(""https://docs.google.com/spreadsheets/d/1bRrNKwbHDVktQG10isr5vbWRtt5spIZPpkOSWgbT5ug/edit?usp=sharing"",""ศรีสะเกษ!N49"")+IMPORTRANGE(""https://docs.google.com/s"&amp;"preadsheets/d/17P34_Ow5kFBfdQD0qspb2UuPX5zpi6WMrQzslghyvrI/edit?usp=sharing"",""สกลนคร!N49"")+IMPORTRANGE(""https://docs.google.com/spreadsheets/d/1yswqbM3-AEpThF3ZSUa1AcmHnmRTF1vlJ1CZGcJ8YuU/edit?usp=sharing"",""สุรินทร์!N49"")+IMPORTRANGE(""https://docs"&amp;".google.com/spreadsheets/d/13JHU_EFbsQOUQ0JSQ3dWy1VTRosIWcDq6Nc99z2qzdc/edit?usp=sharing"",""หนองคาย!N49"")+IMPORTRANGE(""https://docs.google.com/spreadsheets/d/1Hx73zIEgVdDZZaYSTc46Dqv64atFhpr3GelxLbaIN8A/edit?usp=sharing"",""หนองบัวลำภู!N49"")+IMPORTRAN"&amp;"GE(""https://docs.google.com/spreadsheets/d/1lFxr3ctmjFN90yc-xV6jrQ9Ty8BKYVBWnAZ15wcNIJc/edit?usp=sharing"",""อำนาจเจริญ!N49"")+IMPORTRANGE(""https://docs.google.com/spreadsheets/d/1gF7RJpRnL-1oyjyeWxs5SFWEH7y8ahOZsQlyp2A2e-A/edit?usp=sharing"",""อุดรธานี"&amp;"!N49"")+IMPORTRANGE(""https://docs.google.com/spreadsheets/d/1kfLP0j3INXRa8bTDpcEmoWewMBV61jlFlfzczfjWIgc/edit?usp=sharing"",""อุบลราชธานี!N49"")"),8138440.2)</f>
        <v>8138440.2000000002</v>
      </c>
      <c r="O49" s="56">
        <f t="shared" ca="1" si="23"/>
        <v>91.674363419739649</v>
      </c>
      <c r="P49" s="56">
        <f t="shared" ca="1" si="24"/>
        <v>84.175544189453902</v>
      </c>
      <c r="Q49" s="56">
        <f ca="1">IFERROR(__xludf.DUMMYFUNCTION("IMPORTRANGE(""https://docs.google.com/spreadsheets/d/1yhBcrRPreicbMKl9Bu_Snb2-OcQAF62RKfhTLhJ2eAA/edit?usp=sharing"",""กาฬสินธุ์!Q49"")+IMPORTRANGE(""https://docs.google.com/spreadsheets/d/1aHkj4IaQMThhwWwevcOymEh837vdxeC_PycurhTbGFA/edit?usp=sharing"","""&amp;"ขอนแก่น!Q49"")+IMPORTRANGE(""https://docs.google.com/spreadsheets/d/1FvTu2DsIWUjP6WCWra38Bkj_oOl_sOMf14r5Fg5srxU/edit?usp=sharing"",""ชัยภูมิ!Q49"")+IMPORTRANGE(""https://docs.google.com/spreadsheets/d/1XVB7oCJ3pr-vBUdflwPQ8Z2LlzhnCvZaaYjAfP-647E/edit?usp"&amp;"=sharing"",""นครพนม!Q49"")+IMPORTRANGE(""https://docs.google.com/spreadsheets/d/1Mnpb-8PYAgn85W6KOTD40hc_Xc55CaLfHoGAbrZ8tls/edit?usp=sharing"",""นครราชสีมา!Q49"")+IMPORTRANGE(""https://docs.google.com/spreadsheets/d/1xoDLGBv9CYbyosIhki0kTq6IpYNj-gpjxfobn"&amp;"aDiut0/edit?usp=sharing"",""บึงกาฬ!Q49"")+IMPORTRANGE(""https://docs.google.com/spreadsheets/d/1MMPq-JyI6DSgQETxuSiXkesP-P7JHuemnE6QJIa-Nlw/edit?usp=sharing"",""บุรีรัมย์!Q49"")+IMPORTRANGE(""https://docs.google.com/spreadsheets/d/1l6IZ8xUPgMrESzcTYwhA1k_"&amp;"tPjeQjJPTqlm8Gd9eU5g/edit?usp=sharing"",""มหาสารคาม!Q49"")+IMPORTRANGE(""https://docs.google.com/spreadsheets/d/1uB74YLqNjWX6FObjekfB2NtSYigTQyR2rq9u4Ub2Sq4/edit?usp=sharing"",""มุกดาหาร!Q49"")+IMPORTRANGE(""https://docs.google.com/spreadsheets/d/1NexK3ge"&amp;"CPxCTO1fzNF8dPec7yZyUx3OaWkFBC9HsQOo/edit?usp=sharing"",""ยโสธร!Q49"")+IMPORTRANGE(""https://docs.google.com/spreadsheets/d/1v_cJrbBlyqmnHPReHk44g9NrMRdENNlSy_E_c5M9fIg/edit?usp=sharing"",""ร้อยเอ็ด!Q49"")+IMPORTRANGE(""https://docs.google.com/spreadsheet"&amp;"s/d/1Ul4RCpCX66NxYADU1QpwAPjOmBzW64SsT11s1wzXw_c/edit?usp=sharing"",""เลย!Q49"")+IMPORTRANGE(""https://docs.google.com/spreadsheets/d/1bRrNKwbHDVktQG10isr5vbWRtt5spIZPpkOSWgbT5ug/edit?usp=sharing"",""ศรีสะเกษ!Q49"")+IMPORTRANGE(""https://docs.google.com/s"&amp;"preadsheets/d/17P34_Ow5kFBfdQD0qspb2UuPX5zpi6WMrQzslghyvrI/edit?usp=sharing"",""สกลนคร!Q49"")+IMPORTRANGE(""https://docs.google.com/spreadsheets/d/1yswqbM3-AEpThF3ZSUa1AcmHnmRTF1vlJ1CZGcJ8YuU/edit?usp=sharing"",""สุรินทร์!Q49"")+IMPORTRANGE(""https://docs"&amp;".google.com/spreadsheets/d/13JHU_EFbsQOUQ0JSQ3dWy1VTRosIWcDq6Nc99z2qzdc/edit?usp=sharing"",""หนองคาย!Q49"")+IMPORTRANGE(""https://docs.google.com/spreadsheets/d/1Hx73zIEgVdDZZaYSTc46Dqv64atFhpr3GelxLbaIN8A/edit?usp=sharing"",""หนองบัวลำภู!Q49"")+IMPORTRAN"&amp;"GE(""https://docs.google.com/spreadsheets/d/1lFxr3ctmjFN90yc-xV6jrQ9Ty8BKYVBWnAZ15wcNIJc/edit?usp=sharing"",""อำนาจเจริญ!Q49"")+IMPORTRANGE(""https://docs.google.com/spreadsheets/d/1gF7RJpRnL-1oyjyeWxs5SFWEH7y8ahOZsQlyp2A2e-A/edit?usp=sharing"",""อุดรธานี"&amp;"!Q49"")+IMPORTRANGE(""https://docs.google.com/spreadsheets/d/1kfLP0j3INXRa8bTDpcEmoWewMBV61jlFlfzczfjWIgc/edit?usp=sharing"",""อุบลราชธานี!Q49"")"),0)</f>
        <v>0</v>
      </c>
      <c r="R49" s="56">
        <f ca="1">IFERROR(__xludf.DUMMYFUNCTION("IMPORTRANGE(""https://docs.google.com/spreadsheets/d/1yhBcrRPreicbMKl9Bu_Snb2-OcQAF62RKfhTLhJ2eAA/edit?usp=sharing"",""กาฬสินธุ์!R49"")+IMPORTRANGE(""https://docs.google.com/spreadsheets/d/1aHkj4IaQMThhwWwevcOymEh837vdxeC_PycurhTbGFA/edit?usp=sharing"","""&amp;"ขอนแก่น!R49"")+IMPORTRANGE(""https://docs.google.com/spreadsheets/d/1FvTu2DsIWUjP6WCWra38Bkj_oOl_sOMf14r5Fg5srxU/edit?usp=sharing"",""ชัยภูมิ!R49"")+IMPORTRANGE(""https://docs.google.com/spreadsheets/d/1XVB7oCJ3pr-vBUdflwPQ8Z2LlzhnCvZaaYjAfP-647E/edit?usp"&amp;"=sharing"",""นครพนม!R49"")+IMPORTRANGE(""https://docs.google.com/spreadsheets/d/1Mnpb-8PYAgn85W6KOTD40hc_Xc55CaLfHoGAbrZ8tls/edit?usp=sharing"",""นครราชสีมา!R49"")+IMPORTRANGE(""https://docs.google.com/spreadsheets/d/1xoDLGBv9CYbyosIhki0kTq6IpYNj-gpjxfobn"&amp;"aDiut0/edit?usp=sharing"",""บึงกาฬ!R49"")+IMPORTRANGE(""https://docs.google.com/spreadsheets/d/1MMPq-JyI6DSgQETxuSiXkesP-P7JHuemnE6QJIa-Nlw/edit?usp=sharing"",""บุรีรัมย์!R49"")+IMPORTRANGE(""https://docs.google.com/spreadsheets/d/1l6IZ8xUPgMrESzcTYwhA1k_"&amp;"tPjeQjJPTqlm8Gd9eU5g/edit?usp=sharing"",""มหาสารคาม!R49"")+IMPORTRANGE(""https://docs.google.com/spreadsheets/d/1uB74YLqNjWX6FObjekfB2NtSYigTQyR2rq9u4Ub2Sq4/edit?usp=sharing"",""มุกดาหาร!R49"")+IMPORTRANGE(""https://docs.google.com/spreadsheets/d/1NexK3ge"&amp;"CPxCTO1fzNF8dPec7yZyUx3OaWkFBC9HsQOo/edit?usp=sharing"",""ยโสธร!R49"")+IMPORTRANGE(""https://docs.google.com/spreadsheets/d/1v_cJrbBlyqmnHPReHk44g9NrMRdENNlSy_E_c5M9fIg/edit?usp=sharing"",""ร้อยเอ็ด!R49"")+IMPORTRANGE(""https://docs.google.com/spreadsheet"&amp;"s/d/1Ul4RCpCX66NxYADU1QpwAPjOmBzW64SsT11s1wzXw_c/edit?usp=sharing"",""เลย!R49"")+IMPORTRANGE(""https://docs.google.com/spreadsheets/d/1bRrNKwbHDVktQG10isr5vbWRtt5spIZPpkOSWgbT5ug/edit?usp=sharing"",""ศรีสะเกษ!R49"")+IMPORTRANGE(""https://docs.google.com/s"&amp;"preadsheets/d/17P34_Ow5kFBfdQD0qspb2UuPX5zpi6WMrQzslghyvrI/edit?usp=sharing"",""สกลนคร!R49"")+IMPORTRANGE(""https://docs.google.com/spreadsheets/d/1yswqbM3-AEpThF3ZSUa1AcmHnmRTF1vlJ1CZGcJ8YuU/edit?usp=sharing"",""สุรินทร์!R49"")+IMPORTRANGE(""https://docs"&amp;".google.com/spreadsheets/d/13JHU_EFbsQOUQ0JSQ3dWy1VTRosIWcDq6Nc99z2qzdc/edit?usp=sharing"",""หนองคาย!R49"")+IMPORTRANGE(""https://docs.google.com/spreadsheets/d/1Hx73zIEgVdDZZaYSTc46Dqv64atFhpr3GelxLbaIN8A/edit?usp=sharing"",""หนองบัวลำภู!R49"")+IMPORTRAN"&amp;"GE(""https://docs.google.com/spreadsheets/d/1lFxr3ctmjFN90yc-xV6jrQ9Ty8BKYVBWnAZ15wcNIJc/edit?usp=sharing"",""อำนาจเจริญ!R49"")+IMPORTRANGE(""https://docs.google.com/spreadsheets/d/1gF7RJpRnL-1oyjyeWxs5SFWEH7y8ahOZsQlyp2A2e-A/edit?usp=sharing"",""อุดรธานี"&amp;"!R49"")+IMPORTRANGE(""https://docs.google.com/spreadsheets/d/1kfLP0j3INXRa8bTDpcEmoWewMBV61jlFlfzczfjWIgc/edit?usp=sharing"",""อุบลราชธานี!R49"")"),0)</f>
        <v>0</v>
      </c>
      <c r="S49" s="57">
        <f ca="1">IFERROR(__xludf.DUMMYFUNCTION("IMPORTRANGE(""https://docs.google.com/spreadsheets/d/1yhBcrRPreicbMKl9Bu_Snb2-OcQAF62RKfhTLhJ2eAA/edit?usp=sharing"",""กาฬสินธุ์!S49"")+IMPORTRANGE(""https://docs.google.com/spreadsheets/d/1aHkj4IaQMThhwWwevcOymEh837vdxeC_PycurhTbGFA/edit?usp=sharing"","""&amp;"ขอนแก่น!S49"")+IMPORTRANGE(""https://docs.google.com/spreadsheets/d/1FvTu2DsIWUjP6WCWra38Bkj_oOl_sOMf14r5Fg5srxU/edit?usp=sharing"",""ชัยภูมิ!S49"")+IMPORTRANGE(""https://docs.google.com/spreadsheets/d/1XVB7oCJ3pr-vBUdflwPQ8Z2LlzhnCvZaaYjAfP-647E/edit?usp"&amp;"=sharing"",""นครพนม!S49"")+IMPORTRANGE(""https://docs.google.com/spreadsheets/d/1Mnpb-8PYAgn85W6KOTD40hc_Xc55CaLfHoGAbrZ8tls/edit?usp=sharing"",""นครราชสีมา!S49"")+IMPORTRANGE(""https://docs.google.com/spreadsheets/d/1xoDLGBv9CYbyosIhki0kTq6IpYNj-gpjxfobn"&amp;"aDiut0/edit?usp=sharing"",""บึงกาฬ!S49"")+IMPORTRANGE(""https://docs.google.com/spreadsheets/d/1MMPq-JyI6DSgQETxuSiXkesP-P7JHuemnE6QJIa-Nlw/edit?usp=sharing"",""บุรีรัมย์!S49"")+IMPORTRANGE(""https://docs.google.com/spreadsheets/d/1l6IZ8xUPgMrESzcTYwhA1k_"&amp;"tPjeQjJPTqlm8Gd9eU5g/edit?usp=sharing"",""มหาสารคาม!S49"")+IMPORTRANGE(""https://docs.google.com/spreadsheets/d/1uB74YLqNjWX6FObjekfB2NtSYigTQyR2rq9u4Ub2Sq4/edit?usp=sharing"",""มุกดาหาร!S49"")+IMPORTRANGE(""https://docs.google.com/spreadsheets/d/1NexK3ge"&amp;"CPxCTO1fzNF8dPec7yZyUx3OaWkFBC9HsQOo/edit?usp=sharing"",""ยโสธร!S49"")+IMPORTRANGE(""https://docs.google.com/spreadsheets/d/1v_cJrbBlyqmnHPReHk44g9NrMRdENNlSy_E_c5M9fIg/edit?usp=sharing"",""ร้อยเอ็ด!S49"")+IMPORTRANGE(""https://docs.google.com/spreadsheet"&amp;"s/d/1Ul4RCpCX66NxYADU1QpwAPjOmBzW64SsT11s1wzXw_c/edit?usp=sharing"",""เลย!S49"")+IMPORTRANGE(""https://docs.google.com/spreadsheets/d/1bRrNKwbHDVktQG10isr5vbWRtt5spIZPpkOSWgbT5ug/edit?usp=sharing"",""ศรีสะเกษ!S49"")+IMPORTRANGE(""https://docs.google.com/s"&amp;"preadsheets/d/17P34_Ow5kFBfdQD0qspb2UuPX5zpi6WMrQzslghyvrI/edit?usp=sharing"",""สกลนคร!S49"")+IMPORTRANGE(""https://docs.google.com/spreadsheets/d/1yswqbM3-AEpThF3ZSUa1AcmHnmRTF1vlJ1CZGcJ8YuU/edit?usp=sharing"",""สุรินทร์!S49"")+IMPORTRANGE(""https://docs"&amp;".google.com/spreadsheets/d/13JHU_EFbsQOUQ0JSQ3dWy1VTRosIWcDq6Nc99z2qzdc/edit?usp=sharing"",""หนองคาย!S49"")+IMPORTRANGE(""https://docs.google.com/spreadsheets/d/1Hx73zIEgVdDZZaYSTc46Dqv64atFhpr3GelxLbaIN8A/edit?usp=sharing"",""หนองบัวลำภู!S49"")+IMPORTRAN"&amp;"GE(""https://docs.google.com/spreadsheets/d/1lFxr3ctmjFN90yc-xV6jrQ9Ty8BKYVBWnAZ15wcNIJc/edit?usp=sharing"",""อำนาจเจริญ!S49"")+IMPORTRANGE(""https://docs.google.com/spreadsheets/d/1gF7RJpRnL-1oyjyeWxs5SFWEH7y8ahOZsQlyp2A2e-A/edit?usp=sharing"",""อุดรธานี"&amp;"!S49"")+IMPORTRANGE(""https://docs.google.com/spreadsheets/d/1kfLP0j3INXRa8bTDpcEmoWewMBV61jlFlfzczfjWIgc/edit?usp=sharing"",""อุบลราชธานี!S49"")"),0)</f>
        <v>0</v>
      </c>
      <c r="T49" s="56">
        <f t="shared" ca="1" si="26"/>
        <v>0</v>
      </c>
      <c r="U49" s="56">
        <f t="shared" ca="1" si="27"/>
        <v>0</v>
      </c>
    </row>
    <row r="50" spans="1:21" ht="18.75">
      <c r="A50" s="49"/>
      <c r="B50" s="50"/>
      <c r="C50" s="50"/>
      <c r="D50" s="61" t="s">
        <v>23</v>
      </c>
      <c r="E50" s="50"/>
      <c r="F50" s="50"/>
      <c r="G50" s="52"/>
      <c r="H50" s="53" t="s">
        <v>14</v>
      </c>
      <c r="I50" s="54"/>
      <c r="J50" s="54"/>
      <c r="K50" s="55"/>
      <c r="L50" s="56">
        <f t="shared" ref="L50:N50" ca="1" si="34">L51+L52</f>
        <v>0</v>
      </c>
      <c r="M50" s="56">
        <f t="shared" ca="1" si="34"/>
        <v>0</v>
      </c>
      <c r="N50" s="56">
        <f t="shared" ca="1" si="34"/>
        <v>0</v>
      </c>
      <c r="O50" s="56">
        <f t="shared" ca="1" si="23"/>
        <v>0</v>
      </c>
      <c r="P50" s="56">
        <f t="shared" ca="1" si="24"/>
        <v>0</v>
      </c>
      <c r="Q50" s="56">
        <f t="shared" ref="Q50:S50" ca="1" si="35">Q51+Q52</f>
        <v>0</v>
      </c>
      <c r="R50" s="56">
        <f t="shared" ca="1" si="35"/>
        <v>0</v>
      </c>
      <c r="S50" s="57">
        <f t="shared" ca="1" si="35"/>
        <v>0</v>
      </c>
      <c r="T50" s="56">
        <f t="shared" ca="1" si="26"/>
        <v>0</v>
      </c>
      <c r="U50" s="56">
        <f t="shared" ca="1" si="27"/>
        <v>0</v>
      </c>
    </row>
    <row r="51" spans="1:21" ht="18.75">
      <c r="A51" s="49"/>
      <c r="B51" s="50"/>
      <c r="C51" s="50"/>
      <c r="D51" s="50"/>
      <c r="E51" s="58" t="s">
        <v>20</v>
      </c>
      <c r="F51" s="50"/>
      <c r="G51" s="52"/>
      <c r="H51" s="53" t="s">
        <v>14</v>
      </c>
      <c r="I51" s="54"/>
      <c r="J51" s="54"/>
      <c r="K51" s="55"/>
      <c r="L51" s="102">
        <v>0</v>
      </c>
      <c r="M51" s="102">
        <v>0</v>
      </c>
      <c r="N51" s="102">
        <v>0</v>
      </c>
      <c r="O51" s="59">
        <f t="shared" si="23"/>
        <v>0</v>
      </c>
      <c r="P51" s="59">
        <f t="shared" si="24"/>
        <v>0</v>
      </c>
      <c r="Q51" s="102">
        <v>0</v>
      </c>
      <c r="R51" s="102">
        <v>0</v>
      </c>
      <c r="S51" s="103">
        <v>0</v>
      </c>
      <c r="T51" s="59">
        <f t="shared" si="26"/>
        <v>0</v>
      </c>
      <c r="U51" s="59">
        <f t="shared" si="27"/>
        <v>0</v>
      </c>
    </row>
    <row r="52" spans="1:21" ht="18.75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56">
        <f ca="1">IFERROR(__xludf.DUMMYFUNCTION("IMPORTRANGE(""https://docs.google.com/spreadsheets/d/1yhBcrRPreicbMKl9Bu_Snb2-OcQAF62RKfhTLhJ2eAA/edit?usp=sharing"",""กาฬสินธุ์!L52"")+IMPORTRANGE(""https://docs.google.com/spreadsheets/d/1aHkj4IaQMThhwWwevcOymEh837vdxeC_PycurhTbGFA/edit?usp=sharing"","""&amp;"ขอนแก่น!L52"")+IMPORTRANGE(""https://docs.google.com/spreadsheets/d/1FvTu2DsIWUjP6WCWra38Bkj_oOl_sOMf14r5Fg5srxU/edit?usp=sharing"",""ชัยภูมิ!L52"")+IMPORTRANGE(""https://docs.google.com/spreadsheets/d/1XVB7oCJ3pr-vBUdflwPQ8Z2LlzhnCvZaaYjAfP-647E/edit?usp"&amp;"=sharing"",""นครพนม!L52"")+IMPORTRANGE(""https://docs.google.com/spreadsheets/d/1Mnpb-8PYAgn85W6KOTD40hc_Xc55CaLfHoGAbrZ8tls/edit?usp=sharing"",""นครราชสีมา!L52"")+IMPORTRANGE(""https://docs.google.com/spreadsheets/d/1xoDLGBv9CYbyosIhki0kTq6IpYNj-gpjxfobn"&amp;"aDiut0/edit?usp=sharing"",""บึงกาฬ!L52"")+IMPORTRANGE(""https://docs.google.com/spreadsheets/d/1MMPq-JyI6DSgQETxuSiXkesP-P7JHuemnE6QJIa-Nlw/edit?usp=sharing"",""บุรีรัมย์!L52"")+IMPORTRANGE(""https://docs.google.com/spreadsheets/d/1l6IZ8xUPgMrESzcTYwhA1k_"&amp;"tPjeQjJPTqlm8Gd9eU5g/edit?usp=sharing"",""มหาสารคาม!L52"")+IMPORTRANGE(""https://docs.google.com/spreadsheets/d/1uB74YLqNjWX6FObjekfB2NtSYigTQyR2rq9u4Ub2Sq4/edit?usp=sharing"",""มุกดาหาร!L52"")+IMPORTRANGE(""https://docs.google.com/spreadsheets/d/1NexK3ge"&amp;"CPxCTO1fzNF8dPec7yZyUx3OaWkFBC9HsQOo/edit?usp=sharing"",""ยโสธร!L52"")+IMPORTRANGE(""https://docs.google.com/spreadsheets/d/1v_cJrbBlyqmnHPReHk44g9NrMRdENNlSy_E_c5M9fIg/edit?usp=sharing"",""ร้อยเอ็ด!L52"")+IMPORTRANGE(""https://docs.google.com/spreadsheet"&amp;"s/d/1Ul4RCpCX66NxYADU1QpwAPjOmBzW64SsT11s1wzXw_c/edit?usp=sharing"",""เลย!L52"")+IMPORTRANGE(""https://docs.google.com/spreadsheets/d/1bRrNKwbHDVktQG10isr5vbWRtt5spIZPpkOSWgbT5ug/edit?usp=sharing"",""ศรีสะเกษ!L52"")+IMPORTRANGE(""https://docs.google.com/s"&amp;"preadsheets/d/17P34_Ow5kFBfdQD0qspb2UuPX5zpi6WMrQzslghyvrI/edit?usp=sharing"",""สกลนคร!L52"")+IMPORTRANGE(""https://docs.google.com/spreadsheets/d/1yswqbM3-AEpThF3ZSUa1AcmHnmRTF1vlJ1CZGcJ8YuU/edit?usp=sharing"",""สุรินทร์!L52"")+IMPORTRANGE(""https://docs"&amp;".google.com/spreadsheets/d/13JHU_EFbsQOUQ0JSQ3dWy1VTRosIWcDq6Nc99z2qzdc/edit?usp=sharing"",""หนองคาย!L52"")+IMPORTRANGE(""https://docs.google.com/spreadsheets/d/1Hx73zIEgVdDZZaYSTc46Dqv64atFhpr3GelxLbaIN8A/edit?usp=sharing"",""หนองบัวลำภู!L52"")+IMPORTRAN"&amp;"GE(""https://docs.google.com/spreadsheets/d/1lFxr3ctmjFN90yc-xV6jrQ9Ty8BKYVBWnAZ15wcNIJc/edit?usp=sharing"",""อำนาจเจริญ!L52"")+IMPORTRANGE(""https://docs.google.com/spreadsheets/d/1gF7RJpRnL-1oyjyeWxs5SFWEH7y8ahOZsQlyp2A2e-A/edit?usp=sharing"",""อุดรธานี"&amp;"!L52"")+IMPORTRANGE(""https://docs.google.com/spreadsheets/d/1kfLP0j3INXRa8bTDpcEmoWewMBV61jlFlfzczfjWIgc/edit?usp=sharing"",""อุบลราชธานี!L52"")"),0)</f>
        <v>0</v>
      </c>
      <c r="M52" s="56">
        <f ca="1">IFERROR(__xludf.DUMMYFUNCTION("IMPORTRANGE(""https://docs.google.com/spreadsheets/d/1yhBcrRPreicbMKl9Bu_Snb2-OcQAF62RKfhTLhJ2eAA/edit?usp=sharing"",""กาฬสินธุ์!M52"")+IMPORTRANGE(""https://docs.google.com/spreadsheets/d/1aHkj4IaQMThhwWwevcOymEh837vdxeC_PycurhTbGFA/edit?usp=sharing"","""&amp;"ขอนแก่น!M52"")+IMPORTRANGE(""https://docs.google.com/spreadsheets/d/1FvTu2DsIWUjP6WCWra38Bkj_oOl_sOMf14r5Fg5srxU/edit?usp=sharing"",""ชัยภูมิ!M52"")+IMPORTRANGE(""https://docs.google.com/spreadsheets/d/1XVB7oCJ3pr-vBUdflwPQ8Z2LlzhnCvZaaYjAfP-647E/edit?usp"&amp;"=sharing"",""นครพนม!M52"")+IMPORTRANGE(""https://docs.google.com/spreadsheets/d/1Mnpb-8PYAgn85W6KOTD40hc_Xc55CaLfHoGAbrZ8tls/edit?usp=sharing"",""นครราชสีมา!M52"")+IMPORTRANGE(""https://docs.google.com/spreadsheets/d/1xoDLGBv9CYbyosIhki0kTq6IpYNj-gpjxfobn"&amp;"aDiut0/edit?usp=sharing"",""บึงกาฬ!M52"")+IMPORTRANGE(""https://docs.google.com/spreadsheets/d/1MMPq-JyI6DSgQETxuSiXkesP-P7JHuemnE6QJIa-Nlw/edit?usp=sharing"",""บุรีรัมย์!M52"")+IMPORTRANGE(""https://docs.google.com/spreadsheets/d/1l6IZ8xUPgMrESzcTYwhA1k_"&amp;"tPjeQjJPTqlm8Gd9eU5g/edit?usp=sharing"",""มหาสารคาม!M52"")+IMPORTRANGE(""https://docs.google.com/spreadsheets/d/1uB74YLqNjWX6FObjekfB2NtSYigTQyR2rq9u4Ub2Sq4/edit?usp=sharing"",""มุกดาหาร!M52"")+IMPORTRANGE(""https://docs.google.com/spreadsheets/d/1NexK3ge"&amp;"CPxCTO1fzNF8dPec7yZyUx3OaWkFBC9HsQOo/edit?usp=sharing"",""ยโสธร!M52"")+IMPORTRANGE(""https://docs.google.com/spreadsheets/d/1v_cJrbBlyqmnHPReHk44g9NrMRdENNlSy_E_c5M9fIg/edit?usp=sharing"",""ร้อยเอ็ด!M52"")+IMPORTRANGE(""https://docs.google.com/spreadsheet"&amp;"s/d/1Ul4RCpCX66NxYADU1QpwAPjOmBzW64SsT11s1wzXw_c/edit?usp=sharing"",""เลย!M52"")+IMPORTRANGE(""https://docs.google.com/spreadsheets/d/1bRrNKwbHDVktQG10isr5vbWRtt5spIZPpkOSWgbT5ug/edit?usp=sharing"",""ศรีสะเกษ!M52"")+IMPORTRANGE(""https://docs.google.com/s"&amp;"preadsheets/d/17P34_Ow5kFBfdQD0qspb2UuPX5zpi6WMrQzslghyvrI/edit?usp=sharing"",""สกลนคร!M52"")+IMPORTRANGE(""https://docs.google.com/spreadsheets/d/1yswqbM3-AEpThF3ZSUa1AcmHnmRTF1vlJ1CZGcJ8YuU/edit?usp=sharing"",""สุรินทร์!M52"")+IMPORTRANGE(""https://docs"&amp;".google.com/spreadsheets/d/13JHU_EFbsQOUQ0JSQ3dWy1VTRosIWcDq6Nc99z2qzdc/edit?usp=sharing"",""หนองคาย!M52"")+IMPORTRANGE(""https://docs.google.com/spreadsheets/d/1Hx73zIEgVdDZZaYSTc46Dqv64atFhpr3GelxLbaIN8A/edit?usp=sharing"",""หนองบัวลำภู!M52"")+IMPORTRAN"&amp;"GE(""https://docs.google.com/spreadsheets/d/1lFxr3ctmjFN90yc-xV6jrQ9Ty8BKYVBWnAZ15wcNIJc/edit?usp=sharing"",""อำนาจเจริญ!M52"")+IMPORTRANGE(""https://docs.google.com/spreadsheets/d/1gF7RJpRnL-1oyjyeWxs5SFWEH7y8ahOZsQlyp2A2e-A/edit?usp=sharing"",""อุดรธานี"&amp;"!M52"")+IMPORTRANGE(""https://docs.google.com/spreadsheets/d/1kfLP0j3INXRa8bTDpcEmoWewMBV61jlFlfzczfjWIgc/edit?usp=sharing"",""อุบลราชธานี!M52"")"),0)</f>
        <v>0</v>
      </c>
      <c r="N52" s="56">
        <f ca="1">IFERROR(__xludf.DUMMYFUNCTION("IMPORTRANGE(""https://docs.google.com/spreadsheets/d/1yhBcrRPreicbMKl9Bu_Snb2-OcQAF62RKfhTLhJ2eAA/edit?usp=sharing"",""กาฬสินธุ์!N52"")+IMPORTRANGE(""https://docs.google.com/spreadsheets/d/1aHkj4IaQMThhwWwevcOymEh837vdxeC_PycurhTbGFA/edit?usp=sharing"","""&amp;"ขอนแก่น!N52"")+IMPORTRANGE(""https://docs.google.com/spreadsheets/d/1FvTu2DsIWUjP6WCWra38Bkj_oOl_sOMf14r5Fg5srxU/edit?usp=sharing"",""ชัยภูมิ!N52"")+IMPORTRANGE(""https://docs.google.com/spreadsheets/d/1XVB7oCJ3pr-vBUdflwPQ8Z2LlzhnCvZaaYjAfP-647E/edit?usp"&amp;"=sharing"",""นครพนม!N52"")+IMPORTRANGE(""https://docs.google.com/spreadsheets/d/1Mnpb-8PYAgn85W6KOTD40hc_Xc55CaLfHoGAbrZ8tls/edit?usp=sharing"",""นครราชสีมา!N52"")+IMPORTRANGE(""https://docs.google.com/spreadsheets/d/1xoDLGBv9CYbyosIhki0kTq6IpYNj-gpjxfobn"&amp;"aDiut0/edit?usp=sharing"",""บึงกาฬ!N52"")+IMPORTRANGE(""https://docs.google.com/spreadsheets/d/1MMPq-JyI6DSgQETxuSiXkesP-P7JHuemnE6QJIa-Nlw/edit?usp=sharing"",""บุรีรัมย์!N52"")+IMPORTRANGE(""https://docs.google.com/spreadsheets/d/1l6IZ8xUPgMrESzcTYwhA1k_"&amp;"tPjeQjJPTqlm8Gd9eU5g/edit?usp=sharing"",""มหาสารคาม!N52"")+IMPORTRANGE(""https://docs.google.com/spreadsheets/d/1uB74YLqNjWX6FObjekfB2NtSYigTQyR2rq9u4Ub2Sq4/edit?usp=sharing"",""มุกดาหาร!N52"")+IMPORTRANGE(""https://docs.google.com/spreadsheets/d/1NexK3ge"&amp;"CPxCTO1fzNF8dPec7yZyUx3OaWkFBC9HsQOo/edit?usp=sharing"",""ยโสธร!N52"")+IMPORTRANGE(""https://docs.google.com/spreadsheets/d/1v_cJrbBlyqmnHPReHk44g9NrMRdENNlSy_E_c5M9fIg/edit?usp=sharing"",""ร้อยเอ็ด!N52"")+IMPORTRANGE(""https://docs.google.com/spreadsheet"&amp;"s/d/1Ul4RCpCX66NxYADU1QpwAPjOmBzW64SsT11s1wzXw_c/edit?usp=sharing"",""เลย!N52"")+IMPORTRANGE(""https://docs.google.com/spreadsheets/d/1bRrNKwbHDVktQG10isr5vbWRtt5spIZPpkOSWgbT5ug/edit?usp=sharing"",""ศรีสะเกษ!N52"")+IMPORTRANGE(""https://docs.google.com/s"&amp;"preadsheets/d/17P34_Ow5kFBfdQD0qspb2UuPX5zpi6WMrQzslghyvrI/edit?usp=sharing"",""สกลนคร!N52"")+IMPORTRANGE(""https://docs.google.com/spreadsheets/d/1yswqbM3-AEpThF3ZSUa1AcmHnmRTF1vlJ1CZGcJ8YuU/edit?usp=sharing"",""สุรินทร์!N52"")+IMPORTRANGE(""https://docs"&amp;".google.com/spreadsheets/d/13JHU_EFbsQOUQ0JSQ3dWy1VTRosIWcDq6Nc99z2qzdc/edit?usp=sharing"",""หนองคาย!N52"")+IMPORTRANGE(""https://docs.google.com/spreadsheets/d/1Hx73zIEgVdDZZaYSTc46Dqv64atFhpr3GelxLbaIN8A/edit?usp=sharing"",""หนองบัวลำภู!N52"")+IMPORTRAN"&amp;"GE(""https://docs.google.com/spreadsheets/d/1lFxr3ctmjFN90yc-xV6jrQ9Ty8BKYVBWnAZ15wcNIJc/edit?usp=sharing"",""อำนาจเจริญ!N52"")+IMPORTRANGE(""https://docs.google.com/spreadsheets/d/1gF7RJpRnL-1oyjyeWxs5SFWEH7y8ahOZsQlyp2A2e-A/edit?usp=sharing"",""อุดรธานี"&amp;"!N52"")+IMPORTRANGE(""https://docs.google.com/spreadsheets/d/1kfLP0j3INXRa8bTDpcEmoWewMBV61jlFlfzczfjWIgc/edit?usp=sharing"",""อุบลราชธานี!N52"")"),0)</f>
        <v>0</v>
      </c>
      <c r="O52" s="56">
        <f t="shared" ca="1" si="23"/>
        <v>0</v>
      </c>
      <c r="P52" s="56">
        <f t="shared" ca="1" si="24"/>
        <v>0</v>
      </c>
      <c r="Q52" s="56">
        <f ca="1">IFERROR(__xludf.DUMMYFUNCTION("IMPORTRANGE(""https://docs.google.com/spreadsheets/d/1yhBcrRPreicbMKl9Bu_Snb2-OcQAF62RKfhTLhJ2eAA/edit?usp=sharing"",""กาฬสินธุ์!Q52"")+IMPORTRANGE(""https://docs.google.com/spreadsheets/d/1aHkj4IaQMThhwWwevcOymEh837vdxeC_PycurhTbGFA/edit?usp=sharing"","""&amp;"ขอนแก่น!Q52"")+IMPORTRANGE(""https://docs.google.com/spreadsheets/d/1FvTu2DsIWUjP6WCWra38Bkj_oOl_sOMf14r5Fg5srxU/edit?usp=sharing"",""ชัยภูมิ!Q52"")+IMPORTRANGE(""https://docs.google.com/spreadsheets/d/1XVB7oCJ3pr-vBUdflwPQ8Z2LlzhnCvZaaYjAfP-647E/edit?usp"&amp;"=sharing"",""นครพนม!Q52"")+IMPORTRANGE(""https://docs.google.com/spreadsheets/d/1Mnpb-8PYAgn85W6KOTD40hc_Xc55CaLfHoGAbrZ8tls/edit?usp=sharing"",""นครราชสีมา!Q52"")+IMPORTRANGE(""https://docs.google.com/spreadsheets/d/1xoDLGBv9CYbyosIhki0kTq6IpYNj-gpjxfobn"&amp;"aDiut0/edit?usp=sharing"",""บึงกาฬ!Q52"")+IMPORTRANGE(""https://docs.google.com/spreadsheets/d/1MMPq-JyI6DSgQETxuSiXkesP-P7JHuemnE6QJIa-Nlw/edit?usp=sharing"",""บุรีรัมย์!Q52"")+IMPORTRANGE(""https://docs.google.com/spreadsheets/d/1l6IZ8xUPgMrESzcTYwhA1k_"&amp;"tPjeQjJPTqlm8Gd9eU5g/edit?usp=sharing"",""มหาสารคาม!Q52"")+IMPORTRANGE(""https://docs.google.com/spreadsheets/d/1uB74YLqNjWX6FObjekfB2NtSYigTQyR2rq9u4Ub2Sq4/edit?usp=sharing"",""มุกดาหาร!Q52"")+IMPORTRANGE(""https://docs.google.com/spreadsheets/d/1NexK3ge"&amp;"CPxCTO1fzNF8dPec7yZyUx3OaWkFBC9HsQOo/edit?usp=sharing"",""ยโสธร!Q52"")+IMPORTRANGE(""https://docs.google.com/spreadsheets/d/1v_cJrbBlyqmnHPReHk44g9NrMRdENNlSy_E_c5M9fIg/edit?usp=sharing"",""ร้อยเอ็ด!Q52"")+IMPORTRANGE(""https://docs.google.com/spreadsheet"&amp;"s/d/1Ul4RCpCX66NxYADU1QpwAPjOmBzW64SsT11s1wzXw_c/edit?usp=sharing"",""เลย!Q52"")+IMPORTRANGE(""https://docs.google.com/spreadsheets/d/1bRrNKwbHDVktQG10isr5vbWRtt5spIZPpkOSWgbT5ug/edit?usp=sharing"",""ศรีสะเกษ!Q52"")+IMPORTRANGE(""https://docs.google.com/s"&amp;"preadsheets/d/17P34_Ow5kFBfdQD0qspb2UuPX5zpi6WMrQzslghyvrI/edit?usp=sharing"",""สกลนคร!Q52"")+IMPORTRANGE(""https://docs.google.com/spreadsheets/d/1yswqbM3-AEpThF3ZSUa1AcmHnmRTF1vlJ1CZGcJ8YuU/edit?usp=sharing"",""สุรินทร์!Q52"")+IMPORTRANGE(""https://docs"&amp;".google.com/spreadsheets/d/13JHU_EFbsQOUQ0JSQ3dWy1VTRosIWcDq6Nc99z2qzdc/edit?usp=sharing"",""หนองคาย!Q52"")+IMPORTRANGE(""https://docs.google.com/spreadsheets/d/1Hx73zIEgVdDZZaYSTc46Dqv64atFhpr3GelxLbaIN8A/edit?usp=sharing"",""หนองบัวลำภู!Q52"")+IMPORTRAN"&amp;"GE(""https://docs.google.com/spreadsheets/d/1lFxr3ctmjFN90yc-xV6jrQ9Ty8BKYVBWnAZ15wcNIJc/edit?usp=sharing"",""อำนาจเจริญ!Q52"")+IMPORTRANGE(""https://docs.google.com/spreadsheets/d/1gF7RJpRnL-1oyjyeWxs5SFWEH7y8ahOZsQlyp2A2e-A/edit?usp=sharing"",""อุดรธานี"&amp;"!Q52"")+IMPORTRANGE(""https://docs.google.com/spreadsheets/d/1kfLP0j3INXRa8bTDpcEmoWewMBV61jlFlfzczfjWIgc/edit?usp=sharing"",""อุบลราชธานี!Q52"")"),0)</f>
        <v>0</v>
      </c>
      <c r="R52" s="56">
        <f ca="1">IFERROR(__xludf.DUMMYFUNCTION("IMPORTRANGE(""https://docs.google.com/spreadsheets/d/1yhBcrRPreicbMKl9Bu_Snb2-OcQAF62RKfhTLhJ2eAA/edit?usp=sharing"",""กาฬสินธุ์!R52"")+IMPORTRANGE(""https://docs.google.com/spreadsheets/d/1aHkj4IaQMThhwWwevcOymEh837vdxeC_PycurhTbGFA/edit?usp=sharing"","""&amp;"ขอนแก่น!R52"")+IMPORTRANGE(""https://docs.google.com/spreadsheets/d/1FvTu2DsIWUjP6WCWra38Bkj_oOl_sOMf14r5Fg5srxU/edit?usp=sharing"",""ชัยภูมิ!R52"")+IMPORTRANGE(""https://docs.google.com/spreadsheets/d/1XVB7oCJ3pr-vBUdflwPQ8Z2LlzhnCvZaaYjAfP-647E/edit?usp"&amp;"=sharing"",""นครพนม!R52"")+IMPORTRANGE(""https://docs.google.com/spreadsheets/d/1Mnpb-8PYAgn85W6KOTD40hc_Xc55CaLfHoGAbrZ8tls/edit?usp=sharing"",""นครราชสีมา!R52"")+IMPORTRANGE(""https://docs.google.com/spreadsheets/d/1xoDLGBv9CYbyosIhki0kTq6IpYNj-gpjxfobn"&amp;"aDiut0/edit?usp=sharing"",""บึงกาฬ!R52"")+IMPORTRANGE(""https://docs.google.com/spreadsheets/d/1MMPq-JyI6DSgQETxuSiXkesP-P7JHuemnE6QJIa-Nlw/edit?usp=sharing"",""บุรีรัมย์!R52"")+IMPORTRANGE(""https://docs.google.com/spreadsheets/d/1l6IZ8xUPgMrESzcTYwhA1k_"&amp;"tPjeQjJPTqlm8Gd9eU5g/edit?usp=sharing"",""มหาสารคาม!R52"")+IMPORTRANGE(""https://docs.google.com/spreadsheets/d/1uB74YLqNjWX6FObjekfB2NtSYigTQyR2rq9u4Ub2Sq4/edit?usp=sharing"",""มุกดาหาร!R52"")+IMPORTRANGE(""https://docs.google.com/spreadsheets/d/1NexK3ge"&amp;"CPxCTO1fzNF8dPec7yZyUx3OaWkFBC9HsQOo/edit?usp=sharing"",""ยโสธร!R52"")+IMPORTRANGE(""https://docs.google.com/spreadsheets/d/1v_cJrbBlyqmnHPReHk44g9NrMRdENNlSy_E_c5M9fIg/edit?usp=sharing"",""ร้อยเอ็ด!R52"")+IMPORTRANGE(""https://docs.google.com/spreadsheet"&amp;"s/d/1Ul4RCpCX66NxYADU1QpwAPjOmBzW64SsT11s1wzXw_c/edit?usp=sharing"",""เลย!R52"")+IMPORTRANGE(""https://docs.google.com/spreadsheets/d/1bRrNKwbHDVktQG10isr5vbWRtt5spIZPpkOSWgbT5ug/edit?usp=sharing"",""ศรีสะเกษ!R52"")+IMPORTRANGE(""https://docs.google.com/s"&amp;"preadsheets/d/17P34_Ow5kFBfdQD0qspb2UuPX5zpi6WMrQzslghyvrI/edit?usp=sharing"",""สกลนคร!R52"")+IMPORTRANGE(""https://docs.google.com/spreadsheets/d/1yswqbM3-AEpThF3ZSUa1AcmHnmRTF1vlJ1CZGcJ8YuU/edit?usp=sharing"",""สุรินทร์!R52"")+IMPORTRANGE(""https://docs"&amp;".google.com/spreadsheets/d/13JHU_EFbsQOUQ0JSQ3dWy1VTRosIWcDq6Nc99z2qzdc/edit?usp=sharing"",""หนองคาย!R52"")+IMPORTRANGE(""https://docs.google.com/spreadsheets/d/1Hx73zIEgVdDZZaYSTc46Dqv64atFhpr3GelxLbaIN8A/edit?usp=sharing"",""หนองบัวลำภู!R52"")+IMPORTRAN"&amp;"GE(""https://docs.google.com/spreadsheets/d/1lFxr3ctmjFN90yc-xV6jrQ9Ty8BKYVBWnAZ15wcNIJc/edit?usp=sharing"",""อำนาจเจริญ!R52"")+IMPORTRANGE(""https://docs.google.com/spreadsheets/d/1gF7RJpRnL-1oyjyeWxs5SFWEH7y8ahOZsQlyp2A2e-A/edit?usp=sharing"",""อุดรธานี"&amp;"!R52"")+IMPORTRANGE(""https://docs.google.com/spreadsheets/d/1kfLP0j3INXRa8bTDpcEmoWewMBV61jlFlfzczfjWIgc/edit?usp=sharing"",""อุบลราชธานี!R52"")"),0)</f>
        <v>0</v>
      </c>
      <c r="S52" s="57">
        <f ca="1">IFERROR(__xludf.DUMMYFUNCTION("IMPORTRANGE(""https://docs.google.com/spreadsheets/d/1yhBcrRPreicbMKl9Bu_Snb2-OcQAF62RKfhTLhJ2eAA/edit?usp=sharing"",""กาฬสินธุ์!S52"")+IMPORTRANGE(""https://docs.google.com/spreadsheets/d/1aHkj4IaQMThhwWwevcOymEh837vdxeC_PycurhTbGFA/edit?usp=sharing"","""&amp;"ขอนแก่น!S52"")+IMPORTRANGE(""https://docs.google.com/spreadsheets/d/1FvTu2DsIWUjP6WCWra38Bkj_oOl_sOMf14r5Fg5srxU/edit?usp=sharing"",""ชัยภูมิ!S52"")+IMPORTRANGE(""https://docs.google.com/spreadsheets/d/1XVB7oCJ3pr-vBUdflwPQ8Z2LlzhnCvZaaYjAfP-647E/edit?usp"&amp;"=sharing"",""นครพนม!S52"")+IMPORTRANGE(""https://docs.google.com/spreadsheets/d/1Mnpb-8PYAgn85W6KOTD40hc_Xc55CaLfHoGAbrZ8tls/edit?usp=sharing"",""นครราชสีมา!S52"")+IMPORTRANGE(""https://docs.google.com/spreadsheets/d/1xoDLGBv9CYbyosIhki0kTq6IpYNj-gpjxfobn"&amp;"aDiut0/edit?usp=sharing"",""บึงกาฬ!S52"")+IMPORTRANGE(""https://docs.google.com/spreadsheets/d/1MMPq-JyI6DSgQETxuSiXkesP-P7JHuemnE6QJIa-Nlw/edit?usp=sharing"",""บุรีรัมย์!S52"")+IMPORTRANGE(""https://docs.google.com/spreadsheets/d/1l6IZ8xUPgMrESzcTYwhA1k_"&amp;"tPjeQjJPTqlm8Gd9eU5g/edit?usp=sharing"",""มหาสารคาม!S52"")+IMPORTRANGE(""https://docs.google.com/spreadsheets/d/1uB74YLqNjWX6FObjekfB2NtSYigTQyR2rq9u4Ub2Sq4/edit?usp=sharing"",""มุกดาหาร!S52"")+IMPORTRANGE(""https://docs.google.com/spreadsheets/d/1NexK3ge"&amp;"CPxCTO1fzNF8dPec7yZyUx3OaWkFBC9HsQOo/edit?usp=sharing"",""ยโสธร!S52"")+IMPORTRANGE(""https://docs.google.com/spreadsheets/d/1v_cJrbBlyqmnHPReHk44g9NrMRdENNlSy_E_c5M9fIg/edit?usp=sharing"",""ร้อยเอ็ด!S52"")+IMPORTRANGE(""https://docs.google.com/spreadsheet"&amp;"s/d/1Ul4RCpCX66NxYADU1QpwAPjOmBzW64SsT11s1wzXw_c/edit?usp=sharing"",""เลย!S52"")+IMPORTRANGE(""https://docs.google.com/spreadsheets/d/1bRrNKwbHDVktQG10isr5vbWRtt5spIZPpkOSWgbT5ug/edit?usp=sharing"",""ศรีสะเกษ!S52"")+IMPORTRANGE(""https://docs.google.com/s"&amp;"preadsheets/d/17P34_Ow5kFBfdQD0qspb2UuPX5zpi6WMrQzslghyvrI/edit?usp=sharing"",""สกลนคร!S52"")+IMPORTRANGE(""https://docs.google.com/spreadsheets/d/1yswqbM3-AEpThF3ZSUa1AcmHnmRTF1vlJ1CZGcJ8YuU/edit?usp=sharing"",""สุรินทร์!S52"")+IMPORTRANGE(""https://docs"&amp;".google.com/spreadsheets/d/13JHU_EFbsQOUQ0JSQ3dWy1VTRosIWcDq6Nc99z2qzdc/edit?usp=sharing"",""หนองคาย!S52"")+IMPORTRANGE(""https://docs.google.com/spreadsheets/d/1Hx73zIEgVdDZZaYSTc46Dqv64atFhpr3GelxLbaIN8A/edit?usp=sharing"",""หนองบัวลำภู!S52"")+IMPORTRAN"&amp;"GE(""https://docs.google.com/spreadsheets/d/1lFxr3ctmjFN90yc-xV6jrQ9Ty8BKYVBWnAZ15wcNIJc/edit?usp=sharing"",""อำนาจเจริญ!S52"")+IMPORTRANGE(""https://docs.google.com/spreadsheets/d/1gF7RJpRnL-1oyjyeWxs5SFWEH7y8ahOZsQlyp2A2e-A/edit?usp=sharing"",""อุดรธานี"&amp;"!S52"")+IMPORTRANGE(""https://docs.google.com/spreadsheets/d/1kfLP0j3INXRa8bTDpcEmoWewMBV61jlFlfzczfjWIgc/edit?usp=sharing"",""อุบลราชธานี!S52"")"),0)</f>
        <v>0</v>
      </c>
      <c r="T52" s="56">
        <f t="shared" ca="1" si="26"/>
        <v>0</v>
      </c>
      <c r="U52" s="56">
        <f t="shared" ca="1" si="27"/>
        <v>0</v>
      </c>
    </row>
    <row r="53" spans="1:21" ht="18.75">
      <c r="A53" s="49"/>
      <c r="B53" s="50"/>
      <c r="C53" s="50"/>
      <c r="D53" s="61" t="s">
        <v>24</v>
      </c>
      <c r="E53" s="50"/>
      <c r="F53" s="50"/>
      <c r="G53" s="52"/>
      <c r="H53" s="53" t="s">
        <v>14</v>
      </c>
      <c r="I53" s="54"/>
      <c r="J53" s="54"/>
      <c r="K53" s="55"/>
      <c r="L53" s="55"/>
      <c r="M53" s="55"/>
      <c r="N53" s="55"/>
      <c r="O53" s="55"/>
      <c r="P53" s="55"/>
      <c r="Q53" s="55"/>
      <c r="R53" s="55"/>
      <c r="S53" s="62"/>
      <c r="T53" s="55"/>
      <c r="U53" s="55"/>
    </row>
    <row r="54" spans="1:21" ht="18.75">
      <c r="A54" s="49"/>
      <c r="B54" s="50"/>
      <c r="C54" s="50"/>
      <c r="D54" s="50"/>
      <c r="E54" s="58" t="s">
        <v>20</v>
      </c>
      <c r="F54" s="50"/>
      <c r="G54" s="52"/>
      <c r="H54" s="53" t="s">
        <v>14</v>
      </c>
      <c r="I54" s="54"/>
      <c r="J54" s="54"/>
      <c r="K54" s="55"/>
      <c r="L54" s="55"/>
      <c r="M54" s="55"/>
      <c r="N54" s="55"/>
      <c r="O54" s="55"/>
      <c r="P54" s="55"/>
      <c r="Q54" s="55"/>
      <c r="R54" s="55"/>
      <c r="S54" s="62"/>
      <c r="T54" s="55"/>
      <c r="U54" s="55"/>
    </row>
    <row r="55" spans="1:21" ht="18.75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"/>
      <c r="M55" s="6"/>
      <c r="N55" s="6"/>
      <c r="O55" s="6"/>
      <c r="P55" s="6"/>
      <c r="Q55" s="6"/>
      <c r="R55" s="6"/>
      <c r="S55" s="68"/>
      <c r="T55" s="6"/>
      <c r="U55" s="6"/>
    </row>
    <row r="56" spans="1:21" ht="19.5">
      <c r="A56" s="533" t="s">
        <v>28</v>
      </c>
      <c r="B56" s="514"/>
      <c r="C56" s="514"/>
      <c r="D56" s="514"/>
      <c r="E56" s="514"/>
      <c r="F56" s="514"/>
      <c r="G56" s="512"/>
      <c r="H56" s="104"/>
      <c r="I56" s="105"/>
      <c r="J56" s="105"/>
      <c r="K56" s="106"/>
      <c r="L56" s="106"/>
      <c r="M56" s="106"/>
      <c r="N56" s="106"/>
      <c r="O56" s="106"/>
      <c r="P56" s="107"/>
      <c r="Q56" s="106"/>
      <c r="R56" s="106"/>
      <c r="S56" s="106"/>
      <c r="T56" s="106"/>
      <c r="U56" s="107"/>
    </row>
    <row r="57" spans="1:21" ht="19.5">
      <c r="A57" s="108"/>
      <c r="B57" s="534" t="s">
        <v>29</v>
      </c>
      <c r="C57" s="529"/>
      <c r="D57" s="529"/>
      <c r="E57" s="529"/>
      <c r="F57" s="529"/>
      <c r="G57" s="530"/>
      <c r="H57" s="109"/>
      <c r="I57" s="110"/>
      <c r="J57" s="110"/>
      <c r="K57" s="111"/>
      <c r="L57" s="111"/>
      <c r="M57" s="111"/>
      <c r="N57" s="111"/>
      <c r="O57" s="111"/>
      <c r="P57" s="111"/>
      <c r="Q57" s="111"/>
      <c r="R57" s="111"/>
      <c r="S57" s="112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8"/>
      <c r="M58" s="118"/>
      <c r="N58" s="118"/>
      <c r="O58" s="118"/>
      <c r="P58" s="118"/>
      <c r="Q58" s="118"/>
      <c r="R58" s="118"/>
      <c r="S58" s="119"/>
      <c r="T58" s="118"/>
      <c r="U58" s="118"/>
    </row>
    <row r="59" spans="1:21" ht="19.5">
      <c r="A59" s="120"/>
      <c r="B59" s="121"/>
      <c r="C59" s="122" t="s">
        <v>18</v>
      </c>
      <c r="D59" s="123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128">
        <f t="shared" ref="L59:N59" ca="1" si="36">L60+L61</f>
        <v>10796200</v>
      </c>
      <c r="M59" s="128">
        <f t="shared" ca="1" si="36"/>
        <v>10917780</v>
      </c>
      <c r="N59" s="128">
        <f t="shared" ca="1" si="36"/>
        <v>9653740.6599999908</v>
      </c>
      <c r="O59" s="128">
        <f t="shared" ref="O59:O67" ca="1" si="37">IF(L59&gt;0,N59*100/L59,0)</f>
        <v>89.417949463700097</v>
      </c>
      <c r="P59" s="128">
        <f t="shared" ref="P59:P67" ca="1" si="38">IF(M59&gt;0,N59*100/M59,0)</f>
        <v>88.422194438796083</v>
      </c>
      <c r="Q59" s="128">
        <f t="shared" ref="Q59:S59" ca="1" si="39">Q60+Q61</f>
        <v>0</v>
      </c>
      <c r="R59" s="128">
        <f t="shared" ca="1" si="39"/>
        <v>0</v>
      </c>
      <c r="S59" s="129">
        <f t="shared" ca="1" si="39"/>
        <v>0</v>
      </c>
      <c r="T59" s="128">
        <f t="shared" ref="T59:T67" ca="1" si="40">IF(Q59&gt;0,S59*100/Q59,0)</f>
        <v>0</v>
      </c>
      <c r="U59" s="128">
        <f t="shared" ref="U59:U67" ca="1" si="41">IF(R59&gt;0,S59*100/R59,0)</f>
        <v>0</v>
      </c>
    </row>
    <row r="60" spans="1:21" ht="18.75">
      <c r="A60" s="120"/>
      <c r="B60" s="121"/>
      <c r="C60" s="121"/>
      <c r="D60" s="121"/>
      <c r="E60" s="130" t="s">
        <v>20</v>
      </c>
      <c r="F60" s="121"/>
      <c r="G60" s="124"/>
      <c r="H60" s="131" t="s">
        <v>14</v>
      </c>
      <c r="I60" s="126"/>
      <c r="J60" s="126"/>
      <c r="K60" s="127"/>
      <c r="L60" s="132">
        <f t="shared" ref="L60:N60" ca="1" si="42">L63+L66</f>
        <v>0</v>
      </c>
      <c r="M60" s="132">
        <f t="shared" ca="1" si="42"/>
        <v>0</v>
      </c>
      <c r="N60" s="132">
        <f t="shared" ca="1" si="42"/>
        <v>0</v>
      </c>
      <c r="O60" s="132">
        <f t="shared" ca="1" si="37"/>
        <v>0</v>
      </c>
      <c r="P60" s="132">
        <f t="shared" ca="1" si="38"/>
        <v>0</v>
      </c>
      <c r="Q60" s="132">
        <f t="shared" ref="Q60:S60" ca="1" si="43">Q63+Q66</f>
        <v>0</v>
      </c>
      <c r="R60" s="132">
        <f t="shared" ca="1" si="43"/>
        <v>0</v>
      </c>
      <c r="S60" s="133">
        <f t="shared" ca="1" si="43"/>
        <v>0</v>
      </c>
      <c r="T60" s="134">
        <f t="shared" ca="1" si="40"/>
        <v>0</v>
      </c>
      <c r="U60" s="134">
        <f t="shared" ca="1" si="41"/>
        <v>0</v>
      </c>
    </row>
    <row r="61" spans="1:21" ht="18.75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132">
        <f t="shared" ref="L61:N61" ca="1" si="44">L64+L67</f>
        <v>10796200</v>
      </c>
      <c r="M61" s="132">
        <f t="shared" ca="1" si="44"/>
        <v>10917780</v>
      </c>
      <c r="N61" s="132">
        <f t="shared" ca="1" si="44"/>
        <v>9653740.6599999908</v>
      </c>
      <c r="O61" s="132">
        <f t="shared" ca="1" si="37"/>
        <v>89.417949463700097</v>
      </c>
      <c r="P61" s="132">
        <f t="shared" ca="1" si="38"/>
        <v>88.422194438796083</v>
      </c>
      <c r="Q61" s="132">
        <f t="shared" ref="Q61:S61" ca="1" si="45">Q64+Q67</f>
        <v>0</v>
      </c>
      <c r="R61" s="132">
        <f t="shared" ca="1" si="45"/>
        <v>0</v>
      </c>
      <c r="S61" s="133">
        <f t="shared" ca="1" si="45"/>
        <v>0</v>
      </c>
      <c r="T61" s="132">
        <f t="shared" ca="1" si="40"/>
        <v>0</v>
      </c>
      <c r="U61" s="132">
        <f t="shared" ca="1" si="41"/>
        <v>0</v>
      </c>
    </row>
    <row r="62" spans="1:21" ht="18.75">
      <c r="A62" s="49"/>
      <c r="B62" s="50"/>
      <c r="C62" s="50"/>
      <c r="D62" s="51" t="s">
        <v>22</v>
      </c>
      <c r="E62" s="50"/>
      <c r="F62" s="50"/>
      <c r="G62" s="52"/>
      <c r="H62" s="53" t="s">
        <v>14</v>
      </c>
      <c r="I62" s="54"/>
      <c r="J62" s="54"/>
      <c r="K62" s="55"/>
      <c r="L62" s="56">
        <f t="shared" ref="L62:N62" ca="1" si="46">L63+L64</f>
        <v>10796200</v>
      </c>
      <c r="M62" s="56">
        <f t="shared" ca="1" si="46"/>
        <v>10917780</v>
      </c>
      <c r="N62" s="56">
        <f t="shared" ca="1" si="46"/>
        <v>9653740.6599999908</v>
      </c>
      <c r="O62" s="56">
        <f t="shared" ca="1" si="37"/>
        <v>89.417949463700097</v>
      </c>
      <c r="P62" s="56">
        <f t="shared" ca="1" si="38"/>
        <v>88.422194438796083</v>
      </c>
      <c r="Q62" s="56">
        <f t="shared" ref="Q62:S62" ca="1" si="47">Q63+Q64</f>
        <v>0</v>
      </c>
      <c r="R62" s="56">
        <f t="shared" ca="1" si="47"/>
        <v>0</v>
      </c>
      <c r="S62" s="57">
        <f t="shared" ca="1" si="47"/>
        <v>0</v>
      </c>
      <c r="T62" s="56">
        <f t="shared" ca="1" si="40"/>
        <v>0</v>
      </c>
      <c r="U62" s="56">
        <f t="shared" ca="1" si="41"/>
        <v>0</v>
      </c>
    </row>
    <row r="63" spans="1:21" ht="18.75">
      <c r="A63" s="49"/>
      <c r="B63" s="50"/>
      <c r="C63" s="50"/>
      <c r="D63" s="50"/>
      <c r="E63" s="58" t="s">
        <v>20</v>
      </c>
      <c r="F63" s="50"/>
      <c r="G63" s="52"/>
      <c r="H63" s="53" t="s">
        <v>14</v>
      </c>
      <c r="I63" s="54"/>
      <c r="J63" s="54"/>
      <c r="K63" s="55"/>
      <c r="L63" s="56">
        <f ca="1">IFERROR(__xludf.DUMMYFUNCTION("IMPORTRANGE(""https://docs.google.com/spreadsheets/d/1yhBcrRPreicbMKl9Bu_Snb2-OcQAF62RKfhTLhJ2eAA/edit?usp=sharing"",""กาฬสินธุ์!L63"")+IMPORTRANGE(""https://docs.google.com/spreadsheets/d/1aHkj4IaQMThhwWwevcOymEh837vdxeC_PycurhTbGFA/edit?usp=sharing"","""&amp;"ขอนแก่น!L63"")+IMPORTRANGE(""https://docs.google.com/spreadsheets/d/1FvTu2DsIWUjP6WCWra38Bkj_oOl_sOMf14r5Fg5srxU/edit?usp=sharing"",""ชัยภูมิ!L63"")+IMPORTRANGE(""https://docs.google.com/spreadsheets/d/1XVB7oCJ3pr-vBUdflwPQ8Z2LlzhnCvZaaYjAfP-647E/edit?usp"&amp;"=sharing"",""นครพนม!L63"")+IMPORTRANGE(""https://docs.google.com/spreadsheets/d/1Mnpb-8PYAgn85W6KOTD40hc_Xc55CaLfHoGAbrZ8tls/edit?usp=sharing"",""นครราชสีมา!L63"")+IMPORTRANGE(""https://docs.google.com/spreadsheets/d/1xoDLGBv9CYbyosIhki0kTq6IpYNj-gpjxfobn"&amp;"aDiut0/edit?usp=sharing"",""บึงกาฬ!L63"")+IMPORTRANGE(""https://docs.google.com/spreadsheets/d/1MMPq-JyI6DSgQETxuSiXkesP-P7JHuemnE6QJIa-Nlw/edit?usp=sharing"",""บุรีรัมย์!L63"")+IMPORTRANGE(""https://docs.google.com/spreadsheets/d/1l6IZ8xUPgMrESzcTYwhA1k_"&amp;"tPjeQjJPTqlm8Gd9eU5g/edit?usp=sharing"",""มหาสารคาม!L63"")+IMPORTRANGE(""https://docs.google.com/spreadsheets/d/1uB74YLqNjWX6FObjekfB2NtSYigTQyR2rq9u4Ub2Sq4/edit?usp=sharing"",""มุกดาหาร!L63"")+IMPORTRANGE(""https://docs.google.com/spreadsheets/d/1NexK3ge"&amp;"CPxCTO1fzNF8dPec7yZyUx3OaWkFBC9HsQOo/edit?usp=sharing"",""ยโสธร!L63"")+IMPORTRANGE(""https://docs.google.com/spreadsheets/d/1v_cJrbBlyqmnHPReHk44g9NrMRdENNlSy_E_c5M9fIg/edit?usp=sharing"",""ร้อยเอ็ด!L63"")+IMPORTRANGE(""https://docs.google.com/spreadsheet"&amp;"s/d/1Ul4RCpCX66NxYADU1QpwAPjOmBzW64SsT11s1wzXw_c/edit?usp=sharing"",""เลย!L63"")+IMPORTRANGE(""https://docs.google.com/spreadsheets/d/1bRrNKwbHDVktQG10isr5vbWRtt5spIZPpkOSWgbT5ug/edit?usp=sharing"",""ศรีสะเกษ!L63"")+IMPORTRANGE(""https://docs.google.com/s"&amp;"preadsheets/d/17P34_Ow5kFBfdQD0qspb2UuPX5zpi6WMrQzslghyvrI/edit?usp=sharing"",""สกลนคร!L63"")+IMPORTRANGE(""https://docs.google.com/spreadsheets/d/1yswqbM3-AEpThF3ZSUa1AcmHnmRTF1vlJ1CZGcJ8YuU/edit?usp=sharing"",""สุรินทร์!L63"")+IMPORTRANGE(""https://docs"&amp;".google.com/spreadsheets/d/13JHU_EFbsQOUQ0JSQ3dWy1VTRosIWcDq6Nc99z2qzdc/edit?usp=sharing"",""หนองคาย!L63"")+IMPORTRANGE(""https://docs.google.com/spreadsheets/d/1Hx73zIEgVdDZZaYSTc46Dqv64atFhpr3GelxLbaIN8A/edit?usp=sharing"",""หนองบัวลำภู!L63"")+IMPORTRAN"&amp;"GE(""https://docs.google.com/spreadsheets/d/1lFxr3ctmjFN90yc-xV6jrQ9Ty8BKYVBWnAZ15wcNIJc/edit?usp=sharing"",""อำนาจเจริญ!L63"")+IMPORTRANGE(""https://docs.google.com/spreadsheets/d/1gF7RJpRnL-1oyjyeWxs5SFWEH7y8ahOZsQlyp2A2e-A/edit?usp=sharing"",""อุดรธานี"&amp;"!L63"")+IMPORTRANGE(""https://docs.google.com/spreadsheets/d/1kfLP0j3INXRa8bTDpcEmoWewMBV61jlFlfzczfjWIgc/edit?usp=sharing"",""อุบลราชธานี!L63"")"),0)</f>
        <v>0</v>
      </c>
      <c r="M63" s="56">
        <f ca="1">IFERROR(__xludf.DUMMYFUNCTION("IMPORTRANGE(""https://docs.google.com/spreadsheets/d/1yhBcrRPreicbMKl9Bu_Snb2-OcQAF62RKfhTLhJ2eAA/edit?usp=sharing"",""กาฬสินธุ์!M63"")+IMPORTRANGE(""https://docs.google.com/spreadsheets/d/1aHkj4IaQMThhwWwevcOymEh837vdxeC_PycurhTbGFA/edit?usp=sharing"","""&amp;"ขอนแก่น!M63"")+IMPORTRANGE(""https://docs.google.com/spreadsheets/d/1FvTu2DsIWUjP6WCWra38Bkj_oOl_sOMf14r5Fg5srxU/edit?usp=sharing"",""ชัยภูมิ!M63"")+IMPORTRANGE(""https://docs.google.com/spreadsheets/d/1XVB7oCJ3pr-vBUdflwPQ8Z2LlzhnCvZaaYjAfP-647E/edit?usp"&amp;"=sharing"",""นครพนม!M63"")+IMPORTRANGE(""https://docs.google.com/spreadsheets/d/1Mnpb-8PYAgn85W6KOTD40hc_Xc55CaLfHoGAbrZ8tls/edit?usp=sharing"",""นครราชสีมา!M63"")+IMPORTRANGE(""https://docs.google.com/spreadsheets/d/1xoDLGBv9CYbyosIhki0kTq6IpYNj-gpjxfobn"&amp;"aDiut0/edit?usp=sharing"",""บึงกาฬ!M63"")+IMPORTRANGE(""https://docs.google.com/spreadsheets/d/1MMPq-JyI6DSgQETxuSiXkesP-P7JHuemnE6QJIa-Nlw/edit?usp=sharing"",""บุรีรัมย์!M63"")+IMPORTRANGE(""https://docs.google.com/spreadsheets/d/1l6IZ8xUPgMrESzcTYwhA1k_"&amp;"tPjeQjJPTqlm8Gd9eU5g/edit?usp=sharing"",""มหาสารคาม!M63"")+IMPORTRANGE(""https://docs.google.com/spreadsheets/d/1uB74YLqNjWX6FObjekfB2NtSYigTQyR2rq9u4Ub2Sq4/edit?usp=sharing"",""มุกดาหาร!M63"")+IMPORTRANGE(""https://docs.google.com/spreadsheets/d/1NexK3ge"&amp;"CPxCTO1fzNF8dPec7yZyUx3OaWkFBC9HsQOo/edit?usp=sharing"",""ยโสธร!M63"")+IMPORTRANGE(""https://docs.google.com/spreadsheets/d/1v_cJrbBlyqmnHPReHk44g9NrMRdENNlSy_E_c5M9fIg/edit?usp=sharing"",""ร้อยเอ็ด!M63"")+IMPORTRANGE(""https://docs.google.com/spreadsheet"&amp;"s/d/1Ul4RCpCX66NxYADU1QpwAPjOmBzW64SsT11s1wzXw_c/edit?usp=sharing"",""เลย!M63"")+IMPORTRANGE(""https://docs.google.com/spreadsheets/d/1bRrNKwbHDVktQG10isr5vbWRtt5spIZPpkOSWgbT5ug/edit?usp=sharing"",""ศรีสะเกษ!M63"")+IMPORTRANGE(""https://docs.google.com/s"&amp;"preadsheets/d/17P34_Ow5kFBfdQD0qspb2UuPX5zpi6WMrQzslghyvrI/edit?usp=sharing"",""สกลนคร!M63"")+IMPORTRANGE(""https://docs.google.com/spreadsheets/d/1yswqbM3-AEpThF3ZSUa1AcmHnmRTF1vlJ1CZGcJ8YuU/edit?usp=sharing"",""สุรินทร์!M63"")+IMPORTRANGE(""https://docs"&amp;".google.com/spreadsheets/d/13JHU_EFbsQOUQ0JSQ3dWy1VTRosIWcDq6Nc99z2qzdc/edit?usp=sharing"",""หนองคาย!M63"")+IMPORTRANGE(""https://docs.google.com/spreadsheets/d/1Hx73zIEgVdDZZaYSTc46Dqv64atFhpr3GelxLbaIN8A/edit?usp=sharing"",""หนองบัวลำภู!M63"")+IMPORTRAN"&amp;"GE(""https://docs.google.com/spreadsheets/d/1lFxr3ctmjFN90yc-xV6jrQ9Ty8BKYVBWnAZ15wcNIJc/edit?usp=sharing"",""อำนาจเจริญ!M63"")+IMPORTRANGE(""https://docs.google.com/spreadsheets/d/1gF7RJpRnL-1oyjyeWxs5SFWEH7y8ahOZsQlyp2A2e-A/edit?usp=sharing"",""อุดรธานี"&amp;"!M63"")+IMPORTRANGE(""https://docs.google.com/spreadsheets/d/1kfLP0j3INXRa8bTDpcEmoWewMBV61jlFlfzczfjWIgc/edit?usp=sharing"",""อุบลราชธานี!M63"")"),0)</f>
        <v>0</v>
      </c>
      <c r="N63" s="56">
        <f ca="1">IFERROR(__xludf.DUMMYFUNCTION("IMPORTRANGE(""https://docs.google.com/spreadsheets/d/1yhBcrRPreicbMKl9Bu_Snb2-OcQAF62RKfhTLhJ2eAA/edit?usp=sharing"",""กาฬสินธุ์!N63"")+IMPORTRANGE(""https://docs.google.com/spreadsheets/d/1aHkj4IaQMThhwWwevcOymEh837vdxeC_PycurhTbGFA/edit?usp=sharing"","""&amp;"ขอนแก่น!N63"")+IMPORTRANGE(""https://docs.google.com/spreadsheets/d/1FvTu2DsIWUjP6WCWra38Bkj_oOl_sOMf14r5Fg5srxU/edit?usp=sharing"",""ชัยภูมิ!N63"")+IMPORTRANGE(""https://docs.google.com/spreadsheets/d/1XVB7oCJ3pr-vBUdflwPQ8Z2LlzhnCvZaaYjAfP-647E/edit?usp"&amp;"=sharing"",""นครพนม!N63"")+IMPORTRANGE(""https://docs.google.com/spreadsheets/d/1Mnpb-8PYAgn85W6KOTD40hc_Xc55CaLfHoGAbrZ8tls/edit?usp=sharing"",""นครราชสีมา!N63"")+IMPORTRANGE(""https://docs.google.com/spreadsheets/d/1xoDLGBv9CYbyosIhki0kTq6IpYNj-gpjxfobn"&amp;"aDiut0/edit?usp=sharing"",""บึงกาฬ!N63"")+IMPORTRANGE(""https://docs.google.com/spreadsheets/d/1MMPq-JyI6DSgQETxuSiXkesP-P7JHuemnE6QJIa-Nlw/edit?usp=sharing"",""บุรีรัมย์!N63"")+IMPORTRANGE(""https://docs.google.com/spreadsheets/d/1l6IZ8xUPgMrESzcTYwhA1k_"&amp;"tPjeQjJPTqlm8Gd9eU5g/edit?usp=sharing"",""มหาสารคาม!N63"")+IMPORTRANGE(""https://docs.google.com/spreadsheets/d/1uB74YLqNjWX6FObjekfB2NtSYigTQyR2rq9u4Ub2Sq4/edit?usp=sharing"",""มุกดาหาร!N63"")+IMPORTRANGE(""https://docs.google.com/spreadsheets/d/1NexK3ge"&amp;"CPxCTO1fzNF8dPec7yZyUx3OaWkFBC9HsQOo/edit?usp=sharing"",""ยโสธร!N63"")+IMPORTRANGE(""https://docs.google.com/spreadsheets/d/1v_cJrbBlyqmnHPReHk44g9NrMRdENNlSy_E_c5M9fIg/edit?usp=sharing"",""ร้อยเอ็ด!N63"")+IMPORTRANGE(""https://docs.google.com/spreadsheet"&amp;"s/d/1Ul4RCpCX66NxYADU1QpwAPjOmBzW64SsT11s1wzXw_c/edit?usp=sharing"",""เลย!N63"")+IMPORTRANGE(""https://docs.google.com/spreadsheets/d/1bRrNKwbHDVktQG10isr5vbWRtt5spIZPpkOSWgbT5ug/edit?usp=sharing"",""ศรีสะเกษ!N63"")+IMPORTRANGE(""https://docs.google.com/s"&amp;"preadsheets/d/17P34_Ow5kFBfdQD0qspb2UuPX5zpi6WMrQzslghyvrI/edit?usp=sharing"",""สกลนคร!N63"")+IMPORTRANGE(""https://docs.google.com/spreadsheets/d/1yswqbM3-AEpThF3ZSUa1AcmHnmRTF1vlJ1CZGcJ8YuU/edit?usp=sharing"",""สุรินทร์!N63"")+IMPORTRANGE(""https://docs"&amp;".google.com/spreadsheets/d/13JHU_EFbsQOUQ0JSQ3dWy1VTRosIWcDq6Nc99z2qzdc/edit?usp=sharing"",""หนองคาย!N63"")+IMPORTRANGE(""https://docs.google.com/spreadsheets/d/1Hx73zIEgVdDZZaYSTc46Dqv64atFhpr3GelxLbaIN8A/edit?usp=sharing"",""หนองบัวลำภู!N63"")+IMPORTRAN"&amp;"GE(""https://docs.google.com/spreadsheets/d/1lFxr3ctmjFN90yc-xV6jrQ9Ty8BKYVBWnAZ15wcNIJc/edit?usp=sharing"",""อำนาจเจริญ!N63"")+IMPORTRANGE(""https://docs.google.com/spreadsheets/d/1gF7RJpRnL-1oyjyeWxs5SFWEH7y8ahOZsQlyp2A2e-A/edit?usp=sharing"",""อุดรธานี"&amp;"!N63"")+IMPORTRANGE(""https://docs.google.com/spreadsheets/d/1kfLP0j3INXRa8bTDpcEmoWewMBV61jlFlfzczfjWIgc/edit?usp=sharing"",""อุบลราชธานี!N63"")"),0)</f>
        <v>0</v>
      </c>
      <c r="O63" s="56">
        <f t="shared" ca="1" si="37"/>
        <v>0</v>
      </c>
      <c r="P63" s="56">
        <f t="shared" ca="1" si="38"/>
        <v>0</v>
      </c>
      <c r="Q63" s="56">
        <f ca="1">IFERROR(__xludf.DUMMYFUNCTION("IMPORTRANGE(""https://docs.google.com/spreadsheets/d/1yhBcrRPreicbMKl9Bu_Snb2-OcQAF62RKfhTLhJ2eAA/edit?usp=sharing"",""กาฬสินธุ์!Q63"")+IMPORTRANGE(""https://docs.google.com/spreadsheets/d/1aHkj4IaQMThhwWwevcOymEh837vdxeC_PycurhTbGFA/edit?usp=sharing"","""&amp;"ขอนแก่น!Q63"")+IMPORTRANGE(""https://docs.google.com/spreadsheets/d/1FvTu2DsIWUjP6WCWra38Bkj_oOl_sOMf14r5Fg5srxU/edit?usp=sharing"",""ชัยภูมิ!Q63"")+IMPORTRANGE(""https://docs.google.com/spreadsheets/d/1XVB7oCJ3pr-vBUdflwPQ8Z2LlzhnCvZaaYjAfP-647E/edit?usp"&amp;"=sharing"",""นครพนม!Q63"")+IMPORTRANGE(""https://docs.google.com/spreadsheets/d/1Mnpb-8PYAgn85W6KOTD40hc_Xc55CaLfHoGAbrZ8tls/edit?usp=sharing"",""นครราชสีมา!Q63"")+IMPORTRANGE(""https://docs.google.com/spreadsheets/d/1xoDLGBv9CYbyosIhki0kTq6IpYNj-gpjxfobn"&amp;"aDiut0/edit?usp=sharing"",""บึงกาฬ!Q63"")+IMPORTRANGE(""https://docs.google.com/spreadsheets/d/1MMPq-JyI6DSgQETxuSiXkesP-P7JHuemnE6QJIa-Nlw/edit?usp=sharing"",""บุรีรัมย์!Q63"")+IMPORTRANGE(""https://docs.google.com/spreadsheets/d/1l6IZ8xUPgMrESzcTYwhA1k_"&amp;"tPjeQjJPTqlm8Gd9eU5g/edit?usp=sharing"",""มหาสารคาม!Q63"")+IMPORTRANGE(""https://docs.google.com/spreadsheets/d/1uB74YLqNjWX6FObjekfB2NtSYigTQyR2rq9u4Ub2Sq4/edit?usp=sharing"",""มุกดาหาร!Q63"")+IMPORTRANGE(""https://docs.google.com/spreadsheets/d/1NexK3ge"&amp;"CPxCTO1fzNF8dPec7yZyUx3OaWkFBC9HsQOo/edit?usp=sharing"",""ยโสธร!Q63"")+IMPORTRANGE(""https://docs.google.com/spreadsheets/d/1v_cJrbBlyqmnHPReHk44g9NrMRdENNlSy_E_c5M9fIg/edit?usp=sharing"",""ร้อยเอ็ด!Q63"")+IMPORTRANGE(""https://docs.google.com/spreadsheet"&amp;"s/d/1Ul4RCpCX66NxYADU1QpwAPjOmBzW64SsT11s1wzXw_c/edit?usp=sharing"",""เลย!Q63"")+IMPORTRANGE(""https://docs.google.com/spreadsheets/d/1bRrNKwbHDVktQG10isr5vbWRtt5spIZPpkOSWgbT5ug/edit?usp=sharing"",""ศรีสะเกษ!Q63"")+IMPORTRANGE(""https://docs.google.com/s"&amp;"preadsheets/d/17P34_Ow5kFBfdQD0qspb2UuPX5zpi6WMrQzslghyvrI/edit?usp=sharing"",""สกลนคร!Q63"")+IMPORTRANGE(""https://docs.google.com/spreadsheets/d/1yswqbM3-AEpThF3ZSUa1AcmHnmRTF1vlJ1CZGcJ8YuU/edit?usp=sharing"",""สุรินทร์!Q63"")+IMPORTRANGE(""https://docs"&amp;".google.com/spreadsheets/d/13JHU_EFbsQOUQ0JSQ3dWy1VTRosIWcDq6Nc99z2qzdc/edit?usp=sharing"",""หนองคาย!Q63"")+IMPORTRANGE(""https://docs.google.com/spreadsheets/d/1Hx73zIEgVdDZZaYSTc46Dqv64atFhpr3GelxLbaIN8A/edit?usp=sharing"",""หนองบัวลำภู!Q63"")+IMPORTRAN"&amp;"GE(""https://docs.google.com/spreadsheets/d/1lFxr3ctmjFN90yc-xV6jrQ9Ty8BKYVBWnAZ15wcNIJc/edit?usp=sharing"",""อำนาจเจริญ!Q63"")+IMPORTRANGE(""https://docs.google.com/spreadsheets/d/1gF7RJpRnL-1oyjyeWxs5SFWEH7y8ahOZsQlyp2A2e-A/edit?usp=sharing"",""อุดรธานี"&amp;"!Q63"")+IMPORTRANGE(""https://docs.google.com/spreadsheets/d/1kfLP0j3INXRa8bTDpcEmoWewMBV61jlFlfzczfjWIgc/edit?usp=sharing"",""อุบลราชธานี!Q63"")"),0)</f>
        <v>0</v>
      </c>
      <c r="R63" s="56">
        <f ca="1">IFERROR(__xludf.DUMMYFUNCTION("IMPORTRANGE(""https://docs.google.com/spreadsheets/d/1yhBcrRPreicbMKl9Bu_Snb2-OcQAF62RKfhTLhJ2eAA/edit?usp=sharing"",""กาฬสินธุ์!R63"")+IMPORTRANGE(""https://docs.google.com/spreadsheets/d/1aHkj4IaQMThhwWwevcOymEh837vdxeC_PycurhTbGFA/edit?usp=sharing"","""&amp;"ขอนแก่น!R63"")+IMPORTRANGE(""https://docs.google.com/spreadsheets/d/1FvTu2DsIWUjP6WCWra38Bkj_oOl_sOMf14r5Fg5srxU/edit?usp=sharing"",""ชัยภูมิ!R63"")+IMPORTRANGE(""https://docs.google.com/spreadsheets/d/1XVB7oCJ3pr-vBUdflwPQ8Z2LlzhnCvZaaYjAfP-647E/edit?usp"&amp;"=sharing"",""นครพนม!R63"")+IMPORTRANGE(""https://docs.google.com/spreadsheets/d/1Mnpb-8PYAgn85W6KOTD40hc_Xc55CaLfHoGAbrZ8tls/edit?usp=sharing"",""นครราชสีมา!R63"")+IMPORTRANGE(""https://docs.google.com/spreadsheets/d/1xoDLGBv9CYbyosIhki0kTq6IpYNj-gpjxfobn"&amp;"aDiut0/edit?usp=sharing"",""บึงกาฬ!R63"")+IMPORTRANGE(""https://docs.google.com/spreadsheets/d/1MMPq-JyI6DSgQETxuSiXkesP-P7JHuemnE6QJIa-Nlw/edit?usp=sharing"",""บุรีรัมย์!R63"")+IMPORTRANGE(""https://docs.google.com/spreadsheets/d/1l6IZ8xUPgMrESzcTYwhA1k_"&amp;"tPjeQjJPTqlm8Gd9eU5g/edit?usp=sharing"",""มหาสารคาม!R63"")+IMPORTRANGE(""https://docs.google.com/spreadsheets/d/1uB74YLqNjWX6FObjekfB2NtSYigTQyR2rq9u4Ub2Sq4/edit?usp=sharing"",""มุกดาหาร!R63"")+IMPORTRANGE(""https://docs.google.com/spreadsheets/d/1NexK3ge"&amp;"CPxCTO1fzNF8dPec7yZyUx3OaWkFBC9HsQOo/edit?usp=sharing"",""ยโสธร!R63"")+IMPORTRANGE(""https://docs.google.com/spreadsheets/d/1v_cJrbBlyqmnHPReHk44g9NrMRdENNlSy_E_c5M9fIg/edit?usp=sharing"",""ร้อยเอ็ด!R63"")+IMPORTRANGE(""https://docs.google.com/spreadsheet"&amp;"s/d/1Ul4RCpCX66NxYADU1QpwAPjOmBzW64SsT11s1wzXw_c/edit?usp=sharing"",""เลย!R63"")+IMPORTRANGE(""https://docs.google.com/spreadsheets/d/1bRrNKwbHDVktQG10isr5vbWRtt5spIZPpkOSWgbT5ug/edit?usp=sharing"",""ศรีสะเกษ!R63"")+IMPORTRANGE(""https://docs.google.com/s"&amp;"preadsheets/d/17P34_Ow5kFBfdQD0qspb2UuPX5zpi6WMrQzslghyvrI/edit?usp=sharing"",""สกลนคร!R63"")+IMPORTRANGE(""https://docs.google.com/spreadsheets/d/1yswqbM3-AEpThF3ZSUa1AcmHnmRTF1vlJ1CZGcJ8YuU/edit?usp=sharing"",""สุรินทร์!R63"")+IMPORTRANGE(""https://docs"&amp;".google.com/spreadsheets/d/13JHU_EFbsQOUQ0JSQ3dWy1VTRosIWcDq6Nc99z2qzdc/edit?usp=sharing"",""หนองคาย!R63"")+IMPORTRANGE(""https://docs.google.com/spreadsheets/d/1Hx73zIEgVdDZZaYSTc46Dqv64atFhpr3GelxLbaIN8A/edit?usp=sharing"",""หนองบัวลำภู!R63"")+IMPORTRAN"&amp;"GE(""https://docs.google.com/spreadsheets/d/1lFxr3ctmjFN90yc-xV6jrQ9Ty8BKYVBWnAZ15wcNIJc/edit?usp=sharing"",""อำนาจเจริญ!R63"")+IMPORTRANGE(""https://docs.google.com/spreadsheets/d/1gF7RJpRnL-1oyjyeWxs5SFWEH7y8ahOZsQlyp2A2e-A/edit?usp=sharing"",""อุดรธานี"&amp;"!R63"")+IMPORTRANGE(""https://docs.google.com/spreadsheets/d/1kfLP0j3INXRa8bTDpcEmoWewMBV61jlFlfzczfjWIgc/edit?usp=sharing"",""อุบลราชธานี!R63"")"),0)</f>
        <v>0</v>
      </c>
      <c r="S63" s="57">
        <f ca="1">IFERROR(__xludf.DUMMYFUNCTION("IMPORTRANGE(""https://docs.google.com/spreadsheets/d/1yhBcrRPreicbMKl9Bu_Snb2-OcQAF62RKfhTLhJ2eAA/edit?usp=sharing"",""กาฬสินธุ์!S63"")+IMPORTRANGE(""https://docs.google.com/spreadsheets/d/1aHkj4IaQMThhwWwevcOymEh837vdxeC_PycurhTbGFA/edit?usp=sharing"","""&amp;"ขอนแก่น!S63"")+IMPORTRANGE(""https://docs.google.com/spreadsheets/d/1FvTu2DsIWUjP6WCWra38Bkj_oOl_sOMf14r5Fg5srxU/edit?usp=sharing"",""ชัยภูมิ!S63"")+IMPORTRANGE(""https://docs.google.com/spreadsheets/d/1XVB7oCJ3pr-vBUdflwPQ8Z2LlzhnCvZaaYjAfP-647E/edit?usp"&amp;"=sharing"",""นครพนม!S63"")+IMPORTRANGE(""https://docs.google.com/spreadsheets/d/1Mnpb-8PYAgn85W6KOTD40hc_Xc55CaLfHoGAbrZ8tls/edit?usp=sharing"",""นครราชสีมา!S63"")+IMPORTRANGE(""https://docs.google.com/spreadsheets/d/1xoDLGBv9CYbyosIhki0kTq6IpYNj-gpjxfobn"&amp;"aDiut0/edit?usp=sharing"",""บึงกาฬ!S63"")+IMPORTRANGE(""https://docs.google.com/spreadsheets/d/1MMPq-JyI6DSgQETxuSiXkesP-P7JHuemnE6QJIa-Nlw/edit?usp=sharing"",""บุรีรัมย์!S63"")+IMPORTRANGE(""https://docs.google.com/spreadsheets/d/1l6IZ8xUPgMrESzcTYwhA1k_"&amp;"tPjeQjJPTqlm8Gd9eU5g/edit?usp=sharing"",""มหาสารคาม!S63"")+IMPORTRANGE(""https://docs.google.com/spreadsheets/d/1uB74YLqNjWX6FObjekfB2NtSYigTQyR2rq9u4Ub2Sq4/edit?usp=sharing"",""มุกดาหาร!S63"")+IMPORTRANGE(""https://docs.google.com/spreadsheets/d/1NexK3ge"&amp;"CPxCTO1fzNF8dPec7yZyUx3OaWkFBC9HsQOo/edit?usp=sharing"",""ยโสธร!S63"")+IMPORTRANGE(""https://docs.google.com/spreadsheets/d/1v_cJrbBlyqmnHPReHk44g9NrMRdENNlSy_E_c5M9fIg/edit?usp=sharing"",""ร้อยเอ็ด!S63"")+IMPORTRANGE(""https://docs.google.com/spreadsheet"&amp;"s/d/1Ul4RCpCX66NxYADU1QpwAPjOmBzW64SsT11s1wzXw_c/edit?usp=sharing"",""เลย!S63"")+IMPORTRANGE(""https://docs.google.com/spreadsheets/d/1bRrNKwbHDVktQG10isr5vbWRtt5spIZPpkOSWgbT5ug/edit?usp=sharing"",""ศรีสะเกษ!S63"")+IMPORTRANGE(""https://docs.google.com/s"&amp;"preadsheets/d/17P34_Ow5kFBfdQD0qspb2UuPX5zpi6WMrQzslghyvrI/edit?usp=sharing"",""สกลนคร!S63"")+IMPORTRANGE(""https://docs.google.com/spreadsheets/d/1yswqbM3-AEpThF3ZSUa1AcmHnmRTF1vlJ1CZGcJ8YuU/edit?usp=sharing"",""สุรินทร์!S63"")+IMPORTRANGE(""https://docs"&amp;".google.com/spreadsheets/d/13JHU_EFbsQOUQ0JSQ3dWy1VTRosIWcDq6Nc99z2qzdc/edit?usp=sharing"",""หนองคาย!S63"")+IMPORTRANGE(""https://docs.google.com/spreadsheets/d/1Hx73zIEgVdDZZaYSTc46Dqv64atFhpr3GelxLbaIN8A/edit?usp=sharing"",""หนองบัวลำภู!S63"")+IMPORTRAN"&amp;"GE(""https://docs.google.com/spreadsheets/d/1lFxr3ctmjFN90yc-xV6jrQ9Ty8BKYVBWnAZ15wcNIJc/edit?usp=sharing"",""อำนาจเจริญ!S63"")+IMPORTRANGE(""https://docs.google.com/spreadsheets/d/1gF7RJpRnL-1oyjyeWxs5SFWEH7y8ahOZsQlyp2A2e-A/edit?usp=sharing"",""อุดรธานี"&amp;"!S63"")+IMPORTRANGE(""https://docs.google.com/spreadsheets/d/1kfLP0j3INXRa8bTDpcEmoWewMBV61jlFlfzczfjWIgc/edit?usp=sharing"",""อุบลราชธานี!S63"")"),0)</f>
        <v>0</v>
      </c>
      <c r="T63" s="59">
        <f t="shared" ca="1" si="40"/>
        <v>0</v>
      </c>
      <c r="U63" s="59">
        <f t="shared" ca="1" si="41"/>
        <v>0</v>
      </c>
    </row>
    <row r="64" spans="1:21" ht="18.75">
      <c r="A64" s="49"/>
      <c r="B64" s="50"/>
      <c r="C64" s="50"/>
      <c r="D64" s="50"/>
      <c r="E64" s="58" t="s">
        <v>21</v>
      </c>
      <c r="F64" s="50"/>
      <c r="G64" s="52"/>
      <c r="H64" s="53" t="s">
        <v>14</v>
      </c>
      <c r="I64" s="54"/>
      <c r="J64" s="54"/>
      <c r="K64" s="55"/>
      <c r="L64" s="56">
        <f ca="1">IFERROR(__xludf.DUMMYFUNCTION("IMPORTRANGE(""https://docs.google.com/spreadsheets/d/1yhBcrRPreicbMKl9Bu_Snb2-OcQAF62RKfhTLhJ2eAA/edit?usp=sharing"",""กาฬสินธุ์!L64"")+IMPORTRANGE(""https://docs.google.com/spreadsheets/d/1aHkj4IaQMThhwWwevcOymEh837vdxeC_PycurhTbGFA/edit?usp=sharing"","""&amp;"ขอนแก่น!L64"")+IMPORTRANGE(""https://docs.google.com/spreadsheets/d/1FvTu2DsIWUjP6WCWra38Bkj_oOl_sOMf14r5Fg5srxU/edit?usp=sharing"",""ชัยภูมิ!L64"")+IMPORTRANGE(""https://docs.google.com/spreadsheets/d/1XVB7oCJ3pr-vBUdflwPQ8Z2LlzhnCvZaaYjAfP-647E/edit?usp"&amp;"=sharing"",""นครพนม!L64"")+IMPORTRANGE(""https://docs.google.com/spreadsheets/d/1Mnpb-8PYAgn85W6KOTD40hc_Xc55CaLfHoGAbrZ8tls/edit?usp=sharing"",""นครราชสีมา!L64"")+IMPORTRANGE(""https://docs.google.com/spreadsheets/d/1xoDLGBv9CYbyosIhki0kTq6IpYNj-gpjxfobn"&amp;"aDiut0/edit?usp=sharing"",""บึงกาฬ!L64"")+IMPORTRANGE(""https://docs.google.com/spreadsheets/d/1MMPq-JyI6DSgQETxuSiXkesP-P7JHuemnE6QJIa-Nlw/edit?usp=sharing"",""บุรีรัมย์!L64"")+IMPORTRANGE(""https://docs.google.com/spreadsheets/d/1l6IZ8xUPgMrESzcTYwhA1k_"&amp;"tPjeQjJPTqlm8Gd9eU5g/edit?usp=sharing"",""มหาสารคาม!L64"")+IMPORTRANGE(""https://docs.google.com/spreadsheets/d/1uB74YLqNjWX6FObjekfB2NtSYigTQyR2rq9u4Ub2Sq4/edit?usp=sharing"",""มุกดาหาร!L64"")+IMPORTRANGE(""https://docs.google.com/spreadsheets/d/1NexK3ge"&amp;"CPxCTO1fzNF8dPec7yZyUx3OaWkFBC9HsQOo/edit?usp=sharing"",""ยโสธร!L64"")+IMPORTRANGE(""https://docs.google.com/spreadsheets/d/1v_cJrbBlyqmnHPReHk44g9NrMRdENNlSy_E_c5M9fIg/edit?usp=sharing"",""ร้อยเอ็ด!L64"")+IMPORTRANGE(""https://docs.google.com/spreadsheet"&amp;"s/d/1Ul4RCpCX66NxYADU1QpwAPjOmBzW64SsT11s1wzXw_c/edit?usp=sharing"",""เลย!L64"")+IMPORTRANGE(""https://docs.google.com/spreadsheets/d/1bRrNKwbHDVktQG10isr5vbWRtt5spIZPpkOSWgbT5ug/edit?usp=sharing"",""ศรีสะเกษ!L64"")+IMPORTRANGE(""https://docs.google.com/s"&amp;"preadsheets/d/17P34_Ow5kFBfdQD0qspb2UuPX5zpi6WMrQzslghyvrI/edit?usp=sharing"",""สกลนคร!L64"")+IMPORTRANGE(""https://docs.google.com/spreadsheets/d/1yswqbM3-AEpThF3ZSUa1AcmHnmRTF1vlJ1CZGcJ8YuU/edit?usp=sharing"",""สุรินทร์!L64"")+IMPORTRANGE(""https://docs"&amp;".google.com/spreadsheets/d/13JHU_EFbsQOUQ0JSQ3dWy1VTRosIWcDq6Nc99z2qzdc/edit?usp=sharing"",""หนองคาย!L64"")+IMPORTRANGE(""https://docs.google.com/spreadsheets/d/1Hx73zIEgVdDZZaYSTc46Dqv64atFhpr3GelxLbaIN8A/edit?usp=sharing"",""หนองบัวลำภู!L64"")+IMPORTRAN"&amp;"GE(""https://docs.google.com/spreadsheets/d/1lFxr3ctmjFN90yc-xV6jrQ9Ty8BKYVBWnAZ15wcNIJc/edit?usp=sharing"",""อำนาจเจริญ!L64"")+IMPORTRANGE(""https://docs.google.com/spreadsheets/d/1gF7RJpRnL-1oyjyeWxs5SFWEH7y8ahOZsQlyp2A2e-A/edit?usp=sharing"",""อุดรธานี"&amp;"!L64"")+IMPORTRANGE(""https://docs.google.com/spreadsheets/d/1kfLP0j3INXRa8bTDpcEmoWewMBV61jlFlfzczfjWIgc/edit?usp=sharing"",""อุบลราชธานี!L64"")"),10796200)</f>
        <v>10796200</v>
      </c>
      <c r="M64" s="56">
        <f ca="1">IFERROR(__xludf.DUMMYFUNCTION("IMPORTRANGE(""https://docs.google.com/spreadsheets/d/1yhBcrRPreicbMKl9Bu_Snb2-OcQAF62RKfhTLhJ2eAA/edit?usp=sharing"",""กาฬสินธุ์!M64"")+IMPORTRANGE(""https://docs.google.com/spreadsheets/d/1aHkj4IaQMThhwWwevcOymEh837vdxeC_PycurhTbGFA/edit?usp=sharing"","""&amp;"ขอนแก่น!M64"")+IMPORTRANGE(""https://docs.google.com/spreadsheets/d/1FvTu2DsIWUjP6WCWra38Bkj_oOl_sOMf14r5Fg5srxU/edit?usp=sharing"",""ชัยภูมิ!M64"")+IMPORTRANGE(""https://docs.google.com/spreadsheets/d/1XVB7oCJ3pr-vBUdflwPQ8Z2LlzhnCvZaaYjAfP-647E/edit?usp"&amp;"=sharing"",""นครพนม!M64"")+IMPORTRANGE(""https://docs.google.com/spreadsheets/d/1Mnpb-8PYAgn85W6KOTD40hc_Xc55CaLfHoGAbrZ8tls/edit?usp=sharing"",""นครราชสีมา!M64"")+IMPORTRANGE(""https://docs.google.com/spreadsheets/d/1xoDLGBv9CYbyosIhki0kTq6IpYNj-gpjxfobn"&amp;"aDiut0/edit?usp=sharing"",""บึงกาฬ!M64"")+IMPORTRANGE(""https://docs.google.com/spreadsheets/d/1MMPq-JyI6DSgQETxuSiXkesP-P7JHuemnE6QJIa-Nlw/edit?usp=sharing"",""บุรีรัมย์!M64"")+IMPORTRANGE(""https://docs.google.com/spreadsheets/d/1l6IZ8xUPgMrESzcTYwhA1k_"&amp;"tPjeQjJPTqlm8Gd9eU5g/edit?usp=sharing"",""มหาสารคาม!M64"")+IMPORTRANGE(""https://docs.google.com/spreadsheets/d/1uB74YLqNjWX6FObjekfB2NtSYigTQyR2rq9u4Ub2Sq4/edit?usp=sharing"",""มุกดาหาร!M64"")+IMPORTRANGE(""https://docs.google.com/spreadsheets/d/1NexK3ge"&amp;"CPxCTO1fzNF8dPec7yZyUx3OaWkFBC9HsQOo/edit?usp=sharing"",""ยโสธร!M64"")+IMPORTRANGE(""https://docs.google.com/spreadsheets/d/1v_cJrbBlyqmnHPReHk44g9NrMRdENNlSy_E_c5M9fIg/edit?usp=sharing"",""ร้อยเอ็ด!M64"")+IMPORTRANGE(""https://docs.google.com/spreadsheet"&amp;"s/d/1Ul4RCpCX66NxYADU1QpwAPjOmBzW64SsT11s1wzXw_c/edit?usp=sharing"",""เลย!M64"")+IMPORTRANGE(""https://docs.google.com/spreadsheets/d/1bRrNKwbHDVktQG10isr5vbWRtt5spIZPpkOSWgbT5ug/edit?usp=sharing"",""ศรีสะเกษ!M64"")+IMPORTRANGE(""https://docs.google.com/s"&amp;"preadsheets/d/17P34_Ow5kFBfdQD0qspb2UuPX5zpi6WMrQzslghyvrI/edit?usp=sharing"",""สกลนคร!M64"")+IMPORTRANGE(""https://docs.google.com/spreadsheets/d/1yswqbM3-AEpThF3ZSUa1AcmHnmRTF1vlJ1CZGcJ8YuU/edit?usp=sharing"",""สุรินทร์!M64"")+IMPORTRANGE(""https://docs"&amp;".google.com/spreadsheets/d/13JHU_EFbsQOUQ0JSQ3dWy1VTRosIWcDq6Nc99z2qzdc/edit?usp=sharing"",""หนองคาย!M64"")+IMPORTRANGE(""https://docs.google.com/spreadsheets/d/1Hx73zIEgVdDZZaYSTc46Dqv64atFhpr3GelxLbaIN8A/edit?usp=sharing"",""หนองบัวลำภู!M64"")+IMPORTRAN"&amp;"GE(""https://docs.google.com/spreadsheets/d/1lFxr3ctmjFN90yc-xV6jrQ9Ty8BKYVBWnAZ15wcNIJc/edit?usp=sharing"",""อำนาจเจริญ!M64"")+IMPORTRANGE(""https://docs.google.com/spreadsheets/d/1gF7RJpRnL-1oyjyeWxs5SFWEH7y8ahOZsQlyp2A2e-A/edit?usp=sharing"",""อุดรธานี"&amp;"!M64"")+IMPORTRANGE(""https://docs.google.com/spreadsheets/d/1kfLP0j3INXRa8bTDpcEmoWewMBV61jlFlfzczfjWIgc/edit?usp=sharing"",""อุบลราชธานี!M64"")"),10917780)</f>
        <v>10917780</v>
      </c>
      <c r="N64" s="56">
        <f ca="1">IFERROR(__xludf.DUMMYFUNCTION("IMPORTRANGE(""https://docs.google.com/spreadsheets/d/1yhBcrRPreicbMKl9Bu_Snb2-OcQAF62RKfhTLhJ2eAA/edit?usp=sharing"",""กาฬสินธุ์!N64"")+IMPORTRANGE(""https://docs.google.com/spreadsheets/d/1aHkj4IaQMThhwWwevcOymEh837vdxeC_PycurhTbGFA/edit?usp=sharing"","""&amp;"ขอนแก่น!N64"")+IMPORTRANGE(""https://docs.google.com/spreadsheets/d/1FvTu2DsIWUjP6WCWra38Bkj_oOl_sOMf14r5Fg5srxU/edit?usp=sharing"",""ชัยภูมิ!N64"")+IMPORTRANGE(""https://docs.google.com/spreadsheets/d/1XVB7oCJ3pr-vBUdflwPQ8Z2LlzhnCvZaaYjAfP-647E/edit?usp"&amp;"=sharing"",""นครพนม!N64"")+IMPORTRANGE(""https://docs.google.com/spreadsheets/d/1Mnpb-8PYAgn85W6KOTD40hc_Xc55CaLfHoGAbrZ8tls/edit?usp=sharing"",""นครราชสีมา!N64"")+IMPORTRANGE(""https://docs.google.com/spreadsheets/d/1xoDLGBv9CYbyosIhki0kTq6IpYNj-gpjxfobn"&amp;"aDiut0/edit?usp=sharing"",""บึงกาฬ!N64"")+IMPORTRANGE(""https://docs.google.com/spreadsheets/d/1MMPq-JyI6DSgQETxuSiXkesP-P7JHuemnE6QJIa-Nlw/edit?usp=sharing"",""บุรีรัมย์!N64"")+IMPORTRANGE(""https://docs.google.com/spreadsheets/d/1l6IZ8xUPgMrESzcTYwhA1k_"&amp;"tPjeQjJPTqlm8Gd9eU5g/edit?usp=sharing"",""มหาสารคาม!N64"")+IMPORTRANGE(""https://docs.google.com/spreadsheets/d/1uB74YLqNjWX6FObjekfB2NtSYigTQyR2rq9u4Ub2Sq4/edit?usp=sharing"",""มุกดาหาร!N64"")+IMPORTRANGE(""https://docs.google.com/spreadsheets/d/1NexK3ge"&amp;"CPxCTO1fzNF8dPec7yZyUx3OaWkFBC9HsQOo/edit?usp=sharing"",""ยโสธร!N64"")+IMPORTRANGE(""https://docs.google.com/spreadsheets/d/1v_cJrbBlyqmnHPReHk44g9NrMRdENNlSy_E_c5M9fIg/edit?usp=sharing"",""ร้อยเอ็ด!N64"")+IMPORTRANGE(""https://docs.google.com/spreadsheet"&amp;"s/d/1Ul4RCpCX66NxYADU1QpwAPjOmBzW64SsT11s1wzXw_c/edit?usp=sharing"",""เลย!N64"")+IMPORTRANGE(""https://docs.google.com/spreadsheets/d/1bRrNKwbHDVktQG10isr5vbWRtt5spIZPpkOSWgbT5ug/edit?usp=sharing"",""ศรีสะเกษ!N64"")+IMPORTRANGE(""https://docs.google.com/s"&amp;"preadsheets/d/17P34_Ow5kFBfdQD0qspb2UuPX5zpi6WMrQzslghyvrI/edit?usp=sharing"",""สกลนคร!N64"")+IMPORTRANGE(""https://docs.google.com/spreadsheets/d/1yswqbM3-AEpThF3ZSUa1AcmHnmRTF1vlJ1CZGcJ8YuU/edit?usp=sharing"",""สุรินทร์!N64"")+IMPORTRANGE(""https://docs"&amp;".google.com/spreadsheets/d/13JHU_EFbsQOUQ0JSQ3dWy1VTRosIWcDq6Nc99z2qzdc/edit?usp=sharing"",""หนองคาย!N64"")+IMPORTRANGE(""https://docs.google.com/spreadsheets/d/1Hx73zIEgVdDZZaYSTc46Dqv64atFhpr3GelxLbaIN8A/edit?usp=sharing"",""หนองบัวลำภู!N64"")+IMPORTRAN"&amp;"GE(""https://docs.google.com/spreadsheets/d/1lFxr3ctmjFN90yc-xV6jrQ9Ty8BKYVBWnAZ15wcNIJc/edit?usp=sharing"",""อำนาจเจริญ!N64"")+IMPORTRANGE(""https://docs.google.com/spreadsheets/d/1gF7RJpRnL-1oyjyeWxs5SFWEH7y8ahOZsQlyp2A2e-A/edit?usp=sharing"",""อุดรธานี"&amp;"!N64"")+IMPORTRANGE(""https://docs.google.com/spreadsheets/d/1kfLP0j3INXRa8bTDpcEmoWewMBV61jlFlfzczfjWIgc/edit?usp=sharing"",""อุบลราชธานี!N64"")"),9653740.65999999)</f>
        <v>9653740.6599999908</v>
      </c>
      <c r="O64" s="56">
        <f t="shared" ca="1" si="37"/>
        <v>89.417949463700097</v>
      </c>
      <c r="P64" s="56">
        <f t="shared" ca="1" si="38"/>
        <v>88.422194438796083</v>
      </c>
      <c r="Q64" s="56">
        <f ca="1">IFERROR(__xludf.DUMMYFUNCTION("IMPORTRANGE(""https://docs.google.com/spreadsheets/d/1yhBcrRPreicbMKl9Bu_Snb2-OcQAF62RKfhTLhJ2eAA/edit?usp=sharing"",""กาฬสินธุ์!Q64"")+IMPORTRANGE(""https://docs.google.com/spreadsheets/d/1aHkj4IaQMThhwWwevcOymEh837vdxeC_PycurhTbGFA/edit?usp=sharing"","""&amp;"ขอนแก่น!Q64"")+IMPORTRANGE(""https://docs.google.com/spreadsheets/d/1FvTu2DsIWUjP6WCWra38Bkj_oOl_sOMf14r5Fg5srxU/edit?usp=sharing"",""ชัยภูมิ!Q64"")+IMPORTRANGE(""https://docs.google.com/spreadsheets/d/1XVB7oCJ3pr-vBUdflwPQ8Z2LlzhnCvZaaYjAfP-647E/edit?usp"&amp;"=sharing"",""นครพนม!Q64"")+IMPORTRANGE(""https://docs.google.com/spreadsheets/d/1Mnpb-8PYAgn85W6KOTD40hc_Xc55CaLfHoGAbrZ8tls/edit?usp=sharing"",""นครราชสีมา!Q64"")+IMPORTRANGE(""https://docs.google.com/spreadsheets/d/1xoDLGBv9CYbyosIhki0kTq6IpYNj-gpjxfobn"&amp;"aDiut0/edit?usp=sharing"",""บึงกาฬ!Q64"")+IMPORTRANGE(""https://docs.google.com/spreadsheets/d/1MMPq-JyI6DSgQETxuSiXkesP-P7JHuemnE6QJIa-Nlw/edit?usp=sharing"",""บุรีรัมย์!Q64"")+IMPORTRANGE(""https://docs.google.com/spreadsheets/d/1l6IZ8xUPgMrESzcTYwhA1k_"&amp;"tPjeQjJPTqlm8Gd9eU5g/edit?usp=sharing"",""มหาสารคาม!Q64"")+IMPORTRANGE(""https://docs.google.com/spreadsheets/d/1uB74YLqNjWX6FObjekfB2NtSYigTQyR2rq9u4Ub2Sq4/edit?usp=sharing"",""มุกดาหาร!Q64"")+IMPORTRANGE(""https://docs.google.com/spreadsheets/d/1NexK3ge"&amp;"CPxCTO1fzNF8dPec7yZyUx3OaWkFBC9HsQOo/edit?usp=sharing"",""ยโสธร!Q64"")+IMPORTRANGE(""https://docs.google.com/spreadsheets/d/1v_cJrbBlyqmnHPReHk44g9NrMRdENNlSy_E_c5M9fIg/edit?usp=sharing"",""ร้อยเอ็ด!Q64"")+IMPORTRANGE(""https://docs.google.com/spreadsheet"&amp;"s/d/1Ul4RCpCX66NxYADU1QpwAPjOmBzW64SsT11s1wzXw_c/edit?usp=sharing"",""เลย!Q64"")+IMPORTRANGE(""https://docs.google.com/spreadsheets/d/1bRrNKwbHDVktQG10isr5vbWRtt5spIZPpkOSWgbT5ug/edit?usp=sharing"",""ศรีสะเกษ!Q64"")+IMPORTRANGE(""https://docs.google.com/s"&amp;"preadsheets/d/17P34_Ow5kFBfdQD0qspb2UuPX5zpi6WMrQzslghyvrI/edit?usp=sharing"",""สกลนคร!Q64"")+IMPORTRANGE(""https://docs.google.com/spreadsheets/d/1yswqbM3-AEpThF3ZSUa1AcmHnmRTF1vlJ1CZGcJ8YuU/edit?usp=sharing"",""สุรินทร์!Q64"")+IMPORTRANGE(""https://docs"&amp;".google.com/spreadsheets/d/13JHU_EFbsQOUQ0JSQ3dWy1VTRosIWcDq6Nc99z2qzdc/edit?usp=sharing"",""หนองคาย!Q64"")+IMPORTRANGE(""https://docs.google.com/spreadsheets/d/1Hx73zIEgVdDZZaYSTc46Dqv64atFhpr3GelxLbaIN8A/edit?usp=sharing"",""หนองบัวลำภู!Q64"")+IMPORTRAN"&amp;"GE(""https://docs.google.com/spreadsheets/d/1lFxr3ctmjFN90yc-xV6jrQ9Ty8BKYVBWnAZ15wcNIJc/edit?usp=sharing"",""อำนาจเจริญ!Q64"")+IMPORTRANGE(""https://docs.google.com/spreadsheets/d/1gF7RJpRnL-1oyjyeWxs5SFWEH7y8ahOZsQlyp2A2e-A/edit?usp=sharing"",""อุดรธานี"&amp;"!Q64"")+IMPORTRANGE(""https://docs.google.com/spreadsheets/d/1kfLP0j3INXRa8bTDpcEmoWewMBV61jlFlfzczfjWIgc/edit?usp=sharing"",""อุบลราชธานี!Q64"")"),0)</f>
        <v>0</v>
      </c>
      <c r="R64" s="56">
        <f ca="1">IFERROR(__xludf.DUMMYFUNCTION("IMPORTRANGE(""https://docs.google.com/spreadsheets/d/1yhBcrRPreicbMKl9Bu_Snb2-OcQAF62RKfhTLhJ2eAA/edit?usp=sharing"",""กาฬสินธุ์!R64"")+IMPORTRANGE(""https://docs.google.com/spreadsheets/d/1aHkj4IaQMThhwWwevcOymEh837vdxeC_PycurhTbGFA/edit?usp=sharing"","""&amp;"ขอนแก่น!R64"")+IMPORTRANGE(""https://docs.google.com/spreadsheets/d/1FvTu2DsIWUjP6WCWra38Bkj_oOl_sOMf14r5Fg5srxU/edit?usp=sharing"",""ชัยภูมิ!R64"")+IMPORTRANGE(""https://docs.google.com/spreadsheets/d/1XVB7oCJ3pr-vBUdflwPQ8Z2LlzhnCvZaaYjAfP-647E/edit?usp"&amp;"=sharing"",""นครพนม!R64"")+IMPORTRANGE(""https://docs.google.com/spreadsheets/d/1Mnpb-8PYAgn85W6KOTD40hc_Xc55CaLfHoGAbrZ8tls/edit?usp=sharing"",""นครราชสีมา!R64"")+IMPORTRANGE(""https://docs.google.com/spreadsheets/d/1xoDLGBv9CYbyosIhki0kTq6IpYNj-gpjxfobn"&amp;"aDiut0/edit?usp=sharing"",""บึงกาฬ!R64"")+IMPORTRANGE(""https://docs.google.com/spreadsheets/d/1MMPq-JyI6DSgQETxuSiXkesP-P7JHuemnE6QJIa-Nlw/edit?usp=sharing"",""บุรีรัมย์!R64"")+IMPORTRANGE(""https://docs.google.com/spreadsheets/d/1l6IZ8xUPgMrESzcTYwhA1k_"&amp;"tPjeQjJPTqlm8Gd9eU5g/edit?usp=sharing"",""มหาสารคาม!R64"")+IMPORTRANGE(""https://docs.google.com/spreadsheets/d/1uB74YLqNjWX6FObjekfB2NtSYigTQyR2rq9u4Ub2Sq4/edit?usp=sharing"",""มุกดาหาร!R64"")+IMPORTRANGE(""https://docs.google.com/spreadsheets/d/1NexK3ge"&amp;"CPxCTO1fzNF8dPec7yZyUx3OaWkFBC9HsQOo/edit?usp=sharing"",""ยโสธร!R64"")+IMPORTRANGE(""https://docs.google.com/spreadsheets/d/1v_cJrbBlyqmnHPReHk44g9NrMRdENNlSy_E_c5M9fIg/edit?usp=sharing"",""ร้อยเอ็ด!R64"")+IMPORTRANGE(""https://docs.google.com/spreadsheet"&amp;"s/d/1Ul4RCpCX66NxYADU1QpwAPjOmBzW64SsT11s1wzXw_c/edit?usp=sharing"",""เลย!R64"")+IMPORTRANGE(""https://docs.google.com/spreadsheets/d/1bRrNKwbHDVktQG10isr5vbWRtt5spIZPpkOSWgbT5ug/edit?usp=sharing"",""ศรีสะเกษ!R64"")+IMPORTRANGE(""https://docs.google.com/s"&amp;"preadsheets/d/17P34_Ow5kFBfdQD0qspb2UuPX5zpi6WMrQzslghyvrI/edit?usp=sharing"",""สกลนคร!R64"")+IMPORTRANGE(""https://docs.google.com/spreadsheets/d/1yswqbM3-AEpThF3ZSUa1AcmHnmRTF1vlJ1CZGcJ8YuU/edit?usp=sharing"",""สุรินทร์!R64"")+IMPORTRANGE(""https://docs"&amp;".google.com/spreadsheets/d/13JHU_EFbsQOUQ0JSQ3dWy1VTRosIWcDq6Nc99z2qzdc/edit?usp=sharing"",""หนองคาย!R64"")+IMPORTRANGE(""https://docs.google.com/spreadsheets/d/1Hx73zIEgVdDZZaYSTc46Dqv64atFhpr3GelxLbaIN8A/edit?usp=sharing"",""หนองบัวลำภู!R64"")+IMPORTRAN"&amp;"GE(""https://docs.google.com/spreadsheets/d/1lFxr3ctmjFN90yc-xV6jrQ9Ty8BKYVBWnAZ15wcNIJc/edit?usp=sharing"",""อำนาจเจริญ!R64"")+IMPORTRANGE(""https://docs.google.com/spreadsheets/d/1gF7RJpRnL-1oyjyeWxs5SFWEH7y8ahOZsQlyp2A2e-A/edit?usp=sharing"",""อุดรธานี"&amp;"!R64"")+IMPORTRANGE(""https://docs.google.com/spreadsheets/d/1kfLP0j3INXRa8bTDpcEmoWewMBV61jlFlfzczfjWIgc/edit?usp=sharing"",""อุบลราชธานี!R64"")"),0)</f>
        <v>0</v>
      </c>
      <c r="S64" s="57">
        <f ca="1">IFERROR(__xludf.DUMMYFUNCTION("IMPORTRANGE(""https://docs.google.com/spreadsheets/d/1yhBcrRPreicbMKl9Bu_Snb2-OcQAF62RKfhTLhJ2eAA/edit?usp=sharing"",""กาฬสินธุ์!S64"")+IMPORTRANGE(""https://docs.google.com/spreadsheets/d/1aHkj4IaQMThhwWwevcOymEh837vdxeC_PycurhTbGFA/edit?usp=sharing"","""&amp;"ขอนแก่น!S64"")+IMPORTRANGE(""https://docs.google.com/spreadsheets/d/1FvTu2DsIWUjP6WCWra38Bkj_oOl_sOMf14r5Fg5srxU/edit?usp=sharing"",""ชัยภูมิ!S64"")+IMPORTRANGE(""https://docs.google.com/spreadsheets/d/1XVB7oCJ3pr-vBUdflwPQ8Z2LlzhnCvZaaYjAfP-647E/edit?usp"&amp;"=sharing"",""นครพนม!S64"")+IMPORTRANGE(""https://docs.google.com/spreadsheets/d/1Mnpb-8PYAgn85W6KOTD40hc_Xc55CaLfHoGAbrZ8tls/edit?usp=sharing"",""นครราชสีมา!S64"")+IMPORTRANGE(""https://docs.google.com/spreadsheets/d/1xoDLGBv9CYbyosIhki0kTq6IpYNj-gpjxfobn"&amp;"aDiut0/edit?usp=sharing"",""บึงกาฬ!S64"")+IMPORTRANGE(""https://docs.google.com/spreadsheets/d/1MMPq-JyI6DSgQETxuSiXkesP-P7JHuemnE6QJIa-Nlw/edit?usp=sharing"",""บุรีรัมย์!S64"")+IMPORTRANGE(""https://docs.google.com/spreadsheets/d/1l6IZ8xUPgMrESzcTYwhA1k_"&amp;"tPjeQjJPTqlm8Gd9eU5g/edit?usp=sharing"",""มหาสารคาม!S64"")+IMPORTRANGE(""https://docs.google.com/spreadsheets/d/1uB74YLqNjWX6FObjekfB2NtSYigTQyR2rq9u4Ub2Sq4/edit?usp=sharing"",""มุกดาหาร!S64"")+IMPORTRANGE(""https://docs.google.com/spreadsheets/d/1NexK3ge"&amp;"CPxCTO1fzNF8dPec7yZyUx3OaWkFBC9HsQOo/edit?usp=sharing"",""ยโสธร!S64"")+IMPORTRANGE(""https://docs.google.com/spreadsheets/d/1v_cJrbBlyqmnHPReHk44g9NrMRdENNlSy_E_c5M9fIg/edit?usp=sharing"",""ร้อยเอ็ด!S64"")+IMPORTRANGE(""https://docs.google.com/spreadsheet"&amp;"s/d/1Ul4RCpCX66NxYADU1QpwAPjOmBzW64SsT11s1wzXw_c/edit?usp=sharing"",""เลย!S64"")+IMPORTRANGE(""https://docs.google.com/spreadsheets/d/1bRrNKwbHDVktQG10isr5vbWRtt5spIZPpkOSWgbT5ug/edit?usp=sharing"",""ศรีสะเกษ!S64"")+IMPORTRANGE(""https://docs.google.com/s"&amp;"preadsheets/d/17P34_Ow5kFBfdQD0qspb2UuPX5zpi6WMrQzslghyvrI/edit?usp=sharing"",""สกลนคร!S64"")+IMPORTRANGE(""https://docs.google.com/spreadsheets/d/1yswqbM3-AEpThF3ZSUa1AcmHnmRTF1vlJ1CZGcJ8YuU/edit?usp=sharing"",""สุรินทร์!S64"")+IMPORTRANGE(""https://docs"&amp;".google.com/spreadsheets/d/13JHU_EFbsQOUQ0JSQ3dWy1VTRosIWcDq6Nc99z2qzdc/edit?usp=sharing"",""หนองคาย!S64"")+IMPORTRANGE(""https://docs.google.com/spreadsheets/d/1Hx73zIEgVdDZZaYSTc46Dqv64atFhpr3GelxLbaIN8A/edit?usp=sharing"",""หนองบัวลำภู!S64"")+IMPORTRAN"&amp;"GE(""https://docs.google.com/spreadsheets/d/1lFxr3ctmjFN90yc-xV6jrQ9Ty8BKYVBWnAZ15wcNIJc/edit?usp=sharing"",""อำนาจเจริญ!S64"")+IMPORTRANGE(""https://docs.google.com/spreadsheets/d/1gF7RJpRnL-1oyjyeWxs5SFWEH7y8ahOZsQlyp2A2e-A/edit?usp=sharing"",""อุดรธานี"&amp;"!S64"")+IMPORTRANGE(""https://docs.google.com/spreadsheets/d/1kfLP0j3INXRa8bTDpcEmoWewMBV61jlFlfzczfjWIgc/edit?usp=sharing"",""อุบลราชธานี!S64"")"),0)</f>
        <v>0</v>
      </c>
      <c r="T64" s="56">
        <f t="shared" ca="1" si="40"/>
        <v>0</v>
      </c>
      <c r="U64" s="56">
        <f t="shared" ca="1" si="41"/>
        <v>0</v>
      </c>
    </row>
    <row r="65" spans="1:21" ht="18.75">
      <c r="A65" s="49"/>
      <c r="B65" s="50"/>
      <c r="C65" s="50"/>
      <c r="D65" s="51" t="s">
        <v>23</v>
      </c>
      <c r="E65" s="50"/>
      <c r="F65" s="50"/>
      <c r="G65" s="52"/>
      <c r="H65" s="53" t="s">
        <v>14</v>
      </c>
      <c r="I65" s="54"/>
      <c r="J65" s="54"/>
      <c r="K65" s="55"/>
      <c r="L65" s="56">
        <f t="shared" ref="L65:N65" ca="1" si="48">L66+L67</f>
        <v>0</v>
      </c>
      <c r="M65" s="56">
        <f t="shared" ca="1" si="48"/>
        <v>0</v>
      </c>
      <c r="N65" s="56">
        <f t="shared" ca="1" si="48"/>
        <v>0</v>
      </c>
      <c r="O65" s="56">
        <f t="shared" ca="1" si="37"/>
        <v>0</v>
      </c>
      <c r="P65" s="56">
        <f t="shared" ca="1" si="38"/>
        <v>0</v>
      </c>
      <c r="Q65" s="56">
        <f t="shared" ref="Q65:S65" ca="1" si="49">Q66+Q67</f>
        <v>0</v>
      </c>
      <c r="R65" s="56">
        <f t="shared" ca="1" si="49"/>
        <v>0</v>
      </c>
      <c r="S65" s="57">
        <f t="shared" ca="1" si="49"/>
        <v>0</v>
      </c>
      <c r="T65" s="56">
        <f t="shared" ca="1" si="40"/>
        <v>0</v>
      </c>
      <c r="U65" s="56">
        <f t="shared" ca="1" si="41"/>
        <v>0</v>
      </c>
    </row>
    <row r="66" spans="1:21" ht="18.75">
      <c r="A66" s="49"/>
      <c r="B66" s="50"/>
      <c r="C66" s="50"/>
      <c r="D66" s="50"/>
      <c r="E66" s="58" t="s">
        <v>20</v>
      </c>
      <c r="F66" s="50"/>
      <c r="G66" s="52"/>
      <c r="H66" s="53" t="s">
        <v>14</v>
      </c>
      <c r="I66" s="54"/>
      <c r="J66" s="54"/>
      <c r="K66" s="55"/>
      <c r="L66" s="56">
        <f ca="1">IFERROR(__xludf.DUMMYFUNCTION("IMPORTRANGE(""https://docs.google.com/spreadsheets/d/1yhBcrRPreicbMKl9Bu_Snb2-OcQAF62RKfhTLhJ2eAA/edit?usp=sharing"",""กาฬสินธุ์!L66"")+IMPORTRANGE(""https://docs.google.com/spreadsheets/d/1aHkj4IaQMThhwWwevcOymEh837vdxeC_PycurhTbGFA/edit?usp=sharing"","""&amp;"ขอนแก่น!L66"")+IMPORTRANGE(""https://docs.google.com/spreadsheets/d/1FvTu2DsIWUjP6WCWra38Bkj_oOl_sOMf14r5Fg5srxU/edit?usp=sharing"",""ชัยภูมิ!L66"")+IMPORTRANGE(""https://docs.google.com/spreadsheets/d/1XVB7oCJ3pr-vBUdflwPQ8Z2LlzhnCvZaaYjAfP-647E/edit?usp"&amp;"=sharing"",""นครพนม!L66"")+IMPORTRANGE(""https://docs.google.com/spreadsheets/d/1Mnpb-8PYAgn85W6KOTD40hc_Xc55CaLfHoGAbrZ8tls/edit?usp=sharing"",""นครราชสีมา!L66"")+IMPORTRANGE(""https://docs.google.com/spreadsheets/d/1xoDLGBv9CYbyosIhki0kTq6IpYNj-gpjxfobn"&amp;"aDiut0/edit?usp=sharing"",""บึงกาฬ!L66"")+IMPORTRANGE(""https://docs.google.com/spreadsheets/d/1MMPq-JyI6DSgQETxuSiXkesP-P7JHuemnE6QJIa-Nlw/edit?usp=sharing"",""บุรีรัมย์!L66"")+IMPORTRANGE(""https://docs.google.com/spreadsheets/d/1l6IZ8xUPgMrESzcTYwhA1k_"&amp;"tPjeQjJPTqlm8Gd9eU5g/edit?usp=sharing"",""มหาสารคาม!L66"")+IMPORTRANGE(""https://docs.google.com/spreadsheets/d/1uB74YLqNjWX6FObjekfB2NtSYigTQyR2rq9u4Ub2Sq4/edit?usp=sharing"",""มุกดาหาร!L66"")+IMPORTRANGE(""https://docs.google.com/spreadsheets/d/1NexK3ge"&amp;"CPxCTO1fzNF8dPec7yZyUx3OaWkFBC9HsQOo/edit?usp=sharing"",""ยโสธร!L66"")+IMPORTRANGE(""https://docs.google.com/spreadsheets/d/1v_cJrbBlyqmnHPReHk44g9NrMRdENNlSy_E_c5M9fIg/edit?usp=sharing"",""ร้อยเอ็ด!L66"")+IMPORTRANGE(""https://docs.google.com/spreadsheet"&amp;"s/d/1Ul4RCpCX66NxYADU1QpwAPjOmBzW64SsT11s1wzXw_c/edit?usp=sharing"",""เลย!L66"")+IMPORTRANGE(""https://docs.google.com/spreadsheets/d/1bRrNKwbHDVktQG10isr5vbWRtt5spIZPpkOSWgbT5ug/edit?usp=sharing"",""ศรีสะเกษ!L66"")+IMPORTRANGE(""https://docs.google.com/s"&amp;"preadsheets/d/17P34_Ow5kFBfdQD0qspb2UuPX5zpi6WMrQzslghyvrI/edit?usp=sharing"",""สกลนคร!L66"")+IMPORTRANGE(""https://docs.google.com/spreadsheets/d/1yswqbM3-AEpThF3ZSUa1AcmHnmRTF1vlJ1CZGcJ8YuU/edit?usp=sharing"",""สุรินทร์!L66"")+IMPORTRANGE(""https://docs"&amp;".google.com/spreadsheets/d/13JHU_EFbsQOUQ0JSQ3dWy1VTRosIWcDq6Nc99z2qzdc/edit?usp=sharing"",""หนองคาย!L66"")+IMPORTRANGE(""https://docs.google.com/spreadsheets/d/1Hx73zIEgVdDZZaYSTc46Dqv64atFhpr3GelxLbaIN8A/edit?usp=sharing"",""หนองบัวลำภู!L66"")+IMPORTRAN"&amp;"GE(""https://docs.google.com/spreadsheets/d/1lFxr3ctmjFN90yc-xV6jrQ9Ty8BKYVBWnAZ15wcNIJc/edit?usp=sharing"",""อำนาจเจริญ!L66"")+IMPORTRANGE(""https://docs.google.com/spreadsheets/d/1gF7RJpRnL-1oyjyeWxs5SFWEH7y8ahOZsQlyp2A2e-A/edit?usp=sharing"",""อุดรธานี"&amp;"!L66"")+IMPORTRANGE(""https://docs.google.com/spreadsheets/d/1kfLP0j3INXRa8bTDpcEmoWewMBV61jlFlfzczfjWIgc/edit?usp=sharing"",""อุบลราชธานี!L66"")"),0)</f>
        <v>0</v>
      </c>
      <c r="M66" s="56">
        <f ca="1">IFERROR(__xludf.DUMMYFUNCTION("IMPORTRANGE(""https://docs.google.com/spreadsheets/d/1yhBcrRPreicbMKl9Bu_Snb2-OcQAF62RKfhTLhJ2eAA/edit?usp=sharing"",""กาฬสินธุ์!M66"")+IMPORTRANGE(""https://docs.google.com/spreadsheets/d/1aHkj4IaQMThhwWwevcOymEh837vdxeC_PycurhTbGFA/edit?usp=sharing"","""&amp;"ขอนแก่น!M66"")+IMPORTRANGE(""https://docs.google.com/spreadsheets/d/1FvTu2DsIWUjP6WCWra38Bkj_oOl_sOMf14r5Fg5srxU/edit?usp=sharing"",""ชัยภูมิ!M66"")+IMPORTRANGE(""https://docs.google.com/spreadsheets/d/1XVB7oCJ3pr-vBUdflwPQ8Z2LlzhnCvZaaYjAfP-647E/edit?usp"&amp;"=sharing"",""นครพนม!M66"")+IMPORTRANGE(""https://docs.google.com/spreadsheets/d/1Mnpb-8PYAgn85W6KOTD40hc_Xc55CaLfHoGAbrZ8tls/edit?usp=sharing"",""นครราชสีมา!M66"")+IMPORTRANGE(""https://docs.google.com/spreadsheets/d/1xoDLGBv9CYbyosIhki0kTq6IpYNj-gpjxfobn"&amp;"aDiut0/edit?usp=sharing"",""บึงกาฬ!M66"")+IMPORTRANGE(""https://docs.google.com/spreadsheets/d/1MMPq-JyI6DSgQETxuSiXkesP-P7JHuemnE6QJIa-Nlw/edit?usp=sharing"",""บุรีรัมย์!M66"")+IMPORTRANGE(""https://docs.google.com/spreadsheets/d/1l6IZ8xUPgMrESzcTYwhA1k_"&amp;"tPjeQjJPTqlm8Gd9eU5g/edit?usp=sharing"",""มหาสารคาม!M66"")+IMPORTRANGE(""https://docs.google.com/spreadsheets/d/1uB74YLqNjWX6FObjekfB2NtSYigTQyR2rq9u4Ub2Sq4/edit?usp=sharing"",""มุกดาหาร!M66"")+IMPORTRANGE(""https://docs.google.com/spreadsheets/d/1NexK3ge"&amp;"CPxCTO1fzNF8dPec7yZyUx3OaWkFBC9HsQOo/edit?usp=sharing"",""ยโสธร!M66"")+IMPORTRANGE(""https://docs.google.com/spreadsheets/d/1v_cJrbBlyqmnHPReHk44g9NrMRdENNlSy_E_c5M9fIg/edit?usp=sharing"",""ร้อยเอ็ด!M66"")+IMPORTRANGE(""https://docs.google.com/spreadsheet"&amp;"s/d/1Ul4RCpCX66NxYADU1QpwAPjOmBzW64SsT11s1wzXw_c/edit?usp=sharing"",""เลย!M66"")+IMPORTRANGE(""https://docs.google.com/spreadsheets/d/1bRrNKwbHDVktQG10isr5vbWRtt5spIZPpkOSWgbT5ug/edit?usp=sharing"",""ศรีสะเกษ!M66"")+IMPORTRANGE(""https://docs.google.com/s"&amp;"preadsheets/d/17P34_Ow5kFBfdQD0qspb2UuPX5zpi6WMrQzslghyvrI/edit?usp=sharing"",""สกลนคร!M66"")+IMPORTRANGE(""https://docs.google.com/spreadsheets/d/1yswqbM3-AEpThF3ZSUa1AcmHnmRTF1vlJ1CZGcJ8YuU/edit?usp=sharing"",""สุรินทร์!M66"")+IMPORTRANGE(""https://docs"&amp;".google.com/spreadsheets/d/13JHU_EFbsQOUQ0JSQ3dWy1VTRosIWcDq6Nc99z2qzdc/edit?usp=sharing"",""หนองคาย!M66"")+IMPORTRANGE(""https://docs.google.com/spreadsheets/d/1Hx73zIEgVdDZZaYSTc46Dqv64atFhpr3GelxLbaIN8A/edit?usp=sharing"",""หนองบัวลำภู!M66"")+IMPORTRAN"&amp;"GE(""https://docs.google.com/spreadsheets/d/1lFxr3ctmjFN90yc-xV6jrQ9Ty8BKYVBWnAZ15wcNIJc/edit?usp=sharing"",""อำนาจเจริญ!M66"")+IMPORTRANGE(""https://docs.google.com/spreadsheets/d/1gF7RJpRnL-1oyjyeWxs5SFWEH7y8ahOZsQlyp2A2e-A/edit?usp=sharing"",""อุดรธานี"&amp;"!M66"")+IMPORTRANGE(""https://docs.google.com/spreadsheets/d/1kfLP0j3INXRa8bTDpcEmoWewMBV61jlFlfzczfjWIgc/edit?usp=sharing"",""อุบลราชธานี!M66"")"),0)</f>
        <v>0</v>
      </c>
      <c r="N66" s="56">
        <f ca="1">IFERROR(__xludf.DUMMYFUNCTION("IMPORTRANGE(""https://docs.google.com/spreadsheets/d/1yhBcrRPreicbMKl9Bu_Snb2-OcQAF62RKfhTLhJ2eAA/edit?usp=sharing"",""กาฬสินธุ์!N66"")+IMPORTRANGE(""https://docs.google.com/spreadsheets/d/1aHkj4IaQMThhwWwevcOymEh837vdxeC_PycurhTbGFA/edit?usp=sharing"","""&amp;"ขอนแก่น!N66"")+IMPORTRANGE(""https://docs.google.com/spreadsheets/d/1FvTu2DsIWUjP6WCWra38Bkj_oOl_sOMf14r5Fg5srxU/edit?usp=sharing"",""ชัยภูมิ!N66"")+IMPORTRANGE(""https://docs.google.com/spreadsheets/d/1XVB7oCJ3pr-vBUdflwPQ8Z2LlzhnCvZaaYjAfP-647E/edit?usp"&amp;"=sharing"",""นครพนม!N66"")+IMPORTRANGE(""https://docs.google.com/spreadsheets/d/1Mnpb-8PYAgn85W6KOTD40hc_Xc55CaLfHoGAbrZ8tls/edit?usp=sharing"",""นครราชสีมา!N66"")+IMPORTRANGE(""https://docs.google.com/spreadsheets/d/1xoDLGBv9CYbyosIhki0kTq6IpYNj-gpjxfobn"&amp;"aDiut0/edit?usp=sharing"",""บึงกาฬ!N66"")+IMPORTRANGE(""https://docs.google.com/spreadsheets/d/1MMPq-JyI6DSgQETxuSiXkesP-P7JHuemnE6QJIa-Nlw/edit?usp=sharing"",""บุรีรัมย์!N66"")+IMPORTRANGE(""https://docs.google.com/spreadsheets/d/1l6IZ8xUPgMrESzcTYwhA1k_"&amp;"tPjeQjJPTqlm8Gd9eU5g/edit?usp=sharing"",""มหาสารคาม!N66"")+IMPORTRANGE(""https://docs.google.com/spreadsheets/d/1uB74YLqNjWX6FObjekfB2NtSYigTQyR2rq9u4Ub2Sq4/edit?usp=sharing"",""มุกดาหาร!N66"")+IMPORTRANGE(""https://docs.google.com/spreadsheets/d/1NexK3ge"&amp;"CPxCTO1fzNF8dPec7yZyUx3OaWkFBC9HsQOo/edit?usp=sharing"",""ยโสธร!N66"")+IMPORTRANGE(""https://docs.google.com/spreadsheets/d/1v_cJrbBlyqmnHPReHk44g9NrMRdENNlSy_E_c5M9fIg/edit?usp=sharing"",""ร้อยเอ็ด!N66"")+IMPORTRANGE(""https://docs.google.com/spreadsheet"&amp;"s/d/1Ul4RCpCX66NxYADU1QpwAPjOmBzW64SsT11s1wzXw_c/edit?usp=sharing"",""เลย!N66"")+IMPORTRANGE(""https://docs.google.com/spreadsheets/d/1bRrNKwbHDVktQG10isr5vbWRtt5spIZPpkOSWgbT5ug/edit?usp=sharing"",""ศรีสะเกษ!N66"")+IMPORTRANGE(""https://docs.google.com/s"&amp;"preadsheets/d/17P34_Ow5kFBfdQD0qspb2UuPX5zpi6WMrQzslghyvrI/edit?usp=sharing"",""สกลนคร!N66"")+IMPORTRANGE(""https://docs.google.com/spreadsheets/d/1yswqbM3-AEpThF3ZSUa1AcmHnmRTF1vlJ1CZGcJ8YuU/edit?usp=sharing"",""สุรินทร์!N66"")+IMPORTRANGE(""https://docs"&amp;".google.com/spreadsheets/d/13JHU_EFbsQOUQ0JSQ3dWy1VTRosIWcDq6Nc99z2qzdc/edit?usp=sharing"",""หนองคาย!N66"")+IMPORTRANGE(""https://docs.google.com/spreadsheets/d/1Hx73zIEgVdDZZaYSTc46Dqv64atFhpr3GelxLbaIN8A/edit?usp=sharing"",""หนองบัวลำภู!N66"")+IMPORTRAN"&amp;"GE(""https://docs.google.com/spreadsheets/d/1lFxr3ctmjFN90yc-xV6jrQ9Ty8BKYVBWnAZ15wcNIJc/edit?usp=sharing"",""อำนาจเจริญ!N66"")+IMPORTRANGE(""https://docs.google.com/spreadsheets/d/1gF7RJpRnL-1oyjyeWxs5SFWEH7y8ahOZsQlyp2A2e-A/edit?usp=sharing"",""อุดรธานี"&amp;"!N66"")+IMPORTRANGE(""https://docs.google.com/spreadsheets/d/1kfLP0j3INXRa8bTDpcEmoWewMBV61jlFlfzczfjWIgc/edit?usp=sharing"",""อุบลราชธานี!N66"")"),0)</f>
        <v>0</v>
      </c>
      <c r="O66" s="56">
        <f t="shared" ca="1" si="37"/>
        <v>0</v>
      </c>
      <c r="P66" s="56">
        <f t="shared" ca="1" si="38"/>
        <v>0</v>
      </c>
      <c r="Q66" s="56">
        <f ca="1">IFERROR(__xludf.DUMMYFUNCTION("IMPORTRANGE(""https://docs.google.com/spreadsheets/d/1yhBcrRPreicbMKl9Bu_Snb2-OcQAF62RKfhTLhJ2eAA/edit?usp=sharing"",""กาฬสินธุ์!Q66"")+IMPORTRANGE(""https://docs.google.com/spreadsheets/d/1aHkj4IaQMThhwWwevcOymEh837vdxeC_PycurhTbGFA/edit?usp=sharing"","""&amp;"ขอนแก่น!Q66"")+IMPORTRANGE(""https://docs.google.com/spreadsheets/d/1FvTu2DsIWUjP6WCWra38Bkj_oOl_sOMf14r5Fg5srxU/edit?usp=sharing"",""ชัยภูมิ!Q66"")+IMPORTRANGE(""https://docs.google.com/spreadsheets/d/1XVB7oCJ3pr-vBUdflwPQ8Z2LlzhnCvZaaYjAfP-647E/edit?usp"&amp;"=sharing"",""นครพนม!Q66"")+IMPORTRANGE(""https://docs.google.com/spreadsheets/d/1Mnpb-8PYAgn85W6KOTD40hc_Xc55CaLfHoGAbrZ8tls/edit?usp=sharing"",""นครราชสีมา!Q66"")+IMPORTRANGE(""https://docs.google.com/spreadsheets/d/1xoDLGBv9CYbyosIhki0kTq6IpYNj-gpjxfobn"&amp;"aDiut0/edit?usp=sharing"",""บึงกาฬ!Q66"")+IMPORTRANGE(""https://docs.google.com/spreadsheets/d/1MMPq-JyI6DSgQETxuSiXkesP-P7JHuemnE6QJIa-Nlw/edit?usp=sharing"",""บุรีรัมย์!Q66"")+IMPORTRANGE(""https://docs.google.com/spreadsheets/d/1l6IZ8xUPgMrESzcTYwhA1k_"&amp;"tPjeQjJPTqlm8Gd9eU5g/edit?usp=sharing"",""มหาสารคาม!Q66"")+IMPORTRANGE(""https://docs.google.com/spreadsheets/d/1uB74YLqNjWX6FObjekfB2NtSYigTQyR2rq9u4Ub2Sq4/edit?usp=sharing"",""มุกดาหาร!Q66"")+IMPORTRANGE(""https://docs.google.com/spreadsheets/d/1NexK3ge"&amp;"CPxCTO1fzNF8dPec7yZyUx3OaWkFBC9HsQOo/edit?usp=sharing"",""ยโสธร!Q66"")+IMPORTRANGE(""https://docs.google.com/spreadsheets/d/1v_cJrbBlyqmnHPReHk44g9NrMRdENNlSy_E_c5M9fIg/edit?usp=sharing"",""ร้อยเอ็ด!Q66"")+IMPORTRANGE(""https://docs.google.com/spreadsheet"&amp;"s/d/1Ul4RCpCX66NxYADU1QpwAPjOmBzW64SsT11s1wzXw_c/edit?usp=sharing"",""เลย!Q66"")+IMPORTRANGE(""https://docs.google.com/spreadsheets/d/1bRrNKwbHDVktQG10isr5vbWRtt5spIZPpkOSWgbT5ug/edit?usp=sharing"",""ศรีสะเกษ!Q66"")+IMPORTRANGE(""https://docs.google.com/s"&amp;"preadsheets/d/17P34_Ow5kFBfdQD0qspb2UuPX5zpi6WMrQzslghyvrI/edit?usp=sharing"",""สกลนคร!Q66"")+IMPORTRANGE(""https://docs.google.com/spreadsheets/d/1yswqbM3-AEpThF3ZSUa1AcmHnmRTF1vlJ1CZGcJ8YuU/edit?usp=sharing"",""สุรินทร์!Q66"")+IMPORTRANGE(""https://docs"&amp;".google.com/spreadsheets/d/13JHU_EFbsQOUQ0JSQ3dWy1VTRosIWcDq6Nc99z2qzdc/edit?usp=sharing"",""หนองคาย!Q66"")+IMPORTRANGE(""https://docs.google.com/spreadsheets/d/1Hx73zIEgVdDZZaYSTc46Dqv64atFhpr3GelxLbaIN8A/edit?usp=sharing"",""หนองบัวลำภู!Q66"")+IMPORTRAN"&amp;"GE(""https://docs.google.com/spreadsheets/d/1lFxr3ctmjFN90yc-xV6jrQ9Ty8BKYVBWnAZ15wcNIJc/edit?usp=sharing"",""อำนาจเจริญ!Q66"")+IMPORTRANGE(""https://docs.google.com/spreadsheets/d/1gF7RJpRnL-1oyjyeWxs5SFWEH7y8ahOZsQlyp2A2e-A/edit?usp=sharing"",""อุดรธานี"&amp;"!Q66"")+IMPORTRANGE(""https://docs.google.com/spreadsheets/d/1kfLP0j3INXRa8bTDpcEmoWewMBV61jlFlfzczfjWIgc/edit?usp=sharing"",""อุบลราชธานี!Q66"")"),0)</f>
        <v>0</v>
      </c>
      <c r="R66" s="56">
        <f ca="1">IFERROR(__xludf.DUMMYFUNCTION("IMPORTRANGE(""https://docs.google.com/spreadsheets/d/1yhBcrRPreicbMKl9Bu_Snb2-OcQAF62RKfhTLhJ2eAA/edit?usp=sharing"",""กาฬสินธุ์!R66"")+IMPORTRANGE(""https://docs.google.com/spreadsheets/d/1aHkj4IaQMThhwWwevcOymEh837vdxeC_PycurhTbGFA/edit?usp=sharing"","""&amp;"ขอนแก่น!R66"")+IMPORTRANGE(""https://docs.google.com/spreadsheets/d/1FvTu2DsIWUjP6WCWra38Bkj_oOl_sOMf14r5Fg5srxU/edit?usp=sharing"",""ชัยภูมิ!R66"")+IMPORTRANGE(""https://docs.google.com/spreadsheets/d/1XVB7oCJ3pr-vBUdflwPQ8Z2LlzhnCvZaaYjAfP-647E/edit?usp"&amp;"=sharing"",""นครพนม!R66"")+IMPORTRANGE(""https://docs.google.com/spreadsheets/d/1Mnpb-8PYAgn85W6KOTD40hc_Xc55CaLfHoGAbrZ8tls/edit?usp=sharing"",""นครราชสีมา!R66"")+IMPORTRANGE(""https://docs.google.com/spreadsheets/d/1xoDLGBv9CYbyosIhki0kTq6IpYNj-gpjxfobn"&amp;"aDiut0/edit?usp=sharing"",""บึงกาฬ!R66"")+IMPORTRANGE(""https://docs.google.com/spreadsheets/d/1MMPq-JyI6DSgQETxuSiXkesP-P7JHuemnE6QJIa-Nlw/edit?usp=sharing"",""บุรีรัมย์!R66"")+IMPORTRANGE(""https://docs.google.com/spreadsheets/d/1l6IZ8xUPgMrESzcTYwhA1k_"&amp;"tPjeQjJPTqlm8Gd9eU5g/edit?usp=sharing"",""มหาสารคาม!R66"")+IMPORTRANGE(""https://docs.google.com/spreadsheets/d/1uB74YLqNjWX6FObjekfB2NtSYigTQyR2rq9u4Ub2Sq4/edit?usp=sharing"",""มุกดาหาร!R66"")+IMPORTRANGE(""https://docs.google.com/spreadsheets/d/1NexK3ge"&amp;"CPxCTO1fzNF8dPec7yZyUx3OaWkFBC9HsQOo/edit?usp=sharing"",""ยโสธร!R66"")+IMPORTRANGE(""https://docs.google.com/spreadsheets/d/1v_cJrbBlyqmnHPReHk44g9NrMRdENNlSy_E_c5M9fIg/edit?usp=sharing"",""ร้อยเอ็ด!R66"")+IMPORTRANGE(""https://docs.google.com/spreadsheet"&amp;"s/d/1Ul4RCpCX66NxYADU1QpwAPjOmBzW64SsT11s1wzXw_c/edit?usp=sharing"",""เลย!R66"")+IMPORTRANGE(""https://docs.google.com/spreadsheets/d/1bRrNKwbHDVktQG10isr5vbWRtt5spIZPpkOSWgbT5ug/edit?usp=sharing"",""ศรีสะเกษ!R66"")+IMPORTRANGE(""https://docs.google.com/s"&amp;"preadsheets/d/17P34_Ow5kFBfdQD0qspb2UuPX5zpi6WMrQzslghyvrI/edit?usp=sharing"",""สกลนคร!R66"")+IMPORTRANGE(""https://docs.google.com/spreadsheets/d/1yswqbM3-AEpThF3ZSUa1AcmHnmRTF1vlJ1CZGcJ8YuU/edit?usp=sharing"",""สุรินทร์!R66"")+IMPORTRANGE(""https://docs"&amp;".google.com/spreadsheets/d/13JHU_EFbsQOUQ0JSQ3dWy1VTRosIWcDq6Nc99z2qzdc/edit?usp=sharing"",""หนองคาย!R66"")+IMPORTRANGE(""https://docs.google.com/spreadsheets/d/1Hx73zIEgVdDZZaYSTc46Dqv64atFhpr3GelxLbaIN8A/edit?usp=sharing"",""หนองบัวลำภู!R66"")+IMPORTRAN"&amp;"GE(""https://docs.google.com/spreadsheets/d/1lFxr3ctmjFN90yc-xV6jrQ9Ty8BKYVBWnAZ15wcNIJc/edit?usp=sharing"",""อำนาจเจริญ!R66"")+IMPORTRANGE(""https://docs.google.com/spreadsheets/d/1gF7RJpRnL-1oyjyeWxs5SFWEH7y8ahOZsQlyp2A2e-A/edit?usp=sharing"",""อุดรธานี"&amp;"!R66"")+IMPORTRANGE(""https://docs.google.com/spreadsheets/d/1kfLP0j3INXRa8bTDpcEmoWewMBV61jlFlfzczfjWIgc/edit?usp=sharing"",""อุบลราชธานี!R66"")"),0)</f>
        <v>0</v>
      </c>
      <c r="S66" s="57">
        <f ca="1">IFERROR(__xludf.DUMMYFUNCTION("IMPORTRANGE(""https://docs.google.com/spreadsheets/d/1yhBcrRPreicbMKl9Bu_Snb2-OcQAF62RKfhTLhJ2eAA/edit?usp=sharing"",""กาฬสินธุ์!S66"")+IMPORTRANGE(""https://docs.google.com/spreadsheets/d/1aHkj4IaQMThhwWwevcOymEh837vdxeC_PycurhTbGFA/edit?usp=sharing"","""&amp;"ขอนแก่น!S66"")+IMPORTRANGE(""https://docs.google.com/spreadsheets/d/1FvTu2DsIWUjP6WCWra38Bkj_oOl_sOMf14r5Fg5srxU/edit?usp=sharing"",""ชัยภูมิ!S66"")+IMPORTRANGE(""https://docs.google.com/spreadsheets/d/1XVB7oCJ3pr-vBUdflwPQ8Z2LlzhnCvZaaYjAfP-647E/edit?usp"&amp;"=sharing"",""นครพนม!S66"")+IMPORTRANGE(""https://docs.google.com/spreadsheets/d/1Mnpb-8PYAgn85W6KOTD40hc_Xc55CaLfHoGAbrZ8tls/edit?usp=sharing"",""นครราชสีมา!S66"")+IMPORTRANGE(""https://docs.google.com/spreadsheets/d/1xoDLGBv9CYbyosIhki0kTq6IpYNj-gpjxfobn"&amp;"aDiut0/edit?usp=sharing"",""บึงกาฬ!S66"")+IMPORTRANGE(""https://docs.google.com/spreadsheets/d/1MMPq-JyI6DSgQETxuSiXkesP-P7JHuemnE6QJIa-Nlw/edit?usp=sharing"",""บุรีรัมย์!S66"")+IMPORTRANGE(""https://docs.google.com/spreadsheets/d/1l6IZ8xUPgMrESzcTYwhA1k_"&amp;"tPjeQjJPTqlm8Gd9eU5g/edit?usp=sharing"",""มหาสารคาม!S66"")+IMPORTRANGE(""https://docs.google.com/spreadsheets/d/1uB74YLqNjWX6FObjekfB2NtSYigTQyR2rq9u4Ub2Sq4/edit?usp=sharing"",""มุกดาหาร!S66"")+IMPORTRANGE(""https://docs.google.com/spreadsheets/d/1NexK3ge"&amp;"CPxCTO1fzNF8dPec7yZyUx3OaWkFBC9HsQOo/edit?usp=sharing"",""ยโสธร!S66"")+IMPORTRANGE(""https://docs.google.com/spreadsheets/d/1v_cJrbBlyqmnHPReHk44g9NrMRdENNlSy_E_c5M9fIg/edit?usp=sharing"",""ร้อยเอ็ด!S66"")+IMPORTRANGE(""https://docs.google.com/spreadsheet"&amp;"s/d/1Ul4RCpCX66NxYADU1QpwAPjOmBzW64SsT11s1wzXw_c/edit?usp=sharing"",""เลย!S66"")+IMPORTRANGE(""https://docs.google.com/spreadsheets/d/1bRrNKwbHDVktQG10isr5vbWRtt5spIZPpkOSWgbT5ug/edit?usp=sharing"",""ศรีสะเกษ!S66"")+IMPORTRANGE(""https://docs.google.com/s"&amp;"preadsheets/d/17P34_Ow5kFBfdQD0qspb2UuPX5zpi6WMrQzslghyvrI/edit?usp=sharing"",""สกลนคร!S66"")+IMPORTRANGE(""https://docs.google.com/spreadsheets/d/1yswqbM3-AEpThF3ZSUa1AcmHnmRTF1vlJ1CZGcJ8YuU/edit?usp=sharing"",""สุรินทร์!S66"")+IMPORTRANGE(""https://docs"&amp;".google.com/spreadsheets/d/13JHU_EFbsQOUQ0JSQ3dWy1VTRosIWcDq6Nc99z2qzdc/edit?usp=sharing"",""หนองคาย!S66"")+IMPORTRANGE(""https://docs.google.com/spreadsheets/d/1Hx73zIEgVdDZZaYSTc46Dqv64atFhpr3GelxLbaIN8A/edit?usp=sharing"",""หนองบัวลำภู!S66"")+IMPORTRAN"&amp;"GE(""https://docs.google.com/spreadsheets/d/1lFxr3ctmjFN90yc-xV6jrQ9Ty8BKYVBWnAZ15wcNIJc/edit?usp=sharing"",""อำนาจเจริญ!S66"")+IMPORTRANGE(""https://docs.google.com/spreadsheets/d/1gF7RJpRnL-1oyjyeWxs5SFWEH7y8ahOZsQlyp2A2e-A/edit?usp=sharing"",""อุดรธานี"&amp;"!S66"")+IMPORTRANGE(""https://docs.google.com/spreadsheets/d/1kfLP0j3INXRa8bTDpcEmoWewMBV61jlFlfzczfjWIgc/edit?usp=sharing"",""อุบลราชธานี!S66"")"),0)</f>
        <v>0</v>
      </c>
      <c r="T66" s="59">
        <f t="shared" ca="1" si="40"/>
        <v>0</v>
      </c>
      <c r="U66" s="59">
        <f t="shared" ca="1" si="41"/>
        <v>0</v>
      </c>
    </row>
    <row r="67" spans="1:21" ht="18.75">
      <c r="A67" s="63"/>
      <c r="B67" s="4"/>
      <c r="C67" s="4"/>
      <c r="D67" s="4"/>
      <c r="E67" s="64" t="s">
        <v>21</v>
      </c>
      <c r="F67" s="4"/>
      <c r="G67" s="65"/>
      <c r="H67" s="66" t="s">
        <v>14</v>
      </c>
      <c r="I67" s="67"/>
      <c r="J67" s="67"/>
      <c r="K67" s="6"/>
      <c r="L67" s="135">
        <f ca="1">IFERROR(__xludf.DUMMYFUNCTION("IMPORTRANGE(""https://docs.google.com/spreadsheets/d/1yhBcrRPreicbMKl9Bu_Snb2-OcQAF62RKfhTLhJ2eAA/edit?usp=sharing"",""กาฬสินธุ์!L67"")+IMPORTRANGE(""https://docs.google.com/spreadsheets/d/1aHkj4IaQMThhwWwevcOymEh837vdxeC_PycurhTbGFA/edit?usp=sharing"","""&amp;"ขอนแก่น!L67"")+IMPORTRANGE(""https://docs.google.com/spreadsheets/d/1FvTu2DsIWUjP6WCWra38Bkj_oOl_sOMf14r5Fg5srxU/edit?usp=sharing"",""ชัยภูมิ!L67"")+IMPORTRANGE(""https://docs.google.com/spreadsheets/d/1XVB7oCJ3pr-vBUdflwPQ8Z2LlzhnCvZaaYjAfP-647E/edit?usp"&amp;"=sharing"",""นครพนม!L67"")+IMPORTRANGE(""https://docs.google.com/spreadsheets/d/1Mnpb-8PYAgn85W6KOTD40hc_Xc55CaLfHoGAbrZ8tls/edit?usp=sharing"",""นครราชสีมา!L67"")+IMPORTRANGE(""https://docs.google.com/spreadsheets/d/1xoDLGBv9CYbyosIhki0kTq6IpYNj-gpjxfobn"&amp;"aDiut0/edit?usp=sharing"",""บึงกาฬ!L67"")+IMPORTRANGE(""https://docs.google.com/spreadsheets/d/1MMPq-JyI6DSgQETxuSiXkesP-P7JHuemnE6QJIa-Nlw/edit?usp=sharing"",""บุรีรัมย์!L67"")+IMPORTRANGE(""https://docs.google.com/spreadsheets/d/1l6IZ8xUPgMrESzcTYwhA1k_"&amp;"tPjeQjJPTqlm8Gd9eU5g/edit?usp=sharing"",""มหาสารคาม!L67"")+IMPORTRANGE(""https://docs.google.com/spreadsheets/d/1uB74YLqNjWX6FObjekfB2NtSYigTQyR2rq9u4Ub2Sq4/edit?usp=sharing"",""มุกดาหาร!L67"")+IMPORTRANGE(""https://docs.google.com/spreadsheets/d/1NexK3ge"&amp;"CPxCTO1fzNF8dPec7yZyUx3OaWkFBC9HsQOo/edit?usp=sharing"",""ยโสธร!L67"")+IMPORTRANGE(""https://docs.google.com/spreadsheets/d/1v_cJrbBlyqmnHPReHk44g9NrMRdENNlSy_E_c5M9fIg/edit?usp=sharing"",""ร้อยเอ็ด!L67"")+IMPORTRANGE(""https://docs.google.com/spreadsheet"&amp;"s/d/1Ul4RCpCX66NxYADU1QpwAPjOmBzW64SsT11s1wzXw_c/edit?usp=sharing"",""เลย!L67"")+IMPORTRANGE(""https://docs.google.com/spreadsheets/d/1bRrNKwbHDVktQG10isr5vbWRtt5spIZPpkOSWgbT5ug/edit?usp=sharing"",""ศรีสะเกษ!L67"")+IMPORTRANGE(""https://docs.google.com/s"&amp;"preadsheets/d/17P34_Ow5kFBfdQD0qspb2UuPX5zpi6WMrQzslghyvrI/edit?usp=sharing"",""สกลนคร!L67"")+IMPORTRANGE(""https://docs.google.com/spreadsheets/d/1yswqbM3-AEpThF3ZSUa1AcmHnmRTF1vlJ1CZGcJ8YuU/edit?usp=sharing"",""สุรินทร์!L67"")+IMPORTRANGE(""https://docs"&amp;".google.com/spreadsheets/d/13JHU_EFbsQOUQ0JSQ3dWy1VTRosIWcDq6Nc99z2qzdc/edit?usp=sharing"",""หนองคาย!L67"")+IMPORTRANGE(""https://docs.google.com/spreadsheets/d/1Hx73zIEgVdDZZaYSTc46Dqv64atFhpr3GelxLbaIN8A/edit?usp=sharing"",""หนองบัวลำภู!L67"")+IMPORTRAN"&amp;"GE(""https://docs.google.com/spreadsheets/d/1lFxr3ctmjFN90yc-xV6jrQ9Ty8BKYVBWnAZ15wcNIJc/edit?usp=sharing"",""อำนาจเจริญ!L67"")+IMPORTRANGE(""https://docs.google.com/spreadsheets/d/1gF7RJpRnL-1oyjyeWxs5SFWEH7y8ahOZsQlyp2A2e-A/edit?usp=sharing"",""อุดรธานี"&amp;"!L67"")+IMPORTRANGE(""https://docs.google.com/spreadsheets/d/1kfLP0j3INXRa8bTDpcEmoWewMBV61jlFlfzczfjWIgc/edit?usp=sharing"",""อุบลราชธานี!L67"")"),0)</f>
        <v>0</v>
      </c>
      <c r="M67" s="135">
        <f ca="1">IFERROR(__xludf.DUMMYFUNCTION("IMPORTRANGE(""https://docs.google.com/spreadsheets/d/1yhBcrRPreicbMKl9Bu_Snb2-OcQAF62RKfhTLhJ2eAA/edit?usp=sharing"",""กาฬสินธุ์!M67"")+IMPORTRANGE(""https://docs.google.com/spreadsheets/d/1aHkj4IaQMThhwWwevcOymEh837vdxeC_PycurhTbGFA/edit?usp=sharing"","""&amp;"ขอนแก่น!M67"")+IMPORTRANGE(""https://docs.google.com/spreadsheets/d/1FvTu2DsIWUjP6WCWra38Bkj_oOl_sOMf14r5Fg5srxU/edit?usp=sharing"",""ชัยภูมิ!M67"")+IMPORTRANGE(""https://docs.google.com/spreadsheets/d/1XVB7oCJ3pr-vBUdflwPQ8Z2LlzhnCvZaaYjAfP-647E/edit?usp"&amp;"=sharing"",""นครพนม!M67"")+IMPORTRANGE(""https://docs.google.com/spreadsheets/d/1Mnpb-8PYAgn85W6KOTD40hc_Xc55CaLfHoGAbrZ8tls/edit?usp=sharing"",""นครราชสีมา!M67"")+IMPORTRANGE(""https://docs.google.com/spreadsheets/d/1xoDLGBv9CYbyosIhki0kTq6IpYNj-gpjxfobn"&amp;"aDiut0/edit?usp=sharing"",""บึงกาฬ!M67"")+IMPORTRANGE(""https://docs.google.com/spreadsheets/d/1MMPq-JyI6DSgQETxuSiXkesP-P7JHuemnE6QJIa-Nlw/edit?usp=sharing"",""บุรีรัมย์!M67"")+IMPORTRANGE(""https://docs.google.com/spreadsheets/d/1l6IZ8xUPgMrESzcTYwhA1k_"&amp;"tPjeQjJPTqlm8Gd9eU5g/edit?usp=sharing"",""มหาสารคาม!M67"")+IMPORTRANGE(""https://docs.google.com/spreadsheets/d/1uB74YLqNjWX6FObjekfB2NtSYigTQyR2rq9u4Ub2Sq4/edit?usp=sharing"",""มุกดาหาร!M67"")+IMPORTRANGE(""https://docs.google.com/spreadsheets/d/1NexK3ge"&amp;"CPxCTO1fzNF8dPec7yZyUx3OaWkFBC9HsQOo/edit?usp=sharing"",""ยโสธร!M67"")+IMPORTRANGE(""https://docs.google.com/spreadsheets/d/1v_cJrbBlyqmnHPReHk44g9NrMRdENNlSy_E_c5M9fIg/edit?usp=sharing"",""ร้อยเอ็ด!M67"")+IMPORTRANGE(""https://docs.google.com/spreadsheet"&amp;"s/d/1Ul4RCpCX66NxYADU1QpwAPjOmBzW64SsT11s1wzXw_c/edit?usp=sharing"",""เลย!M67"")+IMPORTRANGE(""https://docs.google.com/spreadsheets/d/1bRrNKwbHDVktQG10isr5vbWRtt5spIZPpkOSWgbT5ug/edit?usp=sharing"",""ศรีสะเกษ!M67"")+IMPORTRANGE(""https://docs.google.com/s"&amp;"preadsheets/d/17P34_Ow5kFBfdQD0qspb2UuPX5zpi6WMrQzslghyvrI/edit?usp=sharing"",""สกลนคร!M67"")+IMPORTRANGE(""https://docs.google.com/spreadsheets/d/1yswqbM3-AEpThF3ZSUa1AcmHnmRTF1vlJ1CZGcJ8YuU/edit?usp=sharing"",""สุรินทร์!M67"")+IMPORTRANGE(""https://docs"&amp;".google.com/spreadsheets/d/13JHU_EFbsQOUQ0JSQ3dWy1VTRosIWcDq6Nc99z2qzdc/edit?usp=sharing"",""หนองคาย!M67"")+IMPORTRANGE(""https://docs.google.com/spreadsheets/d/1Hx73zIEgVdDZZaYSTc46Dqv64atFhpr3GelxLbaIN8A/edit?usp=sharing"",""หนองบัวลำภู!M67"")+IMPORTRAN"&amp;"GE(""https://docs.google.com/spreadsheets/d/1lFxr3ctmjFN90yc-xV6jrQ9Ty8BKYVBWnAZ15wcNIJc/edit?usp=sharing"",""อำนาจเจริญ!M67"")+IMPORTRANGE(""https://docs.google.com/spreadsheets/d/1gF7RJpRnL-1oyjyeWxs5SFWEH7y8ahOZsQlyp2A2e-A/edit?usp=sharing"",""อุดรธานี"&amp;"!M67"")+IMPORTRANGE(""https://docs.google.com/spreadsheets/d/1kfLP0j3INXRa8bTDpcEmoWewMBV61jlFlfzczfjWIgc/edit?usp=sharing"",""อุบลราชธานี!M67"")"),0)</f>
        <v>0</v>
      </c>
      <c r="N67" s="135">
        <f ca="1">IFERROR(__xludf.DUMMYFUNCTION("IMPORTRANGE(""https://docs.google.com/spreadsheets/d/1yhBcrRPreicbMKl9Bu_Snb2-OcQAF62RKfhTLhJ2eAA/edit?usp=sharing"",""กาฬสินธุ์!N67"")+IMPORTRANGE(""https://docs.google.com/spreadsheets/d/1aHkj4IaQMThhwWwevcOymEh837vdxeC_PycurhTbGFA/edit?usp=sharing"","""&amp;"ขอนแก่น!N67"")+IMPORTRANGE(""https://docs.google.com/spreadsheets/d/1FvTu2DsIWUjP6WCWra38Bkj_oOl_sOMf14r5Fg5srxU/edit?usp=sharing"",""ชัยภูมิ!N67"")+IMPORTRANGE(""https://docs.google.com/spreadsheets/d/1XVB7oCJ3pr-vBUdflwPQ8Z2LlzhnCvZaaYjAfP-647E/edit?usp"&amp;"=sharing"",""นครพนม!N67"")+IMPORTRANGE(""https://docs.google.com/spreadsheets/d/1Mnpb-8PYAgn85W6KOTD40hc_Xc55CaLfHoGAbrZ8tls/edit?usp=sharing"",""นครราชสีมา!N67"")+IMPORTRANGE(""https://docs.google.com/spreadsheets/d/1xoDLGBv9CYbyosIhki0kTq6IpYNj-gpjxfobn"&amp;"aDiut0/edit?usp=sharing"",""บึงกาฬ!N67"")+IMPORTRANGE(""https://docs.google.com/spreadsheets/d/1MMPq-JyI6DSgQETxuSiXkesP-P7JHuemnE6QJIa-Nlw/edit?usp=sharing"",""บุรีรัมย์!N67"")+IMPORTRANGE(""https://docs.google.com/spreadsheets/d/1l6IZ8xUPgMrESzcTYwhA1k_"&amp;"tPjeQjJPTqlm8Gd9eU5g/edit?usp=sharing"",""มหาสารคาม!N67"")+IMPORTRANGE(""https://docs.google.com/spreadsheets/d/1uB74YLqNjWX6FObjekfB2NtSYigTQyR2rq9u4Ub2Sq4/edit?usp=sharing"",""มุกดาหาร!N67"")+IMPORTRANGE(""https://docs.google.com/spreadsheets/d/1NexK3ge"&amp;"CPxCTO1fzNF8dPec7yZyUx3OaWkFBC9HsQOo/edit?usp=sharing"",""ยโสธร!N67"")+IMPORTRANGE(""https://docs.google.com/spreadsheets/d/1v_cJrbBlyqmnHPReHk44g9NrMRdENNlSy_E_c5M9fIg/edit?usp=sharing"",""ร้อยเอ็ด!N67"")+IMPORTRANGE(""https://docs.google.com/spreadsheet"&amp;"s/d/1Ul4RCpCX66NxYADU1QpwAPjOmBzW64SsT11s1wzXw_c/edit?usp=sharing"",""เลย!N67"")+IMPORTRANGE(""https://docs.google.com/spreadsheets/d/1bRrNKwbHDVktQG10isr5vbWRtt5spIZPpkOSWgbT5ug/edit?usp=sharing"",""ศรีสะเกษ!N67"")+IMPORTRANGE(""https://docs.google.com/s"&amp;"preadsheets/d/17P34_Ow5kFBfdQD0qspb2UuPX5zpi6WMrQzslghyvrI/edit?usp=sharing"",""สกลนคร!N67"")+IMPORTRANGE(""https://docs.google.com/spreadsheets/d/1yswqbM3-AEpThF3ZSUa1AcmHnmRTF1vlJ1CZGcJ8YuU/edit?usp=sharing"",""สุรินทร์!N67"")+IMPORTRANGE(""https://docs"&amp;".google.com/spreadsheets/d/13JHU_EFbsQOUQ0JSQ3dWy1VTRosIWcDq6Nc99z2qzdc/edit?usp=sharing"",""หนองคาย!N67"")+IMPORTRANGE(""https://docs.google.com/spreadsheets/d/1Hx73zIEgVdDZZaYSTc46Dqv64atFhpr3GelxLbaIN8A/edit?usp=sharing"",""หนองบัวลำภู!N67"")+IMPORTRAN"&amp;"GE(""https://docs.google.com/spreadsheets/d/1lFxr3ctmjFN90yc-xV6jrQ9Ty8BKYVBWnAZ15wcNIJc/edit?usp=sharing"",""อำนาจเจริญ!N67"")+IMPORTRANGE(""https://docs.google.com/spreadsheets/d/1gF7RJpRnL-1oyjyeWxs5SFWEH7y8ahOZsQlyp2A2e-A/edit?usp=sharing"",""อุดรธานี"&amp;"!N67"")+IMPORTRANGE(""https://docs.google.com/spreadsheets/d/1kfLP0j3INXRa8bTDpcEmoWewMBV61jlFlfzczfjWIgc/edit?usp=sharing"",""อุบลราชธานี!N67"")"),0)</f>
        <v>0</v>
      </c>
      <c r="O67" s="135">
        <f t="shared" ca="1" si="37"/>
        <v>0</v>
      </c>
      <c r="P67" s="135">
        <f t="shared" ca="1" si="38"/>
        <v>0</v>
      </c>
      <c r="Q67" s="135">
        <f ca="1">IFERROR(__xludf.DUMMYFUNCTION("IMPORTRANGE(""https://docs.google.com/spreadsheets/d/1yhBcrRPreicbMKl9Bu_Snb2-OcQAF62RKfhTLhJ2eAA/edit?usp=sharing"",""กาฬสินธุ์!Q67"")+IMPORTRANGE(""https://docs.google.com/spreadsheets/d/1aHkj4IaQMThhwWwevcOymEh837vdxeC_PycurhTbGFA/edit?usp=sharing"","""&amp;"ขอนแก่น!Q67"")+IMPORTRANGE(""https://docs.google.com/spreadsheets/d/1FvTu2DsIWUjP6WCWra38Bkj_oOl_sOMf14r5Fg5srxU/edit?usp=sharing"",""ชัยภูมิ!Q67"")+IMPORTRANGE(""https://docs.google.com/spreadsheets/d/1XVB7oCJ3pr-vBUdflwPQ8Z2LlzhnCvZaaYjAfP-647E/edit?usp"&amp;"=sharing"",""นครพนม!Q67"")+IMPORTRANGE(""https://docs.google.com/spreadsheets/d/1Mnpb-8PYAgn85W6KOTD40hc_Xc55CaLfHoGAbrZ8tls/edit?usp=sharing"",""นครราชสีมา!Q67"")+IMPORTRANGE(""https://docs.google.com/spreadsheets/d/1xoDLGBv9CYbyosIhki0kTq6IpYNj-gpjxfobn"&amp;"aDiut0/edit?usp=sharing"",""บึงกาฬ!Q67"")+IMPORTRANGE(""https://docs.google.com/spreadsheets/d/1MMPq-JyI6DSgQETxuSiXkesP-P7JHuemnE6QJIa-Nlw/edit?usp=sharing"",""บุรีรัมย์!Q67"")+IMPORTRANGE(""https://docs.google.com/spreadsheets/d/1l6IZ8xUPgMrESzcTYwhA1k_"&amp;"tPjeQjJPTqlm8Gd9eU5g/edit?usp=sharing"",""มหาสารคาม!Q67"")+IMPORTRANGE(""https://docs.google.com/spreadsheets/d/1uB74YLqNjWX6FObjekfB2NtSYigTQyR2rq9u4Ub2Sq4/edit?usp=sharing"",""มุกดาหาร!Q67"")+IMPORTRANGE(""https://docs.google.com/spreadsheets/d/1NexK3ge"&amp;"CPxCTO1fzNF8dPec7yZyUx3OaWkFBC9HsQOo/edit?usp=sharing"",""ยโสธร!Q67"")+IMPORTRANGE(""https://docs.google.com/spreadsheets/d/1v_cJrbBlyqmnHPReHk44g9NrMRdENNlSy_E_c5M9fIg/edit?usp=sharing"",""ร้อยเอ็ด!Q67"")+IMPORTRANGE(""https://docs.google.com/spreadsheet"&amp;"s/d/1Ul4RCpCX66NxYADU1QpwAPjOmBzW64SsT11s1wzXw_c/edit?usp=sharing"",""เลย!Q67"")+IMPORTRANGE(""https://docs.google.com/spreadsheets/d/1bRrNKwbHDVktQG10isr5vbWRtt5spIZPpkOSWgbT5ug/edit?usp=sharing"",""ศรีสะเกษ!Q67"")+IMPORTRANGE(""https://docs.google.com/s"&amp;"preadsheets/d/17P34_Ow5kFBfdQD0qspb2UuPX5zpi6WMrQzslghyvrI/edit?usp=sharing"",""สกลนคร!Q67"")+IMPORTRANGE(""https://docs.google.com/spreadsheets/d/1yswqbM3-AEpThF3ZSUa1AcmHnmRTF1vlJ1CZGcJ8YuU/edit?usp=sharing"",""สุรินทร์!Q67"")+IMPORTRANGE(""https://docs"&amp;".google.com/spreadsheets/d/13JHU_EFbsQOUQ0JSQ3dWy1VTRosIWcDq6Nc99z2qzdc/edit?usp=sharing"",""หนองคาย!Q67"")+IMPORTRANGE(""https://docs.google.com/spreadsheets/d/1Hx73zIEgVdDZZaYSTc46Dqv64atFhpr3GelxLbaIN8A/edit?usp=sharing"",""หนองบัวลำภู!Q67"")+IMPORTRAN"&amp;"GE(""https://docs.google.com/spreadsheets/d/1lFxr3ctmjFN90yc-xV6jrQ9Ty8BKYVBWnAZ15wcNIJc/edit?usp=sharing"",""อำนาจเจริญ!Q67"")+IMPORTRANGE(""https://docs.google.com/spreadsheets/d/1gF7RJpRnL-1oyjyeWxs5SFWEH7y8ahOZsQlyp2A2e-A/edit?usp=sharing"",""อุดรธานี"&amp;"!Q67"")+IMPORTRANGE(""https://docs.google.com/spreadsheets/d/1kfLP0j3INXRa8bTDpcEmoWewMBV61jlFlfzczfjWIgc/edit?usp=sharing"",""อุบลราชธานี!Q67"")"),0)</f>
        <v>0</v>
      </c>
      <c r="R67" s="135">
        <f ca="1">IFERROR(__xludf.DUMMYFUNCTION("IMPORTRANGE(""https://docs.google.com/spreadsheets/d/1yhBcrRPreicbMKl9Bu_Snb2-OcQAF62RKfhTLhJ2eAA/edit?usp=sharing"",""กาฬสินธุ์!R67"")+IMPORTRANGE(""https://docs.google.com/spreadsheets/d/1aHkj4IaQMThhwWwevcOymEh837vdxeC_PycurhTbGFA/edit?usp=sharing"","""&amp;"ขอนแก่น!R67"")+IMPORTRANGE(""https://docs.google.com/spreadsheets/d/1FvTu2DsIWUjP6WCWra38Bkj_oOl_sOMf14r5Fg5srxU/edit?usp=sharing"",""ชัยภูมิ!R67"")+IMPORTRANGE(""https://docs.google.com/spreadsheets/d/1XVB7oCJ3pr-vBUdflwPQ8Z2LlzhnCvZaaYjAfP-647E/edit?usp"&amp;"=sharing"",""นครพนม!R67"")+IMPORTRANGE(""https://docs.google.com/spreadsheets/d/1Mnpb-8PYAgn85W6KOTD40hc_Xc55CaLfHoGAbrZ8tls/edit?usp=sharing"",""นครราชสีมา!R67"")+IMPORTRANGE(""https://docs.google.com/spreadsheets/d/1xoDLGBv9CYbyosIhki0kTq6IpYNj-gpjxfobn"&amp;"aDiut0/edit?usp=sharing"",""บึงกาฬ!R67"")+IMPORTRANGE(""https://docs.google.com/spreadsheets/d/1MMPq-JyI6DSgQETxuSiXkesP-P7JHuemnE6QJIa-Nlw/edit?usp=sharing"",""บุรีรัมย์!R67"")+IMPORTRANGE(""https://docs.google.com/spreadsheets/d/1l6IZ8xUPgMrESzcTYwhA1k_"&amp;"tPjeQjJPTqlm8Gd9eU5g/edit?usp=sharing"",""มหาสารคาม!R67"")+IMPORTRANGE(""https://docs.google.com/spreadsheets/d/1uB74YLqNjWX6FObjekfB2NtSYigTQyR2rq9u4Ub2Sq4/edit?usp=sharing"",""มุกดาหาร!R67"")+IMPORTRANGE(""https://docs.google.com/spreadsheets/d/1NexK3ge"&amp;"CPxCTO1fzNF8dPec7yZyUx3OaWkFBC9HsQOo/edit?usp=sharing"",""ยโสธร!R67"")+IMPORTRANGE(""https://docs.google.com/spreadsheets/d/1v_cJrbBlyqmnHPReHk44g9NrMRdENNlSy_E_c5M9fIg/edit?usp=sharing"",""ร้อยเอ็ด!R67"")+IMPORTRANGE(""https://docs.google.com/spreadsheet"&amp;"s/d/1Ul4RCpCX66NxYADU1QpwAPjOmBzW64SsT11s1wzXw_c/edit?usp=sharing"",""เลย!R67"")+IMPORTRANGE(""https://docs.google.com/spreadsheets/d/1bRrNKwbHDVktQG10isr5vbWRtt5spIZPpkOSWgbT5ug/edit?usp=sharing"",""ศรีสะเกษ!R67"")+IMPORTRANGE(""https://docs.google.com/s"&amp;"preadsheets/d/17P34_Ow5kFBfdQD0qspb2UuPX5zpi6WMrQzslghyvrI/edit?usp=sharing"",""สกลนคร!R67"")+IMPORTRANGE(""https://docs.google.com/spreadsheets/d/1yswqbM3-AEpThF3ZSUa1AcmHnmRTF1vlJ1CZGcJ8YuU/edit?usp=sharing"",""สุรินทร์!R67"")+IMPORTRANGE(""https://docs"&amp;".google.com/spreadsheets/d/13JHU_EFbsQOUQ0JSQ3dWy1VTRosIWcDq6Nc99z2qzdc/edit?usp=sharing"",""หนองคาย!R67"")+IMPORTRANGE(""https://docs.google.com/spreadsheets/d/1Hx73zIEgVdDZZaYSTc46Dqv64atFhpr3GelxLbaIN8A/edit?usp=sharing"",""หนองบัวลำภู!R67"")+IMPORTRAN"&amp;"GE(""https://docs.google.com/spreadsheets/d/1lFxr3ctmjFN90yc-xV6jrQ9Ty8BKYVBWnAZ15wcNIJc/edit?usp=sharing"",""อำนาจเจริญ!R67"")+IMPORTRANGE(""https://docs.google.com/spreadsheets/d/1gF7RJpRnL-1oyjyeWxs5SFWEH7y8ahOZsQlyp2A2e-A/edit?usp=sharing"",""อุดรธานี"&amp;"!R67"")+IMPORTRANGE(""https://docs.google.com/spreadsheets/d/1kfLP0j3INXRa8bTDpcEmoWewMBV61jlFlfzczfjWIgc/edit?usp=sharing"",""อุบลราชธานี!R67"")"),0)</f>
        <v>0</v>
      </c>
      <c r="S67" s="136">
        <f ca="1">IFERROR(__xludf.DUMMYFUNCTION("IMPORTRANGE(""https://docs.google.com/spreadsheets/d/1yhBcrRPreicbMKl9Bu_Snb2-OcQAF62RKfhTLhJ2eAA/edit?usp=sharing"",""กาฬสินธุ์!S67"")+IMPORTRANGE(""https://docs.google.com/spreadsheets/d/1aHkj4IaQMThhwWwevcOymEh837vdxeC_PycurhTbGFA/edit?usp=sharing"","""&amp;"ขอนแก่น!S67"")+IMPORTRANGE(""https://docs.google.com/spreadsheets/d/1FvTu2DsIWUjP6WCWra38Bkj_oOl_sOMf14r5Fg5srxU/edit?usp=sharing"",""ชัยภูมิ!S67"")+IMPORTRANGE(""https://docs.google.com/spreadsheets/d/1XVB7oCJ3pr-vBUdflwPQ8Z2LlzhnCvZaaYjAfP-647E/edit?usp"&amp;"=sharing"",""นครพนม!S67"")+IMPORTRANGE(""https://docs.google.com/spreadsheets/d/1Mnpb-8PYAgn85W6KOTD40hc_Xc55CaLfHoGAbrZ8tls/edit?usp=sharing"",""นครราชสีมา!S67"")+IMPORTRANGE(""https://docs.google.com/spreadsheets/d/1xoDLGBv9CYbyosIhki0kTq6IpYNj-gpjxfobn"&amp;"aDiut0/edit?usp=sharing"",""บึงกาฬ!S67"")+IMPORTRANGE(""https://docs.google.com/spreadsheets/d/1MMPq-JyI6DSgQETxuSiXkesP-P7JHuemnE6QJIa-Nlw/edit?usp=sharing"",""บุรีรัมย์!S67"")+IMPORTRANGE(""https://docs.google.com/spreadsheets/d/1l6IZ8xUPgMrESzcTYwhA1k_"&amp;"tPjeQjJPTqlm8Gd9eU5g/edit?usp=sharing"",""มหาสารคาม!S67"")+IMPORTRANGE(""https://docs.google.com/spreadsheets/d/1uB74YLqNjWX6FObjekfB2NtSYigTQyR2rq9u4Ub2Sq4/edit?usp=sharing"",""มุกดาหาร!S67"")+IMPORTRANGE(""https://docs.google.com/spreadsheets/d/1NexK3ge"&amp;"CPxCTO1fzNF8dPec7yZyUx3OaWkFBC9HsQOo/edit?usp=sharing"",""ยโสธร!S67"")+IMPORTRANGE(""https://docs.google.com/spreadsheets/d/1v_cJrbBlyqmnHPReHk44g9NrMRdENNlSy_E_c5M9fIg/edit?usp=sharing"",""ร้อยเอ็ด!S67"")+IMPORTRANGE(""https://docs.google.com/spreadsheet"&amp;"s/d/1Ul4RCpCX66NxYADU1QpwAPjOmBzW64SsT11s1wzXw_c/edit?usp=sharing"",""เลย!S67"")+IMPORTRANGE(""https://docs.google.com/spreadsheets/d/1bRrNKwbHDVktQG10isr5vbWRtt5spIZPpkOSWgbT5ug/edit?usp=sharing"",""ศรีสะเกษ!S67"")+IMPORTRANGE(""https://docs.google.com/s"&amp;"preadsheets/d/17P34_Ow5kFBfdQD0qspb2UuPX5zpi6WMrQzslghyvrI/edit?usp=sharing"",""สกลนคร!S67"")+IMPORTRANGE(""https://docs.google.com/spreadsheets/d/1yswqbM3-AEpThF3ZSUa1AcmHnmRTF1vlJ1CZGcJ8YuU/edit?usp=sharing"",""สุรินทร์!S67"")+IMPORTRANGE(""https://docs"&amp;".google.com/spreadsheets/d/13JHU_EFbsQOUQ0JSQ3dWy1VTRosIWcDq6Nc99z2qzdc/edit?usp=sharing"",""หนองคาย!S67"")+IMPORTRANGE(""https://docs.google.com/spreadsheets/d/1Hx73zIEgVdDZZaYSTc46Dqv64atFhpr3GelxLbaIN8A/edit?usp=sharing"",""หนองบัวลำภู!S67"")+IMPORTRAN"&amp;"GE(""https://docs.google.com/spreadsheets/d/1lFxr3ctmjFN90yc-xV6jrQ9Ty8BKYVBWnAZ15wcNIJc/edit?usp=sharing"",""อำนาจเจริญ!S67"")+IMPORTRANGE(""https://docs.google.com/spreadsheets/d/1gF7RJpRnL-1oyjyeWxs5SFWEH7y8ahOZsQlyp2A2e-A/edit?usp=sharing"",""อุดรธานี"&amp;"!S67"")+IMPORTRANGE(""https://docs.google.com/spreadsheets/d/1kfLP0j3INXRa8bTDpcEmoWewMBV61jlFlfzczfjWIgc/edit?usp=sharing"",""อุบลราชธานี!S67"")"),0)</f>
        <v>0</v>
      </c>
      <c r="T67" s="135">
        <f t="shared" ca="1" si="40"/>
        <v>0</v>
      </c>
      <c r="U67" s="135">
        <f t="shared" ca="1" si="41"/>
        <v>0</v>
      </c>
    </row>
    <row r="68" spans="1:21" ht="19.5">
      <c r="A68" s="137" t="s">
        <v>31</v>
      </c>
      <c r="B68" s="138"/>
      <c r="C68" s="138"/>
      <c r="D68" s="138"/>
      <c r="E68" s="139"/>
      <c r="F68" s="139"/>
      <c r="G68" s="139"/>
      <c r="H68" s="139"/>
      <c r="I68" s="140"/>
      <c r="J68" s="140"/>
      <c r="K68" s="141"/>
      <c r="L68" s="141"/>
      <c r="M68" s="141"/>
      <c r="N68" s="141"/>
      <c r="O68" s="141"/>
      <c r="P68" s="142"/>
      <c r="Q68" s="141"/>
      <c r="R68" s="141"/>
      <c r="S68" s="141"/>
      <c r="T68" s="141"/>
      <c r="U68" s="142"/>
    </row>
    <row r="69" spans="1:21" ht="19.5">
      <c r="A69" s="143" t="s">
        <v>32</v>
      </c>
      <c r="B69" s="144"/>
      <c r="C69" s="145"/>
      <c r="D69" s="144"/>
      <c r="E69" s="144"/>
      <c r="F69" s="144"/>
      <c r="G69" s="146"/>
      <c r="H69" s="146"/>
      <c r="I69" s="147"/>
      <c r="J69" s="147"/>
      <c r="K69" s="148"/>
      <c r="L69" s="148"/>
      <c r="M69" s="148"/>
      <c r="N69" s="148"/>
      <c r="O69" s="148"/>
      <c r="P69" s="148"/>
      <c r="Q69" s="148"/>
      <c r="R69" s="148"/>
      <c r="S69" s="149"/>
      <c r="T69" s="148"/>
      <c r="U69" s="148"/>
    </row>
    <row r="70" spans="1:21" ht="19.5">
      <c r="A70" s="150"/>
      <c r="B70" s="35" t="s">
        <v>33</v>
      </c>
      <c r="C70" s="34"/>
      <c r="D70" s="151"/>
      <c r="E70" s="34"/>
      <c r="F70" s="34"/>
      <c r="G70" s="37"/>
      <c r="H70" s="152" t="s">
        <v>34</v>
      </c>
      <c r="I70" s="153">
        <f t="shared" ref="I70:J70" ca="1" si="50">I82</f>
        <v>15</v>
      </c>
      <c r="J70" s="153">
        <f t="shared" ca="1" si="50"/>
        <v>3</v>
      </c>
      <c r="K70" s="41">
        <f t="shared" ref="K70:K71" ca="1" si="51">IF(I70&gt;0,J70*100/I70,0)</f>
        <v>20</v>
      </c>
      <c r="L70" s="40"/>
      <c r="M70" s="40"/>
      <c r="N70" s="40"/>
      <c r="O70" s="40"/>
      <c r="P70" s="40"/>
      <c r="Q70" s="40"/>
      <c r="R70" s="40"/>
      <c r="S70" s="154"/>
      <c r="T70" s="40"/>
      <c r="U70" s="40"/>
    </row>
    <row r="71" spans="1:21" ht="19.5">
      <c r="A71" s="150"/>
      <c r="B71" s="34"/>
      <c r="C71" s="34"/>
      <c r="D71" s="151"/>
      <c r="E71" s="34"/>
      <c r="F71" s="34"/>
      <c r="G71" s="37"/>
      <c r="H71" s="152" t="s">
        <v>35</v>
      </c>
      <c r="I71" s="153">
        <f t="shared" ref="I71:J71" ca="1" si="52">I83</f>
        <v>592</v>
      </c>
      <c r="J71" s="153">
        <f t="shared" ca="1" si="52"/>
        <v>109</v>
      </c>
      <c r="K71" s="41">
        <f t="shared" ca="1" si="51"/>
        <v>18.412162162162161</v>
      </c>
      <c r="L71" s="40"/>
      <c r="M71" s="40"/>
      <c r="N71" s="40"/>
      <c r="O71" s="40"/>
      <c r="P71" s="40"/>
      <c r="Q71" s="40"/>
      <c r="R71" s="40"/>
      <c r="S71" s="154"/>
      <c r="T71" s="40"/>
      <c r="U71" s="40"/>
    </row>
    <row r="72" spans="1:21" ht="19.5">
      <c r="A72" s="155"/>
      <c r="B72" s="50"/>
      <c r="C72" s="156" t="s">
        <v>18</v>
      </c>
      <c r="D72" s="157" t="s">
        <v>19</v>
      </c>
      <c r="E72" s="50"/>
      <c r="F72" s="50"/>
      <c r="G72" s="52"/>
      <c r="H72" s="158" t="s">
        <v>14</v>
      </c>
      <c r="I72" s="54"/>
      <c r="J72" s="54"/>
      <c r="K72" s="55"/>
      <c r="L72" s="159">
        <f t="shared" ref="L72:N72" ca="1" si="53">L73+L74</f>
        <v>2715400</v>
      </c>
      <c r="M72" s="159">
        <f t="shared" ca="1" si="53"/>
        <v>2714626</v>
      </c>
      <c r="N72" s="159">
        <f t="shared" ca="1" si="53"/>
        <v>1969926.36</v>
      </c>
      <c r="O72" s="159">
        <f t="shared" ref="O72:O80" ca="1" si="54">IF(L72&gt;0,N72*100/L72,0)</f>
        <v>72.546452088090149</v>
      </c>
      <c r="P72" s="159">
        <f t="shared" ref="P72:P80" ca="1" si="55">IF(M72&gt;0,N72*100/M72,0)</f>
        <v>72.567136688442531</v>
      </c>
      <c r="Q72" s="159">
        <f t="shared" ref="Q72:S72" ca="1" si="56">Q73+Q74</f>
        <v>7253860</v>
      </c>
      <c r="R72" s="159">
        <f t="shared" ca="1" si="56"/>
        <v>7253860</v>
      </c>
      <c r="S72" s="160">
        <f t="shared" ca="1" si="56"/>
        <v>267024.5</v>
      </c>
      <c r="T72" s="159">
        <f t="shared" ref="T72:T80" ca="1" si="57">IF(Q72&gt;0,S72*100/Q72,0)</f>
        <v>3.6811366637900371</v>
      </c>
      <c r="U72" s="159">
        <f t="shared" ref="U72:U80" ca="1" si="58">IF(R72&gt;0,S72*100/R72,0)</f>
        <v>3.6811366637900371</v>
      </c>
    </row>
    <row r="73" spans="1:21" ht="18.75">
      <c r="A73" s="155"/>
      <c r="B73" s="50"/>
      <c r="C73" s="50"/>
      <c r="D73" s="50"/>
      <c r="E73" s="58" t="s">
        <v>20</v>
      </c>
      <c r="F73" s="50"/>
      <c r="G73" s="52"/>
      <c r="H73" s="161" t="s">
        <v>14</v>
      </c>
      <c r="I73" s="54"/>
      <c r="J73" s="54"/>
      <c r="K73" s="55"/>
      <c r="L73" s="56">
        <f t="shared" ref="L73:N73" ca="1" si="59">L76+L79</f>
        <v>0</v>
      </c>
      <c r="M73" s="56">
        <f t="shared" ca="1" si="59"/>
        <v>0</v>
      </c>
      <c r="N73" s="56">
        <f t="shared" ca="1" si="59"/>
        <v>0</v>
      </c>
      <c r="O73" s="56">
        <f t="shared" ca="1" si="54"/>
        <v>0</v>
      </c>
      <c r="P73" s="56">
        <f t="shared" ca="1" si="55"/>
        <v>0</v>
      </c>
      <c r="Q73" s="56">
        <f t="shared" ref="Q73:S73" ca="1" si="60">Q76+Q79</f>
        <v>0</v>
      </c>
      <c r="R73" s="56">
        <f t="shared" ca="1" si="60"/>
        <v>0</v>
      </c>
      <c r="S73" s="57">
        <f t="shared" ca="1" si="60"/>
        <v>0</v>
      </c>
      <c r="T73" s="59">
        <f t="shared" ca="1" si="57"/>
        <v>0</v>
      </c>
      <c r="U73" s="59">
        <f t="shared" ca="1" si="58"/>
        <v>0</v>
      </c>
    </row>
    <row r="74" spans="1:21" ht="18.75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56">
        <f t="shared" ref="L74:N74" ca="1" si="61">L77+L80</f>
        <v>2715400</v>
      </c>
      <c r="M74" s="56">
        <f t="shared" ca="1" si="61"/>
        <v>2714626</v>
      </c>
      <c r="N74" s="56">
        <f t="shared" ca="1" si="61"/>
        <v>1969926.36</v>
      </c>
      <c r="O74" s="56">
        <f t="shared" ca="1" si="54"/>
        <v>72.546452088090149</v>
      </c>
      <c r="P74" s="56">
        <f t="shared" ca="1" si="55"/>
        <v>72.567136688442531</v>
      </c>
      <c r="Q74" s="56">
        <f t="shared" ref="Q74:S74" ca="1" si="62">Q77+Q80</f>
        <v>7253860</v>
      </c>
      <c r="R74" s="56">
        <f t="shared" ca="1" si="62"/>
        <v>7253860</v>
      </c>
      <c r="S74" s="57">
        <f t="shared" ca="1" si="62"/>
        <v>267024.5</v>
      </c>
      <c r="T74" s="56">
        <f t="shared" ca="1" si="57"/>
        <v>3.6811366637900371</v>
      </c>
      <c r="U74" s="56">
        <f t="shared" ca="1" si="58"/>
        <v>3.6811366637900371</v>
      </c>
    </row>
    <row r="75" spans="1:21" ht="18.75">
      <c r="A75" s="155"/>
      <c r="B75" s="50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56">
        <f t="shared" ref="L75:N75" ca="1" si="63">L76+L77</f>
        <v>2715400</v>
      </c>
      <c r="M75" s="56">
        <f t="shared" ca="1" si="63"/>
        <v>2714626</v>
      </c>
      <c r="N75" s="56">
        <f t="shared" ca="1" si="63"/>
        <v>1969926.36</v>
      </c>
      <c r="O75" s="56">
        <f t="shared" ca="1" si="54"/>
        <v>72.546452088090149</v>
      </c>
      <c r="P75" s="56">
        <f t="shared" ca="1" si="55"/>
        <v>72.567136688442531</v>
      </c>
      <c r="Q75" s="56">
        <f t="shared" ref="Q75:S75" ca="1" si="64">Q76+Q77</f>
        <v>7253860</v>
      </c>
      <c r="R75" s="56">
        <f t="shared" ca="1" si="64"/>
        <v>7253860</v>
      </c>
      <c r="S75" s="57">
        <f t="shared" ca="1" si="64"/>
        <v>267024.5</v>
      </c>
      <c r="T75" s="56">
        <f t="shared" ca="1" si="57"/>
        <v>3.6811366637900371</v>
      </c>
      <c r="U75" s="56">
        <f t="shared" ca="1" si="58"/>
        <v>3.6811366637900371</v>
      </c>
    </row>
    <row r="76" spans="1:21" ht="18.75">
      <c r="A76" s="155"/>
      <c r="B76" s="50"/>
      <c r="C76" s="50"/>
      <c r="D76" s="50"/>
      <c r="E76" s="58" t="s">
        <v>36</v>
      </c>
      <c r="F76" s="50"/>
      <c r="G76" s="52"/>
      <c r="H76" s="162" t="s">
        <v>14</v>
      </c>
      <c r="I76" s="163"/>
      <c r="J76" s="163"/>
      <c r="K76" s="164"/>
      <c r="L76" s="56">
        <f ca="1">IFERROR(__xludf.DUMMYFUNCTION("IMPORTRANGE(""https://docs.google.com/spreadsheets/d/1yhBcrRPreicbMKl9Bu_Snb2-OcQAF62RKfhTLhJ2eAA/edit?usp=sharing"",""กาฬสินธุ์!L76"")+IMPORTRANGE(""https://docs.google.com/spreadsheets/d/1aHkj4IaQMThhwWwevcOymEh837vdxeC_PycurhTbGFA/edit?usp=sharing"","""&amp;"ขอนแก่น!L76"")+IMPORTRANGE(""https://docs.google.com/spreadsheets/d/1FvTu2DsIWUjP6WCWra38Bkj_oOl_sOMf14r5Fg5srxU/edit?usp=sharing"",""ชัยภูมิ!L76"")+IMPORTRANGE(""https://docs.google.com/spreadsheets/d/1XVB7oCJ3pr-vBUdflwPQ8Z2LlzhnCvZaaYjAfP-647E/edit?usp"&amp;"=sharing"",""นครพนม!L76"")+IMPORTRANGE(""https://docs.google.com/spreadsheets/d/1Mnpb-8PYAgn85W6KOTD40hc_Xc55CaLfHoGAbrZ8tls/edit?usp=sharing"",""นครราชสีมา!L76"")+IMPORTRANGE(""https://docs.google.com/spreadsheets/d/1xoDLGBv9CYbyosIhki0kTq6IpYNj-gpjxfobn"&amp;"aDiut0/edit?usp=sharing"",""บึงกาฬ!L76"")+IMPORTRANGE(""https://docs.google.com/spreadsheets/d/1MMPq-JyI6DSgQETxuSiXkesP-P7JHuemnE6QJIa-Nlw/edit?usp=sharing"",""บุรีรัมย์!L76"")+IMPORTRANGE(""https://docs.google.com/spreadsheets/d/1l6IZ8xUPgMrESzcTYwhA1k_"&amp;"tPjeQjJPTqlm8Gd9eU5g/edit?usp=sharing"",""มหาสารคาม!L76"")+IMPORTRANGE(""https://docs.google.com/spreadsheets/d/1uB74YLqNjWX6FObjekfB2NtSYigTQyR2rq9u4Ub2Sq4/edit?usp=sharing"",""มุกดาหาร!L76"")+IMPORTRANGE(""https://docs.google.com/spreadsheets/d/1NexK3ge"&amp;"CPxCTO1fzNF8dPec7yZyUx3OaWkFBC9HsQOo/edit?usp=sharing"",""ยโสธร!L76"")+IMPORTRANGE(""https://docs.google.com/spreadsheets/d/1v_cJrbBlyqmnHPReHk44g9NrMRdENNlSy_E_c5M9fIg/edit?usp=sharing"",""ร้อยเอ็ด!L76"")+IMPORTRANGE(""https://docs.google.com/spreadsheet"&amp;"s/d/1Ul4RCpCX66NxYADU1QpwAPjOmBzW64SsT11s1wzXw_c/edit?usp=sharing"",""เลย!L76"")+IMPORTRANGE(""https://docs.google.com/spreadsheets/d/1bRrNKwbHDVktQG10isr5vbWRtt5spIZPpkOSWgbT5ug/edit?usp=sharing"",""ศรีสะเกษ!L76"")+IMPORTRANGE(""https://docs.google.com/s"&amp;"preadsheets/d/17P34_Ow5kFBfdQD0qspb2UuPX5zpi6WMrQzslghyvrI/edit?usp=sharing"",""สกลนคร!L76"")+IMPORTRANGE(""https://docs.google.com/spreadsheets/d/1yswqbM3-AEpThF3ZSUa1AcmHnmRTF1vlJ1CZGcJ8YuU/edit?usp=sharing"",""สุรินทร์!L76"")+IMPORTRANGE(""https://docs"&amp;".google.com/spreadsheets/d/13JHU_EFbsQOUQ0JSQ3dWy1VTRosIWcDq6Nc99z2qzdc/edit?usp=sharing"",""หนองคาย!L76"")+IMPORTRANGE(""https://docs.google.com/spreadsheets/d/1Hx73zIEgVdDZZaYSTc46Dqv64atFhpr3GelxLbaIN8A/edit?usp=sharing"",""หนองบัวลำภู!L76"")+IMPORTRAN"&amp;"GE(""https://docs.google.com/spreadsheets/d/1lFxr3ctmjFN90yc-xV6jrQ9Ty8BKYVBWnAZ15wcNIJc/edit?usp=sharing"",""อำนาจเจริญ!L76"")+IMPORTRANGE(""https://docs.google.com/spreadsheets/d/1gF7RJpRnL-1oyjyeWxs5SFWEH7y8ahOZsQlyp2A2e-A/edit?usp=sharing"",""อุดรธานี"&amp;"!L76"")+IMPORTRANGE(""https://docs.google.com/spreadsheets/d/1kfLP0j3INXRa8bTDpcEmoWewMBV61jlFlfzczfjWIgc/edit?usp=sharing"",""อุบลราชธานี!L76"")"),0)</f>
        <v>0</v>
      </c>
      <c r="M76" s="56">
        <f ca="1">IFERROR(__xludf.DUMMYFUNCTION("IMPORTRANGE(""https://docs.google.com/spreadsheets/d/1yhBcrRPreicbMKl9Bu_Snb2-OcQAF62RKfhTLhJ2eAA/edit?usp=sharing"",""กาฬสินธุ์!M76"")+IMPORTRANGE(""https://docs.google.com/spreadsheets/d/1aHkj4IaQMThhwWwevcOymEh837vdxeC_PycurhTbGFA/edit?usp=sharing"","""&amp;"ขอนแก่น!M76"")+IMPORTRANGE(""https://docs.google.com/spreadsheets/d/1FvTu2DsIWUjP6WCWra38Bkj_oOl_sOMf14r5Fg5srxU/edit?usp=sharing"",""ชัยภูมิ!M76"")+IMPORTRANGE(""https://docs.google.com/spreadsheets/d/1XVB7oCJ3pr-vBUdflwPQ8Z2LlzhnCvZaaYjAfP-647E/edit?usp"&amp;"=sharing"",""นครพนม!M76"")+IMPORTRANGE(""https://docs.google.com/spreadsheets/d/1Mnpb-8PYAgn85W6KOTD40hc_Xc55CaLfHoGAbrZ8tls/edit?usp=sharing"",""นครราชสีมา!M76"")+IMPORTRANGE(""https://docs.google.com/spreadsheets/d/1xoDLGBv9CYbyosIhki0kTq6IpYNj-gpjxfobn"&amp;"aDiut0/edit?usp=sharing"",""บึงกาฬ!M76"")+IMPORTRANGE(""https://docs.google.com/spreadsheets/d/1MMPq-JyI6DSgQETxuSiXkesP-P7JHuemnE6QJIa-Nlw/edit?usp=sharing"",""บุรีรัมย์!M76"")+IMPORTRANGE(""https://docs.google.com/spreadsheets/d/1l6IZ8xUPgMrESzcTYwhA1k_"&amp;"tPjeQjJPTqlm8Gd9eU5g/edit?usp=sharing"",""มหาสารคาม!M76"")+IMPORTRANGE(""https://docs.google.com/spreadsheets/d/1uB74YLqNjWX6FObjekfB2NtSYigTQyR2rq9u4Ub2Sq4/edit?usp=sharing"",""มุกดาหาร!M76"")+IMPORTRANGE(""https://docs.google.com/spreadsheets/d/1NexK3ge"&amp;"CPxCTO1fzNF8dPec7yZyUx3OaWkFBC9HsQOo/edit?usp=sharing"",""ยโสธร!M76"")+IMPORTRANGE(""https://docs.google.com/spreadsheets/d/1v_cJrbBlyqmnHPReHk44g9NrMRdENNlSy_E_c5M9fIg/edit?usp=sharing"",""ร้อยเอ็ด!M76"")+IMPORTRANGE(""https://docs.google.com/spreadsheet"&amp;"s/d/1Ul4RCpCX66NxYADU1QpwAPjOmBzW64SsT11s1wzXw_c/edit?usp=sharing"",""เลย!M76"")+IMPORTRANGE(""https://docs.google.com/spreadsheets/d/1bRrNKwbHDVktQG10isr5vbWRtt5spIZPpkOSWgbT5ug/edit?usp=sharing"",""ศรีสะเกษ!M76"")+IMPORTRANGE(""https://docs.google.com/s"&amp;"preadsheets/d/17P34_Ow5kFBfdQD0qspb2UuPX5zpi6WMrQzslghyvrI/edit?usp=sharing"",""สกลนคร!M76"")+IMPORTRANGE(""https://docs.google.com/spreadsheets/d/1yswqbM3-AEpThF3ZSUa1AcmHnmRTF1vlJ1CZGcJ8YuU/edit?usp=sharing"",""สุรินทร์!M76"")+IMPORTRANGE(""https://docs"&amp;".google.com/spreadsheets/d/13JHU_EFbsQOUQ0JSQ3dWy1VTRosIWcDq6Nc99z2qzdc/edit?usp=sharing"",""หนองคาย!M76"")+IMPORTRANGE(""https://docs.google.com/spreadsheets/d/1Hx73zIEgVdDZZaYSTc46Dqv64atFhpr3GelxLbaIN8A/edit?usp=sharing"",""หนองบัวลำภู!M76"")+IMPORTRAN"&amp;"GE(""https://docs.google.com/spreadsheets/d/1lFxr3ctmjFN90yc-xV6jrQ9Ty8BKYVBWnAZ15wcNIJc/edit?usp=sharing"",""อำนาจเจริญ!M76"")+IMPORTRANGE(""https://docs.google.com/spreadsheets/d/1gF7RJpRnL-1oyjyeWxs5SFWEH7y8ahOZsQlyp2A2e-A/edit?usp=sharing"",""อุดรธานี"&amp;"!M76"")+IMPORTRANGE(""https://docs.google.com/spreadsheets/d/1kfLP0j3INXRa8bTDpcEmoWewMBV61jlFlfzczfjWIgc/edit?usp=sharing"",""อุบลราชธานี!M76"")"),0)</f>
        <v>0</v>
      </c>
      <c r="N76" s="56">
        <f ca="1">IFERROR(__xludf.DUMMYFUNCTION("IMPORTRANGE(""https://docs.google.com/spreadsheets/d/1yhBcrRPreicbMKl9Bu_Snb2-OcQAF62RKfhTLhJ2eAA/edit?usp=sharing"",""กาฬสินธุ์!N76"")+IMPORTRANGE(""https://docs.google.com/spreadsheets/d/1aHkj4IaQMThhwWwevcOymEh837vdxeC_PycurhTbGFA/edit?usp=sharing"","""&amp;"ขอนแก่น!N76"")+IMPORTRANGE(""https://docs.google.com/spreadsheets/d/1FvTu2DsIWUjP6WCWra38Bkj_oOl_sOMf14r5Fg5srxU/edit?usp=sharing"",""ชัยภูมิ!N76"")+IMPORTRANGE(""https://docs.google.com/spreadsheets/d/1XVB7oCJ3pr-vBUdflwPQ8Z2LlzhnCvZaaYjAfP-647E/edit?usp"&amp;"=sharing"",""นครพนม!N76"")+IMPORTRANGE(""https://docs.google.com/spreadsheets/d/1Mnpb-8PYAgn85W6KOTD40hc_Xc55CaLfHoGAbrZ8tls/edit?usp=sharing"",""นครราชสีมา!N76"")+IMPORTRANGE(""https://docs.google.com/spreadsheets/d/1xoDLGBv9CYbyosIhki0kTq6IpYNj-gpjxfobn"&amp;"aDiut0/edit?usp=sharing"",""บึงกาฬ!N76"")+IMPORTRANGE(""https://docs.google.com/spreadsheets/d/1MMPq-JyI6DSgQETxuSiXkesP-P7JHuemnE6QJIa-Nlw/edit?usp=sharing"",""บุรีรัมย์!N76"")+IMPORTRANGE(""https://docs.google.com/spreadsheets/d/1l6IZ8xUPgMrESzcTYwhA1k_"&amp;"tPjeQjJPTqlm8Gd9eU5g/edit?usp=sharing"",""มหาสารคาม!N76"")+IMPORTRANGE(""https://docs.google.com/spreadsheets/d/1uB74YLqNjWX6FObjekfB2NtSYigTQyR2rq9u4Ub2Sq4/edit?usp=sharing"",""มุกดาหาร!N76"")+IMPORTRANGE(""https://docs.google.com/spreadsheets/d/1NexK3ge"&amp;"CPxCTO1fzNF8dPec7yZyUx3OaWkFBC9HsQOo/edit?usp=sharing"",""ยโสธร!N76"")+IMPORTRANGE(""https://docs.google.com/spreadsheets/d/1v_cJrbBlyqmnHPReHk44g9NrMRdENNlSy_E_c5M9fIg/edit?usp=sharing"",""ร้อยเอ็ด!N76"")+IMPORTRANGE(""https://docs.google.com/spreadsheet"&amp;"s/d/1Ul4RCpCX66NxYADU1QpwAPjOmBzW64SsT11s1wzXw_c/edit?usp=sharing"",""เลย!N76"")+IMPORTRANGE(""https://docs.google.com/spreadsheets/d/1bRrNKwbHDVktQG10isr5vbWRtt5spIZPpkOSWgbT5ug/edit?usp=sharing"",""ศรีสะเกษ!N76"")+IMPORTRANGE(""https://docs.google.com/s"&amp;"preadsheets/d/17P34_Ow5kFBfdQD0qspb2UuPX5zpi6WMrQzslghyvrI/edit?usp=sharing"",""สกลนคร!N76"")+IMPORTRANGE(""https://docs.google.com/spreadsheets/d/1yswqbM3-AEpThF3ZSUa1AcmHnmRTF1vlJ1CZGcJ8YuU/edit?usp=sharing"",""สุรินทร์!N76"")+IMPORTRANGE(""https://docs"&amp;".google.com/spreadsheets/d/13JHU_EFbsQOUQ0JSQ3dWy1VTRosIWcDq6Nc99z2qzdc/edit?usp=sharing"",""หนองคาย!N76"")+IMPORTRANGE(""https://docs.google.com/spreadsheets/d/1Hx73zIEgVdDZZaYSTc46Dqv64atFhpr3GelxLbaIN8A/edit?usp=sharing"",""หนองบัวลำภู!N76"")+IMPORTRAN"&amp;"GE(""https://docs.google.com/spreadsheets/d/1lFxr3ctmjFN90yc-xV6jrQ9Ty8BKYVBWnAZ15wcNIJc/edit?usp=sharing"",""อำนาจเจริญ!N76"")+IMPORTRANGE(""https://docs.google.com/spreadsheets/d/1gF7RJpRnL-1oyjyeWxs5SFWEH7y8ahOZsQlyp2A2e-A/edit?usp=sharing"",""อุดรธานี"&amp;"!N76"")+IMPORTRANGE(""https://docs.google.com/spreadsheets/d/1kfLP0j3INXRa8bTDpcEmoWewMBV61jlFlfzczfjWIgc/edit?usp=sharing"",""อุบลราชธานี!N76"")"),0)</f>
        <v>0</v>
      </c>
      <c r="O76" s="56">
        <f t="shared" ca="1" si="54"/>
        <v>0</v>
      </c>
      <c r="P76" s="56">
        <f t="shared" ca="1" si="55"/>
        <v>0</v>
      </c>
      <c r="Q76" s="56">
        <f ca="1">IFERROR(__xludf.DUMMYFUNCTION("IMPORTRANGE(""https://docs.google.com/spreadsheets/d/1yhBcrRPreicbMKl9Bu_Snb2-OcQAF62RKfhTLhJ2eAA/edit?usp=sharing"",""กาฬสินธุ์!Q76"")+IMPORTRANGE(""https://docs.google.com/spreadsheets/d/1aHkj4IaQMThhwWwevcOymEh837vdxeC_PycurhTbGFA/edit?usp=sharing"","""&amp;"ขอนแก่น!Q76"")+IMPORTRANGE(""https://docs.google.com/spreadsheets/d/1FvTu2DsIWUjP6WCWra38Bkj_oOl_sOMf14r5Fg5srxU/edit?usp=sharing"",""ชัยภูมิ!Q76"")+IMPORTRANGE(""https://docs.google.com/spreadsheets/d/1XVB7oCJ3pr-vBUdflwPQ8Z2LlzhnCvZaaYjAfP-647E/edit?usp"&amp;"=sharing"",""นครพนม!Q76"")+IMPORTRANGE(""https://docs.google.com/spreadsheets/d/1Mnpb-8PYAgn85W6KOTD40hc_Xc55CaLfHoGAbrZ8tls/edit?usp=sharing"",""นครราชสีมา!Q76"")+IMPORTRANGE(""https://docs.google.com/spreadsheets/d/1xoDLGBv9CYbyosIhki0kTq6IpYNj-gpjxfobn"&amp;"aDiut0/edit?usp=sharing"",""บึงกาฬ!Q76"")+IMPORTRANGE(""https://docs.google.com/spreadsheets/d/1MMPq-JyI6DSgQETxuSiXkesP-P7JHuemnE6QJIa-Nlw/edit?usp=sharing"",""บุรีรัมย์!Q76"")+IMPORTRANGE(""https://docs.google.com/spreadsheets/d/1l6IZ8xUPgMrESzcTYwhA1k_"&amp;"tPjeQjJPTqlm8Gd9eU5g/edit?usp=sharing"",""มหาสารคาม!Q76"")+IMPORTRANGE(""https://docs.google.com/spreadsheets/d/1uB74YLqNjWX6FObjekfB2NtSYigTQyR2rq9u4Ub2Sq4/edit?usp=sharing"",""มุกดาหาร!Q76"")+IMPORTRANGE(""https://docs.google.com/spreadsheets/d/1NexK3ge"&amp;"CPxCTO1fzNF8dPec7yZyUx3OaWkFBC9HsQOo/edit?usp=sharing"",""ยโสธร!Q76"")+IMPORTRANGE(""https://docs.google.com/spreadsheets/d/1v_cJrbBlyqmnHPReHk44g9NrMRdENNlSy_E_c5M9fIg/edit?usp=sharing"",""ร้อยเอ็ด!Q76"")+IMPORTRANGE(""https://docs.google.com/spreadsheet"&amp;"s/d/1Ul4RCpCX66NxYADU1QpwAPjOmBzW64SsT11s1wzXw_c/edit?usp=sharing"",""เลย!Q76"")+IMPORTRANGE(""https://docs.google.com/spreadsheets/d/1bRrNKwbHDVktQG10isr5vbWRtt5spIZPpkOSWgbT5ug/edit?usp=sharing"",""ศรีสะเกษ!Q76"")+IMPORTRANGE(""https://docs.google.com/s"&amp;"preadsheets/d/17P34_Ow5kFBfdQD0qspb2UuPX5zpi6WMrQzslghyvrI/edit?usp=sharing"",""สกลนคร!Q76"")+IMPORTRANGE(""https://docs.google.com/spreadsheets/d/1yswqbM3-AEpThF3ZSUa1AcmHnmRTF1vlJ1CZGcJ8YuU/edit?usp=sharing"",""สุรินทร์!Q76"")+IMPORTRANGE(""https://docs"&amp;".google.com/spreadsheets/d/13JHU_EFbsQOUQ0JSQ3dWy1VTRosIWcDq6Nc99z2qzdc/edit?usp=sharing"",""หนองคาย!Q76"")+IMPORTRANGE(""https://docs.google.com/spreadsheets/d/1Hx73zIEgVdDZZaYSTc46Dqv64atFhpr3GelxLbaIN8A/edit?usp=sharing"",""หนองบัวลำภู!Q76"")+IMPORTRAN"&amp;"GE(""https://docs.google.com/spreadsheets/d/1lFxr3ctmjFN90yc-xV6jrQ9Ty8BKYVBWnAZ15wcNIJc/edit?usp=sharing"",""อำนาจเจริญ!Q76"")+IMPORTRANGE(""https://docs.google.com/spreadsheets/d/1gF7RJpRnL-1oyjyeWxs5SFWEH7y8ahOZsQlyp2A2e-A/edit?usp=sharing"",""อุดรธานี"&amp;"!Q76"")+IMPORTRANGE(""https://docs.google.com/spreadsheets/d/1kfLP0j3INXRa8bTDpcEmoWewMBV61jlFlfzczfjWIgc/edit?usp=sharing"",""อุบลราชธานี!Q76"")"),0)</f>
        <v>0</v>
      </c>
      <c r="R76" s="56">
        <f ca="1">IFERROR(__xludf.DUMMYFUNCTION("IMPORTRANGE(""https://docs.google.com/spreadsheets/d/1yhBcrRPreicbMKl9Bu_Snb2-OcQAF62RKfhTLhJ2eAA/edit?usp=sharing"",""กาฬสินธุ์!R76"")+IMPORTRANGE(""https://docs.google.com/spreadsheets/d/1aHkj4IaQMThhwWwevcOymEh837vdxeC_PycurhTbGFA/edit?usp=sharing"","""&amp;"ขอนแก่น!R76"")+IMPORTRANGE(""https://docs.google.com/spreadsheets/d/1FvTu2DsIWUjP6WCWra38Bkj_oOl_sOMf14r5Fg5srxU/edit?usp=sharing"",""ชัยภูมิ!R76"")+IMPORTRANGE(""https://docs.google.com/spreadsheets/d/1XVB7oCJ3pr-vBUdflwPQ8Z2LlzhnCvZaaYjAfP-647E/edit?usp"&amp;"=sharing"",""นครพนม!R76"")+IMPORTRANGE(""https://docs.google.com/spreadsheets/d/1Mnpb-8PYAgn85W6KOTD40hc_Xc55CaLfHoGAbrZ8tls/edit?usp=sharing"",""นครราชสีมา!R76"")+IMPORTRANGE(""https://docs.google.com/spreadsheets/d/1xoDLGBv9CYbyosIhki0kTq6IpYNj-gpjxfobn"&amp;"aDiut0/edit?usp=sharing"",""บึงกาฬ!R76"")+IMPORTRANGE(""https://docs.google.com/spreadsheets/d/1MMPq-JyI6DSgQETxuSiXkesP-P7JHuemnE6QJIa-Nlw/edit?usp=sharing"",""บุรีรัมย์!R76"")+IMPORTRANGE(""https://docs.google.com/spreadsheets/d/1l6IZ8xUPgMrESzcTYwhA1k_"&amp;"tPjeQjJPTqlm8Gd9eU5g/edit?usp=sharing"",""มหาสารคาม!R76"")+IMPORTRANGE(""https://docs.google.com/spreadsheets/d/1uB74YLqNjWX6FObjekfB2NtSYigTQyR2rq9u4Ub2Sq4/edit?usp=sharing"",""มุกดาหาร!R76"")+IMPORTRANGE(""https://docs.google.com/spreadsheets/d/1NexK3ge"&amp;"CPxCTO1fzNF8dPec7yZyUx3OaWkFBC9HsQOo/edit?usp=sharing"",""ยโสธร!R76"")+IMPORTRANGE(""https://docs.google.com/spreadsheets/d/1v_cJrbBlyqmnHPReHk44g9NrMRdENNlSy_E_c5M9fIg/edit?usp=sharing"",""ร้อยเอ็ด!R76"")+IMPORTRANGE(""https://docs.google.com/spreadsheet"&amp;"s/d/1Ul4RCpCX66NxYADU1QpwAPjOmBzW64SsT11s1wzXw_c/edit?usp=sharing"",""เลย!R76"")+IMPORTRANGE(""https://docs.google.com/spreadsheets/d/1bRrNKwbHDVktQG10isr5vbWRtt5spIZPpkOSWgbT5ug/edit?usp=sharing"",""ศรีสะเกษ!R76"")+IMPORTRANGE(""https://docs.google.com/s"&amp;"preadsheets/d/17P34_Ow5kFBfdQD0qspb2UuPX5zpi6WMrQzslghyvrI/edit?usp=sharing"",""สกลนคร!R76"")+IMPORTRANGE(""https://docs.google.com/spreadsheets/d/1yswqbM3-AEpThF3ZSUa1AcmHnmRTF1vlJ1CZGcJ8YuU/edit?usp=sharing"",""สุรินทร์!R76"")+IMPORTRANGE(""https://docs"&amp;".google.com/spreadsheets/d/13JHU_EFbsQOUQ0JSQ3dWy1VTRosIWcDq6Nc99z2qzdc/edit?usp=sharing"",""หนองคาย!R76"")+IMPORTRANGE(""https://docs.google.com/spreadsheets/d/1Hx73zIEgVdDZZaYSTc46Dqv64atFhpr3GelxLbaIN8A/edit?usp=sharing"",""หนองบัวลำภู!R76"")+IMPORTRAN"&amp;"GE(""https://docs.google.com/spreadsheets/d/1lFxr3ctmjFN90yc-xV6jrQ9Ty8BKYVBWnAZ15wcNIJc/edit?usp=sharing"",""อำนาจเจริญ!R76"")+IMPORTRANGE(""https://docs.google.com/spreadsheets/d/1gF7RJpRnL-1oyjyeWxs5SFWEH7y8ahOZsQlyp2A2e-A/edit?usp=sharing"",""อุดรธานี"&amp;"!R76"")+IMPORTRANGE(""https://docs.google.com/spreadsheets/d/1kfLP0j3INXRa8bTDpcEmoWewMBV61jlFlfzczfjWIgc/edit?usp=sharing"",""อุบลราชธานี!R76"")"),0)</f>
        <v>0</v>
      </c>
      <c r="S76" s="57">
        <f ca="1">IFERROR(__xludf.DUMMYFUNCTION("IMPORTRANGE(""https://docs.google.com/spreadsheets/d/1yhBcrRPreicbMKl9Bu_Snb2-OcQAF62RKfhTLhJ2eAA/edit?usp=sharing"",""กาฬสินธุ์!S76"")+IMPORTRANGE(""https://docs.google.com/spreadsheets/d/1aHkj4IaQMThhwWwevcOymEh837vdxeC_PycurhTbGFA/edit?usp=sharing"","""&amp;"ขอนแก่น!S76"")+IMPORTRANGE(""https://docs.google.com/spreadsheets/d/1FvTu2DsIWUjP6WCWra38Bkj_oOl_sOMf14r5Fg5srxU/edit?usp=sharing"",""ชัยภูมิ!S76"")+IMPORTRANGE(""https://docs.google.com/spreadsheets/d/1XVB7oCJ3pr-vBUdflwPQ8Z2LlzhnCvZaaYjAfP-647E/edit?usp"&amp;"=sharing"",""นครพนม!S76"")+IMPORTRANGE(""https://docs.google.com/spreadsheets/d/1Mnpb-8PYAgn85W6KOTD40hc_Xc55CaLfHoGAbrZ8tls/edit?usp=sharing"",""นครราชสีมา!S76"")+IMPORTRANGE(""https://docs.google.com/spreadsheets/d/1xoDLGBv9CYbyosIhki0kTq6IpYNj-gpjxfobn"&amp;"aDiut0/edit?usp=sharing"",""บึงกาฬ!S76"")+IMPORTRANGE(""https://docs.google.com/spreadsheets/d/1MMPq-JyI6DSgQETxuSiXkesP-P7JHuemnE6QJIa-Nlw/edit?usp=sharing"",""บุรีรัมย์!S76"")+IMPORTRANGE(""https://docs.google.com/spreadsheets/d/1l6IZ8xUPgMrESzcTYwhA1k_"&amp;"tPjeQjJPTqlm8Gd9eU5g/edit?usp=sharing"",""มหาสารคาม!S76"")+IMPORTRANGE(""https://docs.google.com/spreadsheets/d/1uB74YLqNjWX6FObjekfB2NtSYigTQyR2rq9u4Ub2Sq4/edit?usp=sharing"",""มุกดาหาร!S76"")+IMPORTRANGE(""https://docs.google.com/spreadsheets/d/1NexK3ge"&amp;"CPxCTO1fzNF8dPec7yZyUx3OaWkFBC9HsQOo/edit?usp=sharing"",""ยโสธร!S76"")+IMPORTRANGE(""https://docs.google.com/spreadsheets/d/1v_cJrbBlyqmnHPReHk44g9NrMRdENNlSy_E_c5M9fIg/edit?usp=sharing"",""ร้อยเอ็ด!S76"")+IMPORTRANGE(""https://docs.google.com/spreadsheet"&amp;"s/d/1Ul4RCpCX66NxYADU1QpwAPjOmBzW64SsT11s1wzXw_c/edit?usp=sharing"",""เลย!S76"")+IMPORTRANGE(""https://docs.google.com/spreadsheets/d/1bRrNKwbHDVktQG10isr5vbWRtt5spIZPpkOSWgbT5ug/edit?usp=sharing"",""ศรีสะเกษ!S76"")+IMPORTRANGE(""https://docs.google.com/s"&amp;"preadsheets/d/17P34_Ow5kFBfdQD0qspb2UuPX5zpi6WMrQzslghyvrI/edit?usp=sharing"",""สกลนคร!S76"")+IMPORTRANGE(""https://docs.google.com/spreadsheets/d/1yswqbM3-AEpThF3ZSUa1AcmHnmRTF1vlJ1CZGcJ8YuU/edit?usp=sharing"",""สุรินทร์!S76"")+IMPORTRANGE(""https://docs"&amp;".google.com/spreadsheets/d/13JHU_EFbsQOUQ0JSQ3dWy1VTRosIWcDq6Nc99z2qzdc/edit?usp=sharing"",""หนองคาย!S76"")+IMPORTRANGE(""https://docs.google.com/spreadsheets/d/1Hx73zIEgVdDZZaYSTc46Dqv64atFhpr3GelxLbaIN8A/edit?usp=sharing"",""หนองบัวลำภู!S76"")+IMPORTRAN"&amp;"GE(""https://docs.google.com/spreadsheets/d/1lFxr3ctmjFN90yc-xV6jrQ9Ty8BKYVBWnAZ15wcNIJc/edit?usp=sharing"",""อำนาจเจริญ!S76"")+IMPORTRANGE(""https://docs.google.com/spreadsheets/d/1gF7RJpRnL-1oyjyeWxs5SFWEH7y8ahOZsQlyp2A2e-A/edit?usp=sharing"",""อุดรธานี"&amp;"!S76"")+IMPORTRANGE(""https://docs.google.com/spreadsheets/d/1kfLP0j3INXRa8bTDpcEmoWewMBV61jlFlfzczfjWIgc/edit?usp=sharing"",""อุบลราชธานี!S76"")"),0)</f>
        <v>0</v>
      </c>
      <c r="T76" s="59">
        <f t="shared" ca="1" si="57"/>
        <v>0</v>
      </c>
      <c r="U76" s="59">
        <f t="shared" ca="1" si="58"/>
        <v>0</v>
      </c>
    </row>
    <row r="77" spans="1:21" ht="18.75">
      <c r="A77" s="155"/>
      <c r="B77" s="50"/>
      <c r="C77" s="50"/>
      <c r="D77" s="50"/>
      <c r="E77" s="58" t="s">
        <v>37</v>
      </c>
      <c r="F77" s="50"/>
      <c r="G77" s="52"/>
      <c r="H77" s="162" t="s">
        <v>14</v>
      </c>
      <c r="I77" s="163"/>
      <c r="J77" s="163"/>
      <c r="K77" s="164"/>
      <c r="L77" s="56">
        <f ca="1">IFERROR(__xludf.DUMMYFUNCTION("IMPORTRANGE(""https://docs.google.com/spreadsheets/d/1yhBcrRPreicbMKl9Bu_Snb2-OcQAF62RKfhTLhJ2eAA/edit?usp=sharing"",""กาฬสินธุ์!L77"")+IMPORTRANGE(""https://docs.google.com/spreadsheets/d/1aHkj4IaQMThhwWwevcOymEh837vdxeC_PycurhTbGFA/edit?usp=sharing"","""&amp;"ขอนแก่น!L77"")+IMPORTRANGE(""https://docs.google.com/spreadsheets/d/1FvTu2DsIWUjP6WCWra38Bkj_oOl_sOMf14r5Fg5srxU/edit?usp=sharing"",""ชัยภูมิ!L77"")+IMPORTRANGE(""https://docs.google.com/spreadsheets/d/1XVB7oCJ3pr-vBUdflwPQ8Z2LlzhnCvZaaYjAfP-647E/edit?usp"&amp;"=sharing"",""นครพนม!L77"")+IMPORTRANGE(""https://docs.google.com/spreadsheets/d/1Mnpb-8PYAgn85W6KOTD40hc_Xc55CaLfHoGAbrZ8tls/edit?usp=sharing"",""นครราชสีมา!L77"")+IMPORTRANGE(""https://docs.google.com/spreadsheets/d/1xoDLGBv9CYbyosIhki0kTq6IpYNj-gpjxfobn"&amp;"aDiut0/edit?usp=sharing"",""บึงกาฬ!L77"")+IMPORTRANGE(""https://docs.google.com/spreadsheets/d/1MMPq-JyI6DSgQETxuSiXkesP-P7JHuemnE6QJIa-Nlw/edit?usp=sharing"",""บุรีรัมย์!L77"")+IMPORTRANGE(""https://docs.google.com/spreadsheets/d/1l6IZ8xUPgMrESzcTYwhA1k_"&amp;"tPjeQjJPTqlm8Gd9eU5g/edit?usp=sharing"",""มหาสารคาม!L77"")+IMPORTRANGE(""https://docs.google.com/spreadsheets/d/1uB74YLqNjWX6FObjekfB2NtSYigTQyR2rq9u4Ub2Sq4/edit?usp=sharing"",""มุกดาหาร!L77"")+IMPORTRANGE(""https://docs.google.com/spreadsheets/d/1NexK3ge"&amp;"CPxCTO1fzNF8dPec7yZyUx3OaWkFBC9HsQOo/edit?usp=sharing"",""ยโสธร!L77"")+IMPORTRANGE(""https://docs.google.com/spreadsheets/d/1v_cJrbBlyqmnHPReHk44g9NrMRdENNlSy_E_c5M9fIg/edit?usp=sharing"",""ร้อยเอ็ด!L77"")+IMPORTRANGE(""https://docs.google.com/spreadsheet"&amp;"s/d/1Ul4RCpCX66NxYADU1QpwAPjOmBzW64SsT11s1wzXw_c/edit?usp=sharing"",""เลย!L77"")+IMPORTRANGE(""https://docs.google.com/spreadsheets/d/1bRrNKwbHDVktQG10isr5vbWRtt5spIZPpkOSWgbT5ug/edit?usp=sharing"",""ศรีสะเกษ!L77"")+IMPORTRANGE(""https://docs.google.com/s"&amp;"preadsheets/d/17P34_Ow5kFBfdQD0qspb2UuPX5zpi6WMrQzslghyvrI/edit?usp=sharing"",""สกลนคร!L77"")+IMPORTRANGE(""https://docs.google.com/spreadsheets/d/1yswqbM3-AEpThF3ZSUa1AcmHnmRTF1vlJ1CZGcJ8YuU/edit?usp=sharing"",""สุรินทร์!L77"")+IMPORTRANGE(""https://docs"&amp;".google.com/spreadsheets/d/13JHU_EFbsQOUQ0JSQ3dWy1VTRosIWcDq6Nc99z2qzdc/edit?usp=sharing"",""หนองคาย!L77"")+IMPORTRANGE(""https://docs.google.com/spreadsheets/d/1Hx73zIEgVdDZZaYSTc46Dqv64atFhpr3GelxLbaIN8A/edit?usp=sharing"",""หนองบัวลำภู!L77"")+IMPORTRAN"&amp;"GE(""https://docs.google.com/spreadsheets/d/1lFxr3ctmjFN90yc-xV6jrQ9Ty8BKYVBWnAZ15wcNIJc/edit?usp=sharing"",""อำนาจเจริญ!L77"")+IMPORTRANGE(""https://docs.google.com/spreadsheets/d/1gF7RJpRnL-1oyjyeWxs5SFWEH7y8ahOZsQlyp2A2e-A/edit?usp=sharing"",""อุดรธานี"&amp;"!L77"")+IMPORTRANGE(""https://docs.google.com/spreadsheets/d/1kfLP0j3INXRa8bTDpcEmoWewMBV61jlFlfzczfjWIgc/edit?usp=sharing"",""อุบลราชธานี!L77"")"),2715400)</f>
        <v>2715400</v>
      </c>
      <c r="M77" s="56">
        <f ca="1">IFERROR(__xludf.DUMMYFUNCTION("IMPORTRANGE(""https://docs.google.com/spreadsheets/d/1yhBcrRPreicbMKl9Bu_Snb2-OcQAF62RKfhTLhJ2eAA/edit?usp=sharing"",""กาฬสินธุ์!M77"")+IMPORTRANGE(""https://docs.google.com/spreadsheets/d/1aHkj4IaQMThhwWwevcOymEh837vdxeC_PycurhTbGFA/edit?usp=sharing"","""&amp;"ขอนแก่น!M77"")+IMPORTRANGE(""https://docs.google.com/spreadsheets/d/1FvTu2DsIWUjP6WCWra38Bkj_oOl_sOMf14r5Fg5srxU/edit?usp=sharing"",""ชัยภูมิ!M77"")+IMPORTRANGE(""https://docs.google.com/spreadsheets/d/1XVB7oCJ3pr-vBUdflwPQ8Z2LlzhnCvZaaYjAfP-647E/edit?usp"&amp;"=sharing"",""นครพนม!M77"")+IMPORTRANGE(""https://docs.google.com/spreadsheets/d/1Mnpb-8PYAgn85W6KOTD40hc_Xc55CaLfHoGAbrZ8tls/edit?usp=sharing"",""นครราชสีมา!M77"")+IMPORTRANGE(""https://docs.google.com/spreadsheets/d/1xoDLGBv9CYbyosIhki0kTq6IpYNj-gpjxfobn"&amp;"aDiut0/edit?usp=sharing"",""บึงกาฬ!M77"")+IMPORTRANGE(""https://docs.google.com/spreadsheets/d/1MMPq-JyI6DSgQETxuSiXkesP-P7JHuemnE6QJIa-Nlw/edit?usp=sharing"",""บุรีรัมย์!M77"")+IMPORTRANGE(""https://docs.google.com/spreadsheets/d/1l6IZ8xUPgMrESzcTYwhA1k_"&amp;"tPjeQjJPTqlm8Gd9eU5g/edit?usp=sharing"",""มหาสารคาม!M77"")+IMPORTRANGE(""https://docs.google.com/spreadsheets/d/1uB74YLqNjWX6FObjekfB2NtSYigTQyR2rq9u4Ub2Sq4/edit?usp=sharing"",""มุกดาหาร!M77"")+IMPORTRANGE(""https://docs.google.com/spreadsheets/d/1NexK3ge"&amp;"CPxCTO1fzNF8dPec7yZyUx3OaWkFBC9HsQOo/edit?usp=sharing"",""ยโสธร!M77"")+IMPORTRANGE(""https://docs.google.com/spreadsheets/d/1v_cJrbBlyqmnHPReHk44g9NrMRdENNlSy_E_c5M9fIg/edit?usp=sharing"",""ร้อยเอ็ด!M77"")+IMPORTRANGE(""https://docs.google.com/spreadsheet"&amp;"s/d/1Ul4RCpCX66NxYADU1QpwAPjOmBzW64SsT11s1wzXw_c/edit?usp=sharing"",""เลย!M77"")+IMPORTRANGE(""https://docs.google.com/spreadsheets/d/1bRrNKwbHDVktQG10isr5vbWRtt5spIZPpkOSWgbT5ug/edit?usp=sharing"",""ศรีสะเกษ!M77"")+IMPORTRANGE(""https://docs.google.com/s"&amp;"preadsheets/d/17P34_Ow5kFBfdQD0qspb2UuPX5zpi6WMrQzslghyvrI/edit?usp=sharing"",""สกลนคร!M77"")+IMPORTRANGE(""https://docs.google.com/spreadsheets/d/1yswqbM3-AEpThF3ZSUa1AcmHnmRTF1vlJ1CZGcJ8YuU/edit?usp=sharing"",""สุรินทร์!M77"")+IMPORTRANGE(""https://docs"&amp;".google.com/spreadsheets/d/13JHU_EFbsQOUQ0JSQ3dWy1VTRosIWcDq6Nc99z2qzdc/edit?usp=sharing"",""หนองคาย!M77"")+IMPORTRANGE(""https://docs.google.com/spreadsheets/d/1Hx73zIEgVdDZZaYSTc46Dqv64atFhpr3GelxLbaIN8A/edit?usp=sharing"",""หนองบัวลำภู!M77"")+IMPORTRAN"&amp;"GE(""https://docs.google.com/spreadsheets/d/1lFxr3ctmjFN90yc-xV6jrQ9Ty8BKYVBWnAZ15wcNIJc/edit?usp=sharing"",""อำนาจเจริญ!M77"")+IMPORTRANGE(""https://docs.google.com/spreadsheets/d/1gF7RJpRnL-1oyjyeWxs5SFWEH7y8ahOZsQlyp2A2e-A/edit?usp=sharing"",""อุดรธานี"&amp;"!M77"")+IMPORTRANGE(""https://docs.google.com/spreadsheets/d/1kfLP0j3INXRa8bTDpcEmoWewMBV61jlFlfzczfjWIgc/edit?usp=sharing"",""อุบลราชธานี!M77"")"),2714626)</f>
        <v>2714626</v>
      </c>
      <c r="N77" s="56">
        <f ca="1">IFERROR(__xludf.DUMMYFUNCTION("IMPORTRANGE(""https://docs.google.com/spreadsheets/d/1yhBcrRPreicbMKl9Bu_Snb2-OcQAF62RKfhTLhJ2eAA/edit?usp=sharing"",""กาฬสินธุ์!N77"")+IMPORTRANGE(""https://docs.google.com/spreadsheets/d/1aHkj4IaQMThhwWwevcOymEh837vdxeC_PycurhTbGFA/edit?usp=sharing"","""&amp;"ขอนแก่น!N77"")+IMPORTRANGE(""https://docs.google.com/spreadsheets/d/1FvTu2DsIWUjP6WCWra38Bkj_oOl_sOMf14r5Fg5srxU/edit?usp=sharing"",""ชัยภูมิ!N77"")+IMPORTRANGE(""https://docs.google.com/spreadsheets/d/1XVB7oCJ3pr-vBUdflwPQ8Z2LlzhnCvZaaYjAfP-647E/edit?usp"&amp;"=sharing"",""นครพนม!N77"")+IMPORTRANGE(""https://docs.google.com/spreadsheets/d/1Mnpb-8PYAgn85W6KOTD40hc_Xc55CaLfHoGAbrZ8tls/edit?usp=sharing"",""นครราชสีมา!N77"")+IMPORTRANGE(""https://docs.google.com/spreadsheets/d/1xoDLGBv9CYbyosIhki0kTq6IpYNj-gpjxfobn"&amp;"aDiut0/edit?usp=sharing"",""บึงกาฬ!N77"")+IMPORTRANGE(""https://docs.google.com/spreadsheets/d/1MMPq-JyI6DSgQETxuSiXkesP-P7JHuemnE6QJIa-Nlw/edit?usp=sharing"",""บุรีรัมย์!N77"")+IMPORTRANGE(""https://docs.google.com/spreadsheets/d/1l6IZ8xUPgMrESzcTYwhA1k_"&amp;"tPjeQjJPTqlm8Gd9eU5g/edit?usp=sharing"",""มหาสารคาม!N77"")+IMPORTRANGE(""https://docs.google.com/spreadsheets/d/1uB74YLqNjWX6FObjekfB2NtSYigTQyR2rq9u4Ub2Sq4/edit?usp=sharing"",""มุกดาหาร!N77"")+IMPORTRANGE(""https://docs.google.com/spreadsheets/d/1NexK3ge"&amp;"CPxCTO1fzNF8dPec7yZyUx3OaWkFBC9HsQOo/edit?usp=sharing"",""ยโสธร!N77"")+IMPORTRANGE(""https://docs.google.com/spreadsheets/d/1v_cJrbBlyqmnHPReHk44g9NrMRdENNlSy_E_c5M9fIg/edit?usp=sharing"",""ร้อยเอ็ด!N77"")+IMPORTRANGE(""https://docs.google.com/spreadsheet"&amp;"s/d/1Ul4RCpCX66NxYADU1QpwAPjOmBzW64SsT11s1wzXw_c/edit?usp=sharing"",""เลย!N77"")+IMPORTRANGE(""https://docs.google.com/spreadsheets/d/1bRrNKwbHDVktQG10isr5vbWRtt5spIZPpkOSWgbT5ug/edit?usp=sharing"",""ศรีสะเกษ!N77"")+IMPORTRANGE(""https://docs.google.com/s"&amp;"preadsheets/d/17P34_Ow5kFBfdQD0qspb2UuPX5zpi6WMrQzslghyvrI/edit?usp=sharing"",""สกลนคร!N77"")+IMPORTRANGE(""https://docs.google.com/spreadsheets/d/1yswqbM3-AEpThF3ZSUa1AcmHnmRTF1vlJ1CZGcJ8YuU/edit?usp=sharing"",""สุรินทร์!N77"")+IMPORTRANGE(""https://docs"&amp;".google.com/spreadsheets/d/13JHU_EFbsQOUQ0JSQ3dWy1VTRosIWcDq6Nc99z2qzdc/edit?usp=sharing"",""หนองคาย!N77"")+IMPORTRANGE(""https://docs.google.com/spreadsheets/d/1Hx73zIEgVdDZZaYSTc46Dqv64atFhpr3GelxLbaIN8A/edit?usp=sharing"",""หนองบัวลำภู!N77"")+IMPORTRAN"&amp;"GE(""https://docs.google.com/spreadsheets/d/1lFxr3ctmjFN90yc-xV6jrQ9Ty8BKYVBWnAZ15wcNIJc/edit?usp=sharing"",""อำนาจเจริญ!N77"")+IMPORTRANGE(""https://docs.google.com/spreadsheets/d/1gF7RJpRnL-1oyjyeWxs5SFWEH7y8ahOZsQlyp2A2e-A/edit?usp=sharing"",""อุดรธานี"&amp;"!N77"")+IMPORTRANGE(""https://docs.google.com/spreadsheets/d/1kfLP0j3INXRa8bTDpcEmoWewMBV61jlFlfzczfjWIgc/edit?usp=sharing"",""อุบลราชธานี!N77"")"),1969926.36)</f>
        <v>1969926.36</v>
      </c>
      <c r="O77" s="56">
        <f t="shared" ca="1" si="54"/>
        <v>72.546452088090149</v>
      </c>
      <c r="P77" s="56">
        <f t="shared" ca="1" si="55"/>
        <v>72.567136688442531</v>
      </c>
      <c r="Q77" s="56">
        <f ca="1">IFERROR(__xludf.DUMMYFUNCTION("IMPORTRANGE(""https://docs.google.com/spreadsheets/d/1yhBcrRPreicbMKl9Bu_Snb2-OcQAF62RKfhTLhJ2eAA/edit?usp=sharing"",""กาฬสินธุ์!Q77"")+IMPORTRANGE(""https://docs.google.com/spreadsheets/d/1aHkj4IaQMThhwWwevcOymEh837vdxeC_PycurhTbGFA/edit?usp=sharing"","""&amp;"ขอนแก่น!Q77"")+IMPORTRANGE(""https://docs.google.com/spreadsheets/d/1FvTu2DsIWUjP6WCWra38Bkj_oOl_sOMf14r5Fg5srxU/edit?usp=sharing"",""ชัยภูมิ!Q77"")+IMPORTRANGE(""https://docs.google.com/spreadsheets/d/1XVB7oCJ3pr-vBUdflwPQ8Z2LlzhnCvZaaYjAfP-647E/edit?usp"&amp;"=sharing"",""นครพนม!Q77"")+IMPORTRANGE(""https://docs.google.com/spreadsheets/d/1Mnpb-8PYAgn85W6KOTD40hc_Xc55CaLfHoGAbrZ8tls/edit?usp=sharing"",""นครราชสีมา!Q77"")+IMPORTRANGE(""https://docs.google.com/spreadsheets/d/1xoDLGBv9CYbyosIhki0kTq6IpYNj-gpjxfobn"&amp;"aDiut0/edit?usp=sharing"",""บึงกาฬ!Q77"")+IMPORTRANGE(""https://docs.google.com/spreadsheets/d/1MMPq-JyI6DSgQETxuSiXkesP-P7JHuemnE6QJIa-Nlw/edit?usp=sharing"",""บุรีรัมย์!Q77"")+IMPORTRANGE(""https://docs.google.com/spreadsheets/d/1l6IZ8xUPgMrESzcTYwhA1k_"&amp;"tPjeQjJPTqlm8Gd9eU5g/edit?usp=sharing"",""มหาสารคาม!Q77"")+IMPORTRANGE(""https://docs.google.com/spreadsheets/d/1uB74YLqNjWX6FObjekfB2NtSYigTQyR2rq9u4Ub2Sq4/edit?usp=sharing"",""มุกดาหาร!Q77"")+IMPORTRANGE(""https://docs.google.com/spreadsheets/d/1NexK3ge"&amp;"CPxCTO1fzNF8dPec7yZyUx3OaWkFBC9HsQOo/edit?usp=sharing"",""ยโสธร!Q77"")+IMPORTRANGE(""https://docs.google.com/spreadsheets/d/1v_cJrbBlyqmnHPReHk44g9NrMRdENNlSy_E_c5M9fIg/edit?usp=sharing"",""ร้อยเอ็ด!Q77"")+IMPORTRANGE(""https://docs.google.com/spreadsheet"&amp;"s/d/1Ul4RCpCX66NxYADU1QpwAPjOmBzW64SsT11s1wzXw_c/edit?usp=sharing"",""เลย!Q77"")+IMPORTRANGE(""https://docs.google.com/spreadsheets/d/1bRrNKwbHDVktQG10isr5vbWRtt5spIZPpkOSWgbT5ug/edit?usp=sharing"",""ศรีสะเกษ!Q77"")+IMPORTRANGE(""https://docs.google.com/s"&amp;"preadsheets/d/17P34_Ow5kFBfdQD0qspb2UuPX5zpi6WMrQzslghyvrI/edit?usp=sharing"",""สกลนคร!Q77"")+IMPORTRANGE(""https://docs.google.com/spreadsheets/d/1yswqbM3-AEpThF3ZSUa1AcmHnmRTF1vlJ1CZGcJ8YuU/edit?usp=sharing"",""สุรินทร์!Q77"")+IMPORTRANGE(""https://docs"&amp;".google.com/spreadsheets/d/13JHU_EFbsQOUQ0JSQ3dWy1VTRosIWcDq6Nc99z2qzdc/edit?usp=sharing"",""หนองคาย!Q77"")+IMPORTRANGE(""https://docs.google.com/spreadsheets/d/1Hx73zIEgVdDZZaYSTc46Dqv64atFhpr3GelxLbaIN8A/edit?usp=sharing"",""หนองบัวลำภู!Q77"")+IMPORTRAN"&amp;"GE(""https://docs.google.com/spreadsheets/d/1lFxr3ctmjFN90yc-xV6jrQ9Ty8BKYVBWnAZ15wcNIJc/edit?usp=sharing"",""อำนาจเจริญ!Q77"")+IMPORTRANGE(""https://docs.google.com/spreadsheets/d/1gF7RJpRnL-1oyjyeWxs5SFWEH7y8ahOZsQlyp2A2e-A/edit?usp=sharing"",""อุดรธานี"&amp;"!Q77"")+IMPORTRANGE(""https://docs.google.com/spreadsheets/d/1kfLP0j3INXRa8bTDpcEmoWewMBV61jlFlfzczfjWIgc/edit?usp=sharing"",""อุบลราชธานี!Q77"")"),7253860)</f>
        <v>7253860</v>
      </c>
      <c r="R77" s="56">
        <f ca="1">IFERROR(__xludf.DUMMYFUNCTION("IMPORTRANGE(""https://docs.google.com/spreadsheets/d/1yhBcrRPreicbMKl9Bu_Snb2-OcQAF62RKfhTLhJ2eAA/edit?usp=sharing"",""กาฬสินธุ์!R77"")+IMPORTRANGE(""https://docs.google.com/spreadsheets/d/1aHkj4IaQMThhwWwevcOymEh837vdxeC_PycurhTbGFA/edit?usp=sharing"","""&amp;"ขอนแก่น!R77"")+IMPORTRANGE(""https://docs.google.com/spreadsheets/d/1FvTu2DsIWUjP6WCWra38Bkj_oOl_sOMf14r5Fg5srxU/edit?usp=sharing"",""ชัยภูมิ!R77"")+IMPORTRANGE(""https://docs.google.com/spreadsheets/d/1XVB7oCJ3pr-vBUdflwPQ8Z2LlzhnCvZaaYjAfP-647E/edit?usp"&amp;"=sharing"",""นครพนม!R77"")+IMPORTRANGE(""https://docs.google.com/spreadsheets/d/1Mnpb-8PYAgn85W6KOTD40hc_Xc55CaLfHoGAbrZ8tls/edit?usp=sharing"",""นครราชสีมา!R77"")+IMPORTRANGE(""https://docs.google.com/spreadsheets/d/1xoDLGBv9CYbyosIhki0kTq6IpYNj-gpjxfobn"&amp;"aDiut0/edit?usp=sharing"",""บึงกาฬ!R77"")+IMPORTRANGE(""https://docs.google.com/spreadsheets/d/1MMPq-JyI6DSgQETxuSiXkesP-P7JHuemnE6QJIa-Nlw/edit?usp=sharing"",""บุรีรัมย์!R77"")+IMPORTRANGE(""https://docs.google.com/spreadsheets/d/1l6IZ8xUPgMrESzcTYwhA1k_"&amp;"tPjeQjJPTqlm8Gd9eU5g/edit?usp=sharing"",""มหาสารคาม!R77"")+IMPORTRANGE(""https://docs.google.com/spreadsheets/d/1uB74YLqNjWX6FObjekfB2NtSYigTQyR2rq9u4Ub2Sq4/edit?usp=sharing"",""มุกดาหาร!R77"")+IMPORTRANGE(""https://docs.google.com/spreadsheets/d/1NexK3ge"&amp;"CPxCTO1fzNF8dPec7yZyUx3OaWkFBC9HsQOo/edit?usp=sharing"",""ยโสธร!R77"")+IMPORTRANGE(""https://docs.google.com/spreadsheets/d/1v_cJrbBlyqmnHPReHk44g9NrMRdENNlSy_E_c5M9fIg/edit?usp=sharing"",""ร้อยเอ็ด!R77"")+IMPORTRANGE(""https://docs.google.com/spreadsheet"&amp;"s/d/1Ul4RCpCX66NxYADU1QpwAPjOmBzW64SsT11s1wzXw_c/edit?usp=sharing"",""เลย!R77"")+IMPORTRANGE(""https://docs.google.com/spreadsheets/d/1bRrNKwbHDVktQG10isr5vbWRtt5spIZPpkOSWgbT5ug/edit?usp=sharing"",""ศรีสะเกษ!R77"")+IMPORTRANGE(""https://docs.google.com/s"&amp;"preadsheets/d/17P34_Ow5kFBfdQD0qspb2UuPX5zpi6WMrQzslghyvrI/edit?usp=sharing"",""สกลนคร!R77"")+IMPORTRANGE(""https://docs.google.com/spreadsheets/d/1yswqbM3-AEpThF3ZSUa1AcmHnmRTF1vlJ1CZGcJ8YuU/edit?usp=sharing"",""สุรินทร์!R77"")+IMPORTRANGE(""https://docs"&amp;".google.com/spreadsheets/d/13JHU_EFbsQOUQ0JSQ3dWy1VTRosIWcDq6Nc99z2qzdc/edit?usp=sharing"",""หนองคาย!R77"")+IMPORTRANGE(""https://docs.google.com/spreadsheets/d/1Hx73zIEgVdDZZaYSTc46Dqv64atFhpr3GelxLbaIN8A/edit?usp=sharing"",""หนองบัวลำภู!R77"")+IMPORTRAN"&amp;"GE(""https://docs.google.com/spreadsheets/d/1lFxr3ctmjFN90yc-xV6jrQ9Ty8BKYVBWnAZ15wcNIJc/edit?usp=sharing"",""อำนาจเจริญ!R77"")+IMPORTRANGE(""https://docs.google.com/spreadsheets/d/1gF7RJpRnL-1oyjyeWxs5SFWEH7y8ahOZsQlyp2A2e-A/edit?usp=sharing"",""อุดรธานี"&amp;"!R77"")+IMPORTRANGE(""https://docs.google.com/spreadsheets/d/1kfLP0j3INXRa8bTDpcEmoWewMBV61jlFlfzczfjWIgc/edit?usp=sharing"",""อุบลราชธานี!R77"")"),7253860)</f>
        <v>7253860</v>
      </c>
      <c r="S77" s="57">
        <f ca="1">IFERROR(__xludf.DUMMYFUNCTION("IMPORTRANGE(""https://docs.google.com/spreadsheets/d/1yhBcrRPreicbMKl9Bu_Snb2-OcQAF62RKfhTLhJ2eAA/edit?usp=sharing"",""กาฬสินธุ์!S77"")+IMPORTRANGE(""https://docs.google.com/spreadsheets/d/1aHkj4IaQMThhwWwevcOymEh837vdxeC_PycurhTbGFA/edit?usp=sharing"","""&amp;"ขอนแก่น!S77"")+IMPORTRANGE(""https://docs.google.com/spreadsheets/d/1FvTu2DsIWUjP6WCWra38Bkj_oOl_sOMf14r5Fg5srxU/edit?usp=sharing"",""ชัยภูมิ!S77"")+IMPORTRANGE(""https://docs.google.com/spreadsheets/d/1XVB7oCJ3pr-vBUdflwPQ8Z2LlzhnCvZaaYjAfP-647E/edit?usp"&amp;"=sharing"",""นครพนม!S77"")+IMPORTRANGE(""https://docs.google.com/spreadsheets/d/1Mnpb-8PYAgn85W6KOTD40hc_Xc55CaLfHoGAbrZ8tls/edit?usp=sharing"",""นครราชสีมา!S77"")+IMPORTRANGE(""https://docs.google.com/spreadsheets/d/1xoDLGBv9CYbyosIhki0kTq6IpYNj-gpjxfobn"&amp;"aDiut0/edit?usp=sharing"",""บึงกาฬ!S77"")+IMPORTRANGE(""https://docs.google.com/spreadsheets/d/1MMPq-JyI6DSgQETxuSiXkesP-P7JHuemnE6QJIa-Nlw/edit?usp=sharing"",""บุรีรัมย์!S77"")+IMPORTRANGE(""https://docs.google.com/spreadsheets/d/1l6IZ8xUPgMrESzcTYwhA1k_"&amp;"tPjeQjJPTqlm8Gd9eU5g/edit?usp=sharing"",""มหาสารคาม!S77"")+IMPORTRANGE(""https://docs.google.com/spreadsheets/d/1uB74YLqNjWX6FObjekfB2NtSYigTQyR2rq9u4Ub2Sq4/edit?usp=sharing"",""มุกดาหาร!S77"")+IMPORTRANGE(""https://docs.google.com/spreadsheets/d/1NexK3ge"&amp;"CPxCTO1fzNF8dPec7yZyUx3OaWkFBC9HsQOo/edit?usp=sharing"",""ยโสธร!S77"")+IMPORTRANGE(""https://docs.google.com/spreadsheets/d/1v_cJrbBlyqmnHPReHk44g9NrMRdENNlSy_E_c5M9fIg/edit?usp=sharing"",""ร้อยเอ็ด!S77"")+IMPORTRANGE(""https://docs.google.com/spreadsheet"&amp;"s/d/1Ul4RCpCX66NxYADU1QpwAPjOmBzW64SsT11s1wzXw_c/edit?usp=sharing"",""เลย!S77"")+IMPORTRANGE(""https://docs.google.com/spreadsheets/d/1bRrNKwbHDVktQG10isr5vbWRtt5spIZPpkOSWgbT5ug/edit?usp=sharing"",""ศรีสะเกษ!S77"")+IMPORTRANGE(""https://docs.google.com/s"&amp;"preadsheets/d/17P34_Ow5kFBfdQD0qspb2UuPX5zpi6WMrQzslghyvrI/edit?usp=sharing"",""สกลนคร!S77"")+IMPORTRANGE(""https://docs.google.com/spreadsheets/d/1yswqbM3-AEpThF3ZSUa1AcmHnmRTF1vlJ1CZGcJ8YuU/edit?usp=sharing"",""สุรินทร์!S77"")+IMPORTRANGE(""https://docs"&amp;".google.com/spreadsheets/d/13JHU_EFbsQOUQ0JSQ3dWy1VTRosIWcDq6Nc99z2qzdc/edit?usp=sharing"",""หนองคาย!S77"")+IMPORTRANGE(""https://docs.google.com/spreadsheets/d/1Hx73zIEgVdDZZaYSTc46Dqv64atFhpr3GelxLbaIN8A/edit?usp=sharing"",""หนองบัวลำภู!S77"")+IMPORTRAN"&amp;"GE(""https://docs.google.com/spreadsheets/d/1lFxr3ctmjFN90yc-xV6jrQ9Ty8BKYVBWnAZ15wcNIJc/edit?usp=sharing"",""อำนาจเจริญ!S77"")+IMPORTRANGE(""https://docs.google.com/spreadsheets/d/1gF7RJpRnL-1oyjyeWxs5SFWEH7y8ahOZsQlyp2A2e-A/edit?usp=sharing"",""อุดรธานี"&amp;"!S77"")+IMPORTRANGE(""https://docs.google.com/spreadsheets/d/1kfLP0j3INXRa8bTDpcEmoWewMBV61jlFlfzczfjWIgc/edit?usp=sharing"",""อุบลราชธานี!S77"")"),267024.5)</f>
        <v>267024.5</v>
      </c>
      <c r="T77" s="56">
        <f t="shared" ca="1" si="57"/>
        <v>3.6811366637900371</v>
      </c>
      <c r="U77" s="56">
        <f t="shared" ca="1" si="58"/>
        <v>3.6811366637900371</v>
      </c>
    </row>
    <row r="78" spans="1:21" ht="18.75">
      <c r="A78" s="155"/>
      <c r="B78" s="50"/>
      <c r="C78" s="50"/>
      <c r="D78" s="51" t="s">
        <v>23</v>
      </c>
      <c r="E78" s="50"/>
      <c r="F78" s="50"/>
      <c r="G78" s="52"/>
      <c r="H78" s="165" t="s">
        <v>14</v>
      </c>
      <c r="I78" s="163"/>
      <c r="J78" s="163"/>
      <c r="K78" s="164"/>
      <c r="L78" s="56">
        <f t="shared" ref="L78:N78" ca="1" si="65">L79+L80</f>
        <v>0</v>
      </c>
      <c r="M78" s="56">
        <f t="shared" ca="1" si="65"/>
        <v>0</v>
      </c>
      <c r="N78" s="56">
        <f t="shared" ca="1" si="65"/>
        <v>0</v>
      </c>
      <c r="O78" s="56">
        <f t="shared" ca="1" si="54"/>
        <v>0</v>
      </c>
      <c r="P78" s="56">
        <f t="shared" ca="1" si="55"/>
        <v>0</v>
      </c>
      <c r="Q78" s="56">
        <f t="shared" ref="Q78:S78" ca="1" si="66">Q79+Q80</f>
        <v>0</v>
      </c>
      <c r="R78" s="56">
        <f t="shared" ca="1" si="66"/>
        <v>0</v>
      </c>
      <c r="S78" s="57">
        <f t="shared" ca="1" si="66"/>
        <v>0</v>
      </c>
      <c r="T78" s="56">
        <f t="shared" ca="1" si="57"/>
        <v>0</v>
      </c>
      <c r="U78" s="56">
        <f t="shared" ca="1" si="58"/>
        <v>0</v>
      </c>
    </row>
    <row r="79" spans="1:21" ht="18.75">
      <c r="A79" s="155"/>
      <c r="B79" s="50"/>
      <c r="C79" s="50"/>
      <c r="D79" s="50"/>
      <c r="E79" s="58" t="s">
        <v>20</v>
      </c>
      <c r="F79" s="50"/>
      <c r="G79" s="52"/>
      <c r="H79" s="162" t="s">
        <v>14</v>
      </c>
      <c r="I79" s="163"/>
      <c r="J79" s="163"/>
      <c r="K79" s="164"/>
      <c r="L79" s="56">
        <f ca="1">IFERROR(__xludf.DUMMYFUNCTION("IMPORTRANGE(""https://docs.google.com/spreadsheets/d/1yhBcrRPreicbMKl9Bu_Snb2-OcQAF62RKfhTLhJ2eAA/edit?usp=sharing"",""กาฬสินธุ์!L79"")+IMPORTRANGE(""https://docs.google.com/spreadsheets/d/1aHkj4IaQMThhwWwevcOymEh837vdxeC_PycurhTbGFA/edit?usp=sharing"","""&amp;"ขอนแก่น!L79"")+IMPORTRANGE(""https://docs.google.com/spreadsheets/d/1FvTu2DsIWUjP6WCWra38Bkj_oOl_sOMf14r5Fg5srxU/edit?usp=sharing"",""ชัยภูมิ!L79"")+IMPORTRANGE(""https://docs.google.com/spreadsheets/d/1XVB7oCJ3pr-vBUdflwPQ8Z2LlzhnCvZaaYjAfP-647E/edit?usp"&amp;"=sharing"",""นครพนม!L79"")+IMPORTRANGE(""https://docs.google.com/spreadsheets/d/1Mnpb-8PYAgn85W6KOTD40hc_Xc55CaLfHoGAbrZ8tls/edit?usp=sharing"",""นครราชสีมา!L79"")+IMPORTRANGE(""https://docs.google.com/spreadsheets/d/1xoDLGBv9CYbyosIhki0kTq6IpYNj-gpjxfobn"&amp;"aDiut0/edit?usp=sharing"",""บึงกาฬ!L79"")+IMPORTRANGE(""https://docs.google.com/spreadsheets/d/1MMPq-JyI6DSgQETxuSiXkesP-P7JHuemnE6QJIa-Nlw/edit?usp=sharing"",""บุรีรัมย์!L79"")+IMPORTRANGE(""https://docs.google.com/spreadsheets/d/1l6IZ8xUPgMrESzcTYwhA1k_"&amp;"tPjeQjJPTqlm8Gd9eU5g/edit?usp=sharing"",""มหาสารคาม!L79"")+IMPORTRANGE(""https://docs.google.com/spreadsheets/d/1uB74YLqNjWX6FObjekfB2NtSYigTQyR2rq9u4Ub2Sq4/edit?usp=sharing"",""มุกดาหาร!L79"")+IMPORTRANGE(""https://docs.google.com/spreadsheets/d/1NexK3ge"&amp;"CPxCTO1fzNF8dPec7yZyUx3OaWkFBC9HsQOo/edit?usp=sharing"",""ยโสธร!L79"")+IMPORTRANGE(""https://docs.google.com/spreadsheets/d/1v_cJrbBlyqmnHPReHk44g9NrMRdENNlSy_E_c5M9fIg/edit?usp=sharing"",""ร้อยเอ็ด!L79"")+IMPORTRANGE(""https://docs.google.com/spreadsheet"&amp;"s/d/1Ul4RCpCX66NxYADU1QpwAPjOmBzW64SsT11s1wzXw_c/edit?usp=sharing"",""เลย!L79"")+IMPORTRANGE(""https://docs.google.com/spreadsheets/d/1bRrNKwbHDVktQG10isr5vbWRtt5spIZPpkOSWgbT5ug/edit?usp=sharing"",""ศรีสะเกษ!L79"")+IMPORTRANGE(""https://docs.google.com/s"&amp;"preadsheets/d/17P34_Ow5kFBfdQD0qspb2UuPX5zpi6WMrQzslghyvrI/edit?usp=sharing"",""สกลนคร!L79"")+IMPORTRANGE(""https://docs.google.com/spreadsheets/d/1yswqbM3-AEpThF3ZSUa1AcmHnmRTF1vlJ1CZGcJ8YuU/edit?usp=sharing"",""สุรินทร์!L79"")+IMPORTRANGE(""https://docs"&amp;".google.com/spreadsheets/d/13JHU_EFbsQOUQ0JSQ3dWy1VTRosIWcDq6Nc99z2qzdc/edit?usp=sharing"",""หนองคาย!L79"")+IMPORTRANGE(""https://docs.google.com/spreadsheets/d/1Hx73zIEgVdDZZaYSTc46Dqv64atFhpr3GelxLbaIN8A/edit?usp=sharing"",""หนองบัวลำภู!L79"")+IMPORTRAN"&amp;"GE(""https://docs.google.com/spreadsheets/d/1lFxr3ctmjFN90yc-xV6jrQ9Ty8BKYVBWnAZ15wcNIJc/edit?usp=sharing"",""อำนาจเจริญ!L79"")+IMPORTRANGE(""https://docs.google.com/spreadsheets/d/1gF7RJpRnL-1oyjyeWxs5SFWEH7y8ahOZsQlyp2A2e-A/edit?usp=sharing"",""อุดรธานี"&amp;"!L79"")+IMPORTRANGE(""https://docs.google.com/spreadsheets/d/1kfLP0j3INXRa8bTDpcEmoWewMBV61jlFlfzczfjWIgc/edit?usp=sharing"",""อุบลราชธานี!L79"")"),0)</f>
        <v>0</v>
      </c>
      <c r="M79" s="56">
        <f ca="1">IFERROR(__xludf.DUMMYFUNCTION("IMPORTRANGE(""https://docs.google.com/spreadsheets/d/1yhBcrRPreicbMKl9Bu_Snb2-OcQAF62RKfhTLhJ2eAA/edit?usp=sharing"",""กาฬสินธุ์!M79"")+IMPORTRANGE(""https://docs.google.com/spreadsheets/d/1aHkj4IaQMThhwWwevcOymEh837vdxeC_PycurhTbGFA/edit?usp=sharing"","""&amp;"ขอนแก่น!M79"")+IMPORTRANGE(""https://docs.google.com/spreadsheets/d/1FvTu2DsIWUjP6WCWra38Bkj_oOl_sOMf14r5Fg5srxU/edit?usp=sharing"",""ชัยภูมิ!M79"")+IMPORTRANGE(""https://docs.google.com/spreadsheets/d/1XVB7oCJ3pr-vBUdflwPQ8Z2LlzhnCvZaaYjAfP-647E/edit?usp"&amp;"=sharing"",""นครพนม!M79"")+IMPORTRANGE(""https://docs.google.com/spreadsheets/d/1Mnpb-8PYAgn85W6KOTD40hc_Xc55CaLfHoGAbrZ8tls/edit?usp=sharing"",""นครราชสีมา!M79"")+IMPORTRANGE(""https://docs.google.com/spreadsheets/d/1xoDLGBv9CYbyosIhki0kTq6IpYNj-gpjxfobn"&amp;"aDiut0/edit?usp=sharing"",""บึงกาฬ!M79"")+IMPORTRANGE(""https://docs.google.com/spreadsheets/d/1MMPq-JyI6DSgQETxuSiXkesP-P7JHuemnE6QJIa-Nlw/edit?usp=sharing"",""บุรีรัมย์!M79"")+IMPORTRANGE(""https://docs.google.com/spreadsheets/d/1l6IZ8xUPgMrESzcTYwhA1k_"&amp;"tPjeQjJPTqlm8Gd9eU5g/edit?usp=sharing"",""มหาสารคาม!M79"")+IMPORTRANGE(""https://docs.google.com/spreadsheets/d/1uB74YLqNjWX6FObjekfB2NtSYigTQyR2rq9u4Ub2Sq4/edit?usp=sharing"",""มุกดาหาร!M79"")+IMPORTRANGE(""https://docs.google.com/spreadsheets/d/1NexK3ge"&amp;"CPxCTO1fzNF8dPec7yZyUx3OaWkFBC9HsQOo/edit?usp=sharing"",""ยโสธร!M79"")+IMPORTRANGE(""https://docs.google.com/spreadsheets/d/1v_cJrbBlyqmnHPReHk44g9NrMRdENNlSy_E_c5M9fIg/edit?usp=sharing"",""ร้อยเอ็ด!M79"")+IMPORTRANGE(""https://docs.google.com/spreadsheet"&amp;"s/d/1Ul4RCpCX66NxYADU1QpwAPjOmBzW64SsT11s1wzXw_c/edit?usp=sharing"",""เลย!M79"")+IMPORTRANGE(""https://docs.google.com/spreadsheets/d/1bRrNKwbHDVktQG10isr5vbWRtt5spIZPpkOSWgbT5ug/edit?usp=sharing"",""ศรีสะเกษ!M79"")+IMPORTRANGE(""https://docs.google.com/s"&amp;"preadsheets/d/17P34_Ow5kFBfdQD0qspb2UuPX5zpi6WMrQzslghyvrI/edit?usp=sharing"",""สกลนคร!M79"")+IMPORTRANGE(""https://docs.google.com/spreadsheets/d/1yswqbM3-AEpThF3ZSUa1AcmHnmRTF1vlJ1CZGcJ8YuU/edit?usp=sharing"",""สุรินทร์!M79"")+IMPORTRANGE(""https://docs"&amp;".google.com/spreadsheets/d/13JHU_EFbsQOUQ0JSQ3dWy1VTRosIWcDq6Nc99z2qzdc/edit?usp=sharing"",""หนองคาย!M79"")+IMPORTRANGE(""https://docs.google.com/spreadsheets/d/1Hx73zIEgVdDZZaYSTc46Dqv64atFhpr3GelxLbaIN8A/edit?usp=sharing"",""หนองบัวลำภู!M79"")+IMPORTRAN"&amp;"GE(""https://docs.google.com/spreadsheets/d/1lFxr3ctmjFN90yc-xV6jrQ9Ty8BKYVBWnAZ15wcNIJc/edit?usp=sharing"",""อำนาจเจริญ!M79"")+IMPORTRANGE(""https://docs.google.com/spreadsheets/d/1gF7RJpRnL-1oyjyeWxs5SFWEH7y8ahOZsQlyp2A2e-A/edit?usp=sharing"",""อุดรธานี"&amp;"!M79"")+IMPORTRANGE(""https://docs.google.com/spreadsheets/d/1kfLP0j3INXRa8bTDpcEmoWewMBV61jlFlfzczfjWIgc/edit?usp=sharing"",""อุบลราชธานี!M79"")"),0)</f>
        <v>0</v>
      </c>
      <c r="N79" s="56">
        <f ca="1">IFERROR(__xludf.DUMMYFUNCTION("IMPORTRANGE(""https://docs.google.com/spreadsheets/d/1yhBcrRPreicbMKl9Bu_Snb2-OcQAF62RKfhTLhJ2eAA/edit?usp=sharing"",""กาฬสินธุ์!N79"")+IMPORTRANGE(""https://docs.google.com/spreadsheets/d/1aHkj4IaQMThhwWwevcOymEh837vdxeC_PycurhTbGFA/edit?usp=sharing"","""&amp;"ขอนแก่น!N79"")+IMPORTRANGE(""https://docs.google.com/spreadsheets/d/1FvTu2DsIWUjP6WCWra38Bkj_oOl_sOMf14r5Fg5srxU/edit?usp=sharing"",""ชัยภูมิ!N79"")+IMPORTRANGE(""https://docs.google.com/spreadsheets/d/1XVB7oCJ3pr-vBUdflwPQ8Z2LlzhnCvZaaYjAfP-647E/edit?usp"&amp;"=sharing"",""นครพนม!N79"")+IMPORTRANGE(""https://docs.google.com/spreadsheets/d/1Mnpb-8PYAgn85W6KOTD40hc_Xc55CaLfHoGAbrZ8tls/edit?usp=sharing"",""นครราชสีมา!N79"")+IMPORTRANGE(""https://docs.google.com/spreadsheets/d/1xoDLGBv9CYbyosIhki0kTq6IpYNj-gpjxfobn"&amp;"aDiut0/edit?usp=sharing"",""บึงกาฬ!N79"")+IMPORTRANGE(""https://docs.google.com/spreadsheets/d/1MMPq-JyI6DSgQETxuSiXkesP-P7JHuemnE6QJIa-Nlw/edit?usp=sharing"",""บุรีรัมย์!N79"")+IMPORTRANGE(""https://docs.google.com/spreadsheets/d/1l6IZ8xUPgMrESzcTYwhA1k_"&amp;"tPjeQjJPTqlm8Gd9eU5g/edit?usp=sharing"",""มหาสารคาม!N79"")+IMPORTRANGE(""https://docs.google.com/spreadsheets/d/1uB74YLqNjWX6FObjekfB2NtSYigTQyR2rq9u4Ub2Sq4/edit?usp=sharing"",""มุกดาหาร!N79"")+IMPORTRANGE(""https://docs.google.com/spreadsheets/d/1NexK3ge"&amp;"CPxCTO1fzNF8dPec7yZyUx3OaWkFBC9HsQOo/edit?usp=sharing"",""ยโสธร!N79"")+IMPORTRANGE(""https://docs.google.com/spreadsheets/d/1v_cJrbBlyqmnHPReHk44g9NrMRdENNlSy_E_c5M9fIg/edit?usp=sharing"",""ร้อยเอ็ด!N79"")+IMPORTRANGE(""https://docs.google.com/spreadsheet"&amp;"s/d/1Ul4RCpCX66NxYADU1QpwAPjOmBzW64SsT11s1wzXw_c/edit?usp=sharing"",""เลย!N79"")+IMPORTRANGE(""https://docs.google.com/spreadsheets/d/1bRrNKwbHDVktQG10isr5vbWRtt5spIZPpkOSWgbT5ug/edit?usp=sharing"",""ศรีสะเกษ!N79"")+IMPORTRANGE(""https://docs.google.com/s"&amp;"preadsheets/d/17P34_Ow5kFBfdQD0qspb2UuPX5zpi6WMrQzslghyvrI/edit?usp=sharing"",""สกลนคร!N79"")+IMPORTRANGE(""https://docs.google.com/spreadsheets/d/1yswqbM3-AEpThF3ZSUa1AcmHnmRTF1vlJ1CZGcJ8YuU/edit?usp=sharing"",""สุรินทร์!N79"")+IMPORTRANGE(""https://docs"&amp;".google.com/spreadsheets/d/13JHU_EFbsQOUQ0JSQ3dWy1VTRosIWcDq6Nc99z2qzdc/edit?usp=sharing"",""หนองคาย!N79"")+IMPORTRANGE(""https://docs.google.com/spreadsheets/d/1Hx73zIEgVdDZZaYSTc46Dqv64atFhpr3GelxLbaIN8A/edit?usp=sharing"",""หนองบัวลำภู!N79"")+IMPORTRAN"&amp;"GE(""https://docs.google.com/spreadsheets/d/1lFxr3ctmjFN90yc-xV6jrQ9Ty8BKYVBWnAZ15wcNIJc/edit?usp=sharing"",""อำนาจเจริญ!N79"")+IMPORTRANGE(""https://docs.google.com/spreadsheets/d/1gF7RJpRnL-1oyjyeWxs5SFWEH7y8ahOZsQlyp2A2e-A/edit?usp=sharing"",""อุดรธานี"&amp;"!N79"")+IMPORTRANGE(""https://docs.google.com/spreadsheets/d/1kfLP0j3INXRa8bTDpcEmoWewMBV61jlFlfzczfjWIgc/edit?usp=sharing"",""อุบลราชธานี!N79"")"),0)</f>
        <v>0</v>
      </c>
      <c r="O79" s="56">
        <f t="shared" ca="1" si="54"/>
        <v>0</v>
      </c>
      <c r="P79" s="56">
        <f t="shared" ca="1" si="55"/>
        <v>0</v>
      </c>
      <c r="Q79" s="56">
        <f ca="1">IFERROR(__xludf.DUMMYFUNCTION("IMPORTRANGE(""https://docs.google.com/spreadsheets/d/1yhBcrRPreicbMKl9Bu_Snb2-OcQAF62RKfhTLhJ2eAA/edit?usp=sharing"",""กาฬสินธุ์!Q79"")+IMPORTRANGE(""https://docs.google.com/spreadsheets/d/1aHkj4IaQMThhwWwevcOymEh837vdxeC_PycurhTbGFA/edit?usp=sharing"","""&amp;"ขอนแก่น!Q79"")+IMPORTRANGE(""https://docs.google.com/spreadsheets/d/1FvTu2DsIWUjP6WCWra38Bkj_oOl_sOMf14r5Fg5srxU/edit?usp=sharing"",""ชัยภูมิ!Q79"")+IMPORTRANGE(""https://docs.google.com/spreadsheets/d/1XVB7oCJ3pr-vBUdflwPQ8Z2LlzhnCvZaaYjAfP-647E/edit?usp"&amp;"=sharing"",""นครพนม!Q79"")+IMPORTRANGE(""https://docs.google.com/spreadsheets/d/1Mnpb-8PYAgn85W6KOTD40hc_Xc55CaLfHoGAbrZ8tls/edit?usp=sharing"",""นครราชสีมา!Q79"")+IMPORTRANGE(""https://docs.google.com/spreadsheets/d/1xoDLGBv9CYbyosIhki0kTq6IpYNj-gpjxfobn"&amp;"aDiut0/edit?usp=sharing"",""บึงกาฬ!Q79"")+IMPORTRANGE(""https://docs.google.com/spreadsheets/d/1MMPq-JyI6DSgQETxuSiXkesP-P7JHuemnE6QJIa-Nlw/edit?usp=sharing"",""บุรีรัมย์!Q79"")+IMPORTRANGE(""https://docs.google.com/spreadsheets/d/1l6IZ8xUPgMrESzcTYwhA1k_"&amp;"tPjeQjJPTqlm8Gd9eU5g/edit?usp=sharing"",""มหาสารคาม!Q79"")+IMPORTRANGE(""https://docs.google.com/spreadsheets/d/1uB74YLqNjWX6FObjekfB2NtSYigTQyR2rq9u4Ub2Sq4/edit?usp=sharing"",""มุกดาหาร!Q79"")+IMPORTRANGE(""https://docs.google.com/spreadsheets/d/1NexK3ge"&amp;"CPxCTO1fzNF8dPec7yZyUx3OaWkFBC9HsQOo/edit?usp=sharing"",""ยโสธร!Q79"")+IMPORTRANGE(""https://docs.google.com/spreadsheets/d/1v_cJrbBlyqmnHPReHk44g9NrMRdENNlSy_E_c5M9fIg/edit?usp=sharing"",""ร้อยเอ็ด!Q79"")+IMPORTRANGE(""https://docs.google.com/spreadsheet"&amp;"s/d/1Ul4RCpCX66NxYADU1QpwAPjOmBzW64SsT11s1wzXw_c/edit?usp=sharing"",""เลย!Q79"")+IMPORTRANGE(""https://docs.google.com/spreadsheets/d/1bRrNKwbHDVktQG10isr5vbWRtt5spIZPpkOSWgbT5ug/edit?usp=sharing"",""ศรีสะเกษ!Q79"")+IMPORTRANGE(""https://docs.google.com/s"&amp;"preadsheets/d/17P34_Ow5kFBfdQD0qspb2UuPX5zpi6WMrQzslghyvrI/edit?usp=sharing"",""สกลนคร!Q79"")+IMPORTRANGE(""https://docs.google.com/spreadsheets/d/1yswqbM3-AEpThF3ZSUa1AcmHnmRTF1vlJ1CZGcJ8YuU/edit?usp=sharing"",""สุรินทร์!Q79"")+IMPORTRANGE(""https://docs"&amp;".google.com/spreadsheets/d/13JHU_EFbsQOUQ0JSQ3dWy1VTRosIWcDq6Nc99z2qzdc/edit?usp=sharing"",""หนองคาย!Q79"")+IMPORTRANGE(""https://docs.google.com/spreadsheets/d/1Hx73zIEgVdDZZaYSTc46Dqv64atFhpr3GelxLbaIN8A/edit?usp=sharing"",""หนองบัวลำภู!Q79"")+IMPORTRAN"&amp;"GE(""https://docs.google.com/spreadsheets/d/1lFxr3ctmjFN90yc-xV6jrQ9Ty8BKYVBWnAZ15wcNIJc/edit?usp=sharing"",""อำนาจเจริญ!Q79"")+IMPORTRANGE(""https://docs.google.com/spreadsheets/d/1gF7RJpRnL-1oyjyeWxs5SFWEH7y8ahOZsQlyp2A2e-A/edit?usp=sharing"",""อุดรธานี"&amp;"!Q79"")+IMPORTRANGE(""https://docs.google.com/spreadsheets/d/1kfLP0j3INXRa8bTDpcEmoWewMBV61jlFlfzczfjWIgc/edit?usp=sharing"",""อุบลราชธานี!Q79"")"),0)</f>
        <v>0</v>
      </c>
      <c r="R79" s="56">
        <f ca="1">IFERROR(__xludf.DUMMYFUNCTION("IMPORTRANGE(""https://docs.google.com/spreadsheets/d/1yhBcrRPreicbMKl9Bu_Snb2-OcQAF62RKfhTLhJ2eAA/edit?usp=sharing"",""กาฬสินธุ์!R79"")+IMPORTRANGE(""https://docs.google.com/spreadsheets/d/1aHkj4IaQMThhwWwevcOymEh837vdxeC_PycurhTbGFA/edit?usp=sharing"","""&amp;"ขอนแก่น!R79"")+IMPORTRANGE(""https://docs.google.com/spreadsheets/d/1FvTu2DsIWUjP6WCWra38Bkj_oOl_sOMf14r5Fg5srxU/edit?usp=sharing"",""ชัยภูมิ!R79"")+IMPORTRANGE(""https://docs.google.com/spreadsheets/d/1XVB7oCJ3pr-vBUdflwPQ8Z2LlzhnCvZaaYjAfP-647E/edit?usp"&amp;"=sharing"",""นครพนม!R79"")+IMPORTRANGE(""https://docs.google.com/spreadsheets/d/1Mnpb-8PYAgn85W6KOTD40hc_Xc55CaLfHoGAbrZ8tls/edit?usp=sharing"",""นครราชสีมา!R79"")+IMPORTRANGE(""https://docs.google.com/spreadsheets/d/1xoDLGBv9CYbyosIhki0kTq6IpYNj-gpjxfobn"&amp;"aDiut0/edit?usp=sharing"",""บึงกาฬ!R79"")+IMPORTRANGE(""https://docs.google.com/spreadsheets/d/1MMPq-JyI6DSgQETxuSiXkesP-P7JHuemnE6QJIa-Nlw/edit?usp=sharing"",""บุรีรัมย์!R79"")+IMPORTRANGE(""https://docs.google.com/spreadsheets/d/1l6IZ8xUPgMrESzcTYwhA1k_"&amp;"tPjeQjJPTqlm8Gd9eU5g/edit?usp=sharing"",""มหาสารคาม!R79"")+IMPORTRANGE(""https://docs.google.com/spreadsheets/d/1uB74YLqNjWX6FObjekfB2NtSYigTQyR2rq9u4Ub2Sq4/edit?usp=sharing"",""มุกดาหาร!R79"")+IMPORTRANGE(""https://docs.google.com/spreadsheets/d/1NexK3ge"&amp;"CPxCTO1fzNF8dPec7yZyUx3OaWkFBC9HsQOo/edit?usp=sharing"",""ยโสธร!R79"")+IMPORTRANGE(""https://docs.google.com/spreadsheets/d/1v_cJrbBlyqmnHPReHk44g9NrMRdENNlSy_E_c5M9fIg/edit?usp=sharing"",""ร้อยเอ็ด!R79"")+IMPORTRANGE(""https://docs.google.com/spreadsheet"&amp;"s/d/1Ul4RCpCX66NxYADU1QpwAPjOmBzW64SsT11s1wzXw_c/edit?usp=sharing"",""เลย!R79"")+IMPORTRANGE(""https://docs.google.com/spreadsheets/d/1bRrNKwbHDVktQG10isr5vbWRtt5spIZPpkOSWgbT5ug/edit?usp=sharing"",""ศรีสะเกษ!R79"")+IMPORTRANGE(""https://docs.google.com/s"&amp;"preadsheets/d/17P34_Ow5kFBfdQD0qspb2UuPX5zpi6WMrQzslghyvrI/edit?usp=sharing"",""สกลนคร!R79"")+IMPORTRANGE(""https://docs.google.com/spreadsheets/d/1yswqbM3-AEpThF3ZSUa1AcmHnmRTF1vlJ1CZGcJ8YuU/edit?usp=sharing"",""สุรินทร์!R79"")+IMPORTRANGE(""https://docs"&amp;".google.com/spreadsheets/d/13JHU_EFbsQOUQ0JSQ3dWy1VTRosIWcDq6Nc99z2qzdc/edit?usp=sharing"",""หนองคาย!R79"")+IMPORTRANGE(""https://docs.google.com/spreadsheets/d/1Hx73zIEgVdDZZaYSTc46Dqv64atFhpr3GelxLbaIN8A/edit?usp=sharing"",""หนองบัวลำภู!R79"")+IMPORTRAN"&amp;"GE(""https://docs.google.com/spreadsheets/d/1lFxr3ctmjFN90yc-xV6jrQ9Ty8BKYVBWnAZ15wcNIJc/edit?usp=sharing"",""อำนาจเจริญ!R79"")+IMPORTRANGE(""https://docs.google.com/spreadsheets/d/1gF7RJpRnL-1oyjyeWxs5SFWEH7y8ahOZsQlyp2A2e-A/edit?usp=sharing"",""อุดรธานี"&amp;"!R79"")+IMPORTRANGE(""https://docs.google.com/spreadsheets/d/1kfLP0j3INXRa8bTDpcEmoWewMBV61jlFlfzczfjWIgc/edit?usp=sharing"",""อุบลราชธานี!R79"")"),0)</f>
        <v>0</v>
      </c>
      <c r="S79" s="57">
        <f ca="1">IFERROR(__xludf.DUMMYFUNCTION("IMPORTRANGE(""https://docs.google.com/spreadsheets/d/1yhBcrRPreicbMKl9Bu_Snb2-OcQAF62RKfhTLhJ2eAA/edit?usp=sharing"",""กาฬสินธุ์!S79"")+IMPORTRANGE(""https://docs.google.com/spreadsheets/d/1aHkj4IaQMThhwWwevcOymEh837vdxeC_PycurhTbGFA/edit?usp=sharing"","""&amp;"ขอนแก่น!S79"")+IMPORTRANGE(""https://docs.google.com/spreadsheets/d/1FvTu2DsIWUjP6WCWra38Bkj_oOl_sOMf14r5Fg5srxU/edit?usp=sharing"",""ชัยภูมิ!S79"")+IMPORTRANGE(""https://docs.google.com/spreadsheets/d/1XVB7oCJ3pr-vBUdflwPQ8Z2LlzhnCvZaaYjAfP-647E/edit?usp"&amp;"=sharing"",""นครพนม!S79"")+IMPORTRANGE(""https://docs.google.com/spreadsheets/d/1Mnpb-8PYAgn85W6KOTD40hc_Xc55CaLfHoGAbrZ8tls/edit?usp=sharing"",""นครราชสีมา!S79"")+IMPORTRANGE(""https://docs.google.com/spreadsheets/d/1xoDLGBv9CYbyosIhki0kTq6IpYNj-gpjxfobn"&amp;"aDiut0/edit?usp=sharing"",""บึงกาฬ!S79"")+IMPORTRANGE(""https://docs.google.com/spreadsheets/d/1MMPq-JyI6DSgQETxuSiXkesP-P7JHuemnE6QJIa-Nlw/edit?usp=sharing"",""บุรีรัมย์!S79"")+IMPORTRANGE(""https://docs.google.com/spreadsheets/d/1l6IZ8xUPgMrESzcTYwhA1k_"&amp;"tPjeQjJPTqlm8Gd9eU5g/edit?usp=sharing"",""มหาสารคาม!S79"")+IMPORTRANGE(""https://docs.google.com/spreadsheets/d/1uB74YLqNjWX6FObjekfB2NtSYigTQyR2rq9u4Ub2Sq4/edit?usp=sharing"",""มุกดาหาร!S79"")+IMPORTRANGE(""https://docs.google.com/spreadsheets/d/1NexK3ge"&amp;"CPxCTO1fzNF8dPec7yZyUx3OaWkFBC9HsQOo/edit?usp=sharing"",""ยโสธร!S79"")+IMPORTRANGE(""https://docs.google.com/spreadsheets/d/1v_cJrbBlyqmnHPReHk44g9NrMRdENNlSy_E_c5M9fIg/edit?usp=sharing"",""ร้อยเอ็ด!S79"")+IMPORTRANGE(""https://docs.google.com/spreadsheet"&amp;"s/d/1Ul4RCpCX66NxYADU1QpwAPjOmBzW64SsT11s1wzXw_c/edit?usp=sharing"",""เลย!S79"")+IMPORTRANGE(""https://docs.google.com/spreadsheets/d/1bRrNKwbHDVktQG10isr5vbWRtt5spIZPpkOSWgbT5ug/edit?usp=sharing"",""ศรีสะเกษ!S79"")+IMPORTRANGE(""https://docs.google.com/s"&amp;"preadsheets/d/17P34_Ow5kFBfdQD0qspb2UuPX5zpi6WMrQzslghyvrI/edit?usp=sharing"",""สกลนคร!S79"")+IMPORTRANGE(""https://docs.google.com/spreadsheets/d/1yswqbM3-AEpThF3ZSUa1AcmHnmRTF1vlJ1CZGcJ8YuU/edit?usp=sharing"",""สุรินทร์!S79"")+IMPORTRANGE(""https://docs"&amp;".google.com/spreadsheets/d/13JHU_EFbsQOUQ0JSQ3dWy1VTRosIWcDq6Nc99z2qzdc/edit?usp=sharing"",""หนองคาย!S79"")+IMPORTRANGE(""https://docs.google.com/spreadsheets/d/1Hx73zIEgVdDZZaYSTc46Dqv64atFhpr3GelxLbaIN8A/edit?usp=sharing"",""หนองบัวลำภู!S79"")+IMPORTRAN"&amp;"GE(""https://docs.google.com/spreadsheets/d/1lFxr3ctmjFN90yc-xV6jrQ9Ty8BKYVBWnAZ15wcNIJc/edit?usp=sharing"",""อำนาจเจริญ!S79"")+IMPORTRANGE(""https://docs.google.com/spreadsheets/d/1gF7RJpRnL-1oyjyeWxs5SFWEH7y8ahOZsQlyp2A2e-A/edit?usp=sharing"",""อุดรธานี"&amp;"!S79"")+IMPORTRANGE(""https://docs.google.com/spreadsheets/d/1kfLP0j3INXRa8bTDpcEmoWewMBV61jlFlfzczfjWIgc/edit?usp=sharing"",""อุบลราชธานี!S79"")"),0)</f>
        <v>0</v>
      </c>
      <c r="T79" s="59">
        <f t="shared" ca="1" si="57"/>
        <v>0</v>
      </c>
      <c r="U79" s="59">
        <f t="shared" ca="1" si="58"/>
        <v>0</v>
      </c>
    </row>
    <row r="80" spans="1:21" ht="18.75">
      <c r="A80" s="155"/>
      <c r="B80" s="50"/>
      <c r="C80" s="50"/>
      <c r="D80" s="50"/>
      <c r="E80" s="58" t="s">
        <v>21</v>
      </c>
      <c r="F80" s="50"/>
      <c r="G80" s="52"/>
      <c r="H80" s="165" t="s">
        <v>14</v>
      </c>
      <c r="I80" s="163"/>
      <c r="J80" s="163"/>
      <c r="K80" s="164"/>
      <c r="L80" s="56">
        <f ca="1">IFERROR(__xludf.DUMMYFUNCTION("IMPORTRANGE(""https://docs.google.com/spreadsheets/d/1yhBcrRPreicbMKl9Bu_Snb2-OcQAF62RKfhTLhJ2eAA/edit?usp=sharing"",""กาฬสินธุ์!L80"")+IMPORTRANGE(""https://docs.google.com/spreadsheets/d/1aHkj4IaQMThhwWwevcOymEh837vdxeC_PycurhTbGFA/edit?usp=sharing"","""&amp;"ขอนแก่น!L80"")+IMPORTRANGE(""https://docs.google.com/spreadsheets/d/1FvTu2DsIWUjP6WCWra38Bkj_oOl_sOMf14r5Fg5srxU/edit?usp=sharing"",""ชัยภูมิ!L80"")+IMPORTRANGE(""https://docs.google.com/spreadsheets/d/1XVB7oCJ3pr-vBUdflwPQ8Z2LlzhnCvZaaYjAfP-647E/edit?usp"&amp;"=sharing"",""นครพนม!L80"")+IMPORTRANGE(""https://docs.google.com/spreadsheets/d/1Mnpb-8PYAgn85W6KOTD40hc_Xc55CaLfHoGAbrZ8tls/edit?usp=sharing"",""นครราชสีมา!L80"")+IMPORTRANGE(""https://docs.google.com/spreadsheets/d/1xoDLGBv9CYbyosIhki0kTq6IpYNj-gpjxfobn"&amp;"aDiut0/edit?usp=sharing"",""บึงกาฬ!L80"")+IMPORTRANGE(""https://docs.google.com/spreadsheets/d/1MMPq-JyI6DSgQETxuSiXkesP-P7JHuemnE6QJIa-Nlw/edit?usp=sharing"",""บุรีรัมย์!L80"")+IMPORTRANGE(""https://docs.google.com/spreadsheets/d/1l6IZ8xUPgMrESzcTYwhA1k_"&amp;"tPjeQjJPTqlm8Gd9eU5g/edit?usp=sharing"",""มหาสารคาม!L80"")+IMPORTRANGE(""https://docs.google.com/spreadsheets/d/1uB74YLqNjWX6FObjekfB2NtSYigTQyR2rq9u4Ub2Sq4/edit?usp=sharing"",""มุกดาหาร!L80"")+IMPORTRANGE(""https://docs.google.com/spreadsheets/d/1NexK3ge"&amp;"CPxCTO1fzNF8dPec7yZyUx3OaWkFBC9HsQOo/edit?usp=sharing"",""ยโสธร!L80"")+IMPORTRANGE(""https://docs.google.com/spreadsheets/d/1v_cJrbBlyqmnHPReHk44g9NrMRdENNlSy_E_c5M9fIg/edit?usp=sharing"",""ร้อยเอ็ด!L80"")+IMPORTRANGE(""https://docs.google.com/spreadsheet"&amp;"s/d/1Ul4RCpCX66NxYADU1QpwAPjOmBzW64SsT11s1wzXw_c/edit?usp=sharing"",""เลย!L80"")+IMPORTRANGE(""https://docs.google.com/spreadsheets/d/1bRrNKwbHDVktQG10isr5vbWRtt5spIZPpkOSWgbT5ug/edit?usp=sharing"",""ศรีสะเกษ!L80"")+IMPORTRANGE(""https://docs.google.com/s"&amp;"preadsheets/d/17P34_Ow5kFBfdQD0qspb2UuPX5zpi6WMrQzslghyvrI/edit?usp=sharing"",""สกลนคร!L80"")+IMPORTRANGE(""https://docs.google.com/spreadsheets/d/1yswqbM3-AEpThF3ZSUa1AcmHnmRTF1vlJ1CZGcJ8YuU/edit?usp=sharing"",""สุรินทร์!L80"")+IMPORTRANGE(""https://docs"&amp;".google.com/spreadsheets/d/13JHU_EFbsQOUQ0JSQ3dWy1VTRosIWcDq6Nc99z2qzdc/edit?usp=sharing"",""หนองคาย!L80"")+IMPORTRANGE(""https://docs.google.com/spreadsheets/d/1Hx73zIEgVdDZZaYSTc46Dqv64atFhpr3GelxLbaIN8A/edit?usp=sharing"",""หนองบัวลำภู!L80"")+IMPORTRAN"&amp;"GE(""https://docs.google.com/spreadsheets/d/1lFxr3ctmjFN90yc-xV6jrQ9Ty8BKYVBWnAZ15wcNIJc/edit?usp=sharing"",""อำนาจเจริญ!L80"")+IMPORTRANGE(""https://docs.google.com/spreadsheets/d/1gF7RJpRnL-1oyjyeWxs5SFWEH7y8ahOZsQlyp2A2e-A/edit?usp=sharing"",""อุดรธานี"&amp;"!L80"")+IMPORTRANGE(""https://docs.google.com/spreadsheets/d/1kfLP0j3INXRa8bTDpcEmoWewMBV61jlFlfzczfjWIgc/edit?usp=sharing"",""อุบลราชธานี!L80"")"),0)</f>
        <v>0</v>
      </c>
      <c r="M80" s="56">
        <f ca="1">IFERROR(__xludf.DUMMYFUNCTION("IMPORTRANGE(""https://docs.google.com/spreadsheets/d/1yhBcrRPreicbMKl9Bu_Snb2-OcQAF62RKfhTLhJ2eAA/edit?usp=sharing"",""กาฬสินธุ์!M80"")+IMPORTRANGE(""https://docs.google.com/spreadsheets/d/1aHkj4IaQMThhwWwevcOymEh837vdxeC_PycurhTbGFA/edit?usp=sharing"","""&amp;"ขอนแก่น!M80"")+IMPORTRANGE(""https://docs.google.com/spreadsheets/d/1FvTu2DsIWUjP6WCWra38Bkj_oOl_sOMf14r5Fg5srxU/edit?usp=sharing"",""ชัยภูมิ!M80"")+IMPORTRANGE(""https://docs.google.com/spreadsheets/d/1XVB7oCJ3pr-vBUdflwPQ8Z2LlzhnCvZaaYjAfP-647E/edit?usp"&amp;"=sharing"",""นครพนม!M80"")+IMPORTRANGE(""https://docs.google.com/spreadsheets/d/1Mnpb-8PYAgn85W6KOTD40hc_Xc55CaLfHoGAbrZ8tls/edit?usp=sharing"",""นครราชสีมา!M80"")+IMPORTRANGE(""https://docs.google.com/spreadsheets/d/1xoDLGBv9CYbyosIhki0kTq6IpYNj-gpjxfobn"&amp;"aDiut0/edit?usp=sharing"",""บึงกาฬ!M80"")+IMPORTRANGE(""https://docs.google.com/spreadsheets/d/1MMPq-JyI6DSgQETxuSiXkesP-P7JHuemnE6QJIa-Nlw/edit?usp=sharing"",""บุรีรัมย์!M80"")+IMPORTRANGE(""https://docs.google.com/spreadsheets/d/1l6IZ8xUPgMrESzcTYwhA1k_"&amp;"tPjeQjJPTqlm8Gd9eU5g/edit?usp=sharing"",""มหาสารคาม!M80"")+IMPORTRANGE(""https://docs.google.com/spreadsheets/d/1uB74YLqNjWX6FObjekfB2NtSYigTQyR2rq9u4Ub2Sq4/edit?usp=sharing"",""มุกดาหาร!M80"")+IMPORTRANGE(""https://docs.google.com/spreadsheets/d/1NexK3ge"&amp;"CPxCTO1fzNF8dPec7yZyUx3OaWkFBC9HsQOo/edit?usp=sharing"",""ยโสธร!M80"")+IMPORTRANGE(""https://docs.google.com/spreadsheets/d/1v_cJrbBlyqmnHPReHk44g9NrMRdENNlSy_E_c5M9fIg/edit?usp=sharing"",""ร้อยเอ็ด!M80"")+IMPORTRANGE(""https://docs.google.com/spreadsheet"&amp;"s/d/1Ul4RCpCX66NxYADU1QpwAPjOmBzW64SsT11s1wzXw_c/edit?usp=sharing"",""เลย!M80"")+IMPORTRANGE(""https://docs.google.com/spreadsheets/d/1bRrNKwbHDVktQG10isr5vbWRtt5spIZPpkOSWgbT5ug/edit?usp=sharing"",""ศรีสะเกษ!M80"")+IMPORTRANGE(""https://docs.google.com/s"&amp;"preadsheets/d/17P34_Ow5kFBfdQD0qspb2UuPX5zpi6WMrQzslghyvrI/edit?usp=sharing"",""สกลนคร!M80"")+IMPORTRANGE(""https://docs.google.com/spreadsheets/d/1yswqbM3-AEpThF3ZSUa1AcmHnmRTF1vlJ1CZGcJ8YuU/edit?usp=sharing"",""สุรินทร์!M80"")+IMPORTRANGE(""https://docs"&amp;".google.com/spreadsheets/d/13JHU_EFbsQOUQ0JSQ3dWy1VTRosIWcDq6Nc99z2qzdc/edit?usp=sharing"",""หนองคาย!M80"")+IMPORTRANGE(""https://docs.google.com/spreadsheets/d/1Hx73zIEgVdDZZaYSTc46Dqv64atFhpr3GelxLbaIN8A/edit?usp=sharing"",""หนองบัวลำภู!M80"")+IMPORTRAN"&amp;"GE(""https://docs.google.com/spreadsheets/d/1lFxr3ctmjFN90yc-xV6jrQ9Ty8BKYVBWnAZ15wcNIJc/edit?usp=sharing"",""อำนาจเจริญ!M80"")+IMPORTRANGE(""https://docs.google.com/spreadsheets/d/1gF7RJpRnL-1oyjyeWxs5SFWEH7y8ahOZsQlyp2A2e-A/edit?usp=sharing"",""อุดรธานี"&amp;"!M80"")+IMPORTRANGE(""https://docs.google.com/spreadsheets/d/1kfLP0j3INXRa8bTDpcEmoWewMBV61jlFlfzczfjWIgc/edit?usp=sharing"",""อุบลราชธานี!M80"")"),0)</f>
        <v>0</v>
      </c>
      <c r="N80" s="56">
        <f ca="1">IFERROR(__xludf.DUMMYFUNCTION("IMPORTRANGE(""https://docs.google.com/spreadsheets/d/1yhBcrRPreicbMKl9Bu_Snb2-OcQAF62RKfhTLhJ2eAA/edit?usp=sharing"",""กาฬสินธุ์!N80"")+IMPORTRANGE(""https://docs.google.com/spreadsheets/d/1aHkj4IaQMThhwWwevcOymEh837vdxeC_PycurhTbGFA/edit?usp=sharing"","""&amp;"ขอนแก่น!N80"")+IMPORTRANGE(""https://docs.google.com/spreadsheets/d/1FvTu2DsIWUjP6WCWra38Bkj_oOl_sOMf14r5Fg5srxU/edit?usp=sharing"",""ชัยภูมิ!N80"")+IMPORTRANGE(""https://docs.google.com/spreadsheets/d/1XVB7oCJ3pr-vBUdflwPQ8Z2LlzhnCvZaaYjAfP-647E/edit?usp"&amp;"=sharing"",""นครพนม!N80"")+IMPORTRANGE(""https://docs.google.com/spreadsheets/d/1Mnpb-8PYAgn85W6KOTD40hc_Xc55CaLfHoGAbrZ8tls/edit?usp=sharing"",""นครราชสีมา!N80"")+IMPORTRANGE(""https://docs.google.com/spreadsheets/d/1xoDLGBv9CYbyosIhki0kTq6IpYNj-gpjxfobn"&amp;"aDiut0/edit?usp=sharing"",""บึงกาฬ!N80"")+IMPORTRANGE(""https://docs.google.com/spreadsheets/d/1MMPq-JyI6DSgQETxuSiXkesP-P7JHuemnE6QJIa-Nlw/edit?usp=sharing"",""บุรีรัมย์!N80"")+IMPORTRANGE(""https://docs.google.com/spreadsheets/d/1l6IZ8xUPgMrESzcTYwhA1k_"&amp;"tPjeQjJPTqlm8Gd9eU5g/edit?usp=sharing"",""มหาสารคาม!N80"")+IMPORTRANGE(""https://docs.google.com/spreadsheets/d/1uB74YLqNjWX6FObjekfB2NtSYigTQyR2rq9u4Ub2Sq4/edit?usp=sharing"",""มุกดาหาร!N80"")+IMPORTRANGE(""https://docs.google.com/spreadsheets/d/1NexK3ge"&amp;"CPxCTO1fzNF8dPec7yZyUx3OaWkFBC9HsQOo/edit?usp=sharing"",""ยโสธร!N80"")+IMPORTRANGE(""https://docs.google.com/spreadsheets/d/1v_cJrbBlyqmnHPReHk44g9NrMRdENNlSy_E_c5M9fIg/edit?usp=sharing"",""ร้อยเอ็ด!N80"")+IMPORTRANGE(""https://docs.google.com/spreadsheet"&amp;"s/d/1Ul4RCpCX66NxYADU1QpwAPjOmBzW64SsT11s1wzXw_c/edit?usp=sharing"",""เลย!N80"")+IMPORTRANGE(""https://docs.google.com/spreadsheets/d/1bRrNKwbHDVktQG10isr5vbWRtt5spIZPpkOSWgbT5ug/edit?usp=sharing"",""ศรีสะเกษ!N80"")+IMPORTRANGE(""https://docs.google.com/s"&amp;"preadsheets/d/17P34_Ow5kFBfdQD0qspb2UuPX5zpi6WMrQzslghyvrI/edit?usp=sharing"",""สกลนคร!N80"")+IMPORTRANGE(""https://docs.google.com/spreadsheets/d/1yswqbM3-AEpThF3ZSUa1AcmHnmRTF1vlJ1CZGcJ8YuU/edit?usp=sharing"",""สุรินทร์!N80"")+IMPORTRANGE(""https://docs"&amp;".google.com/spreadsheets/d/13JHU_EFbsQOUQ0JSQ3dWy1VTRosIWcDq6Nc99z2qzdc/edit?usp=sharing"",""หนองคาย!N80"")+IMPORTRANGE(""https://docs.google.com/spreadsheets/d/1Hx73zIEgVdDZZaYSTc46Dqv64atFhpr3GelxLbaIN8A/edit?usp=sharing"",""หนองบัวลำภู!N80"")+IMPORTRAN"&amp;"GE(""https://docs.google.com/spreadsheets/d/1lFxr3ctmjFN90yc-xV6jrQ9Ty8BKYVBWnAZ15wcNIJc/edit?usp=sharing"",""อำนาจเจริญ!N80"")+IMPORTRANGE(""https://docs.google.com/spreadsheets/d/1gF7RJpRnL-1oyjyeWxs5SFWEH7y8ahOZsQlyp2A2e-A/edit?usp=sharing"",""อุดรธานี"&amp;"!N80"")+IMPORTRANGE(""https://docs.google.com/spreadsheets/d/1kfLP0j3INXRa8bTDpcEmoWewMBV61jlFlfzczfjWIgc/edit?usp=sharing"",""อุบลราชธานี!N80"")"),0)</f>
        <v>0</v>
      </c>
      <c r="O80" s="56">
        <f t="shared" ca="1" si="54"/>
        <v>0</v>
      </c>
      <c r="P80" s="56">
        <f t="shared" ca="1" si="55"/>
        <v>0</v>
      </c>
      <c r="Q80" s="56">
        <f ca="1">IFERROR(__xludf.DUMMYFUNCTION("IMPORTRANGE(""https://docs.google.com/spreadsheets/d/1yhBcrRPreicbMKl9Bu_Snb2-OcQAF62RKfhTLhJ2eAA/edit?usp=sharing"",""กาฬสินธุ์!Q80"")+IMPORTRANGE(""https://docs.google.com/spreadsheets/d/1aHkj4IaQMThhwWwevcOymEh837vdxeC_PycurhTbGFA/edit?usp=sharing"","""&amp;"ขอนแก่น!Q80"")+IMPORTRANGE(""https://docs.google.com/spreadsheets/d/1FvTu2DsIWUjP6WCWra38Bkj_oOl_sOMf14r5Fg5srxU/edit?usp=sharing"",""ชัยภูมิ!Q80"")+IMPORTRANGE(""https://docs.google.com/spreadsheets/d/1XVB7oCJ3pr-vBUdflwPQ8Z2LlzhnCvZaaYjAfP-647E/edit?usp"&amp;"=sharing"",""นครพนม!Q80"")+IMPORTRANGE(""https://docs.google.com/spreadsheets/d/1Mnpb-8PYAgn85W6KOTD40hc_Xc55CaLfHoGAbrZ8tls/edit?usp=sharing"",""นครราชสีมา!Q80"")+IMPORTRANGE(""https://docs.google.com/spreadsheets/d/1xoDLGBv9CYbyosIhki0kTq6IpYNj-gpjxfobn"&amp;"aDiut0/edit?usp=sharing"",""บึงกาฬ!Q80"")+IMPORTRANGE(""https://docs.google.com/spreadsheets/d/1MMPq-JyI6DSgQETxuSiXkesP-P7JHuemnE6QJIa-Nlw/edit?usp=sharing"",""บุรีรัมย์!Q80"")+IMPORTRANGE(""https://docs.google.com/spreadsheets/d/1l6IZ8xUPgMrESzcTYwhA1k_"&amp;"tPjeQjJPTqlm8Gd9eU5g/edit?usp=sharing"",""มหาสารคาม!Q80"")+IMPORTRANGE(""https://docs.google.com/spreadsheets/d/1uB74YLqNjWX6FObjekfB2NtSYigTQyR2rq9u4Ub2Sq4/edit?usp=sharing"",""มุกดาหาร!Q80"")+IMPORTRANGE(""https://docs.google.com/spreadsheets/d/1NexK3ge"&amp;"CPxCTO1fzNF8dPec7yZyUx3OaWkFBC9HsQOo/edit?usp=sharing"",""ยโสธร!Q80"")+IMPORTRANGE(""https://docs.google.com/spreadsheets/d/1v_cJrbBlyqmnHPReHk44g9NrMRdENNlSy_E_c5M9fIg/edit?usp=sharing"",""ร้อยเอ็ด!Q80"")+IMPORTRANGE(""https://docs.google.com/spreadsheet"&amp;"s/d/1Ul4RCpCX66NxYADU1QpwAPjOmBzW64SsT11s1wzXw_c/edit?usp=sharing"",""เลย!Q80"")+IMPORTRANGE(""https://docs.google.com/spreadsheets/d/1bRrNKwbHDVktQG10isr5vbWRtt5spIZPpkOSWgbT5ug/edit?usp=sharing"",""ศรีสะเกษ!Q80"")+IMPORTRANGE(""https://docs.google.com/s"&amp;"preadsheets/d/17P34_Ow5kFBfdQD0qspb2UuPX5zpi6WMrQzslghyvrI/edit?usp=sharing"",""สกลนคร!Q80"")+IMPORTRANGE(""https://docs.google.com/spreadsheets/d/1yswqbM3-AEpThF3ZSUa1AcmHnmRTF1vlJ1CZGcJ8YuU/edit?usp=sharing"",""สุรินทร์!Q80"")+IMPORTRANGE(""https://docs"&amp;".google.com/spreadsheets/d/13JHU_EFbsQOUQ0JSQ3dWy1VTRosIWcDq6Nc99z2qzdc/edit?usp=sharing"",""หนองคาย!Q80"")+IMPORTRANGE(""https://docs.google.com/spreadsheets/d/1Hx73zIEgVdDZZaYSTc46Dqv64atFhpr3GelxLbaIN8A/edit?usp=sharing"",""หนองบัวลำภู!Q80"")+IMPORTRAN"&amp;"GE(""https://docs.google.com/spreadsheets/d/1lFxr3ctmjFN90yc-xV6jrQ9Ty8BKYVBWnAZ15wcNIJc/edit?usp=sharing"",""อำนาจเจริญ!Q80"")+IMPORTRANGE(""https://docs.google.com/spreadsheets/d/1gF7RJpRnL-1oyjyeWxs5SFWEH7y8ahOZsQlyp2A2e-A/edit?usp=sharing"",""อุดรธานี"&amp;"!Q80"")+IMPORTRANGE(""https://docs.google.com/spreadsheets/d/1kfLP0j3INXRa8bTDpcEmoWewMBV61jlFlfzczfjWIgc/edit?usp=sharing"",""อุบลราชธานี!Q80"")"),0)</f>
        <v>0</v>
      </c>
      <c r="R80" s="56">
        <f ca="1">IFERROR(__xludf.DUMMYFUNCTION("IMPORTRANGE(""https://docs.google.com/spreadsheets/d/1yhBcrRPreicbMKl9Bu_Snb2-OcQAF62RKfhTLhJ2eAA/edit?usp=sharing"",""กาฬสินธุ์!R80"")+IMPORTRANGE(""https://docs.google.com/spreadsheets/d/1aHkj4IaQMThhwWwevcOymEh837vdxeC_PycurhTbGFA/edit?usp=sharing"","""&amp;"ขอนแก่น!R80"")+IMPORTRANGE(""https://docs.google.com/spreadsheets/d/1FvTu2DsIWUjP6WCWra38Bkj_oOl_sOMf14r5Fg5srxU/edit?usp=sharing"",""ชัยภูมิ!R80"")+IMPORTRANGE(""https://docs.google.com/spreadsheets/d/1XVB7oCJ3pr-vBUdflwPQ8Z2LlzhnCvZaaYjAfP-647E/edit?usp"&amp;"=sharing"",""นครพนม!R80"")+IMPORTRANGE(""https://docs.google.com/spreadsheets/d/1Mnpb-8PYAgn85W6KOTD40hc_Xc55CaLfHoGAbrZ8tls/edit?usp=sharing"",""นครราชสีมา!R80"")+IMPORTRANGE(""https://docs.google.com/spreadsheets/d/1xoDLGBv9CYbyosIhki0kTq6IpYNj-gpjxfobn"&amp;"aDiut0/edit?usp=sharing"",""บึงกาฬ!R80"")+IMPORTRANGE(""https://docs.google.com/spreadsheets/d/1MMPq-JyI6DSgQETxuSiXkesP-P7JHuemnE6QJIa-Nlw/edit?usp=sharing"",""บุรีรัมย์!R80"")+IMPORTRANGE(""https://docs.google.com/spreadsheets/d/1l6IZ8xUPgMrESzcTYwhA1k_"&amp;"tPjeQjJPTqlm8Gd9eU5g/edit?usp=sharing"",""มหาสารคาม!R80"")+IMPORTRANGE(""https://docs.google.com/spreadsheets/d/1uB74YLqNjWX6FObjekfB2NtSYigTQyR2rq9u4Ub2Sq4/edit?usp=sharing"",""มุกดาหาร!R80"")+IMPORTRANGE(""https://docs.google.com/spreadsheets/d/1NexK3ge"&amp;"CPxCTO1fzNF8dPec7yZyUx3OaWkFBC9HsQOo/edit?usp=sharing"",""ยโสธร!R80"")+IMPORTRANGE(""https://docs.google.com/spreadsheets/d/1v_cJrbBlyqmnHPReHk44g9NrMRdENNlSy_E_c5M9fIg/edit?usp=sharing"",""ร้อยเอ็ด!R80"")+IMPORTRANGE(""https://docs.google.com/spreadsheet"&amp;"s/d/1Ul4RCpCX66NxYADU1QpwAPjOmBzW64SsT11s1wzXw_c/edit?usp=sharing"",""เลย!R80"")+IMPORTRANGE(""https://docs.google.com/spreadsheets/d/1bRrNKwbHDVktQG10isr5vbWRtt5spIZPpkOSWgbT5ug/edit?usp=sharing"",""ศรีสะเกษ!R80"")+IMPORTRANGE(""https://docs.google.com/s"&amp;"preadsheets/d/17P34_Ow5kFBfdQD0qspb2UuPX5zpi6WMrQzslghyvrI/edit?usp=sharing"",""สกลนคร!R80"")+IMPORTRANGE(""https://docs.google.com/spreadsheets/d/1yswqbM3-AEpThF3ZSUa1AcmHnmRTF1vlJ1CZGcJ8YuU/edit?usp=sharing"",""สุรินทร์!R80"")+IMPORTRANGE(""https://docs"&amp;".google.com/spreadsheets/d/13JHU_EFbsQOUQ0JSQ3dWy1VTRosIWcDq6Nc99z2qzdc/edit?usp=sharing"",""หนองคาย!R80"")+IMPORTRANGE(""https://docs.google.com/spreadsheets/d/1Hx73zIEgVdDZZaYSTc46Dqv64atFhpr3GelxLbaIN8A/edit?usp=sharing"",""หนองบัวลำภู!R80"")+IMPORTRAN"&amp;"GE(""https://docs.google.com/spreadsheets/d/1lFxr3ctmjFN90yc-xV6jrQ9Ty8BKYVBWnAZ15wcNIJc/edit?usp=sharing"",""อำนาจเจริญ!R80"")+IMPORTRANGE(""https://docs.google.com/spreadsheets/d/1gF7RJpRnL-1oyjyeWxs5SFWEH7y8ahOZsQlyp2A2e-A/edit?usp=sharing"",""อุดรธานี"&amp;"!R80"")+IMPORTRANGE(""https://docs.google.com/spreadsheets/d/1kfLP0j3INXRa8bTDpcEmoWewMBV61jlFlfzczfjWIgc/edit?usp=sharing"",""อุบลราชธานี!R80"")"),0)</f>
        <v>0</v>
      </c>
      <c r="S80" s="57">
        <f ca="1">IFERROR(__xludf.DUMMYFUNCTION("IMPORTRANGE(""https://docs.google.com/spreadsheets/d/1yhBcrRPreicbMKl9Bu_Snb2-OcQAF62RKfhTLhJ2eAA/edit?usp=sharing"",""กาฬสินธุ์!S80"")+IMPORTRANGE(""https://docs.google.com/spreadsheets/d/1aHkj4IaQMThhwWwevcOymEh837vdxeC_PycurhTbGFA/edit?usp=sharing"","""&amp;"ขอนแก่น!S80"")+IMPORTRANGE(""https://docs.google.com/spreadsheets/d/1FvTu2DsIWUjP6WCWra38Bkj_oOl_sOMf14r5Fg5srxU/edit?usp=sharing"",""ชัยภูมิ!S80"")+IMPORTRANGE(""https://docs.google.com/spreadsheets/d/1XVB7oCJ3pr-vBUdflwPQ8Z2LlzhnCvZaaYjAfP-647E/edit?usp"&amp;"=sharing"",""นครพนม!S80"")+IMPORTRANGE(""https://docs.google.com/spreadsheets/d/1Mnpb-8PYAgn85W6KOTD40hc_Xc55CaLfHoGAbrZ8tls/edit?usp=sharing"",""นครราชสีมา!S80"")+IMPORTRANGE(""https://docs.google.com/spreadsheets/d/1xoDLGBv9CYbyosIhki0kTq6IpYNj-gpjxfobn"&amp;"aDiut0/edit?usp=sharing"",""บึงกาฬ!S80"")+IMPORTRANGE(""https://docs.google.com/spreadsheets/d/1MMPq-JyI6DSgQETxuSiXkesP-P7JHuemnE6QJIa-Nlw/edit?usp=sharing"",""บุรีรัมย์!S80"")+IMPORTRANGE(""https://docs.google.com/spreadsheets/d/1l6IZ8xUPgMrESzcTYwhA1k_"&amp;"tPjeQjJPTqlm8Gd9eU5g/edit?usp=sharing"",""มหาสารคาม!S80"")+IMPORTRANGE(""https://docs.google.com/spreadsheets/d/1uB74YLqNjWX6FObjekfB2NtSYigTQyR2rq9u4Ub2Sq4/edit?usp=sharing"",""มุกดาหาร!S80"")+IMPORTRANGE(""https://docs.google.com/spreadsheets/d/1NexK3ge"&amp;"CPxCTO1fzNF8dPec7yZyUx3OaWkFBC9HsQOo/edit?usp=sharing"",""ยโสธร!S80"")+IMPORTRANGE(""https://docs.google.com/spreadsheets/d/1v_cJrbBlyqmnHPReHk44g9NrMRdENNlSy_E_c5M9fIg/edit?usp=sharing"",""ร้อยเอ็ด!S80"")+IMPORTRANGE(""https://docs.google.com/spreadsheet"&amp;"s/d/1Ul4RCpCX66NxYADU1QpwAPjOmBzW64SsT11s1wzXw_c/edit?usp=sharing"",""เลย!S80"")+IMPORTRANGE(""https://docs.google.com/spreadsheets/d/1bRrNKwbHDVktQG10isr5vbWRtt5spIZPpkOSWgbT5ug/edit?usp=sharing"",""ศรีสะเกษ!S80"")+IMPORTRANGE(""https://docs.google.com/s"&amp;"preadsheets/d/17P34_Ow5kFBfdQD0qspb2UuPX5zpi6WMrQzslghyvrI/edit?usp=sharing"",""สกลนคร!S80"")+IMPORTRANGE(""https://docs.google.com/spreadsheets/d/1yswqbM3-AEpThF3ZSUa1AcmHnmRTF1vlJ1CZGcJ8YuU/edit?usp=sharing"",""สุรินทร์!S80"")+IMPORTRANGE(""https://docs"&amp;".google.com/spreadsheets/d/13JHU_EFbsQOUQ0JSQ3dWy1VTRosIWcDq6Nc99z2qzdc/edit?usp=sharing"",""หนองคาย!S80"")+IMPORTRANGE(""https://docs.google.com/spreadsheets/d/1Hx73zIEgVdDZZaYSTc46Dqv64atFhpr3GelxLbaIN8A/edit?usp=sharing"",""หนองบัวลำภู!S80"")+IMPORTRAN"&amp;"GE(""https://docs.google.com/spreadsheets/d/1lFxr3ctmjFN90yc-xV6jrQ9Ty8BKYVBWnAZ15wcNIJc/edit?usp=sharing"",""อำนาจเจริญ!S80"")+IMPORTRANGE(""https://docs.google.com/spreadsheets/d/1gF7RJpRnL-1oyjyeWxs5SFWEH7y8ahOZsQlyp2A2e-A/edit?usp=sharing"",""อุดรธานี"&amp;"!S80"")+IMPORTRANGE(""https://docs.google.com/spreadsheets/d/1kfLP0j3INXRa8bTDpcEmoWewMBV61jlFlfzczfjWIgc/edit?usp=sharing"",""อุบลราชธานี!S80"")"),0)</f>
        <v>0</v>
      </c>
      <c r="T80" s="56">
        <f t="shared" ca="1" si="57"/>
        <v>0</v>
      </c>
      <c r="U80" s="56">
        <f t="shared" ca="1" si="58"/>
        <v>0</v>
      </c>
    </row>
    <row r="81" spans="1:21" ht="19.5">
      <c r="A81" s="166"/>
      <c r="B81" s="167"/>
      <c r="C81" s="156" t="s">
        <v>18</v>
      </c>
      <c r="D81" s="168" t="s">
        <v>38</v>
      </c>
      <c r="E81" s="169"/>
      <c r="F81" s="169"/>
      <c r="G81" s="170"/>
      <c r="H81" s="171"/>
      <c r="I81" s="163"/>
      <c r="J81" s="163"/>
      <c r="K81" s="164"/>
      <c r="L81" s="164"/>
      <c r="M81" s="164"/>
      <c r="N81" s="164"/>
      <c r="O81" s="164"/>
      <c r="P81" s="164"/>
      <c r="Q81" s="164"/>
      <c r="R81" s="164"/>
      <c r="S81" s="172"/>
      <c r="T81" s="164"/>
      <c r="U81" s="164"/>
    </row>
    <row r="82" spans="1:21" ht="19.5">
      <c r="A82" s="166"/>
      <c r="B82" s="167"/>
      <c r="C82" s="167"/>
      <c r="D82" s="173" t="s">
        <v>39</v>
      </c>
      <c r="E82" s="174"/>
      <c r="F82" s="174"/>
      <c r="G82" s="171"/>
      <c r="H82" s="175" t="s">
        <v>34</v>
      </c>
      <c r="I82" s="176">
        <f t="shared" ref="I82:J82" ca="1" si="67">I84+I86+I88</f>
        <v>15</v>
      </c>
      <c r="J82" s="176">
        <f t="shared" ca="1" si="67"/>
        <v>3</v>
      </c>
      <c r="K82" s="177">
        <f t="shared" ref="K82:K90" ca="1" si="68">IF(I82&gt;0,J82*100/I82,0)</f>
        <v>20</v>
      </c>
      <c r="L82" s="164"/>
      <c r="M82" s="164"/>
      <c r="N82" s="164"/>
      <c r="O82" s="164"/>
      <c r="P82" s="164"/>
      <c r="Q82" s="164"/>
      <c r="R82" s="164"/>
      <c r="S82" s="172"/>
      <c r="T82" s="164"/>
      <c r="U82" s="164"/>
    </row>
    <row r="83" spans="1:21" ht="19.5">
      <c r="A83" s="166"/>
      <c r="B83" s="167"/>
      <c r="C83" s="167"/>
      <c r="D83" s="167"/>
      <c r="E83" s="174"/>
      <c r="F83" s="174"/>
      <c r="G83" s="171"/>
      <c r="H83" s="175" t="s">
        <v>35</v>
      </c>
      <c r="I83" s="176">
        <f t="shared" ref="I83:J83" ca="1" si="69">I85+I87+I89</f>
        <v>592</v>
      </c>
      <c r="J83" s="176">
        <f t="shared" ca="1" si="69"/>
        <v>109</v>
      </c>
      <c r="K83" s="177">
        <f t="shared" ca="1" si="68"/>
        <v>18.412162162162161</v>
      </c>
      <c r="L83" s="164"/>
      <c r="M83" s="164"/>
      <c r="N83" s="164"/>
      <c r="O83" s="164"/>
      <c r="P83" s="164"/>
      <c r="Q83" s="164"/>
      <c r="R83" s="164"/>
      <c r="S83" s="172"/>
      <c r="T83" s="164"/>
      <c r="U83" s="164"/>
    </row>
    <row r="84" spans="1:21" ht="18.75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180">
        <f ca="1">IFERROR(__xludf.DUMMYFUNCTION("IMPORTRANGE(""https://docs.google.com/spreadsheets/d/1yhBcrRPreicbMKl9Bu_Snb2-OcQAF62RKfhTLhJ2eAA/edit?usp=sharing"",""กาฬสินธุ์!I84"")+IMPORTRANGE(""https://docs.google.com/spreadsheets/d/1aHkj4IaQMThhwWwevcOymEh837vdxeC_PycurhTbGFA/edit?usp=sharing"","""&amp;"ขอนแก่น!I84"")+IMPORTRANGE(""https://docs.google.com/spreadsheets/d/1FvTu2DsIWUjP6WCWra38Bkj_oOl_sOMf14r5Fg5srxU/edit?usp=sharing"",""ชัยภูมิ!I84"")+IMPORTRANGE(""https://docs.google.com/spreadsheets/d/1XVB7oCJ3pr-vBUdflwPQ8Z2LlzhnCvZaaYjAfP-647E/edit?usp"&amp;"=sharing"",""นครพนม!I84"")+IMPORTRANGE(""https://docs.google.com/spreadsheets/d/1Mnpb-8PYAgn85W6KOTD40hc_Xc55CaLfHoGAbrZ8tls/edit?usp=sharing"",""นครราชสีมา!I84"")+IMPORTRANGE(""https://docs.google.com/spreadsheets/d/1xoDLGBv9CYbyosIhki0kTq6IpYNj-gpjxfobn"&amp;"aDiut0/edit?usp=sharing"",""บึงกาฬ!I84"")+IMPORTRANGE(""https://docs.google.com/spreadsheets/d/1MMPq-JyI6DSgQETxuSiXkesP-P7JHuemnE6QJIa-Nlw/edit?usp=sharing"",""บุรีรัมย์!I84"")+IMPORTRANGE(""https://docs.google.com/spreadsheets/d/1l6IZ8xUPgMrESzcTYwhA1k_"&amp;"tPjeQjJPTqlm8Gd9eU5g/edit?usp=sharing"",""มหาสารคาม!I84"")+IMPORTRANGE(""https://docs.google.com/spreadsheets/d/1uB74YLqNjWX6FObjekfB2NtSYigTQyR2rq9u4Ub2Sq4/edit?usp=sharing"",""มุกดาหาร!I84"")+IMPORTRANGE(""https://docs.google.com/spreadsheets/d/1NexK3ge"&amp;"CPxCTO1fzNF8dPec7yZyUx3OaWkFBC9HsQOo/edit?usp=sharing"",""ยโสธร!I84"")+IMPORTRANGE(""https://docs.google.com/spreadsheets/d/1v_cJrbBlyqmnHPReHk44g9NrMRdENNlSy_E_c5M9fIg/edit?usp=sharing"",""ร้อยเอ็ด!I84"")+IMPORTRANGE(""https://docs.google.com/spreadsheet"&amp;"s/d/1Ul4RCpCX66NxYADU1QpwAPjOmBzW64SsT11s1wzXw_c/edit?usp=sharing"",""เลย!I84"")+IMPORTRANGE(""https://docs.google.com/spreadsheets/d/1bRrNKwbHDVktQG10isr5vbWRtt5spIZPpkOSWgbT5ug/edit?usp=sharing"",""ศรีสะเกษ!I84"")+IMPORTRANGE(""https://docs.google.com/s"&amp;"preadsheets/d/17P34_Ow5kFBfdQD0qspb2UuPX5zpi6WMrQzslghyvrI/edit?usp=sharing"",""สกลนคร!I84"")+IMPORTRANGE(""https://docs.google.com/spreadsheets/d/1yswqbM3-AEpThF3ZSUa1AcmHnmRTF1vlJ1CZGcJ8YuU/edit?usp=sharing"",""สุรินทร์!I84"")+IMPORTRANGE(""https://docs"&amp;".google.com/spreadsheets/d/13JHU_EFbsQOUQ0JSQ3dWy1VTRosIWcDq6Nc99z2qzdc/edit?usp=sharing"",""หนองคาย!I84"")+IMPORTRANGE(""https://docs.google.com/spreadsheets/d/1Hx73zIEgVdDZZaYSTc46Dqv64atFhpr3GelxLbaIN8A/edit?usp=sharing"",""หนองบัวลำภู!I84"")+IMPORTRAN"&amp;"GE(""https://docs.google.com/spreadsheets/d/1lFxr3ctmjFN90yc-xV6jrQ9Ty8BKYVBWnAZ15wcNIJc/edit?usp=sharing"",""อำนาจเจริญ!I84"")+IMPORTRANGE(""https://docs.google.com/spreadsheets/d/1gF7RJpRnL-1oyjyeWxs5SFWEH7y8ahOZsQlyp2A2e-A/edit?usp=sharing"",""อุดรธานี"&amp;"!I84"")+IMPORTRANGE(""https://docs.google.com/spreadsheets/d/1kfLP0j3INXRa8bTDpcEmoWewMBV61jlFlfzczfjWIgc/edit?usp=sharing"",""อุบลราชธานี!I84"")"),6)</f>
        <v>6</v>
      </c>
      <c r="J84" s="181">
        <f ca="1">IFERROR(__xludf.DUMMYFUNCTION("IMPORTRANGE(""https://docs.google.com/spreadsheets/d/1yhBcrRPreicbMKl9Bu_Snb2-OcQAF62RKfhTLhJ2eAA/edit?usp=sharing"",""กาฬสินธุ์!J84"")+IMPORTRANGE(""https://docs.google.com/spreadsheets/d/1aHkj4IaQMThhwWwevcOymEh837vdxeC_PycurhTbGFA/edit?usp=sharing"","""&amp;"ขอนแก่น!J84"")+IMPORTRANGE(""https://docs.google.com/spreadsheets/d/1FvTu2DsIWUjP6WCWra38Bkj_oOl_sOMf14r5Fg5srxU/edit?usp=sharing"",""ชัยภูมิ!J84"")+IMPORTRANGE(""https://docs.google.com/spreadsheets/d/1XVB7oCJ3pr-vBUdflwPQ8Z2LlzhnCvZaaYjAfP-647E/edit?usp"&amp;"=sharing"",""นครพนม!J84"")+IMPORTRANGE(""https://docs.google.com/spreadsheets/d/1Mnpb-8PYAgn85W6KOTD40hc_Xc55CaLfHoGAbrZ8tls/edit?usp=sharing"",""นครราชสีมา!J84"")+IMPORTRANGE(""https://docs.google.com/spreadsheets/d/1xoDLGBv9CYbyosIhki0kTq6IpYNj-gpjxfobn"&amp;"aDiut0/edit?usp=sharing"",""บึงกาฬ!J84"")+IMPORTRANGE(""https://docs.google.com/spreadsheets/d/1MMPq-JyI6DSgQETxuSiXkesP-P7JHuemnE6QJIa-Nlw/edit?usp=sharing"",""บุรีรัมย์!J84"")+IMPORTRANGE(""https://docs.google.com/spreadsheets/d/1l6IZ8xUPgMrESzcTYwhA1k_"&amp;"tPjeQjJPTqlm8Gd9eU5g/edit?usp=sharing"",""มหาสารคาม!J84"")+IMPORTRANGE(""https://docs.google.com/spreadsheets/d/1uB74YLqNjWX6FObjekfB2NtSYigTQyR2rq9u4Ub2Sq4/edit?usp=sharing"",""มุกดาหาร!J84"")+IMPORTRANGE(""https://docs.google.com/spreadsheets/d/1NexK3ge"&amp;"CPxCTO1fzNF8dPec7yZyUx3OaWkFBC9HsQOo/edit?usp=sharing"",""ยโสธร!J84"")+IMPORTRANGE(""https://docs.google.com/spreadsheets/d/1v_cJrbBlyqmnHPReHk44g9NrMRdENNlSy_E_c5M9fIg/edit?usp=sharing"",""ร้อยเอ็ด!J84"")+IMPORTRANGE(""https://docs.google.com/spreadsheet"&amp;"s/d/1Ul4RCpCX66NxYADU1QpwAPjOmBzW64SsT11s1wzXw_c/edit?usp=sharing"",""เลย!J84"")+IMPORTRANGE(""https://docs.google.com/spreadsheets/d/1bRrNKwbHDVktQG10isr5vbWRtt5spIZPpkOSWgbT5ug/edit?usp=sharing"",""ศรีสะเกษ!J84"")+IMPORTRANGE(""https://docs.google.com/s"&amp;"preadsheets/d/17P34_Ow5kFBfdQD0qspb2UuPX5zpi6WMrQzslghyvrI/edit?usp=sharing"",""สกลนคร!J84"")+IMPORTRANGE(""https://docs.google.com/spreadsheets/d/1yswqbM3-AEpThF3ZSUa1AcmHnmRTF1vlJ1CZGcJ8YuU/edit?usp=sharing"",""สุรินทร์!J84"")+IMPORTRANGE(""https://docs"&amp;".google.com/spreadsheets/d/13JHU_EFbsQOUQ0JSQ3dWy1VTRosIWcDq6Nc99z2qzdc/edit?usp=sharing"",""หนองคาย!J84"")+IMPORTRANGE(""https://docs.google.com/spreadsheets/d/1Hx73zIEgVdDZZaYSTc46Dqv64atFhpr3GelxLbaIN8A/edit?usp=sharing"",""หนองบัวลำภู!J84"")+IMPORTRAN"&amp;"GE(""https://docs.google.com/spreadsheets/d/1lFxr3ctmjFN90yc-xV6jrQ9Ty8BKYVBWnAZ15wcNIJc/edit?usp=sharing"",""อำนาจเจริญ!J84"")+IMPORTRANGE(""https://docs.google.com/spreadsheets/d/1gF7RJpRnL-1oyjyeWxs5SFWEH7y8ahOZsQlyp2A2e-A/edit?usp=sharing"",""อุดรธานี"&amp;"!J84"")+IMPORTRANGE(""https://docs.google.com/spreadsheets/d/1kfLP0j3INXRa8bTDpcEmoWewMBV61jlFlfzczfjWIgc/edit?usp=sharing"",""อุบลราชธานี!J84"")"),1)</f>
        <v>1</v>
      </c>
      <c r="K84" s="182">
        <f t="shared" ca="1" si="68"/>
        <v>16.666666666666668</v>
      </c>
      <c r="L84" s="164"/>
      <c r="M84" s="164"/>
      <c r="N84" s="164"/>
      <c r="O84" s="164"/>
      <c r="P84" s="164"/>
      <c r="Q84" s="164"/>
      <c r="R84" s="164"/>
      <c r="S84" s="172"/>
      <c r="T84" s="164"/>
      <c r="U84" s="164"/>
    </row>
    <row r="85" spans="1:21" ht="18.75">
      <c r="A85" s="166"/>
      <c r="B85" s="167"/>
      <c r="C85" s="167"/>
      <c r="D85" s="167"/>
      <c r="E85" s="174"/>
      <c r="F85" s="174"/>
      <c r="G85" s="171"/>
      <c r="H85" s="179" t="s">
        <v>35</v>
      </c>
      <c r="I85" s="180">
        <f ca="1">IFERROR(__xludf.DUMMYFUNCTION("IMPORTRANGE(""https://docs.google.com/spreadsheets/d/1yhBcrRPreicbMKl9Bu_Snb2-OcQAF62RKfhTLhJ2eAA/edit?usp=sharing"",""กาฬสินธุ์!I85"")+IMPORTRANGE(""https://docs.google.com/spreadsheets/d/1aHkj4IaQMThhwWwevcOymEh837vdxeC_PycurhTbGFA/edit?usp=sharing"","""&amp;"ขอนแก่น!I85"")+IMPORTRANGE(""https://docs.google.com/spreadsheets/d/1FvTu2DsIWUjP6WCWra38Bkj_oOl_sOMf14r5Fg5srxU/edit?usp=sharing"",""ชัยภูมิ!I85"")+IMPORTRANGE(""https://docs.google.com/spreadsheets/d/1XVB7oCJ3pr-vBUdflwPQ8Z2LlzhnCvZaaYjAfP-647E/edit?usp"&amp;"=sharing"",""นครพนม!I85"")+IMPORTRANGE(""https://docs.google.com/spreadsheets/d/1Mnpb-8PYAgn85W6KOTD40hc_Xc55CaLfHoGAbrZ8tls/edit?usp=sharing"",""นครราชสีมา!I85"")+IMPORTRANGE(""https://docs.google.com/spreadsheets/d/1xoDLGBv9CYbyosIhki0kTq6IpYNj-gpjxfobn"&amp;"aDiut0/edit?usp=sharing"",""บึงกาฬ!I85"")+IMPORTRANGE(""https://docs.google.com/spreadsheets/d/1MMPq-JyI6DSgQETxuSiXkesP-P7JHuemnE6QJIa-Nlw/edit?usp=sharing"",""บุรีรัมย์!I85"")+IMPORTRANGE(""https://docs.google.com/spreadsheets/d/1l6IZ8xUPgMrESzcTYwhA1k_"&amp;"tPjeQjJPTqlm8Gd9eU5g/edit?usp=sharing"",""มหาสารคาม!I85"")+IMPORTRANGE(""https://docs.google.com/spreadsheets/d/1uB74YLqNjWX6FObjekfB2NtSYigTQyR2rq9u4Ub2Sq4/edit?usp=sharing"",""มุกดาหาร!I85"")+IMPORTRANGE(""https://docs.google.com/spreadsheets/d/1NexK3ge"&amp;"CPxCTO1fzNF8dPec7yZyUx3OaWkFBC9HsQOo/edit?usp=sharing"",""ยโสธร!I85"")+IMPORTRANGE(""https://docs.google.com/spreadsheets/d/1v_cJrbBlyqmnHPReHk44g9NrMRdENNlSy_E_c5M9fIg/edit?usp=sharing"",""ร้อยเอ็ด!I85"")+IMPORTRANGE(""https://docs.google.com/spreadsheet"&amp;"s/d/1Ul4RCpCX66NxYADU1QpwAPjOmBzW64SsT11s1wzXw_c/edit?usp=sharing"",""เลย!I85"")+IMPORTRANGE(""https://docs.google.com/spreadsheets/d/1bRrNKwbHDVktQG10isr5vbWRtt5spIZPpkOSWgbT5ug/edit?usp=sharing"",""ศรีสะเกษ!I85"")+IMPORTRANGE(""https://docs.google.com/s"&amp;"preadsheets/d/17P34_Ow5kFBfdQD0qspb2UuPX5zpi6WMrQzslghyvrI/edit?usp=sharing"",""สกลนคร!I85"")+IMPORTRANGE(""https://docs.google.com/spreadsheets/d/1yswqbM3-AEpThF3ZSUa1AcmHnmRTF1vlJ1CZGcJ8YuU/edit?usp=sharing"",""สุรินทร์!I85"")+IMPORTRANGE(""https://docs"&amp;".google.com/spreadsheets/d/13JHU_EFbsQOUQ0JSQ3dWy1VTRosIWcDq6Nc99z2qzdc/edit?usp=sharing"",""หนองคาย!I85"")+IMPORTRANGE(""https://docs.google.com/spreadsheets/d/1Hx73zIEgVdDZZaYSTc46Dqv64atFhpr3GelxLbaIN8A/edit?usp=sharing"",""หนองบัวลำภู!I85"")+IMPORTRAN"&amp;"GE(""https://docs.google.com/spreadsheets/d/1lFxr3ctmjFN90yc-xV6jrQ9Ty8BKYVBWnAZ15wcNIJc/edit?usp=sharing"",""อำนาจเจริญ!I85"")+IMPORTRANGE(""https://docs.google.com/spreadsheets/d/1gF7RJpRnL-1oyjyeWxs5SFWEH7y8ahOZsQlyp2A2e-A/edit?usp=sharing"",""อุดรธานี"&amp;"!I85"")+IMPORTRANGE(""https://docs.google.com/spreadsheets/d/1kfLP0j3INXRa8bTDpcEmoWewMBV61jlFlfzczfjWIgc/edit?usp=sharing"",""อุบลราชธานี!I85"")"),201)</f>
        <v>201</v>
      </c>
      <c r="J85" s="181">
        <f ca="1">IFERROR(__xludf.DUMMYFUNCTION("IMPORTRANGE(""https://docs.google.com/spreadsheets/d/1yhBcrRPreicbMKl9Bu_Snb2-OcQAF62RKfhTLhJ2eAA/edit?usp=sharing"",""กาฬสินธุ์!J85"")+IMPORTRANGE(""https://docs.google.com/spreadsheets/d/1aHkj4IaQMThhwWwevcOymEh837vdxeC_PycurhTbGFA/edit?usp=sharing"","""&amp;"ขอนแก่น!J85"")+IMPORTRANGE(""https://docs.google.com/spreadsheets/d/1FvTu2DsIWUjP6WCWra38Bkj_oOl_sOMf14r5Fg5srxU/edit?usp=sharing"",""ชัยภูมิ!J85"")+IMPORTRANGE(""https://docs.google.com/spreadsheets/d/1XVB7oCJ3pr-vBUdflwPQ8Z2LlzhnCvZaaYjAfP-647E/edit?usp"&amp;"=sharing"",""นครพนม!J85"")+IMPORTRANGE(""https://docs.google.com/spreadsheets/d/1Mnpb-8PYAgn85W6KOTD40hc_Xc55CaLfHoGAbrZ8tls/edit?usp=sharing"",""นครราชสีมา!J85"")+IMPORTRANGE(""https://docs.google.com/spreadsheets/d/1xoDLGBv9CYbyosIhki0kTq6IpYNj-gpjxfobn"&amp;"aDiut0/edit?usp=sharing"",""บึงกาฬ!J85"")+IMPORTRANGE(""https://docs.google.com/spreadsheets/d/1MMPq-JyI6DSgQETxuSiXkesP-P7JHuemnE6QJIa-Nlw/edit?usp=sharing"",""บุรีรัมย์!J85"")+IMPORTRANGE(""https://docs.google.com/spreadsheets/d/1l6IZ8xUPgMrESzcTYwhA1k_"&amp;"tPjeQjJPTqlm8Gd9eU5g/edit?usp=sharing"",""มหาสารคาม!J85"")+IMPORTRANGE(""https://docs.google.com/spreadsheets/d/1uB74YLqNjWX6FObjekfB2NtSYigTQyR2rq9u4Ub2Sq4/edit?usp=sharing"",""มุกดาหาร!J85"")+IMPORTRANGE(""https://docs.google.com/spreadsheets/d/1NexK3ge"&amp;"CPxCTO1fzNF8dPec7yZyUx3OaWkFBC9HsQOo/edit?usp=sharing"",""ยโสธร!J85"")+IMPORTRANGE(""https://docs.google.com/spreadsheets/d/1v_cJrbBlyqmnHPReHk44g9NrMRdENNlSy_E_c5M9fIg/edit?usp=sharing"",""ร้อยเอ็ด!J85"")+IMPORTRANGE(""https://docs.google.com/spreadsheet"&amp;"s/d/1Ul4RCpCX66NxYADU1QpwAPjOmBzW64SsT11s1wzXw_c/edit?usp=sharing"",""เลย!J85"")+IMPORTRANGE(""https://docs.google.com/spreadsheets/d/1bRrNKwbHDVktQG10isr5vbWRtt5spIZPpkOSWgbT5ug/edit?usp=sharing"",""ศรีสะเกษ!J85"")+IMPORTRANGE(""https://docs.google.com/s"&amp;"preadsheets/d/17P34_Ow5kFBfdQD0qspb2UuPX5zpi6WMrQzslghyvrI/edit?usp=sharing"",""สกลนคร!J85"")+IMPORTRANGE(""https://docs.google.com/spreadsheets/d/1yswqbM3-AEpThF3ZSUa1AcmHnmRTF1vlJ1CZGcJ8YuU/edit?usp=sharing"",""สุรินทร์!J85"")+IMPORTRANGE(""https://docs"&amp;".google.com/spreadsheets/d/13JHU_EFbsQOUQ0JSQ3dWy1VTRosIWcDq6Nc99z2qzdc/edit?usp=sharing"",""หนองคาย!J85"")+IMPORTRANGE(""https://docs.google.com/spreadsheets/d/1Hx73zIEgVdDZZaYSTc46Dqv64atFhpr3GelxLbaIN8A/edit?usp=sharing"",""หนองบัวลำภู!J85"")+IMPORTRAN"&amp;"GE(""https://docs.google.com/spreadsheets/d/1lFxr3ctmjFN90yc-xV6jrQ9Ty8BKYVBWnAZ15wcNIJc/edit?usp=sharing"",""อำนาจเจริญ!J85"")+IMPORTRANGE(""https://docs.google.com/spreadsheets/d/1gF7RJpRnL-1oyjyeWxs5SFWEH7y8ahOZsQlyp2A2e-A/edit?usp=sharing"",""อุดรธานี"&amp;"!J85"")+IMPORTRANGE(""https://docs.google.com/spreadsheets/d/1kfLP0j3INXRa8bTDpcEmoWewMBV61jlFlfzczfjWIgc/edit?usp=sharing"",""อุบลราชธานี!J85"")"),45)</f>
        <v>45</v>
      </c>
      <c r="K85" s="182">
        <f t="shared" ca="1" si="68"/>
        <v>22.388059701492537</v>
      </c>
      <c r="L85" s="164"/>
      <c r="M85" s="164"/>
      <c r="N85" s="164"/>
      <c r="O85" s="164"/>
      <c r="P85" s="164"/>
      <c r="Q85" s="164"/>
      <c r="R85" s="164"/>
      <c r="S85" s="172"/>
      <c r="T85" s="164"/>
      <c r="U85" s="164"/>
    </row>
    <row r="86" spans="1:21" ht="18.75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180">
        <f ca="1">IFERROR(__xludf.DUMMYFUNCTION("IMPORTRANGE(""https://docs.google.com/spreadsheets/d/1yhBcrRPreicbMKl9Bu_Snb2-OcQAF62RKfhTLhJ2eAA/edit?usp=sharing"",""กาฬสินธุ์!I86"")+IMPORTRANGE(""https://docs.google.com/spreadsheets/d/1aHkj4IaQMThhwWwevcOymEh837vdxeC_PycurhTbGFA/edit?usp=sharing"","""&amp;"ขอนแก่น!I86"")+IMPORTRANGE(""https://docs.google.com/spreadsheets/d/1FvTu2DsIWUjP6WCWra38Bkj_oOl_sOMf14r5Fg5srxU/edit?usp=sharing"",""ชัยภูมิ!I86"")+IMPORTRANGE(""https://docs.google.com/spreadsheets/d/1XVB7oCJ3pr-vBUdflwPQ8Z2LlzhnCvZaaYjAfP-647E/edit?usp"&amp;"=sharing"",""นครพนม!I86"")+IMPORTRANGE(""https://docs.google.com/spreadsheets/d/1Mnpb-8PYAgn85W6KOTD40hc_Xc55CaLfHoGAbrZ8tls/edit?usp=sharing"",""นครราชสีมา!I86"")+IMPORTRANGE(""https://docs.google.com/spreadsheets/d/1xoDLGBv9CYbyosIhki0kTq6IpYNj-gpjxfobn"&amp;"aDiut0/edit?usp=sharing"",""บึงกาฬ!I86"")+IMPORTRANGE(""https://docs.google.com/spreadsheets/d/1MMPq-JyI6DSgQETxuSiXkesP-P7JHuemnE6QJIa-Nlw/edit?usp=sharing"",""บุรีรัมย์!I86"")+IMPORTRANGE(""https://docs.google.com/spreadsheets/d/1l6IZ8xUPgMrESzcTYwhA1k_"&amp;"tPjeQjJPTqlm8Gd9eU5g/edit?usp=sharing"",""มหาสารคาม!I86"")+IMPORTRANGE(""https://docs.google.com/spreadsheets/d/1uB74YLqNjWX6FObjekfB2NtSYigTQyR2rq9u4Ub2Sq4/edit?usp=sharing"",""มุกดาหาร!I86"")+IMPORTRANGE(""https://docs.google.com/spreadsheets/d/1NexK3ge"&amp;"CPxCTO1fzNF8dPec7yZyUx3OaWkFBC9HsQOo/edit?usp=sharing"",""ยโสธร!I86"")+IMPORTRANGE(""https://docs.google.com/spreadsheets/d/1v_cJrbBlyqmnHPReHk44g9NrMRdENNlSy_E_c5M9fIg/edit?usp=sharing"",""ร้อยเอ็ด!I86"")+IMPORTRANGE(""https://docs.google.com/spreadsheet"&amp;"s/d/1Ul4RCpCX66NxYADU1QpwAPjOmBzW64SsT11s1wzXw_c/edit?usp=sharing"",""เลย!I86"")+IMPORTRANGE(""https://docs.google.com/spreadsheets/d/1bRrNKwbHDVktQG10isr5vbWRtt5spIZPpkOSWgbT5ug/edit?usp=sharing"",""ศรีสะเกษ!I86"")+IMPORTRANGE(""https://docs.google.com/s"&amp;"preadsheets/d/17P34_Ow5kFBfdQD0qspb2UuPX5zpi6WMrQzslghyvrI/edit?usp=sharing"",""สกลนคร!I86"")+IMPORTRANGE(""https://docs.google.com/spreadsheets/d/1yswqbM3-AEpThF3ZSUa1AcmHnmRTF1vlJ1CZGcJ8YuU/edit?usp=sharing"",""สุรินทร์!I86"")+IMPORTRANGE(""https://docs"&amp;".google.com/spreadsheets/d/13JHU_EFbsQOUQ0JSQ3dWy1VTRosIWcDq6Nc99z2qzdc/edit?usp=sharing"",""หนองคาย!I86"")+IMPORTRANGE(""https://docs.google.com/spreadsheets/d/1Hx73zIEgVdDZZaYSTc46Dqv64atFhpr3GelxLbaIN8A/edit?usp=sharing"",""หนองบัวลำภู!I86"")+IMPORTRAN"&amp;"GE(""https://docs.google.com/spreadsheets/d/1lFxr3ctmjFN90yc-xV6jrQ9Ty8BKYVBWnAZ15wcNIJc/edit?usp=sharing"",""อำนาจเจริญ!I86"")+IMPORTRANGE(""https://docs.google.com/spreadsheets/d/1gF7RJpRnL-1oyjyeWxs5SFWEH7y8ahOZsQlyp2A2e-A/edit?usp=sharing"",""อุดรธานี"&amp;"!I86"")+IMPORTRANGE(""https://docs.google.com/spreadsheets/d/1kfLP0j3INXRa8bTDpcEmoWewMBV61jlFlfzczfjWIgc/edit?usp=sharing"",""อุบลราชธานี!I86"")"),3)</f>
        <v>3</v>
      </c>
      <c r="J86" s="181">
        <f ca="1">IFERROR(__xludf.DUMMYFUNCTION("IMPORTRANGE(""https://docs.google.com/spreadsheets/d/1yhBcrRPreicbMKl9Bu_Snb2-OcQAF62RKfhTLhJ2eAA/edit?usp=sharing"",""กาฬสินธุ์!J86"")+IMPORTRANGE(""https://docs.google.com/spreadsheets/d/1aHkj4IaQMThhwWwevcOymEh837vdxeC_PycurhTbGFA/edit?usp=sharing"","""&amp;"ขอนแก่น!J86"")+IMPORTRANGE(""https://docs.google.com/spreadsheets/d/1FvTu2DsIWUjP6WCWra38Bkj_oOl_sOMf14r5Fg5srxU/edit?usp=sharing"",""ชัยภูมิ!J86"")+IMPORTRANGE(""https://docs.google.com/spreadsheets/d/1XVB7oCJ3pr-vBUdflwPQ8Z2LlzhnCvZaaYjAfP-647E/edit?usp"&amp;"=sharing"",""นครพนม!J86"")+IMPORTRANGE(""https://docs.google.com/spreadsheets/d/1Mnpb-8PYAgn85W6KOTD40hc_Xc55CaLfHoGAbrZ8tls/edit?usp=sharing"",""นครราชสีมา!J86"")+IMPORTRANGE(""https://docs.google.com/spreadsheets/d/1xoDLGBv9CYbyosIhki0kTq6IpYNj-gpjxfobn"&amp;"aDiut0/edit?usp=sharing"",""บึงกาฬ!J86"")+IMPORTRANGE(""https://docs.google.com/spreadsheets/d/1MMPq-JyI6DSgQETxuSiXkesP-P7JHuemnE6QJIa-Nlw/edit?usp=sharing"",""บุรีรัมย์!J86"")+IMPORTRANGE(""https://docs.google.com/spreadsheets/d/1l6IZ8xUPgMrESzcTYwhA1k_"&amp;"tPjeQjJPTqlm8Gd9eU5g/edit?usp=sharing"",""มหาสารคาม!J86"")+IMPORTRANGE(""https://docs.google.com/spreadsheets/d/1uB74YLqNjWX6FObjekfB2NtSYigTQyR2rq9u4Ub2Sq4/edit?usp=sharing"",""มุกดาหาร!J86"")+IMPORTRANGE(""https://docs.google.com/spreadsheets/d/1NexK3ge"&amp;"CPxCTO1fzNF8dPec7yZyUx3OaWkFBC9HsQOo/edit?usp=sharing"",""ยโสธร!J86"")+IMPORTRANGE(""https://docs.google.com/spreadsheets/d/1v_cJrbBlyqmnHPReHk44g9NrMRdENNlSy_E_c5M9fIg/edit?usp=sharing"",""ร้อยเอ็ด!J86"")+IMPORTRANGE(""https://docs.google.com/spreadsheet"&amp;"s/d/1Ul4RCpCX66NxYADU1QpwAPjOmBzW64SsT11s1wzXw_c/edit?usp=sharing"",""เลย!J86"")+IMPORTRANGE(""https://docs.google.com/spreadsheets/d/1bRrNKwbHDVktQG10isr5vbWRtt5spIZPpkOSWgbT5ug/edit?usp=sharing"",""ศรีสะเกษ!J86"")+IMPORTRANGE(""https://docs.google.com/s"&amp;"preadsheets/d/17P34_Ow5kFBfdQD0qspb2UuPX5zpi6WMrQzslghyvrI/edit?usp=sharing"",""สกลนคร!J86"")+IMPORTRANGE(""https://docs.google.com/spreadsheets/d/1yswqbM3-AEpThF3ZSUa1AcmHnmRTF1vlJ1CZGcJ8YuU/edit?usp=sharing"",""สุรินทร์!J86"")+IMPORTRANGE(""https://docs"&amp;".google.com/spreadsheets/d/13JHU_EFbsQOUQ0JSQ3dWy1VTRosIWcDq6Nc99z2qzdc/edit?usp=sharing"",""หนองคาย!J86"")+IMPORTRANGE(""https://docs.google.com/spreadsheets/d/1Hx73zIEgVdDZZaYSTc46Dqv64atFhpr3GelxLbaIN8A/edit?usp=sharing"",""หนองบัวลำภู!J86"")+IMPORTRAN"&amp;"GE(""https://docs.google.com/spreadsheets/d/1lFxr3ctmjFN90yc-xV6jrQ9Ty8BKYVBWnAZ15wcNIJc/edit?usp=sharing"",""อำนาจเจริญ!J86"")+IMPORTRANGE(""https://docs.google.com/spreadsheets/d/1gF7RJpRnL-1oyjyeWxs5SFWEH7y8ahOZsQlyp2A2e-A/edit?usp=sharing"",""อุดรธานี"&amp;"!J86"")+IMPORTRANGE(""https://docs.google.com/spreadsheets/d/1kfLP0j3INXRa8bTDpcEmoWewMBV61jlFlfzczfjWIgc/edit?usp=sharing"",""อุบลราชธานี!J86"")"),0)</f>
        <v>0</v>
      </c>
      <c r="K86" s="182">
        <f t="shared" ca="1" si="68"/>
        <v>0</v>
      </c>
      <c r="L86" s="164"/>
      <c r="M86" s="164"/>
      <c r="N86" s="164"/>
      <c r="O86" s="164"/>
      <c r="P86" s="164"/>
      <c r="Q86" s="164"/>
      <c r="R86" s="164"/>
      <c r="S86" s="172"/>
      <c r="T86" s="164"/>
      <c r="U86" s="164"/>
    </row>
    <row r="87" spans="1:21" ht="18.75">
      <c r="A87" s="166"/>
      <c r="B87" s="167"/>
      <c r="C87" s="167"/>
      <c r="D87" s="167"/>
      <c r="E87" s="174"/>
      <c r="F87" s="174"/>
      <c r="G87" s="171"/>
      <c r="H87" s="179" t="s">
        <v>35</v>
      </c>
      <c r="I87" s="180">
        <f ca="1">IFERROR(__xludf.DUMMYFUNCTION("IMPORTRANGE(""https://docs.google.com/spreadsheets/d/1yhBcrRPreicbMKl9Bu_Snb2-OcQAF62RKfhTLhJ2eAA/edit?usp=sharing"",""กาฬสินธุ์!I87"")+IMPORTRANGE(""https://docs.google.com/spreadsheets/d/1aHkj4IaQMThhwWwevcOymEh837vdxeC_PycurhTbGFA/edit?usp=sharing"","""&amp;"ขอนแก่น!I87"")+IMPORTRANGE(""https://docs.google.com/spreadsheets/d/1FvTu2DsIWUjP6WCWra38Bkj_oOl_sOMf14r5Fg5srxU/edit?usp=sharing"",""ชัยภูมิ!I87"")+IMPORTRANGE(""https://docs.google.com/spreadsheets/d/1XVB7oCJ3pr-vBUdflwPQ8Z2LlzhnCvZaaYjAfP-647E/edit?usp"&amp;"=sharing"",""นครพนม!I87"")+IMPORTRANGE(""https://docs.google.com/spreadsheets/d/1Mnpb-8PYAgn85W6KOTD40hc_Xc55CaLfHoGAbrZ8tls/edit?usp=sharing"",""นครราชสีมา!I87"")+IMPORTRANGE(""https://docs.google.com/spreadsheets/d/1xoDLGBv9CYbyosIhki0kTq6IpYNj-gpjxfobn"&amp;"aDiut0/edit?usp=sharing"",""บึงกาฬ!I87"")+IMPORTRANGE(""https://docs.google.com/spreadsheets/d/1MMPq-JyI6DSgQETxuSiXkesP-P7JHuemnE6QJIa-Nlw/edit?usp=sharing"",""บุรีรัมย์!I87"")+IMPORTRANGE(""https://docs.google.com/spreadsheets/d/1l6IZ8xUPgMrESzcTYwhA1k_"&amp;"tPjeQjJPTqlm8Gd9eU5g/edit?usp=sharing"",""มหาสารคาม!I87"")+IMPORTRANGE(""https://docs.google.com/spreadsheets/d/1uB74YLqNjWX6FObjekfB2NtSYigTQyR2rq9u4Ub2Sq4/edit?usp=sharing"",""มุกดาหาร!I87"")+IMPORTRANGE(""https://docs.google.com/spreadsheets/d/1NexK3ge"&amp;"CPxCTO1fzNF8dPec7yZyUx3OaWkFBC9HsQOo/edit?usp=sharing"",""ยโสธร!I87"")+IMPORTRANGE(""https://docs.google.com/spreadsheets/d/1v_cJrbBlyqmnHPReHk44g9NrMRdENNlSy_E_c5M9fIg/edit?usp=sharing"",""ร้อยเอ็ด!I87"")+IMPORTRANGE(""https://docs.google.com/spreadsheet"&amp;"s/d/1Ul4RCpCX66NxYADU1QpwAPjOmBzW64SsT11s1wzXw_c/edit?usp=sharing"",""เลย!I87"")+IMPORTRANGE(""https://docs.google.com/spreadsheets/d/1bRrNKwbHDVktQG10isr5vbWRtt5spIZPpkOSWgbT5ug/edit?usp=sharing"",""ศรีสะเกษ!I87"")+IMPORTRANGE(""https://docs.google.com/s"&amp;"preadsheets/d/17P34_Ow5kFBfdQD0qspb2UuPX5zpi6WMrQzslghyvrI/edit?usp=sharing"",""สกลนคร!I87"")+IMPORTRANGE(""https://docs.google.com/spreadsheets/d/1yswqbM3-AEpThF3ZSUa1AcmHnmRTF1vlJ1CZGcJ8YuU/edit?usp=sharing"",""สุรินทร์!I87"")+IMPORTRANGE(""https://docs"&amp;".google.com/spreadsheets/d/13JHU_EFbsQOUQ0JSQ3dWy1VTRosIWcDq6Nc99z2qzdc/edit?usp=sharing"",""หนองคาย!I87"")+IMPORTRANGE(""https://docs.google.com/spreadsheets/d/1Hx73zIEgVdDZZaYSTc46Dqv64atFhpr3GelxLbaIN8A/edit?usp=sharing"",""หนองบัวลำภู!I87"")+IMPORTRAN"&amp;"GE(""https://docs.google.com/spreadsheets/d/1lFxr3ctmjFN90yc-xV6jrQ9Ty8BKYVBWnAZ15wcNIJc/edit?usp=sharing"",""อำนาจเจริญ!I87"")+IMPORTRANGE(""https://docs.google.com/spreadsheets/d/1gF7RJpRnL-1oyjyeWxs5SFWEH7y8ahOZsQlyp2A2e-A/edit?usp=sharing"",""อุดรธานี"&amp;"!I87"")+IMPORTRANGE(""https://docs.google.com/spreadsheets/d/1kfLP0j3INXRa8bTDpcEmoWewMBV61jlFlfzczfjWIgc/edit?usp=sharing"",""อุบลราชธานี!I87"")"),117)</f>
        <v>117</v>
      </c>
      <c r="J87" s="181">
        <f ca="1">IFERROR(__xludf.DUMMYFUNCTION("IMPORTRANGE(""https://docs.google.com/spreadsheets/d/1yhBcrRPreicbMKl9Bu_Snb2-OcQAF62RKfhTLhJ2eAA/edit?usp=sharing"",""กาฬสินธุ์!J87"")+IMPORTRANGE(""https://docs.google.com/spreadsheets/d/1aHkj4IaQMThhwWwevcOymEh837vdxeC_PycurhTbGFA/edit?usp=sharing"","""&amp;"ขอนแก่น!J87"")+IMPORTRANGE(""https://docs.google.com/spreadsheets/d/1FvTu2DsIWUjP6WCWra38Bkj_oOl_sOMf14r5Fg5srxU/edit?usp=sharing"",""ชัยภูมิ!J87"")+IMPORTRANGE(""https://docs.google.com/spreadsheets/d/1XVB7oCJ3pr-vBUdflwPQ8Z2LlzhnCvZaaYjAfP-647E/edit?usp"&amp;"=sharing"",""นครพนม!J87"")+IMPORTRANGE(""https://docs.google.com/spreadsheets/d/1Mnpb-8PYAgn85W6KOTD40hc_Xc55CaLfHoGAbrZ8tls/edit?usp=sharing"",""นครราชสีมา!J87"")+IMPORTRANGE(""https://docs.google.com/spreadsheets/d/1xoDLGBv9CYbyosIhki0kTq6IpYNj-gpjxfobn"&amp;"aDiut0/edit?usp=sharing"",""บึงกาฬ!J87"")+IMPORTRANGE(""https://docs.google.com/spreadsheets/d/1MMPq-JyI6DSgQETxuSiXkesP-P7JHuemnE6QJIa-Nlw/edit?usp=sharing"",""บุรีรัมย์!J87"")+IMPORTRANGE(""https://docs.google.com/spreadsheets/d/1l6IZ8xUPgMrESzcTYwhA1k_"&amp;"tPjeQjJPTqlm8Gd9eU5g/edit?usp=sharing"",""มหาสารคาม!J87"")+IMPORTRANGE(""https://docs.google.com/spreadsheets/d/1uB74YLqNjWX6FObjekfB2NtSYigTQyR2rq9u4Ub2Sq4/edit?usp=sharing"",""มุกดาหาร!J87"")+IMPORTRANGE(""https://docs.google.com/spreadsheets/d/1NexK3ge"&amp;"CPxCTO1fzNF8dPec7yZyUx3OaWkFBC9HsQOo/edit?usp=sharing"",""ยโสธร!J87"")+IMPORTRANGE(""https://docs.google.com/spreadsheets/d/1v_cJrbBlyqmnHPReHk44g9NrMRdENNlSy_E_c5M9fIg/edit?usp=sharing"",""ร้อยเอ็ด!J87"")+IMPORTRANGE(""https://docs.google.com/spreadsheet"&amp;"s/d/1Ul4RCpCX66NxYADU1QpwAPjOmBzW64SsT11s1wzXw_c/edit?usp=sharing"",""เลย!J87"")+IMPORTRANGE(""https://docs.google.com/spreadsheets/d/1bRrNKwbHDVktQG10isr5vbWRtt5spIZPpkOSWgbT5ug/edit?usp=sharing"",""ศรีสะเกษ!J87"")+IMPORTRANGE(""https://docs.google.com/s"&amp;"preadsheets/d/17P34_Ow5kFBfdQD0qspb2UuPX5zpi6WMrQzslghyvrI/edit?usp=sharing"",""สกลนคร!J87"")+IMPORTRANGE(""https://docs.google.com/spreadsheets/d/1yswqbM3-AEpThF3ZSUa1AcmHnmRTF1vlJ1CZGcJ8YuU/edit?usp=sharing"",""สุรินทร์!J87"")+IMPORTRANGE(""https://docs"&amp;".google.com/spreadsheets/d/13JHU_EFbsQOUQ0JSQ3dWy1VTRosIWcDq6Nc99z2qzdc/edit?usp=sharing"",""หนองคาย!J87"")+IMPORTRANGE(""https://docs.google.com/spreadsheets/d/1Hx73zIEgVdDZZaYSTc46Dqv64atFhpr3GelxLbaIN8A/edit?usp=sharing"",""หนองบัวลำภู!J87"")+IMPORTRAN"&amp;"GE(""https://docs.google.com/spreadsheets/d/1lFxr3ctmjFN90yc-xV6jrQ9Ty8BKYVBWnAZ15wcNIJc/edit?usp=sharing"",""อำนาจเจริญ!J87"")+IMPORTRANGE(""https://docs.google.com/spreadsheets/d/1gF7RJpRnL-1oyjyeWxs5SFWEH7y8ahOZsQlyp2A2e-A/edit?usp=sharing"",""อุดรธานี"&amp;"!J87"")+IMPORTRANGE(""https://docs.google.com/spreadsheets/d/1kfLP0j3INXRa8bTDpcEmoWewMBV61jlFlfzczfjWIgc/edit?usp=sharing"",""อุบลราชธานี!J87"")"),0)</f>
        <v>0</v>
      </c>
      <c r="K87" s="182">
        <f t="shared" ca="1" si="68"/>
        <v>0</v>
      </c>
      <c r="L87" s="164"/>
      <c r="M87" s="164"/>
      <c r="N87" s="164"/>
      <c r="O87" s="164"/>
      <c r="P87" s="164"/>
      <c r="Q87" s="164"/>
      <c r="R87" s="164"/>
      <c r="S87" s="172"/>
      <c r="T87" s="164"/>
      <c r="U87" s="164"/>
    </row>
    <row r="88" spans="1:21" ht="18.75">
      <c r="A88" s="166"/>
      <c r="B88" s="167"/>
      <c r="C88" s="167"/>
      <c r="D88" s="167"/>
      <c r="E88" s="178" t="s">
        <v>42</v>
      </c>
      <c r="F88" s="174"/>
      <c r="G88" s="171"/>
      <c r="H88" s="179" t="s">
        <v>34</v>
      </c>
      <c r="I88" s="180">
        <f ca="1">IFERROR(__xludf.DUMMYFUNCTION("IMPORTRANGE(""https://docs.google.com/spreadsheets/d/1yhBcrRPreicbMKl9Bu_Snb2-OcQAF62RKfhTLhJ2eAA/edit?usp=sharing"",""กาฬสินธุ์!I88"")+IMPORTRANGE(""https://docs.google.com/spreadsheets/d/1aHkj4IaQMThhwWwevcOymEh837vdxeC_PycurhTbGFA/edit?usp=sharing"","""&amp;"ขอนแก่น!I88"")+IMPORTRANGE(""https://docs.google.com/spreadsheets/d/1FvTu2DsIWUjP6WCWra38Bkj_oOl_sOMf14r5Fg5srxU/edit?usp=sharing"",""ชัยภูมิ!I88"")+IMPORTRANGE(""https://docs.google.com/spreadsheets/d/1XVB7oCJ3pr-vBUdflwPQ8Z2LlzhnCvZaaYjAfP-647E/edit?usp"&amp;"=sharing"",""นครพนม!I88"")+IMPORTRANGE(""https://docs.google.com/spreadsheets/d/1Mnpb-8PYAgn85W6KOTD40hc_Xc55CaLfHoGAbrZ8tls/edit?usp=sharing"",""นครราชสีมา!I88"")+IMPORTRANGE(""https://docs.google.com/spreadsheets/d/1xoDLGBv9CYbyosIhki0kTq6IpYNj-gpjxfobn"&amp;"aDiut0/edit?usp=sharing"",""บึงกาฬ!I88"")+IMPORTRANGE(""https://docs.google.com/spreadsheets/d/1MMPq-JyI6DSgQETxuSiXkesP-P7JHuemnE6QJIa-Nlw/edit?usp=sharing"",""บุรีรัมย์!I88"")+IMPORTRANGE(""https://docs.google.com/spreadsheets/d/1l6IZ8xUPgMrESzcTYwhA1k_"&amp;"tPjeQjJPTqlm8Gd9eU5g/edit?usp=sharing"",""มหาสารคาม!I88"")+IMPORTRANGE(""https://docs.google.com/spreadsheets/d/1uB74YLqNjWX6FObjekfB2NtSYigTQyR2rq9u4Ub2Sq4/edit?usp=sharing"",""มุกดาหาร!I88"")+IMPORTRANGE(""https://docs.google.com/spreadsheets/d/1NexK3ge"&amp;"CPxCTO1fzNF8dPec7yZyUx3OaWkFBC9HsQOo/edit?usp=sharing"",""ยโสธร!I88"")+IMPORTRANGE(""https://docs.google.com/spreadsheets/d/1v_cJrbBlyqmnHPReHk44g9NrMRdENNlSy_E_c5M9fIg/edit?usp=sharing"",""ร้อยเอ็ด!I88"")+IMPORTRANGE(""https://docs.google.com/spreadsheet"&amp;"s/d/1Ul4RCpCX66NxYADU1QpwAPjOmBzW64SsT11s1wzXw_c/edit?usp=sharing"",""เลย!I88"")+IMPORTRANGE(""https://docs.google.com/spreadsheets/d/1bRrNKwbHDVktQG10isr5vbWRtt5spIZPpkOSWgbT5ug/edit?usp=sharing"",""ศรีสะเกษ!I88"")+IMPORTRANGE(""https://docs.google.com/s"&amp;"preadsheets/d/17P34_Ow5kFBfdQD0qspb2UuPX5zpi6WMrQzslghyvrI/edit?usp=sharing"",""สกลนคร!I88"")+IMPORTRANGE(""https://docs.google.com/spreadsheets/d/1yswqbM3-AEpThF3ZSUa1AcmHnmRTF1vlJ1CZGcJ8YuU/edit?usp=sharing"",""สุรินทร์!I88"")+IMPORTRANGE(""https://docs"&amp;".google.com/spreadsheets/d/13JHU_EFbsQOUQ0JSQ3dWy1VTRosIWcDq6Nc99z2qzdc/edit?usp=sharing"",""หนองคาย!I88"")+IMPORTRANGE(""https://docs.google.com/spreadsheets/d/1Hx73zIEgVdDZZaYSTc46Dqv64atFhpr3GelxLbaIN8A/edit?usp=sharing"",""หนองบัวลำภู!I88"")+IMPORTRAN"&amp;"GE(""https://docs.google.com/spreadsheets/d/1lFxr3ctmjFN90yc-xV6jrQ9Ty8BKYVBWnAZ15wcNIJc/edit?usp=sharing"",""อำนาจเจริญ!I88"")+IMPORTRANGE(""https://docs.google.com/spreadsheets/d/1gF7RJpRnL-1oyjyeWxs5SFWEH7y8ahOZsQlyp2A2e-A/edit?usp=sharing"",""อุดรธานี"&amp;"!I88"")+IMPORTRANGE(""https://docs.google.com/spreadsheets/d/1kfLP0j3INXRa8bTDpcEmoWewMBV61jlFlfzczfjWIgc/edit?usp=sharing"",""อุบลราชธานี!I88"")"),6)</f>
        <v>6</v>
      </c>
      <c r="J88" s="181">
        <f ca="1">IFERROR(__xludf.DUMMYFUNCTION("IMPORTRANGE(""https://docs.google.com/spreadsheets/d/1yhBcrRPreicbMKl9Bu_Snb2-OcQAF62RKfhTLhJ2eAA/edit?usp=sharing"",""กาฬสินธุ์!J88"")+IMPORTRANGE(""https://docs.google.com/spreadsheets/d/1aHkj4IaQMThhwWwevcOymEh837vdxeC_PycurhTbGFA/edit?usp=sharing"","""&amp;"ขอนแก่น!J88"")+IMPORTRANGE(""https://docs.google.com/spreadsheets/d/1FvTu2DsIWUjP6WCWra38Bkj_oOl_sOMf14r5Fg5srxU/edit?usp=sharing"",""ชัยภูมิ!J88"")+IMPORTRANGE(""https://docs.google.com/spreadsheets/d/1XVB7oCJ3pr-vBUdflwPQ8Z2LlzhnCvZaaYjAfP-647E/edit?usp"&amp;"=sharing"",""นครพนม!J88"")+IMPORTRANGE(""https://docs.google.com/spreadsheets/d/1Mnpb-8PYAgn85W6KOTD40hc_Xc55CaLfHoGAbrZ8tls/edit?usp=sharing"",""นครราชสีมา!J88"")+IMPORTRANGE(""https://docs.google.com/spreadsheets/d/1xoDLGBv9CYbyosIhki0kTq6IpYNj-gpjxfobn"&amp;"aDiut0/edit?usp=sharing"",""บึงกาฬ!J88"")+IMPORTRANGE(""https://docs.google.com/spreadsheets/d/1MMPq-JyI6DSgQETxuSiXkesP-P7JHuemnE6QJIa-Nlw/edit?usp=sharing"",""บุรีรัมย์!J88"")+IMPORTRANGE(""https://docs.google.com/spreadsheets/d/1l6IZ8xUPgMrESzcTYwhA1k_"&amp;"tPjeQjJPTqlm8Gd9eU5g/edit?usp=sharing"",""มหาสารคาม!J88"")+IMPORTRANGE(""https://docs.google.com/spreadsheets/d/1uB74YLqNjWX6FObjekfB2NtSYigTQyR2rq9u4Ub2Sq4/edit?usp=sharing"",""มุกดาหาร!J88"")+IMPORTRANGE(""https://docs.google.com/spreadsheets/d/1NexK3ge"&amp;"CPxCTO1fzNF8dPec7yZyUx3OaWkFBC9HsQOo/edit?usp=sharing"",""ยโสธร!J88"")+IMPORTRANGE(""https://docs.google.com/spreadsheets/d/1v_cJrbBlyqmnHPReHk44g9NrMRdENNlSy_E_c5M9fIg/edit?usp=sharing"",""ร้อยเอ็ด!J88"")+IMPORTRANGE(""https://docs.google.com/spreadsheet"&amp;"s/d/1Ul4RCpCX66NxYADU1QpwAPjOmBzW64SsT11s1wzXw_c/edit?usp=sharing"",""เลย!J88"")+IMPORTRANGE(""https://docs.google.com/spreadsheets/d/1bRrNKwbHDVktQG10isr5vbWRtt5spIZPpkOSWgbT5ug/edit?usp=sharing"",""ศรีสะเกษ!J88"")+IMPORTRANGE(""https://docs.google.com/s"&amp;"preadsheets/d/17P34_Ow5kFBfdQD0qspb2UuPX5zpi6WMrQzslghyvrI/edit?usp=sharing"",""สกลนคร!J88"")+IMPORTRANGE(""https://docs.google.com/spreadsheets/d/1yswqbM3-AEpThF3ZSUa1AcmHnmRTF1vlJ1CZGcJ8YuU/edit?usp=sharing"",""สุรินทร์!J88"")+IMPORTRANGE(""https://docs"&amp;".google.com/spreadsheets/d/13JHU_EFbsQOUQ0JSQ3dWy1VTRosIWcDq6Nc99z2qzdc/edit?usp=sharing"",""หนองคาย!J88"")+IMPORTRANGE(""https://docs.google.com/spreadsheets/d/1Hx73zIEgVdDZZaYSTc46Dqv64atFhpr3GelxLbaIN8A/edit?usp=sharing"",""หนองบัวลำภู!J88"")+IMPORTRAN"&amp;"GE(""https://docs.google.com/spreadsheets/d/1lFxr3ctmjFN90yc-xV6jrQ9Ty8BKYVBWnAZ15wcNIJc/edit?usp=sharing"",""อำนาจเจริญ!J88"")+IMPORTRANGE(""https://docs.google.com/spreadsheets/d/1gF7RJpRnL-1oyjyeWxs5SFWEH7y8ahOZsQlyp2A2e-A/edit?usp=sharing"",""อุดรธานี"&amp;"!J88"")+IMPORTRANGE(""https://docs.google.com/spreadsheets/d/1kfLP0j3INXRa8bTDpcEmoWewMBV61jlFlfzczfjWIgc/edit?usp=sharing"",""อุบลราชธานี!J88"")"),2)</f>
        <v>2</v>
      </c>
      <c r="K88" s="182">
        <f t="shared" ca="1" si="68"/>
        <v>33.333333333333336</v>
      </c>
      <c r="L88" s="164"/>
      <c r="M88" s="164"/>
      <c r="N88" s="164"/>
      <c r="O88" s="164"/>
      <c r="P88" s="164"/>
      <c r="Q88" s="164"/>
      <c r="R88" s="164"/>
      <c r="S88" s="172"/>
      <c r="T88" s="164"/>
      <c r="U88" s="164"/>
    </row>
    <row r="89" spans="1:21" ht="18.75">
      <c r="A89" s="166"/>
      <c r="B89" s="167"/>
      <c r="C89" s="167"/>
      <c r="D89" s="167"/>
      <c r="E89" s="174"/>
      <c r="F89" s="174"/>
      <c r="G89" s="171"/>
      <c r="H89" s="179" t="s">
        <v>35</v>
      </c>
      <c r="I89" s="180">
        <f ca="1">IFERROR(__xludf.DUMMYFUNCTION("IMPORTRANGE(""https://docs.google.com/spreadsheets/d/1yhBcrRPreicbMKl9Bu_Snb2-OcQAF62RKfhTLhJ2eAA/edit?usp=sharing"",""กาฬสินธุ์!I89"")+IMPORTRANGE(""https://docs.google.com/spreadsheets/d/1aHkj4IaQMThhwWwevcOymEh837vdxeC_PycurhTbGFA/edit?usp=sharing"","""&amp;"ขอนแก่น!I89"")+IMPORTRANGE(""https://docs.google.com/spreadsheets/d/1FvTu2DsIWUjP6WCWra38Bkj_oOl_sOMf14r5Fg5srxU/edit?usp=sharing"",""ชัยภูมิ!I89"")+IMPORTRANGE(""https://docs.google.com/spreadsheets/d/1XVB7oCJ3pr-vBUdflwPQ8Z2LlzhnCvZaaYjAfP-647E/edit?usp"&amp;"=sharing"",""นครพนม!I89"")+IMPORTRANGE(""https://docs.google.com/spreadsheets/d/1Mnpb-8PYAgn85W6KOTD40hc_Xc55CaLfHoGAbrZ8tls/edit?usp=sharing"",""นครราชสีมา!I89"")+IMPORTRANGE(""https://docs.google.com/spreadsheets/d/1xoDLGBv9CYbyosIhki0kTq6IpYNj-gpjxfobn"&amp;"aDiut0/edit?usp=sharing"",""บึงกาฬ!I89"")+IMPORTRANGE(""https://docs.google.com/spreadsheets/d/1MMPq-JyI6DSgQETxuSiXkesP-P7JHuemnE6QJIa-Nlw/edit?usp=sharing"",""บุรีรัมย์!I89"")+IMPORTRANGE(""https://docs.google.com/spreadsheets/d/1l6IZ8xUPgMrESzcTYwhA1k_"&amp;"tPjeQjJPTqlm8Gd9eU5g/edit?usp=sharing"",""มหาสารคาม!I89"")+IMPORTRANGE(""https://docs.google.com/spreadsheets/d/1uB74YLqNjWX6FObjekfB2NtSYigTQyR2rq9u4Ub2Sq4/edit?usp=sharing"",""มุกดาหาร!I89"")+IMPORTRANGE(""https://docs.google.com/spreadsheets/d/1NexK3ge"&amp;"CPxCTO1fzNF8dPec7yZyUx3OaWkFBC9HsQOo/edit?usp=sharing"",""ยโสธร!I89"")+IMPORTRANGE(""https://docs.google.com/spreadsheets/d/1v_cJrbBlyqmnHPReHk44g9NrMRdENNlSy_E_c5M9fIg/edit?usp=sharing"",""ร้อยเอ็ด!I89"")+IMPORTRANGE(""https://docs.google.com/spreadsheet"&amp;"s/d/1Ul4RCpCX66NxYADU1QpwAPjOmBzW64SsT11s1wzXw_c/edit?usp=sharing"",""เลย!I89"")+IMPORTRANGE(""https://docs.google.com/spreadsheets/d/1bRrNKwbHDVktQG10isr5vbWRtt5spIZPpkOSWgbT5ug/edit?usp=sharing"",""ศรีสะเกษ!I89"")+IMPORTRANGE(""https://docs.google.com/s"&amp;"preadsheets/d/17P34_Ow5kFBfdQD0qspb2UuPX5zpi6WMrQzslghyvrI/edit?usp=sharing"",""สกลนคร!I89"")+IMPORTRANGE(""https://docs.google.com/spreadsheets/d/1yswqbM3-AEpThF3ZSUa1AcmHnmRTF1vlJ1CZGcJ8YuU/edit?usp=sharing"",""สุรินทร์!I89"")+IMPORTRANGE(""https://docs"&amp;".google.com/spreadsheets/d/13JHU_EFbsQOUQ0JSQ3dWy1VTRosIWcDq6Nc99z2qzdc/edit?usp=sharing"",""หนองคาย!I89"")+IMPORTRANGE(""https://docs.google.com/spreadsheets/d/1Hx73zIEgVdDZZaYSTc46Dqv64atFhpr3GelxLbaIN8A/edit?usp=sharing"",""หนองบัวลำภู!I89"")+IMPORTRAN"&amp;"GE(""https://docs.google.com/spreadsheets/d/1lFxr3ctmjFN90yc-xV6jrQ9Ty8BKYVBWnAZ15wcNIJc/edit?usp=sharing"",""อำนาจเจริญ!I89"")+IMPORTRANGE(""https://docs.google.com/spreadsheets/d/1gF7RJpRnL-1oyjyeWxs5SFWEH7y8ahOZsQlyp2A2e-A/edit?usp=sharing"",""อุดรธานี"&amp;"!I89"")+IMPORTRANGE(""https://docs.google.com/spreadsheets/d/1kfLP0j3INXRa8bTDpcEmoWewMBV61jlFlfzczfjWIgc/edit?usp=sharing"",""อุบลราชธานี!I89"")"),274)</f>
        <v>274</v>
      </c>
      <c r="J89" s="181">
        <f ca="1">IFERROR(__xludf.DUMMYFUNCTION("IMPORTRANGE(""https://docs.google.com/spreadsheets/d/1yhBcrRPreicbMKl9Bu_Snb2-OcQAF62RKfhTLhJ2eAA/edit?usp=sharing"",""กาฬสินธุ์!J89"")+IMPORTRANGE(""https://docs.google.com/spreadsheets/d/1aHkj4IaQMThhwWwevcOymEh837vdxeC_PycurhTbGFA/edit?usp=sharing"","""&amp;"ขอนแก่น!J89"")+IMPORTRANGE(""https://docs.google.com/spreadsheets/d/1FvTu2DsIWUjP6WCWra38Bkj_oOl_sOMf14r5Fg5srxU/edit?usp=sharing"",""ชัยภูมิ!J89"")+IMPORTRANGE(""https://docs.google.com/spreadsheets/d/1XVB7oCJ3pr-vBUdflwPQ8Z2LlzhnCvZaaYjAfP-647E/edit?usp"&amp;"=sharing"",""นครพนม!J89"")+IMPORTRANGE(""https://docs.google.com/spreadsheets/d/1Mnpb-8PYAgn85W6KOTD40hc_Xc55CaLfHoGAbrZ8tls/edit?usp=sharing"",""นครราชสีมา!J89"")+IMPORTRANGE(""https://docs.google.com/spreadsheets/d/1xoDLGBv9CYbyosIhki0kTq6IpYNj-gpjxfobn"&amp;"aDiut0/edit?usp=sharing"",""บึงกาฬ!J89"")+IMPORTRANGE(""https://docs.google.com/spreadsheets/d/1MMPq-JyI6DSgQETxuSiXkesP-P7JHuemnE6QJIa-Nlw/edit?usp=sharing"",""บุรีรัมย์!J89"")+IMPORTRANGE(""https://docs.google.com/spreadsheets/d/1l6IZ8xUPgMrESzcTYwhA1k_"&amp;"tPjeQjJPTqlm8Gd9eU5g/edit?usp=sharing"",""มหาสารคาม!J89"")+IMPORTRANGE(""https://docs.google.com/spreadsheets/d/1uB74YLqNjWX6FObjekfB2NtSYigTQyR2rq9u4Ub2Sq4/edit?usp=sharing"",""มุกดาหาร!J89"")+IMPORTRANGE(""https://docs.google.com/spreadsheets/d/1NexK3ge"&amp;"CPxCTO1fzNF8dPec7yZyUx3OaWkFBC9HsQOo/edit?usp=sharing"",""ยโสธร!J89"")+IMPORTRANGE(""https://docs.google.com/spreadsheets/d/1v_cJrbBlyqmnHPReHk44g9NrMRdENNlSy_E_c5M9fIg/edit?usp=sharing"",""ร้อยเอ็ด!J89"")+IMPORTRANGE(""https://docs.google.com/spreadsheet"&amp;"s/d/1Ul4RCpCX66NxYADU1QpwAPjOmBzW64SsT11s1wzXw_c/edit?usp=sharing"",""เลย!J89"")+IMPORTRANGE(""https://docs.google.com/spreadsheets/d/1bRrNKwbHDVktQG10isr5vbWRtt5spIZPpkOSWgbT5ug/edit?usp=sharing"",""ศรีสะเกษ!J89"")+IMPORTRANGE(""https://docs.google.com/s"&amp;"preadsheets/d/17P34_Ow5kFBfdQD0qspb2UuPX5zpi6WMrQzslghyvrI/edit?usp=sharing"",""สกลนคร!J89"")+IMPORTRANGE(""https://docs.google.com/spreadsheets/d/1yswqbM3-AEpThF3ZSUa1AcmHnmRTF1vlJ1CZGcJ8YuU/edit?usp=sharing"",""สุรินทร์!J89"")+IMPORTRANGE(""https://docs"&amp;".google.com/spreadsheets/d/13JHU_EFbsQOUQ0JSQ3dWy1VTRosIWcDq6Nc99z2qzdc/edit?usp=sharing"",""หนองคาย!J89"")+IMPORTRANGE(""https://docs.google.com/spreadsheets/d/1Hx73zIEgVdDZZaYSTc46Dqv64atFhpr3GelxLbaIN8A/edit?usp=sharing"",""หนองบัวลำภู!J89"")+IMPORTRAN"&amp;"GE(""https://docs.google.com/spreadsheets/d/1lFxr3ctmjFN90yc-xV6jrQ9Ty8BKYVBWnAZ15wcNIJc/edit?usp=sharing"",""อำนาจเจริญ!J89"")+IMPORTRANGE(""https://docs.google.com/spreadsheets/d/1gF7RJpRnL-1oyjyeWxs5SFWEH7y8ahOZsQlyp2A2e-A/edit?usp=sharing"",""อุดรธานี"&amp;"!J89"")+IMPORTRANGE(""https://docs.google.com/spreadsheets/d/1kfLP0j3INXRa8bTDpcEmoWewMBV61jlFlfzczfjWIgc/edit?usp=sharing"",""อุบลราชธานี!J89"")"),64)</f>
        <v>64</v>
      </c>
      <c r="K89" s="182">
        <f t="shared" ca="1" si="68"/>
        <v>23.357664233576642</v>
      </c>
      <c r="L89" s="164"/>
      <c r="M89" s="164"/>
      <c r="N89" s="164"/>
      <c r="O89" s="164"/>
      <c r="P89" s="164"/>
      <c r="Q89" s="164"/>
      <c r="R89" s="164"/>
      <c r="S89" s="172"/>
      <c r="T89" s="164"/>
      <c r="U89" s="164"/>
    </row>
    <row r="90" spans="1:21" ht="18.75">
      <c r="A90" s="166"/>
      <c r="B90" s="167"/>
      <c r="C90" s="167"/>
      <c r="D90" s="173" t="s">
        <v>43</v>
      </c>
      <c r="E90" s="174"/>
      <c r="F90" s="174"/>
      <c r="G90" s="171"/>
      <c r="H90" s="183" t="s">
        <v>34</v>
      </c>
      <c r="I90" s="180">
        <f ca="1">IFERROR(__xludf.DUMMYFUNCTION("IMPORTRANGE(""https://docs.google.com/spreadsheets/d/1yhBcrRPreicbMKl9Bu_Snb2-OcQAF62RKfhTLhJ2eAA/edit?usp=sharing"",""กาฬสินธุ์!I90"")+IMPORTRANGE(""https://docs.google.com/spreadsheets/d/1aHkj4IaQMThhwWwevcOymEh837vdxeC_PycurhTbGFA/edit?usp=sharing"","""&amp;"ขอนแก่น!I90"")+IMPORTRANGE(""https://docs.google.com/spreadsheets/d/1FvTu2DsIWUjP6WCWra38Bkj_oOl_sOMf14r5Fg5srxU/edit?usp=sharing"",""ชัยภูมิ!I90"")+IMPORTRANGE(""https://docs.google.com/spreadsheets/d/1XVB7oCJ3pr-vBUdflwPQ8Z2LlzhnCvZaaYjAfP-647E/edit?usp"&amp;"=sharing"",""นครพนม!I90"")+IMPORTRANGE(""https://docs.google.com/spreadsheets/d/1Mnpb-8PYAgn85W6KOTD40hc_Xc55CaLfHoGAbrZ8tls/edit?usp=sharing"",""นครราชสีมา!I90"")+IMPORTRANGE(""https://docs.google.com/spreadsheets/d/1xoDLGBv9CYbyosIhki0kTq6IpYNj-gpjxfobn"&amp;"aDiut0/edit?usp=sharing"",""บึงกาฬ!I90"")+IMPORTRANGE(""https://docs.google.com/spreadsheets/d/1MMPq-JyI6DSgQETxuSiXkesP-P7JHuemnE6QJIa-Nlw/edit?usp=sharing"",""บุรีรัมย์!I90"")+IMPORTRANGE(""https://docs.google.com/spreadsheets/d/1l6IZ8xUPgMrESzcTYwhA1k_"&amp;"tPjeQjJPTqlm8Gd9eU5g/edit?usp=sharing"",""มหาสารคาม!I90"")+IMPORTRANGE(""https://docs.google.com/spreadsheets/d/1uB74YLqNjWX6FObjekfB2NtSYigTQyR2rq9u4Ub2Sq4/edit?usp=sharing"",""มุกดาหาร!I90"")+IMPORTRANGE(""https://docs.google.com/spreadsheets/d/1NexK3ge"&amp;"CPxCTO1fzNF8dPec7yZyUx3OaWkFBC9HsQOo/edit?usp=sharing"",""ยโสธร!I90"")+IMPORTRANGE(""https://docs.google.com/spreadsheets/d/1v_cJrbBlyqmnHPReHk44g9NrMRdENNlSy_E_c5M9fIg/edit?usp=sharing"",""ร้อยเอ็ด!I90"")+IMPORTRANGE(""https://docs.google.com/spreadsheet"&amp;"s/d/1Ul4RCpCX66NxYADU1QpwAPjOmBzW64SsT11s1wzXw_c/edit?usp=sharing"",""เลย!I90"")+IMPORTRANGE(""https://docs.google.com/spreadsheets/d/1bRrNKwbHDVktQG10isr5vbWRtt5spIZPpkOSWgbT5ug/edit?usp=sharing"",""ศรีสะเกษ!I90"")+IMPORTRANGE(""https://docs.google.com/s"&amp;"preadsheets/d/17P34_Ow5kFBfdQD0qspb2UuPX5zpi6WMrQzslghyvrI/edit?usp=sharing"",""สกลนคร!I90"")+IMPORTRANGE(""https://docs.google.com/spreadsheets/d/1yswqbM3-AEpThF3ZSUa1AcmHnmRTF1vlJ1CZGcJ8YuU/edit?usp=sharing"",""สุรินทร์!I90"")+IMPORTRANGE(""https://docs"&amp;".google.com/spreadsheets/d/13JHU_EFbsQOUQ0JSQ3dWy1VTRosIWcDq6Nc99z2qzdc/edit?usp=sharing"",""หนองคาย!I90"")+IMPORTRANGE(""https://docs.google.com/spreadsheets/d/1Hx73zIEgVdDZZaYSTc46Dqv64atFhpr3GelxLbaIN8A/edit?usp=sharing"",""หนองบัวลำภู!I90"")+IMPORTRAN"&amp;"GE(""https://docs.google.com/spreadsheets/d/1lFxr3ctmjFN90yc-xV6jrQ9Ty8BKYVBWnAZ15wcNIJc/edit?usp=sharing"",""อำนาจเจริญ!I90"")+IMPORTRANGE(""https://docs.google.com/spreadsheets/d/1gF7RJpRnL-1oyjyeWxs5SFWEH7y8ahOZsQlyp2A2e-A/edit?usp=sharing"",""อุดรธานี"&amp;"!I90"")+IMPORTRANGE(""https://docs.google.com/spreadsheets/d/1kfLP0j3INXRa8bTDpcEmoWewMBV61jlFlfzczfjWIgc/edit?usp=sharing"",""อุบลราชธานี!I90"")"),15)</f>
        <v>15</v>
      </c>
      <c r="J90" s="181">
        <f ca="1">IFERROR(__xludf.DUMMYFUNCTION("IMPORTRANGE(""https://docs.google.com/spreadsheets/d/1yhBcrRPreicbMKl9Bu_Snb2-OcQAF62RKfhTLhJ2eAA/edit?usp=sharing"",""กาฬสินธุ์!J90"")+IMPORTRANGE(""https://docs.google.com/spreadsheets/d/1aHkj4IaQMThhwWwevcOymEh837vdxeC_PycurhTbGFA/edit?usp=sharing"","""&amp;"ขอนแก่น!J90"")+IMPORTRANGE(""https://docs.google.com/spreadsheets/d/1FvTu2DsIWUjP6WCWra38Bkj_oOl_sOMf14r5Fg5srxU/edit?usp=sharing"",""ชัยภูมิ!J90"")+IMPORTRANGE(""https://docs.google.com/spreadsheets/d/1XVB7oCJ3pr-vBUdflwPQ8Z2LlzhnCvZaaYjAfP-647E/edit?usp"&amp;"=sharing"",""นครพนม!J90"")+IMPORTRANGE(""https://docs.google.com/spreadsheets/d/1Mnpb-8PYAgn85W6KOTD40hc_Xc55CaLfHoGAbrZ8tls/edit?usp=sharing"",""นครราชสีมา!J90"")+IMPORTRANGE(""https://docs.google.com/spreadsheets/d/1xoDLGBv9CYbyosIhki0kTq6IpYNj-gpjxfobn"&amp;"aDiut0/edit?usp=sharing"",""บึงกาฬ!J90"")+IMPORTRANGE(""https://docs.google.com/spreadsheets/d/1MMPq-JyI6DSgQETxuSiXkesP-P7JHuemnE6QJIa-Nlw/edit?usp=sharing"",""บุรีรัมย์!J90"")+IMPORTRANGE(""https://docs.google.com/spreadsheets/d/1l6IZ8xUPgMrESzcTYwhA1k_"&amp;"tPjeQjJPTqlm8Gd9eU5g/edit?usp=sharing"",""มหาสารคาม!J90"")+IMPORTRANGE(""https://docs.google.com/spreadsheets/d/1uB74YLqNjWX6FObjekfB2NtSYigTQyR2rq9u4Ub2Sq4/edit?usp=sharing"",""มุกดาหาร!J90"")+IMPORTRANGE(""https://docs.google.com/spreadsheets/d/1NexK3ge"&amp;"CPxCTO1fzNF8dPec7yZyUx3OaWkFBC9HsQOo/edit?usp=sharing"",""ยโสธร!J90"")+IMPORTRANGE(""https://docs.google.com/spreadsheets/d/1v_cJrbBlyqmnHPReHk44g9NrMRdENNlSy_E_c5M9fIg/edit?usp=sharing"",""ร้อยเอ็ด!J90"")+IMPORTRANGE(""https://docs.google.com/spreadsheet"&amp;"s/d/1Ul4RCpCX66NxYADU1QpwAPjOmBzW64SsT11s1wzXw_c/edit?usp=sharing"",""เลย!J90"")+IMPORTRANGE(""https://docs.google.com/spreadsheets/d/1bRrNKwbHDVktQG10isr5vbWRtt5spIZPpkOSWgbT5ug/edit?usp=sharing"",""ศรีสะเกษ!J90"")+IMPORTRANGE(""https://docs.google.com/s"&amp;"preadsheets/d/17P34_Ow5kFBfdQD0qspb2UuPX5zpi6WMrQzslghyvrI/edit?usp=sharing"",""สกลนคร!J90"")+IMPORTRANGE(""https://docs.google.com/spreadsheets/d/1yswqbM3-AEpThF3ZSUa1AcmHnmRTF1vlJ1CZGcJ8YuU/edit?usp=sharing"",""สุรินทร์!J90"")+IMPORTRANGE(""https://docs"&amp;".google.com/spreadsheets/d/13JHU_EFbsQOUQ0JSQ3dWy1VTRosIWcDq6Nc99z2qzdc/edit?usp=sharing"",""หนองคาย!J90"")+IMPORTRANGE(""https://docs.google.com/spreadsheets/d/1Hx73zIEgVdDZZaYSTc46Dqv64atFhpr3GelxLbaIN8A/edit?usp=sharing"",""หนองบัวลำภู!J90"")+IMPORTRAN"&amp;"GE(""https://docs.google.com/spreadsheets/d/1lFxr3ctmjFN90yc-xV6jrQ9Ty8BKYVBWnAZ15wcNIJc/edit?usp=sharing"",""อำนาจเจริญ!J90"")+IMPORTRANGE(""https://docs.google.com/spreadsheets/d/1gF7RJpRnL-1oyjyeWxs5SFWEH7y8ahOZsQlyp2A2e-A/edit?usp=sharing"",""อุดรธานี"&amp;"!J90"")+IMPORTRANGE(""https://docs.google.com/spreadsheets/d/1kfLP0j3INXRa8bTDpcEmoWewMBV61jlFlfzczfjWIgc/edit?usp=sharing"",""อุบลราชธานี!J90"")"),1)</f>
        <v>1</v>
      </c>
      <c r="K90" s="182">
        <f t="shared" ca="1" si="68"/>
        <v>6.666666666666667</v>
      </c>
      <c r="L90" s="164"/>
      <c r="M90" s="164"/>
      <c r="N90" s="164"/>
      <c r="O90" s="164"/>
      <c r="P90" s="164"/>
      <c r="Q90" s="164"/>
      <c r="R90" s="164"/>
      <c r="S90" s="172"/>
      <c r="T90" s="164"/>
      <c r="U90" s="164"/>
    </row>
    <row r="91" spans="1:21" ht="19.5">
      <c r="A91" s="143" t="s">
        <v>44</v>
      </c>
      <c r="B91" s="144"/>
      <c r="C91" s="145"/>
      <c r="D91" s="144"/>
      <c r="E91" s="144"/>
      <c r="F91" s="144"/>
      <c r="G91" s="146"/>
      <c r="H91" s="184"/>
      <c r="I91" s="147"/>
      <c r="J91" s="147"/>
      <c r="K91" s="148"/>
      <c r="L91" s="148"/>
      <c r="M91" s="148"/>
      <c r="N91" s="148"/>
      <c r="O91" s="148"/>
      <c r="P91" s="148"/>
      <c r="Q91" s="148"/>
      <c r="R91" s="148"/>
      <c r="S91" s="149"/>
      <c r="T91" s="148"/>
      <c r="U91" s="148"/>
    </row>
    <row r="92" spans="1:21" ht="19.5">
      <c r="A92" s="150"/>
      <c r="B92" s="35" t="s">
        <v>45</v>
      </c>
      <c r="C92" s="34"/>
      <c r="D92" s="151"/>
      <c r="E92" s="34"/>
      <c r="F92" s="34"/>
      <c r="G92" s="37"/>
      <c r="H92" s="185" t="s">
        <v>46</v>
      </c>
      <c r="I92" s="153">
        <f t="shared" ref="I92:J92" ca="1" si="70">I108</f>
        <v>432</v>
      </c>
      <c r="J92" s="153">
        <f t="shared" ca="1" si="70"/>
        <v>255</v>
      </c>
      <c r="K92" s="41">
        <f t="shared" ref="K92:K93" ca="1" si="71">IF(I92&gt;0,J92*100/I92,0)</f>
        <v>59.027777777777779</v>
      </c>
      <c r="L92" s="40"/>
      <c r="M92" s="40"/>
      <c r="N92" s="40"/>
      <c r="O92" s="40"/>
      <c r="P92" s="40"/>
      <c r="Q92" s="40"/>
      <c r="R92" s="40"/>
      <c r="S92" s="154"/>
      <c r="T92" s="40"/>
      <c r="U92" s="40"/>
    </row>
    <row r="93" spans="1:21" ht="19.5">
      <c r="A93" s="150"/>
      <c r="B93" s="34"/>
      <c r="C93" s="34"/>
      <c r="D93" s="151"/>
      <c r="E93" s="34"/>
      <c r="F93" s="34"/>
      <c r="G93" s="37"/>
      <c r="H93" s="185" t="s">
        <v>35</v>
      </c>
      <c r="I93" s="153">
        <f t="shared" ref="I93:J93" ca="1" si="72">I109</f>
        <v>144</v>
      </c>
      <c r="J93" s="153">
        <f t="shared" ca="1" si="72"/>
        <v>95</v>
      </c>
      <c r="K93" s="41">
        <f t="shared" ca="1" si="71"/>
        <v>65.972222222222229</v>
      </c>
      <c r="L93" s="40"/>
      <c r="M93" s="40"/>
      <c r="N93" s="40"/>
      <c r="O93" s="40"/>
      <c r="P93" s="40"/>
      <c r="Q93" s="40"/>
      <c r="R93" s="40"/>
      <c r="S93" s="154"/>
      <c r="T93" s="40"/>
      <c r="U93" s="40"/>
    </row>
    <row r="94" spans="1:21" ht="19.5">
      <c r="A94" s="155"/>
      <c r="B94" s="50"/>
      <c r="C94" s="156" t="s">
        <v>18</v>
      </c>
      <c r="D94" s="157" t="s">
        <v>19</v>
      </c>
      <c r="E94" s="50"/>
      <c r="F94" s="50"/>
      <c r="G94" s="52"/>
      <c r="H94" s="158" t="s">
        <v>14</v>
      </c>
      <c r="I94" s="54"/>
      <c r="J94" s="54"/>
      <c r="K94" s="55"/>
      <c r="L94" s="159">
        <f t="shared" ref="L94:N94" ca="1" si="73">L95+L96</f>
        <v>697000</v>
      </c>
      <c r="M94" s="159">
        <f t="shared" ca="1" si="73"/>
        <v>534340</v>
      </c>
      <c r="N94" s="159">
        <f t="shared" ca="1" si="73"/>
        <v>346349.62</v>
      </c>
      <c r="O94" s="159">
        <f t="shared" ref="O94:O102" ca="1" si="74">IF(L94&gt;0,N94*100/L94,0)</f>
        <v>49.691480631276903</v>
      </c>
      <c r="P94" s="159">
        <f t="shared" ref="P94:P102" ca="1" si="75">IF(M94&gt;0,N94*100/M94,0)</f>
        <v>64.818209379795633</v>
      </c>
      <c r="Q94" s="159">
        <f t="shared" ref="Q94:S94" ca="1" si="76">Q95+Q96</f>
        <v>934848</v>
      </c>
      <c r="R94" s="159">
        <f t="shared" ca="1" si="76"/>
        <v>934848</v>
      </c>
      <c r="S94" s="160">
        <f t="shared" ca="1" si="76"/>
        <v>242817.7</v>
      </c>
      <c r="T94" s="159">
        <f t="shared" ref="T94:T102" ca="1" si="77">IF(Q94&gt;0,S94*100/Q94,0)</f>
        <v>25.974030002738413</v>
      </c>
      <c r="U94" s="159">
        <f t="shared" ref="U94:U102" ca="1" si="78">IF(R94&gt;0,S94*100/R94,0)</f>
        <v>25.974030002738413</v>
      </c>
    </row>
    <row r="95" spans="1:21" ht="18.75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59">
        <f t="shared" ref="L95:N95" ca="1" si="79">L98+L101</f>
        <v>0</v>
      </c>
      <c r="M95" s="59">
        <f t="shared" ca="1" si="79"/>
        <v>0</v>
      </c>
      <c r="N95" s="59">
        <f t="shared" ca="1" si="79"/>
        <v>0</v>
      </c>
      <c r="O95" s="59">
        <f t="shared" ca="1" si="74"/>
        <v>0</v>
      </c>
      <c r="P95" s="59">
        <f t="shared" ca="1" si="75"/>
        <v>0</v>
      </c>
      <c r="Q95" s="59">
        <f t="shared" ref="Q95:S95" ca="1" si="80">Q98+Q101</f>
        <v>0</v>
      </c>
      <c r="R95" s="59">
        <f t="shared" ca="1" si="80"/>
        <v>0</v>
      </c>
      <c r="S95" s="60">
        <f t="shared" ca="1" si="80"/>
        <v>0</v>
      </c>
      <c r="T95" s="59">
        <f t="shared" ca="1" si="77"/>
        <v>0</v>
      </c>
      <c r="U95" s="59">
        <f t="shared" ca="1" si="78"/>
        <v>0</v>
      </c>
    </row>
    <row r="96" spans="1:21" ht="18.75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56">
        <f t="shared" ref="L96:N96" ca="1" si="81">L99+L102</f>
        <v>697000</v>
      </c>
      <c r="M96" s="56">
        <f t="shared" ca="1" si="81"/>
        <v>534340</v>
      </c>
      <c r="N96" s="56">
        <f t="shared" ca="1" si="81"/>
        <v>346349.62</v>
      </c>
      <c r="O96" s="56">
        <f t="shared" ca="1" si="74"/>
        <v>49.691480631276903</v>
      </c>
      <c r="P96" s="56">
        <f t="shared" ca="1" si="75"/>
        <v>64.818209379795633</v>
      </c>
      <c r="Q96" s="56">
        <f t="shared" ref="Q96:S96" ca="1" si="82">Q99+Q102</f>
        <v>934848</v>
      </c>
      <c r="R96" s="56">
        <f t="shared" ca="1" si="82"/>
        <v>934848</v>
      </c>
      <c r="S96" s="57">
        <f t="shared" ca="1" si="82"/>
        <v>242817.7</v>
      </c>
      <c r="T96" s="56">
        <f t="shared" ca="1" si="77"/>
        <v>25.974030002738413</v>
      </c>
      <c r="U96" s="56">
        <f t="shared" ca="1" si="78"/>
        <v>25.974030002738413</v>
      </c>
    </row>
    <row r="97" spans="1:21" ht="18.75">
      <c r="A97" s="155"/>
      <c r="B97" s="188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56">
        <f t="shared" ref="L97:N97" ca="1" si="83">L98+L99</f>
        <v>697000</v>
      </c>
      <c r="M97" s="56">
        <f t="shared" ca="1" si="83"/>
        <v>534340</v>
      </c>
      <c r="N97" s="56">
        <f t="shared" ca="1" si="83"/>
        <v>346349.62</v>
      </c>
      <c r="O97" s="56">
        <f t="shared" ca="1" si="74"/>
        <v>49.691480631276903</v>
      </c>
      <c r="P97" s="56">
        <f t="shared" ca="1" si="75"/>
        <v>64.818209379795633</v>
      </c>
      <c r="Q97" s="56">
        <f t="shared" ref="Q97:S97" ca="1" si="84">Q98+Q99</f>
        <v>934848</v>
      </c>
      <c r="R97" s="56">
        <f t="shared" ca="1" si="84"/>
        <v>934848</v>
      </c>
      <c r="S97" s="57">
        <f t="shared" ca="1" si="84"/>
        <v>242817.7</v>
      </c>
      <c r="T97" s="56">
        <f t="shared" ca="1" si="77"/>
        <v>25.974030002738413</v>
      </c>
      <c r="U97" s="56">
        <f t="shared" ca="1" si="78"/>
        <v>25.974030002738413</v>
      </c>
    </row>
    <row r="98" spans="1:21" ht="18.75">
      <c r="A98" s="155"/>
      <c r="B98" s="188"/>
      <c r="C98" s="188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59">
        <f ca="1">IFERROR(__xludf.DUMMYFUNCTION("IMPORTRANGE(""https://docs.google.com/spreadsheets/d/1yhBcrRPreicbMKl9Bu_Snb2-OcQAF62RKfhTLhJ2eAA/edit?usp=sharing"",""กาฬสินธุ์!L98"")+IMPORTRANGE(""https://docs.google.com/spreadsheets/d/1aHkj4IaQMThhwWwevcOymEh837vdxeC_PycurhTbGFA/edit?usp=sharing"","""&amp;"ขอนแก่น!L98"")+IMPORTRANGE(""https://docs.google.com/spreadsheets/d/1FvTu2DsIWUjP6WCWra38Bkj_oOl_sOMf14r5Fg5srxU/edit?usp=sharing"",""ชัยภูมิ!L98"")+IMPORTRANGE(""https://docs.google.com/spreadsheets/d/1XVB7oCJ3pr-vBUdflwPQ8Z2LlzhnCvZaaYjAfP-647E/edit?usp"&amp;"=sharing"",""นครพนม!L98"")+IMPORTRANGE(""https://docs.google.com/spreadsheets/d/1Mnpb-8PYAgn85W6KOTD40hc_Xc55CaLfHoGAbrZ8tls/edit?usp=sharing"",""นครราชสีมา!L98"")+IMPORTRANGE(""https://docs.google.com/spreadsheets/d/1xoDLGBv9CYbyosIhki0kTq6IpYNj-gpjxfobn"&amp;"aDiut0/edit?usp=sharing"",""บึงกาฬ!L98"")+IMPORTRANGE(""https://docs.google.com/spreadsheets/d/1MMPq-JyI6DSgQETxuSiXkesP-P7JHuemnE6QJIa-Nlw/edit?usp=sharing"",""บุรีรัมย์!L98"")+IMPORTRANGE(""https://docs.google.com/spreadsheets/d/1l6IZ8xUPgMrESzcTYwhA1k_"&amp;"tPjeQjJPTqlm8Gd9eU5g/edit?usp=sharing"",""มหาสารคาม!L98"")+IMPORTRANGE(""https://docs.google.com/spreadsheets/d/1uB74YLqNjWX6FObjekfB2NtSYigTQyR2rq9u4Ub2Sq4/edit?usp=sharing"",""มุกดาหาร!L98"")+IMPORTRANGE(""https://docs.google.com/spreadsheets/d/1NexK3ge"&amp;"CPxCTO1fzNF8dPec7yZyUx3OaWkFBC9HsQOo/edit?usp=sharing"",""ยโสธร!L98"")+IMPORTRANGE(""https://docs.google.com/spreadsheets/d/1v_cJrbBlyqmnHPReHk44g9NrMRdENNlSy_E_c5M9fIg/edit?usp=sharing"",""ร้อยเอ็ด!L98"")+IMPORTRANGE(""https://docs.google.com/spreadsheet"&amp;"s/d/1Ul4RCpCX66NxYADU1QpwAPjOmBzW64SsT11s1wzXw_c/edit?usp=sharing"",""เลย!L98"")+IMPORTRANGE(""https://docs.google.com/spreadsheets/d/1bRrNKwbHDVktQG10isr5vbWRtt5spIZPpkOSWgbT5ug/edit?usp=sharing"",""ศรีสะเกษ!L98"")+IMPORTRANGE(""https://docs.google.com/s"&amp;"preadsheets/d/17P34_Ow5kFBfdQD0qspb2UuPX5zpi6WMrQzslghyvrI/edit?usp=sharing"",""สกลนคร!L98"")+IMPORTRANGE(""https://docs.google.com/spreadsheets/d/1yswqbM3-AEpThF3ZSUa1AcmHnmRTF1vlJ1CZGcJ8YuU/edit?usp=sharing"",""สุรินทร์!L98"")+IMPORTRANGE(""https://docs"&amp;".google.com/spreadsheets/d/13JHU_EFbsQOUQ0JSQ3dWy1VTRosIWcDq6Nc99z2qzdc/edit?usp=sharing"",""หนองคาย!L98"")+IMPORTRANGE(""https://docs.google.com/spreadsheets/d/1Hx73zIEgVdDZZaYSTc46Dqv64atFhpr3GelxLbaIN8A/edit?usp=sharing"",""หนองบัวลำภู!L98"")+IMPORTRAN"&amp;"GE(""https://docs.google.com/spreadsheets/d/1lFxr3ctmjFN90yc-xV6jrQ9Ty8BKYVBWnAZ15wcNIJc/edit?usp=sharing"",""อำนาจเจริญ!L98"")+IMPORTRANGE(""https://docs.google.com/spreadsheets/d/1gF7RJpRnL-1oyjyeWxs5SFWEH7y8ahOZsQlyp2A2e-A/edit?usp=sharing"",""อุดรธานี"&amp;"!L98"")+IMPORTRANGE(""https://docs.google.com/spreadsheets/d/1kfLP0j3INXRa8bTDpcEmoWewMBV61jlFlfzczfjWIgc/edit?usp=sharing"",""อุบลราชธานี!L98"")"),0)</f>
        <v>0</v>
      </c>
      <c r="M98" s="59">
        <f ca="1">IFERROR(__xludf.DUMMYFUNCTION("IMPORTRANGE(""https://docs.google.com/spreadsheets/d/1yhBcrRPreicbMKl9Bu_Snb2-OcQAF62RKfhTLhJ2eAA/edit?usp=sharing"",""กาฬสินธุ์!M98"")+IMPORTRANGE(""https://docs.google.com/spreadsheets/d/1aHkj4IaQMThhwWwevcOymEh837vdxeC_PycurhTbGFA/edit?usp=sharing"","""&amp;"ขอนแก่น!M98"")+IMPORTRANGE(""https://docs.google.com/spreadsheets/d/1FvTu2DsIWUjP6WCWra38Bkj_oOl_sOMf14r5Fg5srxU/edit?usp=sharing"",""ชัยภูมิ!M98"")+IMPORTRANGE(""https://docs.google.com/spreadsheets/d/1XVB7oCJ3pr-vBUdflwPQ8Z2LlzhnCvZaaYjAfP-647E/edit?usp"&amp;"=sharing"",""นครพนม!M98"")+IMPORTRANGE(""https://docs.google.com/spreadsheets/d/1Mnpb-8PYAgn85W6KOTD40hc_Xc55CaLfHoGAbrZ8tls/edit?usp=sharing"",""นครราชสีมา!M98"")+IMPORTRANGE(""https://docs.google.com/spreadsheets/d/1xoDLGBv9CYbyosIhki0kTq6IpYNj-gpjxfobn"&amp;"aDiut0/edit?usp=sharing"",""บึงกาฬ!M98"")+IMPORTRANGE(""https://docs.google.com/spreadsheets/d/1MMPq-JyI6DSgQETxuSiXkesP-P7JHuemnE6QJIa-Nlw/edit?usp=sharing"",""บุรีรัมย์!M98"")+IMPORTRANGE(""https://docs.google.com/spreadsheets/d/1l6IZ8xUPgMrESzcTYwhA1k_"&amp;"tPjeQjJPTqlm8Gd9eU5g/edit?usp=sharing"",""มหาสารคาม!M98"")+IMPORTRANGE(""https://docs.google.com/spreadsheets/d/1uB74YLqNjWX6FObjekfB2NtSYigTQyR2rq9u4Ub2Sq4/edit?usp=sharing"",""มุกดาหาร!M98"")+IMPORTRANGE(""https://docs.google.com/spreadsheets/d/1NexK3ge"&amp;"CPxCTO1fzNF8dPec7yZyUx3OaWkFBC9HsQOo/edit?usp=sharing"",""ยโสธร!M98"")+IMPORTRANGE(""https://docs.google.com/spreadsheets/d/1v_cJrbBlyqmnHPReHk44g9NrMRdENNlSy_E_c5M9fIg/edit?usp=sharing"",""ร้อยเอ็ด!M98"")+IMPORTRANGE(""https://docs.google.com/spreadsheet"&amp;"s/d/1Ul4RCpCX66NxYADU1QpwAPjOmBzW64SsT11s1wzXw_c/edit?usp=sharing"",""เลย!M98"")+IMPORTRANGE(""https://docs.google.com/spreadsheets/d/1bRrNKwbHDVktQG10isr5vbWRtt5spIZPpkOSWgbT5ug/edit?usp=sharing"",""ศรีสะเกษ!M98"")+IMPORTRANGE(""https://docs.google.com/s"&amp;"preadsheets/d/17P34_Ow5kFBfdQD0qspb2UuPX5zpi6WMrQzslghyvrI/edit?usp=sharing"",""สกลนคร!M98"")+IMPORTRANGE(""https://docs.google.com/spreadsheets/d/1yswqbM3-AEpThF3ZSUa1AcmHnmRTF1vlJ1CZGcJ8YuU/edit?usp=sharing"",""สุรินทร์!M98"")+IMPORTRANGE(""https://docs"&amp;".google.com/spreadsheets/d/13JHU_EFbsQOUQ0JSQ3dWy1VTRosIWcDq6Nc99z2qzdc/edit?usp=sharing"",""หนองคาย!M98"")+IMPORTRANGE(""https://docs.google.com/spreadsheets/d/1Hx73zIEgVdDZZaYSTc46Dqv64atFhpr3GelxLbaIN8A/edit?usp=sharing"",""หนองบัวลำภู!M98"")+IMPORTRAN"&amp;"GE(""https://docs.google.com/spreadsheets/d/1lFxr3ctmjFN90yc-xV6jrQ9Ty8BKYVBWnAZ15wcNIJc/edit?usp=sharing"",""อำนาจเจริญ!M98"")+IMPORTRANGE(""https://docs.google.com/spreadsheets/d/1gF7RJpRnL-1oyjyeWxs5SFWEH7y8ahOZsQlyp2A2e-A/edit?usp=sharing"",""อุดรธานี"&amp;"!M98"")+IMPORTRANGE(""https://docs.google.com/spreadsheets/d/1kfLP0j3INXRa8bTDpcEmoWewMBV61jlFlfzczfjWIgc/edit?usp=sharing"",""อุบลราชธานี!M98"")"),0)</f>
        <v>0</v>
      </c>
      <c r="N98" s="59">
        <f ca="1">IFERROR(__xludf.DUMMYFUNCTION("IMPORTRANGE(""https://docs.google.com/spreadsheets/d/1yhBcrRPreicbMKl9Bu_Snb2-OcQAF62RKfhTLhJ2eAA/edit?usp=sharing"",""กาฬสินธุ์!N98"")+IMPORTRANGE(""https://docs.google.com/spreadsheets/d/1aHkj4IaQMThhwWwevcOymEh837vdxeC_PycurhTbGFA/edit?usp=sharing"","""&amp;"ขอนแก่น!N98"")+IMPORTRANGE(""https://docs.google.com/spreadsheets/d/1FvTu2DsIWUjP6WCWra38Bkj_oOl_sOMf14r5Fg5srxU/edit?usp=sharing"",""ชัยภูมิ!N98"")+IMPORTRANGE(""https://docs.google.com/spreadsheets/d/1XVB7oCJ3pr-vBUdflwPQ8Z2LlzhnCvZaaYjAfP-647E/edit?usp"&amp;"=sharing"",""นครพนม!N98"")+IMPORTRANGE(""https://docs.google.com/spreadsheets/d/1Mnpb-8PYAgn85W6KOTD40hc_Xc55CaLfHoGAbrZ8tls/edit?usp=sharing"",""นครราชสีมา!N98"")+IMPORTRANGE(""https://docs.google.com/spreadsheets/d/1xoDLGBv9CYbyosIhki0kTq6IpYNj-gpjxfobn"&amp;"aDiut0/edit?usp=sharing"",""บึงกาฬ!N98"")+IMPORTRANGE(""https://docs.google.com/spreadsheets/d/1MMPq-JyI6DSgQETxuSiXkesP-P7JHuemnE6QJIa-Nlw/edit?usp=sharing"",""บุรีรัมย์!N98"")+IMPORTRANGE(""https://docs.google.com/spreadsheets/d/1l6IZ8xUPgMrESzcTYwhA1k_"&amp;"tPjeQjJPTqlm8Gd9eU5g/edit?usp=sharing"",""มหาสารคาม!N98"")+IMPORTRANGE(""https://docs.google.com/spreadsheets/d/1uB74YLqNjWX6FObjekfB2NtSYigTQyR2rq9u4Ub2Sq4/edit?usp=sharing"",""มุกดาหาร!N98"")+IMPORTRANGE(""https://docs.google.com/spreadsheets/d/1NexK3ge"&amp;"CPxCTO1fzNF8dPec7yZyUx3OaWkFBC9HsQOo/edit?usp=sharing"",""ยโสธร!N98"")+IMPORTRANGE(""https://docs.google.com/spreadsheets/d/1v_cJrbBlyqmnHPReHk44g9NrMRdENNlSy_E_c5M9fIg/edit?usp=sharing"",""ร้อยเอ็ด!N98"")+IMPORTRANGE(""https://docs.google.com/spreadsheet"&amp;"s/d/1Ul4RCpCX66NxYADU1QpwAPjOmBzW64SsT11s1wzXw_c/edit?usp=sharing"",""เลย!N98"")+IMPORTRANGE(""https://docs.google.com/spreadsheets/d/1bRrNKwbHDVktQG10isr5vbWRtt5spIZPpkOSWgbT5ug/edit?usp=sharing"",""ศรีสะเกษ!N98"")+IMPORTRANGE(""https://docs.google.com/s"&amp;"preadsheets/d/17P34_Ow5kFBfdQD0qspb2UuPX5zpi6WMrQzslghyvrI/edit?usp=sharing"",""สกลนคร!N98"")+IMPORTRANGE(""https://docs.google.com/spreadsheets/d/1yswqbM3-AEpThF3ZSUa1AcmHnmRTF1vlJ1CZGcJ8YuU/edit?usp=sharing"",""สุรินทร์!N98"")+IMPORTRANGE(""https://docs"&amp;".google.com/spreadsheets/d/13JHU_EFbsQOUQ0JSQ3dWy1VTRosIWcDq6Nc99z2qzdc/edit?usp=sharing"",""หนองคาย!N98"")+IMPORTRANGE(""https://docs.google.com/spreadsheets/d/1Hx73zIEgVdDZZaYSTc46Dqv64atFhpr3GelxLbaIN8A/edit?usp=sharing"",""หนองบัวลำภู!N98"")+IMPORTRAN"&amp;"GE(""https://docs.google.com/spreadsheets/d/1lFxr3ctmjFN90yc-xV6jrQ9Ty8BKYVBWnAZ15wcNIJc/edit?usp=sharing"",""อำนาจเจริญ!N98"")+IMPORTRANGE(""https://docs.google.com/spreadsheets/d/1gF7RJpRnL-1oyjyeWxs5SFWEH7y8ahOZsQlyp2A2e-A/edit?usp=sharing"",""อุดรธานี"&amp;"!N98"")+IMPORTRANGE(""https://docs.google.com/spreadsheets/d/1kfLP0j3INXRa8bTDpcEmoWewMBV61jlFlfzczfjWIgc/edit?usp=sharing"",""อุบลราชธานี!N98"")"),0)</f>
        <v>0</v>
      </c>
      <c r="O98" s="59">
        <f t="shared" ca="1" si="74"/>
        <v>0</v>
      </c>
      <c r="P98" s="59">
        <f t="shared" ca="1" si="75"/>
        <v>0</v>
      </c>
      <c r="Q98" s="59">
        <f ca="1">IFERROR(__xludf.DUMMYFUNCTION("IMPORTRANGE(""https://docs.google.com/spreadsheets/d/1yhBcrRPreicbMKl9Bu_Snb2-OcQAF62RKfhTLhJ2eAA/edit?usp=sharing"",""กาฬสินธุ์!Q98"")+IMPORTRANGE(""https://docs.google.com/spreadsheets/d/1aHkj4IaQMThhwWwevcOymEh837vdxeC_PycurhTbGFA/edit?usp=sharing"","""&amp;"ขอนแก่น!Q98"")+IMPORTRANGE(""https://docs.google.com/spreadsheets/d/1FvTu2DsIWUjP6WCWra38Bkj_oOl_sOMf14r5Fg5srxU/edit?usp=sharing"",""ชัยภูมิ!Q98"")+IMPORTRANGE(""https://docs.google.com/spreadsheets/d/1XVB7oCJ3pr-vBUdflwPQ8Z2LlzhnCvZaaYjAfP-647E/edit?usp"&amp;"=sharing"",""นครพนม!Q98"")+IMPORTRANGE(""https://docs.google.com/spreadsheets/d/1Mnpb-8PYAgn85W6KOTD40hc_Xc55CaLfHoGAbrZ8tls/edit?usp=sharing"",""นครราชสีมา!Q98"")+IMPORTRANGE(""https://docs.google.com/spreadsheets/d/1xoDLGBv9CYbyosIhki0kTq6IpYNj-gpjxfobn"&amp;"aDiut0/edit?usp=sharing"",""บึงกาฬ!Q98"")+IMPORTRANGE(""https://docs.google.com/spreadsheets/d/1MMPq-JyI6DSgQETxuSiXkesP-P7JHuemnE6QJIa-Nlw/edit?usp=sharing"",""บุรีรัมย์!Q98"")+IMPORTRANGE(""https://docs.google.com/spreadsheets/d/1l6IZ8xUPgMrESzcTYwhA1k_"&amp;"tPjeQjJPTqlm8Gd9eU5g/edit?usp=sharing"",""มหาสารคาม!Q98"")+IMPORTRANGE(""https://docs.google.com/spreadsheets/d/1uB74YLqNjWX6FObjekfB2NtSYigTQyR2rq9u4Ub2Sq4/edit?usp=sharing"",""มุกดาหาร!Q98"")+IMPORTRANGE(""https://docs.google.com/spreadsheets/d/1NexK3ge"&amp;"CPxCTO1fzNF8dPec7yZyUx3OaWkFBC9HsQOo/edit?usp=sharing"",""ยโสธร!Q98"")+IMPORTRANGE(""https://docs.google.com/spreadsheets/d/1v_cJrbBlyqmnHPReHk44g9NrMRdENNlSy_E_c5M9fIg/edit?usp=sharing"",""ร้อยเอ็ด!Q98"")+IMPORTRANGE(""https://docs.google.com/spreadsheet"&amp;"s/d/1Ul4RCpCX66NxYADU1QpwAPjOmBzW64SsT11s1wzXw_c/edit?usp=sharing"",""เลย!Q98"")+IMPORTRANGE(""https://docs.google.com/spreadsheets/d/1bRrNKwbHDVktQG10isr5vbWRtt5spIZPpkOSWgbT5ug/edit?usp=sharing"",""ศรีสะเกษ!Q98"")+IMPORTRANGE(""https://docs.google.com/s"&amp;"preadsheets/d/17P34_Ow5kFBfdQD0qspb2UuPX5zpi6WMrQzslghyvrI/edit?usp=sharing"",""สกลนคร!Q98"")+IMPORTRANGE(""https://docs.google.com/spreadsheets/d/1yswqbM3-AEpThF3ZSUa1AcmHnmRTF1vlJ1CZGcJ8YuU/edit?usp=sharing"",""สุรินทร์!Q98"")+IMPORTRANGE(""https://docs"&amp;".google.com/spreadsheets/d/13JHU_EFbsQOUQ0JSQ3dWy1VTRosIWcDq6Nc99z2qzdc/edit?usp=sharing"",""หนองคาย!Q98"")+IMPORTRANGE(""https://docs.google.com/spreadsheets/d/1Hx73zIEgVdDZZaYSTc46Dqv64atFhpr3GelxLbaIN8A/edit?usp=sharing"",""หนองบัวลำภู!Q98"")+IMPORTRAN"&amp;"GE(""https://docs.google.com/spreadsheets/d/1lFxr3ctmjFN90yc-xV6jrQ9Ty8BKYVBWnAZ15wcNIJc/edit?usp=sharing"",""อำนาจเจริญ!Q98"")+IMPORTRANGE(""https://docs.google.com/spreadsheets/d/1gF7RJpRnL-1oyjyeWxs5SFWEH7y8ahOZsQlyp2A2e-A/edit?usp=sharing"",""อุดรธานี"&amp;"!Q98"")+IMPORTRANGE(""https://docs.google.com/spreadsheets/d/1kfLP0j3INXRa8bTDpcEmoWewMBV61jlFlfzczfjWIgc/edit?usp=sharing"",""อุบลราชธานี!Q98"")"),0)</f>
        <v>0</v>
      </c>
      <c r="R98" s="59">
        <f ca="1">IFERROR(__xludf.DUMMYFUNCTION("IMPORTRANGE(""https://docs.google.com/spreadsheets/d/1yhBcrRPreicbMKl9Bu_Snb2-OcQAF62RKfhTLhJ2eAA/edit?usp=sharing"",""กาฬสินธุ์!R98"")+IMPORTRANGE(""https://docs.google.com/spreadsheets/d/1aHkj4IaQMThhwWwevcOymEh837vdxeC_PycurhTbGFA/edit?usp=sharing"","""&amp;"ขอนแก่น!R98"")+IMPORTRANGE(""https://docs.google.com/spreadsheets/d/1FvTu2DsIWUjP6WCWra38Bkj_oOl_sOMf14r5Fg5srxU/edit?usp=sharing"",""ชัยภูมิ!R98"")+IMPORTRANGE(""https://docs.google.com/spreadsheets/d/1XVB7oCJ3pr-vBUdflwPQ8Z2LlzhnCvZaaYjAfP-647E/edit?usp"&amp;"=sharing"",""นครพนม!R98"")+IMPORTRANGE(""https://docs.google.com/spreadsheets/d/1Mnpb-8PYAgn85W6KOTD40hc_Xc55CaLfHoGAbrZ8tls/edit?usp=sharing"",""นครราชสีมา!R98"")+IMPORTRANGE(""https://docs.google.com/spreadsheets/d/1xoDLGBv9CYbyosIhki0kTq6IpYNj-gpjxfobn"&amp;"aDiut0/edit?usp=sharing"",""บึงกาฬ!R98"")+IMPORTRANGE(""https://docs.google.com/spreadsheets/d/1MMPq-JyI6DSgQETxuSiXkesP-P7JHuemnE6QJIa-Nlw/edit?usp=sharing"",""บุรีรัมย์!R98"")+IMPORTRANGE(""https://docs.google.com/spreadsheets/d/1l6IZ8xUPgMrESzcTYwhA1k_"&amp;"tPjeQjJPTqlm8Gd9eU5g/edit?usp=sharing"",""มหาสารคาม!R98"")+IMPORTRANGE(""https://docs.google.com/spreadsheets/d/1uB74YLqNjWX6FObjekfB2NtSYigTQyR2rq9u4Ub2Sq4/edit?usp=sharing"",""มุกดาหาร!R98"")+IMPORTRANGE(""https://docs.google.com/spreadsheets/d/1NexK3ge"&amp;"CPxCTO1fzNF8dPec7yZyUx3OaWkFBC9HsQOo/edit?usp=sharing"",""ยโสธร!R98"")+IMPORTRANGE(""https://docs.google.com/spreadsheets/d/1v_cJrbBlyqmnHPReHk44g9NrMRdENNlSy_E_c5M9fIg/edit?usp=sharing"",""ร้อยเอ็ด!R98"")+IMPORTRANGE(""https://docs.google.com/spreadsheet"&amp;"s/d/1Ul4RCpCX66NxYADU1QpwAPjOmBzW64SsT11s1wzXw_c/edit?usp=sharing"",""เลย!R98"")+IMPORTRANGE(""https://docs.google.com/spreadsheets/d/1bRrNKwbHDVktQG10isr5vbWRtt5spIZPpkOSWgbT5ug/edit?usp=sharing"",""ศรีสะเกษ!R98"")+IMPORTRANGE(""https://docs.google.com/s"&amp;"preadsheets/d/17P34_Ow5kFBfdQD0qspb2UuPX5zpi6WMrQzslghyvrI/edit?usp=sharing"",""สกลนคร!R98"")+IMPORTRANGE(""https://docs.google.com/spreadsheets/d/1yswqbM3-AEpThF3ZSUa1AcmHnmRTF1vlJ1CZGcJ8YuU/edit?usp=sharing"",""สุรินทร์!R98"")+IMPORTRANGE(""https://docs"&amp;".google.com/spreadsheets/d/13JHU_EFbsQOUQ0JSQ3dWy1VTRosIWcDq6Nc99z2qzdc/edit?usp=sharing"",""หนองคาย!R98"")+IMPORTRANGE(""https://docs.google.com/spreadsheets/d/1Hx73zIEgVdDZZaYSTc46Dqv64atFhpr3GelxLbaIN8A/edit?usp=sharing"",""หนองบัวลำภู!R98"")+IMPORTRAN"&amp;"GE(""https://docs.google.com/spreadsheets/d/1lFxr3ctmjFN90yc-xV6jrQ9Ty8BKYVBWnAZ15wcNIJc/edit?usp=sharing"",""อำนาจเจริญ!R98"")+IMPORTRANGE(""https://docs.google.com/spreadsheets/d/1gF7RJpRnL-1oyjyeWxs5SFWEH7y8ahOZsQlyp2A2e-A/edit?usp=sharing"",""อุดรธานี"&amp;"!R98"")+IMPORTRANGE(""https://docs.google.com/spreadsheets/d/1kfLP0j3INXRa8bTDpcEmoWewMBV61jlFlfzczfjWIgc/edit?usp=sharing"",""อุบลราชธานี!R98"")"),0)</f>
        <v>0</v>
      </c>
      <c r="S98" s="60">
        <f ca="1">IFERROR(__xludf.DUMMYFUNCTION("IMPORTRANGE(""https://docs.google.com/spreadsheets/d/1yhBcrRPreicbMKl9Bu_Snb2-OcQAF62RKfhTLhJ2eAA/edit?usp=sharing"",""กาฬสินธุ์!S98"")+IMPORTRANGE(""https://docs.google.com/spreadsheets/d/1aHkj4IaQMThhwWwevcOymEh837vdxeC_PycurhTbGFA/edit?usp=sharing"","""&amp;"ขอนแก่น!S98"")+IMPORTRANGE(""https://docs.google.com/spreadsheets/d/1FvTu2DsIWUjP6WCWra38Bkj_oOl_sOMf14r5Fg5srxU/edit?usp=sharing"",""ชัยภูมิ!S98"")+IMPORTRANGE(""https://docs.google.com/spreadsheets/d/1XVB7oCJ3pr-vBUdflwPQ8Z2LlzhnCvZaaYjAfP-647E/edit?usp"&amp;"=sharing"",""นครพนม!S98"")+IMPORTRANGE(""https://docs.google.com/spreadsheets/d/1Mnpb-8PYAgn85W6KOTD40hc_Xc55CaLfHoGAbrZ8tls/edit?usp=sharing"",""นครราชสีมา!S98"")+IMPORTRANGE(""https://docs.google.com/spreadsheets/d/1xoDLGBv9CYbyosIhki0kTq6IpYNj-gpjxfobn"&amp;"aDiut0/edit?usp=sharing"",""บึงกาฬ!S98"")+IMPORTRANGE(""https://docs.google.com/spreadsheets/d/1MMPq-JyI6DSgQETxuSiXkesP-P7JHuemnE6QJIa-Nlw/edit?usp=sharing"",""บุรีรัมย์!S98"")+IMPORTRANGE(""https://docs.google.com/spreadsheets/d/1l6IZ8xUPgMrESzcTYwhA1k_"&amp;"tPjeQjJPTqlm8Gd9eU5g/edit?usp=sharing"",""มหาสารคาม!S98"")+IMPORTRANGE(""https://docs.google.com/spreadsheets/d/1uB74YLqNjWX6FObjekfB2NtSYigTQyR2rq9u4Ub2Sq4/edit?usp=sharing"",""มุกดาหาร!S98"")+IMPORTRANGE(""https://docs.google.com/spreadsheets/d/1NexK3ge"&amp;"CPxCTO1fzNF8dPec7yZyUx3OaWkFBC9HsQOo/edit?usp=sharing"",""ยโสธร!S98"")+IMPORTRANGE(""https://docs.google.com/spreadsheets/d/1v_cJrbBlyqmnHPReHk44g9NrMRdENNlSy_E_c5M9fIg/edit?usp=sharing"",""ร้อยเอ็ด!S98"")+IMPORTRANGE(""https://docs.google.com/spreadsheet"&amp;"s/d/1Ul4RCpCX66NxYADU1QpwAPjOmBzW64SsT11s1wzXw_c/edit?usp=sharing"",""เลย!S98"")+IMPORTRANGE(""https://docs.google.com/spreadsheets/d/1bRrNKwbHDVktQG10isr5vbWRtt5spIZPpkOSWgbT5ug/edit?usp=sharing"",""ศรีสะเกษ!S98"")+IMPORTRANGE(""https://docs.google.com/s"&amp;"preadsheets/d/17P34_Ow5kFBfdQD0qspb2UuPX5zpi6WMrQzslghyvrI/edit?usp=sharing"",""สกลนคร!S98"")+IMPORTRANGE(""https://docs.google.com/spreadsheets/d/1yswqbM3-AEpThF3ZSUa1AcmHnmRTF1vlJ1CZGcJ8YuU/edit?usp=sharing"",""สุรินทร์!S98"")+IMPORTRANGE(""https://docs"&amp;".google.com/spreadsheets/d/13JHU_EFbsQOUQ0JSQ3dWy1VTRosIWcDq6Nc99z2qzdc/edit?usp=sharing"",""หนองคาย!S98"")+IMPORTRANGE(""https://docs.google.com/spreadsheets/d/1Hx73zIEgVdDZZaYSTc46Dqv64atFhpr3GelxLbaIN8A/edit?usp=sharing"",""หนองบัวลำภู!S98"")+IMPORTRAN"&amp;"GE(""https://docs.google.com/spreadsheets/d/1lFxr3ctmjFN90yc-xV6jrQ9Ty8BKYVBWnAZ15wcNIJc/edit?usp=sharing"",""อำนาจเจริญ!S98"")+IMPORTRANGE(""https://docs.google.com/spreadsheets/d/1gF7RJpRnL-1oyjyeWxs5SFWEH7y8ahOZsQlyp2A2e-A/edit?usp=sharing"",""อุดรธานี"&amp;"!S98"")+IMPORTRANGE(""https://docs.google.com/spreadsheets/d/1kfLP0j3INXRa8bTDpcEmoWewMBV61jlFlfzczfjWIgc/edit?usp=sharing"",""อุบลราชธานี!S98"")"),0)</f>
        <v>0</v>
      </c>
      <c r="T98" s="59">
        <f t="shared" ca="1" si="77"/>
        <v>0</v>
      </c>
      <c r="U98" s="59">
        <f t="shared" ca="1" si="78"/>
        <v>0</v>
      </c>
    </row>
    <row r="99" spans="1:21" ht="18.75">
      <c r="A99" s="155"/>
      <c r="B99" s="188"/>
      <c r="C99" s="188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56">
        <f ca="1">IFERROR(__xludf.DUMMYFUNCTION("IMPORTRANGE(""https://docs.google.com/spreadsheets/d/1yhBcrRPreicbMKl9Bu_Snb2-OcQAF62RKfhTLhJ2eAA/edit?usp=sharing"",""กาฬสินธุ์!L99"")+IMPORTRANGE(""https://docs.google.com/spreadsheets/d/1aHkj4IaQMThhwWwevcOymEh837vdxeC_PycurhTbGFA/edit?usp=sharing"","""&amp;"ขอนแก่น!L99"")+IMPORTRANGE(""https://docs.google.com/spreadsheets/d/1FvTu2DsIWUjP6WCWra38Bkj_oOl_sOMf14r5Fg5srxU/edit?usp=sharing"",""ชัยภูมิ!L99"")+IMPORTRANGE(""https://docs.google.com/spreadsheets/d/1XVB7oCJ3pr-vBUdflwPQ8Z2LlzhnCvZaaYjAfP-647E/edit?usp"&amp;"=sharing"",""นครพนม!L99"")+IMPORTRANGE(""https://docs.google.com/spreadsheets/d/1Mnpb-8PYAgn85W6KOTD40hc_Xc55CaLfHoGAbrZ8tls/edit?usp=sharing"",""นครราชสีมา!L99"")+IMPORTRANGE(""https://docs.google.com/spreadsheets/d/1xoDLGBv9CYbyosIhki0kTq6IpYNj-gpjxfobn"&amp;"aDiut0/edit?usp=sharing"",""บึงกาฬ!L99"")+IMPORTRANGE(""https://docs.google.com/spreadsheets/d/1MMPq-JyI6DSgQETxuSiXkesP-P7JHuemnE6QJIa-Nlw/edit?usp=sharing"",""บุรีรัมย์!L99"")+IMPORTRANGE(""https://docs.google.com/spreadsheets/d/1l6IZ8xUPgMrESzcTYwhA1k_"&amp;"tPjeQjJPTqlm8Gd9eU5g/edit?usp=sharing"",""มหาสารคาม!L99"")+IMPORTRANGE(""https://docs.google.com/spreadsheets/d/1uB74YLqNjWX6FObjekfB2NtSYigTQyR2rq9u4Ub2Sq4/edit?usp=sharing"",""มุกดาหาร!L99"")+IMPORTRANGE(""https://docs.google.com/spreadsheets/d/1NexK3ge"&amp;"CPxCTO1fzNF8dPec7yZyUx3OaWkFBC9HsQOo/edit?usp=sharing"",""ยโสธร!L99"")+IMPORTRANGE(""https://docs.google.com/spreadsheets/d/1v_cJrbBlyqmnHPReHk44g9NrMRdENNlSy_E_c5M9fIg/edit?usp=sharing"",""ร้อยเอ็ด!L99"")+IMPORTRANGE(""https://docs.google.com/spreadsheet"&amp;"s/d/1Ul4RCpCX66NxYADU1QpwAPjOmBzW64SsT11s1wzXw_c/edit?usp=sharing"",""เลย!L99"")+IMPORTRANGE(""https://docs.google.com/spreadsheets/d/1bRrNKwbHDVktQG10isr5vbWRtt5spIZPpkOSWgbT5ug/edit?usp=sharing"",""ศรีสะเกษ!L99"")+IMPORTRANGE(""https://docs.google.com/s"&amp;"preadsheets/d/17P34_Ow5kFBfdQD0qspb2UuPX5zpi6WMrQzslghyvrI/edit?usp=sharing"",""สกลนคร!L99"")+IMPORTRANGE(""https://docs.google.com/spreadsheets/d/1yswqbM3-AEpThF3ZSUa1AcmHnmRTF1vlJ1CZGcJ8YuU/edit?usp=sharing"",""สุรินทร์!L99"")+IMPORTRANGE(""https://docs"&amp;".google.com/spreadsheets/d/13JHU_EFbsQOUQ0JSQ3dWy1VTRosIWcDq6Nc99z2qzdc/edit?usp=sharing"",""หนองคาย!L99"")+IMPORTRANGE(""https://docs.google.com/spreadsheets/d/1Hx73zIEgVdDZZaYSTc46Dqv64atFhpr3GelxLbaIN8A/edit?usp=sharing"",""หนองบัวลำภู!L99"")+IMPORTRAN"&amp;"GE(""https://docs.google.com/spreadsheets/d/1lFxr3ctmjFN90yc-xV6jrQ9Ty8BKYVBWnAZ15wcNIJc/edit?usp=sharing"",""อำนาจเจริญ!L99"")+IMPORTRANGE(""https://docs.google.com/spreadsheets/d/1gF7RJpRnL-1oyjyeWxs5SFWEH7y8ahOZsQlyp2A2e-A/edit?usp=sharing"",""อุดรธานี"&amp;"!L99"")+IMPORTRANGE(""https://docs.google.com/spreadsheets/d/1kfLP0j3INXRa8bTDpcEmoWewMBV61jlFlfzczfjWIgc/edit?usp=sharing"",""อุบลราชธานี!L99"")"),697000)</f>
        <v>697000</v>
      </c>
      <c r="M99" s="56">
        <f ca="1">IFERROR(__xludf.DUMMYFUNCTION("IMPORTRANGE(""https://docs.google.com/spreadsheets/d/1yhBcrRPreicbMKl9Bu_Snb2-OcQAF62RKfhTLhJ2eAA/edit?usp=sharing"",""กาฬสินธุ์!M99"")+IMPORTRANGE(""https://docs.google.com/spreadsheets/d/1aHkj4IaQMThhwWwevcOymEh837vdxeC_PycurhTbGFA/edit?usp=sharing"","""&amp;"ขอนแก่น!M99"")+IMPORTRANGE(""https://docs.google.com/spreadsheets/d/1FvTu2DsIWUjP6WCWra38Bkj_oOl_sOMf14r5Fg5srxU/edit?usp=sharing"",""ชัยภูมิ!M99"")+IMPORTRANGE(""https://docs.google.com/spreadsheets/d/1XVB7oCJ3pr-vBUdflwPQ8Z2LlzhnCvZaaYjAfP-647E/edit?usp"&amp;"=sharing"",""นครพนม!M99"")+IMPORTRANGE(""https://docs.google.com/spreadsheets/d/1Mnpb-8PYAgn85W6KOTD40hc_Xc55CaLfHoGAbrZ8tls/edit?usp=sharing"",""นครราชสีมา!M99"")+IMPORTRANGE(""https://docs.google.com/spreadsheets/d/1xoDLGBv9CYbyosIhki0kTq6IpYNj-gpjxfobn"&amp;"aDiut0/edit?usp=sharing"",""บึงกาฬ!M99"")+IMPORTRANGE(""https://docs.google.com/spreadsheets/d/1MMPq-JyI6DSgQETxuSiXkesP-P7JHuemnE6QJIa-Nlw/edit?usp=sharing"",""บุรีรัมย์!M99"")+IMPORTRANGE(""https://docs.google.com/spreadsheets/d/1l6IZ8xUPgMrESzcTYwhA1k_"&amp;"tPjeQjJPTqlm8Gd9eU5g/edit?usp=sharing"",""มหาสารคาม!M99"")+IMPORTRANGE(""https://docs.google.com/spreadsheets/d/1uB74YLqNjWX6FObjekfB2NtSYigTQyR2rq9u4Ub2Sq4/edit?usp=sharing"",""มุกดาหาร!M99"")+IMPORTRANGE(""https://docs.google.com/spreadsheets/d/1NexK3ge"&amp;"CPxCTO1fzNF8dPec7yZyUx3OaWkFBC9HsQOo/edit?usp=sharing"",""ยโสธร!M99"")+IMPORTRANGE(""https://docs.google.com/spreadsheets/d/1v_cJrbBlyqmnHPReHk44g9NrMRdENNlSy_E_c5M9fIg/edit?usp=sharing"",""ร้อยเอ็ด!M99"")+IMPORTRANGE(""https://docs.google.com/spreadsheet"&amp;"s/d/1Ul4RCpCX66NxYADU1QpwAPjOmBzW64SsT11s1wzXw_c/edit?usp=sharing"",""เลย!M99"")+IMPORTRANGE(""https://docs.google.com/spreadsheets/d/1bRrNKwbHDVktQG10isr5vbWRtt5spIZPpkOSWgbT5ug/edit?usp=sharing"",""ศรีสะเกษ!M99"")+IMPORTRANGE(""https://docs.google.com/s"&amp;"preadsheets/d/17P34_Ow5kFBfdQD0qspb2UuPX5zpi6WMrQzslghyvrI/edit?usp=sharing"",""สกลนคร!M99"")+IMPORTRANGE(""https://docs.google.com/spreadsheets/d/1yswqbM3-AEpThF3ZSUa1AcmHnmRTF1vlJ1CZGcJ8YuU/edit?usp=sharing"",""สุรินทร์!M99"")+IMPORTRANGE(""https://docs"&amp;".google.com/spreadsheets/d/13JHU_EFbsQOUQ0JSQ3dWy1VTRosIWcDq6Nc99z2qzdc/edit?usp=sharing"",""หนองคาย!M99"")+IMPORTRANGE(""https://docs.google.com/spreadsheets/d/1Hx73zIEgVdDZZaYSTc46Dqv64atFhpr3GelxLbaIN8A/edit?usp=sharing"",""หนองบัวลำภู!M99"")+IMPORTRAN"&amp;"GE(""https://docs.google.com/spreadsheets/d/1lFxr3ctmjFN90yc-xV6jrQ9Ty8BKYVBWnAZ15wcNIJc/edit?usp=sharing"",""อำนาจเจริญ!M99"")+IMPORTRANGE(""https://docs.google.com/spreadsheets/d/1gF7RJpRnL-1oyjyeWxs5SFWEH7y8ahOZsQlyp2A2e-A/edit?usp=sharing"",""อุดรธานี"&amp;"!M99"")+IMPORTRANGE(""https://docs.google.com/spreadsheets/d/1kfLP0j3INXRa8bTDpcEmoWewMBV61jlFlfzczfjWIgc/edit?usp=sharing"",""อุบลราชธานี!M99"")"),534340)</f>
        <v>534340</v>
      </c>
      <c r="N99" s="56">
        <f ca="1">IFERROR(__xludf.DUMMYFUNCTION("IMPORTRANGE(""https://docs.google.com/spreadsheets/d/1yhBcrRPreicbMKl9Bu_Snb2-OcQAF62RKfhTLhJ2eAA/edit?usp=sharing"",""กาฬสินธุ์!N99"")+IMPORTRANGE(""https://docs.google.com/spreadsheets/d/1aHkj4IaQMThhwWwevcOymEh837vdxeC_PycurhTbGFA/edit?usp=sharing"","""&amp;"ขอนแก่น!N99"")+IMPORTRANGE(""https://docs.google.com/spreadsheets/d/1FvTu2DsIWUjP6WCWra38Bkj_oOl_sOMf14r5Fg5srxU/edit?usp=sharing"",""ชัยภูมิ!N99"")+IMPORTRANGE(""https://docs.google.com/spreadsheets/d/1XVB7oCJ3pr-vBUdflwPQ8Z2LlzhnCvZaaYjAfP-647E/edit?usp"&amp;"=sharing"",""นครพนม!N99"")+IMPORTRANGE(""https://docs.google.com/spreadsheets/d/1Mnpb-8PYAgn85W6KOTD40hc_Xc55CaLfHoGAbrZ8tls/edit?usp=sharing"",""นครราชสีมา!N99"")+IMPORTRANGE(""https://docs.google.com/spreadsheets/d/1xoDLGBv9CYbyosIhki0kTq6IpYNj-gpjxfobn"&amp;"aDiut0/edit?usp=sharing"",""บึงกาฬ!N99"")+IMPORTRANGE(""https://docs.google.com/spreadsheets/d/1MMPq-JyI6DSgQETxuSiXkesP-P7JHuemnE6QJIa-Nlw/edit?usp=sharing"",""บุรีรัมย์!N99"")+IMPORTRANGE(""https://docs.google.com/spreadsheets/d/1l6IZ8xUPgMrESzcTYwhA1k_"&amp;"tPjeQjJPTqlm8Gd9eU5g/edit?usp=sharing"",""มหาสารคาม!N99"")+IMPORTRANGE(""https://docs.google.com/spreadsheets/d/1uB74YLqNjWX6FObjekfB2NtSYigTQyR2rq9u4Ub2Sq4/edit?usp=sharing"",""มุกดาหาร!N99"")+IMPORTRANGE(""https://docs.google.com/spreadsheets/d/1NexK3ge"&amp;"CPxCTO1fzNF8dPec7yZyUx3OaWkFBC9HsQOo/edit?usp=sharing"",""ยโสธร!N99"")+IMPORTRANGE(""https://docs.google.com/spreadsheets/d/1v_cJrbBlyqmnHPReHk44g9NrMRdENNlSy_E_c5M9fIg/edit?usp=sharing"",""ร้อยเอ็ด!N99"")+IMPORTRANGE(""https://docs.google.com/spreadsheet"&amp;"s/d/1Ul4RCpCX66NxYADU1QpwAPjOmBzW64SsT11s1wzXw_c/edit?usp=sharing"",""เลย!N99"")+IMPORTRANGE(""https://docs.google.com/spreadsheets/d/1bRrNKwbHDVktQG10isr5vbWRtt5spIZPpkOSWgbT5ug/edit?usp=sharing"",""ศรีสะเกษ!N99"")+IMPORTRANGE(""https://docs.google.com/s"&amp;"preadsheets/d/17P34_Ow5kFBfdQD0qspb2UuPX5zpi6WMrQzslghyvrI/edit?usp=sharing"",""สกลนคร!N99"")+IMPORTRANGE(""https://docs.google.com/spreadsheets/d/1yswqbM3-AEpThF3ZSUa1AcmHnmRTF1vlJ1CZGcJ8YuU/edit?usp=sharing"",""สุรินทร์!N99"")+IMPORTRANGE(""https://docs"&amp;".google.com/spreadsheets/d/13JHU_EFbsQOUQ0JSQ3dWy1VTRosIWcDq6Nc99z2qzdc/edit?usp=sharing"",""หนองคาย!N99"")+IMPORTRANGE(""https://docs.google.com/spreadsheets/d/1Hx73zIEgVdDZZaYSTc46Dqv64atFhpr3GelxLbaIN8A/edit?usp=sharing"",""หนองบัวลำภู!N99"")+IMPORTRAN"&amp;"GE(""https://docs.google.com/spreadsheets/d/1lFxr3ctmjFN90yc-xV6jrQ9Ty8BKYVBWnAZ15wcNIJc/edit?usp=sharing"",""อำนาจเจริญ!N99"")+IMPORTRANGE(""https://docs.google.com/spreadsheets/d/1gF7RJpRnL-1oyjyeWxs5SFWEH7y8ahOZsQlyp2A2e-A/edit?usp=sharing"",""อุดรธานี"&amp;"!N99"")+IMPORTRANGE(""https://docs.google.com/spreadsheets/d/1kfLP0j3INXRa8bTDpcEmoWewMBV61jlFlfzczfjWIgc/edit?usp=sharing"",""อุบลราชธานี!N99"")"),346349.62)</f>
        <v>346349.62</v>
      </c>
      <c r="O99" s="56">
        <f t="shared" ca="1" si="74"/>
        <v>49.691480631276903</v>
      </c>
      <c r="P99" s="56">
        <f t="shared" ca="1" si="75"/>
        <v>64.818209379795633</v>
      </c>
      <c r="Q99" s="56">
        <f ca="1">IFERROR(__xludf.DUMMYFUNCTION("IMPORTRANGE(""https://docs.google.com/spreadsheets/d/1yhBcrRPreicbMKl9Bu_Snb2-OcQAF62RKfhTLhJ2eAA/edit?usp=sharing"",""กาฬสินธุ์!Q99"")+IMPORTRANGE(""https://docs.google.com/spreadsheets/d/1aHkj4IaQMThhwWwevcOymEh837vdxeC_PycurhTbGFA/edit?usp=sharing"","""&amp;"ขอนแก่น!Q99"")+IMPORTRANGE(""https://docs.google.com/spreadsheets/d/1FvTu2DsIWUjP6WCWra38Bkj_oOl_sOMf14r5Fg5srxU/edit?usp=sharing"",""ชัยภูมิ!Q99"")+IMPORTRANGE(""https://docs.google.com/spreadsheets/d/1XVB7oCJ3pr-vBUdflwPQ8Z2LlzhnCvZaaYjAfP-647E/edit?usp"&amp;"=sharing"",""นครพนม!Q99"")+IMPORTRANGE(""https://docs.google.com/spreadsheets/d/1Mnpb-8PYAgn85W6KOTD40hc_Xc55CaLfHoGAbrZ8tls/edit?usp=sharing"",""นครราชสีมา!Q99"")+IMPORTRANGE(""https://docs.google.com/spreadsheets/d/1xoDLGBv9CYbyosIhki0kTq6IpYNj-gpjxfobn"&amp;"aDiut0/edit?usp=sharing"",""บึงกาฬ!Q99"")+IMPORTRANGE(""https://docs.google.com/spreadsheets/d/1MMPq-JyI6DSgQETxuSiXkesP-P7JHuemnE6QJIa-Nlw/edit?usp=sharing"",""บุรีรัมย์!Q99"")+IMPORTRANGE(""https://docs.google.com/spreadsheets/d/1l6IZ8xUPgMrESzcTYwhA1k_"&amp;"tPjeQjJPTqlm8Gd9eU5g/edit?usp=sharing"",""มหาสารคาม!Q99"")+IMPORTRANGE(""https://docs.google.com/spreadsheets/d/1uB74YLqNjWX6FObjekfB2NtSYigTQyR2rq9u4Ub2Sq4/edit?usp=sharing"",""มุกดาหาร!Q99"")+IMPORTRANGE(""https://docs.google.com/spreadsheets/d/1NexK3ge"&amp;"CPxCTO1fzNF8dPec7yZyUx3OaWkFBC9HsQOo/edit?usp=sharing"",""ยโสธร!Q99"")+IMPORTRANGE(""https://docs.google.com/spreadsheets/d/1v_cJrbBlyqmnHPReHk44g9NrMRdENNlSy_E_c5M9fIg/edit?usp=sharing"",""ร้อยเอ็ด!Q99"")+IMPORTRANGE(""https://docs.google.com/spreadsheet"&amp;"s/d/1Ul4RCpCX66NxYADU1QpwAPjOmBzW64SsT11s1wzXw_c/edit?usp=sharing"",""เลย!Q99"")+IMPORTRANGE(""https://docs.google.com/spreadsheets/d/1bRrNKwbHDVktQG10isr5vbWRtt5spIZPpkOSWgbT5ug/edit?usp=sharing"",""ศรีสะเกษ!Q99"")+IMPORTRANGE(""https://docs.google.com/s"&amp;"preadsheets/d/17P34_Ow5kFBfdQD0qspb2UuPX5zpi6WMrQzslghyvrI/edit?usp=sharing"",""สกลนคร!Q99"")+IMPORTRANGE(""https://docs.google.com/spreadsheets/d/1yswqbM3-AEpThF3ZSUa1AcmHnmRTF1vlJ1CZGcJ8YuU/edit?usp=sharing"",""สุรินทร์!Q99"")+IMPORTRANGE(""https://docs"&amp;".google.com/spreadsheets/d/13JHU_EFbsQOUQ0JSQ3dWy1VTRosIWcDq6Nc99z2qzdc/edit?usp=sharing"",""หนองคาย!Q99"")+IMPORTRANGE(""https://docs.google.com/spreadsheets/d/1Hx73zIEgVdDZZaYSTc46Dqv64atFhpr3GelxLbaIN8A/edit?usp=sharing"",""หนองบัวลำภู!Q99"")+IMPORTRAN"&amp;"GE(""https://docs.google.com/spreadsheets/d/1lFxr3ctmjFN90yc-xV6jrQ9Ty8BKYVBWnAZ15wcNIJc/edit?usp=sharing"",""อำนาจเจริญ!Q99"")+IMPORTRANGE(""https://docs.google.com/spreadsheets/d/1gF7RJpRnL-1oyjyeWxs5SFWEH7y8ahOZsQlyp2A2e-A/edit?usp=sharing"",""อุดรธานี"&amp;"!Q99"")+IMPORTRANGE(""https://docs.google.com/spreadsheets/d/1kfLP0j3INXRa8bTDpcEmoWewMBV61jlFlfzczfjWIgc/edit?usp=sharing"",""อุบลราชธานี!Q99"")"),934848)</f>
        <v>934848</v>
      </c>
      <c r="R99" s="56">
        <f ca="1">IFERROR(__xludf.DUMMYFUNCTION("IMPORTRANGE(""https://docs.google.com/spreadsheets/d/1yhBcrRPreicbMKl9Bu_Snb2-OcQAF62RKfhTLhJ2eAA/edit?usp=sharing"",""กาฬสินธุ์!R99"")+IMPORTRANGE(""https://docs.google.com/spreadsheets/d/1aHkj4IaQMThhwWwevcOymEh837vdxeC_PycurhTbGFA/edit?usp=sharing"","""&amp;"ขอนแก่น!R99"")+IMPORTRANGE(""https://docs.google.com/spreadsheets/d/1FvTu2DsIWUjP6WCWra38Bkj_oOl_sOMf14r5Fg5srxU/edit?usp=sharing"",""ชัยภูมิ!R99"")+IMPORTRANGE(""https://docs.google.com/spreadsheets/d/1XVB7oCJ3pr-vBUdflwPQ8Z2LlzhnCvZaaYjAfP-647E/edit?usp"&amp;"=sharing"",""นครพนม!R99"")+IMPORTRANGE(""https://docs.google.com/spreadsheets/d/1Mnpb-8PYAgn85W6KOTD40hc_Xc55CaLfHoGAbrZ8tls/edit?usp=sharing"",""นครราชสีมา!R99"")+IMPORTRANGE(""https://docs.google.com/spreadsheets/d/1xoDLGBv9CYbyosIhki0kTq6IpYNj-gpjxfobn"&amp;"aDiut0/edit?usp=sharing"",""บึงกาฬ!R99"")+IMPORTRANGE(""https://docs.google.com/spreadsheets/d/1MMPq-JyI6DSgQETxuSiXkesP-P7JHuemnE6QJIa-Nlw/edit?usp=sharing"",""บุรีรัมย์!R99"")+IMPORTRANGE(""https://docs.google.com/spreadsheets/d/1l6IZ8xUPgMrESzcTYwhA1k_"&amp;"tPjeQjJPTqlm8Gd9eU5g/edit?usp=sharing"",""มหาสารคาม!R99"")+IMPORTRANGE(""https://docs.google.com/spreadsheets/d/1uB74YLqNjWX6FObjekfB2NtSYigTQyR2rq9u4Ub2Sq4/edit?usp=sharing"",""มุกดาหาร!R99"")+IMPORTRANGE(""https://docs.google.com/spreadsheets/d/1NexK3ge"&amp;"CPxCTO1fzNF8dPec7yZyUx3OaWkFBC9HsQOo/edit?usp=sharing"",""ยโสธร!R99"")+IMPORTRANGE(""https://docs.google.com/spreadsheets/d/1v_cJrbBlyqmnHPReHk44g9NrMRdENNlSy_E_c5M9fIg/edit?usp=sharing"",""ร้อยเอ็ด!R99"")+IMPORTRANGE(""https://docs.google.com/spreadsheet"&amp;"s/d/1Ul4RCpCX66NxYADU1QpwAPjOmBzW64SsT11s1wzXw_c/edit?usp=sharing"",""เลย!R99"")+IMPORTRANGE(""https://docs.google.com/spreadsheets/d/1bRrNKwbHDVktQG10isr5vbWRtt5spIZPpkOSWgbT5ug/edit?usp=sharing"",""ศรีสะเกษ!R99"")+IMPORTRANGE(""https://docs.google.com/s"&amp;"preadsheets/d/17P34_Ow5kFBfdQD0qspb2UuPX5zpi6WMrQzslghyvrI/edit?usp=sharing"",""สกลนคร!R99"")+IMPORTRANGE(""https://docs.google.com/spreadsheets/d/1yswqbM3-AEpThF3ZSUa1AcmHnmRTF1vlJ1CZGcJ8YuU/edit?usp=sharing"",""สุรินทร์!R99"")+IMPORTRANGE(""https://docs"&amp;".google.com/spreadsheets/d/13JHU_EFbsQOUQ0JSQ3dWy1VTRosIWcDq6Nc99z2qzdc/edit?usp=sharing"",""หนองคาย!R99"")+IMPORTRANGE(""https://docs.google.com/spreadsheets/d/1Hx73zIEgVdDZZaYSTc46Dqv64atFhpr3GelxLbaIN8A/edit?usp=sharing"",""หนองบัวลำภู!R99"")+IMPORTRAN"&amp;"GE(""https://docs.google.com/spreadsheets/d/1lFxr3ctmjFN90yc-xV6jrQ9Ty8BKYVBWnAZ15wcNIJc/edit?usp=sharing"",""อำนาจเจริญ!R99"")+IMPORTRANGE(""https://docs.google.com/spreadsheets/d/1gF7RJpRnL-1oyjyeWxs5SFWEH7y8ahOZsQlyp2A2e-A/edit?usp=sharing"",""อุดรธานี"&amp;"!R99"")+IMPORTRANGE(""https://docs.google.com/spreadsheets/d/1kfLP0j3INXRa8bTDpcEmoWewMBV61jlFlfzczfjWIgc/edit?usp=sharing"",""อุบลราชธานี!R99"")"),934848)</f>
        <v>934848</v>
      </c>
      <c r="S99" s="57">
        <f ca="1">IFERROR(__xludf.DUMMYFUNCTION("IMPORTRANGE(""https://docs.google.com/spreadsheets/d/1yhBcrRPreicbMKl9Bu_Snb2-OcQAF62RKfhTLhJ2eAA/edit?usp=sharing"",""กาฬสินธุ์!S99"")+IMPORTRANGE(""https://docs.google.com/spreadsheets/d/1aHkj4IaQMThhwWwevcOymEh837vdxeC_PycurhTbGFA/edit?usp=sharing"","""&amp;"ขอนแก่น!S99"")+IMPORTRANGE(""https://docs.google.com/spreadsheets/d/1FvTu2DsIWUjP6WCWra38Bkj_oOl_sOMf14r5Fg5srxU/edit?usp=sharing"",""ชัยภูมิ!S99"")+IMPORTRANGE(""https://docs.google.com/spreadsheets/d/1XVB7oCJ3pr-vBUdflwPQ8Z2LlzhnCvZaaYjAfP-647E/edit?usp"&amp;"=sharing"",""นครพนม!S99"")+IMPORTRANGE(""https://docs.google.com/spreadsheets/d/1Mnpb-8PYAgn85W6KOTD40hc_Xc55CaLfHoGAbrZ8tls/edit?usp=sharing"",""นครราชสีมา!S99"")+IMPORTRANGE(""https://docs.google.com/spreadsheets/d/1xoDLGBv9CYbyosIhki0kTq6IpYNj-gpjxfobn"&amp;"aDiut0/edit?usp=sharing"",""บึงกาฬ!S99"")+IMPORTRANGE(""https://docs.google.com/spreadsheets/d/1MMPq-JyI6DSgQETxuSiXkesP-P7JHuemnE6QJIa-Nlw/edit?usp=sharing"",""บุรีรัมย์!S99"")+IMPORTRANGE(""https://docs.google.com/spreadsheets/d/1l6IZ8xUPgMrESzcTYwhA1k_"&amp;"tPjeQjJPTqlm8Gd9eU5g/edit?usp=sharing"",""มหาสารคาม!S99"")+IMPORTRANGE(""https://docs.google.com/spreadsheets/d/1uB74YLqNjWX6FObjekfB2NtSYigTQyR2rq9u4Ub2Sq4/edit?usp=sharing"",""มุกดาหาร!S99"")+IMPORTRANGE(""https://docs.google.com/spreadsheets/d/1NexK3ge"&amp;"CPxCTO1fzNF8dPec7yZyUx3OaWkFBC9HsQOo/edit?usp=sharing"",""ยโสธร!S99"")+IMPORTRANGE(""https://docs.google.com/spreadsheets/d/1v_cJrbBlyqmnHPReHk44g9NrMRdENNlSy_E_c5M9fIg/edit?usp=sharing"",""ร้อยเอ็ด!S99"")+IMPORTRANGE(""https://docs.google.com/spreadsheet"&amp;"s/d/1Ul4RCpCX66NxYADU1QpwAPjOmBzW64SsT11s1wzXw_c/edit?usp=sharing"",""เลย!S99"")+IMPORTRANGE(""https://docs.google.com/spreadsheets/d/1bRrNKwbHDVktQG10isr5vbWRtt5spIZPpkOSWgbT5ug/edit?usp=sharing"",""ศรีสะเกษ!S99"")+IMPORTRANGE(""https://docs.google.com/s"&amp;"preadsheets/d/17P34_Ow5kFBfdQD0qspb2UuPX5zpi6WMrQzslghyvrI/edit?usp=sharing"",""สกลนคร!S99"")+IMPORTRANGE(""https://docs.google.com/spreadsheets/d/1yswqbM3-AEpThF3ZSUa1AcmHnmRTF1vlJ1CZGcJ8YuU/edit?usp=sharing"",""สุรินทร์!S99"")+IMPORTRANGE(""https://docs"&amp;".google.com/spreadsheets/d/13JHU_EFbsQOUQ0JSQ3dWy1VTRosIWcDq6Nc99z2qzdc/edit?usp=sharing"",""หนองคาย!S99"")+IMPORTRANGE(""https://docs.google.com/spreadsheets/d/1Hx73zIEgVdDZZaYSTc46Dqv64atFhpr3GelxLbaIN8A/edit?usp=sharing"",""หนองบัวลำภู!S99"")+IMPORTRAN"&amp;"GE(""https://docs.google.com/spreadsheets/d/1lFxr3ctmjFN90yc-xV6jrQ9Ty8BKYVBWnAZ15wcNIJc/edit?usp=sharing"",""อำนาจเจริญ!S99"")+IMPORTRANGE(""https://docs.google.com/spreadsheets/d/1gF7RJpRnL-1oyjyeWxs5SFWEH7y8ahOZsQlyp2A2e-A/edit?usp=sharing"",""อุดรธานี"&amp;"!S99"")+IMPORTRANGE(""https://docs.google.com/spreadsheets/d/1kfLP0j3INXRa8bTDpcEmoWewMBV61jlFlfzczfjWIgc/edit?usp=sharing"",""อุบลราชธานี!S99"")"),242817.7)</f>
        <v>242817.7</v>
      </c>
      <c r="T99" s="56">
        <f t="shared" ca="1" si="77"/>
        <v>25.974030002738413</v>
      </c>
      <c r="U99" s="56">
        <f t="shared" ca="1" si="78"/>
        <v>25.974030002738413</v>
      </c>
    </row>
    <row r="100" spans="1:21" ht="18.75">
      <c r="A100" s="155"/>
      <c r="B100" s="188"/>
      <c r="C100" s="188"/>
      <c r="D100" s="190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56">
        <f t="shared" ref="L100:N100" ca="1" si="85">L101+L102</f>
        <v>0</v>
      </c>
      <c r="M100" s="56">
        <f t="shared" ca="1" si="85"/>
        <v>0</v>
      </c>
      <c r="N100" s="56">
        <f t="shared" ca="1" si="85"/>
        <v>0</v>
      </c>
      <c r="O100" s="56">
        <f t="shared" ca="1" si="74"/>
        <v>0</v>
      </c>
      <c r="P100" s="56">
        <f t="shared" ca="1" si="75"/>
        <v>0</v>
      </c>
      <c r="Q100" s="56">
        <f t="shared" ref="Q100:S100" ca="1" si="86">Q101+Q102</f>
        <v>0</v>
      </c>
      <c r="R100" s="56">
        <f t="shared" ca="1" si="86"/>
        <v>0</v>
      </c>
      <c r="S100" s="57">
        <f t="shared" ca="1" si="86"/>
        <v>0</v>
      </c>
      <c r="T100" s="56">
        <f t="shared" ca="1" si="77"/>
        <v>0</v>
      </c>
      <c r="U100" s="56">
        <f t="shared" ca="1" si="78"/>
        <v>0</v>
      </c>
    </row>
    <row r="101" spans="1:21" ht="18.75">
      <c r="A101" s="155"/>
      <c r="B101" s="188"/>
      <c r="C101" s="188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59">
        <f ca="1">IFERROR(__xludf.DUMMYFUNCTION("IMPORTRANGE(""https://docs.google.com/spreadsheets/d/1yhBcrRPreicbMKl9Bu_Snb2-OcQAF62RKfhTLhJ2eAA/edit?usp=sharing"",""กาฬสินธุ์!L101"")+IMPORTRANGE(""https://docs.google.com/spreadsheets/d/1aHkj4IaQMThhwWwevcOymEh837vdxeC_PycurhTbGFA/edit?usp=sharing"","&amp;"""ขอนแก่น!L101"")+IMPORTRANGE(""https://docs.google.com/spreadsheets/d/1FvTu2DsIWUjP6WCWra38Bkj_oOl_sOMf14r5Fg5srxU/edit?usp=sharing"",""ชัยภูมิ!L101"")+IMPORTRANGE(""https://docs.google.com/spreadsheets/d/1XVB7oCJ3pr-vBUdflwPQ8Z2LlzhnCvZaaYjAfP-647E/edit"&amp;"?usp=sharing"",""นครพนม!L101"")+IMPORTRANGE(""https://docs.google.com/spreadsheets/d/1Mnpb-8PYAgn85W6KOTD40hc_Xc55CaLfHoGAbrZ8tls/edit?usp=sharing"",""นครราชสีมา!L101"")+IMPORTRANGE(""https://docs.google.com/spreadsheets/d/1xoDLGBv9CYbyosIhki0kTq6IpYNj-gp"&amp;"jxfobnaDiut0/edit?usp=sharing"",""บึงกาฬ!L101"")+IMPORTRANGE(""https://docs.google.com/spreadsheets/d/1MMPq-JyI6DSgQETxuSiXkesP-P7JHuemnE6QJIa-Nlw/edit?usp=sharing"",""บุรีรัมย์!L101"")+IMPORTRANGE(""https://docs.google.com/spreadsheets/d/1l6IZ8xUPgMrESzc"&amp;"TYwhA1k_tPjeQjJPTqlm8Gd9eU5g/edit?usp=sharing"",""มหาสารคาม!L101"")+IMPORTRANGE(""https://docs.google.com/spreadsheets/d/1uB74YLqNjWX6FObjekfB2NtSYigTQyR2rq9u4Ub2Sq4/edit?usp=sharing"",""มุกดาหาร!L101"")+IMPORTRANGE(""https://docs.google.com/spreadsheets/"&amp;"d/1NexK3geCPxCTO1fzNF8dPec7yZyUx3OaWkFBC9HsQOo/edit?usp=sharing"",""ยโสธร!L101"")+IMPORTRANGE(""https://docs.google.com/spreadsheets/d/1v_cJrbBlyqmnHPReHk44g9NrMRdENNlSy_E_c5M9fIg/edit?usp=sharing"",""ร้อยเอ็ด!L101"")+IMPORTRANGE(""https://docs.google.com"&amp;"/spreadsheets/d/1Ul4RCpCX66NxYADU1QpwAPjOmBzW64SsT11s1wzXw_c/edit?usp=sharing"",""เลย!L101"")+IMPORTRANGE(""https://docs.google.com/spreadsheets/d/1bRrNKwbHDVktQG10isr5vbWRtt5spIZPpkOSWgbT5ug/edit?usp=sharing"",""ศรีสะเกษ!L101"")+IMPORTRANGE(""https://doc"&amp;"s.google.com/spreadsheets/d/17P34_Ow5kFBfdQD0qspb2UuPX5zpi6WMrQzslghyvrI/edit?usp=sharing"",""สกลนคร!L101"")+IMPORTRANGE(""https://docs.google.com/spreadsheets/d/1yswqbM3-AEpThF3ZSUa1AcmHnmRTF1vlJ1CZGcJ8YuU/edit?usp=sharing"",""สุรินทร์!L101"")+IMPORTRANG"&amp;"E(""https://docs.google.com/spreadsheets/d/13JHU_EFbsQOUQ0JSQ3dWy1VTRosIWcDq6Nc99z2qzdc/edit?usp=sharing"",""หนองคาย!L101"")+IMPORTRANGE(""https://docs.google.com/spreadsheets/d/1Hx73zIEgVdDZZaYSTc46Dqv64atFhpr3GelxLbaIN8A/edit?usp=sharing"",""หนองบัวลำภู"&amp;"!L101"")+IMPORTRANGE(""https://docs.google.com/spreadsheets/d/1lFxr3ctmjFN90yc-xV6jrQ9Ty8BKYVBWnAZ15wcNIJc/edit?usp=sharing"",""อำนาจเจริญ!L101"")+IMPORTRANGE(""https://docs.google.com/spreadsheets/d/1gF7RJpRnL-1oyjyeWxs5SFWEH7y8ahOZsQlyp2A2e-A/edit?usp=s"&amp;"haring"",""อุดรธานี!L101"")+IMPORTRANGE(""https://docs.google.com/spreadsheets/d/1kfLP0j3INXRa8bTDpcEmoWewMBV61jlFlfzczfjWIgc/edit?usp=sharing"",""อุบลราชธานี!L101"")"),0)</f>
        <v>0</v>
      </c>
      <c r="M101" s="59">
        <f ca="1">IFERROR(__xludf.DUMMYFUNCTION("IMPORTRANGE(""https://docs.google.com/spreadsheets/d/1yhBcrRPreicbMKl9Bu_Snb2-OcQAF62RKfhTLhJ2eAA/edit?usp=sharing"",""กาฬสินธุ์!M101"")+IMPORTRANGE(""https://docs.google.com/spreadsheets/d/1aHkj4IaQMThhwWwevcOymEh837vdxeC_PycurhTbGFA/edit?usp=sharing"","&amp;"""ขอนแก่น!M101"")+IMPORTRANGE(""https://docs.google.com/spreadsheets/d/1FvTu2DsIWUjP6WCWra38Bkj_oOl_sOMf14r5Fg5srxU/edit?usp=sharing"",""ชัยภูมิ!M101"")+IMPORTRANGE(""https://docs.google.com/spreadsheets/d/1XVB7oCJ3pr-vBUdflwPQ8Z2LlzhnCvZaaYjAfP-647E/edit"&amp;"?usp=sharing"",""นครพนม!M101"")+IMPORTRANGE(""https://docs.google.com/spreadsheets/d/1Mnpb-8PYAgn85W6KOTD40hc_Xc55CaLfHoGAbrZ8tls/edit?usp=sharing"",""นครราชสีมา!M101"")+IMPORTRANGE(""https://docs.google.com/spreadsheets/d/1xoDLGBv9CYbyosIhki0kTq6IpYNj-gp"&amp;"jxfobnaDiut0/edit?usp=sharing"",""บึงกาฬ!M101"")+IMPORTRANGE(""https://docs.google.com/spreadsheets/d/1MMPq-JyI6DSgQETxuSiXkesP-P7JHuemnE6QJIa-Nlw/edit?usp=sharing"",""บุรีรัมย์!M101"")+IMPORTRANGE(""https://docs.google.com/spreadsheets/d/1l6IZ8xUPgMrESzc"&amp;"TYwhA1k_tPjeQjJPTqlm8Gd9eU5g/edit?usp=sharing"",""มหาสารคาม!M101"")+IMPORTRANGE(""https://docs.google.com/spreadsheets/d/1uB74YLqNjWX6FObjekfB2NtSYigTQyR2rq9u4Ub2Sq4/edit?usp=sharing"",""มุกดาหาร!M101"")+IMPORTRANGE(""https://docs.google.com/spreadsheets/"&amp;"d/1NexK3geCPxCTO1fzNF8dPec7yZyUx3OaWkFBC9HsQOo/edit?usp=sharing"",""ยโสธร!M101"")+IMPORTRANGE(""https://docs.google.com/spreadsheets/d/1v_cJrbBlyqmnHPReHk44g9NrMRdENNlSy_E_c5M9fIg/edit?usp=sharing"",""ร้อยเอ็ด!M101"")+IMPORTRANGE(""https://docs.google.com"&amp;"/spreadsheets/d/1Ul4RCpCX66NxYADU1QpwAPjOmBzW64SsT11s1wzXw_c/edit?usp=sharing"",""เลย!M101"")+IMPORTRANGE(""https://docs.google.com/spreadsheets/d/1bRrNKwbHDVktQG10isr5vbWRtt5spIZPpkOSWgbT5ug/edit?usp=sharing"",""ศรีสะเกษ!M101"")+IMPORTRANGE(""https://doc"&amp;"s.google.com/spreadsheets/d/17P34_Ow5kFBfdQD0qspb2UuPX5zpi6WMrQzslghyvrI/edit?usp=sharing"",""สกลนคร!M101"")+IMPORTRANGE(""https://docs.google.com/spreadsheets/d/1yswqbM3-AEpThF3ZSUa1AcmHnmRTF1vlJ1CZGcJ8YuU/edit?usp=sharing"",""สุรินทร์!M101"")+IMPORTRANG"&amp;"E(""https://docs.google.com/spreadsheets/d/13JHU_EFbsQOUQ0JSQ3dWy1VTRosIWcDq6Nc99z2qzdc/edit?usp=sharing"",""หนองคาย!M101"")+IMPORTRANGE(""https://docs.google.com/spreadsheets/d/1Hx73zIEgVdDZZaYSTc46Dqv64atFhpr3GelxLbaIN8A/edit?usp=sharing"",""หนองบัวลำภู"&amp;"!M101"")+IMPORTRANGE(""https://docs.google.com/spreadsheets/d/1lFxr3ctmjFN90yc-xV6jrQ9Ty8BKYVBWnAZ15wcNIJc/edit?usp=sharing"",""อำนาจเจริญ!M101"")+IMPORTRANGE(""https://docs.google.com/spreadsheets/d/1gF7RJpRnL-1oyjyeWxs5SFWEH7y8ahOZsQlyp2A2e-A/edit?usp=s"&amp;"haring"",""อุดรธานี!M101"")+IMPORTRANGE(""https://docs.google.com/spreadsheets/d/1kfLP0j3INXRa8bTDpcEmoWewMBV61jlFlfzczfjWIgc/edit?usp=sharing"",""อุบลราชธานี!M101"")"),0)</f>
        <v>0</v>
      </c>
      <c r="N101" s="59">
        <f ca="1">IFERROR(__xludf.DUMMYFUNCTION("IMPORTRANGE(""https://docs.google.com/spreadsheets/d/1yhBcrRPreicbMKl9Bu_Snb2-OcQAF62RKfhTLhJ2eAA/edit?usp=sharing"",""กาฬสินธุ์!N101"")+IMPORTRANGE(""https://docs.google.com/spreadsheets/d/1aHkj4IaQMThhwWwevcOymEh837vdxeC_PycurhTbGFA/edit?usp=sharing"","&amp;"""ขอนแก่น!N101"")+IMPORTRANGE(""https://docs.google.com/spreadsheets/d/1FvTu2DsIWUjP6WCWra38Bkj_oOl_sOMf14r5Fg5srxU/edit?usp=sharing"",""ชัยภูมิ!N101"")+IMPORTRANGE(""https://docs.google.com/spreadsheets/d/1XVB7oCJ3pr-vBUdflwPQ8Z2LlzhnCvZaaYjAfP-647E/edit"&amp;"?usp=sharing"",""นครพนม!N101"")+IMPORTRANGE(""https://docs.google.com/spreadsheets/d/1Mnpb-8PYAgn85W6KOTD40hc_Xc55CaLfHoGAbrZ8tls/edit?usp=sharing"",""นครราชสีมา!N101"")+IMPORTRANGE(""https://docs.google.com/spreadsheets/d/1xoDLGBv9CYbyosIhki0kTq6IpYNj-gp"&amp;"jxfobnaDiut0/edit?usp=sharing"",""บึงกาฬ!N101"")+IMPORTRANGE(""https://docs.google.com/spreadsheets/d/1MMPq-JyI6DSgQETxuSiXkesP-P7JHuemnE6QJIa-Nlw/edit?usp=sharing"",""บุรีรัมย์!N101"")+IMPORTRANGE(""https://docs.google.com/spreadsheets/d/1l6IZ8xUPgMrESzc"&amp;"TYwhA1k_tPjeQjJPTqlm8Gd9eU5g/edit?usp=sharing"",""มหาสารคาม!N101"")+IMPORTRANGE(""https://docs.google.com/spreadsheets/d/1uB74YLqNjWX6FObjekfB2NtSYigTQyR2rq9u4Ub2Sq4/edit?usp=sharing"",""มุกดาหาร!N101"")+IMPORTRANGE(""https://docs.google.com/spreadsheets/"&amp;"d/1NexK3geCPxCTO1fzNF8dPec7yZyUx3OaWkFBC9HsQOo/edit?usp=sharing"",""ยโสธร!N101"")+IMPORTRANGE(""https://docs.google.com/spreadsheets/d/1v_cJrbBlyqmnHPReHk44g9NrMRdENNlSy_E_c5M9fIg/edit?usp=sharing"",""ร้อยเอ็ด!N101"")+IMPORTRANGE(""https://docs.google.com"&amp;"/spreadsheets/d/1Ul4RCpCX66NxYADU1QpwAPjOmBzW64SsT11s1wzXw_c/edit?usp=sharing"",""เลย!N101"")+IMPORTRANGE(""https://docs.google.com/spreadsheets/d/1bRrNKwbHDVktQG10isr5vbWRtt5spIZPpkOSWgbT5ug/edit?usp=sharing"",""ศรีสะเกษ!N101"")+IMPORTRANGE(""https://doc"&amp;"s.google.com/spreadsheets/d/17P34_Ow5kFBfdQD0qspb2UuPX5zpi6WMrQzslghyvrI/edit?usp=sharing"",""สกลนคร!N101"")+IMPORTRANGE(""https://docs.google.com/spreadsheets/d/1yswqbM3-AEpThF3ZSUa1AcmHnmRTF1vlJ1CZGcJ8YuU/edit?usp=sharing"",""สุรินทร์!N101"")+IMPORTRANG"&amp;"E(""https://docs.google.com/spreadsheets/d/13JHU_EFbsQOUQ0JSQ3dWy1VTRosIWcDq6Nc99z2qzdc/edit?usp=sharing"",""หนองคาย!N101"")+IMPORTRANGE(""https://docs.google.com/spreadsheets/d/1Hx73zIEgVdDZZaYSTc46Dqv64atFhpr3GelxLbaIN8A/edit?usp=sharing"",""หนองบัวลำภู"&amp;"!N101"")+IMPORTRANGE(""https://docs.google.com/spreadsheets/d/1lFxr3ctmjFN90yc-xV6jrQ9Ty8BKYVBWnAZ15wcNIJc/edit?usp=sharing"",""อำนาจเจริญ!N101"")+IMPORTRANGE(""https://docs.google.com/spreadsheets/d/1gF7RJpRnL-1oyjyeWxs5SFWEH7y8ahOZsQlyp2A2e-A/edit?usp=s"&amp;"haring"",""อุดรธานี!N101"")+IMPORTRANGE(""https://docs.google.com/spreadsheets/d/1kfLP0j3INXRa8bTDpcEmoWewMBV61jlFlfzczfjWIgc/edit?usp=sharing"",""อุบลราชธานี!N101"")"),0)</f>
        <v>0</v>
      </c>
      <c r="O101" s="59">
        <f t="shared" ca="1" si="74"/>
        <v>0</v>
      </c>
      <c r="P101" s="59">
        <f t="shared" ca="1" si="75"/>
        <v>0</v>
      </c>
      <c r="Q101" s="59">
        <f ca="1">IFERROR(__xludf.DUMMYFUNCTION("IMPORTRANGE(""https://docs.google.com/spreadsheets/d/1yhBcrRPreicbMKl9Bu_Snb2-OcQAF62RKfhTLhJ2eAA/edit?usp=sharing"",""กาฬสินธุ์!Q101"")+IMPORTRANGE(""https://docs.google.com/spreadsheets/d/1aHkj4IaQMThhwWwevcOymEh837vdxeC_PycurhTbGFA/edit?usp=sharing"","&amp;"""ขอนแก่น!Q101"")+IMPORTRANGE(""https://docs.google.com/spreadsheets/d/1FvTu2DsIWUjP6WCWra38Bkj_oOl_sOMf14r5Fg5srxU/edit?usp=sharing"",""ชัยภูมิ!Q101"")+IMPORTRANGE(""https://docs.google.com/spreadsheets/d/1XVB7oCJ3pr-vBUdflwPQ8Z2LlzhnCvZaaYjAfP-647E/edit"&amp;"?usp=sharing"",""นครพนม!Q101"")+IMPORTRANGE(""https://docs.google.com/spreadsheets/d/1Mnpb-8PYAgn85W6KOTD40hc_Xc55CaLfHoGAbrZ8tls/edit?usp=sharing"",""นครราชสีมา!Q101"")+IMPORTRANGE(""https://docs.google.com/spreadsheets/d/1xoDLGBv9CYbyosIhki0kTq6IpYNj-gp"&amp;"jxfobnaDiut0/edit?usp=sharing"",""บึงกาฬ!Q101"")+IMPORTRANGE(""https://docs.google.com/spreadsheets/d/1MMPq-JyI6DSgQETxuSiXkesP-P7JHuemnE6QJIa-Nlw/edit?usp=sharing"",""บุรีรัมย์!Q101"")+IMPORTRANGE(""https://docs.google.com/spreadsheets/d/1l6IZ8xUPgMrESzc"&amp;"TYwhA1k_tPjeQjJPTqlm8Gd9eU5g/edit?usp=sharing"",""มหาสารคาม!Q101"")+IMPORTRANGE(""https://docs.google.com/spreadsheets/d/1uB74YLqNjWX6FObjekfB2NtSYigTQyR2rq9u4Ub2Sq4/edit?usp=sharing"",""มุกดาหาร!Q101"")+IMPORTRANGE(""https://docs.google.com/spreadsheets/"&amp;"d/1NexK3geCPxCTO1fzNF8dPec7yZyUx3OaWkFBC9HsQOo/edit?usp=sharing"",""ยโสธร!Q101"")+IMPORTRANGE(""https://docs.google.com/spreadsheets/d/1v_cJrbBlyqmnHPReHk44g9NrMRdENNlSy_E_c5M9fIg/edit?usp=sharing"",""ร้อยเอ็ด!Q101"")+IMPORTRANGE(""https://docs.google.com"&amp;"/spreadsheets/d/1Ul4RCpCX66NxYADU1QpwAPjOmBzW64SsT11s1wzXw_c/edit?usp=sharing"",""เลย!Q101"")+IMPORTRANGE(""https://docs.google.com/spreadsheets/d/1bRrNKwbHDVktQG10isr5vbWRtt5spIZPpkOSWgbT5ug/edit?usp=sharing"",""ศรีสะเกษ!Q101"")+IMPORTRANGE(""https://doc"&amp;"s.google.com/spreadsheets/d/17P34_Ow5kFBfdQD0qspb2UuPX5zpi6WMrQzslghyvrI/edit?usp=sharing"",""สกลนคร!Q101"")+IMPORTRANGE(""https://docs.google.com/spreadsheets/d/1yswqbM3-AEpThF3ZSUa1AcmHnmRTF1vlJ1CZGcJ8YuU/edit?usp=sharing"",""สุรินทร์!Q101"")+IMPORTRANG"&amp;"E(""https://docs.google.com/spreadsheets/d/13JHU_EFbsQOUQ0JSQ3dWy1VTRosIWcDq6Nc99z2qzdc/edit?usp=sharing"",""หนองคาย!Q101"")+IMPORTRANGE(""https://docs.google.com/spreadsheets/d/1Hx73zIEgVdDZZaYSTc46Dqv64atFhpr3GelxLbaIN8A/edit?usp=sharing"",""หนองบัวลำภู"&amp;"!Q101"")+IMPORTRANGE(""https://docs.google.com/spreadsheets/d/1lFxr3ctmjFN90yc-xV6jrQ9Ty8BKYVBWnAZ15wcNIJc/edit?usp=sharing"",""อำนาจเจริญ!Q101"")+IMPORTRANGE(""https://docs.google.com/spreadsheets/d/1gF7RJpRnL-1oyjyeWxs5SFWEH7y8ahOZsQlyp2A2e-A/edit?usp=s"&amp;"haring"",""อุดรธานี!Q101"")+IMPORTRANGE(""https://docs.google.com/spreadsheets/d/1kfLP0j3INXRa8bTDpcEmoWewMBV61jlFlfzczfjWIgc/edit?usp=sharing"",""อุบลราชธานี!Q101"")"),0)</f>
        <v>0</v>
      </c>
      <c r="R101" s="59">
        <f ca="1">IFERROR(__xludf.DUMMYFUNCTION("IMPORTRANGE(""https://docs.google.com/spreadsheets/d/1yhBcrRPreicbMKl9Bu_Snb2-OcQAF62RKfhTLhJ2eAA/edit?usp=sharing"",""กาฬสินธุ์!R101"")+IMPORTRANGE(""https://docs.google.com/spreadsheets/d/1aHkj4IaQMThhwWwevcOymEh837vdxeC_PycurhTbGFA/edit?usp=sharing"","&amp;"""ขอนแก่น!R101"")+IMPORTRANGE(""https://docs.google.com/spreadsheets/d/1FvTu2DsIWUjP6WCWra38Bkj_oOl_sOMf14r5Fg5srxU/edit?usp=sharing"",""ชัยภูมิ!R101"")+IMPORTRANGE(""https://docs.google.com/spreadsheets/d/1XVB7oCJ3pr-vBUdflwPQ8Z2LlzhnCvZaaYjAfP-647E/edit"&amp;"?usp=sharing"",""นครพนม!R101"")+IMPORTRANGE(""https://docs.google.com/spreadsheets/d/1Mnpb-8PYAgn85W6KOTD40hc_Xc55CaLfHoGAbrZ8tls/edit?usp=sharing"",""นครราชสีมา!R101"")+IMPORTRANGE(""https://docs.google.com/spreadsheets/d/1xoDLGBv9CYbyosIhki0kTq6IpYNj-gp"&amp;"jxfobnaDiut0/edit?usp=sharing"",""บึงกาฬ!R101"")+IMPORTRANGE(""https://docs.google.com/spreadsheets/d/1MMPq-JyI6DSgQETxuSiXkesP-P7JHuemnE6QJIa-Nlw/edit?usp=sharing"",""บุรีรัมย์!R101"")+IMPORTRANGE(""https://docs.google.com/spreadsheets/d/1l6IZ8xUPgMrESzc"&amp;"TYwhA1k_tPjeQjJPTqlm8Gd9eU5g/edit?usp=sharing"",""มหาสารคาม!R101"")+IMPORTRANGE(""https://docs.google.com/spreadsheets/d/1uB74YLqNjWX6FObjekfB2NtSYigTQyR2rq9u4Ub2Sq4/edit?usp=sharing"",""มุกดาหาร!R101"")+IMPORTRANGE(""https://docs.google.com/spreadsheets/"&amp;"d/1NexK3geCPxCTO1fzNF8dPec7yZyUx3OaWkFBC9HsQOo/edit?usp=sharing"",""ยโสธร!R101"")+IMPORTRANGE(""https://docs.google.com/spreadsheets/d/1v_cJrbBlyqmnHPReHk44g9NrMRdENNlSy_E_c5M9fIg/edit?usp=sharing"",""ร้อยเอ็ด!R101"")+IMPORTRANGE(""https://docs.google.com"&amp;"/spreadsheets/d/1Ul4RCpCX66NxYADU1QpwAPjOmBzW64SsT11s1wzXw_c/edit?usp=sharing"",""เลย!R101"")+IMPORTRANGE(""https://docs.google.com/spreadsheets/d/1bRrNKwbHDVktQG10isr5vbWRtt5spIZPpkOSWgbT5ug/edit?usp=sharing"",""ศรีสะเกษ!R101"")+IMPORTRANGE(""https://doc"&amp;"s.google.com/spreadsheets/d/17P34_Ow5kFBfdQD0qspb2UuPX5zpi6WMrQzslghyvrI/edit?usp=sharing"",""สกลนคร!R101"")+IMPORTRANGE(""https://docs.google.com/spreadsheets/d/1yswqbM3-AEpThF3ZSUa1AcmHnmRTF1vlJ1CZGcJ8YuU/edit?usp=sharing"",""สุรินทร์!R101"")+IMPORTRANG"&amp;"E(""https://docs.google.com/spreadsheets/d/13JHU_EFbsQOUQ0JSQ3dWy1VTRosIWcDq6Nc99z2qzdc/edit?usp=sharing"",""หนองคาย!R101"")+IMPORTRANGE(""https://docs.google.com/spreadsheets/d/1Hx73zIEgVdDZZaYSTc46Dqv64atFhpr3GelxLbaIN8A/edit?usp=sharing"",""หนองบัวลำภู"&amp;"!R101"")+IMPORTRANGE(""https://docs.google.com/spreadsheets/d/1lFxr3ctmjFN90yc-xV6jrQ9Ty8BKYVBWnAZ15wcNIJc/edit?usp=sharing"",""อำนาจเจริญ!R101"")+IMPORTRANGE(""https://docs.google.com/spreadsheets/d/1gF7RJpRnL-1oyjyeWxs5SFWEH7y8ahOZsQlyp2A2e-A/edit?usp=s"&amp;"haring"",""อุดรธานี!R101"")+IMPORTRANGE(""https://docs.google.com/spreadsheets/d/1kfLP0j3INXRa8bTDpcEmoWewMBV61jlFlfzczfjWIgc/edit?usp=sharing"",""อุบลราชธานี!R101"")"),0)</f>
        <v>0</v>
      </c>
      <c r="S101" s="60">
        <f ca="1">IFERROR(__xludf.DUMMYFUNCTION("IMPORTRANGE(""https://docs.google.com/spreadsheets/d/1yhBcrRPreicbMKl9Bu_Snb2-OcQAF62RKfhTLhJ2eAA/edit?usp=sharing"",""กาฬสินธุ์!S101"")+IMPORTRANGE(""https://docs.google.com/spreadsheets/d/1aHkj4IaQMThhwWwevcOymEh837vdxeC_PycurhTbGFA/edit?usp=sharing"","&amp;"""ขอนแก่น!S101"")+IMPORTRANGE(""https://docs.google.com/spreadsheets/d/1FvTu2DsIWUjP6WCWra38Bkj_oOl_sOMf14r5Fg5srxU/edit?usp=sharing"",""ชัยภูมิ!S101"")+IMPORTRANGE(""https://docs.google.com/spreadsheets/d/1XVB7oCJ3pr-vBUdflwPQ8Z2LlzhnCvZaaYjAfP-647E/edit"&amp;"?usp=sharing"",""นครพนม!S101"")+IMPORTRANGE(""https://docs.google.com/spreadsheets/d/1Mnpb-8PYAgn85W6KOTD40hc_Xc55CaLfHoGAbrZ8tls/edit?usp=sharing"",""นครราชสีมา!S101"")+IMPORTRANGE(""https://docs.google.com/spreadsheets/d/1xoDLGBv9CYbyosIhki0kTq6IpYNj-gp"&amp;"jxfobnaDiut0/edit?usp=sharing"",""บึงกาฬ!S101"")+IMPORTRANGE(""https://docs.google.com/spreadsheets/d/1MMPq-JyI6DSgQETxuSiXkesP-P7JHuemnE6QJIa-Nlw/edit?usp=sharing"",""บุรีรัมย์!S101"")+IMPORTRANGE(""https://docs.google.com/spreadsheets/d/1l6IZ8xUPgMrESzc"&amp;"TYwhA1k_tPjeQjJPTqlm8Gd9eU5g/edit?usp=sharing"",""มหาสารคาม!S101"")+IMPORTRANGE(""https://docs.google.com/spreadsheets/d/1uB74YLqNjWX6FObjekfB2NtSYigTQyR2rq9u4Ub2Sq4/edit?usp=sharing"",""มุกดาหาร!S101"")+IMPORTRANGE(""https://docs.google.com/spreadsheets/"&amp;"d/1NexK3geCPxCTO1fzNF8dPec7yZyUx3OaWkFBC9HsQOo/edit?usp=sharing"",""ยโสธร!S101"")+IMPORTRANGE(""https://docs.google.com/spreadsheets/d/1v_cJrbBlyqmnHPReHk44g9NrMRdENNlSy_E_c5M9fIg/edit?usp=sharing"",""ร้อยเอ็ด!S101"")+IMPORTRANGE(""https://docs.google.com"&amp;"/spreadsheets/d/1Ul4RCpCX66NxYADU1QpwAPjOmBzW64SsT11s1wzXw_c/edit?usp=sharing"",""เลย!S101"")+IMPORTRANGE(""https://docs.google.com/spreadsheets/d/1bRrNKwbHDVktQG10isr5vbWRtt5spIZPpkOSWgbT5ug/edit?usp=sharing"",""ศรีสะเกษ!S101"")+IMPORTRANGE(""https://doc"&amp;"s.google.com/spreadsheets/d/17P34_Ow5kFBfdQD0qspb2UuPX5zpi6WMrQzslghyvrI/edit?usp=sharing"",""สกลนคร!S101"")+IMPORTRANGE(""https://docs.google.com/spreadsheets/d/1yswqbM3-AEpThF3ZSUa1AcmHnmRTF1vlJ1CZGcJ8YuU/edit?usp=sharing"",""สุรินทร์!S101"")+IMPORTRANG"&amp;"E(""https://docs.google.com/spreadsheets/d/13JHU_EFbsQOUQ0JSQ3dWy1VTRosIWcDq6Nc99z2qzdc/edit?usp=sharing"",""หนองคาย!S101"")+IMPORTRANGE(""https://docs.google.com/spreadsheets/d/1Hx73zIEgVdDZZaYSTc46Dqv64atFhpr3GelxLbaIN8A/edit?usp=sharing"",""หนองบัวลำภู"&amp;"!S101"")+IMPORTRANGE(""https://docs.google.com/spreadsheets/d/1lFxr3ctmjFN90yc-xV6jrQ9Ty8BKYVBWnAZ15wcNIJc/edit?usp=sharing"",""อำนาจเจริญ!S101"")+IMPORTRANGE(""https://docs.google.com/spreadsheets/d/1gF7RJpRnL-1oyjyeWxs5SFWEH7y8ahOZsQlyp2A2e-A/edit?usp=s"&amp;"haring"",""อุดรธานี!S101"")+IMPORTRANGE(""https://docs.google.com/spreadsheets/d/1kfLP0j3INXRa8bTDpcEmoWewMBV61jlFlfzczfjWIgc/edit?usp=sharing"",""อุบลราชธานี!S101"")"),0)</f>
        <v>0</v>
      </c>
      <c r="T101" s="59">
        <f t="shared" ca="1" si="77"/>
        <v>0</v>
      </c>
      <c r="U101" s="59">
        <f t="shared" ca="1" si="78"/>
        <v>0</v>
      </c>
    </row>
    <row r="102" spans="1:21" ht="18.75">
      <c r="A102" s="155"/>
      <c r="B102" s="188"/>
      <c r="C102" s="188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56">
        <f ca="1">IFERROR(__xludf.DUMMYFUNCTION("IMPORTRANGE(""https://docs.google.com/spreadsheets/d/1yhBcrRPreicbMKl9Bu_Snb2-OcQAF62RKfhTLhJ2eAA/edit?usp=sharing"",""กาฬสินธุ์!L102"")+IMPORTRANGE(""https://docs.google.com/spreadsheets/d/1aHkj4IaQMThhwWwevcOymEh837vdxeC_PycurhTbGFA/edit?usp=sharing"","&amp;"""ขอนแก่น!L102"")+IMPORTRANGE(""https://docs.google.com/spreadsheets/d/1FvTu2DsIWUjP6WCWra38Bkj_oOl_sOMf14r5Fg5srxU/edit?usp=sharing"",""ชัยภูมิ!L102"")+IMPORTRANGE(""https://docs.google.com/spreadsheets/d/1XVB7oCJ3pr-vBUdflwPQ8Z2LlzhnCvZaaYjAfP-647E/edit"&amp;"?usp=sharing"",""นครพนม!L102"")+IMPORTRANGE(""https://docs.google.com/spreadsheets/d/1Mnpb-8PYAgn85W6KOTD40hc_Xc55CaLfHoGAbrZ8tls/edit?usp=sharing"",""นครราชสีมา!L102"")+IMPORTRANGE(""https://docs.google.com/spreadsheets/d/1xoDLGBv9CYbyosIhki0kTq6IpYNj-gp"&amp;"jxfobnaDiut0/edit?usp=sharing"",""บึงกาฬ!L102"")+IMPORTRANGE(""https://docs.google.com/spreadsheets/d/1MMPq-JyI6DSgQETxuSiXkesP-P7JHuemnE6QJIa-Nlw/edit?usp=sharing"",""บุรีรัมย์!L102"")+IMPORTRANGE(""https://docs.google.com/spreadsheets/d/1l6IZ8xUPgMrESzc"&amp;"TYwhA1k_tPjeQjJPTqlm8Gd9eU5g/edit?usp=sharing"",""มหาสารคาม!L102"")+IMPORTRANGE(""https://docs.google.com/spreadsheets/d/1uB74YLqNjWX6FObjekfB2NtSYigTQyR2rq9u4Ub2Sq4/edit?usp=sharing"",""มุกดาหาร!L102"")+IMPORTRANGE(""https://docs.google.com/spreadsheets/"&amp;"d/1NexK3geCPxCTO1fzNF8dPec7yZyUx3OaWkFBC9HsQOo/edit?usp=sharing"",""ยโสธร!L102"")+IMPORTRANGE(""https://docs.google.com/spreadsheets/d/1v_cJrbBlyqmnHPReHk44g9NrMRdENNlSy_E_c5M9fIg/edit?usp=sharing"",""ร้อยเอ็ด!L102"")+IMPORTRANGE(""https://docs.google.com"&amp;"/spreadsheets/d/1Ul4RCpCX66NxYADU1QpwAPjOmBzW64SsT11s1wzXw_c/edit?usp=sharing"",""เลย!L102"")+IMPORTRANGE(""https://docs.google.com/spreadsheets/d/1bRrNKwbHDVktQG10isr5vbWRtt5spIZPpkOSWgbT5ug/edit?usp=sharing"",""ศรีสะเกษ!L102"")+IMPORTRANGE(""https://doc"&amp;"s.google.com/spreadsheets/d/17P34_Ow5kFBfdQD0qspb2UuPX5zpi6WMrQzslghyvrI/edit?usp=sharing"",""สกลนคร!L102"")+IMPORTRANGE(""https://docs.google.com/spreadsheets/d/1yswqbM3-AEpThF3ZSUa1AcmHnmRTF1vlJ1CZGcJ8YuU/edit?usp=sharing"",""สุรินทร์!L102"")+IMPORTRANG"&amp;"E(""https://docs.google.com/spreadsheets/d/13JHU_EFbsQOUQ0JSQ3dWy1VTRosIWcDq6Nc99z2qzdc/edit?usp=sharing"",""หนองคาย!L102"")+IMPORTRANGE(""https://docs.google.com/spreadsheets/d/1Hx73zIEgVdDZZaYSTc46Dqv64atFhpr3GelxLbaIN8A/edit?usp=sharing"",""หนองบัวลำภู"&amp;"!L102"")+IMPORTRANGE(""https://docs.google.com/spreadsheets/d/1lFxr3ctmjFN90yc-xV6jrQ9Ty8BKYVBWnAZ15wcNIJc/edit?usp=sharing"",""อำนาจเจริญ!L102"")+IMPORTRANGE(""https://docs.google.com/spreadsheets/d/1gF7RJpRnL-1oyjyeWxs5SFWEH7y8ahOZsQlyp2A2e-A/edit?usp=s"&amp;"haring"",""อุดรธานี!L102"")+IMPORTRANGE(""https://docs.google.com/spreadsheets/d/1kfLP0j3INXRa8bTDpcEmoWewMBV61jlFlfzczfjWIgc/edit?usp=sharing"",""อุบลราชธานี!L102"")"),0)</f>
        <v>0</v>
      </c>
      <c r="M102" s="56">
        <f ca="1">IFERROR(__xludf.DUMMYFUNCTION("IMPORTRANGE(""https://docs.google.com/spreadsheets/d/1yhBcrRPreicbMKl9Bu_Snb2-OcQAF62RKfhTLhJ2eAA/edit?usp=sharing"",""กาฬสินธุ์!M102"")+IMPORTRANGE(""https://docs.google.com/spreadsheets/d/1aHkj4IaQMThhwWwevcOymEh837vdxeC_PycurhTbGFA/edit?usp=sharing"","&amp;"""ขอนแก่น!M102"")+IMPORTRANGE(""https://docs.google.com/spreadsheets/d/1FvTu2DsIWUjP6WCWra38Bkj_oOl_sOMf14r5Fg5srxU/edit?usp=sharing"",""ชัยภูมิ!M102"")+IMPORTRANGE(""https://docs.google.com/spreadsheets/d/1XVB7oCJ3pr-vBUdflwPQ8Z2LlzhnCvZaaYjAfP-647E/edit"&amp;"?usp=sharing"",""นครพนม!M102"")+IMPORTRANGE(""https://docs.google.com/spreadsheets/d/1Mnpb-8PYAgn85W6KOTD40hc_Xc55CaLfHoGAbrZ8tls/edit?usp=sharing"",""นครราชสีมา!M102"")+IMPORTRANGE(""https://docs.google.com/spreadsheets/d/1xoDLGBv9CYbyosIhki0kTq6IpYNj-gp"&amp;"jxfobnaDiut0/edit?usp=sharing"",""บึงกาฬ!M102"")+IMPORTRANGE(""https://docs.google.com/spreadsheets/d/1MMPq-JyI6DSgQETxuSiXkesP-P7JHuemnE6QJIa-Nlw/edit?usp=sharing"",""บุรีรัมย์!M102"")+IMPORTRANGE(""https://docs.google.com/spreadsheets/d/1l6IZ8xUPgMrESzc"&amp;"TYwhA1k_tPjeQjJPTqlm8Gd9eU5g/edit?usp=sharing"",""มหาสารคาม!M102"")+IMPORTRANGE(""https://docs.google.com/spreadsheets/d/1uB74YLqNjWX6FObjekfB2NtSYigTQyR2rq9u4Ub2Sq4/edit?usp=sharing"",""มุกดาหาร!M102"")+IMPORTRANGE(""https://docs.google.com/spreadsheets/"&amp;"d/1NexK3geCPxCTO1fzNF8dPec7yZyUx3OaWkFBC9HsQOo/edit?usp=sharing"",""ยโสธร!M102"")+IMPORTRANGE(""https://docs.google.com/spreadsheets/d/1v_cJrbBlyqmnHPReHk44g9NrMRdENNlSy_E_c5M9fIg/edit?usp=sharing"",""ร้อยเอ็ด!M102"")+IMPORTRANGE(""https://docs.google.com"&amp;"/spreadsheets/d/1Ul4RCpCX66NxYADU1QpwAPjOmBzW64SsT11s1wzXw_c/edit?usp=sharing"",""เลย!M102"")+IMPORTRANGE(""https://docs.google.com/spreadsheets/d/1bRrNKwbHDVktQG10isr5vbWRtt5spIZPpkOSWgbT5ug/edit?usp=sharing"",""ศรีสะเกษ!M102"")+IMPORTRANGE(""https://doc"&amp;"s.google.com/spreadsheets/d/17P34_Ow5kFBfdQD0qspb2UuPX5zpi6WMrQzslghyvrI/edit?usp=sharing"",""สกลนคร!M102"")+IMPORTRANGE(""https://docs.google.com/spreadsheets/d/1yswqbM3-AEpThF3ZSUa1AcmHnmRTF1vlJ1CZGcJ8YuU/edit?usp=sharing"",""สุรินทร์!M102"")+IMPORTRANG"&amp;"E(""https://docs.google.com/spreadsheets/d/13JHU_EFbsQOUQ0JSQ3dWy1VTRosIWcDq6Nc99z2qzdc/edit?usp=sharing"",""หนองคาย!M102"")+IMPORTRANGE(""https://docs.google.com/spreadsheets/d/1Hx73zIEgVdDZZaYSTc46Dqv64atFhpr3GelxLbaIN8A/edit?usp=sharing"",""หนองบัวลำภู"&amp;"!M102"")+IMPORTRANGE(""https://docs.google.com/spreadsheets/d/1lFxr3ctmjFN90yc-xV6jrQ9Ty8BKYVBWnAZ15wcNIJc/edit?usp=sharing"",""อำนาจเจริญ!M102"")+IMPORTRANGE(""https://docs.google.com/spreadsheets/d/1gF7RJpRnL-1oyjyeWxs5SFWEH7y8ahOZsQlyp2A2e-A/edit?usp=s"&amp;"haring"",""อุดรธานี!M102"")+IMPORTRANGE(""https://docs.google.com/spreadsheets/d/1kfLP0j3INXRa8bTDpcEmoWewMBV61jlFlfzczfjWIgc/edit?usp=sharing"",""อุบลราชธานี!M102"")"),0)</f>
        <v>0</v>
      </c>
      <c r="N102" s="56">
        <f ca="1">IFERROR(__xludf.DUMMYFUNCTION("IMPORTRANGE(""https://docs.google.com/spreadsheets/d/1yhBcrRPreicbMKl9Bu_Snb2-OcQAF62RKfhTLhJ2eAA/edit?usp=sharing"",""กาฬสินธุ์!N102"")+IMPORTRANGE(""https://docs.google.com/spreadsheets/d/1aHkj4IaQMThhwWwevcOymEh837vdxeC_PycurhTbGFA/edit?usp=sharing"","&amp;"""ขอนแก่น!N102"")+IMPORTRANGE(""https://docs.google.com/spreadsheets/d/1FvTu2DsIWUjP6WCWra38Bkj_oOl_sOMf14r5Fg5srxU/edit?usp=sharing"",""ชัยภูมิ!N102"")+IMPORTRANGE(""https://docs.google.com/spreadsheets/d/1XVB7oCJ3pr-vBUdflwPQ8Z2LlzhnCvZaaYjAfP-647E/edit"&amp;"?usp=sharing"",""นครพนม!N102"")+IMPORTRANGE(""https://docs.google.com/spreadsheets/d/1Mnpb-8PYAgn85W6KOTD40hc_Xc55CaLfHoGAbrZ8tls/edit?usp=sharing"",""นครราชสีมา!N102"")+IMPORTRANGE(""https://docs.google.com/spreadsheets/d/1xoDLGBv9CYbyosIhki0kTq6IpYNj-gp"&amp;"jxfobnaDiut0/edit?usp=sharing"",""บึงกาฬ!N102"")+IMPORTRANGE(""https://docs.google.com/spreadsheets/d/1MMPq-JyI6DSgQETxuSiXkesP-P7JHuemnE6QJIa-Nlw/edit?usp=sharing"",""บุรีรัมย์!N102"")+IMPORTRANGE(""https://docs.google.com/spreadsheets/d/1l6IZ8xUPgMrESzc"&amp;"TYwhA1k_tPjeQjJPTqlm8Gd9eU5g/edit?usp=sharing"",""มหาสารคาม!N102"")+IMPORTRANGE(""https://docs.google.com/spreadsheets/d/1uB74YLqNjWX6FObjekfB2NtSYigTQyR2rq9u4Ub2Sq4/edit?usp=sharing"",""มุกดาหาร!N102"")+IMPORTRANGE(""https://docs.google.com/spreadsheets/"&amp;"d/1NexK3geCPxCTO1fzNF8dPec7yZyUx3OaWkFBC9HsQOo/edit?usp=sharing"",""ยโสธร!N102"")+IMPORTRANGE(""https://docs.google.com/spreadsheets/d/1v_cJrbBlyqmnHPReHk44g9NrMRdENNlSy_E_c5M9fIg/edit?usp=sharing"",""ร้อยเอ็ด!N102"")+IMPORTRANGE(""https://docs.google.com"&amp;"/spreadsheets/d/1Ul4RCpCX66NxYADU1QpwAPjOmBzW64SsT11s1wzXw_c/edit?usp=sharing"",""เลย!N102"")+IMPORTRANGE(""https://docs.google.com/spreadsheets/d/1bRrNKwbHDVktQG10isr5vbWRtt5spIZPpkOSWgbT5ug/edit?usp=sharing"",""ศรีสะเกษ!N102"")+IMPORTRANGE(""https://doc"&amp;"s.google.com/spreadsheets/d/17P34_Ow5kFBfdQD0qspb2UuPX5zpi6WMrQzslghyvrI/edit?usp=sharing"",""สกลนคร!N102"")+IMPORTRANGE(""https://docs.google.com/spreadsheets/d/1yswqbM3-AEpThF3ZSUa1AcmHnmRTF1vlJ1CZGcJ8YuU/edit?usp=sharing"",""สุรินทร์!N102"")+IMPORTRANG"&amp;"E(""https://docs.google.com/spreadsheets/d/13JHU_EFbsQOUQ0JSQ3dWy1VTRosIWcDq6Nc99z2qzdc/edit?usp=sharing"",""หนองคาย!N102"")+IMPORTRANGE(""https://docs.google.com/spreadsheets/d/1Hx73zIEgVdDZZaYSTc46Dqv64atFhpr3GelxLbaIN8A/edit?usp=sharing"",""หนองบัวลำภู"&amp;"!N102"")+IMPORTRANGE(""https://docs.google.com/spreadsheets/d/1lFxr3ctmjFN90yc-xV6jrQ9Ty8BKYVBWnAZ15wcNIJc/edit?usp=sharing"",""อำนาจเจริญ!N102"")+IMPORTRANGE(""https://docs.google.com/spreadsheets/d/1gF7RJpRnL-1oyjyeWxs5SFWEH7y8ahOZsQlyp2A2e-A/edit?usp=s"&amp;"haring"",""อุดรธานี!N102"")+IMPORTRANGE(""https://docs.google.com/spreadsheets/d/1kfLP0j3INXRa8bTDpcEmoWewMBV61jlFlfzczfjWIgc/edit?usp=sharing"",""อุบลราชธานี!N102"")"),0)</f>
        <v>0</v>
      </c>
      <c r="O102" s="56">
        <f t="shared" ca="1" si="74"/>
        <v>0</v>
      </c>
      <c r="P102" s="56">
        <f t="shared" ca="1" si="75"/>
        <v>0</v>
      </c>
      <c r="Q102" s="56">
        <f ca="1">IFERROR(__xludf.DUMMYFUNCTION("IMPORTRANGE(""https://docs.google.com/spreadsheets/d/1yhBcrRPreicbMKl9Bu_Snb2-OcQAF62RKfhTLhJ2eAA/edit?usp=sharing"",""กาฬสินธุ์!Q102"")+IMPORTRANGE(""https://docs.google.com/spreadsheets/d/1aHkj4IaQMThhwWwevcOymEh837vdxeC_PycurhTbGFA/edit?usp=sharing"","&amp;"""ขอนแก่น!Q102"")+IMPORTRANGE(""https://docs.google.com/spreadsheets/d/1FvTu2DsIWUjP6WCWra38Bkj_oOl_sOMf14r5Fg5srxU/edit?usp=sharing"",""ชัยภูมิ!Q102"")+IMPORTRANGE(""https://docs.google.com/spreadsheets/d/1XVB7oCJ3pr-vBUdflwPQ8Z2LlzhnCvZaaYjAfP-647E/edit"&amp;"?usp=sharing"",""นครพนม!Q102"")+IMPORTRANGE(""https://docs.google.com/spreadsheets/d/1Mnpb-8PYAgn85W6KOTD40hc_Xc55CaLfHoGAbrZ8tls/edit?usp=sharing"",""นครราชสีมา!Q102"")+IMPORTRANGE(""https://docs.google.com/spreadsheets/d/1xoDLGBv9CYbyosIhki0kTq6IpYNj-gp"&amp;"jxfobnaDiut0/edit?usp=sharing"",""บึงกาฬ!Q102"")+IMPORTRANGE(""https://docs.google.com/spreadsheets/d/1MMPq-JyI6DSgQETxuSiXkesP-P7JHuemnE6QJIa-Nlw/edit?usp=sharing"",""บุรีรัมย์!Q102"")+IMPORTRANGE(""https://docs.google.com/spreadsheets/d/1l6IZ8xUPgMrESzc"&amp;"TYwhA1k_tPjeQjJPTqlm8Gd9eU5g/edit?usp=sharing"",""มหาสารคาม!Q102"")+IMPORTRANGE(""https://docs.google.com/spreadsheets/d/1uB74YLqNjWX6FObjekfB2NtSYigTQyR2rq9u4Ub2Sq4/edit?usp=sharing"",""มุกดาหาร!Q102"")+IMPORTRANGE(""https://docs.google.com/spreadsheets/"&amp;"d/1NexK3geCPxCTO1fzNF8dPec7yZyUx3OaWkFBC9HsQOo/edit?usp=sharing"",""ยโสธร!Q102"")+IMPORTRANGE(""https://docs.google.com/spreadsheets/d/1v_cJrbBlyqmnHPReHk44g9NrMRdENNlSy_E_c5M9fIg/edit?usp=sharing"",""ร้อยเอ็ด!Q102"")+IMPORTRANGE(""https://docs.google.com"&amp;"/spreadsheets/d/1Ul4RCpCX66NxYADU1QpwAPjOmBzW64SsT11s1wzXw_c/edit?usp=sharing"",""เลย!Q102"")+IMPORTRANGE(""https://docs.google.com/spreadsheets/d/1bRrNKwbHDVktQG10isr5vbWRtt5spIZPpkOSWgbT5ug/edit?usp=sharing"",""ศรีสะเกษ!Q102"")+IMPORTRANGE(""https://doc"&amp;"s.google.com/spreadsheets/d/17P34_Ow5kFBfdQD0qspb2UuPX5zpi6WMrQzslghyvrI/edit?usp=sharing"",""สกลนคร!Q102"")+IMPORTRANGE(""https://docs.google.com/spreadsheets/d/1yswqbM3-AEpThF3ZSUa1AcmHnmRTF1vlJ1CZGcJ8YuU/edit?usp=sharing"",""สุรินทร์!Q102"")+IMPORTRANG"&amp;"E(""https://docs.google.com/spreadsheets/d/13JHU_EFbsQOUQ0JSQ3dWy1VTRosIWcDq6Nc99z2qzdc/edit?usp=sharing"",""หนองคาย!Q102"")+IMPORTRANGE(""https://docs.google.com/spreadsheets/d/1Hx73zIEgVdDZZaYSTc46Dqv64atFhpr3GelxLbaIN8A/edit?usp=sharing"",""หนองบัวลำภู"&amp;"!Q102"")+IMPORTRANGE(""https://docs.google.com/spreadsheets/d/1lFxr3ctmjFN90yc-xV6jrQ9Ty8BKYVBWnAZ15wcNIJc/edit?usp=sharing"",""อำนาจเจริญ!Q102"")+IMPORTRANGE(""https://docs.google.com/spreadsheets/d/1gF7RJpRnL-1oyjyeWxs5SFWEH7y8ahOZsQlyp2A2e-A/edit?usp=s"&amp;"haring"",""อุดรธานี!Q102"")+IMPORTRANGE(""https://docs.google.com/spreadsheets/d/1kfLP0j3INXRa8bTDpcEmoWewMBV61jlFlfzczfjWIgc/edit?usp=sharing"",""อุบลราชธานี!Q102"")"),0)</f>
        <v>0</v>
      </c>
      <c r="R102" s="56">
        <f ca="1">IFERROR(__xludf.DUMMYFUNCTION("IMPORTRANGE(""https://docs.google.com/spreadsheets/d/1yhBcrRPreicbMKl9Bu_Snb2-OcQAF62RKfhTLhJ2eAA/edit?usp=sharing"",""กาฬสินธุ์!R102"")+IMPORTRANGE(""https://docs.google.com/spreadsheets/d/1aHkj4IaQMThhwWwevcOymEh837vdxeC_PycurhTbGFA/edit?usp=sharing"","&amp;"""ขอนแก่น!R102"")+IMPORTRANGE(""https://docs.google.com/spreadsheets/d/1FvTu2DsIWUjP6WCWra38Bkj_oOl_sOMf14r5Fg5srxU/edit?usp=sharing"",""ชัยภูมิ!R102"")+IMPORTRANGE(""https://docs.google.com/spreadsheets/d/1XVB7oCJ3pr-vBUdflwPQ8Z2LlzhnCvZaaYjAfP-647E/edit"&amp;"?usp=sharing"",""นครพนม!R102"")+IMPORTRANGE(""https://docs.google.com/spreadsheets/d/1Mnpb-8PYAgn85W6KOTD40hc_Xc55CaLfHoGAbrZ8tls/edit?usp=sharing"",""นครราชสีมา!R102"")+IMPORTRANGE(""https://docs.google.com/spreadsheets/d/1xoDLGBv9CYbyosIhki0kTq6IpYNj-gp"&amp;"jxfobnaDiut0/edit?usp=sharing"",""บึงกาฬ!R102"")+IMPORTRANGE(""https://docs.google.com/spreadsheets/d/1MMPq-JyI6DSgQETxuSiXkesP-P7JHuemnE6QJIa-Nlw/edit?usp=sharing"",""บุรีรัมย์!R102"")+IMPORTRANGE(""https://docs.google.com/spreadsheets/d/1l6IZ8xUPgMrESzc"&amp;"TYwhA1k_tPjeQjJPTqlm8Gd9eU5g/edit?usp=sharing"",""มหาสารคาม!R102"")+IMPORTRANGE(""https://docs.google.com/spreadsheets/d/1uB74YLqNjWX6FObjekfB2NtSYigTQyR2rq9u4Ub2Sq4/edit?usp=sharing"",""มุกดาหาร!R102"")+IMPORTRANGE(""https://docs.google.com/spreadsheets/"&amp;"d/1NexK3geCPxCTO1fzNF8dPec7yZyUx3OaWkFBC9HsQOo/edit?usp=sharing"",""ยโสธร!R102"")+IMPORTRANGE(""https://docs.google.com/spreadsheets/d/1v_cJrbBlyqmnHPReHk44g9NrMRdENNlSy_E_c5M9fIg/edit?usp=sharing"",""ร้อยเอ็ด!R102"")+IMPORTRANGE(""https://docs.google.com"&amp;"/spreadsheets/d/1Ul4RCpCX66NxYADU1QpwAPjOmBzW64SsT11s1wzXw_c/edit?usp=sharing"",""เลย!R102"")+IMPORTRANGE(""https://docs.google.com/spreadsheets/d/1bRrNKwbHDVktQG10isr5vbWRtt5spIZPpkOSWgbT5ug/edit?usp=sharing"",""ศรีสะเกษ!R102"")+IMPORTRANGE(""https://doc"&amp;"s.google.com/spreadsheets/d/17P34_Ow5kFBfdQD0qspb2UuPX5zpi6WMrQzslghyvrI/edit?usp=sharing"",""สกลนคร!R102"")+IMPORTRANGE(""https://docs.google.com/spreadsheets/d/1yswqbM3-AEpThF3ZSUa1AcmHnmRTF1vlJ1CZGcJ8YuU/edit?usp=sharing"",""สุรินทร์!R102"")+IMPORTRANG"&amp;"E(""https://docs.google.com/spreadsheets/d/13JHU_EFbsQOUQ0JSQ3dWy1VTRosIWcDq6Nc99z2qzdc/edit?usp=sharing"",""หนองคาย!R102"")+IMPORTRANGE(""https://docs.google.com/spreadsheets/d/1Hx73zIEgVdDZZaYSTc46Dqv64atFhpr3GelxLbaIN8A/edit?usp=sharing"",""หนองบัวลำภู"&amp;"!R102"")+IMPORTRANGE(""https://docs.google.com/spreadsheets/d/1lFxr3ctmjFN90yc-xV6jrQ9Ty8BKYVBWnAZ15wcNIJc/edit?usp=sharing"",""อำนาจเจริญ!R102"")+IMPORTRANGE(""https://docs.google.com/spreadsheets/d/1gF7RJpRnL-1oyjyeWxs5SFWEH7y8ahOZsQlyp2A2e-A/edit?usp=s"&amp;"haring"",""อุดรธานี!R102"")+IMPORTRANGE(""https://docs.google.com/spreadsheets/d/1kfLP0j3INXRa8bTDpcEmoWewMBV61jlFlfzczfjWIgc/edit?usp=sharing"",""อุบลราชธานี!R102"")"),0)</f>
        <v>0</v>
      </c>
      <c r="S102" s="57">
        <f ca="1">IFERROR(__xludf.DUMMYFUNCTION("IMPORTRANGE(""https://docs.google.com/spreadsheets/d/1yhBcrRPreicbMKl9Bu_Snb2-OcQAF62RKfhTLhJ2eAA/edit?usp=sharing"",""กาฬสินธุ์!S102"")+IMPORTRANGE(""https://docs.google.com/spreadsheets/d/1aHkj4IaQMThhwWwevcOymEh837vdxeC_PycurhTbGFA/edit?usp=sharing"","&amp;"""ขอนแก่น!S102"")+IMPORTRANGE(""https://docs.google.com/spreadsheets/d/1FvTu2DsIWUjP6WCWra38Bkj_oOl_sOMf14r5Fg5srxU/edit?usp=sharing"",""ชัยภูมิ!S102"")+IMPORTRANGE(""https://docs.google.com/spreadsheets/d/1XVB7oCJ3pr-vBUdflwPQ8Z2LlzhnCvZaaYjAfP-647E/edit"&amp;"?usp=sharing"",""นครพนม!S102"")+IMPORTRANGE(""https://docs.google.com/spreadsheets/d/1Mnpb-8PYAgn85W6KOTD40hc_Xc55CaLfHoGAbrZ8tls/edit?usp=sharing"",""นครราชสีมา!S102"")+IMPORTRANGE(""https://docs.google.com/spreadsheets/d/1xoDLGBv9CYbyosIhki0kTq6IpYNj-gp"&amp;"jxfobnaDiut0/edit?usp=sharing"",""บึงกาฬ!S102"")+IMPORTRANGE(""https://docs.google.com/spreadsheets/d/1MMPq-JyI6DSgQETxuSiXkesP-P7JHuemnE6QJIa-Nlw/edit?usp=sharing"",""บุรีรัมย์!S102"")+IMPORTRANGE(""https://docs.google.com/spreadsheets/d/1l6IZ8xUPgMrESzc"&amp;"TYwhA1k_tPjeQjJPTqlm8Gd9eU5g/edit?usp=sharing"",""มหาสารคาม!S102"")+IMPORTRANGE(""https://docs.google.com/spreadsheets/d/1uB74YLqNjWX6FObjekfB2NtSYigTQyR2rq9u4Ub2Sq4/edit?usp=sharing"",""มุกดาหาร!S102"")+IMPORTRANGE(""https://docs.google.com/spreadsheets/"&amp;"d/1NexK3geCPxCTO1fzNF8dPec7yZyUx3OaWkFBC9HsQOo/edit?usp=sharing"",""ยโสธร!S102"")+IMPORTRANGE(""https://docs.google.com/spreadsheets/d/1v_cJrbBlyqmnHPReHk44g9NrMRdENNlSy_E_c5M9fIg/edit?usp=sharing"",""ร้อยเอ็ด!S102"")+IMPORTRANGE(""https://docs.google.com"&amp;"/spreadsheets/d/1Ul4RCpCX66NxYADU1QpwAPjOmBzW64SsT11s1wzXw_c/edit?usp=sharing"",""เลย!S102"")+IMPORTRANGE(""https://docs.google.com/spreadsheets/d/1bRrNKwbHDVktQG10isr5vbWRtt5spIZPpkOSWgbT5ug/edit?usp=sharing"",""ศรีสะเกษ!S102"")+IMPORTRANGE(""https://doc"&amp;"s.google.com/spreadsheets/d/17P34_Ow5kFBfdQD0qspb2UuPX5zpi6WMrQzslghyvrI/edit?usp=sharing"",""สกลนคร!S102"")+IMPORTRANGE(""https://docs.google.com/spreadsheets/d/1yswqbM3-AEpThF3ZSUa1AcmHnmRTF1vlJ1CZGcJ8YuU/edit?usp=sharing"",""สุรินทร์!S102"")+IMPORTRANG"&amp;"E(""https://docs.google.com/spreadsheets/d/13JHU_EFbsQOUQ0JSQ3dWy1VTRosIWcDq6Nc99z2qzdc/edit?usp=sharing"",""หนองคาย!S102"")+IMPORTRANGE(""https://docs.google.com/spreadsheets/d/1Hx73zIEgVdDZZaYSTc46Dqv64atFhpr3GelxLbaIN8A/edit?usp=sharing"",""หนองบัวลำภู"&amp;"!S102"")+IMPORTRANGE(""https://docs.google.com/spreadsheets/d/1lFxr3ctmjFN90yc-xV6jrQ9Ty8BKYVBWnAZ15wcNIJc/edit?usp=sharing"",""อำนาจเจริญ!S102"")+IMPORTRANGE(""https://docs.google.com/spreadsheets/d/1gF7RJpRnL-1oyjyeWxs5SFWEH7y8ahOZsQlyp2A2e-A/edit?usp=s"&amp;"haring"",""อุดรธานี!S102"")+IMPORTRANGE(""https://docs.google.com/spreadsheets/d/1kfLP0j3INXRa8bTDpcEmoWewMBV61jlFlfzczfjWIgc/edit?usp=sharing"",""อุบลราชธานี!S102"")"),0)</f>
        <v>0</v>
      </c>
      <c r="T102" s="56">
        <f t="shared" ca="1" si="77"/>
        <v>0</v>
      </c>
      <c r="U102" s="56">
        <f t="shared" ca="1" si="78"/>
        <v>0</v>
      </c>
    </row>
    <row r="103" spans="1:21" ht="19.5">
      <c r="A103" s="166"/>
      <c r="B103" s="167"/>
      <c r="C103" s="191" t="s">
        <v>18</v>
      </c>
      <c r="D103" s="168" t="s">
        <v>38</v>
      </c>
      <c r="E103" s="169"/>
      <c r="F103" s="169"/>
      <c r="G103" s="170"/>
      <c r="H103" s="171"/>
      <c r="I103" s="163"/>
      <c r="J103" s="54"/>
      <c r="K103" s="55"/>
      <c r="L103" s="55"/>
      <c r="M103" s="55"/>
      <c r="N103" s="55"/>
      <c r="O103" s="164"/>
      <c r="P103" s="164"/>
      <c r="Q103" s="55"/>
      <c r="R103" s="55"/>
      <c r="S103" s="62"/>
      <c r="T103" s="164"/>
      <c r="U103" s="164"/>
    </row>
    <row r="104" spans="1:21" ht="12.75">
      <c r="A104" s="192"/>
      <c r="B104" s="193"/>
      <c r="C104" s="193"/>
      <c r="D104" s="22"/>
      <c r="E104" s="22"/>
      <c r="F104" s="22"/>
      <c r="G104" s="23"/>
      <c r="H104" s="23"/>
      <c r="I104" s="24"/>
      <c r="J104" s="24"/>
      <c r="K104" s="25"/>
      <c r="L104" s="25"/>
      <c r="M104" s="25"/>
      <c r="N104" s="25"/>
      <c r="O104" s="25"/>
      <c r="P104" s="25"/>
      <c r="Q104" s="25"/>
      <c r="R104" s="25"/>
      <c r="S104" s="26"/>
      <c r="T104" s="25"/>
      <c r="U104" s="25"/>
    </row>
    <row r="105" spans="1:21" ht="12.75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5"/>
      <c r="M105" s="25"/>
      <c r="N105" s="25"/>
      <c r="O105" s="25"/>
      <c r="P105" s="25"/>
      <c r="Q105" s="25"/>
      <c r="R105" s="25"/>
      <c r="S105" s="26"/>
      <c r="T105" s="25"/>
      <c r="U105" s="25"/>
    </row>
    <row r="106" spans="1:21" ht="12.75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5"/>
      <c r="M106" s="25"/>
      <c r="N106" s="25"/>
      <c r="O106" s="25"/>
      <c r="P106" s="25"/>
      <c r="Q106" s="25"/>
      <c r="R106" s="25"/>
      <c r="S106" s="26"/>
      <c r="T106" s="25"/>
      <c r="U106" s="25"/>
    </row>
    <row r="107" spans="1:21" ht="19.5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55"/>
      <c r="M107" s="55"/>
      <c r="N107" s="55"/>
      <c r="O107" s="164"/>
      <c r="P107" s="164"/>
      <c r="Q107" s="55"/>
      <c r="R107" s="55"/>
      <c r="S107" s="62"/>
      <c r="T107" s="164"/>
      <c r="U107" s="164"/>
    </row>
    <row r="108" spans="1:21" ht="18.75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181">
        <f ca="1">IFERROR(__xludf.DUMMYFUNCTION("IMPORTRANGE(""https://docs.google.com/spreadsheets/d/1yhBcrRPreicbMKl9Bu_Snb2-OcQAF62RKfhTLhJ2eAA/edit?usp=sharing"",""กาฬสินธุ์!I108"")+IMPORTRANGE(""https://docs.google.com/spreadsheets/d/1aHkj4IaQMThhwWwevcOymEh837vdxeC_PycurhTbGFA/edit?usp=sharing"","&amp;"""ขอนแก่น!I108"")+IMPORTRANGE(""https://docs.google.com/spreadsheets/d/1FvTu2DsIWUjP6WCWra38Bkj_oOl_sOMf14r5Fg5srxU/edit?usp=sharing"",""ชัยภูมิ!I108"")+IMPORTRANGE(""https://docs.google.com/spreadsheets/d/1XVB7oCJ3pr-vBUdflwPQ8Z2LlzhnCvZaaYjAfP-647E/edit"&amp;"?usp=sharing"",""นครพนม!I108"")+IMPORTRANGE(""https://docs.google.com/spreadsheets/d/1Mnpb-8PYAgn85W6KOTD40hc_Xc55CaLfHoGAbrZ8tls/edit?usp=sharing"",""นครราชสีมา!I108"")+IMPORTRANGE(""https://docs.google.com/spreadsheets/d/1xoDLGBv9CYbyosIhki0kTq6IpYNj-gp"&amp;"jxfobnaDiut0/edit?usp=sharing"",""บึงกาฬ!I108"")+IMPORTRANGE(""https://docs.google.com/spreadsheets/d/1MMPq-JyI6DSgQETxuSiXkesP-P7JHuemnE6QJIa-Nlw/edit?usp=sharing"",""บุรีรัมย์!I108"")+IMPORTRANGE(""https://docs.google.com/spreadsheets/d/1l6IZ8xUPgMrESzc"&amp;"TYwhA1k_tPjeQjJPTqlm8Gd9eU5g/edit?usp=sharing"",""มหาสารคาม!I108"")+IMPORTRANGE(""https://docs.google.com/spreadsheets/d/1uB74YLqNjWX6FObjekfB2NtSYigTQyR2rq9u4Ub2Sq4/edit?usp=sharing"",""มุกดาหาร!I108"")+IMPORTRANGE(""https://docs.google.com/spreadsheets/"&amp;"d/1NexK3geCPxCTO1fzNF8dPec7yZyUx3OaWkFBC9HsQOo/edit?usp=sharing"",""ยโสธร!I108"")+IMPORTRANGE(""https://docs.google.com/spreadsheets/d/1v_cJrbBlyqmnHPReHk44g9NrMRdENNlSy_E_c5M9fIg/edit?usp=sharing"",""ร้อยเอ็ด!I108"")+IMPORTRANGE(""https://docs.google.com"&amp;"/spreadsheets/d/1Ul4RCpCX66NxYADU1QpwAPjOmBzW64SsT11s1wzXw_c/edit?usp=sharing"",""เลย!I108"")+IMPORTRANGE(""https://docs.google.com/spreadsheets/d/1bRrNKwbHDVktQG10isr5vbWRtt5spIZPpkOSWgbT5ug/edit?usp=sharing"",""ศรีสะเกษ!I108"")+IMPORTRANGE(""https://doc"&amp;"s.google.com/spreadsheets/d/17P34_Ow5kFBfdQD0qspb2UuPX5zpi6WMrQzslghyvrI/edit?usp=sharing"",""สกลนคร!I108"")+IMPORTRANGE(""https://docs.google.com/spreadsheets/d/1yswqbM3-AEpThF3ZSUa1AcmHnmRTF1vlJ1CZGcJ8YuU/edit?usp=sharing"",""สุรินทร์!I108"")+IMPORTRANG"&amp;"E(""https://docs.google.com/spreadsheets/d/13JHU_EFbsQOUQ0JSQ3dWy1VTRosIWcDq6Nc99z2qzdc/edit?usp=sharing"",""หนองคาย!I108"")+IMPORTRANGE(""https://docs.google.com/spreadsheets/d/1Hx73zIEgVdDZZaYSTc46Dqv64atFhpr3GelxLbaIN8A/edit?usp=sharing"",""หนองบัวลำภู"&amp;"!I108"")+IMPORTRANGE(""https://docs.google.com/spreadsheets/d/1lFxr3ctmjFN90yc-xV6jrQ9Ty8BKYVBWnAZ15wcNIJc/edit?usp=sharing"",""อำนาจเจริญ!I108"")+IMPORTRANGE(""https://docs.google.com/spreadsheets/d/1gF7RJpRnL-1oyjyeWxs5SFWEH7y8ahOZsQlyp2A2e-A/edit?usp=s"&amp;"haring"",""อุดรธานี!I108"")+IMPORTRANGE(""https://docs.google.com/spreadsheets/d/1kfLP0j3INXRa8bTDpcEmoWewMBV61jlFlfzczfjWIgc/edit?usp=sharing"",""อุบลราชธานี!I108"")"),432)</f>
        <v>432</v>
      </c>
      <c r="J108" s="195">
        <f ca="1">IFERROR(__xludf.DUMMYFUNCTION("IMPORTRANGE(""https://docs.google.com/spreadsheets/d/1yhBcrRPreicbMKl9Bu_Snb2-OcQAF62RKfhTLhJ2eAA/edit?usp=sharing"",""กาฬสินธุ์!J108"")+IMPORTRANGE(""https://docs.google.com/spreadsheets/d/1aHkj4IaQMThhwWwevcOymEh837vdxeC_PycurhTbGFA/edit?usp=sharing"","&amp;"""ขอนแก่น!J108"")+IMPORTRANGE(""https://docs.google.com/spreadsheets/d/1FvTu2DsIWUjP6WCWra38Bkj_oOl_sOMf14r5Fg5srxU/edit?usp=sharing"",""ชัยภูมิ!J108"")+IMPORTRANGE(""https://docs.google.com/spreadsheets/d/1XVB7oCJ3pr-vBUdflwPQ8Z2LlzhnCvZaaYjAfP-647E/edit"&amp;"?usp=sharing"",""นครพนม!J108"")+IMPORTRANGE(""https://docs.google.com/spreadsheets/d/1Mnpb-8PYAgn85W6KOTD40hc_Xc55CaLfHoGAbrZ8tls/edit?usp=sharing"",""นครราชสีมา!J108"")+IMPORTRANGE(""https://docs.google.com/spreadsheets/d/1xoDLGBv9CYbyosIhki0kTq6IpYNj-gp"&amp;"jxfobnaDiut0/edit?usp=sharing"",""บึงกาฬ!J108"")+IMPORTRANGE(""https://docs.google.com/spreadsheets/d/1MMPq-JyI6DSgQETxuSiXkesP-P7JHuemnE6QJIa-Nlw/edit?usp=sharing"",""บุรีรัมย์!J108"")+IMPORTRANGE(""https://docs.google.com/spreadsheets/d/1l6IZ8xUPgMrESzc"&amp;"TYwhA1k_tPjeQjJPTqlm8Gd9eU5g/edit?usp=sharing"",""มหาสารคาม!J108"")+IMPORTRANGE(""https://docs.google.com/spreadsheets/d/1uB74YLqNjWX6FObjekfB2NtSYigTQyR2rq9u4Ub2Sq4/edit?usp=sharing"",""มุกดาหาร!J108"")+IMPORTRANGE(""https://docs.google.com/spreadsheets/"&amp;"d/1NexK3geCPxCTO1fzNF8dPec7yZyUx3OaWkFBC9HsQOo/edit?usp=sharing"",""ยโสธร!J108"")+IMPORTRANGE(""https://docs.google.com/spreadsheets/d/1v_cJrbBlyqmnHPReHk44g9NrMRdENNlSy_E_c5M9fIg/edit?usp=sharing"",""ร้อยเอ็ด!J108"")+IMPORTRANGE(""https://docs.google.com"&amp;"/spreadsheets/d/1Ul4RCpCX66NxYADU1QpwAPjOmBzW64SsT11s1wzXw_c/edit?usp=sharing"",""เลย!J108"")+IMPORTRANGE(""https://docs.google.com/spreadsheets/d/1bRrNKwbHDVktQG10isr5vbWRtt5spIZPpkOSWgbT5ug/edit?usp=sharing"",""ศรีสะเกษ!J108"")+IMPORTRANGE(""https://doc"&amp;"s.google.com/spreadsheets/d/17P34_Ow5kFBfdQD0qspb2UuPX5zpi6WMrQzslghyvrI/edit?usp=sharing"",""สกลนคร!J108"")+IMPORTRANGE(""https://docs.google.com/spreadsheets/d/1yswqbM3-AEpThF3ZSUa1AcmHnmRTF1vlJ1CZGcJ8YuU/edit?usp=sharing"",""สุรินทร์!J108"")+IMPORTRANG"&amp;"E(""https://docs.google.com/spreadsheets/d/13JHU_EFbsQOUQ0JSQ3dWy1VTRosIWcDq6Nc99z2qzdc/edit?usp=sharing"",""หนองคาย!J108"")+IMPORTRANGE(""https://docs.google.com/spreadsheets/d/1Hx73zIEgVdDZZaYSTc46Dqv64atFhpr3GelxLbaIN8A/edit?usp=sharing"",""หนองบัวลำภู"&amp;"!J108"")+IMPORTRANGE(""https://docs.google.com/spreadsheets/d/1lFxr3ctmjFN90yc-xV6jrQ9Ty8BKYVBWnAZ15wcNIJc/edit?usp=sharing"",""อำนาจเจริญ!J108"")+IMPORTRANGE(""https://docs.google.com/spreadsheets/d/1gF7RJpRnL-1oyjyeWxs5SFWEH7y8ahOZsQlyp2A2e-A/edit?usp=s"&amp;"haring"",""อุดรธานี!J108"")+IMPORTRANGE(""https://docs.google.com/spreadsheets/d/1kfLP0j3INXRa8bTDpcEmoWewMBV61jlFlfzczfjWIgc/edit?usp=sharing"",""อุบลราชธานี!J108"")"),255)</f>
        <v>255</v>
      </c>
      <c r="K108" s="56">
        <f t="shared" ref="K108:K109" ca="1" si="87">IF(I108&gt;0,J108*100/I108,0)</f>
        <v>59.027777777777779</v>
      </c>
      <c r="L108" s="55"/>
      <c r="M108" s="55"/>
      <c r="N108" s="55"/>
      <c r="O108" s="164"/>
      <c r="P108" s="164"/>
      <c r="Q108" s="55"/>
      <c r="R108" s="55"/>
      <c r="S108" s="62"/>
      <c r="T108" s="164"/>
      <c r="U108" s="164"/>
    </row>
    <row r="109" spans="1:21" ht="18.75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181">
        <f ca="1">IFERROR(__xludf.DUMMYFUNCTION("IMPORTRANGE(""https://docs.google.com/spreadsheets/d/1yhBcrRPreicbMKl9Bu_Snb2-OcQAF62RKfhTLhJ2eAA/edit?usp=sharing"",""กาฬสินธุ์!I109"")+IMPORTRANGE(""https://docs.google.com/spreadsheets/d/1aHkj4IaQMThhwWwevcOymEh837vdxeC_PycurhTbGFA/edit?usp=sharing"","&amp;"""ขอนแก่น!I109"")+IMPORTRANGE(""https://docs.google.com/spreadsheets/d/1FvTu2DsIWUjP6WCWra38Bkj_oOl_sOMf14r5Fg5srxU/edit?usp=sharing"",""ชัยภูมิ!I109"")+IMPORTRANGE(""https://docs.google.com/spreadsheets/d/1XVB7oCJ3pr-vBUdflwPQ8Z2LlzhnCvZaaYjAfP-647E/edit"&amp;"?usp=sharing"",""นครพนม!I109"")+IMPORTRANGE(""https://docs.google.com/spreadsheets/d/1Mnpb-8PYAgn85W6KOTD40hc_Xc55CaLfHoGAbrZ8tls/edit?usp=sharing"",""นครราชสีมา!I109"")+IMPORTRANGE(""https://docs.google.com/spreadsheets/d/1xoDLGBv9CYbyosIhki0kTq6IpYNj-gp"&amp;"jxfobnaDiut0/edit?usp=sharing"",""บึงกาฬ!I109"")+IMPORTRANGE(""https://docs.google.com/spreadsheets/d/1MMPq-JyI6DSgQETxuSiXkesP-P7JHuemnE6QJIa-Nlw/edit?usp=sharing"",""บุรีรัมย์!I109"")+IMPORTRANGE(""https://docs.google.com/spreadsheets/d/1l6IZ8xUPgMrESzc"&amp;"TYwhA1k_tPjeQjJPTqlm8Gd9eU5g/edit?usp=sharing"",""มหาสารคาม!I109"")+IMPORTRANGE(""https://docs.google.com/spreadsheets/d/1uB74YLqNjWX6FObjekfB2NtSYigTQyR2rq9u4Ub2Sq4/edit?usp=sharing"",""มุกดาหาร!I109"")+IMPORTRANGE(""https://docs.google.com/spreadsheets/"&amp;"d/1NexK3geCPxCTO1fzNF8dPec7yZyUx3OaWkFBC9HsQOo/edit?usp=sharing"",""ยโสธร!I109"")+IMPORTRANGE(""https://docs.google.com/spreadsheets/d/1v_cJrbBlyqmnHPReHk44g9NrMRdENNlSy_E_c5M9fIg/edit?usp=sharing"",""ร้อยเอ็ด!I109"")+IMPORTRANGE(""https://docs.google.com"&amp;"/spreadsheets/d/1Ul4RCpCX66NxYADU1QpwAPjOmBzW64SsT11s1wzXw_c/edit?usp=sharing"",""เลย!I109"")+IMPORTRANGE(""https://docs.google.com/spreadsheets/d/1bRrNKwbHDVktQG10isr5vbWRtt5spIZPpkOSWgbT5ug/edit?usp=sharing"",""ศรีสะเกษ!I109"")+IMPORTRANGE(""https://doc"&amp;"s.google.com/spreadsheets/d/17P34_Ow5kFBfdQD0qspb2UuPX5zpi6WMrQzslghyvrI/edit?usp=sharing"",""สกลนคร!I109"")+IMPORTRANGE(""https://docs.google.com/spreadsheets/d/1yswqbM3-AEpThF3ZSUa1AcmHnmRTF1vlJ1CZGcJ8YuU/edit?usp=sharing"",""สุรินทร์!I109"")+IMPORTRANG"&amp;"E(""https://docs.google.com/spreadsheets/d/13JHU_EFbsQOUQ0JSQ3dWy1VTRosIWcDq6Nc99z2qzdc/edit?usp=sharing"",""หนองคาย!I109"")+IMPORTRANGE(""https://docs.google.com/spreadsheets/d/1Hx73zIEgVdDZZaYSTc46Dqv64atFhpr3GelxLbaIN8A/edit?usp=sharing"",""หนองบัวลำภู"&amp;"!I109"")+IMPORTRANGE(""https://docs.google.com/spreadsheets/d/1lFxr3ctmjFN90yc-xV6jrQ9Ty8BKYVBWnAZ15wcNIJc/edit?usp=sharing"",""อำนาจเจริญ!I109"")+IMPORTRANGE(""https://docs.google.com/spreadsheets/d/1gF7RJpRnL-1oyjyeWxs5SFWEH7y8ahOZsQlyp2A2e-A/edit?usp=s"&amp;"haring"",""อุดรธานี!I109"")+IMPORTRANGE(""https://docs.google.com/spreadsheets/d/1kfLP0j3INXRa8bTDpcEmoWewMBV61jlFlfzczfjWIgc/edit?usp=sharing"",""อุบลราชธานี!I109"")"),144)</f>
        <v>144</v>
      </c>
      <c r="J109" s="195">
        <f ca="1">IFERROR(__xludf.DUMMYFUNCTION("IMPORTRANGE(""https://docs.google.com/spreadsheets/d/1yhBcrRPreicbMKl9Bu_Snb2-OcQAF62RKfhTLhJ2eAA/edit?usp=sharing"",""กาฬสินธุ์!J109"")+IMPORTRANGE(""https://docs.google.com/spreadsheets/d/1aHkj4IaQMThhwWwevcOymEh837vdxeC_PycurhTbGFA/edit?usp=sharing"","&amp;"""ขอนแก่น!J109"")+IMPORTRANGE(""https://docs.google.com/spreadsheets/d/1FvTu2DsIWUjP6WCWra38Bkj_oOl_sOMf14r5Fg5srxU/edit?usp=sharing"",""ชัยภูมิ!J109"")+IMPORTRANGE(""https://docs.google.com/spreadsheets/d/1XVB7oCJ3pr-vBUdflwPQ8Z2LlzhnCvZaaYjAfP-647E/edit"&amp;"?usp=sharing"",""นครพนม!J109"")+IMPORTRANGE(""https://docs.google.com/spreadsheets/d/1Mnpb-8PYAgn85W6KOTD40hc_Xc55CaLfHoGAbrZ8tls/edit?usp=sharing"",""นครราชสีมา!J109"")+IMPORTRANGE(""https://docs.google.com/spreadsheets/d/1xoDLGBv9CYbyosIhki0kTq6IpYNj-gp"&amp;"jxfobnaDiut0/edit?usp=sharing"",""บึงกาฬ!J109"")+IMPORTRANGE(""https://docs.google.com/spreadsheets/d/1MMPq-JyI6DSgQETxuSiXkesP-P7JHuemnE6QJIa-Nlw/edit?usp=sharing"",""บุรีรัมย์!J109"")+IMPORTRANGE(""https://docs.google.com/spreadsheets/d/1l6IZ8xUPgMrESzc"&amp;"TYwhA1k_tPjeQjJPTqlm8Gd9eU5g/edit?usp=sharing"",""มหาสารคาม!J109"")+IMPORTRANGE(""https://docs.google.com/spreadsheets/d/1uB74YLqNjWX6FObjekfB2NtSYigTQyR2rq9u4Ub2Sq4/edit?usp=sharing"",""มุกดาหาร!J109"")+IMPORTRANGE(""https://docs.google.com/spreadsheets/"&amp;"d/1NexK3geCPxCTO1fzNF8dPec7yZyUx3OaWkFBC9HsQOo/edit?usp=sharing"",""ยโสธร!J109"")+IMPORTRANGE(""https://docs.google.com/spreadsheets/d/1v_cJrbBlyqmnHPReHk44g9NrMRdENNlSy_E_c5M9fIg/edit?usp=sharing"",""ร้อยเอ็ด!J109"")+IMPORTRANGE(""https://docs.google.com"&amp;"/spreadsheets/d/1Ul4RCpCX66NxYADU1QpwAPjOmBzW64SsT11s1wzXw_c/edit?usp=sharing"",""เลย!J109"")+IMPORTRANGE(""https://docs.google.com/spreadsheets/d/1bRrNKwbHDVktQG10isr5vbWRtt5spIZPpkOSWgbT5ug/edit?usp=sharing"",""ศรีสะเกษ!J109"")+IMPORTRANGE(""https://doc"&amp;"s.google.com/spreadsheets/d/17P34_Ow5kFBfdQD0qspb2UuPX5zpi6WMrQzslghyvrI/edit?usp=sharing"",""สกลนคร!J109"")+IMPORTRANGE(""https://docs.google.com/spreadsheets/d/1yswqbM3-AEpThF3ZSUa1AcmHnmRTF1vlJ1CZGcJ8YuU/edit?usp=sharing"",""สุรินทร์!J109"")+IMPORTRANG"&amp;"E(""https://docs.google.com/spreadsheets/d/13JHU_EFbsQOUQ0JSQ3dWy1VTRosIWcDq6Nc99z2qzdc/edit?usp=sharing"",""หนองคาย!J109"")+IMPORTRANGE(""https://docs.google.com/spreadsheets/d/1Hx73zIEgVdDZZaYSTc46Dqv64atFhpr3GelxLbaIN8A/edit?usp=sharing"",""หนองบัวลำภู"&amp;"!J109"")+IMPORTRANGE(""https://docs.google.com/spreadsheets/d/1lFxr3ctmjFN90yc-xV6jrQ9Ty8BKYVBWnAZ15wcNIJc/edit?usp=sharing"",""อำนาจเจริญ!J109"")+IMPORTRANGE(""https://docs.google.com/spreadsheets/d/1gF7RJpRnL-1oyjyeWxs5SFWEH7y8ahOZsQlyp2A2e-A/edit?usp=s"&amp;"haring"",""อุดรธานี!J109"")+IMPORTRANGE(""https://docs.google.com/spreadsheets/d/1kfLP0j3INXRa8bTDpcEmoWewMBV61jlFlfzczfjWIgc/edit?usp=sharing"",""อุบลราชธานี!J109"")"),95)</f>
        <v>95</v>
      </c>
      <c r="K109" s="56">
        <f t="shared" ca="1" si="87"/>
        <v>65.972222222222229</v>
      </c>
      <c r="L109" s="55"/>
      <c r="M109" s="55"/>
      <c r="N109" s="55"/>
      <c r="O109" s="164"/>
      <c r="P109" s="164"/>
      <c r="Q109" s="55"/>
      <c r="R109" s="55"/>
      <c r="S109" s="62"/>
      <c r="T109" s="164"/>
      <c r="U109" s="164"/>
    </row>
    <row r="110" spans="1:21" ht="12.75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5"/>
      <c r="M110" s="25"/>
      <c r="N110" s="25"/>
      <c r="O110" s="25"/>
      <c r="P110" s="25"/>
      <c r="Q110" s="25"/>
      <c r="R110" s="25"/>
      <c r="S110" s="26"/>
      <c r="T110" s="25"/>
      <c r="U110" s="25"/>
    </row>
    <row r="111" spans="1:21" ht="12.75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5"/>
      <c r="M111" s="25"/>
      <c r="N111" s="25"/>
      <c r="O111" s="25"/>
      <c r="P111" s="25"/>
      <c r="Q111" s="25"/>
      <c r="R111" s="25"/>
      <c r="S111" s="26"/>
      <c r="T111" s="25"/>
      <c r="U111" s="25"/>
    </row>
    <row r="112" spans="1:21" ht="12.75">
      <c r="A112" s="192"/>
      <c r="B112" s="193"/>
      <c r="C112" s="193"/>
      <c r="D112" s="193"/>
      <c r="E112" s="22"/>
      <c r="F112" s="22"/>
      <c r="G112" s="23"/>
      <c r="H112" s="23"/>
      <c r="I112" s="24"/>
      <c r="J112" s="24"/>
      <c r="K112" s="25"/>
      <c r="L112" s="25"/>
      <c r="M112" s="25"/>
      <c r="N112" s="25"/>
      <c r="O112" s="25"/>
      <c r="P112" s="25"/>
      <c r="Q112" s="25"/>
      <c r="R112" s="25"/>
      <c r="S112" s="26"/>
      <c r="T112" s="25"/>
      <c r="U112" s="25"/>
    </row>
    <row r="113" spans="1:21" ht="18.75">
      <c r="A113" s="166"/>
      <c r="B113" s="167"/>
      <c r="C113" s="167"/>
      <c r="D113" s="178" t="s">
        <v>50</v>
      </c>
      <c r="E113" s="174"/>
      <c r="F113" s="174"/>
      <c r="G113" s="171"/>
      <c r="H113" s="179" t="s">
        <v>46</v>
      </c>
      <c r="I113" s="180">
        <f ca="1">IFERROR(__xludf.DUMMYFUNCTION("IMPORTRANGE(""https://docs.google.com/spreadsheets/d/1yhBcrRPreicbMKl9Bu_Snb2-OcQAF62RKfhTLhJ2eAA/edit?usp=sharing"",""กาฬสินธุ์!I113"")+IMPORTRANGE(""https://docs.google.com/spreadsheets/d/1aHkj4IaQMThhwWwevcOymEh837vdxeC_PycurhTbGFA/edit?usp=sharing"","&amp;"""ขอนแก่น!I113"")+IMPORTRANGE(""https://docs.google.com/spreadsheets/d/1FvTu2DsIWUjP6WCWra38Bkj_oOl_sOMf14r5Fg5srxU/edit?usp=sharing"",""ชัยภูมิ!I113"")+IMPORTRANGE(""https://docs.google.com/spreadsheets/d/1XVB7oCJ3pr-vBUdflwPQ8Z2LlzhnCvZaaYjAfP-647E/edit"&amp;"?usp=sharing"",""นครพนม!I113"")+IMPORTRANGE(""https://docs.google.com/spreadsheets/d/1Mnpb-8PYAgn85W6KOTD40hc_Xc55CaLfHoGAbrZ8tls/edit?usp=sharing"",""นครราชสีมา!I113"")+IMPORTRANGE(""https://docs.google.com/spreadsheets/d/1xoDLGBv9CYbyosIhki0kTq6IpYNj-gp"&amp;"jxfobnaDiut0/edit?usp=sharing"",""บึงกาฬ!I113"")+IMPORTRANGE(""https://docs.google.com/spreadsheets/d/1MMPq-JyI6DSgQETxuSiXkesP-P7JHuemnE6QJIa-Nlw/edit?usp=sharing"",""บุรีรัมย์!I113"")+IMPORTRANGE(""https://docs.google.com/spreadsheets/d/1l6IZ8xUPgMrESzc"&amp;"TYwhA1k_tPjeQjJPTqlm8Gd9eU5g/edit?usp=sharing"",""มหาสารคาม!I113"")+IMPORTRANGE(""https://docs.google.com/spreadsheets/d/1uB74YLqNjWX6FObjekfB2NtSYigTQyR2rq9u4Ub2Sq4/edit?usp=sharing"",""มุกดาหาร!I113"")+IMPORTRANGE(""https://docs.google.com/spreadsheets/"&amp;"d/1NexK3geCPxCTO1fzNF8dPec7yZyUx3OaWkFBC9HsQOo/edit?usp=sharing"",""ยโสธร!I113"")+IMPORTRANGE(""https://docs.google.com/spreadsheets/d/1v_cJrbBlyqmnHPReHk44g9NrMRdENNlSy_E_c5M9fIg/edit?usp=sharing"",""ร้อยเอ็ด!I113"")+IMPORTRANGE(""https://docs.google.com"&amp;"/spreadsheets/d/1Ul4RCpCX66NxYADU1QpwAPjOmBzW64SsT11s1wzXw_c/edit?usp=sharing"",""เลย!I113"")+IMPORTRANGE(""https://docs.google.com/spreadsheets/d/1bRrNKwbHDVktQG10isr5vbWRtt5spIZPpkOSWgbT5ug/edit?usp=sharing"",""ศรีสะเกษ!I113"")+IMPORTRANGE(""https://doc"&amp;"s.google.com/spreadsheets/d/17P34_Ow5kFBfdQD0qspb2UuPX5zpi6WMrQzslghyvrI/edit?usp=sharing"",""สกลนคร!I113"")+IMPORTRANGE(""https://docs.google.com/spreadsheets/d/1yswqbM3-AEpThF3ZSUa1AcmHnmRTF1vlJ1CZGcJ8YuU/edit?usp=sharing"",""สุรินทร์!I113"")+IMPORTRANG"&amp;"E(""https://docs.google.com/spreadsheets/d/13JHU_EFbsQOUQ0JSQ3dWy1VTRosIWcDq6Nc99z2qzdc/edit?usp=sharing"",""หนองคาย!I113"")+IMPORTRANGE(""https://docs.google.com/spreadsheets/d/1Hx73zIEgVdDZZaYSTc46Dqv64atFhpr3GelxLbaIN8A/edit?usp=sharing"",""หนองบัวลำภู"&amp;"!I113"")+IMPORTRANGE(""https://docs.google.com/spreadsheets/d/1lFxr3ctmjFN90yc-xV6jrQ9Ty8BKYVBWnAZ15wcNIJc/edit?usp=sharing"",""อำนาจเจริญ!I113"")+IMPORTRANGE(""https://docs.google.com/spreadsheets/d/1gF7RJpRnL-1oyjyeWxs5SFWEH7y8ahOZsQlyp2A2e-A/edit?usp=s"&amp;"haring"",""อุดรธานี!I113"")+IMPORTRANGE(""https://docs.google.com/spreadsheets/d/1kfLP0j3INXRa8bTDpcEmoWewMBV61jlFlfzczfjWIgc/edit?usp=sharing"",""อุบลราชธานี!I113"")"),432)</f>
        <v>432</v>
      </c>
      <c r="J113" s="195">
        <f ca="1">IFERROR(__xludf.DUMMYFUNCTION("IMPORTRANGE(""https://docs.google.com/spreadsheets/d/1yhBcrRPreicbMKl9Bu_Snb2-OcQAF62RKfhTLhJ2eAA/edit?usp=sharing"",""กาฬสินธุ์!J113"")+IMPORTRANGE(""https://docs.google.com/spreadsheets/d/1aHkj4IaQMThhwWwevcOymEh837vdxeC_PycurhTbGFA/edit?usp=sharing"","&amp;"""ขอนแก่น!J113"")+IMPORTRANGE(""https://docs.google.com/spreadsheets/d/1FvTu2DsIWUjP6WCWra38Bkj_oOl_sOMf14r5Fg5srxU/edit?usp=sharing"",""ชัยภูมิ!J113"")+IMPORTRANGE(""https://docs.google.com/spreadsheets/d/1XVB7oCJ3pr-vBUdflwPQ8Z2LlzhnCvZaaYjAfP-647E/edit"&amp;"?usp=sharing"",""นครพนม!J113"")+IMPORTRANGE(""https://docs.google.com/spreadsheets/d/1Mnpb-8PYAgn85W6KOTD40hc_Xc55CaLfHoGAbrZ8tls/edit?usp=sharing"",""นครราชสีมา!J113"")+IMPORTRANGE(""https://docs.google.com/spreadsheets/d/1xoDLGBv9CYbyosIhki0kTq6IpYNj-gp"&amp;"jxfobnaDiut0/edit?usp=sharing"",""บึงกาฬ!J113"")+IMPORTRANGE(""https://docs.google.com/spreadsheets/d/1MMPq-JyI6DSgQETxuSiXkesP-P7JHuemnE6QJIa-Nlw/edit?usp=sharing"",""บุรีรัมย์!J113"")+IMPORTRANGE(""https://docs.google.com/spreadsheets/d/1l6IZ8xUPgMrESzc"&amp;"TYwhA1k_tPjeQjJPTqlm8Gd9eU5g/edit?usp=sharing"",""มหาสารคาม!J113"")+IMPORTRANGE(""https://docs.google.com/spreadsheets/d/1uB74YLqNjWX6FObjekfB2NtSYigTQyR2rq9u4Ub2Sq4/edit?usp=sharing"",""มุกดาหาร!J113"")+IMPORTRANGE(""https://docs.google.com/spreadsheets/"&amp;"d/1NexK3geCPxCTO1fzNF8dPec7yZyUx3OaWkFBC9HsQOo/edit?usp=sharing"",""ยโสธร!J113"")+IMPORTRANGE(""https://docs.google.com/spreadsheets/d/1v_cJrbBlyqmnHPReHk44g9NrMRdENNlSy_E_c5M9fIg/edit?usp=sharing"",""ร้อยเอ็ด!J113"")+IMPORTRANGE(""https://docs.google.com"&amp;"/spreadsheets/d/1Ul4RCpCX66NxYADU1QpwAPjOmBzW64SsT11s1wzXw_c/edit?usp=sharing"",""เลย!J113"")+IMPORTRANGE(""https://docs.google.com/spreadsheets/d/1bRrNKwbHDVktQG10isr5vbWRtt5spIZPpkOSWgbT5ug/edit?usp=sharing"",""ศรีสะเกษ!J113"")+IMPORTRANGE(""https://doc"&amp;"s.google.com/spreadsheets/d/17P34_Ow5kFBfdQD0qspb2UuPX5zpi6WMrQzslghyvrI/edit?usp=sharing"",""สกลนคร!J113"")+IMPORTRANGE(""https://docs.google.com/spreadsheets/d/1yswqbM3-AEpThF3ZSUa1AcmHnmRTF1vlJ1CZGcJ8YuU/edit?usp=sharing"",""สุรินทร์!J113"")+IMPORTRANG"&amp;"E(""https://docs.google.com/spreadsheets/d/13JHU_EFbsQOUQ0JSQ3dWy1VTRosIWcDq6Nc99z2qzdc/edit?usp=sharing"",""หนองคาย!J113"")+IMPORTRANGE(""https://docs.google.com/spreadsheets/d/1Hx73zIEgVdDZZaYSTc46Dqv64atFhpr3GelxLbaIN8A/edit?usp=sharing"",""หนองบัวลำภู"&amp;"!J113"")+IMPORTRANGE(""https://docs.google.com/spreadsheets/d/1lFxr3ctmjFN90yc-xV6jrQ9Ty8BKYVBWnAZ15wcNIJc/edit?usp=sharing"",""อำนาจเจริญ!J113"")+IMPORTRANGE(""https://docs.google.com/spreadsheets/d/1gF7RJpRnL-1oyjyeWxs5SFWEH7y8ahOZsQlyp2A2e-A/edit?usp=s"&amp;"haring"",""อุดรธานี!J113"")+IMPORTRANGE(""https://docs.google.com/spreadsheets/d/1kfLP0j3INXRa8bTDpcEmoWewMBV61jlFlfzczfjWIgc/edit?usp=sharing"",""อุบลราชธานี!J113"")"),84)</f>
        <v>84</v>
      </c>
      <c r="K113" s="56">
        <f t="shared" ref="K113:K114" ca="1" si="88">IF(I113&gt;0,J113*100/I113,0)</f>
        <v>19.444444444444443</v>
      </c>
      <c r="L113" s="55"/>
      <c r="M113" s="55"/>
      <c r="N113" s="55"/>
      <c r="O113" s="164"/>
      <c r="P113" s="164"/>
      <c r="Q113" s="55"/>
      <c r="R113" s="55"/>
      <c r="S113" s="62"/>
      <c r="T113" s="164"/>
      <c r="U113" s="164"/>
    </row>
    <row r="114" spans="1:21" ht="18.75">
      <c r="A114" s="166"/>
      <c r="B114" s="167"/>
      <c r="C114" s="167"/>
      <c r="D114" s="178"/>
      <c r="E114" s="174"/>
      <c r="F114" s="174"/>
      <c r="G114" s="171"/>
      <c r="H114" s="179" t="s">
        <v>35</v>
      </c>
      <c r="I114" s="180">
        <f ca="1">IFERROR(__xludf.DUMMYFUNCTION("IMPORTRANGE(""https://docs.google.com/spreadsheets/d/1yhBcrRPreicbMKl9Bu_Snb2-OcQAF62RKfhTLhJ2eAA/edit?usp=sharing"",""กาฬสินธุ์!I114"")+IMPORTRANGE(""https://docs.google.com/spreadsheets/d/1aHkj4IaQMThhwWwevcOymEh837vdxeC_PycurhTbGFA/edit?usp=sharing"","&amp;"""ขอนแก่น!I114"")+IMPORTRANGE(""https://docs.google.com/spreadsheets/d/1FvTu2DsIWUjP6WCWra38Bkj_oOl_sOMf14r5Fg5srxU/edit?usp=sharing"",""ชัยภูมิ!I114"")+IMPORTRANGE(""https://docs.google.com/spreadsheets/d/1XVB7oCJ3pr-vBUdflwPQ8Z2LlzhnCvZaaYjAfP-647E/edit"&amp;"?usp=sharing"",""นครพนม!I114"")+IMPORTRANGE(""https://docs.google.com/spreadsheets/d/1Mnpb-8PYAgn85W6KOTD40hc_Xc55CaLfHoGAbrZ8tls/edit?usp=sharing"",""นครราชสีมา!I114"")+IMPORTRANGE(""https://docs.google.com/spreadsheets/d/1xoDLGBv9CYbyosIhki0kTq6IpYNj-gp"&amp;"jxfobnaDiut0/edit?usp=sharing"",""บึงกาฬ!I114"")+IMPORTRANGE(""https://docs.google.com/spreadsheets/d/1MMPq-JyI6DSgQETxuSiXkesP-P7JHuemnE6QJIa-Nlw/edit?usp=sharing"",""บุรีรัมย์!I114"")+IMPORTRANGE(""https://docs.google.com/spreadsheets/d/1l6IZ8xUPgMrESzc"&amp;"TYwhA1k_tPjeQjJPTqlm8Gd9eU5g/edit?usp=sharing"",""มหาสารคาม!I114"")+IMPORTRANGE(""https://docs.google.com/spreadsheets/d/1uB74YLqNjWX6FObjekfB2NtSYigTQyR2rq9u4Ub2Sq4/edit?usp=sharing"",""มุกดาหาร!I114"")+IMPORTRANGE(""https://docs.google.com/spreadsheets/"&amp;"d/1NexK3geCPxCTO1fzNF8dPec7yZyUx3OaWkFBC9HsQOo/edit?usp=sharing"",""ยโสธร!I114"")+IMPORTRANGE(""https://docs.google.com/spreadsheets/d/1v_cJrbBlyqmnHPReHk44g9NrMRdENNlSy_E_c5M9fIg/edit?usp=sharing"",""ร้อยเอ็ด!I114"")+IMPORTRANGE(""https://docs.google.com"&amp;"/spreadsheets/d/1Ul4RCpCX66NxYADU1QpwAPjOmBzW64SsT11s1wzXw_c/edit?usp=sharing"",""เลย!I114"")+IMPORTRANGE(""https://docs.google.com/spreadsheets/d/1bRrNKwbHDVktQG10isr5vbWRtt5spIZPpkOSWgbT5ug/edit?usp=sharing"",""ศรีสะเกษ!I114"")+IMPORTRANGE(""https://doc"&amp;"s.google.com/spreadsheets/d/17P34_Ow5kFBfdQD0qspb2UuPX5zpi6WMrQzslghyvrI/edit?usp=sharing"",""สกลนคร!I114"")+IMPORTRANGE(""https://docs.google.com/spreadsheets/d/1yswqbM3-AEpThF3ZSUa1AcmHnmRTF1vlJ1CZGcJ8YuU/edit?usp=sharing"",""สุรินทร์!I114"")+IMPORTRANG"&amp;"E(""https://docs.google.com/spreadsheets/d/13JHU_EFbsQOUQ0JSQ3dWy1VTRosIWcDq6Nc99z2qzdc/edit?usp=sharing"",""หนองคาย!I114"")+IMPORTRANGE(""https://docs.google.com/spreadsheets/d/1Hx73zIEgVdDZZaYSTc46Dqv64atFhpr3GelxLbaIN8A/edit?usp=sharing"",""หนองบัวลำภู"&amp;"!I114"")+IMPORTRANGE(""https://docs.google.com/spreadsheets/d/1lFxr3ctmjFN90yc-xV6jrQ9Ty8BKYVBWnAZ15wcNIJc/edit?usp=sharing"",""อำนาจเจริญ!I114"")+IMPORTRANGE(""https://docs.google.com/spreadsheets/d/1gF7RJpRnL-1oyjyeWxs5SFWEH7y8ahOZsQlyp2A2e-A/edit?usp=s"&amp;"haring"",""อุดรธานี!I114"")+IMPORTRANGE(""https://docs.google.com/spreadsheets/d/1kfLP0j3INXRa8bTDpcEmoWewMBV61jlFlfzczfjWIgc/edit?usp=sharing"",""อุบลราชธานี!I114"")"),144)</f>
        <v>144</v>
      </c>
      <c r="J114" s="195">
        <f ca="1">IFERROR(__xludf.DUMMYFUNCTION("IMPORTRANGE(""https://docs.google.com/spreadsheets/d/1yhBcrRPreicbMKl9Bu_Snb2-OcQAF62RKfhTLhJ2eAA/edit?usp=sharing"",""กาฬสินธุ์!J114"")+IMPORTRANGE(""https://docs.google.com/spreadsheets/d/1aHkj4IaQMThhwWwevcOymEh837vdxeC_PycurhTbGFA/edit?usp=sharing"","&amp;"""ขอนแก่น!J114"")+IMPORTRANGE(""https://docs.google.com/spreadsheets/d/1FvTu2DsIWUjP6WCWra38Bkj_oOl_sOMf14r5Fg5srxU/edit?usp=sharing"",""ชัยภูมิ!J114"")+IMPORTRANGE(""https://docs.google.com/spreadsheets/d/1XVB7oCJ3pr-vBUdflwPQ8Z2LlzhnCvZaaYjAfP-647E/edit"&amp;"?usp=sharing"",""นครพนม!J114"")+IMPORTRANGE(""https://docs.google.com/spreadsheets/d/1Mnpb-8PYAgn85W6KOTD40hc_Xc55CaLfHoGAbrZ8tls/edit?usp=sharing"",""นครราชสีมา!J114"")+IMPORTRANGE(""https://docs.google.com/spreadsheets/d/1xoDLGBv9CYbyosIhki0kTq6IpYNj-gp"&amp;"jxfobnaDiut0/edit?usp=sharing"",""บึงกาฬ!J114"")+IMPORTRANGE(""https://docs.google.com/spreadsheets/d/1MMPq-JyI6DSgQETxuSiXkesP-P7JHuemnE6QJIa-Nlw/edit?usp=sharing"",""บุรีรัมย์!J114"")+IMPORTRANGE(""https://docs.google.com/spreadsheets/d/1l6IZ8xUPgMrESzc"&amp;"TYwhA1k_tPjeQjJPTqlm8Gd9eU5g/edit?usp=sharing"",""มหาสารคาม!J114"")+IMPORTRANGE(""https://docs.google.com/spreadsheets/d/1uB74YLqNjWX6FObjekfB2NtSYigTQyR2rq9u4Ub2Sq4/edit?usp=sharing"",""มุกดาหาร!J114"")+IMPORTRANGE(""https://docs.google.com/spreadsheets/"&amp;"d/1NexK3geCPxCTO1fzNF8dPec7yZyUx3OaWkFBC9HsQOo/edit?usp=sharing"",""ยโสธร!J114"")+IMPORTRANGE(""https://docs.google.com/spreadsheets/d/1v_cJrbBlyqmnHPReHk44g9NrMRdENNlSy_E_c5M9fIg/edit?usp=sharing"",""ร้อยเอ็ด!J114"")+IMPORTRANGE(""https://docs.google.com"&amp;"/spreadsheets/d/1Ul4RCpCX66NxYADU1QpwAPjOmBzW64SsT11s1wzXw_c/edit?usp=sharing"",""เลย!J114"")+IMPORTRANGE(""https://docs.google.com/spreadsheets/d/1bRrNKwbHDVktQG10isr5vbWRtt5spIZPpkOSWgbT5ug/edit?usp=sharing"",""ศรีสะเกษ!J114"")+IMPORTRANGE(""https://doc"&amp;"s.google.com/spreadsheets/d/17P34_Ow5kFBfdQD0qspb2UuPX5zpi6WMrQzslghyvrI/edit?usp=sharing"",""สกลนคร!J114"")+IMPORTRANGE(""https://docs.google.com/spreadsheets/d/1yswqbM3-AEpThF3ZSUa1AcmHnmRTF1vlJ1CZGcJ8YuU/edit?usp=sharing"",""สุรินทร์!J114"")+IMPORTRANG"&amp;"E(""https://docs.google.com/spreadsheets/d/13JHU_EFbsQOUQ0JSQ3dWy1VTRosIWcDq6Nc99z2qzdc/edit?usp=sharing"",""หนองคาย!J114"")+IMPORTRANGE(""https://docs.google.com/spreadsheets/d/1Hx73zIEgVdDZZaYSTc46Dqv64atFhpr3GelxLbaIN8A/edit?usp=sharing"",""หนองบัวลำภู"&amp;"!J114"")+IMPORTRANGE(""https://docs.google.com/spreadsheets/d/1lFxr3ctmjFN90yc-xV6jrQ9Ty8BKYVBWnAZ15wcNIJc/edit?usp=sharing"",""อำนาจเจริญ!J114"")+IMPORTRANGE(""https://docs.google.com/spreadsheets/d/1gF7RJpRnL-1oyjyeWxs5SFWEH7y8ahOZsQlyp2A2e-A/edit?usp=s"&amp;"haring"",""อุดรธานี!J114"")+IMPORTRANGE(""https://docs.google.com/spreadsheets/d/1kfLP0j3INXRa8bTDpcEmoWewMBV61jlFlfzczfjWIgc/edit?usp=sharing"",""อุบลราชธานี!J114"")"),28)</f>
        <v>28</v>
      </c>
      <c r="K114" s="56">
        <f t="shared" ca="1" si="88"/>
        <v>19.444444444444443</v>
      </c>
      <c r="L114" s="55"/>
      <c r="M114" s="55"/>
      <c r="N114" s="55"/>
      <c r="O114" s="164"/>
      <c r="P114" s="164"/>
      <c r="Q114" s="55"/>
      <c r="R114" s="55"/>
      <c r="S114" s="62"/>
      <c r="T114" s="164"/>
      <c r="U114" s="164"/>
    </row>
    <row r="115" spans="1:21" ht="19.5">
      <c r="A115" s="143" t="s">
        <v>51</v>
      </c>
      <c r="B115" s="145"/>
      <c r="C115" s="196"/>
      <c r="D115" s="144"/>
      <c r="E115" s="144"/>
      <c r="F115" s="144"/>
      <c r="G115" s="144"/>
      <c r="H115" s="145"/>
      <c r="I115" s="197"/>
      <c r="J115" s="197"/>
      <c r="K115" s="19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153">
        <f t="shared" ref="I116:J116" ca="1" si="89">I127</f>
        <v>589</v>
      </c>
      <c r="J116" s="153">
        <f t="shared" ca="1" si="89"/>
        <v>374</v>
      </c>
      <c r="K116" s="41">
        <f ca="1">IF(I116&gt;0,J116*100/I116,0)</f>
        <v>63.497453310696095</v>
      </c>
      <c r="L116" s="40"/>
      <c r="M116" s="40"/>
      <c r="N116" s="40"/>
      <c r="O116" s="40"/>
      <c r="P116" s="40"/>
      <c r="Q116" s="40"/>
      <c r="R116" s="40"/>
      <c r="S116" s="154"/>
      <c r="T116" s="40"/>
      <c r="U116" s="40"/>
    </row>
    <row r="117" spans="1:21" ht="19.5">
      <c r="A117" s="155"/>
      <c r="B117" s="188"/>
      <c r="C117" s="191" t="s">
        <v>18</v>
      </c>
      <c r="D117" s="157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159">
        <f t="shared" ref="L117:N117" ca="1" si="90">L118+L119</f>
        <v>0</v>
      </c>
      <c r="M117" s="159">
        <f t="shared" ca="1" si="90"/>
        <v>0</v>
      </c>
      <c r="N117" s="159">
        <f t="shared" ca="1" si="90"/>
        <v>0</v>
      </c>
      <c r="O117" s="159">
        <f t="shared" ref="O117:O125" ca="1" si="91">IF(L117&gt;0,N117*100/L117,0)</f>
        <v>0</v>
      </c>
      <c r="P117" s="159">
        <f t="shared" ref="P117:P125" ca="1" si="92">IF(M117&gt;0,N117*100/M117,0)</f>
        <v>0</v>
      </c>
      <c r="Q117" s="159">
        <f t="shared" ref="Q117:S117" ca="1" si="93">Q118+Q119</f>
        <v>4716070</v>
      </c>
      <c r="R117" s="159">
        <f t="shared" ca="1" si="93"/>
        <v>4716070</v>
      </c>
      <c r="S117" s="160">
        <f t="shared" ca="1" si="93"/>
        <v>1691059.86</v>
      </c>
      <c r="T117" s="159">
        <f t="shared" ref="T117:T125" ca="1" si="94">IF(Q117&gt;0,S117*100/Q117,0)</f>
        <v>35.857395246465806</v>
      </c>
      <c r="U117" s="159">
        <f t="shared" ref="U117:U125" ca="1" si="95">IF(R117&gt;0,S117*100/R117,0)</f>
        <v>35.857395246465806</v>
      </c>
    </row>
    <row r="118" spans="1:21" ht="18.75">
      <c r="A118" s="155"/>
      <c r="B118" s="188"/>
      <c r="C118" s="188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59">
        <f t="shared" ref="L118:N118" ca="1" si="96">L121+L124</f>
        <v>0</v>
      </c>
      <c r="M118" s="59">
        <f t="shared" ca="1" si="96"/>
        <v>0</v>
      </c>
      <c r="N118" s="59">
        <f t="shared" ca="1" si="96"/>
        <v>0</v>
      </c>
      <c r="O118" s="59">
        <f t="shared" ca="1" si="91"/>
        <v>0</v>
      </c>
      <c r="P118" s="59">
        <f t="shared" ca="1" si="92"/>
        <v>0</v>
      </c>
      <c r="Q118" s="59">
        <f t="shared" ref="Q118:S118" ca="1" si="97">Q121+Q124</f>
        <v>0</v>
      </c>
      <c r="R118" s="59">
        <f t="shared" ca="1" si="97"/>
        <v>0</v>
      </c>
      <c r="S118" s="60">
        <f t="shared" ca="1" si="97"/>
        <v>0</v>
      </c>
      <c r="T118" s="59">
        <f t="shared" ca="1" si="94"/>
        <v>0</v>
      </c>
      <c r="U118" s="59">
        <f t="shared" ca="1" si="95"/>
        <v>0</v>
      </c>
    </row>
    <row r="119" spans="1:21" ht="18.75">
      <c r="A119" s="155"/>
      <c r="B119" s="188"/>
      <c r="C119" s="188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56">
        <f t="shared" ref="L119:N119" ca="1" si="98">L122+L125</f>
        <v>0</v>
      </c>
      <c r="M119" s="56">
        <f t="shared" ca="1" si="98"/>
        <v>0</v>
      </c>
      <c r="N119" s="56">
        <f t="shared" ca="1" si="98"/>
        <v>0</v>
      </c>
      <c r="O119" s="56">
        <f t="shared" ca="1" si="91"/>
        <v>0</v>
      </c>
      <c r="P119" s="56">
        <f t="shared" ca="1" si="92"/>
        <v>0</v>
      </c>
      <c r="Q119" s="56">
        <f t="shared" ref="Q119:S119" ca="1" si="99">Q122+Q125</f>
        <v>4716070</v>
      </c>
      <c r="R119" s="56">
        <f t="shared" ca="1" si="99"/>
        <v>4716070</v>
      </c>
      <c r="S119" s="57">
        <f t="shared" ca="1" si="99"/>
        <v>1691059.86</v>
      </c>
      <c r="T119" s="56">
        <f t="shared" ca="1" si="94"/>
        <v>35.857395246465806</v>
      </c>
      <c r="U119" s="56">
        <f t="shared" ca="1" si="95"/>
        <v>35.857395246465806</v>
      </c>
    </row>
    <row r="120" spans="1:21" ht="18.75">
      <c r="A120" s="155"/>
      <c r="B120" s="188"/>
      <c r="C120" s="202"/>
      <c r="D120" s="190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56">
        <f t="shared" ref="L120:N120" ca="1" si="100">L121+L122</f>
        <v>0</v>
      </c>
      <c r="M120" s="56">
        <f t="shared" ca="1" si="100"/>
        <v>0</v>
      </c>
      <c r="N120" s="56">
        <f t="shared" ca="1" si="100"/>
        <v>0</v>
      </c>
      <c r="O120" s="56">
        <f t="shared" ca="1" si="91"/>
        <v>0</v>
      </c>
      <c r="P120" s="56">
        <f t="shared" ca="1" si="92"/>
        <v>0</v>
      </c>
      <c r="Q120" s="56">
        <f t="shared" ref="Q120:S120" ca="1" si="101">Q121+Q122</f>
        <v>4716070</v>
      </c>
      <c r="R120" s="56">
        <f t="shared" ca="1" si="101"/>
        <v>4716070</v>
      </c>
      <c r="S120" s="57">
        <f t="shared" ca="1" si="101"/>
        <v>1691059.86</v>
      </c>
      <c r="T120" s="56">
        <f t="shared" ca="1" si="94"/>
        <v>35.857395246465806</v>
      </c>
      <c r="U120" s="56">
        <f t="shared" ca="1" si="95"/>
        <v>35.857395246465806</v>
      </c>
    </row>
    <row r="121" spans="1:21" ht="18.75">
      <c r="A121" s="155"/>
      <c r="B121" s="188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59">
        <f ca="1">IFERROR(__xludf.DUMMYFUNCTION("IMPORTRANGE(""https://docs.google.com/spreadsheets/d/1yhBcrRPreicbMKl9Bu_Snb2-OcQAF62RKfhTLhJ2eAA/edit?usp=sharing"",""กาฬสินธุ์!L121"")+IMPORTRANGE(""https://docs.google.com/spreadsheets/d/1aHkj4IaQMThhwWwevcOymEh837vdxeC_PycurhTbGFA/edit?usp=sharing"","&amp;"""ขอนแก่น!L121"")+IMPORTRANGE(""https://docs.google.com/spreadsheets/d/1FvTu2DsIWUjP6WCWra38Bkj_oOl_sOMf14r5Fg5srxU/edit?usp=sharing"",""ชัยภูมิ!L121"")+IMPORTRANGE(""https://docs.google.com/spreadsheets/d/1XVB7oCJ3pr-vBUdflwPQ8Z2LlzhnCvZaaYjAfP-647E/edit"&amp;"?usp=sharing"",""นครพนม!L121"")+IMPORTRANGE(""https://docs.google.com/spreadsheets/d/1Mnpb-8PYAgn85W6KOTD40hc_Xc55CaLfHoGAbrZ8tls/edit?usp=sharing"",""นครราชสีมา!L121"")+IMPORTRANGE(""https://docs.google.com/spreadsheets/d/1xoDLGBv9CYbyosIhki0kTq6IpYNj-gp"&amp;"jxfobnaDiut0/edit?usp=sharing"",""บึงกาฬ!L121"")+IMPORTRANGE(""https://docs.google.com/spreadsheets/d/1MMPq-JyI6DSgQETxuSiXkesP-P7JHuemnE6QJIa-Nlw/edit?usp=sharing"",""บุรีรัมย์!L121"")+IMPORTRANGE(""https://docs.google.com/spreadsheets/d/1l6IZ8xUPgMrESzc"&amp;"TYwhA1k_tPjeQjJPTqlm8Gd9eU5g/edit?usp=sharing"",""มหาสารคาม!L121"")+IMPORTRANGE(""https://docs.google.com/spreadsheets/d/1uB74YLqNjWX6FObjekfB2NtSYigTQyR2rq9u4Ub2Sq4/edit?usp=sharing"",""มุกดาหาร!L121"")+IMPORTRANGE(""https://docs.google.com/spreadsheets/"&amp;"d/1NexK3geCPxCTO1fzNF8dPec7yZyUx3OaWkFBC9HsQOo/edit?usp=sharing"",""ยโสธร!L121"")+IMPORTRANGE(""https://docs.google.com/spreadsheets/d/1v_cJrbBlyqmnHPReHk44g9NrMRdENNlSy_E_c5M9fIg/edit?usp=sharing"",""ร้อยเอ็ด!L121"")+IMPORTRANGE(""https://docs.google.com"&amp;"/spreadsheets/d/1Ul4RCpCX66NxYADU1QpwAPjOmBzW64SsT11s1wzXw_c/edit?usp=sharing"",""เลย!L121"")+IMPORTRANGE(""https://docs.google.com/spreadsheets/d/1bRrNKwbHDVktQG10isr5vbWRtt5spIZPpkOSWgbT5ug/edit?usp=sharing"",""ศรีสะเกษ!L121"")+IMPORTRANGE(""https://doc"&amp;"s.google.com/spreadsheets/d/17P34_Ow5kFBfdQD0qspb2UuPX5zpi6WMrQzslghyvrI/edit?usp=sharing"",""สกลนคร!L121"")+IMPORTRANGE(""https://docs.google.com/spreadsheets/d/1yswqbM3-AEpThF3ZSUa1AcmHnmRTF1vlJ1CZGcJ8YuU/edit?usp=sharing"",""สุรินทร์!L121"")+IMPORTRANG"&amp;"E(""https://docs.google.com/spreadsheets/d/13JHU_EFbsQOUQ0JSQ3dWy1VTRosIWcDq6Nc99z2qzdc/edit?usp=sharing"",""หนองคาย!L121"")+IMPORTRANGE(""https://docs.google.com/spreadsheets/d/1Hx73zIEgVdDZZaYSTc46Dqv64atFhpr3GelxLbaIN8A/edit?usp=sharing"",""หนองบัวลำภู"&amp;"!L121"")+IMPORTRANGE(""https://docs.google.com/spreadsheets/d/1lFxr3ctmjFN90yc-xV6jrQ9Ty8BKYVBWnAZ15wcNIJc/edit?usp=sharing"",""อำนาจเจริญ!L121"")+IMPORTRANGE(""https://docs.google.com/spreadsheets/d/1gF7RJpRnL-1oyjyeWxs5SFWEH7y8ahOZsQlyp2A2e-A/edit?usp=s"&amp;"haring"",""อุดรธานี!L121"")+IMPORTRANGE(""https://docs.google.com/spreadsheets/d/1kfLP0j3INXRa8bTDpcEmoWewMBV61jlFlfzczfjWIgc/edit?usp=sharing"",""อุบลราชธานี!L121"")"),0)</f>
        <v>0</v>
      </c>
      <c r="M121" s="59">
        <f ca="1">IFERROR(__xludf.DUMMYFUNCTION("IMPORTRANGE(""https://docs.google.com/spreadsheets/d/1yhBcrRPreicbMKl9Bu_Snb2-OcQAF62RKfhTLhJ2eAA/edit?usp=sharing"",""กาฬสินธุ์!M121"")+IMPORTRANGE(""https://docs.google.com/spreadsheets/d/1aHkj4IaQMThhwWwevcOymEh837vdxeC_PycurhTbGFA/edit?usp=sharing"","&amp;"""ขอนแก่น!M121"")+IMPORTRANGE(""https://docs.google.com/spreadsheets/d/1FvTu2DsIWUjP6WCWra38Bkj_oOl_sOMf14r5Fg5srxU/edit?usp=sharing"",""ชัยภูมิ!M121"")+IMPORTRANGE(""https://docs.google.com/spreadsheets/d/1XVB7oCJ3pr-vBUdflwPQ8Z2LlzhnCvZaaYjAfP-647E/edit"&amp;"?usp=sharing"",""นครพนม!M121"")+IMPORTRANGE(""https://docs.google.com/spreadsheets/d/1Mnpb-8PYAgn85W6KOTD40hc_Xc55CaLfHoGAbrZ8tls/edit?usp=sharing"",""นครราชสีมา!M121"")+IMPORTRANGE(""https://docs.google.com/spreadsheets/d/1xoDLGBv9CYbyosIhki0kTq6IpYNj-gp"&amp;"jxfobnaDiut0/edit?usp=sharing"",""บึงกาฬ!M121"")+IMPORTRANGE(""https://docs.google.com/spreadsheets/d/1MMPq-JyI6DSgQETxuSiXkesP-P7JHuemnE6QJIa-Nlw/edit?usp=sharing"",""บุรีรัมย์!M121"")+IMPORTRANGE(""https://docs.google.com/spreadsheets/d/1l6IZ8xUPgMrESzc"&amp;"TYwhA1k_tPjeQjJPTqlm8Gd9eU5g/edit?usp=sharing"",""มหาสารคาม!M121"")+IMPORTRANGE(""https://docs.google.com/spreadsheets/d/1uB74YLqNjWX6FObjekfB2NtSYigTQyR2rq9u4Ub2Sq4/edit?usp=sharing"",""มุกดาหาร!M121"")+IMPORTRANGE(""https://docs.google.com/spreadsheets/"&amp;"d/1NexK3geCPxCTO1fzNF8dPec7yZyUx3OaWkFBC9HsQOo/edit?usp=sharing"",""ยโสธร!M121"")+IMPORTRANGE(""https://docs.google.com/spreadsheets/d/1v_cJrbBlyqmnHPReHk44g9NrMRdENNlSy_E_c5M9fIg/edit?usp=sharing"",""ร้อยเอ็ด!M121"")+IMPORTRANGE(""https://docs.google.com"&amp;"/spreadsheets/d/1Ul4RCpCX66NxYADU1QpwAPjOmBzW64SsT11s1wzXw_c/edit?usp=sharing"",""เลย!M121"")+IMPORTRANGE(""https://docs.google.com/spreadsheets/d/1bRrNKwbHDVktQG10isr5vbWRtt5spIZPpkOSWgbT5ug/edit?usp=sharing"",""ศรีสะเกษ!M121"")+IMPORTRANGE(""https://doc"&amp;"s.google.com/spreadsheets/d/17P34_Ow5kFBfdQD0qspb2UuPX5zpi6WMrQzslghyvrI/edit?usp=sharing"",""สกลนคร!M121"")+IMPORTRANGE(""https://docs.google.com/spreadsheets/d/1yswqbM3-AEpThF3ZSUa1AcmHnmRTF1vlJ1CZGcJ8YuU/edit?usp=sharing"",""สุรินทร์!M121"")+IMPORTRANG"&amp;"E(""https://docs.google.com/spreadsheets/d/13JHU_EFbsQOUQ0JSQ3dWy1VTRosIWcDq6Nc99z2qzdc/edit?usp=sharing"",""หนองคาย!M121"")+IMPORTRANGE(""https://docs.google.com/spreadsheets/d/1Hx73zIEgVdDZZaYSTc46Dqv64atFhpr3GelxLbaIN8A/edit?usp=sharing"",""หนองบัวลำภู"&amp;"!M121"")+IMPORTRANGE(""https://docs.google.com/spreadsheets/d/1lFxr3ctmjFN90yc-xV6jrQ9Ty8BKYVBWnAZ15wcNIJc/edit?usp=sharing"",""อำนาจเจริญ!M121"")+IMPORTRANGE(""https://docs.google.com/spreadsheets/d/1gF7RJpRnL-1oyjyeWxs5SFWEH7y8ahOZsQlyp2A2e-A/edit?usp=s"&amp;"haring"",""อุดรธานี!M121"")+IMPORTRANGE(""https://docs.google.com/spreadsheets/d/1kfLP0j3INXRa8bTDpcEmoWewMBV61jlFlfzczfjWIgc/edit?usp=sharing"",""อุบลราชธานี!M121"")"),0)</f>
        <v>0</v>
      </c>
      <c r="N121" s="59">
        <f ca="1">IFERROR(__xludf.DUMMYFUNCTION("IMPORTRANGE(""https://docs.google.com/spreadsheets/d/1yhBcrRPreicbMKl9Bu_Snb2-OcQAF62RKfhTLhJ2eAA/edit?usp=sharing"",""กาฬสินธุ์!N121"")+IMPORTRANGE(""https://docs.google.com/spreadsheets/d/1aHkj4IaQMThhwWwevcOymEh837vdxeC_PycurhTbGFA/edit?usp=sharing"","&amp;"""ขอนแก่น!N121"")+IMPORTRANGE(""https://docs.google.com/spreadsheets/d/1FvTu2DsIWUjP6WCWra38Bkj_oOl_sOMf14r5Fg5srxU/edit?usp=sharing"",""ชัยภูมิ!N121"")+IMPORTRANGE(""https://docs.google.com/spreadsheets/d/1XVB7oCJ3pr-vBUdflwPQ8Z2LlzhnCvZaaYjAfP-647E/edit"&amp;"?usp=sharing"",""นครพนม!N121"")+IMPORTRANGE(""https://docs.google.com/spreadsheets/d/1Mnpb-8PYAgn85W6KOTD40hc_Xc55CaLfHoGAbrZ8tls/edit?usp=sharing"",""นครราชสีมา!N121"")+IMPORTRANGE(""https://docs.google.com/spreadsheets/d/1xoDLGBv9CYbyosIhki0kTq6IpYNj-gp"&amp;"jxfobnaDiut0/edit?usp=sharing"",""บึงกาฬ!N121"")+IMPORTRANGE(""https://docs.google.com/spreadsheets/d/1MMPq-JyI6DSgQETxuSiXkesP-P7JHuemnE6QJIa-Nlw/edit?usp=sharing"",""บุรีรัมย์!N121"")+IMPORTRANGE(""https://docs.google.com/spreadsheets/d/1l6IZ8xUPgMrESzc"&amp;"TYwhA1k_tPjeQjJPTqlm8Gd9eU5g/edit?usp=sharing"",""มหาสารคาม!N121"")+IMPORTRANGE(""https://docs.google.com/spreadsheets/d/1uB74YLqNjWX6FObjekfB2NtSYigTQyR2rq9u4Ub2Sq4/edit?usp=sharing"",""มุกดาหาร!N121"")+IMPORTRANGE(""https://docs.google.com/spreadsheets/"&amp;"d/1NexK3geCPxCTO1fzNF8dPec7yZyUx3OaWkFBC9HsQOo/edit?usp=sharing"",""ยโสธร!N121"")+IMPORTRANGE(""https://docs.google.com/spreadsheets/d/1v_cJrbBlyqmnHPReHk44g9NrMRdENNlSy_E_c5M9fIg/edit?usp=sharing"",""ร้อยเอ็ด!N121"")+IMPORTRANGE(""https://docs.google.com"&amp;"/spreadsheets/d/1Ul4RCpCX66NxYADU1QpwAPjOmBzW64SsT11s1wzXw_c/edit?usp=sharing"",""เลย!N121"")+IMPORTRANGE(""https://docs.google.com/spreadsheets/d/1bRrNKwbHDVktQG10isr5vbWRtt5spIZPpkOSWgbT5ug/edit?usp=sharing"",""ศรีสะเกษ!N121"")+IMPORTRANGE(""https://doc"&amp;"s.google.com/spreadsheets/d/17P34_Ow5kFBfdQD0qspb2UuPX5zpi6WMrQzslghyvrI/edit?usp=sharing"",""สกลนคร!N121"")+IMPORTRANGE(""https://docs.google.com/spreadsheets/d/1yswqbM3-AEpThF3ZSUa1AcmHnmRTF1vlJ1CZGcJ8YuU/edit?usp=sharing"",""สุรินทร์!N121"")+IMPORTRANG"&amp;"E(""https://docs.google.com/spreadsheets/d/13JHU_EFbsQOUQ0JSQ3dWy1VTRosIWcDq6Nc99z2qzdc/edit?usp=sharing"",""หนองคาย!N121"")+IMPORTRANGE(""https://docs.google.com/spreadsheets/d/1Hx73zIEgVdDZZaYSTc46Dqv64atFhpr3GelxLbaIN8A/edit?usp=sharing"",""หนองบัวลำภู"&amp;"!N121"")+IMPORTRANGE(""https://docs.google.com/spreadsheets/d/1lFxr3ctmjFN90yc-xV6jrQ9Ty8BKYVBWnAZ15wcNIJc/edit?usp=sharing"",""อำนาจเจริญ!N121"")+IMPORTRANGE(""https://docs.google.com/spreadsheets/d/1gF7RJpRnL-1oyjyeWxs5SFWEH7y8ahOZsQlyp2A2e-A/edit?usp=s"&amp;"haring"",""อุดรธานี!N121"")+IMPORTRANGE(""https://docs.google.com/spreadsheets/d/1kfLP0j3INXRa8bTDpcEmoWewMBV61jlFlfzczfjWIgc/edit?usp=sharing"",""อุบลราชธานี!N121"")"),0)</f>
        <v>0</v>
      </c>
      <c r="O121" s="59">
        <f t="shared" ca="1" si="91"/>
        <v>0</v>
      </c>
      <c r="P121" s="59">
        <f t="shared" ca="1" si="92"/>
        <v>0</v>
      </c>
      <c r="Q121" s="59">
        <f ca="1">IFERROR(__xludf.DUMMYFUNCTION("IMPORTRANGE(""https://docs.google.com/spreadsheets/d/1yhBcrRPreicbMKl9Bu_Snb2-OcQAF62RKfhTLhJ2eAA/edit?usp=sharing"",""กาฬสินธุ์!Q121"")+IMPORTRANGE(""https://docs.google.com/spreadsheets/d/1aHkj4IaQMThhwWwevcOymEh837vdxeC_PycurhTbGFA/edit?usp=sharing"","&amp;"""ขอนแก่น!Q121"")+IMPORTRANGE(""https://docs.google.com/spreadsheets/d/1FvTu2DsIWUjP6WCWra38Bkj_oOl_sOMf14r5Fg5srxU/edit?usp=sharing"",""ชัยภูมิ!Q121"")+IMPORTRANGE(""https://docs.google.com/spreadsheets/d/1XVB7oCJ3pr-vBUdflwPQ8Z2LlzhnCvZaaYjAfP-647E/edit"&amp;"?usp=sharing"",""นครพนม!Q121"")+IMPORTRANGE(""https://docs.google.com/spreadsheets/d/1Mnpb-8PYAgn85W6KOTD40hc_Xc55CaLfHoGAbrZ8tls/edit?usp=sharing"",""นครราชสีมา!Q121"")+IMPORTRANGE(""https://docs.google.com/spreadsheets/d/1xoDLGBv9CYbyosIhki0kTq6IpYNj-gp"&amp;"jxfobnaDiut0/edit?usp=sharing"",""บึงกาฬ!Q121"")+IMPORTRANGE(""https://docs.google.com/spreadsheets/d/1MMPq-JyI6DSgQETxuSiXkesP-P7JHuemnE6QJIa-Nlw/edit?usp=sharing"",""บุรีรัมย์!Q121"")+IMPORTRANGE(""https://docs.google.com/spreadsheets/d/1l6IZ8xUPgMrESzc"&amp;"TYwhA1k_tPjeQjJPTqlm8Gd9eU5g/edit?usp=sharing"",""มหาสารคาม!Q121"")+IMPORTRANGE(""https://docs.google.com/spreadsheets/d/1uB74YLqNjWX6FObjekfB2NtSYigTQyR2rq9u4Ub2Sq4/edit?usp=sharing"",""มุกดาหาร!Q121"")+IMPORTRANGE(""https://docs.google.com/spreadsheets/"&amp;"d/1NexK3geCPxCTO1fzNF8dPec7yZyUx3OaWkFBC9HsQOo/edit?usp=sharing"",""ยโสธร!Q121"")+IMPORTRANGE(""https://docs.google.com/spreadsheets/d/1v_cJrbBlyqmnHPReHk44g9NrMRdENNlSy_E_c5M9fIg/edit?usp=sharing"",""ร้อยเอ็ด!Q121"")+IMPORTRANGE(""https://docs.google.com"&amp;"/spreadsheets/d/1Ul4RCpCX66NxYADU1QpwAPjOmBzW64SsT11s1wzXw_c/edit?usp=sharing"",""เลย!Q121"")+IMPORTRANGE(""https://docs.google.com/spreadsheets/d/1bRrNKwbHDVktQG10isr5vbWRtt5spIZPpkOSWgbT5ug/edit?usp=sharing"",""ศรีสะเกษ!Q121"")+IMPORTRANGE(""https://doc"&amp;"s.google.com/spreadsheets/d/17P34_Ow5kFBfdQD0qspb2UuPX5zpi6WMrQzslghyvrI/edit?usp=sharing"",""สกลนคร!Q121"")+IMPORTRANGE(""https://docs.google.com/spreadsheets/d/1yswqbM3-AEpThF3ZSUa1AcmHnmRTF1vlJ1CZGcJ8YuU/edit?usp=sharing"",""สุรินทร์!Q121"")+IMPORTRANG"&amp;"E(""https://docs.google.com/spreadsheets/d/13JHU_EFbsQOUQ0JSQ3dWy1VTRosIWcDq6Nc99z2qzdc/edit?usp=sharing"",""หนองคาย!Q121"")+IMPORTRANGE(""https://docs.google.com/spreadsheets/d/1Hx73zIEgVdDZZaYSTc46Dqv64atFhpr3GelxLbaIN8A/edit?usp=sharing"",""หนองบัวลำภู"&amp;"!Q121"")+IMPORTRANGE(""https://docs.google.com/spreadsheets/d/1lFxr3ctmjFN90yc-xV6jrQ9Ty8BKYVBWnAZ15wcNIJc/edit?usp=sharing"",""อำนาจเจริญ!Q121"")+IMPORTRANGE(""https://docs.google.com/spreadsheets/d/1gF7RJpRnL-1oyjyeWxs5SFWEH7y8ahOZsQlyp2A2e-A/edit?usp=s"&amp;"haring"",""อุดรธานี!Q121"")+IMPORTRANGE(""https://docs.google.com/spreadsheets/d/1kfLP0j3INXRa8bTDpcEmoWewMBV61jlFlfzczfjWIgc/edit?usp=sharing"",""อุบลราชธานี!Q121"")"),0)</f>
        <v>0</v>
      </c>
      <c r="R121" s="59">
        <f ca="1">IFERROR(__xludf.DUMMYFUNCTION("IMPORTRANGE(""https://docs.google.com/spreadsheets/d/1yhBcrRPreicbMKl9Bu_Snb2-OcQAF62RKfhTLhJ2eAA/edit?usp=sharing"",""กาฬสินธุ์!R121"")+IMPORTRANGE(""https://docs.google.com/spreadsheets/d/1aHkj4IaQMThhwWwevcOymEh837vdxeC_PycurhTbGFA/edit?usp=sharing"","&amp;"""ขอนแก่น!R121"")+IMPORTRANGE(""https://docs.google.com/spreadsheets/d/1FvTu2DsIWUjP6WCWra38Bkj_oOl_sOMf14r5Fg5srxU/edit?usp=sharing"",""ชัยภูมิ!R121"")+IMPORTRANGE(""https://docs.google.com/spreadsheets/d/1XVB7oCJ3pr-vBUdflwPQ8Z2LlzhnCvZaaYjAfP-647E/edit"&amp;"?usp=sharing"",""นครพนม!R121"")+IMPORTRANGE(""https://docs.google.com/spreadsheets/d/1Mnpb-8PYAgn85W6KOTD40hc_Xc55CaLfHoGAbrZ8tls/edit?usp=sharing"",""นครราชสีมา!R121"")+IMPORTRANGE(""https://docs.google.com/spreadsheets/d/1xoDLGBv9CYbyosIhki0kTq6IpYNj-gp"&amp;"jxfobnaDiut0/edit?usp=sharing"",""บึงกาฬ!R121"")+IMPORTRANGE(""https://docs.google.com/spreadsheets/d/1MMPq-JyI6DSgQETxuSiXkesP-P7JHuemnE6QJIa-Nlw/edit?usp=sharing"",""บุรีรัมย์!R121"")+IMPORTRANGE(""https://docs.google.com/spreadsheets/d/1l6IZ8xUPgMrESzc"&amp;"TYwhA1k_tPjeQjJPTqlm8Gd9eU5g/edit?usp=sharing"",""มหาสารคาม!R121"")+IMPORTRANGE(""https://docs.google.com/spreadsheets/d/1uB74YLqNjWX6FObjekfB2NtSYigTQyR2rq9u4Ub2Sq4/edit?usp=sharing"",""มุกดาหาร!R121"")+IMPORTRANGE(""https://docs.google.com/spreadsheets/"&amp;"d/1NexK3geCPxCTO1fzNF8dPec7yZyUx3OaWkFBC9HsQOo/edit?usp=sharing"",""ยโสธร!R121"")+IMPORTRANGE(""https://docs.google.com/spreadsheets/d/1v_cJrbBlyqmnHPReHk44g9NrMRdENNlSy_E_c5M9fIg/edit?usp=sharing"",""ร้อยเอ็ด!R121"")+IMPORTRANGE(""https://docs.google.com"&amp;"/spreadsheets/d/1Ul4RCpCX66NxYADU1QpwAPjOmBzW64SsT11s1wzXw_c/edit?usp=sharing"",""เลย!R121"")+IMPORTRANGE(""https://docs.google.com/spreadsheets/d/1bRrNKwbHDVktQG10isr5vbWRtt5spIZPpkOSWgbT5ug/edit?usp=sharing"",""ศรีสะเกษ!R121"")+IMPORTRANGE(""https://doc"&amp;"s.google.com/spreadsheets/d/17P34_Ow5kFBfdQD0qspb2UuPX5zpi6WMrQzslghyvrI/edit?usp=sharing"",""สกลนคร!R121"")+IMPORTRANGE(""https://docs.google.com/spreadsheets/d/1yswqbM3-AEpThF3ZSUa1AcmHnmRTF1vlJ1CZGcJ8YuU/edit?usp=sharing"",""สุรินทร์!R121"")+IMPORTRANG"&amp;"E(""https://docs.google.com/spreadsheets/d/13JHU_EFbsQOUQ0JSQ3dWy1VTRosIWcDq6Nc99z2qzdc/edit?usp=sharing"",""หนองคาย!R121"")+IMPORTRANGE(""https://docs.google.com/spreadsheets/d/1Hx73zIEgVdDZZaYSTc46Dqv64atFhpr3GelxLbaIN8A/edit?usp=sharing"",""หนองบัวลำภู"&amp;"!R121"")+IMPORTRANGE(""https://docs.google.com/spreadsheets/d/1lFxr3ctmjFN90yc-xV6jrQ9Ty8BKYVBWnAZ15wcNIJc/edit?usp=sharing"",""อำนาจเจริญ!R121"")+IMPORTRANGE(""https://docs.google.com/spreadsheets/d/1gF7RJpRnL-1oyjyeWxs5SFWEH7y8ahOZsQlyp2A2e-A/edit?usp=s"&amp;"haring"",""อุดรธานี!R121"")+IMPORTRANGE(""https://docs.google.com/spreadsheets/d/1kfLP0j3INXRa8bTDpcEmoWewMBV61jlFlfzczfjWIgc/edit?usp=sharing"",""อุบลราชธานี!R121"")"),0)</f>
        <v>0</v>
      </c>
      <c r="S121" s="60">
        <f ca="1">IFERROR(__xludf.DUMMYFUNCTION("IMPORTRANGE(""https://docs.google.com/spreadsheets/d/1yhBcrRPreicbMKl9Bu_Snb2-OcQAF62RKfhTLhJ2eAA/edit?usp=sharing"",""กาฬสินธุ์!S121"")+IMPORTRANGE(""https://docs.google.com/spreadsheets/d/1aHkj4IaQMThhwWwevcOymEh837vdxeC_PycurhTbGFA/edit?usp=sharing"","&amp;"""ขอนแก่น!S121"")+IMPORTRANGE(""https://docs.google.com/spreadsheets/d/1FvTu2DsIWUjP6WCWra38Bkj_oOl_sOMf14r5Fg5srxU/edit?usp=sharing"",""ชัยภูมิ!S121"")+IMPORTRANGE(""https://docs.google.com/spreadsheets/d/1XVB7oCJ3pr-vBUdflwPQ8Z2LlzhnCvZaaYjAfP-647E/edit"&amp;"?usp=sharing"",""นครพนม!S121"")+IMPORTRANGE(""https://docs.google.com/spreadsheets/d/1Mnpb-8PYAgn85W6KOTD40hc_Xc55CaLfHoGAbrZ8tls/edit?usp=sharing"",""นครราชสีมา!S121"")+IMPORTRANGE(""https://docs.google.com/spreadsheets/d/1xoDLGBv9CYbyosIhki0kTq6IpYNj-gp"&amp;"jxfobnaDiut0/edit?usp=sharing"",""บึงกาฬ!S121"")+IMPORTRANGE(""https://docs.google.com/spreadsheets/d/1MMPq-JyI6DSgQETxuSiXkesP-P7JHuemnE6QJIa-Nlw/edit?usp=sharing"",""บุรีรัมย์!S121"")+IMPORTRANGE(""https://docs.google.com/spreadsheets/d/1l6IZ8xUPgMrESzc"&amp;"TYwhA1k_tPjeQjJPTqlm8Gd9eU5g/edit?usp=sharing"",""มหาสารคาม!S121"")+IMPORTRANGE(""https://docs.google.com/spreadsheets/d/1uB74YLqNjWX6FObjekfB2NtSYigTQyR2rq9u4Ub2Sq4/edit?usp=sharing"",""มุกดาหาร!S121"")+IMPORTRANGE(""https://docs.google.com/spreadsheets/"&amp;"d/1NexK3geCPxCTO1fzNF8dPec7yZyUx3OaWkFBC9HsQOo/edit?usp=sharing"",""ยโสธร!S121"")+IMPORTRANGE(""https://docs.google.com/spreadsheets/d/1v_cJrbBlyqmnHPReHk44g9NrMRdENNlSy_E_c5M9fIg/edit?usp=sharing"",""ร้อยเอ็ด!S121"")+IMPORTRANGE(""https://docs.google.com"&amp;"/spreadsheets/d/1Ul4RCpCX66NxYADU1QpwAPjOmBzW64SsT11s1wzXw_c/edit?usp=sharing"",""เลย!S121"")+IMPORTRANGE(""https://docs.google.com/spreadsheets/d/1bRrNKwbHDVktQG10isr5vbWRtt5spIZPpkOSWgbT5ug/edit?usp=sharing"",""ศรีสะเกษ!S121"")+IMPORTRANGE(""https://doc"&amp;"s.google.com/spreadsheets/d/17P34_Ow5kFBfdQD0qspb2UuPX5zpi6WMrQzslghyvrI/edit?usp=sharing"",""สกลนคร!S121"")+IMPORTRANGE(""https://docs.google.com/spreadsheets/d/1yswqbM3-AEpThF3ZSUa1AcmHnmRTF1vlJ1CZGcJ8YuU/edit?usp=sharing"",""สุรินทร์!S121"")+IMPORTRANG"&amp;"E(""https://docs.google.com/spreadsheets/d/13JHU_EFbsQOUQ0JSQ3dWy1VTRosIWcDq6Nc99z2qzdc/edit?usp=sharing"",""หนองคาย!S121"")+IMPORTRANGE(""https://docs.google.com/spreadsheets/d/1Hx73zIEgVdDZZaYSTc46Dqv64atFhpr3GelxLbaIN8A/edit?usp=sharing"",""หนองบัวลำภู"&amp;"!S121"")+IMPORTRANGE(""https://docs.google.com/spreadsheets/d/1lFxr3ctmjFN90yc-xV6jrQ9Ty8BKYVBWnAZ15wcNIJc/edit?usp=sharing"",""อำนาจเจริญ!S121"")+IMPORTRANGE(""https://docs.google.com/spreadsheets/d/1gF7RJpRnL-1oyjyeWxs5SFWEH7y8ahOZsQlyp2A2e-A/edit?usp=s"&amp;"haring"",""อุดรธานี!S121"")+IMPORTRANGE(""https://docs.google.com/spreadsheets/d/1kfLP0j3INXRa8bTDpcEmoWewMBV61jlFlfzczfjWIgc/edit?usp=sharing"",""อุบลราชธานี!S121"")"),0)</f>
        <v>0</v>
      </c>
      <c r="T121" s="59">
        <f t="shared" ca="1" si="94"/>
        <v>0</v>
      </c>
      <c r="U121" s="59">
        <f t="shared" ca="1" si="95"/>
        <v>0</v>
      </c>
    </row>
    <row r="122" spans="1:21" ht="18.75">
      <c r="A122" s="155"/>
      <c r="B122" s="188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56">
        <f ca="1">IFERROR(__xludf.DUMMYFUNCTION("IMPORTRANGE(""https://docs.google.com/spreadsheets/d/1yhBcrRPreicbMKl9Bu_Snb2-OcQAF62RKfhTLhJ2eAA/edit?usp=sharing"",""กาฬสินธุ์!L122"")+IMPORTRANGE(""https://docs.google.com/spreadsheets/d/1aHkj4IaQMThhwWwevcOymEh837vdxeC_PycurhTbGFA/edit?usp=sharing"","&amp;"""ขอนแก่น!L122"")+IMPORTRANGE(""https://docs.google.com/spreadsheets/d/1FvTu2DsIWUjP6WCWra38Bkj_oOl_sOMf14r5Fg5srxU/edit?usp=sharing"",""ชัยภูมิ!L122"")+IMPORTRANGE(""https://docs.google.com/spreadsheets/d/1XVB7oCJ3pr-vBUdflwPQ8Z2LlzhnCvZaaYjAfP-647E/edit"&amp;"?usp=sharing"",""นครพนม!L122"")+IMPORTRANGE(""https://docs.google.com/spreadsheets/d/1Mnpb-8PYAgn85W6KOTD40hc_Xc55CaLfHoGAbrZ8tls/edit?usp=sharing"",""นครราชสีมา!L122"")+IMPORTRANGE(""https://docs.google.com/spreadsheets/d/1xoDLGBv9CYbyosIhki0kTq6IpYNj-gp"&amp;"jxfobnaDiut0/edit?usp=sharing"",""บึงกาฬ!L122"")+IMPORTRANGE(""https://docs.google.com/spreadsheets/d/1MMPq-JyI6DSgQETxuSiXkesP-P7JHuemnE6QJIa-Nlw/edit?usp=sharing"",""บุรีรัมย์!L122"")+IMPORTRANGE(""https://docs.google.com/spreadsheets/d/1l6IZ8xUPgMrESzc"&amp;"TYwhA1k_tPjeQjJPTqlm8Gd9eU5g/edit?usp=sharing"",""มหาสารคาม!L122"")+IMPORTRANGE(""https://docs.google.com/spreadsheets/d/1uB74YLqNjWX6FObjekfB2NtSYigTQyR2rq9u4Ub2Sq4/edit?usp=sharing"",""มุกดาหาร!L122"")+IMPORTRANGE(""https://docs.google.com/spreadsheets/"&amp;"d/1NexK3geCPxCTO1fzNF8dPec7yZyUx3OaWkFBC9HsQOo/edit?usp=sharing"",""ยโสธร!L122"")+IMPORTRANGE(""https://docs.google.com/spreadsheets/d/1v_cJrbBlyqmnHPReHk44g9NrMRdENNlSy_E_c5M9fIg/edit?usp=sharing"",""ร้อยเอ็ด!L122"")+IMPORTRANGE(""https://docs.google.com"&amp;"/spreadsheets/d/1Ul4RCpCX66NxYADU1QpwAPjOmBzW64SsT11s1wzXw_c/edit?usp=sharing"",""เลย!L122"")+IMPORTRANGE(""https://docs.google.com/spreadsheets/d/1bRrNKwbHDVktQG10isr5vbWRtt5spIZPpkOSWgbT5ug/edit?usp=sharing"",""ศรีสะเกษ!L122"")+IMPORTRANGE(""https://doc"&amp;"s.google.com/spreadsheets/d/17P34_Ow5kFBfdQD0qspb2UuPX5zpi6WMrQzslghyvrI/edit?usp=sharing"",""สกลนคร!L122"")+IMPORTRANGE(""https://docs.google.com/spreadsheets/d/1yswqbM3-AEpThF3ZSUa1AcmHnmRTF1vlJ1CZGcJ8YuU/edit?usp=sharing"",""สุรินทร์!L122"")+IMPORTRANG"&amp;"E(""https://docs.google.com/spreadsheets/d/13JHU_EFbsQOUQ0JSQ3dWy1VTRosIWcDq6Nc99z2qzdc/edit?usp=sharing"",""หนองคาย!L122"")+IMPORTRANGE(""https://docs.google.com/spreadsheets/d/1Hx73zIEgVdDZZaYSTc46Dqv64atFhpr3GelxLbaIN8A/edit?usp=sharing"",""หนองบัวลำภู"&amp;"!L122"")+IMPORTRANGE(""https://docs.google.com/spreadsheets/d/1lFxr3ctmjFN90yc-xV6jrQ9Ty8BKYVBWnAZ15wcNIJc/edit?usp=sharing"",""อำนาจเจริญ!L122"")+IMPORTRANGE(""https://docs.google.com/spreadsheets/d/1gF7RJpRnL-1oyjyeWxs5SFWEH7y8ahOZsQlyp2A2e-A/edit?usp=s"&amp;"haring"",""อุดรธานี!L122"")+IMPORTRANGE(""https://docs.google.com/spreadsheets/d/1kfLP0j3INXRa8bTDpcEmoWewMBV61jlFlfzczfjWIgc/edit?usp=sharing"",""อุบลราชธานี!L122"")"),0)</f>
        <v>0</v>
      </c>
      <c r="M122" s="56">
        <f ca="1">IFERROR(__xludf.DUMMYFUNCTION("IMPORTRANGE(""https://docs.google.com/spreadsheets/d/1yhBcrRPreicbMKl9Bu_Snb2-OcQAF62RKfhTLhJ2eAA/edit?usp=sharing"",""กาฬสินธุ์!M122"")+IMPORTRANGE(""https://docs.google.com/spreadsheets/d/1aHkj4IaQMThhwWwevcOymEh837vdxeC_PycurhTbGFA/edit?usp=sharing"","&amp;"""ขอนแก่น!M122"")+IMPORTRANGE(""https://docs.google.com/spreadsheets/d/1FvTu2DsIWUjP6WCWra38Bkj_oOl_sOMf14r5Fg5srxU/edit?usp=sharing"",""ชัยภูมิ!M122"")+IMPORTRANGE(""https://docs.google.com/spreadsheets/d/1XVB7oCJ3pr-vBUdflwPQ8Z2LlzhnCvZaaYjAfP-647E/edit"&amp;"?usp=sharing"",""นครพนม!M122"")+IMPORTRANGE(""https://docs.google.com/spreadsheets/d/1Mnpb-8PYAgn85W6KOTD40hc_Xc55CaLfHoGAbrZ8tls/edit?usp=sharing"",""นครราชสีมา!M122"")+IMPORTRANGE(""https://docs.google.com/spreadsheets/d/1xoDLGBv9CYbyosIhki0kTq6IpYNj-gp"&amp;"jxfobnaDiut0/edit?usp=sharing"",""บึงกาฬ!M122"")+IMPORTRANGE(""https://docs.google.com/spreadsheets/d/1MMPq-JyI6DSgQETxuSiXkesP-P7JHuemnE6QJIa-Nlw/edit?usp=sharing"",""บุรีรัมย์!M122"")+IMPORTRANGE(""https://docs.google.com/spreadsheets/d/1l6IZ8xUPgMrESzc"&amp;"TYwhA1k_tPjeQjJPTqlm8Gd9eU5g/edit?usp=sharing"",""มหาสารคาม!M122"")+IMPORTRANGE(""https://docs.google.com/spreadsheets/d/1uB74YLqNjWX6FObjekfB2NtSYigTQyR2rq9u4Ub2Sq4/edit?usp=sharing"",""มุกดาหาร!M122"")+IMPORTRANGE(""https://docs.google.com/spreadsheets/"&amp;"d/1NexK3geCPxCTO1fzNF8dPec7yZyUx3OaWkFBC9HsQOo/edit?usp=sharing"",""ยโสธร!M122"")+IMPORTRANGE(""https://docs.google.com/spreadsheets/d/1v_cJrbBlyqmnHPReHk44g9NrMRdENNlSy_E_c5M9fIg/edit?usp=sharing"",""ร้อยเอ็ด!M122"")+IMPORTRANGE(""https://docs.google.com"&amp;"/spreadsheets/d/1Ul4RCpCX66NxYADU1QpwAPjOmBzW64SsT11s1wzXw_c/edit?usp=sharing"",""เลย!M122"")+IMPORTRANGE(""https://docs.google.com/spreadsheets/d/1bRrNKwbHDVktQG10isr5vbWRtt5spIZPpkOSWgbT5ug/edit?usp=sharing"",""ศรีสะเกษ!M122"")+IMPORTRANGE(""https://doc"&amp;"s.google.com/spreadsheets/d/17P34_Ow5kFBfdQD0qspb2UuPX5zpi6WMrQzslghyvrI/edit?usp=sharing"",""สกลนคร!M122"")+IMPORTRANGE(""https://docs.google.com/spreadsheets/d/1yswqbM3-AEpThF3ZSUa1AcmHnmRTF1vlJ1CZGcJ8YuU/edit?usp=sharing"",""สุรินทร์!M122"")+IMPORTRANG"&amp;"E(""https://docs.google.com/spreadsheets/d/13JHU_EFbsQOUQ0JSQ3dWy1VTRosIWcDq6Nc99z2qzdc/edit?usp=sharing"",""หนองคาย!M122"")+IMPORTRANGE(""https://docs.google.com/spreadsheets/d/1Hx73zIEgVdDZZaYSTc46Dqv64atFhpr3GelxLbaIN8A/edit?usp=sharing"",""หนองบัวลำภู"&amp;"!M122"")+IMPORTRANGE(""https://docs.google.com/spreadsheets/d/1lFxr3ctmjFN90yc-xV6jrQ9Ty8BKYVBWnAZ15wcNIJc/edit?usp=sharing"",""อำนาจเจริญ!M122"")+IMPORTRANGE(""https://docs.google.com/spreadsheets/d/1gF7RJpRnL-1oyjyeWxs5SFWEH7y8ahOZsQlyp2A2e-A/edit?usp=s"&amp;"haring"",""อุดรธานี!M122"")+IMPORTRANGE(""https://docs.google.com/spreadsheets/d/1kfLP0j3INXRa8bTDpcEmoWewMBV61jlFlfzczfjWIgc/edit?usp=sharing"",""อุบลราชธานี!M122"")"),0)</f>
        <v>0</v>
      </c>
      <c r="N122" s="56">
        <f ca="1">IFERROR(__xludf.DUMMYFUNCTION("IMPORTRANGE(""https://docs.google.com/spreadsheets/d/1yhBcrRPreicbMKl9Bu_Snb2-OcQAF62RKfhTLhJ2eAA/edit?usp=sharing"",""กาฬสินธุ์!N122"")+IMPORTRANGE(""https://docs.google.com/spreadsheets/d/1aHkj4IaQMThhwWwevcOymEh837vdxeC_PycurhTbGFA/edit?usp=sharing"","&amp;"""ขอนแก่น!N122"")+IMPORTRANGE(""https://docs.google.com/spreadsheets/d/1FvTu2DsIWUjP6WCWra38Bkj_oOl_sOMf14r5Fg5srxU/edit?usp=sharing"",""ชัยภูมิ!N122"")+IMPORTRANGE(""https://docs.google.com/spreadsheets/d/1XVB7oCJ3pr-vBUdflwPQ8Z2LlzhnCvZaaYjAfP-647E/edit"&amp;"?usp=sharing"",""นครพนม!N122"")+IMPORTRANGE(""https://docs.google.com/spreadsheets/d/1Mnpb-8PYAgn85W6KOTD40hc_Xc55CaLfHoGAbrZ8tls/edit?usp=sharing"",""นครราชสีมา!N122"")+IMPORTRANGE(""https://docs.google.com/spreadsheets/d/1xoDLGBv9CYbyosIhki0kTq6IpYNj-gp"&amp;"jxfobnaDiut0/edit?usp=sharing"",""บึงกาฬ!N122"")+IMPORTRANGE(""https://docs.google.com/spreadsheets/d/1MMPq-JyI6DSgQETxuSiXkesP-P7JHuemnE6QJIa-Nlw/edit?usp=sharing"",""บุรีรัมย์!N122"")+IMPORTRANGE(""https://docs.google.com/spreadsheets/d/1l6IZ8xUPgMrESzc"&amp;"TYwhA1k_tPjeQjJPTqlm8Gd9eU5g/edit?usp=sharing"",""มหาสารคาม!N122"")+IMPORTRANGE(""https://docs.google.com/spreadsheets/d/1uB74YLqNjWX6FObjekfB2NtSYigTQyR2rq9u4Ub2Sq4/edit?usp=sharing"",""มุกดาหาร!N122"")+IMPORTRANGE(""https://docs.google.com/spreadsheets/"&amp;"d/1NexK3geCPxCTO1fzNF8dPec7yZyUx3OaWkFBC9HsQOo/edit?usp=sharing"",""ยโสธร!N122"")+IMPORTRANGE(""https://docs.google.com/spreadsheets/d/1v_cJrbBlyqmnHPReHk44g9NrMRdENNlSy_E_c5M9fIg/edit?usp=sharing"",""ร้อยเอ็ด!N122"")+IMPORTRANGE(""https://docs.google.com"&amp;"/spreadsheets/d/1Ul4RCpCX66NxYADU1QpwAPjOmBzW64SsT11s1wzXw_c/edit?usp=sharing"",""เลย!N122"")+IMPORTRANGE(""https://docs.google.com/spreadsheets/d/1bRrNKwbHDVktQG10isr5vbWRtt5spIZPpkOSWgbT5ug/edit?usp=sharing"",""ศรีสะเกษ!N122"")+IMPORTRANGE(""https://doc"&amp;"s.google.com/spreadsheets/d/17P34_Ow5kFBfdQD0qspb2UuPX5zpi6WMrQzslghyvrI/edit?usp=sharing"",""สกลนคร!N122"")+IMPORTRANGE(""https://docs.google.com/spreadsheets/d/1yswqbM3-AEpThF3ZSUa1AcmHnmRTF1vlJ1CZGcJ8YuU/edit?usp=sharing"",""สุรินทร์!N122"")+IMPORTRANG"&amp;"E(""https://docs.google.com/spreadsheets/d/13JHU_EFbsQOUQ0JSQ3dWy1VTRosIWcDq6Nc99z2qzdc/edit?usp=sharing"",""หนองคาย!N122"")+IMPORTRANGE(""https://docs.google.com/spreadsheets/d/1Hx73zIEgVdDZZaYSTc46Dqv64atFhpr3GelxLbaIN8A/edit?usp=sharing"",""หนองบัวลำภู"&amp;"!N122"")+IMPORTRANGE(""https://docs.google.com/spreadsheets/d/1lFxr3ctmjFN90yc-xV6jrQ9Ty8BKYVBWnAZ15wcNIJc/edit?usp=sharing"",""อำนาจเจริญ!N122"")+IMPORTRANGE(""https://docs.google.com/spreadsheets/d/1gF7RJpRnL-1oyjyeWxs5SFWEH7y8ahOZsQlyp2A2e-A/edit?usp=s"&amp;"haring"",""อุดรธานี!N122"")+IMPORTRANGE(""https://docs.google.com/spreadsheets/d/1kfLP0j3INXRa8bTDpcEmoWewMBV61jlFlfzczfjWIgc/edit?usp=sharing"",""อุบลราชธานี!N122"")"),0)</f>
        <v>0</v>
      </c>
      <c r="O122" s="56">
        <f t="shared" ca="1" si="91"/>
        <v>0</v>
      </c>
      <c r="P122" s="56">
        <f t="shared" ca="1" si="92"/>
        <v>0</v>
      </c>
      <c r="Q122" s="56">
        <f ca="1">IFERROR(__xludf.DUMMYFUNCTION("IMPORTRANGE(""https://docs.google.com/spreadsheets/d/1yhBcrRPreicbMKl9Bu_Snb2-OcQAF62RKfhTLhJ2eAA/edit?usp=sharing"",""กาฬสินธุ์!Q122"")+IMPORTRANGE(""https://docs.google.com/spreadsheets/d/1aHkj4IaQMThhwWwevcOymEh837vdxeC_PycurhTbGFA/edit?usp=sharing"","&amp;"""ขอนแก่น!Q122"")+IMPORTRANGE(""https://docs.google.com/spreadsheets/d/1FvTu2DsIWUjP6WCWra38Bkj_oOl_sOMf14r5Fg5srxU/edit?usp=sharing"",""ชัยภูมิ!Q122"")+IMPORTRANGE(""https://docs.google.com/spreadsheets/d/1XVB7oCJ3pr-vBUdflwPQ8Z2LlzhnCvZaaYjAfP-647E/edit"&amp;"?usp=sharing"",""นครพนม!Q122"")+IMPORTRANGE(""https://docs.google.com/spreadsheets/d/1Mnpb-8PYAgn85W6KOTD40hc_Xc55CaLfHoGAbrZ8tls/edit?usp=sharing"",""นครราชสีมา!Q122"")+IMPORTRANGE(""https://docs.google.com/spreadsheets/d/1xoDLGBv9CYbyosIhki0kTq6IpYNj-gp"&amp;"jxfobnaDiut0/edit?usp=sharing"",""บึงกาฬ!Q122"")+IMPORTRANGE(""https://docs.google.com/spreadsheets/d/1MMPq-JyI6DSgQETxuSiXkesP-P7JHuemnE6QJIa-Nlw/edit?usp=sharing"",""บุรีรัมย์!Q122"")+IMPORTRANGE(""https://docs.google.com/spreadsheets/d/1l6IZ8xUPgMrESzc"&amp;"TYwhA1k_tPjeQjJPTqlm8Gd9eU5g/edit?usp=sharing"",""มหาสารคาม!Q122"")+IMPORTRANGE(""https://docs.google.com/spreadsheets/d/1uB74YLqNjWX6FObjekfB2NtSYigTQyR2rq9u4Ub2Sq4/edit?usp=sharing"",""มุกดาหาร!Q122"")+IMPORTRANGE(""https://docs.google.com/spreadsheets/"&amp;"d/1NexK3geCPxCTO1fzNF8dPec7yZyUx3OaWkFBC9HsQOo/edit?usp=sharing"",""ยโสธร!Q122"")+IMPORTRANGE(""https://docs.google.com/spreadsheets/d/1v_cJrbBlyqmnHPReHk44g9NrMRdENNlSy_E_c5M9fIg/edit?usp=sharing"",""ร้อยเอ็ด!Q122"")+IMPORTRANGE(""https://docs.google.com"&amp;"/spreadsheets/d/1Ul4RCpCX66NxYADU1QpwAPjOmBzW64SsT11s1wzXw_c/edit?usp=sharing"",""เลย!Q122"")+IMPORTRANGE(""https://docs.google.com/spreadsheets/d/1bRrNKwbHDVktQG10isr5vbWRtt5spIZPpkOSWgbT5ug/edit?usp=sharing"",""ศรีสะเกษ!Q122"")+IMPORTRANGE(""https://doc"&amp;"s.google.com/spreadsheets/d/17P34_Ow5kFBfdQD0qspb2UuPX5zpi6WMrQzslghyvrI/edit?usp=sharing"",""สกลนคร!Q122"")+IMPORTRANGE(""https://docs.google.com/spreadsheets/d/1yswqbM3-AEpThF3ZSUa1AcmHnmRTF1vlJ1CZGcJ8YuU/edit?usp=sharing"",""สุรินทร์!Q122"")+IMPORTRANG"&amp;"E(""https://docs.google.com/spreadsheets/d/13JHU_EFbsQOUQ0JSQ3dWy1VTRosIWcDq6Nc99z2qzdc/edit?usp=sharing"",""หนองคาย!Q122"")+IMPORTRANGE(""https://docs.google.com/spreadsheets/d/1Hx73zIEgVdDZZaYSTc46Dqv64atFhpr3GelxLbaIN8A/edit?usp=sharing"",""หนองบัวลำภู"&amp;"!Q122"")+IMPORTRANGE(""https://docs.google.com/spreadsheets/d/1lFxr3ctmjFN90yc-xV6jrQ9Ty8BKYVBWnAZ15wcNIJc/edit?usp=sharing"",""อำนาจเจริญ!Q122"")+IMPORTRANGE(""https://docs.google.com/spreadsheets/d/1gF7RJpRnL-1oyjyeWxs5SFWEH7y8ahOZsQlyp2A2e-A/edit?usp=s"&amp;"haring"",""อุดรธานี!Q122"")+IMPORTRANGE(""https://docs.google.com/spreadsheets/d/1kfLP0j3INXRa8bTDpcEmoWewMBV61jlFlfzczfjWIgc/edit?usp=sharing"",""อุบลราชธานี!Q122"")"),4716070)</f>
        <v>4716070</v>
      </c>
      <c r="R122" s="56">
        <f ca="1">IFERROR(__xludf.DUMMYFUNCTION("IMPORTRANGE(""https://docs.google.com/spreadsheets/d/1yhBcrRPreicbMKl9Bu_Snb2-OcQAF62RKfhTLhJ2eAA/edit?usp=sharing"",""กาฬสินธุ์!R122"")+IMPORTRANGE(""https://docs.google.com/spreadsheets/d/1aHkj4IaQMThhwWwevcOymEh837vdxeC_PycurhTbGFA/edit?usp=sharing"","&amp;"""ขอนแก่น!R122"")+IMPORTRANGE(""https://docs.google.com/spreadsheets/d/1FvTu2DsIWUjP6WCWra38Bkj_oOl_sOMf14r5Fg5srxU/edit?usp=sharing"",""ชัยภูมิ!R122"")+IMPORTRANGE(""https://docs.google.com/spreadsheets/d/1XVB7oCJ3pr-vBUdflwPQ8Z2LlzhnCvZaaYjAfP-647E/edit"&amp;"?usp=sharing"",""นครพนม!R122"")+IMPORTRANGE(""https://docs.google.com/spreadsheets/d/1Mnpb-8PYAgn85W6KOTD40hc_Xc55CaLfHoGAbrZ8tls/edit?usp=sharing"",""นครราชสีมา!R122"")+IMPORTRANGE(""https://docs.google.com/spreadsheets/d/1xoDLGBv9CYbyosIhki0kTq6IpYNj-gp"&amp;"jxfobnaDiut0/edit?usp=sharing"",""บึงกาฬ!R122"")+IMPORTRANGE(""https://docs.google.com/spreadsheets/d/1MMPq-JyI6DSgQETxuSiXkesP-P7JHuemnE6QJIa-Nlw/edit?usp=sharing"",""บุรีรัมย์!R122"")+IMPORTRANGE(""https://docs.google.com/spreadsheets/d/1l6IZ8xUPgMrESzc"&amp;"TYwhA1k_tPjeQjJPTqlm8Gd9eU5g/edit?usp=sharing"",""มหาสารคาม!R122"")+IMPORTRANGE(""https://docs.google.com/spreadsheets/d/1uB74YLqNjWX6FObjekfB2NtSYigTQyR2rq9u4Ub2Sq4/edit?usp=sharing"",""มุกดาหาร!R122"")+IMPORTRANGE(""https://docs.google.com/spreadsheets/"&amp;"d/1NexK3geCPxCTO1fzNF8dPec7yZyUx3OaWkFBC9HsQOo/edit?usp=sharing"",""ยโสธร!R122"")+IMPORTRANGE(""https://docs.google.com/spreadsheets/d/1v_cJrbBlyqmnHPReHk44g9NrMRdENNlSy_E_c5M9fIg/edit?usp=sharing"",""ร้อยเอ็ด!R122"")+IMPORTRANGE(""https://docs.google.com"&amp;"/spreadsheets/d/1Ul4RCpCX66NxYADU1QpwAPjOmBzW64SsT11s1wzXw_c/edit?usp=sharing"",""เลย!R122"")+IMPORTRANGE(""https://docs.google.com/spreadsheets/d/1bRrNKwbHDVktQG10isr5vbWRtt5spIZPpkOSWgbT5ug/edit?usp=sharing"",""ศรีสะเกษ!R122"")+IMPORTRANGE(""https://doc"&amp;"s.google.com/spreadsheets/d/17P34_Ow5kFBfdQD0qspb2UuPX5zpi6WMrQzslghyvrI/edit?usp=sharing"",""สกลนคร!R122"")+IMPORTRANGE(""https://docs.google.com/spreadsheets/d/1yswqbM3-AEpThF3ZSUa1AcmHnmRTF1vlJ1CZGcJ8YuU/edit?usp=sharing"",""สุรินทร์!R122"")+IMPORTRANG"&amp;"E(""https://docs.google.com/spreadsheets/d/13JHU_EFbsQOUQ0JSQ3dWy1VTRosIWcDq6Nc99z2qzdc/edit?usp=sharing"",""หนองคาย!R122"")+IMPORTRANGE(""https://docs.google.com/spreadsheets/d/1Hx73zIEgVdDZZaYSTc46Dqv64atFhpr3GelxLbaIN8A/edit?usp=sharing"",""หนองบัวลำภู"&amp;"!R122"")+IMPORTRANGE(""https://docs.google.com/spreadsheets/d/1lFxr3ctmjFN90yc-xV6jrQ9Ty8BKYVBWnAZ15wcNIJc/edit?usp=sharing"",""อำนาจเจริญ!R122"")+IMPORTRANGE(""https://docs.google.com/spreadsheets/d/1gF7RJpRnL-1oyjyeWxs5SFWEH7y8ahOZsQlyp2A2e-A/edit?usp=s"&amp;"haring"",""อุดรธานี!R122"")+IMPORTRANGE(""https://docs.google.com/spreadsheets/d/1kfLP0j3INXRa8bTDpcEmoWewMBV61jlFlfzczfjWIgc/edit?usp=sharing"",""อุบลราชธานี!R122"")"),4716070)</f>
        <v>4716070</v>
      </c>
      <c r="S122" s="57">
        <f ca="1">IFERROR(__xludf.DUMMYFUNCTION("IMPORTRANGE(""https://docs.google.com/spreadsheets/d/1yhBcrRPreicbMKl9Bu_Snb2-OcQAF62RKfhTLhJ2eAA/edit?usp=sharing"",""กาฬสินธุ์!S122"")+IMPORTRANGE(""https://docs.google.com/spreadsheets/d/1aHkj4IaQMThhwWwevcOymEh837vdxeC_PycurhTbGFA/edit?usp=sharing"","&amp;"""ขอนแก่น!S122"")+IMPORTRANGE(""https://docs.google.com/spreadsheets/d/1FvTu2DsIWUjP6WCWra38Bkj_oOl_sOMf14r5Fg5srxU/edit?usp=sharing"",""ชัยภูมิ!S122"")+IMPORTRANGE(""https://docs.google.com/spreadsheets/d/1XVB7oCJ3pr-vBUdflwPQ8Z2LlzhnCvZaaYjAfP-647E/edit"&amp;"?usp=sharing"",""นครพนม!S122"")+IMPORTRANGE(""https://docs.google.com/spreadsheets/d/1Mnpb-8PYAgn85W6KOTD40hc_Xc55CaLfHoGAbrZ8tls/edit?usp=sharing"",""นครราชสีมา!S122"")+IMPORTRANGE(""https://docs.google.com/spreadsheets/d/1xoDLGBv9CYbyosIhki0kTq6IpYNj-gp"&amp;"jxfobnaDiut0/edit?usp=sharing"",""บึงกาฬ!S122"")+IMPORTRANGE(""https://docs.google.com/spreadsheets/d/1MMPq-JyI6DSgQETxuSiXkesP-P7JHuemnE6QJIa-Nlw/edit?usp=sharing"",""บุรีรัมย์!S122"")+IMPORTRANGE(""https://docs.google.com/spreadsheets/d/1l6IZ8xUPgMrESzc"&amp;"TYwhA1k_tPjeQjJPTqlm8Gd9eU5g/edit?usp=sharing"",""มหาสารคาม!S122"")+IMPORTRANGE(""https://docs.google.com/spreadsheets/d/1uB74YLqNjWX6FObjekfB2NtSYigTQyR2rq9u4Ub2Sq4/edit?usp=sharing"",""มุกดาหาร!S122"")+IMPORTRANGE(""https://docs.google.com/spreadsheets/"&amp;"d/1NexK3geCPxCTO1fzNF8dPec7yZyUx3OaWkFBC9HsQOo/edit?usp=sharing"",""ยโสธร!S122"")+IMPORTRANGE(""https://docs.google.com/spreadsheets/d/1v_cJrbBlyqmnHPReHk44g9NrMRdENNlSy_E_c5M9fIg/edit?usp=sharing"",""ร้อยเอ็ด!S122"")+IMPORTRANGE(""https://docs.google.com"&amp;"/spreadsheets/d/1Ul4RCpCX66NxYADU1QpwAPjOmBzW64SsT11s1wzXw_c/edit?usp=sharing"",""เลย!S122"")+IMPORTRANGE(""https://docs.google.com/spreadsheets/d/1bRrNKwbHDVktQG10isr5vbWRtt5spIZPpkOSWgbT5ug/edit?usp=sharing"",""ศรีสะเกษ!S122"")+IMPORTRANGE(""https://doc"&amp;"s.google.com/spreadsheets/d/17P34_Ow5kFBfdQD0qspb2UuPX5zpi6WMrQzslghyvrI/edit?usp=sharing"",""สกลนคร!S122"")+IMPORTRANGE(""https://docs.google.com/spreadsheets/d/1yswqbM3-AEpThF3ZSUa1AcmHnmRTF1vlJ1CZGcJ8YuU/edit?usp=sharing"",""สุรินทร์!S122"")+IMPORTRANG"&amp;"E(""https://docs.google.com/spreadsheets/d/13JHU_EFbsQOUQ0JSQ3dWy1VTRosIWcDq6Nc99z2qzdc/edit?usp=sharing"",""หนองคาย!S122"")+IMPORTRANGE(""https://docs.google.com/spreadsheets/d/1Hx73zIEgVdDZZaYSTc46Dqv64atFhpr3GelxLbaIN8A/edit?usp=sharing"",""หนองบัวลำภู"&amp;"!S122"")+IMPORTRANGE(""https://docs.google.com/spreadsheets/d/1lFxr3ctmjFN90yc-xV6jrQ9Ty8BKYVBWnAZ15wcNIJc/edit?usp=sharing"",""อำนาจเจริญ!S122"")+IMPORTRANGE(""https://docs.google.com/spreadsheets/d/1gF7RJpRnL-1oyjyeWxs5SFWEH7y8ahOZsQlyp2A2e-A/edit?usp=s"&amp;"haring"",""อุดรธานี!S122"")+IMPORTRANGE(""https://docs.google.com/spreadsheets/d/1kfLP0j3INXRa8bTDpcEmoWewMBV61jlFlfzczfjWIgc/edit?usp=sharing"",""อุบลราชธานี!S122"")"),1691059.86)</f>
        <v>1691059.86</v>
      </c>
      <c r="T122" s="56">
        <f t="shared" ca="1" si="94"/>
        <v>35.857395246465806</v>
      </c>
      <c r="U122" s="56">
        <f t="shared" ca="1" si="95"/>
        <v>35.857395246465806</v>
      </c>
    </row>
    <row r="123" spans="1:21" ht="18.75">
      <c r="A123" s="155"/>
      <c r="B123" s="50"/>
      <c r="C123" s="202"/>
      <c r="D123" s="190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56">
        <f t="shared" ref="L123:N123" ca="1" si="102">L124+L125</f>
        <v>0</v>
      </c>
      <c r="M123" s="56">
        <f t="shared" ca="1" si="102"/>
        <v>0</v>
      </c>
      <c r="N123" s="56">
        <f t="shared" ca="1" si="102"/>
        <v>0</v>
      </c>
      <c r="O123" s="56">
        <f t="shared" ca="1" si="91"/>
        <v>0</v>
      </c>
      <c r="P123" s="56">
        <f t="shared" ca="1" si="92"/>
        <v>0</v>
      </c>
      <c r="Q123" s="56">
        <f t="shared" ref="Q123:S123" ca="1" si="103">Q124+Q125</f>
        <v>0</v>
      </c>
      <c r="R123" s="56">
        <f t="shared" ca="1" si="103"/>
        <v>0</v>
      </c>
      <c r="S123" s="57">
        <f t="shared" ca="1" si="103"/>
        <v>0</v>
      </c>
      <c r="T123" s="56">
        <f t="shared" ca="1" si="94"/>
        <v>0</v>
      </c>
      <c r="U123" s="56">
        <f t="shared" ca="1" si="95"/>
        <v>0</v>
      </c>
    </row>
    <row r="124" spans="1:21" ht="18.75">
      <c r="A124" s="155"/>
      <c r="B124" s="50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59">
        <f ca="1">IFERROR(__xludf.DUMMYFUNCTION("IMPORTRANGE(""https://docs.google.com/spreadsheets/d/1yhBcrRPreicbMKl9Bu_Snb2-OcQAF62RKfhTLhJ2eAA/edit?usp=sharing"",""กาฬสินธุ์!L124"")+IMPORTRANGE(""https://docs.google.com/spreadsheets/d/1aHkj4IaQMThhwWwevcOymEh837vdxeC_PycurhTbGFA/edit?usp=sharing"","&amp;"""ขอนแก่น!L124"")+IMPORTRANGE(""https://docs.google.com/spreadsheets/d/1FvTu2DsIWUjP6WCWra38Bkj_oOl_sOMf14r5Fg5srxU/edit?usp=sharing"",""ชัยภูมิ!L124"")+IMPORTRANGE(""https://docs.google.com/spreadsheets/d/1XVB7oCJ3pr-vBUdflwPQ8Z2LlzhnCvZaaYjAfP-647E/edit"&amp;"?usp=sharing"",""นครพนม!L124"")+IMPORTRANGE(""https://docs.google.com/spreadsheets/d/1Mnpb-8PYAgn85W6KOTD40hc_Xc55CaLfHoGAbrZ8tls/edit?usp=sharing"",""นครราชสีมา!L124"")+IMPORTRANGE(""https://docs.google.com/spreadsheets/d/1xoDLGBv9CYbyosIhki0kTq6IpYNj-gp"&amp;"jxfobnaDiut0/edit?usp=sharing"",""บึงกาฬ!L124"")+IMPORTRANGE(""https://docs.google.com/spreadsheets/d/1MMPq-JyI6DSgQETxuSiXkesP-P7JHuemnE6QJIa-Nlw/edit?usp=sharing"",""บุรีรัมย์!L124"")+IMPORTRANGE(""https://docs.google.com/spreadsheets/d/1l6IZ8xUPgMrESzc"&amp;"TYwhA1k_tPjeQjJPTqlm8Gd9eU5g/edit?usp=sharing"",""มหาสารคาม!L124"")+IMPORTRANGE(""https://docs.google.com/spreadsheets/d/1uB74YLqNjWX6FObjekfB2NtSYigTQyR2rq9u4Ub2Sq4/edit?usp=sharing"",""มุกดาหาร!L124"")+IMPORTRANGE(""https://docs.google.com/spreadsheets/"&amp;"d/1NexK3geCPxCTO1fzNF8dPec7yZyUx3OaWkFBC9HsQOo/edit?usp=sharing"",""ยโสธร!L124"")+IMPORTRANGE(""https://docs.google.com/spreadsheets/d/1v_cJrbBlyqmnHPReHk44g9NrMRdENNlSy_E_c5M9fIg/edit?usp=sharing"",""ร้อยเอ็ด!L124"")+IMPORTRANGE(""https://docs.google.com"&amp;"/spreadsheets/d/1Ul4RCpCX66NxYADU1QpwAPjOmBzW64SsT11s1wzXw_c/edit?usp=sharing"",""เลย!L124"")+IMPORTRANGE(""https://docs.google.com/spreadsheets/d/1bRrNKwbHDVktQG10isr5vbWRtt5spIZPpkOSWgbT5ug/edit?usp=sharing"",""ศรีสะเกษ!L124"")+IMPORTRANGE(""https://doc"&amp;"s.google.com/spreadsheets/d/17P34_Ow5kFBfdQD0qspb2UuPX5zpi6WMrQzslghyvrI/edit?usp=sharing"",""สกลนคร!L124"")+IMPORTRANGE(""https://docs.google.com/spreadsheets/d/1yswqbM3-AEpThF3ZSUa1AcmHnmRTF1vlJ1CZGcJ8YuU/edit?usp=sharing"",""สุรินทร์!L124"")+IMPORTRANG"&amp;"E(""https://docs.google.com/spreadsheets/d/13JHU_EFbsQOUQ0JSQ3dWy1VTRosIWcDq6Nc99z2qzdc/edit?usp=sharing"",""หนองคาย!L124"")+IMPORTRANGE(""https://docs.google.com/spreadsheets/d/1Hx73zIEgVdDZZaYSTc46Dqv64atFhpr3GelxLbaIN8A/edit?usp=sharing"",""หนองบัวลำภู"&amp;"!L124"")+IMPORTRANGE(""https://docs.google.com/spreadsheets/d/1lFxr3ctmjFN90yc-xV6jrQ9Ty8BKYVBWnAZ15wcNIJc/edit?usp=sharing"",""อำนาจเจริญ!L124"")+IMPORTRANGE(""https://docs.google.com/spreadsheets/d/1gF7RJpRnL-1oyjyeWxs5SFWEH7y8ahOZsQlyp2A2e-A/edit?usp=s"&amp;"haring"",""อุดรธานี!L124"")+IMPORTRANGE(""https://docs.google.com/spreadsheets/d/1kfLP0j3INXRa8bTDpcEmoWewMBV61jlFlfzczfjWIgc/edit?usp=sharing"",""อุบลราชธานี!L124"")"),0)</f>
        <v>0</v>
      </c>
      <c r="M124" s="59">
        <f ca="1">IFERROR(__xludf.DUMMYFUNCTION("IMPORTRANGE(""https://docs.google.com/spreadsheets/d/1yhBcrRPreicbMKl9Bu_Snb2-OcQAF62RKfhTLhJ2eAA/edit?usp=sharing"",""กาฬสินธุ์!M124"")+IMPORTRANGE(""https://docs.google.com/spreadsheets/d/1aHkj4IaQMThhwWwevcOymEh837vdxeC_PycurhTbGFA/edit?usp=sharing"","&amp;"""ขอนแก่น!M124"")+IMPORTRANGE(""https://docs.google.com/spreadsheets/d/1FvTu2DsIWUjP6WCWra38Bkj_oOl_sOMf14r5Fg5srxU/edit?usp=sharing"",""ชัยภูมิ!M124"")+IMPORTRANGE(""https://docs.google.com/spreadsheets/d/1XVB7oCJ3pr-vBUdflwPQ8Z2LlzhnCvZaaYjAfP-647E/edit"&amp;"?usp=sharing"",""นครพนม!M124"")+IMPORTRANGE(""https://docs.google.com/spreadsheets/d/1Mnpb-8PYAgn85W6KOTD40hc_Xc55CaLfHoGAbrZ8tls/edit?usp=sharing"",""นครราชสีมา!M124"")+IMPORTRANGE(""https://docs.google.com/spreadsheets/d/1xoDLGBv9CYbyosIhki0kTq6IpYNj-gp"&amp;"jxfobnaDiut0/edit?usp=sharing"",""บึงกาฬ!M124"")+IMPORTRANGE(""https://docs.google.com/spreadsheets/d/1MMPq-JyI6DSgQETxuSiXkesP-P7JHuemnE6QJIa-Nlw/edit?usp=sharing"",""บุรีรัมย์!M124"")+IMPORTRANGE(""https://docs.google.com/spreadsheets/d/1l6IZ8xUPgMrESzc"&amp;"TYwhA1k_tPjeQjJPTqlm8Gd9eU5g/edit?usp=sharing"",""มหาสารคาม!M124"")+IMPORTRANGE(""https://docs.google.com/spreadsheets/d/1uB74YLqNjWX6FObjekfB2NtSYigTQyR2rq9u4Ub2Sq4/edit?usp=sharing"",""มุกดาหาร!M124"")+IMPORTRANGE(""https://docs.google.com/spreadsheets/"&amp;"d/1NexK3geCPxCTO1fzNF8dPec7yZyUx3OaWkFBC9HsQOo/edit?usp=sharing"",""ยโสธร!M124"")+IMPORTRANGE(""https://docs.google.com/spreadsheets/d/1v_cJrbBlyqmnHPReHk44g9NrMRdENNlSy_E_c5M9fIg/edit?usp=sharing"",""ร้อยเอ็ด!M124"")+IMPORTRANGE(""https://docs.google.com"&amp;"/spreadsheets/d/1Ul4RCpCX66NxYADU1QpwAPjOmBzW64SsT11s1wzXw_c/edit?usp=sharing"",""เลย!M124"")+IMPORTRANGE(""https://docs.google.com/spreadsheets/d/1bRrNKwbHDVktQG10isr5vbWRtt5spIZPpkOSWgbT5ug/edit?usp=sharing"",""ศรีสะเกษ!M124"")+IMPORTRANGE(""https://doc"&amp;"s.google.com/spreadsheets/d/17P34_Ow5kFBfdQD0qspb2UuPX5zpi6WMrQzslghyvrI/edit?usp=sharing"",""สกลนคร!M124"")+IMPORTRANGE(""https://docs.google.com/spreadsheets/d/1yswqbM3-AEpThF3ZSUa1AcmHnmRTF1vlJ1CZGcJ8YuU/edit?usp=sharing"",""สุรินทร์!M124"")+IMPORTRANG"&amp;"E(""https://docs.google.com/spreadsheets/d/13JHU_EFbsQOUQ0JSQ3dWy1VTRosIWcDq6Nc99z2qzdc/edit?usp=sharing"",""หนองคาย!M124"")+IMPORTRANGE(""https://docs.google.com/spreadsheets/d/1Hx73zIEgVdDZZaYSTc46Dqv64atFhpr3GelxLbaIN8A/edit?usp=sharing"",""หนองบัวลำภู"&amp;"!M124"")+IMPORTRANGE(""https://docs.google.com/spreadsheets/d/1lFxr3ctmjFN90yc-xV6jrQ9Ty8BKYVBWnAZ15wcNIJc/edit?usp=sharing"",""อำนาจเจริญ!M124"")+IMPORTRANGE(""https://docs.google.com/spreadsheets/d/1gF7RJpRnL-1oyjyeWxs5SFWEH7y8ahOZsQlyp2A2e-A/edit?usp=s"&amp;"haring"",""อุดรธานี!M124"")+IMPORTRANGE(""https://docs.google.com/spreadsheets/d/1kfLP0j3INXRa8bTDpcEmoWewMBV61jlFlfzczfjWIgc/edit?usp=sharing"",""อุบลราชธานี!M124"")"),0)</f>
        <v>0</v>
      </c>
      <c r="N124" s="59">
        <f ca="1">IFERROR(__xludf.DUMMYFUNCTION("IMPORTRANGE(""https://docs.google.com/spreadsheets/d/1yhBcrRPreicbMKl9Bu_Snb2-OcQAF62RKfhTLhJ2eAA/edit?usp=sharing"",""กาฬสินธุ์!N124"")+IMPORTRANGE(""https://docs.google.com/spreadsheets/d/1aHkj4IaQMThhwWwevcOymEh837vdxeC_PycurhTbGFA/edit?usp=sharing"","&amp;"""ขอนแก่น!N124"")+IMPORTRANGE(""https://docs.google.com/spreadsheets/d/1FvTu2DsIWUjP6WCWra38Bkj_oOl_sOMf14r5Fg5srxU/edit?usp=sharing"",""ชัยภูมิ!N124"")+IMPORTRANGE(""https://docs.google.com/spreadsheets/d/1XVB7oCJ3pr-vBUdflwPQ8Z2LlzhnCvZaaYjAfP-647E/edit"&amp;"?usp=sharing"",""นครพนม!N124"")+IMPORTRANGE(""https://docs.google.com/spreadsheets/d/1Mnpb-8PYAgn85W6KOTD40hc_Xc55CaLfHoGAbrZ8tls/edit?usp=sharing"",""นครราชสีมา!N124"")+IMPORTRANGE(""https://docs.google.com/spreadsheets/d/1xoDLGBv9CYbyosIhki0kTq6IpYNj-gp"&amp;"jxfobnaDiut0/edit?usp=sharing"",""บึงกาฬ!N124"")+IMPORTRANGE(""https://docs.google.com/spreadsheets/d/1MMPq-JyI6DSgQETxuSiXkesP-P7JHuemnE6QJIa-Nlw/edit?usp=sharing"",""บุรีรัมย์!N124"")+IMPORTRANGE(""https://docs.google.com/spreadsheets/d/1l6IZ8xUPgMrESzc"&amp;"TYwhA1k_tPjeQjJPTqlm8Gd9eU5g/edit?usp=sharing"",""มหาสารคาม!N124"")+IMPORTRANGE(""https://docs.google.com/spreadsheets/d/1uB74YLqNjWX6FObjekfB2NtSYigTQyR2rq9u4Ub2Sq4/edit?usp=sharing"",""มุกดาหาร!N124"")+IMPORTRANGE(""https://docs.google.com/spreadsheets/"&amp;"d/1NexK3geCPxCTO1fzNF8dPec7yZyUx3OaWkFBC9HsQOo/edit?usp=sharing"",""ยโสธร!N124"")+IMPORTRANGE(""https://docs.google.com/spreadsheets/d/1v_cJrbBlyqmnHPReHk44g9NrMRdENNlSy_E_c5M9fIg/edit?usp=sharing"",""ร้อยเอ็ด!N124"")+IMPORTRANGE(""https://docs.google.com"&amp;"/spreadsheets/d/1Ul4RCpCX66NxYADU1QpwAPjOmBzW64SsT11s1wzXw_c/edit?usp=sharing"",""เลย!N124"")+IMPORTRANGE(""https://docs.google.com/spreadsheets/d/1bRrNKwbHDVktQG10isr5vbWRtt5spIZPpkOSWgbT5ug/edit?usp=sharing"",""ศรีสะเกษ!N124"")+IMPORTRANGE(""https://doc"&amp;"s.google.com/spreadsheets/d/17P34_Ow5kFBfdQD0qspb2UuPX5zpi6WMrQzslghyvrI/edit?usp=sharing"",""สกลนคร!N124"")+IMPORTRANGE(""https://docs.google.com/spreadsheets/d/1yswqbM3-AEpThF3ZSUa1AcmHnmRTF1vlJ1CZGcJ8YuU/edit?usp=sharing"",""สุรินทร์!N124"")+IMPORTRANG"&amp;"E(""https://docs.google.com/spreadsheets/d/13JHU_EFbsQOUQ0JSQ3dWy1VTRosIWcDq6Nc99z2qzdc/edit?usp=sharing"",""หนองคาย!N124"")+IMPORTRANGE(""https://docs.google.com/spreadsheets/d/1Hx73zIEgVdDZZaYSTc46Dqv64atFhpr3GelxLbaIN8A/edit?usp=sharing"",""หนองบัวลำภู"&amp;"!N124"")+IMPORTRANGE(""https://docs.google.com/spreadsheets/d/1lFxr3ctmjFN90yc-xV6jrQ9Ty8BKYVBWnAZ15wcNIJc/edit?usp=sharing"",""อำนาจเจริญ!N124"")+IMPORTRANGE(""https://docs.google.com/spreadsheets/d/1gF7RJpRnL-1oyjyeWxs5SFWEH7y8ahOZsQlyp2A2e-A/edit?usp=s"&amp;"haring"",""อุดรธานี!N124"")+IMPORTRANGE(""https://docs.google.com/spreadsheets/d/1kfLP0j3INXRa8bTDpcEmoWewMBV61jlFlfzczfjWIgc/edit?usp=sharing"",""อุบลราชธานี!N124"")"),0)</f>
        <v>0</v>
      </c>
      <c r="O124" s="59">
        <f t="shared" ca="1" si="91"/>
        <v>0</v>
      </c>
      <c r="P124" s="59">
        <f t="shared" ca="1" si="92"/>
        <v>0</v>
      </c>
      <c r="Q124" s="59">
        <f ca="1">IFERROR(__xludf.DUMMYFUNCTION("IMPORTRANGE(""https://docs.google.com/spreadsheets/d/1yhBcrRPreicbMKl9Bu_Snb2-OcQAF62RKfhTLhJ2eAA/edit?usp=sharing"",""กาฬสินธุ์!Q124"")+IMPORTRANGE(""https://docs.google.com/spreadsheets/d/1aHkj4IaQMThhwWwevcOymEh837vdxeC_PycurhTbGFA/edit?usp=sharing"","&amp;"""ขอนแก่น!Q124"")+IMPORTRANGE(""https://docs.google.com/spreadsheets/d/1FvTu2DsIWUjP6WCWra38Bkj_oOl_sOMf14r5Fg5srxU/edit?usp=sharing"",""ชัยภูมิ!Q124"")+IMPORTRANGE(""https://docs.google.com/spreadsheets/d/1XVB7oCJ3pr-vBUdflwPQ8Z2LlzhnCvZaaYjAfP-647E/edit"&amp;"?usp=sharing"",""นครพนม!Q124"")+IMPORTRANGE(""https://docs.google.com/spreadsheets/d/1Mnpb-8PYAgn85W6KOTD40hc_Xc55CaLfHoGAbrZ8tls/edit?usp=sharing"",""นครราชสีมา!Q124"")+IMPORTRANGE(""https://docs.google.com/spreadsheets/d/1xoDLGBv9CYbyosIhki0kTq6IpYNj-gp"&amp;"jxfobnaDiut0/edit?usp=sharing"",""บึงกาฬ!Q124"")+IMPORTRANGE(""https://docs.google.com/spreadsheets/d/1MMPq-JyI6DSgQETxuSiXkesP-P7JHuemnE6QJIa-Nlw/edit?usp=sharing"",""บุรีรัมย์!Q124"")+IMPORTRANGE(""https://docs.google.com/spreadsheets/d/1l6IZ8xUPgMrESzc"&amp;"TYwhA1k_tPjeQjJPTqlm8Gd9eU5g/edit?usp=sharing"",""มหาสารคาม!Q124"")+IMPORTRANGE(""https://docs.google.com/spreadsheets/d/1uB74YLqNjWX6FObjekfB2NtSYigTQyR2rq9u4Ub2Sq4/edit?usp=sharing"",""มุกดาหาร!Q124"")+IMPORTRANGE(""https://docs.google.com/spreadsheets/"&amp;"d/1NexK3geCPxCTO1fzNF8dPec7yZyUx3OaWkFBC9HsQOo/edit?usp=sharing"",""ยโสธร!Q124"")+IMPORTRANGE(""https://docs.google.com/spreadsheets/d/1v_cJrbBlyqmnHPReHk44g9NrMRdENNlSy_E_c5M9fIg/edit?usp=sharing"",""ร้อยเอ็ด!Q124"")+IMPORTRANGE(""https://docs.google.com"&amp;"/spreadsheets/d/1Ul4RCpCX66NxYADU1QpwAPjOmBzW64SsT11s1wzXw_c/edit?usp=sharing"",""เลย!Q124"")+IMPORTRANGE(""https://docs.google.com/spreadsheets/d/1bRrNKwbHDVktQG10isr5vbWRtt5spIZPpkOSWgbT5ug/edit?usp=sharing"",""ศรีสะเกษ!Q124"")+IMPORTRANGE(""https://doc"&amp;"s.google.com/spreadsheets/d/17P34_Ow5kFBfdQD0qspb2UuPX5zpi6WMrQzslghyvrI/edit?usp=sharing"",""สกลนคร!Q124"")+IMPORTRANGE(""https://docs.google.com/spreadsheets/d/1yswqbM3-AEpThF3ZSUa1AcmHnmRTF1vlJ1CZGcJ8YuU/edit?usp=sharing"",""สุรินทร์!Q124"")+IMPORTRANG"&amp;"E(""https://docs.google.com/spreadsheets/d/13JHU_EFbsQOUQ0JSQ3dWy1VTRosIWcDq6Nc99z2qzdc/edit?usp=sharing"",""หนองคาย!Q124"")+IMPORTRANGE(""https://docs.google.com/spreadsheets/d/1Hx73zIEgVdDZZaYSTc46Dqv64atFhpr3GelxLbaIN8A/edit?usp=sharing"",""หนองบัวลำภู"&amp;"!Q124"")+IMPORTRANGE(""https://docs.google.com/spreadsheets/d/1lFxr3ctmjFN90yc-xV6jrQ9Ty8BKYVBWnAZ15wcNIJc/edit?usp=sharing"",""อำนาจเจริญ!Q124"")+IMPORTRANGE(""https://docs.google.com/spreadsheets/d/1gF7RJpRnL-1oyjyeWxs5SFWEH7y8ahOZsQlyp2A2e-A/edit?usp=s"&amp;"haring"",""อุดรธานี!Q124"")+IMPORTRANGE(""https://docs.google.com/spreadsheets/d/1kfLP0j3INXRa8bTDpcEmoWewMBV61jlFlfzczfjWIgc/edit?usp=sharing"",""อุบลราชธานี!Q124"")"),0)</f>
        <v>0</v>
      </c>
      <c r="R124" s="59">
        <f ca="1">IFERROR(__xludf.DUMMYFUNCTION("IMPORTRANGE(""https://docs.google.com/spreadsheets/d/1yhBcrRPreicbMKl9Bu_Snb2-OcQAF62RKfhTLhJ2eAA/edit?usp=sharing"",""กาฬสินธุ์!R124"")+IMPORTRANGE(""https://docs.google.com/spreadsheets/d/1aHkj4IaQMThhwWwevcOymEh837vdxeC_PycurhTbGFA/edit?usp=sharing"","&amp;"""ขอนแก่น!R124"")+IMPORTRANGE(""https://docs.google.com/spreadsheets/d/1FvTu2DsIWUjP6WCWra38Bkj_oOl_sOMf14r5Fg5srxU/edit?usp=sharing"",""ชัยภูมิ!R124"")+IMPORTRANGE(""https://docs.google.com/spreadsheets/d/1XVB7oCJ3pr-vBUdflwPQ8Z2LlzhnCvZaaYjAfP-647E/edit"&amp;"?usp=sharing"",""นครพนม!R124"")+IMPORTRANGE(""https://docs.google.com/spreadsheets/d/1Mnpb-8PYAgn85W6KOTD40hc_Xc55CaLfHoGAbrZ8tls/edit?usp=sharing"",""นครราชสีมา!R124"")+IMPORTRANGE(""https://docs.google.com/spreadsheets/d/1xoDLGBv9CYbyosIhki0kTq6IpYNj-gp"&amp;"jxfobnaDiut0/edit?usp=sharing"",""บึงกาฬ!R124"")+IMPORTRANGE(""https://docs.google.com/spreadsheets/d/1MMPq-JyI6DSgQETxuSiXkesP-P7JHuemnE6QJIa-Nlw/edit?usp=sharing"",""บุรีรัมย์!R124"")+IMPORTRANGE(""https://docs.google.com/spreadsheets/d/1l6IZ8xUPgMrESzc"&amp;"TYwhA1k_tPjeQjJPTqlm8Gd9eU5g/edit?usp=sharing"",""มหาสารคาม!R124"")+IMPORTRANGE(""https://docs.google.com/spreadsheets/d/1uB74YLqNjWX6FObjekfB2NtSYigTQyR2rq9u4Ub2Sq4/edit?usp=sharing"",""มุกดาหาร!R124"")+IMPORTRANGE(""https://docs.google.com/spreadsheets/"&amp;"d/1NexK3geCPxCTO1fzNF8dPec7yZyUx3OaWkFBC9HsQOo/edit?usp=sharing"",""ยโสธร!R124"")+IMPORTRANGE(""https://docs.google.com/spreadsheets/d/1v_cJrbBlyqmnHPReHk44g9NrMRdENNlSy_E_c5M9fIg/edit?usp=sharing"",""ร้อยเอ็ด!R124"")+IMPORTRANGE(""https://docs.google.com"&amp;"/spreadsheets/d/1Ul4RCpCX66NxYADU1QpwAPjOmBzW64SsT11s1wzXw_c/edit?usp=sharing"",""เลย!R124"")+IMPORTRANGE(""https://docs.google.com/spreadsheets/d/1bRrNKwbHDVktQG10isr5vbWRtt5spIZPpkOSWgbT5ug/edit?usp=sharing"",""ศรีสะเกษ!R124"")+IMPORTRANGE(""https://doc"&amp;"s.google.com/spreadsheets/d/17P34_Ow5kFBfdQD0qspb2UuPX5zpi6WMrQzslghyvrI/edit?usp=sharing"",""สกลนคร!R124"")+IMPORTRANGE(""https://docs.google.com/spreadsheets/d/1yswqbM3-AEpThF3ZSUa1AcmHnmRTF1vlJ1CZGcJ8YuU/edit?usp=sharing"",""สุรินทร์!R124"")+IMPORTRANG"&amp;"E(""https://docs.google.com/spreadsheets/d/13JHU_EFbsQOUQ0JSQ3dWy1VTRosIWcDq6Nc99z2qzdc/edit?usp=sharing"",""หนองคาย!R124"")+IMPORTRANGE(""https://docs.google.com/spreadsheets/d/1Hx73zIEgVdDZZaYSTc46Dqv64atFhpr3GelxLbaIN8A/edit?usp=sharing"",""หนองบัวลำภู"&amp;"!R124"")+IMPORTRANGE(""https://docs.google.com/spreadsheets/d/1lFxr3ctmjFN90yc-xV6jrQ9Ty8BKYVBWnAZ15wcNIJc/edit?usp=sharing"",""อำนาจเจริญ!R124"")+IMPORTRANGE(""https://docs.google.com/spreadsheets/d/1gF7RJpRnL-1oyjyeWxs5SFWEH7y8ahOZsQlyp2A2e-A/edit?usp=s"&amp;"haring"",""อุดรธานี!R124"")+IMPORTRANGE(""https://docs.google.com/spreadsheets/d/1kfLP0j3INXRa8bTDpcEmoWewMBV61jlFlfzczfjWIgc/edit?usp=sharing"",""อุบลราชธานี!R124"")"),0)</f>
        <v>0</v>
      </c>
      <c r="S124" s="60">
        <f ca="1">IFERROR(__xludf.DUMMYFUNCTION("IMPORTRANGE(""https://docs.google.com/spreadsheets/d/1yhBcrRPreicbMKl9Bu_Snb2-OcQAF62RKfhTLhJ2eAA/edit?usp=sharing"",""กาฬสินธุ์!S124"")+IMPORTRANGE(""https://docs.google.com/spreadsheets/d/1aHkj4IaQMThhwWwevcOymEh837vdxeC_PycurhTbGFA/edit?usp=sharing"","&amp;"""ขอนแก่น!S124"")+IMPORTRANGE(""https://docs.google.com/spreadsheets/d/1FvTu2DsIWUjP6WCWra38Bkj_oOl_sOMf14r5Fg5srxU/edit?usp=sharing"",""ชัยภูมิ!S124"")+IMPORTRANGE(""https://docs.google.com/spreadsheets/d/1XVB7oCJ3pr-vBUdflwPQ8Z2LlzhnCvZaaYjAfP-647E/edit"&amp;"?usp=sharing"",""นครพนม!S124"")+IMPORTRANGE(""https://docs.google.com/spreadsheets/d/1Mnpb-8PYAgn85W6KOTD40hc_Xc55CaLfHoGAbrZ8tls/edit?usp=sharing"",""นครราชสีมา!S124"")+IMPORTRANGE(""https://docs.google.com/spreadsheets/d/1xoDLGBv9CYbyosIhki0kTq6IpYNj-gp"&amp;"jxfobnaDiut0/edit?usp=sharing"",""บึงกาฬ!S124"")+IMPORTRANGE(""https://docs.google.com/spreadsheets/d/1MMPq-JyI6DSgQETxuSiXkesP-P7JHuemnE6QJIa-Nlw/edit?usp=sharing"",""บุรีรัมย์!S124"")+IMPORTRANGE(""https://docs.google.com/spreadsheets/d/1l6IZ8xUPgMrESzc"&amp;"TYwhA1k_tPjeQjJPTqlm8Gd9eU5g/edit?usp=sharing"",""มหาสารคาม!S124"")+IMPORTRANGE(""https://docs.google.com/spreadsheets/d/1uB74YLqNjWX6FObjekfB2NtSYigTQyR2rq9u4Ub2Sq4/edit?usp=sharing"",""มุกดาหาร!S124"")+IMPORTRANGE(""https://docs.google.com/spreadsheets/"&amp;"d/1NexK3geCPxCTO1fzNF8dPec7yZyUx3OaWkFBC9HsQOo/edit?usp=sharing"",""ยโสธร!S124"")+IMPORTRANGE(""https://docs.google.com/spreadsheets/d/1v_cJrbBlyqmnHPReHk44g9NrMRdENNlSy_E_c5M9fIg/edit?usp=sharing"",""ร้อยเอ็ด!S124"")+IMPORTRANGE(""https://docs.google.com"&amp;"/spreadsheets/d/1Ul4RCpCX66NxYADU1QpwAPjOmBzW64SsT11s1wzXw_c/edit?usp=sharing"",""เลย!S124"")+IMPORTRANGE(""https://docs.google.com/spreadsheets/d/1bRrNKwbHDVktQG10isr5vbWRtt5spIZPpkOSWgbT5ug/edit?usp=sharing"",""ศรีสะเกษ!S124"")+IMPORTRANGE(""https://doc"&amp;"s.google.com/spreadsheets/d/17P34_Ow5kFBfdQD0qspb2UuPX5zpi6WMrQzslghyvrI/edit?usp=sharing"",""สกลนคร!S124"")+IMPORTRANGE(""https://docs.google.com/spreadsheets/d/1yswqbM3-AEpThF3ZSUa1AcmHnmRTF1vlJ1CZGcJ8YuU/edit?usp=sharing"",""สุรินทร์!S124"")+IMPORTRANG"&amp;"E(""https://docs.google.com/spreadsheets/d/13JHU_EFbsQOUQ0JSQ3dWy1VTRosIWcDq6Nc99z2qzdc/edit?usp=sharing"",""หนองคาย!S124"")+IMPORTRANGE(""https://docs.google.com/spreadsheets/d/1Hx73zIEgVdDZZaYSTc46Dqv64atFhpr3GelxLbaIN8A/edit?usp=sharing"",""หนองบัวลำภู"&amp;"!S124"")+IMPORTRANGE(""https://docs.google.com/spreadsheets/d/1lFxr3ctmjFN90yc-xV6jrQ9Ty8BKYVBWnAZ15wcNIJc/edit?usp=sharing"",""อำนาจเจริญ!S124"")+IMPORTRANGE(""https://docs.google.com/spreadsheets/d/1gF7RJpRnL-1oyjyeWxs5SFWEH7y8ahOZsQlyp2A2e-A/edit?usp=s"&amp;"haring"",""อุดรธานี!S124"")+IMPORTRANGE(""https://docs.google.com/spreadsheets/d/1kfLP0j3INXRa8bTDpcEmoWewMBV61jlFlfzczfjWIgc/edit?usp=sharing"",""อุบลราชธานี!S124"")"),0)</f>
        <v>0</v>
      </c>
      <c r="T124" s="59">
        <f t="shared" ca="1" si="94"/>
        <v>0</v>
      </c>
      <c r="U124" s="59">
        <f t="shared" ca="1" si="95"/>
        <v>0</v>
      </c>
    </row>
    <row r="125" spans="1:21" ht="18.75">
      <c r="A125" s="155"/>
      <c r="B125" s="50"/>
      <c r="C125" s="50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56">
        <f ca="1">IFERROR(__xludf.DUMMYFUNCTION("IMPORTRANGE(""https://docs.google.com/spreadsheets/d/1yhBcrRPreicbMKl9Bu_Snb2-OcQAF62RKfhTLhJ2eAA/edit?usp=sharing"",""กาฬสินธุ์!L125"")+IMPORTRANGE(""https://docs.google.com/spreadsheets/d/1aHkj4IaQMThhwWwevcOymEh837vdxeC_PycurhTbGFA/edit?usp=sharing"","&amp;"""ขอนแก่น!L125"")+IMPORTRANGE(""https://docs.google.com/spreadsheets/d/1FvTu2DsIWUjP6WCWra38Bkj_oOl_sOMf14r5Fg5srxU/edit?usp=sharing"",""ชัยภูมิ!L125"")+IMPORTRANGE(""https://docs.google.com/spreadsheets/d/1XVB7oCJ3pr-vBUdflwPQ8Z2LlzhnCvZaaYjAfP-647E/edit"&amp;"?usp=sharing"",""นครพนม!L125"")+IMPORTRANGE(""https://docs.google.com/spreadsheets/d/1Mnpb-8PYAgn85W6KOTD40hc_Xc55CaLfHoGAbrZ8tls/edit?usp=sharing"",""นครราชสีมา!L125"")+IMPORTRANGE(""https://docs.google.com/spreadsheets/d/1xoDLGBv9CYbyosIhki0kTq6IpYNj-gp"&amp;"jxfobnaDiut0/edit?usp=sharing"",""บึงกาฬ!L125"")+IMPORTRANGE(""https://docs.google.com/spreadsheets/d/1MMPq-JyI6DSgQETxuSiXkesP-P7JHuemnE6QJIa-Nlw/edit?usp=sharing"",""บุรีรัมย์!L125"")+IMPORTRANGE(""https://docs.google.com/spreadsheets/d/1l6IZ8xUPgMrESzc"&amp;"TYwhA1k_tPjeQjJPTqlm8Gd9eU5g/edit?usp=sharing"",""มหาสารคาม!L125"")+IMPORTRANGE(""https://docs.google.com/spreadsheets/d/1uB74YLqNjWX6FObjekfB2NtSYigTQyR2rq9u4Ub2Sq4/edit?usp=sharing"",""มุกดาหาร!L125"")+IMPORTRANGE(""https://docs.google.com/spreadsheets/"&amp;"d/1NexK3geCPxCTO1fzNF8dPec7yZyUx3OaWkFBC9HsQOo/edit?usp=sharing"",""ยโสธร!L125"")+IMPORTRANGE(""https://docs.google.com/spreadsheets/d/1v_cJrbBlyqmnHPReHk44g9NrMRdENNlSy_E_c5M9fIg/edit?usp=sharing"",""ร้อยเอ็ด!L125"")+IMPORTRANGE(""https://docs.google.com"&amp;"/spreadsheets/d/1Ul4RCpCX66NxYADU1QpwAPjOmBzW64SsT11s1wzXw_c/edit?usp=sharing"",""เลย!L125"")+IMPORTRANGE(""https://docs.google.com/spreadsheets/d/1bRrNKwbHDVktQG10isr5vbWRtt5spIZPpkOSWgbT5ug/edit?usp=sharing"",""ศรีสะเกษ!L125"")+IMPORTRANGE(""https://doc"&amp;"s.google.com/spreadsheets/d/17P34_Ow5kFBfdQD0qspb2UuPX5zpi6WMrQzslghyvrI/edit?usp=sharing"",""สกลนคร!L125"")+IMPORTRANGE(""https://docs.google.com/spreadsheets/d/1yswqbM3-AEpThF3ZSUa1AcmHnmRTF1vlJ1CZGcJ8YuU/edit?usp=sharing"",""สุรินทร์!L125"")+IMPORTRANG"&amp;"E(""https://docs.google.com/spreadsheets/d/13JHU_EFbsQOUQ0JSQ3dWy1VTRosIWcDq6Nc99z2qzdc/edit?usp=sharing"",""หนองคาย!L125"")+IMPORTRANGE(""https://docs.google.com/spreadsheets/d/1Hx73zIEgVdDZZaYSTc46Dqv64atFhpr3GelxLbaIN8A/edit?usp=sharing"",""หนองบัวลำภู"&amp;"!L125"")+IMPORTRANGE(""https://docs.google.com/spreadsheets/d/1lFxr3ctmjFN90yc-xV6jrQ9Ty8BKYVBWnAZ15wcNIJc/edit?usp=sharing"",""อำนาจเจริญ!L125"")+IMPORTRANGE(""https://docs.google.com/spreadsheets/d/1gF7RJpRnL-1oyjyeWxs5SFWEH7y8ahOZsQlyp2A2e-A/edit?usp=s"&amp;"haring"",""อุดรธานี!L125"")+IMPORTRANGE(""https://docs.google.com/spreadsheets/d/1kfLP0j3INXRa8bTDpcEmoWewMBV61jlFlfzczfjWIgc/edit?usp=sharing"",""อุบลราชธานี!L125"")"),0)</f>
        <v>0</v>
      </c>
      <c r="M125" s="56">
        <f ca="1">IFERROR(__xludf.DUMMYFUNCTION("IMPORTRANGE(""https://docs.google.com/spreadsheets/d/1yhBcrRPreicbMKl9Bu_Snb2-OcQAF62RKfhTLhJ2eAA/edit?usp=sharing"",""กาฬสินธุ์!M125"")+IMPORTRANGE(""https://docs.google.com/spreadsheets/d/1aHkj4IaQMThhwWwevcOymEh837vdxeC_PycurhTbGFA/edit?usp=sharing"","&amp;"""ขอนแก่น!M125"")+IMPORTRANGE(""https://docs.google.com/spreadsheets/d/1FvTu2DsIWUjP6WCWra38Bkj_oOl_sOMf14r5Fg5srxU/edit?usp=sharing"",""ชัยภูมิ!M125"")+IMPORTRANGE(""https://docs.google.com/spreadsheets/d/1XVB7oCJ3pr-vBUdflwPQ8Z2LlzhnCvZaaYjAfP-647E/edit"&amp;"?usp=sharing"",""นครพนม!M125"")+IMPORTRANGE(""https://docs.google.com/spreadsheets/d/1Mnpb-8PYAgn85W6KOTD40hc_Xc55CaLfHoGAbrZ8tls/edit?usp=sharing"",""นครราชสีมา!M125"")+IMPORTRANGE(""https://docs.google.com/spreadsheets/d/1xoDLGBv9CYbyosIhki0kTq6IpYNj-gp"&amp;"jxfobnaDiut0/edit?usp=sharing"",""บึงกาฬ!M125"")+IMPORTRANGE(""https://docs.google.com/spreadsheets/d/1MMPq-JyI6DSgQETxuSiXkesP-P7JHuemnE6QJIa-Nlw/edit?usp=sharing"",""บุรีรัมย์!M125"")+IMPORTRANGE(""https://docs.google.com/spreadsheets/d/1l6IZ8xUPgMrESzc"&amp;"TYwhA1k_tPjeQjJPTqlm8Gd9eU5g/edit?usp=sharing"",""มหาสารคาม!M125"")+IMPORTRANGE(""https://docs.google.com/spreadsheets/d/1uB74YLqNjWX6FObjekfB2NtSYigTQyR2rq9u4Ub2Sq4/edit?usp=sharing"",""มุกดาหาร!M125"")+IMPORTRANGE(""https://docs.google.com/spreadsheets/"&amp;"d/1NexK3geCPxCTO1fzNF8dPec7yZyUx3OaWkFBC9HsQOo/edit?usp=sharing"",""ยโสธร!M125"")+IMPORTRANGE(""https://docs.google.com/spreadsheets/d/1v_cJrbBlyqmnHPReHk44g9NrMRdENNlSy_E_c5M9fIg/edit?usp=sharing"",""ร้อยเอ็ด!M125"")+IMPORTRANGE(""https://docs.google.com"&amp;"/spreadsheets/d/1Ul4RCpCX66NxYADU1QpwAPjOmBzW64SsT11s1wzXw_c/edit?usp=sharing"",""เลย!M125"")+IMPORTRANGE(""https://docs.google.com/spreadsheets/d/1bRrNKwbHDVktQG10isr5vbWRtt5spIZPpkOSWgbT5ug/edit?usp=sharing"",""ศรีสะเกษ!M125"")+IMPORTRANGE(""https://doc"&amp;"s.google.com/spreadsheets/d/17P34_Ow5kFBfdQD0qspb2UuPX5zpi6WMrQzslghyvrI/edit?usp=sharing"",""สกลนคร!M125"")+IMPORTRANGE(""https://docs.google.com/spreadsheets/d/1yswqbM3-AEpThF3ZSUa1AcmHnmRTF1vlJ1CZGcJ8YuU/edit?usp=sharing"",""สุรินทร์!M125"")+IMPORTRANG"&amp;"E(""https://docs.google.com/spreadsheets/d/13JHU_EFbsQOUQ0JSQ3dWy1VTRosIWcDq6Nc99z2qzdc/edit?usp=sharing"",""หนองคาย!M125"")+IMPORTRANGE(""https://docs.google.com/spreadsheets/d/1Hx73zIEgVdDZZaYSTc46Dqv64atFhpr3GelxLbaIN8A/edit?usp=sharing"",""หนองบัวลำภู"&amp;"!M125"")+IMPORTRANGE(""https://docs.google.com/spreadsheets/d/1lFxr3ctmjFN90yc-xV6jrQ9Ty8BKYVBWnAZ15wcNIJc/edit?usp=sharing"",""อำนาจเจริญ!M125"")+IMPORTRANGE(""https://docs.google.com/spreadsheets/d/1gF7RJpRnL-1oyjyeWxs5SFWEH7y8ahOZsQlyp2A2e-A/edit?usp=s"&amp;"haring"",""อุดรธานี!M125"")+IMPORTRANGE(""https://docs.google.com/spreadsheets/d/1kfLP0j3INXRa8bTDpcEmoWewMBV61jlFlfzczfjWIgc/edit?usp=sharing"",""อุบลราชธานี!M125"")"),0)</f>
        <v>0</v>
      </c>
      <c r="N125" s="56">
        <f ca="1">IFERROR(__xludf.DUMMYFUNCTION("IMPORTRANGE(""https://docs.google.com/spreadsheets/d/1yhBcrRPreicbMKl9Bu_Snb2-OcQAF62RKfhTLhJ2eAA/edit?usp=sharing"",""กาฬสินธุ์!N125"")+IMPORTRANGE(""https://docs.google.com/spreadsheets/d/1aHkj4IaQMThhwWwevcOymEh837vdxeC_PycurhTbGFA/edit?usp=sharing"","&amp;"""ขอนแก่น!N125"")+IMPORTRANGE(""https://docs.google.com/spreadsheets/d/1FvTu2DsIWUjP6WCWra38Bkj_oOl_sOMf14r5Fg5srxU/edit?usp=sharing"",""ชัยภูมิ!N125"")+IMPORTRANGE(""https://docs.google.com/spreadsheets/d/1XVB7oCJ3pr-vBUdflwPQ8Z2LlzhnCvZaaYjAfP-647E/edit"&amp;"?usp=sharing"",""นครพนม!N125"")+IMPORTRANGE(""https://docs.google.com/spreadsheets/d/1Mnpb-8PYAgn85W6KOTD40hc_Xc55CaLfHoGAbrZ8tls/edit?usp=sharing"",""นครราชสีมา!N125"")+IMPORTRANGE(""https://docs.google.com/spreadsheets/d/1xoDLGBv9CYbyosIhki0kTq6IpYNj-gp"&amp;"jxfobnaDiut0/edit?usp=sharing"",""บึงกาฬ!N125"")+IMPORTRANGE(""https://docs.google.com/spreadsheets/d/1MMPq-JyI6DSgQETxuSiXkesP-P7JHuemnE6QJIa-Nlw/edit?usp=sharing"",""บุรีรัมย์!N125"")+IMPORTRANGE(""https://docs.google.com/spreadsheets/d/1l6IZ8xUPgMrESzc"&amp;"TYwhA1k_tPjeQjJPTqlm8Gd9eU5g/edit?usp=sharing"",""มหาสารคาม!N125"")+IMPORTRANGE(""https://docs.google.com/spreadsheets/d/1uB74YLqNjWX6FObjekfB2NtSYigTQyR2rq9u4Ub2Sq4/edit?usp=sharing"",""มุกดาหาร!N125"")+IMPORTRANGE(""https://docs.google.com/spreadsheets/"&amp;"d/1NexK3geCPxCTO1fzNF8dPec7yZyUx3OaWkFBC9HsQOo/edit?usp=sharing"",""ยโสธร!N125"")+IMPORTRANGE(""https://docs.google.com/spreadsheets/d/1v_cJrbBlyqmnHPReHk44g9NrMRdENNlSy_E_c5M9fIg/edit?usp=sharing"",""ร้อยเอ็ด!N125"")+IMPORTRANGE(""https://docs.google.com"&amp;"/spreadsheets/d/1Ul4RCpCX66NxYADU1QpwAPjOmBzW64SsT11s1wzXw_c/edit?usp=sharing"",""เลย!N125"")+IMPORTRANGE(""https://docs.google.com/spreadsheets/d/1bRrNKwbHDVktQG10isr5vbWRtt5spIZPpkOSWgbT5ug/edit?usp=sharing"",""ศรีสะเกษ!N125"")+IMPORTRANGE(""https://doc"&amp;"s.google.com/spreadsheets/d/17P34_Ow5kFBfdQD0qspb2UuPX5zpi6WMrQzslghyvrI/edit?usp=sharing"",""สกลนคร!N125"")+IMPORTRANGE(""https://docs.google.com/spreadsheets/d/1yswqbM3-AEpThF3ZSUa1AcmHnmRTF1vlJ1CZGcJ8YuU/edit?usp=sharing"",""สุรินทร์!N125"")+IMPORTRANG"&amp;"E(""https://docs.google.com/spreadsheets/d/13JHU_EFbsQOUQ0JSQ3dWy1VTRosIWcDq6Nc99z2qzdc/edit?usp=sharing"",""หนองคาย!N125"")+IMPORTRANGE(""https://docs.google.com/spreadsheets/d/1Hx73zIEgVdDZZaYSTc46Dqv64atFhpr3GelxLbaIN8A/edit?usp=sharing"",""หนองบัวลำภู"&amp;"!N125"")+IMPORTRANGE(""https://docs.google.com/spreadsheets/d/1lFxr3ctmjFN90yc-xV6jrQ9Ty8BKYVBWnAZ15wcNIJc/edit?usp=sharing"",""อำนาจเจริญ!N125"")+IMPORTRANGE(""https://docs.google.com/spreadsheets/d/1gF7RJpRnL-1oyjyeWxs5SFWEH7y8ahOZsQlyp2A2e-A/edit?usp=s"&amp;"haring"",""อุดรธานี!N125"")+IMPORTRANGE(""https://docs.google.com/spreadsheets/d/1kfLP0j3INXRa8bTDpcEmoWewMBV61jlFlfzczfjWIgc/edit?usp=sharing"",""อุบลราชธานี!N125"")"),0)</f>
        <v>0</v>
      </c>
      <c r="O125" s="56">
        <f t="shared" ca="1" si="91"/>
        <v>0</v>
      </c>
      <c r="P125" s="56">
        <f t="shared" ca="1" si="92"/>
        <v>0</v>
      </c>
      <c r="Q125" s="56">
        <f ca="1">IFERROR(__xludf.DUMMYFUNCTION("IMPORTRANGE(""https://docs.google.com/spreadsheets/d/1yhBcrRPreicbMKl9Bu_Snb2-OcQAF62RKfhTLhJ2eAA/edit?usp=sharing"",""กาฬสินธุ์!Q125"")+IMPORTRANGE(""https://docs.google.com/spreadsheets/d/1aHkj4IaQMThhwWwevcOymEh837vdxeC_PycurhTbGFA/edit?usp=sharing"","&amp;"""ขอนแก่น!Q125"")+IMPORTRANGE(""https://docs.google.com/spreadsheets/d/1FvTu2DsIWUjP6WCWra38Bkj_oOl_sOMf14r5Fg5srxU/edit?usp=sharing"",""ชัยภูมิ!Q125"")+IMPORTRANGE(""https://docs.google.com/spreadsheets/d/1XVB7oCJ3pr-vBUdflwPQ8Z2LlzhnCvZaaYjAfP-647E/edit"&amp;"?usp=sharing"",""นครพนม!Q125"")+IMPORTRANGE(""https://docs.google.com/spreadsheets/d/1Mnpb-8PYAgn85W6KOTD40hc_Xc55CaLfHoGAbrZ8tls/edit?usp=sharing"",""นครราชสีมา!Q125"")+IMPORTRANGE(""https://docs.google.com/spreadsheets/d/1xoDLGBv9CYbyosIhki0kTq6IpYNj-gp"&amp;"jxfobnaDiut0/edit?usp=sharing"",""บึงกาฬ!Q125"")+IMPORTRANGE(""https://docs.google.com/spreadsheets/d/1MMPq-JyI6DSgQETxuSiXkesP-P7JHuemnE6QJIa-Nlw/edit?usp=sharing"",""บุรีรัมย์!Q125"")+IMPORTRANGE(""https://docs.google.com/spreadsheets/d/1l6IZ8xUPgMrESzc"&amp;"TYwhA1k_tPjeQjJPTqlm8Gd9eU5g/edit?usp=sharing"",""มหาสารคาม!Q125"")+IMPORTRANGE(""https://docs.google.com/spreadsheets/d/1uB74YLqNjWX6FObjekfB2NtSYigTQyR2rq9u4Ub2Sq4/edit?usp=sharing"",""มุกดาหาร!Q125"")+IMPORTRANGE(""https://docs.google.com/spreadsheets/"&amp;"d/1NexK3geCPxCTO1fzNF8dPec7yZyUx3OaWkFBC9HsQOo/edit?usp=sharing"",""ยโสธร!Q125"")+IMPORTRANGE(""https://docs.google.com/spreadsheets/d/1v_cJrbBlyqmnHPReHk44g9NrMRdENNlSy_E_c5M9fIg/edit?usp=sharing"",""ร้อยเอ็ด!Q125"")+IMPORTRANGE(""https://docs.google.com"&amp;"/spreadsheets/d/1Ul4RCpCX66NxYADU1QpwAPjOmBzW64SsT11s1wzXw_c/edit?usp=sharing"",""เลย!Q125"")+IMPORTRANGE(""https://docs.google.com/spreadsheets/d/1bRrNKwbHDVktQG10isr5vbWRtt5spIZPpkOSWgbT5ug/edit?usp=sharing"",""ศรีสะเกษ!Q125"")+IMPORTRANGE(""https://doc"&amp;"s.google.com/spreadsheets/d/17P34_Ow5kFBfdQD0qspb2UuPX5zpi6WMrQzslghyvrI/edit?usp=sharing"",""สกลนคร!Q125"")+IMPORTRANGE(""https://docs.google.com/spreadsheets/d/1yswqbM3-AEpThF3ZSUa1AcmHnmRTF1vlJ1CZGcJ8YuU/edit?usp=sharing"",""สุรินทร์!Q125"")+IMPORTRANG"&amp;"E(""https://docs.google.com/spreadsheets/d/13JHU_EFbsQOUQ0JSQ3dWy1VTRosIWcDq6Nc99z2qzdc/edit?usp=sharing"",""หนองคาย!Q125"")+IMPORTRANGE(""https://docs.google.com/spreadsheets/d/1Hx73zIEgVdDZZaYSTc46Dqv64atFhpr3GelxLbaIN8A/edit?usp=sharing"",""หนองบัวลำภู"&amp;"!Q125"")+IMPORTRANGE(""https://docs.google.com/spreadsheets/d/1lFxr3ctmjFN90yc-xV6jrQ9Ty8BKYVBWnAZ15wcNIJc/edit?usp=sharing"",""อำนาจเจริญ!Q125"")+IMPORTRANGE(""https://docs.google.com/spreadsheets/d/1gF7RJpRnL-1oyjyeWxs5SFWEH7y8ahOZsQlyp2A2e-A/edit?usp=s"&amp;"haring"",""อุดรธานี!Q125"")+IMPORTRANGE(""https://docs.google.com/spreadsheets/d/1kfLP0j3INXRa8bTDpcEmoWewMBV61jlFlfzczfjWIgc/edit?usp=sharing"",""อุบลราชธานี!Q125"")"),0)</f>
        <v>0</v>
      </c>
      <c r="R125" s="56">
        <f ca="1">IFERROR(__xludf.DUMMYFUNCTION("IMPORTRANGE(""https://docs.google.com/spreadsheets/d/1yhBcrRPreicbMKl9Bu_Snb2-OcQAF62RKfhTLhJ2eAA/edit?usp=sharing"",""กาฬสินธุ์!R125"")+IMPORTRANGE(""https://docs.google.com/spreadsheets/d/1aHkj4IaQMThhwWwevcOymEh837vdxeC_PycurhTbGFA/edit?usp=sharing"","&amp;"""ขอนแก่น!R125"")+IMPORTRANGE(""https://docs.google.com/spreadsheets/d/1FvTu2DsIWUjP6WCWra38Bkj_oOl_sOMf14r5Fg5srxU/edit?usp=sharing"",""ชัยภูมิ!R125"")+IMPORTRANGE(""https://docs.google.com/spreadsheets/d/1XVB7oCJ3pr-vBUdflwPQ8Z2LlzhnCvZaaYjAfP-647E/edit"&amp;"?usp=sharing"",""นครพนม!R125"")+IMPORTRANGE(""https://docs.google.com/spreadsheets/d/1Mnpb-8PYAgn85W6KOTD40hc_Xc55CaLfHoGAbrZ8tls/edit?usp=sharing"",""นครราชสีมา!R125"")+IMPORTRANGE(""https://docs.google.com/spreadsheets/d/1xoDLGBv9CYbyosIhki0kTq6IpYNj-gp"&amp;"jxfobnaDiut0/edit?usp=sharing"",""บึงกาฬ!R125"")+IMPORTRANGE(""https://docs.google.com/spreadsheets/d/1MMPq-JyI6DSgQETxuSiXkesP-P7JHuemnE6QJIa-Nlw/edit?usp=sharing"",""บุรีรัมย์!R125"")+IMPORTRANGE(""https://docs.google.com/spreadsheets/d/1l6IZ8xUPgMrESzc"&amp;"TYwhA1k_tPjeQjJPTqlm8Gd9eU5g/edit?usp=sharing"",""มหาสารคาม!R125"")+IMPORTRANGE(""https://docs.google.com/spreadsheets/d/1uB74YLqNjWX6FObjekfB2NtSYigTQyR2rq9u4Ub2Sq4/edit?usp=sharing"",""มุกดาหาร!R125"")+IMPORTRANGE(""https://docs.google.com/spreadsheets/"&amp;"d/1NexK3geCPxCTO1fzNF8dPec7yZyUx3OaWkFBC9HsQOo/edit?usp=sharing"",""ยโสธร!R125"")+IMPORTRANGE(""https://docs.google.com/spreadsheets/d/1v_cJrbBlyqmnHPReHk44g9NrMRdENNlSy_E_c5M9fIg/edit?usp=sharing"",""ร้อยเอ็ด!R125"")+IMPORTRANGE(""https://docs.google.com"&amp;"/spreadsheets/d/1Ul4RCpCX66NxYADU1QpwAPjOmBzW64SsT11s1wzXw_c/edit?usp=sharing"",""เลย!R125"")+IMPORTRANGE(""https://docs.google.com/spreadsheets/d/1bRrNKwbHDVktQG10isr5vbWRtt5spIZPpkOSWgbT5ug/edit?usp=sharing"",""ศรีสะเกษ!R125"")+IMPORTRANGE(""https://doc"&amp;"s.google.com/spreadsheets/d/17P34_Ow5kFBfdQD0qspb2UuPX5zpi6WMrQzslghyvrI/edit?usp=sharing"",""สกลนคร!R125"")+IMPORTRANGE(""https://docs.google.com/spreadsheets/d/1yswqbM3-AEpThF3ZSUa1AcmHnmRTF1vlJ1CZGcJ8YuU/edit?usp=sharing"",""สุรินทร์!R125"")+IMPORTRANG"&amp;"E(""https://docs.google.com/spreadsheets/d/13JHU_EFbsQOUQ0JSQ3dWy1VTRosIWcDq6Nc99z2qzdc/edit?usp=sharing"",""หนองคาย!R125"")+IMPORTRANGE(""https://docs.google.com/spreadsheets/d/1Hx73zIEgVdDZZaYSTc46Dqv64atFhpr3GelxLbaIN8A/edit?usp=sharing"",""หนองบัวลำภู"&amp;"!R125"")+IMPORTRANGE(""https://docs.google.com/spreadsheets/d/1lFxr3ctmjFN90yc-xV6jrQ9Ty8BKYVBWnAZ15wcNIJc/edit?usp=sharing"",""อำนาจเจริญ!R125"")+IMPORTRANGE(""https://docs.google.com/spreadsheets/d/1gF7RJpRnL-1oyjyeWxs5SFWEH7y8ahOZsQlyp2A2e-A/edit?usp=s"&amp;"haring"",""อุดรธานี!R125"")+IMPORTRANGE(""https://docs.google.com/spreadsheets/d/1kfLP0j3INXRa8bTDpcEmoWewMBV61jlFlfzczfjWIgc/edit?usp=sharing"",""อุบลราชธานี!R125"")"),0)</f>
        <v>0</v>
      </c>
      <c r="S125" s="57">
        <f ca="1">IFERROR(__xludf.DUMMYFUNCTION("IMPORTRANGE(""https://docs.google.com/spreadsheets/d/1yhBcrRPreicbMKl9Bu_Snb2-OcQAF62RKfhTLhJ2eAA/edit?usp=sharing"",""กาฬสินธุ์!S125"")+IMPORTRANGE(""https://docs.google.com/spreadsheets/d/1aHkj4IaQMThhwWwevcOymEh837vdxeC_PycurhTbGFA/edit?usp=sharing"","&amp;"""ขอนแก่น!S125"")+IMPORTRANGE(""https://docs.google.com/spreadsheets/d/1FvTu2DsIWUjP6WCWra38Bkj_oOl_sOMf14r5Fg5srxU/edit?usp=sharing"",""ชัยภูมิ!S125"")+IMPORTRANGE(""https://docs.google.com/spreadsheets/d/1XVB7oCJ3pr-vBUdflwPQ8Z2LlzhnCvZaaYjAfP-647E/edit"&amp;"?usp=sharing"",""นครพนม!S125"")+IMPORTRANGE(""https://docs.google.com/spreadsheets/d/1Mnpb-8PYAgn85W6KOTD40hc_Xc55CaLfHoGAbrZ8tls/edit?usp=sharing"",""นครราชสีมา!S125"")+IMPORTRANGE(""https://docs.google.com/spreadsheets/d/1xoDLGBv9CYbyosIhki0kTq6IpYNj-gp"&amp;"jxfobnaDiut0/edit?usp=sharing"",""บึงกาฬ!S125"")+IMPORTRANGE(""https://docs.google.com/spreadsheets/d/1MMPq-JyI6DSgQETxuSiXkesP-P7JHuemnE6QJIa-Nlw/edit?usp=sharing"",""บุรีรัมย์!S125"")+IMPORTRANGE(""https://docs.google.com/spreadsheets/d/1l6IZ8xUPgMrESzc"&amp;"TYwhA1k_tPjeQjJPTqlm8Gd9eU5g/edit?usp=sharing"",""มหาสารคาม!S125"")+IMPORTRANGE(""https://docs.google.com/spreadsheets/d/1uB74YLqNjWX6FObjekfB2NtSYigTQyR2rq9u4Ub2Sq4/edit?usp=sharing"",""มุกดาหาร!S125"")+IMPORTRANGE(""https://docs.google.com/spreadsheets/"&amp;"d/1NexK3geCPxCTO1fzNF8dPec7yZyUx3OaWkFBC9HsQOo/edit?usp=sharing"",""ยโสธร!S125"")+IMPORTRANGE(""https://docs.google.com/spreadsheets/d/1v_cJrbBlyqmnHPReHk44g9NrMRdENNlSy_E_c5M9fIg/edit?usp=sharing"",""ร้อยเอ็ด!S125"")+IMPORTRANGE(""https://docs.google.com"&amp;"/spreadsheets/d/1Ul4RCpCX66NxYADU1QpwAPjOmBzW64SsT11s1wzXw_c/edit?usp=sharing"",""เลย!S125"")+IMPORTRANGE(""https://docs.google.com/spreadsheets/d/1bRrNKwbHDVktQG10isr5vbWRtt5spIZPpkOSWgbT5ug/edit?usp=sharing"",""ศรีสะเกษ!S125"")+IMPORTRANGE(""https://doc"&amp;"s.google.com/spreadsheets/d/17P34_Ow5kFBfdQD0qspb2UuPX5zpi6WMrQzslghyvrI/edit?usp=sharing"",""สกลนคร!S125"")+IMPORTRANGE(""https://docs.google.com/spreadsheets/d/1yswqbM3-AEpThF3ZSUa1AcmHnmRTF1vlJ1CZGcJ8YuU/edit?usp=sharing"",""สุรินทร์!S125"")+IMPORTRANG"&amp;"E(""https://docs.google.com/spreadsheets/d/13JHU_EFbsQOUQ0JSQ3dWy1VTRosIWcDq6Nc99z2qzdc/edit?usp=sharing"",""หนองคาย!S125"")+IMPORTRANGE(""https://docs.google.com/spreadsheets/d/1Hx73zIEgVdDZZaYSTc46Dqv64atFhpr3GelxLbaIN8A/edit?usp=sharing"",""หนองบัวลำภู"&amp;"!S125"")+IMPORTRANGE(""https://docs.google.com/spreadsheets/d/1lFxr3ctmjFN90yc-xV6jrQ9Ty8BKYVBWnAZ15wcNIJc/edit?usp=sharing"",""อำนาจเจริญ!S125"")+IMPORTRANGE(""https://docs.google.com/spreadsheets/d/1gF7RJpRnL-1oyjyeWxs5SFWEH7y8ahOZsQlyp2A2e-A/edit?usp=s"&amp;"haring"",""อุดรธานี!S125"")+IMPORTRANGE(""https://docs.google.com/spreadsheets/d/1kfLP0j3INXRa8bTDpcEmoWewMBV61jlFlfzczfjWIgc/edit?usp=sharing"",""อุบลราชธานี!S125"")"),0)</f>
        <v>0</v>
      </c>
      <c r="T125" s="56">
        <f t="shared" ca="1" si="94"/>
        <v>0</v>
      </c>
      <c r="U125" s="56">
        <f t="shared" ca="1" si="95"/>
        <v>0</v>
      </c>
    </row>
    <row r="126" spans="1:21" ht="19.5">
      <c r="A126" s="166"/>
      <c r="B126" s="167"/>
      <c r="C126" s="205" t="s">
        <v>18</v>
      </c>
      <c r="D126" s="168" t="s">
        <v>38</v>
      </c>
      <c r="E126" s="169"/>
      <c r="F126" s="169"/>
      <c r="G126" s="170"/>
      <c r="H126" s="206"/>
      <c r="I126" s="54"/>
      <c r="J126" s="54"/>
      <c r="K126" s="55"/>
      <c r="L126" s="55"/>
      <c r="M126" s="55"/>
      <c r="N126" s="55"/>
      <c r="O126" s="55"/>
      <c r="P126" s="55"/>
      <c r="Q126" s="55"/>
      <c r="R126" s="55"/>
      <c r="S126" s="62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181">
        <f ca="1">IFERROR(__xludf.DUMMYFUNCTION("IMPORTRANGE(""https://docs.google.com/spreadsheets/d/1yhBcrRPreicbMKl9Bu_Snb2-OcQAF62RKfhTLhJ2eAA/edit?usp=sharing"",""กาฬสินธุ์!I127"")+IMPORTRANGE(""https://docs.google.com/spreadsheets/d/1aHkj4IaQMThhwWwevcOymEh837vdxeC_PycurhTbGFA/edit?usp=sharing"","&amp;"""ขอนแก่น!I127"")+IMPORTRANGE(""https://docs.google.com/spreadsheets/d/1FvTu2DsIWUjP6WCWra38Bkj_oOl_sOMf14r5Fg5srxU/edit?usp=sharing"",""ชัยภูมิ!I127"")+IMPORTRANGE(""https://docs.google.com/spreadsheets/d/1XVB7oCJ3pr-vBUdflwPQ8Z2LlzhnCvZaaYjAfP-647E/edit"&amp;"?usp=sharing"",""นครพนม!I127"")+IMPORTRANGE(""https://docs.google.com/spreadsheets/d/1Mnpb-8PYAgn85W6KOTD40hc_Xc55CaLfHoGAbrZ8tls/edit?usp=sharing"",""นครราชสีมา!I127"")+IMPORTRANGE(""https://docs.google.com/spreadsheets/d/1xoDLGBv9CYbyosIhki0kTq6IpYNj-gp"&amp;"jxfobnaDiut0/edit?usp=sharing"",""บึงกาฬ!I127"")+IMPORTRANGE(""https://docs.google.com/spreadsheets/d/1MMPq-JyI6DSgQETxuSiXkesP-P7JHuemnE6QJIa-Nlw/edit?usp=sharing"",""บุรีรัมย์!I127"")+IMPORTRANGE(""https://docs.google.com/spreadsheets/d/1l6IZ8xUPgMrESzc"&amp;"TYwhA1k_tPjeQjJPTqlm8Gd9eU5g/edit?usp=sharing"",""มหาสารคาม!I127"")+IMPORTRANGE(""https://docs.google.com/spreadsheets/d/1uB74YLqNjWX6FObjekfB2NtSYigTQyR2rq9u4Ub2Sq4/edit?usp=sharing"",""มุกดาหาร!I127"")+IMPORTRANGE(""https://docs.google.com/spreadsheets/"&amp;"d/1NexK3geCPxCTO1fzNF8dPec7yZyUx3OaWkFBC9HsQOo/edit?usp=sharing"",""ยโสธร!I127"")+IMPORTRANGE(""https://docs.google.com/spreadsheets/d/1v_cJrbBlyqmnHPReHk44g9NrMRdENNlSy_E_c5M9fIg/edit?usp=sharing"",""ร้อยเอ็ด!I127"")+IMPORTRANGE(""https://docs.google.com"&amp;"/spreadsheets/d/1Ul4RCpCX66NxYADU1QpwAPjOmBzW64SsT11s1wzXw_c/edit?usp=sharing"",""เลย!I127"")+IMPORTRANGE(""https://docs.google.com/spreadsheets/d/1bRrNKwbHDVktQG10isr5vbWRtt5spIZPpkOSWgbT5ug/edit?usp=sharing"",""ศรีสะเกษ!I127"")+IMPORTRANGE(""https://doc"&amp;"s.google.com/spreadsheets/d/17P34_Ow5kFBfdQD0qspb2UuPX5zpi6WMrQzslghyvrI/edit?usp=sharing"",""สกลนคร!I127"")+IMPORTRANGE(""https://docs.google.com/spreadsheets/d/1yswqbM3-AEpThF3ZSUa1AcmHnmRTF1vlJ1CZGcJ8YuU/edit?usp=sharing"",""สุรินทร์!I127"")+IMPORTRANG"&amp;"E(""https://docs.google.com/spreadsheets/d/13JHU_EFbsQOUQ0JSQ3dWy1VTRosIWcDq6Nc99z2qzdc/edit?usp=sharing"",""หนองคาย!I127"")+IMPORTRANGE(""https://docs.google.com/spreadsheets/d/1Hx73zIEgVdDZZaYSTc46Dqv64atFhpr3GelxLbaIN8A/edit?usp=sharing"",""หนองบัวลำภู"&amp;"!I127"")+IMPORTRANGE(""https://docs.google.com/spreadsheets/d/1lFxr3ctmjFN90yc-xV6jrQ9Ty8BKYVBWnAZ15wcNIJc/edit?usp=sharing"",""อำนาจเจริญ!I127"")+IMPORTRANGE(""https://docs.google.com/spreadsheets/d/1gF7RJpRnL-1oyjyeWxs5SFWEH7y8ahOZsQlyp2A2e-A/edit?usp=s"&amp;"haring"",""อุดรธานี!I127"")+IMPORTRANGE(""https://docs.google.com/spreadsheets/d/1kfLP0j3INXRa8bTDpcEmoWewMBV61jlFlfzczfjWIgc/edit?usp=sharing"",""อุบลราชธานี!I127"")"),589)</f>
        <v>589</v>
      </c>
      <c r="J127" s="195">
        <f ca="1">IFERROR(__xludf.DUMMYFUNCTION("IMPORTRANGE(""https://docs.google.com/spreadsheets/d/1yhBcrRPreicbMKl9Bu_Snb2-OcQAF62RKfhTLhJ2eAA/edit?usp=sharing"",""กาฬสินธุ์!J127"")+IMPORTRANGE(""https://docs.google.com/spreadsheets/d/1aHkj4IaQMThhwWwevcOymEh837vdxeC_PycurhTbGFA/edit?usp=sharing"","&amp;"""ขอนแก่น!J127"")+IMPORTRANGE(""https://docs.google.com/spreadsheets/d/1FvTu2DsIWUjP6WCWra38Bkj_oOl_sOMf14r5Fg5srxU/edit?usp=sharing"",""ชัยภูมิ!J127"")+IMPORTRANGE(""https://docs.google.com/spreadsheets/d/1XVB7oCJ3pr-vBUdflwPQ8Z2LlzhnCvZaaYjAfP-647E/edit"&amp;"?usp=sharing"",""นครพนม!J127"")+IMPORTRANGE(""https://docs.google.com/spreadsheets/d/1Mnpb-8PYAgn85W6KOTD40hc_Xc55CaLfHoGAbrZ8tls/edit?usp=sharing"",""นครราชสีมา!J127"")+IMPORTRANGE(""https://docs.google.com/spreadsheets/d/1xoDLGBv9CYbyosIhki0kTq6IpYNj-gp"&amp;"jxfobnaDiut0/edit?usp=sharing"",""บึงกาฬ!J127"")+IMPORTRANGE(""https://docs.google.com/spreadsheets/d/1MMPq-JyI6DSgQETxuSiXkesP-P7JHuemnE6QJIa-Nlw/edit?usp=sharing"",""บุรีรัมย์!J127"")+IMPORTRANGE(""https://docs.google.com/spreadsheets/d/1l6IZ8xUPgMrESzc"&amp;"TYwhA1k_tPjeQjJPTqlm8Gd9eU5g/edit?usp=sharing"",""มหาสารคาม!J127"")+IMPORTRANGE(""https://docs.google.com/spreadsheets/d/1uB74YLqNjWX6FObjekfB2NtSYigTQyR2rq9u4Ub2Sq4/edit?usp=sharing"",""มุกดาหาร!J127"")+IMPORTRANGE(""https://docs.google.com/spreadsheets/"&amp;"d/1NexK3geCPxCTO1fzNF8dPec7yZyUx3OaWkFBC9HsQOo/edit?usp=sharing"",""ยโสธร!J127"")+IMPORTRANGE(""https://docs.google.com/spreadsheets/d/1v_cJrbBlyqmnHPReHk44g9NrMRdENNlSy_E_c5M9fIg/edit?usp=sharing"",""ร้อยเอ็ด!J127"")+IMPORTRANGE(""https://docs.google.com"&amp;"/spreadsheets/d/1Ul4RCpCX66NxYADU1QpwAPjOmBzW64SsT11s1wzXw_c/edit?usp=sharing"",""เลย!J127"")+IMPORTRANGE(""https://docs.google.com/spreadsheets/d/1bRrNKwbHDVktQG10isr5vbWRtt5spIZPpkOSWgbT5ug/edit?usp=sharing"",""ศรีสะเกษ!J127"")+IMPORTRANGE(""https://doc"&amp;"s.google.com/spreadsheets/d/17P34_Ow5kFBfdQD0qspb2UuPX5zpi6WMrQzslghyvrI/edit?usp=sharing"",""สกลนคร!J127"")+IMPORTRANGE(""https://docs.google.com/spreadsheets/d/1yswqbM3-AEpThF3ZSUa1AcmHnmRTF1vlJ1CZGcJ8YuU/edit?usp=sharing"",""สุรินทร์!J127"")+IMPORTRANG"&amp;"E(""https://docs.google.com/spreadsheets/d/13JHU_EFbsQOUQ0JSQ3dWy1VTRosIWcDq6Nc99z2qzdc/edit?usp=sharing"",""หนองคาย!J127"")+IMPORTRANGE(""https://docs.google.com/spreadsheets/d/1Hx73zIEgVdDZZaYSTc46Dqv64atFhpr3GelxLbaIN8A/edit?usp=sharing"",""หนองบัวลำภู"&amp;"!J127"")+IMPORTRANGE(""https://docs.google.com/spreadsheets/d/1lFxr3ctmjFN90yc-xV6jrQ9Ty8BKYVBWnAZ15wcNIJc/edit?usp=sharing"",""อำนาจเจริญ!J127"")+IMPORTRANGE(""https://docs.google.com/spreadsheets/d/1gF7RJpRnL-1oyjyeWxs5SFWEH7y8ahOZsQlyp2A2e-A/edit?usp=s"&amp;"haring"",""อุดรธานี!J127"")+IMPORTRANGE(""https://docs.google.com/spreadsheets/d/1kfLP0j3INXRa8bTDpcEmoWewMBV61jlFlfzczfjWIgc/edit?usp=sharing"",""อุบลราชธานี!J127"")"),374)</f>
        <v>374</v>
      </c>
      <c r="K127" s="56">
        <f t="shared" ref="K127:K130" ca="1" si="104">IF(I127&gt;0,J127*100/I127,0)</f>
        <v>63.497453310696095</v>
      </c>
      <c r="L127" s="55"/>
      <c r="M127" s="55"/>
      <c r="N127" s="55"/>
      <c r="O127" s="55"/>
      <c r="P127" s="55"/>
      <c r="Q127" s="55"/>
      <c r="R127" s="55"/>
      <c r="S127" s="62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181">
        <f ca="1">IFERROR(__xludf.DUMMYFUNCTION("IMPORTRANGE(""https://docs.google.com/spreadsheets/d/1yhBcrRPreicbMKl9Bu_Snb2-OcQAF62RKfhTLhJ2eAA/edit?usp=sharing"",""กาฬสินธุ์!I128"")+IMPORTRANGE(""https://docs.google.com/spreadsheets/d/1aHkj4IaQMThhwWwevcOymEh837vdxeC_PycurhTbGFA/edit?usp=sharing"","&amp;"""ขอนแก่น!I128"")+IMPORTRANGE(""https://docs.google.com/spreadsheets/d/1FvTu2DsIWUjP6WCWra38Bkj_oOl_sOMf14r5Fg5srxU/edit?usp=sharing"",""ชัยภูมิ!I128"")+IMPORTRANGE(""https://docs.google.com/spreadsheets/d/1XVB7oCJ3pr-vBUdflwPQ8Z2LlzhnCvZaaYjAfP-647E/edit"&amp;"?usp=sharing"",""นครพนม!I128"")+IMPORTRANGE(""https://docs.google.com/spreadsheets/d/1Mnpb-8PYAgn85W6KOTD40hc_Xc55CaLfHoGAbrZ8tls/edit?usp=sharing"",""นครราชสีมา!I128"")+IMPORTRANGE(""https://docs.google.com/spreadsheets/d/1xoDLGBv9CYbyosIhki0kTq6IpYNj-gp"&amp;"jxfobnaDiut0/edit?usp=sharing"",""บึงกาฬ!I128"")+IMPORTRANGE(""https://docs.google.com/spreadsheets/d/1MMPq-JyI6DSgQETxuSiXkesP-P7JHuemnE6QJIa-Nlw/edit?usp=sharing"",""บุรีรัมย์!I128"")+IMPORTRANGE(""https://docs.google.com/spreadsheets/d/1l6IZ8xUPgMrESzc"&amp;"TYwhA1k_tPjeQjJPTqlm8Gd9eU5g/edit?usp=sharing"",""มหาสารคาม!I128"")+IMPORTRANGE(""https://docs.google.com/spreadsheets/d/1uB74YLqNjWX6FObjekfB2NtSYigTQyR2rq9u4Ub2Sq4/edit?usp=sharing"",""มุกดาหาร!I128"")+IMPORTRANGE(""https://docs.google.com/spreadsheets/"&amp;"d/1NexK3geCPxCTO1fzNF8dPec7yZyUx3OaWkFBC9HsQOo/edit?usp=sharing"",""ยโสธร!I128"")+IMPORTRANGE(""https://docs.google.com/spreadsheets/d/1v_cJrbBlyqmnHPReHk44g9NrMRdENNlSy_E_c5M9fIg/edit?usp=sharing"",""ร้อยเอ็ด!I128"")+IMPORTRANGE(""https://docs.google.com"&amp;"/spreadsheets/d/1Ul4RCpCX66NxYADU1QpwAPjOmBzW64SsT11s1wzXw_c/edit?usp=sharing"",""เลย!I128"")+IMPORTRANGE(""https://docs.google.com/spreadsheets/d/1bRrNKwbHDVktQG10isr5vbWRtt5spIZPpkOSWgbT5ug/edit?usp=sharing"",""ศรีสะเกษ!I128"")+IMPORTRANGE(""https://doc"&amp;"s.google.com/spreadsheets/d/17P34_Ow5kFBfdQD0qspb2UuPX5zpi6WMrQzslghyvrI/edit?usp=sharing"",""สกลนคร!I128"")+IMPORTRANGE(""https://docs.google.com/spreadsheets/d/1yswqbM3-AEpThF3ZSUa1AcmHnmRTF1vlJ1CZGcJ8YuU/edit?usp=sharing"",""สุรินทร์!I128"")+IMPORTRANG"&amp;"E(""https://docs.google.com/spreadsheets/d/13JHU_EFbsQOUQ0JSQ3dWy1VTRosIWcDq6Nc99z2qzdc/edit?usp=sharing"",""หนองคาย!I128"")+IMPORTRANGE(""https://docs.google.com/spreadsheets/d/1Hx73zIEgVdDZZaYSTc46Dqv64atFhpr3GelxLbaIN8A/edit?usp=sharing"",""หนองบัวลำภู"&amp;"!I128"")+IMPORTRANGE(""https://docs.google.com/spreadsheets/d/1lFxr3ctmjFN90yc-xV6jrQ9Ty8BKYVBWnAZ15wcNIJc/edit?usp=sharing"",""อำนาจเจริญ!I128"")+IMPORTRANGE(""https://docs.google.com/spreadsheets/d/1gF7RJpRnL-1oyjyeWxs5SFWEH7y8ahOZsQlyp2A2e-A/edit?usp=s"&amp;"haring"",""อุดรธานี!I128"")+IMPORTRANGE(""https://docs.google.com/spreadsheets/d/1kfLP0j3INXRa8bTDpcEmoWewMBV61jlFlfzczfjWIgc/edit?usp=sharing"",""อุบลราชธานี!I128"")"),0)</f>
        <v>0</v>
      </c>
      <c r="J128" s="195">
        <f ca="1">IFERROR(__xludf.DUMMYFUNCTION("IMPORTRANGE(""https://docs.google.com/spreadsheets/d/1yhBcrRPreicbMKl9Bu_Snb2-OcQAF62RKfhTLhJ2eAA/edit?usp=sharing"",""กาฬสินธุ์!J128"")+IMPORTRANGE(""https://docs.google.com/spreadsheets/d/1aHkj4IaQMThhwWwevcOymEh837vdxeC_PycurhTbGFA/edit?usp=sharing"","&amp;"""ขอนแก่น!J128"")+IMPORTRANGE(""https://docs.google.com/spreadsheets/d/1FvTu2DsIWUjP6WCWra38Bkj_oOl_sOMf14r5Fg5srxU/edit?usp=sharing"",""ชัยภูมิ!J128"")+IMPORTRANGE(""https://docs.google.com/spreadsheets/d/1XVB7oCJ3pr-vBUdflwPQ8Z2LlzhnCvZaaYjAfP-647E/edit"&amp;"?usp=sharing"",""นครพนม!J128"")+IMPORTRANGE(""https://docs.google.com/spreadsheets/d/1Mnpb-8PYAgn85W6KOTD40hc_Xc55CaLfHoGAbrZ8tls/edit?usp=sharing"",""นครราชสีมา!J128"")+IMPORTRANGE(""https://docs.google.com/spreadsheets/d/1xoDLGBv9CYbyosIhki0kTq6IpYNj-gp"&amp;"jxfobnaDiut0/edit?usp=sharing"",""บึงกาฬ!J128"")+IMPORTRANGE(""https://docs.google.com/spreadsheets/d/1MMPq-JyI6DSgQETxuSiXkesP-P7JHuemnE6QJIa-Nlw/edit?usp=sharing"",""บุรีรัมย์!J128"")+IMPORTRANGE(""https://docs.google.com/spreadsheets/d/1l6IZ8xUPgMrESzc"&amp;"TYwhA1k_tPjeQjJPTqlm8Gd9eU5g/edit?usp=sharing"",""มหาสารคาม!J128"")+IMPORTRANGE(""https://docs.google.com/spreadsheets/d/1uB74YLqNjWX6FObjekfB2NtSYigTQyR2rq9u4Ub2Sq4/edit?usp=sharing"",""มุกดาหาร!J128"")+IMPORTRANGE(""https://docs.google.com/spreadsheets/"&amp;"d/1NexK3geCPxCTO1fzNF8dPec7yZyUx3OaWkFBC9HsQOo/edit?usp=sharing"",""ยโสธร!J128"")+IMPORTRANGE(""https://docs.google.com/spreadsheets/d/1v_cJrbBlyqmnHPReHk44g9NrMRdENNlSy_E_c5M9fIg/edit?usp=sharing"",""ร้อยเอ็ด!J128"")+IMPORTRANGE(""https://docs.google.com"&amp;"/spreadsheets/d/1Ul4RCpCX66NxYADU1QpwAPjOmBzW64SsT11s1wzXw_c/edit?usp=sharing"",""เลย!J128"")+IMPORTRANGE(""https://docs.google.com/spreadsheets/d/1bRrNKwbHDVktQG10isr5vbWRtt5spIZPpkOSWgbT5ug/edit?usp=sharing"",""ศรีสะเกษ!J128"")+IMPORTRANGE(""https://doc"&amp;"s.google.com/spreadsheets/d/17P34_Ow5kFBfdQD0qspb2UuPX5zpi6WMrQzslghyvrI/edit?usp=sharing"",""สกลนคร!J128"")+IMPORTRANGE(""https://docs.google.com/spreadsheets/d/1yswqbM3-AEpThF3ZSUa1AcmHnmRTF1vlJ1CZGcJ8YuU/edit?usp=sharing"",""สุรินทร์!J128"")+IMPORTRANG"&amp;"E(""https://docs.google.com/spreadsheets/d/13JHU_EFbsQOUQ0JSQ3dWy1VTRosIWcDq6Nc99z2qzdc/edit?usp=sharing"",""หนองคาย!J128"")+IMPORTRANGE(""https://docs.google.com/spreadsheets/d/1Hx73zIEgVdDZZaYSTc46Dqv64atFhpr3GelxLbaIN8A/edit?usp=sharing"",""หนองบัวลำภู"&amp;"!J128"")+IMPORTRANGE(""https://docs.google.com/spreadsheets/d/1lFxr3ctmjFN90yc-xV6jrQ9Ty8BKYVBWnAZ15wcNIJc/edit?usp=sharing"",""อำนาจเจริญ!J128"")+IMPORTRANGE(""https://docs.google.com/spreadsheets/d/1gF7RJpRnL-1oyjyeWxs5SFWEH7y8ahOZsQlyp2A2e-A/edit?usp=s"&amp;"haring"",""อุดรธานี!J128"")+IMPORTRANGE(""https://docs.google.com/spreadsheets/d/1kfLP0j3INXRa8bTDpcEmoWewMBV61jlFlfzczfjWIgc/edit?usp=sharing"",""อุบลราชธานี!J128"")"),1)</f>
        <v>1</v>
      </c>
      <c r="K128" s="56">
        <f t="shared" ca="1" si="104"/>
        <v>0</v>
      </c>
      <c r="L128" s="55"/>
      <c r="M128" s="55"/>
      <c r="N128" s="55"/>
      <c r="O128" s="55"/>
      <c r="P128" s="55"/>
      <c r="Q128" s="55"/>
      <c r="R128" s="55"/>
      <c r="S128" s="62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181">
        <f ca="1">IFERROR(__xludf.DUMMYFUNCTION("IMPORTRANGE(""https://docs.google.com/spreadsheets/d/1yhBcrRPreicbMKl9Bu_Snb2-OcQAF62RKfhTLhJ2eAA/edit?usp=sharing"",""กาฬสินธุ์!I129"")+IMPORTRANGE(""https://docs.google.com/spreadsheets/d/1aHkj4IaQMThhwWwevcOymEh837vdxeC_PycurhTbGFA/edit?usp=sharing"","&amp;"""ขอนแก่น!I129"")+IMPORTRANGE(""https://docs.google.com/spreadsheets/d/1FvTu2DsIWUjP6WCWra38Bkj_oOl_sOMf14r5Fg5srxU/edit?usp=sharing"",""ชัยภูมิ!I129"")+IMPORTRANGE(""https://docs.google.com/spreadsheets/d/1XVB7oCJ3pr-vBUdflwPQ8Z2LlzhnCvZaaYjAfP-647E/edit"&amp;"?usp=sharing"",""นครพนม!I129"")+IMPORTRANGE(""https://docs.google.com/spreadsheets/d/1Mnpb-8PYAgn85W6KOTD40hc_Xc55CaLfHoGAbrZ8tls/edit?usp=sharing"",""นครราชสีมา!I129"")+IMPORTRANGE(""https://docs.google.com/spreadsheets/d/1xoDLGBv9CYbyosIhki0kTq6IpYNj-gp"&amp;"jxfobnaDiut0/edit?usp=sharing"",""บึงกาฬ!I129"")+IMPORTRANGE(""https://docs.google.com/spreadsheets/d/1MMPq-JyI6DSgQETxuSiXkesP-P7JHuemnE6QJIa-Nlw/edit?usp=sharing"",""บุรีรัมย์!I129"")+IMPORTRANGE(""https://docs.google.com/spreadsheets/d/1l6IZ8xUPgMrESzc"&amp;"TYwhA1k_tPjeQjJPTqlm8Gd9eU5g/edit?usp=sharing"",""มหาสารคาม!I129"")+IMPORTRANGE(""https://docs.google.com/spreadsheets/d/1uB74YLqNjWX6FObjekfB2NtSYigTQyR2rq9u4Ub2Sq4/edit?usp=sharing"",""มุกดาหาร!I129"")+IMPORTRANGE(""https://docs.google.com/spreadsheets/"&amp;"d/1NexK3geCPxCTO1fzNF8dPec7yZyUx3OaWkFBC9HsQOo/edit?usp=sharing"",""ยโสธร!I129"")+IMPORTRANGE(""https://docs.google.com/spreadsheets/d/1v_cJrbBlyqmnHPReHk44g9NrMRdENNlSy_E_c5M9fIg/edit?usp=sharing"",""ร้อยเอ็ด!I129"")+IMPORTRANGE(""https://docs.google.com"&amp;"/spreadsheets/d/1Ul4RCpCX66NxYADU1QpwAPjOmBzW64SsT11s1wzXw_c/edit?usp=sharing"",""เลย!I129"")+IMPORTRANGE(""https://docs.google.com/spreadsheets/d/1bRrNKwbHDVktQG10isr5vbWRtt5spIZPpkOSWgbT5ug/edit?usp=sharing"",""ศรีสะเกษ!I129"")+IMPORTRANGE(""https://doc"&amp;"s.google.com/spreadsheets/d/17P34_Ow5kFBfdQD0qspb2UuPX5zpi6WMrQzslghyvrI/edit?usp=sharing"",""สกลนคร!I129"")+IMPORTRANGE(""https://docs.google.com/spreadsheets/d/1yswqbM3-AEpThF3ZSUa1AcmHnmRTF1vlJ1CZGcJ8YuU/edit?usp=sharing"",""สุรินทร์!I129"")+IMPORTRANG"&amp;"E(""https://docs.google.com/spreadsheets/d/13JHU_EFbsQOUQ0JSQ3dWy1VTRosIWcDq6Nc99z2qzdc/edit?usp=sharing"",""หนองคาย!I129"")+IMPORTRANGE(""https://docs.google.com/spreadsheets/d/1Hx73zIEgVdDZZaYSTc46Dqv64atFhpr3GelxLbaIN8A/edit?usp=sharing"",""หนองบัวลำภู"&amp;"!I129"")+IMPORTRANGE(""https://docs.google.com/spreadsheets/d/1lFxr3ctmjFN90yc-xV6jrQ9Ty8BKYVBWnAZ15wcNIJc/edit?usp=sharing"",""อำนาจเจริญ!I129"")+IMPORTRANGE(""https://docs.google.com/spreadsheets/d/1gF7RJpRnL-1oyjyeWxs5SFWEH7y8ahOZsQlyp2A2e-A/edit?usp=s"&amp;"haring"",""อุดรธานี!I129"")+IMPORTRANGE(""https://docs.google.com/spreadsheets/d/1kfLP0j3INXRa8bTDpcEmoWewMBV61jlFlfzczfjWIgc/edit?usp=sharing"",""อุบลราชธานี!I129"")"),454)</f>
        <v>454</v>
      </c>
      <c r="J129" s="195">
        <f ca="1">IFERROR(__xludf.DUMMYFUNCTION("IMPORTRANGE(""https://docs.google.com/spreadsheets/d/1yhBcrRPreicbMKl9Bu_Snb2-OcQAF62RKfhTLhJ2eAA/edit?usp=sharing"",""กาฬสินธุ์!J129"")+IMPORTRANGE(""https://docs.google.com/spreadsheets/d/1aHkj4IaQMThhwWwevcOymEh837vdxeC_PycurhTbGFA/edit?usp=sharing"","&amp;"""ขอนแก่น!J129"")+IMPORTRANGE(""https://docs.google.com/spreadsheets/d/1FvTu2DsIWUjP6WCWra38Bkj_oOl_sOMf14r5Fg5srxU/edit?usp=sharing"",""ชัยภูมิ!J129"")+IMPORTRANGE(""https://docs.google.com/spreadsheets/d/1XVB7oCJ3pr-vBUdflwPQ8Z2LlzhnCvZaaYjAfP-647E/edit"&amp;"?usp=sharing"",""นครพนม!J129"")+IMPORTRANGE(""https://docs.google.com/spreadsheets/d/1Mnpb-8PYAgn85W6KOTD40hc_Xc55CaLfHoGAbrZ8tls/edit?usp=sharing"",""นครราชสีมา!J129"")+IMPORTRANGE(""https://docs.google.com/spreadsheets/d/1xoDLGBv9CYbyosIhki0kTq6IpYNj-gp"&amp;"jxfobnaDiut0/edit?usp=sharing"",""บึงกาฬ!J129"")+IMPORTRANGE(""https://docs.google.com/spreadsheets/d/1MMPq-JyI6DSgQETxuSiXkesP-P7JHuemnE6QJIa-Nlw/edit?usp=sharing"",""บุรีรัมย์!J129"")+IMPORTRANGE(""https://docs.google.com/spreadsheets/d/1l6IZ8xUPgMrESzc"&amp;"TYwhA1k_tPjeQjJPTqlm8Gd9eU5g/edit?usp=sharing"",""มหาสารคาม!J129"")+IMPORTRANGE(""https://docs.google.com/spreadsheets/d/1uB74YLqNjWX6FObjekfB2NtSYigTQyR2rq9u4Ub2Sq4/edit?usp=sharing"",""มุกดาหาร!J129"")+IMPORTRANGE(""https://docs.google.com/spreadsheets/"&amp;"d/1NexK3geCPxCTO1fzNF8dPec7yZyUx3OaWkFBC9HsQOo/edit?usp=sharing"",""ยโสธร!J129"")+IMPORTRANGE(""https://docs.google.com/spreadsheets/d/1v_cJrbBlyqmnHPReHk44g9NrMRdENNlSy_E_c5M9fIg/edit?usp=sharing"",""ร้อยเอ็ด!J129"")+IMPORTRANGE(""https://docs.google.com"&amp;"/spreadsheets/d/1Ul4RCpCX66NxYADU1QpwAPjOmBzW64SsT11s1wzXw_c/edit?usp=sharing"",""เลย!J129"")+IMPORTRANGE(""https://docs.google.com/spreadsheets/d/1bRrNKwbHDVktQG10isr5vbWRtt5spIZPpkOSWgbT5ug/edit?usp=sharing"",""ศรีสะเกษ!J129"")+IMPORTRANGE(""https://doc"&amp;"s.google.com/spreadsheets/d/17P34_Ow5kFBfdQD0qspb2UuPX5zpi6WMrQzslghyvrI/edit?usp=sharing"",""สกลนคร!J129"")+IMPORTRANGE(""https://docs.google.com/spreadsheets/d/1yswqbM3-AEpThF3ZSUa1AcmHnmRTF1vlJ1CZGcJ8YuU/edit?usp=sharing"",""สุรินทร์!J129"")+IMPORTRANG"&amp;"E(""https://docs.google.com/spreadsheets/d/13JHU_EFbsQOUQ0JSQ3dWy1VTRosIWcDq6Nc99z2qzdc/edit?usp=sharing"",""หนองคาย!J129"")+IMPORTRANGE(""https://docs.google.com/spreadsheets/d/1Hx73zIEgVdDZZaYSTc46Dqv64atFhpr3GelxLbaIN8A/edit?usp=sharing"",""หนองบัวลำภู"&amp;"!J129"")+IMPORTRANGE(""https://docs.google.com/spreadsheets/d/1lFxr3ctmjFN90yc-xV6jrQ9Ty8BKYVBWnAZ15wcNIJc/edit?usp=sharing"",""อำนาจเจริญ!J129"")+IMPORTRANGE(""https://docs.google.com/spreadsheets/d/1gF7RJpRnL-1oyjyeWxs5SFWEH7y8ahOZsQlyp2A2e-A/edit?usp=s"&amp;"haring"",""อุดรธานี!J129"")+IMPORTRANGE(""https://docs.google.com/spreadsheets/d/1kfLP0j3INXRa8bTDpcEmoWewMBV61jlFlfzczfjWIgc/edit?usp=sharing"",""อุบลราชธานี!J129"")"),264)</f>
        <v>264</v>
      </c>
      <c r="K129" s="56">
        <f t="shared" ca="1" si="104"/>
        <v>58.14977973568282</v>
      </c>
      <c r="L129" s="55"/>
      <c r="M129" s="55"/>
      <c r="N129" s="55"/>
      <c r="O129" s="55"/>
      <c r="P129" s="55"/>
      <c r="Q129" s="55"/>
      <c r="R129" s="55"/>
      <c r="S129" s="62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181">
        <f ca="1">IFERROR(__xludf.DUMMYFUNCTION("IMPORTRANGE(""https://docs.google.com/spreadsheets/d/1yhBcrRPreicbMKl9Bu_Snb2-OcQAF62RKfhTLhJ2eAA/edit?usp=sharing"",""กาฬสินธุ์!I130"")+IMPORTRANGE(""https://docs.google.com/spreadsheets/d/1aHkj4IaQMThhwWwevcOymEh837vdxeC_PycurhTbGFA/edit?usp=sharing"","&amp;"""ขอนแก่น!I130"")+IMPORTRANGE(""https://docs.google.com/spreadsheets/d/1FvTu2DsIWUjP6WCWra38Bkj_oOl_sOMf14r5Fg5srxU/edit?usp=sharing"",""ชัยภูมิ!I130"")+IMPORTRANGE(""https://docs.google.com/spreadsheets/d/1XVB7oCJ3pr-vBUdflwPQ8Z2LlzhnCvZaaYjAfP-647E/edit"&amp;"?usp=sharing"",""นครพนม!I130"")+IMPORTRANGE(""https://docs.google.com/spreadsheets/d/1Mnpb-8PYAgn85W6KOTD40hc_Xc55CaLfHoGAbrZ8tls/edit?usp=sharing"",""นครราชสีมา!I130"")+IMPORTRANGE(""https://docs.google.com/spreadsheets/d/1xoDLGBv9CYbyosIhki0kTq6IpYNj-gp"&amp;"jxfobnaDiut0/edit?usp=sharing"",""บึงกาฬ!I130"")+IMPORTRANGE(""https://docs.google.com/spreadsheets/d/1MMPq-JyI6DSgQETxuSiXkesP-P7JHuemnE6QJIa-Nlw/edit?usp=sharing"",""บุรีรัมย์!I130"")+IMPORTRANGE(""https://docs.google.com/spreadsheets/d/1l6IZ8xUPgMrESzc"&amp;"TYwhA1k_tPjeQjJPTqlm8Gd9eU5g/edit?usp=sharing"",""มหาสารคาม!I130"")+IMPORTRANGE(""https://docs.google.com/spreadsheets/d/1uB74YLqNjWX6FObjekfB2NtSYigTQyR2rq9u4Ub2Sq4/edit?usp=sharing"",""มุกดาหาร!I130"")+IMPORTRANGE(""https://docs.google.com/spreadsheets/"&amp;"d/1NexK3geCPxCTO1fzNF8dPec7yZyUx3OaWkFBC9HsQOo/edit?usp=sharing"",""ยโสธร!I130"")+IMPORTRANGE(""https://docs.google.com/spreadsheets/d/1v_cJrbBlyqmnHPReHk44g9NrMRdENNlSy_E_c5M9fIg/edit?usp=sharing"",""ร้อยเอ็ด!I130"")+IMPORTRANGE(""https://docs.google.com"&amp;"/spreadsheets/d/1Ul4RCpCX66NxYADU1QpwAPjOmBzW64SsT11s1wzXw_c/edit?usp=sharing"",""เลย!I130"")+IMPORTRANGE(""https://docs.google.com/spreadsheets/d/1bRrNKwbHDVktQG10isr5vbWRtt5spIZPpkOSWgbT5ug/edit?usp=sharing"",""ศรีสะเกษ!I130"")+IMPORTRANGE(""https://doc"&amp;"s.google.com/spreadsheets/d/17P34_Ow5kFBfdQD0qspb2UuPX5zpi6WMrQzslghyvrI/edit?usp=sharing"",""สกลนคร!I130"")+IMPORTRANGE(""https://docs.google.com/spreadsheets/d/1yswqbM3-AEpThF3ZSUa1AcmHnmRTF1vlJ1CZGcJ8YuU/edit?usp=sharing"",""สุรินทร์!I130"")+IMPORTRANG"&amp;"E(""https://docs.google.com/spreadsheets/d/13JHU_EFbsQOUQ0JSQ3dWy1VTRosIWcDq6Nc99z2qzdc/edit?usp=sharing"",""หนองคาย!I130"")+IMPORTRANGE(""https://docs.google.com/spreadsheets/d/1Hx73zIEgVdDZZaYSTc46Dqv64atFhpr3GelxLbaIN8A/edit?usp=sharing"",""หนองบัวลำภู"&amp;"!I130"")+IMPORTRANGE(""https://docs.google.com/spreadsheets/d/1lFxr3ctmjFN90yc-xV6jrQ9Ty8BKYVBWnAZ15wcNIJc/edit?usp=sharing"",""อำนาจเจริญ!I130"")+IMPORTRANGE(""https://docs.google.com/spreadsheets/d/1gF7RJpRnL-1oyjyeWxs5SFWEH7y8ahOZsQlyp2A2e-A/edit?usp=s"&amp;"haring"",""อุดรธานี!I130"")+IMPORTRANGE(""https://docs.google.com/spreadsheets/d/1kfLP0j3INXRa8bTDpcEmoWewMBV61jlFlfzczfjWIgc/edit?usp=sharing"",""อุบลราชธานี!I130"")"),0)</f>
        <v>0</v>
      </c>
      <c r="J130" s="195">
        <f ca="1">IFERROR(__xludf.DUMMYFUNCTION("IMPORTRANGE(""https://docs.google.com/spreadsheets/d/1yhBcrRPreicbMKl9Bu_Snb2-OcQAF62RKfhTLhJ2eAA/edit?usp=sharing"",""กาฬสินธุ์!J130"")+IMPORTRANGE(""https://docs.google.com/spreadsheets/d/1aHkj4IaQMThhwWwevcOymEh837vdxeC_PycurhTbGFA/edit?usp=sharing"","&amp;"""ขอนแก่น!J130"")+IMPORTRANGE(""https://docs.google.com/spreadsheets/d/1FvTu2DsIWUjP6WCWra38Bkj_oOl_sOMf14r5Fg5srxU/edit?usp=sharing"",""ชัยภูมิ!J130"")+IMPORTRANGE(""https://docs.google.com/spreadsheets/d/1XVB7oCJ3pr-vBUdflwPQ8Z2LlzhnCvZaaYjAfP-647E/edit"&amp;"?usp=sharing"",""นครพนม!J130"")+IMPORTRANGE(""https://docs.google.com/spreadsheets/d/1Mnpb-8PYAgn85W6KOTD40hc_Xc55CaLfHoGAbrZ8tls/edit?usp=sharing"",""นครราชสีมา!J130"")+IMPORTRANGE(""https://docs.google.com/spreadsheets/d/1xoDLGBv9CYbyosIhki0kTq6IpYNj-gp"&amp;"jxfobnaDiut0/edit?usp=sharing"",""บึงกาฬ!J130"")+IMPORTRANGE(""https://docs.google.com/spreadsheets/d/1MMPq-JyI6DSgQETxuSiXkesP-P7JHuemnE6QJIa-Nlw/edit?usp=sharing"",""บุรีรัมย์!J130"")+IMPORTRANGE(""https://docs.google.com/spreadsheets/d/1l6IZ8xUPgMrESzc"&amp;"TYwhA1k_tPjeQjJPTqlm8Gd9eU5g/edit?usp=sharing"",""มหาสารคาม!J130"")+IMPORTRANGE(""https://docs.google.com/spreadsheets/d/1uB74YLqNjWX6FObjekfB2NtSYigTQyR2rq9u4Ub2Sq4/edit?usp=sharing"",""มุกดาหาร!J130"")+IMPORTRANGE(""https://docs.google.com/spreadsheets/"&amp;"d/1NexK3geCPxCTO1fzNF8dPec7yZyUx3OaWkFBC9HsQOo/edit?usp=sharing"",""ยโสธร!J130"")+IMPORTRANGE(""https://docs.google.com/spreadsheets/d/1v_cJrbBlyqmnHPReHk44g9NrMRdENNlSy_E_c5M9fIg/edit?usp=sharing"",""ร้อยเอ็ด!J130"")+IMPORTRANGE(""https://docs.google.com"&amp;"/spreadsheets/d/1Ul4RCpCX66NxYADU1QpwAPjOmBzW64SsT11s1wzXw_c/edit?usp=sharing"",""เลย!J130"")+IMPORTRANGE(""https://docs.google.com/spreadsheets/d/1bRrNKwbHDVktQG10isr5vbWRtt5spIZPpkOSWgbT5ug/edit?usp=sharing"",""ศรีสะเกษ!J130"")+IMPORTRANGE(""https://doc"&amp;"s.google.com/spreadsheets/d/17P34_Ow5kFBfdQD0qspb2UuPX5zpi6WMrQzslghyvrI/edit?usp=sharing"",""สกลนคร!J130"")+IMPORTRANGE(""https://docs.google.com/spreadsheets/d/1yswqbM3-AEpThF3ZSUa1AcmHnmRTF1vlJ1CZGcJ8YuU/edit?usp=sharing"",""สุรินทร์!J130"")+IMPORTRANG"&amp;"E(""https://docs.google.com/spreadsheets/d/13JHU_EFbsQOUQ0JSQ3dWy1VTRosIWcDq6Nc99z2qzdc/edit?usp=sharing"",""หนองคาย!J130"")+IMPORTRANGE(""https://docs.google.com/spreadsheets/d/1Hx73zIEgVdDZZaYSTc46Dqv64atFhpr3GelxLbaIN8A/edit?usp=sharing"",""หนองบัวลำภู"&amp;"!J130"")+IMPORTRANGE(""https://docs.google.com/spreadsheets/d/1lFxr3ctmjFN90yc-xV6jrQ9Ty8BKYVBWnAZ15wcNIJc/edit?usp=sharing"",""อำนาจเจริญ!J130"")+IMPORTRANGE(""https://docs.google.com/spreadsheets/d/1gF7RJpRnL-1oyjyeWxs5SFWEH7y8ahOZsQlyp2A2e-A/edit?usp=s"&amp;"haring"",""อุดรธานี!J130"")+IMPORTRANGE(""https://docs.google.com/spreadsheets/d/1kfLP0j3INXRa8bTDpcEmoWewMBV61jlFlfzczfjWIgc/edit?usp=sharing"",""อุบลราชธานี!J130"")"),1)</f>
        <v>1</v>
      </c>
      <c r="K130" s="56">
        <f t="shared" ca="1" si="104"/>
        <v>0</v>
      </c>
      <c r="L130" s="55"/>
      <c r="M130" s="55"/>
      <c r="N130" s="55"/>
      <c r="O130" s="55"/>
      <c r="P130" s="55"/>
      <c r="Q130" s="55"/>
      <c r="R130" s="55"/>
      <c r="S130" s="62"/>
      <c r="T130" s="55"/>
      <c r="U130" s="55"/>
    </row>
    <row r="131" spans="1:21" ht="18.75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55"/>
      <c r="M131" s="55"/>
      <c r="N131" s="55"/>
      <c r="O131" s="55"/>
      <c r="P131" s="55"/>
      <c r="Q131" s="55"/>
      <c r="R131" s="55"/>
      <c r="S131" s="62"/>
      <c r="T131" s="55"/>
      <c r="U131" s="55"/>
    </row>
    <row r="132" spans="1:21" ht="18.75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55"/>
      <c r="M132" s="55"/>
      <c r="N132" s="55"/>
      <c r="O132" s="55"/>
      <c r="P132" s="55"/>
      <c r="Q132" s="55"/>
      <c r="R132" s="55"/>
      <c r="S132" s="62"/>
      <c r="T132" s="55"/>
      <c r="U132" s="55"/>
    </row>
    <row r="133" spans="1:21" ht="12.75">
      <c r="A133" s="192"/>
      <c r="B133" s="193"/>
      <c r="C133" s="193"/>
      <c r="D133" s="22"/>
      <c r="E133" s="22"/>
      <c r="F133" s="22"/>
      <c r="G133" s="23"/>
      <c r="H133" s="209"/>
      <c r="I133" s="24"/>
      <c r="J133" s="24"/>
      <c r="K133" s="25"/>
      <c r="L133" s="25"/>
      <c r="M133" s="25"/>
      <c r="N133" s="25"/>
      <c r="O133" s="25"/>
      <c r="P133" s="25"/>
      <c r="Q133" s="25"/>
      <c r="R133" s="25"/>
      <c r="S133" s="26"/>
      <c r="T133" s="25"/>
      <c r="U133" s="25"/>
    </row>
    <row r="134" spans="1:21" ht="19.5">
      <c r="A134" s="143" t="s">
        <v>58</v>
      </c>
      <c r="B134" s="144"/>
      <c r="C134" s="196"/>
      <c r="D134" s="144"/>
      <c r="E134" s="144"/>
      <c r="F134" s="144"/>
      <c r="G134" s="144"/>
      <c r="H134" s="144"/>
      <c r="I134" s="197"/>
      <c r="J134" s="197"/>
      <c r="K134" s="19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</row>
    <row r="135" spans="1:21" ht="19.5">
      <c r="A135" s="150"/>
      <c r="B135" s="35" t="s">
        <v>59</v>
      </c>
      <c r="C135" s="200"/>
      <c r="D135" s="151"/>
      <c r="E135" s="34"/>
      <c r="F135" s="34"/>
      <c r="G135" s="34"/>
      <c r="H135" s="34"/>
      <c r="I135" s="210"/>
      <c r="J135" s="39"/>
      <c r="K135" s="40"/>
      <c r="L135" s="40"/>
      <c r="M135" s="40"/>
      <c r="N135" s="40"/>
      <c r="O135" s="40"/>
      <c r="P135" s="40"/>
      <c r="Q135" s="40"/>
      <c r="R135" s="40"/>
      <c r="S135" s="154"/>
      <c r="T135" s="40"/>
      <c r="U135" s="40"/>
    </row>
    <row r="136" spans="1:21" ht="19.5">
      <c r="A136" s="150"/>
      <c r="B136" s="34"/>
      <c r="C136" s="211" t="s">
        <v>60</v>
      </c>
      <c r="D136" s="151"/>
      <c r="E136" s="34"/>
      <c r="F136" s="34"/>
      <c r="G136" s="37"/>
      <c r="H136" s="152" t="s">
        <v>61</v>
      </c>
      <c r="I136" s="153">
        <f t="shared" ref="I136:J136" ca="1" si="105">I154</f>
        <v>2</v>
      </c>
      <c r="J136" s="153">
        <f t="shared" ca="1" si="105"/>
        <v>0</v>
      </c>
      <c r="K136" s="41">
        <f t="shared" ref="K136:K138" ca="1" si="106">IF(I136&gt;0,J136*100/I136,0)</f>
        <v>0</v>
      </c>
      <c r="L136" s="40"/>
      <c r="M136" s="40"/>
      <c r="N136" s="40"/>
      <c r="O136" s="40"/>
      <c r="P136" s="40"/>
      <c r="Q136" s="40"/>
      <c r="R136" s="40"/>
      <c r="S136" s="154"/>
      <c r="T136" s="40"/>
      <c r="U136" s="40"/>
    </row>
    <row r="137" spans="1:21" ht="19.5">
      <c r="A137" s="150"/>
      <c r="B137" s="34"/>
      <c r="C137" s="211" t="s">
        <v>62</v>
      </c>
      <c r="D137" s="151"/>
      <c r="E137" s="34"/>
      <c r="F137" s="34"/>
      <c r="G137" s="37"/>
      <c r="H137" s="152" t="s">
        <v>35</v>
      </c>
      <c r="I137" s="153">
        <f t="shared" ref="I137:J137" ca="1" si="107">I152</f>
        <v>290</v>
      </c>
      <c r="J137" s="153">
        <f t="shared" ca="1" si="107"/>
        <v>160</v>
      </c>
      <c r="K137" s="41">
        <f t="shared" ca="1" si="106"/>
        <v>55.172413793103445</v>
      </c>
      <c r="L137" s="40"/>
      <c r="M137" s="40"/>
      <c r="N137" s="40"/>
      <c r="O137" s="40"/>
      <c r="P137" s="40"/>
      <c r="Q137" s="40"/>
      <c r="R137" s="40"/>
      <c r="S137" s="154"/>
      <c r="T137" s="40"/>
      <c r="U137" s="40"/>
    </row>
    <row r="138" spans="1:21" ht="19.5">
      <c r="A138" s="150"/>
      <c r="B138" s="34"/>
      <c r="C138" s="200"/>
      <c r="D138" s="151"/>
      <c r="E138" s="34"/>
      <c r="F138" s="34"/>
      <c r="G138" s="37"/>
      <c r="H138" s="152" t="s">
        <v>54</v>
      </c>
      <c r="I138" s="153">
        <f t="shared" ref="I138:J138" ca="1" si="108">I153</f>
        <v>29</v>
      </c>
      <c r="J138" s="153">
        <f t="shared" ca="1" si="108"/>
        <v>16</v>
      </c>
      <c r="K138" s="41">
        <f t="shared" ca="1" si="106"/>
        <v>55.172413793103445</v>
      </c>
      <c r="L138" s="40"/>
      <c r="M138" s="40"/>
      <c r="N138" s="40"/>
      <c r="O138" s="40"/>
      <c r="P138" s="40"/>
      <c r="Q138" s="40"/>
      <c r="R138" s="40"/>
      <c r="S138" s="154"/>
      <c r="T138" s="40"/>
      <c r="U138" s="40"/>
    </row>
    <row r="139" spans="1:21" ht="19.5">
      <c r="A139" s="155"/>
      <c r="B139" s="50"/>
      <c r="C139" s="156" t="s">
        <v>18</v>
      </c>
      <c r="D139" s="157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159">
        <f t="shared" ref="L139:N139" ca="1" si="109">L140+L141</f>
        <v>772800</v>
      </c>
      <c r="M139" s="159">
        <f t="shared" ca="1" si="109"/>
        <v>717800</v>
      </c>
      <c r="N139" s="159">
        <f t="shared" ca="1" si="109"/>
        <v>497890.15</v>
      </c>
      <c r="O139" s="159">
        <f t="shared" ref="O139:O147" ca="1" si="110">IF(L139&gt;0,N139*100/L139,0)</f>
        <v>64.426779244306417</v>
      </c>
      <c r="P139" s="159">
        <f t="shared" ref="P139:P147" ca="1" si="111">IF(M139&gt;0,N139*100/M139,0)</f>
        <v>69.363353301755367</v>
      </c>
      <c r="Q139" s="159">
        <f t="shared" ref="Q139:S139" ca="1" si="112">Q140+Q141</f>
        <v>0</v>
      </c>
      <c r="R139" s="159">
        <f t="shared" ca="1" si="112"/>
        <v>0</v>
      </c>
      <c r="S139" s="160">
        <f t="shared" ca="1" si="112"/>
        <v>0</v>
      </c>
      <c r="T139" s="159">
        <f t="shared" ref="T139:T147" ca="1" si="113">IF(Q139&gt;0,S139*100/Q139,0)</f>
        <v>0</v>
      </c>
      <c r="U139" s="159">
        <f t="shared" ref="U139:U147" ca="1" si="114">IF(R139&gt;0,S139*100/R139,0)</f>
        <v>0</v>
      </c>
    </row>
    <row r="140" spans="1:21" ht="18.75">
      <c r="A140" s="155"/>
      <c r="B140" s="50"/>
      <c r="C140" s="50"/>
      <c r="D140" s="50"/>
      <c r="E140" s="58" t="s">
        <v>20</v>
      </c>
      <c r="F140" s="50"/>
      <c r="G140" s="52"/>
      <c r="H140" s="161" t="s">
        <v>14</v>
      </c>
      <c r="I140" s="54"/>
      <c r="J140" s="54"/>
      <c r="K140" s="55"/>
      <c r="L140" s="56">
        <f t="shared" ref="L140:N140" ca="1" si="115">L143+L146</f>
        <v>0</v>
      </c>
      <c r="M140" s="56">
        <f t="shared" ca="1" si="115"/>
        <v>0</v>
      </c>
      <c r="N140" s="56">
        <f t="shared" ca="1" si="115"/>
        <v>0</v>
      </c>
      <c r="O140" s="56">
        <f t="shared" ca="1" si="110"/>
        <v>0</v>
      </c>
      <c r="P140" s="56">
        <f t="shared" ca="1" si="111"/>
        <v>0</v>
      </c>
      <c r="Q140" s="56">
        <f t="shared" ref="Q140:S140" ca="1" si="116">Q143+Q146</f>
        <v>0</v>
      </c>
      <c r="R140" s="56">
        <f t="shared" ca="1" si="116"/>
        <v>0</v>
      </c>
      <c r="S140" s="57">
        <f t="shared" ca="1" si="116"/>
        <v>0</v>
      </c>
      <c r="T140" s="59">
        <f t="shared" ca="1" si="113"/>
        <v>0</v>
      </c>
      <c r="U140" s="59">
        <f t="shared" ca="1" si="114"/>
        <v>0</v>
      </c>
    </row>
    <row r="141" spans="1:21" ht="18.75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56">
        <f t="shared" ref="L141:N141" ca="1" si="117">L144+L147</f>
        <v>772800</v>
      </c>
      <c r="M141" s="56">
        <f t="shared" ca="1" si="117"/>
        <v>717800</v>
      </c>
      <c r="N141" s="56">
        <f t="shared" ca="1" si="117"/>
        <v>497890.15</v>
      </c>
      <c r="O141" s="56">
        <f t="shared" ca="1" si="110"/>
        <v>64.426779244306417</v>
      </c>
      <c r="P141" s="56">
        <f t="shared" ca="1" si="111"/>
        <v>69.363353301755367</v>
      </c>
      <c r="Q141" s="56">
        <f t="shared" ref="Q141:S141" ca="1" si="118">Q144+Q147</f>
        <v>0</v>
      </c>
      <c r="R141" s="56">
        <f t="shared" ca="1" si="118"/>
        <v>0</v>
      </c>
      <c r="S141" s="57">
        <f t="shared" ca="1" si="118"/>
        <v>0</v>
      </c>
      <c r="T141" s="56">
        <f t="shared" ca="1" si="113"/>
        <v>0</v>
      </c>
      <c r="U141" s="56">
        <f t="shared" ca="1" si="114"/>
        <v>0</v>
      </c>
    </row>
    <row r="142" spans="1:21" ht="18.75">
      <c r="A142" s="155"/>
      <c r="B142" s="50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56">
        <f t="shared" ref="L142:N142" ca="1" si="119">L143+L144</f>
        <v>772800</v>
      </c>
      <c r="M142" s="56">
        <f t="shared" ca="1" si="119"/>
        <v>717800</v>
      </c>
      <c r="N142" s="56">
        <f t="shared" ca="1" si="119"/>
        <v>497890.15</v>
      </c>
      <c r="O142" s="56">
        <f t="shared" ca="1" si="110"/>
        <v>64.426779244306417</v>
      </c>
      <c r="P142" s="56">
        <f t="shared" ca="1" si="111"/>
        <v>69.363353301755367</v>
      </c>
      <c r="Q142" s="56">
        <f t="shared" ref="Q142:S142" ca="1" si="120">Q143+Q144</f>
        <v>0</v>
      </c>
      <c r="R142" s="56">
        <f t="shared" ca="1" si="120"/>
        <v>0</v>
      </c>
      <c r="S142" s="57">
        <f t="shared" ca="1" si="120"/>
        <v>0</v>
      </c>
      <c r="T142" s="56">
        <f t="shared" ca="1" si="113"/>
        <v>0</v>
      </c>
      <c r="U142" s="56">
        <f t="shared" ca="1" si="114"/>
        <v>0</v>
      </c>
    </row>
    <row r="143" spans="1:21" ht="18.75">
      <c r="A143" s="155"/>
      <c r="B143" s="50"/>
      <c r="C143" s="50"/>
      <c r="D143" s="50"/>
      <c r="E143" s="58" t="s">
        <v>36</v>
      </c>
      <c r="F143" s="50"/>
      <c r="G143" s="52"/>
      <c r="H143" s="162" t="s">
        <v>14</v>
      </c>
      <c r="I143" s="163"/>
      <c r="J143" s="163"/>
      <c r="K143" s="164"/>
      <c r="L143" s="56">
        <f ca="1">IFERROR(__xludf.DUMMYFUNCTION("IMPORTRANGE(""https://docs.google.com/spreadsheets/d/1yhBcrRPreicbMKl9Bu_Snb2-OcQAF62RKfhTLhJ2eAA/edit?usp=sharing"",""กาฬสินธุ์!L143"")+IMPORTRANGE(""https://docs.google.com/spreadsheets/d/1aHkj4IaQMThhwWwevcOymEh837vdxeC_PycurhTbGFA/edit?usp=sharing"","&amp;"""ขอนแก่น!L143"")+IMPORTRANGE(""https://docs.google.com/spreadsheets/d/1FvTu2DsIWUjP6WCWra38Bkj_oOl_sOMf14r5Fg5srxU/edit?usp=sharing"",""ชัยภูมิ!L143"")+IMPORTRANGE(""https://docs.google.com/spreadsheets/d/1XVB7oCJ3pr-vBUdflwPQ8Z2LlzhnCvZaaYjAfP-647E/edit"&amp;"?usp=sharing"",""นครพนม!L143"")+IMPORTRANGE(""https://docs.google.com/spreadsheets/d/1Mnpb-8PYAgn85W6KOTD40hc_Xc55CaLfHoGAbrZ8tls/edit?usp=sharing"",""นครราชสีมา!L143"")+IMPORTRANGE(""https://docs.google.com/spreadsheets/d/1xoDLGBv9CYbyosIhki0kTq6IpYNj-gp"&amp;"jxfobnaDiut0/edit?usp=sharing"",""บึงกาฬ!L143"")+IMPORTRANGE(""https://docs.google.com/spreadsheets/d/1MMPq-JyI6DSgQETxuSiXkesP-P7JHuemnE6QJIa-Nlw/edit?usp=sharing"",""บุรีรัมย์!L143"")+IMPORTRANGE(""https://docs.google.com/spreadsheets/d/1l6IZ8xUPgMrESzc"&amp;"TYwhA1k_tPjeQjJPTqlm8Gd9eU5g/edit?usp=sharing"",""มหาสารคาม!L143"")+IMPORTRANGE(""https://docs.google.com/spreadsheets/d/1uB74YLqNjWX6FObjekfB2NtSYigTQyR2rq9u4Ub2Sq4/edit?usp=sharing"",""มุกดาหาร!L143"")+IMPORTRANGE(""https://docs.google.com/spreadsheets/"&amp;"d/1NexK3geCPxCTO1fzNF8dPec7yZyUx3OaWkFBC9HsQOo/edit?usp=sharing"",""ยโสธร!L143"")+IMPORTRANGE(""https://docs.google.com/spreadsheets/d/1v_cJrbBlyqmnHPReHk44g9NrMRdENNlSy_E_c5M9fIg/edit?usp=sharing"",""ร้อยเอ็ด!L143"")+IMPORTRANGE(""https://docs.google.com"&amp;"/spreadsheets/d/1Ul4RCpCX66NxYADU1QpwAPjOmBzW64SsT11s1wzXw_c/edit?usp=sharing"",""เลย!L143"")+IMPORTRANGE(""https://docs.google.com/spreadsheets/d/1bRrNKwbHDVktQG10isr5vbWRtt5spIZPpkOSWgbT5ug/edit?usp=sharing"",""ศรีสะเกษ!L143"")+IMPORTRANGE(""https://doc"&amp;"s.google.com/spreadsheets/d/17P34_Ow5kFBfdQD0qspb2UuPX5zpi6WMrQzslghyvrI/edit?usp=sharing"",""สกลนคร!L143"")+IMPORTRANGE(""https://docs.google.com/spreadsheets/d/1yswqbM3-AEpThF3ZSUa1AcmHnmRTF1vlJ1CZGcJ8YuU/edit?usp=sharing"",""สุรินทร์!L143"")+IMPORTRANG"&amp;"E(""https://docs.google.com/spreadsheets/d/13JHU_EFbsQOUQ0JSQ3dWy1VTRosIWcDq6Nc99z2qzdc/edit?usp=sharing"",""หนองคาย!L143"")+IMPORTRANGE(""https://docs.google.com/spreadsheets/d/1Hx73zIEgVdDZZaYSTc46Dqv64atFhpr3GelxLbaIN8A/edit?usp=sharing"",""หนองบัวลำภู"&amp;"!L143"")+IMPORTRANGE(""https://docs.google.com/spreadsheets/d/1lFxr3ctmjFN90yc-xV6jrQ9Ty8BKYVBWnAZ15wcNIJc/edit?usp=sharing"",""อำนาจเจริญ!L143"")+IMPORTRANGE(""https://docs.google.com/spreadsheets/d/1gF7RJpRnL-1oyjyeWxs5SFWEH7y8ahOZsQlyp2A2e-A/edit?usp=s"&amp;"haring"",""อุดรธานี!L143"")+IMPORTRANGE(""https://docs.google.com/spreadsheets/d/1kfLP0j3INXRa8bTDpcEmoWewMBV61jlFlfzczfjWIgc/edit?usp=sharing"",""อุบลราชธานี!L143"")"),0)</f>
        <v>0</v>
      </c>
      <c r="M143" s="56">
        <f ca="1">IFERROR(__xludf.DUMMYFUNCTION("IMPORTRANGE(""https://docs.google.com/spreadsheets/d/1yhBcrRPreicbMKl9Bu_Snb2-OcQAF62RKfhTLhJ2eAA/edit?usp=sharing"",""กาฬสินธุ์!M143"")+IMPORTRANGE(""https://docs.google.com/spreadsheets/d/1aHkj4IaQMThhwWwevcOymEh837vdxeC_PycurhTbGFA/edit?usp=sharing"","&amp;"""ขอนแก่น!M143"")+IMPORTRANGE(""https://docs.google.com/spreadsheets/d/1FvTu2DsIWUjP6WCWra38Bkj_oOl_sOMf14r5Fg5srxU/edit?usp=sharing"",""ชัยภูมิ!M143"")+IMPORTRANGE(""https://docs.google.com/spreadsheets/d/1XVB7oCJ3pr-vBUdflwPQ8Z2LlzhnCvZaaYjAfP-647E/edit"&amp;"?usp=sharing"",""นครพนม!M143"")+IMPORTRANGE(""https://docs.google.com/spreadsheets/d/1Mnpb-8PYAgn85W6KOTD40hc_Xc55CaLfHoGAbrZ8tls/edit?usp=sharing"",""นครราชสีมา!M143"")+IMPORTRANGE(""https://docs.google.com/spreadsheets/d/1xoDLGBv9CYbyosIhki0kTq6IpYNj-gp"&amp;"jxfobnaDiut0/edit?usp=sharing"",""บึงกาฬ!M143"")+IMPORTRANGE(""https://docs.google.com/spreadsheets/d/1MMPq-JyI6DSgQETxuSiXkesP-P7JHuemnE6QJIa-Nlw/edit?usp=sharing"",""บุรีรัมย์!M143"")+IMPORTRANGE(""https://docs.google.com/spreadsheets/d/1l6IZ8xUPgMrESzc"&amp;"TYwhA1k_tPjeQjJPTqlm8Gd9eU5g/edit?usp=sharing"",""มหาสารคาม!M143"")+IMPORTRANGE(""https://docs.google.com/spreadsheets/d/1uB74YLqNjWX6FObjekfB2NtSYigTQyR2rq9u4Ub2Sq4/edit?usp=sharing"",""มุกดาหาร!M143"")+IMPORTRANGE(""https://docs.google.com/spreadsheets/"&amp;"d/1NexK3geCPxCTO1fzNF8dPec7yZyUx3OaWkFBC9HsQOo/edit?usp=sharing"",""ยโสธร!M143"")+IMPORTRANGE(""https://docs.google.com/spreadsheets/d/1v_cJrbBlyqmnHPReHk44g9NrMRdENNlSy_E_c5M9fIg/edit?usp=sharing"",""ร้อยเอ็ด!M143"")+IMPORTRANGE(""https://docs.google.com"&amp;"/spreadsheets/d/1Ul4RCpCX66NxYADU1QpwAPjOmBzW64SsT11s1wzXw_c/edit?usp=sharing"",""เลย!M143"")+IMPORTRANGE(""https://docs.google.com/spreadsheets/d/1bRrNKwbHDVktQG10isr5vbWRtt5spIZPpkOSWgbT5ug/edit?usp=sharing"",""ศรีสะเกษ!M143"")+IMPORTRANGE(""https://doc"&amp;"s.google.com/spreadsheets/d/17P34_Ow5kFBfdQD0qspb2UuPX5zpi6WMrQzslghyvrI/edit?usp=sharing"",""สกลนคร!M143"")+IMPORTRANGE(""https://docs.google.com/spreadsheets/d/1yswqbM3-AEpThF3ZSUa1AcmHnmRTF1vlJ1CZGcJ8YuU/edit?usp=sharing"",""สุรินทร์!M143"")+IMPORTRANG"&amp;"E(""https://docs.google.com/spreadsheets/d/13JHU_EFbsQOUQ0JSQ3dWy1VTRosIWcDq6Nc99z2qzdc/edit?usp=sharing"",""หนองคาย!M143"")+IMPORTRANGE(""https://docs.google.com/spreadsheets/d/1Hx73zIEgVdDZZaYSTc46Dqv64atFhpr3GelxLbaIN8A/edit?usp=sharing"",""หนองบัวลำภู"&amp;"!M143"")+IMPORTRANGE(""https://docs.google.com/spreadsheets/d/1lFxr3ctmjFN90yc-xV6jrQ9Ty8BKYVBWnAZ15wcNIJc/edit?usp=sharing"",""อำนาจเจริญ!M143"")+IMPORTRANGE(""https://docs.google.com/spreadsheets/d/1gF7RJpRnL-1oyjyeWxs5SFWEH7y8ahOZsQlyp2A2e-A/edit?usp=s"&amp;"haring"",""อุดรธานี!M143"")+IMPORTRANGE(""https://docs.google.com/spreadsheets/d/1kfLP0j3INXRa8bTDpcEmoWewMBV61jlFlfzczfjWIgc/edit?usp=sharing"",""อุบลราชธานี!M143"")"),0)</f>
        <v>0</v>
      </c>
      <c r="N143" s="56">
        <f ca="1">IFERROR(__xludf.DUMMYFUNCTION("IMPORTRANGE(""https://docs.google.com/spreadsheets/d/1yhBcrRPreicbMKl9Bu_Snb2-OcQAF62RKfhTLhJ2eAA/edit?usp=sharing"",""กาฬสินธุ์!N143"")+IMPORTRANGE(""https://docs.google.com/spreadsheets/d/1aHkj4IaQMThhwWwevcOymEh837vdxeC_PycurhTbGFA/edit?usp=sharing"","&amp;"""ขอนแก่น!N143"")+IMPORTRANGE(""https://docs.google.com/spreadsheets/d/1FvTu2DsIWUjP6WCWra38Bkj_oOl_sOMf14r5Fg5srxU/edit?usp=sharing"",""ชัยภูมิ!N143"")+IMPORTRANGE(""https://docs.google.com/spreadsheets/d/1XVB7oCJ3pr-vBUdflwPQ8Z2LlzhnCvZaaYjAfP-647E/edit"&amp;"?usp=sharing"",""นครพนม!N143"")+IMPORTRANGE(""https://docs.google.com/spreadsheets/d/1Mnpb-8PYAgn85W6KOTD40hc_Xc55CaLfHoGAbrZ8tls/edit?usp=sharing"",""นครราชสีมา!N143"")+IMPORTRANGE(""https://docs.google.com/spreadsheets/d/1xoDLGBv9CYbyosIhki0kTq6IpYNj-gp"&amp;"jxfobnaDiut0/edit?usp=sharing"",""บึงกาฬ!N143"")+IMPORTRANGE(""https://docs.google.com/spreadsheets/d/1MMPq-JyI6DSgQETxuSiXkesP-P7JHuemnE6QJIa-Nlw/edit?usp=sharing"",""บุรีรัมย์!N143"")+IMPORTRANGE(""https://docs.google.com/spreadsheets/d/1l6IZ8xUPgMrESzc"&amp;"TYwhA1k_tPjeQjJPTqlm8Gd9eU5g/edit?usp=sharing"",""มหาสารคาม!N143"")+IMPORTRANGE(""https://docs.google.com/spreadsheets/d/1uB74YLqNjWX6FObjekfB2NtSYigTQyR2rq9u4Ub2Sq4/edit?usp=sharing"",""มุกดาหาร!N143"")+IMPORTRANGE(""https://docs.google.com/spreadsheets/"&amp;"d/1NexK3geCPxCTO1fzNF8dPec7yZyUx3OaWkFBC9HsQOo/edit?usp=sharing"",""ยโสธร!N143"")+IMPORTRANGE(""https://docs.google.com/spreadsheets/d/1v_cJrbBlyqmnHPReHk44g9NrMRdENNlSy_E_c5M9fIg/edit?usp=sharing"",""ร้อยเอ็ด!N143"")+IMPORTRANGE(""https://docs.google.com"&amp;"/spreadsheets/d/1Ul4RCpCX66NxYADU1QpwAPjOmBzW64SsT11s1wzXw_c/edit?usp=sharing"",""เลย!N143"")+IMPORTRANGE(""https://docs.google.com/spreadsheets/d/1bRrNKwbHDVktQG10isr5vbWRtt5spIZPpkOSWgbT5ug/edit?usp=sharing"",""ศรีสะเกษ!N143"")+IMPORTRANGE(""https://doc"&amp;"s.google.com/spreadsheets/d/17P34_Ow5kFBfdQD0qspb2UuPX5zpi6WMrQzslghyvrI/edit?usp=sharing"",""สกลนคร!N143"")+IMPORTRANGE(""https://docs.google.com/spreadsheets/d/1yswqbM3-AEpThF3ZSUa1AcmHnmRTF1vlJ1CZGcJ8YuU/edit?usp=sharing"",""สุรินทร์!N143"")+IMPORTRANG"&amp;"E(""https://docs.google.com/spreadsheets/d/13JHU_EFbsQOUQ0JSQ3dWy1VTRosIWcDq6Nc99z2qzdc/edit?usp=sharing"",""หนองคาย!N143"")+IMPORTRANGE(""https://docs.google.com/spreadsheets/d/1Hx73zIEgVdDZZaYSTc46Dqv64atFhpr3GelxLbaIN8A/edit?usp=sharing"",""หนองบัวลำภู"&amp;"!N143"")+IMPORTRANGE(""https://docs.google.com/spreadsheets/d/1lFxr3ctmjFN90yc-xV6jrQ9Ty8BKYVBWnAZ15wcNIJc/edit?usp=sharing"",""อำนาจเจริญ!N143"")+IMPORTRANGE(""https://docs.google.com/spreadsheets/d/1gF7RJpRnL-1oyjyeWxs5SFWEH7y8ahOZsQlyp2A2e-A/edit?usp=s"&amp;"haring"",""อุดรธานี!N143"")+IMPORTRANGE(""https://docs.google.com/spreadsheets/d/1kfLP0j3INXRa8bTDpcEmoWewMBV61jlFlfzczfjWIgc/edit?usp=sharing"",""อุบลราชธานี!N143"")"),0)</f>
        <v>0</v>
      </c>
      <c r="O143" s="56">
        <f t="shared" ca="1" si="110"/>
        <v>0</v>
      </c>
      <c r="P143" s="56">
        <f t="shared" ca="1" si="111"/>
        <v>0</v>
      </c>
      <c r="Q143" s="56">
        <f ca="1">IFERROR(__xludf.DUMMYFUNCTION("IMPORTRANGE(""https://docs.google.com/spreadsheets/d/1yhBcrRPreicbMKl9Bu_Snb2-OcQAF62RKfhTLhJ2eAA/edit?usp=sharing"",""กาฬสินธุ์!Q143"")+IMPORTRANGE(""https://docs.google.com/spreadsheets/d/1aHkj4IaQMThhwWwevcOymEh837vdxeC_PycurhTbGFA/edit?usp=sharing"","&amp;"""ขอนแก่น!Q143"")+IMPORTRANGE(""https://docs.google.com/spreadsheets/d/1FvTu2DsIWUjP6WCWra38Bkj_oOl_sOMf14r5Fg5srxU/edit?usp=sharing"",""ชัยภูมิ!Q143"")+IMPORTRANGE(""https://docs.google.com/spreadsheets/d/1XVB7oCJ3pr-vBUdflwPQ8Z2LlzhnCvZaaYjAfP-647E/edit"&amp;"?usp=sharing"",""นครพนม!Q143"")+IMPORTRANGE(""https://docs.google.com/spreadsheets/d/1Mnpb-8PYAgn85W6KOTD40hc_Xc55CaLfHoGAbrZ8tls/edit?usp=sharing"",""นครราชสีมา!Q143"")+IMPORTRANGE(""https://docs.google.com/spreadsheets/d/1xoDLGBv9CYbyosIhki0kTq6IpYNj-gp"&amp;"jxfobnaDiut0/edit?usp=sharing"",""บึงกาฬ!Q143"")+IMPORTRANGE(""https://docs.google.com/spreadsheets/d/1MMPq-JyI6DSgQETxuSiXkesP-P7JHuemnE6QJIa-Nlw/edit?usp=sharing"",""บุรีรัมย์!Q143"")+IMPORTRANGE(""https://docs.google.com/spreadsheets/d/1l6IZ8xUPgMrESzc"&amp;"TYwhA1k_tPjeQjJPTqlm8Gd9eU5g/edit?usp=sharing"",""มหาสารคาม!Q143"")+IMPORTRANGE(""https://docs.google.com/spreadsheets/d/1uB74YLqNjWX6FObjekfB2NtSYigTQyR2rq9u4Ub2Sq4/edit?usp=sharing"",""มุกดาหาร!Q143"")+IMPORTRANGE(""https://docs.google.com/spreadsheets/"&amp;"d/1NexK3geCPxCTO1fzNF8dPec7yZyUx3OaWkFBC9HsQOo/edit?usp=sharing"",""ยโสธร!Q143"")+IMPORTRANGE(""https://docs.google.com/spreadsheets/d/1v_cJrbBlyqmnHPReHk44g9NrMRdENNlSy_E_c5M9fIg/edit?usp=sharing"",""ร้อยเอ็ด!Q143"")+IMPORTRANGE(""https://docs.google.com"&amp;"/spreadsheets/d/1Ul4RCpCX66NxYADU1QpwAPjOmBzW64SsT11s1wzXw_c/edit?usp=sharing"",""เลย!Q143"")+IMPORTRANGE(""https://docs.google.com/spreadsheets/d/1bRrNKwbHDVktQG10isr5vbWRtt5spIZPpkOSWgbT5ug/edit?usp=sharing"",""ศรีสะเกษ!Q143"")+IMPORTRANGE(""https://doc"&amp;"s.google.com/spreadsheets/d/17P34_Ow5kFBfdQD0qspb2UuPX5zpi6WMrQzslghyvrI/edit?usp=sharing"",""สกลนคร!Q143"")+IMPORTRANGE(""https://docs.google.com/spreadsheets/d/1yswqbM3-AEpThF3ZSUa1AcmHnmRTF1vlJ1CZGcJ8YuU/edit?usp=sharing"",""สุรินทร์!Q143"")+IMPORTRANG"&amp;"E(""https://docs.google.com/spreadsheets/d/13JHU_EFbsQOUQ0JSQ3dWy1VTRosIWcDq6Nc99z2qzdc/edit?usp=sharing"",""หนองคาย!Q143"")+IMPORTRANGE(""https://docs.google.com/spreadsheets/d/1Hx73zIEgVdDZZaYSTc46Dqv64atFhpr3GelxLbaIN8A/edit?usp=sharing"",""หนองบัวลำภู"&amp;"!Q143"")+IMPORTRANGE(""https://docs.google.com/spreadsheets/d/1lFxr3ctmjFN90yc-xV6jrQ9Ty8BKYVBWnAZ15wcNIJc/edit?usp=sharing"",""อำนาจเจริญ!Q143"")+IMPORTRANGE(""https://docs.google.com/spreadsheets/d/1gF7RJpRnL-1oyjyeWxs5SFWEH7y8ahOZsQlyp2A2e-A/edit?usp=s"&amp;"haring"",""อุดรธานี!Q143"")+IMPORTRANGE(""https://docs.google.com/spreadsheets/d/1kfLP0j3INXRa8bTDpcEmoWewMBV61jlFlfzczfjWIgc/edit?usp=sharing"",""อุบลราชธานี!Q143"")"),0)</f>
        <v>0</v>
      </c>
      <c r="R143" s="56">
        <f ca="1">IFERROR(__xludf.DUMMYFUNCTION("IMPORTRANGE(""https://docs.google.com/spreadsheets/d/1yhBcrRPreicbMKl9Bu_Snb2-OcQAF62RKfhTLhJ2eAA/edit?usp=sharing"",""กาฬสินธุ์!R143"")+IMPORTRANGE(""https://docs.google.com/spreadsheets/d/1aHkj4IaQMThhwWwevcOymEh837vdxeC_PycurhTbGFA/edit?usp=sharing"","&amp;"""ขอนแก่น!R143"")+IMPORTRANGE(""https://docs.google.com/spreadsheets/d/1FvTu2DsIWUjP6WCWra38Bkj_oOl_sOMf14r5Fg5srxU/edit?usp=sharing"",""ชัยภูมิ!R143"")+IMPORTRANGE(""https://docs.google.com/spreadsheets/d/1XVB7oCJ3pr-vBUdflwPQ8Z2LlzhnCvZaaYjAfP-647E/edit"&amp;"?usp=sharing"",""นครพนม!R143"")+IMPORTRANGE(""https://docs.google.com/spreadsheets/d/1Mnpb-8PYAgn85W6KOTD40hc_Xc55CaLfHoGAbrZ8tls/edit?usp=sharing"",""นครราชสีมา!R143"")+IMPORTRANGE(""https://docs.google.com/spreadsheets/d/1xoDLGBv9CYbyosIhki0kTq6IpYNj-gp"&amp;"jxfobnaDiut0/edit?usp=sharing"",""บึงกาฬ!R143"")+IMPORTRANGE(""https://docs.google.com/spreadsheets/d/1MMPq-JyI6DSgQETxuSiXkesP-P7JHuemnE6QJIa-Nlw/edit?usp=sharing"",""บุรีรัมย์!R143"")+IMPORTRANGE(""https://docs.google.com/spreadsheets/d/1l6IZ8xUPgMrESzc"&amp;"TYwhA1k_tPjeQjJPTqlm8Gd9eU5g/edit?usp=sharing"",""มหาสารคาม!R143"")+IMPORTRANGE(""https://docs.google.com/spreadsheets/d/1uB74YLqNjWX6FObjekfB2NtSYigTQyR2rq9u4Ub2Sq4/edit?usp=sharing"",""มุกดาหาร!R143"")+IMPORTRANGE(""https://docs.google.com/spreadsheets/"&amp;"d/1NexK3geCPxCTO1fzNF8dPec7yZyUx3OaWkFBC9HsQOo/edit?usp=sharing"",""ยโสธร!R143"")+IMPORTRANGE(""https://docs.google.com/spreadsheets/d/1v_cJrbBlyqmnHPReHk44g9NrMRdENNlSy_E_c5M9fIg/edit?usp=sharing"",""ร้อยเอ็ด!R143"")+IMPORTRANGE(""https://docs.google.com"&amp;"/spreadsheets/d/1Ul4RCpCX66NxYADU1QpwAPjOmBzW64SsT11s1wzXw_c/edit?usp=sharing"",""เลย!R143"")+IMPORTRANGE(""https://docs.google.com/spreadsheets/d/1bRrNKwbHDVktQG10isr5vbWRtt5spIZPpkOSWgbT5ug/edit?usp=sharing"",""ศรีสะเกษ!R143"")+IMPORTRANGE(""https://doc"&amp;"s.google.com/spreadsheets/d/17P34_Ow5kFBfdQD0qspb2UuPX5zpi6WMrQzslghyvrI/edit?usp=sharing"",""สกลนคร!R143"")+IMPORTRANGE(""https://docs.google.com/spreadsheets/d/1yswqbM3-AEpThF3ZSUa1AcmHnmRTF1vlJ1CZGcJ8YuU/edit?usp=sharing"",""สุรินทร์!R143"")+IMPORTRANG"&amp;"E(""https://docs.google.com/spreadsheets/d/13JHU_EFbsQOUQ0JSQ3dWy1VTRosIWcDq6Nc99z2qzdc/edit?usp=sharing"",""หนองคาย!R143"")+IMPORTRANGE(""https://docs.google.com/spreadsheets/d/1Hx73zIEgVdDZZaYSTc46Dqv64atFhpr3GelxLbaIN8A/edit?usp=sharing"",""หนองบัวลำภู"&amp;"!R143"")+IMPORTRANGE(""https://docs.google.com/spreadsheets/d/1lFxr3ctmjFN90yc-xV6jrQ9Ty8BKYVBWnAZ15wcNIJc/edit?usp=sharing"",""อำนาจเจริญ!R143"")+IMPORTRANGE(""https://docs.google.com/spreadsheets/d/1gF7RJpRnL-1oyjyeWxs5SFWEH7y8ahOZsQlyp2A2e-A/edit?usp=s"&amp;"haring"",""อุดรธานี!R143"")+IMPORTRANGE(""https://docs.google.com/spreadsheets/d/1kfLP0j3INXRa8bTDpcEmoWewMBV61jlFlfzczfjWIgc/edit?usp=sharing"",""อุบลราชธานี!R143"")"),0)</f>
        <v>0</v>
      </c>
      <c r="S143" s="57">
        <f ca="1">IFERROR(__xludf.DUMMYFUNCTION("IMPORTRANGE(""https://docs.google.com/spreadsheets/d/1yhBcrRPreicbMKl9Bu_Snb2-OcQAF62RKfhTLhJ2eAA/edit?usp=sharing"",""กาฬสินธุ์!S143"")+IMPORTRANGE(""https://docs.google.com/spreadsheets/d/1aHkj4IaQMThhwWwevcOymEh837vdxeC_PycurhTbGFA/edit?usp=sharing"","&amp;"""ขอนแก่น!S143"")+IMPORTRANGE(""https://docs.google.com/spreadsheets/d/1FvTu2DsIWUjP6WCWra38Bkj_oOl_sOMf14r5Fg5srxU/edit?usp=sharing"",""ชัยภูมิ!S143"")+IMPORTRANGE(""https://docs.google.com/spreadsheets/d/1XVB7oCJ3pr-vBUdflwPQ8Z2LlzhnCvZaaYjAfP-647E/edit"&amp;"?usp=sharing"",""นครพนม!S143"")+IMPORTRANGE(""https://docs.google.com/spreadsheets/d/1Mnpb-8PYAgn85W6KOTD40hc_Xc55CaLfHoGAbrZ8tls/edit?usp=sharing"",""นครราชสีมา!S143"")+IMPORTRANGE(""https://docs.google.com/spreadsheets/d/1xoDLGBv9CYbyosIhki0kTq6IpYNj-gp"&amp;"jxfobnaDiut0/edit?usp=sharing"",""บึงกาฬ!S143"")+IMPORTRANGE(""https://docs.google.com/spreadsheets/d/1MMPq-JyI6DSgQETxuSiXkesP-P7JHuemnE6QJIa-Nlw/edit?usp=sharing"",""บุรีรัมย์!S143"")+IMPORTRANGE(""https://docs.google.com/spreadsheets/d/1l6IZ8xUPgMrESzc"&amp;"TYwhA1k_tPjeQjJPTqlm8Gd9eU5g/edit?usp=sharing"",""มหาสารคาม!S143"")+IMPORTRANGE(""https://docs.google.com/spreadsheets/d/1uB74YLqNjWX6FObjekfB2NtSYigTQyR2rq9u4Ub2Sq4/edit?usp=sharing"",""มุกดาหาร!S143"")+IMPORTRANGE(""https://docs.google.com/spreadsheets/"&amp;"d/1NexK3geCPxCTO1fzNF8dPec7yZyUx3OaWkFBC9HsQOo/edit?usp=sharing"",""ยโสธร!S143"")+IMPORTRANGE(""https://docs.google.com/spreadsheets/d/1v_cJrbBlyqmnHPReHk44g9NrMRdENNlSy_E_c5M9fIg/edit?usp=sharing"",""ร้อยเอ็ด!S143"")+IMPORTRANGE(""https://docs.google.com"&amp;"/spreadsheets/d/1Ul4RCpCX66NxYADU1QpwAPjOmBzW64SsT11s1wzXw_c/edit?usp=sharing"",""เลย!S143"")+IMPORTRANGE(""https://docs.google.com/spreadsheets/d/1bRrNKwbHDVktQG10isr5vbWRtt5spIZPpkOSWgbT5ug/edit?usp=sharing"",""ศรีสะเกษ!S143"")+IMPORTRANGE(""https://doc"&amp;"s.google.com/spreadsheets/d/17P34_Ow5kFBfdQD0qspb2UuPX5zpi6WMrQzslghyvrI/edit?usp=sharing"",""สกลนคร!S143"")+IMPORTRANGE(""https://docs.google.com/spreadsheets/d/1yswqbM3-AEpThF3ZSUa1AcmHnmRTF1vlJ1CZGcJ8YuU/edit?usp=sharing"",""สุรินทร์!S143"")+IMPORTRANG"&amp;"E(""https://docs.google.com/spreadsheets/d/13JHU_EFbsQOUQ0JSQ3dWy1VTRosIWcDq6Nc99z2qzdc/edit?usp=sharing"",""หนองคาย!S143"")+IMPORTRANGE(""https://docs.google.com/spreadsheets/d/1Hx73zIEgVdDZZaYSTc46Dqv64atFhpr3GelxLbaIN8A/edit?usp=sharing"",""หนองบัวลำภู"&amp;"!S143"")+IMPORTRANGE(""https://docs.google.com/spreadsheets/d/1lFxr3ctmjFN90yc-xV6jrQ9Ty8BKYVBWnAZ15wcNIJc/edit?usp=sharing"",""อำนาจเจริญ!S143"")+IMPORTRANGE(""https://docs.google.com/spreadsheets/d/1gF7RJpRnL-1oyjyeWxs5SFWEH7y8ahOZsQlyp2A2e-A/edit?usp=s"&amp;"haring"",""อุดรธานี!S143"")+IMPORTRANGE(""https://docs.google.com/spreadsheets/d/1kfLP0j3INXRa8bTDpcEmoWewMBV61jlFlfzczfjWIgc/edit?usp=sharing"",""อุบลราชธานี!S143"")"),0)</f>
        <v>0</v>
      </c>
      <c r="T143" s="59">
        <f t="shared" ca="1" si="113"/>
        <v>0</v>
      </c>
      <c r="U143" s="59">
        <f t="shared" ca="1" si="114"/>
        <v>0</v>
      </c>
    </row>
    <row r="144" spans="1:21" ht="18.75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56">
        <f ca="1">IFERROR(__xludf.DUMMYFUNCTION("IMPORTRANGE(""https://docs.google.com/spreadsheets/d/1yhBcrRPreicbMKl9Bu_Snb2-OcQAF62RKfhTLhJ2eAA/edit?usp=sharing"",""กาฬสินธุ์!L144"")+IMPORTRANGE(""https://docs.google.com/spreadsheets/d/1aHkj4IaQMThhwWwevcOymEh837vdxeC_PycurhTbGFA/edit?usp=sharing"","&amp;"""ขอนแก่น!L144"")+IMPORTRANGE(""https://docs.google.com/spreadsheets/d/1FvTu2DsIWUjP6WCWra38Bkj_oOl_sOMf14r5Fg5srxU/edit?usp=sharing"",""ชัยภูมิ!L144"")+IMPORTRANGE(""https://docs.google.com/spreadsheets/d/1XVB7oCJ3pr-vBUdflwPQ8Z2LlzhnCvZaaYjAfP-647E/edit"&amp;"?usp=sharing"",""นครพนม!L144"")+IMPORTRANGE(""https://docs.google.com/spreadsheets/d/1Mnpb-8PYAgn85W6KOTD40hc_Xc55CaLfHoGAbrZ8tls/edit?usp=sharing"",""นครราชสีมา!L144"")+IMPORTRANGE(""https://docs.google.com/spreadsheets/d/1xoDLGBv9CYbyosIhki0kTq6IpYNj-gp"&amp;"jxfobnaDiut0/edit?usp=sharing"",""บึงกาฬ!L144"")+IMPORTRANGE(""https://docs.google.com/spreadsheets/d/1MMPq-JyI6DSgQETxuSiXkesP-P7JHuemnE6QJIa-Nlw/edit?usp=sharing"",""บุรีรัมย์!L144"")+IMPORTRANGE(""https://docs.google.com/spreadsheets/d/1l6IZ8xUPgMrESzc"&amp;"TYwhA1k_tPjeQjJPTqlm8Gd9eU5g/edit?usp=sharing"",""มหาสารคาม!L144"")+IMPORTRANGE(""https://docs.google.com/spreadsheets/d/1uB74YLqNjWX6FObjekfB2NtSYigTQyR2rq9u4Ub2Sq4/edit?usp=sharing"",""มุกดาหาร!L144"")+IMPORTRANGE(""https://docs.google.com/spreadsheets/"&amp;"d/1NexK3geCPxCTO1fzNF8dPec7yZyUx3OaWkFBC9HsQOo/edit?usp=sharing"",""ยโสธร!L144"")+IMPORTRANGE(""https://docs.google.com/spreadsheets/d/1v_cJrbBlyqmnHPReHk44g9NrMRdENNlSy_E_c5M9fIg/edit?usp=sharing"",""ร้อยเอ็ด!L144"")+IMPORTRANGE(""https://docs.google.com"&amp;"/spreadsheets/d/1Ul4RCpCX66NxYADU1QpwAPjOmBzW64SsT11s1wzXw_c/edit?usp=sharing"",""เลย!L144"")+IMPORTRANGE(""https://docs.google.com/spreadsheets/d/1bRrNKwbHDVktQG10isr5vbWRtt5spIZPpkOSWgbT5ug/edit?usp=sharing"",""ศรีสะเกษ!L144"")+IMPORTRANGE(""https://doc"&amp;"s.google.com/spreadsheets/d/17P34_Ow5kFBfdQD0qspb2UuPX5zpi6WMrQzslghyvrI/edit?usp=sharing"",""สกลนคร!L144"")+IMPORTRANGE(""https://docs.google.com/spreadsheets/d/1yswqbM3-AEpThF3ZSUa1AcmHnmRTF1vlJ1CZGcJ8YuU/edit?usp=sharing"",""สุรินทร์!L144"")+IMPORTRANG"&amp;"E(""https://docs.google.com/spreadsheets/d/13JHU_EFbsQOUQ0JSQ3dWy1VTRosIWcDq6Nc99z2qzdc/edit?usp=sharing"",""หนองคาย!L144"")+IMPORTRANGE(""https://docs.google.com/spreadsheets/d/1Hx73zIEgVdDZZaYSTc46Dqv64atFhpr3GelxLbaIN8A/edit?usp=sharing"",""หนองบัวลำภู"&amp;"!L144"")+IMPORTRANGE(""https://docs.google.com/spreadsheets/d/1lFxr3ctmjFN90yc-xV6jrQ9Ty8BKYVBWnAZ15wcNIJc/edit?usp=sharing"",""อำนาจเจริญ!L144"")+IMPORTRANGE(""https://docs.google.com/spreadsheets/d/1gF7RJpRnL-1oyjyeWxs5SFWEH7y8ahOZsQlyp2A2e-A/edit?usp=s"&amp;"haring"",""อุดรธานี!L144"")+IMPORTRANGE(""https://docs.google.com/spreadsheets/d/1kfLP0j3INXRa8bTDpcEmoWewMBV61jlFlfzczfjWIgc/edit?usp=sharing"",""อุบลราชธานี!L144"")"),772800)</f>
        <v>772800</v>
      </c>
      <c r="M144" s="56">
        <f ca="1">IFERROR(__xludf.DUMMYFUNCTION("IMPORTRANGE(""https://docs.google.com/spreadsheets/d/1yhBcrRPreicbMKl9Bu_Snb2-OcQAF62RKfhTLhJ2eAA/edit?usp=sharing"",""กาฬสินธุ์!M144"")+IMPORTRANGE(""https://docs.google.com/spreadsheets/d/1aHkj4IaQMThhwWwevcOymEh837vdxeC_PycurhTbGFA/edit?usp=sharing"","&amp;"""ขอนแก่น!M144"")+IMPORTRANGE(""https://docs.google.com/spreadsheets/d/1FvTu2DsIWUjP6WCWra38Bkj_oOl_sOMf14r5Fg5srxU/edit?usp=sharing"",""ชัยภูมิ!M144"")+IMPORTRANGE(""https://docs.google.com/spreadsheets/d/1XVB7oCJ3pr-vBUdflwPQ8Z2LlzhnCvZaaYjAfP-647E/edit"&amp;"?usp=sharing"",""นครพนม!M144"")+IMPORTRANGE(""https://docs.google.com/spreadsheets/d/1Mnpb-8PYAgn85W6KOTD40hc_Xc55CaLfHoGAbrZ8tls/edit?usp=sharing"",""นครราชสีมา!M144"")+IMPORTRANGE(""https://docs.google.com/spreadsheets/d/1xoDLGBv9CYbyosIhki0kTq6IpYNj-gp"&amp;"jxfobnaDiut0/edit?usp=sharing"",""บึงกาฬ!M144"")+IMPORTRANGE(""https://docs.google.com/spreadsheets/d/1MMPq-JyI6DSgQETxuSiXkesP-P7JHuemnE6QJIa-Nlw/edit?usp=sharing"",""บุรีรัมย์!M144"")+IMPORTRANGE(""https://docs.google.com/spreadsheets/d/1l6IZ8xUPgMrESzc"&amp;"TYwhA1k_tPjeQjJPTqlm8Gd9eU5g/edit?usp=sharing"",""มหาสารคาม!M144"")+IMPORTRANGE(""https://docs.google.com/spreadsheets/d/1uB74YLqNjWX6FObjekfB2NtSYigTQyR2rq9u4Ub2Sq4/edit?usp=sharing"",""มุกดาหาร!M144"")+IMPORTRANGE(""https://docs.google.com/spreadsheets/"&amp;"d/1NexK3geCPxCTO1fzNF8dPec7yZyUx3OaWkFBC9HsQOo/edit?usp=sharing"",""ยโสธร!M144"")+IMPORTRANGE(""https://docs.google.com/spreadsheets/d/1v_cJrbBlyqmnHPReHk44g9NrMRdENNlSy_E_c5M9fIg/edit?usp=sharing"",""ร้อยเอ็ด!M144"")+IMPORTRANGE(""https://docs.google.com"&amp;"/spreadsheets/d/1Ul4RCpCX66NxYADU1QpwAPjOmBzW64SsT11s1wzXw_c/edit?usp=sharing"",""เลย!M144"")+IMPORTRANGE(""https://docs.google.com/spreadsheets/d/1bRrNKwbHDVktQG10isr5vbWRtt5spIZPpkOSWgbT5ug/edit?usp=sharing"",""ศรีสะเกษ!M144"")+IMPORTRANGE(""https://doc"&amp;"s.google.com/spreadsheets/d/17P34_Ow5kFBfdQD0qspb2UuPX5zpi6WMrQzslghyvrI/edit?usp=sharing"",""สกลนคร!M144"")+IMPORTRANGE(""https://docs.google.com/spreadsheets/d/1yswqbM3-AEpThF3ZSUa1AcmHnmRTF1vlJ1CZGcJ8YuU/edit?usp=sharing"",""สุรินทร์!M144"")+IMPORTRANG"&amp;"E(""https://docs.google.com/spreadsheets/d/13JHU_EFbsQOUQ0JSQ3dWy1VTRosIWcDq6Nc99z2qzdc/edit?usp=sharing"",""หนองคาย!M144"")+IMPORTRANGE(""https://docs.google.com/spreadsheets/d/1Hx73zIEgVdDZZaYSTc46Dqv64atFhpr3GelxLbaIN8A/edit?usp=sharing"",""หนองบัวลำภู"&amp;"!M144"")+IMPORTRANGE(""https://docs.google.com/spreadsheets/d/1lFxr3ctmjFN90yc-xV6jrQ9Ty8BKYVBWnAZ15wcNIJc/edit?usp=sharing"",""อำนาจเจริญ!M144"")+IMPORTRANGE(""https://docs.google.com/spreadsheets/d/1gF7RJpRnL-1oyjyeWxs5SFWEH7y8ahOZsQlyp2A2e-A/edit?usp=s"&amp;"haring"",""อุดรธานี!M144"")+IMPORTRANGE(""https://docs.google.com/spreadsheets/d/1kfLP0j3INXRa8bTDpcEmoWewMBV61jlFlfzczfjWIgc/edit?usp=sharing"",""อุบลราชธานี!M144"")"),717800)</f>
        <v>717800</v>
      </c>
      <c r="N144" s="56">
        <f ca="1">IFERROR(__xludf.DUMMYFUNCTION("IMPORTRANGE(""https://docs.google.com/spreadsheets/d/1yhBcrRPreicbMKl9Bu_Snb2-OcQAF62RKfhTLhJ2eAA/edit?usp=sharing"",""กาฬสินธุ์!N144"")+IMPORTRANGE(""https://docs.google.com/spreadsheets/d/1aHkj4IaQMThhwWwevcOymEh837vdxeC_PycurhTbGFA/edit?usp=sharing"","&amp;"""ขอนแก่น!N144"")+IMPORTRANGE(""https://docs.google.com/spreadsheets/d/1FvTu2DsIWUjP6WCWra38Bkj_oOl_sOMf14r5Fg5srxU/edit?usp=sharing"",""ชัยภูมิ!N144"")+IMPORTRANGE(""https://docs.google.com/spreadsheets/d/1XVB7oCJ3pr-vBUdflwPQ8Z2LlzhnCvZaaYjAfP-647E/edit"&amp;"?usp=sharing"",""นครพนม!N144"")+IMPORTRANGE(""https://docs.google.com/spreadsheets/d/1Mnpb-8PYAgn85W6KOTD40hc_Xc55CaLfHoGAbrZ8tls/edit?usp=sharing"",""นครราชสีมา!N144"")+IMPORTRANGE(""https://docs.google.com/spreadsheets/d/1xoDLGBv9CYbyosIhki0kTq6IpYNj-gp"&amp;"jxfobnaDiut0/edit?usp=sharing"",""บึงกาฬ!N144"")+IMPORTRANGE(""https://docs.google.com/spreadsheets/d/1MMPq-JyI6DSgQETxuSiXkesP-P7JHuemnE6QJIa-Nlw/edit?usp=sharing"",""บุรีรัมย์!N144"")+IMPORTRANGE(""https://docs.google.com/spreadsheets/d/1l6IZ8xUPgMrESzc"&amp;"TYwhA1k_tPjeQjJPTqlm8Gd9eU5g/edit?usp=sharing"",""มหาสารคาม!N144"")+IMPORTRANGE(""https://docs.google.com/spreadsheets/d/1uB74YLqNjWX6FObjekfB2NtSYigTQyR2rq9u4Ub2Sq4/edit?usp=sharing"",""มุกดาหาร!N144"")+IMPORTRANGE(""https://docs.google.com/spreadsheets/"&amp;"d/1NexK3geCPxCTO1fzNF8dPec7yZyUx3OaWkFBC9HsQOo/edit?usp=sharing"",""ยโสธร!N144"")+IMPORTRANGE(""https://docs.google.com/spreadsheets/d/1v_cJrbBlyqmnHPReHk44g9NrMRdENNlSy_E_c5M9fIg/edit?usp=sharing"",""ร้อยเอ็ด!N144"")+IMPORTRANGE(""https://docs.google.com"&amp;"/spreadsheets/d/1Ul4RCpCX66NxYADU1QpwAPjOmBzW64SsT11s1wzXw_c/edit?usp=sharing"",""เลย!N144"")+IMPORTRANGE(""https://docs.google.com/spreadsheets/d/1bRrNKwbHDVktQG10isr5vbWRtt5spIZPpkOSWgbT5ug/edit?usp=sharing"",""ศรีสะเกษ!N144"")+IMPORTRANGE(""https://doc"&amp;"s.google.com/spreadsheets/d/17P34_Ow5kFBfdQD0qspb2UuPX5zpi6WMrQzslghyvrI/edit?usp=sharing"",""สกลนคร!N144"")+IMPORTRANGE(""https://docs.google.com/spreadsheets/d/1yswqbM3-AEpThF3ZSUa1AcmHnmRTF1vlJ1CZGcJ8YuU/edit?usp=sharing"",""สุรินทร์!N144"")+IMPORTRANG"&amp;"E(""https://docs.google.com/spreadsheets/d/13JHU_EFbsQOUQ0JSQ3dWy1VTRosIWcDq6Nc99z2qzdc/edit?usp=sharing"",""หนองคาย!N144"")+IMPORTRANGE(""https://docs.google.com/spreadsheets/d/1Hx73zIEgVdDZZaYSTc46Dqv64atFhpr3GelxLbaIN8A/edit?usp=sharing"",""หนองบัวลำภู"&amp;"!N144"")+IMPORTRANGE(""https://docs.google.com/spreadsheets/d/1lFxr3ctmjFN90yc-xV6jrQ9Ty8BKYVBWnAZ15wcNIJc/edit?usp=sharing"",""อำนาจเจริญ!N144"")+IMPORTRANGE(""https://docs.google.com/spreadsheets/d/1gF7RJpRnL-1oyjyeWxs5SFWEH7y8ahOZsQlyp2A2e-A/edit?usp=s"&amp;"haring"",""อุดรธานี!N144"")+IMPORTRANGE(""https://docs.google.com/spreadsheets/d/1kfLP0j3INXRa8bTDpcEmoWewMBV61jlFlfzczfjWIgc/edit?usp=sharing"",""อุบลราชธานี!N144"")"),497890.15)</f>
        <v>497890.15</v>
      </c>
      <c r="O144" s="56">
        <f t="shared" ca="1" si="110"/>
        <v>64.426779244306417</v>
      </c>
      <c r="P144" s="56">
        <f t="shared" ca="1" si="111"/>
        <v>69.363353301755367</v>
      </c>
      <c r="Q144" s="56">
        <f ca="1">IFERROR(__xludf.DUMMYFUNCTION("IMPORTRANGE(""https://docs.google.com/spreadsheets/d/1yhBcrRPreicbMKl9Bu_Snb2-OcQAF62RKfhTLhJ2eAA/edit?usp=sharing"",""กาฬสินธุ์!Q144"")+IMPORTRANGE(""https://docs.google.com/spreadsheets/d/1aHkj4IaQMThhwWwevcOymEh837vdxeC_PycurhTbGFA/edit?usp=sharing"","&amp;"""ขอนแก่น!Q144"")+IMPORTRANGE(""https://docs.google.com/spreadsheets/d/1FvTu2DsIWUjP6WCWra38Bkj_oOl_sOMf14r5Fg5srxU/edit?usp=sharing"",""ชัยภูมิ!Q144"")+IMPORTRANGE(""https://docs.google.com/spreadsheets/d/1XVB7oCJ3pr-vBUdflwPQ8Z2LlzhnCvZaaYjAfP-647E/edit"&amp;"?usp=sharing"",""นครพนม!Q144"")+IMPORTRANGE(""https://docs.google.com/spreadsheets/d/1Mnpb-8PYAgn85W6KOTD40hc_Xc55CaLfHoGAbrZ8tls/edit?usp=sharing"",""นครราชสีมา!Q144"")+IMPORTRANGE(""https://docs.google.com/spreadsheets/d/1xoDLGBv9CYbyosIhki0kTq6IpYNj-gp"&amp;"jxfobnaDiut0/edit?usp=sharing"",""บึงกาฬ!Q144"")+IMPORTRANGE(""https://docs.google.com/spreadsheets/d/1MMPq-JyI6DSgQETxuSiXkesP-P7JHuemnE6QJIa-Nlw/edit?usp=sharing"",""บุรีรัมย์!Q144"")+IMPORTRANGE(""https://docs.google.com/spreadsheets/d/1l6IZ8xUPgMrESzc"&amp;"TYwhA1k_tPjeQjJPTqlm8Gd9eU5g/edit?usp=sharing"",""มหาสารคาม!Q144"")+IMPORTRANGE(""https://docs.google.com/spreadsheets/d/1uB74YLqNjWX6FObjekfB2NtSYigTQyR2rq9u4Ub2Sq4/edit?usp=sharing"",""มุกดาหาร!Q144"")+IMPORTRANGE(""https://docs.google.com/spreadsheets/"&amp;"d/1NexK3geCPxCTO1fzNF8dPec7yZyUx3OaWkFBC9HsQOo/edit?usp=sharing"",""ยโสธร!Q144"")+IMPORTRANGE(""https://docs.google.com/spreadsheets/d/1v_cJrbBlyqmnHPReHk44g9NrMRdENNlSy_E_c5M9fIg/edit?usp=sharing"",""ร้อยเอ็ด!Q144"")+IMPORTRANGE(""https://docs.google.com"&amp;"/spreadsheets/d/1Ul4RCpCX66NxYADU1QpwAPjOmBzW64SsT11s1wzXw_c/edit?usp=sharing"",""เลย!Q144"")+IMPORTRANGE(""https://docs.google.com/spreadsheets/d/1bRrNKwbHDVktQG10isr5vbWRtt5spIZPpkOSWgbT5ug/edit?usp=sharing"",""ศรีสะเกษ!Q144"")+IMPORTRANGE(""https://doc"&amp;"s.google.com/spreadsheets/d/17P34_Ow5kFBfdQD0qspb2UuPX5zpi6WMrQzslghyvrI/edit?usp=sharing"",""สกลนคร!Q144"")+IMPORTRANGE(""https://docs.google.com/spreadsheets/d/1yswqbM3-AEpThF3ZSUa1AcmHnmRTF1vlJ1CZGcJ8YuU/edit?usp=sharing"",""สุรินทร์!Q144"")+IMPORTRANG"&amp;"E(""https://docs.google.com/spreadsheets/d/13JHU_EFbsQOUQ0JSQ3dWy1VTRosIWcDq6Nc99z2qzdc/edit?usp=sharing"",""หนองคาย!Q144"")+IMPORTRANGE(""https://docs.google.com/spreadsheets/d/1Hx73zIEgVdDZZaYSTc46Dqv64atFhpr3GelxLbaIN8A/edit?usp=sharing"",""หนองบัวลำภู"&amp;"!Q144"")+IMPORTRANGE(""https://docs.google.com/spreadsheets/d/1lFxr3ctmjFN90yc-xV6jrQ9Ty8BKYVBWnAZ15wcNIJc/edit?usp=sharing"",""อำนาจเจริญ!Q144"")+IMPORTRANGE(""https://docs.google.com/spreadsheets/d/1gF7RJpRnL-1oyjyeWxs5SFWEH7y8ahOZsQlyp2A2e-A/edit?usp=s"&amp;"haring"",""อุดรธานี!Q144"")+IMPORTRANGE(""https://docs.google.com/spreadsheets/d/1kfLP0j3INXRa8bTDpcEmoWewMBV61jlFlfzczfjWIgc/edit?usp=sharing"",""อุบลราชธานี!Q144"")"),0)</f>
        <v>0</v>
      </c>
      <c r="R144" s="56">
        <f ca="1">IFERROR(__xludf.DUMMYFUNCTION("IMPORTRANGE(""https://docs.google.com/spreadsheets/d/1yhBcrRPreicbMKl9Bu_Snb2-OcQAF62RKfhTLhJ2eAA/edit?usp=sharing"",""กาฬสินธุ์!R144"")+IMPORTRANGE(""https://docs.google.com/spreadsheets/d/1aHkj4IaQMThhwWwevcOymEh837vdxeC_PycurhTbGFA/edit?usp=sharing"","&amp;"""ขอนแก่น!R144"")+IMPORTRANGE(""https://docs.google.com/spreadsheets/d/1FvTu2DsIWUjP6WCWra38Bkj_oOl_sOMf14r5Fg5srxU/edit?usp=sharing"",""ชัยภูมิ!R144"")+IMPORTRANGE(""https://docs.google.com/spreadsheets/d/1XVB7oCJ3pr-vBUdflwPQ8Z2LlzhnCvZaaYjAfP-647E/edit"&amp;"?usp=sharing"",""นครพนม!R144"")+IMPORTRANGE(""https://docs.google.com/spreadsheets/d/1Mnpb-8PYAgn85W6KOTD40hc_Xc55CaLfHoGAbrZ8tls/edit?usp=sharing"",""นครราชสีมา!R144"")+IMPORTRANGE(""https://docs.google.com/spreadsheets/d/1xoDLGBv9CYbyosIhki0kTq6IpYNj-gp"&amp;"jxfobnaDiut0/edit?usp=sharing"",""บึงกาฬ!R144"")+IMPORTRANGE(""https://docs.google.com/spreadsheets/d/1MMPq-JyI6DSgQETxuSiXkesP-P7JHuemnE6QJIa-Nlw/edit?usp=sharing"",""บุรีรัมย์!R144"")+IMPORTRANGE(""https://docs.google.com/spreadsheets/d/1l6IZ8xUPgMrESzc"&amp;"TYwhA1k_tPjeQjJPTqlm8Gd9eU5g/edit?usp=sharing"",""มหาสารคาม!R144"")+IMPORTRANGE(""https://docs.google.com/spreadsheets/d/1uB74YLqNjWX6FObjekfB2NtSYigTQyR2rq9u4Ub2Sq4/edit?usp=sharing"",""มุกดาหาร!R144"")+IMPORTRANGE(""https://docs.google.com/spreadsheets/"&amp;"d/1NexK3geCPxCTO1fzNF8dPec7yZyUx3OaWkFBC9HsQOo/edit?usp=sharing"",""ยโสธร!R144"")+IMPORTRANGE(""https://docs.google.com/spreadsheets/d/1v_cJrbBlyqmnHPReHk44g9NrMRdENNlSy_E_c5M9fIg/edit?usp=sharing"",""ร้อยเอ็ด!R144"")+IMPORTRANGE(""https://docs.google.com"&amp;"/spreadsheets/d/1Ul4RCpCX66NxYADU1QpwAPjOmBzW64SsT11s1wzXw_c/edit?usp=sharing"",""เลย!R144"")+IMPORTRANGE(""https://docs.google.com/spreadsheets/d/1bRrNKwbHDVktQG10isr5vbWRtt5spIZPpkOSWgbT5ug/edit?usp=sharing"",""ศรีสะเกษ!R144"")+IMPORTRANGE(""https://doc"&amp;"s.google.com/spreadsheets/d/17P34_Ow5kFBfdQD0qspb2UuPX5zpi6WMrQzslghyvrI/edit?usp=sharing"",""สกลนคร!R144"")+IMPORTRANGE(""https://docs.google.com/spreadsheets/d/1yswqbM3-AEpThF3ZSUa1AcmHnmRTF1vlJ1CZGcJ8YuU/edit?usp=sharing"",""สุรินทร์!R144"")+IMPORTRANG"&amp;"E(""https://docs.google.com/spreadsheets/d/13JHU_EFbsQOUQ0JSQ3dWy1VTRosIWcDq6Nc99z2qzdc/edit?usp=sharing"",""หนองคาย!R144"")+IMPORTRANGE(""https://docs.google.com/spreadsheets/d/1Hx73zIEgVdDZZaYSTc46Dqv64atFhpr3GelxLbaIN8A/edit?usp=sharing"",""หนองบัวลำภู"&amp;"!R144"")+IMPORTRANGE(""https://docs.google.com/spreadsheets/d/1lFxr3ctmjFN90yc-xV6jrQ9Ty8BKYVBWnAZ15wcNIJc/edit?usp=sharing"",""อำนาจเจริญ!R144"")+IMPORTRANGE(""https://docs.google.com/spreadsheets/d/1gF7RJpRnL-1oyjyeWxs5SFWEH7y8ahOZsQlyp2A2e-A/edit?usp=s"&amp;"haring"",""อุดรธานี!R144"")+IMPORTRANGE(""https://docs.google.com/spreadsheets/d/1kfLP0j3INXRa8bTDpcEmoWewMBV61jlFlfzczfjWIgc/edit?usp=sharing"",""อุบลราชธานี!R144"")"),0)</f>
        <v>0</v>
      </c>
      <c r="S144" s="57">
        <f ca="1">IFERROR(__xludf.DUMMYFUNCTION("IMPORTRANGE(""https://docs.google.com/spreadsheets/d/1yhBcrRPreicbMKl9Bu_Snb2-OcQAF62RKfhTLhJ2eAA/edit?usp=sharing"",""กาฬสินธุ์!S144"")+IMPORTRANGE(""https://docs.google.com/spreadsheets/d/1aHkj4IaQMThhwWwevcOymEh837vdxeC_PycurhTbGFA/edit?usp=sharing"","&amp;"""ขอนแก่น!S144"")+IMPORTRANGE(""https://docs.google.com/spreadsheets/d/1FvTu2DsIWUjP6WCWra38Bkj_oOl_sOMf14r5Fg5srxU/edit?usp=sharing"",""ชัยภูมิ!S144"")+IMPORTRANGE(""https://docs.google.com/spreadsheets/d/1XVB7oCJ3pr-vBUdflwPQ8Z2LlzhnCvZaaYjAfP-647E/edit"&amp;"?usp=sharing"",""นครพนม!S144"")+IMPORTRANGE(""https://docs.google.com/spreadsheets/d/1Mnpb-8PYAgn85W6KOTD40hc_Xc55CaLfHoGAbrZ8tls/edit?usp=sharing"",""นครราชสีมา!S144"")+IMPORTRANGE(""https://docs.google.com/spreadsheets/d/1xoDLGBv9CYbyosIhki0kTq6IpYNj-gp"&amp;"jxfobnaDiut0/edit?usp=sharing"",""บึงกาฬ!S144"")+IMPORTRANGE(""https://docs.google.com/spreadsheets/d/1MMPq-JyI6DSgQETxuSiXkesP-P7JHuemnE6QJIa-Nlw/edit?usp=sharing"",""บุรีรัมย์!S144"")+IMPORTRANGE(""https://docs.google.com/spreadsheets/d/1l6IZ8xUPgMrESzc"&amp;"TYwhA1k_tPjeQjJPTqlm8Gd9eU5g/edit?usp=sharing"",""มหาสารคาม!S144"")+IMPORTRANGE(""https://docs.google.com/spreadsheets/d/1uB74YLqNjWX6FObjekfB2NtSYigTQyR2rq9u4Ub2Sq4/edit?usp=sharing"",""มุกดาหาร!S144"")+IMPORTRANGE(""https://docs.google.com/spreadsheets/"&amp;"d/1NexK3geCPxCTO1fzNF8dPec7yZyUx3OaWkFBC9HsQOo/edit?usp=sharing"",""ยโสธร!S144"")+IMPORTRANGE(""https://docs.google.com/spreadsheets/d/1v_cJrbBlyqmnHPReHk44g9NrMRdENNlSy_E_c5M9fIg/edit?usp=sharing"",""ร้อยเอ็ด!S144"")+IMPORTRANGE(""https://docs.google.com"&amp;"/spreadsheets/d/1Ul4RCpCX66NxYADU1QpwAPjOmBzW64SsT11s1wzXw_c/edit?usp=sharing"",""เลย!S144"")+IMPORTRANGE(""https://docs.google.com/spreadsheets/d/1bRrNKwbHDVktQG10isr5vbWRtt5spIZPpkOSWgbT5ug/edit?usp=sharing"",""ศรีสะเกษ!S144"")+IMPORTRANGE(""https://doc"&amp;"s.google.com/spreadsheets/d/17P34_Ow5kFBfdQD0qspb2UuPX5zpi6WMrQzslghyvrI/edit?usp=sharing"",""สกลนคร!S144"")+IMPORTRANGE(""https://docs.google.com/spreadsheets/d/1yswqbM3-AEpThF3ZSUa1AcmHnmRTF1vlJ1CZGcJ8YuU/edit?usp=sharing"",""สุรินทร์!S144"")+IMPORTRANG"&amp;"E(""https://docs.google.com/spreadsheets/d/13JHU_EFbsQOUQ0JSQ3dWy1VTRosIWcDq6Nc99z2qzdc/edit?usp=sharing"",""หนองคาย!S144"")+IMPORTRANGE(""https://docs.google.com/spreadsheets/d/1Hx73zIEgVdDZZaYSTc46Dqv64atFhpr3GelxLbaIN8A/edit?usp=sharing"",""หนองบัวลำภู"&amp;"!S144"")+IMPORTRANGE(""https://docs.google.com/spreadsheets/d/1lFxr3ctmjFN90yc-xV6jrQ9Ty8BKYVBWnAZ15wcNIJc/edit?usp=sharing"",""อำนาจเจริญ!S144"")+IMPORTRANGE(""https://docs.google.com/spreadsheets/d/1gF7RJpRnL-1oyjyeWxs5SFWEH7y8ahOZsQlyp2A2e-A/edit?usp=s"&amp;"haring"",""อุดรธานี!S144"")+IMPORTRANGE(""https://docs.google.com/spreadsheets/d/1kfLP0j3INXRa8bTDpcEmoWewMBV61jlFlfzczfjWIgc/edit?usp=sharing"",""อุบลราชธานี!S144"")"),0)</f>
        <v>0</v>
      </c>
      <c r="T144" s="56">
        <f t="shared" ca="1" si="113"/>
        <v>0</v>
      </c>
      <c r="U144" s="56">
        <f t="shared" ca="1" si="114"/>
        <v>0</v>
      </c>
    </row>
    <row r="145" spans="1:21" ht="18.75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56">
        <f t="shared" ref="L145:N145" ca="1" si="121">L146+L147</f>
        <v>0</v>
      </c>
      <c r="M145" s="56">
        <f t="shared" ca="1" si="121"/>
        <v>0</v>
      </c>
      <c r="N145" s="56">
        <f t="shared" ca="1" si="121"/>
        <v>0</v>
      </c>
      <c r="O145" s="56">
        <f t="shared" ca="1" si="110"/>
        <v>0</v>
      </c>
      <c r="P145" s="56">
        <f t="shared" ca="1" si="111"/>
        <v>0</v>
      </c>
      <c r="Q145" s="56">
        <f t="shared" ref="Q145:S145" ca="1" si="122">Q146+Q147</f>
        <v>0</v>
      </c>
      <c r="R145" s="56">
        <f t="shared" ca="1" si="122"/>
        <v>0</v>
      </c>
      <c r="S145" s="57">
        <f t="shared" ca="1" si="122"/>
        <v>0</v>
      </c>
      <c r="T145" s="56">
        <f t="shared" ca="1" si="113"/>
        <v>0</v>
      </c>
      <c r="U145" s="56">
        <f t="shared" ca="1" si="114"/>
        <v>0</v>
      </c>
    </row>
    <row r="146" spans="1:21" ht="18.75">
      <c r="A146" s="155"/>
      <c r="B146" s="50"/>
      <c r="C146" s="50"/>
      <c r="D146" s="50"/>
      <c r="E146" s="58" t="s">
        <v>20</v>
      </c>
      <c r="F146" s="50"/>
      <c r="G146" s="52"/>
      <c r="H146" s="162" t="s">
        <v>14</v>
      </c>
      <c r="I146" s="163"/>
      <c r="J146" s="163"/>
      <c r="K146" s="164"/>
      <c r="L146" s="56">
        <f ca="1">IFERROR(__xludf.DUMMYFUNCTION("IMPORTRANGE(""https://docs.google.com/spreadsheets/d/1yhBcrRPreicbMKl9Bu_Snb2-OcQAF62RKfhTLhJ2eAA/edit?usp=sharing"",""กาฬสินธุ์!L146"")+IMPORTRANGE(""https://docs.google.com/spreadsheets/d/1aHkj4IaQMThhwWwevcOymEh837vdxeC_PycurhTbGFA/edit?usp=sharing"","&amp;"""ขอนแก่น!L146"")+IMPORTRANGE(""https://docs.google.com/spreadsheets/d/1FvTu2DsIWUjP6WCWra38Bkj_oOl_sOMf14r5Fg5srxU/edit?usp=sharing"",""ชัยภูมิ!L146"")+IMPORTRANGE(""https://docs.google.com/spreadsheets/d/1XVB7oCJ3pr-vBUdflwPQ8Z2LlzhnCvZaaYjAfP-647E/edit"&amp;"?usp=sharing"",""นครพนม!L146"")+IMPORTRANGE(""https://docs.google.com/spreadsheets/d/1Mnpb-8PYAgn85W6KOTD40hc_Xc55CaLfHoGAbrZ8tls/edit?usp=sharing"",""นครราชสีมา!L146"")+IMPORTRANGE(""https://docs.google.com/spreadsheets/d/1xoDLGBv9CYbyosIhki0kTq6IpYNj-gp"&amp;"jxfobnaDiut0/edit?usp=sharing"",""บึงกาฬ!L146"")+IMPORTRANGE(""https://docs.google.com/spreadsheets/d/1MMPq-JyI6DSgQETxuSiXkesP-P7JHuemnE6QJIa-Nlw/edit?usp=sharing"",""บุรีรัมย์!L146"")+IMPORTRANGE(""https://docs.google.com/spreadsheets/d/1l6IZ8xUPgMrESzc"&amp;"TYwhA1k_tPjeQjJPTqlm8Gd9eU5g/edit?usp=sharing"",""มหาสารคาม!L146"")+IMPORTRANGE(""https://docs.google.com/spreadsheets/d/1uB74YLqNjWX6FObjekfB2NtSYigTQyR2rq9u4Ub2Sq4/edit?usp=sharing"",""มุกดาหาร!L146"")+IMPORTRANGE(""https://docs.google.com/spreadsheets/"&amp;"d/1NexK3geCPxCTO1fzNF8dPec7yZyUx3OaWkFBC9HsQOo/edit?usp=sharing"",""ยโสธร!L146"")+IMPORTRANGE(""https://docs.google.com/spreadsheets/d/1v_cJrbBlyqmnHPReHk44g9NrMRdENNlSy_E_c5M9fIg/edit?usp=sharing"",""ร้อยเอ็ด!L146"")+IMPORTRANGE(""https://docs.google.com"&amp;"/spreadsheets/d/1Ul4RCpCX66NxYADU1QpwAPjOmBzW64SsT11s1wzXw_c/edit?usp=sharing"",""เลย!L146"")+IMPORTRANGE(""https://docs.google.com/spreadsheets/d/1bRrNKwbHDVktQG10isr5vbWRtt5spIZPpkOSWgbT5ug/edit?usp=sharing"",""ศรีสะเกษ!L146"")+IMPORTRANGE(""https://doc"&amp;"s.google.com/spreadsheets/d/17P34_Ow5kFBfdQD0qspb2UuPX5zpi6WMrQzslghyvrI/edit?usp=sharing"",""สกลนคร!L146"")+IMPORTRANGE(""https://docs.google.com/spreadsheets/d/1yswqbM3-AEpThF3ZSUa1AcmHnmRTF1vlJ1CZGcJ8YuU/edit?usp=sharing"",""สุรินทร์!L146"")+IMPORTRANG"&amp;"E(""https://docs.google.com/spreadsheets/d/13JHU_EFbsQOUQ0JSQ3dWy1VTRosIWcDq6Nc99z2qzdc/edit?usp=sharing"",""หนองคาย!L146"")+IMPORTRANGE(""https://docs.google.com/spreadsheets/d/1Hx73zIEgVdDZZaYSTc46Dqv64atFhpr3GelxLbaIN8A/edit?usp=sharing"",""หนองบัวลำภู"&amp;"!L146"")+IMPORTRANGE(""https://docs.google.com/spreadsheets/d/1lFxr3ctmjFN90yc-xV6jrQ9Ty8BKYVBWnAZ15wcNIJc/edit?usp=sharing"",""อำนาจเจริญ!L146"")+IMPORTRANGE(""https://docs.google.com/spreadsheets/d/1gF7RJpRnL-1oyjyeWxs5SFWEH7y8ahOZsQlyp2A2e-A/edit?usp=s"&amp;"haring"",""อุดรธานี!L146"")+IMPORTRANGE(""https://docs.google.com/spreadsheets/d/1kfLP0j3INXRa8bTDpcEmoWewMBV61jlFlfzczfjWIgc/edit?usp=sharing"",""อุบลราชธานี!L146"")"),0)</f>
        <v>0</v>
      </c>
      <c r="M146" s="56">
        <f ca="1">IFERROR(__xludf.DUMMYFUNCTION("IMPORTRANGE(""https://docs.google.com/spreadsheets/d/1yhBcrRPreicbMKl9Bu_Snb2-OcQAF62RKfhTLhJ2eAA/edit?usp=sharing"",""กาฬสินธุ์!M146"")+IMPORTRANGE(""https://docs.google.com/spreadsheets/d/1aHkj4IaQMThhwWwevcOymEh837vdxeC_PycurhTbGFA/edit?usp=sharing"","&amp;"""ขอนแก่น!M146"")+IMPORTRANGE(""https://docs.google.com/spreadsheets/d/1FvTu2DsIWUjP6WCWra38Bkj_oOl_sOMf14r5Fg5srxU/edit?usp=sharing"",""ชัยภูมิ!M146"")+IMPORTRANGE(""https://docs.google.com/spreadsheets/d/1XVB7oCJ3pr-vBUdflwPQ8Z2LlzhnCvZaaYjAfP-647E/edit"&amp;"?usp=sharing"",""นครพนม!M146"")+IMPORTRANGE(""https://docs.google.com/spreadsheets/d/1Mnpb-8PYAgn85W6KOTD40hc_Xc55CaLfHoGAbrZ8tls/edit?usp=sharing"",""นครราชสีมา!M146"")+IMPORTRANGE(""https://docs.google.com/spreadsheets/d/1xoDLGBv9CYbyosIhki0kTq6IpYNj-gp"&amp;"jxfobnaDiut0/edit?usp=sharing"",""บึงกาฬ!M146"")+IMPORTRANGE(""https://docs.google.com/spreadsheets/d/1MMPq-JyI6DSgQETxuSiXkesP-P7JHuemnE6QJIa-Nlw/edit?usp=sharing"",""บุรีรัมย์!M146"")+IMPORTRANGE(""https://docs.google.com/spreadsheets/d/1l6IZ8xUPgMrESzc"&amp;"TYwhA1k_tPjeQjJPTqlm8Gd9eU5g/edit?usp=sharing"",""มหาสารคาม!M146"")+IMPORTRANGE(""https://docs.google.com/spreadsheets/d/1uB74YLqNjWX6FObjekfB2NtSYigTQyR2rq9u4Ub2Sq4/edit?usp=sharing"",""มุกดาหาร!M146"")+IMPORTRANGE(""https://docs.google.com/spreadsheets/"&amp;"d/1NexK3geCPxCTO1fzNF8dPec7yZyUx3OaWkFBC9HsQOo/edit?usp=sharing"",""ยโสธร!M146"")+IMPORTRANGE(""https://docs.google.com/spreadsheets/d/1v_cJrbBlyqmnHPReHk44g9NrMRdENNlSy_E_c5M9fIg/edit?usp=sharing"",""ร้อยเอ็ด!M146"")+IMPORTRANGE(""https://docs.google.com"&amp;"/spreadsheets/d/1Ul4RCpCX66NxYADU1QpwAPjOmBzW64SsT11s1wzXw_c/edit?usp=sharing"",""เลย!M146"")+IMPORTRANGE(""https://docs.google.com/spreadsheets/d/1bRrNKwbHDVktQG10isr5vbWRtt5spIZPpkOSWgbT5ug/edit?usp=sharing"",""ศรีสะเกษ!M146"")+IMPORTRANGE(""https://doc"&amp;"s.google.com/spreadsheets/d/17P34_Ow5kFBfdQD0qspb2UuPX5zpi6WMrQzslghyvrI/edit?usp=sharing"",""สกลนคร!M146"")+IMPORTRANGE(""https://docs.google.com/spreadsheets/d/1yswqbM3-AEpThF3ZSUa1AcmHnmRTF1vlJ1CZGcJ8YuU/edit?usp=sharing"",""สุรินทร์!M146"")+IMPORTRANG"&amp;"E(""https://docs.google.com/spreadsheets/d/13JHU_EFbsQOUQ0JSQ3dWy1VTRosIWcDq6Nc99z2qzdc/edit?usp=sharing"",""หนองคาย!M146"")+IMPORTRANGE(""https://docs.google.com/spreadsheets/d/1Hx73zIEgVdDZZaYSTc46Dqv64atFhpr3GelxLbaIN8A/edit?usp=sharing"",""หนองบัวลำภู"&amp;"!M146"")+IMPORTRANGE(""https://docs.google.com/spreadsheets/d/1lFxr3ctmjFN90yc-xV6jrQ9Ty8BKYVBWnAZ15wcNIJc/edit?usp=sharing"",""อำนาจเจริญ!M146"")+IMPORTRANGE(""https://docs.google.com/spreadsheets/d/1gF7RJpRnL-1oyjyeWxs5SFWEH7y8ahOZsQlyp2A2e-A/edit?usp=s"&amp;"haring"",""อุดรธานี!M146"")+IMPORTRANGE(""https://docs.google.com/spreadsheets/d/1kfLP0j3INXRa8bTDpcEmoWewMBV61jlFlfzczfjWIgc/edit?usp=sharing"",""อุบลราชธานี!M146"")"),0)</f>
        <v>0</v>
      </c>
      <c r="N146" s="56">
        <f ca="1">IFERROR(__xludf.DUMMYFUNCTION("IMPORTRANGE(""https://docs.google.com/spreadsheets/d/1yhBcrRPreicbMKl9Bu_Snb2-OcQAF62RKfhTLhJ2eAA/edit?usp=sharing"",""กาฬสินธุ์!N146"")+IMPORTRANGE(""https://docs.google.com/spreadsheets/d/1aHkj4IaQMThhwWwevcOymEh837vdxeC_PycurhTbGFA/edit?usp=sharing"","&amp;"""ขอนแก่น!N146"")+IMPORTRANGE(""https://docs.google.com/spreadsheets/d/1FvTu2DsIWUjP6WCWra38Bkj_oOl_sOMf14r5Fg5srxU/edit?usp=sharing"",""ชัยภูมิ!N146"")+IMPORTRANGE(""https://docs.google.com/spreadsheets/d/1XVB7oCJ3pr-vBUdflwPQ8Z2LlzhnCvZaaYjAfP-647E/edit"&amp;"?usp=sharing"",""นครพนม!N146"")+IMPORTRANGE(""https://docs.google.com/spreadsheets/d/1Mnpb-8PYAgn85W6KOTD40hc_Xc55CaLfHoGAbrZ8tls/edit?usp=sharing"",""นครราชสีมา!N146"")+IMPORTRANGE(""https://docs.google.com/spreadsheets/d/1xoDLGBv9CYbyosIhki0kTq6IpYNj-gp"&amp;"jxfobnaDiut0/edit?usp=sharing"",""บึงกาฬ!N146"")+IMPORTRANGE(""https://docs.google.com/spreadsheets/d/1MMPq-JyI6DSgQETxuSiXkesP-P7JHuemnE6QJIa-Nlw/edit?usp=sharing"",""บุรีรัมย์!N146"")+IMPORTRANGE(""https://docs.google.com/spreadsheets/d/1l6IZ8xUPgMrESzc"&amp;"TYwhA1k_tPjeQjJPTqlm8Gd9eU5g/edit?usp=sharing"",""มหาสารคาม!N146"")+IMPORTRANGE(""https://docs.google.com/spreadsheets/d/1uB74YLqNjWX6FObjekfB2NtSYigTQyR2rq9u4Ub2Sq4/edit?usp=sharing"",""มุกดาหาร!N146"")+IMPORTRANGE(""https://docs.google.com/spreadsheets/"&amp;"d/1NexK3geCPxCTO1fzNF8dPec7yZyUx3OaWkFBC9HsQOo/edit?usp=sharing"",""ยโสธร!N146"")+IMPORTRANGE(""https://docs.google.com/spreadsheets/d/1v_cJrbBlyqmnHPReHk44g9NrMRdENNlSy_E_c5M9fIg/edit?usp=sharing"",""ร้อยเอ็ด!N146"")+IMPORTRANGE(""https://docs.google.com"&amp;"/spreadsheets/d/1Ul4RCpCX66NxYADU1QpwAPjOmBzW64SsT11s1wzXw_c/edit?usp=sharing"",""เลย!N146"")+IMPORTRANGE(""https://docs.google.com/spreadsheets/d/1bRrNKwbHDVktQG10isr5vbWRtt5spIZPpkOSWgbT5ug/edit?usp=sharing"",""ศรีสะเกษ!N146"")+IMPORTRANGE(""https://doc"&amp;"s.google.com/spreadsheets/d/17P34_Ow5kFBfdQD0qspb2UuPX5zpi6WMrQzslghyvrI/edit?usp=sharing"",""สกลนคร!N146"")+IMPORTRANGE(""https://docs.google.com/spreadsheets/d/1yswqbM3-AEpThF3ZSUa1AcmHnmRTF1vlJ1CZGcJ8YuU/edit?usp=sharing"",""สุรินทร์!N146"")+IMPORTRANG"&amp;"E(""https://docs.google.com/spreadsheets/d/13JHU_EFbsQOUQ0JSQ3dWy1VTRosIWcDq6Nc99z2qzdc/edit?usp=sharing"",""หนองคาย!N146"")+IMPORTRANGE(""https://docs.google.com/spreadsheets/d/1Hx73zIEgVdDZZaYSTc46Dqv64atFhpr3GelxLbaIN8A/edit?usp=sharing"",""หนองบัวลำภู"&amp;"!N146"")+IMPORTRANGE(""https://docs.google.com/spreadsheets/d/1lFxr3ctmjFN90yc-xV6jrQ9Ty8BKYVBWnAZ15wcNIJc/edit?usp=sharing"",""อำนาจเจริญ!N146"")+IMPORTRANGE(""https://docs.google.com/spreadsheets/d/1gF7RJpRnL-1oyjyeWxs5SFWEH7y8ahOZsQlyp2A2e-A/edit?usp=s"&amp;"haring"",""อุดรธานี!N146"")+IMPORTRANGE(""https://docs.google.com/spreadsheets/d/1kfLP0j3INXRa8bTDpcEmoWewMBV61jlFlfzczfjWIgc/edit?usp=sharing"",""อุบลราชธานี!N146"")"),0)</f>
        <v>0</v>
      </c>
      <c r="O146" s="56">
        <f t="shared" ca="1" si="110"/>
        <v>0</v>
      </c>
      <c r="P146" s="56">
        <f t="shared" ca="1" si="111"/>
        <v>0</v>
      </c>
      <c r="Q146" s="56">
        <f ca="1">IFERROR(__xludf.DUMMYFUNCTION("IMPORTRANGE(""https://docs.google.com/spreadsheets/d/1yhBcrRPreicbMKl9Bu_Snb2-OcQAF62RKfhTLhJ2eAA/edit?usp=sharing"",""กาฬสินธุ์!Q146"")+IMPORTRANGE(""https://docs.google.com/spreadsheets/d/1aHkj4IaQMThhwWwevcOymEh837vdxeC_PycurhTbGFA/edit?usp=sharing"","&amp;"""ขอนแก่น!Q146"")+IMPORTRANGE(""https://docs.google.com/spreadsheets/d/1FvTu2DsIWUjP6WCWra38Bkj_oOl_sOMf14r5Fg5srxU/edit?usp=sharing"",""ชัยภูมิ!Q146"")+IMPORTRANGE(""https://docs.google.com/spreadsheets/d/1XVB7oCJ3pr-vBUdflwPQ8Z2LlzhnCvZaaYjAfP-647E/edit"&amp;"?usp=sharing"",""นครพนม!Q146"")+IMPORTRANGE(""https://docs.google.com/spreadsheets/d/1Mnpb-8PYAgn85W6KOTD40hc_Xc55CaLfHoGAbrZ8tls/edit?usp=sharing"",""นครราชสีมา!Q146"")+IMPORTRANGE(""https://docs.google.com/spreadsheets/d/1xoDLGBv9CYbyosIhki0kTq6IpYNj-gp"&amp;"jxfobnaDiut0/edit?usp=sharing"",""บึงกาฬ!Q146"")+IMPORTRANGE(""https://docs.google.com/spreadsheets/d/1MMPq-JyI6DSgQETxuSiXkesP-P7JHuemnE6QJIa-Nlw/edit?usp=sharing"",""บุรีรัมย์!Q146"")+IMPORTRANGE(""https://docs.google.com/spreadsheets/d/1l6IZ8xUPgMrESzc"&amp;"TYwhA1k_tPjeQjJPTqlm8Gd9eU5g/edit?usp=sharing"",""มหาสารคาม!Q146"")+IMPORTRANGE(""https://docs.google.com/spreadsheets/d/1uB74YLqNjWX6FObjekfB2NtSYigTQyR2rq9u4Ub2Sq4/edit?usp=sharing"",""มุกดาหาร!Q146"")+IMPORTRANGE(""https://docs.google.com/spreadsheets/"&amp;"d/1NexK3geCPxCTO1fzNF8dPec7yZyUx3OaWkFBC9HsQOo/edit?usp=sharing"",""ยโสธร!Q146"")+IMPORTRANGE(""https://docs.google.com/spreadsheets/d/1v_cJrbBlyqmnHPReHk44g9NrMRdENNlSy_E_c5M9fIg/edit?usp=sharing"",""ร้อยเอ็ด!Q146"")+IMPORTRANGE(""https://docs.google.com"&amp;"/spreadsheets/d/1Ul4RCpCX66NxYADU1QpwAPjOmBzW64SsT11s1wzXw_c/edit?usp=sharing"",""เลย!Q146"")+IMPORTRANGE(""https://docs.google.com/spreadsheets/d/1bRrNKwbHDVktQG10isr5vbWRtt5spIZPpkOSWgbT5ug/edit?usp=sharing"",""ศรีสะเกษ!Q146"")+IMPORTRANGE(""https://doc"&amp;"s.google.com/spreadsheets/d/17P34_Ow5kFBfdQD0qspb2UuPX5zpi6WMrQzslghyvrI/edit?usp=sharing"",""สกลนคร!Q146"")+IMPORTRANGE(""https://docs.google.com/spreadsheets/d/1yswqbM3-AEpThF3ZSUa1AcmHnmRTF1vlJ1CZGcJ8YuU/edit?usp=sharing"",""สุรินทร์!Q146"")+IMPORTRANG"&amp;"E(""https://docs.google.com/spreadsheets/d/13JHU_EFbsQOUQ0JSQ3dWy1VTRosIWcDq6Nc99z2qzdc/edit?usp=sharing"",""หนองคาย!Q146"")+IMPORTRANGE(""https://docs.google.com/spreadsheets/d/1Hx73zIEgVdDZZaYSTc46Dqv64atFhpr3GelxLbaIN8A/edit?usp=sharing"",""หนองบัวลำภู"&amp;"!Q146"")+IMPORTRANGE(""https://docs.google.com/spreadsheets/d/1lFxr3ctmjFN90yc-xV6jrQ9Ty8BKYVBWnAZ15wcNIJc/edit?usp=sharing"",""อำนาจเจริญ!Q146"")+IMPORTRANGE(""https://docs.google.com/spreadsheets/d/1gF7RJpRnL-1oyjyeWxs5SFWEH7y8ahOZsQlyp2A2e-A/edit?usp=s"&amp;"haring"",""อุดรธานี!Q146"")+IMPORTRANGE(""https://docs.google.com/spreadsheets/d/1kfLP0j3INXRa8bTDpcEmoWewMBV61jlFlfzczfjWIgc/edit?usp=sharing"",""อุบลราชธานี!Q146"")"),0)</f>
        <v>0</v>
      </c>
      <c r="R146" s="56">
        <f ca="1">IFERROR(__xludf.DUMMYFUNCTION("IMPORTRANGE(""https://docs.google.com/spreadsheets/d/1yhBcrRPreicbMKl9Bu_Snb2-OcQAF62RKfhTLhJ2eAA/edit?usp=sharing"",""กาฬสินธุ์!R146"")+IMPORTRANGE(""https://docs.google.com/spreadsheets/d/1aHkj4IaQMThhwWwevcOymEh837vdxeC_PycurhTbGFA/edit?usp=sharing"","&amp;"""ขอนแก่น!R146"")+IMPORTRANGE(""https://docs.google.com/spreadsheets/d/1FvTu2DsIWUjP6WCWra38Bkj_oOl_sOMf14r5Fg5srxU/edit?usp=sharing"",""ชัยภูมิ!R146"")+IMPORTRANGE(""https://docs.google.com/spreadsheets/d/1XVB7oCJ3pr-vBUdflwPQ8Z2LlzhnCvZaaYjAfP-647E/edit"&amp;"?usp=sharing"",""นครพนม!R146"")+IMPORTRANGE(""https://docs.google.com/spreadsheets/d/1Mnpb-8PYAgn85W6KOTD40hc_Xc55CaLfHoGAbrZ8tls/edit?usp=sharing"",""นครราชสีมา!R146"")+IMPORTRANGE(""https://docs.google.com/spreadsheets/d/1xoDLGBv9CYbyosIhki0kTq6IpYNj-gp"&amp;"jxfobnaDiut0/edit?usp=sharing"",""บึงกาฬ!R146"")+IMPORTRANGE(""https://docs.google.com/spreadsheets/d/1MMPq-JyI6DSgQETxuSiXkesP-P7JHuemnE6QJIa-Nlw/edit?usp=sharing"",""บุรีรัมย์!R146"")+IMPORTRANGE(""https://docs.google.com/spreadsheets/d/1l6IZ8xUPgMrESzc"&amp;"TYwhA1k_tPjeQjJPTqlm8Gd9eU5g/edit?usp=sharing"",""มหาสารคาม!R146"")+IMPORTRANGE(""https://docs.google.com/spreadsheets/d/1uB74YLqNjWX6FObjekfB2NtSYigTQyR2rq9u4Ub2Sq4/edit?usp=sharing"",""มุกดาหาร!R146"")+IMPORTRANGE(""https://docs.google.com/spreadsheets/"&amp;"d/1NexK3geCPxCTO1fzNF8dPec7yZyUx3OaWkFBC9HsQOo/edit?usp=sharing"",""ยโสธร!R146"")+IMPORTRANGE(""https://docs.google.com/spreadsheets/d/1v_cJrbBlyqmnHPReHk44g9NrMRdENNlSy_E_c5M9fIg/edit?usp=sharing"",""ร้อยเอ็ด!R146"")+IMPORTRANGE(""https://docs.google.com"&amp;"/spreadsheets/d/1Ul4RCpCX66NxYADU1QpwAPjOmBzW64SsT11s1wzXw_c/edit?usp=sharing"",""เลย!R146"")+IMPORTRANGE(""https://docs.google.com/spreadsheets/d/1bRrNKwbHDVktQG10isr5vbWRtt5spIZPpkOSWgbT5ug/edit?usp=sharing"",""ศรีสะเกษ!R146"")+IMPORTRANGE(""https://doc"&amp;"s.google.com/spreadsheets/d/17P34_Ow5kFBfdQD0qspb2UuPX5zpi6WMrQzslghyvrI/edit?usp=sharing"",""สกลนคร!R146"")+IMPORTRANGE(""https://docs.google.com/spreadsheets/d/1yswqbM3-AEpThF3ZSUa1AcmHnmRTF1vlJ1CZGcJ8YuU/edit?usp=sharing"",""สุรินทร์!R146"")+IMPORTRANG"&amp;"E(""https://docs.google.com/spreadsheets/d/13JHU_EFbsQOUQ0JSQ3dWy1VTRosIWcDq6Nc99z2qzdc/edit?usp=sharing"",""หนองคาย!R146"")+IMPORTRANGE(""https://docs.google.com/spreadsheets/d/1Hx73zIEgVdDZZaYSTc46Dqv64atFhpr3GelxLbaIN8A/edit?usp=sharing"",""หนองบัวลำภู"&amp;"!R146"")+IMPORTRANGE(""https://docs.google.com/spreadsheets/d/1lFxr3ctmjFN90yc-xV6jrQ9Ty8BKYVBWnAZ15wcNIJc/edit?usp=sharing"",""อำนาจเจริญ!R146"")+IMPORTRANGE(""https://docs.google.com/spreadsheets/d/1gF7RJpRnL-1oyjyeWxs5SFWEH7y8ahOZsQlyp2A2e-A/edit?usp=s"&amp;"haring"",""อุดรธานี!R146"")+IMPORTRANGE(""https://docs.google.com/spreadsheets/d/1kfLP0j3INXRa8bTDpcEmoWewMBV61jlFlfzczfjWIgc/edit?usp=sharing"",""อุบลราชธานี!R146"")"),0)</f>
        <v>0</v>
      </c>
      <c r="S146" s="57">
        <f ca="1">IFERROR(__xludf.DUMMYFUNCTION("IMPORTRANGE(""https://docs.google.com/spreadsheets/d/1yhBcrRPreicbMKl9Bu_Snb2-OcQAF62RKfhTLhJ2eAA/edit?usp=sharing"",""กาฬสินธุ์!S146"")+IMPORTRANGE(""https://docs.google.com/spreadsheets/d/1aHkj4IaQMThhwWwevcOymEh837vdxeC_PycurhTbGFA/edit?usp=sharing"","&amp;"""ขอนแก่น!S146"")+IMPORTRANGE(""https://docs.google.com/spreadsheets/d/1FvTu2DsIWUjP6WCWra38Bkj_oOl_sOMf14r5Fg5srxU/edit?usp=sharing"",""ชัยภูมิ!S146"")+IMPORTRANGE(""https://docs.google.com/spreadsheets/d/1XVB7oCJ3pr-vBUdflwPQ8Z2LlzhnCvZaaYjAfP-647E/edit"&amp;"?usp=sharing"",""นครพนม!S146"")+IMPORTRANGE(""https://docs.google.com/spreadsheets/d/1Mnpb-8PYAgn85W6KOTD40hc_Xc55CaLfHoGAbrZ8tls/edit?usp=sharing"",""นครราชสีมา!S146"")+IMPORTRANGE(""https://docs.google.com/spreadsheets/d/1xoDLGBv9CYbyosIhki0kTq6IpYNj-gp"&amp;"jxfobnaDiut0/edit?usp=sharing"",""บึงกาฬ!S146"")+IMPORTRANGE(""https://docs.google.com/spreadsheets/d/1MMPq-JyI6DSgQETxuSiXkesP-P7JHuemnE6QJIa-Nlw/edit?usp=sharing"",""บุรีรัมย์!S146"")+IMPORTRANGE(""https://docs.google.com/spreadsheets/d/1l6IZ8xUPgMrESzc"&amp;"TYwhA1k_tPjeQjJPTqlm8Gd9eU5g/edit?usp=sharing"",""มหาสารคาม!S146"")+IMPORTRANGE(""https://docs.google.com/spreadsheets/d/1uB74YLqNjWX6FObjekfB2NtSYigTQyR2rq9u4Ub2Sq4/edit?usp=sharing"",""มุกดาหาร!S146"")+IMPORTRANGE(""https://docs.google.com/spreadsheets/"&amp;"d/1NexK3geCPxCTO1fzNF8dPec7yZyUx3OaWkFBC9HsQOo/edit?usp=sharing"",""ยโสธร!S146"")+IMPORTRANGE(""https://docs.google.com/spreadsheets/d/1v_cJrbBlyqmnHPReHk44g9NrMRdENNlSy_E_c5M9fIg/edit?usp=sharing"",""ร้อยเอ็ด!S146"")+IMPORTRANGE(""https://docs.google.com"&amp;"/spreadsheets/d/1Ul4RCpCX66NxYADU1QpwAPjOmBzW64SsT11s1wzXw_c/edit?usp=sharing"",""เลย!S146"")+IMPORTRANGE(""https://docs.google.com/spreadsheets/d/1bRrNKwbHDVktQG10isr5vbWRtt5spIZPpkOSWgbT5ug/edit?usp=sharing"",""ศรีสะเกษ!S146"")+IMPORTRANGE(""https://doc"&amp;"s.google.com/spreadsheets/d/17P34_Ow5kFBfdQD0qspb2UuPX5zpi6WMrQzslghyvrI/edit?usp=sharing"",""สกลนคร!S146"")+IMPORTRANGE(""https://docs.google.com/spreadsheets/d/1yswqbM3-AEpThF3ZSUa1AcmHnmRTF1vlJ1CZGcJ8YuU/edit?usp=sharing"",""สุรินทร์!S146"")+IMPORTRANG"&amp;"E(""https://docs.google.com/spreadsheets/d/13JHU_EFbsQOUQ0JSQ3dWy1VTRosIWcDq6Nc99z2qzdc/edit?usp=sharing"",""หนองคาย!S146"")+IMPORTRANGE(""https://docs.google.com/spreadsheets/d/1Hx73zIEgVdDZZaYSTc46Dqv64atFhpr3GelxLbaIN8A/edit?usp=sharing"",""หนองบัวลำภู"&amp;"!S146"")+IMPORTRANGE(""https://docs.google.com/spreadsheets/d/1lFxr3ctmjFN90yc-xV6jrQ9Ty8BKYVBWnAZ15wcNIJc/edit?usp=sharing"",""อำนาจเจริญ!S146"")+IMPORTRANGE(""https://docs.google.com/spreadsheets/d/1gF7RJpRnL-1oyjyeWxs5SFWEH7y8ahOZsQlyp2A2e-A/edit?usp=s"&amp;"haring"",""อุดรธานี!S146"")+IMPORTRANGE(""https://docs.google.com/spreadsheets/d/1kfLP0j3INXRa8bTDpcEmoWewMBV61jlFlfzczfjWIgc/edit?usp=sharing"",""อุบลราชธานี!S146"")"),0)</f>
        <v>0</v>
      </c>
      <c r="T146" s="59">
        <f t="shared" ca="1" si="113"/>
        <v>0</v>
      </c>
      <c r="U146" s="59">
        <f t="shared" ca="1" si="114"/>
        <v>0</v>
      </c>
    </row>
    <row r="147" spans="1:21" ht="18.75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56">
        <f ca="1">IFERROR(__xludf.DUMMYFUNCTION("IMPORTRANGE(""https://docs.google.com/spreadsheets/d/1yhBcrRPreicbMKl9Bu_Snb2-OcQAF62RKfhTLhJ2eAA/edit?usp=sharing"",""กาฬสินธุ์!L147"")+IMPORTRANGE(""https://docs.google.com/spreadsheets/d/1aHkj4IaQMThhwWwevcOymEh837vdxeC_PycurhTbGFA/edit?usp=sharing"","&amp;"""ขอนแก่น!L147"")+IMPORTRANGE(""https://docs.google.com/spreadsheets/d/1FvTu2DsIWUjP6WCWra38Bkj_oOl_sOMf14r5Fg5srxU/edit?usp=sharing"",""ชัยภูมิ!L147"")+IMPORTRANGE(""https://docs.google.com/spreadsheets/d/1XVB7oCJ3pr-vBUdflwPQ8Z2LlzhnCvZaaYjAfP-647E/edit"&amp;"?usp=sharing"",""นครพนม!L147"")+IMPORTRANGE(""https://docs.google.com/spreadsheets/d/1Mnpb-8PYAgn85W6KOTD40hc_Xc55CaLfHoGAbrZ8tls/edit?usp=sharing"",""นครราชสีมา!L147"")+IMPORTRANGE(""https://docs.google.com/spreadsheets/d/1xoDLGBv9CYbyosIhki0kTq6IpYNj-gp"&amp;"jxfobnaDiut0/edit?usp=sharing"",""บึงกาฬ!L147"")+IMPORTRANGE(""https://docs.google.com/spreadsheets/d/1MMPq-JyI6DSgQETxuSiXkesP-P7JHuemnE6QJIa-Nlw/edit?usp=sharing"",""บุรีรัมย์!L147"")+IMPORTRANGE(""https://docs.google.com/spreadsheets/d/1l6IZ8xUPgMrESzc"&amp;"TYwhA1k_tPjeQjJPTqlm8Gd9eU5g/edit?usp=sharing"",""มหาสารคาม!L147"")+IMPORTRANGE(""https://docs.google.com/spreadsheets/d/1uB74YLqNjWX6FObjekfB2NtSYigTQyR2rq9u4Ub2Sq4/edit?usp=sharing"",""มุกดาหาร!L147"")+IMPORTRANGE(""https://docs.google.com/spreadsheets/"&amp;"d/1NexK3geCPxCTO1fzNF8dPec7yZyUx3OaWkFBC9HsQOo/edit?usp=sharing"",""ยโสธร!L147"")+IMPORTRANGE(""https://docs.google.com/spreadsheets/d/1v_cJrbBlyqmnHPReHk44g9NrMRdENNlSy_E_c5M9fIg/edit?usp=sharing"",""ร้อยเอ็ด!L147"")+IMPORTRANGE(""https://docs.google.com"&amp;"/spreadsheets/d/1Ul4RCpCX66NxYADU1QpwAPjOmBzW64SsT11s1wzXw_c/edit?usp=sharing"",""เลย!L147"")+IMPORTRANGE(""https://docs.google.com/spreadsheets/d/1bRrNKwbHDVktQG10isr5vbWRtt5spIZPpkOSWgbT5ug/edit?usp=sharing"",""ศรีสะเกษ!L147"")+IMPORTRANGE(""https://doc"&amp;"s.google.com/spreadsheets/d/17P34_Ow5kFBfdQD0qspb2UuPX5zpi6WMrQzslghyvrI/edit?usp=sharing"",""สกลนคร!L147"")+IMPORTRANGE(""https://docs.google.com/spreadsheets/d/1yswqbM3-AEpThF3ZSUa1AcmHnmRTF1vlJ1CZGcJ8YuU/edit?usp=sharing"",""สุรินทร์!L147"")+IMPORTRANG"&amp;"E(""https://docs.google.com/spreadsheets/d/13JHU_EFbsQOUQ0JSQ3dWy1VTRosIWcDq6Nc99z2qzdc/edit?usp=sharing"",""หนองคาย!L147"")+IMPORTRANGE(""https://docs.google.com/spreadsheets/d/1Hx73zIEgVdDZZaYSTc46Dqv64atFhpr3GelxLbaIN8A/edit?usp=sharing"",""หนองบัวลำภู"&amp;"!L147"")+IMPORTRANGE(""https://docs.google.com/spreadsheets/d/1lFxr3ctmjFN90yc-xV6jrQ9Ty8BKYVBWnAZ15wcNIJc/edit?usp=sharing"",""อำนาจเจริญ!L147"")+IMPORTRANGE(""https://docs.google.com/spreadsheets/d/1gF7RJpRnL-1oyjyeWxs5SFWEH7y8ahOZsQlyp2A2e-A/edit?usp=s"&amp;"haring"",""อุดรธานี!L147"")+IMPORTRANGE(""https://docs.google.com/spreadsheets/d/1kfLP0j3INXRa8bTDpcEmoWewMBV61jlFlfzczfjWIgc/edit?usp=sharing"",""อุบลราชธานี!L147"")"),0)</f>
        <v>0</v>
      </c>
      <c r="M147" s="56">
        <f ca="1">IFERROR(__xludf.DUMMYFUNCTION("IMPORTRANGE(""https://docs.google.com/spreadsheets/d/1yhBcrRPreicbMKl9Bu_Snb2-OcQAF62RKfhTLhJ2eAA/edit?usp=sharing"",""กาฬสินธุ์!M147"")+IMPORTRANGE(""https://docs.google.com/spreadsheets/d/1aHkj4IaQMThhwWwevcOymEh837vdxeC_PycurhTbGFA/edit?usp=sharing"","&amp;"""ขอนแก่น!M147"")+IMPORTRANGE(""https://docs.google.com/spreadsheets/d/1FvTu2DsIWUjP6WCWra38Bkj_oOl_sOMf14r5Fg5srxU/edit?usp=sharing"",""ชัยภูมิ!M147"")+IMPORTRANGE(""https://docs.google.com/spreadsheets/d/1XVB7oCJ3pr-vBUdflwPQ8Z2LlzhnCvZaaYjAfP-647E/edit"&amp;"?usp=sharing"",""นครพนม!M147"")+IMPORTRANGE(""https://docs.google.com/spreadsheets/d/1Mnpb-8PYAgn85W6KOTD40hc_Xc55CaLfHoGAbrZ8tls/edit?usp=sharing"",""นครราชสีมา!M147"")+IMPORTRANGE(""https://docs.google.com/spreadsheets/d/1xoDLGBv9CYbyosIhki0kTq6IpYNj-gp"&amp;"jxfobnaDiut0/edit?usp=sharing"",""บึงกาฬ!M147"")+IMPORTRANGE(""https://docs.google.com/spreadsheets/d/1MMPq-JyI6DSgQETxuSiXkesP-P7JHuemnE6QJIa-Nlw/edit?usp=sharing"",""บุรีรัมย์!M147"")+IMPORTRANGE(""https://docs.google.com/spreadsheets/d/1l6IZ8xUPgMrESzc"&amp;"TYwhA1k_tPjeQjJPTqlm8Gd9eU5g/edit?usp=sharing"",""มหาสารคาม!M147"")+IMPORTRANGE(""https://docs.google.com/spreadsheets/d/1uB74YLqNjWX6FObjekfB2NtSYigTQyR2rq9u4Ub2Sq4/edit?usp=sharing"",""มุกดาหาร!M147"")+IMPORTRANGE(""https://docs.google.com/spreadsheets/"&amp;"d/1NexK3geCPxCTO1fzNF8dPec7yZyUx3OaWkFBC9HsQOo/edit?usp=sharing"",""ยโสธร!M147"")+IMPORTRANGE(""https://docs.google.com/spreadsheets/d/1v_cJrbBlyqmnHPReHk44g9NrMRdENNlSy_E_c5M9fIg/edit?usp=sharing"",""ร้อยเอ็ด!M147"")+IMPORTRANGE(""https://docs.google.com"&amp;"/spreadsheets/d/1Ul4RCpCX66NxYADU1QpwAPjOmBzW64SsT11s1wzXw_c/edit?usp=sharing"",""เลย!M147"")+IMPORTRANGE(""https://docs.google.com/spreadsheets/d/1bRrNKwbHDVktQG10isr5vbWRtt5spIZPpkOSWgbT5ug/edit?usp=sharing"",""ศรีสะเกษ!M147"")+IMPORTRANGE(""https://doc"&amp;"s.google.com/spreadsheets/d/17P34_Ow5kFBfdQD0qspb2UuPX5zpi6WMrQzslghyvrI/edit?usp=sharing"",""สกลนคร!M147"")+IMPORTRANGE(""https://docs.google.com/spreadsheets/d/1yswqbM3-AEpThF3ZSUa1AcmHnmRTF1vlJ1CZGcJ8YuU/edit?usp=sharing"",""สุรินทร์!M147"")+IMPORTRANG"&amp;"E(""https://docs.google.com/spreadsheets/d/13JHU_EFbsQOUQ0JSQ3dWy1VTRosIWcDq6Nc99z2qzdc/edit?usp=sharing"",""หนองคาย!M147"")+IMPORTRANGE(""https://docs.google.com/spreadsheets/d/1Hx73zIEgVdDZZaYSTc46Dqv64atFhpr3GelxLbaIN8A/edit?usp=sharing"",""หนองบัวลำภู"&amp;"!M147"")+IMPORTRANGE(""https://docs.google.com/spreadsheets/d/1lFxr3ctmjFN90yc-xV6jrQ9Ty8BKYVBWnAZ15wcNIJc/edit?usp=sharing"",""อำนาจเจริญ!M147"")+IMPORTRANGE(""https://docs.google.com/spreadsheets/d/1gF7RJpRnL-1oyjyeWxs5SFWEH7y8ahOZsQlyp2A2e-A/edit?usp=s"&amp;"haring"",""อุดรธานี!M147"")+IMPORTRANGE(""https://docs.google.com/spreadsheets/d/1kfLP0j3INXRa8bTDpcEmoWewMBV61jlFlfzczfjWIgc/edit?usp=sharing"",""อุบลราชธานี!M147"")"),0)</f>
        <v>0</v>
      </c>
      <c r="N147" s="56">
        <f ca="1">IFERROR(__xludf.DUMMYFUNCTION("IMPORTRANGE(""https://docs.google.com/spreadsheets/d/1yhBcrRPreicbMKl9Bu_Snb2-OcQAF62RKfhTLhJ2eAA/edit?usp=sharing"",""กาฬสินธุ์!N147"")+IMPORTRANGE(""https://docs.google.com/spreadsheets/d/1aHkj4IaQMThhwWwevcOymEh837vdxeC_PycurhTbGFA/edit?usp=sharing"","&amp;"""ขอนแก่น!N147"")+IMPORTRANGE(""https://docs.google.com/spreadsheets/d/1FvTu2DsIWUjP6WCWra38Bkj_oOl_sOMf14r5Fg5srxU/edit?usp=sharing"",""ชัยภูมิ!N147"")+IMPORTRANGE(""https://docs.google.com/spreadsheets/d/1XVB7oCJ3pr-vBUdflwPQ8Z2LlzhnCvZaaYjAfP-647E/edit"&amp;"?usp=sharing"",""นครพนม!N147"")+IMPORTRANGE(""https://docs.google.com/spreadsheets/d/1Mnpb-8PYAgn85W6KOTD40hc_Xc55CaLfHoGAbrZ8tls/edit?usp=sharing"",""นครราชสีมา!N147"")+IMPORTRANGE(""https://docs.google.com/spreadsheets/d/1xoDLGBv9CYbyosIhki0kTq6IpYNj-gp"&amp;"jxfobnaDiut0/edit?usp=sharing"",""บึงกาฬ!N147"")+IMPORTRANGE(""https://docs.google.com/spreadsheets/d/1MMPq-JyI6DSgQETxuSiXkesP-P7JHuemnE6QJIa-Nlw/edit?usp=sharing"",""บุรีรัมย์!N147"")+IMPORTRANGE(""https://docs.google.com/spreadsheets/d/1l6IZ8xUPgMrESzc"&amp;"TYwhA1k_tPjeQjJPTqlm8Gd9eU5g/edit?usp=sharing"",""มหาสารคาม!N147"")+IMPORTRANGE(""https://docs.google.com/spreadsheets/d/1uB74YLqNjWX6FObjekfB2NtSYigTQyR2rq9u4Ub2Sq4/edit?usp=sharing"",""มุกดาหาร!N147"")+IMPORTRANGE(""https://docs.google.com/spreadsheets/"&amp;"d/1NexK3geCPxCTO1fzNF8dPec7yZyUx3OaWkFBC9HsQOo/edit?usp=sharing"",""ยโสธร!N147"")+IMPORTRANGE(""https://docs.google.com/spreadsheets/d/1v_cJrbBlyqmnHPReHk44g9NrMRdENNlSy_E_c5M9fIg/edit?usp=sharing"",""ร้อยเอ็ด!N147"")+IMPORTRANGE(""https://docs.google.com"&amp;"/spreadsheets/d/1Ul4RCpCX66NxYADU1QpwAPjOmBzW64SsT11s1wzXw_c/edit?usp=sharing"",""เลย!N147"")+IMPORTRANGE(""https://docs.google.com/spreadsheets/d/1bRrNKwbHDVktQG10isr5vbWRtt5spIZPpkOSWgbT5ug/edit?usp=sharing"",""ศรีสะเกษ!N147"")+IMPORTRANGE(""https://doc"&amp;"s.google.com/spreadsheets/d/17P34_Ow5kFBfdQD0qspb2UuPX5zpi6WMrQzslghyvrI/edit?usp=sharing"",""สกลนคร!N147"")+IMPORTRANGE(""https://docs.google.com/spreadsheets/d/1yswqbM3-AEpThF3ZSUa1AcmHnmRTF1vlJ1CZGcJ8YuU/edit?usp=sharing"",""สุรินทร์!N147"")+IMPORTRANG"&amp;"E(""https://docs.google.com/spreadsheets/d/13JHU_EFbsQOUQ0JSQ3dWy1VTRosIWcDq6Nc99z2qzdc/edit?usp=sharing"",""หนองคาย!N147"")+IMPORTRANGE(""https://docs.google.com/spreadsheets/d/1Hx73zIEgVdDZZaYSTc46Dqv64atFhpr3GelxLbaIN8A/edit?usp=sharing"",""หนองบัวลำภู"&amp;"!N147"")+IMPORTRANGE(""https://docs.google.com/spreadsheets/d/1lFxr3ctmjFN90yc-xV6jrQ9Ty8BKYVBWnAZ15wcNIJc/edit?usp=sharing"",""อำนาจเจริญ!N147"")+IMPORTRANGE(""https://docs.google.com/spreadsheets/d/1gF7RJpRnL-1oyjyeWxs5SFWEH7y8ahOZsQlyp2A2e-A/edit?usp=s"&amp;"haring"",""อุดรธานี!N147"")+IMPORTRANGE(""https://docs.google.com/spreadsheets/d/1kfLP0j3INXRa8bTDpcEmoWewMBV61jlFlfzczfjWIgc/edit?usp=sharing"",""อุบลราชธานี!N147"")"),0)</f>
        <v>0</v>
      </c>
      <c r="O147" s="56">
        <f t="shared" ca="1" si="110"/>
        <v>0</v>
      </c>
      <c r="P147" s="56">
        <f t="shared" ca="1" si="111"/>
        <v>0</v>
      </c>
      <c r="Q147" s="56">
        <f ca="1">IFERROR(__xludf.DUMMYFUNCTION("IMPORTRANGE(""https://docs.google.com/spreadsheets/d/1yhBcrRPreicbMKl9Bu_Snb2-OcQAF62RKfhTLhJ2eAA/edit?usp=sharing"",""กาฬสินธุ์!Q147"")+IMPORTRANGE(""https://docs.google.com/spreadsheets/d/1aHkj4IaQMThhwWwevcOymEh837vdxeC_PycurhTbGFA/edit?usp=sharing"","&amp;"""ขอนแก่น!Q147"")+IMPORTRANGE(""https://docs.google.com/spreadsheets/d/1FvTu2DsIWUjP6WCWra38Bkj_oOl_sOMf14r5Fg5srxU/edit?usp=sharing"",""ชัยภูมิ!Q147"")+IMPORTRANGE(""https://docs.google.com/spreadsheets/d/1XVB7oCJ3pr-vBUdflwPQ8Z2LlzhnCvZaaYjAfP-647E/edit"&amp;"?usp=sharing"",""นครพนม!Q147"")+IMPORTRANGE(""https://docs.google.com/spreadsheets/d/1Mnpb-8PYAgn85W6KOTD40hc_Xc55CaLfHoGAbrZ8tls/edit?usp=sharing"",""นครราชสีมา!Q147"")+IMPORTRANGE(""https://docs.google.com/spreadsheets/d/1xoDLGBv9CYbyosIhki0kTq6IpYNj-gp"&amp;"jxfobnaDiut0/edit?usp=sharing"",""บึงกาฬ!Q147"")+IMPORTRANGE(""https://docs.google.com/spreadsheets/d/1MMPq-JyI6DSgQETxuSiXkesP-P7JHuemnE6QJIa-Nlw/edit?usp=sharing"",""บุรีรัมย์!Q147"")+IMPORTRANGE(""https://docs.google.com/spreadsheets/d/1l6IZ8xUPgMrESzc"&amp;"TYwhA1k_tPjeQjJPTqlm8Gd9eU5g/edit?usp=sharing"",""มหาสารคาม!Q147"")+IMPORTRANGE(""https://docs.google.com/spreadsheets/d/1uB74YLqNjWX6FObjekfB2NtSYigTQyR2rq9u4Ub2Sq4/edit?usp=sharing"",""มุกดาหาร!Q147"")+IMPORTRANGE(""https://docs.google.com/spreadsheets/"&amp;"d/1NexK3geCPxCTO1fzNF8dPec7yZyUx3OaWkFBC9HsQOo/edit?usp=sharing"",""ยโสธร!Q147"")+IMPORTRANGE(""https://docs.google.com/spreadsheets/d/1v_cJrbBlyqmnHPReHk44g9NrMRdENNlSy_E_c5M9fIg/edit?usp=sharing"",""ร้อยเอ็ด!Q147"")+IMPORTRANGE(""https://docs.google.com"&amp;"/spreadsheets/d/1Ul4RCpCX66NxYADU1QpwAPjOmBzW64SsT11s1wzXw_c/edit?usp=sharing"",""เลย!Q147"")+IMPORTRANGE(""https://docs.google.com/spreadsheets/d/1bRrNKwbHDVktQG10isr5vbWRtt5spIZPpkOSWgbT5ug/edit?usp=sharing"",""ศรีสะเกษ!Q147"")+IMPORTRANGE(""https://doc"&amp;"s.google.com/spreadsheets/d/17P34_Ow5kFBfdQD0qspb2UuPX5zpi6WMrQzslghyvrI/edit?usp=sharing"",""สกลนคร!Q147"")+IMPORTRANGE(""https://docs.google.com/spreadsheets/d/1yswqbM3-AEpThF3ZSUa1AcmHnmRTF1vlJ1CZGcJ8YuU/edit?usp=sharing"",""สุรินทร์!Q147"")+IMPORTRANG"&amp;"E(""https://docs.google.com/spreadsheets/d/13JHU_EFbsQOUQ0JSQ3dWy1VTRosIWcDq6Nc99z2qzdc/edit?usp=sharing"",""หนองคาย!Q147"")+IMPORTRANGE(""https://docs.google.com/spreadsheets/d/1Hx73zIEgVdDZZaYSTc46Dqv64atFhpr3GelxLbaIN8A/edit?usp=sharing"",""หนองบัวลำภู"&amp;"!Q147"")+IMPORTRANGE(""https://docs.google.com/spreadsheets/d/1lFxr3ctmjFN90yc-xV6jrQ9Ty8BKYVBWnAZ15wcNIJc/edit?usp=sharing"",""อำนาจเจริญ!Q147"")+IMPORTRANGE(""https://docs.google.com/spreadsheets/d/1gF7RJpRnL-1oyjyeWxs5SFWEH7y8ahOZsQlyp2A2e-A/edit?usp=s"&amp;"haring"",""อุดรธานี!Q147"")+IMPORTRANGE(""https://docs.google.com/spreadsheets/d/1kfLP0j3INXRa8bTDpcEmoWewMBV61jlFlfzczfjWIgc/edit?usp=sharing"",""อุบลราชธานี!Q147"")"),0)</f>
        <v>0</v>
      </c>
      <c r="R147" s="56">
        <f ca="1">IFERROR(__xludf.DUMMYFUNCTION("IMPORTRANGE(""https://docs.google.com/spreadsheets/d/1yhBcrRPreicbMKl9Bu_Snb2-OcQAF62RKfhTLhJ2eAA/edit?usp=sharing"",""กาฬสินธุ์!R147"")+IMPORTRANGE(""https://docs.google.com/spreadsheets/d/1aHkj4IaQMThhwWwevcOymEh837vdxeC_PycurhTbGFA/edit?usp=sharing"","&amp;"""ขอนแก่น!R147"")+IMPORTRANGE(""https://docs.google.com/spreadsheets/d/1FvTu2DsIWUjP6WCWra38Bkj_oOl_sOMf14r5Fg5srxU/edit?usp=sharing"",""ชัยภูมิ!R147"")+IMPORTRANGE(""https://docs.google.com/spreadsheets/d/1XVB7oCJ3pr-vBUdflwPQ8Z2LlzhnCvZaaYjAfP-647E/edit"&amp;"?usp=sharing"",""นครพนม!R147"")+IMPORTRANGE(""https://docs.google.com/spreadsheets/d/1Mnpb-8PYAgn85W6KOTD40hc_Xc55CaLfHoGAbrZ8tls/edit?usp=sharing"",""นครราชสีมา!R147"")+IMPORTRANGE(""https://docs.google.com/spreadsheets/d/1xoDLGBv9CYbyosIhki0kTq6IpYNj-gp"&amp;"jxfobnaDiut0/edit?usp=sharing"",""บึงกาฬ!R147"")+IMPORTRANGE(""https://docs.google.com/spreadsheets/d/1MMPq-JyI6DSgQETxuSiXkesP-P7JHuemnE6QJIa-Nlw/edit?usp=sharing"",""บุรีรัมย์!R147"")+IMPORTRANGE(""https://docs.google.com/spreadsheets/d/1l6IZ8xUPgMrESzc"&amp;"TYwhA1k_tPjeQjJPTqlm8Gd9eU5g/edit?usp=sharing"",""มหาสารคาม!R147"")+IMPORTRANGE(""https://docs.google.com/spreadsheets/d/1uB74YLqNjWX6FObjekfB2NtSYigTQyR2rq9u4Ub2Sq4/edit?usp=sharing"",""มุกดาหาร!R147"")+IMPORTRANGE(""https://docs.google.com/spreadsheets/"&amp;"d/1NexK3geCPxCTO1fzNF8dPec7yZyUx3OaWkFBC9HsQOo/edit?usp=sharing"",""ยโสธร!R147"")+IMPORTRANGE(""https://docs.google.com/spreadsheets/d/1v_cJrbBlyqmnHPReHk44g9NrMRdENNlSy_E_c5M9fIg/edit?usp=sharing"",""ร้อยเอ็ด!R147"")+IMPORTRANGE(""https://docs.google.com"&amp;"/spreadsheets/d/1Ul4RCpCX66NxYADU1QpwAPjOmBzW64SsT11s1wzXw_c/edit?usp=sharing"",""เลย!R147"")+IMPORTRANGE(""https://docs.google.com/spreadsheets/d/1bRrNKwbHDVktQG10isr5vbWRtt5spIZPpkOSWgbT5ug/edit?usp=sharing"",""ศรีสะเกษ!R147"")+IMPORTRANGE(""https://doc"&amp;"s.google.com/spreadsheets/d/17P34_Ow5kFBfdQD0qspb2UuPX5zpi6WMrQzslghyvrI/edit?usp=sharing"",""สกลนคร!R147"")+IMPORTRANGE(""https://docs.google.com/spreadsheets/d/1yswqbM3-AEpThF3ZSUa1AcmHnmRTF1vlJ1CZGcJ8YuU/edit?usp=sharing"",""สุรินทร์!R147"")+IMPORTRANG"&amp;"E(""https://docs.google.com/spreadsheets/d/13JHU_EFbsQOUQ0JSQ3dWy1VTRosIWcDq6Nc99z2qzdc/edit?usp=sharing"",""หนองคาย!R147"")+IMPORTRANGE(""https://docs.google.com/spreadsheets/d/1Hx73zIEgVdDZZaYSTc46Dqv64atFhpr3GelxLbaIN8A/edit?usp=sharing"",""หนองบัวลำภู"&amp;"!R147"")+IMPORTRANGE(""https://docs.google.com/spreadsheets/d/1lFxr3ctmjFN90yc-xV6jrQ9Ty8BKYVBWnAZ15wcNIJc/edit?usp=sharing"",""อำนาจเจริญ!R147"")+IMPORTRANGE(""https://docs.google.com/spreadsheets/d/1gF7RJpRnL-1oyjyeWxs5SFWEH7y8ahOZsQlyp2A2e-A/edit?usp=s"&amp;"haring"",""อุดรธานี!R147"")+IMPORTRANGE(""https://docs.google.com/spreadsheets/d/1kfLP0j3INXRa8bTDpcEmoWewMBV61jlFlfzczfjWIgc/edit?usp=sharing"",""อุบลราชธานี!R147"")"),0)</f>
        <v>0</v>
      </c>
      <c r="S147" s="57">
        <f ca="1">IFERROR(__xludf.DUMMYFUNCTION("IMPORTRANGE(""https://docs.google.com/spreadsheets/d/1yhBcrRPreicbMKl9Bu_Snb2-OcQAF62RKfhTLhJ2eAA/edit?usp=sharing"",""กาฬสินธุ์!S147"")+IMPORTRANGE(""https://docs.google.com/spreadsheets/d/1aHkj4IaQMThhwWwevcOymEh837vdxeC_PycurhTbGFA/edit?usp=sharing"","&amp;"""ขอนแก่น!S147"")+IMPORTRANGE(""https://docs.google.com/spreadsheets/d/1FvTu2DsIWUjP6WCWra38Bkj_oOl_sOMf14r5Fg5srxU/edit?usp=sharing"",""ชัยภูมิ!S147"")+IMPORTRANGE(""https://docs.google.com/spreadsheets/d/1XVB7oCJ3pr-vBUdflwPQ8Z2LlzhnCvZaaYjAfP-647E/edit"&amp;"?usp=sharing"",""นครพนม!S147"")+IMPORTRANGE(""https://docs.google.com/spreadsheets/d/1Mnpb-8PYAgn85W6KOTD40hc_Xc55CaLfHoGAbrZ8tls/edit?usp=sharing"",""นครราชสีมา!S147"")+IMPORTRANGE(""https://docs.google.com/spreadsheets/d/1xoDLGBv9CYbyosIhki0kTq6IpYNj-gp"&amp;"jxfobnaDiut0/edit?usp=sharing"",""บึงกาฬ!S147"")+IMPORTRANGE(""https://docs.google.com/spreadsheets/d/1MMPq-JyI6DSgQETxuSiXkesP-P7JHuemnE6QJIa-Nlw/edit?usp=sharing"",""บุรีรัมย์!S147"")+IMPORTRANGE(""https://docs.google.com/spreadsheets/d/1l6IZ8xUPgMrESzc"&amp;"TYwhA1k_tPjeQjJPTqlm8Gd9eU5g/edit?usp=sharing"",""มหาสารคาม!S147"")+IMPORTRANGE(""https://docs.google.com/spreadsheets/d/1uB74YLqNjWX6FObjekfB2NtSYigTQyR2rq9u4Ub2Sq4/edit?usp=sharing"",""มุกดาหาร!S147"")+IMPORTRANGE(""https://docs.google.com/spreadsheets/"&amp;"d/1NexK3geCPxCTO1fzNF8dPec7yZyUx3OaWkFBC9HsQOo/edit?usp=sharing"",""ยโสธร!S147"")+IMPORTRANGE(""https://docs.google.com/spreadsheets/d/1v_cJrbBlyqmnHPReHk44g9NrMRdENNlSy_E_c5M9fIg/edit?usp=sharing"",""ร้อยเอ็ด!S147"")+IMPORTRANGE(""https://docs.google.com"&amp;"/spreadsheets/d/1Ul4RCpCX66NxYADU1QpwAPjOmBzW64SsT11s1wzXw_c/edit?usp=sharing"",""เลย!S147"")+IMPORTRANGE(""https://docs.google.com/spreadsheets/d/1bRrNKwbHDVktQG10isr5vbWRtt5spIZPpkOSWgbT5ug/edit?usp=sharing"",""ศรีสะเกษ!S147"")+IMPORTRANGE(""https://doc"&amp;"s.google.com/spreadsheets/d/17P34_Ow5kFBfdQD0qspb2UuPX5zpi6WMrQzslghyvrI/edit?usp=sharing"",""สกลนคร!S147"")+IMPORTRANGE(""https://docs.google.com/spreadsheets/d/1yswqbM3-AEpThF3ZSUa1AcmHnmRTF1vlJ1CZGcJ8YuU/edit?usp=sharing"",""สุรินทร์!S147"")+IMPORTRANG"&amp;"E(""https://docs.google.com/spreadsheets/d/13JHU_EFbsQOUQ0JSQ3dWy1VTRosIWcDq6Nc99z2qzdc/edit?usp=sharing"",""หนองคาย!S147"")+IMPORTRANGE(""https://docs.google.com/spreadsheets/d/1Hx73zIEgVdDZZaYSTc46Dqv64atFhpr3GelxLbaIN8A/edit?usp=sharing"",""หนองบัวลำภู"&amp;"!S147"")+IMPORTRANGE(""https://docs.google.com/spreadsheets/d/1lFxr3ctmjFN90yc-xV6jrQ9Ty8BKYVBWnAZ15wcNIJc/edit?usp=sharing"",""อำนาจเจริญ!S147"")+IMPORTRANGE(""https://docs.google.com/spreadsheets/d/1gF7RJpRnL-1oyjyeWxs5SFWEH7y8ahOZsQlyp2A2e-A/edit?usp=s"&amp;"haring"",""อุดรธานี!S147"")+IMPORTRANGE(""https://docs.google.com/spreadsheets/d/1kfLP0j3INXRa8bTDpcEmoWewMBV61jlFlfzczfjWIgc/edit?usp=sharing"",""อุบลราชธานี!S147"")"),0)</f>
        <v>0</v>
      </c>
      <c r="T147" s="56">
        <f t="shared" ca="1" si="113"/>
        <v>0</v>
      </c>
      <c r="U147" s="56">
        <f t="shared" ca="1" si="114"/>
        <v>0</v>
      </c>
    </row>
    <row r="148" spans="1:21" ht="19.5">
      <c r="A148" s="166"/>
      <c r="B148" s="167"/>
      <c r="C148" s="156" t="s">
        <v>18</v>
      </c>
      <c r="D148" s="168" t="s">
        <v>38</v>
      </c>
      <c r="E148" s="169"/>
      <c r="F148" s="169"/>
      <c r="G148" s="170"/>
      <c r="H148" s="206"/>
      <c r="I148" s="54"/>
      <c r="J148" s="54"/>
      <c r="K148" s="55"/>
      <c r="L148" s="55"/>
      <c r="M148" s="55"/>
      <c r="N148" s="55"/>
      <c r="O148" s="55"/>
      <c r="P148" s="55"/>
      <c r="Q148" s="55"/>
      <c r="R148" s="55"/>
      <c r="S148" s="62"/>
      <c r="T148" s="55"/>
      <c r="U148" s="55"/>
    </row>
    <row r="149" spans="1:21" ht="18.75">
      <c r="A149" s="155"/>
      <c r="B149" s="50"/>
      <c r="C149" s="50"/>
      <c r="D149" s="58" t="s">
        <v>63</v>
      </c>
      <c r="E149" s="50"/>
      <c r="F149" s="50"/>
      <c r="G149" s="52"/>
      <c r="H149" s="206"/>
      <c r="I149" s="54"/>
      <c r="J149" s="181">
        <f ca="1">IFERROR(__xludf.DUMMYFUNCTION("IMPORTRANGE(""https://docs.google.com/spreadsheets/d/1yhBcrRPreicbMKl9Bu_Snb2-OcQAF62RKfhTLhJ2eAA/edit?usp=sharing"",""กาฬสินธุ์!J149"")+IMPORTRANGE(""https://docs.google.com/spreadsheets/d/1aHkj4IaQMThhwWwevcOymEh837vdxeC_PycurhTbGFA/edit?usp=sharing"","&amp;"""ขอนแก่น!J149"")+IMPORTRANGE(""https://docs.google.com/spreadsheets/d/1FvTu2DsIWUjP6WCWra38Bkj_oOl_sOMf14r5Fg5srxU/edit?usp=sharing"",""ชัยภูมิ!J149"")+IMPORTRANGE(""https://docs.google.com/spreadsheets/d/1XVB7oCJ3pr-vBUdflwPQ8Z2LlzhnCvZaaYjAfP-647E/edit"&amp;"?usp=sharing"",""นครพนม!J149"")+IMPORTRANGE(""https://docs.google.com/spreadsheets/d/1Mnpb-8PYAgn85W6KOTD40hc_Xc55CaLfHoGAbrZ8tls/edit?usp=sharing"",""นครราชสีมา!J149"")+IMPORTRANGE(""https://docs.google.com/spreadsheets/d/1xoDLGBv9CYbyosIhki0kTq6IpYNj-gp"&amp;"jxfobnaDiut0/edit?usp=sharing"",""บึงกาฬ!J149"")+IMPORTRANGE(""https://docs.google.com/spreadsheets/d/1MMPq-JyI6DSgQETxuSiXkesP-P7JHuemnE6QJIa-Nlw/edit?usp=sharing"",""บุรีรัมย์!J149"")+IMPORTRANGE(""https://docs.google.com/spreadsheets/d/1l6IZ8xUPgMrESzc"&amp;"TYwhA1k_tPjeQjJPTqlm8Gd9eU5g/edit?usp=sharing"",""มหาสารคาม!J149"")+IMPORTRANGE(""https://docs.google.com/spreadsheets/d/1uB74YLqNjWX6FObjekfB2NtSYigTQyR2rq9u4Ub2Sq4/edit?usp=sharing"",""มุกดาหาร!J149"")+IMPORTRANGE(""https://docs.google.com/spreadsheets/"&amp;"d/1NexK3geCPxCTO1fzNF8dPec7yZyUx3OaWkFBC9HsQOo/edit?usp=sharing"",""ยโสธร!J149"")+IMPORTRANGE(""https://docs.google.com/spreadsheets/d/1v_cJrbBlyqmnHPReHk44g9NrMRdENNlSy_E_c5M9fIg/edit?usp=sharing"",""ร้อยเอ็ด!J149"")+IMPORTRANGE(""https://docs.google.com"&amp;"/spreadsheets/d/1Ul4RCpCX66NxYADU1QpwAPjOmBzW64SsT11s1wzXw_c/edit?usp=sharing"",""เลย!J149"")+IMPORTRANGE(""https://docs.google.com/spreadsheets/d/1bRrNKwbHDVktQG10isr5vbWRtt5spIZPpkOSWgbT5ug/edit?usp=sharing"",""ศรีสะเกษ!J149"")+IMPORTRANGE(""https://doc"&amp;"s.google.com/spreadsheets/d/17P34_Ow5kFBfdQD0qspb2UuPX5zpi6WMrQzslghyvrI/edit?usp=sharing"",""สกลนคร!J149"")+IMPORTRANGE(""https://docs.google.com/spreadsheets/d/1yswqbM3-AEpThF3ZSUa1AcmHnmRTF1vlJ1CZGcJ8YuU/edit?usp=sharing"",""สุรินทร์!J149"")+IMPORTRANG"&amp;"E(""https://docs.google.com/spreadsheets/d/13JHU_EFbsQOUQ0JSQ3dWy1VTRosIWcDq6Nc99z2qzdc/edit?usp=sharing"",""หนองคาย!J149"")+IMPORTRANGE(""https://docs.google.com/spreadsheets/d/1Hx73zIEgVdDZZaYSTc46Dqv64atFhpr3GelxLbaIN8A/edit?usp=sharing"",""หนองบัวลำภู"&amp;"!J149"")+IMPORTRANGE(""https://docs.google.com/spreadsheets/d/1lFxr3ctmjFN90yc-xV6jrQ9Ty8BKYVBWnAZ15wcNIJc/edit?usp=sharing"",""อำนาจเจริญ!J149"")+IMPORTRANGE(""https://docs.google.com/spreadsheets/d/1gF7RJpRnL-1oyjyeWxs5SFWEH7y8ahOZsQlyp2A2e-A/edit?usp=s"&amp;"haring"",""อุดรธานี!J149"")+IMPORTRANGE(""https://docs.google.com/spreadsheets/d/1kfLP0j3INXRa8bTDpcEmoWewMBV61jlFlfzczfjWIgc/edit?usp=sharing"",""อุบลราชธานี!J149"")"),0)</f>
        <v>0</v>
      </c>
      <c r="K149" s="55"/>
      <c r="L149" s="55"/>
      <c r="M149" s="55"/>
      <c r="N149" s="55"/>
      <c r="O149" s="55"/>
      <c r="P149" s="55"/>
      <c r="Q149" s="55"/>
      <c r="R149" s="55"/>
      <c r="S149" s="62"/>
      <c r="T149" s="55"/>
      <c r="U149" s="55"/>
    </row>
    <row r="150" spans="1:21" ht="19.5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181">
        <f ca="1">IFERROR(__xludf.DUMMYFUNCTION("IMPORTRANGE(""https://docs.google.com/spreadsheets/d/1yhBcrRPreicbMKl9Bu_Snb2-OcQAF62RKfhTLhJ2eAA/edit?usp=sharing"",""กาฬสินธุ์!I150"")+IMPORTRANGE(""https://docs.google.com/spreadsheets/d/1aHkj4IaQMThhwWwevcOymEh837vdxeC_PycurhTbGFA/edit?usp=sharing"","&amp;"""ขอนแก่น!I150"")+IMPORTRANGE(""https://docs.google.com/spreadsheets/d/1FvTu2DsIWUjP6WCWra38Bkj_oOl_sOMf14r5Fg5srxU/edit?usp=sharing"",""ชัยภูมิ!I150"")+IMPORTRANGE(""https://docs.google.com/spreadsheets/d/1XVB7oCJ3pr-vBUdflwPQ8Z2LlzhnCvZaaYjAfP-647E/edit"&amp;"?usp=sharing"",""นครพนม!I150"")+IMPORTRANGE(""https://docs.google.com/spreadsheets/d/1Mnpb-8PYAgn85W6KOTD40hc_Xc55CaLfHoGAbrZ8tls/edit?usp=sharing"",""นครราชสีมา!I150"")+IMPORTRANGE(""https://docs.google.com/spreadsheets/d/1xoDLGBv9CYbyosIhki0kTq6IpYNj-gp"&amp;"jxfobnaDiut0/edit?usp=sharing"",""บึงกาฬ!I150"")+IMPORTRANGE(""https://docs.google.com/spreadsheets/d/1MMPq-JyI6DSgQETxuSiXkesP-P7JHuemnE6QJIa-Nlw/edit?usp=sharing"",""บุรีรัมย์!I150"")+IMPORTRANGE(""https://docs.google.com/spreadsheets/d/1l6IZ8xUPgMrESzc"&amp;"TYwhA1k_tPjeQjJPTqlm8Gd9eU5g/edit?usp=sharing"",""มหาสารคาม!I150"")+IMPORTRANGE(""https://docs.google.com/spreadsheets/d/1uB74YLqNjWX6FObjekfB2NtSYigTQyR2rq9u4Ub2Sq4/edit?usp=sharing"",""มุกดาหาร!I150"")+IMPORTRANGE(""https://docs.google.com/spreadsheets/"&amp;"d/1NexK3geCPxCTO1fzNF8dPec7yZyUx3OaWkFBC9HsQOo/edit?usp=sharing"",""ยโสธร!I150"")+IMPORTRANGE(""https://docs.google.com/spreadsheets/d/1v_cJrbBlyqmnHPReHk44g9NrMRdENNlSy_E_c5M9fIg/edit?usp=sharing"",""ร้อยเอ็ด!I150"")+IMPORTRANGE(""https://docs.google.com"&amp;"/spreadsheets/d/1Ul4RCpCX66NxYADU1QpwAPjOmBzW64SsT11s1wzXw_c/edit?usp=sharing"",""เลย!I150"")+IMPORTRANGE(""https://docs.google.com/spreadsheets/d/1bRrNKwbHDVktQG10isr5vbWRtt5spIZPpkOSWgbT5ug/edit?usp=sharing"",""ศรีสะเกษ!I150"")+IMPORTRANGE(""https://doc"&amp;"s.google.com/spreadsheets/d/17P34_Ow5kFBfdQD0qspb2UuPX5zpi6WMrQzslghyvrI/edit?usp=sharing"",""สกลนคร!I150"")+IMPORTRANGE(""https://docs.google.com/spreadsheets/d/1yswqbM3-AEpThF3ZSUa1AcmHnmRTF1vlJ1CZGcJ8YuU/edit?usp=sharing"",""สุรินทร์!I150"")+IMPORTRANG"&amp;"E(""https://docs.google.com/spreadsheets/d/13JHU_EFbsQOUQ0JSQ3dWy1VTRosIWcDq6Nc99z2qzdc/edit?usp=sharing"",""หนองคาย!I150"")+IMPORTRANGE(""https://docs.google.com/spreadsheets/d/1Hx73zIEgVdDZZaYSTc46Dqv64atFhpr3GelxLbaIN8A/edit?usp=sharing"",""หนองบัวลำภู"&amp;"!I150"")+IMPORTRANGE(""https://docs.google.com/spreadsheets/d/1lFxr3ctmjFN90yc-xV6jrQ9Ty8BKYVBWnAZ15wcNIJc/edit?usp=sharing"",""อำนาจเจริญ!I150"")+IMPORTRANGE(""https://docs.google.com/spreadsheets/d/1gF7RJpRnL-1oyjyeWxs5SFWEH7y8ahOZsQlyp2A2e-A/edit?usp=s"&amp;"haring"",""อุดรธานี!I150"")+IMPORTRANGE(""https://docs.google.com/spreadsheets/d/1kfLP0j3INXRa8bTDpcEmoWewMBV61jlFlfzczfjWIgc/edit?usp=sharing"",""อุบลราชธานี!I150"")"),20)</f>
        <v>20</v>
      </c>
      <c r="J150" s="181">
        <f ca="1">IFERROR(__xludf.DUMMYFUNCTION("IMPORTRANGE(""https://docs.google.com/spreadsheets/d/1yhBcrRPreicbMKl9Bu_Snb2-OcQAF62RKfhTLhJ2eAA/edit?usp=sharing"",""กาฬสินธุ์!J150"")+IMPORTRANGE(""https://docs.google.com/spreadsheets/d/1aHkj4IaQMThhwWwevcOymEh837vdxeC_PycurhTbGFA/edit?usp=sharing"","&amp;"""ขอนแก่น!J150"")+IMPORTRANGE(""https://docs.google.com/spreadsheets/d/1FvTu2DsIWUjP6WCWra38Bkj_oOl_sOMf14r5Fg5srxU/edit?usp=sharing"",""ชัยภูมิ!J150"")+IMPORTRANGE(""https://docs.google.com/spreadsheets/d/1XVB7oCJ3pr-vBUdflwPQ8Z2LlzhnCvZaaYjAfP-647E/edit"&amp;"?usp=sharing"",""นครพนม!J150"")+IMPORTRANGE(""https://docs.google.com/spreadsheets/d/1Mnpb-8PYAgn85W6KOTD40hc_Xc55CaLfHoGAbrZ8tls/edit?usp=sharing"",""นครราชสีมา!J150"")+IMPORTRANGE(""https://docs.google.com/spreadsheets/d/1xoDLGBv9CYbyosIhki0kTq6IpYNj-gp"&amp;"jxfobnaDiut0/edit?usp=sharing"",""บึงกาฬ!J150"")+IMPORTRANGE(""https://docs.google.com/spreadsheets/d/1MMPq-JyI6DSgQETxuSiXkesP-P7JHuemnE6QJIa-Nlw/edit?usp=sharing"",""บุรีรัมย์!J150"")+IMPORTRANGE(""https://docs.google.com/spreadsheets/d/1l6IZ8xUPgMrESzc"&amp;"TYwhA1k_tPjeQjJPTqlm8Gd9eU5g/edit?usp=sharing"",""มหาสารคาม!J150"")+IMPORTRANGE(""https://docs.google.com/spreadsheets/d/1uB74YLqNjWX6FObjekfB2NtSYigTQyR2rq9u4Ub2Sq4/edit?usp=sharing"",""มุกดาหาร!J150"")+IMPORTRANGE(""https://docs.google.com/spreadsheets/"&amp;"d/1NexK3geCPxCTO1fzNF8dPec7yZyUx3OaWkFBC9HsQOo/edit?usp=sharing"",""ยโสธร!J150"")+IMPORTRANGE(""https://docs.google.com/spreadsheets/d/1v_cJrbBlyqmnHPReHk44g9NrMRdENNlSy_E_c5M9fIg/edit?usp=sharing"",""ร้อยเอ็ด!J150"")+IMPORTRANGE(""https://docs.google.com"&amp;"/spreadsheets/d/1Ul4RCpCX66NxYADU1QpwAPjOmBzW64SsT11s1wzXw_c/edit?usp=sharing"",""เลย!J150"")+IMPORTRANGE(""https://docs.google.com/spreadsheets/d/1bRrNKwbHDVktQG10isr5vbWRtt5spIZPpkOSWgbT5ug/edit?usp=sharing"",""ศรีสะเกษ!J150"")+IMPORTRANGE(""https://doc"&amp;"s.google.com/spreadsheets/d/17P34_Ow5kFBfdQD0qspb2UuPX5zpi6WMrQzslghyvrI/edit?usp=sharing"",""สกลนคร!J150"")+IMPORTRANGE(""https://docs.google.com/spreadsheets/d/1yswqbM3-AEpThF3ZSUa1AcmHnmRTF1vlJ1CZGcJ8YuU/edit?usp=sharing"",""สุรินทร์!J150"")+IMPORTRANG"&amp;"E(""https://docs.google.com/spreadsheets/d/13JHU_EFbsQOUQ0JSQ3dWy1VTRosIWcDq6Nc99z2qzdc/edit?usp=sharing"",""หนองคาย!J150"")+IMPORTRANGE(""https://docs.google.com/spreadsheets/d/1Hx73zIEgVdDZZaYSTc46Dqv64atFhpr3GelxLbaIN8A/edit?usp=sharing"",""หนองบัวลำภู"&amp;"!J150"")+IMPORTRANGE(""https://docs.google.com/spreadsheets/d/1lFxr3ctmjFN90yc-xV6jrQ9Ty8BKYVBWnAZ15wcNIJc/edit?usp=sharing"",""อำนาจเจริญ!J150"")+IMPORTRANGE(""https://docs.google.com/spreadsheets/d/1gF7RJpRnL-1oyjyeWxs5SFWEH7y8ahOZsQlyp2A2e-A/edit?usp=s"&amp;"haring"",""อุดรธานี!J150"")+IMPORTRANGE(""https://docs.google.com/spreadsheets/d/1kfLP0j3INXRa8bTDpcEmoWewMBV61jlFlfzczfjWIgc/edit?usp=sharing"",""อุบลราชธานี!J150"")"),0)</f>
        <v>0</v>
      </c>
      <c r="K150" s="56">
        <f t="shared" ref="K150:K154" ca="1" si="123">IF(I150&gt;0,J150*100/I150,0)</f>
        <v>0</v>
      </c>
      <c r="L150" s="55"/>
      <c r="M150" s="55"/>
      <c r="N150" s="55"/>
      <c r="O150" s="55"/>
      <c r="P150" s="55"/>
      <c r="Q150" s="55"/>
      <c r="R150" s="55"/>
      <c r="S150" s="62"/>
      <c r="T150" s="55"/>
      <c r="U150" s="55"/>
    </row>
    <row r="151" spans="1:21" ht="18.75">
      <c r="A151" s="155"/>
      <c r="B151" s="50"/>
      <c r="C151" s="50"/>
      <c r="D151" s="174"/>
      <c r="E151" s="50"/>
      <c r="F151" s="50"/>
      <c r="G151" s="52"/>
      <c r="H151" s="165" t="s">
        <v>54</v>
      </c>
      <c r="I151" s="181">
        <f ca="1">IFERROR(__xludf.DUMMYFUNCTION("IMPORTRANGE(""https://docs.google.com/spreadsheets/d/1yhBcrRPreicbMKl9Bu_Snb2-OcQAF62RKfhTLhJ2eAA/edit?usp=sharing"",""กาฬสินธุ์!I151"")+IMPORTRANGE(""https://docs.google.com/spreadsheets/d/1aHkj4IaQMThhwWwevcOymEh837vdxeC_PycurhTbGFA/edit?usp=sharing"","&amp;"""ขอนแก่น!I151"")+IMPORTRANGE(""https://docs.google.com/spreadsheets/d/1FvTu2DsIWUjP6WCWra38Bkj_oOl_sOMf14r5Fg5srxU/edit?usp=sharing"",""ชัยภูมิ!I151"")+IMPORTRANGE(""https://docs.google.com/spreadsheets/d/1XVB7oCJ3pr-vBUdflwPQ8Z2LlzhnCvZaaYjAfP-647E/edit"&amp;"?usp=sharing"",""นครพนม!I151"")+IMPORTRANGE(""https://docs.google.com/spreadsheets/d/1Mnpb-8PYAgn85W6KOTD40hc_Xc55CaLfHoGAbrZ8tls/edit?usp=sharing"",""นครราชสีมา!I151"")+IMPORTRANGE(""https://docs.google.com/spreadsheets/d/1xoDLGBv9CYbyosIhki0kTq6IpYNj-gp"&amp;"jxfobnaDiut0/edit?usp=sharing"",""บึงกาฬ!I151"")+IMPORTRANGE(""https://docs.google.com/spreadsheets/d/1MMPq-JyI6DSgQETxuSiXkesP-P7JHuemnE6QJIa-Nlw/edit?usp=sharing"",""บุรีรัมย์!I151"")+IMPORTRANGE(""https://docs.google.com/spreadsheets/d/1l6IZ8xUPgMrESzc"&amp;"TYwhA1k_tPjeQjJPTqlm8Gd9eU5g/edit?usp=sharing"",""มหาสารคาม!I151"")+IMPORTRANGE(""https://docs.google.com/spreadsheets/d/1uB74YLqNjWX6FObjekfB2NtSYigTQyR2rq9u4Ub2Sq4/edit?usp=sharing"",""มุกดาหาร!I151"")+IMPORTRANGE(""https://docs.google.com/spreadsheets/"&amp;"d/1NexK3geCPxCTO1fzNF8dPec7yZyUx3OaWkFBC9HsQOo/edit?usp=sharing"",""ยโสธร!I151"")+IMPORTRANGE(""https://docs.google.com/spreadsheets/d/1v_cJrbBlyqmnHPReHk44g9NrMRdENNlSy_E_c5M9fIg/edit?usp=sharing"",""ร้อยเอ็ด!I151"")+IMPORTRANGE(""https://docs.google.com"&amp;"/spreadsheets/d/1Ul4RCpCX66NxYADU1QpwAPjOmBzW64SsT11s1wzXw_c/edit?usp=sharing"",""เลย!I151"")+IMPORTRANGE(""https://docs.google.com/spreadsheets/d/1bRrNKwbHDVktQG10isr5vbWRtt5spIZPpkOSWgbT5ug/edit?usp=sharing"",""ศรีสะเกษ!I151"")+IMPORTRANGE(""https://doc"&amp;"s.google.com/spreadsheets/d/17P34_Ow5kFBfdQD0qspb2UuPX5zpi6WMrQzslghyvrI/edit?usp=sharing"",""สกลนคร!I151"")+IMPORTRANGE(""https://docs.google.com/spreadsheets/d/1yswqbM3-AEpThF3ZSUa1AcmHnmRTF1vlJ1CZGcJ8YuU/edit?usp=sharing"",""สุรินทร์!I151"")+IMPORTRANG"&amp;"E(""https://docs.google.com/spreadsheets/d/13JHU_EFbsQOUQ0JSQ3dWy1VTRosIWcDq6Nc99z2qzdc/edit?usp=sharing"",""หนองคาย!I151"")+IMPORTRANGE(""https://docs.google.com/spreadsheets/d/1Hx73zIEgVdDZZaYSTc46Dqv64atFhpr3GelxLbaIN8A/edit?usp=sharing"",""หนองบัวลำภู"&amp;"!I151"")+IMPORTRANGE(""https://docs.google.com/spreadsheets/d/1lFxr3ctmjFN90yc-xV6jrQ9Ty8BKYVBWnAZ15wcNIJc/edit?usp=sharing"",""อำนาจเจริญ!I151"")+IMPORTRANGE(""https://docs.google.com/spreadsheets/d/1gF7RJpRnL-1oyjyeWxs5SFWEH7y8ahOZsQlyp2A2e-A/edit?usp=s"&amp;"haring"",""อุดรธานี!I151"")+IMPORTRANGE(""https://docs.google.com/spreadsheets/d/1kfLP0j3INXRa8bTDpcEmoWewMBV61jlFlfzczfjWIgc/edit?usp=sharing"",""อุบลราชธานี!I151"")"),2)</f>
        <v>2</v>
      </c>
      <c r="J151" s="181">
        <f ca="1">IFERROR(__xludf.DUMMYFUNCTION("IMPORTRANGE(""https://docs.google.com/spreadsheets/d/1yhBcrRPreicbMKl9Bu_Snb2-OcQAF62RKfhTLhJ2eAA/edit?usp=sharing"",""กาฬสินธุ์!J151"")+IMPORTRANGE(""https://docs.google.com/spreadsheets/d/1aHkj4IaQMThhwWwevcOymEh837vdxeC_PycurhTbGFA/edit?usp=sharing"","&amp;"""ขอนแก่น!J151"")+IMPORTRANGE(""https://docs.google.com/spreadsheets/d/1FvTu2DsIWUjP6WCWra38Bkj_oOl_sOMf14r5Fg5srxU/edit?usp=sharing"",""ชัยภูมิ!J151"")+IMPORTRANGE(""https://docs.google.com/spreadsheets/d/1XVB7oCJ3pr-vBUdflwPQ8Z2LlzhnCvZaaYjAfP-647E/edit"&amp;"?usp=sharing"",""นครพนม!J151"")+IMPORTRANGE(""https://docs.google.com/spreadsheets/d/1Mnpb-8PYAgn85W6KOTD40hc_Xc55CaLfHoGAbrZ8tls/edit?usp=sharing"",""นครราชสีมา!J151"")+IMPORTRANGE(""https://docs.google.com/spreadsheets/d/1xoDLGBv9CYbyosIhki0kTq6IpYNj-gp"&amp;"jxfobnaDiut0/edit?usp=sharing"",""บึงกาฬ!J151"")+IMPORTRANGE(""https://docs.google.com/spreadsheets/d/1MMPq-JyI6DSgQETxuSiXkesP-P7JHuemnE6QJIa-Nlw/edit?usp=sharing"",""บุรีรัมย์!J151"")+IMPORTRANGE(""https://docs.google.com/spreadsheets/d/1l6IZ8xUPgMrESzc"&amp;"TYwhA1k_tPjeQjJPTqlm8Gd9eU5g/edit?usp=sharing"",""มหาสารคาม!J151"")+IMPORTRANGE(""https://docs.google.com/spreadsheets/d/1uB74YLqNjWX6FObjekfB2NtSYigTQyR2rq9u4Ub2Sq4/edit?usp=sharing"",""มุกดาหาร!J151"")+IMPORTRANGE(""https://docs.google.com/spreadsheets/"&amp;"d/1NexK3geCPxCTO1fzNF8dPec7yZyUx3OaWkFBC9HsQOo/edit?usp=sharing"",""ยโสธร!J151"")+IMPORTRANGE(""https://docs.google.com/spreadsheets/d/1v_cJrbBlyqmnHPReHk44g9NrMRdENNlSy_E_c5M9fIg/edit?usp=sharing"",""ร้อยเอ็ด!J151"")+IMPORTRANGE(""https://docs.google.com"&amp;"/spreadsheets/d/1Ul4RCpCX66NxYADU1QpwAPjOmBzW64SsT11s1wzXw_c/edit?usp=sharing"",""เลย!J151"")+IMPORTRANGE(""https://docs.google.com/spreadsheets/d/1bRrNKwbHDVktQG10isr5vbWRtt5spIZPpkOSWgbT5ug/edit?usp=sharing"",""ศรีสะเกษ!J151"")+IMPORTRANGE(""https://doc"&amp;"s.google.com/spreadsheets/d/17P34_Ow5kFBfdQD0qspb2UuPX5zpi6WMrQzslghyvrI/edit?usp=sharing"",""สกลนคร!J151"")+IMPORTRANGE(""https://docs.google.com/spreadsheets/d/1yswqbM3-AEpThF3ZSUa1AcmHnmRTF1vlJ1CZGcJ8YuU/edit?usp=sharing"",""สุรินทร์!J151"")+IMPORTRANG"&amp;"E(""https://docs.google.com/spreadsheets/d/13JHU_EFbsQOUQ0JSQ3dWy1VTRosIWcDq6Nc99z2qzdc/edit?usp=sharing"",""หนองคาย!J151"")+IMPORTRANGE(""https://docs.google.com/spreadsheets/d/1Hx73zIEgVdDZZaYSTc46Dqv64atFhpr3GelxLbaIN8A/edit?usp=sharing"",""หนองบัวลำภู"&amp;"!J151"")+IMPORTRANGE(""https://docs.google.com/spreadsheets/d/1lFxr3ctmjFN90yc-xV6jrQ9Ty8BKYVBWnAZ15wcNIJc/edit?usp=sharing"",""อำนาจเจริญ!J151"")+IMPORTRANGE(""https://docs.google.com/spreadsheets/d/1gF7RJpRnL-1oyjyeWxs5SFWEH7y8ahOZsQlyp2A2e-A/edit?usp=s"&amp;"haring"",""อุดรธานี!J151"")+IMPORTRANGE(""https://docs.google.com/spreadsheets/d/1kfLP0j3INXRa8bTDpcEmoWewMBV61jlFlfzczfjWIgc/edit?usp=sharing"",""อุบลราชธานี!J151"")"),0)</f>
        <v>0</v>
      </c>
      <c r="K151" s="56">
        <f t="shared" ca="1" si="123"/>
        <v>0</v>
      </c>
      <c r="L151" s="55"/>
      <c r="M151" s="55"/>
      <c r="N151" s="55"/>
      <c r="O151" s="55"/>
      <c r="P151" s="55"/>
      <c r="Q151" s="55"/>
      <c r="R151" s="55"/>
      <c r="S151" s="62"/>
      <c r="T151" s="55"/>
      <c r="U151" s="55"/>
    </row>
    <row r="152" spans="1:21" ht="19.5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181">
        <f ca="1">IFERROR(__xludf.DUMMYFUNCTION("IMPORTRANGE(""https://docs.google.com/spreadsheets/d/1yhBcrRPreicbMKl9Bu_Snb2-OcQAF62RKfhTLhJ2eAA/edit?usp=sharing"",""กาฬสินธุ์!I152"")+IMPORTRANGE(""https://docs.google.com/spreadsheets/d/1aHkj4IaQMThhwWwevcOymEh837vdxeC_PycurhTbGFA/edit?usp=sharing"","&amp;"""ขอนแก่น!I152"")+IMPORTRANGE(""https://docs.google.com/spreadsheets/d/1FvTu2DsIWUjP6WCWra38Bkj_oOl_sOMf14r5Fg5srxU/edit?usp=sharing"",""ชัยภูมิ!I152"")+IMPORTRANGE(""https://docs.google.com/spreadsheets/d/1XVB7oCJ3pr-vBUdflwPQ8Z2LlzhnCvZaaYjAfP-647E/edit"&amp;"?usp=sharing"",""นครพนม!I152"")+IMPORTRANGE(""https://docs.google.com/spreadsheets/d/1Mnpb-8PYAgn85W6KOTD40hc_Xc55CaLfHoGAbrZ8tls/edit?usp=sharing"",""นครราชสีมา!I152"")+IMPORTRANGE(""https://docs.google.com/spreadsheets/d/1xoDLGBv9CYbyosIhki0kTq6IpYNj-gp"&amp;"jxfobnaDiut0/edit?usp=sharing"",""บึงกาฬ!I152"")+IMPORTRANGE(""https://docs.google.com/spreadsheets/d/1MMPq-JyI6DSgQETxuSiXkesP-P7JHuemnE6QJIa-Nlw/edit?usp=sharing"",""บุรีรัมย์!I152"")+IMPORTRANGE(""https://docs.google.com/spreadsheets/d/1l6IZ8xUPgMrESzc"&amp;"TYwhA1k_tPjeQjJPTqlm8Gd9eU5g/edit?usp=sharing"",""มหาสารคาม!I152"")+IMPORTRANGE(""https://docs.google.com/spreadsheets/d/1uB74YLqNjWX6FObjekfB2NtSYigTQyR2rq9u4Ub2Sq4/edit?usp=sharing"",""มุกดาหาร!I152"")+IMPORTRANGE(""https://docs.google.com/spreadsheets/"&amp;"d/1NexK3geCPxCTO1fzNF8dPec7yZyUx3OaWkFBC9HsQOo/edit?usp=sharing"",""ยโสธร!I152"")+IMPORTRANGE(""https://docs.google.com/spreadsheets/d/1v_cJrbBlyqmnHPReHk44g9NrMRdENNlSy_E_c5M9fIg/edit?usp=sharing"",""ร้อยเอ็ด!I152"")+IMPORTRANGE(""https://docs.google.com"&amp;"/spreadsheets/d/1Ul4RCpCX66NxYADU1QpwAPjOmBzW64SsT11s1wzXw_c/edit?usp=sharing"",""เลย!I152"")+IMPORTRANGE(""https://docs.google.com/spreadsheets/d/1bRrNKwbHDVktQG10isr5vbWRtt5spIZPpkOSWgbT5ug/edit?usp=sharing"",""ศรีสะเกษ!I152"")+IMPORTRANGE(""https://doc"&amp;"s.google.com/spreadsheets/d/17P34_Ow5kFBfdQD0qspb2UuPX5zpi6WMrQzslghyvrI/edit?usp=sharing"",""สกลนคร!I152"")+IMPORTRANGE(""https://docs.google.com/spreadsheets/d/1yswqbM3-AEpThF3ZSUa1AcmHnmRTF1vlJ1CZGcJ8YuU/edit?usp=sharing"",""สุรินทร์!I152"")+IMPORTRANG"&amp;"E(""https://docs.google.com/spreadsheets/d/13JHU_EFbsQOUQ0JSQ3dWy1VTRosIWcDq6Nc99z2qzdc/edit?usp=sharing"",""หนองคาย!I152"")+IMPORTRANGE(""https://docs.google.com/spreadsheets/d/1Hx73zIEgVdDZZaYSTc46Dqv64atFhpr3GelxLbaIN8A/edit?usp=sharing"",""หนองบัวลำภู"&amp;"!I152"")+IMPORTRANGE(""https://docs.google.com/spreadsheets/d/1lFxr3ctmjFN90yc-xV6jrQ9Ty8BKYVBWnAZ15wcNIJc/edit?usp=sharing"",""อำนาจเจริญ!I152"")+IMPORTRANGE(""https://docs.google.com/spreadsheets/d/1gF7RJpRnL-1oyjyeWxs5SFWEH7y8ahOZsQlyp2A2e-A/edit?usp=s"&amp;"haring"",""อุดรธานี!I152"")+IMPORTRANGE(""https://docs.google.com/spreadsheets/d/1kfLP0j3INXRa8bTDpcEmoWewMBV61jlFlfzczfjWIgc/edit?usp=sharing"",""อุบลราชธานี!I152"")"),290)</f>
        <v>290</v>
      </c>
      <c r="J152" s="181">
        <f ca="1">IFERROR(__xludf.DUMMYFUNCTION("IMPORTRANGE(""https://docs.google.com/spreadsheets/d/1yhBcrRPreicbMKl9Bu_Snb2-OcQAF62RKfhTLhJ2eAA/edit?usp=sharing"",""กาฬสินธุ์!J152"")+IMPORTRANGE(""https://docs.google.com/spreadsheets/d/1aHkj4IaQMThhwWwevcOymEh837vdxeC_PycurhTbGFA/edit?usp=sharing"","&amp;"""ขอนแก่น!J152"")+IMPORTRANGE(""https://docs.google.com/spreadsheets/d/1FvTu2DsIWUjP6WCWra38Bkj_oOl_sOMf14r5Fg5srxU/edit?usp=sharing"",""ชัยภูมิ!J152"")+IMPORTRANGE(""https://docs.google.com/spreadsheets/d/1XVB7oCJ3pr-vBUdflwPQ8Z2LlzhnCvZaaYjAfP-647E/edit"&amp;"?usp=sharing"",""นครพนม!J152"")+IMPORTRANGE(""https://docs.google.com/spreadsheets/d/1Mnpb-8PYAgn85W6KOTD40hc_Xc55CaLfHoGAbrZ8tls/edit?usp=sharing"",""นครราชสีมา!J152"")+IMPORTRANGE(""https://docs.google.com/spreadsheets/d/1xoDLGBv9CYbyosIhki0kTq6IpYNj-gp"&amp;"jxfobnaDiut0/edit?usp=sharing"",""บึงกาฬ!J152"")+IMPORTRANGE(""https://docs.google.com/spreadsheets/d/1MMPq-JyI6DSgQETxuSiXkesP-P7JHuemnE6QJIa-Nlw/edit?usp=sharing"",""บุรีรัมย์!J152"")+IMPORTRANGE(""https://docs.google.com/spreadsheets/d/1l6IZ8xUPgMrESzc"&amp;"TYwhA1k_tPjeQjJPTqlm8Gd9eU5g/edit?usp=sharing"",""มหาสารคาม!J152"")+IMPORTRANGE(""https://docs.google.com/spreadsheets/d/1uB74YLqNjWX6FObjekfB2NtSYigTQyR2rq9u4Ub2Sq4/edit?usp=sharing"",""มุกดาหาร!J152"")+IMPORTRANGE(""https://docs.google.com/spreadsheets/"&amp;"d/1NexK3geCPxCTO1fzNF8dPec7yZyUx3OaWkFBC9HsQOo/edit?usp=sharing"",""ยโสธร!J152"")+IMPORTRANGE(""https://docs.google.com/spreadsheets/d/1v_cJrbBlyqmnHPReHk44g9NrMRdENNlSy_E_c5M9fIg/edit?usp=sharing"",""ร้อยเอ็ด!J152"")+IMPORTRANGE(""https://docs.google.com"&amp;"/spreadsheets/d/1Ul4RCpCX66NxYADU1QpwAPjOmBzW64SsT11s1wzXw_c/edit?usp=sharing"",""เลย!J152"")+IMPORTRANGE(""https://docs.google.com/spreadsheets/d/1bRrNKwbHDVktQG10isr5vbWRtt5spIZPpkOSWgbT5ug/edit?usp=sharing"",""ศรีสะเกษ!J152"")+IMPORTRANGE(""https://doc"&amp;"s.google.com/spreadsheets/d/17P34_Ow5kFBfdQD0qspb2UuPX5zpi6WMrQzslghyvrI/edit?usp=sharing"",""สกลนคร!J152"")+IMPORTRANGE(""https://docs.google.com/spreadsheets/d/1yswqbM3-AEpThF3ZSUa1AcmHnmRTF1vlJ1CZGcJ8YuU/edit?usp=sharing"",""สุรินทร์!J152"")+IMPORTRANG"&amp;"E(""https://docs.google.com/spreadsheets/d/13JHU_EFbsQOUQ0JSQ3dWy1VTRosIWcDq6Nc99z2qzdc/edit?usp=sharing"",""หนองคาย!J152"")+IMPORTRANGE(""https://docs.google.com/spreadsheets/d/1Hx73zIEgVdDZZaYSTc46Dqv64atFhpr3GelxLbaIN8A/edit?usp=sharing"",""หนองบัวลำภู"&amp;"!J152"")+IMPORTRANGE(""https://docs.google.com/spreadsheets/d/1lFxr3ctmjFN90yc-xV6jrQ9Ty8BKYVBWnAZ15wcNIJc/edit?usp=sharing"",""อำนาจเจริญ!J152"")+IMPORTRANGE(""https://docs.google.com/spreadsheets/d/1gF7RJpRnL-1oyjyeWxs5SFWEH7y8ahOZsQlyp2A2e-A/edit?usp=s"&amp;"haring"",""อุดรธานี!J152"")+IMPORTRANGE(""https://docs.google.com/spreadsheets/d/1kfLP0j3INXRa8bTDpcEmoWewMBV61jlFlfzczfjWIgc/edit?usp=sharing"",""อุบลราชธานี!J152"")"),160)</f>
        <v>160</v>
      </c>
      <c r="K152" s="56">
        <f t="shared" ca="1" si="123"/>
        <v>55.172413793103445</v>
      </c>
      <c r="L152" s="55"/>
      <c r="M152" s="55"/>
      <c r="N152" s="55"/>
      <c r="O152" s="55"/>
      <c r="P152" s="55"/>
      <c r="Q152" s="55"/>
      <c r="R152" s="55"/>
      <c r="S152" s="62"/>
      <c r="T152" s="55"/>
      <c r="U152" s="55"/>
    </row>
    <row r="153" spans="1:21" ht="18.75">
      <c r="A153" s="155"/>
      <c r="B153" s="50"/>
      <c r="C153" s="50"/>
      <c r="D153" s="50"/>
      <c r="E153" s="50"/>
      <c r="F153" s="50"/>
      <c r="G153" s="52"/>
      <c r="H153" s="165" t="s">
        <v>54</v>
      </c>
      <c r="I153" s="181">
        <f ca="1">IFERROR(__xludf.DUMMYFUNCTION("IMPORTRANGE(""https://docs.google.com/spreadsheets/d/1yhBcrRPreicbMKl9Bu_Snb2-OcQAF62RKfhTLhJ2eAA/edit?usp=sharing"",""กาฬสินธุ์!I153"")+IMPORTRANGE(""https://docs.google.com/spreadsheets/d/1aHkj4IaQMThhwWwevcOymEh837vdxeC_PycurhTbGFA/edit?usp=sharing"","&amp;"""ขอนแก่น!I153"")+IMPORTRANGE(""https://docs.google.com/spreadsheets/d/1FvTu2DsIWUjP6WCWra38Bkj_oOl_sOMf14r5Fg5srxU/edit?usp=sharing"",""ชัยภูมิ!I153"")+IMPORTRANGE(""https://docs.google.com/spreadsheets/d/1XVB7oCJ3pr-vBUdflwPQ8Z2LlzhnCvZaaYjAfP-647E/edit"&amp;"?usp=sharing"",""นครพนม!I153"")+IMPORTRANGE(""https://docs.google.com/spreadsheets/d/1Mnpb-8PYAgn85W6KOTD40hc_Xc55CaLfHoGAbrZ8tls/edit?usp=sharing"",""นครราชสีมา!I153"")+IMPORTRANGE(""https://docs.google.com/spreadsheets/d/1xoDLGBv9CYbyosIhki0kTq6IpYNj-gp"&amp;"jxfobnaDiut0/edit?usp=sharing"",""บึงกาฬ!I153"")+IMPORTRANGE(""https://docs.google.com/spreadsheets/d/1MMPq-JyI6DSgQETxuSiXkesP-P7JHuemnE6QJIa-Nlw/edit?usp=sharing"",""บุรีรัมย์!I153"")+IMPORTRANGE(""https://docs.google.com/spreadsheets/d/1l6IZ8xUPgMrESzc"&amp;"TYwhA1k_tPjeQjJPTqlm8Gd9eU5g/edit?usp=sharing"",""มหาสารคาม!I153"")+IMPORTRANGE(""https://docs.google.com/spreadsheets/d/1uB74YLqNjWX6FObjekfB2NtSYigTQyR2rq9u4Ub2Sq4/edit?usp=sharing"",""มุกดาหาร!I153"")+IMPORTRANGE(""https://docs.google.com/spreadsheets/"&amp;"d/1NexK3geCPxCTO1fzNF8dPec7yZyUx3OaWkFBC9HsQOo/edit?usp=sharing"",""ยโสธร!I153"")+IMPORTRANGE(""https://docs.google.com/spreadsheets/d/1v_cJrbBlyqmnHPReHk44g9NrMRdENNlSy_E_c5M9fIg/edit?usp=sharing"",""ร้อยเอ็ด!I153"")+IMPORTRANGE(""https://docs.google.com"&amp;"/spreadsheets/d/1Ul4RCpCX66NxYADU1QpwAPjOmBzW64SsT11s1wzXw_c/edit?usp=sharing"",""เลย!I153"")+IMPORTRANGE(""https://docs.google.com/spreadsheets/d/1bRrNKwbHDVktQG10isr5vbWRtt5spIZPpkOSWgbT5ug/edit?usp=sharing"",""ศรีสะเกษ!I153"")+IMPORTRANGE(""https://doc"&amp;"s.google.com/spreadsheets/d/17P34_Ow5kFBfdQD0qspb2UuPX5zpi6WMrQzslghyvrI/edit?usp=sharing"",""สกลนคร!I153"")+IMPORTRANGE(""https://docs.google.com/spreadsheets/d/1yswqbM3-AEpThF3ZSUa1AcmHnmRTF1vlJ1CZGcJ8YuU/edit?usp=sharing"",""สุรินทร์!I153"")+IMPORTRANG"&amp;"E(""https://docs.google.com/spreadsheets/d/13JHU_EFbsQOUQ0JSQ3dWy1VTRosIWcDq6Nc99z2qzdc/edit?usp=sharing"",""หนองคาย!I153"")+IMPORTRANGE(""https://docs.google.com/spreadsheets/d/1Hx73zIEgVdDZZaYSTc46Dqv64atFhpr3GelxLbaIN8A/edit?usp=sharing"",""หนองบัวลำภู"&amp;"!I153"")+IMPORTRANGE(""https://docs.google.com/spreadsheets/d/1lFxr3ctmjFN90yc-xV6jrQ9Ty8BKYVBWnAZ15wcNIJc/edit?usp=sharing"",""อำนาจเจริญ!I153"")+IMPORTRANGE(""https://docs.google.com/spreadsheets/d/1gF7RJpRnL-1oyjyeWxs5SFWEH7y8ahOZsQlyp2A2e-A/edit?usp=s"&amp;"haring"",""อุดรธานี!I153"")+IMPORTRANGE(""https://docs.google.com/spreadsheets/d/1kfLP0j3INXRa8bTDpcEmoWewMBV61jlFlfzczfjWIgc/edit?usp=sharing"",""อุบลราชธานี!I153"")"),29)</f>
        <v>29</v>
      </c>
      <c r="J153" s="181">
        <f ca="1">IFERROR(__xludf.DUMMYFUNCTION("IMPORTRANGE(""https://docs.google.com/spreadsheets/d/1yhBcrRPreicbMKl9Bu_Snb2-OcQAF62RKfhTLhJ2eAA/edit?usp=sharing"",""กาฬสินธุ์!J153"")+IMPORTRANGE(""https://docs.google.com/spreadsheets/d/1aHkj4IaQMThhwWwevcOymEh837vdxeC_PycurhTbGFA/edit?usp=sharing"","&amp;"""ขอนแก่น!J153"")+IMPORTRANGE(""https://docs.google.com/spreadsheets/d/1FvTu2DsIWUjP6WCWra38Bkj_oOl_sOMf14r5Fg5srxU/edit?usp=sharing"",""ชัยภูมิ!J153"")+IMPORTRANGE(""https://docs.google.com/spreadsheets/d/1XVB7oCJ3pr-vBUdflwPQ8Z2LlzhnCvZaaYjAfP-647E/edit"&amp;"?usp=sharing"",""นครพนม!J153"")+IMPORTRANGE(""https://docs.google.com/spreadsheets/d/1Mnpb-8PYAgn85W6KOTD40hc_Xc55CaLfHoGAbrZ8tls/edit?usp=sharing"",""นครราชสีมา!J153"")+IMPORTRANGE(""https://docs.google.com/spreadsheets/d/1xoDLGBv9CYbyosIhki0kTq6IpYNj-gp"&amp;"jxfobnaDiut0/edit?usp=sharing"",""บึงกาฬ!J153"")+IMPORTRANGE(""https://docs.google.com/spreadsheets/d/1MMPq-JyI6DSgQETxuSiXkesP-P7JHuemnE6QJIa-Nlw/edit?usp=sharing"",""บุรีรัมย์!J153"")+IMPORTRANGE(""https://docs.google.com/spreadsheets/d/1l6IZ8xUPgMrESzc"&amp;"TYwhA1k_tPjeQjJPTqlm8Gd9eU5g/edit?usp=sharing"",""มหาสารคาม!J153"")+IMPORTRANGE(""https://docs.google.com/spreadsheets/d/1uB74YLqNjWX6FObjekfB2NtSYigTQyR2rq9u4Ub2Sq4/edit?usp=sharing"",""มุกดาหาร!J153"")+IMPORTRANGE(""https://docs.google.com/spreadsheets/"&amp;"d/1NexK3geCPxCTO1fzNF8dPec7yZyUx3OaWkFBC9HsQOo/edit?usp=sharing"",""ยโสธร!J153"")+IMPORTRANGE(""https://docs.google.com/spreadsheets/d/1v_cJrbBlyqmnHPReHk44g9NrMRdENNlSy_E_c5M9fIg/edit?usp=sharing"",""ร้อยเอ็ด!J153"")+IMPORTRANGE(""https://docs.google.com"&amp;"/spreadsheets/d/1Ul4RCpCX66NxYADU1QpwAPjOmBzW64SsT11s1wzXw_c/edit?usp=sharing"",""เลย!J153"")+IMPORTRANGE(""https://docs.google.com/spreadsheets/d/1bRrNKwbHDVktQG10isr5vbWRtt5spIZPpkOSWgbT5ug/edit?usp=sharing"",""ศรีสะเกษ!J153"")+IMPORTRANGE(""https://doc"&amp;"s.google.com/spreadsheets/d/17P34_Ow5kFBfdQD0qspb2UuPX5zpi6WMrQzslghyvrI/edit?usp=sharing"",""สกลนคร!J153"")+IMPORTRANGE(""https://docs.google.com/spreadsheets/d/1yswqbM3-AEpThF3ZSUa1AcmHnmRTF1vlJ1CZGcJ8YuU/edit?usp=sharing"",""สุรินทร์!J153"")+IMPORTRANG"&amp;"E(""https://docs.google.com/spreadsheets/d/13JHU_EFbsQOUQ0JSQ3dWy1VTRosIWcDq6Nc99z2qzdc/edit?usp=sharing"",""หนองคาย!J153"")+IMPORTRANGE(""https://docs.google.com/spreadsheets/d/1Hx73zIEgVdDZZaYSTc46Dqv64atFhpr3GelxLbaIN8A/edit?usp=sharing"",""หนองบัวลำภู"&amp;"!J153"")+IMPORTRANGE(""https://docs.google.com/spreadsheets/d/1lFxr3ctmjFN90yc-xV6jrQ9Ty8BKYVBWnAZ15wcNIJc/edit?usp=sharing"",""อำนาจเจริญ!J153"")+IMPORTRANGE(""https://docs.google.com/spreadsheets/d/1gF7RJpRnL-1oyjyeWxs5SFWEH7y8ahOZsQlyp2A2e-A/edit?usp=s"&amp;"haring"",""อุดรธานี!J153"")+IMPORTRANGE(""https://docs.google.com/spreadsheets/d/1kfLP0j3INXRa8bTDpcEmoWewMBV61jlFlfzczfjWIgc/edit?usp=sharing"",""อุบลราชธานี!J153"")"),16)</f>
        <v>16</v>
      </c>
      <c r="K153" s="56">
        <f t="shared" ca="1" si="123"/>
        <v>55.172413793103445</v>
      </c>
      <c r="L153" s="55"/>
      <c r="M153" s="55"/>
      <c r="N153" s="55"/>
      <c r="O153" s="55"/>
      <c r="P153" s="55"/>
      <c r="Q153" s="55"/>
      <c r="R153" s="55"/>
      <c r="S153" s="62"/>
      <c r="T153" s="55"/>
      <c r="U153" s="55"/>
    </row>
    <row r="154" spans="1:21" ht="18.75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181">
        <f ca="1">IFERROR(__xludf.DUMMYFUNCTION("IMPORTRANGE(""https://docs.google.com/spreadsheets/d/1yhBcrRPreicbMKl9Bu_Snb2-OcQAF62RKfhTLhJ2eAA/edit?usp=sharing"",""กาฬสินธุ์!I154"")+IMPORTRANGE(""https://docs.google.com/spreadsheets/d/1aHkj4IaQMThhwWwevcOymEh837vdxeC_PycurhTbGFA/edit?usp=sharing"","&amp;"""ขอนแก่น!I154"")+IMPORTRANGE(""https://docs.google.com/spreadsheets/d/1FvTu2DsIWUjP6WCWra38Bkj_oOl_sOMf14r5Fg5srxU/edit?usp=sharing"",""ชัยภูมิ!I154"")+IMPORTRANGE(""https://docs.google.com/spreadsheets/d/1XVB7oCJ3pr-vBUdflwPQ8Z2LlzhnCvZaaYjAfP-647E/edit"&amp;"?usp=sharing"",""นครพนม!I154"")+IMPORTRANGE(""https://docs.google.com/spreadsheets/d/1Mnpb-8PYAgn85W6KOTD40hc_Xc55CaLfHoGAbrZ8tls/edit?usp=sharing"",""นครราชสีมา!I154"")+IMPORTRANGE(""https://docs.google.com/spreadsheets/d/1xoDLGBv9CYbyosIhki0kTq6IpYNj-gp"&amp;"jxfobnaDiut0/edit?usp=sharing"",""บึงกาฬ!I154"")+IMPORTRANGE(""https://docs.google.com/spreadsheets/d/1MMPq-JyI6DSgQETxuSiXkesP-P7JHuemnE6QJIa-Nlw/edit?usp=sharing"",""บุรีรัมย์!I154"")+IMPORTRANGE(""https://docs.google.com/spreadsheets/d/1l6IZ8xUPgMrESzc"&amp;"TYwhA1k_tPjeQjJPTqlm8Gd9eU5g/edit?usp=sharing"",""มหาสารคาม!I154"")+IMPORTRANGE(""https://docs.google.com/spreadsheets/d/1uB74YLqNjWX6FObjekfB2NtSYigTQyR2rq9u4Ub2Sq4/edit?usp=sharing"",""มุกดาหาร!I154"")+IMPORTRANGE(""https://docs.google.com/spreadsheets/"&amp;"d/1NexK3geCPxCTO1fzNF8dPec7yZyUx3OaWkFBC9HsQOo/edit?usp=sharing"",""ยโสธร!I154"")+IMPORTRANGE(""https://docs.google.com/spreadsheets/d/1v_cJrbBlyqmnHPReHk44g9NrMRdENNlSy_E_c5M9fIg/edit?usp=sharing"",""ร้อยเอ็ด!I154"")+IMPORTRANGE(""https://docs.google.com"&amp;"/spreadsheets/d/1Ul4RCpCX66NxYADU1QpwAPjOmBzW64SsT11s1wzXw_c/edit?usp=sharing"",""เลย!I154"")+IMPORTRANGE(""https://docs.google.com/spreadsheets/d/1bRrNKwbHDVktQG10isr5vbWRtt5spIZPpkOSWgbT5ug/edit?usp=sharing"",""ศรีสะเกษ!I154"")+IMPORTRANGE(""https://doc"&amp;"s.google.com/spreadsheets/d/17P34_Ow5kFBfdQD0qspb2UuPX5zpi6WMrQzslghyvrI/edit?usp=sharing"",""สกลนคร!I154"")+IMPORTRANGE(""https://docs.google.com/spreadsheets/d/1yswqbM3-AEpThF3ZSUa1AcmHnmRTF1vlJ1CZGcJ8YuU/edit?usp=sharing"",""สุรินทร์!I154"")+IMPORTRANG"&amp;"E(""https://docs.google.com/spreadsheets/d/13JHU_EFbsQOUQ0JSQ3dWy1VTRosIWcDq6Nc99z2qzdc/edit?usp=sharing"",""หนองคาย!I154"")+IMPORTRANGE(""https://docs.google.com/spreadsheets/d/1Hx73zIEgVdDZZaYSTc46Dqv64atFhpr3GelxLbaIN8A/edit?usp=sharing"",""หนองบัวลำภู"&amp;"!I154"")+IMPORTRANGE(""https://docs.google.com/spreadsheets/d/1lFxr3ctmjFN90yc-xV6jrQ9Ty8BKYVBWnAZ15wcNIJc/edit?usp=sharing"",""อำนาจเจริญ!I154"")+IMPORTRANGE(""https://docs.google.com/spreadsheets/d/1gF7RJpRnL-1oyjyeWxs5SFWEH7y8ahOZsQlyp2A2e-A/edit?usp=s"&amp;"haring"",""อุดรธานี!I154"")+IMPORTRANGE(""https://docs.google.com/spreadsheets/d/1kfLP0j3INXRa8bTDpcEmoWewMBV61jlFlfzczfjWIgc/edit?usp=sharing"",""อุบลราชธานี!I154"")"),2)</f>
        <v>2</v>
      </c>
      <c r="J154" s="181">
        <f ca="1">IFERROR(__xludf.DUMMYFUNCTION("IMPORTRANGE(""https://docs.google.com/spreadsheets/d/1yhBcrRPreicbMKl9Bu_Snb2-OcQAF62RKfhTLhJ2eAA/edit?usp=sharing"",""กาฬสินธุ์!J154"")+IMPORTRANGE(""https://docs.google.com/spreadsheets/d/1aHkj4IaQMThhwWwevcOymEh837vdxeC_PycurhTbGFA/edit?usp=sharing"","&amp;"""ขอนแก่น!J154"")+IMPORTRANGE(""https://docs.google.com/spreadsheets/d/1FvTu2DsIWUjP6WCWra38Bkj_oOl_sOMf14r5Fg5srxU/edit?usp=sharing"",""ชัยภูมิ!J154"")+IMPORTRANGE(""https://docs.google.com/spreadsheets/d/1XVB7oCJ3pr-vBUdflwPQ8Z2LlzhnCvZaaYjAfP-647E/edit"&amp;"?usp=sharing"",""นครพนม!J154"")+IMPORTRANGE(""https://docs.google.com/spreadsheets/d/1Mnpb-8PYAgn85W6KOTD40hc_Xc55CaLfHoGAbrZ8tls/edit?usp=sharing"",""นครราชสีมา!J154"")+IMPORTRANGE(""https://docs.google.com/spreadsheets/d/1xoDLGBv9CYbyosIhki0kTq6IpYNj-gp"&amp;"jxfobnaDiut0/edit?usp=sharing"",""บึงกาฬ!J154"")+IMPORTRANGE(""https://docs.google.com/spreadsheets/d/1MMPq-JyI6DSgQETxuSiXkesP-P7JHuemnE6QJIa-Nlw/edit?usp=sharing"",""บุรีรัมย์!J154"")+IMPORTRANGE(""https://docs.google.com/spreadsheets/d/1l6IZ8xUPgMrESzc"&amp;"TYwhA1k_tPjeQjJPTqlm8Gd9eU5g/edit?usp=sharing"",""มหาสารคาม!J154"")+IMPORTRANGE(""https://docs.google.com/spreadsheets/d/1uB74YLqNjWX6FObjekfB2NtSYigTQyR2rq9u4Ub2Sq4/edit?usp=sharing"",""มุกดาหาร!J154"")+IMPORTRANGE(""https://docs.google.com/spreadsheets/"&amp;"d/1NexK3geCPxCTO1fzNF8dPec7yZyUx3OaWkFBC9HsQOo/edit?usp=sharing"",""ยโสธร!J154"")+IMPORTRANGE(""https://docs.google.com/spreadsheets/d/1v_cJrbBlyqmnHPReHk44g9NrMRdENNlSy_E_c5M9fIg/edit?usp=sharing"",""ร้อยเอ็ด!J154"")+IMPORTRANGE(""https://docs.google.com"&amp;"/spreadsheets/d/1Ul4RCpCX66NxYADU1QpwAPjOmBzW64SsT11s1wzXw_c/edit?usp=sharing"",""เลย!J154"")+IMPORTRANGE(""https://docs.google.com/spreadsheets/d/1bRrNKwbHDVktQG10isr5vbWRtt5spIZPpkOSWgbT5ug/edit?usp=sharing"",""ศรีสะเกษ!J154"")+IMPORTRANGE(""https://doc"&amp;"s.google.com/spreadsheets/d/17P34_Ow5kFBfdQD0qspb2UuPX5zpi6WMrQzslghyvrI/edit?usp=sharing"",""สกลนคร!J154"")+IMPORTRANGE(""https://docs.google.com/spreadsheets/d/1yswqbM3-AEpThF3ZSUa1AcmHnmRTF1vlJ1CZGcJ8YuU/edit?usp=sharing"",""สุรินทร์!J154"")+IMPORTRANG"&amp;"E(""https://docs.google.com/spreadsheets/d/13JHU_EFbsQOUQ0JSQ3dWy1VTRosIWcDq6Nc99z2qzdc/edit?usp=sharing"",""หนองคาย!J154"")+IMPORTRANGE(""https://docs.google.com/spreadsheets/d/1Hx73zIEgVdDZZaYSTc46Dqv64atFhpr3GelxLbaIN8A/edit?usp=sharing"",""หนองบัวลำภู"&amp;"!J154"")+IMPORTRANGE(""https://docs.google.com/spreadsheets/d/1lFxr3ctmjFN90yc-xV6jrQ9Ty8BKYVBWnAZ15wcNIJc/edit?usp=sharing"",""อำนาจเจริญ!J154"")+IMPORTRANGE(""https://docs.google.com/spreadsheets/d/1gF7RJpRnL-1oyjyeWxs5SFWEH7y8ahOZsQlyp2A2e-A/edit?usp=s"&amp;"haring"",""อุดรธานี!J154"")+IMPORTRANGE(""https://docs.google.com/spreadsheets/d/1kfLP0j3INXRa8bTDpcEmoWewMBV61jlFlfzczfjWIgc/edit?usp=sharing"",""อุบลราชธานี!J154"")"),0)</f>
        <v>0</v>
      </c>
      <c r="K154" s="56">
        <f t="shared" ca="1" si="123"/>
        <v>0</v>
      </c>
      <c r="L154" s="55"/>
      <c r="M154" s="55"/>
      <c r="N154" s="55"/>
      <c r="O154" s="55"/>
      <c r="P154" s="55"/>
      <c r="Q154" s="55"/>
      <c r="R154" s="55"/>
      <c r="S154" s="62"/>
      <c r="T154" s="55"/>
      <c r="U154" s="55"/>
    </row>
    <row r="155" spans="1:21" ht="19.5">
      <c r="A155" s="143" t="s">
        <v>67</v>
      </c>
      <c r="B155" s="144"/>
      <c r="C155" s="196"/>
      <c r="D155" s="144"/>
      <c r="E155" s="144"/>
      <c r="F155" s="144"/>
      <c r="G155" s="144"/>
      <c r="H155" s="144"/>
      <c r="I155" s="197"/>
      <c r="J155" s="197"/>
      <c r="K155" s="19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</row>
    <row r="156" spans="1:21" ht="19.5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153">
        <f ca="1">I167</f>
        <v>110</v>
      </c>
      <c r="J156" s="153">
        <f>J168</f>
        <v>0</v>
      </c>
      <c r="K156" s="41">
        <f ca="1">IF(I156&gt;0,J156*100/I156,0)</f>
        <v>0</v>
      </c>
      <c r="L156" s="40"/>
      <c r="M156" s="40"/>
      <c r="N156" s="40"/>
      <c r="O156" s="40"/>
      <c r="P156" s="40"/>
      <c r="Q156" s="40"/>
      <c r="R156" s="40"/>
      <c r="S156" s="154"/>
      <c r="T156" s="40"/>
      <c r="U156" s="40"/>
    </row>
    <row r="157" spans="1:21" ht="19.5">
      <c r="A157" s="155"/>
      <c r="B157" s="50"/>
      <c r="C157" s="156" t="s">
        <v>18</v>
      </c>
      <c r="D157" s="157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159">
        <f t="shared" ref="L157:N157" ca="1" si="124">L158+L159</f>
        <v>27000</v>
      </c>
      <c r="M157" s="159">
        <f t="shared" ca="1" si="124"/>
        <v>72212</v>
      </c>
      <c r="N157" s="159">
        <f t="shared" ca="1" si="124"/>
        <v>38988</v>
      </c>
      <c r="O157" s="159">
        <f t="shared" ref="O157:O165" ca="1" si="125">IF(L157&gt;0,N157*100/L157,0)</f>
        <v>144.4</v>
      </c>
      <c r="P157" s="159">
        <f t="shared" ref="P157:P165" ca="1" si="126">IF(M157&gt;0,N157*100/M157,0)</f>
        <v>53.991026422201294</v>
      </c>
      <c r="Q157" s="159">
        <f t="shared" ref="Q157:S157" ca="1" si="127">Q158+Q159</f>
        <v>0</v>
      </c>
      <c r="R157" s="159">
        <f t="shared" ca="1" si="127"/>
        <v>0</v>
      </c>
      <c r="S157" s="160">
        <f t="shared" ca="1" si="127"/>
        <v>0</v>
      </c>
      <c r="T157" s="159">
        <f t="shared" ref="T157:T165" ca="1" si="128">IF(Q157&gt;0,S157*100/Q157,0)</f>
        <v>0</v>
      </c>
      <c r="U157" s="159">
        <f t="shared" ref="U157:U165" ca="1" si="129">IF(R157&gt;0,S157*100/R157,0)</f>
        <v>0</v>
      </c>
    </row>
    <row r="158" spans="1:21" ht="18.75">
      <c r="A158" s="155"/>
      <c r="B158" s="50"/>
      <c r="C158" s="50"/>
      <c r="D158" s="50"/>
      <c r="E158" s="58" t="s">
        <v>20</v>
      </c>
      <c r="F158" s="50"/>
      <c r="G158" s="52"/>
      <c r="H158" s="161" t="s">
        <v>14</v>
      </c>
      <c r="I158" s="54"/>
      <c r="J158" s="54"/>
      <c r="K158" s="55"/>
      <c r="L158" s="56">
        <f t="shared" ref="L158:N158" ca="1" si="130">L161+L164</f>
        <v>0</v>
      </c>
      <c r="M158" s="56">
        <f t="shared" ca="1" si="130"/>
        <v>0</v>
      </c>
      <c r="N158" s="56">
        <f t="shared" ca="1" si="130"/>
        <v>0</v>
      </c>
      <c r="O158" s="56">
        <f t="shared" ca="1" si="125"/>
        <v>0</v>
      </c>
      <c r="P158" s="56">
        <f t="shared" ca="1" si="126"/>
        <v>0</v>
      </c>
      <c r="Q158" s="56">
        <f t="shared" ref="Q158:S158" ca="1" si="131">Q161+Q164</f>
        <v>0</v>
      </c>
      <c r="R158" s="56">
        <f t="shared" ca="1" si="131"/>
        <v>0</v>
      </c>
      <c r="S158" s="57">
        <f t="shared" ca="1" si="131"/>
        <v>0</v>
      </c>
      <c r="T158" s="59">
        <f t="shared" ca="1" si="128"/>
        <v>0</v>
      </c>
      <c r="U158" s="59">
        <f t="shared" ca="1" si="129"/>
        <v>0</v>
      </c>
    </row>
    <row r="159" spans="1:21" ht="18.75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56">
        <f t="shared" ref="L159:N159" ca="1" si="132">L162+L165</f>
        <v>27000</v>
      </c>
      <c r="M159" s="56">
        <f t="shared" ca="1" si="132"/>
        <v>72212</v>
      </c>
      <c r="N159" s="56">
        <f t="shared" ca="1" si="132"/>
        <v>38988</v>
      </c>
      <c r="O159" s="56">
        <f t="shared" ca="1" si="125"/>
        <v>144.4</v>
      </c>
      <c r="P159" s="56">
        <f t="shared" ca="1" si="126"/>
        <v>53.991026422201294</v>
      </c>
      <c r="Q159" s="56">
        <f t="shared" ref="Q159:S159" ca="1" si="133">Q162+Q165</f>
        <v>0</v>
      </c>
      <c r="R159" s="56">
        <f t="shared" ca="1" si="133"/>
        <v>0</v>
      </c>
      <c r="S159" s="57">
        <f t="shared" ca="1" si="133"/>
        <v>0</v>
      </c>
      <c r="T159" s="56">
        <f t="shared" ca="1" si="128"/>
        <v>0</v>
      </c>
      <c r="U159" s="56">
        <f t="shared" ca="1" si="129"/>
        <v>0</v>
      </c>
    </row>
    <row r="160" spans="1:21" ht="18.75">
      <c r="A160" s="155"/>
      <c r="B160" s="50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56">
        <f t="shared" ref="L160:N160" ca="1" si="134">L161+L162</f>
        <v>27000</v>
      </c>
      <c r="M160" s="56">
        <f t="shared" ca="1" si="134"/>
        <v>72212</v>
      </c>
      <c r="N160" s="56">
        <f t="shared" ca="1" si="134"/>
        <v>38988</v>
      </c>
      <c r="O160" s="56">
        <f t="shared" ca="1" si="125"/>
        <v>144.4</v>
      </c>
      <c r="P160" s="56">
        <f t="shared" ca="1" si="126"/>
        <v>53.991026422201294</v>
      </c>
      <c r="Q160" s="56">
        <f t="shared" ref="Q160:S160" ca="1" si="135">Q161+Q162</f>
        <v>0</v>
      </c>
      <c r="R160" s="56">
        <f t="shared" ca="1" si="135"/>
        <v>0</v>
      </c>
      <c r="S160" s="57">
        <f t="shared" ca="1" si="135"/>
        <v>0</v>
      </c>
      <c r="T160" s="56">
        <f t="shared" ca="1" si="128"/>
        <v>0</v>
      </c>
      <c r="U160" s="56">
        <f t="shared" ca="1" si="129"/>
        <v>0</v>
      </c>
    </row>
    <row r="161" spans="1:21" ht="18.75">
      <c r="A161" s="155"/>
      <c r="B161" s="50"/>
      <c r="C161" s="50"/>
      <c r="D161" s="50"/>
      <c r="E161" s="58" t="s">
        <v>36</v>
      </c>
      <c r="F161" s="50"/>
      <c r="G161" s="52"/>
      <c r="H161" s="162" t="s">
        <v>14</v>
      </c>
      <c r="I161" s="163"/>
      <c r="J161" s="163"/>
      <c r="K161" s="164"/>
      <c r="L161" s="56">
        <f ca="1">IFERROR(__xludf.DUMMYFUNCTION("IMPORTRANGE(""https://docs.google.com/spreadsheets/d/1yhBcrRPreicbMKl9Bu_Snb2-OcQAF62RKfhTLhJ2eAA/edit?usp=sharing"",""กาฬสินธุ์!L161"")+IMPORTRANGE(""https://docs.google.com/spreadsheets/d/1aHkj4IaQMThhwWwevcOymEh837vdxeC_PycurhTbGFA/edit?usp=sharing"","&amp;"""ขอนแก่น!L161"")+IMPORTRANGE(""https://docs.google.com/spreadsheets/d/1FvTu2DsIWUjP6WCWra38Bkj_oOl_sOMf14r5Fg5srxU/edit?usp=sharing"",""ชัยภูมิ!L161"")+IMPORTRANGE(""https://docs.google.com/spreadsheets/d/1XVB7oCJ3pr-vBUdflwPQ8Z2LlzhnCvZaaYjAfP-647E/edit"&amp;"?usp=sharing"",""นครพนม!L161"")+IMPORTRANGE(""https://docs.google.com/spreadsheets/d/1Mnpb-8PYAgn85W6KOTD40hc_Xc55CaLfHoGAbrZ8tls/edit?usp=sharing"",""นครราชสีมา!L161"")+IMPORTRANGE(""https://docs.google.com/spreadsheets/d/1xoDLGBv9CYbyosIhki0kTq6IpYNj-gp"&amp;"jxfobnaDiut0/edit?usp=sharing"",""บึงกาฬ!L161"")+IMPORTRANGE(""https://docs.google.com/spreadsheets/d/1MMPq-JyI6DSgQETxuSiXkesP-P7JHuemnE6QJIa-Nlw/edit?usp=sharing"",""บุรีรัมย์!L161"")+IMPORTRANGE(""https://docs.google.com/spreadsheets/d/1l6IZ8xUPgMrESzc"&amp;"TYwhA1k_tPjeQjJPTqlm8Gd9eU5g/edit?usp=sharing"",""มหาสารคาม!L161"")+IMPORTRANGE(""https://docs.google.com/spreadsheets/d/1uB74YLqNjWX6FObjekfB2NtSYigTQyR2rq9u4Ub2Sq4/edit?usp=sharing"",""มุกดาหาร!L161"")+IMPORTRANGE(""https://docs.google.com/spreadsheets/"&amp;"d/1NexK3geCPxCTO1fzNF8dPec7yZyUx3OaWkFBC9HsQOo/edit?usp=sharing"",""ยโสธร!L161"")+IMPORTRANGE(""https://docs.google.com/spreadsheets/d/1v_cJrbBlyqmnHPReHk44g9NrMRdENNlSy_E_c5M9fIg/edit?usp=sharing"",""ร้อยเอ็ด!L161"")+IMPORTRANGE(""https://docs.google.com"&amp;"/spreadsheets/d/1Ul4RCpCX66NxYADU1QpwAPjOmBzW64SsT11s1wzXw_c/edit?usp=sharing"",""เลย!L161"")+IMPORTRANGE(""https://docs.google.com/spreadsheets/d/1bRrNKwbHDVktQG10isr5vbWRtt5spIZPpkOSWgbT5ug/edit?usp=sharing"",""ศรีสะเกษ!L161"")+IMPORTRANGE(""https://doc"&amp;"s.google.com/spreadsheets/d/17P34_Ow5kFBfdQD0qspb2UuPX5zpi6WMrQzslghyvrI/edit?usp=sharing"",""สกลนคร!L161"")+IMPORTRANGE(""https://docs.google.com/spreadsheets/d/1yswqbM3-AEpThF3ZSUa1AcmHnmRTF1vlJ1CZGcJ8YuU/edit?usp=sharing"",""สุรินทร์!L161"")+IMPORTRANG"&amp;"E(""https://docs.google.com/spreadsheets/d/13JHU_EFbsQOUQ0JSQ3dWy1VTRosIWcDq6Nc99z2qzdc/edit?usp=sharing"",""หนองคาย!L161"")+IMPORTRANGE(""https://docs.google.com/spreadsheets/d/1Hx73zIEgVdDZZaYSTc46Dqv64atFhpr3GelxLbaIN8A/edit?usp=sharing"",""หนองบัวลำภู"&amp;"!L161"")+IMPORTRANGE(""https://docs.google.com/spreadsheets/d/1lFxr3ctmjFN90yc-xV6jrQ9Ty8BKYVBWnAZ15wcNIJc/edit?usp=sharing"",""อำนาจเจริญ!L161"")+IMPORTRANGE(""https://docs.google.com/spreadsheets/d/1gF7RJpRnL-1oyjyeWxs5SFWEH7y8ahOZsQlyp2A2e-A/edit?usp=s"&amp;"haring"",""อุดรธานี!L161"")+IMPORTRANGE(""https://docs.google.com/spreadsheets/d/1kfLP0j3INXRa8bTDpcEmoWewMBV61jlFlfzczfjWIgc/edit?usp=sharing"",""อุบลราชธานี!L161"")"),0)</f>
        <v>0</v>
      </c>
      <c r="M161" s="56">
        <f ca="1">IFERROR(__xludf.DUMMYFUNCTION("IMPORTRANGE(""https://docs.google.com/spreadsheets/d/1yhBcrRPreicbMKl9Bu_Snb2-OcQAF62RKfhTLhJ2eAA/edit?usp=sharing"",""กาฬสินธุ์!M161"")+IMPORTRANGE(""https://docs.google.com/spreadsheets/d/1aHkj4IaQMThhwWwevcOymEh837vdxeC_PycurhTbGFA/edit?usp=sharing"","&amp;"""ขอนแก่น!M161"")+IMPORTRANGE(""https://docs.google.com/spreadsheets/d/1FvTu2DsIWUjP6WCWra38Bkj_oOl_sOMf14r5Fg5srxU/edit?usp=sharing"",""ชัยภูมิ!M161"")+IMPORTRANGE(""https://docs.google.com/spreadsheets/d/1XVB7oCJ3pr-vBUdflwPQ8Z2LlzhnCvZaaYjAfP-647E/edit"&amp;"?usp=sharing"",""นครพนม!M161"")+IMPORTRANGE(""https://docs.google.com/spreadsheets/d/1Mnpb-8PYAgn85W6KOTD40hc_Xc55CaLfHoGAbrZ8tls/edit?usp=sharing"",""นครราชสีมา!M161"")+IMPORTRANGE(""https://docs.google.com/spreadsheets/d/1xoDLGBv9CYbyosIhki0kTq6IpYNj-gp"&amp;"jxfobnaDiut0/edit?usp=sharing"",""บึงกาฬ!M161"")+IMPORTRANGE(""https://docs.google.com/spreadsheets/d/1MMPq-JyI6DSgQETxuSiXkesP-P7JHuemnE6QJIa-Nlw/edit?usp=sharing"",""บุรีรัมย์!M161"")+IMPORTRANGE(""https://docs.google.com/spreadsheets/d/1l6IZ8xUPgMrESzc"&amp;"TYwhA1k_tPjeQjJPTqlm8Gd9eU5g/edit?usp=sharing"",""มหาสารคาม!M161"")+IMPORTRANGE(""https://docs.google.com/spreadsheets/d/1uB74YLqNjWX6FObjekfB2NtSYigTQyR2rq9u4Ub2Sq4/edit?usp=sharing"",""มุกดาหาร!M161"")+IMPORTRANGE(""https://docs.google.com/spreadsheets/"&amp;"d/1NexK3geCPxCTO1fzNF8dPec7yZyUx3OaWkFBC9HsQOo/edit?usp=sharing"",""ยโสธร!M161"")+IMPORTRANGE(""https://docs.google.com/spreadsheets/d/1v_cJrbBlyqmnHPReHk44g9NrMRdENNlSy_E_c5M9fIg/edit?usp=sharing"",""ร้อยเอ็ด!M161"")+IMPORTRANGE(""https://docs.google.com"&amp;"/spreadsheets/d/1Ul4RCpCX66NxYADU1QpwAPjOmBzW64SsT11s1wzXw_c/edit?usp=sharing"",""เลย!M161"")+IMPORTRANGE(""https://docs.google.com/spreadsheets/d/1bRrNKwbHDVktQG10isr5vbWRtt5spIZPpkOSWgbT5ug/edit?usp=sharing"",""ศรีสะเกษ!M161"")+IMPORTRANGE(""https://doc"&amp;"s.google.com/spreadsheets/d/17P34_Ow5kFBfdQD0qspb2UuPX5zpi6WMrQzslghyvrI/edit?usp=sharing"",""สกลนคร!M161"")+IMPORTRANGE(""https://docs.google.com/spreadsheets/d/1yswqbM3-AEpThF3ZSUa1AcmHnmRTF1vlJ1CZGcJ8YuU/edit?usp=sharing"",""สุรินทร์!M161"")+IMPORTRANG"&amp;"E(""https://docs.google.com/spreadsheets/d/13JHU_EFbsQOUQ0JSQ3dWy1VTRosIWcDq6Nc99z2qzdc/edit?usp=sharing"",""หนองคาย!M161"")+IMPORTRANGE(""https://docs.google.com/spreadsheets/d/1Hx73zIEgVdDZZaYSTc46Dqv64atFhpr3GelxLbaIN8A/edit?usp=sharing"",""หนองบัวลำภู"&amp;"!M161"")+IMPORTRANGE(""https://docs.google.com/spreadsheets/d/1lFxr3ctmjFN90yc-xV6jrQ9Ty8BKYVBWnAZ15wcNIJc/edit?usp=sharing"",""อำนาจเจริญ!M161"")+IMPORTRANGE(""https://docs.google.com/spreadsheets/d/1gF7RJpRnL-1oyjyeWxs5SFWEH7y8ahOZsQlyp2A2e-A/edit?usp=s"&amp;"haring"",""อุดรธานี!M161"")+IMPORTRANGE(""https://docs.google.com/spreadsheets/d/1kfLP0j3INXRa8bTDpcEmoWewMBV61jlFlfzczfjWIgc/edit?usp=sharing"",""อุบลราชธานี!M161"")"),0)</f>
        <v>0</v>
      </c>
      <c r="N161" s="56">
        <f ca="1">IFERROR(__xludf.DUMMYFUNCTION("IMPORTRANGE(""https://docs.google.com/spreadsheets/d/1yhBcrRPreicbMKl9Bu_Snb2-OcQAF62RKfhTLhJ2eAA/edit?usp=sharing"",""กาฬสินธุ์!N161"")+IMPORTRANGE(""https://docs.google.com/spreadsheets/d/1aHkj4IaQMThhwWwevcOymEh837vdxeC_PycurhTbGFA/edit?usp=sharing"","&amp;"""ขอนแก่น!N161"")+IMPORTRANGE(""https://docs.google.com/spreadsheets/d/1FvTu2DsIWUjP6WCWra38Bkj_oOl_sOMf14r5Fg5srxU/edit?usp=sharing"",""ชัยภูมิ!N161"")+IMPORTRANGE(""https://docs.google.com/spreadsheets/d/1XVB7oCJ3pr-vBUdflwPQ8Z2LlzhnCvZaaYjAfP-647E/edit"&amp;"?usp=sharing"",""นครพนม!N161"")+IMPORTRANGE(""https://docs.google.com/spreadsheets/d/1Mnpb-8PYAgn85W6KOTD40hc_Xc55CaLfHoGAbrZ8tls/edit?usp=sharing"",""นครราชสีมา!N161"")+IMPORTRANGE(""https://docs.google.com/spreadsheets/d/1xoDLGBv9CYbyosIhki0kTq6IpYNj-gp"&amp;"jxfobnaDiut0/edit?usp=sharing"",""บึงกาฬ!N161"")+IMPORTRANGE(""https://docs.google.com/spreadsheets/d/1MMPq-JyI6DSgQETxuSiXkesP-P7JHuemnE6QJIa-Nlw/edit?usp=sharing"",""บุรีรัมย์!N161"")+IMPORTRANGE(""https://docs.google.com/spreadsheets/d/1l6IZ8xUPgMrESzc"&amp;"TYwhA1k_tPjeQjJPTqlm8Gd9eU5g/edit?usp=sharing"",""มหาสารคาม!N161"")+IMPORTRANGE(""https://docs.google.com/spreadsheets/d/1uB74YLqNjWX6FObjekfB2NtSYigTQyR2rq9u4Ub2Sq4/edit?usp=sharing"",""มุกดาหาร!N161"")+IMPORTRANGE(""https://docs.google.com/spreadsheets/"&amp;"d/1NexK3geCPxCTO1fzNF8dPec7yZyUx3OaWkFBC9HsQOo/edit?usp=sharing"",""ยโสธร!N161"")+IMPORTRANGE(""https://docs.google.com/spreadsheets/d/1v_cJrbBlyqmnHPReHk44g9NrMRdENNlSy_E_c5M9fIg/edit?usp=sharing"",""ร้อยเอ็ด!N161"")+IMPORTRANGE(""https://docs.google.com"&amp;"/spreadsheets/d/1Ul4RCpCX66NxYADU1QpwAPjOmBzW64SsT11s1wzXw_c/edit?usp=sharing"",""เลย!N161"")+IMPORTRANGE(""https://docs.google.com/spreadsheets/d/1bRrNKwbHDVktQG10isr5vbWRtt5spIZPpkOSWgbT5ug/edit?usp=sharing"",""ศรีสะเกษ!N161"")+IMPORTRANGE(""https://doc"&amp;"s.google.com/spreadsheets/d/17P34_Ow5kFBfdQD0qspb2UuPX5zpi6WMrQzslghyvrI/edit?usp=sharing"",""สกลนคร!N161"")+IMPORTRANGE(""https://docs.google.com/spreadsheets/d/1yswqbM3-AEpThF3ZSUa1AcmHnmRTF1vlJ1CZGcJ8YuU/edit?usp=sharing"",""สุรินทร์!N161"")+IMPORTRANG"&amp;"E(""https://docs.google.com/spreadsheets/d/13JHU_EFbsQOUQ0JSQ3dWy1VTRosIWcDq6Nc99z2qzdc/edit?usp=sharing"",""หนองคาย!N161"")+IMPORTRANGE(""https://docs.google.com/spreadsheets/d/1Hx73zIEgVdDZZaYSTc46Dqv64atFhpr3GelxLbaIN8A/edit?usp=sharing"",""หนองบัวลำภู"&amp;"!N161"")+IMPORTRANGE(""https://docs.google.com/spreadsheets/d/1lFxr3ctmjFN90yc-xV6jrQ9Ty8BKYVBWnAZ15wcNIJc/edit?usp=sharing"",""อำนาจเจริญ!N161"")+IMPORTRANGE(""https://docs.google.com/spreadsheets/d/1gF7RJpRnL-1oyjyeWxs5SFWEH7y8ahOZsQlyp2A2e-A/edit?usp=s"&amp;"haring"",""อุดรธานี!N161"")+IMPORTRANGE(""https://docs.google.com/spreadsheets/d/1kfLP0j3INXRa8bTDpcEmoWewMBV61jlFlfzczfjWIgc/edit?usp=sharing"",""อุบลราชธานี!N161"")"),0)</f>
        <v>0</v>
      </c>
      <c r="O161" s="56">
        <f t="shared" ca="1" si="125"/>
        <v>0</v>
      </c>
      <c r="P161" s="56">
        <f t="shared" ca="1" si="126"/>
        <v>0</v>
      </c>
      <c r="Q161" s="56">
        <f ca="1">IFERROR(__xludf.DUMMYFUNCTION("IMPORTRANGE(""https://docs.google.com/spreadsheets/d/1yhBcrRPreicbMKl9Bu_Snb2-OcQAF62RKfhTLhJ2eAA/edit?usp=sharing"",""กาฬสินธุ์!Q161"")+IMPORTRANGE(""https://docs.google.com/spreadsheets/d/1aHkj4IaQMThhwWwevcOymEh837vdxeC_PycurhTbGFA/edit?usp=sharing"","&amp;"""ขอนแก่น!Q161"")+IMPORTRANGE(""https://docs.google.com/spreadsheets/d/1FvTu2DsIWUjP6WCWra38Bkj_oOl_sOMf14r5Fg5srxU/edit?usp=sharing"",""ชัยภูมิ!Q161"")+IMPORTRANGE(""https://docs.google.com/spreadsheets/d/1XVB7oCJ3pr-vBUdflwPQ8Z2LlzhnCvZaaYjAfP-647E/edit"&amp;"?usp=sharing"",""นครพนม!Q161"")+IMPORTRANGE(""https://docs.google.com/spreadsheets/d/1Mnpb-8PYAgn85W6KOTD40hc_Xc55CaLfHoGAbrZ8tls/edit?usp=sharing"",""นครราชสีมา!Q161"")+IMPORTRANGE(""https://docs.google.com/spreadsheets/d/1xoDLGBv9CYbyosIhki0kTq6IpYNj-gp"&amp;"jxfobnaDiut0/edit?usp=sharing"",""บึงกาฬ!Q161"")+IMPORTRANGE(""https://docs.google.com/spreadsheets/d/1MMPq-JyI6DSgQETxuSiXkesP-P7JHuemnE6QJIa-Nlw/edit?usp=sharing"",""บุรีรัมย์!Q161"")+IMPORTRANGE(""https://docs.google.com/spreadsheets/d/1l6IZ8xUPgMrESzc"&amp;"TYwhA1k_tPjeQjJPTqlm8Gd9eU5g/edit?usp=sharing"",""มหาสารคาม!Q161"")+IMPORTRANGE(""https://docs.google.com/spreadsheets/d/1uB74YLqNjWX6FObjekfB2NtSYigTQyR2rq9u4Ub2Sq4/edit?usp=sharing"",""มุกดาหาร!Q161"")+IMPORTRANGE(""https://docs.google.com/spreadsheets/"&amp;"d/1NexK3geCPxCTO1fzNF8dPec7yZyUx3OaWkFBC9HsQOo/edit?usp=sharing"",""ยโสธร!Q161"")+IMPORTRANGE(""https://docs.google.com/spreadsheets/d/1v_cJrbBlyqmnHPReHk44g9NrMRdENNlSy_E_c5M9fIg/edit?usp=sharing"",""ร้อยเอ็ด!Q161"")+IMPORTRANGE(""https://docs.google.com"&amp;"/spreadsheets/d/1Ul4RCpCX66NxYADU1QpwAPjOmBzW64SsT11s1wzXw_c/edit?usp=sharing"",""เลย!Q161"")+IMPORTRANGE(""https://docs.google.com/spreadsheets/d/1bRrNKwbHDVktQG10isr5vbWRtt5spIZPpkOSWgbT5ug/edit?usp=sharing"",""ศรีสะเกษ!Q161"")+IMPORTRANGE(""https://doc"&amp;"s.google.com/spreadsheets/d/17P34_Ow5kFBfdQD0qspb2UuPX5zpi6WMrQzslghyvrI/edit?usp=sharing"",""สกลนคร!Q161"")+IMPORTRANGE(""https://docs.google.com/spreadsheets/d/1yswqbM3-AEpThF3ZSUa1AcmHnmRTF1vlJ1CZGcJ8YuU/edit?usp=sharing"",""สุรินทร์!Q161"")+IMPORTRANG"&amp;"E(""https://docs.google.com/spreadsheets/d/13JHU_EFbsQOUQ0JSQ3dWy1VTRosIWcDq6Nc99z2qzdc/edit?usp=sharing"",""หนองคาย!Q161"")+IMPORTRANGE(""https://docs.google.com/spreadsheets/d/1Hx73zIEgVdDZZaYSTc46Dqv64atFhpr3GelxLbaIN8A/edit?usp=sharing"",""หนองบัวลำภู"&amp;"!Q161"")+IMPORTRANGE(""https://docs.google.com/spreadsheets/d/1lFxr3ctmjFN90yc-xV6jrQ9Ty8BKYVBWnAZ15wcNIJc/edit?usp=sharing"",""อำนาจเจริญ!Q161"")+IMPORTRANGE(""https://docs.google.com/spreadsheets/d/1gF7RJpRnL-1oyjyeWxs5SFWEH7y8ahOZsQlyp2A2e-A/edit?usp=s"&amp;"haring"",""อุดรธานี!Q161"")+IMPORTRANGE(""https://docs.google.com/spreadsheets/d/1kfLP0j3INXRa8bTDpcEmoWewMBV61jlFlfzczfjWIgc/edit?usp=sharing"",""อุบลราชธานี!Q161"")"),0)</f>
        <v>0</v>
      </c>
      <c r="R161" s="56">
        <f ca="1">IFERROR(__xludf.DUMMYFUNCTION("IMPORTRANGE(""https://docs.google.com/spreadsheets/d/1yhBcrRPreicbMKl9Bu_Snb2-OcQAF62RKfhTLhJ2eAA/edit?usp=sharing"",""กาฬสินธุ์!R161"")+IMPORTRANGE(""https://docs.google.com/spreadsheets/d/1aHkj4IaQMThhwWwevcOymEh837vdxeC_PycurhTbGFA/edit?usp=sharing"","&amp;"""ขอนแก่น!R161"")+IMPORTRANGE(""https://docs.google.com/spreadsheets/d/1FvTu2DsIWUjP6WCWra38Bkj_oOl_sOMf14r5Fg5srxU/edit?usp=sharing"",""ชัยภูมิ!R161"")+IMPORTRANGE(""https://docs.google.com/spreadsheets/d/1XVB7oCJ3pr-vBUdflwPQ8Z2LlzhnCvZaaYjAfP-647E/edit"&amp;"?usp=sharing"",""นครพนม!R161"")+IMPORTRANGE(""https://docs.google.com/spreadsheets/d/1Mnpb-8PYAgn85W6KOTD40hc_Xc55CaLfHoGAbrZ8tls/edit?usp=sharing"",""นครราชสีมา!R161"")+IMPORTRANGE(""https://docs.google.com/spreadsheets/d/1xoDLGBv9CYbyosIhki0kTq6IpYNj-gp"&amp;"jxfobnaDiut0/edit?usp=sharing"",""บึงกาฬ!R161"")+IMPORTRANGE(""https://docs.google.com/spreadsheets/d/1MMPq-JyI6DSgQETxuSiXkesP-P7JHuemnE6QJIa-Nlw/edit?usp=sharing"",""บุรีรัมย์!R161"")+IMPORTRANGE(""https://docs.google.com/spreadsheets/d/1l6IZ8xUPgMrESzc"&amp;"TYwhA1k_tPjeQjJPTqlm8Gd9eU5g/edit?usp=sharing"",""มหาสารคาม!R161"")+IMPORTRANGE(""https://docs.google.com/spreadsheets/d/1uB74YLqNjWX6FObjekfB2NtSYigTQyR2rq9u4Ub2Sq4/edit?usp=sharing"",""มุกดาหาร!R161"")+IMPORTRANGE(""https://docs.google.com/spreadsheets/"&amp;"d/1NexK3geCPxCTO1fzNF8dPec7yZyUx3OaWkFBC9HsQOo/edit?usp=sharing"",""ยโสธร!R161"")+IMPORTRANGE(""https://docs.google.com/spreadsheets/d/1v_cJrbBlyqmnHPReHk44g9NrMRdENNlSy_E_c5M9fIg/edit?usp=sharing"",""ร้อยเอ็ด!R161"")+IMPORTRANGE(""https://docs.google.com"&amp;"/spreadsheets/d/1Ul4RCpCX66NxYADU1QpwAPjOmBzW64SsT11s1wzXw_c/edit?usp=sharing"",""เลย!R161"")+IMPORTRANGE(""https://docs.google.com/spreadsheets/d/1bRrNKwbHDVktQG10isr5vbWRtt5spIZPpkOSWgbT5ug/edit?usp=sharing"",""ศรีสะเกษ!R161"")+IMPORTRANGE(""https://doc"&amp;"s.google.com/spreadsheets/d/17P34_Ow5kFBfdQD0qspb2UuPX5zpi6WMrQzslghyvrI/edit?usp=sharing"",""สกลนคร!R161"")+IMPORTRANGE(""https://docs.google.com/spreadsheets/d/1yswqbM3-AEpThF3ZSUa1AcmHnmRTF1vlJ1CZGcJ8YuU/edit?usp=sharing"",""สุรินทร์!R161"")+IMPORTRANG"&amp;"E(""https://docs.google.com/spreadsheets/d/13JHU_EFbsQOUQ0JSQ3dWy1VTRosIWcDq6Nc99z2qzdc/edit?usp=sharing"",""หนองคาย!R161"")+IMPORTRANGE(""https://docs.google.com/spreadsheets/d/1Hx73zIEgVdDZZaYSTc46Dqv64atFhpr3GelxLbaIN8A/edit?usp=sharing"",""หนองบัวลำภู"&amp;"!R161"")+IMPORTRANGE(""https://docs.google.com/spreadsheets/d/1lFxr3ctmjFN90yc-xV6jrQ9Ty8BKYVBWnAZ15wcNIJc/edit?usp=sharing"",""อำนาจเจริญ!R161"")+IMPORTRANGE(""https://docs.google.com/spreadsheets/d/1gF7RJpRnL-1oyjyeWxs5SFWEH7y8ahOZsQlyp2A2e-A/edit?usp=s"&amp;"haring"",""อุดรธานี!R161"")+IMPORTRANGE(""https://docs.google.com/spreadsheets/d/1kfLP0j3INXRa8bTDpcEmoWewMBV61jlFlfzczfjWIgc/edit?usp=sharing"",""อุบลราชธานี!R161"")"),0)</f>
        <v>0</v>
      </c>
      <c r="S161" s="57">
        <f ca="1">IFERROR(__xludf.DUMMYFUNCTION("IMPORTRANGE(""https://docs.google.com/spreadsheets/d/1yhBcrRPreicbMKl9Bu_Snb2-OcQAF62RKfhTLhJ2eAA/edit?usp=sharing"",""กาฬสินธุ์!S161"")+IMPORTRANGE(""https://docs.google.com/spreadsheets/d/1aHkj4IaQMThhwWwevcOymEh837vdxeC_PycurhTbGFA/edit?usp=sharing"","&amp;"""ขอนแก่น!S161"")+IMPORTRANGE(""https://docs.google.com/spreadsheets/d/1FvTu2DsIWUjP6WCWra38Bkj_oOl_sOMf14r5Fg5srxU/edit?usp=sharing"",""ชัยภูมิ!S161"")+IMPORTRANGE(""https://docs.google.com/spreadsheets/d/1XVB7oCJ3pr-vBUdflwPQ8Z2LlzhnCvZaaYjAfP-647E/edit"&amp;"?usp=sharing"",""นครพนม!S161"")+IMPORTRANGE(""https://docs.google.com/spreadsheets/d/1Mnpb-8PYAgn85W6KOTD40hc_Xc55CaLfHoGAbrZ8tls/edit?usp=sharing"",""นครราชสีมา!S161"")+IMPORTRANGE(""https://docs.google.com/spreadsheets/d/1xoDLGBv9CYbyosIhki0kTq6IpYNj-gp"&amp;"jxfobnaDiut0/edit?usp=sharing"",""บึงกาฬ!S161"")+IMPORTRANGE(""https://docs.google.com/spreadsheets/d/1MMPq-JyI6DSgQETxuSiXkesP-P7JHuemnE6QJIa-Nlw/edit?usp=sharing"",""บุรีรัมย์!S161"")+IMPORTRANGE(""https://docs.google.com/spreadsheets/d/1l6IZ8xUPgMrESzc"&amp;"TYwhA1k_tPjeQjJPTqlm8Gd9eU5g/edit?usp=sharing"",""มหาสารคาม!S161"")+IMPORTRANGE(""https://docs.google.com/spreadsheets/d/1uB74YLqNjWX6FObjekfB2NtSYigTQyR2rq9u4Ub2Sq4/edit?usp=sharing"",""มุกดาหาร!S161"")+IMPORTRANGE(""https://docs.google.com/spreadsheets/"&amp;"d/1NexK3geCPxCTO1fzNF8dPec7yZyUx3OaWkFBC9HsQOo/edit?usp=sharing"",""ยโสธร!S161"")+IMPORTRANGE(""https://docs.google.com/spreadsheets/d/1v_cJrbBlyqmnHPReHk44g9NrMRdENNlSy_E_c5M9fIg/edit?usp=sharing"",""ร้อยเอ็ด!S161"")+IMPORTRANGE(""https://docs.google.com"&amp;"/spreadsheets/d/1Ul4RCpCX66NxYADU1QpwAPjOmBzW64SsT11s1wzXw_c/edit?usp=sharing"",""เลย!S161"")+IMPORTRANGE(""https://docs.google.com/spreadsheets/d/1bRrNKwbHDVktQG10isr5vbWRtt5spIZPpkOSWgbT5ug/edit?usp=sharing"",""ศรีสะเกษ!S161"")+IMPORTRANGE(""https://doc"&amp;"s.google.com/spreadsheets/d/17P34_Ow5kFBfdQD0qspb2UuPX5zpi6WMrQzslghyvrI/edit?usp=sharing"",""สกลนคร!S161"")+IMPORTRANGE(""https://docs.google.com/spreadsheets/d/1yswqbM3-AEpThF3ZSUa1AcmHnmRTF1vlJ1CZGcJ8YuU/edit?usp=sharing"",""สุรินทร์!S161"")+IMPORTRANG"&amp;"E(""https://docs.google.com/spreadsheets/d/13JHU_EFbsQOUQ0JSQ3dWy1VTRosIWcDq6Nc99z2qzdc/edit?usp=sharing"",""หนองคาย!S161"")+IMPORTRANGE(""https://docs.google.com/spreadsheets/d/1Hx73zIEgVdDZZaYSTc46Dqv64atFhpr3GelxLbaIN8A/edit?usp=sharing"",""หนองบัวลำภู"&amp;"!S161"")+IMPORTRANGE(""https://docs.google.com/spreadsheets/d/1lFxr3ctmjFN90yc-xV6jrQ9Ty8BKYVBWnAZ15wcNIJc/edit?usp=sharing"",""อำนาจเจริญ!S161"")+IMPORTRANGE(""https://docs.google.com/spreadsheets/d/1gF7RJpRnL-1oyjyeWxs5SFWEH7y8ahOZsQlyp2A2e-A/edit?usp=s"&amp;"haring"",""อุดรธานี!S161"")+IMPORTRANGE(""https://docs.google.com/spreadsheets/d/1kfLP0j3INXRa8bTDpcEmoWewMBV61jlFlfzczfjWIgc/edit?usp=sharing"",""อุบลราชธานี!S161"")"),0)</f>
        <v>0</v>
      </c>
      <c r="T161" s="59">
        <f t="shared" ca="1" si="128"/>
        <v>0</v>
      </c>
      <c r="U161" s="59">
        <f t="shared" ca="1" si="129"/>
        <v>0</v>
      </c>
    </row>
    <row r="162" spans="1:21" ht="18.75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56">
        <f ca="1">IFERROR(__xludf.DUMMYFUNCTION("IMPORTRANGE(""https://docs.google.com/spreadsheets/d/1yhBcrRPreicbMKl9Bu_Snb2-OcQAF62RKfhTLhJ2eAA/edit?usp=sharing"",""กาฬสินธุ์!L162"")+IMPORTRANGE(""https://docs.google.com/spreadsheets/d/1aHkj4IaQMThhwWwevcOymEh837vdxeC_PycurhTbGFA/edit?usp=sharing"","&amp;"""ขอนแก่น!L162"")+IMPORTRANGE(""https://docs.google.com/spreadsheets/d/1FvTu2DsIWUjP6WCWra38Bkj_oOl_sOMf14r5Fg5srxU/edit?usp=sharing"",""ชัยภูมิ!L162"")+IMPORTRANGE(""https://docs.google.com/spreadsheets/d/1XVB7oCJ3pr-vBUdflwPQ8Z2LlzhnCvZaaYjAfP-647E/edit"&amp;"?usp=sharing"",""นครพนม!L162"")+IMPORTRANGE(""https://docs.google.com/spreadsheets/d/1Mnpb-8PYAgn85W6KOTD40hc_Xc55CaLfHoGAbrZ8tls/edit?usp=sharing"",""นครราชสีมา!L162"")+IMPORTRANGE(""https://docs.google.com/spreadsheets/d/1xoDLGBv9CYbyosIhki0kTq6IpYNj-gp"&amp;"jxfobnaDiut0/edit?usp=sharing"",""บึงกาฬ!L162"")+IMPORTRANGE(""https://docs.google.com/spreadsheets/d/1MMPq-JyI6DSgQETxuSiXkesP-P7JHuemnE6QJIa-Nlw/edit?usp=sharing"",""บุรีรัมย์!L162"")+IMPORTRANGE(""https://docs.google.com/spreadsheets/d/1l6IZ8xUPgMrESzc"&amp;"TYwhA1k_tPjeQjJPTqlm8Gd9eU5g/edit?usp=sharing"",""มหาสารคาม!L162"")+IMPORTRANGE(""https://docs.google.com/spreadsheets/d/1uB74YLqNjWX6FObjekfB2NtSYigTQyR2rq9u4Ub2Sq4/edit?usp=sharing"",""มุกดาหาร!L162"")+IMPORTRANGE(""https://docs.google.com/spreadsheets/"&amp;"d/1NexK3geCPxCTO1fzNF8dPec7yZyUx3OaWkFBC9HsQOo/edit?usp=sharing"",""ยโสธร!L162"")+IMPORTRANGE(""https://docs.google.com/spreadsheets/d/1v_cJrbBlyqmnHPReHk44g9NrMRdENNlSy_E_c5M9fIg/edit?usp=sharing"",""ร้อยเอ็ด!L162"")+IMPORTRANGE(""https://docs.google.com"&amp;"/spreadsheets/d/1Ul4RCpCX66NxYADU1QpwAPjOmBzW64SsT11s1wzXw_c/edit?usp=sharing"",""เลย!L162"")+IMPORTRANGE(""https://docs.google.com/spreadsheets/d/1bRrNKwbHDVktQG10isr5vbWRtt5spIZPpkOSWgbT5ug/edit?usp=sharing"",""ศรีสะเกษ!L162"")+IMPORTRANGE(""https://doc"&amp;"s.google.com/spreadsheets/d/17P34_Ow5kFBfdQD0qspb2UuPX5zpi6WMrQzslghyvrI/edit?usp=sharing"",""สกลนคร!L162"")+IMPORTRANGE(""https://docs.google.com/spreadsheets/d/1yswqbM3-AEpThF3ZSUa1AcmHnmRTF1vlJ1CZGcJ8YuU/edit?usp=sharing"",""สุรินทร์!L162"")+IMPORTRANG"&amp;"E(""https://docs.google.com/spreadsheets/d/13JHU_EFbsQOUQ0JSQ3dWy1VTRosIWcDq6Nc99z2qzdc/edit?usp=sharing"",""หนองคาย!L162"")+IMPORTRANGE(""https://docs.google.com/spreadsheets/d/1Hx73zIEgVdDZZaYSTc46Dqv64atFhpr3GelxLbaIN8A/edit?usp=sharing"",""หนองบัวลำภู"&amp;"!L162"")+IMPORTRANGE(""https://docs.google.com/spreadsheets/d/1lFxr3ctmjFN90yc-xV6jrQ9Ty8BKYVBWnAZ15wcNIJc/edit?usp=sharing"",""อำนาจเจริญ!L162"")+IMPORTRANGE(""https://docs.google.com/spreadsheets/d/1gF7RJpRnL-1oyjyeWxs5SFWEH7y8ahOZsQlyp2A2e-A/edit?usp=s"&amp;"haring"",""อุดรธานี!L162"")+IMPORTRANGE(""https://docs.google.com/spreadsheets/d/1kfLP0j3INXRa8bTDpcEmoWewMBV61jlFlfzczfjWIgc/edit?usp=sharing"",""อุบลราชธานี!L162"")"),27000)</f>
        <v>27000</v>
      </c>
      <c r="M162" s="56">
        <f ca="1">IFERROR(__xludf.DUMMYFUNCTION("IMPORTRANGE(""https://docs.google.com/spreadsheets/d/1yhBcrRPreicbMKl9Bu_Snb2-OcQAF62RKfhTLhJ2eAA/edit?usp=sharing"",""กาฬสินธุ์!M162"")+IMPORTRANGE(""https://docs.google.com/spreadsheets/d/1aHkj4IaQMThhwWwevcOymEh837vdxeC_PycurhTbGFA/edit?usp=sharing"","&amp;"""ขอนแก่น!M162"")+IMPORTRANGE(""https://docs.google.com/spreadsheets/d/1FvTu2DsIWUjP6WCWra38Bkj_oOl_sOMf14r5Fg5srxU/edit?usp=sharing"",""ชัยภูมิ!M162"")+IMPORTRANGE(""https://docs.google.com/spreadsheets/d/1XVB7oCJ3pr-vBUdflwPQ8Z2LlzhnCvZaaYjAfP-647E/edit"&amp;"?usp=sharing"",""นครพนม!M162"")+IMPORTRANGE(""https://docs.google.com/spreadsheets/d/1Mnpb-8PYAgn85W6KOTD40hc_Xc55CaLfHoGAbrZ8tls/edit?usp=sharing"",""นครราชสีมา!M162"")+IMPORTRANGE(""https://docs.google.com/spreadsheets/d/1xoDLGBv9CYbyosIhki0kTq6IpYNj-gp"&amp;"jxfobnaDiut0/edit?usp=sharing"",""บึงกาฬ!M162"")+IMPORTRANGE(""https://docs.google.com/spreadsheets/d/1MMPq-JyI6DSgQETxuSiXkesP-P7JHuemnE6QJIa-Nlw/edit?usp=sharing"",""บุรีรัมย์!M162"")+IMPORTRANGE(""https://docs.google.com/spreadsheets/d/1l6IZ8xUPgMrESzc"&amp;"TYwhA1k_tPjeQjJPTqlm8Gd9eU5g/edit?usp=sharing"",""มหาสารคาม!M162"")+IMPORTRANGE(""https://docs.google.com/spreadsheets/d/1uB74YLqNjWX6FObjekfB2NtSYigTQyR2rq9u4Ub2Sq4/edit?usp=sharing"",""มุกดาหาร!M162"")+IMPORTRANGE(""https://docs.google.com/spreadsheets/"&amp;"d/1NexK3geCPxCTO1fzNF8dPec7yZyUx3OaWkFBC9HsQOo/edit?usp=sharing"",""ยโสธร!M162"")+IMPORTRANGE(""https://docs.google.com/spreadsheets/d/1v_cJrbBlyqmnHPReHk44g9NrMRdENNlSy_E_c5M9fIg/edit?usp=sharing"",""ร้อยเอ็ด!M162"")+IMPORTRANGE(""https://docs.google.com"&amp;"/spreadsheets/d/1Ul4RCpCX66NxYADU1QpwAPjOmBzW64SsT11s1wzXw_c/edit?usp=sharing"",""เลย!M162"")+IMPORTRANGE(""https://docs.google.com/spreadsheets/d/1bRrNKwbHDVktQG10isr5vbWRtt5spIZPpkOSWgbT5ug/edit?usp=sharing"",""ศรีสะเกษ!M162"")+IMPORTRANGE(""https://doc"&amp;"s.google.com/spreadsheets/d/17P34_Ow5kFBfdQD0qspb2UuPX5zpi6WMrQzslghyvrI/edit?usp=sharing"",""สกลนคร!M162"")+IMPORTRANGE(""https://docs.google.com/spreadsheets/d/1yswqbM3-AEpThF3ZSUa1AcmHnmRTF1vlJ1CZGcJ8YuU/edit?usp=sharing"",""สุรินทร์!M162"")+IMPORTRANG"&amp;"E(""https://docs.google.com/spreadsheets/d/13JHU_EFbsQOUQ0JSQ3dWy1VTRosIWcDq6Nc99z2qzdc/edit?usp=sharing"",""หนองคาย!M162"")+IMPORTRANGE(""https://docs.google.com/spreadsheets/d/1Hx73zIEgVdDZZaYSTc46Dqv64atFhpr3GelxLbaIN8A/edit?usp=sharing"",""หนองบัวลำภู"&amp;"!M162"")+IMPORTRANGE(""https://docs.google.com/spreadsheets/d/1lFxr3ctmjFN90yc-xV6jrQ9Ty8BKYVBWnAZ15wcNIJc/edit?usp=sharing"",""อำนาจเจริญ!M162"")+IMPORTRANGE(""https://docs.google.com/spreadsheets/d/1gF7RJpRnL-1oyjyeWxs5SFWEH7y8ahOZsQlyp2A2e-A/edit?usp=s"&amp;"haring"",""อุดรธานี!M162"")+IMPORTRANGE(""https://docs.google.com/spreadsheets/d/1kfLP0j3INXRa8bTDpcEmoWewMBV61jlFlfzczfjWIgc/edit?usp=sharing"",""อุบลราชธานี!M162"")"),72212)</f>
        <v>72212</v>
      </c>
      <c r="N162" s="56">
        <f ca="1">IFERROR(__xludf.DUMMYFUNCTION("IMPORTRANGE(""https://docs.google.com/spreadsheets/d/1yhBcrRPreicbMKl9Bu_Snb2-OcQAF62RKfhTLhJ2eAA/edit?usp=sharing"",""กาฬสินธุ์!N162"")+IMPORTRANGE(""https://docs.google.com/spreadsheets/d/1aHkj4IaQMThhwWwevcOymEh837vdxeC_PycurhTbGFA/edit?usp=sharing"","&amp;"""ขอนแก่น!N162"")+IMPORTRANGE(""https://docs.google.com/spreadsheets/d/1FvTu2DsIWUjP6WCWra38Bkj_oOl_sOMf14r5Fg5srxU/edit?usp=sharing"",""ชัยภูมิ!N162"")+IMPORTRANGE(""https://docs.google.com/spreadsheets/d/1XVB7oCJ3pr-vBUdflwPQ8Z2LlzhnCvZaaYjAfP-647E/edit"&amp;"?usp=sharing"",""นครพนม!N162"")+IMPORTRANGE(""https://docs.google.com/spreadsheets/d/1Mnpb-8PYAgn85W6KOTD40hc_Xc55CaLfHoGAbrZ8tls/edit?usp=sharing"",""นครราชสีมา!N162"")+IMPORTRANGE(""https://docs.google.com/spreadsheets/d/1xoDLGBv9CYbyosIhki0kTq6IpYNj-gp"&amp;"jxfobnaDiut0/edit?usp=sharing"",""บึงกาฬ!N162"")+IMPORTRANGE(""https://docs.google.com/spreadsheets/d/1MMPq-JyI6DSgQETxuSiXkesP-P7JHuemnE6QJIa-Nlw/edit?usp=sharing"",""บุรีรัมย์!N162"")+IMPORTRANGE(""https://docs.google.com/spreadsheets/d/1l6IZ8xUPgMrESzc"&amp;"TYwhA1k_tPjeQjJPTqlm8Gd9eU5g/edit?usp=sharing"",""มหาสารคาม!N162"")+IMPORTRANGE(""https://docs.google.com/spreadsheets/d/1uB74YLqNjWX6FObjekfB2NtSYigTQyR2rq9u4Ub2Sq4/edit?usp=sharing"",""มุกดาหาร!N162"")+IMPORTRANGE(""https://docs.google.com/spreadsheets/"&amp;"d/1NexK3geCPxCTO1fzNF8dPec7yZyUx3OaWkFBC9HsQOo/edit?usp=sharing"",""ยโสธร!N162"")+IMPORTRANGE(""https://docs.google.com/spreadsheets/d/1v_cJrbBlyqmnHPReHk44g9NrMRdENNlSy_E_c5M9fIg/edit?usp=sharing"",""ร้อยเอ็ด!N162"")+IMPORTRANGE(""https://docs.google.com"&amp;"/spreadsheets/d/1Ul4RCpCX66NxYADU1QpwAPjOmBzW64SsT11s1wzXw_c/edit?usp=sharing"",""เลย!N162"")+IMPORTRANGE(""https://docs.google.com/spreadsheets/d/1bRrNKwbHDVktQG10isr5vbWRtt5spIZPpkOSWgbT5ug/edit?usp=sharing"",""ศรีสะเกษ!N162"")+IMPORTRANGE(""https://doc"&amp;"s.google.com/spreadsheets/d/17P34_Ow5kFBfdQD0qspb2UuPX5zpi6WMrQzslghyvrI/edit?usp=sharing"",""สกลนคร!N162"")+IMPORTRANGE(""https://docs.google.com/spreadsheets/d/1yswqbM3-AEpThF3ZSUa1AcmHnmRTF1vlJ1CZGcJ8YuU/edit?usp=sharing"",""สุรินทร์!N162"")+IMPORTRANG"&amp;"E(""https://docs.google.com/spreadsheets/d/13JHU_EFbsQOUQ0JSQ3dWy1VTRosIWcDq6Nc99z2qzdc/edit?usp=sharing"",""หนองคาย!N162"")+IMPORTRANGE(""https://docs.google.com/spreadsheets/d/1Hx73zIEgVdDZZaYSTc46Dqv64atFhpr3GelxLbaIN8A/edit?usp=sharing"",""หนองบัวลำภู"&amp;"!N162"")+IMPORTRANGE(""https://docs.google.com/spreadsheets/d/1lFxr3ctmjFN90yc-xV6jrQ9Ty8BKYVBWnAZ15wcNIJc/edit?usp=sharing"",""อำนาจเจริญ!N162"")+IMPORTRANGE(""https://docs.google.com/spreadsheets/d/1gF7RJpRnL-1oyjyeWxs5SFWEH7y8ahOZsQlyp2A2e-A/edit?usp=s"&amp;"haring"",""อุดรธานี!N162"")+IMPORTRANGE(""https://docs.google.com/spreadsheets/d/1kfLP0j3INXRa8bTDpcEmoWewMBV61jlFlfzczfjWIgc/edit?usp=sharing"",""อุบลราชธานี!N162"")"),38988)</f>
        <v>38988</v>
      </c>
      <c r="O162" s="56">
        <f t="shared" ca="1" si="125"/>
        <v>144.4</v>
      </c>
      <c r="P162" s="56">
        <f t="shared" ca="1" si="126"/>
        <v>53.991026422201294</v>
      </c>
      <c r="Q162" s="56">
        <f ca="1">IFERROR(__xludf.DUMMYFUNCTION("IMPORTRANGE(""https://docs.google.com/spreadsheets/d/1yhBcrRPreicbMKl9Bu_Snb2-OcQAF62RKfhTLhJ2eAA/edit?usp=sharing"",""กาฬสินธุ์!Q162"")+IMPORTRANGE(""https://docs.google.com/spreadsheets/d/1aHkj4IaQMThhwWwevcOymEh837vdxeC_PycurhTbGFA/edit?usp=sharing"","&amp;"""ขอนแก่น!Q162"")+IMPORTRANGE(""https://docs.google.com/spreadsheets/d/1FvTu2DsIWUjP6WCWra38Bkj_oOl_sOMf14r5Fg5srxU/edit?usp=sharing"",""ชัยภูมิ!Q162"")+IMPORTRANGE(""https://docs.google.com/spreadsheets/d/1XVB7oCJ3pr-vBUdflwPQ8Z2LlzhnCvZaaYjAfP-647E/edit"&amp;"?usp=sharing"",""นครพนม!Q162"")+IMPORTRANGE(""https://docs.google.com/spreadsheets/d/1Mnpb-8PYAgn85W6KOTD40hc_Xc55CaLfHoGAbrZ8tls/edit?usp=sharing"",""นครราชสีมา!Q162"")+IMPORTRANGE(""https://docs.google.com/spreadsheets/d/1xoDLGBv9CYbyosIhki0kTq6IpYNj-gp"&amp;"jxfobnaDiut0/edit?usp=sharing"",""บึงกาฬ!Q162"")+IMPORTRANGE(""https://docs.google.com/spreadsheets/d/1MMPq-JyI6DSgQETxuSiXkesP-P7JHuemnE6QJIa-Nlw/edit?usp=sharing"",""บุรีรัมย์!Q162"")+IMPORTRANGE(""https://docs.google.com/spreadsheets/d/1l6IZ8xUPgMrESzc"&amp;"TYwhA1k_tPjeQjJPTqlm8Gd9eU5g/edit?usp=sharing"",""มหาสารคาม!Q162"")+IMPORTRANGE(""https://docs.google.com/spreadsheets/d/1uB74YLqNjWX6FObjekfB2NtSYigTQyR2rq9u4Ub2Sq4/edit?usp=sharing"",""มุกดาหาร!Q162"")+IMPORTRANGE(""https://docs.google.com/spreadsheets/"&amp;"d/1NexK3geCPxCTO1fzNF8dPec7yZyUx3OaWkFBC9HsQOo/edit?usp=sharing"",""ยโสธร!Q162"")+IMPORTRANGE(""https://docs.google.com/spreadsheets/d/1v_cJrbBlyqmnHPReHk44g9NrMRdENNlSy_E_c5M9fIg/edit?usp=sharing"",""ร้อยเอ็ด!Q162"")+IMPORTRANGE(""https://docs.google.com"&amp;"/spreadsheets/d/1Ul4RCpCX66NxYADU1QpwAPjOmBzW64SsT11s1wzXw_c/edit?usp=sharing"",""เลย!Q162"")+IMPORTRANGE(""https://docs.google.com/spreadsheets/d/1bRrNKwbHDVktQG10isr5vbWRtt5spIZPpkOSWgbT5ug/edit?usp=sharing"",""ศรีสะเกษ!Q162"")+IMPORTRANGE(""https://doc"&amp;"s.google.com/spreadsheets/d/17P34_Ow5kFBfdQD0qspb2UuPX5zpi6WMrQzslghyvrI/edit?usp=sharing"",""สกลนคร!Q162"")+IMPORTRANGE(""https://docs.google.com/spreadsheets/d/1yswqbM3-AEpThF3ZSUa1AcmHnmRTF1vlJ1CZGcJ8YuU/edit?usp=sharing"",""สุรินทร์!Q162"")+IMPORTRANG"&amp;"E(""https://docs.google.com/spreadsheets/d/13JHU_EFbsQOUQ0JSQ3dWy1VTRosIWcDq6Nc99z2qzdc/edit?usp=sharing"",""หนองคาย!Q162"")+IMPORTRANGE(""https://docs.google.com/spreadsheets/d/1Hx73zIEgVdDZZaYSTc46Dqv64atFhpr3GelxLbaIN8A/edit?usp=sharing"",""หนองบัวลำภู"&amp;"!Q162"")+IMPORTRANGE(""https://docs.google.com/spreadsheets/d/1lFxr3ctmjFN90yc-xV6jrQ9Ty8BKYVBWnAZ15wcNIJc/edit?usp=sharing"",""อำนาจเจริญ!Q162"")+IMPORTRANGE(""https://docs.google.com/spreadsheets/d/1gF7RJpRnL-1oyjyeWxs5SFWEH7y8ahOZsQlyp2A2e-A/edit?usp=s"&amp;"haring"",""อุดรธานี!Q162"")+IMPORTRANGE(""https://docs.google.com/spreadsheets/d/1kfLP0j3INXRa8bTDpcEmoWewMBV61jlFlfzczfjWIgc/edit?usp=sharing"",""อุบลราชธานี!Q162"")"),0)</f>
        <v>0</v>
      </c>
      <c r="R162" s="56">
        <f ca="1">IFERROR(__xludf.DUMMYFUNCTION("IMPORTRANGE(""https://docs.google.com/spreadsheets/d/1yhBcrRPreicbMKl9Bu_Snb2-OcQAF62RKfhTLhJ2eAA/edit?usp=sharing"",""กาฬสินธุ์!R162"")+IMPORTRANGE(""https://docs.google.com/spreadsheets/d/1aHkj4IaQMThhwWwevcOymEh837vdxeC_PycurhTbGFA/edit?usp=sharing"","&amp;"""ขอนแก่น!R162"")+IMPORTRANGE(""https://docs.google.com/spreadsheets/d/1FvTu2DsIWUjP6WCWra38Bkj_oOl_sOMf14r5Fg5srxU/edit?usp=sharing"",""ชัยภูมิ!R162"")+IMPORTRANGE(""https://docs.google.com/spreadsheets/d/1XVB7oCJ3pr-vBUdflwPQ8Z2LlzhnCvZaaYjAfP-647E/edit"&amp;"?usp=sharing"",""นครพนม!R162"")+IMPORTRANGE(""https://docs.google.com/spreadsheets/d/1Mnpb-8PYAgn85W6KOTD40hc_Xc55CaLfHoGAbrZ8tls/edit?usp=sharing"",""นครราชสีมา!R162"")+IMPORTRANGE(""https://docs.google.com/spreadsheets/d/1xoDLGBv9CYbyosIhki0kTq6IpYNj-gp"&amp;"jxfobnaDiut0/edit?usp=sharing"",""บึงกาฬ!R162"")+IMPORTRANGE(""https://docs.google.com/spreadsheets/d/1MMPq-JyI6DSgQETxuSiXkesP-P7JHuemnE6QJIa-Nlw/edit?usp=sharing"",""บุรีรัมย์!R162"")+IMPORTRANGE(""https://docs.google.com/spreadsheets/d/1l6IZ8xUPgMrESzc"&amp;"TYwhA1k_tPjeQjJPTqlm8Gd9eU5g/edit?usp=sharing"",""มหาสารคาม!R162"")+IMPORTRANGE(""https://docs.google.com/spreadsheets/d/1uB74YLqNjWX6FObjekfB2NtSYigTQyR2rq9u4Ub2Sq4/edit?usp=sharing"",""มุกดาหาร!R162"")+IMPORTRANGE(""https://docs.google.com/spreadsheets/"&amp;"d/1NexK3geCPxCTO1fzNF8dPec7yZyUx3OaWkFBC9HsQOo/edit?usp=sharing"",""ยโสธร!R162"")+IMPORTRANGE(""https://docs.google.com/spreadsheets/d/1v_cJrbBlyqmnHPReHk44g9NrMRdENNlSy_E_c5M9fIg/edit?usp=sharing"",""ร้อยเอ็ด!R162"")+IMPORTRANGE(""https://docs.google.com"&amp;"/spreadsheets/d/1Ul4RCpCX66NxYADU1QpwAPjOmBzW64SsT11s1wzXw_c/edit?usp=sharing"",""เลย!R162"")+IMPORTRANGE(""https://docs.google.com/spreadsheets/d/1bRrNKwbHDVktQG10isr5vbWRtt5spIZPpkOSWgbT5ug/edit?usp=sharing"",""ศรีสะเกษ!R162"")+IMPORTRANGE(""https://doc"&amp;"s.google.com/spreadsheets/d/17P34_Ow5kFBfdQD0qspb2UuPX5zpi6WMrQzslghyvrI/edit?usp=sharing"",""สกลนคร!R162"")+IMPORTRANGE(""https://docs.google.com/spreadsheets/d/1yswqbM3-AEpThF3ZSUa1AcmHnmRTF1vlJ1CZGcJ8YuU/edit?usp=sharing"",""สุรินทร์!R162"")+IMPORTRANG"&amp;"E(""https://docs.google.com/spreadsheets/d/13JHU_EFbsQOUQ0JSQ3dWy1VTRosIWcDq6Nc99z2qzdc/edit?usp=sharing"",""หนองคาย!R162"")+IMPORTRANGE(""https://docs.google.com/spreadsheets/d/1Hx73zIEgVdDZZaYSTc46Dqv64atFhpr3GelxLbaIN8A/edit?usp=sharing"",""หนองบัวลำภู"&amp;"!R162"")+IMPORTRANGE(""https://docs.google.com/spreadsheets/d/1lFxr3ctmjFN90yc-xV6jrQ9Ty8BKYVBWnAZ15wcNIJc/edit?usp=sharing"",""อำนาจเจริญ!R162"")+IMPORTRANGE(""https://docs.google.com/spreadsheets/d/1gF7RJpRnL-1oyjyeWxs5SFWEH7y8ahOZsQlyp2A2e-A/edit?usp=s"&amp;"haring"",""อุดรธานี!R162"")+IMPORTRANGE(""https://docs.google.com/spreadsheets/d/1kfLP0j3INXRa8bTDpcEmoWewMBV61jlFlfzczfjWIgc/edit?usp=sharing"",""อุบลราชธานี!R162"")"),0)</f>
        <v>0</v>
      </c>
      <c r="S162" s="57">
        <f ca="1">IFERROR(__xludf.DUMMYFUNCTION("IMPORTRANGE(""https://docs.google.com/spreadsheets/d/1yhBcrRPreicbMKl9Bu_Snb2-OcQAF62RKfhTLhJ2eAA/edit?usp=sharing"",""กาฬสินธุ์!S162"")+IMPORTRANGE(""https://docs.google.com/spreadsheets/d/1aHkj4IaQMThhwWwevcOymEh837vdxeC_PycurhTbGFA/edit?usp=sharing"","&amp;"""ขอนแก่น!S162"")+IMPORTRANGE(""https://docs.google.com/spreadsheets/d/1FvTu2DsIWUjP6WCWra38Bkj_oOl_sOMf14r5Fg5srxU/edit?usp=sharing"",""ชัยภูมิ!S162"")+IMPORTRANGE(""https://docs.google.com/spreadsheets/d/1XVB7oCJ3pr-vBUdflwPQ8Z2LlzhnCvZaaYjAfP-647E/edit"&amp;"?usp=sharing"",""นครพนม!S162"")+IMPORTRANGE(""https://docs.google.com/spreadsheets/d/1Mnpb-8PYAgn85W6KOTD40hc_Xc55CaLfHoGAbrZ8tls/edit?usp=sharing"",""นครราชสีมา!S162"")+IMPORTRANGE(""https://docs.google.com/spreadsheets/d/1xoDLGBv9CYbyosIhki0kTq6IpYNj-gp"&amp;"jxfobnaDiut0/edit?usp=sharing"",""บึงกาฬ!S162"")+IMPORTRANGE(""https://docs.google.com/spreadsheets/d/1MMPq-JyI6DSgQETxuSiXkesP-P7JHuemnE6QJIa-Nlw/edit?usp=sharing"",""บุรีรัมย์!S162"")+IMPORTRANGE(""https://docs.google.com/spreadsheets/d/1l6IZ8xUPgMrESzc"&amp;"TYwhA1k_tPjeQjJPTqlm8Gd9eU5g/edit?usp=sharing"",""มหาสารคาม!S162"")+IMPORTRANGE(""https://docs.google.com/spreadsheets/d/1uB74YLqNjWX6FObjekfB2NtSYigTQyR2rq9u4Ub2Sq4/edit?usp=sharing"",""มุกดาหาร!S162"")+IMPORTRANGE(""https://docs.google.com/spreadsheets/"&amp;"d/1NexK3geCPxCTO1fzNF8dPec7yZyUx3OaWkFBC9HsQOo/edit?usp=sharing"",""ยโสธร!S162"")+IMPORTRANGE(""https://docs.google.com/spreadsheets/d/1v_cJrbBlyqmnHPReHk44g9NrMRdENNlSy_E_c5M9fIg/edit?usp=sharing"",""ร้อยเอ็ด!S162"")+IMPORTRANGE(""https://docs.google.com"&amp;"/spreadsheets/d/1Ul4RCpCX66NxYADU1QpwAPjOmBzW64SsT11s1wzXw_c/edit?usp=sharing"",""เลย!S162"")+IMPORTRANGE(""https://docs.google.com/spreadsheets/d/1bRrNKwbHDVktQG10isr5vbWRtt5spIZPpkOSWgbT5ug/edit?usp=sharing"",""ศรีสะเกษ!S162"")+IMPORTRANGE(""https://doc"&amp;"s.google.com/spreadsheets/d/17P34_Ow5kFBfdQD0qspb2UuPX5zpi6WMrQzslghyvrI/edit?usp=sharing"",""สกลนคร!S162"")+IMPORTRANGE(""https://docs.google.com/spreadsheets/d/1yswqbM3-AEpThF3ZSUa1AcmHnmRTF1vlJ1CZGcJ8YuU/edit?usp=sharing"",""สุรินทร์!S162"")+IMPORTRANG"&amp;"E(""https://docs.google.com/spreadsheets/d/13JHU_EFbsQOUQ0JSQ3dWy1VTRosIWcDq6Nc99z2qzdc/edit?usp=sharing"",""หนองคาย!S162"")+IMPORTRANGE(""https://docs.google.com/spreadsheets/d/1Hx73zIEgVdDZZaYSTc46Dqv64atFhpr3GelxLbaIN8A/edit?usp=sharing"",""หนองบัวลำภู"&amp;"!S162"")+IMPORTRANGE(""https://docs.google.com/spreadsheets/d/1lFxr3ctmjFN90yc-xV6jrQ9Ty8BKYVBWnAZ15wcNIJc/edit?usp=sharing"",""อำนาจเจริญ!S162"")+IMPORTRANGE(""https://docs.google.com/spreadsheets/d/1gF7RJpRnL-1oyjyeWxs5SFWEH7y8ahOZsQlyp2A2e-A/edit?usp=s"&amp;"haring"",""อุดรธานี!S162"")+IMPORTRANGE(""https://docs.google.com/spreadsheets/d/1kfLP0j3INXRa8bTDpcEmoWewMBV61jlFlfzczfjWIgc/edit?usp=sharing"",""อุบลราชธานี!S162"")"),0)</f>
        <v>0</v>
      </c>
      <c r="T162" s="56">
        <f t="shared" ca="1" si="128"/>
        <v>0</v>
      </c>
      <c r="U162" s="56">
        <f t="shared" ca="1" si="129"/>
        <v>0</v>
      </c>
    </row>
    <row r="163" spans="1:21" ht="18.75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56">
        <f t="shared" ref="L163:N163" ca="1" si="136">L164+L165</f>
        <v>0</v>
      </c>
      <c r="M163" s="56">
        <f t="shared" ca="1" si="136"/>
        <v>0</v>
      </c>
      <c r="N163" s="56">
        <f t="shared" ca="1" si="136"/>
        <v>0</v>
      </c>
      <c r="O163" s="56">
        <f t="shared" ca="1" si="125"/>
        <v>0</v>
      </c>
      <c r="P163" s="56">
        <f t="shared" ca="1" si="126"/>
        <v>0</v>
      </c>
      <c r="Q163" s="56">
        <f t="shared" ref="Q163:S163" ca="1" si="137">Q164+Q165</f>
        <v>0</v>
      </c>
      <c r="R163" s="56">
        <f t="shared" ca="1" si="137"/>
        <v>0</v>
      </c>
      <c r="S163" s="57">
        <f t="shared" ca="1" si="137"/>
        <v>0</v>
      </c>
      <c r="T163" s="56">
        <f t="shared" ca="1" si="128"/>
        <v>0</v>
      </c>
      <c r="U163" s="56">
        <f t="shared" ca="1" si="129"/>
        <v>0</v>
      </c>
    </row>
    <row r="164" spans="1:21" ht="18.75">
      <c r="A164" s="155"/>
      <c r="B164" s="50"/>
      <c r="C164" s="50"/>
      <c r="D164" s="50"/>
      <c r="E164" s="58" t="s">
        <v>20</v>
      </c>
      <c r="F164" s="50"/>
      <c r="G164" s="52"/>
      <c r="H164" s="162" t="s">
        <v>14</v>
      </c>
      <c r="I164" s="163"/>
      <c r="J164" s="163"/>
      <c r="K164" s="164"/>
      <c r="L164" s="56">
        <f ca="1">IFERROR(__xludf.DUMMYFUNCTION("IMPORTRANGE(""https://docs.google.com/spreadsheets/d/1yhBcrRPreicbMKl9Bu_Snb2-OcQAF62RKfhTLhJ2eAA/edit?usp=sharing"",""กาฬสินธุ์!L164"")+IMPORTRANGE(""https://docs.google.com/spreadsheets/d/1aHkj4IaQMThhwWwevcOymEh837vdxeC_PycurhTbGFA/edit?usp=sharing"","&amp;"""ขอนแก่น!L164"")+IMPORTRANGE(""https://docs.google.com/spreadsheets/d/1FvTu2DsIWUjP6WCWra38Bkj_oOl_sOMf14r5Fg5srxU/edit?usp=sharing"",""ชัยภูมิ!L164"")+IMPORTRANGE(""https://docs.google.com/spreadsheets/d/1XVB7oCJ3pr-vBUdflwPQ8Z2LlzhnCvZaaYjAfP-647E/edit"&amp;"?usp=sharing"",""นครพนม!L164"")+IMPORTRANGE(""https://docs.google.com/spreadsheets/d/1Mnpb-8PYAgn85W6KOTD40hc_Xc55CaLfHoGAbrZ8tls/edit?usp=sharing"",""นครราชสีมา!L164"")+IMPORTRANGE(""https://docs.google.com/spreadsheets/d/1xoDLGBv9CYbyosIhki0kTq6IpYNj-gp"&amp;"jxfobnaDiut0/edit?usp=sharing"",""บึงกาฬ!L164"")+IMPORTRANGE(""https://docs.google.com/spreadsheets/d/1MMPq-JyI6DSgQETxuSiXkesP-P7JHuemnE6QJIa-Nlw/edit?usp=sharing"",""บุรีรัมย์!L164"")+IMPORTRANGE(""https://docs.google.com/spreadsheets/d/1l6IZ8xUPgMrESzc"&amp;"TYwhA1k_tPjeQjJPTqlm8Gd9eU5g/edit?usp=sharing"",""มหาสารคาม!L164"")+IMPORTRANGE(""https://docs.google.com/spreadsheets/d/1uB74YLqNjWX6FObjekfB2NtSYigTQyR2rq9u4Ub2Sq4/edit?usp=sharing"",""มุกดาหาร!L164"")+IMPORTRANGE(""https://docs.google.com/spreadsheets/"&amp;"d/1NexK3geCPxCTO1fzNF8dPec7yZyUx3OaWkFBC9HsQOo/edit?usp=sharing"",""ยโสธร!L164"")+IMPORTRANGE(""https://docs.google.com/spreadsheets/d/1v_cJrbBlyqmnHPReHk44g9NrMRdENNlSy_E_c5M9fIg/edit?usp=sharing"",""ร้อยเอ็ด!L164"")+IMPORTRANGE(""https://docs.google.com"&amp;"/spreadsheets/d/1Ul4RCpCX66NxYADU1QpwAPjOmBzW64SsT11s1wzXw_c/edit?usp=sharing"",""เลย!L164"")+IMPORTRANGE(""https://docs.google.com/spreadsheets/d/1bRrNKwbHDVktQG10isr5vbWRtt5spIZPpkOSWgbT5ug/edit?usp=sharing"",""ศรีสะเกษ!L164"")+IMPORTRANGE(""https://doc"&amp;"s.google.com/spreadsheets/d/17P34_Ow5kFBfdQD0qspb2UuPX5zpi6WMrQzslghyvrI/edit?usp=sharing"",""สกลนคร!L164"")+IMPORTRANGE(""https://docs.google.com/spreadsheets/d/1yswqbM3-AEpThF3ZSUa1AcmHnmRTF1vlJ1CZGcJ8YuU/edit?usp=sharing"",""สุรินทร์!L164"")+IMPORTRANG"&amp;"E(""https://docs.google.com/spreadsheets/d/13JHU_EFbsQOUQ0JSQ3dWy1VTRosIWcDq6Nc99z2qzdc/edit?usp=sharing"",""หนองคาย!L164"")+IMPORTRANGE(""https://docs.google.com/spreadsheets/d/1Hx73zIEgVdDZZaYSTc46Dqv64atFhpr3GelxLbaIN8A/edit?usp=sharing"",""หนองบัวลำภู"&amp;"!L164"")+IMPORTRANGE(""https://docs.google.com/spreadsheets/d/1lFxr3ctmjFN90yc-xV6jrQ9Ty8BKYVBWnAZ15wcNIJc/edit?usp=sharing"",""อำนาจเจริญ!L164"")+IMPORTRANGE(""https://docs.google.com/spreadsheets/d/1gF7RJpRnL-1oyjyeWxs5SFWEH7y8ahOZsQlyp2A2e-A/edit?usp=s"&amp;"haring"",""อุดรธานี!L164"")+IMPORTRANGE(""https://docs.google.com/spreadsheets/d/1kfLP0j3INXRa8bTDpcEmoWewMBV61jlFlfzczfjWIgc/edit?usp=sharing"",""อุบลราชธานี!L164"")"),0)</f>
        <v>0</v>
      </c>
      <c r="M164" s="56">
        <f ca="1">IFERROR(__xludf.DUMMYFUNCTION("IMPORTRANGE(""https://docs.google.com/spreadsheets/d/1yhBcrRPreicbMKl9Bu_Snb2-OcQAF62RKfhTLhJ2eAA/edit?usp=sharing"",""กาฬสินธุ์!M164"")+IMPORTRANGE(""https://docs.google.com/spreadsheets/d/1aHkj4IaQMThhwWwevcOymEh837vdxeC_PycurhTbGFA/edit?usp=sharing"","&amp;"""ขอนแก่น!M164"")+IMPORTRANGE(""https://docs.google.com/spreadsheets/d/1FvTu2DsIWUjP6WCWra38Bkj_oOl_sOMf14r5Fg5srxU/edit?usp=sharing"",""ชัยภูมิ!M164"")+IMPORTRANGE(""https://docs.google.com/spreadsheets/d/1XVB7oCJ3pr-vBUdflwPQ8Z2LlzhnCvZaaYjAfP-647E/edit"&amp;"?usp=sharing"",""นครพนม!M164"")+IMPORTRANGE(""https://docs.google.com/spreadsheets/d/1Mnpb-8PYAgn85W6KOTD40hc_Xc55CaLfHoGAbrZ8tls/edit?usp=sharing"",""นครราชสีมา!M164"")+IMPORTRANGE(""https://docs.google.com/spreadsheets/d/1xoDLGBv9CYbyosIhki0kTq6IpYNj-gp"&amp;"jxfobnaDiut0/edit?usp=sharing"",""บึงกาฬ!M164"")+IMPORTRANGE(""https://docs.google.com/spreadsheets/d/1MMPq-JyI6DSgQETxuSiXkesP-P7JHuemnE6QJIa-Nlw/edit?usp=sharing"",""บุรีรัมย์!M164"")+IMPORTRANGE(""https://docs.google.com/spreadsheets/d/1l6IZ8xUPgMrESzc"&amp;"TYwhA1k_tPjeQjJPTqlm8Gd9eU5g/edit?usp=sharing"",""มหาสารคาม!M164"")+IMPORTRANGE(""https://docs.google.com/spreadsheets/d/1uB74YLqNjWX6FObjekfB2NtSYigTQyR2rq9u4Ub2Sq4/edit?usp=sharing"",""มุกดาหาร!M164"")+IMPORTRANGE(""https://docs.google.com/spreadsheets/"&amp;"d/1NexK3geCPxCTO1fzNF8dPec7yZyUx3OaWkFBC9HsQOo/edit?usp=sharing"",""ยโสธร!M164"")+IMPORTRANGE(""https://docs.google.com/spreadsheets/d/1v_cJrbBlyqmnHPReHk44g9NrMRdENNlSy_E_c5M9fIg/edit?usp=sharing"",""ร้อยเอ็ด!M164"")+IMPORTRANGE(""https://docs.google.com"&amp;"/spreadsheets/d/1Ul4RCpCX66NxYADU1QpwAPjOmBzW64SsT11s1wzXw_c/edit?usp=sharing"",""เลย!M164"")+IMPORTRANGE(""https://docs.google.com/spreadsheets/d/1bRrNKwbHDVktQG10isr5vbWRtt5spIZPpkOSWgbT5ug/edit?usp=sharing"",""ศรีสะเกษ!M164"")+IMPORTRANGE(""https://doc"&amp;"s.google.com/spreadsheets/d/17P34_Ow5kFBfdQD0qspb2UuPX5zpi6WMrQzslghyvrI/edit?usp=sharing"",""สกลนคร!M164"")+IMPORTRANGE(""https://docs.google.com/spreadsheets/d/1yswqbM3-AEpThF3ZSUa1AcmHnmRTF1vlJ1CZGcJ8YuU/edit?usp=sharing"",""สุรินทร์!M164"")+IMPORTRANG"&amp;"E(""https://docs.google.com/spreadsheets/d/13JHU_EFbsQOUQ0JSQ3dWy1VTRosIWcDq6Nc99z2qzdc/edit?usp=sharing"",""หนองคาย!M164"")+IMPORTRANGE(""https://docs.google.com/spreadsheets/d/1Hx73zIEgVdDZZaYSTc46Dqv64atFhpr3GelxLbaIN8A/edit?usp=sharing"",""หนองบัวลำภู"&amp;"!M164"")+IMPORTRANGE(""https://docs.google.com/spreadsheets/d/1lFxr3ctmjFN90yc-xV6jrQ9Ty8BKYVBWnAZ15wcNIJc/edit?usp=sharing"",""อำนาจเจริญ!M164"")+IMPORTRANGE(""https://docs.google.com/spreadsheets/d/1gF7RJpRnL-1oyjyeWxs5SFWEH7y8ahOZsQlyp2A2e-A/edit?usp=s"&amp;"haring"",""อุดรธานี!M164"")+IMPORTRANGE(""https://docs.google.com/spreadsheets/d/1kfLP0j3INXRa8bTDpcEmoWewMBV61jlFlfzczfjWIgc/edit?usp=sharing"",""อุบลราชธานี!M164"")"),0)</f>
        <v>0</v>
      </c>
      <c r="N164" s="56">
        <f ca="1">IFERROR(__xludf.DUMMYFUNCTION("IMPORTRANGE(""https://docs.google.com/spreadsheets/d/1yhBcrRPreicbMKl9Bu_Snb2-OcQAF62RKfhTLhJ2eAA/edit?usp=sharing"",""กาฬสินธุ์!N164"")+IMPORTRANGE(""https://docs.google.com/spreadsheets/d/1aHkj4IaQMThhwWwevcOymEh837vdxeC_PycurhTbGFA/edit?usp=sharing"","&amp;"""ขอนแก่น!N164"")+IMPORTRANGE(""https://docs.google.com/spreadsheets/d/1FvTu2DsIWUjP6WCWra38Bkj_oOl_sOMf14r5Fg5srxU/edit?usp=sharing"",""ชัยภูมิ!N164"")+IMPORTRANGE(""https://docs.google.com/spreadsheets/d/1XVB7oCJ3pr-vBUdflwPQ8Z2LlzhnCvZaaYjAfP-647E/edit"&amp;"?usp=sharing"",""นครพนม!N164"")+IMPORTRANGE(""https://docs.google.com/spreadsheets/d/1Mnpb-8PYAgn85W6KOTD40hc_Xc55CaLfHoGAbrZ8tls/edit?usp=sharing"",""นครราชสีมา!N164"")+IMPORTRANGE(""https://docs.google.com/spreadsheets/d/1xoDLGBv9CYbyosIhki0kTq6IpYNj-gp"&amp;"jxfobnaDiut0/edit?usp=sharing"",""บึงกาฬ!N164"")+IMPORTRANGE(""https://docs.google.com/spreadsheets/d/1MMPq-JyI6DSgQETxuSiXkesP-P7JHuemnE6QJIa-Nlw/edit?usp=sharing"",""บุรีรัมย์!N164"")+IMPORTRANGE(""https://docs.google.com/spreadsheets/d/1l6IZ8xUPgMrESzc"&amp;"TYwhA1k_tPjeQjJPTqlm8Gd9eU5g/edit?usp=sharing"",""มหาสารคาม!N164"")+IMPORTRANGE(""https://docs.google.com/spreadsheets/d/1uB74YLqNjWX6FObjekfB2NtSYigTQyR2rq9u4Ub2Sq4/edit?usp=sharing"",""มุกดาหาร!N164"")+IMPORTRANGE(""https://docs.google.com/spreadsheets/"&amp;"d/1NexK3geCPxCTO1fzNF8dPec7yZyUx3OaWkFBC9HsQOo/edit?usp=sharing"",""ยโสธร!N164"")+IMPORTRANGE(""https://docs.google.com/spreadsheets/d/1v_cJrbBlyqmnHPReHk44g9NrMRdENNlSy_E_c5M9fIg/edit?usp=sharing"",""ร้อยเอ็ด!N164"")+IMPORTRANGE(""https://docs.google.com"&amp;"/spreadsheets/d/1Ul4RCpCX66NxYADU1QpwAPjOmBzW64SsT11s1wzXw_c/edit?usp=sharing"",""เลย!N164"")+IMPORTRANGE(""https://docs.google.com/spreadsheets/d/1bRrNKwbHDVktQG10isr5vbWRtt5spIZPpkOSWgbT5ug/edit?usp=sharing"",""ศรีสะเกษ!N164"")+IMPORTRANGE(""https://doc"&amp;"s.google.com/spreadsheets/d/17P34_Ow5kFBfdQD0qspb2UuPX5zpi6WMrQzslghyvrI/edit?usp=sharing"",""สกลนคร!N164"")+IMPORTRANGE(""https://docs.google.com/spreadsheets/d/1yswqbM3-AEpThF3ZSUa1AcmHnmRTF1vlJ1CZGcJ8YuU/edit?usp=sharing"",""สุรินทร์!N164"")+IMPORTRANG"&amp;"E(""https://docs.google.com/spreadsheets/d/13JHU_EFbsQOUQ0JSQ3dWy1VTRosIWcDq6Nc99z2qzdc/edit?usp=sharing"",""หนองคาย!N164"")+IMPORTRANGE(""https://docs.google.com/spreadsheets/d/1Hx73zIEgVdDZZaYSTc46Dqv64atFhpr3GelxLbaIN8A/edit?usp=sharing"",""หนองบัวลำภู"&amp;"!N164"")+IMPORTRANGE(""https://docs.google.com/spreadsheets/d/1lFxr3ctmjFN90yc-xV6jrQ9Ty8BKYVBWnAZ15wcNIJc/edit?usp=sharing"",""อำนาจเจริญ!N164"")+IMPORTRANGE(""https://docs.google.com/spreadsheets/d/1gF7RJpRnL-1oyjyeWxs5SFWEH7y8ahOZsQlyp2A2e-A/edit?usp=s"&amp;"haring"",""อุดรธานี!N164"")+IMPORTRANGE(""https://docs.google.com/spreadsheets/d/1kfLP0j3INXRa8bTDpcEmoWewMBV61jlFlfzczfjWIgc/edit?usp=sharing"",""อุบลราชธานี!N164"")"),0)</f>
        <v>0</v>
      </c>
      <c r="O164" s="56">
        <f t="shared" ca="1" si="125"/>
        <v>0</v>
      </c>
      <c r="P164" s="56">
        <f t="shared" ca="1" si="126"/>
        <v>0</v>
      </c>
      <c r="Q164" s="56">
        <f ca="1">IFERROR(__xludf.DUMMYFUNCTION("IMPORTRANGE(""https://docs.google.com/spreadsheets/d/1yhBcrRPreicbMKl9Bu_Snb2-OcQAF62RKfhTLhJ2eAA/edit?usp=sharing"",""กาฬสินธุ์!Q164"")+IMPORTRANGE(""https://docs.google.com/spreadsheets/d/1aHkj4IaQMThhwWwevcOymEh837vdxeC_PycurhTbGFA/edit?usp=sharing"","&amp;"""ขอนแก่น!Q164"")+IMPORTRANGE(""https://docs.google.com/spreadsheets/d/1FvTu2DsIWUjP6WCWra38Bkj_oOl_sOMf14r5Fg5srxU/edit?usp=sharing"",""ชัยภูมิ!Q164"")+IMPORTRANGE(""https://docs.google.com/spreadsheets/d/1XVB7oCJ3pr-vBUdflwPQ8Z2LlzhnCvZaaYjAfP-647E/edit"&amp;"?usp=sharing"",""นครพนม!Q164"")+IMPORTRANGE(""https://docs.google.com/spreadsheets/d/1Mnpb-8PYAgn85W6KOTD40hc_Xc55CaLfHoGAbrZ8tls/edit?usp=sharing"",""นครราชสีมา!Q164"")+IMPORTRANGE(""https://docs.google.com/spreadsheets/d/1xoDLGBv9CYbyosIhki0kTq6IpYNj-gp"&amp;"jxfobnaDiut0/edit?usp=sharing"",""บึงกาฬ!Q164"")+IMPORTRANGE(""https://docs.google.com/spreadsheets/d/1MMPq-JyI6DSgQETxuSiXkesP-P7JHuemnE6QJIa-Nlw/edit?usp=sharing"",""บุรีรัมย์!Q164"")+IMPORTRANGE(""https://docs.google.com/spreadsheets/d/1l6IZ8xUPgMrESzc"&amp;"TYwhA1k_tPjeQjJPTqlm8Gd9eU5g/edit?usp=sharing"",""มหาสารคาม!Q164"")+IMPORTRANGE(""https://docs.google.com/spreadsheets/d/1uB74YLqNjWX6FObjekfB2NtSYigTQyR2rq9u4Ub2Sq4/edit?usp=sharing"",""มุกดาหาร!Q164"")+IMPORTRANGE(""https://docs.google.com/spreadsheets/"&amp;"d/1NexK3geCPxCTO1fzNF8dPec7yZyUx3OaWkFBC9HsQOo/edit?usp=sharing"",""ยโสธร!Q164"")+IMPORTRANGE(""https://docs.google.com/spreadsheets/d/1v_cJrbBlyqmnHPReHk44g9NrMRdENNlSy_E_c5M9fIg/edit?usp=sharing"",""ร้อยเอ็ด!Q164"")+IMPORTRANGE(""https://docs.google.com"&amp;"/spreadsheets/d/1Ul4RCpCX66NxYADU1QpwAPjOmBzW64SsT11s1wzXw_c/edit?usp=sharing"",""เลย!Q164"")+IMPORTRANGE(""https://docs.google.com/spreadsheets/d/1bRrNKwbHDVktQG10isr5vbWRtt5spIZPpkOSWgbT5ug/edit?usp=sharing"",""ศรีสะเกษ!Q164"")+IMPORTRANGE(""https://doc"&amp;"s.google.com/spreadsheets/d/17P34_Ow5kFBfdQD0qspb2UuPX5zpi6WMrQzslghyvrI/edit?usp=sharing"",""สกลนคร!Q164"")+IMPORTRANGE(""https://docs.google.com/spreadsheets/d/1yswqbM3-AEpThF3ZSUa1AcmHnmRTF1vlJ1CZGcJ8YuU/edit?usp=sharing"",""สุรินทร์!Q164"")+IMPORTRANG"&amp;"E(""https://docs.google.com/spreadsheets/d/13JHU_EFbsQOUQ0JSQ3dWy1VTRosIWcDq6Nc99z2qzdc/edit?usp=sharing"",""หนองคาย!Q164"")+IMPORTRANGE(""https://docs.google.com/spreadsheets/d/1Hx73zIEgVdDZZaYSTc46Dqv64atFhpr3GelxLbaIN8A/edit?usp=sharing"",""หนองบัวลำภู"&amp;"!Q164"")+IMPORTRANGE(""https://docs.google.com/spreadsheets/d/1lFxr3ctmjFN90yc-xV6jrQ9Ty8BKYVBWnAZ15wcNIJc/edit?usp=sharing"",""อำนาจเจริญ!Q164"")+IMPORTRANGE(""https://docs.google.com/spreadsheets/d/1gF7RJpRnL-1oyjyeWxs5SFWEH7y8ahOZsQlyp2A2e-A/edit?usp=s"&amp;"haring"",""อุดรธานี!Q164"")+IMPORTRANGE(""https://docs.google.com/spreadsheets/d/1kfLP0j3INXRa8bTDpcEmoWewMBV61jlFlfzczfjWIgc/edit?usp=sharing"",""อุบลราชธานี!Q164"")"),0)</f>
        <v>0</v>
      </c>
      <c r="R164" s="56">
        <f ca="1">IFERROR(__xludf.DUMMYFUNCTION("IMPORTRANGE(""https://docs.google.com/spreadsheets/d/1yhBcrRPreicbMKl9Bu_Snb2-OcQAF62RKfhTLhJ2eAA/edit?usp=sharing"",""กาฬสินธุ์!R164"")+IMPORTRANGE(""https://docs.google.com/spreadsheets/d/1aHkj4IaQMThhwWwevcOymEh837vdxeC_PycurhTbGFA/edit?usp=sharing"","&amp;"""ขอนแก่น!R164"")+IMPORTRANGE(""https://docs.google.com/spreadsheets/d/1FvTu2DsIWUjP6WCWra38Bkj_oOl_sOMf14r5Fg5srxU/edit?usp=sharing"",""ชัยภูมิ!R164"")+IMPORTRANGE(""https://docs.google.com/spreadsheets/d/1XVB7oCJ3pr-vBUdflwPQ8Z2LlzhnCvZaaYjAfP-647E/edit"&amp;"?usp=sharing"",""นครพนม!R164"")+IMPORTRANGE(""https://docs.google.com/spreadsheets/d/1Mnpb-8PYAgn85W6KOTD40hc_Xc55CaLfHoGAbrZ8tls/edit?usp=sharing"",""นครราชสีมา!R164"")+IMPORTRANGE(""https://docs.google.com/spreadsheets/d/1xoDLGBv9CYbyosIhki0kTq6IpYNj-gp"&amp;"jxfobnaDiut0/edit?usp=sharing"",""บึงกาฬ!R164"")+IMPORTRANGE(""https://docs.google.com/spreadsheets/d/1MMPq-JyI6DSgQETxuSiXkesP-P7JHuemnE6QJIa-Nlw/edit?usp=sharing"",""บุรีรัมย์!R164"")+IMPORTRANGE(""https://docs.google.com/spreadsheets/d/1l6IZ8xUPgMrESzc"&amp;"TYwhA1k_tPjeQjJPTqlm8Gd9eU5g/edit?usp=sharing"",""มหาสารคาม!R164"")+IMPORTRANGE(""https://docs.google.com/spreadsheets/d/1uB74YLqNjWX6FObjekfB2NtSYigTQyR2rq9u4Ub2Sq4/edit?usp=sharing"",""มุกดาหาร!R164"")+IMPORTRANGE(""https://docs.google.com/spreadsheets/"&amp;"d/1NexK3geCPxCTO1fzNF8dPec7yZyUx3OaWkFBC9HsQOo/edit?usp=sharing"",""ยโสธร!R164"")+IMPORTRANGE(""https://docs.google.com/spreadsheets/d/1v_cJrbBlyqmnHPReHk44g9NrMRdENNlSy_E_c5M9fIg/edit?usp=sharing"",""ร้อยเอ็ด!R164"")+IMPORTRANGE(""https://docs.google.com"&amp;"/spreadsheets/d/1Ul4RCpCX66NxYADU1QpwAPjOmBzW64SsT11s1wzXw_c/edit?usp=sharing"",""เลย!R164"")+IMPORTRANGE(""https://docs.google.com/spreadsheets/d/1bRrNKwbHDVktQG10isr5vbWRtt5spIZPpkOSWgbT5ug/edit?usp=sharing"",""ศรีสะเกษ!R164"")+IMPORTRANGE(""https://doc"&amp;"s.google.com/spreadsheets/d/17P34_Ow5kFBfdQD0qspb2UuPX5zpi6WMrQzslghyvrI/edit?usp=sharing"",""สกลนคร!R164"")+IMPORTRANGE(""https://docs.google.com/spreadsheets/d/1yswqbM3-AEpThF3ZSUa1AcmHnmRTF1vlJ1CZGcJ8YuU/edit?usp=sharing"",""สุรินทร์!R164"")+IMPORTRANG"&amp;"E(""https://docs.google.com/spreadsheets/d/13JHU_EFbsQOUQ0JSQ3dWy1VTRosIWcDq6Nc99z2qzdc/edit?usp=sharing"",""หนองคาย!R164"")+IMPORTRANGE(""https://docs.google.com/spreadsheets/d/1Hx73zIEgVdDZZaYSTc46Dqv64atFhpr3GelxLbaIN8A/edit?usp=sharing"",""หนองบัวลำภู"&amp;"!R164"")+IMPORTRANGE(""https://docs.google.com/spreadsheets/d/1lFxr3ctmjFN90yc-xV6jrQ9Ty8BKYVBWnAZ15wcNIJc/edit?usp=sharing"",""อำนาจเจริญ!R164"")+IMPORTRANGE(""https://docs.google.com/spreadsheets/d/1gF7RJpRnL-1oyjyeWxs5SFWEH7y8ahOZsQlyp2A2e-A/edit?usp=s"&amp;"haring"",""อุดรธานี!R164"")+IMPORTRANGE(""https://docs.google.com/spreadsheets/d/1kfLP0j3INXRa8bTDpcEmoWewMBV61jlFlfzczfjWIgc/edit?usp=sharing"",""อุบลราชธานี!R164"")"),0)</f>
        <v>0</v>
      </c>
      <c r="S164" s="57">
        <f ca="1">IFERROR(__xludf.DUMMYFUNCTION("IMPORTRANGE(""https://docs.google.com/spreadsheets/d/1yhBcrRPreicbMKl9Bu_Snb2-OcQAF62RKfhTLhJ2eAA/edit?usp=sharing"",""กาฬสินธุ์!S164"")+IMPORTRANGE(""https://docs.google.com/spreadsheets/d/1aHkj4IaQMThhwWwevcOymEh837vdxeC_PycurhTbGFA/edit?usp=sharing"","&amp;"""ขอนแก่น!S164"")+IMPORTRANGE(""https://docs.google.com/spreadsheets/d/1FvTu2DsIWUjP6WCWra38Bkj_oOl_sOMf14r5Fg5srxU/edit?usp=sharing"",""ชัยภูมิ!S164"")+IMPORTRANGE(""https://docs.google.com/spreadsheets/d/1XVB7oCJ3pr-vBUdflwPQ8Z2LlzhnCvZaaYjAfP-647E/edit"&amp;"?usp=sharing"",""นครพนม!S164"")+IMPORTRANGE(""https://docs.google.com/spreadsheets/d/1Mnpb-8PYAgn85W6KOTD40hc_Xc55CaLfHoGAbrZ8tls/edit?usp=sharing"",""นครราชสีมา!S164"")+IMPORTRANGE(""https://docs.google.com/spreadsheets/d/1xoDLGBv9CYbyosIhki0kTq6IpYNj-gp"&amp;"jxfobnaDiut0/edit?usp=sharing"",""บึงกาฬ!S164"")+IMPORTRANGE(""https://docs.google.com/spreadsheets/d/1MMPq-JyI6DSgQETxuSiXkesP-P7JHuemnE6QJIa-Nlw/edit?usp=sharing"",""บุรีรัมย์!S164"")+IMPORTRANGE(""https://docs.google.com/spreadsheets/d/1l6IZ8xUPgMrESzc"&amp;"TYwhA1k_tPjeQjJPTqlm8Gd9eU5g/edit?usp=sharing"",""มหาสารคาม!S164"")+IMPORTRANGE(""https://docs.google.com/spreadsheets/d/1uB74YLqNjWX6FObjekfB2NtSYigTQyR2rq9u4Ub2Sq4/edit?usp=sharing"",""มุกดาหาร!S164"")+IMPORTRANGE(""https://docs.google.com/spreadsheets/"&amp;"d/1NexK3geCPxCTO1fzNF8dPec7yZyUx3OaWkFBC9HsQOo/edit?usp=sharing"",""ยโสธร!S164"")+IMPORTRANGE(""https://docs.google.com/spreadsheets/d/1v_cJrbBlyqmnHPReHk44g9NrMRdENNlSy_E_c5M9fIg/edit?usp=sharing"",""ร้อยเอ็ด!S164"")+IMPORTRANGE(""https://docs.google.com"&amp;"/spreadsheets/d/1Ul4RCpCX66NxYADU1QpwAPjOmBzW64SsT11s1wzXw_c/edit?usp=sharing"",""เลย!S164"")+IMPORTRANGE(""https://docs.google.com/spreadsheets/d/1bRrNKwbHDVktQG10isr5vbWRtt5spIZPpkOSWgbT5ug/edit?usp=sharing"",""ศรีสะเกษ!S164"")+IMPORTRANGE(""https://doc"&amp;"s.google.com/spreadsheets/d/17P34_Ow5kFBfdQD0qspb2UuPX5zpi6WMrQzslghyvrI/edit?usp=sharing"",""สกลนคร!S164"")+IMPORTRANGE(""https://docs.google.com/spreadsheets/d/1yswqbM3-AEpThF3ZSUa1AcmHnmRTF1vlJ1CZGcJ8YuU/edit?usp=sharing"",""สุรินทร์!S164"")+IMPORTRANG"&amp;"E(""https://docs.google.com/spreadsheets/d/13JHU_EFbsQOUQ0JSQ3dWy1VTRosIWcDq6Nc99z2qzdc/edit?usp=sharing"",""หนองคาย!S164"")+IMPORTRANGE(""https://docs.google.com/spreadsheets/d/1Hx73zIEgVdDZZaYSTc46Dqv64atFhpr3GelxLbaIN8A/edit?usp=sharing"",""หนองบัวลำภู"&amp;"!S164"")+IMPORTRANGE(""https://docs.google.com/spreadsheets/d/1lFxr3ctmjFN90yc-xV6jrQ9Ty8BKYVBWnAZ15wcNIJc/edit?usp=sharing"",""อำนาจเจริญ!S164"")+IMPORTRANGE(""https://docs.google.com/spreadsheets/d/1gF7RJpRnL-1oyjyeWxs5SFWEH7y8ahOZsQlyp2A2e-A/edit?usp=s"&amp;"haring"",""อุดรธานี!S164"")+IMPORTRANGE(""https://docs.google.com/spreadsheets/d/1kfLP0j3INXRa8bTDpcEmoWewMBV61jlFlfzczfjWIgc/edit?usp=sharing"",""อุบลราชธานี!S164"")"),0)</f>
        <v>0</v>
      </c>
      <c r="T164" s="59">
        <f t="shared" ca="1" si="128"/>
        <v>0</v>
      </c>
      <c r="U164" s="59">
        <f t="shared" ca="1" si="129"/>
        <v>0</v>
      </c>
    </row>
    <row r="165" spans="1:21" ht="18.75">
      <c r="A165" s="155"/>
      <c r="B165" s="50"/>
      <c r="C165" s="50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56">
        <f ca="1">IFERROR(__xludf.DUMMYFUNCTION("IMPORTRANGE(""https://docs.google.com/spreadsheets/d/1yhBcrRPreicbMKl9Bu_Snb2-OcQAF62RKfhTLhJ2eAA/edit?usp=sharing"",""กาฬสินธุ์!L165"")+IMPORTRANGE(""https://docs.google.com/spreadsheets/d/1aHkj4IaQMThhwWwevcOymEh837vdxeC_PycurhTbGFA/edit?usp=sharing"","&amp;"""ขอนแก่น!L165"")+IMPORTRANGE(""https://docs.google.com/spreadsheets/d/1FvTu2DsIWUjP6WCWra38Bkj_oOl_sOMf14r5Fg5srxU/edit?usp=sharing"",""ชัยภูมิ!L165"")+IMPORTRANGE(""https://docs.google.com/spreadsheets/d/1XVB7oCJ3pr-vBUdflwPQ8Z2LlzhnCvZaaYjAfP-647E/edit"&amp;"?usp=sharing"",""นครพนม!L165"")+IMPORTRANGE(""https://docs.google.com/spreadsheets/d/1Mnpb-8PYAgn85W6KOTD40hc_Xc55CaLfHoGAbrZ8tls/edit?usp=sharing"",""นครราชสีมา!L165"")+IMPORTRANGE(""https://docs.google.com/spreadsheets/d/1xoDLGBv9CYbyosIhki0kTq6IpYNj-gp"&amp;"jxfobnaDiut0/edit?usp=sharing"",""บึงกาฬ!L165"")+IMPORTRANGE(""https://docs.google.com/spreadsheets/d/1MMPq-JyI6DSgQETxuSiXkesP-P7JHuemnE6QJIa-Nlw/edit?usp=sharing"",""บุรีรัมย์!L165"")+IMPORTRANGE(""https://docs.google.com/spreadsheets/d/1l6IZ8xUPgMrESzc"&amp;"TYwhA1k_tPjeQjJPTqlm8Gd9eU5g/edit?usp=sharing"",""มหาสารคาม!L165"")+IMPORTRANGE(""https://docs.google.com/spreadsheets/d/1uB74YLqNjWX6FObjekfB2NtSYigTQyR2rq9u4Ub2Sq4/edit?usp=sharing"",""มุกดาหาร!L165"")+IMPORTRANGE(""https://docs.google.com/spreadsheets/"&amp;"d/1NexK3geCPxCTO1fzNF8dPec7yZyUx3OaWkFBC9HsQOo/edit?usp=sharing"",""ยโสธร!L165"")+IMPORTRANGE(""https://docs.google.com/spreadsheets/d/1v_cJrbBlyqmnHPReHk44g9NrMRdENNlSy_E_c5M9fIg/edit?usp=sharing"",""ร้อยเอ็ด!L165"")+IMPORTRANGE(""https://docs.google.com"&amp;"/spreadsheets/d/1Ul4RCpCX66NxYADU1QpwAPjOmBzW64SsT11s1wzXw_c/edit?usp=sharing"",""เลย!L165"")+IMPORTRANGE(""https://docs.google.com/spreadsheets/d/1bRrNKwbHDVktQG10isr5vbWRtt5spIZPpkOSWgbT5ug/edit?usp=sharing"",""ศรีสะเกษ!L165"")+IMPORTRANGE(""https://doc"&amp;"s.google.com/spreadsheets/d/17P34_Ow5kFBfdQD0qspb2UuPX5zpi6WMrQzslghyvrI/edit?usp=sharing"",""สกลนคร!L165"")+IMPORTRANGE(""https://docs.google.com/spreadsheets/d/1yswqbM3-AEpThF3ZSUa1AcmHnmRTF1vlJ1CZGcJ8YuU/edit?usp=sharing"",""สุรินทร์!L165"")+IMPORTRANG"&amp;"E(""https://docs.google.com/spreadsheets/d/13JHU_EFbsQOUQ0JSQ3dWy1VTRosIWcDq6Nc99z2qzdc/edit?usp=sharing"",""หนองคาย!L165"")+IMPORTRANGE(""https://docs.google.com/spreadsheets/d/1Hx73zIEgVdDZZaYSTc46Dqv64atFhpr3GelxLbaIN8A/edit?usp=sharing"",""หนองบัวลำภู"&amp;"!L165"")+IMPORTRANGE(""https://docs.google.com/spreadsheets/d/1lFxr3ctmjFN90yc-xV6jrQ9Ty8BKYVBWnAZ15wcNIJc/edit?usp=sharing"",""อำนาจเจริญ!L165"")+IMPORTRANGE(""https://docs.google.com/spreadsheets/d/1gF7RJpRnL-1oyjyeWxs5SFWEH7y8ahOZsQlyp2A2e-A/edit?usp=s"&amp;"haring"",""อุดรธานี!L165"")+IMPORTRANGE(""https://docs.google.com/spreadsheets/d/1kfLP0j3INXRa8bTDpcEmoWewMBV61jlFlfzczfjWIgc/edit?usp=sharing"",""อุบลราชธานี!L165"")"),0)</f>
        <v>0</v>
      </c>
      <c r="M165" s="56">
        <f ca="1">IFERROR(__xludf.DUMMYFUNCTION("IMPORTRANGE(""https://docs.google.com/spreadsheets/d/1yhBcrRPreicbMKl9Bu_Snb2-OcQAF62RKfhTLhJ2eAA/edit?usp=sharing"",""กาฬสินธุ์!M165"")+IMPORTRANGE(""https://docs.google.com/spreadsheets/d/1aHkj4IaQMThhwWwevcOymEh837vdxeC_PycurhTbGFA/edit?usp=sharing"","&amp;"""ขอนแก่น!M165"")+IMPORTRANGE(""https://docs.google.com/spreadsheets/d/1FvTu2DsIWUjP6WCWra38Bkj_oOl_sOMf14r5Fg5srxU/edit?usp=sharing"",""ชัยภูมิ!M165"")+IMPORTRANGE(""https://docs.google.com/spreadsheets/d/1XVB7oCJ3pr-vBUdflwPQ8Z2LlzhnCvZaaYjAfP-647E/edit"&amp;"?usp=sharing"",""นครพนม!M165"")+IMPORTRANGE(""https://docs.google.com/spreadsheets/d/1Mnpb-8PYAgn85W6KOTD40hc_Xc55CaLfHoGAbrZ8tls/edit?usp=sharing"",""นครราชสีมา!M165"")+IMPORTRANGE(""https://docs.google.com/spreadsheets/d/1xoDLGBv9CYbyosIhki0kTq6IpYNj-gp"&amp;"jxfobnaDiut0/edit?usp=sharing"",""บึงกาฬ!M165"")+IMPORTRANGE(""https://docs.google.com/spreadsheets/d/1MMPq-JyI6DSgQETxuSiXkesP-P7JHuemnE6QJIa-Nlw/edit?usp=sharing"",""บุรีรัมย์!M165"")+IMPORTRANGE(""https://docs.google.com/spreadsheets/d/1l6IZ8xUPgMrESzc"&amp;"TYwhA1k_tPjeQjJPTqlm8Gd9eU5g/edit?usp=sharing"",""มหาสารคาม!M165"")+IMPORTRANGE(""https://docs.google.com/spreadsheets/d/1uB74YLqNjWX6FObjekfB2NtSYigTQyR2rq9u4Ub2Sq4/edit?usp=sharing"",""มุกดาหาร!M165"")+IMPORTRANGE(""https://docs.google.com/spreadsheets/"&amp;"d/1NexK3geCPxCTO1fzNF8dPec7yZyUx3OaWkFBC9HsQOo/edit?usp=sharing"",""ยโสธร!M165"")+IMPORTRANGE(""https://docs.google.com/spreadsheets/d/1v_cJrbBlyqmnHPReHk44g9NrMRdENNlSy_E_c5M9fIg/edit?usp=sharing"",""ร้อยเอ็ด!M165"")+IMPORTRANGE(""https://docs.google.com"&amp;"/spreadsheets/d/1Ul4RCpCX66NxYADU1QpwAPjOmBzW64SsT11s1wzXw_c/edit?usp=sharing"",""เลย!M165"")+IMPORTRANGE(""https://docs.google.com/spreadsheets/d/1bRrNKwbHDVktQG10isr5vbWRtt5spIZPpkOSWgbT5ug/edit?usp=sharing"",""ศรีสะเกษ!M165"")+IMPORTRANGE(""https://doc"&amp;"s.google.com/spreadsheets/d/17P34_Ow5kFBfdQD0qspb2UuPX5zpi6WMrQzslghyvrI/edit?usp=sharing"",""สกลนคร!M165"")+IMPORTRANGE(""https://docs.google.com/spreadsheets/d/1yswqbM3-AEpThF3ZSUa1AcmHnmRTF1vlJ1CZGcJ8YuU/edit?usp=sharing"",""สุรินทร์!M165"")+IMPORTRANG"&amp;"E(""https://docs.google.com/spreadsheets/d/13JHU_EFbsQOUQ0JSQ3dWy1VTRosIWcDq6Nc99z2qzdc/edit?usp=sharing"",""หนองคาย!M165"")+IMPORTRANGE(""https://docs.google.com/spreadsheets/d/1Hx73zIEgVdDZZaYSTc46Dqv64atFhpr3GelxLbaIN8A/edit?usp=sharing"",""หนองบัวลำภู"&amp;"!M165"")+IMPORTRANGE(""https://docs.google.com/spreadsheets/d/1lFxr3ctmjFN90yc-xV6jrQ9Ty8BKYVBWnAZ15wcNIJc/edit?usp=sharing"",""อำนาจเจริญ!M165"")+IMPORTRANGE(""https://docs.google.com/spreadsheets/d/1gF7RJpRnL-1oyjyeWxs5SFWEH7y8ahOZsQlyp2A2e-A/edit?usp=s"&amp;"haring"",""อุดรธานี!M165"")+IMPORTRANGE(""https://docs.google.com/spreadsheets/d/1kfLP0j3INXRa8bTDpcEmoWewMBV61jlFlfzczfjWIgc/edit?usp=sharing"",""อุบลราชธานี!M165"")"),0)</f>
        <v>0</v>
      </c>
      <c r="N165" s="56">
        <f ca="1">IFERROR(__xludf.DUMMYFUNCTION("IMPORTRANGE(""https://docs.google.com/spreadsheets/d/1yhBcrRPreicbMKl9Bu_Snb2-OcQAF62RKfhTLhJ2eAA/edit?usp=sharing"",""กาฬสินธุ์!N165"")+IMPORTRANGE(""https://docs.google.com/spreadsheets/d/1aHkj4IaQMThhwWwevcOymEh837vdxeC_PycurhTbGFA/edit?usp=sharing"","&amp;"""ขอนแก่น!N165"")+IMPORTRANGE(""https://docs.google.com/spreadsheets/d/1FvTu2DsIWUjP6WCWra38Bkj_oOl_sOMf14r5Fg5srxU/edit?usp=sharing"",""ชัยภูมิ!N165"")+IMPORTRANGE(""https://docs.google.com/spreadsheets/d/1XVB7oCJ3pr-vBUdflwPQ8Z2LlzhnCvZaaYjAfP-647E/edit"&amp;"?usp=sharing"",""นครพนม!N165"")+IMPORTRANGE(""https://docs.google.com/spreadsheets/d/1Mnpb-8PYAgn85W6KOTD40hc_Xc55CaLfHoGAbrZ8tls/edit?usp=sharing"",""นครราชสีมา!N165"")+IMPORTRANGE(""https://docs.google.com/spreadsheets/d/1xoDLGBv9CYbyosIhki0kTq6IpYNj-gp"&amp;"jxfobnaDiut0/edit?usp=sharing"",""บึงกาฬ!N165"")+IMPORTRANGE(""https://docs.google.com/spreadsheets/d/1MMPq-JyI6DSgQETxuSiXkesP-P7JHuemnE6QJIa-Nlw/edit?usp=sharing"",""บุรีรัมย์!N165"")+IMPORTRANGE(""https://docs.google.com/spreadsheets/d/1l6IZ8xUPgMrESzc"&amp;"TYwhA1k_tPjeQjJPTqlm8Gd9eU5g/edit?usp=sharing"",""มหาสารคาม!N165"")+IMPORTRANGE(""https://docs.google.com/spreadsheets/d/1uB74YLqNjWX6FObjekfB2NtSYigTQyR2rq9u4Ub2Sq4/edit?usp=sharing"",""มุกดาหาร!N165"")+IMPORTRANGE(""https://docs.google.com/spreadsheets/"&amp;"d/1NexK3geCPxCTO1fzNF8dPec7yZyUx3OaWkFBC9HsQOo/edit?usp=sharing"",""ยโสธร!N165"")+IMPORTRANGE(""https://docs.google.com/spreadsheets/d/1v_cJrbBlyqmnHPReHk44g9NrMRdENNlSy_E_c5M9fIg/edit?usp=sharing"",""ร้อยเอ็ด!N165"")+IMPORTRANGE(""https://docs.google.com"&amp;"/spreadsheets/d/1Ul4RCpCX66NxYADU1QpwAPjOmBzW64SsT11s1wzXw_c/edit?usp=sharing"",""เลย!N165"")+IMPORTRANGE(""https://docs.google.com/spreadsheets/d/1bRrNKwbHDVktQG10isr5vbWRtt5spIZPpkOSWgbT5ug/edit?usp=sharing"",""ศรีสะเกษ!N165"")+IMPORTRANGE(""https://doc"&amp;"s.google.com/spreadsheets/d/17P34_Ow5kFBfdQD0qspb2UuPX5zpi6WMrQzslghyvrI/edit?usp=sharing"",""สกลนคร!N165"")+IMPORTRANGE(""https://docs.google.com/spreadsheets/d/1yswqbM3-AEpThF3ZSUa1AcmHnmRTF1vlJ1CZGcJ8YuU/edit?usp=sharing"",""สุรินทร์!N165"")+IMPORTRANG"&amp;"E(""https://docs.google.com/spreadsheets/d/13JHU_EFbsQOUQ0JSQ3dWy1VTRosIWcDq6Nc99z2qzdc/edit?usp=sharing"",""หนองคาย!N165"")+IMPORTRANGE(""https://docs.google.com/spreadsheets/d/1Hx73zIEgVdDZZaYSTc46Dqv64atFhpr3GelxLbaIN8A/edit?usp=sharing"",""หนองบัวลำภู"&amp;"!N165"")+IMPORTRANGE(""https://docs.google.com/spreadsheets/d/1lFxr3ctmjFN90yc-xV6jrQ9Ty8BKYVBWnAZ15wcNIJc/edit?usp=sharing"",""อำนาจเจริญ!N165"")+IMPORTRANGE(""https://docs.google.com/spreadsheets/d/1gF7RJpRnL-1oyjyeWxs5SFWEH7y8ahOZsQlyp2A2e-A/edit?usp=s"&amp;"haring"",""อุดรธานี!N165"")+IMPORTRANGE(""https://docs.google.com/spreadsheets/d/1kfLP0j3INXRa8bTDpcEmoWewMBV61jlFlfzczfjWIgc/edit?usp=sharing"",""อุบลราชธานี!N165"")"),0)</f>
        <v>0</v>
      </c>
      <c r="O165" s="56">
        <f t="shared" ca="1" si="125"/>
        <v>0</v>
      </c>
      <c r="P165" s="56">
        <f t="shared" ca="1" si="126"/>
        <v>0</v>
      </c>
      <c r="Q165" s="56">
        <f ca="1">IFERROR(__xludf.DUMMYFUNCTION("IMPORTRANGE(""https://docs.google.com/spreadsheets/d/1yhBcrRPreicbMKl9Bu_Snb2-OcQAF62RKfhTLhJ2eAA/edit?usp=sharing"",""กาฬสินธุ์!Q165"")+IMPORTRANGE(""https://docs.google.com/spreadsheets/d/1aHkj4IaQMThhwWwevcOymEh837vdxeC_PycurhTbGFA/edit?usp=sharing"","&amp;"""ขอนแก่น!Q165"")+IMPORTRANGE(""https://docs.google.com/spreadsheets/d/1FvTu2DsIWUjP6WCWra38Bkj_oOl_sOMf14r5Fg5srxU/edit?usp=sharing"",""ชัยภูมิ!Q165"")+IMPORTRANGE(""https://docs.google.com/spreadsheets/d/1XVB7oCJ3pr-vBUdflwPQ8Z2LlzhnCvZaaYjAfP-647E/edit"&amp;"?usp=sharing"",""นครพนม!Q165"")+IMPORTRANGE(""https://docs.google.com/spreadsheets/d/1Mnpb-8PYAgn85W6KOTD40hc_Xc55CaLfHoGAbrZ8tls/edit?usp=sharing"",""นครราชสีมา!Q165"")+IMPORTRANGE(""https://docs.google.com/spreadsheets/d/1xoDLGBv9CYbyosIhki0kTq6IpYNj-gp"&amp;"jxfobnaDiut0/edit?usp=sharing"",""บึงกาฬ!Q165"")+IMPORTRANGE(""https://docs.google.com/spreadsheets/d/1MMPq-JyI6DSgQETxuSiXkesP-P7JHuemnE6QJIa-Nlw/edit?usp=sharing"",""บุรีรัมย์!Q165"")+IMPORTRANGE(""https://docs.google.com/spreadsheets/d/1l6IZ8xUPgMrESzc"&amp;"TYwhA1k_tPjeQjJPTqlm8Gd9eU5g/edit?usp=sharing"",""มหาสารคาม!Q165"")+IMPORTRANGE(""https://docs.google.com/spreadsheets/d/1uB74YLqNjWX6FObjekfB2NtSYigTQyR2rq9u4Ub2Sq4/edit?usp=sharing"",""มุกดาหาร!Q165"")+IMPORTRANGE(""https://docs.google.com/spreadsheets/"&amp;"d/1NexK3geCPxCTO1fzNF8dPec7yZyUx3OaWkFBC9HsQOo/edit?usp=sharing"",""ยโสธร!Q165"")+IMPORTRANGE(""https://docs.google.com/spreadsheets/d/1v_cJrbBlyqmnHPReHk44g9NrMRdENNlSy_E_c5M9fIg/edit?usp=sharing"",""ร้อยเอ็ด!Q165"")+IMPORTRANGE(""https://docs.google.com"&amp;"/spreadsheets/d/1Ul4RCpCX66NxYADU1QpwAPjOmBzW64SsT11s1wzXw_c/edit?usp=sharing"",""เลย!Q165"")+IMPORTRANGE(""https://docs.google.com/spreadsheets/d/1bRrNKwbHDVktQG10isr5vbWRtt5spIZPpkOSWgbT5ug/edit?usp=sharing"",""ศรีสะเกษ!Q165"")+IMPORTRANGE(""https://doc"&amp;"s.google.com/spreadsheets/d/17P34_Ow5kFBfdQD0qspb2UuPX5zpi6WMrQzslghyvrI/edit?usp=sharing"",""สกลนคร!Q165"")+IMPORTRANGE(""https://docs.google.com/spreadsheets/d/1yswqbM3-AEpThF3ZSUa1AcmHnmRTF1vlJ1CZGcJ8YuU/edit?usp=sharing"",""สุรินทร์!Q165"")+IMPORTRANG"&amp;"E(""https://docs.google.com/spreadsheets/d/13JHU_EFbsQOUQ0JSQ3dWy1VTRosIWcDq6Nc99z2qzdc/edit?usp=sharing"",""หนองคาย!Q165"")+IMPORTRANGE(""https://docs.google.com/spreadsheets/d/1Hx73zIEgVdDZZaYSTc46Dqv64atFhpr3GelxLbaIN8A/edit?usp=sharing"",""หนองบัวลำภู"&amp;"!Q165"")+IMPORTRANGE(""https://docs.google.com/spreadsheets/d/1lFxr3ctmjFN90yc-xV6jrQ9Ty8BKYVBWnAZ15wcNIJc/edit?usp=sharing"",""อำนาจเจริญ!Q165"")+IMPORTRANGE(""https://docs.google.com/spreadsheets/d/1gF7RJpRnL-1oyjyeWxs5SFWEH7y8ahOZsQlyp2A2e-A/edit?usp=s"&amp;"haring"",""อุดรธานี!Q165"")+IMPORTRANGE(""https://docs.google.com/spreadsheets/d/1kfLP0j3INXRa8bTDpcEmoWewMBV61jlFlfzczfjWIgc/edit?usp=sharing"",""อุบลราชธานี!Q165"")"),0)</f>
        <v>0</v>
      </c>
      <c r="R165" s="56">
        <f ca="1">IFERROR(__xludf.DUMMYFUNCTION("IMPORTRANGE(""https://docs.google.com/spreadsheets/d/1yhBcrRPreicbMKl9Bu_Snb2-OcQAF62RKfhTLhJ2eAA/edit?usp=sharing"",""กาฬสินธุ์!R165"")+IMPORTRANGE(""https://docs.google.com/spreadsheets/d/1aHkj4IaQMThhwWwevcOymEh837vdxeC_PycurhTbGFA/edit?usp=sharing"","&amp;"""ขอนแก่น!R165"")+IMPORTRANGE(""https://docs.google.com/spreadsheets/d/1FvTu2DsIWUjP6WCWra38Bkj_oOl_sOMf14r5Fg5srxU/edit?usp=sharing"",""ชัยภูมิ!R165"")+IMPORTRANGE(""https://docs.google.com/spreadsheets/d/1XVB7oCJ3pr-vBUdflwPQ8Z2LlzhnCvZaaYjAfP-647E/edit"&amp;"?usp=sharing"",""นครพนม!R165"")+IMPORTRANGE(""https://docs.google.com/spreadsheets/d/1Mnpb-8PYAgn85W6KOTD40hc_Xc55CaLfHoGAbrZ8tls/edit?usp=sharing"",""นครราชสีมา!R165"")+IMPORTRANGE(""https://docs.google.com/spreadsheets/d/1xoDLGBv9CYbyosIhki0kTq6IpYNj-gp"&amp;"jxfobnaDiut0/edit?usp=sharing"",""บึงกาฬ!R165"")+IMPORTRANGE(""https://docs.google.com/spreadsheets/d/1MMPq-JyI6DSgQETxuSiXkesP-P7JHuemnE6QJIa-Nlw/edit?usp=sharing"",""บุรีรัมย์!R165"")+IMPORTRANGE(""https://docs.google.com/spreadsheets/d/1l6IZ8xUPgMrESzc"&amp;"TYwhA1k_tPjeQjJPTqlm8Gd9eU5g/edit?usp=sharing"",""มหาสารคาม!R165"")+IMPORTRANGE(""https://docs.google.com/spreadsheets/d/1uB74YLqNjWX6FObjekfB2NtSYigTQyR2rq9u4Ub2Sq4/edit?usp=sharing"",""มุกดาหาร!R165"")+IMPORTRANGE(""https://docs.google.com/spreadsheets/"&amp;"d/1NexK3geCPxCTO1fzNF8dPec7yZyUx3OaWkFBC9HsQOo/edit?usp=sharing"",""ยโสธร!R165"")+IMPORTRANGE(""https://docs.google.com/spreadsheets/d/1v_cJrbBlyqmnHPReHk44g9NrMRdENNlSy_E_c5M9fIg/edit?usp=sharing"",""ร้อยเอ็ด!R165"")+IMPORTRANGE(""https://docs.google.com"&amp;"/spreadsheets/d/1Ul4RCpCX66NxYADU1QpwAPjOmBzW64SsT11s1wzXw_c/edit?usp=sharing"",""เลย!R165"")+IMPORTRANGE(""https://docs.google.com/spreadsheets/d/1bRrNKwbHDVktQG10isr5vbWRtt5spIZPpkOSWgbT5ug/edit?usp=sharing"",""ศรีสะเกษ!R165"")+IMPORTRANGE(""https://doc"&amp;"s.google.com/spreadsheets/d/17P34_Ow5kFBfdQD0qspb2UuPX5zpi6WMrQzslghyvrI/edit?usp=sharing"",""สกลนคร!R165"")+IMPORTRANGE(""https://docs.google.com/spreadsheets/d/1yswqbM3-AEpThF3ZSUa1AcmHnmRTF1vlJ1CZGcJ8YuU/edit?usp=sharing"",""สุรินทร์!R165"")+IMPORTRANG"&amp;"E(""https://docs.google.com/spreadsheets/d/13JHU_EFbsQOUQ0JSQ3dWy1VTRosIWcDq6Nc99z2qzdc/edit?usp=sharing"",""หนองคาย!R165"")+IMPORTRANGE(""https://docs.google.com/spreadsheets/d/1Hx73zIEgVdDZZaYSTc46Dqv64atFhpr3GelxLbaIN8A/edit?usp=sharing"",""หนองบัวลำภู"&amp;"!R165"")+IMPORTRANGE(""https://docs.google.com/spreadsheets/d/1lFxr3ctmjFN90yc-xV6jrQ9Ty8BKYVBWnAZ15wcNIJc/edit?usp=sharing"",""อำนาจเจริญ!R165"")+IMPORTRANGE(""https://docs.google.com/spreadsheets/d/1gF7RJpRnL-1oyjyeWxs5SFWEH7y8ahOZsQlyp2A2e-A/edit?usp=s"&amp;"haring"",""อุดรธานี!R165"")+IMPORTRANGE(""https://docs.google.com/spreadsheets/d/1kfLP0j3INXRa8bTDpcEmoWewMBV61jlFlfzczfjWIgc/edit?usp=sharing"",""อุบลราชธานี!R165"")"),0)</f>
        <v>0</v>
      </c>
      <c r="S165" s="57">
        <f ca="1">IFERROR(__xludf.DUMMYFUNCTION("IMPORTRANGE(""https://docs.google.com/spreadsheets/d/1yhBcrRPreicbMKl9Bu_Snb2-OcQAF62RKfhTLhJ2eAA/edit?usp=sharing"",""กาฬสินธุ์!S165"")+IMPORTRANGE(""https://docs.google.com/spreadsheets/d/1aHkj4IaQMThhwWwevcOymEh837vdxeC_PycurhTbGFA/edit?usp=sharing"","&amp;"""ขอนแก่น!S165"")+IMPORTRANGE(""https://docs.google.com/spreadsheets/d/1FvTu2DsIWUjP6WCWra38Bkj_oOl_sOMf14r5Fg5srxU/edit?usp=sharing"",""ชัยภูมิ!S165"")+IMPORTRANGE(""https://docs.google.com/spreadsheets/d/1XVB7oCJ3pr-vBUdflwPQ8Z2LlzhnCvZaaYjAfP-647E/edit"&amp;"?usp=sharing"",""นครพนม!S165"")+IMPORTRANGE(""https://docs.google.com/spreadsheets/d/1Mnpb-8PYAgn85W6KOTD40hc_Xc55CaLfHoGAbrZ8tls/edit?usp=sharing"",""นครราชสีมา!S165"")+IMPORTRANGE(""https://docs.google.com/spreadsheets/d/1xoDLGBv9CYbyosIhki0kTq6IpYNj-gp"&amp;"jxfobnaDiut0/edit?usp=sharing"",""บึงกาฬ!S165"")+IMPORTRANGE(""https://docs.google.com/spreadsheets/d/1MMPq-JyI6DSgQETxuSiXkesP-P7JHuemnE6QJIa-Nlw/edit?usp=sharing"",""บุรีรัมย์!S165"")+IMPORTRANGE(""https://docs.google.com/spreadsheets/d/1l6IZ8xUPgMrESzc"&amp;"TYwhA1k_tPjeQjJPTqlm8Gd9eU5g/edit?usp=sharing"",""มหาสารคาม!S165"")+IMPORTRANGE(""https://docs.google.com/spreadsheets/d/1uB74YLqNjWX6FObjekfB2NtSYigTQyR2rq9u4Ub2Sq4/edit?usp=sharing"",""มุกดาหาร!S165"")+IMPORTRANGE(""https://docs.google.com/spreadsheets/"&amp;"d/1NexK3geCPxCTO1fzNF8dPec7yZyUx3OaWkFBC9HsQOo/edit?usp=sharing"",""ยโสธร!S165"")+IMPORTRANGE(""https://docs.google.com/spreadsheets/d/1v_cJrbBlyqmnHPReHk44g9NrMRdENNlSy_E_c5M9fIg/edit?usp=sharing"",""ร้อยเอ็ด!S165"")+IMPORTRANGE(""https://docs.google.com"&amp;"/spreadsheets/d/1Ul4RCpCX66NxYADU1QpwAPjOmBzW64SsT11s1wzXw_c/edit?usp=sharing"",""เลย!S165"")+IMPORTRANGE(""https://docs.google.com/spreadsheets/d/1bRrNKwbHDVktQG10isr5vbWRtt5spIZPpkOSWgbT5ug/edit?usp=sharing"",""ศรีสะเกษ!S165"")+IMPORTRANGE(""https://doc"&amp;"s.google.com/spreadsheets/d/17P34_Ow5kFBfdQD0qspb2UuPX5zpi6WMrQzslghyvrI/edit?usp=sharing"",""สกลนคร!S165"")+IMPORTRANGE(""https://docs.google.com/spreadsheets/d/1yswqbM3-AEpThF3ZSUa1AcmHnmRTF1vlJ1CZGcJ8YuU/edit?usp=sharing"",""สุรินทร์!S165"")+IMPORTRANG"&amp;"E(""https://docs.google.com/spreadsheets/d/13JHU_EFbsQOUQ0JSQ3dWy1VTRosIWcDq6Nc99z2qzdc/edit?usp=sharing"",""หนองคาย!S165"")+IMPORTRANGE(""https://docs.google.com/spreadsheets/d/1Hx73zIEgVdDZZaYSTc46Dqv64atFhpr3GelxLbaIN8A/edit?usp=sharing"",""หนองบัวลำภู"&amp;"!S165"")+IMPORTRANGE(""https://docs.google.com/spreadsheets/d/1lFxr3ctmjFN90yc-xV6jrQ9Ty8BKYVBWnAZ15wcNIJc/edit?usp=sharing"",""อำนาจเจริญ!S165"")+IMPORTRANGE(""https://docs.google.com/spreadsheets/d/1gF7RJpRnL-1oyjyeWxs5SFWEH7y8ahOZsQlyp2A2e-A/edit?usp=s"&amp;"haring"",""อุดรธานี!S165"")+IMPORTRANGE(""https://docs.google.com/spreadsheets/d/1kfLP0j3INXRa8bTDpcEmoWewMBV61jlFlfzczfjWIgc/edit?usp=sharing"",""อุบลราชธานี!S165"")"),0)</f>
        <v>0</v>
      </c>
      <c r="T165" s="56">
        <f t="shared" ca="1" si="128"/>
        <v>0</v>
      </c>
      <c r="U165" s="56">
        <f t="shared" ca="1" si="129"/>
        <v>0</v>
      </c>
    </row>
    <row r="166" spans="1:21" ht="19.5">
      <c r="A166" s="166"/>
      <c r="B166" s="167"/>
      <c r="C166" s="156" t="s">
        <v>18</v>
      </c>
      <c r="D166" s="168" t="s">
        <v>38</v>
      </c>
      <c r="E166" s="169"/>
      <c r="F166" s="169"/>
      <c r="G166" s="170"/>
      <c r="H166" s="206"/>
      <c r="I166" s="54"/>
      <c r="J166" s="54"/>
      <c r="K166" s="55"/>
      <c r="L166" s="55"/>
      <c r="M166" s="55"/>
      <c r="N166" s="55"/>
      <c r="O166" s="55"/>
      <c r="P166" s="55"/>
      <c r="Q166" s="55"/>
      <c r="R166" s="55"/>
      <c r="S166" s="62"/>
      <c r="T166" s="55"/>
      <c r="U166" s="55"/>
    </row>
    <row r="167" spans="1:21" ht="18.75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181">
        <f ca="1">IFERROR(__xludf.DUMMYFUNCTION("IMPORTRANGE(""https://docs.google.com/spreadsheets/d/1yhBcrRPreicbMKl9Bu_Snb2-OcQAF62RKfhTLhJ2eAA/edit?usp=sharing"",""กาฬสินธุ์!I167"")+IMPORTRANGE(""https://docs.google.com/spreadsheets/d/1aHkj4IaQMThhwWwevcOymEh837vdxeC_PycurhTbGFA/edit?usp=sharing"","&amp;"""ขอนแก่น!I167"")+IMPORTRANGE(""https://docs.google.com/spreadsheets/d/1FvTu2DsIWUjP6WCWra38Bkj_oOl_sOMf14r5Fg5srxU/edit?usp=sharing"",""ชัยภูมิ!I167"")+IMPORTRANGE(""https://docs.google.com/spreadsheets/d/1XVB7oCJ3pr-vBUdflwPQ8Z2LlzhnCvZaaYjAfP-647E/edit"&amp;"?usp=sharing"",""นครพนม!I167"")+IMPORTRANGE(""https://docs.google.com/spreadsheets/d/1Mnpb-8PYAgn85W6KOTD40hc_Xc55CaLfHoGAbrZ8tls/edit?usp=sharing"",""นครราชสีมา!I167"")+IMPORTRANGE(""https://docs.google.com/spreadsheets/d/1xoDLGBv9CYbyosIhki0kTq6IpYNj-gp"&amp;"jxfobnaDiut0/edit?usp=sharing"",""บึงกาฬ!I167"")+IMPORTRANGE(""https://docs.google.com/spreadsheets/d/1MMPq-JyI6DSgQETxuSiXkesP-P7JHuemnE6QJIa-Nlw/edit?usp=sharing"",""บุรีรัมย์!I167"")+IMPORTRANGE(""https://docs.google.com/spreadsheets/d/1l6IZ8xUPgMrESzc"&amp;"TYwhA1k_tPjeQjJPTqlm8Gd9eU5g/edit?usp=sharing"",""มหาสารคาม!I167"")+IMPORTRANGE(""https://docs.google.com/spreadsheets/d/1uB74YLqNjWX6FObjekfB2NtSYigTQyR2rq9u4Ub2Sq4/edit?usp=sharing"",""มุกดาหาร!I167"")+IMPORTRANGE(""https://docs.google.com/spreadsheets/"&amp;"d/1NexK3geCPxCTO1fzNF8dPec7yZyUx3OaWkFBC9HsQOo/edit?usp=sharing"",""ยโสธร!I167"")+IMPORTRANGE(""https://docs.google.com/spreadsheets/d/1v_cJrbBlyqmnHPReHk44g9NrMRdENNlSy_E_c5M9fIg/edit?usp=sharing"",""ร้อยเอ็ด!I167"")+IMPORTRANGE(""https://docs.google.com"&amp;"/spreadsheets/d/1Ul4RCpCX66NxYADU1QpwAPjOmBzW64SsT11s1wzXw_c/edit?usp=sharing"",""เลย!I167"")+IMPORTRANGE(""https://docs.google.com/spreadsheets/d/1bRrNKwbHDVktQG10isr5vbWRtt5spIZPpkOSWgbT5ug/edit?usp=sharing"",""ศรีสะเกษ!I167"")+IMPORTRANGE(""https://doc"&amp;"s.google.com/spreadsheets/d/17P34_Ow5kFBfdQD0qspb2UuPX5zpi6WMrQzslghyvrI/edit?usp=sharing"",""สกลนคร!I167"")+IMPORTRANGE(""https://docs.google.com/spreadsheets/d/1yswqbM3-AEpThF3ZSUa1AcmHnmRTF1vlJ1CZGcJ8YuU/edit?usp=sharing"",""สุรินทร์!I167"")+IMPORTRANG"&amp;"E(""https://docs.google.com/spreadsheets/d/13JHU_EFbsQOUQ0JSQ3dWy1VTRosIWcDq6Nc99z2qzdc/edit?usp=sharing"",""หนองคาย!I167"")+IMPORTRANGE(""https://docs.google.com/spreadsheets/d/1Hx73zIEgVdDZZaYSTc46Dqv64atFhpr3GelxLbaIN8A/edit?usp=sharing"",""หนองบัวลำภู"&amp;"!I167"")+IMPORTRANGE(""https://docs.google.com/spreadsheets/d/1lFxr3ctmjFN90yc-xV6jrQ9Ty8BKYVBWnAZ15wcNIJc/edit?usp=sharing"",""อำนาจเจริญ!I167"")+IMPORTRANGE(""https://docs.google.com/spreadsheets/d/1gF7RJpRnL-1oyjyeWxs5SFWEH7y8ahOZsQlyp2A2e-A/edit?usp=s"&amp;"haring"",""อุดรธานี!I167"")+IMPORTRANGE(""https://docs.google.com/spreadsheets/d/1kfLP0j3INXRa8bTDpcEmoWewMBV61jlFlfzczfjWIgc/edit?usp=sharing"",""อุบลราชธานี!I167"")"),110)</f>
        <v>110</v>
      </c>
      <c r="J167" s="181">
        <f ca="1">IFERROR(__xludf.DUMMYFUNCTION("IMPORTRANGE(""https://docs.google.com/spreadsheets/d/1yhBcrRPreicbMKl9Bu_Snb2-OcQAF62RKfhTLhJ2eAA/edit?usp=sharing"",""กาฬสินธุ์!J167"")+IMPORTRANGE(""https://docs.google.com/spreadsheets/d/1aHkj4IaQMThhwWwevcOymEh837vdxeC_PycurhTbGFA/edit?usp=sharing"","&amp;"""ขอนแก่น!J167"")+IMPORTRANGE(""https://docs.google.com/spreadsheets/d/1FvTu2DsIWUjP6WCWra38Bkj_oOl_sOMf14r5Fg5srxU/edit?usp=sharing"",""ชัยภูมิ!J167"")+IMPORTRANGE(""https://docs.google.com/spreadsheets/d/1XVB7oCJ3pr-vBUdflwPQ8Z2LlzhnCvZaaYjAfP-647E/edit"&amp;"?usp=sharing"",""นครพนม!J167"")+IMPORTRANGE(""https://docs.google.com/spreadsheets/d/1Mnpb-8PYAgn85W6KOTD40hc_Xc55CaLfHoGAbrZ8tls/edit?usp=sharing"",""นครราชสีมา!J167"")+IMPORTRANGE(""https://docs.google.com/spreadsheets/d/1xoDLGBv9CYbyosIhki0kTq6IpYNj-gp"&amp;"jxfobnaDiut0/edit?usp=sharing"",""บึงกาฬ!J167"")+IMPORTRANGE(""https://docs.google.com/spreadsheets/d/1MMPq-JyI6DSgQETxuSiXkesP-P7JHuemnE6QJIa-Nlw/edit?usp=sharing"",""บุรีรัมย์!J167"")+IMPORTRANGE(""https://docs.google.com/spreadsheets/d/1l6IZ8xUPgMrESzc"&amp;"TYwhA1k_tPjeQjJPTqlm8Gd9eU5g/edit?usp=sharing"",""มหาสารคาม!J167"")+IMPORTRANGE(""https://docs.google.com/spreadsheets/d/1uB74YLqNjWX6FObjekfB2NtSYigTQyR2rq9u4Ub2Sq4/edit?usp=sharing"",""มุกดาหาร!J167"")+IMPORTRANGE(""https://docs.google.com/spreadsheets/"&amp;"d/1NexK3geCPxCTO1fzNF8dPec7yZyUx3OaWkFBC9HsQOo/edit?usp=sharing"",""ยโสธร!J167"")+IMPORTRANGE(""https://docs.google.com/spreadsheets/d/1v_cJrbBlyqmnHPReHk44g9NrMRdENNlSy_E_c5M9fIg/edit?usp=sharing"",""ร้อยเอ็ด!J167"")+IMPORTRANGE(""https://docs.google.com"&amp;"/spreadsheets/d/1Ul4RCpCX66NxYADU1QpwAPjOmBzW64SsT11s1wzXw_c/edit?usp=sharing"",""เลย!J167"")+IMPORTRANGE(""https://docs.google.com/spreadsheets/d/1bRrNKwbHDVktQG10isr5vbWRtt5spIZPpkOSWgbT5ug/edit?usp=sharing"",""ศรีสะเกษ!J167"")+IMPORTRANGE(""https://doc"&amp;"s.google.com/spreadsheets/d/17P34_Ow5kFBfdQD0qspb2UuPX5zpi6WMrQzslghyvrI/edit?usp=sharing"",""สกลนคร!J167"")+IMPORTRANGE(""https://docs.google.com/spreadsheets/d/1yswqbM3-AEpThF3ZSUa1AcmHnmRTF1vlJ1CZGcJ8YuU/edit?usp=sharing"",""สุรินทร์!J167"")+IMPORTRANG"&amp;"E(""https://docs.google.com/spreadsheets/d/13JHU_EFbsQOUQ0JSQ3dWy1VTRosIWcDq6Nc99z2qzdc/edit?usp=sharing"",""หนองคาย!J167"")+IMPORTRANGE(""https://docs.google.com/spreadsheets/d/1Hx73zIEgVdDZZaYSTc46Dqv64atFhpr3GelxLbaIN8A/edit?usp=sharing"",""หนองบัวลำภู"&amp;"!J167"")+IMPORTRANGE(""https://docs.google.com/spreadsheets/d/1lFxr3ctmjFN90yc-xV6jrQ9Ty8BKYVBWnAZ15wcNIJc/edit?usp=sharing"",""อำนาจเจริญ!J167"")+IMPORTRANGE(""https://docs.google.com/spreadsheets/d/1gF7RJpRnL-1oyjyeWxs5SFWEH7y8ahOZsQlyp2A2e-A/edit?usp=s"&amp;"haring"",""อุดรธานี!J167"")+IMPORTRANGE(""https://docs.google.com/spreadsheets/d/1kfLP0j3INXRa8bTDpcEmoWewMBV61jlFlfzczfjWIgc/edit?usp=sharing"",""อุบลราชธานี!J167"")"),115)</f>
        <v>115</v>
      </c>
      <c r="K167" s="56">
        <f t="shared" ref="K167:K169" ca="1" si="138">IF(I167&gt;0,J167*100/I167,0)</f>
        <v>104.54545454545455</v>
      </c>
      <c r="L167" s="55"/>
      <c r="M167" s="55"/>
      <c r="N167" s="55"/>
      <c r="O167" s="55"/>
      <c r="P167" s="55"/>
      <c r="Q167" s="55"/>
      <c r="R167" s="55"/>
      <c r="S167" s="62"/>
      <c r="T167" s="55"/>
      <c r="U167" s="55"/>
    </row>
    <row r="168" spans="1:21" ht="18.75">
      <c r="A168" s="155"/>
      <c r="B168" s="50"/>
      <c r="C168" s="50"/>
      <c r="D168" s="58" t="s">
        <v>70</v>
      </c>
      <c r="E168" s="50"/>
      <c r="F168" s="50"/>
      <c r="G168" s="52"/>
      <c r="H168" s="165" t="s">
        <v>35</v>
      </c>
      <c r="I168" s="181">
        <f t="shared" ref="I168:I169" ca="1" si="139">I167</f>
        <v>110</v>
      </c>
      <c r="J168" s="212">
        <v>0</v>
      </c>
      <c r="K168" s="56">
        <f t="shared" ca="1" si="138"/>
        <v>0</v>
      </c>
      <c r="L168" s="55"/>
      <c r="M168" s="55"/>
      <c r="N168" s="55"/>
      <c r="O168" s="55"/>
      <c r="P168" s="55"/>
      <c r="Q168" s="55"/>
      <c r="R168" s="55"/>
      <c r="S168" s="62"/>
      <c r="T168" s="55"/>
      <c r="U168" s="55"/>
    </row>
    <row r="169" spans="1:21" ht="18.75">
      <c r="A169" s="213"/>
      <c r="B169" s="4"/>
      <c r="C169" s="4"/>
      <c r="D169" s="64" t="s">
        <v>71</v>
      </c>
      <c r="E169" s="4"/>
      <c r="F169" s="4"/>
      <c r="G169" s="65"/>
      <c r="H169" s="214" t="s">
        <v>35</v>
      </c>
      <c r="I169" s="215">
        <f t="shared" ca="1" si="139"/>
        <v>110</v>
      </c>
      <c r="J169" s="216">
        <v>0</v>
      </c>
      <c r="K169" s="135">
        <f t="shared" ca="1" si="138"/>
        <v>0</v>
      </c>
      <c r="L169" s="6"/>
      <c r="M169" s="6"/>
      <c r="N169" s="6"/>
      <c r="O169" s="6"/>
      <c r="P169" s="6"/>
      <c r="Q169" s="6"/>
      <c r="R169" s="6"/>
      <c r="S169" s="68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9"/>
      <c r="I170" s="220"/>
      <c r="J170" s="220"/>
      <c r="K170" s="221"/>
      <c r="L170" s="221"/>
      <c r="M170" s="221"/>
      <c r="N170" s="221"/>
      <c r="O170" s="221"/>
      <c r="P170" s="222"/>
      <c r="Q170" s="221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226"/>
      <c r="I171" s="227"/>
      <c r="J171" s="227"/>
      <c r="K171" s="228"/>
      <c r="L171" s="228"/>
      <c r="M171" s="228"/>
      <c r="N171" s="228"/>
      <c r="O171" s="228"/>
      <c r="P171" s="228"/>
      <c r="Q171" s="228"/>
      <c r="R171" s="228"/>
      <c r="S171" s="229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233" t="s">
        <v>35</v>
      </c>
      <c r="I172" s="234">
        <f t="shared" ref="I172:J172" ca="1" si="140">I183+I184</f>
        <v>211</v>
      </c>
      <c r="J172" s="234">
        <f t="shared" ca="1" si="140"/>
        <v>141</v>
      </c>
      <c r="K172" s="235">
        <f ca="1">IF(I172&gt;0,J172*100/I172,0)</f>
        <v>66.824644549763036</v>
      </c>
      <c r="L172" s="236"/>
      <c r="M172" s="236"/>
      <c r="N172" s="236"/>
      <c r="O172" s="236"/>
      <c r="P172" s="236"/>
      <c r="Q172" s="236"/>
      <c r="R172" s="236"/>
      <c r="S172" s="237"/>
      <c r="T172" s="236"/>
      <c r="U172" s="236"/>
    </row>
    <row r="173" spans="1:21" ht="19.5">
      <c r="A173" s="155"/>
      <c r="B173" s="50"/>
      <c r="C173" s="156" t="s">
        <v>18</v>
      </c>
      <c r="D173" s="157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159">
        <f t="shared" ref="L173:N173" ca="1" si="141">L174+L175</f>
        <v>393170</v>
      </c>
      <c r="M173" s="159">
        <f t="shared" ca="1" si="141"/>
        <v>703220</v>
      </c>
      <c r="N173" s="159">
        <f t="shared" ca="1" si="141"/>
        <v>660955.19999999995</v>
      </c>
      <c r="O173" s="159">
        <f t="shared" ref="O173:O181" ca="1" si="142">IF(L173&gt;0,N173*100/L173,0)</f>
        <v>168.10926571203294</v>
      </c>
      <c r="P173" s="159">
        <f t="shared" ref="P173:P181" ca="1" si="143">IF(M173&gt;0,N173*100/M173,0)</f>
        <v>93.989818264554472</v>
      </c>
      <c r="Q173" s="159">
        <f t="shared" ref="Q173:S173" ca="1" si="144">Q174+Q175</f>
        <v>0</v>
      </c>
      <c r="R173" s="159">
        <f t="shared" ca="1" si="144"/>
        <v>0</v>
      </c>
      <c r="S173" s="160">
        <f t="shared" ca="1" si="144"/>
        <v>0</v>
      </c>
      <c r="T173" s="159">
        <f t="shared" ref="T173:T181" ca="1" si="145">IF(Q173&gt;0,S173*100/Q173,0)</f>
        <v>0</v>
      </c>
      <c r="U173" s="159">
        <f t="shared" ref="U173:U181" ca="1" si="146">IF(R173&gt;0,S173*100/R173,0)</f>
        <v>0</v>
      </c>
    </row>
    <row r="174" spans="1:21" ht="18.75">
      <c r="A174" s="155"/>
      <c r="B174" s="50"/>
      <c r="C174" s="50"/>
      <c r="D174" s="50"/>
      <c r="E174" s="58" t="s">
        <v>20</v>
      </c>
      <c r="F174" s="50"/>
      <c r="G174" s="52"/>
      <c r="H174" s="161" t="s">
        <v>14</v>
      </c>
      <c r="I174" s="54"/>
      <c r="J174" s="54"/>
      <c r="K174" s="55"/>
      <c r="L174" s="56">
        <f t="shared" ref="L174:N174" ca="1" si="147">L177+L180</f>
        <v>0</v>
      </c>
      <c r="M174" s="56">
        <f t="shared" ca="1" si="147"/>
        <v>0</v>
      </c>
      <c r="N174" s="56">
        <f t="shared" ca="1" si="147"/>
        <v>0</v>
      </c>
      <c r="O174" s="56">
        <f t="shared" ca="1" si="142"/>
        <v>0</v>
      </c>
      <c r="P174" s="56">
        <f t="shared" ca="1" si="143"/>
        <v>0</v>
      </c>
      <c r="Q174" s="56">
        <f t="shared" ref="Q174:S174" ca="1" si="148">Q177+Q180</f>
        <v>0</v>
      </c>
      <c r="R174" s="56">
        <f t="shared" ca="1" si="148"/>
        <v>0</v>
      </c>
      <c r="S174" s="57">
        <f t="shared" ca="1" si="148"/>
        <v>0</v>
      </c>
      <c r="T174" s="59">
        <f t="shared" ca="1" si="145"/>
        <v>0</v>
      </c>
      <c r="U174" s="59">
        <f t="shared" ca="1" si="146"/>
        <v>0</v>
      </c>
    </row>
    <row r="175" spans="1:21" ht="18.75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56">
        <f t="shared" ref="L175:N175" ca="1" si="149">L178+L181</f>
        <v>393170</v>
      </c>
      <c r="M175" s="56">
        <f t="shared" ca="1" si="149"/>
        <v>703220</v>
      </c>
      <c r="N175" s="56">
        <f t="shared" ca="1" si="149"/>
        <v>660955.19999999995</v>
      </c>
      <c r="O175" s="56">
        <f t="shared" ca="1" si="142"/>
        <v>168.10926571203294</v>
      </c>
      <c r="P175" s="56">
        <f t="shared" ca="1" si="143"/>
        <v>93.989818264554472</v>
      </c>
      <c r="Q175" s="56">
        <f t="shared" ref="Q175:S175" ca="1" si="150">Q178+Q181</f>
        <v>0</v>
      </c>
      <c r="R175" s="56">
        <f t="shared" ca="1" si="150"/>
        <v>0</v>
      </c>
      <c r="S175" s="57">
        <f t="shared" ca="1" si="150"/>
        <v>0</v>
      </c>
      <c r="T175" s="56">
        <f t="shared" ca="1" si="145"/>
        <v>0</v>
      </c>
      <c r="U175" s="56">
        <f t="shared" ca="1" si="146"/>
        <v>0</v>
      </c>
    </row>
    <row r="176" spans="1:21" ht="18.75">
      <c r="A176" s="155"/>
      <c r="B176" s="50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56">
        <f t="shared" ref="L176:N176" ca="1" si="151">L177+L178</f>
        <v>393170</v>
      </c>
      <c r="M176" s="56">
        <f t="shared" ca="1" si="151"/>
        <v>703220</v>
      </c>
      <c r="N176" s="56">
        <f t="shared" ca="1" si="151"/>
        <v>660955.19999999995</v>
      </c>
      <c r="O176" s="56">
        <f t="shared" ca="1" si="142"/>
        <v>168.10926571203294</v>
      </c>
      <c r="P176" s="56">
        <f t="shared" ca="1" si="143"/>
        <v>93.989818264554472</v>
      </c>
      <c r="Q176" s="56">
        <f t="shared" ref="Q176:S176" ca="1" si="152">Q177+Q178</f>
        <v>0</v>
      </c>
      <c r="R176" s="56">
        <f t="shared" ca="1" si="152"/>
        <v>0</v>
      </c>
      <c r="S176" s="57">
        <f t="shared" ca="1" si="152"/>
        <v>0</v>
      </c>
      <c r="T176" s="56">
        <f t="shared" ca="1" si="145"/>
        <v>0</v>
      </c>
      <c r="U176" s="56">
        <f t="shared" ca="1" si="146"/>
        <v>0</v>
      </c>
    </row>
    <row r="177" spans="1:21" ht="18.75">
      <c r="A177" s="155"/>
      <c r="B177" s="50"/>
      <c r="C177" s="50"/>
      <c r="D177" s="50"/>
      <c r="E177" s="58" t="s">
        <v>36</v>
      </c>
      <c r="F177" s="50"/>
      <c r="G177" s="52"/>
      <c r="H177" s="162" t="s">
        <v>14</v>
      </c>
      <c r="I177" s="163"/>
      <c r="J177" s="163"/>
      <c r="K177" s="164"/>
      <c r="L177" s="56">
        <f ca="1">IFERROR(__xludf.DUMMYFUNCTION("IMPORTRANGE(""https://docs.google.com/spreadsheets/d/1yhBcrRPreicbMKl9Bu_Snb2-OcQAF62RKfhTLhJ2eAA/edit?usp=sharing"",""กาฬสินธุ์!L177"")+IMPORTRANGE(""https://docs.google.com/spreadsheets/d/1aHkj4IaQMThhwWwevcOymEh837vdxeC_PycurhTbGFA/edit?usp=sharing"","&amp;"""ขอนแก่น!L177"")+IMPORTRANGE(""https://docs.google.com/spreadsheets/d/1FvTu2DsIWUjP6WCWra38Bkj_oOl_sOMf14r5Fg5srxU/edit?usp=sharing"",""ชัยภูมิ!L177"")+IMPORTRANGE(""https://docs.google.com/spreadsheets/d/1XVB7oCJ3pr-vBUdflwPQ8Z2LlzhnCvZaaYjAfP-647E/edit"&amp;"?usp=sharing"",""นครพนม!L177"")+IMPORTRANGE(""https://docs.google.com/spreadsheets/d/1Mnpb-8PYAgn85W6KOTD40hc_Xc55CaLfHoGAbrZ8tls/edit?usp=sharing"",""นครราชสีมา!L177"")+IMPORTRANGE(""https://docs.google.com/spreadsheets/d/1xoDLGBv9CYbyosIhki0kTq6IpYNj-gp"&amp;"jxfobnaDiut0/edit?usp=sharing"",""บึงกาฬ!L177"")+IMPORTRANGE(""https://docs.google.com/spreadsheets/d/1MMPq-JyI6DSgQETxuSiXkesP-P7JHuemnE6QJIa-Nlw/edit?usp=sharing"",""บุรีรัมย์!L177"")+IMPORTRANGE(""https://docs.google.com/spreadsheets/d/1l6IZ8xUPgMrESzc"&amp;"TYwhA1k_tPjeQjJPTqlm8Gd9eU5g/edit?usp=sharing"",""มหาสารคาม!L177"")+IMPORTRANGE(""https://docs.google.com/spreadsheets/d/1uB74YLqNjWX6FObjekfB2NtSYigTQyR2rq9u4Ub2Sq4/edit?usp=sharing"",""มุกดาหาร!L177"")+IMPORTRANGE(""https://docs.google.com/spreadsheets/"&amp;"d/1NexK3geCPxCTO1fzNF8dPec7yZyUx3OaWkFBC9HsQOo/edit?usp=sharing"",""ยโสธร!L177"")+IMPORTRANGE(""https://docs.google.com/spreadsheets/d/1v_cJrbBlyqmnHPReHk44g9NrMRdENNlSy_E_c5M9fIg/edit?usp=sharing"",""ร้อยเอ็ด!L177"")+IMPORTRANGE(""https://docs.google.com"&amp;"/spreadsheets/d/1Ul4RCpCX66NxYADU1QpwAPjOmBzW64SsT11s1wzXw_c/edit?usp=sharing"",""เลย!L177"")+IMPORTRANGE(""https://docs.google.com/spreadsheets/d/1bRrNKwbHDVktQG10isr5vbWRtt5spIZPpkOSWgbT5ug/edit?usp=sharing"",""ศรีสะเกษ!L177"")+IMPORTRANGE(""https://doc"&amp;"s.google.com/spreadsheets/d/17P34_Ow5kFBfdQD0qspb2UuPX5zpi6WMrQzslghyvrI/edit?usp=sharing"",""สกลนคร!L177"")+IMPORTRANGE(""https://docs.google.com/spreadsheets/d/1yswqbM3-AEpThF3ZSUa1AcmHnmRTF1vlJ1CZGcJ8YuU/edit?usp=sharing"",""สุรินทร์!L177"")+IMPORTRANG"&amp;"E(""https://docs.google.com/spreadsheets/d/13JHU_EFbsQOUQ0JSQ3dWy1VTRosIWcDq6Nc99z2qzdc/edit?usp=sharing"",""หนองคาย!L177"")+IMPORTRANGE(""https://docs.google.com/spreadsheets/d/1Hx73zIEgVdDZZaYSTc46Dqv64atFhpr3GelxLbaIN8A/edit?usp=sharing"",""หนองบัวลำภู"&amp;"!L177"")+IMPORTRANGE(""https://docs.google.com/spreadsheets/d/1lFxr3ctmjFN90yc-xV6jrQ9Ty8BKYVBWnAZ15wcNIJc/edit?usp=sharing"",""อำนาจเจริญ!L177"")+IMPORTRANGE(""https://docs.google.com/spreadsheets/d/1gF7RJpRnL-1oyjyeWxs5SFWEH7y8ahOZsQlyp2A2e-A/edit?usp=s"&amp;"haring"",""อุดรธานี!L177"")+IMPORTRANGE(""https://docs.google.com/spreadsheets/d/1kfLP0j3INXRa8bTDpcEmoWewMBV61jlFlfzczfjWIgc/edit?usp=sharing"",""อุบลราชธานี!L177"")"),0)</f>
        <v>0</v>
      </c>
      <c r="M177" s="56">
        <f ca="1">IFERROR(__xludf.DUMMYFUNCTION("IMPORTRANGE(""https://docs.google.com/spreadsheets/d/1yhBcrRPreicbMKl9Bu_Snb2-OcQAF62RKfhTLhJ2eAA/edit?usp=sharing"",""กาฬสินธุ์!M177"")+IMPORTRANGE(""https://docs.google.com/spreadsheets/d/1aHkj4IaQMThhwWwevcOymEh837vdxeC_PycurhTbGFA/edit?usp=sharing"","&amp;"""ขอนแก่น!M177"")+IMPORTRANGE(""https://docs.google.com/spreadsheets/d/1FvTu2DsIWUjP6WCWra38Bkj_oOl_sOMf14r5Fg5srxU/edit?usp=sharing"",""ชัยภูมิ!M177"")+IMPORTRANGE(""https://docs.google.com/spreadsheets/d/1XVB7oCJ3pr-vBUdflwPQ8Z2LlzhnCvZaaYjAfP-647E/edit"&amp;"?usp=sharing"",""นครพนม!M177"")+IMPORTRANGE(""https://docs.google.com/spreadsheets/d/1Mnpb-8PYAgn85W6KOTD40hc_Xc55CaLfHoGAbrZ8tls/edit?usp=sharing"",""นครราชสีมา!M177"")+IMPORTRANGE(""https://docs.google.com/spreadsheets/d/1xoDLGBv9CYbyosIhki0kTq6IpYNj-gp"&amp;"jxfobnaDiut0/edit?usp=sharing"",""บึงกาฬ!M177"")+IMPORTRANGE(""https://docs.google.com/spreadsheets/d/1MMPq-JyI6DSgQETxuSiXkesP-P7JHuemnE6QJIa-Nlw/edit?usp=sharing"",""บุรีรัมย์!M177"")+IMPORTRANGE(""https://docs.google.com/spreadsheets/d/1l6IZ8xUPgMrESzc"&amp;"TYwhA1k_tPjeQjJPTqlm8Gd9eU5g/edit?usp=sharing"",""มหาสารคาม!M177"")+IMPORTRANGE(""https://docs.google.com/spreadsheets/d/1uB74YLqNjWX6FObjekfB2NtSYigTQyR2rq9u4Ub2Sq4/edit?usp=sharing"",""มุกดาหาร!M177"")+IMPORTRANGE(""https://docs.google.com/spreadsheets/"&amp;"d/1NexK3geCPxCTO1fzNF8dPec7yZyUx3OaWkFBC9HsQOo/edit?usp=sharing"",""ยโสธร!M177"")+IMPORTRANGE(""https://docs.google.com/spreadsheets/d/1v_cJrbBlyqmnHPReHk44g9NrMRdENNlSy_E_c5M9fIg/edit?usp=sharing"",""ร้อยเอ็ด!M177"")+IMPORTRANGE(""https://docs.google.com"&amp;"/spreadsheets/d/1Ul4RCpCX66NxYADU1QpwAPjOmBzW64SsT11s1wzXw_c/edit?usp=sharing"",""เลย!M177"")+IMPORTRANGE(""https://docs.google.com/spreadsheets/d/1bRrNKwbHDVktQG10isr5vbWRtt5spIZPpkOSWgbT5ug/edit?usp=sharing"",""ศรีสะเกษ!M177"")+IMPORTRANGE(""https://doc"&amp;"s.google.com/spreadsheets/d/17P34_Ow5kFBfdQD0qspb2UuPX5zpi6WMrQzslghyvrI/edit?usp=sharing"",""สกลนคร!M177"")+IMPORTRANGE(""https://docs.google.com/spreadsheets/d/1yswqbM3-AEpThF3ZSUa1AcmHnmRTF1vlJ1CZGcJ8YuU/edit?usp=sharing"",""สุรินทร์!M177"")+IMPORTRANG"&amp;"E(""https://docs.google.com/spreadsheets/d/13JHU_EFbsQOUQ0JSQ3dWy1VTRosIWcDq6Nc99z2qzdc/edit?usp=sharing"",""หนองคาย!M177"")+IMPORTRANGE(""https://docs.google.com/spreadsheets/d/1Hx73zIEgVdDZZaYSTc46Dqv64atFhpr3GelxLbaIN8A/edit?usp=sharing"",""หนองบัวลำภู"&amp;"!M177"")+IMPORTRANGE(""https://docs.google.com/spreadsheets/d/1lFxr3ctmjFN90yc-xV6jrQ9Ty8BKYVBWnAZ15wcNIJc/edit?usp=sharing"",""อำนาจเจริญ!M177"")+IMPORTRANGE(""https://docs.google.com/spreadsheets/d/1gF7RJpRnL-1oyjyeWxs5SFWEH7y8ahOZsQlyp2A2e-A/edit?usp=s"&amp;"haring"",""อุดรธานี!M177"")+IMPORTRANGE(""https://docs.google.com/spreadsheets/d/1kfLP0j3INXRa8bTDpcEmoWewMBV61jlFlfzczfjWIgc/edit?usp=sharing"",""อุบลราชธานี!M177"")"),0)</f>
        <v>0</v>
      </c>
      <c r="N177" s="56">
        <f ca="1">IFERROR(__xludf.DUMMYFUNCTION("IMPORTRANGE(""https://docs.google.com/spreadsheets/d/1yhBcrRPreicbMKl9Bu_Snb2-OcQAF62RKfhTLhJ2eAA/edit?usp=sharing"",""กาฬสินธุ์!N177"")+IMPORTRANGE(""https://docs.google.com/spreadsheets/d/1aHkj4IaQMThhwWwevcOymEh837vdxeC_PycurhTbGFA/edit?usp=sharing"","&amp;"""ขอนแก่น!N177"")+IMPORTRANGE(""https://docs.google.com/spreadsheets/d/1FvTu2DsIWUjP6WCWra38Bkj_oOl_sOMf14r5Fg5srxU/edit?usp=sharing"",""ชัยภูมิ!N177"")+IMPORTRANGE(""https://docs.google.com/spreadsheets/d/1XVB7oCJ3pr-vBUdflwPQ8Z2LlzhnCvZaaYjAfP-647E/edit"&amp;"?usp=sharing"",""นครพนม!N177"")+IMPORTRANGE(""https://docs.google.com/spreadsheets/d/1Mnpb-8PYAgn85W6KOTD40hc_Xc55CaLfHoGAbrZ8tls/edit?usp=sharing"",""นครราชสีมา!N177"")+IMPORTRANGE(""https://docs.google.com/spreadsheets/d/1xoDLGBv9CYbyosIhki0kTq6IpYNj-gp"&amp;"jxfobnaDiut0/edit?usp=sharing"",""บึงกาฬ!N177"")+IMPORTRANGE(""https://docs.google.com/spreadsheets/d/1MMPq-JyI6DSgQETxuSiXkesP-P7JHuemnE6QJIa-Nlw/edit?usp=sharing"",""บุรีรัมย์!N177"")+IMPORTRANGE(""https://docs.google.com/spreadsheets/d/1l6IZ8xUPgMrESzc"&amp;"TYwhA1k_tPjeQjJPTqlm8Gd9eU5g/edit?usp=sharing"",""มหาสารคาม!N177"")+IMPORTRANGE(""https://docs.google.com/spreadsheets/d/1uB74YLqNjWX6FObjekfB2NtSYigTQyR2rq9u4Ub2Sq4/edit?usp=sharing"",""มุกดาหาร!N177"")+IMPORTRANGE(""https://docs.google.com/spreadsheets/"&amp;"d/1NexK3geCPxCTO1fzNF8dPec7yZyUx3OaWkFBC9HsQOo/edit?usp=sharing"",""ยโสธร!N177"")+IMPORTRANGE(""https://docs.google.com/spreadsheets/d/1v_cJrbBlyqmnHPReHk44g9NrMRdENNlSy_E_c5M9fIg/edit?usp=sharing"",""ร้อยเอ็ด!N177"")+IMPORTRANGE(""https://docs.google.com"&amp;"/spreadsheets/d/1Ul4RCpCX66NxYADU1QpwAPjOmBzW64SsT11s1wzXw_c/edit?usp=sharing"",""เลย!N177"")+IMPORTRANGE(""https://docs.google.com/spreadsheets/d/1bRrNKwbHDVktQG10isr5vbWRtt5spIZPpkOSWgbT5ug/edit?usp=sharing"",""ศรีสะเกษ!N177"")+IMPORTRANGE(""https://doc"&amp;"s.google.com/spreadsheets/d/17P34_Ow5kFBfdQD0qspb2UuPX5zpi6WMrQzslghyvrI/edit?usp=sharing"",""สกลนคร!N177"")+IMPORTRANGE(""https://docs.google.com/spreadsheets/d/1yswqbM3-AEpThF3ZSUa1AcmHnmRTF1vlJ1CZGcJ8YuU/edit?usp=sharing"",""สุรินทร์!N177"")+IMPORTRANG"&amp;"E(""https://docs.google.com/spreadsheets/d/13JHU_EFbsQOUQ0JSQ3dWy1VTRosIWcDq6Nc99z2qzdc/edit?usp=sharing"",""หนองคาย!N177"")+IMPORTRANGE(""https://docs.google.com/spreadsheets/d/1Hx73zIEgVdDZZaYSTc46Dqv64atFhpr3GelxLbaIN8A/edit?usp=sharing"",""หนองบัวลำภู"&amp;"!N177"")+IMPORTRANGE(""https://docs.google.com/spreadsheets/d/1lFxr3ctmjFN90yc-xV6jrQ9Ty8BKYVBWnAZ15wcNIJc/edit?usp=sharing"",""อำนาจเจริญ!N177"")+IMPORTRANGE(""https://docs.google.com/spreadsheets/d/1gF7RJpRnL-1oyjyeWxs5SFWEH7y8ahOZsQlyp2A2e-A/edit?usp=s"&amp;"haring"",""อุดรธานี!N177"")+IMPORTRANGE(""https://docs.google.com/spreadsheets/d/1kfLP0j3INXRa8bTDpcEmoWewMBV61jlFlfzczfjWIgc/edit?usp=sharing"",""อุบลราชธานี!N177"")"),0)</f>
        <v>0</v>
      </c>
      <c r="O177" s="56">
        <f t="shared" ca="1" si="142"/>
        <v>0</v>
      </c>
      <c r="P177" s="56">
        <f t="shared" ca="1" si="143"/>
        <v>0</v>
      </c>
      <c r="Q177" s="56">
        <f ca="1">IFERROR(__xludf.DUMMYFUNCTION("IMPORTRANGE(""https://docs.google.com/spreadsheets/d/1yhBcrRPreicbMKl9Bu_Snb2-OcQAF62RKfhTLhJ2eAA/edit?usp=sharing"",""กาฬสินธุ์!Q177"")+IMPORTRANGE(""https://docs.google.com/spreadsheets/d/1aHkj4IaQMThhwWwevcOymEh837vdxeC_PycurhTbGFA/edit?usp=sharing"","&amp;"""ขอนแก่น!Q177"")+IMPORTRANGE(""https://docs.google.com/spreadsheets/d/1FvTu2DsIWUjP6WCWra38Bkj_oOl_sOMf14r5Fg5srxU/edit?usp=sharing"",""ชัยภูมิ!Q177"")+IMPORTRANGE(""https://docs.google.com/spreadsheets/d/1XVB7oCJ3pr-vBUdflwPQ8Z2LlzhnCvZaaYjAfP-647E/edit"&amp;"?usp=sharing"",""นครพนม!Q177"")+IMPORTRANGE(""https://docs.google.com/spreadsheets/d/1Mnpb-8PYAgn85W6KOTD40hc_Xc55CaLfHoGAbrZ8tls/edit?usp=sharing"",""นครราชสีมา!Q177"")+IMPORTRANGE(""https://docs.google.com/spreadsheets/d/1xoDLGBv9CYbyosIhki0kTq6IpYNj-gp"&amp;"jxfobnaDiut0/edit?usp=sharing"",""บึงกาฬ!Q177"")+IMPORTRANGE(""https://docs.google.com/spreadsheets/d/1MMPq-JyI6DSgQETxuSiXkesP-P7JHuemnE6QJIa-Nlw/edit?usp=sharing"",""บุรีรัมย์!Q177"")+IMPORTRANGE(""https://docs.google.com/spreadsheets/d/1l6IZ8xUPgMrESzc"&amp;"TYwhA1k_tPjeQjJPTqlm8Gd9eU5g/edit?usp=sharing"",""มหาสารคาม!Q177"")+IMPORTRANGE(""https://docs.google.com/spreadsheets/d/1uB74YLqNjWX6FObjekfB2NtSYigTQyR2rq9u4Ub2Sq4/edit?usp=sharing"",""มุกดาหาร!Q177"")+IMPORTRANGE(""https://docs.google.com/spreadsheets/"&amp;"d/1NexK3geCPxCTO1fzNF8dPec7yZyUx3OaWkFBC9HsQOo/edit?usp=sharing"",""ยโสธร!Q177"")+IMPORTRANGE(""https://docs.google.com/spreadsheets/d/1v_cJrbBlyqmnHPReHk44g9NrMRdENNlSy_E_c5M9fIg/edit?usp=sharing"",""ร้อยเอ็ด!Q177"")+IMPORTRANGE(""https://docs.google.com"&amp;"/spreadsheets/d/1Ul4RCpCX66NxYADU1QpwAPjOmBzW64SsT11s1wzXw_c/edit?usp=sharing"",""เลย!Q177"")+IMPORTRANGE(""https://docs.google.com/spreadsheets/d/1bRrNKwbHDVktQG10isr5vbWRtt5spIZPpkOSWgbT5ug/edit?usp=sharing"",""ศรีสะเกษ!Q177"")+IMPORTRANGE(""https://doc"&amp;"s.google.com/spreadsheets/d/17P34_Ow5kFBfdQD0qspb2UuPX5zpi6WMrQzslghyvrI/edit?usp=sharing"",""สกลนคร!Q177"")+IMPORTRANGE(""https://docs.google.com/spreadsheets/d/1yswqbM3-AEpThF3ZSUa1AcmHnmRTF1vlJ1CZGcJ8YuU/edit?usp=sharing"",""สุรินทร์!Q177"")+IMPORTRANG"&amp;"E(""https://docs.google.com/spreadsheets/d/13JHU_EFbsQOUQ0JSQ3dWy1VTRosIWcDq6Nc99z2qzdc/edit?usp=sharing"",""หนองคาย!Q177"")+IMPORTRANGE(""https://docs.google.com/spreadsheets/d/1Hx73zIEgVdDZZaYSTc46Dqv64atFhpr3GelxLbaIN8A/edit?usp=sharing"",""หนองบัวลำภู"&amp;"!Q177"")+IMPORTRANGE(""https://docs.google.com/spreadsheets/d/1lFxr3ctmjFN90yc-xV6jrQ9Ty8BKYVBWnAZ15wcNIJc/edit?usp=sharing"",""อำนาจเจริญ!Q177"")+IMPORTRANGE(""https://docs.google.com/spreadsheets/d/1gF7RJpRnL-1oyjyeWxs5SFWEH7y8ahOZsQlyp2A2e-A/edit?usp=s"&amp;"haring"",""อุดรธานี!Q177"")+IMPORTRANGE(""https://docs.google.com/spreadsheets/d/1kfLP0j3INXRa8bTDpcEmoWewMBV61jlFlfzczfjWIgc/edit?usp=sharing"",""อุบลราชธานี!Q177"")"),0)</f>
        <v>0</v>
      </c>
      <c r="R177" s="56">
        <f ca="1">IFERROR(__xludf.DUMMYFUNCTION("IMPORTRANGE(""https://docs.google.com/spreadsheets/d/1yhBcrRPreicbMKl9Bu_Snb2-OcQAF62RKfhTLhJ2eAA/edit?usp=sharing"",""กาฬสินธุ์!R177"")+IMPORTRANGE(""https://docs.google.com/spreadsheets/d/1aHkj4IaQMThhwWwevcOymEh837vdxeC_PycurhTbGFA/edit?usp=sharing"","&amp;"""ขอนแก่น!R177"")+IMPORTRANGE(""https://docs.google.com/spreadsheets/d/1FvTu2DsIWUjP6WCWra38Bkj_oOl_sOMf14r5Fg5srxU/edit?usp=sharing"",""ชัยภูมิ!R177"")+IMPORTRANGE(""https://docs.google.com/spreadsheets/d/1XVB7oCJ3pr-vBUdflwPQ8Z2LlzhnCvZaaYjAfP-647E/edit"&amp;"?usp=sharing"",""นครพนม!R177"")+IMPORTRANGE(""https://docs.google.com/spreadsheets/d/1Mnpb-8PYAgn85W6KOTD40hc_Xc55CaLfHoGAbrZ8tls/edit?usp=sharing"",""นครราชสีมา!R177"")+IMPORTRANGE(""https://docs.google.com/spreadsheets/d/1xoDLGBv9CYbyosIhki0kTq6IpYNj-gp"&amp;"jxfobnaDiut0/edit?usp=sharing"",""บึงกาฬ!R177"")+IMPORTRANGE(""https://docs.google.com/spreadsheets/d/1MMPq-JyI6DSgQETxuSiXkesP-P7JHuemnE6QJIa-Nlw/edit?usp=sharing"",""บุรีรัมย์!R177"")+IMPORTRANGE(""https://docs.google.com/spreadsheets/d/1l6IZ8xUPgMrESzc"&amp;"TYwhA1k_tPjeQjJPTqlm8Gd9eU5g/edit?usp=sharing"",""มหาสารคาม!R177"")+IMPORTRANGE(""https://docs.google.com/spreadsheets/d/1uB74YLqNjWX6FObjekfB2NtSYigTQyR2rq9u4Ub2Sq4/edit?usp=sharing"",""มุกดาหาร!R177"")+IMPORTRANGE(""https://docs.google.com/spreadsheets/"&amp;"d/1NexK3geCPxCTO1fzNF8dPec7yZyUx3OaWkFBC9HsQOo/edit?usp=sharing"",""ยโสธร!R177"")+IMPORTRANGE(""https://docs.google.com/spreadsheets/d/1v_cJrbBlyqmnHPReHk44g9NrMRdENNlSy_E_c5M9fIg/edit?usp=sharing"",""ร้อยเอ็ด!R177"")+IMPORTRANGE(""https://docs.google.com"&amp;"/spreadsheets/d/1Ul4RCpCX66NxYADU1QpwAPjOmBzW64SsT11s1wzXw_c/edit?usp=sharing"",""เลย!R177"")+IMPORTRANGE(""https://docs.google.com/spreadsheets/d/1bRrNKwbHDVktQG10isr5vbWRtt5spIZPpkOSWgbT5ug/edit?usp=sharing"",""ศรีสะเกษ!R177"")+IMPORTRANGE(""https://doc"&amp;"s.google.com/spreadsheets/d/17P34_Ow5kFBfdQD0qspb2UuPX5zpi6WMrQzslghyvrI/edit?usp=sharing"",""สกลนคร!R177"")+IMPORTRANGE(""https://docs.google.com/spreadsheets/d/1yswqbM3-AEpThF3ZSUa1AcmHnmRTF1vlJ1CZGcJ8YuU/edit?usp=sharing"",""สุรินทร์!R177"")+IMPORTRANG"&amp;"E(""https://docs.google.com/spreadsheets/d/13JHU_EFbsQOUQ0JSQ3dWy1VTRosIWcDq6Nc99z2qzdc/edit?usp=sharing"",""หนองคาย!R177"")+IMPORTRANGE(""https://docs.google.com/spreadsheets/d/1Hx73zIEgVdDZZaYSTc46Dqv64atFhpr3GelxLbaIN8A/edit?usp=sharing"",""หนองบัวลำภู"&amp;"!R177"")+IMPORTRANGE(""https://docs.google.com/spreadsheets/d/1lFxr3ctmjFN90yc-xV6jrQ9Ty8BKYVBWnAZ15wcNIJc/edit?usp=sharing"",""อำนาจเจริญ!R177"")+IMPORTRANGE(""https://docs.google.com/spreadsheets/d/1gF7RJpRnL-1oyjyeWxs5SFWEH7y8ahOZsQlyp2A2e-A/edit?usp=s"&amp;"haring"",""อุดรธานี!R177"")+IMPORTRANGE(""https://docs.google.com/spreadsheets/d/1kfLP0j3INXRa8bTDpcEmoWewMBV61jlFlfzczfjWIgc/edit?usp=sharing"",""อุบลราชธานี!R177"")"),0)</f>
        <v>0</v>
      </c>
      <c r="S177" s="57">
        <f ca="1">IFERROR(__xludf.DUMMYFUNCTION("IMPORTRANGE(""https://docs.google.com/spreadsheets/d/1yhBcrRPreicbMKl9Bu_Snb2-OcQAF62RKfhTLhJ2eAA/edit?usp=sharing"",""กาฬสินธุ์!S177"")+IMPORTRANGE(""https://docs.google.com/spreadsheets/d/1aHkj4IaQMThhwWwevcOymEh837vdxeC_PycurhTbGFA/edit?usp=sharing"","&amp;"""ขอนแก่น!S177"")+IMPORTRANGE(""https://docs.google.com/spreadsheets/d/1FvTu2DsIWUjP6WCWra38Bkj_oOl_sOMf14r5Fg5srxU/edit?usp=sharing"",""ชัยภูมิ!S177"")+IMPORTRANGE(""https://docs.google.com/spreadsheets/d/1XVB7oCJ3pr-vBUdflwPQ8Z2LlzhnCvZaaYjAfP-647E/edit"&amp;"?usp=sharing"",""นครพนม!S177"")+IMPORTRANGE(""https://docs.google.com/spreadsheets/d/1Mnpb-8PYAgn85W6KOTD40hc_Xc55CaLfHoGAbrZ8tls/edit?usp=sharing"",""นครราชสีมา!S177"")+IMPORTRANGE(""https://docs.google.com/spreadsheets/d/1xoDLGBv9CYbyosIhki0kTq6IpYNj-gp"&amp;"jxfobnaDiut0/edit?usp=sharing"",""บึงกาฬ!S177"")+IMPORTRANGE(""https://docs.google.com/spreadsheets/d/1MMPq-JyI6DSgQETxuSiXkesP-P7JHuemnE6QJIa-Nlw/edit?usp=sharing"",""บุรีรัมย์!S177"")+IMPORTRANGE(""https://docs.google.com/spreadsheets/d/1l6IZ8xUPgMrESzc"&amp;"TYwhA1k_tPjeQjJPTqlm8Gd9eU5g/edit?usp=sharing"",""มหาสารคาม!S177"")+IMPORTRANGE(""https://docs.google.com/spreadsheets/d/1uB74YLqNjWX6FObjekfB2NtSYigTQyR2rq9u4Ub2Sq4/edit?usp=sharing"",""มุกดาหาร!S177"")+IMPORTRANGE(""https://docs.google.com/spreadsheets/"&amp;"d/1NexK3geCPxCTO1fzNF8dPec7yZyUx3OaWkFBC9HsQOo/edit?usp=sharing"",""ยโสธร!S177"")+IMPORTRANGE(""https://docs.google.com/spreadsheets/d/1v_cJrbBlyqmnHPReHk44g9NrMRdENNlSy_E_c5M9fIg/edit?usp=sharing"",""ร้อยเอ็ด!S177"")+IMPORTRANGE(""https://docs.google.com"&amp;"/spreadsheets/d/1Ul4RCpCX66NxYADU1QpwAPjOmBzW64SsT11s1wzXw_c/edit?usp=sharing"",""เลย!S177"")+IMPORTRANGE(""https://docs.google.com/spreadsheets/d/1bRrNKwbHDVktQG10isr5vbWRtt5spIZPpkOSWgbT5ug/edit?usp=sharing"",""ศรีสะเกษ!S177"")+IMPORTRANGE(""https://doc"&amp;"s.google.com/spreadsheets/d/17P34_Ow5kFBfdQD0qspb2UuPX5zpi6WMrQzslghyvrI/edit?usp=sharing"",""สกลนคร!S177"")+IMPORTRANGE(""https://docs.google.com/spreadsheets/d/1yswqbM3-AEpThF3ZSUa1AcmHnmRTF1vlJ1CZGcJ8YuU/edit?usp=sharing"",""สุรินทร์!S177"")+IMPORTRANG"&amp;"E(""https://docs.google.com/spreadsheets/d/13JHU_EFbsQOUQ0JSQ3dWy1VTRosIWcDq6Nc99z2qzdc/edit?usp=sharing"",""หนองคาย!S177"")+IMPORTRANGE(""https://docs.google.com/spreadsheets/d/1Hx73zIEgVdDZZaYSTc46Dqv64atFhpr3GelxLbaIN8A/edit?usp=sharing"",""หนองบัวลำภู"&amp;"!S177"")+IMPORTRANGE(""https://docs.google.com/spreadsheets/d/1lFxr3ctmjFN90yc-xV6jrQ9Ty8BKYVBWnAZ15wcNIJc/edit?usp=sharing"",""อำนาจเจริญ!S177"")+IMPORTRANGE(""https://docs.google.com/spreadsheets/d/1gF7RJpRnL-1oyjyeWxs5SFWEH7y8ahOZsQlyp2A2e-A/edit?usp=s"&amp;"haring"",""อุดรธานี!S177"")+IMPORTRANGE(""https://docs.google.com/spreadsheets/d/1kfLP0j3INXRa8bTDpcEmoWewMBV61jlFlfzczfjWIgc/edit?usp=sharing"",""อุบลราชธานี!S177"")"),0)</f>
        <v>0</v>
      </c>
      <c r="T177" s="59">
        <f t="shared" ca="1" si="145"/>
        <v>0</v>
      </c>
      <c r="U177" s="59">
        <f t="shared" ca="1" si="146"/>
        <v>0</v>
      </c>
    </row>
    <row r="178" spans="1:21" ht="18.75">
      <c r="A178" s="155"/>
      <c r="B178" s="50"/>
      <c r="C178" s="50"/>
      <c r="D178" s="50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56">
        <f ca="1">IFERROR(__xludf.DUMMYFUNCTION("IMPORTRANGE(""https://docs.google.com/spreadsheets/d/1yhBcrRPreicbMKl9Bu_Snb2-OcQAF62RKfhTLhJ2eAA/edit?usp=sharing"",""กาฬสินธุ์!L178"")+IMPORTRANGE(""https://docs.google.com/spreadsheets/d/1aHkj4IaQMThhwWwevcOymEh837vdxeC_PycurhTbGFA/edit?usp=sharing"","&amp;"""ขอนแก่น!L178"")+IMPORTRANGE(""https://docs.google.com/spreadsheets/d/1FvTu2DsIWUjP6WCWra38Bkj_oOl_sOMf14r5Fg5srxU/edit?usp=sharing"",""ชัยภูมิ!L178"")+IMPORTRANGE(""https://docs.google.com/spreadsheets/d/1XVB7oCJ3pr-vBUdflwPQ8Z2LlzhnCvZaaYjAfP-647E/edit"&amp;"?usp=sharing"",""นครพนม!L178"")+IMPORTRANGE(""https://docs.google.com/spreadsheets/d/1Mnpb-8PYAgn85W6KOTD40hc_Xc55CaLfHoGAbrZ8tls/edit?usp=sharing"",""นครราชสีมา!L178"")+IMPORTRANGE(""https://docs.google.com/spreadsheets/d/1xoDLGBv9CYbyosIhki0kTq6IpYNj-gp"&amp;"jxfobnaDiut0/edit?usp=sharing"",""บึงกาฬ!L178"")+IMPORTRANGE(""https://docs.google.com/spreadsheets/d/1MMPq-JyI6DSgQETxuSiXkesP-P7JHuemnE6QJIa-Nlw/edit?usp=sharing"",""บุรีรัมย์!L178"")+IMPORTRANGE(""https://docs.google.com/spreadsheets/d/1l6IZ8xUPgMrESzc"&amp;"TYwhA1k_tPjeQjJPTqlm8Gd9eU5g/edit?usp=sharing"",""มหาสารคาม!L178"")+IMPORTRANGE(""https://docs.google.com/spreadsheets/d/1uB74YLqNjWX6FObjekfB2NtSYigTQyR2rq9u4Ub2Sq4/edit?usp=sharing"",""มุกดาหาร!L178"")+IMPORTRANGE(""https://docs.google.com/spreadsheets/"&amp;"d/1NexK3geCPxCTO1fzNF8dPec7yZyUx3OaWkFBC9HsQOo/edit?usp=sharing"",""ยโสธร!L178"")+IMPORTRANGE(""https://docs.google.com/spreadsheets/d/1v_cJrbBlyqmnHPReHk44g9NrMRdENNlSy_E_c5M9fIg/edit?usp=sharing"",""ร้อยเอ็ด!L178"")+IMPORTRANGE(""https://docs.google.com"&amp;"/spreadsheets/d/1Ul4RCpCX66NxYADU1QpwAPjOmBzW64SsT11s1wzXw_c/edit?usp=sharing"",""เลย!L178"")+IMPORTRANGE(""https://docs.google.com/spreadsheets/d/1bRrNKwbHDVktQG10isr5vbWRtt5spIZPpkOSWgbT5ug/edit?usp=sharing"",""ศรีสะเกษ!L178"")+IMPORTRANGE(""https://doc"&amp;"s.google.com/spreadsheets/d/17P34_Ow5kFBfdQD0qspb2UuPX5zpi6WMrQzslghyvrI/edit?usp=sharing"",""สกลนคร!L178"")+IMPORTRANGE(""https://docs.google.com/spreadsheets/d/1yswqbM3-AEpThF3ZSUa1AcmHnmRTF1vlJ1CZGcJ8YuU/edit?usp=sharing"",""สุรินทร์!L178"")+IMPORTRANG"&amp;"E(""https://docs.google.com/spreadsheets/d/13JHU_EFbsQOUQ0JSQ3dWy1VTRosIWcDq6Nc99z2qzdc/edit?usp=sharing"",""หนองคาย!L178"")+IMPORTRANGE(""https://docs.google.com/spreadsheets/d/1Hx73zIEgVdDZZaYSTc46Dqv64atFhpr3GelxLbaIN8A/edit?usp=sharing"",""หนองบัวลำภู"&amp;"!L178"")+IMPORTRANGE(""https://docs.google.com/spreadsheets/d/1lFxr3ctmjFN90yc-xV6jrQ9Ty8BKYVBWnAZ15wcNIJc/edit?usp=sharing"",""อำนาจเจริญ!L178"")+IMPORTRANGE(""https://docs.google.com/spreadsheets/d/1gF7RJpRnL-1oyjyeWxs5SFWEH7y8ahOZsQlyp2A2e-A/edit?usp=s"&amp;"haring"",""อุดรธานี!L178"")+IMPORTRANGE(""https://docs.google.com/spreadsheets/d/1kfLP0j3INXRa8bTDpcEmoWewMBV61jlFlfzczfjWIgc/edit?usp=sharing"",""อุบลราชธานี!L178"")"),393170)</f>
        <v>393170</v>
      </c>
      <c r="M178" s="56">
        <f ca="1">IFERROR(__xludf.DUMMYFUNCTION("IMPORTRANGE(""https://docs.google.com/spreadsheets/d/1yhBcrRPreicbMKl9Bu_Snb2-OcQAF62RKfhTLhJ2eAA/edit?usp=sharing"",""กาฬสินธุ์!M178"")+IMPORTRANGE(""https://docs.google.com/spreadsheets/d/1aHkj4IaQMThhwWwevcOymEh837vdxeC_PycurhTbGFA/edit?usp=sharing"","&amp;"""ขอนแก่น!M178"")+IMPORTRANGE(""https://docs.google.com/spreadsheets/d/1FvTu2DsIWUjP6WCWra38Bkj_oOl_sOMf14r5Fg5srxU/edit?usp=sharing"",""ชัยภูมิ!M178"")+IMPORTRANGE(""https://docs.google.com/spreadsheets/d/1XVB7oCJ3pr-vBUdflwPQ8Z2LlzhnCvZaaYjAfP-647E/edit"&amp;"?usp=sharing"",""นครพนม!M178"")+IMPORTRANGE(""https://docs.google.com/spreadsheets/d/1Mnpb-8PYAgn85W6KOTD40hc_Xc55CaLfHoGAbrZ8tls/edit?usp=sharing"",""นครราชสีมา!M178"")+IMPORTRANGE(""https://docs.google.com/spreadsheets/d/1xoDLGBv9CYbyosIhki0kTq6IpYNj-gp"&amp;"jxfobnaDiut0/edit?usp=sharing"",""บึงกาฬ!M178"")+IMPORTRANGE(""https://docs.google.com/spreadsheets/d/1MMPq-JyI6DSgQETxuSiXkesP-P7JHuemnE6QJIa-Nlw/edit?usp=sharing"",""บุรีรัมย์!M178"")+IMPORTRANGE(""https://docs.google.com/spreadsheets/d/1l6IZ8xUPgMrESzc"&amp;"TYwhA1k_tPjeQjJPTqlm8Gd9eU5g/edit?usp=sharing"",""มหาสารคาม!M178"")+IMPORTRANGE(""https://docs.google.com/spreadsheets/d/1uB74YLqNjWX6FObjekfB2NtSYigTQyR2rq9u4Ub2Sq4/edit?usp=sharing"",""มุกดาหาร!M178"")+IMPORTRANGE(""https://docs.google.com/spreadsheets/"&amp;"d/1NexK3geCPxCTO1fzNF8dPec7yZyUx3OaWkFBC9HsQOo/edit?usp=sharing"",""ยโสธร!M178"")+IMPORTRANGE(""https://docs.google.com/spreadsheets/d/1v_cJrbBlyqmnHPReHk44g9NrMRdENNlSy_E_c5M9fIg/edit?usp=sharing"",""ร้อยเอ็ด!M178"")+IMPORTRANGE(""https://docs.google.com"&amp;"/spreadsheets/d/1Ul4RCpCX66NxYADU1QpwAPjOmBzW64SsT11s1wzXw_c/edit?usp=sharing"",""เลย!M178"")+IMPORTRANGE(""https://docs.google.com/spreadsheets/d/1bRrNKwbHDVktQG10isr5vbWRtt5spIZPpkOSWgbT5ug/edit?usp=sharing"",""ศรีสะเกษ!M178"")+IMPORTRANGE(""https://doc"&amp;"s.google.com/spreadsheets/d/17P34_Ow5kFBfdQD0qspb2UuPX5zpi6WMrQzslghyvrI/edit?usp=sharing"",""สกลนคร!M178"")+IMPORTRANGE(""https://docs.google.com/spreadsheets/d/1yswqbM3-AEpThF3ZSUa1AcmHnmRTF1vlJ1CZGcJ8YuU/edit?usp=sharing"",""สุรินทร์!M178"")+IMPORTRANG"&amp;"E(""https://docs.google.com/spreadsheets/d/13JHU_EFbsQOUQ0JSQ3dWy1VTRosIWcDq6Nc99z2qzdc/edit?usp=sharing"",""หนองคาย!M178"")+IMPORTRANGE(""https://docs.google.com/spreadsheets/d/1Hx73zIEgVdDZZaYSTc46Dqv64atFhpr3GelxLbaIN8A/edit?usp=sharing"",""หนองบัวลำภู"&amp;"!M178"")+IMPORTRANGE(""https://docs.google.com/spreadsheets/d/1lFxr3ctmjFN90yc-xV6jrQ9Ty8BKYVBWnAZ15wcNIJc/edit?usp=sharing"",""อำนาจเจริญ!M178"")+IMPORTRANGE(""https://docs.google.com/spreadsheets/d/1gF7RJpRnL-1oyjyeWxs5SFWEH7y8ahOZsQlyp2A2e-A/edit?usp=s"&amp;"haring"",""อุดรธานี!M178"")+IMPORTRANGE(""https://docs.google.com/spreadsheets/d/1kfLP0j3INXRa8bTDpcEmoWewMBV61jlFlfzczfjWIgc/edit?usp=sharing"",""อุบลราชธานี!M178"")"),703220)</f>
        <v>703220</v>
      </c>
      <c r="N178" s="56">
        <f ca="1">IFERROR(__xludf.DUMMYFUNCTION("IMPORTRANGE(""https://docs.google.com/spreadsheets/d/1yhBcrRPreicbMKl9Bu_Snb2-OcQAF62RKfhTLhJ2eAA/edit?usp=sharing"",""กาฬสินธุ์!N178"")+IMPORTRANGE(""https://docs.google.com/spreadsheets/d/1aHkj4IaQMThhwWwevcOymEh837vdxeC_PycurhTbGFA/edit?usp=sharing"","&amp;"""ขอนแก่น!N178"")+IMPORTRANGE(""https://docs.google.com/spreadsheets/d/1FvTu2DsIWUjP6WCWra38Bkj_oOl_sOMf14r5Fg5srxU/edit?usp=sharing"",""ชัยภูมิ!N178"")+IMPORTRANGE(""https://docs.google.com/spreadsheets/d/1XVB7oCJ3pr-vBUdflwPQ8Z2LlzhnCvZaaYjAfP-647E/edit"&amp;"?usp=sharing"",""นครพนม!N178"")+IMPORTRANGE(""https://docs.google.com/spreadsheets/d/1Mnpb-8PYAgn85W6KOTD40hc_Xc55CaLfHoGAbrZ8tls/edit?usp=sharing"",""นครราชสีมา!N178"")+IMPORTRANGE(""https://docs.google.com/spreadsheets/d/1xoDLGBv9CYbyosIhki0kTq6IpYNj-gp"&amp;"jxfobnaDiut0/edit?usp=sharing"",""บึงกาฬ!N178"")+IMPORTRANGE(""https://docs.google.com/spreadsheets/d/1MMPq-JyI6DSgQETxuSiXkesP-P7JHuemnE6QJIa-Nlw/edit?usp=sharing"",""บุรีรัมย์!N178"")+IMPORTRANGE(""https://docs.google.com/spreadsheets/d/1l6IZ8xUPgMrESzc"&amp;"TYwhA1k_tPjeQjJPTqlm8Gd9eU5g/edit?usp=sharing"",""มหาสารคาม!N178"")+IMPORTRANGE(""https://docs.google.com/spreadsheets/d/1uB74YLqNjWX6FObjekfB2NtSYigTQyR2rq9u4Ub2Sq4/edit?usp=sharing"",""มุกดาหาร!N178"")+IMPORTRANGE(""https://docs.google.com/spreadsheets/"&amp;"d/1NexK3geCPxCTO1fzNF8dPec7yZyUx3OaWkFBC9HsQOo/edit?usp=sharing"",""ยโสธร!N178"")+IMPORTRANGE(""https://docs.google.com/spreadsheets/d/1v_cJrbBlyqmnHPReHk44g9NrMRdENNlSy_E_c5M9fIg/edit?usp=sharing"",""ร้อยเอ็ด!N178"")+IMPORTRANGE(""https://docs.google.com"&amp;"/spreadsheets/d/1Ul4RCpCX66NxYADU1QpwAPjOmBzW64SsT11s1wzXw_c/edit?usp=sharing"",""เลย!N178"")+IMPORTRANGE(""https://docs.google.com/spreadsheets/d/1bRrNKwbHDVktQG10isr5vbWRtt5spIZPpkOSWgbT5ug/edit?usp=sharing"",""ศรีสะเกษ!N178"")+IMPORTRANGE(""https://doc"&amp;"s.google.com/spreadsheets/d/17P34_Ow5kFBfdQD0qspb2UuPX5zpi6WMrQzslghyvrI/edit?usp=sharing"",""สกลนคร!N178"")+IMPORTRANGE(""https://docs.google.com/spreadsheets/d/1yswqbM3-AEpThF3ZSUa1AcmHnmRTF1vlJ1CZGcJ8YuU/edit?usp=sharing"",""สุรินทร์!N178"")+IMPORTRANG"&amp;"E(""https://docs.google.com/spreadsheets/d/13JHU_EFbsQOUQ0JSQ3dWy1VTRosIWcDq6Nc99z2qzdc/edit?usp=sharing"",""หนองคาย!N178"")+IMPORTRANGE(""https://docs.google.com/spreadsheets/d/1Hx73zIEgVdDZZaYSTc46Dqv64atFhpr3GelxLbaIN8A/edit?usp=sharing"",""หนองบัวลำภู"&amp;"!N178"")+IMPORTRANGE(""https://docs.google.com/spreadsheets/d/1lFxr3ctmjFN90yc-xV6jrQ9Ty8BKYVBWnAZ15wcNIJc/edit?usp=sharing"",""อำนาจเจริญ!N178"")+IMPORTRANGE(""https://docs.google.com/spreadsheets/d/1gF7RJpRnL-1oyjyeWxs5SFWEH7y8ahOZsQlyp2A2e-A/edit?usp=s"&amp;"haring"",""อุดรธานี!N178"")+IMPORTRANGE(""https://docs.google.com/spreadsheets/d/1kfLP0j3INXRa8bTDpcEmoWewMBV61jlFlfzczfjWIgc/edit?usp=sharing"",""อุบลราชธานี!N178"")"),660955.2)</f>
        <v>660955.19999999995</v>
      </c>
      <c r="O178" s="56">
        <f t="shared" ca="1" si="142"/>
        <v>168.10926571203294</v>
      </c>
      <c r="P178" s="56">
        <f t="shared" ca="1" si="143"/>
        <v>93.989818264554472</v>
      </c>
      <c r="Q178" s="56">
        <f ca="1">IFERROR(__xludf.DUMMYFUNCTION("IMPORTRANGE(""https://docs.google.com/spreadsheets/d/1yhBcrRPreicbMKl9Bu_Snb2-OcQAF62RKfhTLhJ2eAA/edit?usp=sharing"",""กาฬสินธุ์!Q178"")+IMPORTRANGE(""https://docs.google.com/spreadsheets/d/1aHkj4IaQMThhwWwevcOymEh837vdxeC_PycurhTbGFA/edit?usp=sharing"","&amp;"""ขอนแก่น!Q178"")+IMPORTRANGE(""https://docs.google.com/spreadsheets/d/1FvTu2DsIWUjP6WCWra38Bkj_oOl_sOMf14r5Fg5srxU/edit?usp=sharing"",""ชัยภูมิ!Q178"")+IMPORTRANGE(""https://docs.google.com/spreadsheets/d/1XVB7oCJ3pr-vBUdflwPQ8Z2LlzhnCvZaaYjAfP-647E/edit"&amp;"?usp=sharing"",""นครพนม!Q178"")+IMPORTRANGE(""https://docs.google.com/spreadsheets/d/1Mnpb-8PYAgn85W6KOTD40hc_Xc55CaLfHoGAbrZ8tls/edit?usp=sharing"",""นครราชสีมา!Q178"")+IMPORTRANGE(""https://docs.google.com/spreadsheets/d/1xoDLGBv9CYbyosIhki0kTq6IpYNj-gp"&amp;"jxfobnaDiut0/edit?usp=sharing"",""บึงกาฬ!Q178"")+IMPORTRANGE(""https://docs.google.com/spreadsheets/d/1MMPq-JyI6DSgQETxuSiXkesP-P7JHuemnE6QJIa-Nlw/edit?usp=sharing"",""บุรีรัมย์!Q178"")+IMPORTRANGE(""https://docs.google.com/spreadsheets/d/1l6IZ8xUPgMrESzc"&amp;"TYwhA1k_tPjeQjJPTqlm8Gd9eU5g/edit?usp=sharing"",""มหาสารคาม!Q178"")+IMPORTRANGE(""https://docs.google.com/spreadsheets/d/1uB74YLqNjWX6FObjekfB2NtSYigTQyR2rq9u4Ub2Sq4/edit?usp=sharing"",""มุกดาหาร!Q178"")+IMPORTRANGE(""https://docs.google.com/spreadsheets/"&amp;"d/1NexK3geCPxCTO1fzNF8dPec7yZyUx3OaWkFBC9HsQOo/edit?usp=sharing"",""ยโสธร!Q178"")+IMPORTRANGE(""https://docs.google.com/spreadsheets/d/1v_cJrbBlyqmnHPReHk44g9NrMRdENNlSy_E_c5M9fIg/edit?usp=sharing"",""ร้อยเอ็ด!Q178"")+IMPORTRANGE(""https://docs.google.com"&amp;"/spreadsheets/d/1Ul4RCpCX66NxYADU1QpwAPjOmBzW64SsT11s1wzXw_c/edit?usp=sharing"",""เลย!Q178"")+IMPORTRANGE(""https://docs.google.com/spreadsheets/d/1bRrNKwbHDVktQG10isr5vbWRtt5spIZPpkOSWgbT5ug/edit?usp=sharing"",""ศรีสะเกษ!Q178"")+IMPORTRANGE(""https://doc"&amp;"s.google.com/spreadsheets/d/17P34_Ow5kFBfdQD0qspb2UuPX5zpi6WMrQzslghyvrI/edit?usp=sharing"",""สกลนคร!Q178"")+IMPORTRANGE(""https://docs.google.com/spreadsheets/d/1yswqbM3-AEpThF3ZSUa1AcmHnmRTF1vlJ1CZGcJ8YuU/edit?usp=sharing"",""สุรินทร์!Q178"")+IMPORTRANG"&amp;"E(""https://docs.google.com/spreadsheets/d/13JHU_EFbsQOUQ0JSQ3dWy1VTRosIWcDq6Nc99z2qzdc/edit?usp=sharing"",""หนองคาย!Q178"")+IMPORTRANGE(""https://docs.google.com/spreadsheets/d/1Hx73zIEgVdDZZaYSTc46Dqv64atFhpr3GelxLbaIN8A/edit?usp=sharing"",""หนองบัวลำภู"&amp;"!Q178"")+IMPORTRANGE(""https://docs.google.com/spreadsheets/d/1lFxr3ctmjFN90yc-xV6jrQ9Ty8BKYVBWnAZ15wcNIJc/edit?usp=sharing"",""อำนาจเจริญ!Q178"")+IMPORTRANGE(""https://docs.google.com/spreadsheets/d/1gF7RJpRnL-1oyjyeWxs5SFWEH7y8ahOZsQlyp2A2e-A/edit?usp=s"&amp;"haring"",""อุดรธานี!Q178"")+IMPORTRANGE(""https://docs.google.com/spreadsheets/d/1kfLP0j3INXRa8bTDpcEmoWewMBV61jlFlfzczfjWIgc/edit?usp=sharing"",""อุบลราชธานี!Q178"")"),0)</f>
        <v>0</v>
      </c>
      <c r="R178" s="56">
        <f ca="1">IFERROR(__xludf.DUMMYFUNCTION("IMPORTRANGE(""https://docs.google.com/spreadsheets/d/1yhBcrRPreicbMKl9Bu_Snb2-OcQAF62RKfhTLhJ2eAA/edit?usp=sharing"",""กาฬสินธุ์!R178"")+IMPORTRANGE(""https://docs.google.com/spreadsheets/d/1aHkj4IaQMThhwWwevcOymEh837vdxeC_PycurhTbGFA/edit?usp=sharing"","&amp;"""ขอนแก่น!R178"")+IMPORTRANGE(""https://docs.google.com/spreadsheets/d/1FvTu2DsIWUjP6WCWra38Bkj_oOl_sOMf14r5Fg5srxU/edit?usp=sharing"",""ชัยภูมิ!R178"")+IMPORTRANGE(""https://docs.google.com/spreadsheets/d/1XVB7oCJ3pr-vBUdflwPQ8Z2LlzhnCvZaaYjAfP-647E/edit"&amp;"?usp=sharing"",""นครพนม!R178"")+IMPORTRANGE(""https://docs.google.com/spreadsheets/d/1Mnpb-8PYAgn85W6KOTD40hc_Xc55CaLfHoGAbrZ8tls/edit?usp=sharing"",""นครราชสีมา!R178"")+IMPORTRANGE(""https://docs.google.com/spreadsheets/d/1xoDLGBv9CYbyosIhki0kTq6IpYNj-gp"&amp;"jxfobnaDiut0/edit?usp=sharing"",""บึงกาฬ!R178"")+IMPORTRANGE(""https://docs.google.com/spreadsheets/d/1MMPq-JyI6DSgQETxuSiXkesP-P7JHuemnE6QJIa-Nlw/edit?usp=sharing"",""บุรีรัมย์!R178"")+IMPORTRANGE(""https://docs.google.com/spreadsheets/d/1l6IZ8xUPgMrESzc"&amp;"TYwhA1k_tPjeQjJPTqlm8Gd9eU5g/edit?usp=sharing"",""มหาสารคาม!R178"")+IMPORTRANGE(""https://docs.google.com/spreadsheets/d/1uB74YLqNjWX6FObjekfB2NtSYigTQyR2rq9u4Ub2Sq4/edit?usp=sharing"",""มุกดาหาร!R178"")+IMPORTRANGE(""https://docs.google.com/spreadsheets/"&amp;"d/1NexK3geCPxCTO1fzNF8dPec7yZyUx3OaWkFBC9HsQOo/edit?usp=sharing"",""ยโสธร!R178"")+IMPORTRANGE(""https://docs.google.com/spreadsheets/d/1v_cJrbBlyqmnHPReHk44g9NrMRdENNlSy_E_c5M9fIg/edit?usp=sharing"",""ร้อยเอ็ด!R178"")+IMPORTRANGE(""https://docs.google.com"&amp;"/spreadsheets/d/1Ul4RCpCX66NxYADU1QpwAPjOmBzW64SsT11s1wzXw_c/edit?usp=sharing"",""เลย!R178"")+IMPORTRANGE(""https://docs.google.com/spreadsheets/d/1bRrNKwbHDVktQG10isr5vbWRtt5spIZPpkOSWgbT5ug/edit?usp=sharing"",""ศรีสะเกษ!R178"")+IMPORTRANGE(""https://doc"&amp;"s.google.com/spreadsheets/d/17P34_Ow5kFBfdQD0qspb2UuPX5zpi6WMrQzslghyvrI/edit?usp=sharing"",""สกลนคร!R178"")+IMPORTRANGE(""https://docs.google.com/spreadsheets/d/1yswqbM3-AEpThF3ZSUa1AcmHnmRTF1vlJ1CZGcJ8YuU/edit?usp=sharing"",""สุรินทร์!R178"")+IMPORTRANG"&amp;"E(""https://docs.google.com/spreadsheets/d/13JHU_EFbsQOUQ0JSQ3dWy1VTRosIWcDq6Nc99z2qzdc/edit?usp=sharing"",""หนองคาย!R178"")+IMPORTRANGE(""https://docs.google.com/spreadsheets/d/1Hx73zIEgVdDZZaYSTc46Dqv64atFhpr3GelxLbaIN8A/edit?usp=sharing"",""หนองบัวลำภู"&amp;"!R178"")+IMPORTRANGE(""https://docs.google.com/spreadsheets/d/1lFxr3ctmjFN90yc-xV6jrQ9Ty8BKYVBWnAZ15wcNIJc/edit?usp=sharing"",""อำนาจเจริญ!R178"")+IMPORTRANGE(""https://docs.google.com/spreadsheets/d/1gF7RJpRnL-1oyjyeWxs5SFWEH7y8ahOZsQlyp2A2e-A/edit?usp=s"&amp;"haring"",""อุดรธานี!R178"")+IMPORTRANGE(""https://docs.google.com/spreadsheets/d/1kfLP0j3INXRa8bTDpcEmoWewMBV61jlFlfzczfjWIgc/edit?usp=sharing"",""อุบลราชธานี!R178"")"),0)</f>
        <v>0</v>
      </c>
      <c r="S178" s="57">
        <f ca="1">IFERROR(__xludf.DUMMYFUNCTION("IMPORTRANGE(""https://docs.google.com/spreadsheets/d/1yhBcrRPreicbMKl9Bu_Snb2-OcQAF62RKfhTLhJ2eAA/edit?usp=sharing"",""กาฬสินธุ์!S178"")+IMPORTRANGE(""https://docs.google.com/spreadsheets/d/1aHkj4IaQMThhwWwevcOymEh837vdxeC_PycurhTbGFA/edit?usp=sharing"","&amp;"""ขอนแก่น!S178"")+IMPORTRANGE(""https://docs.google.com/spreadsheets/d/1FvTu2DsIWUjP6WCWra38Bkj_oOl_sOMf14r5Fg5srxU/edit?usp=sharing"",""ชัยภูมิ!S178"")+IMPORTRANGE(""https://docs.google.com/spreadsheets/d/1XVB7oCJ3pr-vBUdflwPQ8Z2LlzhnCvZaaYjAfP-647E/edit"&amp;"?usp=sharing"",""นครพนม!S178"")+IMPORTRANGE(""https://docs.google.com/spreadsheets/d/1Mnpb-8PYAgn85W6KOTD40hc_Xc55CaLfHoGAbrZ8tls/edit?usp=sharing"",""นครราชสีมา!S178"")+IMPORTRANGE(""https://docs.google.com/spreadsheets/d/1xoDLGBv9CYbyosIhki0kTq6IpYNj-gp"&amp;"jxfobnaDiut0/edit?usp=sharing"",""บึงกาฬ!S178"")+IMPORTRANGE(""https://docs.google.com/spreadsheets/d/1MMPq-JyI6DSgQETxuSiXkesP-P7JHuemnE6QJIa-Nlw/edit?usp=sharing"",""บุรีรัมย์!S178"")+IMPORTRANGE(""https://docs.google.com/spreadsheets/d/1l6IZ8xUPgMrESzc"&amp;"TYwhA1k_tPjeQjJPTqlm8Gd9eU5g/edit?usp=sharing"",""มหาสารคาม!S178"")+IMPORTRANGE(""https://docs.google.com/spreadsheets/d/1uB74YLqNjWX6FObjekfB2NtSYigTQyR2rq9u4Ub2Sq4/edit?usp=sharing"",""มุกดาหาร!S178"")+IMPORTRANGE(""https://docs.google.com/spreadsheets/"&amp;"d/1NexK3geCPxCTO1fzNF8dPec7yZyUx3OaWkFBC9HsQOo/edit?usp=sharing"",""ยโสธร!S178"")+IMPORTRANGE(""https://docs.google.com/spreadsheets/d/1v_cJrbBlyqmnHPReHk44g9NrMRdENNlSy_E_c5M9fIg/edit?usp=sharing"",""ร้อยเอ็ด!S178"")+IMPORTRANGE(""https://docs.google.com"&amp;"/spreadsheets/d/1Ul4RCpCX66NxYADU1QpwAPjOmBzW64SsT11s1wzXw_c/edit?usp=sharing"",""เลย!S178"")+IMPORTRANGE(""https://docs.google.com/spreadsheets/d/1bRrNKwbHDVktQG10isr5vbWRtt5spIZPpkOSWgbT5ug/edit?usp=sharing"",""ศรีสะเกษ!S178"")+IMPORTRANGE(""https://doc"&amp;"s.google.com/spreadsheets/d/17P34_Ow5kFBfdQD0qspb2UuPX5zpi6WMrQzslghyvrI/edit?usp=sharing"",""สกลนคร!S178"")+IMPORTRANGE(""https://docs.google.com/spreadsheets/d/1yswqbM3-AEpThF3ZSUa1AcmHnmRTF1vlJ1CZGcJ8YuU/edit?usp=sharing"",""สุรินทร์!S178"")+IMPORTRANG"&amp;"E(""https://docs.google.com/spreadsheets/d/13JHU_EFbsQOUQ0JSQ3dWy1VTRosIWcDq6Nc99z2qzdc/edit?usp=sharing"",""หนองคาย!S178"")+IMPORTRANGE(""https://docs.google.com/spreadsheets/d/1Hx73zIEgVdDZZaYSTc46Dqv64atFhpr3GelxLbaIN8A/edit?usp=sharing"",""หนองบัวลำภู"&amp;"!S178"")+IMPORTRANGE(""https://docs.google.com/spreadsheets/d/1lFxr3ctmjFN90yc-xV6jrQ9Ty8BKYVBWnAZ15wcNIJc/edit?usp=sharing"",""อำนาจเจริญ!S178"")+IMPORTRANGE(""https://docs.google.com/spreadsheets/d/1gF7RJpRnL-1oyjyeWxs5SFWEH7y8ahOZsQlyp2A2e-A/edit?usp=s"&amp;"haring"",""อุดรธานี!S178"")+IMPORTRANGE(""https://docs.google.com/spreadsheets/d/1kfLP0j3INXRa8bTDpcEmoWewMBV61jlFlfzczfjWIgc/edit?usp=sharing"",""อุบลราชธานี!S178"")"),0)</f>
        <v>0</v>
      </c>
      <c r="T178" s="56">
        <f t="shared" ca="1" si="145"/>
        <v>0</v>
      </c>
      <c r="U178" s="56">
        <f t="shared" ca="1" si="146"/>
        <v>0</v>
      </c>
    </row>
    <row r="179" spans="1:21" ht="18.75">
      <c r="A179" s="155"/>
      <c r="B179" s="50"/>
      <c r="C179" s="50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56">
        <f t="shared" ref="L179:N179" ca="1" si="153">L180+L181</f>
        <v>0</v>
      </c>
      <c r="M179" s="56">
        <f t="shared" ca="1" si="153"/>
        <v>0</v>
      </c>
      <c r="N179" s="56">
        <f t="shared" ca="1" si="153"/>
        <v>0</v>
      </c>
      <c r="O179" s="56">
        <f t="shared" ca="1" si="142"/>
        <v>0</v>
      </c>
      <c r="P179" s="56">
        <f t="shared" ca="1" si="143"/>
        <v>0</v>
      </c>
      <c r="Q179" s="56">
        <f t="shared" ref="Q179:S179" ca="1" si="154">Q180+Q181</f>
        <v>0</v>
      </c>
      <c r="R179" s="56">
        <f t="shared" ca="1" si="154"/>
        <v>0</v>
      </c>
      <c r="S179" s="57">
        <f t="shared" ca="1" si="154"/>
        <v>0</v>
      </c>
      <c r="T179" s="56">
        <f t="shared" ca="1" si="145"/>
        <v>0</v>
      </c>
      <c r="U179" s="56">
        <f t="shared" ca="1" si="146"/>
        <v>0</v>
      </c>
    </row>
    <row r="180" spans="1:21" ht="18.75">
      <c r="A180" s="155"/>
      <c r="B180" s="50"/>
      <c r="C180" s="50"/>
      <c r="D180" s="50"/>
      <c r="E180" s="58" t="s">
        <v>20</v>
      </c>
      <c r="F180" s="50"/>
      <c r="G180" s="52"/>
      <c r="H180" s="162" t="s">
        <v>14</v>
      </c>
      <c r="I180" s="163"/>
      <c r="J180" s="163"/>
      <c r="K180" s="164"/>
      <c r="L180" s="56">
        <f ca="1">IFERROR(__xludf.DUMMYFUNCTION("IMPORTRANGE(""https://docs.google.com/spreadsheets/d/1yhBcrRPreicbMKl9Bu_Snb2-OcQAF62RKfhTLhJ2eAA/edit?usp=sharing"",""กาฬสินธุ์!L180"")+IMPORTRANGE(""https://docs.google.com/spreadsheets/d/1aHkj4IaQMThhwWwevcOymEh837vdxeC_PycurhTbGFA/edit?usp=sharing"","&amp;"""ขอนแก่น!L180"")+IMPORTRANGE(""https://docs.google.com/spreadsheets/d/1FvTu2DsIWUjP6WCWra38Bkj_oOl_sOMf14r5Fg5srxU/edit?usp=sharing"",""ชัยภูมิ!L180"")+IMPORTRANGE(""https://docs.google.com/spreadsheets/d/1XVB7oCJ3pr-vBUdflwPQ8Z2LlzhnCvZaaYjAfP-647E/edit"&amp;"?usp=sharing"",""นครพนม!L180"")+IMPORTRANGE(""https://docs.google.com/spreadsheets/d/1Mnpb-8PYAgn85W6KOTD40hc_Xc55CaLfHoGAbrZ8tls/edit?usp=sharing"",""นครราชสีมา!L180"")+IMPORTRANGE(""https://docs.google.com/spreadsheets/d/1xoDLGBv9CYbyosIhki0kTq6IpYNj-gp"&amp;"jxfobnaDiut0/edit?usp=sharing"",""บึงกาฬ!L180"")+IMPORTRANGE(""https://docs.google.com/spreadsheets/d/1MMPq-JyI6DSgQETxuSiXkesP-P7JHuemnE6QJIa-Nlw/edit?usp=sharing"",""บุรีรัมย์!L180"")+IMPORTRANGE(""https://docs.google.com/spreadsheets/d/1l6IZ8xUPgMrESzc"&amp;"TYwhA1k_tPjeQjJPTqlm8Gd9eU5g/edit?usp=sharing"",""มหาสารคาม!L180"")+IMPORTRANGE(""https://docs.google.com/spreadsheets/d/1uB74YLqNjWX6FObjekfB2NtSYigTQyR2rq9u4Ub2Sq4/edit?usp=sharing"",""มุกดาหาร!L180"")+IMPORTRANGE(""https://docs.google.com/spreadsheets/"&amp;"d/1NexK3geCPxCTO1fzNF8dPec7yZyUx3OaWkFBC9HsQOo/edit?usp=sharing"",""ยโสธร!L180"")+IMPORTRANGE(""https://docs.google.com/spreadsheets/d/1v_cJrbBlyqmnHPReHk44g9NrMRdENNlSy_E_c5M9fIg/edit?usp=sharing"",""ร้อยเอ็ด!L180"")+IMPORTRANGE(""https://docs.google.com"&amp;"/spreadsheets/d/1Ul4RCpCX66NxYADU1QpwAPjOmBzW64SsT11s1wzXw_c/edit?usp=sharing"",""เลย!L180"")+IMPORTRANGE(""https://docs.google.com/spreadsheets/d/1bRrNKwbHDVktQG10isr5vbWRtt5spIZPpkOSWgbT5ug/edit?usp=sharing"",""ศรีสะเกษ!L180"")+IMPORTRANGE(""https://doc"&amp;"s.google.com/spreadsheets/d/17P34_Ow5kFBfdQD0qspb2UuPX5zpi6WMrQzslghyvrI/edit?usp=sharing"",""สกลนคร!L180"")+IMPORTRANGE(""https://docs.google.com/spreadsheets/d/1yswqbM3-AEpThF3ZSUa1AcmHnmRTF1vlJ1CZGcJ8YuU/edit?usp=sharing"",""สุรินทร์!L180"")+IMPORTRANG"&amp;"E(""https://docs.google.com/spreadsheets/d/13JHU_EFbsQOUQ0JSQ3dWy1VTRosIWcDq6Nc99z2qzdc/edit?usp=sharing"",""หนองคาย!L180"")+IMPORTRANGE(""https://docs.google.com/spreadsheets/d/1Hx73zIEgVdDZZaYSTc46Dqv64atFhpr3GelxLbaIN8A/edit?usp=sharing"",""หนองบัวลำภู"&amp;"!L180"")+IMPORTRANGE(""https://docs.google.com/spreadsheets/d/1lFxr3ctmjFN90yc-xV6jrQ9Ty8BKYVBWnAZ15wcNIJc/edit?usp=sharing"",""อำนาจเจริญ!L180"")+IMPORTRANGE(""https://docs.google.com/spreadsheets/d/1gF7RJpRnL-1oyjyeWxs5SFWEH7y8ahOZsQlyp2A2e-A/edit?usp=s"&amp;"haring"",""อุดรธานี!L180"")+IMPORTRANGE(""https://docs.google.com/spreadsheets/d/1kfLP0j3INXRa8bTDpcEmoWewMBV61jlFlfzczfjWIgc/edit?usp=sharing"",""อุบลราชธานี!L180"")"),0)</f>
        <v>0</v>
      </c>
      <c r="M180" s="56">
        <f ca="1">IFERROR(__xludf.DUMMYFUNCTION("IMPORTRANGE(""https://docs.google.com/spreadsheets/d/1yhBcrRPreicbMKl9Bu_Snb2-OcQAF62RKfhTLhJ2eAA/edit?usp=sharing"",""กาฬสินธุ์!M180"")+IMPORTRANGE(""https://docs.google.com/spreadsheets/d/1aHkj4IaQMThhwWwevcOymEh837vdxeC_PycurhTbGFA/edit?usp=sharing"","&amp;"""ขอนแก่น!M180"")+IMPORTRANGE(""https://docs.google.com/spreadsheets/d/1FvTu2DsIWUjP6WCWra38Bkj_oOl_sOMf14r5Fg5srxU/edit?usp=sharing"",""ชัยภูมิ!M180"")+IMPORTRANGE(""https://docs.google.com/spreadsheets/d/1XVB7oCJ3pr-vBUdflwPQ8Z2LlzhnCvZaaYjAfP-647E/edit"&amp;"?usp=sharing"",""นครพนม!M180"")+IMPORTRANGE(""https://docs.google.com/spreadsheets/d/1Mnpb-8PYAgn85W6KOTD40hc_Xc55CaLfHoGAbrZ8tls/edit?usp=sharing"",""นครราชสีมา!M180"")+IMPORTRANGE(""https://docs.google.com/spreadsheets/d/1xoDLGBv9CYbyosIhki0kTq6IpYNj-gp"&amp;"jxfobnaDiut0/edit?usp=sharing"",""บึงกาฬ!M180"")+IMPORTRANGE(""https://docs.google.com/spreadsheets/d/1MMPq-JyI6DSgQETxuSiXkesP-P7JHuemnE6QJIa-Nlw/edit?usp=sharing"",""บุรีรัมย์!M180"")+IMPORTRANGE(""https://docs.google.com/spreadsheets/d/1l6IZ8xUPgMrESzc"&amp;"TYwhA1k_tPjeQjJPTqlm8Gd9eU5g/edit?usp=sharing"",""มหาสารคาม!M180"")+IMPORTRANGE(""https://docs.google.com/spreadsheets/d/1uB74YLqNjWX6FObjekfB2NtSYigTQyR2rq9u4Ub2Sq4/edit?usp=sharing"",""มุกดาหาร!M180"")+IMPORTRANGE(""https://docs.google.com/spreadsheets/"&amp;"d/1NexK3geCPxCTO1fzNF8dPec7yZyUx3OaWkFBC9HsQOo/edit?usp=sharing"",""ยโสธร!M180"")+IMPORTRANGE(""https://docs.google.com/spreadsheets/d/1v_cJrbBlyqmnHPReHk44g9NrMRdENNlSy_E_c5M9fIg/edit?usp=sharing"",""ร้อยเอ็ด!M180"")+IMPORTRANGE(""https://docs.google.com"&amp;"/spreadsheets/d/1Ul4RCpCX66NxYADU1QpwAPjOmBzW64SsT11s1wzXw_c/edit?usp=sharing"",""เลย!M180"")+IMPORTRANGE(""https://docs.google.com/spreadsheets/d/1bRrNKwbHDVktQG10isr5vbWRtt5spIZPpkOSWgbT5ug/edit?usp=sharing"",""ศรีสะเกษ!M180"")+IMPORTRANGE(""https://doc"&amp;"s.google.com/spreadsheets/d/17P34_Ow5kFBfdQD0qspb2UuPX5zpi6WMrQzslghyvrI/edit?usp=sharing"",""สกลนคร!M180"")+IMPORTRANGE(""https://docs.google.com/spreadsheets/d/1yswqbM3-AEpThF3ZSUa1AcmHnmRTF1vlJ1CZGcJ8YuU/edit?usp=sharing"",""สุรินทร์!M180"")+IMPORTRANG"&amp;"E(""https://docs.google.com/spreadsheets/d/13JHU_EFbsQOUQ0JSQ3dWy1VTRosIWcDq6Nc99z2qzdc/edit?usp=sharing"",""หนองคาย!M180"")+IMPORTRANGE(""https://docs.google.com/spreadsheets/d/1Hx73zIEgVdDZZaYSTc46Dqv64atFhpr3GelxLbaIN8A/edit?usp=sharing"",""หนองบัวลำภู"&amp;"!M180"")+IMPORTRANGE(""https://docs.google.com/spreadsheets/d/1lFxr3ctmjFN90yc-xV6jrQ9Ty8BKYVBWnAZ15wcNIJc/edit?usp=sharing"",""อำนาจเจริญ!M180"")+IMPORTRANGE(""https://docs.google.com/spreadsheets/d/1gF7RJpRnL-1oyjyeWxs5SFWEH7y8ahOZsQlyp2A2e-A/edit?usp=s"&amp;"haring"",""อุดรธานี!M180"")+IMPORTRANGE(""https://docs.google.com/spreadsheets/d/1kfLP0j3INXRa8bTDpcEmoWewMBV61jlFlfzczfjWIgc/edit?usp=sharing"",""อุบลราชธานี!M180"")"),0)</f>
        <v>0</v>
      </c>
      <c r="N180" s="56">
        <f ca="1">IFERROR(__xludf.DUMMYFUNCTION("IMPORTRANGE(""https://docs.google.com/spreadsheets/d/1yhBcrRPreicbMKl9Bu_Snb2-OcQAF62RKfhTLhJ2eAA/edit?usp=sharing"",""กาฬสินธุ์!N180"")+IMPORTRANGE(""https://docs.google.com/spreadsheets/d/1aHkj4IaQMThhwWwevcOymEh837vdxeC_PycurhTbGFA/edit?usp=sharing"","&amp;"""ขอนแก่น!N180"")+IMPORTRANGE(""https://docs.google.com/spreadsheets/d/1FvTu2DsIWUjP6WCWra38Bkj_oOl_sOMf14r5Fg5srxU/edit?usp=sharing"",""ชัยภูมิ!N180"")+IMPORTRANGE(""https://docs.google.com/spreadsheets/d/1XVB7oCJ3pr-vBUdflwPQ8Z2LlzhnCvZaaYjAfP-647E/edit"&amp;"?usp=sharing"",""นครพนม!N180"")+IMPORTRANGE(""https://docs.google.com/spreadsheets/d/1Mnpb-8PYAgn85W6KOTD40hc_Xc55CaLfHoGAbrZ8tls/edit?usp=sharing"",""นครราชสีมา!N180"")+IMPORTRANGE(""https://docs.google.com/spreadsheets/d/1xoDLGBv9CYbyosIhki0kTq6IpYNj-gp"&amp;"jxfobnaDiut0/edit?usp=sharing"",""บึงกาฬ!N180"")+IMPORTRANGE(""https://docs.google.com/spreadsheets/d/1MMPq-JyI6DSgQETxuSiXkesP-P7JHuemnE6QJIa-Nlw/edit?usp=sharing"",""บุรีรัมย์!N180"")+IMPORTRANGE(""https://docs.google.com/spreadsheets/d/1l6IZ8xUPgMrESzc"&amp;"TYwhA1k_tPjeQjJPTqlm8Gd9eU5g/edit?usp=sharing"",""มหาสารคาม!N180"")+IMPORTRANGE(""https://docs.google.com/spreadsheets/d/1uB74YLqNjWX6FObjekfB2NtSYigTQyR2rq9u4Ub2Sq4/edit?usp=sharing"",""มุกดาหาร!N180"")+IMPORTRANGE(""https://docs.google.com/spreadsheets/"&amp;"d/1NexK3geCPxCTO1fzNF8dPec7yZyUx3OaWkFBC9HsQOo/edit?usp=sharing"",""ยโสธร!N180"")+IMPORTRANGE(""https://docs.google.com/spreadsheets/d/1v_cJrbBlyqmnHPReHk44g9NrMRdENNlSy_E_c5M9fIg/edit?usp=sharing"",""ร้อยเอ็ด!N180"")+IMPORTRANGE(""https://docs.google.com"&amp;"/spreadsheets/d/1Ul4RCpCX66NxYADU1QpwAPjOmBzW64SsT11s1wzXw_c/edit?usp=sharing"",""เลย!N180"")+IMPORTRANGE(""https://docs.google.com/spreadsheets/d/1bRrNKwbHDVktQG10isr5vbWRtt5spIZPpkOSWgbT5ug/edit?usp=sharing"",""ศรีสะเกษ!N180"")+IMPORTRANGE(""https://doc"&amp;"s.google.com/spreadsheets/d/17P34_Ow5kFBfdQD0qspb2UuPX5zpi6WMrQzslghyvrI/edit?usp=sharing"",""สกลนคร!N180"")+IMPORTRANGE(""https://docs.google.com/spreadsheets/d/1yswqbM3-AEpThF3ZSUa1AcmHnmRTF1vlJ1CZGcJ8YuU/edit?usp=sharing"",""สุรินทร์!N180"")+IMPORTRANG"&amp;"E(""https://docs.google.com/spreadsheets/d/13JHU_EFbsQOUQ0JSQ3dWy1VTRosIWcDq6Nc99z2qzdc/edit?usp=sharing"",""หนองคาย!N180"")+IMPORTRANGE(""https://docs.google.com/spreadsheets/d/1Hx73zIEgVdDZZaYSTc46Dqv64atFhpr3GelxLbaIN8A/edit?usp=sharing"",""หนองบัวลำภู"&amp;"!N180"")+IMPORTRANGE(""https://docs.google.com/spreadsheets/d/1lFxr3ctmjFN90yc-xV6jrQ9Ty8BKYVBWnAZ15wcNIJc/edit?usp=sharing"",""อำนาจเจริญ!N180"")+IMPORTRANGE(""https://docs.google.com/spreadsheets/d/1gF7RJpRnL-1oyjyeWxs5SFWEH7y8ahOZsQlyp2A2e-A/edit?usp=s"&amp;"haring"",""อุดรธานี!N180"")+IMPORTRANGE(""https://docs.google.com/spreadsheets/d/1kfLP0j3INXRa8bTDpcEmoWewMBV61jlFlfzczfjWIgc/edit?usp=sharing"",""อุบลราชธานี!N180"")"),0)</f>
        <v>0</v>
      </c>
      <c r="O180" s="56">
        <f t="shared" ca="1" si="142"/>
        <v>0</v>
      </c>
      <c r="P180" s="56">
        <f t="shared" ca="1" si="143"/>
        <v>0</v>
      </c>
      <c r="Q180" s="56">
        <f ca="1">IFERROR(__xludf.DUMMYFUNCTION("IMPORTRANGE(""https://docs.google.com/spreadsheets/d/1yhBcrRPreicbMKl9Bu_Snb2-OcQAF62RKfhTLhJ2eAA/edit?usp=sharing"",""กาฬสินธุ์!Q180"")+IMPORTRANGE(""https://docs.google.com/spreadsheets/d/1aHkj4IaQMThhwWwevcOymEh837vdxeC_PycurhTbGFA/edit?usp=sharing"","&amp;"""ขอนแก่น!Q180"")+IMPORTRANGE(""https://docs.google.com/spreadsheets/d/1FvTu2DsIWUjP6WCWra38Bkj_oOl_sOMf14r5Fg5srxU/edit?usp=sharing"",""ชัยภูมิ!Q180"")+IMPORTRANGE(""https://docs.google.com/spreadsheets/d/1XVB7oCJ3pr-vBUdflwPQ8Z2LlzhnCvZaaYjAfP-647E/edit"&amp;"?usp=sharing"",""นครพนม!Q180"")+IMPORTRANGE(""https://docs.google.com/spreadsheets/d/1Mnpb-8PYAgn85W6KOTD40hc_Xc55CaLfHoGAbrZ8tls/edit?usp=sharing"",""นครราชสีมา!Q180"")+IMPORTRANGE(""https://docs.google.com/spreadsheets/d/1xoDLGBv9CYbyosIhki0kTq6IpYNj-gp"&amp;"jxfobnaDiut0/edit?usp=sharing"",""บึงกาฬ!Q180"")+IMPORTRANGE(""https://docs.google.com/spreadsheets/d/1MMPq-JyI6DSgQETxuSiXkesP-P7JHuemnE6QJIa-Nlw/edit?usp=sharing"",""บุรีรัมย์!Q180"")+IMPORTRANGE(""https://docs.google.com/spreadsheets/d/1l6IZ8xUPgMrESzc"&amp;"TYwhA1k_tPjeQjJPTqlm8Gd9eU5g/edit?usp=sharing"",""มหาสารคาม!Q180"")+IMPORTRANGE(""https://docs.google.com/spreadsheets/d/1uB74YLqNjWX6FObjekfB2NtSYigTQyR2rq9u4Ub2Sq4/edit?usp=sharing"",""มุกดาหาร!Q180"")+IMPORTRANGE(""https://docs.google.com/spreadsheets/"&amp;"d/1NexK3geCPxCTO1fzNF8dPec7yZyUx3OaWkFBC9HsQOo/edit?usp=sharing"",""ยโสธร!Q180"")+IMPORTRANGE(""https://docs.google.com/spreadsheets/d/1v_cJrbBlyqmnHPReHk44g9NrMRdENNlSy_E_c5M9fIg/edit?usp=sharing"",""ร้อยเอ็ด!Q180"")+IMPORTRANGE(""https://docs.google.com"&amp;"/spreadsheets/d/1Ul4RCpCX66NxYADU1QpwAPjOmBzW64SsT11s1wzXw_c/edit?usp=sharing"",""เลย!Q180"")+IMPORTRANGE(""https://docs.google.com/spreadsheets/d/1bRrNKwbHDVktQG10isr5vbWRtt5spIZPpkOSWgbT5ug/edit?usp=sharing"",""ศรีสะเกษ!Q180"")+IMPORTRANGE(""https://doc"&amp;"s.google.com/spreadsheets/d/17P34_Ow5kFBfdQD0qspb2UuPX5zpi6WMrQzslghyvrI/edit?usp=sharing"",""สกลนคร!Q180"")+IMPORTRANGE(""https://docs.google.com/spreadsheets/d/1yswqbM3-AEpThF3ZSUa1AcmHnmRTF1vlJ1CZGcJ8YuU/edit?usp=sharing"",""สุรินทร์!Q180"")+IMPORTRANG"&amp;"E(""https://docs.google.com/spreadsheets/d/13JHU_EFbsQOUQ0JSQ3dWy1VTRosIWcDq6Nc99z2qzdc/edit?usp=sharing"",""หนองคาย!Q180"")+IMPORTRANGE(""https://docs.google.com/spreadsheets/d/1Hx73zIEgVdDZZaYSTc46Dqv64atFhpr3GelxLbaIN8A/edit?usp=sharing"",""หนองบัวลำภู"&amp;"!Q180"")+IMPORTRANGE(""https://docs.google.com/spreadsheets/d/1lFxr3ctmjFN90yc-xV6jrQ9Ty8BKYVBWnAZ15wcNIJc/edit?usp=sharing"",""อำนาจเจริญ!Q180"")+IMPORTRANGE(""https://docs.google.com/spreadsheets/d/1gF7RJpRnL-1oyjyeWxs5SFWEH7y8ahOZsQlyp2A2e-A/edit?usp=s"&amp;"haring"",""อุดรธานี!Q180"")+IMPORTRANGE(""https://docs.google.com/spreadsheets/d/1kfLP0j3INXRa8bTDpcEmoWewMBV61jlFlfzczfjWIgc/edit?usp=sharing"",""อุบลราชธานี!Q180"")"),0)</f>
        <v>0</v>
      </c>
      <c r="R180" s="56">
        <f ca="1">IFERROR(__xludf.DUMMYFUNCTION("IMPORTRANGE(""https://docs.google.com/spreadsheets/d/1yhBcrRPreicbMKl9Bu_Snb2-OcQAF62RKfhTLhJ2eAA/edit?usp=sharing"",""กาฬสินธุ์!R180"")+IMPORTRANGE(""https://docs.google.com/spreadsheets/d/1aHkj4IaQMThhwWwevcOymEh837vdxeC_PycurhTbGFA/edit?usp=sharing"","&amp;"""ขอนแก่น!R180"")+IMPORTRANGE(""https://docs.google.com/spreadsheets/d/1FvTu2DsIWUjP6WCWra38Bkj_oOl_sOMf14r5Fg5srxU/edit?usp=sharing"",""ชัยภูมิ!R180"")+IMPORTRANGE(""https://docs.google.com/spreadsheets/d/1XVB7oCJ3pr-vBUdflwPQ8Z2LlzhnCvZaaYjAfP-647E/edit"&amp;"?usp=sharing"",""นครพนม!R180"")+IMPORTRANGE(""https://docs.google.com/spreadsheets/d/1Mnpb-8PYAgn85W6KOTD40hc_Xc55CaLfHoGAbrZ8tls/edit?usp=sharing"",""นครราชสีมา!R180"")+IMPORTRANGE(""https://docs.google.com/spreadsheets/d/1xoDLGBv9CYbyosIhki0kTq6IpYNj-gp"&amp;"jxfobnaDiut0/edit?usp=sharing"",""บึงกาฬ!R180"")+IMPORTRANGE(""https://docs.google.com/spreadsheets/d/1MMPq-JyI6DSgQETxuSiXkesP-P7JHuemnE6QJIa-Nlw/edit?usp=sharing"",""บุรีรัมย์!R180"")+IMPORTRANGE(""https://docs.google.com/spreadsheets/d/1l6IZ8xUPgMrESzc"&amp;"TYwhA1k_tPjeQjJPTqlm8Gd9eU5g/edit?usp=sharing"",""มหาสารคาม!R180"")+IMPORTRANGE(""https://docs.google.com/spreadsheets/d/1uB74YLqNjWX6FObjekfB2NtSYigTQyR2rq9u4Ub2Sq4/edit?usp=sharing"",""มุกดาหาร!R180"")+IMPORTRANGE(""https://docs.google.com/spreadsheets/"&amp;"d/1NexK3geCPxCTO1fzNF8dPec7yZyUx3OaWkFBC9HsQOo/edit?usp=sharing"",""ยโสธร!R180"")+IMPORTRANGE(""https://docs.google.com/spreadsheets/d/1v_cJrbBlyqmnHPReHk44g9NrMRdENNlSy_E_c5M9fIg/edit?usp=sharing"",""ร้อยเอ็ด!R180"")+IMPORTRANGE(""https://docs.google.com"&amp;"/spreadsheets/d/1Ul4RCpCX66NxYADU1QpwAPjOmBzW64SsT11s1wzXw_c/edit?usp=sharing"",""เลย!R180"")+IMPORTRANGE(""https://docs.google.com/spreadsheets/d/1bRrNKwbHDVktQG10isr5vbWRtt5spIZPpkOSWgbT5ug/edit?usp=sharing"",""ศรีสะเกษ!R180"")+IMPORTRANGE(""https://doc"&amp;"s.google.com/spreadsheets/d/17P34_Ow5kFBfdQD0qspb2UuPX5zpi6WMrQzslghyvrI/edit?usp=sharing"",""สกลนคร!R180"")+IMPORTRANGE(""https://docs.google.com/spreadsheets/d/1yswqbM3-AEpThF3ZSUa1AcmHnmRTF1vlJ1CZGcJ8YuU/edit?usp=sharing"",""สุรินทร์!R180"")+IMPORTRANG"&amp;"E(""https://docs.google.com/spreadsheets/d/13JHU_EFbsQOUQ0JSQ3dWy1VTRosIWcDq6Nc99z2qzdc/edit?usp=sharing"",""หนองคาย!R180"")+IMPORTRANGE(""https://docs.google.com/spreadsheets/d/1Hx73zIEgVdDZZaYSTc46Dqv64atFhpr3GelxLbaIN8A/edit?usp=sharing"",""หนองบัวลำภู"&amp;"!R180"")+IMPORTRANGE(""https://docs.google.com/spreadsheets/d/1lFxr3ctmjFN90yc-xV6jrQ9Ty8BKYVBWnAZ15wcNIJc/edit?usp=sharing"",""อำนาจเจริญ!R180"")+IMPORTRANGE(""https://docs.google.com/spreadsheets/d/1gF7RJpRnL-1oyjyeWxs5SFWEH7y8ahOZsQlyp2A2e-A/edit?usp=s"&amp;"haring"",""อุดรธานี!R180"")+IMPORTRANGE(""https://docs.google.com/spreadsheets/d/1kfLP0j3INXRa8bTDpcEmoWewMBV61jlFlfzczfjWIgc/edit?usp=sharing"",""อุบลราชธานี!R180"")"),0)</f>
        <v>0</v>
      </c>
      <c r="S180" s="57">
        <f ca="1">IFERROR(__xludf.DUMMYFUNCTION("IMPORTRANGE(""https://docs.google.com/spreadsheets/d/1yhBcrRPreicbMKl9Bu_Snb2-OcQAF62RKfhTLhJ2eAA/edit?usp=sharing"",""กาฬสินธุ์!S180"")+IMPORTRANGE(""https://docs.google.com/spreadsheets/d/1aHkj4IaQMThhwWwevcOymEh837vdxeC_PycurhTbGFA/edit?usp=sharing"","&amp;"""ขอนแก่น!S180"")+IMPORTRANGE(""https://docs.google.com/spreadsheets/d/1FvTu2DsIWUjP6WCWra38Bkj_oOl_sOMf14r5Fg5srxU/edit?usp=sharing"",""ชัยภูมิ!S180"")+IMPORTRANGE(""https://docs.google.com/spreadsheets/d/1XVB7oCJ3pr-vBUdflwPQ8Z2LlzhnCvZaaYjAfP-647E/edit"&amp;"?usp=sharing"",""นครพนม!S180"")+IMPORTRANGE(""https://docs.google.com/spreadsheets/d/1Mnpb-8PYAgn85W6KOTD40hc_Xc55CaLfHoGAbrZ8tls/edit?usp=sharing"",""นครราชสีมา!S180"")+IMPORTRANGE(""https://docs.google.com/spreadsheets/d/1xoDLGBv9CYbyosIhki0kTq6IpYNj-gp"&amp;"jxfobnaDiut0/edit?usp=sharing"",""บึงกาฬ!S180"")+IMPORTRANGE(""https://docs.google.com/spreadsheets/d/1MMPq-JyI6DSgQETxuSiXkesP-P7JHuemnE6QJIa-Nlw/edit?usp=sharing"",""บุรีรัมย์!S180"")+IMPORTRANGE(""https://docs.google.com/spreadsheets/d/1l6IZ8xUPgMrESzc"&amp;"TYwhA1k_tPjeQjJPTqlm8Gd9eU5g/edit?usp=sharing"",""มหาสารคาม!S180"")+IMPORTRANGE(""https://docs.google.com/spreadsheets/d/1uB74YLqNjWX6FObjekfB2NtSYigTQyR2rq9u4Ub2Sq4/edit?usp=sharing"",""มุกดาหาร!S180"")+IMPORTRANGE(""https://docs.google.com/spreadsheets/"&amp;"d/1NexK3geCPxCTO1fzNF8dPec7yZyUx3OaWkFBC9HsQOo/edit?usp=sharing"",""ยโสธร!S180"")+IMPORTRANGE(""https://docs.google.com/spreadsheets/d/1v_cJrbBlyqmnHPReHk44g9NrMRdENNlSy_E_c5M9fIg/edit?usp=sharing"",""ร้อยเอ็ด!S180"")+IMPORTRANGE(""https://docs.google.com"&amp;"/spreadsheets/d/1Ul4RCpCX66NxYADU1QpwAPjOmBzW64SsT11s1wzXw_c/edit?usp=sharing"",""เลย!S180"")+IMPORTRANGE(""https://docs.google.com/spreadsheets/d/1bRrNKwbHDVktQG10isr5vbWRtt5spIZPpkOSWgbT5ug/edit?usp=sharing"",""ศรีสะเกษ!S180"")+IMPORTRANGE(""https://doc"&amp;"s.google.com/spreadsheets/d/17P34_Ow5kFBfdQD0qspb2UuPX5zpi6WMrQzslghyvrI/edit?usp=sharing"",""สกลนคร!S180"")+IMPORTRANGE(""https://docs.google.com/spreadsheets/d/1yswqbM3-AEpThF3ZSUa1AcmHnmRTF1vlJ1CZGcJ8YuU/edit?usp=sharing"",""สุรินทร์!S180"")+IMPORTRANG"&amp;"E(""https://docs.google.com/spreadsheets/d/13JHU_EFbsQOUQ0JSQ3dWy1VTRosIWcDq6Nc99z2qzdc/edit?usp=sharing"",""หนองคาย!S180"")+IMPORTRANGE(""https://docs.google.com/spreadsheets/d/1Hx73zIEgVdDZZaYSTc46Dqv64atFhpr3GelxLbaIN8A/edit?usp=sharing"",""หนองบัวลำภู"&amp;"!S180"")+IMPORTRANGE(""https://docs.google.com/spreadsheets/d/1lFxr3ctmjFN90yc-xV6jrQ9Ty8BKYVBWnAZ15wcNIJc/edit?usp=sharing"",""อำนาจเจริญ!S180"")+IMPORTRANGE(""https://docs.google.com/spreadsheets/d/1gF7RJpRnL-1oyjyeWxs5SFWEH7y8ahOZsQlyp2A2e-A/edit?usp=s"&amp;"haring"",""อุดรธานี!S180"")+IMPORTRANGE(""https://docs.google.com/spreadsheets/d/1kfLP0j3INXRa8bTDpcEmoWewMBV61jlFlfzczfjWIgc/edit?usp=sharing"",""อุบลราชธานี!S180"")"),0)</f>
        <v>0</v>
      </c>
      <c r="T180" s="59">
        <f t="shared" ca="1" si="145"/>
        <v>0</v>
      </c>
      <c r="U180" s="59">
        <f t="shared" ca="1" si="146"/>
        <v>0</v>
      </c>
    </row>
    <row r="181" spans="1:21" ht="18.75">
      <c r="A181" s="155"/>
      <c r="B181" s="50"/>
      <c r="C181" s="50"/>
      <c r="D181" s="50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56">
        <f ca="1">IFERROR(__xludf.DUMMYFUNCTION("IMPORTRANGE(""https://docs.google.com/spreadsheets/d/1yhBcrRPreicbMKl9Bu_Snb2-OcQAF62RKfhTLhJ2eAA/edit?usp=sharing"",""กาฬสินธุ์!L181"")+IMPORTRANGE(""https://docs.google.com/spreadsheets/d/1aHkj4IaQMThhwWwevcOymEh837vdxeC_PycurhTbGFA/edit?usp=sharing"","&amp;"""ขอนแก่น!L181"")+IMPORTRANGE(""https://docs.google.com/spreadsheets/d/1FvTu2DsIWUjP6WCWra38Bkj_oOl_sOMf14r5Fg5srxU/edit?usp=sharing"",""ชัยภูมิ!L181"")+IMPORTRANGE(""https://docs.google.com/spreadsheets/d/1XVB7oCJ3pr-vBUdflwPQ8Z2LlzhnCvZaaYjAfP-647E/edit"&amp;"?usp=sharing"",""นครพนม!L181"")+IMPORTRANGE(""https://docs.google.com/spreadsheets/d/1Mnpb-8PYAgn85W6KOTD40hc_Xc55CaLfHoGAbrZ8tls/edit?usp=sharing"",""นครราชสีมา!L181"")+IMPORTRANGE(""https://docs.google.com/spreadsheets/d/1xoDLGBv9CYbyosIhki0kTq6IpYNj-gp"&amp;"jxfobnaDiut0/edit?usp=sharing"",""บึงกาฬ!L181"")+IMPORTRANGE(""https://docs.google.com/spreadsheets/d/1MMPq-JyI6DSgQETxuSiXkesP-P7JHuemnE6QJIa-Nlw/edit?usp=sharing"",""บุรีรัมย์!L181"")+IMPORTRANGE(""https://docs.google.com/spreadsheets/d/1l6IZ8xUPgMrESzc"&amp;"TYwhA1k_tPjeQjJPTqlm8Gd9eU5g/edit?usp=sharing"",""มหาสารคาม!L181"")+IMPORTRANGE(""https://docs.google.com/spreadsheets/d/1uB74YLqNjWX6FObjekfB2NtSYigTQyR2rq9u4Ub2Sq4/edit?usp=sharing"",""มุกดาหาร!L181"")+IMPORTRANGE(""https://docs.google.com/spreadsheets/"&amp;"d/1NexK3geCPxCTO1fzNF8dPec7yZyUx3OaWkFBC9HsQOo/edit?usp=sharing"",""ยโสธร!L181"")+IMPORTRANGE(""https://docs.google.com/spreadsheets/d/1v_cJrbBlyqmnHPReHk44g9NrMRdENNlSy_E_c5M9fIg/edit?usp=sharing"",""ร้อยเอ็ด!L181"")+IMPORTRANGE(""https://docs.google.com"&amp;"/spreadsheets/d/1Ul4RCpCX66NxYADU1QpwAPjOmBzW64SsT11s1wzXw_c/edit?usp=sharing"",""เลย!L181"")+IMPORTRANGE(""https://docs.google.com/spreadsheets/d/1bRrNKwbHDVktQG10isr5vbWRtt5spIZPpkOSWgbT5ug/edit?usp=sharing"",""ศรีสะเกษ!L181"")+IMPORTRANGE(""https://doc"&amp;"s.google.com/spreadsheets/d/17P34_Ow5kFBfdQD0qspb2UuPX5zpi6WMrQzslghyvrI/edit?usp=sharing"",""สกลนคร!L181"")+IMPORTRANGE(""https://docs.google.com/spreadsheets/d/1yswqbM3-AEpThF3ZSUa1AcmHnmRTF1vlJ1CZGcJ8YuU/edit?usp=sharing"",""สุรินทร์!L181"")+IMPORTRANG"&amp;"E(""https://docs.google.com/spreadsheets/d/13JHU_EFbsQOUQ0JSQ3dWy1VTRosIWcDq6Nc99z2qzdc/edit?usp=sharing"",""หนองคาย!L181"")+IMPORTRANGE(""https://docs.google.com/spreadsheets/d/1Hx73zIEgVdDZZaYSTc46Dqv64atFhpr3GelxLbaIN8A/edit?usp=sharing"",""หนองบัวลำภู"&amp;"!L181"")+IMPORTRANGE(""https://docs.google.com/spreadsheets/d/1lFxr3ctmjFN90yc-xV6jrQ9Ty8BKYVBWnAZ15wcNIJc/edit?usp=sharing"",""อำนาจเจริญ!L181"")+IMPORTRANGE(""https://docs.google.com/spreadsheets/d/1gF7RJpRnL-1oyjyeWxs5SFWEH7y8ahOZsQlyp2A2e-A/edit?usp=s"&amp;"haring"",""อุดรธานี!L181"")+IMPORTRANGE(""https://docs.google.com/spreadsheets/d/1kfLP0j3INXRa8bTDpcEmoWewMBV61jlFlfzczfjWIgc/edit?usp=sharing"",""อุบลราชธานี!L181"")"),0)</f>
        <v>0</v>
      </c>
      <c r="M181" s="56">
        <f ca="1">IFERROR(__xludf.DUMMYFUNCTION("IMPORTRANGE(""https://docs.google.com/spreadsheets/d/1yhBcrRPreicbMKl9Bu_Snb2-OcQAF62RKfhTLhJ2eAA/edit?usp=sharing"",""กาฬสินธุ์!M181"")+IMPORTRANGE(""https://docs.google.com/spreadsheets/d/1aHkj4IaQMThhwWwevcOymEh837vdxeC_PycurhTbGFA/edit?usp=sharing"","&amp;"""ขอนแก่น!M181"")+IMPORTRANGE(""https://docs.google.com/spreadsheets/d/1FvTu2DsIWUjP6WCWra38Bkj_oOl_sOMf14r5Fg5srxU/edit?usp=sharing"",""ชัยภูมิ!M181"")+IMPORTRANGE(""https://docs.google.com/spreadsheets/d/1XVB7oCJ3pr-vBUdflwPQ8Z2LlzhnCvZaaYjAfP-647E/edit"&amp;"?usp=sharing"",""นครพนม!M181"")+IMPORTRANGE(""https://docs.google.com/spreadsheets/d/1Mnpb-8PYAgn85W6KOTD40hc_Xc55CaLfHoGAbrZ8tls/edit?usp=sharing"",""นครราชสีมา!M181"")+IMPORTRANGE(""https://docs.google.com/spreadsheets/d/1xoDLGBv9CYbyosIhki0kTq6IpYNj-gp"&amp;"jxfobnaDiut0/edit?usp=sharing"",""บึงกาฬ!M181"")+IMPORTRANGE(""https://docs.google.com/spreadsheets/d/1MMPq-JyI6DSgQETxuSiXkesP-P7JHuemnE6QJIa-Nlw/edit?usp=sharing"",""บุรีรัมย์!M181"")+IMPORTRANGE(""https://docs.google.com/spreadsheets/d/1l6IZ8xUPgMrESzc"&amp;"TYwhA1k_tPjeQjJPTqlm8Gd9eU5g/edit?usp=sharing"",""มหาสารคาม!M181"")+IMPORTRANGE(""https://docs.google.com/spreadsheets/d/1uB74YLqNjWX6FObjekfB2NtSYigTQyR2rq9u4Ub2Sq4/edit?usp=sharing"",""มุกดาหาร!M181"")+IMPORTRANGE(""https://docs.google.com/spreadsheets/"&amp;"d/1NexK3geCPxCTO1fzNF8dPec7yZyUx3OaWkFBC9HsQOo/edit?usp=sharing"",""ยโสธร!M181"")+IMPORTRANGE(""https://docs.google.com/spreadsheets/d/1v_cJrbBlyqmnHPReHk44g9NrMRdENNlSy_E_c5M9fIg/edit?usp=sharing"",""ร้อยเอ็ด!M181"")+IMPORTRANGE(""https://docs.google.com"&amp;"/spreadsheets/d/1Ul4RCpCX66NxYADU1QpwAPjOmBzW64SsT11s1wzXw_c/edit?usp=sharing"",""เลย!M181"")+IMPORTRANGE(""https://docs.google.com/spreadsheets/d/1bRrNKwbHDVktQG10isr5vbWRtt5spIZPpkOSWgbT5ug/edit?usp=sharing"",""ศรีสะเกษ!M181"")+IMPORTRANGE(""https://doc"&amp;"s.google.com/spreadsheets/d/17P34_Ow5kFBfdQD0qspb2UuPX5zpi6WMrQzslghyvrI/edit?usp=sharing"",""สกลนคร!M181"")+IMPORTRANGE(""https://docs.google.com/spreadsheets/d/1yswqbM3-AEpThF3ZSUa1AcmHnmRTF1vlJ1CZGcJ8YuU/edit?usp=sharing"",""สุรินทร์!M181"")+IMPORTRANG"&amp;"E(""https://docs.google.com/spreadsheets/d/13JHU_EFbsQOUQ0JSQ3dWy1VTRosIWcDq6Nc99z2qzdc/edit?usp=sharing"",""หนองคาย!M181"")+IMPORTRANGE(""https://docs.google.com/spreadsheets/d/1Hx73zIEgVdDZZaYSTc46Dqv64atFhpr3GelxLbaIN8A/edit?usp=sharing"",""หนองบัวลำภู"&amp;"!M181"")+IMPORTRANGE(""https://docs.google.com/spreadsheets/d/1lFxr3ctmjFN90yc-xV6jrQ9Ty8BKYVBWnAZ15wcNIJc/edit?usp=sharing"",""อำนาจเจริญ!M181"")+IMPORTRANGE(""https://docs.google.com/spreadsheets/d/1gF7RJpRnL-1oyjyeWxs5SFWEH7y8ahOZsQlyp2A2e-A/edit?usp=s"&amp;"haring"",""อุดรธานี!M181"")+IMPORTRANGE(""https://docs.google.com/spreadsheets/d/1kfLP0j3INXRa8bTDpcEmoWewMBV61jlFlfzczfjWIgc/edit?usp=sharing"",""อุบลราชธานี!M181"")"),0)</f>
        <v>0</v>
      </c>
      <c r="N181" s="56">
        <f ca="1">IFERROR(__xludf.DUMMYFUNCTION("IMPORTRANGE(""https://docs.google.com/spreadsheets/d/1yhBcrRPreicbMKl9Bu_Snb2-OcQAF62RKfhTLhJ2eAA/edit?usp=sharing"",""กาฬสินธุ์!N181"")+IMPORTRANGE(""https://docs.google.com/spreadsheets/d/1aHkj4IaQMThhwWwevcOymEh837vdxeC_PycurhTbGFA/edit?usp=sharing"","&amp;"""ขอนแก่น!N181"")+IMPORTRANGE(""https://docs.google.com/spreadsheets/d/1FvTu2DsIWUjP6WCWra38Bkj_oOl_sOMf14r5Fg5srxU/edit?usp=sharing"",""ชัยภูมิ!N181"")+IMPORTRANGE(""https://docs.google.com/spreadsheets/d/1XVB7oCJ3pr-vBUdflwPQ8Z2LlzhnCvZaaYjAfP-647E/edit"&amp;"?usp=sharing"",""นครพนม!N181"")+IMPORTRANGE(""https://docs.google.com/spreadsheets/d/1Mnpb-8PYAgn85W6KOTD40hc_Xc55CaLfHoGAbrZ8tls/edit?usp=sharing"",""นครราชสีมา!N181"")+IMPORTRANGE(""https://docs.google.com/spreadsheets/d/1xoDLGBv9CYbyosIhki0kTq6IpYNj-gp"&amp;"jxfobnaDiut0/edit?usp=sharing"",""บึงกาฬ!N181"")+IMPORTRANGE(""https://docs.google.com/spreadsheets/d/1MMPq-JyI6DSgQETxuSiXkesP-P7JHuemnE6QJIa-Nlw/edit?usp=sharing"",""บุรีรัมย์!N181"")+IMPORTRANGE(""https://docs.google.com/spreadsheets/d/1l6IZ8xUPgMrESzc"&amp;"TYwhA1k_tPjeQjJPTqlm8Gd9eU5g/edit?usp=sharing"",""มหาสารคาม!N181"")+IMPORTRANGE(""https://docs.google.com/spreadsheets/d/1uB74YLqNjWX6FObjekfB2NtSYigTQyR2rq9u4Ub2Sq4/edit?usp=sharing"",""มุกดาหาร!N181"")+IMPORTRANGE(""https://docs.google.com/spreadsheets/"&amp;"d/1NexK3geCPxCTO1fzNF8dPec7yZyUx3OaWkFBC9HsQOo/edit?usp=sharing"",""ยโสธร!N181"")+IMPORTRANGE(""https://docs.google.com/spreadsheets/d/1v_cJrbBlyqmnHPReHk44g9NrMRdENNlSy_E_c5M9fIg/edit?usp=sharing"",""ร้อยเอ็ด!N181"")+IMPORTRANGE(""https://docs.google.com"&amp;"/spreadsheets/d/1Ul4RCpCX66NxYADU1QpwAPjOmBzW64SsT11s1wzXw_c/edit?usp=sharing"",""เลย!N181"")+IMPORTRANGE(""https://docs.google.com/spreadsheets/d/1bRrNKwbHDVktQG10isr5vbWRtt5spIZPpkOSWgbT5ug/edit?usp=sharing"",""ศรีสะเกษ!N181"")+IMPORTRANGE(""https://doc"&amp;"s.google.com/spreadsheets/d/17P34_Ow5kFBfdQD0qspb2UuPX5zpi6WMrQzslghyvrI/edit?usp=sharing"",""สกลนคร!N181"")+IMPORTRANGE(""https://docs.google.com/spreadsheets/d/1yswqbM3-AEpThF3ZSUa1AcmHnmRTF1vlJ1CZGcJ8YuU/edit?usp=sharing"",""สุรินทร์!N181"")+IMPORTRANG"&amp;"E(""https://docs.google.com/spreadsheets/d/13JHU_EFbsQOUQ0JSQ3dWy1VTRosIWcDq6Nc99z2qzdc/edit?usp=sharing"",""หนองคาย!N181"")+IMPORTRANGE(""https://docs.google.com/spreadsheets/d/1Hx73zIEgVdDZZaYSTc46Dqv64atFhpr3GelxLbaIN8A/edit?usp=sharing"",""หนองบัวลำภู"&amp;"!N181"")+IMPORTRANGE(""https://docs.google.com/spreadsheets/d/1lFxr3ctmjFN90yc-xV6jrQ9Ty8BKYVBWnAZ15wcNIJc/edit?usp=sharing"",""อำนาจเจริญ!N181"")+IMPORTRANGE(""https://docs.google.com/spreadsheets/d/1gF7RJpRnL-1oyjyeWxs5SFWEH7y8ahOZsQlyp2A2e-A/edit?usp=s"&amp;"haring"",""อุดรธานี!N181"")+IMPORTRANGE(""https://docs.google.com/spreadsheets/d/1kfLP0j3INXRa8bTDpcEmoWewMBV61jlFlfzczfjWIgc/edit?usp=sharing"",""อุบลราชธานี!N181"")"),0)</f>
        <v>0</v>
      </c>
      <c r="O181" s="56">
        <f t="shared" ca="1" si="142"/>
        <v>0</v>
      </c>
      <c r="P181" s="56">
        <f t="shared" ca="1" si="143"/>
        <v>0</v>
      </c>
      <c r="Q181" s="56">
        <f ca="1">IFERROR(__xludf.DUMMYFUNCTION("IMPORTRANGE(""https://docs.google.com/spreadsheets/d/1yhBcrRPreicbMKl9Bu_Snb2-OcQAF62RKfhTLhJ2eAA/edit?usp=sharing"",""กาฬสินธุ์!Q181"")+IMPORTRANGE(""https://docs.google.com/spreadsheets/d/1aHkj4IaQMThhwWwevcOymEh837vdxeC_PycurhTbGFA/edit?usp=sharing"","&amp;"""ขอนแก่น!Q181"")+IMPORTRANGE(""https://docs.google.com/spreadsheets/d/1FvTu2DsIWUjP6WCWra38Bkj_oOl_sOMf14r5Fg5srxU/edit?usp=sharing"",""ชัยภูมิ!Q181"")+IMPORTRANGE(""https://docs.google.com/spreadsheets/d/1XVB7oCJ3pr-vBUdflwPQ8Z2LlzhnCvZaaYjAfP-647E/edit"&amp;"?usp=sharing"",""นครพนม!Q181"")+IMPORTRANGE(""https://docs.google.com/spreadsheets/d/1Mnpb-8PYAgn85W6KOTD40hc_Xc55CaLfHoGAbrZ8tls/edit?usp=sharing"",""นครราชสีมา!Q181"")+IMPORTRANGE(""https://docs.google.com/spreadsheets/d/1xoDLGBv9CYbyosIhki0kTq6IpYNj-gp"&amp;"jxfobnaDiut0/edit?usp=sharing"",""บึงกาฬ!Q181"")+IMPORTRANGE(""https://docs.google.com/spreadsheets/d/1MMPq-JyI6DSgQETxuSiXkesP-P7JHuemnE6QJIa-Nlw/edit?usp=sharing"",""บุรีรัมย์!Q181"")+IMPORTRANGE(""https://docs.google.com/spreadsheets/d/1l6IZ8xUPgMrESzc"&amp;"TYwhA1k_tPjeQjJPTqlm8Gd9eU5g/edit?usp=sharing"",""มหาสารคาม!Q181"")+IMPORTRANGE(""https://docs.google.com/spreadsheets/d/1uB74YLqNjWX6FObjekfB2NtSYigTQyR2rq9u4Ub2Sq4/edit?usp=sharing"",""มุกดาหาร!Q181"")+IMPORTRANGE(""https://docs.google.com/spreadsheets/"&amp;"d/1NexK3geCPxCTO1fzNF8dPec7yZyUx3OaWkFBC9HsQOo/edit?usp=sharing"",""ยโสธร!Q181"")+IMPORTRANGE(""https://docs.google.com/spreadsheets/d/1v_cJrbBlyqmnHPReHk44g9NrMRdENNlSy_E_c5M9fIg/edit?usp=sharing"",""ร้อยเอ็ด!Q181"")+IMPORTRANGE(""https://docs.google.com"&amp;"/spreadsheets/d/1Ul4RCpCX66NxYADU1QpwAPjOmBzW64SsT11s1wzXw_c/edit?usp=sharing"",""เลย!Q181"")+IMPORTRANGE(""https://docs.google.com/spreadsheets/d/1bRrNKwbHDVktQG10isr5vbWRtt5spIZPpkOSWgbT5ug/edit?usp=sharing"",""ศรีสะเกษ!Q181"")+IMPORTRANGE(""https://doc"&amp;"s.google.com/spreadsheets/d/17P34_Ow5kFBfdQD0qspb2UuPX5zpi6WMrQzslghyvrI/edit?usp=sharing"",""สกลนคร!Q181"")+IMPORTRANGE(""https://docs.google.com/spreadsheets/d/1yswqbM3-AEpThF3ZSUa1AcmHnmRTF1vlJ1CZGcJ8YuU/edit?usp=sharing"",""สุรินทร์!Q181"")+IMPORTRANG"&amp;"E(""https://docs.google.com/spreadsheets/d/13JHU_EFbsQOUQ0JSQ3dWy1VTRosIWcDq6Nc99z2qzdc/edit?usp=sharing"",""หนองคาย!Q181"")+IMPORTRANGE(""https://docs.google.com/spreadsheets/d/1Hx73zIEgVdDZZaYSTc46Dqv64atFhpr3GelxLbaIN8A/edit?usp=sharing"",""หนองบัวลำภู"&amp;"!Q181"")+IMPORTRANGE(""https://docs.google.com/spreadsheets/d/1lFxr3ctmjFN90yc-xV6jrQ9Ty8BKYVBWnAZ15wcNIJc/edit?usp=sharing"",""อำนาจเจริญ!Q181"")+IMPORTRANGE(""https://docs.google.com/spreadsheets/d/1gF7RJpRnL-1oyjyeWxs5SFWEH7y8ahOZsQlyp2A2e-A/edit?usp=s"&amp;"haring"",""อุดรธานี!Q181"")+IMPORTRANGE(""https://docs.google.com/spreadsheets/d/1kfLP0j3INXRa8bTDpcEmoWewMBV61jlFlfzczfjWIgc/edit?usp=sharing"",""อุบลราชธานี!Q181"")"),0)</f>
        <v>0</v>
      </c>
      <c r="R181" s="56">
        <f ca="1">IFERROR(__xludf.DUMMYFUNCTION("IMPORTRANGE(""https://docs.google.com/spreadsheets/d/1yhBcrRPreicbMKl9Bu_Snb2-OcQAF62RKfhTLhJ2eAA/edit?usp=sharing"",""กาฬสินธุ์!R181"")+IMPORTRANGE(""https://docs.google.com/spreadsheets/d/1aHkj4IaQMThhwWwevcOymEh837vdxeC_PycurhTbGFA/edit?usp=sharing"","&amp;"""ขอนแก่น!R181"")+IMPORTRANGE(""https://docs.google.com/spreadsheets/d/1FvTu2DsIWUjP6WCWra38Bkj_oOl_sOMf14r5Fg5srxU/edit?usp=sharing"",""ชัยภูมิ!R181"")+IMPORTRANGE(""https://docs.google.com/spreadsheets/d/1XVB7oCJ3pr-vBUdflwPQ8Z2LlzhnCvZaaYjAfP-647E/edit"&amp;"?usp=sharing"",""นครพนม!R181"")+IMPORTRANGE(""https://docs.google.com/spreadsheets/d/1Mnpb-8PYAgn85W6KOTD40hc_Xc55CaLfHoGAbrZ8tls/edit?usp=sharing"",""นครราชสีมา!R181"")+IMPORTRANGE(""https://docs.google.com/spreadsheets/d/1xoDLGBv9CYbyosIhki0kTq6IpYNj-gp"&amp;"jxfobnaDiut0/edit?usp=sharing"",""บึงกาฬ!R181"")+IMPORTRANGE(""https://docs.google.com/spreadsheets/d/1MMPq-JyI6DSgQETxuSiXkesP-P7JHuemnE6QJIa-Nlw/edit?usp=sharing"",""บุรีรัมย์!R181"")+IMPORTRANGE(""https://docs.google.com/spreadsheets/d/1l6IZ8xUPgMrESzc"&amp;"TYwhA1k_tPjeQjJPTqlm8Gd9eU5g/edit?usp=sharing"",""มหาสารคาม!R181"")+IMPORTRANGE(""https://docs.google.com/spreadsheets/d/1uB74YLqNjWX6FObjekfB2NtSYigTQyR2rq9u4Ub2Sq4/edit?usp=sharing"",""มุกดาหาร!R181"")+IMPORTRANGE(""https://docs.google.com/spreadsheets/"&amp;"d/1NexK3geCPxCTO1fzNF8dPec7yZyUx3OaWkFBC9HsQOo/edit?usp=sharing"",""ยโสธร!R181"")+IMPORTRANGE(""https://docs.google.com/spreadsheets/d/1v_cJrbBlyqmnHPReHk44g9NrMRdENNlSy_E_c5M9fIg/edit?usp=sharing"",""ร้อยเอ็ด!R181"")+IMPORTRANGE(""https://docs.google.com"&amp;"/spreadsheets/d/1Ul4RCpCX66NxYADU1QpwAPjOmBzW64SsT11s1wzXw_c/edit?usp=sharing"",""เลย!R181"")+IMPORTRANGE(""https://docs.google.com/spreadsheets/d/1bRrNKwbHDVktQG10isr5vbWRtt5spIZPpkOSWgbT5ug/edit?usp=sharing"",""ศรีสะเกษ!R181"")+IMPORTRANGE(""https://doc"&amp;"s.google.com/spreadsheets/d/17P34_Ow5kFBfdQD0qspb2UuPX5zpi6WMrQzslghyvrI/edit?usp=sharing"",""สกลนคร!R181"")+IMPORTRANGE(""https://docs.google.com/spreadsheets/d/1yswqbM3-AEpThF3ZSUa1AcmHnmRTF1vlJ1CZGcJ8YuU/edit?usp=sharing"",""สุรินทร์!R181"")+IMPORTRANG"&amp;"E(""https://docs.google.com/spreadsheets/d/13JHU_EFbsQOUQ0JSQ3dWy1VTRosIWcDq6Nc99z2qzdc/edit?usp=sharing"",""หนองคาย!R181"")+IMPORTRANGE(""https://docs.google.com/spreadsheets/d/1Hx73zIEgVdDZZaYSTc46Dqv64atFhpr3GelxLbaIN8A/edit?usp=sharing"",""หนองบัวลำภู"&amp;"!R181"")+IMPORTRANGE(""https://docs.google.com/spreadsheets/d/1lFxr3ctmjFN90yc-xV6jrQ9Ty8BKYVBWnAZ15wcNIJc/edit?usp=sharing"",""อำนาจเจริญ!R181"")+IMPORTRANGE(""https://docs.google.com/spreadsheets/d/1gF7RJpRnL-1oyjyeWxs5SFWEH7y8ahOZsQlyp2A2e-A/edit?usp=s"&amp;"haring"",""อุดรธานี!R181"")+IMPORTRANGE(""https://docs.google.com/spreadsheets/d/1kfLP0j3INXRa8bTDpcEmoWewMBV61jlFlfzczfjWIgc/edit?usp=sharing"",""อุบลราชธานี!R181"")"),0)</f>
        <v>0</v>
      </c>
      <c r="S181" s="57">
        <f ca="1">IFERROR(__xludf.DUMMYFUNCTION("IMPORTRANGE(""https://docs.google.com/spreadsheets/d/1yhBcrRPreicbMKl9Bu_Snb2-OcQAF62RKfhTLhJ2eAA/edit?usp=sharing"",""กาฬสินธุ์!S181"")+IMPORTRANGE(""https://docs.google.com/spreadsheets/d/1aHkj4IaQMThhwWwevcOymEh837vdxeC_PycurhTbGFA/edit?usp=sharing"","&amp;"""ขอนแก่น!S181"")+IMPORTRANGE(""https://docs.google.com/spreadsheets/d/1FvTu2DsIWUjP6WCWra38Bkj_oOl_sOMf14r5Fg5srxU/edit?usp=sharing"",""ชัยภูมิ!S181"")+IMPORTRANGE(""https://docs.google.com/spreadsheets/d/1XVB7oCJ3pr-vBUdflwPQ8Z2LlzhnCvZaaYjAfP-647E/edit"&amp;"?usp=sharing"",""นครพนม!S181"")+IMPORTRANGE(""https://docs.google.com/spreadsheets/d/1Mnpb-8PYAgn85W6KOTD40hc_Xc55CaLfHoGAbrZ8tls/edit?usp=sharing"",""นครราชสีมา!S181"")+IMPORTRANGE(""https://docs.google.com/spreadsheets/d/1xoDLGBv9CYbyosIhki0kTq6IpYNj-gp"&amp;"jxfobnaDiut0/edit?usp=sharing"",""บึงกาฬ!S181"")+IMPORTRANGE(""https://docs.google.com/spreadsheets/d/1MMPq-JyI6DSgQETxuSiXkesP-P7JHuemnE6QJIa-Nlw/edit?usp=sharing"",""บุรีรัมย์!S181"")+IMPORTRANGE(""https://docs.google.com/spreadsheets/d/1l6IZ8xUPgMrESzc"&amp;"TYwhA1k_tPjeQjJPTqlm8Gd9eU5g/edit?usp=sharing"",""มหาสารคาม!S181"")+IMPORTRANGE(""https://docs.google.com/spreadsheets/d/1uB74YLqNjWX6FObjekfB2NtSYigTQyR2rq9u4Ub2Sq4/edit?usp=sharing"",""มุกดาหาร!S181"")+IMPORTRANGE(""https://docs.google.com/spreadsheets/"&amp;"d/1NexK3geCPxCTO1fzNF8dPec7yZyUx3OaWkFBC9HsQOo/edit?usp=sharing"",""ยโสธร!S181"")+IMPORTRANGE(""https://docs.google.com/spreadsheets/d/1v_cJrbBlyqmnHPReHk44g9NrMRdENNlSy_E_c5M9fIg/edit?usp=sharing"",""ร้อยเอ็ด!S181"")+IMPORTRANGE(""https://docs.google.com"&amp;"/spreadsheets/d/1Ul4RCpCX66NxYADU1QpwAPjOmBzW64SsT11s1wzXw_c/edit?usp=sharing"",""เลย!S181"")+IMPORTRANGE(""https://docs.google.com/spreadsheets/d/1bRrNKwbHDVktQG10isr5vbWRtt5spIZPpkOSWgbT5ug/edit?usp=sharing"",""ศรีสะเกษ!S181"")+IMPORTRANGE(""https://doc"&amp;"s.google.com/spreadsheets/d/17P34_Ow5kFBfdQD0qspb2UuPX5zpi6WMrQzslghyvrI/edit?usp=sharing"",""สกลนคร!S181"")+IMPORTRANGE(""https://docs.google.com/spreadsheets/d/1yswqbM3-AEpThF3ZSUa1AcmHnmRTF1vlJ1CZGcJ8YuU/edit?usp=sharing"",""สุรินทร์!S181"")+IMPORTRANG"&amp;"E(""https://docs.google.com/spreadsheets/d/13JHU_EFbsQOUQ0JSQ3dWy1VTRosIWcDq6Nc99z2qzdc/edit?usp=sharing"",""หนองคาย!S181"")+IMPORTRANGE(""https://docs.google.com/spreadsheets/d/1Hx73zIEgVdDZZaYSTc46Dqv64atFhpr3GelxLbaIN8A/edit?usp=sharing"",""หนองบัวลำภู"&amp;"!S181"")+IMPORTRANGE(""https://docs.google.com/spreadsheets/d/1lFxr3ctmjFN90yc-xV6jrQ9Ty8BKYVBWnAZ15wcNIJc/edit?usp=sharing"",""อำนาจเจริญ!S181"")+IMPORTRANGE(""https://docs.google.com/spreadsheets/d/1gF7RJpRnL-1oyjyeWxs5SFWEH7y8ahOZsQlyp2A2e-A/edit?usp=s"&amp;"haring"",""อุดรธานี!S181"")+IMPORTRANGE(""https://docs.google.com/spreadsheets/d/1kfLP0j3INXRa8bTDpcEmoWewMBV61jlFlfzczfjWIgc/edit?usp=sharing"",""อุบลราชธานี!S181"")"),0)</f>
        <v>0</v>
      </c>
      <c r="T181" s="56">
        <f t="shared" ca="1" si="145"/>
        <v>0</v>
      </c>
      <c r="U181" s="56">
        <f t="shared" ca="1" si="146"/>
        <v>0</v>
      </c>
    </row>
    <row r="182" spans="1:21" ht="19.5">
      <c r="A182" s="166"/>
      <c r="B182" s="167"/>
      <c r="C182" s="156" t="s">
        <v>18</v>
      </c>
      <c r="D182" s="168" t="s">
        <v>38</v>
      </c>
      <c r="E182" s="169"/>
      <c r="F182" s="169"/>
      <c r="G182" s="170"/>
      <c r="H182" s="206"/>
      <c r="I182" s="54"/>
      <c r="J182" s="54"/>
      <c r="K182" s="55"/>
      <c r="L182" s="55"/>
      <c r="M182" s="55"/>
      <c r="N182" s="55"/>
      <c r="O182" s="55"/>
      <c r="P182" s="55"/>
      <c r="Q182" s="55"/>
      <c r="R182" s="55"/>
      <c r="S182" s="62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40" t="s">
        <v>35</v>
      </c>
      <c r="I183" s="181">
        <f ca="1">IFERROR(__xludf.DUMMYFUNCTION("IMPORTRANGE(""https://docs.google.com/spreadsheets/d/1yhBcrRPreicbMKl9Bu_Snb2-OcQAF62RKfhTLhJ2eAA/edit?usp=sharing"",""กาฬสินธุ์!I183"")+IMPORTRANGE(""https://docs.google.com/spreadsheets/d/1aHkj4IaQMThhwWwevcOymEh837vdxeC_PycurhTbGFA/edit?usp=sharing"","&amp;"""ขอนแก่น!I183"")+IMPORTRANGE(""https://docs.google.com/spreadsheets/d/1FvTu2DsIWUjP6WCWra38Bkj_oOl_sOMf14r5Fg5srxU/edit?usp=sharing"",""ชัยภูมิ!I183"")+IMPORTRANGE(""https://docs.google.com/spreadsheets/d/1XVB7oCJ3pr-vBUdflwPQ8Z2LlzhnCvZaaYjAfP-647E/edit"&amp;"?usp=sharing"",""นครพนม!I183"")+IMPORTRANGE(""https://docs.google.com/spreadsheets/d/1Mnpb-8PYAgn85W6KOTD40hc_Xc55CaLfHoGAbrZ8tls/edit?usp=sharing"",""นครราชสีมา!I183"")+IMPORTRANGE(""https://docs.google.com/spreadsheets/d/1xoDLGBv9CYbyosIhki0kTq6IpYNj-gp"&amp;"jxfobnaDiut0/edit?usp=sharing"",""บึงกาฬ!I183"")+IMPORTRANGE(""https://docs.google.com/spreadsheets/d/1MMPq-JyI6DSgQETxuSiXkesP-P7JHuemnE6QJIa-Nlw/edit?usp=sharing"",""บุรีรัมย์!I183"")+IMPORTRANGE(""https://docs.google.com/spreadsheets/d/1l6IZ8xUPgMrESzc"&amp;"TYwhA1k_tPjeQjJPTqlm8Gd9eU5g/edit?usp=sharing"",""มหาสารคาม!I183"")+IMPORTRANGE(""https://docs.google.com/spreadsheets/d/1uB74YLqNjWX6FObjekfB2NtSYigTQyR2rq9u4Ub2Sq4/edit?usp=sharing"",""มุกดาหาร!I183"")+IMPORTRANGE(""https://docs.google.com/spreadsheets/"&amp;"d/1NexK3geCPxCTO1fzNF8dPec7yZyUx3OaWkFBC9HsQOo/edit?usp=sharing"",""ยโสธร!I183"")+IMPORTRANGE(""https://docs.google.com/spreadsheets/d/1v_cJrbBlyqmnHPReHk44g9NrMRdENNlSy_E_c5M9fIg/edit?usp=sharing"",""ร้อยเอ็ด!I183"")+IMPORTRANGE(""https://docs.google.com"&amp;"/spreadsheets/d/1Ul4RCpCX66NxYADU1QpwAPjOmBzW64SsT11s1wzXw_c/edit?usp=sharing"",""เลย!I183"")+IMPORTRANGE(""https://docs.google.com/spreadsheets/d/1bRrNKwbHDVktQG10isr5vbWRtt5spIZPpkOSWgbT5ug/edit?usp=sharing"",""ศรีสะเกษ!I183"")+IMPORTRANGE(""https://doc"&amp;"s.google.com/spreadsheets/d/17P34_Ow5kFBfdQD0qspb2UuPX5zpi6WMrQzslghyvrI/edit?usp=sharing"",""สกลนคร!I183"")+IMPORTRANGE(""https://docs.google.com/spreadsheets/d/1yswqbM3-AEpThF3ZSUa1AcmHnmRTF1vlJ1CZGcJ8YuU/edit?usp=sharing"",""สุรินทร์!I183"")+IMPORTRANG"&amp;"E(""https://docs.google.com/spreadsheets/d/13JHU_EFbsQOUQ0JSQ3dWy1VTRosIWcDq6Nc99z2qzdc/edit?usp=sharing"",""หนองคาย!I183"")+IMPORTRANGE(""https://docs.google.com/spreadsheets/d/1Hx73zIEgVdDZZaYSTc46Dqv64atFhpr3GelxLbaIN8A/edit?usp=sharing"",""หนองบัวลำภู"&amp;"!I183"")+IMPORTRANGE(""https://docs.google.com/spreadsheets/d/1lFxr3ctmjFN90yc-xV6jrQ9Ty8BKYVBWnAZ15wcNIJc/edit?usp=sharing"",""อำนาจเจริญ!I183"")+IMPORTRANGE(""https://docs.google.com/spreadsheets/d/1gF7RJpRnL-1oyjyeWxs5SFWEH7y8ahOZsQlyp2A2e-A/edit?usp=s"&amp;"haring"",""อุดรธานี!I183"")+IMPORTRANGE(""https://docs.google.com/spreadsheets/d/1kfLP0j3INXRa8bTDpcEmoWewMBV61jlFlfzczfjWIgc/edit?usp=sharing"",""อุบลราชธานี!I183"")"),141)</f>
        <v>141</v>
      </c>
      <c r="J183" s="181">
        <f ca="1">IFERROR(__xludf.DUMMYFUNCTION("IMPORTRANGE(""https://docs.google.com/spreadsheets/d/1yhBcrRPreicbMKl9Bu_Snb2-OcQAF62RKfhTLhJ2eAA/edit?usp=sharing"",""กาฬสินธุ์!J183"")+IMPORTRANGE(""https://docs.google.com/spreadsheets/d/1aHkj4IaQMThhwWwevcOymEh837vdxeC_PycurhTbGFA/edit?usp=sharing"","&amp;"""ขอนแก่น!J183"")+IMPORTRANGE(""https://docs.google.com/spreadsheets/d/1FvTu2DsIWUjP6WCWra38Bkj_oOl_sOMf14r5Fg5srxU/edit?usp=sharing"",""ชัยภูมิ!J183"")+IMPORTRANGE(""https://docs.google.com/spreadsheets/d/1XVB7oCJ3pr-vBUdflwPQ8Z2LlzhnCvZaaYjAfP-647E/edit"&amp;"?usp=sharing"",""นครพนม!J183"")+IMPORTRANGE(""https://docs.google.com/spreadsheets/d/1Mnpb-8PYAgn85W6KOTD40hc_Xc55CaLfHoGAbrZ8tls/edit?usp=sharing"",""นครราชสีมา!J183"")+IMPORTRANGE(""https://docs.google.com/spreadsheets/d/1xoDLGBv9CYbyosIhki0kTq6IpYNj-gp"&amp;"jxfobnaDiut0/edit?usp=sharing"",""บึงกาฬ!J183"")+IMPORTRANGE(""https://docs.google.com/spreadsheets/d/1MMPq-JyI6DSgQETxuSiXkesP-P7JHuemnE6QJIa-Nlw/edit?usp=sharing"",""บุรีรัมย์!J183"")+IMPORTRANGE(""https://docs.google.com/spreadsheets/d/1l6IZ8xUPgMrESzc"&amp;"TYwhA1k_tPjeQjJPTqlm8Gd9eU5g/edit?usp=sharing"",""มหาสารคาม!J183"")+IMPORTRANGE(""https://docs.google.com/spreadsheets/d/1uB74YLqNjWX6FObjekfB2NtSYigTQyR2rq9u4Ub2Sq4/edit?usp=sharing"",""มุกดาหาร!J183"")+IMPORTRANGE(""https://docs.google.com/spreadsheets/"&amp;"d/1NexK3geCPxCTO1fzNF8dPec7yZyUx3OaWkFBC9HsQOo/edit?usp=sharing"",""ยโสธร!J183"")+IMPORTRANGE(""https://docs.google.com/spreadsheets/d/1v_cJrbBlyqmnHPReHk44g9NrMRdENNlSy_E_c5M9fIg/edit?usp=sharing"",""ร้อยเอ็ด!J183"")+IMPORTRANGE(""https://docs.google.com"&amp;"/spreadsheets/d/1Ul4RCpCX66NxYADU1QpwAPjOmBzW64SsT11s1wzXw_c/edit?usp=sharing"",""เลย!J183"")+IMPORTRANGE(""https://docs.google.com/spreadsheets/d/1bRrNKwbHDVktQG10isr5vbWRtt5spIZPpkOSWgbT5ug/edit?usp=sharing"",""ศรีสะเกษ!J183"")+IMPORTRANGE(""https://doc"&amp;"s.google.com/spreadsheets/d/17P34_Ow5kFBfdQD0qspb2UuPX5zpi6WMrQzslghyvrI/edit?usp=sharing"",""สกลนคร!J183"")+IMPORTRANGE(""https://docs.google.com/spreadsheets/d/1yswqbM3-AEpThF3ZSUa1AcmHnmRTF1vlJ1CZGcJ8YuU/edit?usp=sharing"",""สุรินทร์!J183"")+IMPORTRANG"&amp;"E(""https://docs.google.com/spreadsheets/d/13JHU_EFbsQOUQ0JSQ3dWy1VTRosIWcDq6Nc99z2qzdc/edit?usp=sharing"",""หนองคาย!J183"")+IMPORTRANGE(""https://docs.google.com/spreadsheets/d/1Hx73zIEgVdDZZaYSTc46Dqv64atFhpr3GelxLbaIN8A/edit?usp=sharing"",""หนองบัวลำภู"&amp;"!J183"")+IMPORTRANGE(""https://docs.google.com/spreadsheets/d/1lFxr3ctmjFN90yc-xV6jrQ9Ty8BKYVBWnAZ15wcNIJc/edit?usp=sharing"",""อำนาจเจริญ!J183"")+IMPORTRANGE(""https://docs.google.com/spreadsheets/d/1gF7RJpRnL-1oyjyeWxs5SFWEH7y8ahOZsQlyp2A2e-A/edit?usp=s"&amp;"haring"",""อุดรธานี!J183"")+IMPORTRANGE(""https://docs.google.com/spreadsheets/d/1kfLP0j3INXRa8bTDpcEmoWewMBV61jlFlfzczfjWIgc/edit?usp=sharing"",""อุบลราชธานี!J183"")"),141)</f>
        <v>141</v>
      </c>
      <c r="K183" s="56">
        <f t="shared" ref="K183:K185" ca="1" si="155">IF(I183&gt;0,J183*100/I183,0)</f>
        <v>100</v>
      </c>
      <c r="L183" s="55"/>
      <c r="M183" s="55"/>
      <c r="N183" s="55"/>
      <c r="O183" s="55"/>
      <c r="P183" s="55"/>
      <c r="Q183" s="55"/>
      <c r="R183" s="55"/>
      <c r="S183" s="62"/>
      <c r="T183" s="55"/>
      <c r="U183" s="55"/>
    </row>
    <row r="184" spans="1:21" ht="18.75">
      <c r="A184" s="238"/>
      <c r="B184" s="188"/>
      <c r="C184" s="188"/>
      <c r="D184" s="239" t="s">
        <v>76</v>
      </c>
      <c r="E184" s="50"/>
      <c r="F184" s="50"/>
      <c r="G184" s="52"/>
      <c r="H184" s="240" t="s">
        <v>35</v>
      </c>
      <c r="I184" s="212">
        <v>70</v>
      </c>
      <c r="J184" s="212">
        <v>0</v>
      </c>
      <c r="K184" s="56">
        <f t="shared" si="155"/>
        <v>0</v>
      </c>
      <c r="L184" s="55"/>
      <c r="M184" s="55"/>
      <c r="N184" s="55"/>
      <c r="O184" s="55"/>
      <c r="P184" s="55"/>
      <c r="Q184" s="55"/>
      <c r="R184" s="55"/>
      <c r="S184" s="62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233" t="s">
        <v>35</v>
      </c>
      <c r="I185" s="234">
        <f t="shared" ref="I185:J185" ca="1" si="156">I230+I231</f>
        <v>0</v>
      </c>
      <c r="J185" s="234">
        <f t="shared" ca="1" si="156"/>
        <v>0</v>
      </c>
      <c r="K185" s="235">
        <f t="shared" ca="1" si="155"/>
        <v>0</v>
      </c>
      <c r="L185" s="236"/>
      <c r="M185" s="236"/>
      <c r="N185" s="236"/>
      <c r="O185" s="236"/>
      <c r="P185" s="236"/>
      <c r="Q185" s="236"/>
      <c r="R185" s="236"/>
      <c r="S185" s="237"/>
      <c r="T185" s="236"/>
      <c r="U185" s="236"/>
    </row>
    <row r="186" spans="1:21" ht="19.5">
      <c r="A186" s="155"/>
      <c r="B186" s="50"/>
      <c r="C186" s="156" t="s">
        <v>18</v>
      </c>
      <c r="D186" s="157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159">
        <f t="shared" ref="L186:N186" ca="1" si="157">L187+L188</f>
        <v>3091200</v>
      </c>
      <c r="M186" s="159">
        <f t="shared" ca="1" si="157"/>
        <v>2496220</v>
      </c>
      <c r="N186" s="159">
        <f t="shared" ca="1" si="157"/>
        <v>1506029.09</v>
      </c>
      <c r="O186" s="159">
        <f t="shared" ref="O186:O194" ca="1" si="158">IF(L186&gt;0,N186*100/L186,0)</f>
        <v>48.719885157867495</v>
      </c>
      <c r="P186" s="159">
        <f t="shared" ref="P186:P194" ca="1" si="159">IF(M186&gt;0,N186*100/M186,0)</f>
        <v>60.332386167885844</v>
      </c>
      <c r="Q186" s="159">
        <f t="shared" ref="Q186:S186" ca="1" si="160">Q187+Q188</f>
        <v>2147500</v>
      </c>
      <c r="R186" s="159">
        <f t="shared" ca="1" si="160"/>
        <v>2245500</v>
      </c>
      <c r="S186" s="160">
        <f t="shared" ca="1" si="160"/>
        <v>289474</v>
      </c>
      <c r="T186" s="159">
        <f t="shared" ref="T186:T194" ca="1" si="161">IF(Q186&gt;0,S186*100/Q186,0)</f>
        <v>13.479580908032595</v>
      </c>
      <c r="U186" s="159">
        <f t="shared" ref="U186:U194" ca="1" si="162">IF(R186&gt;0,S186*100/R186,0)</f>
        <v>12.891293698508127</v>
      </c>
    </row>
    <row r="187" spans="1:21" ht="18.75">
      <c r="A187" s="155"/>
      <c r="B187" s="50"/>
      <c r="C187" s="50"/>
      <c r="D187" s="50"/>
      <c r="E187" s="58" t="s">
        <v>20</v>
      </c>
      <c r="F187" s="50"/>
      <c r="G187" s="52"/>
      <c r="H187" s="161" t="s">
        <v>14</v>
      </c>
      <c r="I187" s="54"/>
      <c r="J187" s="54"/>
      <c r="K187" s="55"/>
      <c r="L187" s="56">
        <f t="shared" ref="L187:N187" ca="1" si="163">L190+L193</f>
        <v>0</v>
      </c>
      <c r="M187" s="56">
        <f t="shared" ca="1" si="163"/>
        <v>0</v>
      </c>
      <c r="N187" s="56">
        <f t="shared" ca="1" si="163"/>
        <v>0</v>
      </c>
      <c r="O187" s="56">
        <f t="shared" ca="1" si="158"/>
        <v>0</v>
      </c>
      <c r="P187" s="56">
        <f t="shared" ca="1" si="159"/>
        <v>0</v>
      </c>
      <c r="Q187" s="56">
        <f t="shared" ref="Q187:S187" ca="1" si="164">Q190+Q193</f>
        <v>0</v>
      </c>
      <c r="R187" s="56">
        <f t="shared" ca="1" si="164"/>
        <v>0</v>
      </c>
      <c r="S187" s="57">
        <f t="shared" ca="1" si="164"/>
        <v>0</v>
      </c>
      <c r="T187" s="59">
        <f t="shared" ca="1" si="161"/>
        <v>0</v>
      </c>
      <c r="U187" s="59">
        <f t="shared" ca="1" si="162"/>
        <v>0</v>
      </c>
    </row>
    <row r="188" spans="1:21" ht="18.75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56">
        <f t="shared" ref="L188:N188" ca="1" si="165">L191+L194</f>
        <v>3091200</v>
      </c>
      <c r="M188" s="56">
        <f t="shared" ca="1" si="165"/>
        <v>2496220</v>
      </c>
      <c r="N188" s="56">
        <f t="shared" ca="1" si="165"/>
        <v>1506029.09</v>
      </c>
      <c r="O188" s="56">
        <f t="shared" ca="1" si="158"/>
        <v>48.719885157867495</v>
      </c>
      <c r="P188" s="56">
        <f t="shared" ca="1" si="159"/>
        <v>60.332386167885844</v>
      </c>
      <c r="Q188" s="56">
        <f t="shared" ref="Q188:S188" ca="1" si="166">Q191+Q194</f>
        <v>2147500</v>
      </c>
      <c r="R188" s="56">
        <f t="shared" ca="1" si="166"/>
        <v>2245500</v>
      </c>
      <c r="S188" s="57">
        <f t="shared" ca="1" si="166"/>
        <v>289474</v>
      </c>
      <c r="T188" s="56">
        <f t="shared" ca="1" si="161"/>
        <v>13.479580908032595</v>
      </c>
      <c r="U188" s="56">
        <f t="shared" ca="1" si="162"/>
        <v>12.891293698508127</v>
      </c>
    </row>
    <row r="189" spans="1:21" ht="18.75">
      <c r="A189" s="155"/>
      <c r="B189" s="50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56">
        <f t="shared" ref="L189:N189" ca="1" si="167">L190+L191</f>
        <v>3091200</v>
      </c>
      <c r="M189" s="56">
        <f t="shared" ca="1" si="167"/>
        <v>2496220</v>
      </c>
      <c r="N189" s="56">
        <f t="shared" ca="1" si="167"/>
        <v>1506029.09</v>
      </c>
      <c r="O189" s="56">
        <f t="shared" ca="1" si="158"/>
        <v>48.719885157867495</v>
      </c>
      <c r="P189" s="56">
        <f t="shared" ca="1" si="159"/>
        <v>60.332386167885844</v>
      </c>
      <c r="Q189" s="56">
        <f t="shared" ref="Q189:S189" ca="1" si="168">Q190+Q191</f>
        <v>2147500</v>
      </c>
      <c r="R189" s="56">
        <f t="shared" ca="1" si="168"/>
        <v>2245500</v>
      </c>
      <c r="S189" s="57">
        <f t="shared" ca="1" si="168"/>
        <v>289474</v>
      </c>
      <c r="T189" s="56">
        <f t="shared" ca="1" si="161"/>
        <v>13.479580908032595</v>
      </c>
      <c r="U189" s="56">
        <f t="shared" ca="1" si="162"/>
        <v>12.891293698508127</v>
      </c>
    </row>
    <row r="190" spans="1:21" ht="18.75">
      <c r="A190" s="155"/>
      <c r="B190" s="50"/>
      <c r="C190" s="50"/>
      <c r="D190" s="50"/>
      <c r="E190" s="58" t="s">
        <v>36</v>
      </c>
      <c r="F190" s="50"/>
      <c r="G190" s="52"/>
      <c r="H190" s="162" t="s">
        <v>14</v>
      </c>
      <c r="I190" s="163"/>
      <c r="J190" s="163"/>
      <c r="K190" s="164"/>
      <c r="L190" s="56">
        <f ca="1">IFERROR(__xludf.DUMMYFUNCTION("IMPORTRANGE(""https://docs.google.com/spreadsheets/d/1yhBcrRPreicbMKl9Bu_Snb2-OcQAF62RKfhTLhJ2eAA/edit?usp=sharing"",""กาฬสินธุ์!L190"")+IMPORTRANGE(""https://docs.google.com/spreadsheets/d/1aHkj4IaQMThhwWwevcOymEh837vdxeC_PycurhTbGFA/edit?usp=sharing"","&amp;"""ขอนแก่น!L190"")+IMPORTRANGE(""https://docs.google.com/spreadsheets/d/1FvTu2DsIWUjP6WCWra38Bkj_oOl_sOMf14r5Fg5srxU/edit?usp=sharing"",""ชัยภูมิ!L190"")+IMPORTRANGE(""https://docs.google.com/spreadsheets/d/1XVB7oCJ3pr-vBUdflwPQ8Z2LlzhnCvZaaYjAfP-647E/edit"&amp;"?usp=sharing"",""นครพนม!L190"")+IMPORTRANGE(""https://docs.google.com/spreadsheets/d/1Mnpb-8PYAgn85W6KOTD40hc_Xc55CaLfHoGAbrZ8tls/edit?usp=sharing"",""นครราชสีมา!L190"")+IMPORTRANGE(""https://docs.google.com/spreadsheets/d/1xoDLGBv9CYbyosIhki0kTq6IpYNj-gp"&amp;"jxfobnaDiut0/edit?usp=sharing"",""บึงกาฬ!L190"")+IMPORTRANGE(""https://docs.google.com/spreadsheets/d/1MMPq-JyI6DSgQETxuSiXkesP-P7JHuemnE6QJIa-Nlw/edit?usp=sharing"",""บุรีรัมย์!L190"")+IMPORTRANGE(""https://docs.google.com/spreadsheets/d/1l6IZ8xUPgMrESzc"&amp;"TYwhA1k_tPjeQjJPTqlm8Gd9eU5g/edit?usp=sharing"",""มหาสารคาม!L190"")+IMPORTRANGE(""https://docs.google.com/spreadsheets/d/1uB74YLqNjWX6FObjekfB2NtSYigTQyR2rq9u4Ub2Sq4/edit?usp=sharing"",""มุกดาหาร!L190"")+IMPORTRANGE(""https://docs.google.com/spreadsheets/"&amp;"d/1NexK3geCPxCTO1fzNF8dPec7yZyUx3OaWkFBC9HsQOo/edit?usp=sharing"",""ยโสธร!L190"")+IMPORTRANGE(""https://docs.google.com/spreadsheets/d/1v_cJrbBlyqmnHPReHk44g9NrMRdENNlSy_E_c5M9fIg/edit?usp=sharing"",""ร้อยเอ็ด!L190"")+IMPORTRANGE(""https://docs.google.com"&amp;"/spreadsheets/d/1Ul4RCpCX66NxYADU1QpwAPjOmBzW64SsT11s1wzXw_c/edit?usp=sharing"",""เลย!L190"")+IMPORTRANGE(""https://docs.google.com/spreadsheets/d/1bRrNKwbHDVktQG10isr5vbWRtt5spIZPpkOSWgbT5ug/edit?usp=sharing"",""ศรีสะเกษ!L190"")+IMPORTRANGE(""https://doc"&amp;"s.google.com/spreadsheets/d/17P34_Ow5kFBfdQD0qspb2UuPX5zpi6WMrQzslghyvrI/edit?usp=sharing"",""สกลนคร!L190"")+IMPORTRANGE(""https://docs.google.com/spreadsheets/d/1yswqbM3-AEpThF3ZSUa1AcmHnmRTF1vlJ1CZGcJ8YuU/edit?usp=sharing"",""สุรินทร์!L190"")+IMPORTRANG"&amp;"E(""https://docs.google.com/spreadsheets/d/13JHU_EFbsQOUQ0JSQ3dWy1VTRosIWcDq6Nc99z2qzdc/edit?usp=sharing"",""หนองคาย!L190"")+IMPORTRANGE(""https://docs.google.com/spreadsheets/d/1Hx73zIEgVdDZZaYSTc46Dqv64atFhpr3GelxLbaIN8A/edit?usp=sharing"",""หนองบัวลำภู"&amp;"!L190"")+IMPORTRANGE(""https://docs.google.com/spreadsheets/d/1lFxr3ctmjFN90yc-xV6jrQ9Ty8BKYVBWnAZ15wcNIJc/edit?usp=sharing"",""อำนาจเจริญ!L190"")+IMPORTRANGE(""https://docs.google.com/spreadsheets/d/1gF7RJpRnL-1oyjyeWxs5SFWEH7y8ahOZsQlyp2A2e-A/edit?usp=s"&amp;"haring"",""อุดรธานี!L190"")+IMPORTRANGE(""https://docs.google.com/spreadsheets/d/1kfLP0j3INXRa8bTDpcEmoWewMBV61jlFlfzczfjWIgc/edit?usp=sharing"",""อุบลราชธานี!L190"")"),0)</f>
        <v>0</v>
      </c>
      <c r="M190" s="56">
        <f ca="1">IFERROR(__xludf.DUMMYFUNCTION("IMPORTRANGE(""https://docs.google.com/spreadsheets/d/1yhBcrRPreicbMKl9Bu_Snb2-OcQAF62RKfhTLhJ2eAA/edit?usp=sharing"",""กาฬสินธุ์!M190"")+IMPORTRANGE(""https://docs.google.com/spreadsheets/d/1aHkj4IaQMThhwWwevcOymEh837vdxeC_PycurhTbGFA/edit?usp=sharing"","&amp;"""ขอนแก่น!M190"")+IMPORTRANGE(""https://docs.google.com/spreadsheets/d/1FvTu2DsIWUjP6WCWra38Bkj_oOl_sOMf14r5Fg5srxU/edit?usp=sharing"",""ชัยภูมิ!M190"")+IMPORTRANGE(""https://docs.google.com/spreadsheets/d/1XVB7oCJ3pr-vBUdflwPQ8Z2LlzhnCvZaaYjAfP-647E/edit"&amp;"?usp=sharing"",""นครพนม!M190"")+IMPORTRANGE(""https://docs.google.com/spreadsheets/d/1Mnpb-8PYAgn85W6KOTD40hc_Xc55CaLfHoGAbrZ8tls/edit?usp=sharing"",""นครราชสีมา!M190"")+IMPORTRANGE(""https://docs.google.com/spreadsheets/d/1xoDLGBv9CYbyosIhki0kTq6IpYNj-gp"&amp;"jxfobnaDiut0/edit?usp=sharing"",""บึงกาฬ!M190"")+IMPORTRANGE(""https://docs.google.com/spreadsheets/d/1MMPq-JyI6DSgQETxuSiXkesP-P7JHuemnE6QJIa-Nlw/edit?usp=sharing"",""บุรีรัมย์!M190"")+IMPORTRANGE(""https://docs.google.com/spreadsheets/d/1l6IZ8xUPgMrESzc"&amp;"TYwhA1k_tPjeQjJPTqlm8Gd9eU5g/edit?usp=sharing"",""มหาสารคาม!M190"")+IMPORTRANGE(""https://docs.google.com/spreadsheets/d/1uB74YLqNjWX6FObjekfB2NtSYigTQyR2rq9u4Ub2Sq4/edit?usp=sharing"",""มุกดาหาร!M190"")+IMPORTRANGE(""https://docs.google.com/spreadsheets/"&amp;"d/1NexK3geCPxCTO1fzNF8dPec7yZyUx3OaWkFBC9HsQOo/edit?usp=sharing"",""ยโสธร!M190"")+IMPORTRANGE(""https://docs.google.com/spreadsheets/d/1v_cJrbBlyqmnHPReHk44g9NrMRdENNlSy_E_c5M9fIg/edit?usp=sharing"",""ร้อยเอ็ด!M190"")+IMPORTRANGE(""https://docs.google.com"&amp;"/spreadsheets/d/1Ul4RCpCX66NxYADU1QpwAPjOmBzW64SsT11s1wzXw_c/edit?usp=sharing"",""เลย!M190"")+IMPORTRANGE(""https://docs.google.com/spreadsheets/d/1bRrNKwbHDVktQG10isr5vbWRtt5spIZPpkOSWgbT5ug/edit?usp=sharing"",""ศรีสะเกษ!M190"")+IMPORTRANGE(""https://doc"&amp;"s.google.com/spreadsheets/d/17P34_Ow5kFBfdQD0qspb2UuPX5zpi6WMrQzslghyvrI/edit?usp=sharing"",""สกลนคร!M190"")+IMPORTRANGE(""https://docs.google.com/spreadsheets/d/1yswqbM3-AEpThF3ZSUa1AcmHnmRTF1vlJ1CZGcJ8YuU/edit?usp=sharing"",""สุรินทร์!M190"")+IMPORTRANG"&amp;"E(""https://docs.google.com/spreadsheets/d/13JHU_EFbsQOUQ0JSQ3dWy1VTRosIWcDq6Nc99z2qzdc/edit?usp=sharing"",""หนองคาย!M190"")+IMPORTRANGE(""https://docs.google.com/spreadsheets/d/1Hx73zIEgVdDZZaYSTc46Dqv64atFhpr3GelxLbaIN8A/edit?usp=sharing"",""หนองบัวลำภู"&amp;"!M190"")+IMPORTRANGE(""https://docs.google.com/spreadsheets/d/1lFxr3ctmjFN90yc-xV6jrQ9Ty8BKYVBWnAZ15wcNIJc/edit?usp=sharing"",""อำนาจเจริญ!M190"")+IMPORTRANGE(""https://docs.google.com/spreadsheets/d/1gF7RJpRnL-1oyjyeWxs5SFWEH7y8ahOZsQlyp2A2e-A/edit?usp=s"&amp;"haring"",""อุดรธานี!M190"")+IMPORTRANGE(""https://docs.google.com/spreadsheets/d/1kfLP0j3INXRa8bTDpcEmoWewMBV61jlFlfzczfjWIgc/edit?usp=sharing"",""อุบลราชธานี!M190"")"),0)</f>
        <v>0</v>
      </c>
      <c r="N190" s="56">
        <f ca="1">IFERROR(__xludf.DUMMYFUNCTION("IMPORTRANGE(""https://docs.google.com/spreadsheets/d/1yhBcrRPreicbMKl9Bu_Snb2-OcQAF62RKfhTLhJ2eAA/edit?usp=sharing"",""กาฬสินธุ์!N190"")+IMPORTRANGE(""https://docs.google.com/spreadsheets/d/1aHkj4IaQMThhwWwevcOymEh837vdxeC_PycurhTbGFA/edit?usp=sharing"","&amp;"""ขอนแก่น!N190"")+IMPORTRANGE(""https://docs.google.com/spreadsheets/d/1FvTu2DsIWUjP6WCWra38Bkj_oOl_sOMf14r5Fg5srxU/edit?usp=sharing"",""ชัยภูมิ!N190"")+IMPORTRANGE(""https://docs.google.com/spreadsheets/d/1XVB7oCJ3pr-vBUdflwPQ8Z2LlzhnCvZaaYjAfP-647E/edit"&amp;"?usp=sharing"",""นครพนม!N190"")+IMPORTRANGE(""https://docs.google.com/spreadsheets/d/1Mnpb-8PYAgn85W6KOTD40hc_Xc55CaLfHoGAbrZ8tls/edit?usp=sharing"",""นครราชสีมา!N190"")+IMPORTRANGE(""https://docs.google.com/spreadsheets/d/1xoDLGBv9CYbyosIhki0kTq6IpYNj-gp"&amp;"jxfobnaDiut0/edit?usp=sharing"",""บึงกาฬ!N190"")+IMPORTRANGE(""https://docs.google.com/spreadsheets/d/1MMPq-JyI6DSgQETxuSiXkesP-P7JHuemnE6QJIa-Nlw/edit?usp=sharing"",""บุรีรัมย์!N190"")+IMPORTRANGE(""https://docs.google.com/spreadsheets/d/1l6IZ8xUPgMrESzc"&amp;"TYwhA1k_tPjeQjJPTqlm8Gd9eU5g/edit?usp=sharing"",""มหาสารคาม!N190"")+IMPORTRANGE(""https://docs.google.com/spreadsheets/d/1uB74YLqNjWX6FObjekfB2NtSYigTQyR2rq9u4Ub2Sq4/edit?usp=sharing"",""มุกดาหาร!N190"")+IMPORTRANGE(""https://docs.google.com/spreadsheets/"&amp;"d/1NexK3geCPxCTO1fzNF8dPec7yZyUx3OaWkFBC9HsQOo/edit?usp=sharing"",""ยโสธร!N190"")+IMPORTRANGE(""https://docs.google.com/spreadsheets/d/1v_cJrbBlyqmnHPReHk44g9NrMRdENNlSy_E_c5M9fIg/edit?usp=sharing"",""ร้อยเอ็ด!N190"")+IMPORTRANGE(""https://docs.google.com"&amp;"/spreadsheets/d/1Ul4RCpCX66NxYADU1QpwAPjOmBzW64SsT11s1wzXw_c/edit?usp=sharing"",""เลย!N190"")+IMPORTRANGE(""https://docs.google.com/spreadsheets/d/1bRrNKwbHDVktQG10isr5vbWRtt5spIZPpkOSWgbT5ug/edit?usp=sharing"",""ศรีสะเกษ!N190"")+IMPORTRANGE(""https://doc"&amp;"s.google.com/spreadsheets/d/17P34_Ow5kFBfdQD0qspb2UuPX5zpi6WMrQzslghyvrI/edit?usp=sharing"",""สกลนคร!N190"")+IMPORTRANGE(""https://docs.google.com/spreadsheets/d/1yswqbM3-AEpThF3ZSUa1AcmHnmRTF1vlJ1CZGcJ8YuU/edit?usp=sharing"",""สุรินทร์!N190"")+IMPORTRANG"&amp;"E(""https://docs.google.com/spreadsheets/d/13JHU_EFbsQOUQ0JSQ3dWy1VTRosIWcDq6Nc99z2qzdc/edit?usp=sharing"",""หนองคาย!N190"")+IMPORTRANGE(""https://docs.google.com/spreadsheets/d/1Hx73zIEgVdDZZaYSTc46Dqv64atFhpr3GelxLbaIN8A/edit?usp=sharing"",""หนองบัวลำภู"&amp;"!N190"")+IMPORTRANGE(""https://docs.google.com/spreadsheets/d/1lFxr3ctmjFN90yc-xV6jrQ9Ty8BKYVBWnAZ15wcNIJc/edit?usp=sharing"",""อำนาจเจริญ!N190"")+IMPORTRANGE(""https://docs.google.com/spreadsheets/d/1gF7RJpRnL-1oyjyeWxs5SFWEH7y8ahOZsQlyp2A2e-A/edit?usp=s"&amp;"haring"",""อุดรธานี!N190"")+IMPORTRANGE(""https://docs.google.com/spreadsheets/d/1kfLP0j3INXRa8bTDpcEmoWewMBV61jlFlfzczfjWIgc/edit?usp=sharing"",""อุบลราชธานี!N190"")"),0)</f>
        <v>0</v>
      </c>
      <c r="O190" s="56">
        <f t="shared" ca="1" si="158"/>
        <v>0</v>
      </c>
      <c r="P190" s="56">
        <f t="shared" ca="1" si="159"/>
        <v>0</v>
      </c>
      <c r="Q190" s="56">
        <f ca="1">IFERROR(__xludf.DUMMYFUNCTION("IMPORTRANGE(""https://docs.google.com/spreadsheets/d/1yhBcrRPreicbMKl9Bu_Snb2-OcQAF62RKfhTLhJ2eAA/edit?usp=sharing"",""กาฬสินธุ์!Q190"")+IMPORTRANGE(""https://docs.google.com/spreadsheets/d/1aHkj4IaQMThhwWwevcOymEh837vdxeC_PycurhTbGFA/edit?usp=sharing"","&amp;"""ขอนแก่น!Q190"")+IMPORTRANGE(""https://docs.google.com/spreadsheets/d/1FvTu2DsIWUjP6WCWra38Bkj_oOl_sOMf14r5Fg5srxU/edit?usp=sharing"",""ชัยภูมิ!Q190"")+IMPORTRANGE(""https://docs.google.com/spreadsheets/d/1XVB7oCJ3pr-vBUdflwPQ8Z2LlzhnCvZaaYjAfP-647E/edit"&amp;"?usp=sharing"",""นครพนม!Q190"")+IMPORTRANGE(""https://docs.google.com/spreadsheets/d/1Mnpb-8PYAgn85W6KOTD40hc_Xc55CaLfHoGAbrZ8tls/edit?usp=sharing"",""นครราชสีมา!Q190"")+IMPORTRANGE(""https://docs.google.com/spreadsheets/d/1xoDLGBv9CYbyosIhki0kTq6IpYNj-gp"&amp;"jxfobnaDiut0/edit?usp=sharing"",""บึงกาฬ!Q190"")+IMPORTRANGE(""https://docs.google.com/spreadsheets/d/1MMPq-JyI6DSgQETxuSiXkesP-P7JHuemnE6QJIa-Nlw/edit?usp=sharing"",""บุรีรัมย์!Q190"")+IMPORTRANGE(""https://docs.google.com/spreadsheets/d/1l6IZ8xUPgMrESzc"&amp;"TYwhA1k_tPjeQjJPTqlm8Gd9eU5g/edit?usp=sharing"",""มหาสารคาม!Q190"")+IMPORTRANGE(""https://docs.google.com/spreadsheets/d/1uB74YLqNjWX6FObjekfB2NtSYigTQyR2rq9u4Ub2Sq4/edit?usp=sharing"",""มุกดาหาร!Q190"")+IMPORTRANGE(""https://docs.google.com/spreadsheets/"&amp;"d/1NexK3geCPxCTO1fzNF8dPec7yZyUx3OaWkFBC9HsQOo/edit?usp=sharing"",""ยโสธร!Q190"")+IMPORTRANGE(""https://docs.google.com/spreadsheets/d/1v_cJrbBlyqmnHPReHk44g9NrMRdENNlSy_E_c5M9fIg/edit?usp=sharing"",""ร้อยเอ็ด!Q190"")+IMPORTRANGE(""https://docs.google.com"&amp;"/spreadsheets/d/1Ul4RCpCX66NxYADU1QpwAPjOmBzW64SsT11s1wzXw_c/edit?usp=sharing"",""เลย!Q190"")+IMPORTRANGE(""https://docs.google.com/spreadsheets/d/1bRrNKwbHDVktQG10isr5vbWRtt5spIZPpkOSWgbT5ug/edit?usp=sharing"",""ศรีสะเกษ!Q190"")+IMPORTRANGE(""https://doc"&amp;"s.google.com/spreadsheets/d/17P34_Ow5kFBfdQD0qspb2UuPX5zpi6WMrQzslghyvrI/edit?usp=sharing"",""สกลนคร!Q190"")+IMPORTRANGE(""https://docs.google.com/spreadsheets/d/1yswqbM3-AEpThF3ZSUa1AcmHnmRTF1vlJ1CZGcJ8YuU/edit?usp=sharing"",""สุรินทร์!Q190"")+IMPORTRANG"&amp;"E(""https://docs.google.com/spreadsheets/d/13JHU_EFbsQOUQ0JSQ3dWy1VTRosIWcDq6Nc99z2qzdc/edit?usp=sharing"",""หนองคาย!Q190"")+IMPORTRANGE(""https://docs.google.com/spreadsheets/d/1Hx73zIEgVdDZZaYSTc46Dqv64atFhpr3GelxLbaIN8A/edit?usp=sharing"",""หนองบัวลำภู"&amp;"!Q190"")+IMPORTRANGE(""https://docs.google.com/spreadsheets/d/1lFxr3ctmjFN90yc-xV6jrQ9Ty8BKYVBWnAZ15wcNIJc/edit?usp=sharing"",""อำนาจเจริญ!Q190"")+IMPORTRANGE(""https://docs.google.com/spreadsheets/d/1gF7RJpRnL-1oyjyeWxs5SFWEH7y8ahOZsQlyp2A2e-A/edit?usp=s"&amp;"haring"",""อุดรธานี!Q190"")+IMPORTRANGE(""https://docs.google.com/spreadsheets/d/1kfLP0j3INXRa8bTDpcEmoWewMBV61jlFlfzczfjWIgc/edit?usp=sharing"",""อุบลราชธานี!Q190"")"),0)</f>
        <v>0</v>
      </c>
      <c r="R190" s="56">
        <f ca="1">IFERROR(__xludf.DUMMYFUNCTION("IMPORTRANGE(""https://docs.google.com/spreadsheets/d/1yhBcrRPreicbMKl9Bu_Snb2-OcQAF62RKfhTLhJ2eAA/edit?usp=sharing"",""กาฬสินธุ์!R190"")+IMPORTRANGE(""https://docs.google.com/spreadsheets/d/1aHkj4IaQMThhwWwevcOymEh837vdxeC_PycurhTbGFA/edit?usp=sharing"","&amp;"""ขอนแก่น!R190"")+IMPORTRANGE(""https://docs.google.com/spreadsheets/d/1FvTu2DsIWUjP6WCWra38Bkj_oOl_sOMf14r5Fg5srxU/edit?usp=sharing"",""ชัยภูมิ!R190"")+IMPORTRANGE(""https://docs.google.com/spreadsheets/d/1XVB7oCJ3pr-vBUdflwPQ8Z2LlzhnCvZaaYjAfP-647E/edit"&amp;"?usp=sharing"",""นครพนม!R190"")+IMPORTRANGE(""https://docs.google.com/spreadsheets/d/1Mnpb-8PYAgn85W6KOTD40hc_Xc55CaLfHoGAbrZ8tls/edit?usp=sharing"",""นครราชสีมา!R190"")+IMPORTRANGE(""https://docs.google.com/spreadsheets/d/1xoDLGBv9CYbyosIhki0kTq6IpYNj-gp"&amp;"jxfobnaDiut0/edit?usp=sharing"",""บึงกาฬ!R190"")+IMPORTRANGE(""https://docs.google.com/spreadsheets/d/1MMPq-JyI6DSgQETxuSiXkesP-P7JHuemnE6QJIa-Nlw/edit?usp=sharing"",""บุรีรัมย์!R190"")+IMPORTRANGE(""https://docs.google.com/spreadsheets/d/1l6IZ8xUPgMrESzc"&amp;"TYwhA1k_tPjeQjJPTqlm8Gd9eU5g/edit?usp=sharing"",""มหาสารคาม!R190"")+IMPORTRANGE(""https://docs.google.com/spreadsheets/d/1uB74YLqNjWX6FObjekfB2NtSYigTQyR2rq9u4Ub2Sq4/edit?usp=sharing"",""มุกดาหาร!R190"")+IMPORTRANGE(""https://docs.google.com/spreadsheets/"&amp;"d/1NexK3geCPxCTO1fzNF8dPec7yZyUx3OaWkFBC9HsQOo/edit?usp=sharing"",""ยโสธร!R190"")+IMPORTRANGE(""https://docs.google.com/spreadsheets/d/1v_cJrbBlyqmnHPReHk44g9NrMRdENNlSy_E_c5M9fIg/edit?usp=sharing"",""ร้อยเอ็ด!R190"")+IMPORTRANGE(""https://docs.google.com"&amp;"/spreadsheets/d/1Ul4RCpCX66NxYADU1QpwAPjOmBzW64SsT11s1wzXw_c/edit?usp=sharing"",""เลย!R190"")+IMPORTRANGE(""https://docs.google.com/spreadsheets/d/1bRrNKwbHDVktQG10isr5vbWRtt5spIZPpkOSWgbT5ug/edit?usp=sharing"",""ศรีสะเกษ!R190"")+IMPORTRANGE(""https://doc"&amp;"s.google.com/spreadsheets/d/17P34_Ow5kFBfdQD0qspb2UuPX5zpi6WMrQzslghyvrI/edit?usp=sharing"",""สกลนคร!R190"")+IMPORTRANGE(""https://docs.google.com/spreadsheets/d/1yswqbM3-AEpThF3ZSUa1AcmHnmRTF1vlJ1CZGcJ8YuU/edit?usp=sharing"",""สุรินทร์!R190"")+IMPORTRANG"&amp;"E(""https://docs.google.com/spreadsheets/d/13JHU_EFbsQOUQ0JSQ3dWy1VTRosIWcDq6Nc99z2qzdc/edit?usp=sharing"",""หนองคาย!R190"")+IMPORTRANGE(""https://docs.google.com/spreadsheets/d/1Hx73zIEgVdDZZaYSTc46Dqv64atFhpr3GelxLbaIN8A/edit?usp=sharing"",""หนองบัวลำภู"&amp;"!R190"")+IMPORTRANGE(""https://docs.google.com/spreadsheets/d/1lFxr3ctmjFN90yc-xV6jrQ9Ty8BKYVBWnAZ15wcNIJc/edit?usp=sharing"",""อำนาจเจริญ!R190"")+IMPORTRANGE(""https://docs.google.com/spreadsheets/d/1gF7RJpRnL-1oyjyeWxs5SFWEH7y8ahOZsQlyp2A2e-A/edit?usp=s"&amp;"haring"",""อุดรธานี!R190"")+IMPORTRANGE(""https://docs.google.com/spreadsheets/d/1kfLP0j3INXRa8bTDpcEmoWewMBV61jlFlfzczfjWIgc/edit?usp=sharing"",""อุบลราชธานี!R190"")"),0)</f>
        <v>0</v>
      </c>
      <c r="S190" s="57">
        <f ca="1">IFERROR(__xludf.DUMMYFUNCTION("IMPORTRANGE(""https://docs.google.com/spreadsheets/d/1yhBcrRPreicbMKl9Bu_Snb2-OcQAF62RKfhTLhJ2eAA/edit?usp=sharing"",""กาฬสินธุ์!S190"")+IMPORTRANGE(""https://docs.google.com/spreadsheets/d/1aHkj4IaQMThhwWwevcOymEh837vdxeC_PycurhTbGFA/edit?usp=sharing"","&amp;"""ขอนแก่น!S190"")+IMPORTRANGE(""https://docs.google.com/spreadsheets/d/1FvTu2DsIWUjP6WCWra38Bkj_oOl_sOMf14r5Fg5srxU/edit?usp=sharing"",""ชัยภูมิ!S190"")+IMPORTRANGE(""https://docs.google.com/spreadsheets/d/1XVB7oCJ3pr-vBUdflwPQ8Z2LlzhnCvZaaYjAfP-647E/edit"&amp;"?usp=sharing"",""นครพนม!S190"")+IMPORTRANGE(""https://docs.google.com/spreadsheets/d/1Mnpb-8PYAgn85W6KOTD40hc_Xc55CaLfHoGAbrZ8tls/edit?usp=sharing"",""นครราชสีมา!S190"")+IMPORTRANGE(""https://docs.google.com/spreadsheets/d/1xoDLGBv9CYbyosIhki0kTq6IpYNj-gp"&amp;"jxfobnaDiut0/edit?usp=sharing"",""บึงกาฬ!S190"")+IMPORTRANGE(""https://docs.google.com/spreadsheets/d/1MMPq-JyI6DSgQETxuSiXkesP-P7JHuemnE6QJIa-Nlw/edit?usp=sharing"",""บุรีรัมย์!S190"")+IMPORTRANGE(""https://docs.google.com/spreadsheets/d/1l6IZ8xUPgMrESzc"&amp;"TYwhA1k_tPjeQjJPTqlm8Gd9eU5g/edit?usp=sharing"",""มหาสารคาม!S190"")+IMPORTRANGE(""https://docs.google.com/spreadsheets/d/1uB74YLqNjWX6FObjekfB2NtSYigTQyR2rq9u4Ub2Sq4/edit?usp=sharing"",""มุกดาหาร!S190"")+IMPORTRANGE(""https://docs.google.com/spreadsheets/"&amp;"d/1NexK3geCPxCTO1fzNF8dPec7yZyUx3OaWkFBC9HsQOo/edit?usp=sharing"",""ยโสธร!S190"")+IMPORTRANGE(""https://docs.google.com/spreadsheets/d/1v_cJrbBlyqmnHPReHk44g9NrMRdENNlSy_E_c5M9fIg/edit?usp=sharing"",""ร้อยเอ็ด!S190"")+IMPORTRANGE(""https://docs.google.com"&amp;"/spreadsheets/d/1Ul4RCpCX66NxYADU1QpwAPjOmBzW64SsT11s1wzXw_c/edit?usp=sharing"",""เลย!S190"")+IMPORTRANGE(""https://docs.google.com/spreadsheets/d/1bRrNKwbHDVktQG10isr5vbWRtt5spIZPpkOSWgbT5ug/edit?usp=sharing"",""ศรีสะเกษ!S190"")+IMPORTRANGE(""https://doc"&amp;"s.google.com/spreadsheets/d/17P34_Ow5kFBfdQD0qspb2UuPX5zpi6WMrQzslghyvrI/edit?usp=sharing"",""สกลนคร!S190"")+IMPORTRANGE(""https://docs.google.com/spreadsheets/d/1yswqbM3-AEpThF3ZSUa1AcmHnmRTF1vlJ1CZGcJ8YuU/edit?usp=sharing"",""สุรินทร์!S190"")+IMPORTRANG"&amp;"E(""https://docs.google.com/spreadsheets/d/13JHU_EFbsQOUQ0JSQ3dWy1VTRosIWcDq6Nc99z2qzdc/edit?usp=sharing"",""หนองคาย!S190"")+IMPORTRANGE(""https://docs.google.com/spreadsheets/d/1Hx73zIEgVdDZZaYSTc46Dqv64atFhpr3GelxLbaIN8A/edit?usp=sharing"",""หนองบัวลำภู"&amp;"!S190"")+IMPORTRANGE(""https://docs.google.com/spreadsheets/d/1lFxr3ctmjFN90yc-xV6jrQ9Ty8BKYVBWnAZ15wcNIJc/edit?usp=sharing"",""อำนาจเจริญ!S190"")+IMPORTRANGE(""https://docs.google.com/spreadsheets/d/1gF7RJpRnL-1oyjyeWxs5SFWEH7y8ahOZsQlyp2A2e-A/edit?usp=s"&amp;"haring"",""อุดรธานี!S190"")+IMPORTRANGE(""https://docs.google.com/spreadsheets/d/1kfLP0j3INXRa8bTDpcEmoWewMBV61jlFlfzczfjWIgc/edit?usp=sharing"",""อุบลราชธานี!S190"")"),0)</f>
        <v>0</v>
      </c>
      <c r="T190" s="59">
        <f t="shared" ca="1" si="161"/>
        <v>0</v>
      </c>
      <c r="U190" s="59">
        <f t="shared" ca="1" si="162"/>
        <v>0</v>
      </c>
    </row>
    <row r="191" spans="1:21" ht="18.75">
      <c r="A191" s="155"/>
      <c r="B191" s="50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56">
        <f ca="1">IFERROR(__xludf.DUMMYFUNCTION("IMPORTRANGE(""https://docs.google.com/spreadsheets/d/1yhBcrRPreicbMKl9Bu_Snb2-OcQAF62RKfhTLhJ2eAA/edit?usp=sharing"",""กาฬสินธุ์!L191"")+IMPORTRANGE(""https://docs.google.com/spreadsheets/d/1aHkj4IaQMThhwWwevcOymEh837vdxeC_PycurhTbGFA/edit?usp=sharing"","&amp;"""ขอนแก่น!L191"")+IMPORTRANGE(""https://docs.google.com/spreadsheets/d/1FvTu2DsIWUjP6WCWra38Bkj_oOl_sOMf14r5Fg5srxU/edit?usp=sharing"",""ชัยภูมิ!L191"")+IMPORTRANGE(""https://docs.google.com/spreadsheets/d/1XVB7oCJ3pr-vBUdflwPQ8Z2LlzhnCvZaaYjAfP-647E/edit"&amp;"?usp=sharing"",""นครพนม!L191"")+IMPORTRANGE(""https://docs.google.com/spreadsheets/d/1Mnpb-8PYAgn85W6KOTD40hc_Xc55CaLfHoGAbrZ8tls/edit?usp=sharing"",""นครราชสีมา!L191"")+IMPORTRANGE(""https://docs.google.com/spreadsheets/d/1xoDLGBv9CYbyosIhki0kTq6IpYNj-gp"&amp;"jxfobnaDiut0/edit?usp=sharing"",""บึงกาฬ!L191"")+IMPORTRANGE(""https://docs.google.com/spreadsheets/d/1MMPq-JyI6DSgQETxuSiXkesP-P7JHuemnE6QJIa-Nlw/edit?usp=sharing"",""บุรีรัมย์!L191"")+IMPORTRANGE(""https://docs.google.com/spreadsheets/d/1l6IZ8xUPgMrESzc"&amp;"TYwhA1k_tPjeQjJPTqlm8Gd9eU5g/edit?usp=sharing"",""มหาสารคาม!L191"")+IMPORTRANGE(""https://docs.google.com/spreadsheets/d/1uB74YLqNjWX6FObjekfB2NtSYigTQyR2rq9u4Ub2Sq4/edit?usp=sharing"",""มุกดาหาร!L191"")+IMPORTRANGE(""https://docs.google.com/spreadsheets/"&amp;"d/1NexK3geCPxCTO1fzNF8dPec7yZyUx3OaWkFBC9HsQOo/edit?usp=sharing"",""ยโสธร!L191"")+IMPORTRANGE(""https://docs.google.com/spreadsheets/d/1v_cJrbBlyqmnHPReHk44g9NrMRdENNlSy_E_c5M9fIg/edit?usp=sharing"",""ร้อยเอ็ด!L191"")+IMPORTRANGE(""https://docs.google.com"&amp;"/spreadsheets/d/1Ul4RCpCX66NxYADU1QpwAPjOmBzW64SsT11s1wzXw_c/edit?usp=sharing"",""เลย!L191"")+IMPORTRANGE(""https://docs.google.com/spreadsheets/d/1bRrNKwbHDVktQG10isr5vbWRtt5spIZPpkOSWgbT5ug/edit?usp=sharing"",""ศรีสะเกษ!L191"")+IMPORTRANGE(""https://doc"&amp;"s.google.com/spreadsheets/d/17P34_Ow5kFBfdQD0qspb2UuPX5zpi6WMrQzslghyvrI/edit?usp=sharing"",""สกลนคร!L191"")+IMPORTRANGE(""https://docs.google.com/spreadsheets/d/1yswqbM3-AEpThF3ZSUa1AcmHnmRTF1vlJ1CZGcJ8YuU/edit?usp=sharing"",""สุรินทร์!L191"")+IMPORTRANG"&amp;"E(""https://docs.google.com/spreadsheets/d/13JHU_EFbsQOUQ0JSQ3dWy1VTRosIWcDq6Nc99z2qzdc/edit?usp=sharing"",""หนองคาย!L191"")+IMPORTRANGE(""https://docs.google.com/spreadsheets/d/1Hx73zIEgVdDZZaYSTc46Dqv64atFhpr3GelxLbaIN8A/edit?usp=sharing"",""หนองบัวลำภู"&amp;"!L191"")+IMPORTRANGE(""https://docs.google.com/spreadsheets/d/1lFxr3ctmjFN90yc-xV6jrQ9Ty8BKYVBWnAZ15wcNIJc/edit?usp=sharing"",""อำนาจเจริญ!L191"")+IMPORTRANGE(""https://docs.google.com/spreadsheets/d/1gF7RJpRnL-1oyjyeWxs5SFWEH7y8ahOZsQlyp2A2e-A/edit?usp=s"&amp;"haring"",""อุดรธานี!L191"")+IMPORTRANGE(""https://docs.google.com/spreadsheets/d/1kfLP0j3INXRa8bTDpcEmoWewMBV61jlFlfzczfjWIgc/edit?usp=sharing"",""อุบลราชธานี!L191"")"),3091200)</f>
        <v>3091200</v>
      </c>
      <c r="M191" s="56">
        <f ca="1">IFERROR(__xludf.DUMMYFUNCTION("IMPORTRANGE(""https://docs.google.com/spreadsheets/d/1yhBcrRPreicbMKl9Bu_Snb2-OcQAF62RKfhTLhJ2eAA/edit?usp=sharing"",""กาฬสินธุ์!M191"")+IMPORTRANGE(""https://docs.google.com/spreadsheets/d/1aHkj4IaQMThhwWwevcOymEh837vdxeC_PycurhTbGFA/edit?usp=sharing"","&amp;"""ขอนแก่น!M191"")+IMPORTRANGE(""https://docs.google.com/spreadsheets/d/1FvTu2DsIWUjP6WCWra38Bkj_oOl_sOMf14r5Fg5srxU/edit?usp=sharing"",""ชัยภูมิ!M191"")+IMPORTRANGE(""https://docs.google.com/spreadsheets/d/1XVB7oCJ3pr-vBUdflwPQ8Z2LlzhnCvZaaYjAfP-647E/edit"&amp;"?usp=sharing"",""นครพนม!M191"")+IMPORTRANGE(""https://docs.google.com/spreadsheets/d/1Mnpb-8PYAgn85W6KOTD40hc_Xc55CaLfHoGAbrZ8tls/edit?usp=sharing"",""นครราชสีมา!M191"")+IMPORTRANGE(""https://docs.google.com/spreadsheets/d/1xoDLGBv9CYbyosIhki0kTq6IpYNj-gp"&amp;"jxfobnaDiut0/edit?usp=sharing"",""บึงกาฬ!M191"")+IMPORTRANGE(""https://docs.google.com/spreadsheets/d/1MMPq-JyI6DSgQETxuSiXkesP-P7JHuemnE6QJIa-Nlw/edit?usp=sharing"",""บุรีรัมย์!M191"")+IMPORTRANGE(""https://docs.google.com/spreadsheets/d/1l6IZ8xUPgMrESzc"&amp;"TYwhA1k_tPjeQjJPTqlm8Gd9eU5g/edit?usp=sharing"",""มหาสารคาม!M191"")+IMPORTRANGE(""https://docs.google.com/spreadsheets/d/1uB74YLqNjWX6FObjekfB2NtSYigTQyR2rq9u4Ub2Sq4/edit?usp=sharing"",""มุกดาหาร!M191"")+IMPORTRANGE(""https://docs.google.com/spreadsheets/"&amp;"d/1NexK3geCPxCTO1fzNF8dPec7yZyUx3OaWkFBC9HsQOo/edit?usp=sharing"",""ยโสธร!M191"")+IMPORTRANGE(""https://docs.google.com/spreadsheets/d/1v_cJrbBlyqmnHPReHk44g9NrMRdENNlSy_E_c5M9fIg/edit?usp=sharing"",""ร้อยเอ็ด!M191"")+IMPORTRANGE(""https://docs.google.com"&amp;"/spreadsheets/d/1Ul4RCpCX66NxYADU1QpwAPjOmBzW64SsT11s1wzXw_c/edit?usp=sharing"",""เลย!M191"")+IMPORTRANGE(""https://docs.google.com/spreadsheets/d/1bRrNKwbHDVktQG10isr5vbWRtt5spIZPpkOSWgbT5ug/edit?usp=sharing"",""ศรีสะเกษ!M191"")+IMPORTRANGE(""https://doc"&amp;"s.google.com/spreadsheets/d/17P34_Ow5kFBfdQD0qspb2UuPX5zpi6WMrQzslghyvrI/edit?usp=sharing"",""สกลนคร!M191"")+IMPORTRANGE(""https://docs.google.com/spreadsheets/d/1yswqbM3-AEpThF3ZSUa1AcmHnmRTF1vlJ1CZGcJ8YuU/edit?usp=sharing"",""สุรินทร์!M191"")+IMPORTRANG"&amp;"E(""https://docs.google.com/spreadsheets/d/13JHU_EFbsQOUQ0JSQ3dWy1VTRosIWcDq6Nc99z2qzdc/edit?usp=sharing"",""หนองคาย!M191"")+IMPORTRANGE(""https://docs.google.com/spreadsheets/d/1Hx73zIEgVdDZZaYSTc46Dqv64atFhpr3GelxLbaIN8A/edit?usp=sharing"",""หนองบัวลำภู"&amp;"!M191"")+IMPORTRANGE(""https://docs.google.com/spreadsheets/d/1lFxr3ctmjFN90yc-xV6jrQ9Ty8BKYVBWnAZ15wcNIJc/edit?usp=sharing"",""อำนาจเจริญ!M191"")+IMPORTRANGE(""https://docs.google.com/spreadsheets/d/1gF7RJpRnL-1oyjyeWxs5SFWEH7y8ahOZsQlyp2A2e-A/edit?usp=s"&amp;"haring"",""อุดรธานี!M191"")+IMPORTRANGE(""https://docs.google.com/spreadsheets/d/1kfLP0j3INXRa8bTDpcEmoWewMBV61jlFlfzczfjWIgc/edit?usp=sharing"",""อุบลราชธานี!M191"")"),2496220)</f>
        <v>2496220</v>
      </c>
      <c r="N191" s="56">
        <f ca="1">IFERROR(__xludf.DUMMYFUNCTION("IMPORTRANGE(""https://docs.google.com/spreadsheets/d/1yhBcrRPreicbMKl9Bu_Snb2-OcQAF62RKfhTLhJ2eAA/edit?usp=sharing"",""กาฬสินธุ์!N191"")+IMPORTRANGE(""https://docs.google.com/spreadsheets/d/1aHkj4IaQMThhwWwevcOymEh837vdxeC_PycurhTbGFA/edit?usp=sharing"","&amp;"""ขอนแก่น!N191"")+IMPORTRANGE(""https://docs.google.com/spreadsheets/d/1FvTu2DsIWUjP6WCWra38Bkj_oOl_sOMf14r5Fg5srxU/edit?usp=sharing"",""ชัยภูมิ!N191"")+IMPORTRANGE(""https://docs.google.com/spreadsheets/d/1XVB7oCJ3pr-vBUdflwPQ8Z2LlzhnCvZaaYjAfP-647E/edit"&amp;"?usp=sharing"",""นครพนม!N191"")+IMPORTRANGE(""https://docs.google.com/spreadsheets/d/1Mnpb-8PYAgn85W6KOTD40hc_Xc55CaLfHoGAbrZ8tls/edit?usp=sharing"",""นครราชสีมา!N191"")+IMPORTRANGE(""https://docs.google.com/spreadsheets/d/1xoDLGBv9CYbyosIhki0kTq6IpYNj-gp"&amp;"jxfobnaDiut0/edit?usp=sharing"",""บึงกาฬ!N191"")+IMPORTRANGE(""https://docs.google.com/spreadsheets/d/1MMPq-JyI6DSgQETxuSiXkesP-P7JHuemnE6QJIa-Nlw/edit?usp=sharing"",""บุรีรัมย์!N191"")+IMPORTRANGE(""https://docs.google.com/spreadsheets/d/1l6IZ8xUPgMrESzc"&amp;"TYwhA1k_tPjeQjJPTqlm8Gd9eU5g/edit?usp=sharing"",""มหาสารคาม!N191"")+IMPORTRANGE(""https://docs.google.com/spreadsheets/d/1uB74YLqNjWX6FObjekfB2NtSYigTQyR2rq9u4Ub2Sq4/edit?usp=sharing"",""มุกดาหาร!N191"")+IMPORTRANGE(""https://docs.google.com/spreadsheets/"&amp;"d/1NexK3geCPxCTO1fzNF8dPec7yZyUx3OaWkFBC9HsQOo/edit?usp=sharing"",""ยโสธร!N191"")+IMPORTRANGE(""https://docs.google.com/spreadsheets/d/1v_cJrbBlyqmnHPReHk44g9NrMRdENNlSy_E_c5M9fIg/edit?usp=sharing"",""ร้อยเอ็ด!N191"")+IMPORTRANGE(""https://docs.google.com"&amp;"/spreadsheets/d/1Ul4RCpCX66NxYADU1QpwAPjOmBzW64SsT11s1wzXw_c/edit?usp=sharing"",""เลย!N191"")+IMPORTRANGE(""https://docs.google.com/spreadsheets/d/1bRrNKwbHDVktQG10isr5vbWRtt5spIZPpkOSWgbT5ug/edit?usp=sharing"",""ศรีสะเกษ!N191"")+IMPORTRANGE(""https://doc"&amp;"s.google.com/spreadsheets/d/17P34_Ow5kFBfdQD0qspb2UuPX5zpi6WMrQzslghyvrI/edit?usp=sharing"",""สกลนคร!N191"")+IMPORTRANGE(""https://docs.google.com/spreadsheets/d/1yswqbM3-AEpThF3ZSUa1AcmHnmRTF1vlJ1CZGcJ8YuU/edit?usp=sharing"",""สุรินทร์!N191"")+IMPORTRANG"&amp;"E(""https://docs.google.com/spreadsheets/d/13JHU_EFbsQOUQ0JSQ3dWy1VTRosIWcDq6Nc99z2qzdc/edit?usp=sharing"",""หนองคาย!N191"")+IMPORTRANGE(""https://docs.google.com/spreadsheets/d/1Hx73zIEgVdDZZaYSTc46Dqv64atFhpr3GelxLbaIN8A/edit?usp=sharing"",""หนองบัวลำภู"&amp;"!N191"")+IMPORTRANGE(""https://docs.google.com/spreadsheets/d/1lFxr3ctmjFN90yc-xV6jrQ9Ty8BKYVBWnAZ15wcNIJc/edit?usp=sharing"",""อำนาจเจริญ!N191"")+IMPORTRANGE(""https://docs.google.com/spreadsheets/d/1gF7RJpRnL-1oyjyeWxs5SFWEH7y8ahOZsQlyp2A2e-A/edit?usp=s"&amp;"haring"",""อุดรธานี!N191"")+IMPORTRANGE(""https://docs.google.com/spreadsheets/d/1kfLP0j3INXRa8bTDpcEmoWewMBV61jlFlfzczfjWIgc/edit?usp=sharing"",""อุบลราชธานี!N191"")"),1506029.09)</f>
        <v>1506029.09</v>
      </c>
      <c r="O191" s="56">
        <f t="shared" ca="1" si="158"/>
        <v>48.719885157867495</v>
      </c>
      <c r="P191" s="56">
        <f t="shared" ca="1" si="159"/>
        <v>60.332386167885844</v>
      </c>
      <c r="Q191" s="56">
        <f ca="1">IFERROR(__xludf.DUMMYFUNCTION("IMPORTRANGE(""https://docs.google.com/spreadsheets/d/1yhBcrRPreicbMKl9Bu_Snb2-OcQAF62RKfhTLhJ2eAA/edit?usp=sharing"",""กาฬสินธุ์!Q191"")+IMPORTRANGE(""https://docs.google.com/spreadsheets/d/1aHkj4IaQMThhwWwevcOymEh837vdxeC_PycurhTbGFA/edit?usp=sharing"","&amp;"""ขอนแก่น!Q191"")+IMPORTRANGE(""https://docs.google.com/spreadsheets/d/1FvTu2DsIWUjP6WCWra38Bkj_oOl_sOMf14r5Fg5srxU/edit?usp=sharing"",""ชัยภูมิ!Q191"")+IMPORTRANGE(""https://docs.google.com/spreadsheets/d/1XVB7oCJ3pr-vBUdflwPQ8Z2LlzhnCvZaaYjAfP-647E/edit"&amp;"?usp=sharing"",""นครพนม!Q191"")+IMPORTRANGE(""https://docs.google.com/spreadsheets/d/1Mnpb-8PYAgn85W6KOTD40hc_Xc55CaLfHoGAbrZ8tls/edit?usp=sharing"",""นครราชสีมา!Q191"")+IMPORTRANGE(""https://docs.google.com/spreadsheets/d/1xoDLGBv9CYbyosIhki0kTq6IpYNj-gp"&amp;"jxfobnaDiut0/edit?usp=sharing"",""บึงกาฬ!Q191"")+IMPORTRANGE(""https://docs.google.com/spreadsheets/d/1MMPq-JyI6DSgQETxuSiXkesP-P7JHuemnE6QJIa-Nlw/edit?usp=sharing"",""บุรีรัมย์!Q191"")+IMPORTRANGE(""https://docs.google.com/spreadsheets/d/1l6IZ8xUPgMrESzc"&amp;"TYwhA1k_tPjeQjJPTqlm8Gd9eU5g/edit?usp=sharing"",""มหาสารคาม!Q191"")+IMPORTRANGE(""https://docs.google.com/spreadsheets/d/1uB74YLqNjWX6FObjekfB2NtSYigTQyR2rq9u4Ub2Sq4/edit?usp=sharing"",""มุกดาหาร!Q191"")+IMPORTRANGE(""https://docs.google.com/spreadsheets/"&amp;"d/1NexK3geCPxCTO1fzNF8dPec7yZyUx3OaWkFBC9HsQOo/edit?usp=sharing"",""ยโสธร!Q191"")+IMPORTRANGE(""https://docs.google.com/spreadsheets/d/1v_cJrbBlyqmnHPReHk44g9NrMRdENNlSy_E_c5M9fIg/edit?usp=sharing"",""ร้อยเอ็ด!Q191"")+IMPORTRANGE(""https://docs.google.com"&amp;"/spreadsheets/d/1Ul4RCpCX66NxYADU1QpwAPjOmBzW64SsT11s1wzXw_c/edit?usp=sharing"",""เลย!Q191"")+IMPORTRANGE(""https://docs.google.com/spreadsheets/d/1bRrNKwbHDVktQG10isr5vbWRtt5spIZPpkOSWgbT5ug/edit?usp=sharing"",""ศรีสะเกษ!Q191"")+IMPORTRANGE(""https://doc"&amp;"s.google.com/spreadsheets/d/17P34_Ow5kFBfdQD0qspb2UuPX5zpi6WMrQzslghyvrI/edit?usp=sharing"",""สกลนคร!Q191"")+IMPORTRANGE(""https://docs.google.com/spreadsheets/d/1yswqbM3-AEpThF3ZSUa1AcmHnmRTF1vlJ1CZGcJ8YuU/edit?usp=sharing"",""สุรินทร์!Q191"")+IMPORTRANG"&amp;"E(""https://docs.google.com/spreadsheets/d/13JHU_EFbsQOUQ0JSQ3dWy1VTRosIWcDq6Nc99z2qzdc/edit?usp=sharing"",""หนองคาย!Q191"")+IMPORTRANGE(""https://docs.google.com/spreadsheets/d/1Hx73zIEgVdDZZaYSTc46Dqv64atFhpr3GelxLbaIN8A/edit?usp=sharing"",""หนองบัวลำภู"&amp;"!Q191"")+IMPORTRANGE(""https://docs.google.com/spreadsheets/d/1lFxr3ctmjFN90yc-xV6jrQ9Ty8BKYVBWnAZ15wcNIJc/edit?usp=sharing"",""อำนาจเจริญ!Q191"")+IMPORTRANGE(""https://docs.google.com/spreadsheets/d/1gF7RJpRnL-1oyjyeWxs5SFWEH7y8ahOZsQlyp2A2e-A/edit?usp=s"&amp;"haring"",""อุดรธานี!Q191"")+IMPORTRANGE(""https://docs.google.com/spreadsheets/d/1kfLP0j3INXRa8bTDpcEmoWewMBV61jlFlfzczfjWIgc/edit?usp=sharing"",""อุบลราชธานี!Q191"")"),2147500)</f>
        <v>2147500</v>
      </c>
      <c r="R191" s="56">
        <f ca="1">IFERROR(__xludf.DUMMYFUNCTION("IMPORTRANGE(""https://docs.google.com/spreadsheets/d/1yhBcrRPreicbMKl9Bu_Snb2-OcQAF62RKfhTLhJ2eAA/edit?usp=sharing"",""กาฬสินธุ์!R191"")+IMPORTRANGE(""https://docs.google.com/spreadsheets/d/1aHkj4IaQMThhwWwevcOymEh837vdxeC_PycurhTbGFA/edit?usp=sharing"","&amp;"""ขอนแก่น!R191"")+IMPORTRANGE(""https://docs.google.com/spreadsheets/d/1FvTu2DsIWUjP6WCWra38Bkj_oOl_sOMf14r5Fg5srxU/edit?usp=sharing"",""ชัยภูมิ!R191"")+IMPORTRANGE(""https://docs.google.com/spreadsheets/d/1XVB7oCJ3pr-vBUdflwPQ8Z2LlzhnCvZaaYjAfP-647E/edit"&amp;"?usp=sharing"",""นครพนม!R191"")+IMPORTRANGE(""https://docs.google.com/spreadsheets/d/1Mnpb-8PYAgn85W6KOTD40hc_Xc55CaLfHoGAbrZ8tls/edit?usp=sharing"",""นครราชสีมา!R191"")+IMPORTRANGE(""https://docs.google.com/spreadsheets/d/1xoDLGBv9CYbyosIhki0kTq6IpYNj-gp"&amp;"jxfobnaDiut0/edit?usp=sharing"",""บึงกาฬ!R191"")+IMPORTRANGE(""https://docs.google.com/spreadsheets/d/1MMPq-JyI6DSgQETxuSiXkesP-P7JHuemnE6QJIa-Nlw/edit?usp=sharing"",""บุรีรัมย์!R191"")+IMPORTRANGE(""https://docs.google.com/spreadsheets/d/1l6IZ8xUPgMrESzc"&amp;"TYwhA1k_tPjeQjJPTqlm8Gd9eU5g/edit?usp=sharing"",""มหาสารคาม!R191"")+IMPORTRANGE(""https://docs.google.com/spreadsheets/d/1uB74YLqNjWX6FObjekfB2NtSYigTQyR2rq9u4Ub2Sq4/edit?usp=sharing"",""มุกดาหาร!R191"")+IMPORTRANGE(""https://docs.google.com/spreadsheets/"&amp;"d/1NexK3geCPxCTO1fzNF8dPec7yZyUx3OaWkFBC9HsQOo/edit?usp=sharing"",""ยโสธร!R191"")+IMPORTRANGE(""https://docs.google.com/spreadsheets/d/1v_cJrbBlyqmnHPReHk44g9NrMRdENNlSy_E_c5M9fIg/edit?usp=sharing"",""ร้อยเอ็ด!R191"")+IMPORTRANGE(""https://docs.google.com"&amp;"/spreadsheets/d/1Ul4RCpCX66NxYADU1QpwAPjOmBzW64SsT11s1wzXw_c/edit?usp=sharing"",""เลย!R191"")+IMPORTRANGE(""https://docs.google.com/spreadsheets/d/1bRrNKwbHDVktQG10isr5vbWRtt5spIZPpkOSWgbT5ug/edit?usp=sharing"",""ศรีสะเกษ!R191"")+IMPORTRANGE(""https://doc"&amp;"s.google.com/spreadsheets/d/17P34_Ow5kFBfdQD0qspb2UuPX5zpi6WMrQzslghyvrI/edit?usp=sharing"",""สกลนคร!R191"")+IMPORTRANGE(""https://docs.google.com/spreadsheets/d/1yswqbM3-AEpThF3ZSUa1AcmHnmRTF1vlJ1CZGcJ8YuU/edit?usp=sharing"",""สุรินทร์!R191"")+IMPORTRANG"&amp;"E(""https://docs.google.com/spreadsheets/d/13JHU_EFbsQOUQ0JSQ3dWy1VTRosIWcDq6Nc99z2qzdc/edit?usp=sharing"",""หนองคาย!R191"")+IMPORTRANGE(""https://docs.google.com/spreadsheets/d/1Hx73zIEgVdDZZaYSTc46Dqv64atFhpr3GelxLbaIN8A/edit?usp=sharing"",""หนองบัวลำภู"&amp;"!R191"")+IMPORTRANGE(""https://docs.google.com/spreadsheets/d/1lFxr3ctmjFN90yc-xV6jrQ9Ty8BKYVBWnAZ15wcNIJc/edit?usp=sharing"",""อำนาจเจริญ!R191"")+IMPORTRANGE(""https://docs.google.com/spreadsheets/d/1gF7RJpRnL-1oyjyeWxs5SFWEH7y8ahOZsQlyp2A2e-A/edit?usp=s"&amp;"haring"",""อุดรธานี!R191"")+IMPORTRANGE(""https://docs.google.com/spreadsheets/d/1kfLP0j3INXRa8bTDpcEmoWewMBV61jlFlfzczfjWIgc/edit?usp=sharing"",""อุบลราชธานี!R191"")"),2245500)</f>
        <v>2245500</v>
      </c>
      <c r="S191" s="57">
        <f ca="1">IFERROR(__xludf.DUMMYFUNCTION("IMPORTRANGE(""https://docs.google.com/spreadsheets/d/1yhBcrRPreicbMKl9Bu_Snb2-OcQAF62RKfhTLhJ2eAA/edit?usp=sharing"",""กาฬสินธุ์!S191"")+IMPORTRANGE(""https://docs.google.com/spreadsheets/d/1aHkj4IaQMThhwWwevcOymEh837vdxeC_PycurhTbGFA/edit?usp=sharing"","&amp;"""ขอนแก่น!S191"")+IMPORTRANGE(""https://docs.google.com/spreadsheets/d/1FvTu2DsIWUjP6WCWra38Bkj_oOl_sOMf14r5Fg5srxU/edit?usp=sharing"",""ชัยภูมิ!S191"")+IMPORTRANGE(""https://docs.google.com/spreadsheets/d/1XVB7oCJ3pr-vBUdflwPQ8Z2LlzhnCvZaaYjAfP-647E/edit"&amp;"?usp=sharing"",""นครพนม!S191"")+IMPORTRANGE(""https://docs.google.com/spreadsheets/d/1Mnpb-8PYAgn85W6KOTD40hc_Xc55CaLfHoGAbrZ8tls/edit?usp=sharing"",""นครราชสีมา!S191"")+IMPORTRANGE(""https://docs.google.com/spreadsheets/d/1xoDLGBv9CYbyosIhki0kTq6IpYNj-gp"&amp;"jxfobnaDiut0/edit?usp=sharing"",""บึงกาฬ!S191"")+IMPORTRANGE(""https://docs.google.com/spreadsheets/d/1MMPq-JyI6DSgQETxuSiXkesP-P7JHuemnE6QJIa-Nlw/edit?usp=sharing"",""บุรีรัมย์!S191"")+IMPORTRANGE(""https://docs.google.com/spreadsheets/d/1l6IZ8xUPgMrESzc"&amp;"TYwhA1k_tPjeQjJPTqlm8Gd9eU5g/edit?usp=sharing"",""มหาสารคาม!S191"")+IMPORTRANGE(""https://docs.google.com/spreadsheets/d/1uB74YLqNjWX6FObjekfB2NtSYigTQyR2rq9u4Ub2Sq4/edit?usp=sharing"",""มุกดาหาร!S191"")+IMPORTRANGE(""https://docs.google.com/spreadsheets/"&amp;"d/1NexK3geCPxCTO1fzNF8dPec7yZyUx3OaWkFBC9HsQOo/edit?usp=sharing"",""ยโสธร!S191"")+IMPORTRANGE(""https://docs.google.com/spreadsheets/d/1v_cJrbBlyqmnHPReHk44g9NrMRdENNlSy_E_c5M9fIg/edit?usp=sharing"",""ร้อยเอ็ด!S191"")+IMPORTRANGE(""https://docs.google.com"&amp;"/spreadsheets/d/1Ul4RCpCX66NxYADU1QpwAPjOmBzW64SsT11s1wzXw_c/edit?usp=sharing"",""เลย!S191"")+IMPORTRANGE(""https://docs.google.com/spreadsheets/d/1bRrNKwbHDVktQG10isr5vbWRtt5spIZPpkOSWgbT5ug/edit?usp=sharing"",""ศรีสะเกษ!S191"")+IMPORTRANGE(""https://doc"&amp;"s.google.com/spreadsheets/d/17P34_Ow5kFBfdQD0qspb2UuPX5zpi6WMrQzslghyvrI/edit?usp=sharing"",""สกลนคร!S191"")+IMPORTRANGE(""https://docs.google.com/spreadsheets/d/1yswqbM3-AEpThF3ZSUa1AcmHnmRTF1vlJ1CZGcJ8YuU/edit?usp=sharing"",""สุรินทร์!S191"")+IMPORTRANG"&amp;"E(""https://docs.google.com/spreadsheets/d/13JHU_EFbsQOUQ0JSQ3dWy1VTRosIWcDq6Nc99z2qzdc/edit?usp=sharing"",""หนองคาย!S191"")+IMPORTRANGE(""https://docs.google.com/spreadsheets/d/1Hx73zIEgVdDZZaYSTc46Dqv64atFhpr3GelxLbaIN8A/edit?usp=sharing"",""หนองบัวลำภู"&amp;"!S191"")+IMPORTRANGE(""https://docs.google.com/spreadsheets/d/1lFxr3ctmjFN90yc-xV6jrQ9Ty8BKYVBWnAZ15wcNIJc/edit?usp=sharing"",""อำนาจเจริญ!S191"")+IMPORTRANGE(""https://docs.google.com/spreadsheets/d/1gF7RJpRnL-1oyjyeWxs5SFWEH7y8ahOZsQlyp2A2e-A/edit?usp=s"&amp;"haring"",""อุดรธานี!S191"")+IMPORTRANGE(""https://docs.google.com/spreadsheets/d/1kfLP0j3INXRa8bTDpcEmoWewMBV61jlFlfzczfjWIgc/edit?usp=sharing"",""อุบลราชธานี!S191"")"),289474)</f>
        <v>289474</v>
      </c>
      <c r="T191" s="56">
        <f t="shared" ca="1" si="161"/>
        <v>13.479580908032595</v>
      </c>
      <c r="U191" s="56">
        <f t="shared" ca="1" si="162"/>
        <v>12.891293698508127</v>
      </c>
    </row>
    <row r="192" spans="1:21" ht="18.75">
      <c r="A192" s="155"/>
      <c r="B192" s="50"/>
      <c r="C192" s="50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56">
        <f t="shared" ref="L192:N192" ca="1" si="169">L193+L194</f>
        <v>0</v>
      </c>
      <c r="M192" s="56">
        <f t="shared" ca="1" si="169"/>
        <v>0</v>
      </c>
      <c r="N192" s="56">
        <f t="shared" ca="1" si="169"/>
        <v>0</v>
      </c>
      <c r="O192" s="56">
        <f t="shared" ca="1" si="158"/>
        <v>0</v>
      </c>
      <c r="P192" s="56">
        <f t="shared" ca="1" si="159"/>
        <v>0</v>
      </c>
      <c r="Q192" s="56">
        <f t="shared" ref="Q192:S192" ca="1" si="170">Q193+Q194</f>
        <v>0</v>
      </c>
      <c r="R192" s="56">
        <f t="shared" ca="1" si="170"/>
        <v>0</v>
      </c>
      <c r="S192" s="57">
        <f t="shared" ca="1" si="170"/>
        <v>0</v>
      </c>
      <c r="T192" s="56">
        <f t="shared" ca="1" si="161"/>
        <v>0</v>
      </c>
      <c r="U192" s="56">
        <f t="shared" ca="1" si="162"/>
        <v>0</v>
      </c>
    </row>
    <row r="193" spans="1:21" ht="18.75">
      <c r="A193" s="155"/>
      <c r="B193" s="50"/>
      <c r="C193" s="50"/>
      <c r="D193" s="50"/>
      <c r="E193" s="58" t="s">
        <v>20</v>
      </c>
      <c r="F193" s="50"/>
      <c r="G193" s="52"/>
      <c r="H193" s="162" t="s">
        <v>14</v>
      </c>
      <c r="I193" s="163"/>
      <c r="J193" s="163"/>
      <c r="K193" s="164"/>
      <c r="L193" s="56">
        <f ca="1">IFERROR(__xludf.DUMMYFUNCTION("IMPORTRANGE(""https://docs.google.com/spreadsheets/d/1yhBcrRPreicbMKl9Bu_Snb2-OcQAF62RKfhTLhJ2eAA/edit?usp=sharing"",""กาฬสินธุ์!L193"")+IMPORTRANGE(""https://docs.google.com/spreadsheets/d/1aHkj4IaQMThhwWwevcOymEh837vdxeC_PycurhTbGFA/edit?usp=sharing"","&amp;"""ขอนแก่น!L193"")+IMPORTRANGE(""https://docs.google.com/spreadsheets/d/1FvTu2DsIWUjP6WCWra38Bkj_oOl_sOMf14r5Fg5srxU/edit?usp=sharing"",""ชัยภูมิ!L193"")+IMPORTRANGE(""https://docs.google.com/spreadsheets/d/1XVB7oCJ3pr-vBUdflwPQ8Z2LlzhnCvZaaYjAfP-647E/edit"&amp;"?usp=sharing"",""นครพนม!L193"")+IMPORTRANGE(""https://docs.google.com/spreadsheets/d/1Mnpb-8PYAgn85W6KOTD40hc_Xc55CaLfHoGAbrZ8tls/edit?usp=sharing"",""นครราชสีมา!L193"")+IMPORTRANGE(""https://docs.google.com/spreadsheets/d/1xoDLGBv9CYbyosIhki0kTq6IpYNj-gp"&amp;"jxfobnaDiut0/edit?usp=sharing"",""บึงกาฬ!L193"")+IMPORTRANGE(""https://docs.google.com/spreadsheets/d/1MMPq-JyI6DSgQETxuSiXkesP-P7JHuemnE6QJIa-Nlw/edit?usp=sharing"",""บุรีรัมย์!L193"")+IMPORTRANGE(""https://docs.google.com/spreadsheets/d/1l6IZ8xUPgMrESzc"&amp;"TYwhA1k_tPjeQjJPTqlm8Gd9eU5g/edit?usp=sharing"",""มหาสารคาม!L193"")+IMPORTRANGE(""https://docs.google.com/spreadsheets/d/1uB74YLqNjWX6FObjekfB2NtSYigTQyR2rq9u4Ub2Sq4/edit?usp=sharing"",""มุกดาหาร!L193"")+IMPORTRANGE(""https://docs.google.com/spreadsheets/"&amp;"d/1NexK3geCPxCTO1fzNF8dPec7yZyUx3OaWkFBC9HsQOo/edit?usp=sharing"",""ยโสธร!L193"")+IMPORTRANGE(""https://docs.google.com/spreadsheets/d/1v_cJrbBlyqmnHPReHk44g9NrMRdENNlSy_E_c5M9fIg/edit?usp=sharing"",""ร้อยเอ็ด!L193"")+IMPORTRANGE(""https://docs.google.com"&amp;"/spreadsheets/d/1Ul4RCpCX66NxYADU1QpwAPjOmBzW64SsT11s1wzXw_c/edit?usp=sharing"",""เลย!L193"")+IMPORTRANGE(""https://docs.google.com/spreadsheets/d/1bRrNKwbHDVktQG10isr5vbWRtt5spIZPpkOSWgbT5ug/edit?usp=sharing"",""ศรีสะเกษ!L193"")+IMPORTRANGE(""https://doc"&amp;"s.google.com/spreadsheets/d/17P34_Ow5kFBfdQD0qspb2UuPX5zpi6WMrQzslghyvrI/edit?usp=sharing"",""สกลนคร!L193"")+IMPORTRANGE(""https://docs.google.com/spreadsheets/d/1yswqbM3-AEpThF3ZSUa1AcmHnmRTF1vlJ1CZGcJ8YuU/edit?usp=sharing"",""สุรินทร์!L193"")+IMPORTRANG"&amp;"E(""https://docs.google.com/spreadsheets/d/13JHU_EFbsQOUQ0JSQ3dWy1VTRosIWcDq6Nc99z2qzdc/edit?usp=sharing"",""หนองคาย!L193"")+IMPORTRANGE(""https://docs.google.com/spreadsheets/d/1Hx73zIEgVdDZZaYSTc46Dqv64atFhpr3GelxLbaIN8A/edit?usp=sharing"",""หนองบัวลำภู"&amp;"!L193"")+IMPORTRANGE(""https://docs.google.com/spreadsheets/d/1lFxr3ctmjFN90yc-xV6jrQ9Ty8BKYVBWnAZ15wcNIJc/edit?usp=sharing"",""อำนาจเจริญ!L193"")+IMPORTRANGE(""https://docs.google.com/spreadsheets/d/1gF7RJpRnL-1oyjyeWxs5SFWEH7y8ahOZsQlyp2A2e-A/edit?usp=s"&amp;"haring"",""อุดรธานี!L193"")+IMPORTRANGE(""https://docs.google.com/spreadsheets/d/1kfLP0j3INXRa8bTDpcEmoWewMBV61jlFlfzczfjWIgc/edit?usp=sharing"",""อุบลราชธานี!L193"")"),0)</f>
        <v>0</v>
      </c>
      <c r="M193" s="56">
        <f ca="1">IFERROR(__xludf.DUMMYFUNCTION("IMPORTRANGE(""https://docs.google.com/spreadsheets/d/1yhBcrRPreicbMKl9Bu_Snb2-OcQAF62RKfhTLhJ2eAA/edit?usp=sharing"",""กาฬสินธุ์!M193"")+IMPORTRANGE(""https://docs.google.com/spreadsheets/d/1aHkj4IaQMThhwWwevcOymEh837vdxeC_PycurhTbGFA/edit?usp=sharing"","&amp;"""ขอนแก่น!M193"")+IMPORTRANGE(""https://docs.google.com/spreadsheets/d/1FvTu2DsIWUjP6WCWra38Bkj_oOl_sOMf14r5Fg5srxU/edit?usp=sharing"",""ชัยภูมิ!M193"")+IMPORTRANGE(""https://docs.google.com/spreadsheets/d/1XVB7oCJ3pr-vBUdflwPQ8Z2LlzhnCvZaaYjAfP-647E/edit"&amp;"?usp=sharing"",""นครพนม!M193"")+IMPORTRANGE(""https://docs.google.com/spreadsheets/d/1Mnpb-8PYAgn85W6KOTD40hc_Xc55CaLfHoGAbrZ8tls/edit?usp=sharing"",""นครราชสีมา!M193"")+IMPORTRANGE(""https://docs.google.com/spreadsheets/d/1xoDLGBv9CYbyosIhki0kTq6IpYNj-gp"&amp;"jxfobnaDiut0/edit?usp=sharing"",""บึงกาฬ!M193"")+IMPORTRANGE(""https://docs.google.com/spreadsheets/d/1MMPq-JyI6DSgQETxuSiXkesP-P7JHuemnE6QJIa-Nlw/edit?usp=sharing"",""บุรีรัมย์!M193"")+IMPORTRANGE(""https://docs.google.com/spreadsheets/d/1l6IZ8xUPgMrESzc"&amp;"TYwhA1k_tPjeQjJPTqlm8Gd9eU5g/edit?usp=sharing"",""มหาสารคาม!M193"")+IMPORTRANGE(""https://docs.google.com/spreadsheets/d/1uB74YLqNjWX6FObjekfB2NtSYigTQyR2rq9u4Ub2Sq4/edit?usp=sharing"",""มุกดาหาร!M193"")+IMPORTRANGE(""https://docs.google.com/spreadsheets/"&amp;"d/1NexK3geCPxCTO1fzNF8dPec7yZyUx3OaWkFBC9HsQOo/edit?usp=sharing"",""ยโสธร!M193"")+IMPORTRANGE(""https://docs.google.com/spreadsheets/d/1v_cJrbBlyqmnHPReHk44g9NrMRdENNlSy_E_c5M9fIg/edit?usp=sharing"",""ร้อยเอ็ด!M193"")+IMPORTRANGE(""https://docs.google.com"&amp;"/spreadsheets/d/1Ul4RCpCX66NxYADU1QpwAPjOmBzW64SsT11s1wzXw_c/edit?usp=sharing"",""เลย!M193"")+IMPORTRANGE(""https://docs.google.com/spreadsheets/d/1bRrNKwbHDVktQG10isr5vbWRtt5spIZPpkOSWgbT5ug/edit?usp=sharing"",""ศรีสะเกษ!M193"")+IMPORTRANGE(""https://doc"&amp;"s.google.com/spreadsheets/d/17P34_Ow5kFBfdQD0qspb2UuPX5zpi6WMrQzslghyvrI/edit?usp=sharing"",""สกลนคร!M193"")+IMPORTRANGE(""https://docs.google.com/spreadsheets/d/1yswqbM3-AEpThF3ZSUa1AcmHnmRTF1vlJ1CZGcJ8YuU/edit?usp=sharing"",""สุรินทร์!M193"")+IMPORTRANG"&amp;"E(""https://docs.google.com/spreadsheets/d/13JHU_EFbsQOUQ0JSQ3dWy1VTRosIWcDq6Nc99z2qzdc/edit?usp=sharing"",""หนองคาย!M193"")+IMPORTRANGE(""https://docs.google.com/spreadsheets/d/1Hx73zIEgVdDZZaYSTc46Dqv64atFhpr3GelxLbaIN8A/edit?usp=sharing"",""หนองบัวลำภู"&amp;"!M193"")+IMPORTRANGE(""https://docs.google.com/spreadsheets/d/1lFxr3ctmjFN90yc-xV6jrQ9Ty8BKYVBWnAZ15wcNIJc/edit?usp=sharing"",""อำนาจเจริญ!M193"")+IMPORTRANGE(""https://docs.google.com/spreadsheets/d/1gF7RJpRnL-1oyjyeWxs5SFWEH7y8ahOZsQlyp2A2e-A/edit?usp=s"&amp;"haring"",""อุดรธานี!M193"")+IMPORTRANGE(""https://docs.google.com/spreadsheets/d/1kfLP0j3INXRa8bTDpcEmoWewMBV61jlFlfzczfjWIgc/edit?usp=sharing"",""อุบลราชธานี!M193"")"),0)</f>
        <v>0</v>
      </c>
      <c r="N193" s="56">
        <f ca="1">IFERROR(__xludf.DUMMYFUNCTION("IMPORTRANGE(""https://docs.google.com/spreadsheets/d/1yhBcrRPreicbMKl9Bu_Snb2-OcQAF62RKfhTLhJ2eAA/edit?usp=sharing"",""กาฬสินธุ์!N193"")+IMPORTRANGE(""https://docs.google.com/spreadsheets/d/1aHkj4IaQMThhwWwevcOymEh837vdxeC_PycurhTbGFA/edit?usp=sharing"","&amp;"""ขอนแก่น!N193"")+IMPORTRANGE(""https://docs.google.com/spreadsheets/d/1FvTu2DsIWUjP6WCWra38Bkj_oOl_sOMf14r5Fg5srxU/edit?usp=sharing"",""ชัยภูมิ!N193"")+IMPORTRANGE(""https://docs.google.com/spreadsheets/d/1XVB7oCJ3pr-vBUdflwPQ8Z2LlzhnCvZaaYjAfP-647E/edit"&amp;"?usp=sharing"",""นครพนม!N193"")+IMPORTRANGE(""https://docs.google.com/spreadsheets/d/1Mnpb-8PYAgn85W6KOTD40hc_Xc55CaLfHoGAbrZ8tls/edit?usp=sharing"",""นครราชสีมา!N193"")+IMPORTRANGE(""https://docs.google.com/spreadsheets/d/1xoDLGBv9CYbyosIhki0kTq6IpYNj-gp"&amp;"jxfobnaDiut0/edit?usp=sharing"",""บึงกาฬ!N193"")+IMPORTRANGE(""https://docs.google.com/spreadsheets/d/1MMPq-JyI6DSgQETxuSiXkesP-P7JHuemnE6QJIa-Nlw/edit?usp=sharing"",""บุรีรัมย์!N193"")+IMPORTRANGE(""https://docs.google.com/spreadsheets/d/1l6IZ8xUPgMrESzc"&amp;"TYwhA1k_tPjeQjJPTqlm8Gd9eU5g/edit?usp=sharing"",""มหาสารคาม!N193"")+IMPORTRANGE(""https://docs.google.com/spreadsheets/d/1uB74YLqNjWX6FObjekfB2NtSYigTQyR2rq9u4Ub2Sq4/edit?usp=sharing"",""มุกดาหาร!N193"")+IMPORTRANGE(""https://docs.google.com/spreadsheets/"&amp;"d/1NexK3geCPxCTO1fzNF8dPec7yZyUx3OaWkFBC9HsQOo/edit?usp=sharing"",""ยโสธร!N193"")+IMPORTRANGE(""https://docs.google.com/spreadsheets/d/1v_cJrbBlyqmnHPReHk44g9NrMRdENNlSy_E_c5M9fIg/edit?usp=sharing"",""ร้อยเอ็ด!N193"")+IMPORTRANGE(""https://docs.google.com"&amp;"/spreadsheets/d/1Ul4RCpCX66NxYADU1QpwAPjOmBzW64SsT11s1wzXw_c/edit?usp=sharing"",""เลย!N193"")+IMPORTRANGE(""https://docs.google.com/spreadsheets/d/1bRrNKwbHDVktQG10isr5vbWRtt5spIZPpkOSWgbT5ug/edit?usp=sharing"",""ศรีสะเกษ!N193"")+IMPORTRANGE(""https://doc"&amp;"s.google.com/spreadsheets/d/17P34_Ow5kFBfdQD0qspb2UuPX5zpi6WMrQzslghyvrI/edit?usp=sharing"",""สกลนคร!N193"")+IMPORTRANGE(""https://docs.google.com/spreadsheets/d/1yswqbM3-AEpThF3ZSUa1AcmHnmRTF1vlJ1CZGcJ8YuU/edit?usp=sharing"",""สุรินทร์!N193"")+IMPORTRANG"&amp;"E(""https://docs.google.com/spreadsheets/d/13JHU_EFbsQOUQ0JSQ3dWy1VTRosIWcDq6Nc99z2qzdc/edit?usp=sharing"",""หนองคาย!N193"")+IMPORTRANGE(""https://docs.google.com/spreadsheets/d/1Hx73zIEgVdDZZaYSTc46Dqv64atFhpr3GelxLbaIN8A/edit?usp=sharing"",""หนองบัวลำภู"&amp;"!N193"")+IMPORTRANGE(""https://docs.google.com/spreadsheets/d/1lFxr3ctmjFN90yc-xV6jrQ9Ty8BKYVBWnAZ15wcNIJc/edit?usp=sharing"",""อำนาจเจริญ!N193"")+IMPORTRANGE(""https://docs.google.com/spreadsheets/d/1gF7RJpRnL-1oyjyeWxs5SFWEH7y8ahOZsQlyp2A2e-A/edit?usp=s"&amp;"haring"",""อุดรธานี!N193"")+IMPORTRANGE(""https://docs.google.com/spreadsheets/d/1kfLP0j3INXRa8bTDpcEmoWewMBV61jlFlfzczfjWIgc/edit?usp=sharing"",""อุบลราชธานี!N193"")"),0)</f>
        <v>0</v>
      </c>
      <c r="O193" s="56">
        <f t="shared" ca="1" si="158"/>
        <v>0</v>
      </c>
      <c r="P193" s="56">
        <f t="shared" ca="1" si="159"/>
        <v>0</v>
      </c>
      <c r="Q193" s="56">
        <f ca="1">IFERROR(__xludf.DUMMYFUNCTION("IMPORTRANGE(""https://docs.google.com/spreadsheets/d/1yhBcrRPreicbMKl9Bu_Snb2-OcQAF62RKfhTLhJ2eAA/edit?usp=sharing"",""กาฬสินธุ์!Q193"")+IMPORTRANGE(""https://docs.google.com/spreadsheets/d/1aHkj4IaQMThhwWwevcOymEh837vdxeC_PycurhTbGFA/edit?usp=sharing"","&amp;"""ขอนแก่น!Q193"")+IMPORTRANGE(""https://docs.google.com/spreadsheets/d/1FvTu2DsIWUjP6WCWra38Bkj_oOl_sOMf14r5Fg5srxU/edit?usp=sharing"",""ชัยภูมิ!Q193"")+IMPORTRANGE(""https://docs.google.com/spreadsheets/d/1XVB7oCJ3pr-vBUdflwPQ8Z2LlzhnCvZaaYjAfP-647E/edit"&amp;"?usp=sharing"",""นครพนม!Q193"")+IMPORTRANGE(""https://docs.google.com/spreadsheets/d/1Mnpb-8PYAgn85W6KOTD40hc_Xc55CaLfHoGAbrZ8tls/edit?usp=sharing"",""นครราชสีมา!Q193"")+IMPORTRANGE(""https://docs.google.com/spreadsheets/d/1xoDLGBv9CYbyosIhki0kTq6IpYNj-gp"&amp;"jxfobnaDiut0/edit?usp=sharing"",""บึงกาฬ!Q193"")+IMPORTRANGE(""https://docs.google.com/spreadsheets/d/1MMPq-JyI6DSgQETxuSiXkesP-P7JHuemnE6QJIa-Nlw/edit?usp=sharing"",""บุรีรัมย์!Q193"")+IMPORTRANGE(""https://docs.google.com/spreadsheets/d/1l6IZ8xUPgMrESzc"&amp;"TYwhA1k_tPjeQjJPTqlm8Gd9eU5g/edit?usp=sharing"",""มหาสารคาม!Q193"")+IMPORTRANGE(""https://docs.google.com/spreadsheets/d/1uB74YLqNjWX6FObjekfB2NtSYigTQyR2rq9u4Ub2Sq4/edit?usp=sharing"",""มุกดาหาร!Q193"")+IMPORTRANGE(""https://docs.google.com/spreadsheets/"&amp;"d/1NexK3geCPxCTO1fzNF8dPec7yZyUx3OaWkFBC9HsQOo/edit?usp=sharing"",""ยโสธร!Q193"")+IMPORTRANGE(""https://docs.google.com/spreadsheets/d/1v_cJrbBlyqmnHPReHk44g9NrMRdENNlSy_E_c5M9fIg/edit?usp=sharing"",""ร้อยเอ็ด!Q193"")+IMPORTRANGE(""https://docs.google.com"&amp;"/spreadsheets/d/1Ul4RCpCX66NxYADU1QpwAPjOmBzW64SsT11s1wzXw_c/edit?usp=sharing"",""เลย!Q193"")+IMPORTRANGE(""https://docs.google.com/spreadsheets/d/1bRrNKwbHDVktQG10isr5vbWRtt5spIZPpkOSWgbT5ug/edit?usp=sharing"",""ศรีสะเกษ!Q193"")+IMPORTRANGE(""https://doc"&amp;"s.google.com/spreadsheets/d/17P34_Ow5kFBfdQD0qspb2UuPX5zpi6WMrQzslghyvrI/edit?usp=sharing"",""สกลนคร!Q193"")+IMPORTRANGE(""https://docs.google.com/spreadsheets/d/1yswqbM3-AEpThF3ZSUa1AcmHnmRTF1vlJ1CZGcJ8YuU/edit?usp=sharing"",""สุรินทร์!Q193"")+IMPORTRANG"&amp;"E(""https://docs.google.com/spreadsheets/d/13JHU_EFbsQOUQ0JSQ3dWy1VTRosIWcDq6Nc99z2qzdc/edit?usp=sharing"",""หนองคาย!Q193"")+IMPORTRANGE(""https://docs.google.com/spreadsheets/d/1Hx73zIEgVdDZZaYSTc46Dqv64atFhpr3GelxLbaIN8A/edit?usp=sharing"",""หนองบัวลำภู"&amp;"!Q193"")+IMPORTRANGE(""https://docs.google.com/spreadsheets/d/1lFxr3ctmjFN90yc-xV6jrQ9Ty8BKYVBWnAZ15wcNIJc/edit?usp=sharing"",""อำนาจเจริญ!Q193"")+IMPORTRANGE(""https://docs.google.com/spreadsheets/d/1gF7RJpRnL-1oyjyeWxs5SFWEH7y8ahOZsQlyp2A2e-A/edit?usp=s"&amp;"haring"",""อุดรธานี!Q193"")+IMPORTRANGE(""https://docs.google.com/spreadsheets/d/1kfLP0j3INXRa8bTDpcEmoWewMBV61jlFlfzczfjWIgc/edit?usp=sharing"",""อุบลราชธานี!Q193"")"),0)</f>
        <v>0</v>
      </c>
      <c r="R193" s="56">
        <f ca="1">IFERROR(__xludf.DUMMYFUNCTION("IMPORTRANGE(""https://docs.google.com/spreadsheets/d/1yhBcrRPreicbMKl9Bu_Snb2-OcQAF62RKfhTLhJ2eAA/edit?usp=sharing"",""กาฬสินธุ์!R193"")+IMPORTRANGE(""https://docs.google.com/spreadsheets/d/1aHkj4IaQMThhwWwevcOymEh837vdxeC_PycurhTbGFA/edit?usp=sharing"","&amp;"""ขอนแก่น!R193"")+IMPORTRANGE(""https://docs.google.com/spreadsheets/d/1FvTu2DsIWUjP6WCWra38Bkj_oOl_sOMf14r5Fg5srxU/edit?usp=sharing"",""ชัยภูมิ!R193"")+IMPORTRANGE(""https://docs.google.com/spreadsheets/d/1XVB7oCJ3pr-vBUdflwPQ8Z2LlzhnCvZaaYjAfP-647E/edit"&amp;"?usp=sharing"",""นครพนม!R193"")+IMPORTRANGE(""https://docs.google.com/spreadsheets/d/1Mnpb-8PYAgn85W6KOTD40hc_Xc55CaLfHoGAbrZ8tls/edit?usp=sharing"",""นครราชสีมา!R193"")+IMPORTRANGE(""https://docs.google.com/spreadsheets/d/1xoDLGBv9CYbyosIhki0kTq6IpYNj-gp"&amp;"jxfobnaDiut0/edit?usp=sharing"",""บึงกาฬ!R193"")+IMPORTRANGE(""https://docs.google.com/spreadsheets/d/1MMPq-JyI6DSgQETxuSiXkesP-P7JHuemnE6QJIa-Nlw/edit?usp=sharing"",""บุรีรัมย์!R193"")+IMPORTRANGE(""https://docs.google.com/spreadsheets/d/1l6IZ8xUPgMrESzc"&amp;"TYwhA1k_tPjeQjJPTqlm8Gd9eU5g/edit?usp=sharing"",""มหาสารคาม!R193"")+IMPORTRANGE(""https://docs.google.com/spreadsheets/d/1uB74YLqNjWX6FObjekfB2NtSYigTQyR2rq9u4Ub2Sq4/edit?usp=sharing"",""มุกดาหาร!R193"")+IMPORTRANGE(""https://docs.google.com/spreadsheets/"&amp;"d/1NexK3geCPxCTO1fzNF8dPec7yZyUx3OaWkFBC9HsQOo/edit?usp=sharing"",""ยโสธร!R193"")+IMPORTRANGE(""https://docs.google.com/spreadsheets/d/1v_cJrbBlyqmnHPReHk44g9NrMRdENNlSy_E_c5M9fIg/edit?usp=sharing"",""ร้อยเอ็ด!R193"")+IMPORTRANGE(""https://docs.google.com"&amp;"/spreadsheets/d/1Ul4RCpCX66NxYADU1QpwAPjOmBzW64SsT11s1wzXw_c/edit?usp=sharing"",""เลย!R193"")+IMPORTRANGE(""https://docs.google.com/spreadsheets/d/1bRrNKwbHDVktQG10isr5vbWRtt5spIZPpkOSWgbT5ug/edit?usp=sharing"",""ศรีสะเกษ!R193"")+IMPORTRANGE(""https://doc"&amp;"s.google.com/spreadsheets/d/17P34_Ow5kFBfdQD0qspb2UuPX5zpi6WMrQzslghyvrI/edit?usp=sharing"",""สกลนคร!R193"")+IMPORTRANGE(""https://docs.google.com/spreadsheets/d/1yswqbM3-AEpThF3ZSUa1AcmHnmRTF1vlJ1CZGcJ8YuU/edit?usp=sharing"",""สุรินทร์!R193"")+IMPORTRANG"&amp;"E(""https://docs.google.com/spreadsheets/d/13JHU_EFbsQOUQ0JSQ3dWy1VTRosIWcDq6Nc99z2qzdc/edit?usp=sharing"",""หนองคาย!R193"")+IMPORTRANGE(""https://docs.google.com/spreadsheets/d/1Hx73zIEgVdDZZaYSTc46Dqv64atFhpr3GelxLbaIN8A/edit?usp=sharing"",""หนองบัวลำภู"&amp;"!R193"")+IMPORTRANGE(""https://docs.google.com/spreadsheets/d/1lFxr3ctmjFN90yc-xV6jrQ9Ty8BKYVBWnAZ15wcNIJc/edit?usp=sharing"",""อำนาจเจริญ!R193"")+IMPORTRANGE(""https://docs.google.com/spreadsheets/d/1gF7RJpRnL-1oyjyeWxs5SFWEH7y8ahOZsQlyp2A2e-A/edit?usp=s"&amp;"haring"",""อุดรธานี!R193"")+IMPORTRANGE(""https://docs.google.com/spreadsheets/d/1kfLP0j3INXRa8bTDpcEmoWewMBV61jlFlfzczfjWIgc/edit?usp=sharing"",""อุบลราชธานี!R193"")"),0)</f>
        <v>0</v>
      </c>
      <c r="S193" s="57">
        <f ca="1">IFERROR(__xludf.DUMMYFUNCTION("IMPORTRANGE(""https://docs.google.com/spreadsheets/d/1yhBcrRPreicbMKl9Bu_Snb2-OcQAF62RKfhTLhJ2eAA/edit?usp=sharing"",""กาฬสินธุ์!S193"")+IMPORTRANGE(""https://docs.google.com/spreadsheets/d/1aHkj4IaQMThhwWwevcOymEh837vdxeC_PycurhTbGFA/edit?usp=sharing"","&amp;"""ขอนแก่น!S193"")+IMPORTRANGE(""https://docs.google.com/spreadsheets/d/1FvTu2DsIWUjP6WCWra38Bkj_oOl_sOMf14r5Fg5srxU/edit?usp=sharing"",""ชัยภูมิ!S193"")+IMPORTRANGE(""https://docs.google.com/spreadsheets/d/1XVB7oCJ3pr-vBUdflwPQ8Z2LlzhnCvZaaYjAfP-647E/edit"&amp;"?usp=sharing"",""นครพนม!S193"")+IMPORTRANGE(""https://docs.google.com/spreadsheets/d/1Mnpb-8PYAgn85W6KOTD40hc_Xc55CaLfHoGAbrZ8tls/edit?usp=sharing"",""นครราชสีมา!S193"")+IMPORTRANGE(""https://docs.google.com/spreadsheets/d/1xoDLGBv9CYbyosIhki0kTq6IpYNj-gp"&amp;"jxfobnaDiut0/edit?usp=sharing"",""บึงกาฬ!S193"")+IMPORTRANGE(""https://docs.google.com/spreadsheets/d/1MMPq-JyI6DSgQETxuSiXkesP-P7JHuemnE6QJIa-Nlw/edit?usp=sharing"",""บุรีรัมย์!S193"")+IMPORTRANGE(""https://docs.google.com/spreadsheets/d/1l6IZ8xUPgMrESzc"&amp;"TYwhA1k_tPjeQjJPTqlm8Gd9eU5g/edit?usp=sharing"",""มหาสารคาม!S193"")+IMPORTRANGE(""https://docs.google.com/spreadsheets/d/1uB74YLqNjWX6FObjekfB2NtSYigTQyR2rq9u4Ub2Sq4/edit?usp=sharing"",""มุกดาหาร!S193"")+IMPORTRANGE(""https://docs.google.com/spreadsheets/"&amp;"d/1NexK3geCPxCTO1fzNF8dPec7yZyUx3OaWkFBC9HsQOo/edit?usp=sharing"",""ยโสธร!S193"")+IMPORTRANGE(""https://docs.google.com/spreadsheets/d/1v_cJrbBlyqmnHPReHk44g9NrMRdENNlSy_E_c5M9fIg/edit?usp=sharing"",""ร้อยเอ็ด!S193"")+IMPORTRANGE(""https://docs.google.com"&amp;"/spreadsheets/d/1Ul4RCpCX66NxYADU1QpwAPjOmBzW64SsT11s1wzXw_c/edit?usp=sharing"",""เลย!S193"")+IMPORTRANGE(""https://docs.google.com/spreadsheets/d/1bRrNKwbHDVktQG10isr5vbWRtt5spIZPpkOSWgbT5ug/edit?usp=sharing"",""ศรีสะเกษ!S193"")+IMPORTRANGE(""https://doc"&amp;"s.google.com/spreadsheets/d/17P34_Ow5kFBfdQD0qspb2UuPX5zpi6WMrQzslghyvrI/edit?usp=sharing"",""สกลนคร!S193"")+IMPORTRANGE(""https://docs.google.com/spreadsheets/d/1yswqbM3-AEpThF3ZSUa1AcmHnmRTF1vlJ1CZGcJ8YuU/edit?usp=sharing"",""สุรินทร์!S193"")+IMPORTRANG"&amp;"E(""https://docs.google.com/spreadsheets/d/13JHU_EFbsQOUQ0JSQ3dWy1VTRosIWcDq6Nc99z2qzdc/edit?usp=sharing"",""หนองคาย!S193"")+IMPORTRANGE(""https://docs.google.com/spreadsheets/d/1Hx73zIEgVdDZZaYSTc46Dqv64atFhpr3GelxLbaIN8A/edit?usp=sharing"",""หนองบัวลำภู"&amp;"!S193"")+IMPORTRANGE(""https://docs.google.com/spreadsheets/d/1lFxr3ctmjFN90yc-xV6jrQ9Ty8BKYVBWnAZ15wcNIJc/edit?usp=sharing"",""อำนาจเจริญ!S193"")+IMPORTRANGE(""https://docs.google.com/spreadsheets/d/1gF7RJpRnL-1oyjyeWxs5SFWEH7y8ahOZsQlyp2A2e-A/edit?usp=s"&amp;"haring"",""อุดรธานี!S193"")+IMPORTRANGE(""https://docs.google.com/spreadsheets/d/1kfLP0j3INXRa8bTDpcEmoWewMBV61jlFlfzczfjWIgc/edit?usp=sharing"",""อุบลราชธานี!S193"")"),0)</f>
        <v>0</v>
      </c>
      <c r="T193" s="59">
        <f t="shared" ca="1" si="161"/>
        <v>0</v>
      </c>
      <c r="U193" s="59">
        <f t="shared" ca="1" si="162"/>
        <v>0</v>
      </c>
    </row>
    <row r="194" spans="1:21" ht="18.75">
      <c r="A194" s="155"/>
      <c r="B194" s="50"/>
      <c r="C194" s="50"/>
      <c r="D194" s="50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56">
        <f ca="1">IFERROR(__xludf.DUMMYFUNCTION("IMPORTRANGE(""https://docs.google.com/spreadsheets/d/1yhBcrRPreicbMKl9Bu_Snb2-OcQAF62RKfhTLhJ2eAA/edit?usp=sharing"",""กาฬสินธุ์!L194"")+IMPORTRANGE(""https://docs.google.com/spreadsheets/d/1aHkj4IaQMThhwWwevcOymEh837vdxeC_PycurhTbGFA/edit?usp=sharing"","&amp;"""ขอนแก่น!L194"")+IMPORTRANGE(""https://docs.google.com/spreadsheets/d/1FvTu2DsIWUjP6WCWra38Bkj_oOl_sOMf14r5Fg5srxU/edit?usp=sharing"",""ชัยภูมิ!L194"")+IMPORTRANGE(""https://docs.google.com/spreadsheets/d/1XVB7oCJ3pr-vBUdflwPQ8Z2LlzhnCvZaaYjAfP-647E/edit"&amp;"?usp=sharing"",""นครพนม!L194"")+IMPORTRANGE(""https://docs.google.com/spreadsheets/d/1Mnpb-8PYAgn85W6KOTD40hc_Xc55CaLfHoGAbrZ8tls/edit?usp=sharing"",""นครราชสีมา!L194"")+IMPORTRANGE(""https://docs.google.com/spreadsheets/d/1xoDLGBv9CYbyosIhki0kTq6IpYNj-gp"&amp;"jxfobnaDiut0/edit?usp=sharing"",""บึงกาฬ!L194"")+IMPORTRANGE(""https://docs.google.com/spreadsheets/d/1MMPq-JyI6DSgQETxuSiXkesP-P7JHuemnE6QJIa-Nlw/edit?usp=sharing"",""บุรีรัมย์!L194"")+IMPORTRANGE(""https://docs.google.com/spreadsheets/d/1l6IZ8xUPgMrESzc"&amp;"TYwhA1k_tPjeQjJPTqlm8Gd9eU5g/edit?usp=sharing"",""มหาสารคาม!L194"")+IMPORTRANGE(""https://docs.google.com/spreadsheets/d/1uB74YLqNjWX6FObjekfB2NtSYigTQyR2rq9u4Ub2Sq4/edit?usp=sharing"",""มุกดาหาร!L194"")+IMPORTRANGE(""https://docs.google.com/spreadsheets/"&amp;"d/1NexK3geCPxCTO1fzNF8dPec7yZyUx3OaWkFBC9HsQOo/edit?usp=sharing"",""ยโสธร!L194"")+IMPORTRANGE(""https://docs.google.com/spreadsheets/d/1v_cJrbBlyqmnHPReHk44g9NrMRdENNlSy_E_c5M9fIg/edit?usp=sharing"",""ร้อยเอ็ด!L194"")+IMPORTRANGE(""https://docs.google.com"&amp;"/spreadsheets/d/1Ul4RCpCX66NxYADU1QpwAPjOmBzW64SsT11s1wzXw_c/edit?usp=sharing"",""เลย!L194"")+IMPORTRANGE(""https://docs.google.com/spreadsheets/d/1bRrNKwbHDVktQG10isr5vbWRtt5spIZPpkOSWgbT5ug/edit?usp=sharing"",""ศรีสะเกษ!L194"")+IMPORTRANGE(""https://doc"&amp;"s.google.com/spreadsheets/d/17P34_Ow5kFBfdQD0qspb2UuPX5zpi6WMrQzslghyvrI/edit?usp=sharing"",""สกลนคร!L194"")+IMPORTRANGE(""https://docs.google.com/spreadsheets/d/1yswqbM3-AEpThF3ZSUa1AcmHnmRTF1vlJ1CZGcJ8YuU/edit?usp=sharing"",""สุรินทร์!L194"")+IMPORTRANG"&amp;"E(""https://docs.google.com/spreadsheets/d/13JHU_EFbsQOUQ0JSQ3dWy1VTRosIWcDq6Nc99z2qzdc/edit?usp=sharing"",""หนองคาย!L194"")+IMPORTRANGE(""https://docs.google.com/spreadsheets/d/1Hx73zIEgVdDZZaYSTc46Dqv64atFhpr3GelxLbaIN8A/edit?usp=sharing"",""หนองบัวลำภู"&amp;"!L194"")+IMPORTRANGE(""https://docs.google.com/spreadsheets/d/1lFxr3ctmjFN90yc-xV6jrQ9Ty8BKYVBWnAZ15wcNIJc/edit?usp=sharing"",""อำนาจเจริญ!L194"")+IMPORTRANGE(""https://docs.google.com/spreadsheets/d/1gF7RJpRnL-1oyjyeWxs5SFWEH7y8ahOZsQlyp2A2e-A/edit?usp=s"&amp;"haring"",""อุดรธานี!L194"")+IMPORTRANGE(""https://docs.google.com/spreadsheets/d/1kfLP0j3INXRa8bTDpcEmoWewMBV61jlFlfzczfjWIgc/edit?usp=sharing"",""อุบลราชธานี!L194"")"),0)</f>
        <v>0</v>
      </c>
      <c r="M194" s="56">
        <f ca="1">IFERROR(__xludf.DUMMYFUNCTION("IMPORTRANGE(""https://docs.google.com/spreadsheets/d/1yhBcrRPreicbMKl9Bu_Snb2-OcQAF62RKfhTLhJ2eAA/edit?usp=sharing"",""กาฬสินธุ์!M194"")+IMPORTRANGE(""https://docs.google.com/spreadsheets/d/1aHkj4IaQMThhwWwevcOymEh837vdxeC_PycurhTbGFA/edit?usp=sharing"","&amp;"""ขอนแก่น!M194"")+IMPORTRANGE(""https://docs.google.com/spreadsheets/d/1FvTu2DsIWUjP6WCWra38Bkj_oOl_sOMf14r5Fg5srxU/edit?usp=sharing"",""ชัยภูมิ!M194"")+IMPORTRANGE(""https://docs.google.com/spreadsheets/d/1XVB7oCJ3pr-vBUdflwPQ8Z2LlzhnCvZaaYjAfP-647E/edit"&amp;"?usp=sharing"",""นครพนม!M194"")+IMPORTRANGE(""https://docs.google.com/spreadsheets/d/1Mnpb-8PYAgn85W6KOTD40hc_Xc55CaLfHoGAbrZ8tls/edit?usp=sharing"",""นครราชสีมา!M194"")+IMPORTRANGE(""https://docs.google.com/spreadsheets/d/1xoDLGBv9CYbyosIhki0kTq6IpYNj-gp"&amp;"jxfobnaDiut0/edit?usp=sharing"",""บึงกาฬ!M194"")+IMPORTRANGE(""https://docs.google.com/spreadsheets/d/1MMPq-JyI6DSgQETxuSiXkesP-P7JHuemnE6QJIa-Nlw/edit?usp=sharing"",""บุรีรัมย์!M194"")+IMPORTRANGE(""https://docs.google.com/spreadsheets/d/1l6IZ8xUPgMrESzc"&amp;"TYwhA1k_tPjeQjJPTqlm8Gd9eU5g/edit?usp=sharing"",""มหาสารคาม!M194"")+IMPORTRANGE(""https://docs.google.com/spreadsheets/d/1uB74YLqNjWX6FObjekfB2NtSYigTQyR2rq9u4Ub2Sq4/edit?usp=sharing"",""มุกดาหาร!M194"")+IMPORTRANGE(""https://docs.google.com/spreadsheets/"&amp;"d/1NexK3geCPxCTO1fzNF8dPec7yZyUx3OaWkFBC9HsQOo/edit?usp=sharing"",""ยโสธร!M194"")+IMPORTRANGE(""https://docs.google.com/spreadsheets/d/1v_cJrbBlyqmnHPReHk44g9NrMRdENNlSy_E_c5M9fIg/edit?usp=sharing"",""ร้อยเอ็ด!M194"")+IMPORTRANGE(""https://docs.google.com"&amp;"/spreadsheets/d/1Ul4RCpCX66NxYADU1QpwAPjOmBzW64SsT11s1wzXw_c/edit?usp=sharing"",""เลย!M194"")+IMPORTRANGE(""https://docs.google.com/spreadsheets/d/1bRrNKwbHDVktQG10isr5vbWRtt5spIZPpkOSWgbT5ug/edit?usp=sharing"",""ศรีสะเกษ!M194"")+IMPORTRANGE(""https://doc"&amp;"s.google.com/spreadsheets/d/17P34_Ow5kFBfdQD0qspb2UuPX5zpi6WMrQzslghyvrI/edit?usp=sharing"",""สกลนคร!M194"")+IMPORTRANGE(""https://docs.google.com/spreadsheets/d/1yswqbM3-AEpThF3ZSUa1AcmHnmRTF1vlJ1CZGcJ8YuU/edit?usp=sharing"",""สุรินทร์!M194"")+IMPORTRANG"&amp;"E(""https://docs.google.com/spreadsheets/d/13JHU_EFbsQOUQ0JSQ3dWy1VTRosIWcDq6Nc99z2qzdc/edit?usp=sharing"",""หนองคาย!M194"")+IMPORTRANGE(""https://docs.google.com/spreadsheets/d/1Hx73zIEgVdDZZaYSTc46Dqv64atFhpr3GelxLbaIN8A/edit?usp=sharing"",""หนองบัวลำภู"&amp;"!M194"")+IMPORTRANGE(""https://docs.google.com/spreadsheets/d/1lFxr3ctmjFN90yc-xV6jrQ9Ty8BKYVBWnAZ15wcNIJc/edit?usp=sharing"",""อำนาจเจริญ!M194"")+IMPORTRANGE(""https://docs.google.com/spreadsheets/d/1gF7RJpRnL-1oyjyeWxs5SFWEH7y8ahOZsQlyp2A2e-A/edit?usp=s"&amp;"haring"",""อุดรธานี!M194"")+IMPORTRANGE(""https://docs.google.com/spreadsheets/d/1kfLP0j3INXRa8bTDpcEmoWewMBV61jlFlfzczfjWIgc/edit?usp=sharing"",""อุบลราชธานี!M194"")"),0)</f>
        <v>0</v>
      </c>
      <c r="N194" s="56">
        <f ca="1">IFERROR(__xludf.DUMMYFUNCTION("IMPORTRANGE(""https://docs.google.com/spreadsheets/d/1yhBcrRPreicbMKl9Bu_Snb2-OcQAF62RKfhTLhJ2eAA/edit?usp=sharing"",""กาฬสินธุ์!N194"")+IMPORTRANGE(""https://docs.google.com/spreadsheets/d/1aHkj4IaQMThhwWwevcOymEh837vdxeC_PycurhTbGFA/edit?usp=sharing"","&amp;"""ขอนแก่น!N194"")+IMPORTRANGE(""https://docs.google.com/spreadsheets/d/1FvTu2DsIWUjP6WCWra38Bkj_oOl_sOMf14r5Fg5srxU/edit?usp=sharing"",""ชัยภูมิ!N194"")+IMPORTRANGE(""https://docs.google.com/spreadsheets/d/1XVB7oCJ3pr-vBUdflwPQ8Z2LlzhnCvZaaYjAfP-647E/edit"&amp;"?usp=sharing"",""นครพนม!N194"")+IMPORTRANGE(""https://docs.google.com/spreadsheets/d/1Mnpb-8PYAgn85W6KOTD40hc_Xc55CaLfHoGAbrZ8tls/edit?usp=sharing"",""นครราชสีมา!N194"")+IMPORTRANGE(""https://docs.google.com/spreadsheets/d/1xoDLGBv9CYbyosIhki0kTq6IpYNj-gp"&amp;"jxfobnaDiut0/edit?usp=sharing"",""บึงกาฬ!N194"")+IMPORTRANGE(""https://docs.google.com/spreadsheets/d/1MMPq-JyI6DSgQETxuSiXkesP-P7JHuemnE6QJIa-Nlw/edit?usp=sharing"",""บุรีรัมย์!N194"")+IMPORTRANGE(""https://docs.google.com/spreadsheets/d/1l6IZ8xUPgMrESzc"&amp;"TYwhA1k_tPjeQjJPTqlm8Gd9eU5g/edit?usp=sharing"",""มหาสารคาม!N194"")+IMPORTRANGE(""https://docs.google.com/spreadsheets/d/1uB74YLqNjWX6FObjekfB2NtSYigTQyR2rq9u4Ub2Sq4/edit?usp=sharing"",""มุกดาหาร!N194"")+IMPORTRANGE(""https://docs.google.com/spreadsheets/"&amp;"d/1NexK3geCPxCTO1fzNF8dPec7yZyUx3OaWkFBC9HsQOo/edit?usp=sharing"",""ยโสธร!N194"")+IMPORTRANGE(""https://docs.google.com/spreadsheets/d/1v_cJrbBlyqmnHPReHk44g9NrMRdENNlSy_E_c5M9fIg/edit?usp=sharing"",""ร้อยเอ็ด!N194"")+IMPORTRANGE(""https://docs.google.com"&amp;"/spreadsheets/d/1Ul4RCpCX66NxYADU1QpwAPjOmBzW64SsT11s1wzXw_c/edit?usp=sharing"",""เลย!N194"")+IMPORTRANGE(""https://docs.google.com/spreadsheets/d/1bRrNKwbHDVktQG10isr5vbWRtt5spIZPpkOSWgbT5ug/edit?usp=sharing"",""ศรีสะเกษ!N194"")+IMPORTRANGE(""https://doc"&amp;"s.google.com/spreadsheets/d/17P34_Ow5kFBfdQD0qspb2UuPX5zpi6WMrQzslghyvrI/edit?usp=sharing"",""สกลนคร!N194"")+IMPORTRANGE(""https://docs.google.com/spreadsheets/d/1yswqbM3-AEpThF3ZSUa1AcmHnmRTF1vlJ1CZGcJ8YuU/edit?usp=sharing"",""สุรินทร์!N194"")+IMPORTRANG"&amp;"E(""https://docs.google.com/spreadsheets/d/13JHU_EFbsQOUQ0JSQ3dWy1VTRosIWcDq6Nc99z2qzdc/edit?usp=sharing"",""หนองคาย!N194"")+IMPORTRANGE(""https://docs.google.com/spreadsheets/d/1Hx73zIEgVdDZZaYSTc46Dqv64atFhpr3GelxLbaIN8A/edit?usp=sharing"",""หนองบัวลำภู"&amp;"!N194"")+IMPORTRANGE(""https://docs.google.com/spreadsheets/d/1lFxr3ctmjFN90yc-xV6jrQ9Ty8BKYVBWnAZ15wcNIJc/edit?usp=sharing"",""อำนาจเจริญ!N194"")+IMPORTRANGE(""https://docs.google.com/spreadsheets/d/1gF7RJpRnL-1oyjyeWxs5SFWEH7y8ahOZsQlyp2A2e-A/edit?usp=s"&amp;"haring"",""อุดรธานี!N194"")+IMPORTRANGE(""https://docs.google.com/spreadsheets/d/1kfLP0j3INXRa8bTDpcEmoWewMBV61jlFlfzczfjWIgc/edit?usp=sharing"",""อุบลราชธานี!N194"")"),0)</f>
        <v>0</v>
      </c>
      <c r="O194" s="56">
        <f t="shared" ca="1" si="158"/>
        <v>0</v>
      </c>
      <c r="P194" s="56">
        <f t="shared" ca="1" si="159"/>
        <v>0</v>
      </c>
      <c r="Q194" s="56">
        <f ca="1">IFERROR(__xludf.DUMMYFUNCTION("IMPORTRANGE(""https://docs.google.com/spreadsheets/d/1yhBcrRPreicbMKl9Bu_Snb2-OcQAF62RKfhTLhJ2eAA/edit?usp=sharing"",""กาฬสินธุ์!Q194"")+IMPORTRANGE(""https://docs.google.com/spreadsheets/d/1aHkj4IaQMThhwWwevcOymEh837vdxeC_PycurhTbGFA/edit?usp=sharing"","&amp;"""ขอนแก่น!Q194"")+IMPORTRANGE(""https://docs.google.com/spreadsheets/d/1FvTu2DsIWUjP6WCWra38Bkj_oOl_sOMf14r5Fg5srxU/edit?usp=sharing"",""ชัยภูมิ!Q194"")+IMPORTRANGE(""https://docs.google.com/spreadsheets/d/1XVB7oCJ3pr-vBUdflwPQ8Z2LlzhnCvZaaYjAfP-647E/edit"&amp;"?usp=sharing"",""นครพนม!Q194"")+IMPORTRANGE(""https://docs.google.com/spreadsheets/d/1Mnpb-8PYAgn85W6KOTD40hc_Xc55CaLfHoGAbrZ8tls/edit?usp=sharing"",""นครราชสีมา!Q194"")+IMPORTRANGE(""https://docs.google.com/spreadsheets/d/1xoDLGBv9CYbyosIhki0kTq6IpYNj-gp"&amp;"jxfobnaDiut0/edit?usp=sharing"",""บึงกาฬ!Q194"")+IMPORTRANGE(""https://docs.google.com/spreadsheets/d/1MMPq-JyI6DSgQETxuSiXkesP-P7JHuemnE6QJIa-Nlw/edit?usp=sharing"",""บุรีรัมย์!Q194"")+IMPORTRANGE(""https://docs.google.com/spreadsheets/d/1l6IZ8xUPgMrESzc"&amp;"TYwhA1k_tPjeQjJPTqlm8Gd9eU5g/edit?usp=sharing"",""มหาสารคาม!Q194"")+IMPORTRANGE(""https://docs.google.com/spreadsheets/d/1uB74YLqNjWX6FObjekfB2NtSYigTQyR2rq9u4Ub2Sq4/edit?usp=sharing"",""มุกดาหาร!Q194"")+IMPORTRANGE(""https://docs.google.com/spreadsheets/"&amp;"d/1NexK3geCPxCTO1fzNF8dPec7yZyUx3OaWkFBC9HsQOo/edit?usp=sharing"",""ยโสธร!Q194"")+IMPORTRANGE(""https://docs.google.com/spreadsheets/d/1v_cJrbBlyqmnHPReHk44g9NrMRdENNlSy_E_c5M9fIg/edit?usp=sharing"",""ร้อยเอ็ด!Q194"")+IMPORTRANGE(""https://docs.google.com"&amp;"/spreadsheets/d/1Ul4RCpCX66NxYADU1QpwAPjOmBzW64SsT11s1wzXw_c/edit?usp=sharing"",""เลย!Q194"")+IMPORTRANGE(""https://docs.google.com/spreadsheets/d/1bRrNKwbHDVktQG10isr5vbWRtt5spIZPpkOSWgbT5ug/edit?usp=sharing"",""ศรีสะเกษ!Q194"")+IMPORTRANGE(""https://doc"&amp;"s.google.com/spreadsheets/d/17P34_Ow5kFBfdQD0qspb2UuPX5zpi6WMrQzslghyvrI/edit?usp=sharing"",""สกลนคร!Q194"")+IMPORTRANGE(""https://docs.google.com/spreadsheets/d/1yswqbM3-AEpThF3ZSUa1AcmHnmRTF1vlJ1CZGcJ8YuU/edit?usp=sharing"",""สุรินทร์!Q194"")+IMPORTRANG"&amp;"E(""https://docs.google.com/spreadsheets/d/13JHU_EFbsQOUQ0JSQ3dWy1VTRosIWcDq6Nc99z2qzdc/edit?usp=sharing"",""หนองคาย!Q194"")+IMPORTRANGE(""https://docs.google.com/spreadsheets/d/1Hx73zIEgVdDZZaYSTc46Dqv64atFhpr3GelxLbaIN8A/edit?usp=sharing"",""หนองบัวลำภู"&amp;"!Q194"")+IMPORTRANGE(""https://docs.google.com/spreadsheets/d/1lFxr3ctmjFN90yc-xV6jrQ9Ty8BKYVBWnAZ15wcNIJc/edit?usp=sharing"",""อำนาจเจริญ!Q194"")+IMPORTRANGE(""https://docs.google.com/spreadsheets/d/1gF7RJpRnL-1oyjyeWxs5SFWEH7y8ahOZsQlyp2A2e-A/edit?usp=s"&amp;"haring"",""อุดรธานี!Q194"")+IMPORTRANGE(""https://docs.google.com/spreadsheets/d/1kfLP0j3INXRa8bTDpcEmoWewMBV61jlFlfzczfjWIgc/edit?usp=sharing"",""อุบลราชธานี!Q194"")"),0)</f>
        <v>0</v>
      </c>
      <c r="R194" s="56">
        <f ca="1">IFERROR(__xludf.DUMMYFUNCTION("IMPORTRANGE(""https://docs.google.com/spreadsheets/d/1yhBcrRPreicbMKl9Bu_Snb2-OcQAF62RKfhTLhJ2eAA/edit?usp=sharing"",""กาฬสินธุ์!R194"")+IMPORTRANGE(""https://docs.google.com/spreadsheets/d/1aHkj4IaQMThhwWwevcOymEh837vdxeC_PycurhTbGFA/edit?usp=sharing"","&amp;"""ขอนแก่น!R194"")+IMPORTRANGE(""https://docs.google.com/spreadsheets/d/1FvTu2DsIWUjP6WCWra38Bkj_oOl_sOMf14r5Fg5srxU/edit?usp=sharing"",""ชัยภูมิ!R194"")+IMPORTRANGE(""https://docs.google.com/spreadsheets/d/1XVB7oCJ3pr-vBUdflwPQ8Z2LlzhnCvZaaYjAfP-647E/edit"&amp;"?usp=sharing"",""นครพนม!R194"")+IMPORTRANGE(""https://docs.google.com/spreadsheets/d/1Mnpb-8PYAgn85W6KOTD40hc_Xc55CaLfHoGAbrZ8tls/edit?usp=sharing"",""นครราชสีมา!R194"")+IMPORTRANGE(""https://docs.google.com/spreadsheets/d/1xoDLGBv9CYbyosIhki0kTq6IpYNj-gp"&amp;"jxfobnaDiut0/edit?usp=sharing"",""บึงกาฬ!R194"")+IMPORTRANGE(""https://docs.google.com/spreadsheets/d/1MMPq-JyI6DSgQETxuSiXkesP-P7JHuemnE6QJIa-Nlw/edit?usp=sharing"",""บุรีรัมย์!R194"")+IMPORTRANGE(""https://docs.google.com/spreadsheets/d/1l6IZ8xUPgMrESzc"&amp;"TYwhA1k_tPjeQjJPTqlm8Gd9eU5g/edit?usp=sharing"",""มหาสารคาม!R194"")+IMPORTRANGE(""https://docs.google.com/spreadsheets/d/1uB74YLqNjWX6FObjekfB2NtSYigTQyR2rq9u4Ub2Sq4/edit?usp=sharing"",""มุกดาหาร!R194"")+IMPORTRANGE(""https://docs.google.com/spreadsheets/"&amp;"d/1NexK3geCPxCTO1fzNF8dPec7yZyUx3OaWkFBC9HsQOo/edit?usp=sharing"",""ยโสธร!R194"")+IMPORTRANGE(""https://docs.google.com/spreadsheets/d/1v_cJrbBlyqmnHPReHk44g9NrMRdENNlSy_E_c5M9fIg/edit?usp=sharing"",""ร้อยเอ็ด!R194"")+IMPORTRANGE(""https://docs.google.com"&amp;"/spreadsheets/d/1Ul4RCpCX66NxYADU1QpwAPjOmBzW64SsT11s1wzXw_c/edit?usp=sharing"",""เลย!R194"")+IMPORTRANGE(""https://docs.google.com/spreadsheets/d/1bRrNKwbHDVktQG10isr5vbWRtt5spIZPpkOSWgbT5ug/edit?usp=sharing"",""ศรีสะเกษ!R194"")+IMPORTRANGE(""https://doc"&amp;"s.google.com/spreadsheets/d/17P34_Ow5kFBfdQD0qspb2UuPX5zpi6WMrQzslghyvrI/edit?usp=sharing"",""สกลนคร!R194"")+IMPORTRANGE(""https://docs.google.com/spreadsheets/d/1yswqbM3-AEpThF3ZSUa1AcmHnmRTF1vlJ1CZGcJ8YuU/edit?usp=sharing"",""สุรินทร์!R194"")+IMPORTRANG"&amp;"E(""https://docs.google.com/spreadsheets/d/13JHU_EFbsQOUQ0JSQ3dWy1VTRosIWcDq6Nc99z2qzdc/edit?usp=sharing"",""หนองคาย!R194"")+IMPORTRANGE(""https://docs.google.com/spreadsheets/d/1Hx73zIEgVdDZZaYSTc46Dqv64atFhpr3GelxLbaIN8A/edit?usp=sharing"",""หนองบัวลำภู"&amp;"!R194"")+IMPORTRANGE(""https://docs.google.com/spreadsheets/d/1lFxr3ctmjFN90yc-xV6jrQ9Ty8BKYVBWnAZ15wcNIJc/edit?usp=sharing"",""อำนาจเจริญ!R194"")+IMPORTRANGE(""https://docs.google.com/spreadsheets/d/1gF7RJpRnL-1oyjyeWxs5SFWEH7y8ahOZsQlyp2A2e-A/edit?usp=s"&amp;"haring"",""อุดรธานี!R194"")+IMPORTRANGE(""https://docs.google.com/spreadsheets/d/1kfLP0j3INXRa8bTDpcEmoWewMBV61jlFlfzczfjWIgc/edit?usp=sharing"",""อุบลราชธานี!R194"")"),0)</f>
        <v>0</v>
      </c>
      <c r="S194" s="57">
        <f ca="1">IFERROR(__xludf.DUMMYFUNCTION("IMPORTRANGE(""https://docs.google.com/spreadsheets/d/1yhBcrRPreicbMKl9Bu_Snb2-OcQAF62RKfhTLhJ2eAA/edit?usp=sharing"",""กาฬสินธุ์!S194"")+IMPORTRANGE(""https://docs.google.com/spreadsheets/d/1aHkj4IaQMThhwWwevcOymEh837vdxeC_PycurhTbGFA/edit?usp=sharing"","&amp;"""ขอนแก่น!S194"")+IMPORTRANGE(""https://docs.google.com/spreadsheets/d/1FvTu2DsIWUjP6WCWra38Bkj_oOl_sOMf14r5Fg5srxU/edit?usp=sharing"",""ชัยภูมิ!S194"")+IMPORTRANGE(""https://docs.google.com/spreadsheets/d/1XVB7oCJ3pr-vBUdflwPQ8Z2LlzhnCvZaaYjAfP-647E/edit"&amp;"?usp=sharing"",""นครพนม!S194"")+IMPORTRANGE(""https://docs.google.com/spreadsheets/d/1Mnpb-8PYAgn85W6KOTD40hc_Xc55CaLfHoGAbrZ8tls/edit?usp=sharing"",""นครราชสีมา!S194"")+IMPORTRANGE(""https://docs.google.com/spreadsheets/d/1xoDLGBv9CYbyosIhki0kTq6IpYNj-gp"&amp;"jxfobnaDiut0/edit?usp=sharing"",""บึงกาฬ!S194"")+IMPORTRANGE(""https://docs.google.com/spreadsheets/d/1MMPq-JyI6DSgQETxuSiXkesP-P7JHuemnE6QJIa-Nlw/edit?usp=sharing"",""บุรีรัมย์!S194"")+IMPORTRANGE(""https://docs.google.com/spreadsheets/d/1l6IZ8xUPgMrESzc"&amp;"TYwhA1k_tPjeQjJPTqlm8Gd9eU5g/edit?usp=sharing"",""มหาสารคาม!S194"")+IMPORTRANGE(""https://docs.google.com/spreadsheets/d/1uB74YLqNjWX6FObjekfB2NtSYigTQyR2rq9u4Ub2Sq4/edit?usp=sharing"",""มุกดาหาร!S194"")+IMPORTRANGE(""https://docs.google.com/spreadsheets/"&amp;"d/1NexK3geCPxCTO1fzNF8dPec7yZyUx3OaWkFBC9HsQOo/edit?usp=sharing"",""ยโสธร!S194"")+IMPORTRANGE(""https://docs.google.com/spreadsheets/d/1v_cJrbBlyqmnHPReHk44g9NrMRdENNlSy_E_c5M9fIg/edit?usp=sharing"",""ร้อยเอ็ด!S194"")+IMPORTRANGE(""https://docs.google.com"&amp;"/spreadsheets/d/1Ul4RCpCX66NxYADU1QpwAPjOmBzW64SsT11s1wzXw_c/edit?usp=sharing"",""เลย!S194"")+IMPORTRANGE(""https://docs.google.com/spreadsheets/d/1bRrNKwbHDVktQG10isr5vbWRtt5spIZPpkOSWgbT5ug/edit?usp=sharing"",""ศรีสะเกษ!S194"")+IMPORTRANGE(""https://doc"&amp;"s.google.com/spreadsheets/d/17P34_Ow5kFBfdQD0qspb2UuPX5zpi6WMrQzslghyvrI/edit?usp=sharing"",""สกลนคร!S194"")+IMPORTRANGE(""https://docs.google.com/spreadsheets/d/1yswqbM3-AEpThF3ZSUa1AcmHnmRTF1vlJ1CZGcJ8YuU/edit?usp=sharing"",""สุรินทร์!S194"")+IMPORTRANG"&amp;"E(""https://docs.google.com/spreadsheets/d/13JHU_EFbsQOUQ0JSQ3dWy1VTRosIWcDq6Nc99z2qzdc/edit?usp=sharing"",""หนองคาย!S194"")+IMPORTRANGE(""https://docs.google.com/spreadsheets/d/1Hx73zIEgVdDZZaYSTc46Dqv64atFhpr3GelxLbaIN8A/edit?usp=sharing"",""หนองบัวลำภู"&amp;"!S194"")+IMPORTRANGE(""https://docs.google.com/spreadsheets/d/1lFxr3ctmjFN90yc-xV6jrQ9Ty8BKYVBWnAZ15wcNIJc/edit?usp=sharing"",""อำนาจเจริญ!S194"")+IMPORTRANGE(""https://docs.google.com/spreadsheets/d/1gF7RJpRnL-1oyjyeWxs5SFWEH7y8ahOZsQlyp2A2e-A/edit?usp=s"&amp;"haring"",""อุดรธานี!S194"")+IMPORTRANGE(""https://docs.google.com/spreadsheets/d/1kfLP0j3INXRa8bTDpcEmoWewMBV61jlFlfzczfjWIgc/edit?usp=sharing"",""อุบลราชธานี!S194"")"),0)</f>
        <v>0</v>
      </c>
      <c r="T194" s="56">
        <f t="shared" ca="1" si="161"/>
        <v>0</v>
      </c>
      <c r="U194" s="56">
        <f t="shared" ca="1" si="162"/>
        <v>0</v>
      </c>
    </row>
    <row r="195" spans="1:21" ht="19.5">
      <c r="A195" s="241"/>
      <c r="B195" s="242"/>
      <c r="C195" s="243" t="s">
        <v>78</v>
      </c>
      <c r="D195" s="244"/>
      <c r="E195" s="244"/>
      <c r="F195" s="244"/>
      <c r="G195" s="245"/>
      <c r="H195" s="246" t="s">
        <v>79</v>
      </c>
      <c r="I195" s="247">
        <f t="shared" ref="I195:J195" ca="1" si="171">I198</f>
        <v>80</v>
      </c>
      <c r="J195" s="247">
        <f t="shared" ca="1" si="171"/>
        <v>38</v>
      </c>
      <c r="K195" s="248">
        <f ca="1">IF(I195&gt;0,J195*100/I195,0)</f>
        <v>47.5</v>
      </c>
      <c r="L195" s="249"/>
      <c r="M195" s="249"/>
      <c r="N195" s="249"/>
      <c r="O195" s="249"/>
      <c r="P195" s="249"/>
      <c r="Q195" s="249"/>
      <c r="R195" s="249"/>
      <c r="S195" s="250"/>
      <c r="T195" s="249"/>
      <c r="U195" s="249"/>
    </row>
    <row r="196" spans="1:21" ht="19.5">
      <c r="A196" s="155"/>
      <c r="B196" s="50"/>
      <c r="C196" s="156" t="s">
        <v>18</v>
      </c>
      <c r="D196" s="251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159">
        <f ca="1">IFERROR(__xludf.DUMMYFUNCTION("IMPORTRANGE(""https://docs.google.com/spreadsheets/d/1yhBcrRPreicbMKl9Bu_Snb2-OcQAF62RKfhTLhJ2eAA/edit?usp=sharing"",""กาฬสินธุ์!L196"")+IMPORTRANGE(""https://docs.google.com/spreadsheets/d/1aHkj4IaQMThhwWwevcOymEh837vdxeC_PycurhTbGFA/edit?usp=sharing"","&amp;"""ขอนแก่น!L196"")+IMPORTRANGE(""https://docs.google.com/spreadsheets/d/1FvTu2DsIWUjP6WCWra38Bkj_oOl_sOMf14r5Fg5srxU/edit?usp=sharing"",""ชัยภูมิ!L196"")+IMPORTRANGE(""https://docs.google.com/spreadsheets/d/1XVB7oCJ3pr-vBUdflwPQ8Z2LlzhnCvZaaYjAfP-647E/edit"&amp;"?usp=sharing"",""นครพนม!L196"")+IMPORTRANGE(""https://docs.google.com/spreadsheets/d/1Mnpb-8PYAgn85W6KOTD40hc_Xc55CaLfHoGAbrZ8tls/edit?usp=sharing"",""นครราชสีมา!L196"")+IMPORTRANGE(""https://docs.google.com/spreadsheets/d/1xoDLGBv9CYbyosIhki0kTq6IpYNj-gp"&amp;"jxfobnaDiut0/edit?usp=sharing"",""บึงกาฬ!L196"")+IMPORTRANGE(""https://docs.google.com/spreadsheets/d/1MMPq-JyI6DSgQETxuSiXkesP-P7JHuemnE6QJIa-Nlw/edit?usp=sharing"",""บุรีรัมย์!L196"")+IMPORTRANGE(""https://docs.google.com/spreadsheets/d/1l6IZ8xUPgMrESzc"&amp;"TYwhA1k_tPjeQjJPTqlm8Gd9eU5g/edit?usp=sharing"",""มหาสารคาม!L196"")+IMPORTRANGE(""https://docs.google.com/spreadsheets/d/1uB74YLqNjWX6FObjekfB2NtSYigTQyR2rq9u4Ub2Sq4/edit?usp=sharing"",""มุกดาหาร!L196"")+IMPORTRANGE(""https://docs.google.com/spreadsheets/"&amp;"d/1NexK3geCPxCTO1fzNF8dPec7yZyUx3OaWkFBC9HsQOo/edit?usp=sharing"",""ยโสธร!L196"")+IMPORTRANGE(""https://docs.google.com/spreadsheets/d/1v_cJrbBlyqmnHPReHk44g9NrMRdENNlSy_E_c5M9fIg/edit?usp=sharing"",""ร้อยเอ็ด!L196"")+IMPORTRANGE(""https://docs.google.com"&amp;"/spreadsheets/d/1Ul4RCpCX66NxYADU1QpwAPjOmBzW64SsT11s1wzXw_c/edit?usp=sharing"",""เลย!L196"")+IMPORTRANGE(""https://docs.google.com/spreadsheets/d/1bRrNKwbHDVktQG10isr5vbWRtt5spIZPpkOSWgbT5ug/edit?usp=sharing"",""ศรีสะเกษ!L196"")+IMPORTRANGE(""https://doc"&amp;"s.google.com/spreadsheets/d/17P34_Ow5kFBfdQD0qspb2UuPX5zpi6WMrQzslghyvrI/edit?usp=sharing"",""สกลนคร!L196"")+IMPORTRANGE(""https://docs.google.com/spreadsheets/d/1yswqbM3-AEpThF3ZSUa1AcmHnmRTF1vlJ1CZGcJ8YuU/edit?usp=sharing"",""สุรินทร์!L196"")+IMPORTRANG"&amp;"E(""https://docs.google.com/spreadsheets/d/13JHU_EFbsQOUQ0JSQ3dWy1VTRosIWcDq6Nc99z2qzdc/edit?usp=sharing"",""หนองคาย!L196"")+IMPORTRANGE(""https://docs.google.com/spreadsheets/d/1Hx73zIEgVdDZZaYSTc46Dqv64atFhpr3GelxLbaIN8A/edit?usp=sharing"",""หนองบัวลำภู"&amp;"!L196"")+IMPORTRANGE(""https://docs.google.com/spreadsheets/d/1lFxr3ctmjFN90yc-xV6jrQ9Ty8BKYVBWnAZ15wcNIJc/edit?usp=sharing"",""อำนาจเจริญ!L196"")+IMPORTRANGE(""https://docs.google.com/spreadsheets/d/1gF7RJpRnL-1oyjyeWxs5SFWEH7y8ahOZsQlyp2A2e-A/edit?usp=s"&amp;"haring"",""อุดรธานี!L196"")+IMPORTRANGE(""https://docs.google.com/spreadsheets/d/1kfLP0j3INXRa8bTDpcEmoWewMBV61jlFlfzczfjWIgc/edit?usp=sharing"",""อุบลราชธานี!L196"")"),120000)</f>
        <v>120000</v>
      </c>
      <c r="M196" s="159">
        <f ca="1">IFERROR(__xludf.DUMMYFUNCTION("IMPORTRANGE(""https://docs.google.com/spreadsheets/d/1yhBcrRPreicbMKl9Bu_Snb2-OcQAF62RKfhTLhJ2eAA/edit?usp=sharing"",""กาฬสินธุ์!M196"")+IMPORTRANGE(""https://docs.google.com/spreadsheets/d/1aHkj4IaQMThhwWwevcOymEh837vdxeC_PycurhTbGFA/edit?usp=sharing"","&amp;"""ขอนแก่น!M196"")+IMPORTRANGE(""https://docs.google.com/spreadsheets/d/1FvTu2DsIWUjP6WCWra38Bkj_oOl_sOMf14r5Fg5srxU/edit?usp=sharing"",""ชัยภูมิ!M196"")+IMPORTRANGE(""https://docs.google.com/spreadsheets/d/1XVB7oCJ3pr-vBUdflwPQ8Z2LlzhnCvZaaYjAfP-647E/edit"&amp;"?usp=sharing"",""นครพนม!M196"")+IMPORTRANGE(""https://docs.google.com/spreadsheets/d/1Mnpb-8PYAgn85W6KOTD40hc_Xc55CaLfHoGAbrZ8tls/edit?usp=sharing"",""นครราชสีมา!M196"")+IMPORTRANGE(""https://docs.google.com/spreadsheets/d/1xoDLGBv9CYbyosIhki0kTq6IpYNj-gp"&amp;"jxfobnaDiut0/edit?usp=sharing"",""บึงกาฬ!M196"")+IMPORTRANGE(""https://docs.google.com/spreadsheets/d/1MMPq-JyI6DSgQETxuSiXkesP-P7JHuemnE6QJIa-Nlw/edit?usp=sharing"",""บุรีรัมย์!M196"")+IMPORTRANGE(""https://docs.google.com/spreadsheets/d/1l6IZ8xUPgMrESzc"&amp;"TYwhA1k_tPjeQjJPTqlm8Gd9eU5g/edit?usp=sharing"",""มหาสารคาม!M196"")+IMPORTRANGE(""https://docs.google.com/spreadsheets/d/1uB74YLqNjWX6FObjekfB2NtSYigTQyR2rq9u4Ub2Sq4/edit?usp=sharing"",""มุกดาหาร!M196"")+IMPORTRANGE(""https://docs.google.com/spreadsheets/"&amp;"d/1NexK3geCPxCTO1fzNF8dPec7yZyUx3OaWkFBC9HsQOo/edit?usp=sharing"",""ยโสธร!M196"")+IMPORTRANGE(""https://docs.google.com/spreadsheets/d/1v_cJrbBlyqmnHPReHk44g9NrMRdENNlSy_E_c5M9fIg/edit?usp=sharing"",""ร้อยเอ็ด!M196"")+IMPORTRANGE(""https://docs.google.com"&amp;"/spreadsheets/d/1Ul4RCpCX66NxYADU1QpwAPjOmBzW64SsT11s1wzXw_c/edit?usp=sharing"",""เลย!M196"")+IMPORTRANGE(""https://docs.google.com/spreadsheets/d/1bRrNKwbHDVktQG10isr5vbWRtt5spIZPpkOSWgbT5ug/edit?usp=sharing"",""ศรีสะเกษ!M196"")+IMPORTRANGE(""https://doc"&amp;"s.google.com/spreadsheets/d/17P34_Ow5kFBfdQD0qspb2UuPX5zpi6WMrQzslghyvrI/edit?usp=sharing"",""สกลนคร!M196"")+IMPORTRANGE(""https://docs.google.com/spreadsheets/d/1yswqbM3-AEpThF3ZSUa1AcmHnmRTF1vlJ1CZGcJ8YuU/edit?usp=sharing"",""สุรินทร์!M196"")+IMPORTRANG"&amp;"E(""https://docs.google.com/spreadsheets/d/13JHU_EFbsQOUQ0JSQ3dWy1VTRosIWcDq6Nc99z2qzdc/edit?usp=sharing"",""หนองคาย!M196"")+IMPORTRANGE(""https://docs.google.com/spreadsheets/d/1Hx73zIEgVdDZZaYSTc46Dqv64atFhpr3GelxLbaIN8A/edit?usp=sharing"",""หนองบัวลำภู"&amp;"!M196"")+IMPORTRANGE(""https://docs.google.com/spreadsheets/d/1lFxr3ctmjFN90yc-xV6jrQ9Ty8BKYVBWnAZ15wcNIJc/edit?usp=sharing"",""อำนาจเจริญ!M196"")+IMPORTRANGE(""https://docs.google.com/spreadsheets/d/1gF7RJpRnL-1oyjyeWxs5SFWEH7y8ahOZsQlyp2A2e-A/edit?usp=s"&amp;"haring"",""อุดรธานี!M196"")+IMPORTRANGE(""https://docs.google.com/spreadsheets/d/1kfLP0j3INXRa8bTDpcEmoWewMBV61jlFlfzczfjWIgc/edit?usp=sharing"",""อุบลราชธานี!M196"")"),0)</f>
        <v>0</v>
      </c>
      <c r="N196" s="159">
        <f ca="1">IFERROR(__xludf.DUMMYFUNCTION("IMPORTRANGE(""https://docs.google.com/spreadsheets/d/1yhBcrRPreicbMKl9Bu_Snb2-OcQAF62RKfhTLhJ2eAA/edit?usp=sharing"",""กาฬสินธุ์!N196"")+IMPORTRANGE(""https://docs.google.com/spreadsheets/d/1aHkj4IaQMThhwWwevcOymEh837vdxeC_PycurhTbGFA/edit?usp=sharing"","&amp;"""ขอนแก่น!N196"")+IMPORTRANGE(""https://docs.google.com/spreadsheets/d/1FvTu2DsIWUjP6WCWra38Bkj_oOl_sOMf14r5Fg5srxU/edit?usp=sharing"",""ชัยภูมิ!N196"")+IMPORTRANGE(""https://docs.google.com/spreadsheets/d/1XVB7oCJ3pr-vBUdflwPQ8Z2LlzhnCvZaaYjAfP-647E/edit"&amp;"?usp=sharing"",""นครพนม!N196"")+IMPORTRANGE(""https://docs.google.com/spreadsheets/d/1Mnpb-8PYAgn85W6KOTD40hc_Xc55CaLfHoGAbrZ8tls/edit?usp=sharing"",""นครราชสีมา!N196"")+IMPORTRANGE(""https://docs.google.com/spreadsheets/d/1xoDLGBv9CYbyosIhki0kTq6IpYNj-gp"&amp;"jxfobnaDiut0/edit?usp=sharing"",""บึงกาฬ!N196"")+IMPORTRANGE(""https://docs.google.com/spreadsheets/d/1MMPq-JyI6DSgQETxuSiXkesP-P7JHuemnE6QJIa-Nlw/edit?usp=sharing"",""บุรีรัมย์!N196"")+IMPORTRANGE(""https://docs.google.com/spreadsheets/d/1l6IZ8xUPgMrESzc"&amp;"TYwhA1k_tPjeQjJPTqlm8Gd9eU5g/edit?usp=sharing"",""มหาสารคาม!N196"")+IMPORTRANGE(""https://docs.google.com/spreadsheets/d/1uB74YLqNjWX6FObjekfB2NtSYigTQyR2rq9u4Ub2Sq4/edit?usp=sharing"",""มุกดาหาร!N196"")+IMPORTRANGE(""https://docs.google.com/spreadsheets/"&amp;"d/1NexK3geCPxCTO1fzNF8dPec7yZyUx3OaWkFBC9HsQOo/edit?usp=sharing"",""ยโสธร!N196"")+IMPORTRANGE(""https://docs.google.com/spreadsheets/d/1v_cJrbBlyqmnHPReHk44g9NrMRdENNlSy_E_c5M9fIg/edit?usp=sharing"",""ร้อยเอ็ด!N196"")+IMPORTRANGE(""https://docs.google.com"&amp;"/spreadsheets/d/1Ul4RCpCX66NxYADU1QpwAPjOmBzW64SsT11s1wzXw_c/edit?usp=sharing"",""เลย!N196"")+IMPORTRANGE(""https://docs.google.com/spreadsheets/d/1bRrNKwbHDVktQG10isr5vbWRtt5spIZPpkOSWgbT5ug/edit?usp=sharing"",""ศรีสะเกษ!N196"")+IMPORTRANGE(""https://doc"&amp;"s.google.com/spreadsheets/d/17P34_Ow5kFBfdQD0qspb2UuPX5zpi6WMrQzslghyvrI/edit?usp=sharing"",""สกลนคร!N196"")+IMPORTRANGE(""https://docs.google.com/spreadsheets/d/1yswqbM3-AEpThF3ZSUa1AcmHnmRTF1vlJ1CZGcJ8YuU/edit?usp=sharing"",""สุรินทร์!N196"")+IMPORTRANG"&amp;"E(""https://docs.google.com/spreadsheets/d/13JHU_EFbsQOUQ0JSQ3dWy1VTRosIWcDq6Nc99z2qzdc/edit?usp=sharing"",""หนองคาย!N196"")+IMPORTRANGE(""https://docs.google.com/spreadsheets/d/1Hx73zIEgVdDZZaYSTc46Dqv64atFhpr3GelxLbaIN8A/edit?usp=sharing"",""หนองบัวลำภู"&amp;"!N196"")+IMPORTRANGE(""https://docs.google.com/spreadsheets/d/1lFxr3ctmjFN90yc-xV6jrQ9Ty8BKYVBWnAZ15wcNIJc/edit?usp=sharing"",""อำนาจเจริญ!N196"")+IMPORTRANGE(""https://docs.google.com/spreadsheets/d/1gF7RJpRnL-1oyjyeWxs5SFWEH7y8ahOZsQlyp2A2e-A/edit?usp=s"&amp;"haring"",""อุดรธานี!N196"")+IMPORTRANGE(""https://docs.google.com/spreadsheets/d/1kfLP0j3INXRa8bTDpcEmoWewMBV61jlFlfzczfjWIgc/edit?usp=sharing"",""อุบลราชธานี!N196"")"),16600)</f>
        <v>16600</v>
      </c>
      <c r="O196" s="159">
        <f ca="1">IF(L196&gt;0,N196*100/L196,0)</f>
        <v>13.833333333333334</v>
      </c>
      <c r="P196" s="55"/>
      <c r="Q196" s="159">
        <f ca="1">IFERROR(__xludf.DUMMYFUNCTION("IMPORTRANGE(""https://docs.google.com/spreadsheets/d/1yhBcrRPreicbMKl9Bu_Snb2-OcQAF62RKfhTLhJ2eAA/edit?usp=sharing"",""กาฬสินธุ์!Q196"")+IMPORTRANGE(""https://docs.google.com/spreadsheets/d/1aHkj4IaQMThhwWwevcOymEh837vdxeC_PycurhTbGFA/edit?usp=sharing"","&amp;"""ขอนแก่น!Q196"")+IMPORTRANGE(""https://docs.google.com/spreadsheets/d/1FvTu2DsIWUjP6WCWra38Bkj_oOl_sOMf14r5Fg5srxU/edit?usp=sharing"",""ชัยภูมิ!Q196"")+IMPORTRANGE(""https://docs.google.com/spreadsheets/d/1XVB7oCJ3pr-vBUdflwPQ8Z2LlzhnCvZaaYjAfP-647E/edit"&amp;"?usp=sharing"",""นครพนม!Q196"")+IMPORTRANGE(""https://docs.google.com/spreadsheets/d/1Mnpb-8PYAgn85W6KOTD40hc_Xc55CaLfHoGAbrZ8tls/edit?usp=sharing"",""นครราชสีมา!Q196"")+IMPORTRANGE(""https://docs.google.com/spreadsheets/d/1xoDLGBv9CYbyosIhki0kTq6IpYNj-gp"&amp;"jxfobnaDiut0/edit?usp=sharing"",""บึงกาฬ!Q196"")+IMPORTRANGE(""https://docs.google.com/spreadsheets/d/1MMPq-JyI6DSgQETxuSiXkesP-P7JHuemnE6QJIa-Nlw/edit?usp=sharing"",""บุรีรัมย์!Q196"")+IMPORTRANGE(""https://docs.google.com/spreadsheets/d/1l6IZ8xUPgMrESzc"&amp;"TYwhA1k_tPjeQjJPTqlm8Gd9eU5g/edit?usp=sharing"",""มหาสารคาม!Q196"")+IMPORTRANGE(""https://docs.google.com/spreadsheets/d/1uB74YLqNjWX6FObjekfB2NtSYigTQyR2rq9u4Ub2Sq4/edit?usp=sharing"",""มุกดาหาร!Q196"")+IMPORTRANGE(""https://docs.google.com/spreadsheets/"&amp;"d/1NexK3geCPxCTO1fzNF8dPec7yZyUx3OaWkFBC9HsQOo/edit?usp=sharing"",""ยโสธร!Q196"")+IMPORTRANGE(""https://docs.google.com/spreadsheets/d/1v_cJrbBlyqmnHPReHk44g9NrMRdENNlSy_E_c5M9fIg/edit?usp=sharing"",""ร้อยเอ็ด!Q196"")+IMPORTRANGE(""https://docs.google.com"&amp;"/spreadsheets/d/1Ul4RCpCX66NxYADU1QpwAPjOmBzW64SsT11s1wzXw_c/edit?usp=sharing"",""เลย!Q196"")+IMPORTRANGE(""https://docs.google.com/spreadsheets/d/1bRrNKwbHDVktQG10isr5vbWRtt5spIZPpkOSWgbT5ug/edit?usp=sharing"",""ศรีสะเกษ!Q196"")+IMPORTRANGE(""https://doc"&amp;"s.google.com/spreadsheets/d/17P34_Ow5kFBfdQD0qspb2UuPX5zpi6WMrQzslghyvrI/edit?usp=sharing"",""สกลนคร!Q196"")+IMPORTRANGE(""https://docs.google.com/spreadsheets/d/1yswqbM3-AEpThF3ZSUa1AcmHnmRTF1vlJ1CZGcJ8YuU/edit?usp=sharing"",""สุรินทร์!Q196"")+IMPORTRANG"&amp;"E(""https://docs.google.com/spreadsheets/d/13JHU_EFbsQOUQ0JSQ3dWy1VTRosIWcDq6Nc99z2qzdc/edit?usp=sharing"",""หนองคาย!Q196"")+IMPORTRANGE(""https://docs.google.com/spreadsheets/d/1Hx73zIEgVdDZZaYSTc46Dqv64atFhpr3GelxLbaIN8A/edit?usp=sharing"",""หนองบัวลำภู"&amp;"!Q196"")+IMPORTRANGE(""https://docs.google.com/spreadsheets/d/1lFxr3ctmjFN90yc-xV6jrQ9Ty8BKYVBWnAZ15wcNIJc/edit?usp=sharing"",""อำนาจเจริญ!Q196"")+IMPORTRANGE(""https://docs.google.com/spreadsheets/d/1gF7RJpRnL-1oyjyeWxs5SFWEH7y8ahOZsQlyp2A2e-A/edit?usp=s"&amp;"haring"",""อุดรธานี!Q196"")+IMPORTRANGE(""https://docs.google.com/spreadsheets/d/1kfLP0j3INXRa8bTDpcEmoWewMBV61jlFlfzczfjWIgc/edit?usp=sharing"",""อุบลราชธานี!Q196"")"),0)</f>
        <v>0</v>
      </c>
      <c r="R196" s="159">
        <f ca="1">IFERROR(__xludf.DUMMYFUNCTION("IMPORTRANGE(""https://docs.google.com/spreadsheets/d/1yhBcrRPreicbMKl9Bu_Snb2-OcQAF62RKfhTLhJ2eAA/edit?usp=sharing"",""กาฬสินธุ์!R196"")+IMPORTRANGE(""https://docs.google.com/spreadsheets/d/1aHkj4IaQMThhwWwevcOymEh837vdxeC_PycurhTbGFA/edit?usp=sharing"","&amp;"""ขอนแก่น!R196"")+IMPORTRANGE(""https://docs.google.com/spreadsheets/d/1FvTu2DsIWUjP6WCWra38Bkj_oOl_sOMf14r5Fg5srxU/edit?usp=sharing"",""ชัยภูมิ!R196"")+IMPORTRANGE(""https://docs.google.com/spreadsheets/d/1XVB7oCJ3pr-vBUdflwPQ8Z2LlzhnCvZaaYjAfP-647E/edit"&amp;"?usp=sharing"",""นครพนม!R196"")+IMPORTRANGE(""https://docs.google.com/spreadsheets/d/1Mnpb-8PYAgn85W6KOTD40hc_Xc55CaLfHoGAbrZ8tls/edit?usp=sharing"",""นครราชสีมา!R196"")+IMPORTRANGE(""https://docs.google.com/spreadsheets/d/1xoDLGBv9CYbyosIhki0kTq6IpYNj-gp"&amp;"jxfobnaDiut0/edit?usp=sharing"",""บึงกาฬ!R196"")+IMPORTRANGE(""https://docs.google.com/spreadsheets/d/1MMPq-JyI6DSgQETxuSiXkesP-P7JHuemnE6QJIa-Nlw/edit?usp=sharing"",""บุรีรัมย์!R196"")+IMPORTRANGE(""https://docs.google.com/spreadsheets/d/1l6IZ8xUPgMrESzc"&amp;"TYwhA1k_tPjeQjJPTqlm8Gd9eU5g/edit?usp=sharing"",""มหาสารคาม!R196"")+IMPORTRANGE(""https://docs.google.com/spreadsheets/d/1uB74YLqNjWX6FObjekfB2NtSYigTQyR2rq9u4Ub2Sq4/edit?usp=sharing"",""มุกดาหาร!R196"")+IMPORTRANGE(""https://docs.google.com/spreadsheets/"&amp;"d/1NexK3geCPxCTO1fzNF8dPec7yZyUx3OaWkFBC9HsQOo/edit?usp=sharing"",""ยโสธร!R196"")+IMPORTRANGE(""https://docs.google.com/spreadsheets/d/1v_cJrbBlyqmnHPReHk44g9NrMRdENNlSy_E_c5M9fIg/edit?usp=sharing"",""ร้อยเอ็ด!R196"")+IMPORTRANGE(""https://docs.google.com"&amp;"/spreadsheets/d/1Ul4RCpCX66NxYADU1QpwAPjOmBzW64SsT11s1wzXw_c/edit?usp=sharing"",""เลย!R196"")+IMPORTRANGE(""https://docs.google.com/spreadsheets/d/1bRrNKwbHDVktQG10isr5vbWRtt5spIZPpkOSWgbT5ug/edit?usp=sharing"",""ศรีสะเกษ!R196"")+IMPORTRANGE(""https://doc"&amp;"s.google.com/spreadsheets/d/17P34_Ow5kFBfdQD0qspb2UuPX5zpi6WMrQzslghyvrI/edit?usp=sharing"",""สกลนคร!R196"")+IMPORTRANGE(""https://docs.google.com/spreadsheets/d/1yswqbM3-AEpThF3ZSUa1AcmHnmRTF1vlJ1CZGcJ8YuU/edit?usp=sharing"",""สุรินทร์!R196"")+IMPORTRANG"&amp;"E(""https://docs.google.com/spreadsheets/d/13JHU_EFbsQOUQ0JSQ3dWy1VTRosIWcDq6Nc99z2qzdc/edit?usp=sharing"",""หนองคาย!R196"")+IMPORTRANGE(""https://docs.google.com/spreadsheets/d/1Hx73zIEgVdDZZaYSTc46Dqv64atFhpr3GelxLbaIN8A/edit?usp=sharing"",""หนองบัวลำภู"&amp;"!R196"")+IMPORTRANGE(""https://docs.google.com/spreadsheets/d/1lFxr3ctmjFN90yc-xV6jrQ9Ty8BKYVBWnAZ15wcNIJc/edit?usp=sharing"",""อำนาจเจริญ!R196"")+IMPORTRANGE(""https://docs.google.com/spreadsheets/d/1gF7RJpRnL-1oyjyeWxs5SFWEH7y8ahOZsQlyp2A2e-A/edit?usp=s"&amp;"haring"",""อุดรธานี!R196"")+IMPORTRANGE(""https://docs.google.com/spreadsheets/d/1kfLP0j3INXRa8bTDpcEmoWewMBV61jlFlfzczfjWIgc/edit?usp=sharing"",""อุบลราชธานี!R196"")"),0)</f>
        <v>0</v>
      </c>
      <c r="S196" s="160">
        <f ca="1">IFERROR(__xludf.DUMMYFUNCTION("IMPORTRANGE(""https://docs.google.com/spreadsheets/d/1yhBcrRPreicbMKl9Bu_Snb2-OcQAF62RKfhTLhJ2eAA/edit?usp=sharing"",""กาฬสินธุ์!S196"")+IMPORTRANGE(""https://docs.google.com/spreadsheets/d/1aHkj4IaQMThhwWwevcOymEh837vdxeC_PycurhTbGFA/edit?usp=sharing"","&amp;"""ขอนแก่น!S196"")+IMPORTRANGE(""https://docs.google.com/spreadsheets/d/1FvTu2DsIWUjP6WCWra38Bkj_oOl_sOMf14r5Fg5srxU/edit?usp=sharing"",""ชัยภูมิ!S196"")+IMPORTRANGE(""https://docs.google.com/spreadsheets/d/1XVB7oCJ3pr-vBUdflwPQ8Z2LlzhnCvZaaYjAfP-647E/edit"&amp;"?usp=sharing"",""นครพนม!S196"")+IMPORTRANGE(""https://docs.google.com/spreadsheets/d/1Mnpb-8PYAgn85W6KOTD40hc_Xc55CaLfHoGAbrZ8tls/edit?usp=sharing"",""นครราชสีมา!S196"")+IMPORTRANGE(""https://docs.google.com/spreadsheets/d/1xoDLGBv9CYbyosIhki0kTq6IpYNj-gp"&amp;"jxfobnaDiut0/edit?usp=sharing"",""บึงกาฬ!S196"")+IMPORTRANGE(""https://docs.google.com/spreadsheets/d/1MMPq-JyI6DSgQETxuSiXkesP-P7JHuemnE6QJIa-Nlw/edit?usp=sharing"",""บุรีรัมย์!S196"")+IMPORTRANGE(""https://docs.google.com/spreadsheets/d/1l6IZ8xUPgMrESzc"&amp;"TYwhA1k_tPjeQjJPTqlm8Gd9eU5g/edit?usp=sharing"",""มหาสารคาม!S196"")+IMPORTRANGE(""https://docs.google.com/spreadsheets/d/1uB74YLqNjWX6FObjekfB2NtSYigTQyR2rq9u4Ub2Sq4/edit?usp=sharing"",""มุกดาหาร!S196"")+IMPORTRANGE(""https://docs.google.com/spreadsheets/"&amp;"d/1NexK3geCPxCTO1fzNF8dPec7yZyUx3OaWkFBC9HsQOo/edit?usp=sharing"",""ยโสธร!S196"")+IMPORTRANGE(""https://docs.google.com/spreadsheets/d/1v_cJrbBlyqmnHPReHk44g9NrMRdENNlSy_E_c5M9fIg/edit?usp=sharing"",""ร้อยเอ็ด!S196"")+IMPORTRANGE(""https://docs.google.com"&amp;"/spreadsheets/d/1Ul4RCpCX66NxYADU1QpwAPjOmBzW64SsT11s1wzXw_c/edit?usp=sharing"",""เลย!S196"")+IMPORTRANGE(""https://docs.google.com/spreadsheets/d/1bRrNKwbHDVktQG10isr5vbWRtt5spIZPpkOSWgbT5ug/edit?usp=sharing"",""ศรีสะเกษ!S196"")+IMPORTRANGE(""https://doc"&amp;"s.google.com/spreadsheets/d/17P34_Ow5kFBfdQD0qspb2UuPX5zpi6WMrQzslghyvrI/edit?usp=sharing"",""สกลนคร!S196"")+IMPORTRANGE(""https://docs.google.com/spreadsheets/d/1yswqbM3-AEpThF3ZSUa1AcmHnmRTF1vlJ1CZGcJ8YuU/edit?usp=sharing"",""สุรินทร์!S196"")+IMPORTRANG"&amp;"E(""https://docs.google.com/spreadsheets/d/13JHU_EFbsQOUQ0JSQ3dWy1VTRosIWcDq6Nc99z2qzdc/edit?usp=sharing"",""หนองคาย!S196"")+IMPORTRANGE(""https://docs.google.com/spreadsheets/d/1Hx73zIEgVdDZZaYSTc46Dqv64atFhpr3GelxLbaIN8A/edit?usp=sharing"",""หนองบัวลำภู"&amp;"!S196"")+IMPORTRANGE(""https://docs.google.com/spreadsheets/d/1lFxr3ctmjFN90yc-xV6jrQ9Ty8BKYVBWnAZ15wcNIJc/edit?usp=sharing"",""อำนาจเจริญ!S196"")+IMPORTRANGE(""https://docs.google.com/spreadsheets/d/1gF7RJpRnL-1oyjyeWxs5SFWEH7y8ahOZsQlyp2A2e-A/edit?usp=s"&amp;"haring"",""อุดรธานี!S196"")+IMPORTRANGE(""https://docs.google.com/spreadsheets/d/1kfLP0j3INXRa8bTDpcEmoWewMBV61jlFlfzczfjWIgc/edit?usp=sharing"",""อุบลราชธานี!S196"")"),0)</f>
        <v>0</v>
      </c>
      <c r="T196" s="55"/>
      <c r="U196" s="55"/>
    </row>
    <row r="197" spans="1:21" ht="19.5">
      <c r="A197" s="166"/>
      <c r="B197" s="167"/>
      <c r="C197" s="156" t="s">
        <v>18</v>
      </c>
      <c r="D197" s="168" t="s">
        <v>38</v>
      </c>
      <c r="E197" s="169"/>
      <c r="F197" s="169"/>
      <c r="G197" s="170"/>
      <c r="H197" s="171"/>
      <c r="I197" s="54"/>
      <c r="J197" s="54"/>
      <c r="K197" s="55"/>
      <c r="L197" s="55"/>
      <c r="M197" s="55"/>
      <c r="N197" s="55"/>
      <c r="O197" s="55"/>
      <c r="P197" s="55"/>
      <c r="Q197" s="55"/>
      <c r="R197" s="55"/>
      <c r="S197" s="62"/>
      <c r="T197" s="55"/>
      <c r="U197" s="55"/>
    </row>
    <row r="198" spans="1:21" ht="18.75">
      <c r="A198" s="166"/>
      <c r="B198" s="167"/>
      <c r="C198" s="167"/>
      <c r="D198" s="178" t="s">
        <v>80</v>
      </c>
      <c r="E198" s="174"/>
      <c r="F198" s="174"/>
      <c r="G198" s="171"/>
      <c r="H198" s="179" t="s">
        <v>79</v>
      </c>
      <c r="I198" s="181">
        <f ca="1">IFERROR(__xludf.DUMMYFUNCTION("IMPORTRANGE(""https://docs.google.com/spreadsheets/d/1yhBcrRPreicbMKl9Bu_Snb2-OcQAF62RKfhTLhJ2eAA/edit?usp=sharing"",""กาฬสินธุ์!I198"")+IMPORTRANGE(""https://docs.google.com/spreadsheets/d/1aHkj4IaQMThhwWwevcOymEh837vdxeC_PycurhTbGFA/edit?usp=sharing"","&amp;"""ขอนแก่น!I198"")+IMPORTRANGE(""https://docs.google.com/spreadsheets/d/1FvTu2DsIWUjP6WCWra38Bkj_oOl_sOMf14r5Fg5srxU/edit?usp=sharing"",""ชัยภูมิ!I198"")+IMPORTRANGE(""https://docs.google.com/spreadsheets/d/1XVB7oCJ3pr-vBUdflwPQ8Z2LlzhnCvZaaYjAfP-647E/edit"&amp;"?usp=sharing"",""นครพนม!I198"")+IMPORTRANGE(""https://docs.google.com/spreadsheets/d/1Mnpb-8PYAgn85W6KOTD40hc_Xc55CaLfHoGAbrZ8tls/edit?usp=sharing"",""นครราชสีมา!I198"")+IMPORTRANGE(""https://docs.google.com/spreadsheets/d/1xoDLGBv9CYbyosIhki0kTq6IpYNj-gp"&amp;"jxfobnaDiut0/edit?usp=sharing"",""บึงกาฬ!I198"")+IMPORTRANGE(""https://docs.google.com/spreadsheets/d/1MMPq-JyI6DSgQETxuSiXkesP-P7JHuemnE6QJIa-Nlw/edit?usp=sharing"",""บุรีรัมย์!I198"")+IMPORTRANGE(""https://docs.google.com/spreadsheets/d/1l6IZ8xUPgMrESzc"&amp;"TYwhA1k_tPjeQjJPTqlm8Gd9eU5g/edit?usp=sharing"",""มหาสารคาม!I198"")+IMPORTRANGE(""https://docs.google.com/spreadsheets/d/1uB74YLqNjWX6FObjekfB2NtSYigTQyR2rq9u4Ub2Sq4/edit?usp=sharing"",""มุกดาหาร!I198"")+IMPORTRANGE(""https://docs.google.com/spreadsheets/"&amp;"d/1NexK3geCPxCTO1fzNF8dPec7yZyUx3OaWkFBC9HsQOo/edit?usp=sharing"",""ยโสธร!I198"")+IMPORTRANGE(""https://docs.google.com/spreadsheets/d/1v_cJrbBlyqmnHPReHk44g9NrMRdENNlSy_E_c5M9fIg/edit?usp=sharing"",""ร้อยเอ็ด!I198"")+IMPORTRANGE(""https://docs.google.com"&amp;"/spreadsheets/d/1Ul4RCpCX66NxYADU1QpwAPjOmBzW64SsT11s1wzXw_c/edit?usp=sharing"",""เลย!I198"")+IMPORTRANGE(""https://docs.google.com/spreadsheets/d/1bRrNKwbHDVktQG10isr5vbWRtt5spIZPpkOSWgbT5ug/edit?usp=sharing"",""ศรีสะเกษ!I198"")+IMPORTRANGE(""https://doc"&amp;"s.google.com/spreadsheets/d/17P34_Ow5kFBfdQD0qspb2UuPX5zpi6WMrQzslghyvrI/edit?usp=sharing"",""สกลนคร!I198"")+IMPORTRANGE(""https://docs.google.com/spreadsheets/d/1yswqbM3-AEpThF3ZSUa1AcmHnmRTF1vlJ1CZGcJ8YuU/edit?usp=sharing"",""สุรินทร์!I198"")+IMPORTRANG"&amp;"E(""https://docs.google.com/spreadsheets/d/13JHU_EFbsQOUQ0JSQ3dWy1VTRosIWcDq6Nc99z2qzdc/edit?usp=sharing"",""หนองคาย!I198"")+IMPORTRANGE(""https://docs.google.com/spreadsheets/d/1Hx73zIEgVdDZZaYSTc46Dqv64atFhpr3GelxLbaIN8A/edit?usp=sharing"",""หนองบัวลำภู"&amp;"!I198"")+IMPORTRANGE(""https://docs.google.com/spreadsheets/d/1lFxr3ctmjFN90yc-xV6jrQ9Ty8BKYVBWnAZ15wcNIJc/edit?usp=sharing"",""อำนาจเจริญ!I198"")+IMPORTRANGE(""https://docs.google.com/spreadsheets/d/1gF7RJpRnL-1oyjyeWxs5SFWEH7y8ahOZsQlyp2A2e-A/edit?usp=s"&amp;"haring"",""อุดรธานี!I198"")+IMPORTRANGE(""https://docs.google.com/spreadsheets/d/1kfLP0j3INXRa8bTDpcEmoWewMBV61jlFlfzczfjWIgc/edit?usp=sharing"",""อุบลราชธานี!I198"")"),80)</f>
        <v>80</v>
      </c>
      <c r="J198" s="181">
        <f ca="1">IFERROR(__xludf.DUMMYFUNCTION("IMPORTRANGE(""https://docs.google.com/spreadsheets/d/1yhBcrRPreicbMKl9Bu_Snb2-OcQAF62RKfhTLhJ2eAA/edit?usp=sharing"",""กาฬสินธุ์!J198"")+IMPORTRANGE(""https://docs.google.com/spreadsheets/d/1aHkj4IaQMThhwWwevcOymEh837vdxeC_PycurhTbGFA/edit?usp=sharing"","&amp;"""ขอนแก่น!J198"")+IMPORTRANGE(""https://docs.google.com/spreadsheets/d/1FvTu2DsIWUjP6WCWra38Bkj_oOl_sOMf14r5Fg5srxU/edit?usp=sharing"",""ชัยภูมิ!J198"")+IMPORTRANGE(""https://docs.google.com/spreadsheets/d/1XVB7oCJ3pr-vBUdflwPQ8Z2LlzhnCvZaaYjAfP-647E/edit"&amp;"?usp=sharing"",""นครพนม!J198"")+IMPORTRANGE(""https://docs.google.com/spreadsheets/d/1Mnpb-8PYAgn85W6KOTD40hc_Xc55CaLfHoGAbrZ8tls/edit?usp=sharing"",""นครราชสีมา!J198"")+IMPORTRANGE(""https://docs.google.com/spreadsheets/d/1xoDLGBv9CYbyosIhki0kTq6IpYNj-gp"&amp;"jxfobnaDiut0/edit?usp=sharing"",""บึงกาฬ!J198"")+IMPORTRANGE(""https://docs.google.com/spreadsheets/d/1MMPq-JyI6DSgQETxuSiXkesP-P7JHuemnE6QJIa-Nlw/edit?usp=sharing"",""บุรีรัมย์!J198"")+IMPORTRANGE(""https://docs.google.com/spreadsheets/d/1l6IZ8xUPgMrESzc"&amp;"TYwhA1k_tPjeQjJPTqlm8Gd9eU5g/edit?usp=sharing"",""มหาสารคาม!J198"")+IMPORTRANGE(""https://docs.google.com/spreadsheets/d/1uB74YLqNjWX6FObjekfB2NtSYigTQyR2rq9u4Ub2Sq4/edit?usp=sharing"",""มุกดาหาร!J198"")+IMPORTRANGE(""https://docs.google.com/spreadsheets/"&amp;"d/1NexK3geCPxCTO1fzNF8dPec7yZyUx3OaWkFBC9HsQOo/edit?usp=sharing"",""ยโสธร!J198"")+IMPORTRANGE(""https://docs.google.com/spreadsheets/d/1v_cJrbBlyqmnHPReHk44g9NrMRdENNlSy_E_c5M9fIg/edit?usp=sharing"",""ร้อยเอ็ด!J198"")+IMPORTRANGE(""https://docs.google.com"&amp;"/spreadsheets/d/1Ul4RCpCX66NxYADU1QpwAPjOmBzW64SsT11s1wzXw_c/edit?usp=sharing"",""เลย!J198"")+IMPORTRANGE(""https://docs.google.com/spreadsheets/d/1bRrNKwbHDVktQG10isr5vbWRtt5spIZPpkOSWgbT5ug/edit?usp=sharing"",""ศรีสะเกษ!J198"")+IMPORTRANGE(""https://doc"&amp;"s.google.com/spreadsheets/d/17P34_Ow5kFBfdQD0qspb2UuPX5zpi6WMrQzslghyvrI/edit?usp=sharing"",""สกลนคร!J198"")+IMPORTRANGE(""https://docs.google.com/spreadsheets/d/1yswqbM3-AEpThF3ZSUa1AcmHnmRTF1vlJ1CZGcJ8YuU/edit?usp=sharing"",""สุรินทร์!J198"")+IMPORTRANG"&amp;"E(""https://docs.google.com/spreadsheets/d/13JHU_EFbsQOUQ0JSQ3dWy1VTRosIWcDq6Nc99z2qzdc/edit?usp=sharing"",""หนองคาย!J198"")+IMPORTRANGE(""https://docs.google.com/spreadsheets/d/1Hx73zIEgVdDZZaYSTc46Dqv64atFhpr3GelxLbaIN8A/edit?usp=sharing"",""หนองบัวลำภู"&amp;"!J198"")+IMPORTRANGE(""https://docs.google.com/spreadsheets/d/1lFxr3ctmjFN90yc-xV6jrQ9Ty8BKYVBWnAZ15wcNIJc/edit?usp=sharing"",""อำนาจเจริญ!J198"")+IMPORTRANGE(""https://docs.google.com/spreadsheets/d/1gF7RJpRnL-1oyjyeWxs5SFWEH7y8ahOZsQlyp2A2e-A/edit?usp=s"&amp;"haring"",""อุดรธานี!J198"")+IMPORTRANGE(""https://docs.google.com/spreadsheets/d/1kfLP0j3INXRa8bTDpcEmoWewMBV61jlFlfzczfjWIgc/edit?usp=sharing"",""อุบลราชธานี!J198"")"),38)</f>
        <v>38</v>
      </c>
      <c r="K198" s="56">
        <f ca="1">IF(I198&gt;0,J198*100/I198,0)</f>
        <v>47.5</v>
      </c>
      <c r="L198" s="55"/>
      <c r="M198" s="55"/>
      <c r="N198" s="55"/>
      <c r="O198" s="55"/>
      <c r="P198" s="55"/>
      <c r="Q198" s="55"/>
      <c r="R198" s="55"/>
      <c r="S198" s="62"/>
      <c r="T198" s="55"/>
      <c r="U198" s="55"/>
    </row>
    <row r="199" spans="1:21" ht="19.5">
      <c r="A199" s="166"/>
      <c r="B199" s="167"/>
      <c r="C199" s="167"/>
      <c r="D199" s="178" t="s">
        <v>81</v>
      </c>
      <c r="E199" s="174"/>
      <c r="F199" s="174"/>
      <c r="G199" s="171"/>
      <c r="H199" s="253" t="s">
        <v>35</v>
      </c>
      <c r="I199" s="54"/>
      <c r="J199" s="176">
        <f ca="1">J200+J201</f>
        <v>572</v>
      </c>
      <c r="K199" s="55"/>
      <c r="L199" s="55"/>
      <c r="M199" s="55"/>
      <c r="N199" s="55"/>
      <c r="O199" s="55"/>
      <c r="P199" s="55"/>
      <c r="Q199" s="55"/>
      <c r="R199" s="55"/>
      <c r="S199" s="62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181">
        <f ca="1">IFERROR(__xludf.DUMMYFUNCTION("IMPORTRANGE(""https://docs.google.com/spreadsheets/d/1yhBcrRPreicbMKl9Bu_Snb2-OcQAF62RKfhTLhJ2eAA/edit?usp=sharing"",""กาฬสินธุ์!J200"")+IMPORTRANGE(""https://docs.google.com/spreadsheets/d/1aHkj4IaQMThhwWwevcOymEh837vdxeC_PycurhTbGFA/edit?usp=sharing"","&amp;"""ขอนแก่น!J200"")+IMPORTRANGE(""https://docs.google.com/spreadsheets/d/1FvTu2DsIWUjP6WCWra38Bkj_oOl_sOMf14r5Fg5srxU/edit?usp=sharing"",""ชัยภูมิ!J200"")+IMPORTRANGE(""https://docs.google.com/spreadsheets/d/1XVB7oCJ3pr-vBUdflwPQ8Z2LlzhnCvZaaYjAfP-647E/edit"&amp;"?usp=sharing"",""นครพนม!J200"")+IMPORTRANGE(""https://docs.google.com/spreadsheets/d/1Mnpb-8PYAgn85W6KOTD40hc_Xc55CaLfHoGAbrZ8tls/edit?usp=sharing"",""นครราชสีมา!J200"")+IMPORTRANGE(""https://docs.google.com/spreadsheets/d/1xoDLGBv9CYbyosIhki0kTq6IpYNj-gp"&amp;"jxfobnaDiut0/edit?usp=sharing"",""บึงกาฬ!J200"")+IMPORTRANGE(""https://docs.google.com/spreadsheets/d/1MMPq-JyI6DSgQETxuSiXkesP-P7JHuemnE6QJIa-Nlw/edit?usp=sharing"",""บุรีรัมย์!J200"")+IMPORTRANGE(""https://docs.google.com/spreadsheets/d/1l6IZ8xUPgMrESzc"&amp;"TYwhA1k_tPjeQjJPTqlm8Gd9eU5g/edit?usp=sharing"",""มหาสารคาม!J200"")+IMPORTRANGE(""https://docs.google.com/spreadsheets/d/1uB74YLqNjWX6FObjekfB2NtSYigTQyR2rq9u4Ub2Sq4/edit?usp=sharing"",""มุกดาหาร!J200"")+IMPORTRANGE(""https://docs.google.com/spreadsheets/"&amp;"d/1NexK3geCPxCTO1fzNF8dPec7yZyUx3OaWkFBC9HsQOo/edit?usp=sharing"",""ยโสธร!J200"")+IMPORTRANGE(""https://docs.google.com/spreadsheets/d/1v_cJrbBlyqmnHPReHk44g9NrMRdENNlSy_E_c5M9fIg/edit?usp=sharing"",""ร้อยเอ็ด!J200"")+IMPORTRANGE(""https://docs.google.com"&amp;"/spreadsheets/d/1Ul4RCpCX66NxYADU1QpwAPjOmBzW64SsT11s1wzXw_c/edit?usp=sharing"",""เลย!J200"")+IMPORTRANGE(""https://docs.google.com/spreadsheets/d/1bRrNKwbHDVktQG10isr5vbWRtt5spIZPpkOSWgbT5ug/edit?usp=sharing"",""ศรีสะเกษ!J200"")+IMPORTRANGE(""https://doc"&amp;"s.google.com/spreadsheets/d/17P34_Ow5kFBfdQD0qspb2UuPX5zpi6WMrQzslghyvrI/edit?usp=sharing"",""สกลนคร!J200"")+IMPORTRANGE(""https://docs.google.com/spreadsheets/d/1yswqbM3-AEpThF3ZSUa1AcmHnmRTF1vlJ1CZGcJ8YuU/edit?usp=sharing"",""สุรินทร์!J200"")+IMPORTRANG"&amp;"E(""https://docs.google.com/spreadsheets/d/13JHU_EFbsQOUQ0JSQ3dWy1VTRosIWcDq6Nc99z2qzdc/edit?usp=sharing"",""หนองคาย!J200"")+IMPORTRANGE(""https://docs.google.com/spreadsheets/d/1Hx73zIEgVdDZZaYSTc46Dqv64atFhpr3GelxLbaIN8A/edit?usp=sharing"",""หนองบัวลำภู"&amp;"!J200"")+IMPORTRANGE(""https://docs.google.com/spreadsheets/d/1lFxr3ctmjFN90yc-xV6jrQ9Ty8BKYVBWnAZ15wcNIJc/edit?usp=sharing"",""อำนาจเจริญ!J200"")+IMPORTRANGE(""https://docs.google.com/spreadsheets/d/1gF7RJpRnL-1oyjyeWxs5SFWEH7y8ahOZsQlyp2A2e-A/edit?usp=s"&amp;"haring"",""อุดรธานี!J200"")+IMPORTRANGE(""https://docs.google.com/spreadsheets/d/1kfLP0j3INXRa8bTDpcEmoWewMBV61jlFlfzczfjWIgc/edit?usp=sharing"",""อุบลราชธานี!J200"")"),572)</f>
        <v>572</v>
      </c>
      <c r="K200" s="55"/>
      <c r="L200" s="55"/>
      <c r="M200" s="55"/>
      <c r="N200" s="55"/>
      <c r="O200" s="55"/>
      <c r="P200" s="55"/>
      <c r="Q200" s="55"/>
      <c r="R200" s="55"/>
      <c r="S200" s="62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40" t="s">
        <v>35</v>
      </c>
      <c r="I201" s="54"/>
      <c r="J201" s="181">
        <f ca="1">IFERROR(__xludf.DUMMYFUNCTION("IMPORTRANGE(""https://docs.google.com/spreadsheets/d/1yhBcrRPreicbMKl9Bu_Snb2-OcQAF62RKfhTLhJ2eAA/edit?usp=sharing"",""กาฬสินธุ์!J201"")+IMPORTRANGE(""https://docs.google.com/spreadsheets/d/1aHkj4IaQMThhwWwevcOymEh837vdxeC_PycurhTbGFA/edit?usp=sharing"","&amp;"""ขอนแก่น!J201"")+IMPORTRANGE(""https://docs.google.com/spreadsheets/d/1FvTu2DsIWUjP6WCWra38Bkj_oOl_sOMf14r5Fg5srxU/edit?usp=sharing"",""ชัยภูมิ!J201"")+IMPORTRANGE(""https://docs.google.com/spreadsheets/d/1XVB7oCJ3pr-vBUdflwPQ8Z2LlzhnCvZaaYjAfP-647E/edit"&amp;"?usp=sharing"",""นครพนม!J201"")+IMPORTRANGE(""https://docs.google.com/spreadsheets/d/1Mnpb-8PYAgn85W6KOTD40hc_Xc55CaLfHoGAbrZ8tls/edit?usp=sharing"",""นครราชสีมา!J201"")+IMPORTRANGE(""https://docs.google.com/spreadsheets/d/1xoDLGBv9CYbyosIhki0kTq6IpYNj-gp"&amp;"jxfobnaDiut0/edit?usp=sharing"",""บึงกาฬ!J201"")+IMPORTRANGE(""https://docs.google.com/spreadsheets/d/1MMPq-JyI6DSgQETxuSiXkesP-P7JHuemnE6QJIa-Nlw/edit?usp=sharing"",""บุรีรัมย์!J201"")+IMPORTRANGE(""https://docs.google.com/spreadsheets/d/1l6IZ8xUPgMrESzc"&amp;"TYwhA1k_tPjeQjJPTqlm8Gd9eU5g/edit?usp=sharing"",""มหาสารคาม!J201"")+IMPORTRANGE(""https://docs.google.com/spreadsheets/d/1uB74YLqNjWX6FObjekfB2NtSYigTQyR2rq9u4Ub2Sq4/edit?usp=sharing"",""มุกดาหาร!J201"")+IMPORTRANGE(""https://docs.google.com/spreadsheets/"&amp;"d/1NexK3geCPxCTO1fzNF8dPec7yZyUx3OaWkFBC9HsQOo/edit?usp=sharing"",""ยโสธร!J201"")+IMPORTRANGE(""https://docs.google.com/spreadsheets/d/1v_cJrbBlyqmnHPReHk44g9NrMRdENNlSy_E_c5M9fIg/edit?usp=sharing"",""ร้อยเอ็ด!J201"")+IMPORTRANGE(""https://docs.google.com"&amp;"/spreadsheets/d/1Ul4RCpCX66NxYADU1QpwAPjOmBzW64SsT11s1wzXw_c/edit?usp=sharing"",""เลย!J201"")+IMPORTRANGE(""https://docs.google.com/spreadsheets/d/1bRrNKwbHDVktQG10isr5vbWRtt5spIZPpkOSWgbT5ug/edit?usp=sharing"",""ศรีสะเกษ!J201"")+IMPORTRANGE(""https://doc"&amp;"s.google.com/spreadsheets/d/17P34_Ow5kFBfdQD0qspb2UuPX5zpi6WMrQzslghyvrI/edit?usp=sharing"",""สกลนคร!J201"")+IMPORTRANGE(""https://docs.google.com/spreadsheets/d/1yswqbM3-AEpThF3ZSUa1AcmHnmRTF1vlJ1CZGcJ8YuU/edit?usp=sharing"",""สุรินทร์!J201"")+IMPORTRANG"&amp;"E(""https://docs.google.com/spreadsheets/d/13JHU_EFbsQOUQ0JSQ3dWy1VTRosIWcDq6Nc99z2qzdc/edit?usp=sharing"",""หนองคาย!J201"")+IMPORTRANGE(""https://docs.google.com/spreadsheets/d/1Hx73zIEgVdDZZaYSTc46Dqv64atFhpr3GelxLbaIN8A/edit?usp=sharing"",""หนองบัวลำภู"&amp;"!J201"")+IMPORTRANGE(""https://docs.google.com/spreadsheets/d/1lFxr3ctmjFN90yc-xV6jrQ9Ty8BKYVBWnAZ15wcNIJc/edit?usp=sharing"",""อำนาจเจริญ!J201"")+IMPORTRANGE(""https://docs.google.com/spreadsheets/d/1gF7RJpRnL-1oyjyeWxs5SFWEH7y8ahOZsQlyp2A2e-A/edit?usp=s"&amp;"haring"",""อุดรธานี!J201"")+IMPORTRANGE(""https://docs.google.com/spreadsheets/d/1kfLP0j3INXRa8bTDpcEmoWewMBV61jlFlfzczfjWIgc/edit?usp=sharing"",""อุบลราชธานี!J201"")"),0)</f>
        <v>0</v>
      </c>
      <c r="K201" s="55"/>
      <c r="L201" s="55"/>
      <c r="M201" s="55"/>
      <c r="N201" s="55"/>
      <c r="O201" s="55"/>
      <c r="P201" s="55"/>
      <c r="Q201" s="55"/>
      <c r="R201" s="55"/>
      <c r="S201" s="62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254" t="s">
        <v>85</v>
      </c>
      <c r="I202" s="247">
        <f t="shared" ref="I202:J202" ca="1" si="172">I209</f>
        <v>55</v>
      </c>
      <c r="J202" s="247">
        <f t="shared" ca="1" si="172"/>
        <v>9</v>
      </c>
      <c r="K202" s="248">
        <f ca="1">IF(I202&gt;0,J202*100/I202,0)</f>
        <v>16.363636363636363</v>
      </c>
      <c r="L202" s="249"/>
      <c r="M202" s="249"/>
      <c r="N202" s="249"/>
      <c r="O202" s="249"/>
      <c r="P202" s="249"/>
      <c r="Q202" s="249"/>
      <c r="R202" s="249"/>
      <c r="S202" s="250"/>
      <c r="T202" s="249"/>
      <c r="U202" s="249"/>
    </row>
    <row r="203" spans="1:21" ht="19.5">
      <c r="A203" s="155"/>
      <c r="B203" s="50"/>
      <c r="C203" s="156" t="s">
        <v>18</v>
      </c>
      <c r="D203" s="251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159">
        <f t="shared" ref="L203:N203" ca="1" si="173">L204+L205+L206+L207</f>
        <v>258000</v>
      </c>
      <c r="M203" s="159">
        <f t="shared" ca="1" si="173"/>
        <v>0</v>
      </c>
      <c r="N203" s="159">
        <f t="shared" ca="1" si="173"/>
        <v>28000</v>
      </c>
      <c r="O203" s="159">
        <f ca="1">IF(L203&gt;0,N203*100/L203,0)</f>
        <v>10.852713178294573</v>
      </c>
      <c r="P203" s="55"/>
      <c r="Q203" s="159">
        <f t="shared" ref="Q203:S203" ca="1" si="174">Q204+Q205+Q206+Q207</f>
        <v>770000</v>
      </c>
      <c r="R203" s="159">
        <f t="shared" ca="1" si="174"/>
        <v>0</v>
      </c>
      <c r="S203" s="160">
        <f t="shared" ca="1" si="174"/>
        <v>9500</v>
      </c>
      <c r="T203" s="55"/>
      <c r="U203" s="55"/>
    </row>
    <row r="204" spans="1:21" ht="18.75">
      <c r="A204" s="155"/>
      <c r="B204" s="188"/>
      <c r="C204" s="50"/>
      <c r="D204" s="58" t="s">
        <v>86</v>
      </c>
      <c r="E204" s="50"/>
      <c r="F204" s="50"/>
      <c r="G204" s="52"/>
      <c r="H204" s="162" t="s">
        <v>14</v>
      </c>
      <c r="I204" s="163"/>
      <c r="J204" s="163"/>
      <c r="K204" s="164"/>
      <c r="L204" s="56">
        <f ca="1">IFERROR(__xludf.DUMMYFUNCTION("IMPORTRANGE(""https://docs.google.com/spreadsheets/d/1yhBcrRPreicbMKl9Bu_Snb2-OcQAF62RKfhTLhJ2eAA/edit?usp=sharing"",""กาฬสินธุ์!L204"")+IMPORTRANGE(""https://docs.google.com/spreadsheets/d/1aHkj4IaQMThhwWwevcOymEh837vdxeC_PycurhTbGFA/edit?usp=sharing"","&amp;"""ขอนแก่น!L204"")+IMPORTRANGE(""https://docs.google.com/spreadsheets/d/1FvTu2DsIWUjP6WCWra38Bkj_oOl_sOMf14r5Fg5srxU/edit?usp=sharing"",""ชัยภูมิ!L204"")+IMPORTRANGE(""https://docs.google.com/spreadsheets/d/1XVB7oCJ3pr-vBUdflwPQ8Z2LlzhnCvZaaYjAfP-647E/edit"&amp;"?usp=sharing"",""นครพนม!L204"")+IMPORTRANGE(""https://docs.google.com/spreadsheets/d/1Mnpb-8PYAgn85W6KOTD40hc_Xc55CaLfHoGAbrZ8tls/edit?usp=sharing"",""นครราชสีมา!L204"")+IMPORTRANGE(""https://docs.google.com/spreadsheets/d/1xoDLGBv9CYbyosIhki0kTq6IpYNj-gp"&amp;"jxfobnaDiut0/edit?usp=sharing"",""บึงกาฬ!L204"")+IMPORTRANGE(""https://docs.google.com/spreadsheets/d/1MMPq-JyI6DSgQETxuSiXkesP-P7JHuemnE6QJIa-Nlw/edit?usp=sharing"",""บุรีรัมย์!L204"")+IMPORTRANGE(""https://docs.google.com/spreadsheets/d/1l6IZ8xUPgMrESzc"&amp;"TYwhA1k_tPjeQjJPTqlm8Gd9eU5g/edit?usp=sharing"",""มหาสารคาม!L204"")+IMPORTRANGE(""https://docs.google.com/spreadsheets/d/1uB74YLqNjWX6FObjekfB2NtSYigTQyR2rq9u4Ub2Sq4/edit?usp=sharing"",""มุกดาหาร!L204"")+IMPORTRANGE(""https://docs.google.com/spreadsheets/"&amp;"d/1NexK3geCPxCTO1fzNF8dPec7yZyUx3OaWkFBC9HsQOo/edit?usp=sharing"",""ยโสธร!L204"")+IMPORTRANGE(""https://docs.google.com/spreadsheets/d/1v_cJrbBlyqmnHPReHk44g9NrMRdENNlSy_E_c5M9fIg/edit?usp=sharing"",""ร้อยเอ็ด!L204"")+IMPORTRANGE(""https://docs.google.com"&amp;"/spreadsheets/d/1Ul4RCpCX66NxYADU1QpwAPjOmBzW64SsT11s1wzXw_c/edit?usp=sharing"",""เลย!L204"")+IMPORTRANGE(""https://docs.google.com/spreadsheets/d/1bRrNKwbHDVktQG10isr5vbWRtt5spIZPpkOSWgbT5ug/edit?usp=sharing"",""ศรีสะเกษ!L204"")+IMPORTRANGE(""https://doc"&amp;"s.google.com/spreadsheets/d/17P34_Ow5kFBfdQD0qspb2UuPX5zpi6WMrQzslghyvrI/edit?usp=sharing"",""สกลนคร!L204"")+IMPORTRANGE(""https://docs.google.com/spreadsheets/d/1yswqbM3-AEpThF3ZSUa1AcmHnmRTF1vlJ1CZGcJ8YuU/edit?usp=sharing"",""สุรินทร์!L204"")+IMPORTRANG"&amp;"E(""https://docs.google.com/spreadsheets/d/13JHU_EFbsQOUQ0JSQ3dWy1VTRosIWcDq6Nc99z2qzdc/edit?usp=sharing"",""หนองคาย!L204"")+IMPORTRANGE(""https://docs.google.com/spreadsheets/d/1Hx73zIEgVdDZZaYSTc46Dqv64atFhpr3GelxLbaIN8A/edit?usp=sharing"",""หนองบัวลำภู"&amp;"!L204"")+IMPORTRANGE(""https://docs.google.com/spreadsheets/d/1lFxr3ctmjFN90yc-xV6jrQ9Ty8BKYVBWnAZ15wcNIJc/edit?usp=sharing"",""อำนาจเจริญ!L204"")+IMPORTRANGE(""https://docs.google.com/spreadsheets/d/1gF7RJpRnL-1oyjyeWxs5SFWEH7y8ahOZsQlyp2A2e-A/edit?usp=s"&amp;"haring"",""อุดรธานี!L204"")+IMPORTRANGE(""https://docs.google.com/spreadsheets/d/1kfLP0j3INXRa8bTDpcEmoWewMBV61jlFlfzczfjWIgc/edit?usp=sharing"",""อุบลราชธานี!L204"")"),44000)</f>
        <v>44000</v>
      </c>
      <c r="M204" s="56">
        <f ca="1">IFERROR(__xludf.DUMMYFUNCTION("IMPORTRANGE(""https://docs.google.com/spreadsheets/d/1yhBcrRPreicbMKl9Bu_Snb2-OcQAF62RKfhTLhJ2eAA/edit?usp=sharing"",""กาฬสินธุ์!M204"")+IMPORTRANGE(""https://docs.google.com/spreadsheets/d/1aHkj4IaQMThhwWwevcOymEh837vdxeC_PycurhTbGFA/edit?usp=sharing"","&amp;"""ขอนแก่น!M204"")+IMPORTRANGE(""https://docs.google.com/spreadsheets/d/1FvTu2DsIWUjP6WCWra38Bkj_oOl_sOMf14r5Fg5srxU/edit?usp=sharing"",""ชัยภูมิ!M204"")+IMPORTRANGE(""https://docs.google.com/spreadsheets/d/1XVB7oCJ3pr-vBUdflwPQ8Z2LlzhnCvZaaYjAfP-647E/edit"&amp;"?usp=sharing"",""นครพนม!M204"")+IMPORTRANGE(""https://docs.google.com/spreadsheets/d/1Mnpb-8PYAgn85W6KOTD40hc_Xc55CaLfHoGAbrZ8tls/edit?usp=sharing"",""นครราชสีมา!M204"")+IMPORTRANGE(""https://docs.google.com/spreadsheets/d/1xoDLGBv9CYbyosIhki0kTq6IpYNj-gp"&amp;"jxfobnaDiut0/edit?usp=sharing"",""บึงกาฬ!M204"")+IMPORTRANGE(""https://docs.google.com/spreadsheets/d/1MMPq-JyI6DSgQETxuSiXkesP-P7JHuemnE6QJIa-Nlw/edit?usp=sharing"",""บุรีรัมย์!M204"")+IMPORTRANGE(""https://docs.google.com/spreadsheets/d/1l6IZ8xUPgMrESzc"&amp;"TYwhA1k_tPjeQjJPTqlm8Gd9eU5g/edit?usp=sharing"",""มหาสารคาม!M204"")+IMPORTRANGE(""https://docs.google.com/spreadsheets/d/1uB74YLqNjWX6FObjekfB2NtSYigTQyR2rq9u4Ub2Sq4/edit?usp=sharing"",""มุกดาหาร!M204"")+IMPORTRANGE(""https://docs.google.com/spreadsheets/"&amp;"d/1NexK3geCPxCTO1fzNF8dPec7yZyUx3OaWkFBC9HsQOo/edit?usp=sharing"",""ยโสธร!M204"")+IMPORTRANGE(""https://docs.google.com/spreadsheets/d/1v_cJrbBlyqmnHPReHk44g9NrMRdENNlSy_E_c5M9fIg/edit?usp=sharing"",""ร้อยเอ็ด!M204"")+IMPORTRANGE(""https://docs.google.com"&amp;"/spreadsheets/d/1Ul4RCpCX66NxYADU1QpwAPjOmBzW64SsT11s1wzXw_c/edit?usp=sharing"",""เลย!M204"")+IMPORTRANGE(""https://docs.google.com/spreadsheets/d/1bRrNKwbHDVktQG10isr5vbWRtt5spIZPpkOSWgbT5ug/edit?usp=sharing"",""ศรีสะเกษ!M204"")+IMPORTRANGE(""https://doc"&amp;"s.google.com/spreadsheets/d/17P34_Ow5kFBfdQD0qspb2UuPX5zpi6WMrQzslghyvrI/edit?usp=sharing"",""สกลนคร!M204"")+IMPORTRANGE(""https://docs.google.com/spreadsheets/d/1yswqbM3-AEpThF3ZSUa1AcmHnmRTF1vlJ1CZGcJ8YuU/edit?usp=sharing"",""สุรินทร์!M204"")+IMPORTRANG"&amp;"E(""https://docs.google.com/spreadsheets/d/13JHU_EFbsQOUQ0JSQ3dWy1VTRosIWcDq6Nc99z2qzdc/edit?usp=sharing"",""หนองคาย!M204"")+IMPORTRANGE(""https://docs.google.com/spreadsheets/d/1Hx73zIEgVdDZZaYSTc46Dqv64atFhpr3GelxLbaIN8A/edit?usp=sharing"",""หนองบัวลำภู"&amp;"!M204"")+IMPORTRANGE(""https://docs.google.com/spreadsheets/d/1lFxr3ctmjFN90yc-xV6jrQ9Ty8BKYVBWnAZ15wcNIJc/edit?usp=sharing"",""อำนาจเจริญ!M204"")+IMPORTRANGE(""https://docs.google.com/spreadsheets/d/1gF7RJpRnL-1oyjyeWxs5SFWEH7y8ahOZsQlyp2A2e-A/edit?usp=s"&amp;"haring"",""อุดรธานี!M204"")+IMPORTRANGE(""https://docs.google.com/spreadsheets/d/1kfLP0j3INXRa8bTDpcEmoWewMBV61jlFlfzczfjWIgc/edit?usp=sharing"",""อุบลราชธานี!M204"")"),0)</f>
        <v>0</v>
      </c>
      <c r="N204" s="56">
        <f ca="1">IFERROR(__xludf.DUMMYFUNCTION("IMPORTRANGE(""https://docs.google.com/spreadsheets/d/1yhBcrRPreicbMKl9Bu_Snb2-OcQAF62RKfhTLhJ2eAA/edit?usp=sharing"",""กาฬสินธุ์!N204"")+IMPORTRANGE(""https://docs.google.com/spreadsheets/d/1aHkj4IaQMThhwWwevcOymEh837vdxeC_PycurhTbGFA/edit?usp=sharing"","&amp;"""ขอนแก่น!N204"")+IMPORTRANGE(""https://docs.google.com/spreadsheets/d/1FvTu2DsIWUjP6WCWra38Bkj_oOl_sOMf14r5Fg5srxU/edit?usp=sharing"",""ชัยภูมิ!N204"")+IMPORTRANGE(""https://docs.google.com/spreadsheets/d/1XVB7oCJ3pr-vBUdflwPQ8Z2LlzhnCvZaaYjAfP-647E/edit"&amp;"?usp=sharing"",""นครพนม!N204"")+IMPORTRANGE(""https://docs.google.com/spreadsheets/d/1Mnpb-8PYAgn85W6KOTD40hc_Xc55CaLfHoGAbrZ8tls/edit?usp=sharing"",""นครราชสีมา!N204"")+IMPORTRANGE(""https://docs.google.com/spreadsheets/d/1xoDLGBv9CYbyosIhki0kTq6IpYNj-gp"&amp;"jxfobnaDiut0/edit?usp=sharing"",""บึงกาฬ!N204"")+IMPORTRANGE(""https://docs.google.com/spreadsheets/d/1MMPq-JyI6DSgQETxuSiXkesP-P7JHuemnE6QJIa-Nlw/edit?usp=sharing"",""บุรีรัมย์!N204"")+IMPORTRANGE(""https://docs.google.com/spreadsheets/d/1l6IZ8xUPgMrESzc"&amp;"TYwhA1k_tPjeQjJPTqlm8Gd9eU5g/edit?usp=sharing"",""มหาสารคาม!N204"")+IMPORTRANGE(""https://docs.google.com/spreadsheets/d/1uB74YLqNjWX6FObjekfB2NtSYigTQyR2rq9u4Ub2Sq4/edit?usp=sharing"",""มุกดาหาร!N204"")+IMPORTRANGE(""https://docs.google.com/spreadsheets/"&amp;"d/1NexK3geCPxCTO1fzNF8dPec7yZyUx3OaWkFBC9HsQOo/edit?usp=sharing"",""ยโสธร!N204"")+IMPORTRANGE(""https://docs.google.com/spreadsheets/d/1v_cJrbBlyqmnHPReHk44g9NrMRdENNlSy_E_c5M9fIg/edit?usp=sharing"",""ร้อยเอ็ด!N204"")+IMPORTRANGE(""https://docs.google.com"&amp;"/spreadsheets/d/1Ul4RCpCX66NxYADU1QpwAPjOmBzW64SsT11s1wzXw_c/edit?usp=sharing"",""เลย!N204"")+IMPORTRANGE(""https://docs.google.com/spreadsheets/d/1bRrNKwbHDVktQG10isr5vbWRtt5spIZPpkOSWgbT5ug/edit?usp=sharing"",""ศรีสะเกษ!N204"")+IMPORTRANGE(""https://doc"&amp;"s.google.com/spreadsheets/d/17P34_Ow5kFBfdQD0qspb2UuPX5zpi6WMrQzslghyvrI/edit?usp=sharing"",""สกลนคร!N204"")+IMPORTRANGE(""https://docs.google.com/spreadsheets/d/1yswqbM3-AEpThF3ZSUa1AcmHnmRTF1vlJ1CZGcJ8YuU/edit?usp=sharing"",""สุรินทร์!N204"")+IMPORTRANG"&amp;"E(""https://docs.google.com/spreadsheets/d/13JHU_EFbsQOUQ0JSQ3dWy1VTRosIWcDq6Nc99z2qzdc/edit?usp=sharing"",""หนองคาย!N204"")+IMPORTRANGE(""https://docs.google.com/spreadsheets/d/1Hx73zIEgVdDZZaYSTc46Dqv64atFhpr3GelxLbaIN8A/edit?usp=sharing"",""หนองบัวลำภู"&amp;"!N204"")+IMPORTRANGE(""https://docs.google.com/spreadsheets/d/1lFxr3ctmjFN90yc-xV6jrQ9Ty8BKYVBWnAZ15wcNIJc/edit?usp=sharing"",""อำนาจเจริญ!N204"")+IMPORTRANGE(""https://docs.google.com/spreadsheets/d/1gF7RJpRnL-1oyjyeWxs5SFWEH7y8ahOZsQlyp2A2e-A/edit?usp=s"&amp;"haring"",""อุดรธานี!N204"")+IMPORTRANGE(""https://docs.google.com/spreadsheets/d/1kfLP0j3INXRa8bTDpcEmoWewMBV61jlFlfzczfjWIgc/edit?usp=sharing"",""อุบลราชธานี!N204"")"),5000)</f>
        <v>5000</v>
      </c>
      <c r="O204" s="164"/>
      <c r="P204" s="55"/>
      <c r="Q204" s="56">
        <f ca="1">IFERROR(__xludf.DUMMYFUNCTION("IMPORTRANGE(""https://docs.google.com/spreadsheets/d/1yhBcrRPreicbMKl9Bu_Snb2-OcQAF62RKfhTLhJ2eAA/edit?usp=sharing"",""กาฬสินธุ์!Q204"")+IMPORTRANGE(""https://docs.google.com/spreadsheets/d/1aHkj4IaQMThhwWwevcOymEh837vdxeC_PycurhTbGFA/edit?usp=sharing"","&amp;"""ขอนแก่น!Q204"")+IMPORTRANGE(""https://docs.google.com/spreadsheets/d/1FvTu2DsIWUjP6WCWra38Bkj_oOl_sOMf14r5Fg5srxU/edit?usp=sharing"",""ชัยภูมิ!Q204"")+IMPORTRANGE(""https://docs.google.com/spreadsheets/d/1XVB7oCJ3pr-vBUdflwPQ8Z2LlzhnCvZaaYjAfP-647E/edit"&amp;"?usp=sharing"",""นครพนม!Q204"")+IMPORTRANGE(""https://docs.google.com/spreadsheets/d/1Mnpb-8PYAgn85W6KOTD40hc_Xc55CaLfHoGAbrZ8tls/edit?usp=sharing"",""นครราชสีมา!Q204"")+IMPORTRANGE(""https://docs.google.com/spreadsheets/d/1xoDLGBv9CYbyosIhki0kTq6IpYNj-gp"&amp;"jxfobnaDiut0/edit?usp=sharing"",""บึงกาฬ!Q204"")+IMPORTRANGE(""https://docs.google.com/spreadsheets/d/1MMPq-JyI6DSgQETxuSiXkesP-P7JHuemnE6QJIa-Nlw/edit?usp=sharing"",""บุรีรัมย์!Q204"")+IMPORTRANGE(""https://docs.google.com/spreadsheets/d/1l6IZ8xUPgMrESzc"&amp;"TYwhA1k_tPjeQjJPTqlm8Gd9eU5g/edit?usp=sharing"",""มหาสารคาม!Q204"")+IMPORTRANGE(""https://docs.google.com/spreadsheets/d/1uB74YLqNjWX6FObjekfB2NtSYigTQyR2rq9u4Ub2Sq4/edit?usp=sharing"",""มุกดาหาร!Q204"")+IMPORTRANGE(""https://docs.google.com/spreadsheets/"&amp;"d/1NexK3geCPxCTO1fzNF8dPec7yZyUx3OaWkFBC9HsQOo/edit?usp=sharing"",""ยโสธร!Q204"")+IMPORTRANGE(""https://docs.google.com/spreadsheets/d/1v_cJrbBlyqmnHPReHk44g9NrMRdENNlSy_E_c5M9fIg/edit?usp=sharing"",""ร้อยเอ็ด!Q204"")+IMPORTRANGE(""https://docs.google.com"&amp;"/spreadsheets/d/1Ul4RCpCX66NxYADU1QpwAPjOmBzW64SsT11s1wzXw_c/edit?usp=sharing"",""เลย!Q204"")+IMPORTRANGE(""https://docs.google.com/spreadsheets/d/1bRrNKwbHDVktQG10isr5vbWRtt5spIZPpkOSWgbT5ug/edit?usp=sharing"",""ศรีสะเกษ!Q204"")+IMPORTRANGE(""https://doc"&amp;"s.google.com/spreadsheets/d/17P34_Ow5kFBfdQD0qspb2UuPX5zpi6WMrQzslghyvrI/edit?usp=sharing"",""สกลนคร!Q204"")+IMPORTRANGE(""https://docs.google.com/spreadsheets/d/1yswqbM3-AEpThF3ZSUa1AcmHnmRTF1vlJ1CZGcJ8YuU/edit?usp=sharing"",""สุรินทร์!Q204"")+IMPORTRANG"&amp;"E(""https://docs.google.com/spreadsheets/d/13JHU_EFbsQOUQ0JSQ3dWy1VTRosIWcDq6Nc99z2qzdc/edit?usp=sharing"",""หนองคาย!Q204"")+IMPORTRANGE(""https://docs.google.com/spreadsheets/d/1Hx73zIEgVdDZZaYSTc46Dqv64atFhpr3GelxLbaIN8A/edit?usp=sharing"",""หนองบัวลำภู"&amp;"!Q204"")+IMPORTRANGE(""https://docs.google.com/spreadsheets/d/1lFxr3ctmjFN90yc-xV6jrQ9Ty8BKYVBWnAZ15wcNIJc/edit?usp=sharing"",""อำนาจเจริญ!Q204"")+IMPORTRANGE(""https://docs.google.com/spreadsheets/d/1gF7RJpRnL-1oyjyeWxs5SFWEH7y8ahOZsQlyp2A2e-A/edit?usp=s"&amp;"haring"",""อุดรธานี!Q204"")+IMPORTRANGE(""https://docs.google.com/spreadsheets/d/1kfLP0j3INXRa8bTDpcEmoWewMBV61jlFlfzczfjWIgc/edit?usp=sharing"",""อุบลราชธานี!Q204"")"),0)</f>
        <v>0</v>
      </c>
      <c r="R204" s="56">
        <f ca="1">IFERROR(__xludf.DUMMYFUNCTION("IMPORTRANGE(""https://docs.google.com/spreadsheets/d/1yhBcrRPreicbMKl9Bu_Snb2-OcQAF62RKfhTLhJ2eAA/edit?usp=sharing"",""กาฬสินธุ์!R204"")+IMPORTRANGE(""https://docs.google.com/spreadsheets/d/1aHkj4IaQMThhwWwevcOymEh837vdxeC_PycurhTbGFA/edit?usp=sharing"","&amp;"""ขอนแก่น!R204"")+IMPORTRANGE(""https://docs.google.com/spreadsheets/d/1FvTu2DsIWUjP6WCWra38Bkj_oOl_sOMf14r5Fg5srxU/edit?usp=sharing"",""ชัยภูมิ!R204"")+IMPORTRANGE(""https://docs.google.com/spreadsheets/d/1XVB7oCJ3pr-vBUdflwPQ8Z2LlzhnCvZaaYjAfP-647E/edit"&amp;"?usp=sharing"",""นครพนม!R204"")+IMPORTRANGE(""https://docs.google.com/spreadsheets/d/1Mnpb-8PYAgn85W6KOTD40hc_Xc55CaLfHoGAbrZ8tls/edit?usp=sharing"",""นครราชสีมา!R204"")+IMPORTRANGE(""https://docs.google.com/spreadsheets/d/1xoDLGBv9CYbyosIhki0kTq6IpYNj-gp"&amp;"jxfobnaDiut0/edit?usp=sharing"",""บึงกาฬ!R204"")+IMPORTRANGE(""https://docs.google.com/spreadsheets/d/1MMPq-JyI6DSgQETxuSiXkesP-P7JHuemnE6QJIa-Nlw/edit?usp=sharing"",""บุรีรัมย์!R204"")+IMPORTRANGE(""https://docs.google.com/spreadsheets/d/1l6IZ8xUPgMrESzc"&amp;"TYwhA1k_tPjeQjJPTqlm8Gd9eU5g/edit?usp=sharing"",""มหาสารคาม!R204"")+IMPORTRANGE(""https://docs.google.com/spreadsheets/d/1uB74YLqNjWX6FObjekfB2NtSYigTQyR2rq9u4Ub2Sq4/edit?usp=sharing"",""มุกดาหาร!R204"")+IMPORTRANGE(""https://docs.google.com/spreadsheets/"&amp;"d/1NexK3geCPxCTO1fzNF8dPec7yZyUx3OaWkFBC9HsQOo/edit?usp=sharing"",""ยโสธร!R204"")+IMPORTRANGE(""https://docs.google.com/spreadsheets/d/1v_cJrbBlyqmnHPReHk44g9NrMRdENNlSy_E_c5M9fIg/edit?usp=sharing"",""ร้อยเอ็ด!R204"")+IMPORTRANGE(""https://docs.google.com"&amp;"/spreadsheets/d/1Ul4RCpCX66NxYADU1QpwAPjOmBzW64SsT11s1wzXw_c/edit?usp=sharing"",""เลย!R204"")+IMPORTRANGE(""https://docs.google.com/spreadsheets/d/1bRrNKwbHDVktQG10isr5vbWRtt5spIZPpkOSWgbT5ug/edit?usp=sharing"",""ศรีสะเกษ!R204"")+IMPORTRANGE(""https://doc"&amp;"s.google.com/spreadsheets/d/17P34_Ow5kFBfdQD0qspb2UuPX5zpi6WMrQzslghyvrI/edit?usp=sharing"",""สกลนคร!R204"")+IMPORTRANGE(""https://docs.google.com/spreadsheets/d/1yswqbM3-AEpThF3ZSUa1AcmHnmRTF1vlJ1CZGcJ8YuU/edit?usp=sharing"",""สุรินทร์!R204"")+IMPORTRANG"&amp;"E(""https://docs.google.com/spreadsheets/d/13JHU_EFbsQOUQ0JSQ3dWy1VTRosIWcDq6Nc99z2qzdc/edit?usp=sharing"",""หนองคาย!R204"")+IMPORTRANGE(""https://docs.google.com/spreadsheets/d/1Hx73zIEgVdDZZaYSTc46Dqv64atFhpr3GelxLbaIN8A/edit?usp=sharing"",""หนองบัวลำภู"&amp;"!R204"")+IMPORTRANGE(""https://docs.google.com/spreadsheets/d/1lFxr3ctmjFN90yc-xV6jrQ9Ty8BKYVBWnAZ15wcNIJc/edit?usp=sharing"",""อำนาจเจริญ!R204"")+IMPORTRANGE(""https://docs.google.com/spreadsheets/d/1gF7RJpRnL-1oyjyeWxs5SFWEH7y8ahOZsQlyp2A2e-A/edit?usp=s"&amp;"haring"",""อุดรธานี!R204"")+IMPORTRANGE(""https://docs.google.com/spreadsheets/d/1kfLP0j3INXRa8bTDpcEmoWewMBV61jlFlfzczfjWIgc/edit?usp=sharing"",""อุบลราชธานี!R204"")"),0)</f>
        <v>0</v>
      </c>
      <c r="S204" s="57">
        <f ca="1">IFERROR(__xludf.DUMMYFUNCTION("IMPORTRANGE(""https://docs.google.com/spreadsheets/d/1yhBcrRPreicbMKl9Bu_Snb2-OcQAF62RKfhTLhJ2eAA/edit?usp=sharing"",""กาฬสินธุ์!S204"")+IMPORTRANGE(""https://docs.google.com/spreadsheets/d/1aHkj4IaQMThhwWwevcOymEh837vdxeC_PycurhTbGFA/edit?usp=sharing"","&amp;"""ขอนแก่น!S204"")+IMPORTRANGE(""https://docs.google.com/spreadsheets/d/1FvTu2DsIWUjP6WCWra38Bkj_oOl_sOMf14r5Fg5srxU/edit?usp=sharing"",""ชัยภูมิ!S204"")+IMPORTRANGE(""https://docs.google.com/spreadsheets/d/1XVB7oCJ3pr-vBUdflwPQ8Z2LlzhnCvZaaYjAfP-647E/edit"&amp;"?usp=sharing"",""นครพนม!S204"")+IMPORTRANGE(""https://docs.google.com/spreadsheets/d/1Mnpb-8PYAgn85W6KOTD40hc_Xc55CaLfHoGAbrZ8tls/edit?usp=sharing"",""นครราชสีมา!S204"")+IMPORTRANGE(""https://docs.google.com/spreadsheets/d/1xoDLGBv9CYbyosIhki0kTq6IpYNj-gp"&amp;"jxfobnaDiut0/edit?usp=sharing"",""บึงกาฬ!S204"")+IMPORTRANGE(""https://docs.google.com/spreadsheets/d/1MMPq-JyI6DSgQETxuSiXkesP-P7JHuemnE6QJIa-Nlw/edit?usp=sharing"",""บุรีรัมย์!S204"")+IMPORTRANGE(""https://docs.google.com/spreadsheets/d/1l6IZ8xUPgMrESzc"&amp;"TYwhA1k_tPjeQjJPTqlm8Gd9eU5g/edit?usp=sharing"",""มหาสารคาม!S204"")+IMPORTRANGE(""https://docs.google.com/spreadsheets/d/1uB74YLqNjWX6FObjekfB2NtSYigTQyR2rq9u4Ub2Sq4/edit?usp=sharing"",""มุกดาหาร!S204"")+IMPORTRANGE(""https://docs.google.com/spreadsheets/"&amp;"d/1NexK3geCPxCTO1fzNF8dPec7yZyUx3OaWkFBC9HsQOo/edit?usp=sharing"",""ยโสธร!S204"")+IMPORTRANGE(""https://docs.google.com/spreadsheets/d/1v_cJrbBlyqmnHPReHk44g9NrMRdENNlSy_E_c5M9fIg/edit?usp=sharing"",""ร้อยเอ็ด!S204"")+IMPORTRANGE(""https://docs.google.com"&amp;"/spreadsheets/d/1Ul4RCpCX66NxYADU1QpwAPjOmBzW64SsT11s1wzXw_c/edit?usp=sharing"",""เลย!S204"")+IMPORTRANGE(""https://docs.google.com/spreadsheets/d/1bRrNKwbHDVktQG10isr5vbWRtt5spIZPpkOSWgbT5ug/edit?usp=sharing"",""ศรีสะเกษ!S204"")+IMPORTRANGE(""https://doc"&amp;"s.google.com/spreadsheets/d/17P34_Ow5kFBfdQD0qspb2UuPX5zpi6WMrQzslghyvrI/edit?usp=sharing"",""สกลนคร!S204"")+IMPORTRANGE(""https://docs.google.com/spreadsheets/d/1yswqbM3-AEpThF3ZSUa1AcmHnmRTF1vlJ1CZGcJ8YuU/edit?usp=sharing"",""สุรินทร์!S204"")+IMPORTRANG"&amp;"E(""https://docs.google.com/spreadsheets/d/13JHU_EFbsQOUQ0JSQ3dWy1VTRosIWcDq6Nc99z2qzdc/edit?usp=sharing"",""หนองคาย!S204"")+IMPORTRANGE(""https://docs.google.com/spreadsheets/d/1Hx73zIEgVdDZZaYSTc46Dqv64atFhpr3GelxLbaIN8A/edit?usp=sharing"",""หนองบัวลำภู"&amp;"!S204"")+IMPORTRANGE(""https://docs.google.com/spreadsheets/d/1lFxr3ctmjFN90yc-xV6jrQ9Ty8BKYVBWnAZ15wcNIJc/edit?usp=sharing"",""อำนาจเจริญ!S204"")+IMPORTRANGE(""https://docs.google.com/spreadsheets/d/1gF7RJpRnL-1oyjyeWxs5SFWEH7y8ahOZsQlyp2A2e-A/edit?usp=s"&amp;"haring"",""อุดรธานี!S204"")+IMPORTRANGE(""https://docs.google.com/spreadsheets/d/1kfLP0j3INXRa8bTDpcEmoWewMBV61jlFlfzczfjWIgc/edit?usp=sharing"",""อุบลราชธานี!S204"")"),0)</f>
        <v>0</v>
      </c>
      <c r="T204" s="164"/>
      <c r="U204" s="55"/>
    </row>
    <row r="205" spans="1:21" ht="18.75">
      <c r="A205" s="238"/>
      <c r="B205" s="188"/>
      <c r="C205" s="50"/>
      <c r="D205" s="58" t="s">
        <v>87</v>
      </c>
      <c r="E205" s="50"/>
      <c r="F205" s="50"/>
      <c r="G205" s="52"/>
      <c r="H205" s="53" t="s">
        <v>14</v>
      </c>
      <c r="I205" s="54"/>
      <c r="J205" s="54"/>
      <c r="K205" s="55"/>
      <c r="L205" s="255">
        <v>0</v>
      </c>
      <c r="M205" s="255">
        <v>0</v>
      </c>
      <c r="N205" s="255">
        <v>0</v>
      </c>
      <c r="O205" s="164"/>
      <c r="P205" s="55"/>
      <c r="Q205" s="255">
        <v>0</v>
      </c>
      <c r="R205" s="255">
        <v>0</v>
      </c>
      <c r="S205" s="256">
        <v>0</v>
      </c>
      <c r="T205" s="164"/>
      <c r="U205" s="55"/>
    </row>
    <row r="206" spans="1:21" ht="18.75">
      <c r="A206" s="238"/>
      <c r="B206" s="188"/>
      <c r="C206" s="50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56">
        <f ca="1">IFERROR(__xludf.DUMMYFUNCTION("IMPORTRANGE(""https://docs.google.com/spreadsheets/d/1yhBcrRPreicbMKl9Bu_Snb2-OcQAF62RKfhTLhJ2eAA/edit?usp=sharing"",""กาฬสินธุ์!L206"")+IMPORTRANGE(""https://docs.google.com/spreadsheets/d/1aHkj4IaQMThhwWwevcOymEh837vdxeC_PycurhTbGFA/edit?usp=sharing"","&amp;"""ขอนแก่น!L206"")+IMPORTRANGE(""https://docs.google.com/spreadsheets/d/1FvTu2DsIWUjP6WCWra38Bkj_oOl_sOMf14r5Fg5srxU/edit?usp=sharing"",""ชัยภูมิ!L206"")+IMPORTRANGE(""https://docs.google.com/spreadsheets/d/1XVB7oCJ3pr-vBUdflwPQ8Z2LlzhnCvZaaYjAfP-647E/edit"&amp;"?usp=sharing"",""นครพนม!L206"")+IMPORTRANGE(""https://docs.google.com/spreadsheets/d/1Mnpb-8PYAgn85W6KOTD40hc_Xc55CaLfHoGAbrZ8tls/edit?usp=sharing"",""นครราชสีมา!L206"")+IMPORTRANGE(""https://docs.google.com/spreadsheets/d/1xoDLGBv9CYbyosIhki0kTq6IpYNj-gp"&amp;"jxfobnaDiut0/edit?usp=sharing"",""บึงกาฬ!L206"")+IMPORTRANGE(""https://docs.google.com/spreadsheets/d/1MMPq-JyI6DSgQETxuSiXkesP-P7JHuemnE6QJIa-Nlw/edit?usp=sharing"",""บุรีรัมย์!L206"")+IMPORTRANGE(""https://docs.google.com/spreadsheets/d/1l6IZ8xUPgMrESzc"&amp;"TYwhA1k_tPjeQjJPTqlm8Gd9eU5g/edit?usp=sharing"",""มหาสารคาม!L206"")+IMPORTRANGE(""https://docs.google.com/spreadsheets/d/1uB74YLqNjWX6FObjekfB2NtSYigTQyR2rq9u4Ub2Sq4/edit?usp=sharing"",""มุกดาหาร!L206"")+IMPORTRANGE(""https://docs.google.com/spreadsheets/"&amp;"d/1NexK3geCPxCTO1fzNF8dPec7yZyUx3OaWkFBC9HsQOo/edit?usp=sharing"",""ยโสธร!L206"")+IMPORTRANGE(""https://docs.google.com/spreadsheets/d/1v_cJrbBlyqmnHPReHk44g9NrMRdENNlSy_E_c5M9fIg/edit?usp=sharing"",""ร้อยเอ็ด!L206"")+IMPORTRANGE(""https://docs.google.com"&amp;"/spreadsheets/d/1Ul4RCpCX66NxYADU1QpwAPjOmBzW64SsT11s1wzXw_c/edit?usp=sharing"",""เลย!L206"")+IMPORTRANGE(""https://docs.google.com/spreadsheets/d/1bRrNKwbHDVktQG10isr5vbWRtt5spIZPpkOSWgbT5ug/edit?usp=sharing"",""ศรีสะเกษ!L206"")+IMPORTRANGE(""https://doc"&amp;"s.google.com/spreadsheets/d/17P34_Ow5kFBfdQD0qspb2UuPX5zpi6WMrQzslghyvrI/edit?usp=sharing"",""สกลนคร!L206"")+IMPORTRANGE(""https://docs.google.com/spreadsheets/d/1yswqbM3-AEpThF3ZSUa1AcmHnmRTF1vlJ1CZGcJ8YuU/edit?usp=sharing"",""สุรินทร์!L206"")+IMPORTRANG"&amp;"E(""https://docs.google.com/spreadsheets/d/13JHU_EFbsQOUQ0JSQ3dWy1VTRosIWcDq6Nc99z2qzdc/edit?usp=sharing"",""หนองคาย!L206"")+IMPORTRANGE(""https://docs.google.com/spreadsheets/d/1Hx73zIEgVdDZZaYSTc46Dqv64atFhpr3GelxLbaIN8A/edit?usp=sharing"",""หนองบัวลำภู"&amp;"!L206"")+IMPORTRANGE(""https://docs.google.com/spreadsheets/d/1lFxr3ctmjFN90yc-xV6jrQ9Ty8BKYVBWnAZ15wcNIJc/edit?usp=sharing"",""อำนาจเจริญ!L206"")+IMPORTRANGE(""https://docs.google.com/spreadsheets/d/1gF7RJpRnL-1oyjyeWxs5SFWEH7y8ahOZsQlyp2A2e-A/edit?usp=s"&amp;"haring"",""อุดรธานี!L206"")+IMPORTRANGE(""https://docs.google.com/spreadsheets/d/1kfLP0j3INXRa8bTDpcEmoWewMBV61jlFlfzczfjWIgc/edit?usp=sharing"",""อุบลราชธานี!L206"")"),0)</f>
        <v>0</v>
      </c>
      <c r="M206" s="56">
        <f ca="1">IFERROR(__xludf.DUMMYFUNCTION("IMPORTRANGE(""https://docs.google.com/spreadsheets/d/1yhBcrRPreicbMKl9Bu_Snb2-OcQAF62RKfhTLhJ2eAA/edit?usp=sharing"",""กาฬสินธุ์!M206"")+IMPORTRANGE(""https://docs.google.com/spreadsheets/d/1aHkj4IaQMThhwWwevcOymEh837vdxeC_PycurhTbGFA/edit?usp=sharing"","&amp;"""ขอนแก่น!M206"")+IMPORTRANGE(""https://docs.google.com/spreadsheets/d/1FvTu2DsIWUjP6WCWra38Bkj_oOl_sOMf14r5Fg5srxU/edit?usp=sharing"",""ชัยภูมิ!M206"")+IMPORTRANGE(""https://docs.google.com/spreadsheets/d/1XVB7oCJ3pr-vBUdflwPQ8Z2LlzhnCvZaaYjAfP-647E/edit"&amp;"?usp=sharing"",""นครพนม!M206"")+IMPORTRANGE(""https://docs.google.com/spreadsheets/d/1Mnpb-8PYAgn85W6KOTD40hc_Xc55CaLfHoGAbrZ8tls/edit?usp=sharing"",""นครราชสีมา!M206"")+IMPORTRANGE(""https://docs.google.com/spreadsheets/d/1xoDLGBv9CYbyosIhki0kTq6IpYNj-gp"&amp;"jxfobnaDiut0/edit?usp=sharing"",""บึงกาฬ!M206"")+IMPORTRANGE(""https://docs.google.com/spreadsheets/d/1MMPq-JyI6DSgQETxuSiXkesP-P7JHuemnE6QJIa-Nlw/edit?usp=sharing"",""บุรีรัมย์!M206"")+IMPORTRANGE(""https://docs.google.com/spreadsheets/d/1l6IZ8xUPgMrESzc"&amp;"TYwhA1k_tPjeQjJPTqlm8Gd9eU5g/edit?usp=sharing"",""มหาสารคาม!M206"")+IMPORTRANGE(""https://docs.google.com/spreadsheets/d/1uB74YLqNjWX6FObjekfB2NtSYigTQyR2rq9u4Ub2Sq4/edit?usp=sharing"",""มุกดาหาร!M206"")+IMPORTRANGE(""https://docs.google.com/spreadsheets/"&amp;"d/1NexK3geCPxCTO1fzNF8dPec7yZyUx3OaWkFBC9HsQOo/edit?usp=sharing"",""ยโสธร!M206"")+IMPORTRANGE(""https://docs.google.com/spreadsheets/d/1v_cJrbBlyqmnHPReHk44g9NrMRdENNlSy_E_c5M9fIg/edit?usp=sharing"",""ร้อยเอ็ด!M206"")+IMPORTRANGE(""https://docs.google.com"&amp;"/spreadsheets/d/1Ul4RCpCX66NxYADU1QpwAPjOmBzW64SsT11s1wzXw_c/edit?usp=sharing"",""เลย!M206"")+IMPORTRANGE(""https://docs.google.com/spreadsheets/d/1bRrNKwbHDVktQG10isr5vbWRtt5spIZPpkOSWgbT5ug/edit?usp=sharing"",""ศรีสะเกษ!M206"")+IMPORTRANGE(""https://doc"&amp;"s.google.com/spreadsheets/d/17P34_Ow5kFBfdQD0qspb2UuPX5zpi6WMrQzslghyvrI/edit?usp=sharing"",""สกลนคร!M206"")+IMPORTRANGE(""https://docs.google.com/spreadsheets/d/1yswqbM3-AEpThF3ZSUa1AcmHnmRTF1vlJ1CZGcJ8YuU/edit?usp=sharing"",""สุรินทร์!M206"")+IMPORTRANG"&amp;"E(""https://docs.google.com/spreadsheets/d/13JHU_EFbsQOUQ0JSQ3dWy1VTRosIWcDq6Nc99z2qzdc/edit?usp=sharing"",""หนองคาย!M206"")+IMPORTRANGE(""https://docs.google.com/spreadsheets/d/1Hx73zIEgVdDZZaYSTc46Dqv64atFhpr3GelxLbaIN8A/edit?usp=sharing"",""หนองบัวลำภู"&amp;"!M206"")+IMPORTRANGE(""https://docs.google.com/spreadsheets/d/1lFxr3ctmjFN90yc-xV6jrQ9Ty8BKYVBWnAZ15wcNIJc/edit?usp=sharing"",""อำนาจเจริญ!M206"")+IMPORTRANGE(""https://docs.google.com/spreadsheets/d/1gF7RJpRnL-1oyjyeWxs5SFWEH7y8ahOZsQlyp2A2e-A/edit?usp=s"&amp;"haring"",""อุดรธานี!M206"")+IMPORTRANGE(""https://docs.google.com/spreadsheets/d/1kfLP0j3INXRa8bTDpcEmoWewMBV61jlFlfzczfjWIgc/edit?usp=sharing"",""อุบลราชธานี!M206"")"),0)</f>
        <v>0</v>
      </c>
      <c r="N206" s="56">
        <f ca="1">IFERROR(__xludf.DUMMYFUNCTION("IMPORTRANGE(""https://docs.google.com/spreadsheets/d/1yhBcrRPreicbMKl9Bu_Snb2-OcQAF62RKfhTLhJ2eAA/edit?usp=sharing"",""กาฬสินธุ์!N206"")+IMPORTRANGE(""https://docs.google.com/spreadsheets/d/1aHkj4IaQMThhwWwevcOymEh837vdxeC_PycurhTbGFA/edit?usp=sharing"","&amp;"""ขอนแก่น!N206"")+IMPORTRANGE(""https://docs.google.com/spreadsheets/d/1FvTu2DsIWUjP6WCWra38Bkj_oOl_sOMf14r5Fg5srxU/edit?usp=sharing"",""ชัยภูมิ!N206"")+IMPORTRANGE(""https://docs.google.com/spreadsheets/d/1XVB7oCJ3pr-vBUdflwPQ8Z2LlzhnCvZaaYjAfP-647E/edit"&amp;"?usp=sharing"",""นครพนม!N206"")+IMPORTRANGE(""https://docs.google.com/spreadsheets/d/1Mnpb-8PYAgn85W6KOTD40hc_Xc55CaLfHoGAbrZ8tls/edit?usp=sharing"",""นครราชสีมา!N206"")+IMPORTRANGE(""https://docs.google.com/spreadsheets/d/1xoDLGBv9CYbyosIhki0kTq6IpYNj-gp"&amp;"jxfobnaDiut0/edit?usp=sharing"",""บึงกาฬ!N206"")+IMPORTRANGE(""https://docs.google.com/spreadsheets/d/1MMPq-JyI6DSgQETxuSiXkesP-P7JHuemnE6QJIa-Nlw/edit?usp=sharing"",""บุรีรัมย์!N206"")+IMPORTRANGE(""https://docs.google.com/spreadsheets/d/1l6IZ8xUPgMrESzc"&amp;"TYwhA1k_tPjeQjJPTqlm8Gd9eU5g/edit?usp=sharing"",""มหาสารคาม!N206"")+IMPORTRANGE(""https://docs.google.com/spreadsheets/d/1uB74YLqNjWX6FObjekfB2NtSYigTQyR2rq9u4Ub2Sq4/edit?usp=sharing"",""มุกดาหาร!N206"")+IMPORTRANGE(""https://docs.google.com/spreadsheets/"&amp;"d/1NexK3geCPxCTO1fzNF8dPec7yZyUx3OaWkFBC9HsQOo/edit?usp=sharing"",""ยโสธร!N206"")+IMPORTRANGE(""https://docs.google.com/spreadsheets/d/1v_cJrbBlyqmnHPReHk44g9NrMRdENNlSy_E_c5M9fIg/edit?usp=sharing"",""ร้อยเอ็ด!N206"")+IMPORTRANGE(""https://docs.google.com"&amp;"/spreadsheets/d/1Ul4RCpCX66NxYADU1QpwAPjOmBzW64SsT11s1wzXw_c/edit?usp=sharing"",""เลย!N206"")+IMPORTRANGE(""https://docs.google.com/spreadsheets/d/1bRrNKwbHDVktQG10isr5vbWRtt5spIZPpkOSWgbT5ug/edit?usp=sharing"",""ศรีสะเกษ!N206"")+IMPORTRANGE(""https://doc"&amp;"s.google.com/spreadsheets/d/17P34_Ow5kFBfdQD0qspb2UuPX5zpi6WMrQzslghyvrI/edit?usp=sharing"",""สกลนคร!N206"")+IMPORTRANGE(""https://docs.google.com/spreadsheets/d/1yswqbM3-AEpThF3ZSUa1AcmHnmRTF1vlJ1CZGcJ8YuU/edit?usp=sharing"",""สุรินทร์!N206"")+IMPORTRANG"&amp;"E(""https://docs.google.com/spreadsheets/d/13JHU_EFbsQOUQ0JSQ3dWy1VTRosIWcDq6Nc99z2qzdc/edit?usp=sharing"",""หนองคาย!N206"")+IMPORTRANGE(""https://docs.google.com/spreadsheets/d/1Hx73zIEgVdDZZaYSTc46Dqv64atFhpr3GelxLbaIN8A/edit?usp=sharing"",""หนองบัวลำภู"&amp;"!N206"")+IMPORTRANGE(""https://docs.google.com/spreadsheets/d/1lFxr3ctmjFN90yc-xV6jrQ9Ty8BKYVBWnAZ15wcNIJc/edit?usp=sharing"",""อำนาจเจริญ!N206"")+IMPORTRANGE(""https://docs.google.com/spreadsheets/d/1gF7RJpRnL-1oyjyeWxs5SFWEH7y8ahOZsQlyp2A2e-A/edit?usp=s"&amp;"haring"",""อุดรธานี!N206"")+IMPORTRANGE(""https://docs.google.com/spreadsheets/d/1kfLP0j3INXRa8bTDpcEmoWewMBV61jlFlfzczfjWIgc/edit?usp=sharing"",""อุบลราชธานี!N206"")"),0)</f>
        <v>0</v>
      </c>
      <c r="O206" s="164"/>
      <c r="P206" s="55"/>
      <c r="Q206" s="56">
        <f ca="1">IFERROR(__xludf.DUMMYFUNCTION("IMPORTRANGE(""https://docs.google.com/spreadsheets/d/1yhBcrRPreicbMKl9Bu_Snb2-OcQAF62RKfhTLhJ2eAA/edit?usp=sharing"",""กาฬสินธุ์!Q206"")+IMPORTRANGE(""https://docs.google.com/spreadsheets/d/1aHkj4IaQMThhwWwevcOymEh837vdxeC_PycurhTbGFA/edit?usp=sharing"","&amp;"""ขอนแก่น!Q206"")+IMPORTRANGE(""https://docs.google.com/spreadsheets/d/1FvTu2DsIWUjP6WCWra38Bkj_oOl_sOMf14r5Fg5srxU/edit?usp=sharing"",""ชัยภูมิ!Q206"")+IMPORTRANGE(""https://docs.google.com/spreadsheets/d/1XVB7oCJ3pr-vBUdflwPQ8Z2LlzhnCvZaaYjAfP-647E/edit"&amp;"?usp=sharing"",""นครพนม!Q206"")+IMPORTRANGE(""https://docs.google.com/spreadsheets/d/1Mnpb-8PYAgn85W6KOTD40hc_Xc55CaLfHoGAbrZ8tls/edit?usp=sharing"",""นครราชสีมา!Q206"")+IMPORTRANGE(""https://docs.google.com/spreadsheets/d/1xoDLGBv9CYbyosIhki0kTq6IpYNj-gp"&amp;"jxfobnaDiut0/edit?usp=sharing"",""บึงกาฬ!Q206"")+IMPORTRANGE(""https://docs.google.com/spreadsheets/d/1MMPq-JyI6DSgQETxuSiXkesP-P7JHuemnE6QJIa-Nlw/edit?usp=sharing"",""บุรีรัมย์!Q206"")+IMPORTRANGE(""https://docs.google.com/spreadsheets/d/1l6IZ8xUPgMrESzc"&amp;"TYwhA1k_tPjeQjJPTqlm8Gd9eU5g/edit?usp=sharing"",""มหาสารคาม!Q206"")+IMPORTRANGE(""https://docs.google.com/spreadsheets/d/1uB74YLqNjWX6FObjekfB2NtSYigTQyR2rq9u4Ub2Sq4/edit?usp=sharing"",""มุกดาหาร!Q206"")+IMPORTRANGE(""https://docs.google.com/spreadsheets/"&amp;"d/1NexK3geCPxCTO1fzNF8dPec7yZyUx3OaWkFBC9HsQOo/edit?usp=sharing"",""ยโสธร!Q206"")+IMPORTRANGE(""https://docs.google.com/spreadsheets/d/1v_cJrbBlyqmnHPReHk44g9NrMRdENNlSy_E_c5M9fIg/edit?usp=sharing"",""ร้อยเอ็ด!Q206"")+IMPORTRANGE(""https://docs.google.com"&amp;"/spreadsheets/d/1Ul4RCpCX66NxYADU1QpwAPjOmBzW64SsT11s1wzXw_c/edit?usp=sharing"",""เลย!Q206"")+IMPORTRANGE(""https://docs.google.com/spreadsheets/d/1bRrNKwbHDVktQG10isr5vbWRtt5spIZPpkOSWgbT5ug/edit?usp=sharing"",""ศรีสะเกษ!Q206"")+IMPORTRANGE(""https://doc"&amp;"s.google.com/spreadsheets/d/17P34_Ow5kFBfdQD0qspb2UuPX5zpi6WMrQzslghyvrI/edit?usp=sharing"",""สกลนคร!Q206"")+IMPORTRANGE(""https://docs.google.com/spreadsheets/d/1yswqbM3-AEpThF3ZSUa1AcmHnmRTF1vlJ1CZGcJ8YuU/edit?usp=sharing"",""สุรินทร์!Q206"")+IMPORTRANG"&amp;"E(""https://docs.google.com/spreadsheets/d/13JHU_EFbsQOUQ0JSQ3dWy1VTRosIWcDq6Nc99z2qzdc/edit?usp=sharing"",""หนองคาย!Q206"")+IMPORTRANGE(""https://docs.google.com/spreadsheets/d/1Hx73zIEgVdDZZaYSTc46Dqv64atFhpr3GelxLbaIN8A/edit?usp=sharing"",""หนองบัวลำภู"&amp;"!Q206"")+IMPORTRANGE(""https://docs.google.com/spreadsheets/d/1lFxr3ctmjFN90yc-xV6jrQ9Ty8BKYVBWnAZ15wcNIJc/edit?usp=sharing"",""อำนาจเจริญ!Q206"")+IMPORTRANGE(""https://docs.google.com/spreadsheets/d/1gF7RJpRnL-1oyjyeWxs5SFWEH7y8ahOZsQlyp2A2e-A/edit?usp=s"&amp;"haring"",""อุดรธานี!Q206"")+IMPORTRANGE(""https://docs.google.com/spreadsheets/d/1kfLP0j3INXRa8bTDpcEmoWewMBV61jlFlfzczfjWIgc/edit?usp=sharing"",""อุบลราชธานี!Q206"")"),770000)</f>
        <v>770000</v>
      </c>
      <c r="R206" s="56">
        <f ca="1">IFERROR(__xludf.DUMMYFUNCTION("IMPORTRANGE(""https://docs.google.com/spreadsheets/d/1yhBcrRPreicbMKl9Bu_Snb2-OcQAF62RKfhTLhJ2eAA/edit?usp=sharing"",""กาฬสินธุ์!R206"")+IMPORTRANGE(""https://docs.google.com/spreadsheets/d/1aHkj4IaQMThhwWwevcOymEh837vdxeC_PycurhTbGFA/edit?usp=sharing"","&amp;"""ขอนแก่น!R206"")+IMPORTRANGE(""https://docs.google.com/spreadsheets/d/1FvTu2DsIWUjP6WCWra38Bkj_oOl_sOMf14r5Fg5srxU/edit?usp=sharing"",""ชัยภูมิ!R206"")+IMPORTRANGE(""https://docs.google.com/spreadsheets/d/1XVB7oCJ3pr-vBUdflwPQ8Z2LlzhnCvZaaYjAfP-647E/edit"&amp;"?usp=sharing"",""นครพนม!R206"")+IMPORTRANGE(""https://docs.google.com/spreadsheets/d/1Mnpb-8PYAgn85W6KOTD40hc_Xc55CaLfHoGAbrZ8tls/edit?usp=sharing"",""นครราชสีมา!R206"")+IMPORTRANGE(""https://docs.google.com/spreadsheets/d/1xoDLGBv9CYbyosIhki0kTq6IpYNj-gp"&amp;"jxfobnaDiut0/edit?usp=sharing"",""บึงกาฬ!R206"")+IMPORTRANGE(""https://docs.google.com/spreadsheets/d/1MMPq-JyI6DSgQETxuSiXkesP-P7JHuemnE6QJIa-Nlw/edit?usp=sharing"",""บุรีรัมย์!R206"")+IMPORTRANGE(""https://docs.google.com/spreadsheets/d/1l6IZ8xUPgMrESzc"&amp;"TYwhA1k_tPjeQjJPTqlm8Gd9eU5g/edit?usp=sharing"",""มหาสารคาม!R206"")+IMPORTRANGE(""https://docs.google.com/spreadsheets/d/1uB74YLqNjWX6FObjekfB2NtSYigTQyR2rq9u4Ub2Sq4/edit?usp=sharing"",""มุกดาหาร!R206"")+IMPORTRANGE(""https://docs.google.com/spreadsheets/"&amp;"d/1NexK3geCPxCTO1fzNF8dPec7yZyUx3OaWkFBC9HsQOo/edit?usp=sharing"",""ยโสธร!R206"")+IMPORTRANGE(""https://docs.google.com/spreadsheets/d/1v_cJrbBlyqmnHPReHk44g9NrMRdENNlSy_E_c5M9fIg/edit?usp=sharing"",""ร้อยเอ็ด!R206"")+IMPORTRANGE(""https://docs.google.com"&amp;"/spreadsheets/d/1Ul4RCpCX66NxYADU1QpwAPjOmBzW64SsT11s1wzXw_c/edit?usp=sharing"",""เลย!R206"")+IMPORTRANGE(""https://docs.google.com/spreadsheets/d/1bRrNKwbHDVktQG10isr5vbWRtt5spIZPpkOSWgbT5ug/edit?usp=sharing"",""ศรีสะเกษ!R206"")+IMPORTRANGE(""https://doc"&amp;"s.google.com/spreadsheets/d/17P34_Ow5kFBfdQD0qspb2UuPX5zpi6WMrQzslghyvrI/edit?usp=sharing"",""สกลนคร!R206"")+IMPORTRANGE(""https://docs.google.com/spreadsheets/d/1yswqbM3-AEpThF3ZSUa1AcmHnmRTF1vlJ1CZGcJ8YuU/edit?usp=sharing"",""สุรินทร์!R206"")+IMPORTRANG"&amp;"E(""https://docs.google.com/spreadsheets/d/13JHU_EFbsQOUQ0JSQ3dWy1VTRosIWcDq6Nc99z2qzdc/edit?usp=sharing"",""หนองคาย!R206"")+IMPORTRANGE(""https://docs.google.com/spreadsheets/d/1Hx73zIEgVdDZZaYSTc46Dqv64atFhpr3GelxLbaIN8A/edit?usp=sharing"",""หนองบัวลำภู"&amp;"!R206"")+IMPORTRANGE(""https://docs.google.com/spreadsheets/d/1lFxr3ctmjFN90yc-xV6jrQ9Ty8BKYVBWnAZ15wcNIJc/edit?usp=sharing"",""อำนาจเจริญ!R206"")+IMPORTRANGE(""https://docs.google.com/spreadsheets/d/1gF7RJpRnL-1oyjyeWxs5SFWEH7y8ahOZsQlyp2A2e-A/edit?usp=s"&amp;"haring"",""อุดรธานี!R206"")+IMPORTRANGE(""https://docs.google.com/spreadsheets/d/1kfLP0j3INXRa8bTDpcEmoWewMBV61jlFlfzczfjWIgc/edit?usp=sharing"",""อุบลราชธานี!R206"")"),0)</f>
        <v>0</v>
      </c>
      <c r="S206" s="57">
        <f ca="1">IFERROR(__xludf.DUMMYFUNCTION("IMPORTRANGE(""https://docs.google.com/spreadsheets/d/1yhBcrRPreicbMKl9Bu_Snb2-OcQAF62RKfhTLhJ2eAA/edit?usp=sharing"",""กาฬสินธุ์!S206"")+IMPORTRANGE(""https://docs.google.com/spreadsheets/d/1aHkj4IaQMThhwWwevcOymEh837vdxeC_PycurhTbGFA/edit?usp=sharing"","&amp;"""ขอนแก่น!S206"")+IMPORTRANGE(""https://docs.google.com/spreadsheets/d/1FvTu2DsIWUjP6WCWra38Bkj_oOl_sOMf14r5Fg5srxU/edit?usp=sharing"",""ชัยภูมิ!S206"")+IMPORTRANGE(""https://docs.google.com/spreadsheets/d/1XVB7oCJ3pr-vBUdflwPQ8Z2LlzhnCvZaaYjAfP-647E/edit"&amp;"?usp=sharing"",""นครพนม!S206"")+IMPORTRANGE(""https://docs.google.com/spreadsheets/d/1Mnpb-8PYAgn85W6KOTD40hc_Xc55CaLfHoGAbrZ8tls/edit?usp=sharing"",""นครราชสีมา!S206"")+IMPORTRANGE(""https://docs.google.com/spreadsheets/d/1xoDLGBv9CYbyosIhki0kTq6IpYNj-gp"&amp;"jxfobnaDiut0/edit?usp=sharing"",""บึงกาฬ!S206"")+IMPORTRANGE(""https://docs.google.com/spreadsheets/d/1MMPq-JyI6DSgQETxuSiXkesP-P7JHuemnE6QJIa-Nlw/edit?usp=sharing"",""บุรีรัมย์!S206"")+IMPORTRANGE(""https://docs.google.com/spreadsheets/d/1l6IZ8xUPgMrESzc"&amp;"TYwhA1k_tPjeQjJPTqlm8Gd9eU5g/edit?usp=sharing"",""มหาสารคาม!S206"")+IMPORTRANGE(""https://docs.google.com/spreadsheets/d/1uB74YLqNjWX6FObjekfB2NtSYigTQyR2rq9u4Ub2Sq4/edit?usp=sharing"",""มุกดาหาร!S206"")+IMPORTRANGE(""https://docs.google.com/spreadsheets/"&amp;"d/1NexK3geCPxCTO1fzNF8dPec7yZyUx3OaWkFBC9HsQOo/edit?usp=sharing"",""ยโสธร!S206"")+IMPORTRANGE(""https://docs.google.com/spreadsheets/d/1v_cJrbBlyqmnHPReHk44g9NrMRdENNlSy_E_c5M9fIg/edit?usp=sharing"",""ร้อยเอ็ด!S206"")+IMPORTRANGE(""https://docs.google.com"&amp;"/spreadsheets/d/1Ul4RCpCX66NxYADU1QpwAPjOmBzW64SsT11s1wzXw_c/edit?usp=sharing"",""เลย!S206"")+IMPORTRANGE(""https://docs.google.com/spreadsheets/d/1bRrNKwbHDVktQG10isr5vbWRtt5spIZPpkOSWgbT5ug/edit?usp=sharing"",""ศรีสะเกษ!S206"")+IMPORTRANGE(""https://doc"&amp;"s.google.com/spreadsheets/d/17P34_Ow5kFBfdQD0qspb2UuPX5zpi6WMrQzslghyvrI/edit?usp=sharing"",""สกลนคร!S206"")+IMPORTRANGE(""https://docs.google.com/spreadsheets/d/1yswqbM3-AEpThF3ZSUa1AcmHnmRTF1vlJ1CZGcJ8YuU/edit?usp=sharing"",""สุรินทร์!S206"")+IMPORTRANG"&amp;"E(""https://docs.google.com/spreadsheets/d/13JHU_EFbsQOUQ0JSQ3dWy1VTRosIWcDq6Nc99z2qzdc/edit?usp=sharing"",""หนองคาย!S206"")+IMPORTRANGE(""https://docs.google.com/spreadsheets/d/1Hx73zIEgVdDZZaYSTc46Dqv64atFhpr3GelxLbaIN8A/edit?usp=sharing"",""หนองบัวลำภู"&amp;"!S206"")+IMPORTRANGE(""https://docs.google.com/spreadsheets/d/1lFxr3ctmjFN90yc-xV6jrQ9Ty8BKYVBWnAZ15wcNIJc/edit?usp=sharing"",""อำนาจเจริญ!S206"")+IMPORTRANGE(""https://docs.google.com/spreadsheets/d/1gF7RJpRnL-1oyjyeWxs5SFWEH7y8ahOZsQlyp2A2e-A/edit?usp=s"&amp;"haring"",""อุดรธานี!S206"")+IMPORTRANGE(""https://docs.google.com/spreadsheets/d/1kfLP0j3INXRa8bTDpcEmoWewMBV61jlFlfzczfjWIgc/edit?usp=sharing"",""อุบลราชธานี!S206"")"),9500)</f>
        <v>9500</v>
      </c>
      <c r="T206" s="164"/>
      <c r="U206" s="55"/>
    </row>
    <row r="207" spans="1:21" ht="18.75">
      <c r="A207" s="238"/>
      <c r="B207" s="188"/>
      <c r="C207" s="50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56">
        <f ca="1">IFERROR(__xludf.DUMMYFUNCTION("IMPORTRANGE(""https://docs.google.com/spreadsheets/d/1yhBcrRPreicbMKl9Bu_Snb2-OcQAF62RKfhTLhJ2eAA/edit?usp=sharing"",""กาฬสินธุ์!L207"")+IMPORTRANGE(""https://docs.google.com/spreadsheets/d/1aHkj4IaQMThhwWwevcOymEh837vdxeC_PycurhTbGFA/edit?usp=sharing"","&amp;"""ขอนแก่น!L207"")+IMPORTRANGE(""https://docs.google.com/spreadsheets/d/1FvTu2DsIWUjP6WCWra38Bkj_oOl_sOMf14r5Fg5srxU/edit?usp=sharing"",""ชัยภูมิ!L207"")+IMPORTRANGE(""https://docs.google.com/spreadsheets/d/1XVB7oCJ3pr-vBUdflwPQ8Z2LlzhnCvZaaYjAfP-647E/edit"&amp;"?usp=sharing"",""นครพนม!L207"")+IMPORTRANGE(""https://docs.google.com/spreadsheets/d/1Mnpb-8PYAgn85W6KOTD40hc_Xc55CaLfHoGAbrZ8tls/edit?usp=sharing"",""นครราชสีมา!L207"")+IMPORTRANGE(""https://docs.google.com/spreadsheets/d/1xoDLGBv9CYbyosIhki0kTq6IpYNj-gp"&amp;"jxfobnaDiut0/edit?usp=sharing"",""บึงกาฬ!L207"")+IMPORTRANGE(""https://docs.google.com/spreadsheets/d/1MMPq-JyI6DSgQETxuSiXkesP-P7JHuemnE6QJIa-Nlw/edit?usp=sharing"",""บุรีรัมย์!L207"")+IMPORTRANGE(""https://docs.google.com/spreadsheets/d/1l6IZ8xUPgMrESzc"&amp;"TYwhA1k_tPjeQjJPTqlm8Gd9eU5g/edit?usp=sharing"",""มหาสารคาม!L207"")+IMPORTRANGE(""https://docs.google.com/spreadsheets/d/1uB74YLqNjWX6FObjekfB2NtSYigTQyR2rq9u4Ub2Sq4/edit?usp=sharing"",""มุกดาหาร!L207"")+IMPORTRANGE(""https://docs.google.com/spreadsheets/"&amp;"d/1NexK3geCPxCTO1fzNF8dPec7yZyUx3OaWkFBC9HsQOo/edit?usp=sharing"",""ยโสธร!L207"")+IMPORTRANGE(""https://docs.google.com/spreadsheets/d/1v_cJrbBlyqmnHPReHk44g9NrMRdENNlSy_E_c5M9fIg/edit?usp=sharing"",""ร้อยเอ็ด!L207"")+IMPORTRANGE(""https://docs.google.com"&amp;"/spreadsheets/d/1Ul4RCpCX66NxYADU1QpwAPjOmBzW64SsT11s1wzXw_c/edit?usp=sharing"",""เลย!L207"")+IMPORTRANGE(""https://docs.google.com/spreadsheets/d/1bRrNKwbHDVktQG10isr5vbWRtt5spIZPpkOSWgbT5ug/edit?usp=sharing"",""ศรีสะเกษ!L207"")+IMPORTRANGE(""https://doc"&amp;"s.google.com/spreadsheets/d/17P34_Ow5kFBfdQD0qspb2UuPX5zpi6WMrQzslghyvrI/edit?usp=sharing"",""สกลนคร!L207"")+IMPORTRANGE(""https://docs.google.com/spreadsheets/d/1yswqbM3-AEpThF3ZSUa1AcmHnmRTF1vlJ1CZGcJ8YuU/edit?usp=sharing"",""สุรินทร์!L207"")+IMPORTRANG"&amp;"E(""https://docs.google.com/spreadsheets/d/13JHU_EFbsQOUQ0JSQ3dWy1VTRosIWcDq6Nc99z2qzdc/edit?usp=sharing"",""หนองคาย!L207"")+IMPORTRANGE(""https://docs.google.com/spreadsheets/d/1Hx73zIEgVdDZZaYSTc46Dqv64atFhpr3GelxLbaIN8A/edit?usp=sharing"",""หนองบัวลำภู"&amp;"!L207"")+IMPORTRANGE(""https://docs.google.com/spreadsheets/d/1lFxr3ctmjFN90yc-xV6jrQ9Ty8BKYVBWnAZ15wcNIJc/edit?usp=sharing"",""อำนาจเจริญ!L207"")+IMPORTRANGE(""https://docs.google.com/spreadsheets/d/1gF7RJpRnL-1oyjyeWxs5SFWEH7y8ahOZsQlyp2A2e-A/edit?usp=s"&amp;"haring"",""อุดรธานี!L207"")+IMPORTRANGE(""https://docs.google.com/spreadsheets/d/1kfLP0j3INXRa8bTDpcEmoWewMBV61jlFlfzczfjWIgc/edit?usp=sharing"",""อุบลราชธานี!L207"")"),214000)</f>
        <v>214000</v>
      </c>
      <c r="M207" s="56">
        <f ca="1">IFERROR(__xludf.DUMMYFUNCTION("IMPORTRANGE(""https://docs.google.com/spreadsheets/d/1yhBcrRPreicbMKl9Bu_Snb2-OcQAF62RKfhTLhJ2eAA/edit?usp=sharing"",""กาฬสินธุ์!M207"")+IMPORTRANGE(""https://docs.google.com/spreadsheets/d/1aHkj4IaQMThhwWwevcOymEh837vdxeC_PycurhTbGFA/edit?usp=sharing"","&amp;"""ขอนแก่น!M207"")+IMPORTRANGE(""https://docs.google.com/spreadsheets/d/1FvTu2DsIWUjP6WCWra38Bkj_oOl_sOMf14r5Fg5srxU/edit?usp=sharing"",""ชัยภูมิ!M207"")+IMPORTRANGE(""https://docs.google.com/spreadsheets/d/1XVB7oCJ3pr-vBUdflwPQ8Z2LlzhnCvZaaYjAfP-647E/edit"&amp;"?usp=sharing"",""นครพนม!M207"")+IMPORTRANGE(""https://docs.google.com/spreadsheets/d/1Mnpb-8PYAgn85W6KOTD40hc_Xc55CaLfHoGAbrZ8tls/edit?usp=sharing"",""นครราชสีมา!M207"")+IMPORTRANGE(""https://docs.google.com/spreadsheets/d/1xoDLGBv9CYbyosIhki0kTq6IpYNj-gp"&amp;"jxfobnaDiut0/edit?usp=sharing"",""บึงกาฬ!M207"")+IMPORTRANGE(""https://docs.google.com/spreadsheets/d/1MMPq-JyI6DSgQETxuSiXkesP-P7JHuemnE6QJIa-Nlw/edit?usp=sharing"",""บุรีรัมย์!M207"")+IMPORTRANGE(""https://docs.google.com/spreadsheets/d/1l6IZ8xUPgMrESzc"&amp;"TYwhA1k_tPjeQjJPTqlm8Gd9eU5g/edit?usp=sharing"",""มหาสารคาม!M207"")+IMPORTRANGE(""https://docs.google.com/spreadsheets/d/1uB74YLqNjWX6FObjekfB2NtSYigTQyR2rq9u4Ub2Sq4/edit?usp=sharing"",""มุกดาหาร!M207"")+IMPORTRANGE(""https://docs.google.com/spreadsheets/"&amp;"d/1NexK3geCPxCTO1fzNF8dPec7yZyUx3OaWkFBC9HsQOo/edit?usp=sharing"",""ยโสธร!M207"")+IMPORTRANGE(""https://docs.google.com/spreadsheets/d/1v_cJrbBlyqmnHPReHk44g9NrMRdENNlSy_E_c5M9fIg/edit?usp=sharing"",""ร้อยเอ็ด!M207"")+IMPORTRANGE(""https://docs.google.com"&amp;"/spreadsheets/d/1Ul4RCpCX66NxYADU1QpwAPjOmBzW64SsT11s1wzXw_c/edit?usp=sharing"",""เลย!M207"")+IMPORTRANGE(""https://docs.google.com/spreadsheets/d/1bRrNKwbHDVktQG10isr5vbWRtt5spIZPpkOSWgbT5ug/edit?usp=sharing"",""ศรีสะเกษ!M207"")+IMPORTRANGE(""https://doc"&amp;"s.google.com/spreadsheets/d/17P34_Ow5kFBfdQD0qspb2UuPX5zpi6WMrQzslghyvrI/edit?usp=sharing"",""สกลนคร!M207"")+IMPORTRANGE(""https://docs.google.com/spreadsheets/d/1yswqbM3-AEpThF3ZSUa1AcmHnmRTF1vlJ1CZGcJ8YuU/edit?usp=sharing"",""สุรินทร์!M207"")+IMPORTRANG"&amp;"E(""https://docs.google.com/spreadsheets/d/13JHU_EFbsQOUQ0JSQ3dWy1VTRosIWcDq6Nc99z2qzdc/edit?usp=sharing"",""หนองคาย!M207"")+IMPORTRANGE(""https://docs.google.com/spreadsheets/d/1Hx73zIEgVdDZZaYSTc46Dqv64atFhpr3GelxLbaIN8A/edit?usp=sharing"",""หนองบัวลำภู"&amp;"!M207"")+IMPORTRANGE(""https://docs.google.com/spreadsheets/d/1lFxr3ctmjFN90yc-xV6jrQ9Ty8BKYVBWnAZ15wcNIJc/edit?usp=sharing"",""อำนาจเจริญ!M207"")+IMPORTRANGE(""https://docs.google.com/spreadsheets/d/1gF7RJpRnL-1oyjyeWxs5SFWEH7y8ahOZsQlyp2A2e-A/edit?usp=s"&amp;"haring"",""อุดรธานี!M207"")+IMPORTRANGE(""https://docs.google.com/spreadsheets/d/1kfLP0j3INXRa8bTDpcEmoWewMBV61jlFlfzczfjWIgc/edit?usp=sharing"",""อุบลราชธานี!M207"")"),0)</f>
        <v>0</v>
      </c>
      <c r="N207" s="56">
        <f ca="1">IFERROR(__xludf.DUMMYFUNCTION("IMPORTRANGE(""https://docs.google.com/spreadsheets/d/1yhBcrRPreicbMKl9Bu_Snb2-OcQAF62RKfhTLhJ2eAA/edit?usp=sharing"",""กาฬสินธุ์!N207"")+IMPORTRANGE(""https://docs.google.com/spreadsheets/d/1aHkj4IaQMThhwWwevcOymEh837vdxeC_PycurhTbGFA/edit?usp=sharing"","&amp;"""ขอนแก่น!N207"")+IMPORTRANGE(""https://docs.google.com/spreadsheets/d/1FvTu2DsIWUjP6WCWra38Bkj_oOl_sOMf14r5Fg5srxU/edit?usp=sharing"",""ชัยภูมิ!N207"")+IMPORTRANGE(""https://docs.google.com/spreadsheets/d/1XVB7oCJ3pr-vBUdflwPQ8Z2LlzhnCvZaaYjAfP-647E/edit"&amp;"?usp=sharing"",""นครพนม!N207"")+IMPORTRANGE(""https://docs.google.com/spreadsheets/d/1Mnpb-8PYAgn85W6KOTD40hc_Xc55CaLfHoGAbrZ8tls/edit?usp=sharing"",""นครราชสีมา!N207"")+IMPORTRANGE(""https://docs.google.com/spreadsheets/d/1xoDLGBv9CYbyosIhki0kTq6IpYNj-gp"&amp;"jxfobnaDiut0/edit?usp=sharing"",""บึงกาฬ!N207"")+IMPORTRANGE(""https://docs.google.com/spreadsheets/d/1MMPq-JyI6DSgQETxuSiXkesP-P7JHuemnE6QJIa-Nlw/edit?usp=sharing"",""บุรีรัมย์!N207"")+IMPORTRANGE(""https://docs.google.com/spreadsheets/d/1l6IZ8xUPgMrESzc"&amp;"TYwhA1k_tPjeQjJPTqlm8Gd9eU5g/edit?usp=sharing"",""มหาสารคาม!N207"")+IMPORTRANGE(""https://docs.google.com/spreadsheets/d/1uB74YLqNjWX6FObjekfB2NtSYigTQyR2rq9u4Ub2Sq4/edit?usp=sharing"",""มุกดาหาร!N207"")+IMPORTRANGE(""https://docs.google.com/spreadsheets/"&amp;"d/1NexK3geCPxCTO1fzNF8dPec7yZyUx3OaWkFBC9HsQOo/edit?usp=sharing"",""ยโสธร!N207"")+IMPORTRANGE(""https://docs.google.com/spreadsheets/d/1v_cJrbBlyqmnHPReHk44g9NrMRdENNlSy_E_c5M9fIg/edit?usp=sharing"",""ร้อยเอ็ด!N207"")+IMPORTRANGE(""https://docs.google.com"&amp;"/spreadsheets/d/1Ul4RCpCX66NxYADU1QpwAPjOmBzW64SsT11s1wzXw_c/edit?usp=sharing"",""เลย!N207"")+IMPORTRANGE(""https://docs.google.com/spreadsheets/d/1bRrNKwbHDVktQG10isr5vbWRtt5spIZPpkOSWgbT5ug/edit?usp=sharing"",""ศรีสะเกษ!N207"")+IMPORTRANGE(""https://doc"&amp;"s.google.com/spreadsheets/d/17P34_Ow5kFBfdQD0qspb2UuPX5zpi6WMrQzslghyvrI/edit?usp=sharing"",""สกลนคร!N207"")+IMPORTRANGE(""https://docs.google.com/spreadsheets/d/1yswqbM3-AEpThF3ZSUa1AcmHnmRTF1vlJ1CZGcJ8YuU/edit?usp=sharing"",""สุรินทร์!N207"")+IMPORTRANG"&amp;"E(""https://docs.google.com/spreadsheets/d/13JHU_EFbsQOUQ0JSQ3dWy1VTRosIWcDq6Nc99z2qzdc/edit?usp=sharing"",""หนองคาย!N207"")+IMPORTRANGE(""https://docs.google.com/spreadsheets/d/1Hx73zIEgVdDZZaYSTc46Dqv64atFhpr3GelxLbaIN8A/edit?usp=sharing"",""หนองบัวลำภู"&amp;"!N207"")+IMPORTRANGE(""https://docs.google.com/spreadsheets/d/1lFxr3ctmjFN90yc-xV6jrQ9Ty8BKYVBWnAZ15wcNIJc/edit?usp=sharing"",""อำนาจเจริญ!N207"")+IMPORTRANGE(""https://docs.google.com/spreadsheets/d/1gF7RJpRnL-1oyjyeWxs5SFWEH7y8ahOZsQlyp2A2e-A/edit?usp=s"&amp;"haring"",""อุดรธานี!N207"")+IMPORTRANGE(""https://docs.google.com/spreadsheets/d/1kfLP0j3INXRa8bTDpcEmoWewMBV61jlFlfzczfjWIgc/edit?usp=sharing"",""อุบลราชธานี!N207"")"),23000)</f>
        <v>23000</v>
      </c>
      <c r="O207" s="164"/>
      <c r="P207" s="55"/>
      <c r="Q207" s="56">
        <f ca="1">IFERROR(__xludf.DUMMYFUNCTION("IMPORTRANGE(""https://docs.google.com/spreadsheets/d/1yhBcrRPreicbMKl9Bu_Snb2-OcQAF62RKfhTLhJ2eAA/edit?usp=sharing"",""กาฬสินธุ์!Q207"")+IMPORTRANGE(""https://docs.google.com/spreadsheets/d/1aHkj4IaQMThhwWwevcOymEh837vdxeC_PycurhTbGFA/edit?usp=sharing"","&amp;"""ขอนแก่น!Q207"")+IMPORTRANGE(""https://docs.google.com/spreadsheets/d/1FvTu2DsIWUjP6WCWra38Bkj_oOl_sOMf14r5Fg5srxU/edit?usp=sharing"",""ชัยภูมิ!Q207"")+IMPORTRANGE(""https://docs.google.com/spreadsheets/d/1XVB7oCJ3pr-vBUdflwPQ8Z2LlzhnCvZaaYjAfP-647E/edit"&amp;"?usp=sharing"",""นครพนม!Q207"")+IMPORTRANGE(""https://docs.google.com/spreadsheets/d/1Mnpb-8PYAgn85W6KOTD40hc_Xc55CaLfHoGAbrZ8tls/edit?usp=sharing"",""นครราชสีมา!Q207"")+IMPORTRANGE(""https://docs.google.com/spreadsheets/d/1xoDLGBv9CYbyosIhki0kTq6IpYNj-gp"&amp;"jxfobnaDiut0/edit?usp=sharing"",""บึงกาฬ!Q207"")+IMPORTRANGE(""https://docs.google.com/spreadsheets/d/1MMPq-JyI6DSgQETxuSiXkesP-P7JHuemnE6QJIa-Nlw/edit?usp=sharing"",""บุรีรัมย์!Q207"")+IMPORTRANGE(""https://docs.google.com/spreadsheets/d/1l6IZ8xUPgMrESzc"&amp;"TYwhA1k_tPjeQjJPTqlm8Gd9eU5g/edit?usp=sharing"",""มหาสารคาม!Q207"")+IMPORTRANGE(""https://docs.google.com/spreadsheets/d/1uB74YLqNjWX6FObjekfB2NtSYigTQyR2rq9u4Ub2Sq4/edit?usp=sharing"",""มุกดาหาร!Q207"")+IMPORTRANGE(""https://docs.google.com/spreadsheets/"&amp;"d/1NexK3geCPxCTO1fzNF8dPec7yZyUx3OaWkFBC9HsQOo/edit?usp=sharing"",""ยโสธร!Q207"")+IMPORTRANGE(""https://docs.google.com/spreadsheets/d/1v_cJrbBlyqmnHPReHk44g9NrMRdENNlSy_E_c5M9fIg/edit?usp=sharing"",""ร้อยเอ็ด!Q207"")+IMPORTRANGE(""https://docs.google.com"&amp;"/spreadsheets/d/1Ul4RCpCX66NxYADU1QpwAPjOmBzW64SsT11s1wzXw_c/edit?usp=sharing"",""เลย!Q207"")+IMPORTRANGE(""https://docs.google.com/spreadsheets/d/1bRrNKwbHDVktQG10isr5vbWRtt5spIZPpkOSWgbT5ug/edit?usp=sharing"",""ศรีสะเกษ!Q207"")+IMPORTRANGE(""https://doc"&amp;"s.google.com/spreadsheets/d/17P34_Ow5kFBfdQD0qspb2UuPX5zpi6WMrQzslghyvrI/edit?usp=sharing"",""สกลนคร!Q207"")+IMPORTRANGE(""https://docs.google.com/spreadsheets/d/1yswqbM3-AEpThF3ZSUa1AcmHnmRTF1vlJ1CZGcJ8YuU/edit?usp=sharing"",""สุรินทร์!Q207"")+IMPORTRANG"&amp;"E(""https://docs.google.com/spreadsheets/d/13JHU_EFbsQOUQ0JSQ3dWy1VTRosIWcDq6Nc99z2qzdc/edit?usp=sharing"",""หนองคาย!Q207"")+IMPORTRANGE(""https://docs.google.com/spreadsheets/d/1Hx73zIEgVdDZZaYSTc46Dqv64atFhpr3GelxLbaIN8A/edit?usp=sharing"",""หนองบัวลำภู"&amp;"!Q207"")+IMPORTRANGE(""https://docs.google.com/spreadsheets/d/1lFxr3ctmjFN90yc-xV6jrQ9Ty8BKYVBWnAZ15wcNIJc/edit?usp=sharing"",""อำนาจเจริญ!Q207"")+IMPORTRANGE(""https://docs.google.com/spreadsheets/d/1gF7RJpRnL-1oyjyeWxs5SFWEH7y8ahOZsQlyp2A2e-A/edit?usp=s"&amp;"haring"",""อุดรธานี!Q207"")+IMPORTRANGE(""https://docs.google.com/spreadsheets/d/1kfLP0j3INXRa8bTDpcEmoWewMBV61jlFlfzczfjWIgc/edit?usp=sharing"",""อุบลราชธานี!Q207"")"),0)</f>
        <v>0</v>
      </c>
      <c r="R207" s="56">
        <f ca="1">IFERROR(__xludf.DUMMYFUNCTION("IMPORTRANGE(""https://docs.google.com/spreadsheets/d/1yhBcrRPreicbMKl9Bu_Snb2-OcQAF62RKfhTLhJ2eAA/edit?usp=sharing"",""กาฬสินธุ์!R207"")+IMPORTRANGE(""https://docs.google.com/spreadsheets/d/1aHkj4IaQMThhwWwevcOymEh837vdxeC_PycurhTbGFA/edit?usp=sharing"","&amp;"""ขอนแก่น!R207"")+IMPORTRANGE(""https://docs.google.com/spreadsheets/d/1FvTu2DsIWUjP6WCWra38Bkj_oOl_sOMf14r5Fg5srxU/edit?usp=sharing"",""ชัยภูมิ!R207"")+IMPORTRANGE(""https://docs.google.com/spreadsheets/d/1XVB7oCJ3pr-vBUdflwPQ8Z2LlzhnCvZaaYjAfP-647E/edit"&amp;"?usp=sharing"",""นครพนม!R207"")+IMPORTRANGE(""https://docs.google.com/spreadsheets/d/1Mnpb-8PYAgn85W6KOTD40hc_Xc55CaLfHoGAbrZ8tls/edit?usp=sharing"",""นครราชสีมา!R207"")+IMPORTRANGE(""https://docs.google.com/spreadsheets/d/1xoDLGBv9CYbyosIhki0kTq6IpYNj-gp"&amp;"jxfobnaDiut0/edit?usp=sharing"",""บึงกาฬ!R207"")+IMPORTRANGE(""https://docs.google.com/spreadsheets/d/1MMPq-JyI6DSgQETxuSiXkesP-P7JHuemnE6QJIa-Nlw/edit?usp=sharing"",""บุรีรัมย์!R207"")+IMPORTRANGE(""https://docs.google.com/spreadsheets/d/1l6IZ8xUPgMrESzc"&amp;"TYwhA1k_tPjeQjJPTqlm8Gd9eU5g/edit?usp=sharing"",""มหาสารคาม!R207"")+IMPORTRANGE(""https://docs.google.com/spreadsheets/d/1uB74YLqNjWX6FObjekfB2NtSYigTQyR2rq9u4Ub2Sq4/edit?usp=sharing"",""มุกดาหาร!R207"")+IMPORTRANGE(""https://docs.google.com/spreadsheets/"&amp;"d/1NexK3geCPxCTO1fzNF8dPec7yZyUx3OaWkFBC9HsQOo/edit?usp=sharing"",""ยโสธร!R207"")+IMPORTRANGE(""https://docs.google.com/spreadsheets/d/1v_cJrbBlyqmnHPReHk44g9NrMRdENNlSy_E_c5M9fIg/edit?usp=sharing"",""ร้อยเอ็ด!R207"")+IMPORTRANGE(""https://docs.google.com"&amp;"/spreadsheets/d/1Ul4RCpCX66NxYADU1QpwAPjOmBzW64SsT11s1wzXw_c/edit?usp=sharing"",""เลย!R207"")+IMPORTRANGE(""https://docs.google.com/spreadsheets/d/1bRrNKwbHDVktQG10isr5vbWRtt5spIZPpkOSWgbT5ug/edit?usp=sharing"",""ศรีสะเกษ!R207"")+IMPORTRANGE(""https://doc"&amp;"s.google.com/spreadsheets/d/17P34_Ow5kFBfdQD0qspb2UuPX5zpi6WMrQzslghyvrI/edit?usp=sharing"",""สกลนคร!R207"")+IMPORTRANGE(""https://docs.google.com/spreadsheets/d/1yswqbM3-AEpThF3ZSUa1AcmHnmRTF1vlJ1CZGcJ8YuU/edit?usp=sharing"",""สุรินทร์!R207"")+IMPORTRANG"&amp;"E(""https://docs.google.com/spreadsheets/d/13JHU_EFbsQOUQ0JSQ3dWy1VTRosIWcDq6Nc99z2qzdc/edit?usp=sharing"",""หนองคาย!R207"")+IMPORTRANGE(""https://docs.google.com/spreadsheets/d/1Hx73zIEgVdDZZaYSTc46Dqv64atFhpr3GelxLbaIN8A/edit?usp=sharing"",""หนองบัวลำภู"&amp;"!R207"")+IMPORTRANGE(""https://docs.google.com/spreadsheets/d/1lFxr3ctmjFN90yc-xV6jrQ9Ty8BKYVBWnAZ15wcNIJc/edit?usp=sharing"",""อำนาจเจริญ!R207"")+IMPORTRANGE(""https://docs.google.com/spreadsheets/d/1gF7RJpRnL-1oyjyeWxs5SFWEH7y8ahOZsQlyp2A2e-A/edit?usp=s"&amp;"haring"",""อุดรธานี!R207"")+IMPORTRANGE(""https://docs.google.com/spreadsheets/d/1kfLP0j3INXRa8bTDpcEmoWewMBV61jlFlfzczfjWIgc/edit?usp=sharing"",""อุบลราชธานี!R207"")"),0)</f>
        <v>0</v>
      </c>
      <c r="S207" s="57">
        <f ca="1">IFERROR(__xludf.DUMMYFUNCTION("IMPORTRANGE(""https://docs.google.com/spreadsheets/d/1yhBcrRPreicbMKl9Bu_Snb2-OcQAF62RKfhTLhJ2eAA/edit?usp=sharing"",""กาฬสินธุ์!S207"")+IMPORTRANGE(""https://docs.google.com/spreadsheets/d/1aHkj4IaQMThhwWwevcOymEh837vdxeC_PycurhTbGFA/edit?usp=sharing"","&amp;"""ขอนแก่น!S207"")+IMPORTRANGE(""https://docs.google.com/spreadsheets/d/1FvTu2DsIWUjP6WCWra38Bkj_oOl_sOMf14r5Fg5srxU/edit?usp=sharing"",""ชัยภูมิ!S207"")+IMPORTRANGE(""https://docs.google.com/spreadsheets/d/1XVB7oCJ3pr-vBUdflwPQ8Z2LlzhnCvZaaYjAfP-647E/edit"&amp;"?usp=sharing"",""นครพนม!S207"")+IMPORTRANGE(""https://docs.google.com/spreadsheets/d/1Mnpb-8PYAgn85W6KOTD40hc_Xc55CaLfHoGAbrZ8tls/edit?usp=sharing"",""นครราชสีมา!S207"")+IMPORTRANGE(""https://docs.google.com/spreadsheets/d/1xoDLGBv9CYbyosIhki0kTq6IpYNj-gp"&amp;"jxfobnaDiut0/edit?usp=sharing"",""บึงกาฬ!S207"")+IMPORTRANGE(""https://docs.google.com/spreadsheets/d/1MMPq-JyI6DSgQETxuSiXkesP-P7JHuemnE6QJIa-Nlw/edit?usp=sharing"",""บุรีรัมย์!S207"")+IMPORTRANGE(""https://docs.google.com/spreadsheets/d/1l6IZ8xUPgMrESzc"&amp;"TYwhA1k_tPjeQjJPTqlm8Gd9eU5g/edit?usp=sharing"",""มหาสารคาม!S207"")+IMPORTRANGE(""https://docs.google.com/spreadsheets/d/1uB74YLqNjWX6FObjekfB2NtSYigTQyR2rq9u4Ub2Sq4/edit?usp=sharing"",""มุกดาหาร!S207"")+IMPORTRANGE(""https://docs.google.com/spreadsheets/"&amp;"d/1NexK3geCPxCTO1fzNF8dPec7yZyUx3OaWkFBC9HsQOo/edit?usp=sharing"",""ยโสธร!S207"")+IMPORTRANGE(""https://docs.google.com/spreadsheets/d/1v_cJrbBlyqmnHPReHk44g9NrMRdENNlSy_E_c5M9fIg/edit?usp=sharing"",""ร้อยเอ็ด!S207"")+IMPORTRANGE(""https://docs.google.com"&amp;"/spreadsheets/d/1Ul4RCpCX66NxYADU1QpwAPjOmBzW64SsT11s1wzXw_c/edit?usp=sharing"",""เลย!S207"")+IMPORTRANGE(""https://docs.google.com/spreadsheets/d/1bRrNKwbHDVktQG10isr5vbWRtt5spIZPpkOSWgbT5ug/edit?usp=sharing"",""ศรีสะเกษ!S207"")+IMPORTRANGE(""https://doc"&amp;"s.google.com/spreadsheets/d/17P34_Ow5kFBfdQD0qspb2UuPX5zpi6WMrQzslghyvrI/edit?usp=sharing"",""สกลนคร!S207"")+IMPORTRANGE(""https://docs.google.com/spreadsheets/d/1yswqbM3-AEpThF3ZSUa1AcmHnmRTF1vlJ1CZGcJ8YuU/edit?usp=sharing"",""สุรินทร์!S207"")+IMPORTRANG"&amp;"E(""https://docs.google.com/spreadsheets/d/13JHU_EFbsQOUQ0JSQ3dWy1VTRosIWcDq6Nc99z2qzdc/edit?usp=sharing"",""หนองคาย!S207"")+IMPORTRANGE(""https://docs.google.com/spreadsheets/d/1Hx73zIEgVdDZZaYSTc46Dqv64atFhpr3GelxLbaIN8A/edit?usp=sharing"",""หนองบัวลำภู"&amp;"!S207"")+IMPORTRANGE(""https://docs.google.com/spreadsheets/d/1lFxr3ctmjFN90yc-xV6jrQ9Ty8BKYVBWnAZ15wcNIJc/edit?usp=sharing"",""อำนาจเจริญ!S207"")+IMPORTRANGE(""https://docs.google.com/spreadsheets/d/1gF7RJpRnL-1oyjyeWxs5SFWEH7y8ahOZsQlyp2A2e-A/edit?usp=s"&amp;"haring"",""อุดรธานี!S207"")+IMPORTRANGE(""https://docs.google.com/spreadsheets/d/1kfLP0j3INXRa8bTDpcEmoWewMBV61jlFlfzczfjWIgc/edit?usp=sharing"",""อุบลราชธานี!S207"")"),0)</f>
        <v>0</v>
      </c>
      <c r="T207" s="164"/>
      <c r="U207" s="55"/>
    </row>
    <row r="208" spans="1:21" ht="19.5">
      <c r="A208" s="166"/>
      <c r="B208" s="167"/>
      <c r="C208" s="156" t="s">
        <v>18</v>
      </c>
      <c r="D208" s="168" t="s">
        <v>38</v>
      </c>
      <c r="E208" s="169"/>
      <c r="F208" s="169"/>
      <c r="G208" s="170"/>
      <c r="H208" s="171"/>
      <c r="I208" s="163"/>
      <c r="J208" s="163"/>
      <c r="K208" s="164"/>
      <c r="L208" s="164"/>
      <c r="M208" s="164"/>
      <c r="N208" s="164"/>
      <c r="O208" s="164"/>
      <c r="P208" s="164"/>
      <c r="Q208" s="164"/>
      <c r="R208" s="164"/>
      <c r="S208" s="172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257" t="s">
        <v>85</v>
      </c>
      <c r="I209" s="181">
        <f ca="1">IFERROR(__xludf.DUMMYFUNCTION("IMPORTRANGE(""https://docs.google.com/spreadsheets/d/1yhBcrRPreicbMKl9Bu_Snb2-OcQAF62RKfhTLhJ2eAA/edit?usp=sharing"",""กาฬสินธุ์!I209"")+IMPORTRANGE(""https://docs.google.com/spreadsheets/d/1aHkj4IaQMThhwWwevcOymEh837vdxeC_PycurhTbGFA/edit?usp=sharing"","&amp;"""ขอนแก่น!I209"")+IMPORTRANGE(""https://docs.google.com/spreadsheets/d/1FvTu2DsIWUjP6WCWra38Bkj_oOl_sOMf14r5Fg5srxU/edit?usp=sharing"",""ชัยภูมิ!I209"")+IMPORTRANGE(""https://docs.google.com/spreadsheets/d/1XVB7oCJ3pr-vBUdflwPQ8Z2LlzhnCvZaaYjAfP-647E/edit"&amp;"?usp=sharing"",""นครพนม!I209"")+IMPORTRANGE(""https://docs.google.com/spreadsheets/d/1Mnpb-8PYAgn85W6KOTD40hc_Xc55CaLfHoGAbrZ8tls/edit?usp=sharing"",""นครราชสีมา!I209"")+IMPORTRANGE(""https://docs.google.com/spreadsheets/d/1xoDLGBv9CYbyosIhki0kTq6IpYNj-gp"&amp;"jxfobnaDiut0/edit?usp=sharing"",""บึงกาฬ!I209"")+IMPORTRANGE(""https://docs.google.com/spreadsheets/d/1MMPq-JyI6DSgQETxuSiXkesP-P7JHuemnE6QJIa-Nlw/edit?usp=sharing"",""บุรีรัมย์!I209"")+IMPORTRANGE(""https://docs.google.com/spreadsheets/d/1l6IZ8xUPgMrESzc"&amp;"TYwhA1k_tPjeQjJPTqlm8Gd9eU5g/edit?usp=sharing"",""มหาสารคาม!I209"")+IMPORTRANGE(""https://docs.google.com/spreadsheets/d/1uB74YLqNjWX6FObjekfB2NtSYigTQyR2rq9u4Ub2Sq4/edit?usp=sharing"",""มุกดาหาร!I209"")+IMPORTRANGE(""https://docs.google.com/spreadsheets/"&amp;"d/1NexK3geCPxCTO1fzNF8dPec7yZyUx3OaWkFBC9HsQOo/edit?usp=sharing"",""ยโสธร!I209"")+IMPORTRANGE(""https://docs.google.com/spreadsheets/d/1v_cJrbBlyqmnHPReHk44g9NrMRdENNlSy_E_c5M9fIg/edit?usp=sharing"",""ร้อยเอ็ด!I209"")+IMPORTRANGE(""https://docs.google.com"&amp;"/spreadsheets/d/1Ul4RCpCX66NxYADU1QpwAPjOmBzW64SsT11s1wzXw_c/edit?usp=sharing"",""เลย!I209"")+IMPORTRANGE(""https://docs.google.com/spreadsheets/d/1bRrNKwbHDVktQG10isr5vbWRtt5spIZPpkOSWgbT5ug/edit?usp=sharing"",""ศรีสะเกษ!I209"")+IMPORTRANGE(""https://doc"&amp;"s.google.com/spreadsheets/d/17P34_Ow5kFBfdQD0qspb2UuPX5zpi6WMrQzslghyvrI/edit?usp=sharing"",""สกลนคร!I209"")+IMPORTRANGE(""https://docs.google.com/spreadsheets/d/1yswqbM3-AEpThF3ZSUa1AcmHnmRTF1vlJ1CZGcJ8YuU/edit?usp=sharing"",""สุรินทร์!I209"")+IMPORTRANG"&amp;"E(""https://docs.google.com/spreadsheets/d/13JHU_EFbsQOUQ0JSQ3dWy1VTRosIWcDq6Nc99z2qzdc/edit?usp=sharing"",""หนองคาย!I209"")+IMPORTRANGE(""https://docs.google.com/spreadsheets/d/1Hx73zIEgVdDZZaYSTc46Dqv64atFhpr3GelxLbaIN8A/edit?usp=sharing"",""หนองบัวลำภู"&amp;"!I209"")+IMPORTRANGE(""https://docs.google.com/spreadsheets/d/1lFxr3ctmjFN90yc-xV6jrQ9Ty8BKYVBWnAZ15wcNIJc/edit?usp=sharing"",""อำนาจเจริญ!I209"")+IMPORTRANGE(""https://docs.google.com/spreadsheets/d/1gF7RJpRnL-1oyjyeWxs5SFWEH7y8ahOZsQlyp2A2e-A/edit?usp=s"&amp;"haring"",""อุดรธานี!I209"")+IMPORTRANGE(""https://docs.google.com/spreadsheets/d/1kfLP0j3INXRa8bTDpcEmoWewMBV61jlFlfzczfjWIgc/edit?usp=sharing"",""อุบลราชธานี!I209"")"),55)</f>
        <v>55</v>
      </c>
      <c r="J209" s="181">
        <f ca="1">IFERROR(__xludf.DUMMYFUNCTION("IMPORTRANGE(""https://docs.google.com/spreadsheets/d/1yhBcrRPreicbMKl9Bu_Snb2-OcQAF62RKfhTLhJ2eAA/edit?usp=sharing"",""กาฬสินธุ์!J209"")+IMPORTRANGE(""https://docs.google.com/spreadsheets/d/1aHkj4IaQMThhwWwevcOymEh837vdxeC_PycurhTbGFA/edit?usp=sharing"","&amp;"""ขอนแก่น!J209"")+IMPORTRANGE(""https://docs.google.com/spreadsheets/d/1FvTu2DsIWUjP6WCWra38Bkj_oOl_sOMf14r5Fg5srxU/edit?usp=sharing"",""ชัยภูมิ!J209"")+IMPORTRANGE(""https://docs.google.com/spreadsheets/d/1XVB7oCJ3pr-vBUdflwPQ8Z2LlzhnCvZaaYjAfP-647E/edit"&amp;"?usp=sharing"",""นครพนม!J209"")+IMPORTRANGE(""https://docs.google.com/spreadsheets/d/1Mnpb-8PYAgn85W6KOTD40hc_Xc55CaLfHoGAbrZ8tls/edit?usp=sharing"",""นครราชสีมา!J209"")+IMPORTRANGE(""https://docs.google.com/spreadsheets/d/1xoDLGBv9CYbyosIhki0kTq6IpYNj-gp"&amp;"jxfobnaDiut0/edit?usp=sharing"",""บึงกาฬ!J209"")+IMPORTRANGE(""https://docs.google.com/spreadsheets/d/1MMPq-JyI6DSgQETxuSiXkesP-P7JHuemnE6QJIa-Nlw/edit?usp=sharing"",""บุรีรัมย์!J209"")+IMPORTRANGE(""https://docs.google.com/spreadsheets/d/1l6IZ8xUPgMrESzc"&amp;"TYwhA1k_tPjeQjJPTqlm8Gd9eU5g/edit?usp=sharing"",""มหาสารคาม!J209"")+IMPORTRANGE(""https://docs.google.com/spreadsheets/d/1uB74YLqNjWX6FObjekfB2NtSYigTQyR2rq9u4Ub2Sq4/edit?usp=sharing"",""มุกดาหาร!J209"")+IMPORTRANGE(""https://docs.google.com/spreadsheets/"&amp;"d/1NexK3geCPxCTO1fzNF8dPec7yZyUx3OaWkFBC9HsQOo/edit?usp=sharing"",""ยโสธร!J209"")+IMPORTRANGE(""https://docs.google.com/spreadsheets/d/1v_cJrbBlyqmnHPReHk44g9NrMRdENNlSy_E_c5M9fIg/edit?usp=sharing"",""ร้อยเอ็ด!J209"")+IMPORTRANGE(""https://docs.google.com"&amp;"/spreadsheets/d/1Ul4RCpCX66NxYADU1QpwAPjOmBzW64SsT11s1wzXw_c/edit?usp=sharing"",""เลย!J209"")+IMPORTRANGE(""https://docs.google.com/spreadsheets/d/1bRrNKwbHDVktQG10isr5vbWRtt5spIZPpkOSWgbT5ug/edit?usp=sharing"",""ศรีสะเกษ!J209"")+IMPORTRANGE(""https://doc"&amp;"s.google.com/spreadsheets/d/17P34_Ow5kFBfdQD0qspb2UuPX5zpi6WMrQzslghyvrI/edit?usp=sharing"",""สกลนคร!J209"")+IMPORTRANGE(""https://docs.google.com/spreadsheets/d/1yswqbM3-AEpThF3ZSUa1AcmHnmRTF1vlJ1CZGcJ8YuU/edit?usp=sharing"",""สุรินทร์!J209"")+IMPORTRANG"&amp;"E(""https://docs.google.com/spreadsheets/d/13JHU_EFbsQOUQ0JSQ3dWy1VTRosIWcDq6Nc99z2qzdc/edit?usp=sharing"",""หนองคาย!J209"")+IMPORTRANGE(""https://docs.google.com/spreadsheets/d/1Hx73zIEgVdDZZaYSTc46Dqv64atFhpr3GelxLbaIN8A/edit?usp=sharing"",""หนองบัวลำภู"&amp;"!J209"")+IMPORTRANGE(""https://docs.google.com/spreadsheets/d/1lFxr3ctmjFN90yc-xV6jrQ9Ty8BKYVBWnAZ15wcNIJc/edit?usp=sharing"",""อำนาจเจริญ!J209"")+IMPORTRANGE(""https://docs.google.com/spreadsheets/d/1gF7RJpRnL-1oyjyeWxs5SFWEH7y8ahOZsQlyp2A2e-A/edit?usp=s"&amp;"haring"",""อุดรธานี!J209"")+IMPORTRANGE(""https://docs.google.com/spreadsheets/d/1kfLP0j3INXRa8bTDpcEmoWewMBV61jlFlfzczfjWIgc/edit?usp=sharing"",""อุบลราชธานี!J209"")"),9)</f>
        <v>9</v>
      </c>
      <c r="K209" s="182">
        <f ca="1">IF(I209&gt;0,J209*100/I209,0)</f>
        <v>16.363636363636363</v>
      </c>
      <c r="L209" s="55"/>
      <c r="M209" s="55"/>
      <c r="N209" s="55"/>
      <c r="O209" s="55"/>
      <c r="P209" s="55"/>
      <c r="Q209" s="55"/>
      <c r="R209" s="55"/>
      <c r="S209" s="62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171"/>
      <c r="I210" s="54"/>
      <c r="J210" s="54"/>
      <c r="K210" s="164"/>
      <c r="L210" s="55"/>
      <c r="M210" s="55"/>
      <c r="N210" s="55"/>
      <c r="O210" s="55"/>
      <c r="P210" s="55"/>
      <c r="Q210" s="55"/>
      <c r="R210" s="55"/>
      <c r="S210" s="62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257" t="s">
        <v>85</v>
      </c>
      <c r="I211" s="212">
        <v>0</v>
      </c>
      <c r="J211" s="181">
        <f ca="1">IFERROR(__xludf.DUMMYFUNCTION("IMPORTRANGE(""https://docs.google.com/spreadsheets/d/1yhBcrRPreicbMKl9Bu_Snb2-OcQAF62RKfhTLhJ2eAA/edit?usp=sharing"",""กาฬสินธุ์!J211"")+IMPORTRANGE(""https://docs.google.com/spreadsheets/d/1aHkj4IaQMThhwWwevcOymEh837vdxeC_PycurhTbGFA/edit?usp=sharing"","&amp;"""ขอนแก่น!J211"")+IMPORTRANGE(""https://docs.google.com/spreadsheets/d/1FvTu2DsIWUjP6WCWra38Bkj_oOl_sOMf14r5Fg5srxU/edit?usp=sharing"",""ชัยภูมิ!J211"")+IMPORTRANGE(""https://docs.google.com/spreadsheets/d/1XVB7oCJ3pr-vBUdflwPQ8Z2LlzhnCvZaaYjAfP-647E/edit"&amp;"?usp=sharing"",""นครพนม!J211"")+IMPORTRANGE(""https://docs.google.com/spreadsheets/d/1Mnpb-8PYAgn85W6KOTD40hc_Xc55CaLfHoGAbrZ8tls/edit?usp=sharing"",""นครราชสีมา!J211"")+IMPORTRANGE(""https://docs.google.com/spreadsheets/d/1xoDLGBv9CYbyosIhki0kTq6IpYNj-gp"&amp;"jxfobnaDiut0/edit?usp=sharing"",""บึงกาฬ!J211"")+IMPORTRANGE(""https://docs.google.com/spreadsheets/d/1MMPq-JyI6DSgQETxuSiXkesP-P7JHuemnE6QJIa-Nlw/edit?usp=sharing"",""บุรีรัมย์!J211"")+IMPORTRANGE(""https://docs.google.com/spreadsheets/d/1l6IZ8xUPgMrESzc"&amp;"TYwhA1k_tPjeQjJPTqlm8Gd9eU5g/edit?usp=sharing"",""มหาสารคาม!J211"")+IMPORTRANGE(""https://docs.google.com/spreadsheets/d/1uB74YLqNjWX6FObjekfB2NtSYigTQyR2rq9u4Ub2Sq4/edit?usp=sharing"",""มุกดาหาร!J211"")+IMPORTRANGE(""https://docs.google.com/spreadsheets/"&amp;"d/1NexK3geCPxCTO1fzNF8dPec7yZyUx3OaWkFBC9HsQOo/edit?usp=sharing"",""ยโสธร!J211"")+IMPORTRANGE(""https://docs.google.com/spreadsheets/d/1v_cJrbBlyqmnHPReHk44g9NrMRdENNlSy_E_c5M9fIg/edit?usp=sharing"",""ร้อยเอ็ด!J211"")+IMPORTRANGE(""https://docs.google.com"&amp;"/spreadsheets/d/1Ul4RCpCX66NxYADU1QpwAPjOmBzW64SsT11s1wzXw_c/edit?usp=sharing"",""เลย!J211"")+IMPORTRANGE(""https://docs.google.com/spreadsheets/d/1bRrNKwbHDVktQG10isr5vbWRtt5spIZPpkOSWgbT5ug/edit?usp=sharing"",""ศรีสะเกษ!J211"")+IMPORTRANGE(""https://doc"&amp;"s.google.com/spreadsheets/d/17P34_Ow5kFBfdQD0qspb2UuPX5zpi6WMrQzslghyvrI/edit?usp=sharing"",""สกลนคร!J211"")+IMPORTRANGE(""https://docs.google.com/spreadsheets/d/1yswqbM3-AEpThF3ZSUa1AcmHnmRTF1vlJ1CZGcJ8YuU/edit?usp=sharing"",""สุรินทร์!J211"")+IMPORTRANG"&amp;"E(""https://docs.google.com/spreadsheets/d/13JHU_EFbsQOUQ0JSQ3dWy1VTRosIWcDq6Nc99z2qzdc/edit?usp=sharing"",""หนองคาย!J211"")+IMPORTRANGE(""https://docs.google.com/spreadsheets/d/1Hx73zIEgVdDZZaYSTc46Dqv64atFhpr3GelxLbaIN8A/edit?usp=sharing"",""หนองบัวลำภู"&amp;"!J211"")+IMPORTRANGE(""https://docs.google.com/spreadsheets/d/1lFxr3ctmjFN90yc-xV6jrQ9Ty8BKYVBWnAZ15wcNIJc/edit?usp=sharing"",""อำนาจเจริญ!J211"")+IMPORTRANGE(""https://docs.google.com/spreadsheets/d/1gF7RJpRnL-1oyjyeWxs5SFWEH7y8ahOZsQlyp2A2e-A/edit?usp=s"&amp;"haring"",""อุดรธานี!J211"")+IMPORTRANGE(""https://docs.google.com/spreadsheets/d/1kfLP0j3INXRa8bTDpcEmoWewMBV61jlFlfzczfjWIgc/edit?usp=sharing"",""อุบลราชธานี!J211"")"),7)</f>
        <v>7</v>
      </c>
      <c r="K211" s="182">
        <f t="shared" ref="K211:K213" si="175">IF(I211&gt;0,J211*100/I211,0)</f>
        <v>0</v>
      </c>
      <c r="L211" s="55"/>
      <c r="M211" s="55"/>
      <c r="N211" s="55"/>
      <c r="O211" s="55"/>
      <c r="P211" s="55"/>
      <c r="Q211" s="55"/>
      <c r="R211" s="55"/>
      <c r="S211" s="62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79" t="s">
        <v>93</v>
      </c>
      <c r="I212" s="212">
        <v>0</v>
      </c>
      <c r="J212" s="181">
        <f ca="1">IFERROR(__xludf.DUMMYFUNCTION("IMPORTRANGE(""https://docs.google.com/spreadsheets/d/1yhBcrRPreicbMKl9Bu_Snb2-OcQAF62RKfhTLhJ2eAA/edit?usp=sharing"",""กาฬสินธุ์!J212"")+IMPORTRANGE(""https://docs.google.com/spreadsheets/d/1aHkj4IaQMThhwWwevcOymEh837vdxeC_PycurhTbGFA/edit?usp=sharing"","&amp;"""ขอนแก่น!J212"")+IMPORTRANGE(""https://docs.google.com/spreadsheets/d/1FvTu2DsIWUjP6WCWra38Bkj_oOl_sOMf14r5Fg5srxU/edit?usp=sharing"",""ชัยภูมิ!J212"")+IMPORTRANGE(""https://docs.google.com/spreadsheets/d/1XVB7oCJ3pr-vBUdflwPQ8Z2LlzhnCvZaaYjAfP-647E/edit"&amp;"?usp=sharing"",""นครพนม!J212"")+IMPORTRANGE(""https://docs.google.com/spreadsheets/d/1Mnpb-8PYAgn85W6KOTD40hc_Xc55CaLfHoGAbrZ8tls/edit?usp=sharing"",""นครราชสีมา!J212"")+IMPORTRANGE(""https://docs.google.com/spreadsheets/d/1xoDLGBv9CYbyosIhki0kTq6IpYNj-gp"&amp;"jxfobnaDiut0/edit?usp=sharing"",""บึงกาฬ!J212"")+IMPORTRANGE(""https://docs.google.com/spreadsheets/d/1MMPq-JyI6DSgQETxuSiXkesP-P7JHuemnE6QJIa-Nlw/edit?usp=sharing"",""บุรีรัมย์!J212"")+IMPORTRANGE(""https://docs.google.com/spreadsheets/d/1l6IZ8xUPgMrESzc"&amp;"TYwhA1k_tPjeQjJPTqlm8Gd9eU5g/edit?usp=sharing"",""มหาสารคาม!J212"")+IMPORTRANGE(""https://docs.google.com/spreadsheets/d/1uB74YLqNjWX6FObjekfB2NtSYigTQyR2rq9u4Ub2Sq4/edit?usp=sharing"",""มุกดาหาร!J212"")+IMPORTRANGE(""https://docs.google.com/spreadsheets/"&amp;"d/1NexK3geCPxCTO1fzNF8dPec7yZyUx3OaWkFBC9HsQOo/edit?usp=sharing"",""ยโสธร!J212"")+IMPORTRANGE(""https://docs.google.com/spreadsheets/d/1v_cJrbBlyqmnHPReHk44g9NrMRdENNlSy_E_c5M9fIg/edit?usp=sharing"",""ร้อยเอ็ด!J212"")+IMPORTRANGE(""https://docs.google.com"&amp;"/spreadsheets/d/1Ul4RCpCX66NxYADU1QpwAPjOmBzW64SsT11s1wzXw_c/edit?usp=sharing"",""เลย!J212"")+IMPORTRANGE(""https://docs.google.com/spreadsheets/d/1bRrNKwbHDVktQG10isr5vbWRtt5spIZPpkOSWgbT5ug/edit?usp=sharing"",""ศรีสะเกษ!J212"")+IMPORTRANGE(""https://doc"&amp;"s.google.com/spreadsheets/d/17P34_Ow5kFBfdQD0qspb2UuPX5zpi6WMrQzslghyvrI/edit?usp=sharing"",""สกลนคร!J212"")+IMPORTRANGE(""https://docs.google.com/spreadsheets/d/1yswqbM3-AEpThF3ZSUa1AcmHnmRTF1vlJ1CZGcJ8YuU/edit?usp=sharing"",""สุรินทร์!J212"")+IMPORTRANG"&amp;"E(""https://docs.google.com/spreadsheets/d/13JHU_EFbsQOUQ0JSQ3dWy1VTRosIWcDq6Nc99z2qzdc/edit?usp=sharing"",""หนองคาย!J212"")+IMPORTRANGE(""https://docs.google.com/spreadsheets/d/1Hx73zIEgVdDZZaYSTc46Dqv64atFhpr3GelxLbaIN8A/edit?usp=sharing"",""หนองบัวลำภู"&amp;"!J212"")+IMPORTRANGE(""https://docs.google.com/spreadsheets/d/1lFxr3ctmjFN90yc-xV6jrQ9Ty8BKYVBWnAZ15wcNIJc/edit?usp=sharing"",""อำนาจเจริญ!J212"")+IMPORTRANGE(""https://docs.google.com/spreadsheets/d/1gF7RJpRnL-1oyjyeWxs5SFWEH7y8ahOZsQlyp2A2e-A/edit?usp=s"&amp;"haring"",""อุดรธานี!J212"")+IMPORTRANGE(""https://docs.google.com/spreadsheets/d/1kfLP0j3INXRa8bTDpcEmoWewMBV61jlFlfzczfjWIgc/edit?usp=sharing"",""อุบลราชธานี!J212"")"),1)</f>
        <v>1</v>
      </c>
      <c r="K212" s="182">
        <f t="shared" si="175"/>
        <v>0</v>
      </c>
      <c r="L212" s="55"/>
      <c r="M212" s="55"/>
      <c r="N212" s="55"/>
      <c r="O212" s="55"/>
      <c r="P212" s="55"/>
      <c r="Q212" s="55"/>
      <c r="R212" s="55"/>
      <c r="S212" s="62"/>
      <c r="T212" s="55"/>
      <c r="U212" s="55"/>
    </row>
    <row r="213" spans="1:21" ht="19.5">
      <c r="A213" s="241"/>
      <c r="B213" s="242"/>
      <c r="C213" s="243" t="s">
        <v>94</v>
      </c>
      <c r="D213" s="244"/>
      <c r="E213" s="244"/>
      <c r="F213" s="244"/>
      <c r="G213" s="245"/>
      <c r="H213" s="254" t="s">
        <v>85</v>
      </c>
      <c r="I213" s="247">
        <f t="shared" ref="I213:J213" ca="1" si="176">I220</f>
        <v>23</v>
      </c>
      <c r="J213" s="247">
        <f t="shared" ca="1" si="176"/>
        <v>2</v>
      </c>
      <c r="K213" s="248">
        <f t="shared" ca="1" si="175"/>
        <v>8.695652173913043</v>
      </c>
      <c r="L213" s="249"/>
      <c r="M213" s="249"/>
      <c r="N213" s="249"/>
      <c r="O213" s="249"/>
      <c r="P213" s="249"/>
      <c r="Q213" s="249"/>
      <c r="R213" s="249"/>
      <c r="S213" s="250"/>
      <c r="T213" s="249"/>
      <c r="U213" s="249"/>
    </row>
    <row r="214" spans="1:21" ht="19.5">
      <c r="A214" s="155"/>
      <c r="B214" s="50"/>
      <c r="C214" s="156" t="s">
        <v>18</v>
      </c>
      <c r="D214" s="251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159">
        <f t="shared" ref="L214:N214" ca="1" si="177">L215+L216+L217</f>
        <v>132000</v>
      </c>
      <c r="M214" s="159">
        <f t="shared" ca="1" si="177"/>
        <v>0</v>
      </c>
      <c r="N214" s="159">
        <f t="shared" ca="1" si="177"/>
        <v>6000</v>
      </c>
      <c r="O214" s="159">
        <f ca="1">IF(L214&gt;0,N214*100/L214,0)</f>
        <v>4.5454545454545459</v>
      </c>
      <c r="P214" s="55"/>
      <c r="Q214" s="159">
        <f t="shared" ref="Q214:S214" ca="1" si="178">Q215+Q216+Q217</f>
        <v>1143100</v>
      </c>
      <c r="R214" s="159">
        <f t="shared" ca="1" si="178"/>
        <v>0</v>
      </c>
      <c r="S214" s="160">
        <f t="shared" ca="1" si="178"/>
        <v>0</v>
      </c>
      <c r="T214" s="55"/>
      <c r="U214" s="55"/>
    </row>
    <row r="215" spans="1:21" ht="18.75">
      <c r="A215" s="155"/>
      <c r="B215" s="188"/>
      <c r="C215" s="50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56">
        <f ca="1">IFERROR(__xludf.DUMMYFUNCTION("IMPORTRANGE(""https://docs.google.com/spreadsheets/d/1yhBcrRPreicbMKl9Bu_Snb2-OcQAF62RKfhTLhJ2eAA/edit?usp=sharing"",""กาฬสินธุ์!L215"")+IMPORTRANGE(""https://docs.google.com/spreadsheets/d/1aHkj4IaQMThhwWwevcOymEh837vdxeC_PycurhTbGFA/edit?usp=sharing"","&amp;"""ขอนแก่น!L215"")+IMPORTRANGE(""https://docs.google.com/spreadsheets/d/1FvTu2DsIWUjP6WCWra38Bkj_oOl_sOMf14r5Fg5srxU/edit?usp=sharing"",""ชัยภูมิ!L215"")+IMPORTRANGE(""https://docs.google.com/spreadsheets/d/1XVB7oCJ3pr-vBUdflwPQ8Z2LlzhnCvZaaYjAfP-647E/edit"&amp;"?usp=sharing"",""นครพนม!L215"")+IMPORTRANGE(""https://docs.google.com/spreadsheets/d/1Mnpb-8PYAgn85W6KOTD40hc_Xc55CaLfHoGAbrZ8tls/edit?usp=sharing"",""นครราชสีมา!L215"")+IMPORTRANGE(""https://docs.google.com/spreadsheets/d/1xoDLGBv9CYbyosIhki0kTq6IpYNj-gp"&amp;"jxfobnaDiut0/edit?usp=sharing"",""บึงกาฬ!L215"")+IMPORTRANGE(""https://docs.google.com/spreadsheets/d/1MMPq-JyI6DSgQETxuSiXkesP-P7JHuemnE6QJIa-Nlw/edit?usp=sharing"",""บุรีรัมย์!L215"")+IMPORTRANGE(""https://docs.google.com/spreadsheets/d/1l6IZ8xUPgMrESzc"&amp;"TYwhA1k_tPjeQjJPTqlm8Gd9eU5g/edit?usp=sharing"",""มหาสารคาม!L215"")+IMPORTRANGE(""https://docs.google.com/spreadsheets/d/1uB74YLqNjWX6FObjekfB2NtSYigTQyR2rq9u4Ub2Sq4/edit?usp=sharing"",""มุกดาหาร!L215"")+IMPORTRANGE(""https://docs.google.com/spreadsheets/"&amp;"d/1NexK3geCPxCTO1fzNF8dPec7yZyUx3OaWkFBC9HsQOo/edit?usp=sharing"",""ยโสธร!L215"")+IMPORTRANGE(""https://docs.google.com/spreadsheets/d/1v_cJrbBlyqmnHPReHk44g9NrMRdENNlSy_E_c5M9fIg/edit?usp=sharing"",""ร้อยเอ็ด!L215"")+IMPORTRANGE(""https://docs.google.com"&amp;"/spreadsheets/d/1Ul4RCpCX66NxYADU1QpwAPjOmBzW64SsT11s1wzXw_c/edit?usp=sharing"",""เลย!L215"")+IMPORTRANGE(""https://docs.google.com/spreadsheets/d/1bRrNKwbHDVktQG10isr5vbWRtt5spIZPpkOSWgbT5ug/edit?usp=sharing"",""ศรีสะเกษ!L215"")+IMPORTRANGE(""https://doc"&amp;"s.google.com/spreadsheets/d/17P34_Ow5kFBfdQD0qspb2UuPX5zpi6WMrQzslghyvrI/edit?usp=sharing"",""สกลนคร!L215"")+IMPORTRANGE(""https://docs.google.com/spreadsheets/d/1yswqbM3-AEpThF3ZSUa1AcmHnmRTF1vlJ1CZGcJ8YuU/edit?usp=sharing"",""สุรินทร์!L215"")+IMPORTRANG"&amp;"E(""https://docs.google.com/spreadsheets/d/13JHU_EFbsQOUQ0JSQ3dWy1VTRosIWcDq6Nc99z2qzdc/edit?usp=sharing"",""หนองคาย!L215"")+IMPORTRANGE(""https://docs.google.com/spreadsheets/d/1Hx73zIEgVdDZZaYSTc46Dqv64atFhpr3GelxLbaIN8A/edit?usp=sharing"",""หนองบัวลำภู"&amp;"!L215"")+IMPORTRANGE(""https://docs.google.com/spreadsheets/d/1lFxr3ctmjFN90yc-xV6jrQ9Ty8BKYVBWnAZ15wcNIJc/edit?usp=sharing"",""อำนาจเจริญ!L215"")+IMPORTRANGE(""https://docs.google.com/spreadsheets/d/1gF7RJpRnL-1oyjyeWxs5SFWEH7y8ahOZsQlyp2A2e-A/edit?usp=s"&amp;"haring"",""อุดรธานี!L215"")+IMPORTRANGE(""https://docs.google.com/spreadsheets/d/1kfLP0j3INXRa8bTDpcEmoWewMBV61jlFlfzczfjWIgc/edit?usp=sharing"",""อุบลราชธานี!L215"")"),22000)</f>
        <v>22000</v>
      </c>
      <c r="M215" s="56">
        <f ca="1">IFERROR(__xludf.DUMMYFUNCTION("IMPORTRANGE(""https://docs.google.com/spreadsheets/d/1yhBcrRPreicbMKl9Bu_Snb2-OcQAF62RKfhTLhJ2eAA/edit?usp=sharing"",""กาฬสินธุ์!M215"")+IMPORTRANGE(""https://docs.google.com/spreadsheets/d/1aHkj4IaQMThhwWwevcOymEh837vdxeC_PycurhTbGFA/edit?usp=sharing"","&amp;"""ขอนแก่น!M215"")+IMPORTRANGE(""https://docs.google.com/spreadsheets/d/1FvTu2DsIWUjP6WCWra38Bkj_oOl_sOMf14r5Fg5srxU/edit?usp=sharing"",""ชัยภูมิ!M215"")+IMPORTRANGE(""https://docs.google.com/spreadsheets/d/1XVB7oCJ3pr-vBUdflwPQ8Z2LlzhnCvZaaYjAfP-647E/edit"&amp;"?usp=sharing"",""นครพนม!M215"")+IMPORTRANGE(""https://docs.google.com/spreadsheets/d/1Mnpb-8PYAgn85W6KOTD40hc_Xc55CaLfHoGAbrZ8tls/edit?usp=sharing"",""นครราชสีมา!M215"")+IMPORTRANGE(""https://docs.google.com/spreadsheets/d/1xoDLGBv9CYbyosIhki0kTq6IpYNj-gp"&amp;"jxfobnaDiut0/edit?usp=sharing"",""บึงกาฬ!M215"")+IMPORTRANGE(""https://docs.google.com/spreadsheets/d/1MMPq-JyI6DSgQETxuSiXkesP-P7JHuemnE6QJIa-Nlw/edit?usp=sharing"",""บุรีรัมย์!M215"")+IMPORTRANGE(""https://docs.google.com/spreadsheets/d/1l6IZ8xUPgMrESzc"&amp;"TYwhA1k_tPjeQjJPTqlm8Gd9eU5g/edit?usp=sharing"",""มหาสารคาม!M215"")+IMPORTRANGE(""https://docs.google.com/spreadsheets/d/1uB74YLqNjWX6FObjekfB2NtSYigTQyR2rq9u4Ub2Sq4/edit?usp=sharing"",""มุกดาหาร!M215"")+IMPORTRANGE(""https://docs.google.com/spreadsheets/"&amp;"d/1NexK3geCPxCTO1fzNF8dPec7yZyUx3OaWkFBC9HsQOo/edit?usp=sharing"",""ยโสธร!M215"")+IMPORTRANGE(""https://docs.google.com/spreadsheets/d/1v_cJrbBlyqmnHPReHk44g9NrMRdENNlSy_E_c5M9fIg/edit?usp=sharing"",""ร้อยเอ็ด!M215"")+IMPORTRANGE(""https://docs.google.com"&amp;"/spreadsheets/d/1Ul4RCpCX66NxYADU1QpwAPjOmBzW64SsT11s1wzXw_c/edit?usp=sharing"",""เลย!M215"")+IMPORTRANGE(""https://docs.google.com/spreadsheets/d/1bRrNKwbHDVktQG10isr5vbWRtt5spIZPpkOSWgbT5ug/edit?usp=sharing"",""ศรีสะเกษ!M215"")+IMPORTRANGE(""https://doc"&amp;"s.google.com/spreadsheets/d/17P34_Ow5kFBfdQD0qspb2UuPX5zpi6WMrQzslghyvrI/edit?usp=sharing"",""สกลนคร!M215"")+IMPORTRANGE(""https://docs.google.com/spreadsheets/d/1yswqbM3-AEpThF3ZSUa1AcmHnmRTF1vlJ1CZGcJ8YuU/edit?usp=sharing"",""สุรินทร์!M215"")+IMPORTRANG"&amp;"E(""https://docs.google.com/spreadsheets/d/13JHU_EFbsQOUQ0JSQ3dWy1VTRosIWcDq6Nc99z2qzdc/edit?usp=sharing"",""หนองคาย!M215"")+IMPORTRANGE(""https://docs.google.com/spreadsheets/d/1Hx73zIEgVdDZZaYSTc46Dqv64atFhpr3GelxLbaIN8A/edit?usp=sharing"",""หนองบัวลำภู"&amp;"!M215"")+IMPORTRANGE(""https://docs.google.com/spreadsheets/d/1lFxr3ctmjFN90yc-xV6jrQ9Ty8BKYVBWnAZ15wcNIJc/edit?usp=sharing"",""อำนาจเจริญ!M215"")+IMPORTRANGE(""https://docs.google.com/spreadsheets/d/1gF7RJpRnL-1oyjyeWxs5SFWEH7y8ahOZsQlyp2A2e-A/edit?usp=s"&amp;"haring"",""อุดรธานี!M215"")+IMPORTRANGE(""https://docs.google.com/spreadsheets/d/1kfLP0j3INXRa8bTDpcEmoWewMBV61jlFlfzczfjWIgc/edit?usp=sharing"",""อุบลราชธานี!M215"")"),0)</f>
        <v>0</v>
      </c>
      <c r="N215" s="56">
        <f ca="1">IFERROR(__xludf.DUMMYFUNCTION("IMPORTRANGE(""https://docs.google.com/spreadsheets/d/1yhBcrRPreicbMKl9Bu_Snb2-OcQAF62RKfhTLhJ2eAA/edit?usp=sharing"",""กาฬสินธุ์!N215"")+IMPORTRANGE(""https://docs.google.com/spreadsheets/d/1aHkj4IaQMThhwWwevcOymEh837vdxeC_PycurhTbGFA/edit?usp=sharing"","&amp;"""ขอนแก่น!N215"")+IMPORTRANGE(""https://docs.google.com/spreadsheets/d/1FvTu2DsIWUjP6WCWra38Bkj_oOl_sOMf14r5Fg5srxU/edit?usp=sharing"",""ชัยภูมิ!N215"")+IMPORTRANGE(""https://docs.google.com/spreadsheets/d/1XVB7oCJ3pr-vBUdflwPQ8Z2LlzhnCvZaaYjAfP-647E/edit"&amp;"?usp=sharing"",""นครพนม!N215"")+IMPORTRANGE(""https://docs.google.com/spreadsheets/d/1Mnpb-8PYAgn85W6KOTD40hc_Xc55CaLfHoGAbrZ8tls/edit?usp=sharing"",""นครราชสีมา!N215"")+IMPORTRANGE(""https://docs.google.com/spreadsheets/d/1xoDLGBv9CYbyosIhki0kTq6IpYNj-gp"&amp;"jxfobnaDiut0/edit?usp=sharing"",""บึงกาฬ!N215"")+IMPORTRANGE(""https://docs.google.com/spreadsheets/d/1MMPq-JyI6DSgQETxuSiXkesP-P7JHuemnE6QJIa-Nlw/edit?usp=sharing"",""บุรีรัมย์!N215"")+IMPORTRANGE(""https://docs.google.com/spreadsheets/d/1l6IZ8xUPgMrESzc"&amp;"TYwhA1k_tPjeQjJPTqlm8Gd9eU5g/edit?usp=sharing"",""มหาสารคาม!N215"")+IMPORTRANGE(""https://docs.google.com/spreadsheets/d/1uB74YLqNjWX6FObjekfB2NtSYigTQyR2rq9u4Ub2Sq4/edit?usp=sharing"",""มุกดาหาร!N215"")+IMPORTRANGE(""https://docs.google.com/spreadsheets/"&amp;"d/1NexK3geCPxCTO1fzNF8dPec7yZyUx3OaWkFBC9HsQOo/edit?usp=sharing"",""ยโสธร!N215"")+IMPORTRANGE(""https://docs.google.com/spreadsheets/d/1v_cJrbBlyqmnHPReHk44g9NrMRdENNlSy_E_c5M9fIg/edit?usp=sharing"",""ร้อยเอ็ด!N215"")+IMPORTRANGE(""https://docs.google.com"&amp;"/spreadsheets/d/1Ul4RCpCX66NxYADU1QpwAPjOmBzW64SsT11s1wzXw_c/edit?usp=sharing"",""เลย!N215"")+IMPORTRANGE(""https://docs.google.com/spreadsheets/d/1bRrNKwbHDVktQG10isr5vbWRtt5spIZPpkOSWgbT5ug/edit?usp=sharing"",""ศรีสะเกษ!N215"")+IMPORTRANGE(""https://doc"&amp;"s.google.com/spreadsheets/d/17P34_Ow5kFBfdQD0qspb2UuPX5zpi6WMrQzslghyvrI/edit?usp=sharing"",""สกลนคร!N215"")+IMPORTRANGE(""https://docs.google.com/spreadsheets/d/1yswqbM3-AEpThF3ZSUa1AcmHnmRTF1vlJ1CZGcJ8YuU/edit?usp=sharing"",""สุรินทร์!N215"")+IMPORTRANG"&amp;"E(""https://docs.google.com/spreadsheets/d/13JHU_EFbsQOUQ0JSQ3dWy1VTRosIWcDq6Nc99z2qzdc/edit?usp=sharing"",""หนองคาย!N215"")+IMPORTRANGE(""https://docs.google.com/spreadsheets/d/1Hx73zIEgVdDZZaYSTc46Dqv64atFhpr3GelxLbaIN8A/edit?usp=sharing"",""หนองบัวลำภู"&amp;"!N215"")+IMPORTRANGE(""https://docs.google.com/spreadsheets/d/1lFxr3ctmjFN90yc-xV6jrQ9Ty8BKYVBWnAZ15wcNIJc/edit?usp=sharing"",""อำนาจเจริญ!N215"")+IMPORTRANGE(""https://docs.google.com/spreadsheets/d/1gF7RJpRnL-1oyjyeWxs5SFWEH7y8ahOZsQlyp2A2e-A/edit?usp=s"&amp;"haring"",""อุดรธานี!N215"")+IMPORTRANGE(""https://docs.google.com/spreadsheets/d/1kfLP0j3INXRa8bTDpcEmoWewMBV61jlFlfzczfjWIgc/edit?usp=sharing"",""อุบลราชธานี!N215"")"),1000)</f>
        <v>1000</v>
      </c>
      <c r="O215" s="164"/>
      <c r="P215" s="55"/>
      <c r="Q215" s="56">
        <f ca="1">IFERROR(__xludf.DUMMYFUNCTION("IMPORTRANGE(""https://docs.google.com/spreadsheets/d/1yhBcrRPreicbMKl9Bu_Snb2-OcQAF62RKfhTLhJ2eAA/edit?usp=sharing"",""กาฬสินธุ์!Q215"")+IMPORTRANGE(""https://docs.google.com/spreadsheets/d/1aHkj4IaQMThhwWwevcOymEh837vdxeC_PycurhTbGFA/edit?usp=sharing"","&amp;"""ขอนแก่น!Q215"")+IMPORTRANGE(""https://docs.google.com/spreadsheets/d/1FvTu2DsIWUjP6WCWra38Bkj_oOl_sOMf14r5Fg5srxU/edit?usp=sharing"",""ชัยภูมิ!Q215"")+IMPORTRANGE(""https://docs.google.com/spreadsheets/d/1XVB7oCJ3pr-vBUdflwPQ8Z2LlzhnCvZaaYjAfP-647E/edit"&amp;"?usp=sharing"",""นครพนม!Q215"")+IMPORTRANGE(""https://docs.google.com/spreadsheets/d/1Mnpb-8PYAgn85W6KOTD40hc_Xc55CaLfHoGAbrZ8tls/edit?usp=sharing"",""นครราชสีมา!Q215"")+IMPORTRANGE(""https://docs.google.com/spreadsheets/d/1xoDLGBv9CYbyosIhki0kTq6IpYNj-gp"&amp;"jxfobnaDiut0/edit?usp=sharing"",""บึงกาฬ!Q215"")+IMPORTRANGE(""https://docs.google.com/spreadsheets/d/1MMPq-JyI6DSgQETxuSiXkesP-P7JHuemnE6QJIa-Nlw/edit?usp=sharing"",""บุรีรัมย์!Q215"")+IMPORTRANGE(""https://docs.google.com/spreadsheets/d/1l6IZ8xUPgMrESzc"&amp;"TYwhA1k_tPjeQjJPTqlm8Gd9eU5g/edit?usp=sharing"",""มหาสารคาม!Q215"")+IMPORTRANGE(""https://docs.google.com/spreadsheets/d/1uB74YLqNjWX6FObjekfB2NtSYigTQyR2rq9u4Ub2Sq4/edit?usp=sharing"",""มุกดาหาร!Q215"")+IMPORTRANGE(""https://docs.google.com/spreadsheets/"&amp;"d/1NexK3geCPxCTO1fzNF8dPec7yZyUx3OaWkFBC9HsQOo/edit?usp=sharing"",""ยโสธร!Q215"")+IMPORTRANGE(""https://docs.google.com/spreadsheets/d/1v_cJrbBlyqmnHPReHk44g9NrMRdENNlSy_E_c5M9fIg/edit?usp=sharing"",""ร้อยเอ็ด!Q215"")+IMPORTRANGE(""https://docs.google.com"&amp;"/spreadsheets/d/1Ul4RCpCX66NxYADU1QpwAPjOmBzW64SsT11s1wzXw_c/edit?usp=sharing"",""เลย!Q215"")+IMPORTRANGE(""https://docs.google.com/spreadsheets/d/1bRrNKwbHDVktQG10isr5vbWRtt5spIZPpkOSWgbT5ug/edit?usp=sharing"",""ศรีสะเกษ!Q215"")+IMPORTRANGE(""https://doc"&amp;"s.google.com/spreadsheets/d/17P34_Ow5kFBfdQD0qspb2UuPX5zpi6WMrQzslghyvrI/edit?usp=sharing"",""สกลนคร!Q215"")+IMPORTRANGE(""https://docs.google.com/spreadsheets/d/1yswqbM3-AEpThF3ZSUa1AcmHnmRTF1vlJ1CZGcJ8YuU/edit?usp=sharing"",""สุรินทร์!Q215"")+IMPORTRANG"&amp;"E(""https://docs.google.com/spreadsheets/d/13JHU_EFbsQOUQ0JSQ3dWy1VTRosIWcDq6Nc99z2qzdc/edit?usp=sharing"",""หนองคาย!Q215"")+IMPORTRANGE(""https://docs.google.com/spreadsheets/d/1Hx73zIEgVdDZZaYSTc46Dqv64atFhpr3GelxLbaIN8A/edit?usp=sharing"",""หนองบัวลำภู"&amp;"!Q215"")+IMPORTRANGE(""https://docs.google.com/spreadsheets/d/1lFxr3ctmjFN90yc-xV6jrQ9Ty8BKYVBWnAZ15wcNIJc/edit?usp=sharing"",""อำนาจเจริญ!Q215"")+IMPORTRANGE(""https://docs.google.com/spreadsheets/d/1gF7RJpRnL-1oyjyeWxs5SFWEH7y8ahOZsQlyp2A2e-A/edit?usp=s"&amp;"haring"",""อุดรธานี!Q215"")+IMPORTRANGE(""https://docs.google.com/spreadsheets/d/1kfLP0j3INXRa8bTDpcEmoWewMBV61jlFlfzczfjWIgc/edit?usp=sharing"",""อุบลราชธานี!Q215"")"),0)</f>
        <v>0</v>
      </c>
      <c r="R215" s="56">
        <f ca="1">IFERROR(__xludf.DUMMYFUNCTION("IMPORTRANGE(""https://docs.google.com/spreadsheets/d/1yhBcrRPreicbMKl9Bu_Snb2-OcQAF62RKfhTLhJ2eAA/edit?usp=sharing"",""กาฬสินธุ์!R215"")+IMPORTRANGE(""https://docs.google.com/spreadsheets/d/1aHkj4IaQMThhwWwevcOymEh837vdxeC_PycurhTbGFA/edit?usp=sharing"","&amp;"""ขอนแก่น!R215"")+IMPORTRANGE(""https://docs.google.com/spreadsheets/d/1FvTu2DsIWUjP6WCWra38Bkj_oOl_sOMf14r5Fg5srxU/edit?usp=sharing"",""ชัยภูมิ!R215"")+IMPORTRANGE(""https://docs.google.com/spreadsheets/d/1XVB7oCJ3pr-vBUdflwPQ8Z2LlzhnCvZaaYjAfP-647E/edit"&amp;"?usp=sharing"",""นครพนม!R215"")+IMPORTRANGE(""https://docs.google.com/spreadsheets/d/1Mnpb-8PYAgn85W6KOTD40hc_Xc55CaLfHoGAbrZ8tls/edit?usp=sharing"",""นครราชสีมา!R215"")+IMPORTRANGE(""https://docs.google.com/spreadsheets/d/1xoDLGBv9CYbyosIhki0kTq6IpYNj-gp"&amp;"jxfobnaDiut0/edit?usp=sharing"",""บึงกาฬ!R215"")+IMPORTRANGE(""https://docs.google.com/spreadsheets/d/1MMPq-JyI6DSgQETxuSiXkesP-P7JHuemnE6QJIa-Nlw/edit?usp=sharing"",""บุรีรัมย์!R215"")+IMPORTRANGE(""https://docs.google.com/spreadsheets/d/1l6IZ8xUPgMrESzc"&amp;"TYwhA1k_tPjeQjJPTqlm8Gd9eU5g/edit?usp=sharing"",""มหาสารคาม!R215"")+IMPORTRANGE(""https://docs.google.com/spreadsheets/d/1uB74YLqNjWX6FObjekfB2NtSYigTQyR2rq9u4Ub2Sq4/edit?usp=sharing"",""มุกดาหาร!R215"")+IMPORTRANGE(""https://docs.google.com/spreadsheets/"&amp;"d/1NexK3geCPxCTO1fzNF8dPec7yZyUx3OaWkFBC9HsQOo/edit?usp=sharing"",""ยโสธร!R215"")+IMPORTRANGE(""https://docs.google.com/spreadsheets/d/1v_cJrbBlyqmnHPReHk44g9NrMRdENNlSy_E_c5M9fIg/edit?usp=sharing"",""ร้อยเอ็ด!R215"")+IMPORTRANGE(""https://docs.google.com"&amp;"/spreadsheets/d/1Ul4RCpCX66NxYADU1QpwAPjOmBzW64SsT11s1wzXw_c/edit?usp=sharing"",""เลย!R215"")+IMPORTRANGE(""https://docs.google.com/spreadsheets/d/1bRrNKwbHDVktQG10isr5vbWRtt5spIZPpkOSWgbT5ug/edit?usp=sharing"",""ศรีสะเกษ!R215"")+IMPORTRANGE(""https://doc"&amp;"s.google.com/spreadsheets/d/17P34_Ow5kFBfdQD0qspb2UuPX5zpi6WMrQzslghyvrI/edit?usp=sharing"",""สกลนคร!R215"")+IMPORTRANGE(""https://docs.google.com/spreadsheets/d/1yswqbM3-AEpThF3ZSUa1AcmHnmRTF1vlJ1CZGcJ8YuU/edit?usp=sharing"",""สุรินทร์!R215"")+IMPORTRANG"&amp;"E(""https://docs.google.com/spreadsheets/d/13JHU_EFbsQOUQ0JSQ3dWy1VTRosIWcDq6Nc99z2qzdc/edit?usp=sharing"",""หนองคาย!R215"")+IMPORTRANGE(""https://docs.google.com/spreadsheets/d/1Hx73zIEgVdDZZaYSTc46Dqv64atFhpr3GelxLbaIN8A/edit?usp=sharing"",""หนองบัวลำภู"&amp;"!R215"")+IMPORTRANGE(""https://docs.google.com/spreadsheets/d/1lFxr3ctmjFN90yc-xV6jrQ9Ty8BKYVBWnAZ15wcNIJc/edit?usp=sharing"",""อำนาจเจริญ!R215"")+IMPORTRANGE(""https://docs.google.com/spreadsheets/d/1gF7RJpRnL-1oyjyeWxs5SFWEH7y8ahOZsQlyp2A2e-A/edit?usp=s"&amp;"haring"",""อุดรธานี!R215"")+IMPORTRANGE(""https://docs.google.com/spreadsheets/d/1kfLP0j3INXRa8bTDpcEmoWewMBV61jlFlfzczfjWIgc/edit?usp=sharing"",""อุบลราชธานี!R215"")"),0)</f>
        <v>0</v>
      </c>
      <c r="S215" s="57">
        <f ca="1">IFERROR(__xludf.DUMMYFUNCTION("IMPORTRANGE(""https://docs.google.com/spreadsheets/d/1yhBcrRPreicbMKl9Bu_Snb2-OcQAF62RKfhTLhJ2eAA/edit?usp=sharing"",""กาฬสินธุ์!S215"")+IMPORTRANGE(""https://docs.google.com/spreadsheets/d/1aHkj4IaQMThhwWwevcOymEh837vdxeC_PycurhTbGFA/edit?usp=sharing"","&amp;"""ขอนแก่น!S215"")+IMPORTRANGE(""https://docs.google.com/spreadsheets/d/1FvTu2DsIWUjP6WCWra38Bkj_oOl_sOMf14r5Fg5srxU/edit?usp=sharing"",""ชัยภูมิ!S215"")+IMPORTRANGE(""https://docs.google.com/spreadsheets/d/1XVB7oCJ3pr-vBUdflwPQ8Z2LlzhnCvZaaYjAfP-647E/edit"&amp;"?usp=sharing"",""นครพนม!S215"")+IMPORTRANGE(""https://docs.google.com/spreadsheets/d/1Mnpb-8PYAgn85W6KOTD40hc_Xc55CaLfHoGAbrZ8tls/edit?usp=sharing"",""นครราชสีมา!S215"")+IMPORTRANGE(""https://docs.google.com/spreadsheets/d/1xoDLGBv9CYbyosIhki0kTq6IpYNj-gp"&amp;"jxfobnaDiut0/edit?usp=sharing"",""บึงกาฬ!S215"")+IMPORTRANGE(""https://docs.google.com/spreadsheets/d/1MMPq-JyI6DSgQETxuSiXkesP-P7JHuemnE6QJIa-Nlw/edit?usp=sharing"",""บุรีรัมย์!S215"")+IMPORTRANGE(""https://docs.google.com/spreadsheets/d/1l6IZ8xUPgMrESzc"&amp;"TYwhA1k_tPjeQjJPTqlm8Gd9eU5g/edit?usp=sharing"",""มหาสารคาม!S215"")+IMPORTRANGE(""https://docs.google.com/spreadsheets/d/1uB74YLqNjWX6FObjekfB2NtSYigTQyR2rq9u4Ub2Sq4/edit?usp=sharing"",""มุกดาหาร!S215"")+IMPORTRANGE(""https://docs.google.com/spreadsheets/"&amp;"d/1NexK3geCPxCTO1fzNF8dPec7yZyUx3OaWkFBC9HsQOo/edit?usp=sharing"",""ยโสธร!S215"")+IMPORTRANGE(""https://docs.google.com/spreadsheets/d/1v_cJrbBlyqmnHPReHk44g9NrMRdENNlSy_E_c5M9fIg/edit?usp=sharing"",""ร้อยเอ็ด!S215"")+IMPORTRANGE(""https://docs.google.com"&amp;"/spreadsheets/d/1Ul4RCpCX66NxYADU1QpwAPjOmBzW64SsT11s1wzXw_c/edit?usp=sharing"",""เลย!S215"")+IMPORTRANGE(""https://docs.google.com/spreadsheets/d/1bRrNKwbHDVktQG10isr5vbWRtt5spIZPpkOSWgbT5ug/edit?usp=sharing"",""ศรีสะเกษ!S215"")+IMPORTRANGE(""https://doc"&amp;"s.google.com/spreadsheets/d/17P34_Ow5kFBfdQD0qspb2UuPX5zpi6WMrQzslghyvrI/edit?usp=sharing"",""สกลนคร!S215"")+IMPORTRANGE(""https://docs.google.com/spreadsheets/d/1yswqbM3-AEpThF3ZSUa1AcmHnmRTF1vlJ1CZGcJ8YuU/edit?usp=sharing"",""สุรินทร์!S215"")+IMPORTRANG"&amp;"E(""https://docs.google.com/spreadsheets/d/13JHU_EFbsQOUQ0JSQ3dWy1VTRosIWcDq6Nc99z2qzdc/edit?usp=sharing"",""หนองคาย!S215"")+IMPORTRANGE(""https://docs.google.com/spreadsheets/d/1Hx73zIEgVdDZZaYSTc46Dqv64atFhpr3GelxLbaIN8A/edit?usp=sharing"",""หนองบัวลำภู"&amp;"!S215"")+IMPORTRANGE(""https://docs.google.com/spreadsheets/d/1lFxr3ctmjFN90yc-xV6jrQ9Ty8BKYVBWnAZ15wcNIJc/edit?usp=sharing"",""อำนาจเจริญ!S215"")+IMPORTRANGE(""https://docs.google.com/spreadsheets/d/1gF7RJpRnL-1oyjyeWxs5SFWEH7y8ahOZsQlyp2A2e-A/edit?usp=s"&amp;"haring"",""อุดรธานี!S215"")+IMPORTRANGE(""https://docs.google.com/spreadsheets/d/1kfLP0j3INXRa8bTDpcEmoWewMBV61jlFlfzczfjWIgc/edit?usp=sharing"",""อุบลราชธานี!S215"")"),0)</f>
        <v>0</v>
      </c>
      <c r="T215" s="164"/>
      <c r="U215" s="55"/>
    </row>
    <row r="216" spans="1:21" ht="18.75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56">
        <f ca="1">IFERROR(__xludf.DUMMYFUNCTION("IMPORTRANGE(""https://docs.google.com/spreadsheets/d/1yhBcrRPreicbMKl9Bu_Snb2-OcQAF62RKfhTLhJ2eAA/edit?usp=sharing"",""กาฬสินธุ์!L216"")+IMPORTRANGE(""https://docs.google.com/spreadsheets/d/1aHkj4IaQMThhwWwevcOymEh837vdxeC_PycurhTbGFA/edit?usp=sharing"","&amp;"""ขอนแก่น!L216"")+IMPORTRANGE(""https://docs.google.com/spreadsheets/d/1FvTu2DsIWUjP6WCWra38Bkj_oOl_sOMf14r5Fg5srxU/edit?usp=sharing"",""ชัยภูมิ!L216"")+IMPORTRANGE(""https://docs.google.com/spreadsheets/d/1XVB7oCJ3pr-vBUdflwPQ8Z2LlzhnCvZaaYjAfP-647E/edit"&amp;"?usp=sharing"",""นครพนม!L216"")+IMPORTRANGE(""https://docs.google.com/spreadsheets/d/1Mnpb-8PYAgn85W6KOTD40hc_Xc55CaLfHoGAbrZ8tls/edit?usp=sharing"",""นครราชสีมา!L216"")+IMPORTRANGE(""https://docs.google.com/spreadsheets/d/1xoDLGBv9CYbyosIhki0kTq6IpYNj-gp"&amp;"jxfobnaDiut0/edit?usp=sharing"",""บึงกาฬ!L216"")+IMPORTRANGE(""https://docs.google.com/spreadsheets/d/1MMPq-JyI6DSgQETxuSiXkesP-P7JHuemnE6QJIa-Nlw/edit?usp=sharing"",""บุรีรัมย์!L216"")+IMPORTRANGE(""https://docs.google.com/spreadsheets/d/1l6IZ8xUPgMrESzc"&amp;"TYwhA1k_tPjeQjJPTqlm8Gd9eU5g/edit?usp=sharing"",""มหาสารคาม!L216"")+IMPORTRANGE(""https://docs.google.com/spreadsheets/d/1uB74YLqNjWX6FObjekfB2NtSYigTQyR2rq9u4Ub2Sq4/edit?usp=sharing"",""มุกดาหาร!L216"")+IMPORTRANGE(""https://docs.google.com/spreadsheets/"&amp;"d/1NexK3geCPxCTO1fzNF8dPec7yZyUx3OaWkFBC9HsQOo/edit?usp=sharing"",""ยโสธร!L216"")+IMPORTRANGE(""https://docs.google.com/spreadsheets/d/1v_cJrbBlyqmnHPReHk44g9NrMRdENNlSy_E_c5M9fIg/edit?usp=sharing"",""ร้อยเอ็ด!L216"")+IMPORTRANGE(""https://docs.google.com"&amp;"/spreadsheets/d/1Ul4RCpCX66NxYADU1QpwAPjOmBzW64SsT11s1wzXw_c/edit?usp=sharing"",""เลย!L216"")+IMPORTRANGE(""https://docs.google.com/spreadsheets/d/1bRrNKwbHDVktQG10isr5vbWRtt5spIZPpkOSWgbT5ug/edit?usp=sharing"",""ศรีสะเกษ!L216"")+IMPORTRANGE(""https://doc"&amp;"s.google.com/spreadsheets/d/17P34_Ow5kFBfdQD0qspb2UuPX5zpi6WMrQzslghyvrI/edit?usp=sharing"",""สกลนคร!L216"")+IMPORTRANGE(""https://docs.google.com/spreadsheets/d/1yswqbM3-AEpThF3ZSUa1AcmHnmRTF1vlJ1CZGcJ8YuU/edit?usp=sharing"",""สุรินทร์!L216"")+IMPORTRANG"&amp;"E(""https://docs.google.com/spreadsheets/d/13JHU_EFbsQOUQ0JSQ3dWy1VTRosIWcDq6Nc99z2qzdc/edit?usp=sharing"",""หนองคาย!L216"")+IMPORTRANGE(""https://docs.google.com/spreadsheets/d/1Hx73zIEgVdDZZaYSTc46Dqv64atFhpr3GelxLbaIN8A/edit?usp=sharing"",""หนองบัวลำภู"&amp;"!L216"")+IMPORTRANGE(""https://docs.google.com/spreadsheets/d/1lFxr3ctmjFN90yc-xV6jrQ9Ty8BKYVBWnAZ15wcNIJc/edit?usp=sharing"",""อำนาจเจริญ!L216"")+IMPORTRANGE(""https://docs.google.com/spreadsheets/d/1gF7RJpRnL-1oyjyeWxs5SFWEH7y8ahOZsQlyp2A2e-A/edit?usp=s"&amp;"haring"",""อุดรธานี!L216"")+IMPORTRANGE(""https://docs.google.com/spreadsheets/d/1kfLP0j3INXRa8bTDpcEmoWewMBV61jlFlfzczfjWIgc/edit?usp=sharing"",""อุบลราชธานี!L216"")"),110000)</f>
        <v>110000</v>
      </c>
      <c r="M216" s="56">
        <f ca="1">IFERROR(__xludf.DUMMYFUNCTION("IMPORTRANGE(""https://docs.google.com/spreadsheets/d/1yhBcrRPreicbMKl9Bu_Snb2-OcQAF62RKfhTLhJ2eAA/edit?usp=sharing"",""กาฬสินธุ์!M216"")+IMPORTRANGE(""https://docs.google.com/spreadsheets/d/1aHkj4IaQMThhwWwevcOymEh837vdxeC_PycurhTbGFA/edit?usp=sharing"","&amp;"""ขอนแก่น!M216"")+IMPORTRANGE(""https://docs.google.com/spreadsheets/d/1FvTu2DsIWUjP6WCWra38Bkj_oOl_sOMf14r5Fg5srxU/edit?usp=sharing"",""ชัยภูมิ!M216"")+IMPORTRANGE(""https://docs.google.com/spreadsheets/d/1XVB7oCJ3pr-vBUdflwPQ8Z2LlzhnCvZaaYjAfP-647E/edit"&amp;"?usp=sharing"",""นครพนม!M216"")+IMPORTRANGE(""https://docs.google.com/spreadsheets/d/1Mnpb-8PYAgn85W6KOTD40hc_Xc55CaLfHoGAbrZ8tls/edit?usp=sharing"",""นครราชสีมา!M216"")+IMPORTRANGE(""https://docs.google.com/spreadsheets/d/1xoDLGBv9CYbyosIhki0kTq6IpYNj-gp"&amp;"jxfobnaDiut0/edit?usp=sharing"",""บึงกาฬ!M216"")+IMPORTRANGE(""https://docs.google.com/spreadsheets/d/1MMPq-JyI6DSgQETxuSiXkesP-P7JHuemnE6QJIa-Nlw/edit?usp=sharing"",""บุรีรัมย์!M216"")+IMPORTRANGE(""https://docs.google.com/spreadsheets/d/1l6IZ8xUPgMrESzc"&amp;"TYwhA1k_tPjeQjJPTqlm8Gd9eU5g/edit?usp=sharing"",""มหาสารคาม!M216"")+IMPORTRANGE(""https://docs.google.com/spreadsheets/d/1uB74YLqNjWX6FObjekfB2NtSYigTQyR2rq9u4Ub2Sq4/edit?usp=sharing"",""มุกดาหาร!M216"")+IMPORTRANGE(""https://docs.google.com/spreadsheets/"&amp;"d/1NexK3geCPxCTO1fzNF8dPec7yZyUx3OaWkFBC9HsQOo/edit?usp=sharing"",""ยโสธร!M216"")+IMPORTRANGE(""https://docs.google.com/spreadsheets/d/1v_cJrbBlyqmnHPReHk44g9NrMRdENNlSy_E_c5M9fIg/edit?usp=sharing"",""ร้อยเอ็ด!M216"")+IMPORTRANGE(""https://docs.google.com"&amp;"/spreadsheets/d/1Ul4RCpCX66NxYADU1QpwAPjOmBzW64SsT11s1wzXw_c/edit?usp=sharing"",""เลย!M216"")+IMPORTRANGE(""https://docs.google.com/spreadsheets/d/1bRrNKwbHDVktQG10isr5vbWRtt5spIZPpkOSWgbT5ug/edit?usp=sharing"",""ศรีสะเกษ!M216"")+IMPORTRANGE(""https://doc"&amp;"s.google.com/spreadsheets/d/17P34_Ow5kFBfdQD0qspb2UuPX5zpi6WMrQzslghyvrI/edit?usp=sharing"",""สกลนคร!M216"")+IMPORTRANGE(""https://docs.google.com/spreadsheets/d/1yswqbM3-AEpThF3ZSUa1AcmHnmRTF1vlJ1CZGcJ8YuU/edit?usp=sharing"",""สุรินทร์!M216"")+IMPORTRANG"&amp;"E(""https://docs.google.com/spreadsheets/d/13JHU_EFbsQOUQ0JSQ3dWy1VTRosIWcDq6Nc99z2qzdc/edit?usp=sharing"",""หนองคาย!M216"")+IMPORTRANGE(""https://docs.google.com/spreadsheets/d/1Hx73zIEgVdDZZaYSTc46Dqv64atFhpr3GelxLbaIN8A/edit?usp=sharing"",""หนองบัวลำภู"&amp;"!M216"")+IMPORTRANGE(""https://docs.google.com/spreadsheets/d/1lFxr3ctmjFN90yc-xV6jrQ9Ty8BKYVBWnAZ15wcNIJc/edit?usp=sharing"",""อำนาจเจริญ!M216"")+IMPORTRANGE(""https://docs.google.com/spreadsheets/d/1gF7RJpRnL-1oyjyeWxs5SFWEH7y8ahOZsQlyp2A2e-A/edit?usp=s"&amp;"haring"",""อุดรธานี!M216"")+IMPORTRANGE(""https://docs.google.com/spreadsheets/d/1kfLP0j3INXRa8bTDpcEmoWewMBV61jlFlfzczfjWIgc/edit?usp=sharing"",""อุบลราชธานี!M216"")"),0)</f>
        <v>0</v>
      </c>
      <c r="N216" s="56">
        <f ca="1">IFERROR(__xludf.DUMMYFUNCTION("IMPORTRANGE(""https://docs.google.com/spreadsheets/d/1yhBcrRPreicbMKl9Bu_Snb2-OcQAF62RKfhTLhJ2eAA/edit?usp=sharing"",""กาฬสินธุ์!N216"")+IMPORTRANGE(""https://docs.google.com/spreadsheets/d/1aHkj4IaQMThhwWwevcOymEh837vdxeC_PycurhTbGFA/edit?usp=sharing"","&amp;"""ขอนแก่น!N216"")+IMPORTRANGE(""https://docs.google.com/spreadsheets/d/1FvTu2DsIWUjP6WCWra38Bkj_oOl_sOMf14r5Fg5srxU/edit?usp=sharing"",""ชัยภูมิ!N216"")+IMPORTRANGE(""https://docs.google.com/spreadsheets/d/1XVB7oCJ3pr-vBUdflwPQ8Z2LlzhnCvZaaYjAfP-647E/edit"&amp;"?usp=sharing"",""นครพนม!N216"")+IMPORTRANGE(""https://docs.google.com/spreadsheets/d/1Mnpb-8PYAgn85W6KOTD40hc_Xc55CaLfHoGAbrZ8tls/edit?usp=sharing"",""นครราชสีมา!N216"")+IMPORTRANGE(""https://docs.google.com/spreadsheets/d/1xoDLGBv9CYbyosIhki0kTq6IpYNj-gp"&amp;"jxfobnaDiut0/edit?usp=sharing"",""บึงกาฬ!N216"")+IMPORTRANGE(""https://docs.google.com/spreadsheets/d/1MMPq-JyI6DSgQETxuSiXkesP-P7JHuemnE6QJIa-Nlw/edit?usp=sharing"",""บุรีรัมย์!N216"")+IMPORTRANGE(""https://docs.google.com/spreadsheets/d/1l6IZ8xUPgMrESzc"&amp;"TYwhA1k_tPjeQjJPTqlm8Gd9eU5g/edit?usp=sharing"",""มหาสารคาม!N216"")+IMPORTRANGE(""https://docs.google.com/spreadsheets/d/1uB74YLqNjWX6FObjekfB2NtSYigTQyR2rq9u4Ub2Sq4/edit?usp=sharing"",""มุกดาหาร!N216"")+IMPORTRANGE(""https://docs.google.com/spreadsheets/"&amp;"d/1NexK3geCPxCTO1fzNF8dPec7yZyUx3OaWkFBC9HsQOo/edit?usp=sharing"",""ยโสธร!N216"")+IMPORTRANGE(""https://docs.google.com/spreadsheets/d/1v_cJrbBlyqmnHPReHk44g9NrMRdENNlSy_E_c5M9fIg/edit?usp=sharing"",""ร้อยเอ็ด!N216"")+IMPORTRANGE(""https://docs.google.com"&amp;"/spreadsheets/d/1Ul4RCpCX66NxYADU1QpwAPjOmBzW64SsT11s1wzXw_c/edit?usp=sharing"",""เลย!N216"")+IMPORTRANGE(""https://docs.google.com/spreadsheets/d/1bRrNKwbHDVktQG10isr5vbWRtt5spIZPpkOSWgbT5ug/edit?usp=sharing"",""ศรีสะเกษ!N216"")+IMPORTRANGE(""https://doc"&amp;"s.google.com/spreadsheets/d/17P34_Ow5kFBfdQD0qspb2UuPX5zpi6WMrQzslghyvrI/edit?usp=sharing"",""สกลนคร!N216"")+IMPORTRANGE(""https://docs.google.com/spreadsheets/d/1yswqbM3-AEpThF3ZSUa1AcmHnmRTF1vlJ1CZGcJ8YuU/edit?usp=sharing"",""สุรินทร์!N216"")+IMPORTRANG"&amp;"E(""https://docs.google.com/spreadsheets/d/13JHU_EFbsQOUQ0JSQ3dWy1VTRosIWcDq6Nc99z2qzdc/edit?usp=sharing"",""หนองคาย!N216"")+IMPORTRANGE(""https://docs.google.com/spreadsheets/d/1Hx73zIEgVdDZZaYSTc46Dqv64atFhpr3GelxLbaIN8A/edit?usp=sharing"",""หนองบัวลำภู"&amp;"!N216"")+IMPORTRANGE(""https://docs.google.com/spreadsheets/d/1lFxr3ctmjFN90yc-xV6jrQ9Ty8BKYVBWnAZ15wcNIJc/edit?usp=sharing"",""อำนาจเจริญ!N216"")+IMPORTRANGE(""https://docs.google.com/spreadsheets/d/1gF7RJpRnL-1oyjyeWxs5SFWEH7y8ahOZsQlyp2A2e-A/edit?usp=s"&amp;"haring"",""อุดรธานี!N216"")+IMPORTRANGE(""https://docs.google.com/spreadsheets/d/1kfLP0j3INXRa8bTDpcEmoWewMBV61jlFlfzczfjWIgc/edit?usp=sharing"",""อุบลราชธานี!N216"")"),5000)</f>
        <v>5000</v>
      </c>
      <c r="O216" s="164"/>
      <c r="P216" s="55"/>
      <c r="Q216" s="56">
        <f ca="1">IFERROR(__xludf.DUMMYFUNCTION("IMPORTRANGE(""https://docs.google.com/spreadsheets/d/1yhBcrRPreicbMKl9Bu_Snb2-OcQAF62RKfhTLhJ2eAA/edit?usp=sharing"",""กาฬสินธุ์!Q216"")+IMPORTRANGE(""https://docs.google.com/spreadsheets/d/1aHkj4IaQMThhwWwevcOymEh837vdxeC_PycurhTbGFA/edit?usp=sharing"","&amp;"""ขอนแก่น!Q216"")+IMPORTRANGE(""https://docs.google.com/spreadsheets/d/1FvTu2DsIWUjP6WCWra38Bkj_oOl_sOMf14r5Fg5srxU/edit?usp=sharing"",""ชัยภูมิ!Q216"")+IMPORTRANGE(""https://docs.google.com/spreadsheets/d/1XVB7oCJ3pr-vBUdflwPQ8Z2LlzhnCvZaaYjAfP-647E/edit"&amp;"?usp=sharing"",""นครพนม!Q216"")+IMPORTRANGE(""https://docs.google.com/spreadsheets/d/1Mnpb-8PYAgn85W6KOTD40hc_Xc55CaLfHoGAbrZ8tls/edit?usp=sharing"",""นครราชสีมา!Q216"")+IMPORTRANGE(""https://docs.google.com/spreadsheets/d/1xoDLGBv9CYbyosIhki0kTq6IpYNj-gp"&amp;"jxfobnaDiut0/edit?usp=sharing"",""บึงกาฬ!Q216"")+IMPORTRANGE(""https://docs.google.com/spreadsheets/d/1MMPq-JyI6DSgQETxuSiXkesP-P7JHuemnE6QJIa-Nlw/edit?usp=sharing"",""บุรีรัมย์!Q216"")+IMPORTRANGE(""https://docs.google.com/spreadsheets/d/1l6IZ8xUPgMrESzc"&amp;"TYwhA1k_tPjeQjJPTqlm8Gd9eU5g/edit?usp=sharing"",""มหาสารคาม!Q216"")+IMPORTRANGE(""https://docs.google.com/spreadsheets/d/1uB74YLqNjWX6FObjekfB2NtSYigTQyR2rq9u4Ub2Sq4/edit?usp=sharing"",""มุกดาหาร!Q216"")+IMPORTRANGE(""https://docs.google.com/spreadsheets/"&amp;"d/1NexK3geCPxCTO1fzNF8dPec7yZyUx3OaWkFBC9HsQOo/edit?usp=sharing"",""ยโสธร!Q216"")+IMPORTRANGE(""https://docs.google.com/spreadsheets/d/1v_cJrbBlyqmnHPReHk44g9NrMRdENNlSy_E_c5M9fIg/edit?usp=sharing"",""ร้อยเอ็ด!Q216"")+IMPORTRANGE(""https://docs.google.com"&amp;"/spreadsheets/d/1Ul4RCpCX66NxYADU1QpwAPjOmBzW64SsT11s1wzXw_c/edit?usp=sharing"",""เลย!Q216"")+IMPORTRANGE(""https://docs.google.com/spreadsheets/d/1bRrNKwbHDVktQG10isr5vbWRtt5spIZPpkOSWgbT5ug/edit?usp=sharing"",""ศรีสะเกษ!Q216"")+IMPORTRANGE(""https://doc"&amp;"s.google.com/spreadsheets/d/17P34_Ow5kFBfdQD0qspb2UuPX5zpi6WMrQzslghyvrI/edit?usp=sharing"",""สกลนคร!Q216"")+IMPORTRANGE(""https://docs.google.com/spreadsheets/d/1yswqbM3-AEpThF3ZSUa1AcmHnmRTF1vlJ1CZGcJ8YuU/edit?usp=sharing"",""สุรินทร์!Q216"")+IMPORTRANG"&amp;"E(""https://docs.google.com/spreadsheets/d/13JHU_EFbsQOUQ0JSQ3dWy1VTRosIWcDq6Nc99z2qzdc/edit?usp=sharing"",""หนองคาย!Q216"")+IMPORTRANGE(""https://docs.google.com/spreadsheets/d/1Hx73zIEgVdDZZaYSTc46Dqv64atFhpr3GelxLbaIN8A/edit?usp=sharing"",""หนองบัวลำภู"&amp;"!Q216"")+IMPORTRANGE(""https://docs.google.com/spreadsheets/d/1lFxr3ctmjFN90yc-xV6jrQ9Ty8BKYVBWnAZ15wcNIJc/edit?usp=sharing"",""อำนาจเจริญ!Q216"")+IMPORTRANGE(""https://docs.google.com/spreadsheets/d/1gF7RJpRnL-1oyjyeWxs5SFWEH7y8ahOZsQlyp2A2e-A/edit?usp=s"&amp;"haring"",""อุดรธานี!Q216"")+IMPORTRANGE(""https://docs.google.com/spreadsheets/d/1kfLP0j3INXRa8bTDpcEmoWewMBV61jlFlfzczfjWIgc/edit?usp=sharing"",""อุบลราชธานี!Q216"")"),0)</f>
        <v>0</v>
      </c>
      <c r="R216" s="56">
        <f ca="1">IFERROR(__xludf.DUMMYFUNCTION("IMPORTRANGE(""https://docs.google.com/spreadsheets/d/1yhBcrRPreicbMKl9Bu_Snb2-OcQAF62RKfhTLhJ2eAA/edit?usp=sharing"",""กาฬสินธุ์!R216"")+IMPORTRANGE(""https://docs.google.com/spreadsheets/d/1aHkj4IaQMThhwWwevcOymEh837vdxeC_PycurhTbGFA/edit?usp=sharing"","&amp;"""ขอนแก่น!R216"")+IMPORTRANGE(""https://docs.google.com/spreadsheets/d/1FvTu2DsIWUjP6WCWra38Bkj_oOl_sOMf14r5Fg5srxU/edit?usp=sharing"",""ชัยภูมิ!R216"")+IMPORTRANGE(""https://docs.google.com/spreadsheets/d/1XVB7oCJ3pr-vBUdflwPQ8Z2LlzhnCvZaaYjAfP-647E/edit"&amp;"?usp=sharing"",""นครพนม!R216"")+IMPORTRANGE(""https://docs.google.com/spreadsheets/d/1Mnpb-8PYAgn85W6KOTD40hc_Xc55CaLfHoGAbrZ8tls/edit?usp=sharing"",""นครราชสีมา!R216"")+IMPORTRANGE(""https://docs.google.com/spreadsheets/d/1xoDLGBv9CYbyosIhki0kTq6IpYNj-gp"&amp;"jxfobnaDiut0/edit?usp=sharing"",""บึงกาฬ!R216"")+IMPORTRANGE(""https://docs.google.com/spreadsheets/d/1MMPq-JyI6DSgQETxuSiXkesP-P7JHuemnE6QJIa-Nlw/edit?usp=sharing"",""บุรีรัมย์!R216"")+IMPORTRANGE(""https://docs.google.com/spreadsheets/d/1l6IZ8xUPgMrESzc"&amp;"TYwhA1k_tPjeQjJPTqlm8Gd9eU5g/edit?usp=sharing"",""มหาสารคาม!R216"")+IMPORTRANGE(""https://docs.google.com/spreadsheets/d/1uB74YLqNjWX6FObjekfB2NtSYigTQyR2rq9u4Ub2Sq4/edit?usp=sharing"",""มุกดาหาร!R216"")+IMPORTRANGE(""https://docs.google.com/spreadsheets/"&amp;"d/1NexK3geCPxCTO1fzNF8dPec7yZyUx3OaWkFBC9HsQOo/edit?usp=sharing"",""ยโสธร!R216"")+IMPORTRANGE(""https://docs.google.com/spreadsheets/d/1v_cJrbBlyqmnHPReHk44g9NrMRdENNlSy_E_c5M9fIg/edit?usp=sharing"",""ร้อยเอ็ด!R216"")+IMPORTRANGE(""https://docs.google.com"&amp;"/spreadsheets/d/1Ul4RCpCX66NxYADU1QpwAPjOmBzW64SsT11s1wzXw_c/edit?usp=sharing"",""เลย!R216"")+IMPORTRANGE(""https://docs.google.com/spreadsheets/d/1bRrNKwbHDVktQG10isr5vbWRtt5spIZPpkOSWgbT5ug/edit?usp=sharing"",""ศรีสะเกษ!R216"")+IMPORTRANGE(""https://doc"&amp;"s.google.com/spreadsheets/d/17P34_Ow5kFBfdQD0qspb2UuPX5zpi6WMrQzslghyvrI/edit?usp=sharing"",""สกลนคร!R216"")+IMPORTRANGE(""https://docs.google.com/spreadsheets/d/1yswqbM3-AEpThF3ZSUa1AcmHnmRTF1vlJ1CZGcJ8YuU/edit?usp=sharing"",""สุรินทร์!R216"")+IMPORTRANG"&amp;"E(""https://docs.google.com/spreadsheets/d/13JHU_EFbsQOUQ0JSQ3dWy1VTRosIWcDq6Nc99z2qzdc/edit?usp=sharing"",""หนองคาย!R216"")+IMPORTRANGE(""https://docs.google.com/spreadsheets/d/1Hx73zIEgVdDZZaYSTc46Dqv64atFhpr3GelxLbaIN8A/edit?usp=sharing"",""หนองบัวลำภู"&amp;"!R216"")+IMPORTRANGE(""https://docs.google.com/spreadsheets/d/1lFxr3ctmjFN90yc-xV6jrQ9Ty8BKYVBWnAZ15wcNIJc/edit?usp=sharing"",""อำนาจเจริญ!R216"")+IMPORTRANGE(""https://docs.google.com/spreadsheets/d/1gF7RJpRnL-1oyjyeWxs5SFWEH7y8ahOZsQlyp2A2e-A/edit?usp=s"&amp;"haring"",""อุดรธานี!R216"")+IMPORTRANGE(""https://docs.google.com/spreadsheets/d/1kfLP0j3INXRa8bTDpcEmoWewMBV61jlFlfzczfjWIgc/edit?usp=sharing"",""อุบลราชธานี!R216"")"),0)</f>
        <v>0</v>
      </c>
      <c r="S216" s="57">
        <f ca="1">IFERROR(__xludf.DUMMYFUNCTION("IMPORTRANGE(""https://docs.google.com/spreadsheets/d/1yhBcrRPreicbMKl9Bu_Snb2-OcQAF62RKfhTLhJ2eAA/edit?usp=sharing"",""กาฬสินธุ์!S216"")+IMPORTRANGE(""https://docs.google.com/spreadsheets/d/1aHkj4IaQMThhwWwevcOymEh837vdxeC_PycurhTbGFA/edit?usp=sharing"","&amp;"""ขอนแก่น!S216"")+IMPORTRANGE(""https://docs.google.com/spreadsheets/d/1FvTu2DsIWUjP6WCWra38Bkj_oOl_sOMf14r5Fg5srxU/edit?usp=sharing"",""ชัยภูมิ!S216"")+IMPORTRANGE(""https://docs.google.com/spreadsheets/d/1XVB7oCJ3pr-vBUdflwPQ8Z2LlzhnCvZaaYjAfP-647E/edit"&amp;"?usp=sharing"",""นครพนม!S216"")+IMPORTRANGE(""https://docs.google.com/spreadsheets/d/1Mnpb-8PYAgn85W6KOTD40hc_Xc55CaLfHoGAbrZ8tls/edit?usp=sharing"",""นครราชสีมา!S216"")+IMPORTRANGE(""https://docs.google.com/spreadsheets/d/1xoDLGBv9CYbyosIhki0kTq6IpYNj-gp"&amp;"jxfobnaDiut0/edit?usp=sharing"",""บึงกาฬ!S216"")+IMPORTRANGE(""https://docs.google.com/spreadsheets/d/1MMPq-JyI6DSgQETxuSiXkesP-P7JHuemnE6QJIa-Nlw/edit?usp=sharing"",""บุรีรัมย์!S216"")+IMPORTRANGE(""https://docs.google.com/spreadsheets/d/1l6IZ8xUPgMrESzc"&amp;"TYwhA1k_tPjeQjJPTqlm8Gd9eU5g/edit?usp=sharing"",""มหาสารคาม!S216"")+IMPORTRANGE(""https://docs.google.com/spreadsheets/d/1uB74YLqNjWX6FObjekfB2NtSYigTQyR2rq9u4Ub2Sq4/edit?usp=sharing"",""มุกดาหาร!S216"")+IMPORTRANGE(""https://docs.google.com/spreadsheets/"&amp;"d/1NexK3geCPxCTO1fzNF8dPec7yZyUx3OaWkFBC9HsQOo/edit?usp=sharing"",""ยโสธร!S216"")+IMPORTRANGE(""https://docs.google.com/spreadsheets/d/1v_cJrbBlyqmnHPReHk44g9NrMRdENNlSy_E_c5M9fIg/edit?usp=sharing"",""ร้อยเอ็ด!S216"")+IMPORTRANGE(""https://docs.google.com"&amp;"/spreadsheets/d/1Ul4RCpCX66NxYADU1QpwAPjOmBzW64SsT11s1wzXw_c/edit?usp=sharing"",""เลย!S216"")+IMPORTRANGE(""https://docs.google.com/spreadsheets/d/1bRrNKwbHDVktQG10isr5vbWRtt5spIZPpkOSWgbT5ug/edit?usp=sharing"",""ศรีสะเกษ!S216"")+IMPORTRANGE(""https://doc"&amp;"s.google.com/spreadsheets/d/17P34_Ow5kFBfdQD0qspb2UuPX5zpi6WMrQzslghyvrI/edit?usp=sharing"",""สกลนคร!S216"")+IMPORTRANGE(""https://docs.google.com/spreadsheets/d/1yswqbM3-AEpThF3ZSUa1AcmHnmRTF1vlJ1CZGcJ8YuU/edit?usp=sharing"",""สุรินทร์!S216"")+IMPORTRANG"&amp;"E(""https://docs.google.com/spreadsheets/d/13JHU_EFbsQOUQ0JSQ3dWy1VTRosIWcDq6Nc99z2qzdc/edit?usp=sharing"",""หนองคาย!S216"")+IMPORTRANGE(""https://docs.google.com/spreadsheets/d/1Hx73zIEgVdDZZaYSTc46Dqv64atFhpr3GelxLbaIN8A/edit?usp=sharing"",""หนองบัวลำภู"&amp;"!S216"")+IMPORTRANGE(""https://docs.google.com/spreadsheets/d/1lFxr3ctmjFN90yc-xV6jrQ9Ty8BKYVBWnAZ15wcNIJc/edit?usp=sharing"",""อำนาจเจริญ!S216"")+IMPORTRANGE(""https://docs.google.com/spreadsheets/d/1gF7RJpRnL-1oyjyeWxs5SFWEH7y8ahOZsQlyp2A2e-A/edit?usp=s"&amp;"haring"",""อุดรธานี!S216"")+IMPORTRANGE(""https://docs.google.com/spreadsheets/d/1kfLP0j3INXRa8bTDpcEmoWewMBV61jlFlfzczfjWIgc/edit?usp=sharing"",""อุบลราชธานี!S216"")"),0)</f>
        <v>0</v>
      </c>
      <c r="T216" s="164"/>
      <c r="U216" s="55"/>
    </row>
    <row r="217" spans="1:21" ht="18.75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56">
        <f ca="1">IFERROR(__xludf.DUMMYFUNCTION("IMPORTRANGE(""https://docs.google.com/spreadsheets/d/1yhBcrRPreicbMKl9Bu_Snb2-OcQAF62RKfhTLhJ2eAA/edit?usp=sharing"",""กาฬสินธุ์!L217"")+IMPORTRANGE(""https://docs.google.com/spreadsheets/d/1aHkj4IaQMThhwWwevcOymEh837vdxeC_PycurhTbGFA/edit?usp=sharing"","&amp;"""ขอนแก่น!L217"")+IMPORTRANGE(""https://docs.google.com/spreadsheets/d/1FvTu2DsIWUjP6WCWra38Bkj_oOl_sOMf14r5Fg5srxU/edit?usp=sharing"",""ชัยภูมิ!L217"")+IMPORTRANGE(""https://docs.google.com/spreadsheets/d/1XVB7oCJ3pr-vBUdflwPQ8Z2LlzhnCvZaaYjAfP-647E/edit"&amp;"?usp=sharing"",""นครพนม!L217"")+IMPORTRANGE(""https://docs.google.com/spreadsheets/d/1Mnpb-8PYAgn85W6KOTD40hc_Xc55CaLfHoGAbrZ8tls/edit?usp=sharing"",""นครราชสีมา!L217"")+IMPORTRANGE(""https://docs.google.com/spreadsheets/d/1xoDLGBv9CYbyosIhki0kTq6IpYNj-gp"&amp;"jxfobnaDiut0/edit?usp=sharing"",""บึงกาฬ!L217"")+IMPORTRANGE(""https://docs.google.com/spreadsheets/d/1MMPq-JyI6DSgQETxuSiXkesP-P7JHuemnE6QJIa-Nlw/edit?usp=sharing"",""บุรีรัมย์!L217"")+IMPORTRANGE(""https://docs.google.com/spreadsheets/d/1l6IZ8xUPgMrESzc"&amp;"TYwhA1k_tPjeQjJPTqlm8Gd9eU5g/edit?usp=sharing"",""มหาสารคาม!L217"")+IMPORTRANGE(""https://docs.google.com/spreadsheets/d/1uB74YLqNjWX6FObjekfB2NtSYigTQyR2rq9u4Ub2Sq4/edit?usp=sharing"",""มุกดาหาร!L217"")+IMPORTRANGE(""https://docs.google.com/spreadsheets/"&amp;"d/1NexK3geCPxCTO1fzNF8dPec7yZyUx3OaWkFBC9HsQOo/edit?usp=sharing"",""ยโสธร!L217"")+IMPORTRANGE(""https://docs.google.com/spreadsheets/d/1v_cJrbBlyqmnHPReHk44g9NrMRdENNlSy_E_c5M9fIg/edit?usp=sharing"",""ร้อยเอ็ด!L217"")+IMPORTRANGE(""https://docs.google.com"&amp;"/spreadsheets/d/1Ul4RCpCX66NxYADU1QpwAPjOmBzW64SsT11s1wzXw_c/edit?usp=sharing"",""เลย!L217"")+IMPORTRANGE(""https://docs.google.com/spreadsheets/d/1bRrNKwbHDVktQG10isr5vbWRtt5spIZPpkOSWgbT5ug/edit?usp=sharing"",""ศรีสะเกษ!L217"")+IMPORTRANGE(""https://doc"&amp;"s.google.com/spreadsheets/d/17P34_Ow5kFBfdQD0qspb2UuPX5zpi6WMrQzslghyvrI/edit?usp=sharing"",""สกลนคร!L217"")+IMPORTRANGE(""https://docs.google.com/spreadsheets/d/1yswqbM3-AEpThF3ZSUa1AcmHnmRTF1vlJ1CZGcJ8YuU/edit?usp=sharing"",""สุรินทร์!L217"")+IMPORTRANG"&amp;"E(""https://docs.google.com/spreadsheets/d/13JHU_EFbsQOUQ0JSQ3dWy1VTRosIWcDq6Nc99z2qzdc/edit?usp=sharing"",""หนองคาย!L217"")+IMPORTRANGE(""https://docs.google.com/spreadsheets/d/1Hx73zIEgVdDZZaYSTc46Dqv64atFhpr3GelxLbaIN8A/edit?usp=sharing"",""หนองบัวลำภู"&amp;"!L217"")+IMPORTRANGE(""https://docs.google.com/spreadsheets/d/1lFxr3ctmjFN90yc-xV6jrQ9Ty8BKYVBWnAZ15wcNIJc/edit?usp=sharing"",""อำนาจเจริญ!L217"")+IMPORTRANGE(""https://docs.google.com/spreadsheets/d/1gF7RJpRnL-1oyjyeWxs5SFWEH7y8ahOZsQlyp2A2e-A/edit?usp=s"&amp;"haring"",""อุดรธานี!L217"")+IMPORTRANGE(""https://docs.google.com/spreadsheets/d/1kfLP0j3INXRa8bTDpcEmoWewMBV61jlFlfzczfjWIgc/edit?usp=sharing"",""อุบลราชธานี!L217"")"),0)</f>
        <v>0</v>
      </c>
      <c r="M217" s="56">
        <f ca="1">IFERROR(__xludf.DUMMYFUNCTION("IMPORTRANGE(""https://docs.google.com/spreadsheets/d/1yhBcrRPreicbMKl9Bu_Snb2-OcQAF62RKfhTLhJ2eAA/edit?usp=sharing"",""กาฬสินธุ์!M217"")+IMPORTRANGE(""https://docs.google.com/spreadsheets/d/1aHkj4IaQMThhwWwevcOymEh837vdxeC_PycurhTbGFA/edit?usp=sharing"","&amp;"""ขอนแก่น!M217"")+IMPORTRANGE(""https://docs.google.com/spreadsheets/d/1FvTu2DsIWUjP6WCWra38Bkj_oOl_sOMf14r5Fg5srxU/edit?usp=sharing"",""ชัยภูมิ!M217"")+IMPORTRANGE(""https://docs.google.com/spreadsheets/d/1XVB7oCJ3pr-vBUdflwPQ8Z2LlzhnCvZaaYjAfP-647E/edit"&amp;"?usp=sharing"",""นครพนม!M217"")+IMPORTRANGE(""https://docs.google.com/spreadsheets/d/1Mnpb-8PYAgn85W6KOTD40hc_Xc55CaLfHoGAbrZ8tls/edit?usp=sharing"",""นครราชสีมา!M217"")+IMPORTRANGE(""https://docs.google.com/spreadsheets/d/1xoDLGBv9CYbyosIhki0kTq6IpYNj-gp"&amp;"jxfobnaDiut0/edit?usp=sharing"",""บึงกาฬ!M217"")+IMPORTRANGE(""https://docs.google.com/spreadsheets/d/1MMPq-JyI6DSgQETxuSiXkesP-P7JHuemnE6QJIa-Nlw/edit?usp=sharing"",""บุรีรัมย์!M217"")+IMPORTRANGE(""https://docs.google.com/spreadsheets/d/1l6IZ8xUPgMrESzc"&amp;"TYwhA1k_tPjeQjJPTqlm8Gd9eU5g/edit?usp=sharing"",""มหาสารคาม!M217"")+IMPORTRANGE(""https://docs.google.com/spreadsheets/d/1uB74YLqNjWX6FObjekfB2NtSYigTQyR2rq9u4Ub2Sq4/edit?usp=sharing"",""มุกดาหาร!M217"")+IMPORTRANGE(""https://docs.google.com/spreadsheets/"&amp;"d/1NexK3geCPxCTO1fzNF8dPec7yZyUx3OaWkFBC9HsQOo/edit?usp=sharing"",""ยโสธร!M217"")+IMPORTRANGE(""https://docs.google.com/spreadsheets/d/1v_cJrbBlyqmnHPReHk44g9NrMRdENNlSy_E_c5M9fIg/edit?usp=sharing"",""ร้อยเอ็ด!M217"")+IMPORTRANGE(""https://docs.google.com"&amp;"/spreadsheets/d/1Ul4RCpCX66NxYADU1QpwAPjOmBzW64SsT11s1wzXw_c/edit?usp=sharing"",""เลย!M217"")+IMPORTRANGE(""https://docs.google.com/spreadsheets/d/1bRrNKwbHDVktQG10isr5vbWRtt5spIZPpkOSWgbT5ug/edit?usp=sharing"",""ศรีสะเกษ!M217"")+IMPORTRANGE(""https://doc"&amp;"s.google.com/spreadsheets/d/17P34_Ow5kFBfdQD0qspb2UuPX5zpi6WMrQzslghyvrI/edit?usp=sharing"",""สกลนคร!M217"")+IMPORTRANGE(""https://docs.google.com/spreadsheets/d/1yswqbM3-AEpThF3ZSUa1AcmHnmRTF1vlJ1CZGcJ8YuU/edit?usp=sharing"",""สุรินทร์!M217"")+IMPORTRANG"&amp;"E(""https://docs.google.com/spreadsheets/d/13JHU_EFbsQOUQ0JSQ3dWy1VTRosIWcDq6Nc99z2qzdc/edit?usp=sharing"",""หนองคาย!M217"")+IMPORTRANGE(""https://docs.google.com/spreadsheets/d/1Hx73zIEgVdDZZaYSTc46Dqv64atFhpr3GelxLbaIN8A/edit?usp=sharing"",""หนองบัวลำภู"&amp;"!M217"")+IMPORTRANGE(""https://docs.google.com/spreadsheets/d/1lFxr3ctmjFN90yc-xV6jrQ9Ty8BKYVBWnAZ15wcNIJc/edit?usp=sharing"",""อำนาจเจริญ!M217"")+IMPORTRANGE(""https://docs.google.com/spreadsheets/d/1gF7RJpRnL-1oyjyeWxs5SFWEH7y8ahOZsQlyp2A2e-A/edit?usp=s"&amp;"haring"",""อุดรธานี!M217"")+IMPORTRANGE(""https://docs.google.com/spreadsheets/d/1kfLP0j3INXRa8bTDpcEmoWewMBV61jlFlfzczfjWIgc/edit?usp=sharing"",""อุบลราชธานี!M217"")"),0)</f>
        <v>0</v>
      </c>
      <c r="N217" s="56">
        <f ca="1">IFERROR(__xludf.DUMMYFUNCTION("IMPORTRANGE(""https://docs.google.com/spreadsheets/d/1yhBcrRPreicbMKl9Bu_Snb2-OcQAF62RKfhTLhJ2eAA/edit?usp=sharing"",""กาฬสินธุ์!N217"")+IMPORTRANGE(""https://docs.google.com/spreadsheets/d/1aHkj4IaQMThhwWwevcOymEh837vdxeC_PycurhTbGFA/edit?usp=sharing"","&amp;"""ขอนแก่น!N217"")+IMPORTRANGE(""https://docs.google.com/spreadsheets/d/1FvTu2DsIWUjP6WCWra38Bkj_oOl_sOMf14r5Fg5srxU/edit?usp=sharing"",""ชัยภูมิ!N217"")+IMPORTRANGE(""https://docs.google.com/spreadsheets/d/1XVB7oCJ3pr-vBUdflwPQ8Z2LlzhnCvZaaYjAfP-647E/edit"&amp;"?usp=sharing"",""นครพนม!N217"")+IMPORTRANGE(""https://docs.google.com/spreadsheets/d/1Mnpb-8PYAgn85W6KOTD40hc_Xc55CaLfHoGAbrZ8tls/edit?usp=sharing"",""นครราชสีมา!N217"")+IMPORTRANGE(""https://docs.google.com/spreadsheets/d/1xoDLGBv9CYbyosIhki0kTq6IpYNj-gp"&amp;"jxfobnaDiut0/edit?usp=sharing"",""บึงกาฬ!N217"")+IMPORTRANGE(""https://docs.google.com/spreadsheets/d/1MMPq-JyI6DSgQETxuSiXkesP-P7JHuemnE6QJIa-Nlw/edit?usp=sharing"",""บุรีรัมย์!N217"")+IMPORTRANGE(""https://docs.google.com/spreadsheets/d/1l6IZ8xUPgMrESzc"&amp;"TYwhA1k_tPjeQjJPTqlm8Gd9eU5g/edit?usp=sharing"",""มหาสารคาม!N217"")+IMPORTRANGE(""https://docs.google.com/spreadsheets/d/1uB74YLqNjWX6FObjekfB2NtSYigTQyR2rq9u4Ub2Sq4/edit?usp=sharing"",""มุกดาหาร!N217"")+IMPORTRANGE(""https://docs.google.com/spreadsheets/"&amp;"d/1NexK3geCPxCTO1fzNF8dPec7yZyUx3OaWkFBC9HsQOo/edit?usp=sharing"",""ยโสธร!N217"")+IMPORTRANGE(""https://docs.google.com/spreadsheets/d/1v_cJrbBlyqmnHPReHk44g9NrMRdENNlSy_E_c5M9fIg/edit?usp=sharing"",""ร้อยเอ็ด!N217"")+IMPORTRANGE(""https://docs.google.com"&amp;"/spreadsheets/d/1Ul4RCpCX66NxYADU1QpwAPjOmBzW64SsT11s1wzXw_c/edit?usp=sharing"",""เลย!N217"")+IMPORTRANGE(""https://docs.google.com/spreadsheets/d/1bRrNKwbHDVktQG10isr5vbWRtt5spIZPpkOSWgbT5ug/edit?usp=sharing"",""ศรีสะเกษ!N217"")+IMPORTRANGE(""https://doc"&amp;"s.google.com/spreadsheets/d/17P34_Ow5kFBfdQD0qspb2UuPX5zpi6WMrQzslghyvrI/edit?usp=sharing"",""สกลนคร!N217"")+IMPORTRANGE(""https://docs.google.com/spreadsheets/d/1yswqbM3-AEpThF3ZSUa1AcmHnmRTF1vlJ1CZGcJ8YuU/edit?usp=sharing"",""สุรินทร์!N217"")+IMPORTRANG"&amp;"E(""https://docs.google.com/spreadsheets/d/13JHU_EFbsQOUQ0JSQ3dWy1VTRosIWcDq6Nc99z2qzdc/edit?usp=sharing"",""หนองคาย!N217"")+IMPORTRANGE(""https://docs.google.com/spreadsheets/d/1Hx73zIEgVdDZZaYSTc46Dqv64atFhpr3GelxLbaIN8A/edit?usp=sharing"",""หนองบัวลำภู"&amp;"!N217"")+IMPORTRANGE(""https://docs.google.com/spreadsheets/d/1lFxr3ctmjFN90yc-xV6jrQ9Ty8BKYVBWnAZ15wcNIJc/edit?usp=sharing"",""อำนาจเจริญ!N217"")+IMPORTRANGE(""https://docs.google.com/spreadsheets/d/1gF7RJpRnL-1oyjyeWxs5SFWEH7y8ahOZsQlyp2A2e-A/edit?usp=s"&amp;"haring"",""อุดรธานี!N217"")+IMPORTRANGE(""https://docs.google.com/spreadsheets/d/1kfLP0j3INXRa8bTDpcEmoWewMBV61jlFlfzczfjWIgc/edit?usp=sharing"",""อุบลราชธานี!N217"")"),0)</f>
        <v>0</v>
      </c>
      <c r="O217" s="164"/>
      <c r="P217" s="55"/>
      <c r="Q217" s="56">
        <f ca="1">IFERROR(__xludf.DUMMYFUNCTION("IMPORTRANGE(""https://docs.google.com/spreadsheets/d/1yhBcrRPreicbMKl9Bu_Snb2-OcQAF62RKfhTLhJ2eAA/edit?usp=sharing"",""กาฬสินธุ์!Q217"")+IMPORTRANGE(""https://docs.google.com/spreadsheets/d/1aHkj4IaQMThhwWwevcOymEh837vdxeC_PycurhTbGFA/edit?usp=sharing"","&amp;"""ขอนแก่น!Q217"")+IMPORTRANGE(""https://docs.google.com/spreadsheets/d/1FvTu2DsIWUjP6WCWra38Bkj_oOl_sOMf14r5Fg5srxU/edit?usp=sharing"",""ชัยภูมิ!Q217"")+IMPORTRANGE(""https://docs.google.com/spreadsheets/d/1XVB7oCJ3pr-vBUdflwPQ8Z2LlzhnCvZaaYjAfP-647E/edit"&amp;"?usp=sharing"",""นครพนม!Q217"")+IMPORTRANGE(""https://docs.google.com/spreadsheets/d/1Mnpb-8PYAgn85W6KOTD40hc_Xc55CaLfHoGAbrZ8tls/edit?usp=sharing"",""นครราชสีมา!Q217"")+IMPORTRANGE(""https://docs.google.com/spreadsheets/d/1xoDLGBv9CYbyosIhki0kTq6IpYNj-gp"&amp;"jxfobnaDiut0/edit?usp=sharing"",""บึงกาฬ!Q217"")+IMPORTRANGE(""https://docs.google.com/spreadsheets/d/1MMPq-JyI6DSgQETxuSiXkesP-P7JHuemnE6QJIa-Nlw/edit?usp=sharing"",""บุรีรัมย์!Q217"")+IMPORTRANGE(""https://docs.google.com/spreadsheets/d/1l6IZ8xUPgMrESzc"&amp;"TYwhA1k_tPjeQjJPTqlm8Gd9eU5g/edit?usp=sharing"",""มหาสารคาม!Q217"")+IMPORTRANGE(""https://docs.google.com/spreadsheets/d/1uB74YLqNjWX6FObjekfB2NtSYigTQyR2rq9u4Ub2Sq4/edit?usp=sharing"",""มุกดาหาร!Q217"")+IMPORTRANGE(""https://docs.google.com/spreadsheets/"&amp;"d/1NexK3geCPxCTO1fzNF8dPec7yZyUx3OaWkFBC9HsQOo/edit?usp=sharing"",""ยโสธร!Q217"")+IMPORTRANGE(""https://docs.google.com/spreadsheets/d/1v_cJrbBlyqmnHPReHk44g9NrMRdENNlSy_E_c5M9fIg/edit?usp=sharing"",""ร้อยเอ็ด!Q217"")+IMPORTRANGE(""https://docs.google.com"&amp;"/spreadsheets/d/1Ul4RCpCX66NxYADU1QpwAPjOmBzW64SsT11s1wzXw_c/edit?usp=sharing"",""เลย!Q217"")+IMPORTRANGE(""https://docs.google.com/spreadsheets/d/1bRrNKwbHDVktQG10isr5vbWRtt5spIZPpkOSWgbT5ug/edit?usp=sharing"",""ศรีสะเกษ!Q217"")+IMPORTRANGE(""https://doc"&amp;"s.google.com/spreadsheets/d/17P34_Ow5kFBfdQD0qspb2UuPX5zpi6WMrQzslghyvrI/edit?usp=sharing"",""สกลนคร!Q217"")+IMPORTRANGE(""https://docs.google.com/spreadsheets/d/1yswqbM3-AEpThF3ZSUa1AcmHnmRTF1vlJ1CZGcJ8YuU/edit?usp=sharing"",""สุรินทร์!Q217"")+IMPORTRANG"&amp;"E(""https://docs.google.com/spreadsheets/d/13JHU_EFbsQOUQ0JSQ3dWy1VTRosIWcDq6Nc99z2qzdc/edit?usp=sharing"",""หนองคาย!Q217"")+IMPORTRANGE(""https://docs.google.com/spreadsheets/d/1Hx73zIEgVdDZZaYSTc46Dqv64atFhpr3GelxLbaIN8A/edit?usp=sharing"",""หนองบัวลำภู"&amp;"!Q217"")+IMPORTRANGE(""https://docs.google.com/spreadsheets/d/1lFxr3ctmjFN90yc-xV6jrQ9Ty8BKYVBWnAZ15wcNIJc/edit?usp=sharing"",""อำนาจเจริญ!Q217"")+IMPORTRANGE(""https://docs.google.com/spreadsheets/d/1gF7RJpRnL-1oyjyeWxs5SFWEH7y8ahOZsQlyp2A2e-A/edit?usp=s"&amp;"haring"",""อุดรธานี!Q217"")+IMPORTRANGE(""https://docs.google.com/spreadsheets/d/1kfLP0j3INXRa8bTDpcEmoWewMBV61jlFlfzczfjWIgc/edit?usp=sharing"",""อุบลราชธานี!Q217"")"),1143100)</f>
        <v>1143100</v>
      </c>
      <c r="R217" s="56">
        <f ca="1">IFERROR(__xludf.DUMMYFUNCTION("IMPORTRANGE(""https://docs.google.com/spreadsheets/d/1yhBcrRPreicbMKl9Bu_Snb2-OcQAF62RKfhTLhJ2eAA/edit?usp=sharing"",""กาฬสินธุ์!R217"")+IMPORTRANGE(""https://docs.google.com/spreadsheets/d/1aHkj4IaQMThhwWwevcOymEh837vdxeC_PycurhTbGFA/edit?usp=sharing"","&amp;"""ขอนแก่น!R217"")+IMPORTRANGE(""https://docs.google.com/spreadsheets/d/1FvTu2DsIWUjP6WCWra38Bkj_oOl_sOMf14r5Fg5srxU/edit?usp=sharing"",""ชัยภูมิ!R217"")+IMPORTRANGE(""https://docs.google.com/spreadsheets/d/1XVB7oCJ3pr-vBUdflwPQ8Z2LlzhnCvZaaYjAfP-647E/edit"&amp;"?usp=sharing"",""นครพนม!R217"")+IMPORTRANGE(""https://docs.google.com/spreadsheets/d/1Mnpb-8PYAgn85W6KOTD40hc_Xc55CaLfHoGAbrZ8tls/edit?usp=sharing"",""นครราชสีมา!R217"")+IMPORTRANGE(""https://docs.google.com/spreadsheets/d/1xoDLGBv9CYbyosIhki0kTq6IpYNj-gp"&amp;"jxfobnaDiut0/edit?usp=sharing"",""บึงกาฬ!R217"")+IMPORTRANGE(""https://docs.google.com/spreadsheets/d/1MMPq-JyI6DSgQETxuSiXkesP-P7JHuemnE6QJIa-Nlw/edit?usp=sharing"",""บุรีรัมย์!R217"")+IMPORTRANGE(""https://docs.google.com/spreadsheets/d/1l6IZ8xUPgMrESzc"&amp;"TYwhA1k_tPjeQjJPTqlm8Gd9eU5g/edit?usp=sharing"",""มหาสารคาม!R217"")+IMPORTRANGE(""https://docs.google.com/spreadsheets/d/1uB74YLqNjWX6FObjekfB2NtSYigTQyR2rq9u4Ub2Sq4/edit?usp=sharing"",""มุกดาหาร!R217"")+IMPORTRANGE(""https://docs.google.com/spreadsheets/"&amp;"d/1NexK3geCPxCTO1fzNF8dPec7yZyUx3OaWkFBC9HsQOo/edit?usp=sharing"",""ยโสธร!R217"")+IMPORTRANGE(""https://docs.google.com/spreadsheets/d/1v_cJrbBlyqmnHPReHk44g9NrMRdENNlSy_E_c5M9fIg/edit?usp=sharing"",""ร้อยเอ็ด!R217"")+IMPORTRANGE(""https://docs.google.com"&amp;"/spreadsheets/d/1Ul4RCpCX66NxYADU1QpwAPjOmBzW64SsT11s1wzXw_c/edit?usp=sharing"",""เลย!R217"")+IMPORTRANGE(""https://docs.google.com/spreadsheets/d/1bRrNKwbHDVktQG10isr5vbWRtt5spIZPpkOSWgbT5ug/edit?usp=sharing"",""ศรีสะเกษ!R217"")+IMPORTRANGE(""https://doc"&amp;"s.google.com/spreadsheets/d/17P34_Ow5kFBfdQD0qspb2UuPX5zpi6WMrQzslghyvrI/edit?usp=sharing"",""สกลนคร!R217"")+IMPORTRANGE(""https://docs.google.com/spreadsheets/d/1yswqbM3-AEpThF3ZSUa1AcmHnmRTF1vlJ1CZGcJ8YuU/edit?usp=sharing"",""สุรินทร์!R217"")+IMPORTRANG"&amp;"E(""https://docs.google.com/spreadsheets/d/13JHU_EFbsQOUQ0JSQ3dWy1VTRosIWcDq6Nc99z2qzdc/edit?usp=sharing"",""หนองคาย!R217"")+IMPORTRANGE(""https://docs.google.com/spreadsheets/d/1Hx73zIEgVdDZZaYSTc46Dqv64atFhpr3GelxLbaIN8A/edit?usp=sharing"",""หนองบัวลำภู"&amp;"!R217"")+IMPORTRANGE(""https://docs.google.com/spreadsheets/d/1lFxr3ctmjFN90yc-xV6jrQ9Ty8BKYVBWnAZ15wcNIJc/edit?usp=sharing"",""อำนาจเจริญ!R217"")+IMPORTRANGE(""https://docs.google.com/spreadsheets/d/1gF7RJpRnL-1oyjyeWxs5SFWEH7y8ahOZsQlyp2A2e-A/edit?usp=s"&amp;"haring"",""อุดรธานี!R217"")+IMPORTRANGE(""https://docs.google.com/spreadsheets/d/1kfLP0j3INXRa8bTDpcEmoWewMBV61jlFlfzczfjWIgc/edit?usp=sharing"",""อุบลราชธานี!R217"")"),0)</f>
        <v>0</v>
      </c>
      <c r="S217" s="57">
        <f ca="1">IFERROR(__xludf.DUMMYFUNCTION("IMPORTRANGE(""https://docs.google.com/spreadsheets/d/1yhBcrRPreicbMKl9Bu_Snb2-OcQAF62RKfhTLhJ2eAA/edit?usp=sharing"",""กาฬสินธุ์!S217"")+IMPORTRANGE(""https://docs.google.com/spreadsheets/d/1aHkj4IaQMThhwWwevcOymEh837vdxeC_PycurhTbGFA/edit?usp=sharing"","&amp;"""ขอนแก่น!S217"")+IMPORTRANGE(""https://docs.google.com/spreadsheets/d/1FvTu2DsIWUjP6WCWra38Bkj_oOl_sOMf14r5Fg5srxU/edit?usp=sharing"",""ชัยภูมิ!S217"")+IMPORTRANGE(""https://docs.google.com/spreadsheets/d/1XVB7oCJ3pr-vBUdflwPQ8Z2LlzhnCvZaaYjAfP-647E/edit"&amp;"?usp=sharing"",""นครพนม!S217"")+IMPORTRANGE(""https://docs.google.com/spreadsheets/d/1Mnpb-8PYAgn85W6KOTD40hc_Xc55CaLfHoGAbrZ8tls/edit?usp=sharing"",""นครราชสีมา!S217"")+IMPORTRANGE(""https://docs.google.com/spreadsheets/d/1xoDLGBv9CYbyosIhki0kTq6IpYNj-gp"&amp;"jxfobnaDiut0/edit?usp=sharing"",""บึงกาฬ!S217"")+IMPORTRANGE(""https://docs.google.com/spreadsheets/d/1MMPq-JyI6DSgQETxuSiXkesP-P7JHuemnE6QJIa-Nlw/edit?usp=sharing"",""บุรีรัมย์!S217"")+IMPORTRANGE(""https://docs.google.com/spreadsheets/d/1l6IZ8xUPgMrESzc"&amp;"TYwhA1k_tPjeQjJPTqlm8Gd9eU5g/edit?usp=sharing"",""มหาสารคาม!S217"")+IMPORTRANGE(""https://docs.google.com/spreadsheets/d/1uB74YLqNjWX6FObjekfB2NtSYigTQyR2rq9u4Ub2Sq4/edit?usp=sharing"",""มุกดาหาร!S217"")+IMPORTRANGE(""https://docs.google.com/spreadsheets/"&amp;"d/1NexK3geCPxCTO1fzNF8dPec7yZyUx3OaWkFBC9HsQOo/edit?usp=sharing"",""ยโสธร!S217"")+IMPORTRANGE(""https://docs.google.com/spreadsheets/d/1v_cJrbBlyqmnHPReHk44g9NrMRdENNlSy_E_c5M9fIg/edit?usp=sharing"",""ร้อยเอ็ด!S217"")+IMPORTRANGE(""https://docs.google.com"&amp;"/spreadsheets/d/1Ul4RCpCX66NxYADU1QpwAPjOmBzW64SsT11s1wzXw_c/edit?usp=sharing"",""เลย!S217"")+IMPORTRANGE(""https://docs.google.com/spreadsheets/d/1bRrNKwbHDVktQG10isr5vbWRtt5spIZPpkOSWgbT5ug/edit?usp=sharing"",""ศรีสะเกษ!S217"")+IMPORTRANGE(""https://doc"&amp;"s.google.com/spreadsheets/d/17P34_Ow5kFBfdQD0qspb2UuPX5zpi6WMrQzslghyvrI/edit?usp=sharing"",""สกลนคร!S217"")+IMPORTRANGE(""https://docs.google.com/spreadsheets/d/1yswqbM3-AEpThF3ZSUa1AcmHnmRTF1vlJ1CZGcJ8YuU/edit?usp=sharing"",""สุรินทร์!S217"")+IMPORTRANG"&amp;"E(""https://docs.google.com/spreadsheets/d/13JHU_EFbsQOUQ0JSQ3dWy1VTRosIWcDq6Nc99z2qzdc/edit?usp=sharing"",""หนองคาย!S217"")+IMPORTRANGE(""https://docs.google.com/spreadsheets/d/1Hx73zIEgVdDZZaYSTc46Dqv64atFhpr3GelxLbaIN8A/edit?usp=sharing"",""หนองบัวลำภู"&amp;"!S217"")+IMPORTRANGE(""https://docs.google.com/spreadsheets/d/1lFxr3ctmjFN90yc-xV6jrQ9Ty8BKYVBWnAZ15wcNIJc/edit?usp=sharing"",""อำนาจเจริญ!S217"")+IMPORTRANGE(""https://docs.google.com/spreadsheets/d/1gF7RJpRnL-1oyjyeWxs5SFWEH7y8ahOZsQlyp2A2e-A/edit?usp=s"&amp;"haring"",""อุดรธานี!S217"")+IMPORTRANGE(""https://docs.google.com/spreadsheets/d/1kfLP0j3INXRa8bTDpcEmoWewMBV61jlFlfzczfjWIgc/edit?usp=sharing"",""อุบลราชธานี!S217"")"),0)</f>
        <v>0</v>
      </c>
      <c r="T217" s="164"/>
      <c r="U217" s="55"/>
    </row>
    <row r="218" spans="1:21" ht="19.5">
      <c r="A218" s="166"/>
      <c r="B218" s="167"/>
      <c r="C218" s="191" t="s">
        <v>18</v>
      </c>
      <c r="D218" s="168" t="s">
        <v>38</v>
      </c>
      <c r="E218" s="169"/>
      <c r="F218" s="169"/>
      <c r="G218" s="170"/>
      <c r="H218" s="171"/>
      <c r="I218" s="163"/>
      <c r="J218" s="54"/>
      <c r="K218" s="55"/>
      <c r="L218" s="55"/>
      <c r="M218" s="55"/>
      <c r="N218" s="55"/>
      <c r="O218" s="164"/>
      <c r="P218" s="164"/>
      <c r="Q218" s="55"/>
      <c r="R218" s="55"/>
      <c r="S218" s="62"/>
      <c r="T218" s="164"/>
      <c r="U218" s="164"/>
    </row>
    <row r="219" spans="1:21" ht="18.75">
      <c r="A219" s="166"/>
      <c r="B219" s="167"/>
      <c r="C219" s="167"/>
      <c r="D219" s="173" t="s">
        <v>96</v>
      </c>
      <c r="E219" s="174"/>
      <c r="F219" s="174"/>
      <c r="G219" s="171"/>
      <c r="H219" s="257" t="s">
        <v>85</v>
      </c>
      <c r="I219" s="181">
        <f ca="1">IFERROR(__xludf.DUMMYFUNCTION("IMPORTRANGE(""https://docs.google.com/spreadsheets/d/1yhBcrRPreicbMKl9Bu_Snb2-OcQAF62RKfhTLhJ2eAA/edit?usp=sharing"",""กาฬสินธุ์!I219"")+IMPORTRANGE(""https://docs.google.com/spreadsheets/d/1aHkj4IaQMThhwWwevcOymEh837vdxeC_PycurhTbGFA/edit?usp=sharing"","&amp;"""ขอนแก่น!I219"")+IMPORTRANGE(""https://docs.google.com/spreadsheets/d/1FvTu2DsIWUjP6WCWra38Bkj_oOl_sOMf14r5Fg5srxU/edit?usp=sharing"",""ชัยภูมิ!I219"")+IMPORTRANGE(""https://docs.google.com/spreadsheets/d/1XVB7oCJ3pr-vBUdflwPQ8Z2LlzhnCvZaaYjAfP-647E/edit"&amp;"?usp=sharing"",""นครพนม!I219"")+IMPORTRANGE(""https://docs.google.com/spreadsheets/d/1Mnpb-8PYAgn85W6KOTD40hc_Xc55CaLfHoGAbrZ8tls/edit?usp=sharing"",""นครราชสีมา!I219"")+IMPORTRANGE(""https://docs.google.com/spreadsheets/d/1xoDLGBv9CYbyosIhki0kTq6IpYNj-gp"&amp;"jxfobnaDiut0/edit?usp=sharing"",""บึงกาฬ!I219"")+IMPORTRANGE(""https://docs.google.com/spreadsheets/d/1MMPq-JyI6DSgQETxuSiXkesP-P7JHuemnE6QJIa-Nlw/edit?usp=sharing"",""บุรีรัมย์!I219"")+IMPORTRANGE(""https://docs.google.com/spreadsheets/d/1l6IZ8xUPgMrESzc"&amp;"TYwhA1k_tPjeQjJPTqlm8Gd9eU5g/edit?usp=sharing"",""มหาสารคาม!I219"")+IMPORTRANGE(""https://docs.google.com/spreadsheets/d/1uB74YLqNjWX6FObjekfB2NtSYigTQyR2rq9u4Ub2Sq4/edit?usp=sharing"",""มุกดาหาร!I219"")+IMPORTRANGE(""https://docs.google.com/spreadsheets/"&amp;"d/1NexK3geCPxCTO1fzNF8dPec7yZyUx3OaWkFBC9HsQOo/edit?usp=sharing"",""ยโสธร!I219"")+IMPORTRANGE(""https://docs.google.com/spreadsheets/d/1v_cJrbBlyqmnHPReHk44g9NrMRdENNlSy_E_c5M9fIg/edit?usp=sharing"",""ร้อยเอ็ด!I219"")+IMPORTRANGE(""https://docs.google.com"&amp;"/spreadsheets/d/1Ul4RCpCX66NxYADU1QpwAPjOmBzW64SsT11s1wzXw_c/edit?usp=sharing"",""เลย!I219"")+IMPORTRANGE(""https://docs.google.com/spreadsheets/d/1bRrNKwbHDVktQG10isr5vbWRtt5spIZPpkOSWgbT5ug/edit?usp=sharing"",""ศรีสะเกษ!I219"")+IMPORTRANGE(""https://doc"&amp;"s.google.com/spreadsheets/d/17P34_Ow5kFBfdQD0qspb2UuPX5zpi6WMrQzslghyvrI/edit?usp=sharing"",""สกลนคร!I219"")+IMPORTRANGE(""https://docs.google.com/spreadsheets/d/1yswqbM3-AEpThF3ZSUa1AcmHnmRTF1vlJ1CZGcJ8YuU/edit?usp=sharing"",""สุรินทร์!I219"")+IMPORTRANG"&amp;"E(""https://docs.google.com/spreadsheets/d/13JHU_EFbsQOUQ0JSQ3dWy1VTRosIWcDq6Nc99z2qzdc/edit?usp=sharing"",""หนองคาย!I219"")+IMPORTRANGE(""https://docs.google.com/spreadsheets/d/1Hx73zIEgVdDZZaYSTc46Dqv64atFhpr3GelxLbaIN8A/edit?usp=sharing"",""หนองบัวลำภู"&amp;"!I219"")+IMPORTRANGE(""https://docs.google.com/spreadsheets/d/1lFxr3ctmjFN90yc-xV6jrQ9Ty8BKYVBWnAZ15wcNIJc/edit?usp=sharing"",""อำนาจเจริญ!I219"")+IMPORTRANGE(""https://docs.google.com/spreadsheets/d/1gF7RJpRnL-1oyjyeWxs5SFWEH7y8ahOZsQlyp2A2e-A/edit?usp=s"&amp;"haring"",""อุดรธานี!I219"")+IMPORTRANGE(""https://docs.google.com/spreadsheets/d/1kfLP0j3INXRa8bTDpcEmoWewMBV61jlFlfzczfjWIgc/edit?usp=sharing"",""อุบลราชธานี!I219"")"),23)</f>
        <v>23</v>
      </c>
      <c r="J219" s="181">
        <f ca="1">IFERROR(__xludf.DUMMYFUNCTION("IMPORTRANGE(""https://docs.google.com/spreadsheets/d/1yhBcrRPreicbMKl9Bu_Snb2-OcQAF62RKfhTLhJ2eAA/edit?usp=sharing"",""กาฬสินธุ์!J219"")+IMPORTRANGE(""https://docs.google.com/spreadsheets/d/1aHkj4IaQMThhwWwevcOymEh837vdxeC_PycurhTbGFA/edit?usp=sharing"","&amp;"""ขอนแก่น!J219"")+IMPORTRANGE(""https://docs.google.com/spreadsheets/d/1FvTu2DsIWUjP6WCWra38Bkj_oOl_sOMf14r5Fg5srxU/edit?usp=sharing"",""ชัยภูมิ!J219"")+IMPORTRANGE(""https://docs.google.com/spreadsheets/d/1XVB7oCJ3pr-vBUdflwPQ8Z2LlzhnCvZaaYjAfP-647E/edit"&amp;"?usp=sharing"",""นครพนม!J219"")+IMPORTRANGE(""https://docs.google.com/spreadsheets/d/1Mnpb-8PYAgn85W6KOTD40hc_Xc55CaLfHoGAbrZ8tls/edit?usp=sharing"",""นครราชสีมา!J219"")+IMPORTRANGE(""https://docs.google.com/spreadsheets/d/1xoDLGBv9CYbyosIhki0kTq6IpYNj-gp"&amp;"jxfobnaDiut0/edit?usp=sharing"",""บึงกาฬ!J219"")+IMPORTRANGE(""https://docs.google.com/spreadsheets/d/1MMPq-JyI6DSgQETxuSiXkesP-P7JHuemnE6QJIa-Nlw/edit?usp=sharing"",""บุรีรัมย์!J219"")+IMPORTRANGE(""https://docs.google.com/spreadsheets/d/1l6IZ8xUPgMrESzc"&amp;"TYwhA1k_tPjeQjJPTqlm8Gd9eU5g/edit?usp=sharing"",""มหาสารคาม!J219"")+IMPORTRANGE(""https://docs.google.com/spreadsheets/d/1uB74YLqNjWX6FObjekfB2NtSYigTQyR2rq9u4Ub2Sq4/edit?usp=sharing"",""มุกดาหาร!J219"")+IMPORTRANGE(""https://docs.google.com/spreadsheets/"&amp;"d/1NexK3geCPxCTO1fzNF8dPec7yZyUx3OaWkFBC9HsQOo/edit?usp=sharing"",""ยโสธร!J219"")+IMPORTRANGE(""https://docs.google.com/spreadsheets/d/1v_cJrbBlyqmnHPReHk44g9NrMRdENNlSy_E_c5M9fIg/edit?usp=sharing"",""ร้อยเอ็ด!J219"")+IMPORTRANGE(""https://docs.google.com"&amp;"/spreadsheets/d/1Ul4RCpCX66NxYADU1QpwAPjOmBzW64SsT11s1wzXw_c/edit?usp=sharing"",""เลย!J219"")+IMPORTRANGE(""https://docs.google.com/spreadsheets/d/1bRrNKwbHDVktQG10isr5vbWRtt5spIZPpkOSWgbT5ug/edit?usp=sharing"",""ศรีสะเกษ!J219"")+IMPORTRANGE(""https://doc"&amp;"s.google.com/spreadsheets/d/17P34_Ow5kFBfdQD0qspb2UuPX5zpi6WMrQzslghyvrI/edit?usp=sharing"",""สกลนคร!J219"")+IMPORTRANGE(""https://docs.google.com/spreadsheets/d/1yswqbM3-AEpThF3ZSUa1AcmHnmRTF1vlJ1CZGcJ8YuU/edit?usp=sharing"",""สุรินทร์!J219"")+IMPORTRANG"&amp;"E(""https://docs.google.com/spreadsheets/d/13JHU_EFbsQOUQ0JSQ3dWy1VTRosIWcDq6Nc99z2qzdc/edit?usp=sharing"",""หนองคาย!J219"")+IMPORTRANGE(""https://docs.google.com/spreadsheets/d/1Hx73zIEgVdDZZaYSTc46Dqv64atFhpr3GelxLbaIN8A/edit?usp=sharing"",""หนองบัวลำภู"&amp;"!J219"")+IMPORTRANGE(""https://docs.google.com/spreadsheets/d/1lFxr3ctmjFN90yc-xV6jrQ9Ty8BKYVBWnAZ15wcNIJc/edit?usp=sharing"",""อำนาจเจริญ!J219"")+IMPORTRANGE(""https://docs.google.com/spreadsheets/d/1gF7RJpRnL-1oyjyeWxs5SFWEH7y8ahOZsQlyp2A2e-A/edit?usp=s"&amp;"haring"",""อุดรธานี!J219"")+IMPORTRANGE(""https://docs.google.com/spreadsheets/d/1kfLP0j3INXRa8bTDpcEmoWewMBV61jlFlfzczfjWIgc/edit?usp=sharing"",""อุบลราชธานี!J219"")"),1)</f>
        <v>1</v>
      </c>
      <c r="K219" s="56">
        <f t="shared" ref="K219:K221" ca="1" si="179">IF(I219&gt;0,J219*100/I219,0)</f>
        <v>4.3478260869565215</v>
      </c>
      <c r="L219" s="55"/>
      <c r="M219" s="55"/>
      <c r="N219" s="55"/>
      <c r="O219" s="55"/>
      <c r="P219" s="55"/>
      <c r="Q219" s="55"/>
      <c r="R219" s="55"/>
      <c r="S219" s="62"/>
      <c r="T219" s="55"/>
      <c r="U219" s="55"/>
    </row>
    <row r="220" spans="1:21" ht="18.75">
      <c r="A220" s="166"/>
      <c r="B220" s="167"/>
      <c r="C220" s="167"/>
      <c r="D220" s="173" t="s">
        <v>97</v>
      </c>
      <c r="E220" s="174"/>
      <c r="F220" s="174"/>
      <c r="G220" s="171"/>
      <c r="H220" s="257" t="s">
        <v>85</v>
      </c>
      <c r="I220" s="181">
        <f ca="1">IFERROR(__xludf.DUMMYFUNCTION("IMPORTRANGE(""https://docs.google.com/spreadsheets/d/1yhBcrRPreicbMKl9Bu_Snb2-OcQAF62RKfhTLhJ2eAA/edit?usp=sharing"",""กาฬสินธุ์!I220"")+IMPORTRANGE(""https://docs.google.com/spreadsheets/d/1aHkj4IaQMThhwWwevcOymEh837vdxeC_PycurhTbGFA/edit?usp=sharing"","&amp;"""ขอนแก่น!I220"")+IMPORTRANGE(""https://docs.google.com/spreadsheets/d/1FvTu2DsIWUjP6WCWra38Bkj_oOl_sOMf14r5Fg5srxU/edit?usp=sharing"",""ชัยภูมิ!I220"")+IMPORTRANGE(""https://docs.google.com/spreadsheets/d/1XVB7oCJ3pr-vBUdflwPQ8Z2LlzhnCvZaaYjAfP-647E/edit"&amp;"?usp=sharing"",""นครพนม!I220"")+IMPORTRANGE(""https://docs.google.com/spreadsheets/d/1Mnpb-8PYAgn85W6KOTD40hc_Xc55CaLfHoGAbrZ8tls/edit?usp=sharing"",""นครราชสีมา!I220"")+IMPORTRANGE(""https://docs.google.com/spreadsheets/d/1xoDLGBv9CYbyosIhki0kTq6IpYNj-gp"&amp;"jxfobnaDiut0/edit?usp=sharing"",""บึงกาฬ!I220"")+IMPORTRANGE(""https://docs.google.com/spreadsheets/d/1MMPq-JyI6DSgQETxuSiXkesP-P7JHuemnE6QJIa-Nlw/edit?usp=sharing"",""บุรีรัมย์!I220"")+IMPORTRANGE(""https://docs.google.com/spreadsheets/d/1l6IZ8xUPgMrESzc"&amp;"TYwhA1k_tPjeQjJPTqlm8Gd9eU5g/edit?usp=sharing"",""มหาสารคาม!I220"")+IMPORTRANGE(""https://docs.google.com/spreadsheets/d/1uB74YLqNjWX6FObjekfB2NtSYigTQyR2rq9u4Ub2Sq4/edit?usp=sharing"",""มุกดาหาร!I220"")+IMPORTRANGE(""https://docs.google.com/spreadsheets/"&amp;"d/1NexK3geCPxCTO1fzNF8dPec7yZyUx3OaWkFBC9HsQOo/edit?usp=sharing"",""ยโสธร!I220"")+IMPORTRANGE(""https://docs.google.com/spreadsheets/d/1v_cJrbBlyqmnHPReHk44g9NrMRdENNlSy_E_c5M9fIg/edit?usp=sharing"",""ร้อยเอ็ด!I220"")+IMPORTRANGE(""https://docs.google.com"&amp;"/spreadsheets/d/1Ul4RCpCX66NxYADU1QpwAPjOmBzW64SsT11s1wzXw_c/edit?usp=sharing"",""เลย!I220"")+IMPORTRANGE(""https://docs.google.com/spreadsheets/d/1bRrNKwbHDVktQG10isr5vbWRtt5spIZPpkOSWgbT5ug/edit?usp=sharing"",""ศรีสะเกษ!I220"")+IMPORTRANGE(""https://doc"&amp;"s.google.com/spreadsheets/d/17P34_Ow5kFBfdQD0qspb2UuPX5zpi6WMrQzslghyvrI/edit?usp=sharing"",""สกลนคร!I220"")+IMPORTRANGE(""https://docs.google.com/spreadsheets/d/1yswqbM3-AEpThF3ZSUa1AcmHnmRTF1vlJ1CZGcJ8YuU/edit?usp=sharing"",""สุรินทร์!I220"")+IMPORTRANG"&amp;"E(""https://docs.google.com/spreadsheets/d/13JHU_EFbsQOUQ0JSQ3dWy1VTRosIWcDq6Nc99z2qzdc/edit?usp=sharing"",""หนองคาย!I220"")+IMPORTRANGE(""https://docs.google.com/spreadsheets/d/1Hx73zIEgVdDZZaYSTc46Dqv64atFhpr3GelxLbaIN8A/edit?usp=sharing"",""หนองบัวลำภู"&amp;"!I220"")+IMPORTRANGE(""https://docs.google.com/spreadsheets/d/1lFxr3ctmjFN90yc-xV6jrQ9Ty8BKYVBWnAZ15wcNIJc/edit?usp=sharing"",""อำนาจเจริญ!I220"")+IMPORTRANGE(""https://docs.google.com/spreadsheets/d/1gF7RJpRnL-1oyjyeWxs5SFWEH7y8ahOZsQlyp2A2e-A/edit?usp=s"&amp;"haring"",""อุดรธานี!I220"")+IMPORTRANGE(""https://docs.google.com/spreadsheets/d/1kfLP0j3INXRa8bTDpcEmoWewMBV61jlFlfzczfjWIgc/edit?usp=sharing"",""อุบลราชธานี!I220"")"),23)</f>
        <v>23</v>
      </c>
      <c r="J220" s="181">
        <f ca="1">IFERROR(__xludf.DUMMYFUNCTION("IMPORTRANGE(""https://docs.google.com/spreadsheets/d/1yhBcrRPreicbMKl9Bu_Snb2-OcQAF62RKfhTLhJ2eAA/edit?usp=sharing"",""กาฬสินธุ์!J220"")+IMPORTRANGE(""https://docs.google.com/spreadsheets/d/1aHkj4IaQMThhwWwevcOymEh837vdxeC_PycurhTbGFA/edit?usp=sharing"","&amp;"""ขอนแก่น!J220"")+IMPORTRANGE(""https://docs.google.com/spreadsheets/d/1FvTu2DsIWUjP6WCWra38Bkj_oOl_sOMf14r5Fg5srxU/edit?usp=sharing"",""ชัยภูมิ!J220"")+IMPORTRANGE(""https://docs.google.com/spreadsheets/d/1XVB7oCJ3pr-vBUdflwPQ8Z2LlzhnCvZaaYjAfP-647E/edit"&amp;"?usp=sharing"",""นครพนม!J220"")+IMPORTRANGE(""https://docs.google.com/spreadsheets/d/1Mnpb-8PYAgn85W6KOTD40hc_Xc55CaLfHoGAbrZ8tls/edit?usp=sharing"",""นครราชสีมา!J220"")+IMPORTRANGE(""https://docs.google.com/spreadsheets/d/1xoDLGBv9CYbyosIhki0kTq6IpYNj-gp"&amp;"jxfobnaDiut0/edit?usp=sharing"",""บึงกาฬ!J220"")+IMPORTRANGE(""https://docs.google.com/spreadsheets/d/1MMPq-JyI6DSgQETxuSiXkesP-P7JHuemnE6QJIa-Nlw/edit?usp=sharing"",""บุรีรัมย์!J220"")+IMPORTRANGE(""https://docs.google.com/spreadsheets/d/1l6IZ8xUPgMrESzc"&amp;"TYwhA1k_tPjeQjJPTqlm8Gd9eU5g/edit?usp=sharing"",""มหาสารคาม!J220"")+IMPORTRANGE(""https://docs.google.com/spreadsheets/d/1uB74YLqNjWX6FObjekfB2NtSYigTQyR2rq9u4Ub2Sq4/edit?usp=sharing"",""มุกดาหาร!J220"")+IMPORTRANGE(""https://docs.google.com/spreadsheets/"&amp;"d/1NexK3geCPxCTO1fzNF8dPec7yZyUx3OaWkFBC9HsQOo/edit?usp=sharing"",""ยโสธร!J220"")+IMPORTRANGE(""https://docs.google.com/spreadsheets/d/1v_cJrbBlyqmnHPReHk44g9NrMRdENNlSy_E_c5M9fIg/edit?usp=sharing"",""ร้อยเอ็ด!J220"")+IMPORTRANGE(""https://docs.google.com"&amp;"/spreadsheets/d/1Ul4RCpCX66NxYADU1QpwAPjOmBzW64SsT11s1wzXw_c/edit?usp=sharing"",""เลย!J220"")+IMPORTRANGE(""https://docs.google.com/spreadsheets/d/1bRrNKwbHDVktQG10isr5vbWRtt5spIZPpkOSWgbT5ug/edit?usp=sharing"",""ศรีสะเกษ!J220"")+IMPORTRANGE(""https://doc"&amp;"s.google.com/spreadsheets/d/17P34_Ow5kFBfdQD0qspb2UuPX5zpi6WMrQzslghyvrI/edit?usp=sharing"",""สกลนคร!J220"")+IMPORTRANGE(""https://docs.google.com/spreadsheets/d/1yswqbM3-AEpThF3ZSUa1AcmHnmRTF1vlJ1CZGcJ8YuU/edit?usp=sharing"",""สุรินทร์!J220"")+IMPORTRANG"&amp;"E(""https://docs.google.com/spreadsheets/d/13JHU_EFbsQOUQ0JSQ3dWy1VTRosIWcDq6Nc99z2qzdc/edit?usp=sharing"",""หนองคาย!J220"")+IMPORTRANGE(""https://docs.google.com/spreadsheets/d/1Hx73zIEgVdDZZaYSTc46Dqv64atFhpr3GelxLbaIN8A/edit?usp=sharing"",""หนองบัวลำภู"&amp;"!J220"")+IMPORTRANGE(""https://docs.google.com/spreadsheets/d/1lFxr3ctmjFN90yc-xV6jrQ9Ty8BKYVBWnAZ15wcNIJc/edit?usp=sharing"",""อำนาจเจริญ!J220"")+IMPORTRANGE(""https://docs.google.com/spreadsheets/d/1gF7RJpRnL-1oyjyeWxs5SFWEH7y8ahOZsQlyp2A2e-A/edit?usp=s"&amp;"haring"",""อุดรธานี!J220"")+IMPORTRANGE(""https://docs.google.com/spreadsheets/d/1kfLP0j3INXRa8bTDpcEmoWewMBV61jlFlfzczfjWIgc/edit?usp=sharing"",""อุบลราชธานี!J220"")"),2)</f>
        <v>2</v>
      </c>
      <c r="K220" s="56">
        <f t="shared" ca="1" si="179"/>
        <v>8.695652173913043</v>
      </c>
      <c r="L220" s="55"/>
      <c r="M220" s="55"/>
      <c r="N220" s="55"/>
      <c r="O220" s="55"/>
      <c r="P220" s="55"/>
      <c r="Q220" s="55"/>
      <c r="R220" s="55"/>
      <c r="S220" s="62"/>
      <c r="T220" s="55"/>
      <c r="U220" s="55"/>
    </row>
    <row r="221" spans="1:21" ht="19.5">
      <c r="A221" s="241"/>
      <c r="B221" s="242"/>
      <c r="C221" s="243" t="s">
        <v>98</v>
      </c>
      <c r="D221" s="244"/>
      <c r="E221" s="244"/>
      <c r="F221" s="244"/>
      <c r="G221" s="245"/>
      <c r="H221" s="246" t="s">
        <v>99</v>
      </c>
      <c r="I221" s="247">
        <f t="shared" ref="I221:J221" ca="1" si="180">I229</f>
        <v>887800</v>
      </c>
      <c r="J221" s="247">
        <f t="shared" ca="1" si="180"/>
        <v>0</v>
      </c>
      <c r="K221" s="248">
        <f t="shared" ca="1" si="179"/>
        <v>0</v>
      </c>
      <c r="L221" s="249"/>
      <c r="M221" s="249"/>
      <c r="N221" s="249"/>
      <c r="O221" s="249"/>
      <c r="P221" s="249"/>
      <c r="Q221" s="249"/>
      <c r="R221" s="249"/>
      <c r="S221" s="250"/>
      <c r="T221" s="249"/>
      <c r="U221" s="249"/>
    </row>
    <row r="222" spans="1:21" ht="19.5">
      <c r="A222" s="155"/>
      <c r="B222" s="50"/>
      <c r="C222" s="156" t="s">
        <v>18</v>
      </c>
      <c r="D222" s="251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159">
        <f t="shared" ref="L222:N222" ca="1" si="181">L223+L224+L225</f>
        <v>154000</v>
      </c>
      <c r="M222" s="159">
        <f t="shared" ca="1" si="181"/>
        <v>0</v>
      </c>
      <c r="N222" s="159">
        <f t="shared" ca="1" si="181"/>
        <v>1070</v>
      </c>
      <c r="O222" s="159">
        <f ca="1">IF(L222&gt;0,N222*100/L222,0)</f>
        <v>0.69480519480519476</v>
      </c>
      <c r="P222" s="55"/>
      <c r="Q222" s="159">
        <f t="shared" ref="Q222:S222" ca="1" si="182">Q223+Q224+Q225</f>
        <v>0</v>
      </c>
      <c r="R222" s="159">
        <f t="shared" ca="1" si="182"/>
        <v>0</v>
      </c>
      <c r="S222" s="160">
        <f t="shared" ca="1" si="182"/>
        <v>0</v>
      </c>
      <c r="T222" s="55"/>
      <c r="U222" s="55"/>
    </row>
    <row r="223" spans="1:21" ht="18.75">
      <c r="A223" s="155"/>
      <c r="B223" s="188"/>
      <c r="C223" s="50"/>
      <c r="D223" s="58" t="s">
        <v>86</v>
      </c>
      <c r="E223" s="50"/>
      <c r="F223" s="50"/>
      <c r="G223" s="52"/>
      <c r="H223" s="162" t="s">
        <v>14</v>
      </c>
      <c r="I223" s="163"/>
      <c r="J223" s="163"/>
      <c r="K223" s="164"/>
      <c r="L223" s="56">
        <f ca="1">IFERROR(__xludf.DUMMYFUNCTION("IMPORTRANGE(""https://docs.google.com/spreadsheets/d/1yhBcrRPreicbMKl9Bu_Snb2-OcQAF62RKfhTLhJ2eAA/edit?usp=sharing"",""กาฬสินธุ์!L223"")+IMPORTRANGE(""https://docs.google.com/spreadsheets/d/1aHkj4IaQMThhwWwevcOymEh837vdxeC_PycurhTbGFA/edit?usp=sharing"","&amp;"""ขอนแก่น!L223"")+IMPORTRANGE(""https://docs.google.com/spreadsheets/d/1FvTu2DsIWUjP6WCWra38Bkj_oOl_sOMf14r5Fg5srxU/edit?usp=sharing"",""ชัยภูมิ!L223"")+IMPORTRANGE(""https://docs.google.com/spreadsheets/d/1XVB7oCJ3pr-vBUdflwPQ8Z2LlzhnCvZaaYjAfP-647E/edit"&amp;"?usp=sharing"",""นครพนม!L223"")+IMPORTRANGE(""https://docs.google.com/spreadsheets/d/1Mnpb-8PYAgn85W6KOTD40hc_Xc55CaLfHoGAbrZ8tls/edit?usp=sharing"",""นครราชสีมา!L223"")+IMPORTRANGE(""https://docs.google.com/spreadsheets/d/1xoDLGBv9CYbyosIhki0kTq6IpYNj-gp"&amp;"jxfobnaDiut0/edit?usp=sharing"",""บึงกาฬ!L223"")+IMPORTRANGE(""https://docs.google.com/spreadsheets/d/1MMPq-JyI6DSgQETxuSiXkesP-P7JHuemnE6QJIa-Nlw/edit?usp=sharing"",""บุรีรัมย์!L223"")+IMPORTRANGE(""https://docs.google.com/spreadsheets/d/1l6IZ8xUPgMrESzc"&amp;"TYwhA1k_tPjeQjJPTqlm8Gd9eU5g/edit?usp=sharing"",""มหาสารคาม!L223"")+IMPORTRANGE(""https://docs.google.com/spreadsheets/d/1uB74YLqNjWX6FObjekfB2NtSYigTQyR2rq9u4Ub2Sq4/edit?usp=sharing"",""มุกดาหาร!L223"")+IMPORTRANGE(""https://docs.google.com/spreadsheets/"&amp;"d/1NexK3geCPxCTO1fzNF8dPec7yZyUx3OaWkFBC9HsQOo/edit?usp=sharing"",""ยโสธร!L223"")+IMPORTRANGE(""https://docs.google.com/spreadsheets/d/1v_cJrbBlyqmnHPReHk44g9NrMRdENNlSy_E_c5M9fIg/edit?usp=sharing"",""ร้อยเอ็ด!L223"")+IMPORTRANGE(""https://docs.google.com"&amp;"/spreadsheets/d/1Ul4RCpCX66NxYADU1QpwAPjOmBzW64SsT11s1wzXw_c/edit?usp=sharing"",""เลย!L223"")+IMPORTRANGE(""https://docs.google.com/spreadsheets/d/1bRrNKwbHDVktQG10isr5vbWRtt5spIZPpkOSWgbT5ug/edit?usp=sharing"",""ศรีสะเกษ!L223"")+IMPORTRANGE(""https://doc"&amp;"s.google.com/spreadsheets/d/17P34_Ow5kFBfdQD0qspb2UuPX5zpi6WMrQzslghyvrI/edit?usp=sharing"",""สกลนคร!L223"")+IMPORTRANGE(""https://docs.google.com/spreadsheets/d/1yswqbM3-AEpThF3ZSUa1AcmHnmRTF1vlJ1CZGcJ8YuU/edit?usp=sharing"",""สุรินทร์!L223"")+IMPORTRANG"&amp;"E(""https://docs.google.com/spreadsheets/d/13JHU_EFbsQOUQ0JSQ3dWy1VTRosIWcDq6Nc99z2qzdc/edit?usp=sharing"",""หนองคาย!L223"")+IMPORTRANGE(""https://docs.google.com/spreadsheets/d/1Hx73zIEgVdDZZaYSTc46Dqv64atFhpr3GelxLbaIN8A/edit?usp=sharing"",""หนองบัวลำภู"&amp;"!L223"")+IMPORTRANGE(""https://docs.google.com/spreadsheets/d/1lFxr3ctmjFN90yc-xV6jrQ9Ty8BKYVBWnAZ15wcNIJc/edit?usp=sharing"",""อำนาจเจริญ!L223"")+IMPORTRANGE(""https://docs.google.com/spreadsheets/d/1gF7RJpRnL-1oyjyeWxs5SFWEH7y8ahOZsQlyp2A2e-A/edit?usp=s"&amp;"haring"",""อุดรธานี!L223"")+IMPORTRANGE(""https://docs.google.com/spreadsheets/d/1kfLP0j3INXRa8bTDpcEmoWewMBV61jlFlfzczfjWIgc/edit?usp=sharing"",""อุบลราชธานี!L223"")"),50000)</f>
        <v>50000</v>
      </c>
      <c r="M223" s="56">
        <f ca="1">IFERROR(__xludf.DUMMYFUNCTION("IMPORTRANGE(""https://docs.google.com/spreadsheets/d/1yhBcrRPreicbMKl9Bu_Snb2-OcQAF62RKfhTLhJ2eAA/edit?usp=sharing"",""กาฬสินธุ์!M223"")+IMPORTRANGE(""https://docs.google.com/spreadsheets/d/1aHkj4IaQMThhwWwevcOymEh837vdxeC_PycurhTbGFA/edit?usp=sharing"","&amp;"""ขอนแก่น!M223"")+IMPORTRANGE(""https://docs.google.com/spreadsheets/d/1FvTu2DsIWUjP6WCWra38Bkj_oOl_sOMf14r5Fg5srxU/edit?usp=sharing"",""ชัยภูมิ!M223"")+IMPORTRANGE(""https://docs.google.com/spreadsheets/d/1XVB7oCJ3pr-vBUdflwPQ8Z2LlzhnCvZaaYjAfP-647E/edit"&amp;"?usp=sharing"",""นครพนม!M223"")+IMPORTRANGE(""https://docs.google.com/spreadsheets/d/1Mnpb-8PYAgn85W6KOTD40hc_Xc55CaLfHoGAbrZ8tls/edit?usp=sharing"",""นครราชสีมา!M223"")+IMPORTRANGE(""https://docs.google.com/spreadsheets/d/1xoDLGBv9CYbyosIhki0kTq6IpYNj-gp"&amp;"jxfobnaDiut0/edit?usp=sharing"",""บึงกาฬ!M223"")+IMPORTRANGE(""https://docs.google.com/spreadsheets/d/1MMPq-JyI6DSgQETxuSiXkesP-P7JHuemnE6QJIa-Nlw/edit?usp=sharing"",""บุรีรัมย์!M223"")+IMPORTRANGE(""https://docs.google.com/spreadsheets/d/1l6IZ8xUPgMrESzc"&amp;"TYwhA1k_tPjeQjJPTqlm8Gd9eU5g/edit?usp=sharing"",""มหาสารคาม!M223"")+IMPORTRANGE(""https://docs.google.com/spreadsheets/d/1uB74YLqNjWX6FObjekfB2NtSYigTQyR2rq9u4Ub2Sq4/edit?usp=sharing"",""มุกดาหาร!M223"")+IMPORTRANGE(""https://docs.google.com/spreadsheets/"&amp;"d/1NexK3geCPxCTO1fzNF8dPec7yZyUx3OaWkFBC9HsQOo/edit?usp=sharing"",""ยโสธร!M223"")+IMPORTRANGE(""https://docs.google.com/spreadsheets/d/1v_cJrbBlyqmnHPReHk44g9NrMRdENNlSy_E_c5M9fIg/edit?usp=sharing"",""ร้อยเอ็ด!M223"")+IMPORTRANGE(""https://docs.google.com"&amp;"/spreadsheets/d/1Ul4RCpCX66NxYADU1QpwAPjOmBzW64SsT11s1wzXw_c/edit?usp=sharing"",""เลย!M223"")+IMPORTRANGE(""https://docs.google.com/spreadsheets/d/1bRrNKwbHDVktQG10isr5vbWRtt5spIZPpkOSWgbT5ug/edit?usp=sharing"",""ศรีสะเกษ!M223"")+IMPORTRANGE(""https://doc"&amp;"s.google.com/spreadsheets/d/17P34_Ow5kFBfdQD0qspb2UuPX5zpi6WMrQzslghyvrI/edit?usp=sharing"",""สกลนคร!M223"")+IMPORTRANGE(""https://docs.google.com/spreadsheets/d/1yswqbM3-AEpThF3ZSUa1AcmHnmRTF1vlJ1CZGcJ8YuU/edit?usp=sharing"",""สุรินทร์!M223"")+IMPORTRANG"&amp;"E(""https://docs.google.com/spreadsheets/d/13JHU_EFbsQOUQ0JSQ3dWy1VTRosIWcDq6Nc99z2qzdc/edit?usp=sharing"",""หนองคาย!M223"")+IMPORTRANGE(""https://docs.google.com/spreadsheets/d/1Hx73zIEgVdDZZaYSTc46Dqv64atFhpr3GelxLbaIN8A/edit?usp=sharing"",""หนองบัวลำภู"&amp;"!M223"")+IMPORTRANGE(""https://docs.google.com/spreadsheets/d/1lFxr3ctmjFN90yc-xV6jrQ9Ty8BKYVBWnAZ15wcNIJc/edit?usp=sharing"",""อำนาจเจริญ!M223"")+IMPORTRANGE(""https://docs.google.com/spreadsheets/d/1gF7RJpRnL-1oyjyeWxs5SFWEH7y8ahOZsQlyp2A2e-A/edit?usp=s"&amp;"haring"",""อุดรธานี!M223"")+IMPORTRANGE(""https://docs.google.com/spreadsheets/d/1kfLP0j3INXRa8bTDpcEmoWewMBV61jlFlfzczfjWIgc/edit?usp=sharing"",""อุบลราชธานี!M223"")"),0)</f>
        <v>0</v>
      </c>
      <c r="N223" s="56">
        <f ca="1">IFERROR(__xludf.DUMMYFUNCTION("IMPORTRANGE(""https://docs.google.com/spreadsheets/d/1yhBcrRPreicbMKl9Bu_Snb2-OcQAF62RKfhTLhJ2eAA/edit?usp=sharing"",""กาฬสินธุ์!N223"")+IMPORTRANGE(""https://docs.google.com/spreadsheets/d/1aHkj4IaQMThhwWwevcOymEh837vdxeC_PycurhTbGFA/edit?usp=sharing"","&amp;"""ขอนแก่น!N223"")+IMPORTRANGE(""https://docs.google.com/spreadsheets/d/1FvTu2DsIWUjP6WCWra38Bkj_oOl_sOMf14r5Fg5srxU/edit?usp=sharing"",""ชัยภูมิ!N223"")+IMPORTRANGE(""https://docs.google.com/spreadsheets/d/1XVB7oCJ3pr-vBUdflwPQ8Z2LlzhnCvZaaYjAfP-647E/edit"&amp;"?usp=sharing"",""นครพนม!N223"")+IMPORTRANGE(""https://docs.google.com/spreadsheets/d/1Mnpb-8PYAgn85W6KOTD40hc_Xc55CaLfHoGAbrZ8tls/edit?usp=sharing"",""นครราชสีมา!N223"")+IMPORTRANGE(""https://docs.google.com/spreadsheets/d/1xoDLGBv9CYbyosIhki0kTq6IpYNj-gp"&amp;"jxfobnaDiut0/edit?usp=sharing"",""บึงกาฬ!N223"")+IMPORTRANGE(""https://docs.google.com/spreadsheets/d/1MMPq-JyI6DSgQETxuSiXkesP-P7JHuemnE6QJIa-Nlw/edit?usp=sharing"",""บุรีรัมย์!N223"")+IMPORTRANGE(""https://docs.google.com/spreadsheets/d/1l6IZ8xUPgMrESzc"&amp;"TYwhA1k_tPjeQjJPTqlm8Gd9eU5g/edit?usp=sharing"",""มหาสารคาม!N223"")+IMPORTRANGE(""https://docs.google.com/spreadsheets/d/1uB74YLqNjWX6FObjekfB2NtSYigTQyR2rq9u4Ub2Sq4/edit?usp=sharing"",""มุกดาหาร!N223"")+IMPORTRANGE(""https://docs.google.com/spreadsheets/"&amp;"d/1NexK3geCPxCTO1fzNF8dPec7yZyUx3OaWkFBC9HsQOo/edit?usp=sharing"",""ยโสธร!N223"")+IMPORTRANGE(""https://docs.google.com/spreadsheets/d/1v_cJrbBlyqmnHPReHk44g9NrMRdENNlSy_E_c5M9fIg/edit?usp=sharing"",""ร้อยเอ็ด!N223"")+IMPORTRANGE(""https://docs.google.com"&amp;"/spreadsheets/d/1Ul4RCpCX66NxYADU1QpwAPjOmBzW64SsT11s1wzXw_c/edit?usp=sharing"",""เลย!N223"")+IMPORTRANGE(""https://docs.google.com/spreadsheets/d/1bRrNKwbHDVktQG10isr5vbWRtt5spIZPpkOSWgbT5ug/edit?usp=sharing"",""ศรีสะเกษ!N223"")+IMPORTRANGE(""https://doc"&amp;"s.google.com/spreadsheets/d/17P34_Ow5kFBfdQD0qspb2UuPX5zpi6WMrQzslghyvrI/edit?usp=sharing"",""สกลนคร!N223"")+IMPORTRANGE(""https://docs.google.com/spreadsheets/d/1yswqbM3-AEpThF3ZSUa1AcmHnmRTF1vlJ1CZGcJ8YuU/edit?usp=sharing"",""สุรินทร์!N223"")+IMPORTRANG"&amp;"E(""https://docs.google.com/spreadsheets/d/13JHU_EFbsQOUQ0JSQ3dWy1VTRosIWcDq6Nc99z2qzdc/edit?usp=sharing"",""หนองคาย!N223"")+IMPORTRANGE(""https://docs.google.com/spreadsheets/d/1Hx73zIEgVdDZZaYSTc46Dqv64atFhpr3GelxLbaIN8A/edit?usp=sharing"",""หนองบัวลำภู"&amp;"!N223"")+IMPORTRANGE(""https://docs.google.com/spreadsheets/d/1lFxr3ctmjFN90yc-xV6jrQ9Ty8BKYVBWnAZ15wcNIJc/edit?usp=sharing"",""อำนาจเจริญ!N223"")+IMPORTRANGE(""https://docs.google.com/spreadsheets/d/1gF7RJpRnL-1oyjyeWxs5SFWEH7y8ahOZsQlyp2A2e-A/edit?usp=s"&amp;"haring"",""อุดรธานี!N223"")+IMPORTRANGE(""https://docs.google.com/spreadsheets/d/1kfLP0j3INXRa8bTDpcEmoWewMBV61jlFlfzczfjWIgc/edit?usp=sharing"",""อุบลราชธานี!N223"")"),0)</f>
        <v>0</v>
      </c>
      <c r="O223" s="164"/>
      <c r="P223" s="55"/>
      <c r="Q223" s="56">
        <f ca="1">IFERROR(__xludf.DUMMYFUNCTION("IMPORTRANGE(""https://docs.google.com/spreadsheets/d/1yhBcrRPreicbMKl9Bu_Snb2-OcQAF62RKfhTLhJ2eAA/edit?usp=sharing"",""กาฬสินธุ์!Q223"")+IMPORTRANGE(""https://docs.google.com/spreadsheets/d/1aHkj4IaQMThhwWwevcOymEh837vdxeC_PycurhTbGFA/edit?usp=sharing"","&amp;"""ขอนแก่น!Q223"")+IMPORTRANGE(""https://docs.google.com/spreadsheets/d/1FvTu2DsIWUjP6WCWra38Bkj_oOl_sOMf14r5Fg5srxU/edit?usp=sharing"",""ชัยภูมิ!Q223"")+IMPORTRANGE(""https://docs.google.com/spreadsheets/d/1XVB7oCJ3pr-vBUdflwPQ8Z2LlzhnCvZaaYjAfP-647E/edit"&amp;"?usp=sharing"",""นครพนม!Q223"")+IMPORTRANGE(""https://docs.google.com/spreadsheets/d/1Mnpb-8PYAgn85W6KOTD40hc_Xc55CaLfHoGAbrZ8tls/edit?usp=sharing"",""นครราชสีมา!Q223"")+IMPORTRANGE(""https://docs.google.com/spreadsheets/d/1xoDLGBv9CYbyosIhki0kTq6IpYNj-gp"&amp;"jxfobnaDiut0/edit?usp=sharing"",""บึงกาฬ!Q223"")+IMPORTRANGE(""https://docs.google.com/spreadsheets/d/1MMPq-JyI6DSgQETxuSiXkesP-P7JHuemnE6QJIa-Nlw/edit?usp=sharing"",""บุรีรัมย์!Q223"")+IMPORTRANGE(""https://docs.google.com/spreadsheets/d/1l6IZ8xUPgMrESzc"&amp;"TYwhA1k_tPjeQjJPTqlm8Gd9eU5g/edit?usp=sharing"",""มหาสารคาม!Q223"")+IMPORTRANGE(""https://docs.google.com/spreadsheets/d/1uB74YLqNjWX6FObjekfB2NtSYigTQyR2rq9u4Ub2Sq4/edit?usp=sharing"",""มุกดาหาร!Q223"")+IMPORTRANGE(""https://docs.google.com/spreadsheets/"&amp;"d/1NexK3geCPxCTO1fzNF8dPec7yZyUx3OaWkFBC9HsQOo/edit?usp=sharing"",""ยโสธร!Q223"")+IMPORTRANGE(""https://docs.google.com/spreadsheets/d/1v_cJrbBlyqmnHPReHk44g9NrMRdENNlSy_E_c5M9fIg/edit?usp=sharing"",""ร้อยเอ็ด!Q223"")+IMPORTRANGE(""https://docs.google.com"&amp;"/spreadsheets/d/1Ul4RCpCX66NxYADU1QpwAPjOmBzW64SsT11s1wzXw_c/edit?usp=sharing"",""เลย!Q223"")+IMPORTRANGE(""https://docs.google.com/spreadsheets/d/1bRrNKwbHDVktQG10isr5vbWRtt5spIZPpkOSWgbT5ug/edit?usp=sharing"",""ศรีสะเกษ!Q223"")+IMPORTRANGE(""https://doc"&amp;"s.google.com/spreadsheets/d/17P34_Ow5kFBfdQD0qspb2UuPX5zpi6WMrQzslghyvrI/edit?usp=sharing"",""สกลนคร!Q223"")+IMPORTRANGE(""https://docs.google.com/spreadsheets/d/1yswqbM3-AEpThF3ZSUa1AcmHnmRTF1vlJ1CZGcJ8YuU/edit?usp=sharing"",""สุรินทร์!Q223"")+IMPORTRANG"&amp;"E(""https://docs.google.com/spreadsheets/d/13JHU_EFbsQOUQ0JSQ3dWy1VTRosIWcDq6Nc99z2qzdc/edit?usp=sharing"",""หนองคาย!Q223"")+IMPORTRANGE(""https://docs.google.com/spreadsheets/d/1Hx73zIEgVdDZZaYSTc46Dqv64atFhpr3GelxLbaIN8A/edit?usp=sharing"",""หนองบัวลำภู"&amp;"!Q223"")+IMPORTRANGE(""https://docs.google.com/spreadsheets/d/1lFxr3ctmjFN90yc-xV6jrQ9Ty8BKYVBWnAZ15wcNIJc/edit?usp=sharing"",""อำนาจเจริญ!Q223"")+IMPORTRANGE(""https://docs.google.com/spreadsheets/d/1gF7RJpRnL-1oyjyeWxs5SFWEH7y8ahOZsQlyp2A2e-A/edit?usp=s"&amp;"haring"",""อุดรธานี!Q223"")+IMPORTRANGE(""https://docs.google.com/spreadsheets/d/1kfLP0j3INXRa8bTDpcEmoWewMBV61jlFlfzczfjWIgc/edit?usp=sharing"",""อุบลราชธานี!Q223"")"),0)</f>
        <v>0</v>
      </c>
      <c r="R223" s="56">
        <f ca="1">IFERROR(__xludf.DUMMYFUNCTION("IMPORTRANGE(""https://docs.google.com/spreadsheets/d/1yhBcrRPreicbMKl9Bu_Snb2-OcQAF62RKfhTLhJ2eAA/edit?usp=sharing"",""กาฬสินธุ์!R223"")+IMPORTRANGE(""https://docs.google.com/spreadsheets/d/1aHkj4IaQMThhwWwevcOymEh837vdxeC_PycurhTbGFA/edit?usp=sharing"","&amp;"""ขอนแก่น!R223"")+IMPORTRANGE(""https://docs.google.com/spreadsheets/d/1FvTu2DsIWUjP6WCWra38Bkj_oOl_sOMf14r5Fg5srxU/edit?usp=sharing"",""ชัยภูมิ!R223"")+IMPORTRANGE(""https://docs.google.com/spreadsheets/d/1XVB7oCJ3pr-vBUdflwPQ8Z2LlzhnCvZaaYjAfP-647E/edit"&amp;"?usp=sharing"",""นครพนม!R223"")+IMPORTRANGE(""https://docs.google.com/spreadsheets/d/1Mnpb-8PYAgn85W6KOTD40hc_Xc55CaLfHoGAbrZ8tls/edit?usp=sharing"",""นครราชสีมา!R223"")+IMPORTRANGE(""https://docs.google.com/spreadsheets/d/1xoDLGBv9CYbyosIhki0kTq6IpYNj-gp"&amp;"jxfobnaDiut0/edit?usp=sharing"",""บึงกาฬ!R223"")+IMPORTRANGE(""https://docs.google.com/spreadsheets/d/1MMPq-JyI6DSgQETxuSiXkesP-P7JHuemnE6QJIa-Nlw/edit?usp=sharing"",""บุรีรัมย์!R223"")+IMPORTRANGE(""https://docs.google.com/spreadsheets/d/1l6IZ8xUPgMrESzc"&amp;"TYwhA1k_tPjeQjJPTqlm8Gd9eU5g/edit?usp=sharing"",""มหาสารคาม!R223"")+IMPORTRANGE(""https://docs.google.com/spreadsheets/d/1uB74YLqNjWX6FObjekfB2NtSYigTQyR2rq9u4Ub2Sq4/edit?usp=sharing"",""มุกดาหาร!R223"")+IMPORTRANGE(""https://docs.google.com/spreadsheets/"&amp;"d/1NexK3geCPxCTO1fzNF8dPec7yZyUx3OaWkFBC9HsQOo/edit?usp=sharing"",""ยโสธร!R223"")+IMPORTRANGE(""https://docs.google.com/spreadsheets/d/1v_cJrbBlyqmnHPReHk44g9NrMRdENNlSy_E_c5M9fIg/edit?usp=sharing"",""ร้อยเอ็ด!R223"")+IMPORTRANGE(""https://docs.google.com"&amp;"/spreadsheets/d/1Ul4RCpCX66NxYADU1QpwAPjOmBzW64SsT11s1wzXw_c/edit?usp=sharing"",""เลย!R223"")+IMPORTRANGE(""https://docs.google.com/spreadsheets/d/1bRrNKwbHDVktQG10isr5vbWRtt5spIZPpkOSWgbT5ug/edit?usp=sharing"",""ศรีสะเกษ!R223"")+IMPORTRANGE(""https://doc"&amp;"s.google.com/spreadsheets/d/17P34_Ow5kFBfdQD0qspb2UuPX5zpi6WMrQzslghyvrI/edit?usp=sharing"",""สกลนคร!R223"")+IMPORTRANGE(""https://docs.google.com/spreadsheets/d/1yswqbM3-AEpThF3ZSUa1AcmHnmRTF1vlJ1CZGcJ8YuU/edit?usp=sharing"",""สุรินทร์!R223"")+IMPORTRANG"&amp;"E(""https://docs.google.com/spreadsheets/d/13JHU_EFbsQOUQ0JSQ3dWy1VTRosIWcDq6Nc99z2qzdc/edit?usp=sharing"",""หนองคาย!R223"")+IMPORTRANGE(""https://docs.google.com/spreadsheets/d/1Hx73zIEgVdDZZaYSTc46Dqv64atFhpr3GelxLbaIN8A/edit?usp=sharing"",""หนองบัวลำภู"&amp;"!R223"")+IMPORTRANGE(""https://docs.google.com/spreadsheets/d/1lFxr3ctmjFN90yc-xV6jrQ9Ty8BKYVBWnAZ15wcNIJc/edit?usp=sharing"",""อำนาจเจริญ!R223"")+IMPORTRANGE(""https://docs.google.com/spreadsheets/d/1gF7RJpRnL-1oyjyeWxs5SFWEH7y8ahOZsQlyp2A2e-A/edit?usp=s"&amp;"haring"",""อุดรธานี!R223"")+IMPORTRANGE(""https://docs.google.com/spreadsheets/d/1kfLP0j3INXRa8bTDpcEmoWewMBV61jlFlfzczfjWIgc/edit?usp=sharing"",""อุบลราชธานี!R223"")"),0)</f>
        <v>0</v>
      </c>
      <c r="S223" s="57">
        <f ca="1">IFERROR(__xludf.DUMMYFUNCTION("IMPORTRANGE(""https://docs.google.com/spreadsheets/d/1yhBcrRPreicbMKl9Bu_Snb2-OcQAF62RKfhTLhJ2eAA/edit?usp=sharing"",""กาฬสินธุ์!S198"")+IMPORTRANGE(""https://docs.google.com/spreadsheets/d/1aHkj4IaQMThhwWwevcOymEh837vdxeC_PycurhTbGFA/edit?usp=sharing"","&amp;"""ขอนแก่น!S198"")+IMPORTRANGE(""https://docs.google.com/spreadsheets/d/1FvTu2DsIWUjP6WCWra38Bkj_oOl_sOMf14r5Fg5srxU/edit?usp=sharing"",""ชัยภูมิ!S198"")+IMPORTRANGE(""https://docs.google.com/spreadsheets/d/1XVB7oCJ3pr-vBUdflwPQ8Z2LlzhnCvZaaYjAfP-647E/edit"&amp;"?usp=sharing"",""นครพนม!S198"")+IMPORTRANGE(""https://docs.google.com/spreadsheets/d/1Mnpb-8PYAgn85W6KOTD40hc_Xc55CaLfHoGAbrZ8tls/edit?usp=sharing"",""นครราชสีมา!S198"")+IMPORTRANGE(""https://docs.google.com/spreadsheets/d/1xoDLGBv9CYbyosIhki0kTq6IpYNj-gp"&amp;"jxfobnaDiut0/edit?usp=sharing"",""บึงกาฬ!S198"")+IMPORTRANGE(""https://docs.google.com/spreadsheets/d/1MMPq-JyI6DSgQETxuSiXkesP-P7JHuemnE6QJIa-Nlw/edit?usp=sharing"",""บุรีรัมย์!S198"")+IMPORTRANGE(""https://docs.google.com/spreadsheets/d/1l6IZ8xUPgMrESzc"&amp;"TYwhA1k_tPjeQjJPTqlm8Gd9eU5g/edit?usp=sharing"",""มหาสารคาม!S198"")+IMPORTRANGE(""https://docs.google.com/spreadsheets/d/1uB74YLqNjWX6FObjekfB2NtSYigTQyR2rq9u4Ub2Sq4/edit?usp=sharing"",""มุกดาหาร!S198"")+IMPORTRANGE(""https://docs.google.com/spreadsheets/"&amp;"d/1NexK3geCPxCTO1fzNF8dPec7yZyUx3OaWkFBC9HsQOo/edit?usp=sharing"",""ยโสธร!S198"")+IMPORTRANGE(""https://docs.google.com/spreadsheets/d/1v_cJrbBlyqmnHPReHk44g9NrMRdENNlSy_E_c5M9fIg/edit?usp=sharing"",""ร้อยเอ็ด!S198"")+IMPORTRANGE(""https://docs.google.com"&amp;"/spreadsheets/d/1Ul4RCpCX66NxYADU1QpwAPjOmBzW64SsT11s1wzXw_c/edit?usp=sharing"",""เลย!S198"")+IMPORTRANGE(""https://docs.google.com/spreadsheets/d/1bRrNKwbHDVktQG10isr5vbWRtt5spIZPpkOSWgbT5ug/edit?usp=sharing"",""ศรีสะเกษ!S198"")+IMPORTRANGE(""https://doc"&amp;"s.google.com/spreadsheets/d/17P34_Ow5kFBfdQD0qspb2UuPX5zpi6WMrQzslghyvrI/edit?usp=sharing"",""สกลนคร!S198"")+IMPORTRANGE(""https://docs.google.com/spreadsheets/d/1yswqbM3-AEpThF3ZSUa1AcmHnmRTF1vlJ1CZGcJ8YuU/edit?usp=sharing"",""สุรินทร์!S198"")+IMPORTRANG"&amp;"E(""https://docs.google.com/spreadsheets/d/13JHU_EFbsQOUQ0JSQ3dWy1VTRosIWcDq6Nc99z2qzdc/edit?usp=sharing"",""หนองคาย!S198"")+IMPORTRANGE(""https://docs.google.com/spreadsheets/d/1Hx73zIEgVdDZZaYSTc46Dqv64atFhpr3GelxLbaIN8A/edit?usp=sharing"",""หนองบัวลำภู"&amp;"!S198"")+IMPORTRANGE(""https://docs.google.com/spreadsheets/d/1lFxr3ctmjFN90yc-xV6jrQ9Ty8BKYVBWnAZ15wcNIJc/edit?usp=sharing"",""อำนาจเจริญ!S198"")+IMPORTRANGE(""https://docs.google.com/spreadsheets/d/1gF7RJpRnL-1oyjyeWxs5SFWEH7y8ahOZsQlyp2A2e-A/edit?usp=s"&amp;"haring"",""อุดรธานี!S198"")+IMPORTRANGE(""https://docs.google.com/spreadsheets/d/1kfLP0j3INXRa8bTDpcEmoWewMBV61jlFlfzczfjWIgc/edit?usp=sharing"",""อุบลราชธานี!S198"")"),0)</f>
        <v>0</v>
      </c>
      <c r="T223" s="164"/>
      <c r="U223" s="55"/>
    </row>
    <row r="224" spans="1:21" ht="18.75">
      <c r="A224" s="238"/>
      <c r="B224" s="188"/>
      <c r="C224" s="188"/>
      <c r="D224" s="58" t="s">
        <v>100</v>
      </c>
      <c r="E224" s="50"/>
      <c r="F224" s="50"/>
      <c r="G224" s="52"/>
      <c r="H224" s="162" t="s">
        <v>14</v>
      </c>
      <c r="I224" s="54"/>
      <c r="J224" s="54"/>
      <c r="K224" s="55"/>
      <c r="L224" s="56">
        <f ca="1">IFERROR(__xludf.DUMMYFUNCTION("IMPORTRANGE(""https://docs.google.com/spreadsheets/d/1yhBcrRPreicbMKl9Bu_Snb2-OcQAF62RKfhTLhJ2eAA/edit?usp=sharing"",""กาฬสินธุ์!L224"")+IMPORTRANGE(""https://docs.google.com/spreadsheets/d/1aHkj4IaQMThhwWwevcOymEh837vdxeC_PycurhTbGFA/edit?usp=sharing"","&amp;"""ขอนแก่น!L224"")+IMPORTRANGE(""https://docs.google.com/spreadsheets/d/1FvTu2DsIWUjP6WCWra38Bkj_oOl_sOMf14r5Fg5srxU/edit?usp=sharing"",""ชัยภูมิ!L224"")+IMPORTRANGE(""https://docs.google.com/spreadsheets/d/1XVB7oCJ3pr-vBUdflwPQ8Z2LlzhnCvZaaYjAfP-647E/edit"&amp;"?usp=sharing"",""นครพนม!L224"")+IMPORTRANGE(""https://docs.google.com/spreadsheets/d/1Mnpb-8PYAgn85W6KOTD40hc_Xc55CaLfHoGAbrZ8tls/edit?usp=sharing"",""นครราชสีมา!L224"")+IMPORTRANGE(""https://docs.google.com/spreadsheets/d/1xoDLGBv9CYbyosIhki0kTq6IpYNj-gp"&amp;"jxfobnaDiut0/edit?usp=sharing"",""บึงกาฬ!L224"")+IMPORTRANGE(""https://docs.google.com/spreadsheets/d/1MMPq-JyI6DSgQETxuSiXkesP-P7JHuemnE6QJIa-Nlw/edit?usp=sharing"",""บุรีรัมย์!L224"")+IMPORTRANGE(""https://docs.google.com/spreadsheets/d/1l6IZ8xUPgMrESzc"&amp;"TYwhA1k_tPjeQjJPTqlm8Gd9eU5g/edit?usp=sharing"",""มหาสารคาม!L224"")+IMPORTRANGE(""https://docs.google.com/spreadsheets/d/1uB74YLqNjWX6FObjekfB2NtSYigTQyR2rq9u4Ub2Sq4/edit?usp=sharing"",""มุกดาหาร!L224"")+IMPORTRANGE(""https://docs.google.com/spreadsheets/"&amp;"d/1NexK3geCPxCTO1fzNF8dPec7yZyUx3OaWkFBC9HsQOo/edit?usp=sharing"",""ยโสธร!L224"")+IMPORTRANGE(""https://docs.google.com/spreadsheets/d/1v_cJrbBlyqmnHPReHk44g9NrMRdENNlSy_E_c5M9fIg/edit?usp=sharing"",""ร้อยเอ็ด!L224"")+IMPORTRANGE(""https://docs.google.com"&amp;"/spreadsheets/d/1Ul4RCpCX66NxYADU1QpwAPjOmBzW64SsT11s1wzXw_c/edit?usp=sharing"",""เลย!L224"")+IMPORTRANGE(""https://docs.google.com/spreadsheets/d/1bRrNKwbHDVktQG10isr5vbWRtt5spIZPpkOSWgbT5ug/edit?usp=sharing"",""ศรีสะเกษ!L224"")+IMPORTRANGE(""https://doc"&amp;"s.google.com/spreadsheets/d/17P34_Ow5kFBfdQD0qspb2UuPX5zpi6WMrQzslghyvrI/edit?usp=sharing"",""สกลนคร!L224"")+IMPORTRANGE(""https://docs.google.com/spreadsheets/d/1yswqbM3-AEpThF3ZSUa1AcmHnmRTF1vlJ1CZGcJ8YuU/edit?usp=sharing"",""สุรินทร์!L224"")+IMPORTRANG"&amp;"E(""https://docs.google.com/spreadsheets/d/13JHU_EFbsQOUQ0JSQ3dWy1VTRosIWcDq6Nc99z2qzdc/edit?usp=sharing"",""หนองคาย!L224"")+IMPORTRANGE(""https://docs.google.com/spreadsheets/d/1Hx73zIEgVdDZZaYSTc46Dqv64atFhpr3GelxLbaIN8A/edit?usp=sharing"",""หนองบัวลำภู"&amp;"!L224"")+IMPORTRANGE(""https://docs.google.com/spreadsheets/d/1lFxr3ctmjFN90yc-xV6jrQ9Ty8BKYVBWnAZ15wcNIJc/edit?usp=sharing"",""อำนาจเจริญ!L224"")+IMPORTRANGE(""https://docs.google.com/spreadsheets/d/1gF7RJpRnL-1oyjyeWxs5SFWEH7y8ahOZsQlyp2A2e-A/edit?usp=s"&amp;"haring"",""อุดรธานี!L224"")+IMPORTRANGE(""https://docs.google.com/spreadsheets/d/1kfLP0j3INXRa8bTDpcEmoWewMBV61jlFlfzczfjWIgc/edit?usp=sharing"",""อุบลราชธานี!L224"")"),104000)</f>
        <v>104000</v>
      </c>
      <c r="M224" s="56">
        <f ca="1">IFERROR(__xludf.DUMMYFUNCTION("IMPORTRANGE(""https://docs.google.com/spreadsheets/d/1yhBcrRPreicbMKl9Bu_Snb2-OcQAF62RKfhTLhJ2eAA/edit?usp=sharing"",""กาฬสินธุ์!M224"")+IMPORTRANGE(""https://docs.google.com/spreadsheets/d/1aHkj4IaQMThhwWwevcOymEh837vdxeC_PycurhTbGFA/edit?usp=sharing"","&amp;"""ขอนแก่น!M224"")+IMPORTRANGE(""https://docs.google.com/spreadsheets/d/1FvTu2DsIWUjP6WCWra38Bkj_oOl_sOMf14r5Fg5srxU/edit?usp=sharing"",""ชัยภูมิ!M224"")+IMPORTRANGE(""https://docs.google.com/spreadsheets/d/1XVB7oCJ3pr-vBUdflwPQ8Z2LlzhnCvZaaYjAfP-647E/edit"&amp;"?usp=sharing"",""นครพนม!M224"")+IMPORTRANGE(""https://docs.google.com/spreadsheets/d/1Mnpb-8PYAgn85W6KOTD40hc_Xc55CaLfHoGAbrZ8tls/edit?usp=sharing"",""นครราชสีมา!M224"")+IMPORTRANGE(""https://docs.google.com/spreadsheets/d/1xoDLGBv9CYbyosIhki0kTq6IpYNj-gp"&amp;"jxfobnaDiut0/edit?usp=sharing"",""บึงกาฬ!M224"")+IMPORTRANGE(""https://docs.google.com/spreadsheets/d/1MMPq-JyI6DSgQETxuSiXkesP-P7JHuemnE6QJIa-Nlw/edit?usp=sharing"",""บุรีรัมย์!M224"")+IMPORTRANGE(""https://docs.google.com/spreadsheets/d/1l6IZ8xUPgMrESzc"&amp;"TYwhA1k_tPjeQjJPTqlm8Gd9eU5g/edit?usp=sharing"",""มหาสารคาม!M224"")+IMPORTRANGE(""https://docs.google.com/spreadsheets/d/1uB74YLqNjWX6FObjekfB2NtSYigTQyR2rq9u4Ub2Sq4/edit?usp=sharing"",""มุกดาหาร!M224"")+IMPORTRANGE(""https://docs.google.com/spreadsheets/"&amp;"d/1NexK3geCPxCTO1fzNF8dPec7yZyUx3OaWkFBC9HsQOo/edit?usp=sharing"",""ยโสธร!M224"")+IMPORTRANGE(""https://docs.google.com/spreadsheets/d/1v_cJrbBlyqmnHPReHk44g9NrMRdENNlSy_E_c5M9fIg/edit?usp=sharing"",""ร้อยเอ็ด!M224"")+IMPORTRANGE(""https://docs.google.com"&amp;"/spreadsheets/d/1Ul4RCpCX66NxYADU1QpwAPjOmBzW64SsT11s1wzXw_c/edit?usp=sharing"",""เลย!M224"")+IMPORTRANGE(""https://docs.google.com/spreadsheets/d/1bRrNKwbHDVktQG10isr5vbWRtt5spIZPpkOSWgbT5ug/edit?usp=sharing"",""ศรีสะเกษ!M224"")+IMPORTRANGE(""https://doc"&amp;"s.google.com/spreadsheets/d/17P34_Ow5kFBfdQD0qspb2UuPX5zpi6WMrQzslghyvrI/edit?usp=sharing"",""สกลนคร!M224"")+IMPORTRANGE(""https://docs.google.com/spreadsheets/d/1yswqbM3-AEpThF3ZSUa1AcmHnmRTF1vlJ1CZGcJ8YuU/edit?usp=sharing"",""สุรินทร์!M224"")+IMPORTRANG"&amp;"E(""https://docs.google.com/spreadsheets/d/13JHU_EFbsQOUQ0JSQ3dWy1VTRosIWcDq6Nc99z2qzdc/edit?usp=sharing"",""หนองคาย!M224"")+IMPORTRANGE(""https://docs.google.com/spreadsheets/d/1Hx73zIEgVdDZZaYSTc46Dqv64atFhpr3GelxLbaIN8A/edit?usp=sharing"",""หนองบัวลำภู"&amp;"!M224"")+IMPORTRANGE(""https://docs.google.com/spreadsheets/d/1lFxr3ctmjFN90yc-xV6jrQ9Ty8BKYVBWnAZ15wcNIJc/edit?usp=sharing"",""อำนาจเจริญ!M224"")+IMPORTRANGE(""https://docs.google.com/spreadsheets/d/1gF7RJpRnL-1oyjyeWxs5SFWEH7y8ahOZsQlyp2A2e-A/edit?usp=s"&amp;"haring"",""อุดรธานี!M224"")+IMPORTRANGE(""https://docs.google.com/spreadsheets/d/1kfLP0j3INXRa8bTDpcEmoWewMBV61jlFlfzczfjWIgc/edit?usp=sharing"",""อุบลราชธานี!M224"")"),0)</f>
        <v>0</v>
      </c>
      <c r="N224" s="56">
        <f ca="1">IFERROR(__xludf.DUMMYFUNCTION("IMPORTRANGE(""https://docs.google.com/spreadsheets/d/1yhBcrRPreicbMKl9Bu_Snb2-OcQAF62RKfhTLhJ2eAA/edit?usp=sharing"",""กาฬสินธุ์!N224"")+IMPORTRANGE(""https://docs.google.com/spreadsheets/d/1aHkj4IaQMThhwWwevcOymEh837vdxeC_PycurhTbGFA/edit?usp=sharing"","&amp;"""ขอนแก่น!N224"")+IMPORTRANGE(""https://docs.google.com/spreadsheets/d/1FvTu2DsIWUjP6WCWra38Bkj_oOl_sOMf14r5Fg5srxU/edit?usp=sharing"",""ชัยภูมิ!N224"")+IMPORTRANGE(""https://docs.google.com/spreadsheets/d/1XVB7oCJ3pr-vBUdflwPQ8Z2LlzhnCvZaaYjAfP-647E/edit"&amp;"?usp=sharing"",""นครพนม!N224"")+IMPORTRANGE(""https://docs.google.com/spreadsheets/d/1Mnpb-8PYAgn85W6KOTD40hc_Xc55CaLfHoGAbrZ8tls/edit?usp=sharing"",""นครราชสีมา!N224"")+IMPORTRANGE(""https://docs.google.com/spreadsheets/d/1xoDLGBv9CYbyosIhki0kTq6IpYNj-gp"&amp;"jxfobnaDiut0/edit?usp=sharing"",""บึงกาฬ!N224"")+IMPORTRANGE(""https://docs.google.com/spreadsheets/d/1MMPq-JyI6DSgQETxuSiXkesP-P7JHuemnE6QJIa-Nlw/edit?usp=sharing"",""บุรีรัมย์!N224"")+IMPORTRANGE(""https://docs.google.com/spreadsheets/d/1l6IZ8xUPgMrESzc"&amp;"TYwhA1k_tPjeQjJPTqlm8Gd9eU5g/edit?usp=sharing"",""มหาสารคาม!N224"")+IMPORTRANGE(""https://docs.google.com/spreadsheets/d/1uB74YLqNjWX6FObjekfB2NtSYigTQyR2rq9u4Ub2Sq4/edit?usp=sharing"",""มุกดาหาร!N224"")+IMPORTRANGE(""https://docs.google.com/spreadsheets/"&amp;"d/1NexK3geCPxCTO1fzNF8dPec7yZyUx3OaWkFBC9HsQOo/edit?usp=sharing"",""ยโสธร!N224"")+IMPORTRANGE(""https://docs.google.com/spreadsheets/d/1v_cJrbBlyqmnHPReHk44g9NrMRdENNlSy_E_c5M9fIg/edit?usp=sharing"",""ร้อยเอ็ด!N224"")+IMPORTRANGE(""https://docs.google.com"&amp;"/spreadsheets/d/1Ul4RCpCX66NxYADU1QpwAPjOmBzW64SsT11s1wzXw_c/edit?usp=sharing"",""เลย!N224"")+IMPORTRANGE(""https://docs.google.com/spreadsheets/d/1bRrNKwbHDVktQG10isr5vbWRtt5spIZPpkOSWgbT5ug/edit?usp=sharing"",""ศรีสะเกษ!N224"")+IMPORTRANGE(""https://doc"&amp;"s.google.com/spreadsheets/d/17P34_Ow5kFBfdQD0qspb2UuPX5zpi6WMrQzslghyvrI/edit?usp=sharing"",""สกลนคร!N224"")+IMPORTRANGE(""https://docs.google.com/spreadsheets/d/1yswqbM3-AEpThF3ZSUa1AcmHnmRTF1vlJ1CZGcJ8YuU/edit?usp=sharing"",""สุรินทร์!N224"")+IMPORTRANG"&amp;"E(""https://docs.google.com/spreadsheets/d/13JHU_EFbsQOUQ0JSQ3dWy1VTRosIWcDq6Nc99z2qzdc/edit?usp=sharing"",""หนองคาย!N224"")+IMPORTRANGE(""https://docs.google.com/spreadsheets/d/1Hx73zIEgVdDZZaYSTc46Dqv64atFhpr3GelxLbaIN8A/edit?usp=sharing"",""หนองบัวลำภู"&amp;"!N224"")+IMPORTRANGE(""https://docs.google.com/spreadsheets/d/1lFxr3ctmjFN90yc-xV6jrQ9Ty8BKYVBWnAZ15wcNIJc/edit?usp=sharing"",""อำนาจเจริญ!N224"")+IMPORTRANGE(""https://docs.google.com/spreadsheets/d/1gF7RJpRnL-1oyjyeWxs5SFWEH7y8ahOZsQlyp2A2e-A/edit?usp=s"&amp;"haring"",""อุดรธานี!N224"")+IMPORTRANGE(""https://docs.google.com/spreadsheets/d/1kfLP0j3INXRa8bTDpcEmoWewMBV61jlFlfzczfjWIgc/edit?usp=sharing"",""อุบลราชธานี!N224"")"),1070)</f>
        <v>1070</v>
      </c>
      <c r="O224" s="164"/>
      <c r="P224" s="55"/>
      <c r="Q224" s="56">
        <f ca="1">IFERROR(__xludf.DUMMYFUNCTION("IMPORTRANGE(""https://docs.google.com/spreadsheets/d/1yhBcrRPreicbMKl9Bu_Snb2-OcQAF62RKfhTLhJ2eAA/edit?usp=sharing"",""กาฬสินธุ์!Q224"")+IMPORTRANGE(""https://docs.google.com/spreadsheets/d/1aHkj4IaQMThhwWwevcOymEh837vdxeC_PycurhTbGFA/edit?usp=sharing"","&amp;"""ขอนแก่น!Q224"")+IMPORTRANGE(""https://docs.google.com/spreadsheets/d/1FvTu2DsIWUjP6WCWra38Bkj_oOl_sOMf14r5Fg5srxU/edit?usp=sharing"",""ชัยภูมิ!Q224"")+IMPORTRANGE(""https://docs.google.com/spreadsheets/d/1XVB7oCJ3pr-vBUdflwPQ8Z2LlzhnCvZaaYjAfP-647E/edit"&amp;"?usp=sharing"",""นครพนม!Q224"")+IMPORTRANGE(""https://docs.google.com/spreadsheets/d/1Mnpb-8PYAgn85W6KOTD40hc_Xc55CaLfHoGAbrZ8tls/edit?usp=sharing"",""นครราชสีมา!Q224"")+IMPORTRANGE(""https://docs.google.com/spreadsheets/d/1xoDLGBv9CYbyosIhki0kTq6IpYNj-gp"&amp;"jxfobnaDiut0/edit?usp=sharing"",""บึงกาฬ!Q224"")+IMPORTRANGE(""https://docs.google.com/spreadsheets/d/1MMPq-JyI6DSgQETxuSiXkesP-P7JHuemnE6QJIa-Nlw/edit?usp=sharing"",""บุรีรัมย์!Q224"")+IMPORTRANGE(""https://docs.google.com/spreadsheets/d/1l6IZ8xUPgMrESzc"&amp;"TYwhA1k_tPjeQjJPTqlm8Gd9eU5g/edit?usp=sharing"",""มหาสารคาม!Q224"")+IMPORTRANGE(""https://docs.google.com/spreadsheets/d/1uB74YLqNjWX6FObjekfB2NtSYigTQyR2rq9u4Ub2Sq4/edit?usp=sharing"",""มุกดาหาร!Q224"")+IMPORTRANGE(""https://docs.google.com/spreadsheets/"&amp;"d/1NexK3geCPxCTO1fzNF8dPec7yZyUx3OaWkFBC9HsQOo/edit?usp=sharing"",""ยโสธร!Q224"")+IMPORTRANGE(""https://docs.google.com/spreadsheets/d/1v_cJrbBlyqmnHPReHk44g9NrMRdENNlSy_E_c5M9fIg/edit?usp=sharing"",""ร้อยเอ็ด!Q224"")+IMPORTRANGE(""https://docs.google.com"&amp;"/spreadsheets/d/1Ul4RCpCX66NxYADU1QpwAPjOmBzW64SsT11s1wzXw_c/edit?usp=sharing"",""เลย!Q224"")+IMPORTRANGE(""https://docs.google.com/spreadsheets/d/1bRrNKwbHDVktQG10isr5vbWRtt5spIZPpkOSWgbT5ug/edit?usp=sharing"",""ศรีสะเกษ!Q224"")+IMPORTRANGE(""https://doc"&amp;"s.google.com/spreadsheets/d/17P34_Ow5kFBfdQD0qspb2UuPX5zpi6WMrQzslghyvrI/edit?usp=sharing"",""สกลนคร!Q224"")+IMPORTRANGE(""https://docs.google.com/spreadsheets/d/1yswqbM3-AEpThF3ZSUa1AcmHnmRTF1vlJ1CZGcJ8YuU/edit?usp=sharing"",""สุรินทร์!Q224"")+IMPORTRANG"&amp;"E(""https://docs.google.com/spreadsheets/d/13JHU_EFbsQOUQ0JSQ3dWy1VTRosIWcDq6Nc99z2qzdc/edit?usp=sharing"",""หนองคาย!Q224"")+IMPORTRANGE(""https://docs.google.com/spreadsheets/d/1Hx73zIEgVdDZZaYSTc46Dqv64atFhpr3GelxLbaIN8A/edit?usp=sharing"",""หนองบัวลำภู"&amp;"!Q224"")+IMPORTRANGE(""https://docs.google.com/spreadsheets/d/1lFxr3ctmjFN90yc-xV6jrQ9Ty8BKYVBWnAZ15wcNIJc/edit?usp=sharing"",""อำนาจเจริญ!Q224"")+IMPORTRANGE(""https://docs.google.com/spreadsheets/d/1gF7RJpRnL-1oyjyeWxs5SFWEH7y8ahOZsQlyp2A2e-A/edit?usp=s"&amp;"haring"",""อุดรธานี!Q224"")+IMPORTRANGE(""https://docs.google.com/spreadsheets/d/1kfLP0j3INXRa8bTDpcEmoWewMBV61jlFlfzczfjWIgc/edit?usp=sharing"",""อุบลราชธานี!Q224"")"),0)</f>
        <v>0</v>
      </c>
      <c r="R224" s="56">
        <f ca="1">IFERROR(__xludf.DUMMYFUNCTION("IMPORTRANGE(""https://docs.google.com/spreadsheets/d/1yhBcrRPreicbMKl9Bu_Snb2-OcQAF62RKfhTLhJ2eAA/edit?usp=sharing"",""กาฬสินธุ์!R224"")+IMPORTRANGE(""https://docs.google.com/spreadsheets/d/1aHkj4IaQMThhwWwevcOymEh837vdxeC_PycurhTbGFA/edit?usp=sharing"","&amp;"""ขอนแก่น!R224"")+IMPORTRANGE(""https://docs.google.com/spreadsheets/d/1FvTu2DsIWUjP6WCWra38Bkj_oOl_sOMf14r5Fg5srxU/edit?usp=sharing"",""ชัยภูมิ!R224"")+IMPORTRANGE(""https://docs.google.com/spreadsheets/d/1XVB7oCJ3pr-vBUdflwPQ8Z2LlzhnCvZaaYjAfP-647E/edit"&amp;"?usp=sharing"",""นครพนม!R224"")+IMPORTRANGE(""https://docs.google.com/spreadsheets/d/1Mnpb-8PYAgn85W6KOTD40hc_Xc55CaLfHoGAbrZ8tls/edit?usp=sharing"",""นครราชสีมา!R224"")+IMPORTRANGE(""https://docs.google.com/spreadsheets/d/1xoDLGBv9CYbyosIhki0kTq6IpYNj-gp"&amp;"jxfobnaDiut0/edit?usp=sharing"",""บึงกาฬ!R224"")+IMPORTRANGE(""https://docs.google.com/spreadsheets/d/1MMPq-JyI6DSgQETxuSiXkesP-P7JHuemnE6QJIa-Nlw/edit?usp=sharing"",""บุรีรัมย์!R224"")+IMPORTRANGE(""https://docs.google.com/spreadsheets/d/1l6IZ8xUPgMrESzc"&amp;"TYwhA1k_tPjeQjJPTqlm8Gd9eU5g/edit?usp=sharing"",""มหาสารคาม!R224"")+IMPORTRANGE(""https://docs.google.com/spreadsheets/d/1uB74YLqNjWX6FObjekfB2NtSYigTQyR2rq9u4Ub2Sq4/edit?usp=sharing"",""มุกดาหาร!R224"")+IMPORTRANGE(""https://docs.google.com/spreadsheets/"&amp;"d/1NexK3geCPxCTO1fzNF8dPec7yZyUx3OaWkFBC9HsQOo/edit?usp=sharing"",""ยโสธร!R224"")+IMPORTRANGE(""https://docs.google.com/spreadsheets/d/1v_cJrbBlyqmnHPReHk44g9NrMRdENNlSy_E_c5M9fIg/edit?usp=sharing"",""ร้อยเอ็ด!R224"")+IMPORTRANGE(""https://docs.google.com"&amp;"/spreadsheets/d/1Ul4RCpCX66NxYADU1QpwAPjOmBzW64SsT11s1wzXw_c/edit?usp=sharing"",""เลย!R224"")+IMPORTRANGE(""https://docs.google.com/spreadsheets/d/1bRrNKwbHDVktQG10isr5vbWRtt5spIZPpkOSWgbT5ug/edit?usp=sharing"",""ศรีสะเกษ!R224"")+IMPORTRANGE(""https://doc"&amp;"s.google.com/spreadsheets/d/17P34_Ow5kFBfdQD0qspb2UuPX5zpi6WMrQzslghyvrI/edit?usp=sharing"",""สกลนคร!R224"")+IMPORTRANGE(""https://docs.google.com/spreadsheets/d/1yswqbM3-AEpThF3ZSUa1AcmHnmRTF1vlJ1CZGcJ8YuU/edit?usp=sharing"",""สุรินทร์!R224"")+IMPORTRANG"&amp;"E(""https://docs.google.com/spreadsheets/d/13JHU_EFbsQOUQ0JSQ3dWy1VTRosIWcDq6Nc99z2qzdc/edit?usp=sharing"",""หนองคาย!R224"")+IMPORTRANGE(""https://docs.google.com/spreadsheets/d/1Hx73zIEgVdDZZaYSTc46Dqv64atFhpr3GelxLbaIN8A/edit?usp=sharing"",""หนองบัวลำภู"&amp;"!R224"")+IMPORTRANGE(""https://docs.google.com/spreadsheets/d/1lFxr3ctmjFN90yc-xV6jrQ9Ty8BKYVBWnAZ15wcNIJc/edit?usp=sharing"",""อำนาจเจริญ!R224"")+IMPORTRANGE(""https://docs.google.com/spreadsheets/d/1gF7RJpRnL-1oyjyeWxs5SFWEH7y8ahOZsQlyp2A2e-A/edit?usp=s"&amp;"haring"",""อุดรธานี!R224"")+IMPORTRANGE(""https://docs.google.com/spreadsheets/d/1kfLP0j3INXRa8bTDpcEmoWewMBV61jlFlfzczfjWIgc/edit?usp=sharing"",""อุบลราชธานี!R224"")"),0)</f>
        <v>0</v>
      </c>
      <c r="S224" s="57">
        <f ca="1">IFERROR(__xludf.DUMMYFUNCTION("IMPORTRANGE(""https://docs.google.com/spreadsheets/d/1yhBcrRPreicbMKl9Bu_Snb2-OcQAF62RKfhTLhJ2eAA/edit?usp=sharing"",""กาฬสินธุ์!S198"")+IMPORTRANGE(""https://docs.google.com/spreadsheets/d/1aHkj4IaQMThhwWwevcOymEh837vdxeC_PycurhTbGFA/edit?usp=sharing"","&amp;"""ขอนแก่น!S198"")+IMPORTRANGE(""https://docs.google.com/spreadsheets/d/1FvTu2DsIWUjP6WCWra38Bkj_oOl_sOMf14r5Fg5srxU/edit?usp=sharing"",""ชัยภูมิ!S198"")+IMPORTRANGE(""https://docs.google.com/spreadsheets/d/1XVB7oCJ3pr-vBUdflwPQ8Z2LlzhnCvZaaYjAfP-647E/edit"&amp;"?usp=sharing"",""นครพนม!S198"")+IMPORTRANGE(""https://docs.google.com/spreadsheets/d/1Mnpb-8PYAgn85W6KOTD40hc_Xc55CaLfHoGAbrZ8tls/edit?usp=sharing"",""นครราชสีมา!S198"")+IMPORTRANGE(""https://docs.google.com/spreadsheets/d/1xoDLGBv9CYbyosIhki0kTq6IpYNj-gp"&amp;"jxfobnaDiut0/edit?usp=sharing"",""บึงกาฬ!S198"")+IMPORTRANGE(""https://docs.google.com/spreadsheets/d/1MMPq-JyI6DSgQETxuSiXkesP-P7JHuemnE6QJIa-Nlw/edit?usp=sharing"",""บุรีรัมย์!S198"")+IMPORTRANGE(""https://docs.google.com/spreadsheets/d/1l6IZ8xUPgMrESzc"&amp;"TYwhA1k_tPjeQjJPTqlm8Gd9eU5g/edit?usp=sharing"",""มหาสารคาม!S198"")+IMPORTRANGE(""https://docs.google.com/spreadsheets/d/1uB74YLqNjWX6FObjekfB2NtSYigTQyR2rq9u4Ub2Sq4/edit?usp=sharing"",""มุกดาหาร!S198"")+IMPORTRANGE(""https://docs.google.com/spreadsheets/"&amp;"d/1NexK3geCPxCTO1fzNF8dPec7yZyUx3OaWkFBC9HsQOo/edit?usp=sharing"",""ยโสธร!S198"")+IMPORTRANGE(""https://docs.google.com/spreadsheets/d/1v_cJrbBlyqmnHPReHk44g9NrMRdENNlSy_E_c5M9fIg/edit?usp=sharing"",""ร้อยเอ็ด!S198"")+IMPORTRANGE(""https://docs.google.com"&amp;"/spreadsheets/d/1Ul4RCpCX66NxYADU1QpwAPjOmBzW64SsT11s1wzXw_c/edit?usp=sharing"",""เลย!S198"")+IMPORTRANGE(""https://docs.google.com/spreadsheets/d/1bRrNKwbHDVktQG10isr5vbWRtt5spIZPpkOSWgbT5ug/edit?usp=sharing"",""ศรีสะเกษ!S198"")+IMPORTRANGE(""https://doc"&amp;"s.google.com/spreadsheets/d/17P34_Ow5kFBfdQD0qspb2UuPX5zpi6WMrQzslghyvrI/edit?usp=sharing"",""สกลนคร!S198"")+IMPORTRANGE(""https://docs.google.com/spreadsheets/d/1yswqbM3-AEpThF3ZSUa1AcmHnmRTF1vlJ1CZGcJ8YuU/edit?usp=sharing"",""สุรินทร์!S198"")+IMPORTRANG"&amp;"E(""https://docs.google.com/spreadsheets/d/13JHU_EFbsQOUQ0JSQ3dWy1VTRosIWcDq6Nc99z2qzdc/edit?usp=sharing"",""หนองคาย!S198"")+IMPORTRANGE(""https://docs.google.com/spreadsheets/d/1Hx73zIEgVdDZZaYSTc46Dqv64atFhpr3GelxLbaIN8A/edit?usp=sharing"",""หนองบัวลำภู"&amp;"!S198"")+IMPORTRANGE(""https://docs.google.com/spreadsheets/d/1lFxr3ctmjFN90yc-xV6jrQ9Ty8BKYVBWnAZ15wcNIJc/edit?usp=sharing"",""อำนาจเจริญ!S198"")+IMPORTRANGE(""https://docs.google.com/spreadsheets/d/1gF7RJpRnL-1oyjyeWxs5SFWEH7y8ahOZsQlyp2A2e-A/edit?usp=s"&amp;"haring"",""อุดรธานี!S198"")+IMPORTRANGE(""https://docs.google.com/spreadsheets/d/1kfLP0j3INXRa8bTDpcEmoWewMBV61jlFlfzczfjWIgc/edit?usp=sharing"",""อุบลราชธานี!S198"")"),0)</f>
        <v>0</v>
      </c>
      <c r="T224" s="164"/>
      <c r="U224" s="55"/>
    </row>
    <row r="225" spans="1:21" ht="12.75">
      <c r="A225" s="258"/>
      <c r="B225" s="259"/>
      <c r="C225" s="259"/>
      <c r="D225" s="260"/>
      <c r="E225" s="260"/>
      <c r="F225" s="260"/>
      <c r="G225" s="261"/>
      <c r="H225" s="262"/>
      <c r="I225" s="263"/>
      <c r="J225" s="263"/>
      <c r="K225" s="264"/>
      <c r="L225" s="264"/>
      <c r="M225" s="264"/>
      <c r="N225" s="264"/>
      <c r="O225" s="264"/>
      <c r="P225" s="264"/>
      <c r="Q225" s="264"/>
      <c r="R225" s="264"/>
      <c r="S225" s="265"/>
      <c r="T225" s="164"/>
      <c r="U225" s="55"/>
    </row>
    <row r="226" spans="1:21" ht="19.5">
      <c r="A226" s="166"/>
      <c r="B226" s="167"/>
      <c r="C226" s="191" t="s">
        <v>18</v>
      </c>
      <c r="D226" s="168" t="s">
        <v>38</v>
      </c>
      <c r="E226" s="169"/>
      <c r="F226" s="169"/>
      <c r="G226" s="170"/>
      <c r="H226" s="171"/>
      <c r="I226" s="163"/>
      <c r="J226" s="163"/>
      <c r="K226" s="164"/>
      <c r="L226" s="164"/>
      <c r="M226" s="164"/>
      <c r="N226" s="164"/>
      <c r="O226" s="164"/>
      <c r="P226" s="164"/>
      <c r="Q226" s="164"/>
      <c r="R226" s="164"/>
      <c r="S226" s="172"/>
      <c r="T226" s="164"/>
      <c r="U226" s="164"/>
    </row>
    <row r="227" spans="1:21" ht="18.75">
      <c r="A227" s="166"/>
      <c r="B227" s="167"/>
      <c r="C227" s="167"/>
      <c r="D227" s="58" t="s">
        <v>101</v>
      </c>
      <c r="E227" s="174"/>
      <c r="F227" s="174"/>
      <c r="G227" s="171"/>
      <c r="H227" s="171"/>
      <c r="I227" s="54"/>
      <c r="J227" s="54"/>
      <c r="K227" s="164"/>
      <c r="L227" s="164"/>
      <c r="M227" s="164"/>
      <c r="N227" s="164"/>
      <c r="O227" s="164"/>
      <c r="P227" s="164"/>
      <c r="Q227" s="164"/>
      <c r="R227" s="164"/>
      <c r="S227" s="172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79" t="s">
        <v>99</v>
      </c>
      <c r="I228" s="181">
        <f ca="1">IFERROR(__xludf.DUMMYFUNCTION("IMPORTRANGE(""https://docs.google.com/spreadsheets/d/1yhBcrRPreicbMKl9Bu_Snb2-OcQAF62RKfhTLhJ2eAA/edit?usp=sharing"",""กาฬสินธุ์!I228"")+IMPORTRANGE(""https://docs.google.com/spreadsheets/d/1aHkj4IaQMThhwWwevcOymEh837vdxeC_PycurhTbGFA/edit?usp=sharing"","&amp;"""ขอนแก่น!I228"")+IMPORTRANGE(""https://docs.google.com/spreadsheets/d/1FvTu2DsIWUjP6WCWra38Bkj_oOl_sOMf14r5Fg5srxU/edit?usp=sharing"",""ชัยภูมิ!I228"")+IMPORTRANGE(""https://docs.google.com/spreadsheets/d/1XVB7oCJ3pr-vBUdflwPQ8Z2LlzhnCvZaaYjAfP-647E/edit"&amp;"?usp=sharing"",""นครพนม!I228"")+IMPORTRANGE(""https://docs.google.com/spreadsheets/d/1Mnpb-8PYAgn85W6KOTD40hc_Xc55CaLfHoGAbrZ8tls/edit?usp=sharing"",""นครราชสีมา!I228"")+IMPORTRANGE(""https://docs.google.com/spreadsheets/d/1xoDLGBv9CYbyosIhki0kTq6IpYNj-gp"&amp;"jxfobnaDiut0/edit?usp=sharing"",""บึงกาฬ!I228"")+IMPORTRANGE(""https://docs.google.com/spreadsheets/d/1MMPq-JyI6DSgQETxuSiXkesP-P7JHuemnE6QJIa-Nlw/edit?usp=sharing"",""บุรีรัมย์!I228"")+IMPORTRANGE(""https://docs.google.com/spreadsheets/d/1l6IZ8xUPgMrESzc"&amp;"TYwhA1k_tPjeQjJPTqlm8Gd9eU5g/edit?usp=sharing"",""มหาสารคาม!I228"")+IMPORTRANGE(""https://docs.google.com/spreadsheets/d/1uB74YLqNjWX6FObjekfB2NtSYigTQyR2rq9u4Ub2Sq4/edit?usp=sharing"",""มุกดาหาร!I228"")+IMPORTRANGE(""https://docs.google.com/spreadsheets/"&amp;"d/1NexK3geCPxCTO1fzNF8dPec7yZyUx3OaWkFBC9HsQOo/edit?usp=sharing"",""ยโสธร!I228"")+IMPORTRANGE(""https://docs.google.com/spreadsheets/d/1v_cJrbBlyqmnHPReHk44g9NrMRdENNlSy_E_c5M9fIg/edit?usp=sharing"",""ร้อยเอ็ด!I228"")+IMPORTRANGE(""https://docs.google.com"&amp;"/spreadsheets/d/1Ul4RCpCX66NxYADU1QpwAPjOmBzW64SsT11s1wzXw_c/edit?usp=sharing"",""เลย!I228"")+IMPORTRANGE(""https://docs.google.com/spreadsheets/d/1bRrNKwbHDVktQG10isr5vbWRtt5spIZPpkOSWgbT5ug/edit?usp=sharing"",""ศรีสะเกษ!I228"")+IMPORTRANGE(""https://doc"&amp;"s.google.com/spreadsheets/d/17P34_Ow5kFBfdQD0qspb2UuPX5zpi6WMrQzslghyvrI/edit?usp=sharing"",""สกลนคร!I228"")+IMPORTRANGE(""https://docs.google.com/spreadsheets/d/1yswqbM3-AEpThF3ZSUa1AcmHnmRTF1vlJ1CZGcJ8YuU/edit?usp=sharing"",""สุรินทร์!I228"")+IMPORTRANG"&amp;"E(""https://docs.google.com/spreadsheets/d/13JHU_EFbsQOUQ0JSQ3dWy1VTRosIWcDq6Nc99z2qzdc/edit?usp=sharing"",""หนองคาย!I228"")+IMPORTRANGE(""https://docs.google.com/spreadsheets/d/1Hx73zIEgVdDZZaYSTc46Dqv64atFhpr3GelxLbaIN8A/edit?usp=sharing"",""หนองบัวลำภู"&amp;"!I228"")+IMPORTRANGE(""https://docs.google.com/spreadsheets/d/1lFxr3ctmjFN90yc-xV6jrQ9Ty8BKYVBWnAZ15wcNIJc/edit?usp=sharing"",""อำนาจเจริญ!I228"")+IMPORTRANGE(""https://docs.google.com/spreadsheets/d/1gF7RJpRnL-1oyjyeWxs5SFWEH7y8ahOZsQlyp2A2e-A/edit?usp=s"&amp;"haring"",""อุดรธานี!I228"")+IMPORTRANGE(""https://docs.google.com/spreadsheets/d/1kfLP0j3INXRa8bTDpcEmoWewMBV61jlFlfzczfjWIgc/edit?usp=sharing"",""อุบลราชธานี!I228"")"),887800)</f>
        <v>887800</v>
      </c>
      <c r="J228" s="181">
        <f ca="1">IFERROR(__xludf.DUMMYFUNCTION("IMPORTRANGE(""https://docs.google.com/spreadsheets/d/1yhBcrRPreicbMKl9Bu_Snb2-OcQAF62RKfhTLhJ2eAA/edit?usp=sharing"",""กาฬสินธุ์!J228"")+IMPORTRANGE(""https://docs.google.com/spreadsheets/d/1aHkj4IaQMThhwWwevcOymEh837vdxeC_PycurhTbGFA/edit?usp=sharing"","&amp;"""ขอนแก่น!J228"")+IMPORTRANGE(""https://docs.google.com/spreadsheets/d/1FvTu2DsIWUjP6WCWra38Bkj_oOl_sOMf14r5Fg5srxU/edit?usp=sharing"",""ชัยภูมิ!J228"")+IMPORTRANGE(""https://docs.google.com/spreadsheets/d/1XVB7oCJ3pr-vBUdflwPQ8Z2LlzhnCvZaaYjAfP-647E/edit"&amp;"?usp=sharing"",""นครพนม!J228"")+IMPORTRANGE(""https://docs.google.com/spreadsheets/d/1Mnpb-8PYAgn85W6KOTD40hc_Xc55CaLfHoGAbrZ8tls/edit?usp=sharing"",""นครราชสีมา!J228"")+IMPORTRANGE(""https://docs.google.com/spreadsheets/d/1xoDLGBv9CYbyosIhki0kTq6IpYNj-gp"&amp;"jxfobnaDiut0/edit?usp=sharing"",""บึงกาฬ!J228"")+IMPORTRANGE(""https://docs.google.com/spreadsheets/d/1MMPq-JyI6DSgQETxuSiXkesP-P7JHuemnE6QJIa-Nlw/edit?usp=sharing"",""บุรีรัมย์!J228"")+IMPORTRANGE(""https://docs.google.com/spreadsheets/d/1l6IZ8xUPgMrESzc"&amp;"TYwhA1k_tPjeQjJPTqlm8Gd9eU5g/edit?usp=sharing"",""มหาสารคาม!J228"")+IMPORTRANGE(""https://docs.google.com/spreadsheets/d/1uB74YLqNjWX6FObjekfB2NtSYigTQyR2rq9u4Ub2Sq4/edit?usp=sharing"",""มุกดาหาร!J228"")+IMPORTRANGE(""https://docs.google.com/spreadsheets/"&amp;"d/1NexK3geCPxCTO1fzNF8dPec7yZyUx3OaWkFBC9HsQOo/edit?usp=sharing"",""ยโสธร!J228"")+IMPORTRANGE(""https://docs.google.com/spreadsheets/d/1v_cJrbBlyqmnHPReHk44g9NrMRdENNlSy_E_c5M9fIg/edit?usp=sharing"",""ร้อยเอ็ด!J228"")+IMPORTRANGE(""https://docs.google.com"&amp;"/spreadsheets/d/1Ul4RCpCX66NxYADU1QpwAPjOmBzW64SsT11s1wzXw_c/edit?usp=sharing"",""เลย!J228"")+IMPORTRANGE(""https://docs.google.com/spreadsheets/d/1bRrNKwbHDVktQG10isr5vbWRtt5spIZPpkOSWgbT5ug/edit?usp=sharing"",""ศรีสะเกษ!J228"")+IMPORTRANGE(""https://doc"&amp;"s.google.com/spreadsheets/d/17P34_Ow5kFBfdQD0qspb2UuPX5zpi6WMrQzslghyvrI/edit?usp=sharing"",""สกลนคร!J228"")+IMPORTRANGE(""https://docs.google.com/spreadsheets/d/1yswqbM3-AEpThF3ZSUa1AcmHnmRTF1vlJ1CZGcJ8YuU/edit?usp=sharing"",""สุรินทร์!J228"")+IMPORTRANG"&amp;"E(""https://docs.google.com/spreadsheets/d/13JHU_EFbsQOUQ0JSQ3dWy1VTRosIWcDq6Nc99z2qzdc/edit?usp=sharing"",""หนองคาย!J228"")+IMPORTRANGE(""https://docs.google.com/spreadsheets/d/1Hx73zIEgVdDZZaYSTc46Dqv64atFhpr3GelxLbaIN8A/edit?usp=sharing"",""หนองบัวลำภู"&amp;"!J228"")+IMPORTRANGE(""https://docs.google.com/spreadsheets/d/1lFxr3ctmjFN90yc-xV6jrQ9Ty8BKYVBWnAZ15wcNIJc/edit?usp=sharing"",""อำนาจเจริญ!J228"")+IMPORTRANGE(""https://docs.google.com/spreadsheets/d/1gF7RJpRnL-1oyjyeWxs5SFWEH7y8ahOZsQlyp2A2e-A/edit?usp=s"&amp;"haring"",""อุดรธานี!J228"")+IMPORTRANGE(""https://docs.google.com/spreadsheets/d/1kfLP0j3INXRa8bTDpcEmoWewMBV61jlFlfzczfjWIgc/edit?usp=sharing"",""อุบลราชธานี!J228"")"),195800)</f>
        <v>195800</v>
      </c>
      <c r="K228" s="182">
        <f t="shared" ref="K228:K231" ca="1" si="183">IF(I228&gt;0,J228*100/I228,0)</f>
        <v>22.054516783059249</v>
      </c>
      <c r="L228" s="164"/>
      <c r="M228" s="164"/>
      <c r="N228" s="164"/>
      <c r="O228" s="164"/>
      <c r="P228" s="164"/>
      <c r="Q228" s="164"/>
      <c r="R228" s="164"/>
      <c r="S228" s="172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79" t="s">
        <v>99</v>
      </c>
      <c r="I229" s="181">
        <f ca="1">IFERROR(__xludf.DUMMYFUNCTION("IMPORTRANGE(""https://docs.google.com/spreadsheets/d/1yhBcrRPreicbMKl9Bu_Snb2-OcQAF62RKfhTLhJ2eAA/edit?usp=sharing"",""กาฬสินธุ์!I229"")+IMPORTRANGE(""https://docs.google.com/spreadsheets/d/1aHkj4IaQMThhwWwevcOymEh837vdxeC_PycurhTbGFA/edit?usp=sharing"","&amp;"""ขอนแก่น!I229"")+IMPORTRANGE(""https://docs.google.com/spreadsheets/d/1FvTu2DsIWUjP6WCWra38Bkj_oOl_sOMf14r5Fg5srxU/edit?usp=sharing"",""ชัยภูมิ!I229"")+IMPORTRANGE(""https://docs.google.com/spreadsheets/d/1XVB7oCJ3pr-vBUdflwPQ8Z2LlzhnCvZaaYjAfP-647E/edit"&amp;"?usp=sharing"",""นครพนม!I229"")+IMPORTRANGE(""https://docs.google.com/spreadsheets/d/1Mnpb-8PYAgn85W6KOTD40hc_Xc55CaLfHoGAbrZ8tls/edit?usp=sharing"",""นครราชสีมา!I229"")+IMPORTRANGE(""https://docs.google.com/spreadsheets/d/1xoDLGBv9CYbyosIhki0kTq6IpYNj-gp"&amp;"jxfobnaDiut0/edit?usp=sharing"",""บึงกาฬ!I229"")+IMPORTRANGE(""https://docs.google.com/spreadsheets/d/1MMPq-JyI6DSgQETxuSiXkesP-P7JHuemnE6QJIa-Nlw/edit?usp=sharing"",""บุรีรัมย์!I229"")+IMPORTRANGE(""https://docs.google.com/spreadsheets/d/1l6IZ8xUPgMrESzc"&amp;"TYwhA1k_tPjeQjJPTqlm8Gd9eU5g/edit?usp=sharing"",""มหาสารคาม!I229"")+IMPORTRANGE(""https://docs.google.com/spreadsheets/d/1uB74YLqNjWX6FObjekfB2NtSYigTQyR2rq9u4Ub2Sq4/edit?usp=sharing"",""มุกดาหาร!I229"")+IMPORTRANGE(""https://docs.google.com/spreadsheets/"&amp;"d/1NexK3geCPxCTO1fzNF8dPec7yZyUx3OaWkFBC9HsQOo/edit?usp=sharing"",""ยโสธร!I229"")+IMPORTRANGE(""https://docs.google.com/spreadsheets/d/1v_cJrbBlyqmnHPReHk44g9NrMRdENNlSy_E_c5M9fIg/edit?usp=sharing"",""ร้อยเอ็ด!I229"")+IMPORTRANGE(""https://docs.google.com"&amp;"/spreadsheets/d/1Ul4RCpCX66NxYADU1QpwAPjOmBzW64SsT11s1wzXw_c/edit?usp=sharing"",""เลย!I229"")+IMPORTRANGE(""https://docs.google.com/spreadsheets/d/1bRrNKwbHDVktQG10isr5vbWRtt5spIZPpkOSWgbT5ug/edit?usp=sharing"",""ศรีสะเกษ!I229"")+IMPORTRANGE(""https://doc"&amp;"s.google.com/spreadsheets/d/17P34_Ow5kFBfdQD0qspb2UuPX5zpi6WMrQzslghyvrI/edit?usp=sharing"",""สกลนคร!I229"")+IMPORTRANGE(""https://docs.google.com/spreadsheets/d/1yswqbM3-AEpThF3ZSUa1AcmHnmRTF1vlJ1CZGcJ8YuU/edit?usp=sharing"",""สุรินทร์!I229"")+IMPORTRANG"&amp;"E(""https://docs.google.com/spreadsheets/d/13JHU_EFbsQOUQ0JSQ3dWy1VTRosIWcDq6Nc99z2qzdc/edit?usp=sharing"",""หนองคาย!I229"")+IMPORTRANGE(""https://docs.google.com/spreadsheets/d/1Hx73zIEgVdDZZaYSTc46Dqv64atFhpr3GelxLbaIN8A/edit?usp=sharing"",""หนองบัวลำภู"&amp;"!I229"")+IMPORTRANGE(""https://docs.google.com/spreadsheets/d/1lFxr3ctmjFN90yc-xV6jrQ9Ty8BKYVBWnAZ15wcNIJc/edit?usp=sharing"",""อำนาจเจริญ!I229"")+IMPORTRANGE(""https://docs.google.com/spreadsheets/d/1gF7RJpRnL-1oyjyeWxs5SFWEH7y8ahOZsQlyp2A2e-A/edit?usp=s"&amp;"haring"",""อุดรธานี!I229"")+IMPORTRANGE(""https://docs.google.com/spreadsheets/d/1kfLP0j3INXRa8bTDpcEmoWewMBV61jlFlfzczfjWIgc/edit?usp=sharing"",""อุบลราชธานี!I229"")"),887800)</f>
        <v>887800</v>
      </c>
      <c r="J229" s="181">
        <f ca="1">IFERROR(__xludf.DUMMYFUNCTION("IMPORTRANGE(""https://docs.google.com/spreadsheets/d/1yhBcrRPreicbMKl9Bu_Snb2-OcQAF62RKfhTLhJ2eAA/edit?usp=sharing"",""กาฬสินธุ์!J229"")+IMPORTRANGE(""https://docs.google.com/spreadsheets/d/1aHkj4IaQMThhwWwevcOymEh837vdxeC_PycurhTbGFA/edit?usp=sharing"","&amp;"""ขอนแก่น!J229"")+IMPORTRANGE(""https://docs.google.com/spreadsheets/d/1FvTu2DsIWUjP6WCWra38Bkj_oOl_sOMf14r5Fg5srxU/edit?usp=sharing"",""ชัยภูมิ!J229"")+IMPORTRANGE(""https://docs.google.com/spreadsheets/d/1XVB7oCJ3pr-vBUdflwPQ8Z2LlzhnCvZaaYjAfP-647E/edit"&amp;"?usp=sharing"",""นครพนม!J229"")+IMPORTRANGE(""https://docs.google.com/spreadsheets/d/1Mnpb-8PYAgn85W6KOTD40hc_Xc55CaLfHoGAbrZ8tls/edit?usp=sharing"",""นครราชสีมา!J229"")+IMPORTRANGE(""https://docs.google.com/spreadsheets/d/1xoDLGBv9CYbyosIhki0kTq6IpYNj-gp"&amp;"jxfobnaDiut0/edit?usp=sharing"",""บึงกาฬ!J229"")+IMPORTRANGE(""https://docs.google.com/spreadsheets/d/1MMPq-JyI6DSgQETxuSiXkesP-P7JHuemnE6QJIa-Nlw/edit?usp=sharing"",""บุรีรัมย์!J229"")+IMPORTRANGE(""https://docs.google.com/spreadsheets/d/1l6IZ8xUPgMrESzc"&amp;"TYwhA1k_tPjeQjJPTqlm8Gd9eU5g/edit?usp=sharing"",""มหาสารคาม!J229"")+IMPORTRANGE(""https://docs.google.com/spreadsheets/d/1uB74YLqNjWX6FObjekfB2NtSYigTQyR2rq9u4Ub2Sq4/edit?usp=sharing"",""มุกดาหาร!J229"")+IMPORTRANGE(""https://docs.google.com/spreadsheets/"&amp;"d/1NexK3geCPxCTO1fzNF8dPec7yZyUx3OaWkFBC9HsQOo/edit?usp=sharing"",""ยโสธร!J229"")+IMPORTRANGE(""https://docs.google.com/spreadsheets/d/1v_cJrbBlyqmnHPReHk44g9NrMRdENNlSy_E_c5M9fIg/edit?usp=sharing"",""ร้อยเอ็ด!J229"")+IMPORTRANGE(""https://docs.google.com"&amp;"/spreadsheets/d/1Ul4RCpCX66NxYADU1QpwAPjOmBzW64SsT11s1wzXw_c/edit?usp=sharing"",""เลย!J229"")+IMPORTRANGE(""https://docs.google.com/spreadsheets/d/1bRrNKwbHDVktQG10isr5vbWRtt5spIZPpkOSWgbT5ug/edit?usp=sharing"",""ศรีสะเกษ!J229"")+IMPORTRANGE(""https://doc"&amp;"s.google.com/spreadsheets/d/17P34_Ow5kFBfdQD0qspb2UuPX5zpi6WMrQzslghyvrI/edit?usp=sharing"",""สกลนคร!J229"")+IMPORTRANGE(""https://docs.google.com/spreadsheets/d/1yswqbM3-AEpThF3ZSUa1AcmHnmRTF1vlJ1CZGcJ8YuU/edit?usp=sharing"",""สุรินทร์!J229"")+IMPORTRANG"&amp;"E(""https://docs.google.com/spreadsheets/d/13JHU_EFbsQOUQ0JSQ3dWy1VTRosIWcDq6Nc99z2qzdc/edit?usp=sharing"",""หนองคาย!J229"")+IMPORTRANGE(""https://docs.google.com/spreadsheets/d/1Hx73zIEgVdDZZaYSTc46Dqv64atFhpr3GelxLbaIN8A/edit?usp=sharing"",""หนองบัวลำภู"&amp;"!J229"")+IMPORTRANGE(""https://docs.google.com/spreadsheets/d/1lFxr3ctmjFN90yc-xV6jrQ9Ty8BKYVBWnAZ15wcNIJc/edit?usp=sharing"",""อำนาจเจริญ!J229"")+IMPORTRANGE(""https://docs.google.com/spreadsheets/d/1gF7RJpRnL-1oyjyeWxs5SFWEH7y8ahOZsQlyp2A2e-A/edit?usp=s"&amp;"haring"",""อุดรธานี!J229"")+IMPORTRANGE(""https://docs.google.com/spreadsheets/d/1kfLP0j3INXRa8bTDpcEmoWewMBV61jlFlfzczfjWIgc/edit?usp=sharing"",""อุบลราชธานี!J229"")"),0)</f>
        <v>0</v>
      </c>
      <c r="K229" s="182">
        <f t="shared" ca="1" si="183"/>
        <v>0</v>
      </c>
      <c r="L229" s="55"/>
      <c r="M229" s="55"/>
      <c r="N229" s="55"/>
      <c r="O229" s="55"/>
      <c r="P229" s="55"/>
      <c r="Q229" s="55"/>
      <c r="R229" s="55"/>
      <c r="S229" s="62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79" t="s">
        <v>35</v>
      </c>
      <c r="I230" s="181">
        <f ca="1">IFERROR(__xludf.DUMMYFUNCTION("IMPORTRANGE(""https://docs.google.com/spreadsheets/d/1yhBcrRPreicbMKl9Bu_Snb2-OcQAF62RKfhTLhJ2eAA/edit?usp=sharing"",""กาฬสินธุ์!I230"")+IMPORTRANGE(""https://docs.google.com/spreadsheets/d/1aHkj4IaQMThhwWwevcOymEh837vdxeC_PycurhTbGFA/edit?usp=sharing"","&amp;"""ขอนแก่น!I230"")+IMPORTRANGE(""https://docs.google.com/spreadsheets/d/1FvTu2DsIWUjP6WCWra38Bkj_oOl_sOMf14r5Fg5srxU/edit?usp=sharing"",""ชัยภูมิ!I230"")+IMPORTRANGE(""https://docs.google.com/spreadsheets/d/1XVB7oCJ3pr-vBUdflwPQ8Z2LlzhnCvZaaYjAfP-647E/edit"&amp;"?usp=sharing"",""นครพนม!I230"")+IMPORTRANGE(""https://docs.google.com/spreadsheets/d/1Mnpb-8PYAgn85W6KOTD40hc_Xc55CaLfHoGAbrZ8tls/edit?usp=sharing"",""นครราชสีมา!I230"")+IMPORTRANGE(""https://docs.google.com/spreadsheets/d/1xoDLGBv9CYbyosIhki0kTq6IpYNj-gp"&amp;"jxfobnaDiut0/edit?usp=sharing"",""บึงกาฬ!I230"")+IMPORTRANGE(""https://docs.google.com/spreadsheets/d/1MMPq-JyI6DSgQETxuSiXkesP-P7JHuemnE6QJIa-Nlw/edit?usp=sharing"",""บุรีรัมย์!I230"")+IMPORTRANGE(""https://docs.google.com/spreadsheets/d/1l6IZ8xUPgMrESzc"&amp;"TYwhA1k_tPjeQjJPTqlm8Gd9eU5g/edit?usp=sharing"",""มหาสารคาม!I230"")+IMPORTRANGE(""https://docs.google.com/spreadsheets/d/1uB74YLqNjWX6FObjekfB2NtSYigTQyR2rq9u4Ub2Sq4/edit?usp=sharing"",""มุกดาหาร!I230"")+IMPORTRANGE(""https://docs.google.com/spreadsheets/"&amp;"d/1NexK3geCPxCTO1fzNF8dPec7yZyUx3OaWkFBC9HsQOo/edit?usp=sharing"",""ยโสธร!I230"")+IMPORTRANGE(""https://docs.google.com/spreadsheets/d/1v_cJrbBlyqmnHPReHk44g9NrMRdENNlSy_E_c5M9fIg/edit?usp=sharing"",""ร้อยเอ็ด!I230"")+IMPORTRANGE(""https://docs.google.com"&amp;"/spreadsheets/d/1Ul4RCpCX66NxYADU1QpwAPjOmBzW64SsT11s1wzXw_c/edit?usp=sharing"",""เลย!I230"")+IMPORTRANGE(""https://docs.google.com/spreadsheets/d/1bRrNKwbHDVktQG10isr5vbWRtt5spIZPpkOSWgbT5ug/edit?usp=sharing"",""ศรีสะเกษ!I230"")+IMPORTRANGE(""https://doc"&amp;"s.google.com/spreadsheets/d/17P34_Ow5kFBfdQD0qspb2UuPX5zpi6WMrQzslghyvrI/edit?usp=sharing"",""สกลนคร!I230"")+IMPORTRANGE(""https://docs.google.com/spreadsheets/d/1yswqbM3-AEpThF3ZSUa1AcmHnmRTF1vlJ1CZGcJ8YuU/edit?usp=sharing"",""สุรินทร์!I230"")+IMPORTRANG"&amp;"E(""https://docs.google.com/spreadsheets/d/13JHU_EFbsQOUQ0JSQ3dWy1VTRosIWcDq6Nc99z2qzdc/edit?usp=sharing"",""หนองคาย!I230"")+IMPORTRANGE(""https://docs.google.com/spreadsheets/d/1Hx73zIEgVdDZZaYSTc46Dqv64atFhpr3GelxLbaIN8A/edit?usp=sharing"",""หนองบัวลำภู"&amp;"!I230"")+IMPORTRANGE(""https://docs.google.com/spreadsheets/d/1lFxr3ctmjFN90yc-xV6jrQ9Ty8BKYVBWnAZ15wcNIJc/edit?usp=sharing"",""อำนาจเจริญ!I230"")+IMPORTRANGE(""https://docs.google.com/spreadsheets/d/1gF7RJpRnL-1oyjyeWxs5SFWEH7y8ahOZsQlyp2A2e-A/edit?usp=s"&amp;"haring"",""อุดรธานี!I230"")+IMPORTRANGE(""https://docs.google.com/spreadsheets/d/1kfLP0j3INXRa8bTDpcEmoWewMBV61jlFlfzczfjWIgc/edit?usp=sharing"",""อุบลราชธานี!I230"")"),0)</f>
        <v>0</v>
      </c>
      <c r="J230" s="181">
        <f ca="1">IFERROR(__xludf.DUMMYFUNCTION("IMPORTRANGE(""https://docs.google.com/spreadsheets/d/1yhBcrRPreicbMKl9Bu_Snb2-OcQAF62RKfhTLhJ2eAA/edit?usp=sharing"",""กาฬสินธุ์!J230"")+IMPORTRANGE(""https://docs.google.com/spreadsheets/d/1aHkj4IaQMThhwWwevcOymEh837vdxeC_PycurhTbGFA/edit?usp=sharing"","&amp;"""ขอนแก่น!J230"")+IMPORTRANGE(""https://docs.google.com/spreadsheets/d/1FvTu2DsIWUjP6WCWra38Bkj_oOl_sOMf14r5Fg5srxU/edit?usp=sharing"",""ชัยภูมิ!J230"")+IMPORTRANGE(""https://docs.google.com/spreadsheets/d/1XVB7oCJ3pr-vBUdflwPQ8Z2LlzhnCvZaaYjAfP-647E/edit"&amp;"?usp=sharing"",""นครพนม!J230"")+IMPORTRANGE(""https://docs.google.com/spreadsheets/d/1Mnpb-8PYAgn85W6KOTD40hc_Xc55CaLfHoGAbrZ8tls/edit?usp=sharing"",""นครราชสีมา!J230"")+IMPORTRANGE(""https://docs.google.com/spreadsheets/d/1xoDLGBv9CYbyosIhki0kTq6IpYNj-gp"&amp;"jxfobnaDiut0/edit?usp=sharing"",""บึงกาฬ!J230"")+IMPORTRANGE(""https://docs.google.com/spreadsheets/d/1MMPq-JyI6DSgQETxuSiXkesP-P7JHuemnE6QJIa-Nlw/edit?usp=sharing"",""บุรีรัมย์!J230"")+IMPORTRANGE(""https://docs.google.com/spreadsheets/d/1l6IZ8xUPgMrESzc"&amp;"TYwhA1k_tPjeQjJPTqlm8Gd9eU5g/edit?usp=sharing"",""มหาสารคาม!J230"")+IMPORTRANGE(""https://docs.google.com/spreadsheets/d/1uB74YLqNjWX6FObjekfB2NtSYigTQyR2rq9u4Ub2Sq4/edit?usp=sharing"",""มุกดาหาร!J230"")+IMPORTRANGE(""https://docs.google.com/spreadsheets/"&amp;"d/1NexK3geCPxCTO1fzNF8dPec7yZyUx3OaWkFBC9HsQOo/edit?usp=sharing"",""ยโสธร!J230"")+IMPORTRANGE(""https://docs.google.com/spreadsheets/d/1v_cJrbBlyqmnHPReHk44g9NrMRdENNlSy_E_c5M9fIg/edit?usp=sharing"",""ร้อยเอ็ด!J230"")+IMPORTRANGE(""https://docs.google.com"&amp;"/spreadsheets/d/1Ul4RCpCX66NxYADU1QpwAPjOmBzW64SsT11s1wzXw_c/edit?usp=sharing"",""เลย!J230"")+IMPORTRANGE(""https://docs.google.com/spreadsheets/d/1bRrNKwbHDVktQG10isr5vbWRtt5spIZPpkOSWgbT5ug/edit?usp=sharing"",""ศรีสะเกษ!J230"")+IMPORTRANGE(""https://doc"&amp;"s.google.com/spreadsheets/d/17P34_Ow5kFBfdQD0qspb2UuPX5zpi6WMrQzslghyvrI/edit?usp=sharing"",""สกลนคร!J230"")+IMPORTRANGE(""https://docs.google.com/spreadsheets/d/1yswqbM3-AEpThF3ZSUa1AcmHnmRTF1vlJ1CZGcJ8YuU/edit?usp=sharing"",""สุรินทร์!J230"")+IMPORTRANG"&amp;"E(""https://docs.google.com/spreadsheets/d/13JHU_EFbsQOUQ0JSQ3dWy1VTRosIWcDq6Nc99z2qzdc/edit?usp=sharing"",""หนองคาย!J230"")+IMPORTRANGE(""https://docs.google.com/spreadsheets/d/1Hx73zIEgVdDZZaYSTc46Dqv64atFhpr3GelxLbaIN8A/edit?usp=sharing"",""หนองบัวลำภู"&amp;"!J230"")+IMPORTRANGE(""https://docs.google.com/spreadsheets/d/1lFxr3ctmjFN90yc-xV6jrQ9Ty8BKYVBWnAZ15wcNIJc/edit?usp=sharing"",""อำนาจเจริญ!J230"")+IMPORTRANGE(""https://docs.google.com/spreadsheets/d/1gF7RJpRnL-1oyjyeWxs5SFWEH7y8ahOZsQlyp2A2e-A/edit?usp=s"&amp;"haring"",""อุดรธานี!J230"")+IMPORTRANGE(""https://docs.google.com/spreadsheets/d/1kfLP0j3INXRa8bTDpcEmoWewMBV61jlFlfzczfjWIgc/edit?usp=sharing"",""อุบลราชธานี!J230"")"),0)</f>
        <v>0</v>
      </c>
      <c r="K230" s="182">
        <f t="shared" ca="1" si="183"/>
        <v>0</v>
      </c>
      <c r="L230" s="55"/>
      <c r="M230" s="55"/>
      <c r="N230" s="55"/>
      <c r="O230" s="55"/>
      <c r="P230" s="55"/>
      <c r="Q230" s="55"/>
      <c r="R230" s="55"/>
      <c r="S230" s="62"/>
      <c r="T230" s="55"/>
      <c r="U230" s="55"/>
    </row>
    <row r="231" spans="1:21" ht="19.5">
      <c r="A231" s="241"/>
      <c r="B231" s="242"/>
      <c r="C231" s="243" t="s">
        <v>105</v>
      </c>
      <c r="D231" s="244"/>
      <c r="E231" s="244"/>
      <c r="F231" s="244"/>
      <c r="G231" s="245"/>
      <c r="H231" s="246" t="s">
        <v>35</v>
      </c>
      <c r="I231" s="247">
        <f t="shared" ref="I231:J231" si="184">I242+I253</f>
        <v>0</v>
      </c>
      <c r="J231" s="247">
        <f t="shared" si="184"/>
        <v>0</v>
      </c>
      <c r="K231" s="248">
        <f t="shared" si="183"/>
        <v>0</v>
      </c>
      <c r="L231" s="249"/>
      <c r="M231" s="249"/>
      <c r="N231" s="249"/>
      <c r="O231" s="249"/>
      <c r="P231" s="249"/>
      <c r="Q231" s="249"/>
      <c r="R231" s="249"/>
      <c r="S231" s="250"/>
      <c r="T231" s="249"/>
      <c r="U231" s="249"/>
    </row>
    <row r="232" spans="1:21" ht="19.5">
      <c r="A232" s="155"/>
      <c r="B232" s="50"/>
      <c r="C232" s="156" t="s">
        <v>18</v>
      </c>
      <c r="D232" s="157" t="s">
        <v>19</v>
      </c>
      <c r="E232" s="50"/>
      <c r="F232" s="50"/>
      <c r="G232" s="52"/>
      <c r="H232" s="252" t="s">
        <v>14</v>
      </c>
      <c r="I232" s="163"/>
      <c r="J232" s="163"/>
      <c r="K232" s="164"/>
      <c r="L232" s="159">
        <f t="shared" ref="L232:N232" ca="1" si="185">L233+L234+L235+L236</f>
        <v>231000</v>
      </c>
      <c r="M232" s="159">
        <f t="shared" ca="1" si="185"/>
        <v>0</v>
      </c>
      <c r="N232" s="159">
        <f t="shared" ca="1" si="185"/>
        <v>119100</v>
      </c>
      <c r="O232" s="159">
        <f ca="1">IF(L232&gt;0,N232*100/L232,0)</f>
        <v>51.558441558441558</v>
      </c>
      <c r="P232" s="55"/>
      <c r="Q232" s="159">
        <f t="shared" ref="Q232:S232" ca="1" si="186">Q233+Q234+Q235+Q236</f>
        <v>234400</v>
      </c>
      <c r="R232" s="159">
        <f t="shared" ca="1" si="186"/>
        <v>0</v>
      </c>
      <c r="S232" s="160">
        <f t="shared" ca="1" si="186"/>
        <v>84246</v>
      </c>
      <c r="T232" s="55"/>
      <c r="U232" s="55"/>
    </row>
    <row r="233" spans="1:21" ht="18.75">
      <c r="A233" s="155"/>
      <c r="B233" s="188"/>
      <c r="C233" s="50"/>
      <c r="D233" s="58" t="s">
        <v>86</v>
      </c>
      <c r="E233" s="50"/>
      <c r="F233" s="50"/>
      <c r="G233" s="52"/>
      <c r="H233" s="162" t="s">
        <v>14</v>
      </c>
      <c r="I233" s="163"/>
      <c r="J233" s="163"/>
      <c r="K233" s="164"/>
      <c r="L233" s="56">
        <f ca="1">IFERROR(__xludf.DUMMYFUNCTION("IMPORTRANGE(""https://docs.google.com/spreadsheets/d/1yhBcrRPreicbMKl9Bu_Snb2-OcQAF62RKfhTLhJ2eAA/edit?usp=sharing"",""กาฬสินธุ์!L233"")+IMPORTRANGE(""https://docs.google.com/spreadsheets/d/1aHkj4IaQMThhwWwevcOymEh837vdxeC_PycurhTbGFA/edit?usp=sharing"","&amp;"""ขอนแก่น!L233"")+IMPORTRANGE(""https://docs.google.com/spreadsheets/d/1FvTu2DsIWUjP6WCWra38Bkj_oOl_sOMf14r5Fg5srxU/edit?usp=sharing"",""ชัยภูมิ!L233"")+IMPORTRANGE(""https://docs.google.com/spreadsheets/d/1XVB7oCJ3pr-vBUdflwPQ8Z2LlzhnCvZaaYjAfP-647E/edit"&amp;"?usp=sharing"",""นครพนม!L233"")+IMPORTRANGE(""https://docs.google.com/spreadsheets/d/1Mnpb-8PYAgn85W6KOTD40hc_Xc55CaLfHoGAbrZ8tls/edit?usp=sharing"",""นครราชสีมา!L233"")+IMPORTRANGE(""https://docs.google.com/spreadsheets/d/1xoDLGBv9CYbyosIhki0kTq6IpYNj-gp"&amp;"jxfobnaDiut0/edit?usp=sharing"",""บึงกาฬ!L233"")+IMPORTRANGE(""https://docs.google.com/spreadsheets/d/1MMPq-JyI6DSgQETxuSiXkesP-P7JHuemnE6QJIa-Nlw/edit?usp=sharing"",""บุรีรัมย์!L233"")+IMPORTRANGE(""https://docs.google.com/spreadsheets/d/1l6IZ8xUPgMrESzc"&amp;"TYwhA1k_tPjeQjJPTqlm8Gd9eU5g/edit?usp=sharing"",""มหาสารคาม!L233"")+IMPORTRANGE(""https://docs.google.com/spreadsheets/d/1uB74YLqNjWX6FObjekfB2NtSYigTQyR2rq9u4Ub2Sq4/edit?usp=sharing"",""มุกดาหาร!L233"")+IMPORTRANGE(""https://docs.google.com/spreadsheets/"&amp;"d/1NexK3geCPxCTO1fzNF8dPec7yZyUx3OaWkFBC9HsQOo/edit?usp=sharing"",""ยโสธร!L233"")+IMPORTRANGE(""https://docs.google.com/spreadsheets/d/1v_cJrbBlyqmnHPReHk44g9NrMRdENNlSy_E_c5M9fIg/edit?usp=sharing"",""ร้อยเอ็ด!L233"")+IMPORTRANGE(""https://docs.google.com"&amp;"/spreadsheets/d/1Ul4RCpCX66NxYADU1QpwAPjOmBzW64SsT11s1wzXw_c/edit?usp=sharing"",""เลย!L233"")+IMPORTRANGE(""https://docs.google.com/spreadsheets/d/1bRrNKwbHDVktQG10isr5vbWRtt5spIZPpkOSWgbT5ug/edit?usp=sharing"",""ศรีสะเกษ!L233"")+IMPORTRANGE(""https://doc"&amp;"s.google.com/spreadsheets/d/17P34_Ow5kFBfdQD0qspb2UuPX5zpi6WMrQzslghyvrI/edit?usp=sharing"",""สกลนคร!L233"")+IMPORTRANGE(""https://docs.google.com/spreadsheets/d/1yswqbM3-AEpThF3ZSUa1AcmHnmRTF1vlJ1CZGcJ8YuU/edit?usp=sharing"",""สุรินทร์!L233"")+IMPORTRANG"&amp;"E(""https://docs.google.com/spreadsheets/d/13JHU_EFbsQOUQ0JSQ3dWy1VTRosIWcDq6Nc99z2qzdc/edit?usp=sharing"",""หนองคาย!L233"")+IMPORTRANGE(""https://docs.google.com/spreadsheets/d/1Hx73zIEgVdDZZaYSTc46Dqv64atFhpr3GelxLbaIN8A/edit?usp=sharing"",""หนองบัวลำภู"&amp;"!L233"")+IMPORTRANGE(""https://docs.google.com/spreadsheets/d/1lFxr3ctmjFN90yc-xV6jrQ9Ty8BKYVBWnAZ15wcNIJc/edit?usp=sharing"",""อำนาจเจริญ!L233"")+IMPORTRANGE(""https://docs.google.com/spreadsheets/d/1gF7RJpRnL-1oyjyeWxs5SFWEH7y8ahOZsQlyp2A2e-A/edit?usp=s"&amp;"haring"",""อุดรธานี!L233"")+IMPORTRANGE(""https://docs.google.com/spreadsheets/d/1kfLP0j3INXRa8bTDpcEmoWewMBV61jlFlfzczfjWIgc/edit?usp=sharing"",""อุบลราชธานี!L233"")"),26000)</f>
        <v>26000</v>
      </c>
      <c r="M233" s="56">
        <f ca="1">IFERROR(__xludf.DUMMYFUNCTION("IMPORTRANGE(""https://docs.google.com/spreadsheets/d/1yhBcrRPreicbMKl9Bu_Snb2-OcQAF62RKfhTLhJ2eAA/edit?usp=sharing"",""กาฬสินธุ์!M233"")+IMPORTRANGE(""https://docs.google.com/spreadsheets/d/1aHkj4IaQMThhwWwevcOymEh837vdxeC_PycurhTbGFA/edit?usp=sharing"","&amp;"""ขอนแก่น!M233"")+IMPORTRANGE(""https://docs.google.com/spreadsheets/d/1FvTu2DsIWUjP6WCWra38Bkj_oOl_sOMf14r5Fg5srxU/edit?usp=sharing"",""ชัยภูมิ!M233"")+IMPORTRANGE(""https://docs.google.com/spreadsheets/d/1XVB7oCJ3pr-vBUdflwPQ8Z2LlzhnCvZaaYjAfP-647E/edit"&amp;"?usp=sharing"",""นครพนม!M233"")+IMPORTRANGE(""https://docs.google.com/spreadsheets/d/1Mnpb-8PYAgn85W6KOTD40hc_Xc55CaLfHoGAbrZ8tls/edit?usp=sharing"",""นครราชสีมา!M233"")+IMPORTRANGE(""https://docs.google.com/spreadsheets/d/1xoDLGBv9CYbyosIhki0kTq6IpYNj-gp"&amp;"jxfobnaDiut0/edit?usp=sharing"",""บึงกาฬ!M233"")+IMPORTRANGE(""https://docs.google.com/spreadsheets/d/1MMPq-JyI6DSgQETxuSiXkesP-P7JHuemnE6QJIa-Nlw/edit?usp=sharing"",""บุรีรัมย์!M233"")+IMPORTRANGE(""https://docs.google.com/spreadsheets/d/1l6IZ8xUPgMrESzc"&amp;"TYwhA1k_tPjeQjJPTqlm8Gd9eU5g/edit?usp=sharing"",""มหาสารคาม!M233"")+IMPORTRANGE(""https://docs.google.com/spreadsheets/d/1uB74YLqNjWX6FObjekfB2NtSYigTQyR2rq9u4Ub2Sq4/edit?usp=sharing"",""มุกดาหาร!M233"")+IMPORTRANGE(""https://docs.google.com/spreadsheets/"&amp;"d/1NexK3geCPxCTO1fzNF8dPec7yZyUx3OaWkFBC9HsQOo/edit?usp=sharing"",""ยโสธร!M233"")+IMPORTRANGE(""https://docs.google.com/spreadsheets/d/1v_cJrbBlyqmnHPReHk44g9NrMRdENNlSy_E_c5M9fIg/edit?usp=sharing"",""ร้อยเอ็ด!M233"")+IMPORTRANGE(""https://docs.google.com"&amp;"/spreadsheets/d/1Ul4RCpCX66NxYADU1QpwAPjOmBzW64SsT11s1wzXw_c/edit?usp=sharing"",""เลย!M233"")+IMPORTRANGE(""https://docs.google.com/spreadsheets/d/1bRrNKwbHDVktQG10isr5vbWRtt5spIZPpkOSWgbT5ug/edit?usp=sharing"",""ศรีสะเกษ!M233"")+IMPORTRANGE(""https://doc"&amp;"s.google.com/spreadsheets/d/17P34_Ow5kFBfdQD0qspb2UuPX5zpi6WMrQzslghyvrI/edit?usp=sharing"",""สกลนคร!M233"")+IMPORTRANGE(""https://docs.google.com/spreadsheets/d/1yswqbM3-AEpThF3ZSUa1AcmHnmRTF1vlJ1CZGcJ8YuU/edit?usp=sharing"",""สุรินทร์!M233"")+IMPORTRANG"&amp;"E(""https://docs.google.com/spreadsheets/d/13JHU_EFbsQOUQ0JSQ3dWy1VTRosIWcDq6Nc99z2qzdc/edit?usp=sharing"",""หนองคาย!M233"")+IMPORTRANGE(""https://docs.google.com/spreadsheets/d/1Hx73zIEgVdDZZaYSTc46Dqv64atFhpr3GelxLbaIN8A/edit?usp=sharing"",""หนองบัวลำภู"&amp;"!M233"")+IMPORTRANGE(""https://docs.google.com/spreadsheets/d/1lFxr3ctmjFN90yc-xV6jrQ9Ty8BKYVBWnAZ15wcNIJc/edit?usp=sharing"",""อำนาจเจริญ!M233"")+IMPORTRANGE(""https://docs.google.com/spreadsheets/d/1gF7RJpRnL-1oyjyeWxs5SFWEH7y8ahOZsQlyp2A2e-A/edit?usp=s"&amp;"haring"",""อุดรธานี!M233"")+IMPORTRANGE(""https://docs.google.com/spreadsheets/d/1kfLP0j3INXRa8bTDpcEmoWewMBV61jlFlfzczfjWIgc/edit?usp=sharing"",""อุบลราชธานี!M233"")"),0)</f>
        <v>0</v>
      </c>
      <c r="N233" s="56">
        <f ca="1">IFERROR(__xludf.DUMMYFUNCTION("IMPORTRANGE(""https://docs.google.com/spreadsheets/d/1yhBcrRPreicbMKl9Bu_Snb2-OcQAF62RKfhTLhJ2eAA/edit?usp=sharing"",""กาฬสินธุ์!N233"")+IMPORTRANGE(""https://docs.google.com/spreadsheets/d/1aHkj4IaQMThhwWwevcOymEh837vdxeC_PycurhTbGFA/edit?usp=sharing"","&amp;"""ขอนแก่น!N233"")+IMPORTRANGE(""https://docs.google.com/spreadsheets/d/1FvTu2DsIWUjP6WCWra38Bkj_oOl_sOMf14r5Fg5srxU/edit?usp=sharing"",""ชัยภูมิ!N233"")+IMPORTRANGE(""https://docs.google.com/spreadsheets/d/1XVB7oCJ3pr-vBUdflwPQ8Z2LlzhnCvZaaYjAfP-647E/edit"&amp;"?usp=sharing"",""นครพนม!N233"")+IMPORTRANGE(""https://docs.google.com/spreadsheets/d/1Mnpb-8PYAgn85W6KOTD40hc_Xc55CaLfHoGAbrZ8tls/edit?usp=sharing"",""นครราชสีมา!N233"")+IMPORTRANGE(""https://docs.google.com/spreadsheets/d/1xoDLGBv9CYbyosIhki0kTq6IpYNj-gp"&amp;"jxfobnaDiut0/edit?usp=sharing"",""บึงกาฬ!N233"")+IMPORTRANGE(""https://docs.google.com/spreadsheets/d/1MMPq-JyI6DSgQETxuSiXkesP-P7JHuemnE6QJIa-Nlw/edit?usp=sharing"",""บุรีรัมย์!N233"")+IMPORTRANGE(""https://docs.google.com/spreadsheets/d/1l6IZ8xUPgMrESzc"&amp;"TYwhA1k_tPjeQjJPTqlm8Gd9eU5g/edit?usp=sharing"",""มหาสารคาม!N233"")+IMPORTRANGE(""https://docs.google.com/spreadsheets/d/1uB74YLqNjWX6FObjekfB2NtSYigTQyR2rq9u4Ub2Sq4/edit?usp=sharing"",""มุกดาหาร!N233"")+IMPORTRANGE(""https://docs.google.com/spreadsheets/"&amp;"d/1NexK3geCPxCTO1fzNF8dPec7yZyUx3OaWkFBC9HsQOo/edit?usp=sharing"",""ยโสธร!N233"")+IMPORTRANGE(""https://docs.google.com/spreadsheets/d/1v_cJrbBlyqmnHPReHk44g9NrMRdENNlSy_E_c5M9fIg/edit?usp=sharing"",""ร้อยเอ็ด!N233"")+IMPORTRANGE(""https://docs.google.com"&amp;"/spreadsheets/d/1Ul4RCpCX66NxYADU1QpwAPjOmBzW64SsT11s1wzXw_c/edit?usp=sharing"",""เลย!N233"")+IMPORTRANGE(""https://docs.google.com/spreadsheets/d/1bRrNKwbHDVktQG10isr5vbWRtt5spIZPpkOSWgbT5ug/edit?usp=sharing"",""ศรีสะเกษ!N233"")+IMPORTRANGE(""https://doc"&amp;"s.google.com/spreadsheets/d/17P34_Ow5kFBfdQD0qspb2UuPX5zpi6WMrQzslghyvrI/edit?usp=sharing"",""สกลนคร!N233"")+IMPORTRANGE(""https://docs.google.com/spreadsheets/d/1yswqbM3-AEpThF3ZSUa1AcmHnmRTF1vlJ1CZGcJ8YuU/edit?usp=sharing"",""สุรินทร์!N233"")+IMPORTRANG"&amp;"E(""https://docs.google.com/spreadsheets/d/13JHU_EFbsQOUQ0JSQ3dWy1VTRosIWcDq6Nc99z2qzdc/edit?usp=sharing"",""หนองคาย!N233"")+IMPORTRANGE(""https://docs.google.com/spreadsheets/d/1Hx73zIEgVdDZZaYSTc46Dqv64atFhpr3GelxLbaIN8A/edit?usp=sharing"",""หนองบัวลำภู"&amp;"!N233"")+IMPORTRANGE(""https://docs.google.com/spreadsheets/d/1lFxr3ctmjFN90yc-xV6jrQ9Ty8BKYVBWnAZ15wcNIJc/edit?usp=sharing"",""อำนาจเจริญ!N233"")+IMPORTRANGE(""https://docs.google.com/spreadsheets/d/1gF7RJpRnL-1oyjyeWxs5SFWEH7y8ahOZsQlyp2A2e-A/edit?usp=s"&amp;"haring"",""อุดรธานี!N233"")+IMPORTRANGE(""https://docs.google.com/spreadsheets/d/1kfLP0j3INXRa8bTDpcEmoWewMBV61jlFlfzczfjWIgc/edit?usp=sharing"",""อุบลราชธานี!N233"")"),5100)</f>
        <v>5100</v>
      </c>
      <c r="O233" s="55"/>
      <c r="P233" s="55"/>
      <c r="Q233" s="56">
        <f ca="1">IFERROR(__xludf.DUMMYFUNCTION("IMPORTRANGE(""https://docs.google.com/spreadsheets/d/1yhBcrRPreicbMKl9Bu_Snb2-OcQAF62RKfhTLhJ2eAA/edit?usp=sharing"",""กาฬสินธุ์!Q233"")+IMPORTRANGE(""https://docs.google.com/spreadsheets/d/1aHkj4IaQMThhwWwevcOymEh837vdxeC_PycurhTbGFA/edit?usp=sharing"","&amp;"""ขอนแก่น!Q233"")+IMPORTRANGE(""https://docs.google.com/spreadsheets/d/1FvTu2DsIWUjP6WCWra38Bkj_oOl_sOMf14r5Fg5srxU/edit?usp=sharing"",""ชัยภูมิ!Q233"")+IMPORTRANGE(""https://docs.google.com/spreadsheets/d/1XVB7oCJ3pr-vBUdflwPQ8Z2LlzhnCvZaaYjAfP-647E/edit"&amp;"?usp=sharing"",""นครพนม!Q233"")+IMPORTRANGE(""https://docs.google.com/spreadsheets/d/1Mnpb-8PYAgn85W6KOTD40hc_Xc55CaLfHoGAbrZ8tls/edit?usp=sharing"",""นครราชสีมา!Q233"")+IMPORTRANGE(""https://docs.google.com/spreadsheets/d/1xoDLGBv9CYbyosIhki0kTq6IpYNj-gp"&amp;"jxfobnaDiut0/edit?usp=sharing"",""บึงกาฬ!Q233"")+IMPORTRANGE(""https://docs.google.com/spreadsheets/d/1MMPq-JyI6DSgQETxuSiXkesP-P7JHuemnE6QJIa-Nlw/edit?usp=sharing"",""บุรีรัมย์!Q233"")+IMPORTRANGE(""https://docs.google.com/spreadsheets/d/1l6IZ8xUPgMrESzc"&amp;"TYwhA1k_tPjeQjJPTqlm8Gd9eU5g/edit?usp=sharing"",""มหาสารคาม!Q233"")+IMPORTRANGE(""https://docs.google.com/spreadsheets/d/1uB74YLqNjWX6FObjekfB2NtSYigTQyR2rq9u4Ub2Sq4/edit?usp=sharing"",""มุกดาหาร!Q233"")+IMPORTRANGE(""https://docs.google.com/spreadsheets/"&amp;"d/1NexK3geCPxCTO1fzNF8dPec7yZyUx3OaWkFBC9HsQOo/edit?usp=sharing"",""ยโสธร!Q233"")+IMPORTRANGE(""https://docs.google.com/spreadsheets/d/1v_cJrbBlyqmnHPReHk44g9NrMRdENNlSy_E_c5M9fIg/edit?usp=sharing"",""ร้อยเอ็ด!Q233"")+IMPORTRANGE(""https://docs.google.com"&amp;"/spreadsheets/d/1Ul4RCpCX66NxYADU1QpwAPjOmBzW64SsT11s1wzXw_c/edit?usp=sharing"",""เลย!Q233"")+IMPORTRANGE(""https://docs.google.com/spreadsheets/d/1bRrNKwbHDVktQG10isr5vbWRtt5spIZPpkOSWgbT5ug/edit?usp=sharing"",""ศรีสะเกษ!Q233"")+IMPORTRANGE(""https://doc"&amp;"s.google.com/spreadsheets/d/17P34_Ow5kFBfdQD0qspb2UuPX5zpi6WMrQzslghyvrI/edit?usp=sharing"",""สกลนคร!Q233"")+IMPORTRANGE(""https://docs.google.com/spreadsheets/d/1yswqbM3-AEpThF3ZSUa1AcmHnmRTF1vlJ1CZGcJ8YuU/edit?usp=sharing"",""สุรินทร์!Q233"")+IMPORTRANG"&amp;"E(""https://docs.google.com/spreadsheets/d/13JHU_EFbsQOUQ0JSQ3dWy1VTRosIWcDq6Nc99z2qzdc/edit?usp=sharing"",""หนองคาย!Q233"")+IMPORTRANGE(""https://docs.google.com/spreadsheets/d/1Hx73zIEgVdDZZaYSTc46Dqv64atFhpr3GelxLbaIN8A/edit?usp=sharing"",""หนองบัวลำภู"&amp;"!Q233"")+IMPORTRANGE(""https://docs.google.com/spreadsheets/d/1lFxr3ctmjFN90yc-xV6jrQ9Ty8BKYVBWnAZ15wcNIJc/edit?usp=sharing"",""อำนาจเจริญ!Q233"")+IMPORTRANGE(""https://docs.google.com/spreadsheets/d/1gF7RJpRnL-1oyjyeWxs5SFWEH7y8ahOZsQlyp2A2e-A/edit?usp=s"&amp;"haring"",""อุดรธานี!Q233"")+IMPORTRANGE(""https://docs.google.com/spreadsheets/d/1kfLP0j3INXRa8bTDpcEmoWewMBV61jlFlfzczfjWIgc/edit?usp=sharing"",""อุบลราชธานี!Q233"")"),0)</f>
        <v>0</v>
      </c>
      <c r="R233" s="56">
        <f ca="1">IFERROR(__xludf.DUMMYFUNCTION("IMPORTRANGE(""https://docs.google.com/spreadsheets/d/1yhBcrRPreicbMKl9Bu_Snb2-OcQAF62RKfhTLhJ2eAA/edit?usp=sharing"",""กาฬสินธุ์!R233"")+IMPORTRANGE(""https://docs.google.com/spreadsheets/d/1aHkj4IaQMThhwWwevcOymEh837vdxeC_PycurhTbGFA/edit?usp=sharing"","&amp;"""ขอนแก่น!R233"")+IMPORTRANGE(""https://docs.google.com/spreadsheets/d/1FvTu2DsIWUjP6WCWra38Bkj_oOl_sOMf14r5Fg5srxU/edit?usp=sharing"",""ชัยภูมิ!R233"")+IMPORTRANGE(""https://docs.google.com/spreadsheets/d/1XVB7oCJ3pr-vBUdflwPQ8Z2LlzhnCvZaaYjAfP-647E/edit"&amp;"?usp=sharing"",""นครพนม!R233"")+IMPORTRANGE(""https://docs.google.com/spreadsheets/d/1Mnpb-8PYAgn85W6KOTD40hc_Xc55CaLfHoGAbrZ8tls/edit?usp=sharing"",""นครราชสีมา!R233"")+IMPORTRANGE(""https://docs.google.com/spreadsheets/d/1xoDLGBv9CYbyosIhki0kTq6IpYNj-gp"&amp;"jxfobnaDiut0/edit?usp=sharing"",""บึงกาฬ!R233"")+IMPORTRANGE(""https://docs.google.com/spreadsheets/d/1MMPq-JyI6DSgQETxuSiXkesP-P7JHuemnE6QJIa-Nlw/edit?usp=sharing"",""บุรีรัมย์!R233"")+IMPORTRANGE(""https://docs.google.com/spreadsheets/d/1l6IZ8xUPgMrESzc"&amp;"TYwhA1k_tPjeQjJPTqlm8Gd9eU5g/edit?usp=sharing"",""มหาสารคาม!R233"")+IMPORTRANGE(""https://docs.google.com/spreadsheets/d/1uB74YLqNjWX6FObjekfB2NtSYigTQyR2rq9u4Ub2Sq4/edit?usp=sharing"",""มุกดาหาร!R233"")+IMPORTRANGE(""https://docs.google.com/spreadsheets/"&amp;"d/1NexK3geCPxCTO1fzNF8dPec7yZyUx3OaWkFBC9HsQOo/edit?usp=sharing"",""ยโสธร!R233"")+IMPORTRANGE(""https://docs.google.com/spreadsheets/d/1v_cJrbBlyqmnHPReHk44g9NrMRdENNlSy_E_c5M9fIg/edit?usp=sharing"",""ร้อยเอ็ด!R233"")+IMPORTRANGE(""https://docs.google.com"&amp;"/spreadsheets/d/1Ul4RCpCX66NxYADU1QpwAPjOmBzW64SsT11s1wzXw_c/edit?usp=sharing"",""เลย!R233"")+IMPORTRANGE(""https://docs.google.com/spreadsheets/d/1bRrNKwbHDVktQG10isr5vbWRtt5spIZPpkOSWgbT5ug/edit?usp=sharing"",""ศรีสะเกษ!R233"")+IMPORTRANGE(""https://doc"&amp;"s.google.com/spreadsheets/d/17P34_Ow5kFBfdQD0qspb2UuPX5zpi6WMrQzslghyvrI/edit?usp=sharing"",""สกลนคร!R233"")+IMPORTRANGE(""https://docs.google.com/spreadsheets/d/1yswqbM3-AEpThF3ZSUa1AcmHnmRTF1vlJ1CZGcJ8YuU/edit?usp=sharing"",""สุรินทร์!R233"")+IMPORTRANG"&amp;"E(""https://docs.google.com/spreadsheets/d/13JHU_EFbsQOUQ0JSQ3dWy1VTRosIWcDq6Nc99z2qzdc/edit?usp=sharing"",""หนองคาย!R233"")+IMPORTRANGE(""https://docs.google.com/spreadsheets/d/1Hx73zIEgVdDZZaYSTc46Dqv64atFhpr3GelxLbaIN8A/edit?usp=sharing"",""หนองบัวลำภู"&amp;"!R233"")+IMPORTRANGE(""https://docs.google.com/spreadsheets/d/1lFxr3ctmjFN90yc-xV6jrQ9Ty8BKYVBWnAZ15wcNIJc/edit?usp=sharing"",""อำนาจเจริญ!R233"")+IMPORTRANGE(""https://docs.google.com/spreadsheets/d/1gF7RJpRnL-1oyjyeWxs5SFWEH7y8ahOZsQlyp2A2e-A/edit?usp=s"&amp;"haring"",""อุดรธานี!R233"")+IMPORTRANGE(""https://docs.google.com/spreadsheets/d/1kfLP0j3INXRa8bTDpcEmoWewMBV61jlFlfzczfjWIgc/edit?usp=sharing"",""อุบลราชธานี!R233"")"),0)</f>
        <v>0</v>
      </c>
      <c r="S233" s="57">
        <f ca="1">IFERROR(__xludf.DUMMYFUNCTION("IMPORTRANGE(""https://docs.google.com/spreadsheets/d/1yhBcrRPreicbMKl9Bu_Snb2-OcQAF62RKfhTLhJ2eAA/edit?usp=sharing"",""กาฬสินธุ์!S233"")+IMPORTRANGE(""https://docs.google.com/spreadsheets/d/1aHkj4IaQMThhwWwevcOymEh837vdxeC_PycurhTbGFA/edit?usp=sharing"","&amp;"""ขอนแก่น!S233"")+IMPORTRANGE(""https://docs.google.com/spreadsheets/d/1FvTu2DsIWUjP6WCWra38Bkj_oOl_sOMf14r5Fg5srxU/edit?usp=sharing"",""ชัยภูมิ!S233"")+IMPORTRANGE(""https://docs.google.com/spreadsheets/d/1XVB7oCJ3pr-vBUdflwPQ8Z2LlzhnCvZaaYjAfP-647E/edit"&amp;"?usp=sharing"",""นครพนม!S233"")+IMPORTRANGE(""https://docs.google.com/spreadsheets/d/1Mnpb-8PYAgn85W6KOTD40hc_Xc55CaLfHoGAbrZ8tls/edit?usp=sharing"",""นครราชสีมา!S233"")+IMPORTRANGE(""https://docs.google.com/spreadsheets/d/1xoDLGBv9CYbyosIhki0kTq6IpYNj-gp"&amp;"jxfobnaDiut0/edit?usp=sharing"",""บึงกาฬ!S233"")+IMPORTRANGE(""https://docs.google.com/spreadsheets/d/1MMPq-JyI6DSgQETxuSiXkesP-P7JHuemnE6QJIa-Nlw/edit?usp=sharing"",""บุรีรัมย์!S233"")+IMPORTRANGE(""https://docs.google.com/spreadsheets/d/1l6IZ8xUPgMrESzc"&amp;"TYwhA1k_tPjeQjJPTqlm8Gd9eU5g/edit?usp=sharing"",""มหาสารคาม!S233"")+IMPORTRANGE(""https://docs.google.com/spreadsheets/d/1uB74YLqNjWX6FObjekfB2NtSYigTQyR2rq9u4Ub2Sq4/edit?usp=sharing"",""มุกดาหาร!S233"")+IMPORTRANGE(""https://docs.google.com/spreadsheets/"&amp;"d/1NexK3geCPxCTO1fzNF8dPec7yZyUx3OaWkFBC9HsQOo/edit?usp=sharing"",""ยโสธร!S233"")+IMPORTRANGE(""https://docs.google.com/spreadsheets/d/1v_cJrbBlyqmnHPReHk44g9NrMRdENNlSy_E_c5M9fIg/edit?usp=sharing"",""ร้อยเอ็ด!S233"")+IMPORTRANGE(""https://docs.google.com"&amp;"/spreadsheets/d/1Ul4RCpCX66NxYADU1QpwAPjOmBzW64SsT11s1wzXw_c/edit?usp=sharing"",""เลย!S233"")+IMPORTRANGE(""https://docs.google.com/spreadsheets/d/1bRrNKwbHDVktQG10isr5vbWRtt5spIZPpkOSWgbT5ug/edit?usp=sharing"",""ศรีสะเกษ!S233"")+IMPORTRANGE(""https://doc"&amp;"s.google.com/spreadsheets/d/17P34_Ow5kFBfdQD0qspb2UuPX5zpi6WMrQzslghyvrI/edit?usp=sharing"",""สกลนคร!S233"")+IMPORTRANGE(""https://docs.google.com/spreadsheets/d/1yswqbM3-AEpThF3ZSUa1AcmHnmRTF1vlJ1CZGcJ8YuU/edit?usp=sharing"",""สุรินทร์!S233"")+IMPORTRANG"&amp;"E(""https://docs.google.com/spreadsheets/d/13JHU_EFbsQOUQ0JSQ3dWy1VTRosIWcDq6Nc99z2qzdc/edit?usp=sharing"",""หนองคาย!S233"")+IMPORTRANGE(""https://docs.google.com/spreadsheets/d/1Hx73zIEgVdDZZaYSTc46Dqv64atFhpr3GelxLbaIN8A/edit?usp=sharing"",""หนองบัวลำภู"&amp;"!S233"")+IMPORTRANGE(""https://docs.google.com/spreadsheets/d/1lFxr3ctmjFN90yc-xV6jrQ9Ty8BKYVBWnAZ15wcNIJc/edit?usp=sharing"",""อำนาจเจริญ!S233"")+IMPORTRANGE(""https://docs.google.com/spreadsheets/d/1gF7RJpRnL-1oyjyeWxs5SFWEH7y8ahOZsQlyp2A2e-A/edit?usp=s"&amp;"haring"",""อุดรธานี!S233"")+IMPORTRANGE(""https://docs.google.com/spreadsheets/d/1kfLP0j3INXRa8bTDpcEmoWewMBV61jlFlfzczfjWIgc/edit?usp=sharing"",""อุบลราชธานี!S233"")"),0)</f>
        <v>0</v>
      </c>
      <c r="T233" s="55"/>
      <c r="U233" s="55"/>
    </row>
    <row r="234" spans="1:21" ht="18.75">
      <c r="A234" s="238"/>
      <c r="B234" s="188"/>
      <c r="C234" s="188"/>
      <c r="D234" s="58" t="s">
        <v>88</v>
      </c>
      <c r="E234" s="50"/>
      <c r="F234" s="50"/>
      <c r="G234" s="52"/>
      <c r="H234" s="162" t="s">
        <v>14</v>
      </c>
      <c r="I234" s="54"/>
      <c r="J234" s="54"/>
      <c r="K234" s="55"/>
      <c r="L234" s="56">
        <f ca="1">IFERROR(__xludf.DUMMYFUNCTION("IMPORTRANGE(""https://docs.google.com/spreadsheets/d/1yhBcrRPreicbMKl9Bu_Snb2-OcQAF62RKfhTLhJ2eAA/edit?usp=sharing"",""กาฬสินธุ์!L234"")+IMPORTRANGE(""https://docs.google.com/spreadsheets/d/1aHkj4IaQMThhwWwevcOymEh837vdxeC_PycurhTbGFA/edit?usp=sharing"","&amp;"""ขอนแก่น!L234"")+IMPORTRANGE(""https://docs.google.com/spreadsheets/d/1FvTu2DsIWUjP6WCWra38Bkj_oOl_sOMf14r5Fg5srxU/edit?usp=sharing"",""ชัยภูมิ!L234"")+IMPORTRANGE(""https://docs.google.com/spreadsheets/d/1XVB7oCJ3pr-vBUdflwPQ8Z2LlzhnCvZaaYjAfP-647E/edit"&amp;"?usp=sharing"",""นครพนม!L234"")+IMPORTRANGE(""https://docs.google.com/spreadsheets/d/1Mnpb-8PYAgn85W6KOTD40hc_Xc55CaLfHoGAbrZ8tls/edit?usp=sharing"",""นครราชสีมา!L234"")+IMPORTRANGE(""https://docs.google.com/spreadsheets/d/1xoDLGBv9CYbyosIhki0kTq6IpYNj-gp"&amp;"jxfobnaDiut0/edit?usp=sharing"",""บึงกาฬ!L234"")+IMPORTRANGE(""https://docs.google.com/spreadsheets/d/1MMPq-JyI6DSgQETxuSiXkesP-P7JHuemnE6QJIa-Nlw/edit?usp=sharing"",""บุรีรัมย์!L234"")+IMPORTRANGE(""https://docs.google.com/spreadsheets/d/1l6IZ8xUPgMrESzc"&amp;"TYwhA1k_tPjeQjJPTqlm8Gd9eU5g/edit?usp=sharing"",""มหาสารคาม!L234"")+IMPORTRANGE(""https://docs.google.com/spreadsheets/d/1uB74YLqNjWX6FObjekfB2NtSYigTQyR2rq9u4Ub2Sq4/edit?usp=sharing"",""มุกดาหาร!L234"")+IMPORTRANGE(""https://docs.google.com/spreadsheets/"&amp;"d/1NexK3geCPxCTO1fzNF8dPec7yZyUx3OaWkFBC9HsQOo/edit?usp=sharing"",""ยโสธร!L234"")+IMPORTRANGE(""https://docs.google.com/spreadsheets/d/1v_cJrbBlyqmnHPReHk44g9NrMRdENNlSy_E_c5M9fIg/edit?usp=sharing"",""ร้อยเอ็ด!L234"")+IMPORTRANGE(""https://docs.google.com"&amp;"/spreadsheets/d/1Ul4RCpCX66NxYADU1QpwAPjOmBzW64SsT11s1wzXw_c/edit?usp=sharing"",""เลย!L234"")+IMPORTRANGE(""https://docs.google.com/spreadsheets/d/1bRrNKwbHDVktQG10isr5vbWRtt5spIZPpkOSWgbT5ug/edit?usp=sharing"",""ศรีสะเกษ!L234"")+IMPORTRANGE(""https://doc"&amp;"s.google.com/spreadsheets/d/17P34_Ow5kFBfdQD0qspb2UuPX5zpi6WMrQzslghyvrI/edit?usp=sharing"",""สกลนคร!L234"")+IMPORTRANGE(""https://docs.google.com/spreadsheets/d/1yswqbM3-AEpThF3ZSUa1AcmHnmRTF1vlJ1CZGcJ8YuU/edit?usp=sharing"",""สุรินทร์!L234"")+IMPORTRANG"&amp;"E(""https://docs.google.com/spreadsheets/d/13JHU_EFbsQOUQ0JSQ3dWy1VTRosIWcDq6Nc99z2qzdc/edit?usp=sharing"",""หนองคาย!L234"")+IMPORTRANGE(""https://docs.google.com/spreadsheets/d/1Hx73zIEgVdDZZaYSTc46Dqv64atFhpr3GelxLbaIN8A/edit?usp=sharing"",""หนองบัวลำภู"&amp;"!L234"")+IMPORTRANGE(""https://docs.google.com/spreadsheets/d/1lFxr3ctmjFN90yc-xV6jrQ9Ty8BKYVBWnAZ15wcNIJc/edit?usp=sharing"",""อำนาจเจริญ!L234"")+IMPORTRANGE(""https://docs.google.com/spreadsheets/d/1gF7RJpRnL-1oyjyeWxs5SFWEH7y8ahOZsQlyp2A2e-A/edit?usp=s"&amp;"haring"",""อุดรธานี!L234"")+IMPORTRANGE(""https://docs.google.com/spreadsheets/d/1kfLP0j3INXRa8bTDpcEmoWewMBV61jlFlfzczfjWIgc/edit?usp=sharing"",""อุบลราชธานี!L234"")"),91000)</f>
        <v>91000</v>
      </c>
      <c r="M234" s="56">
        <f ca="1">IFERROR(__xludf.DUMMYFUNCTION("IMPORTRANGE(""https://docs.google.com/spreadsheets/d/1yhBcrRPreicbMKl9Bu_Snb2-OcQAF62RKfhTLhJ2eAA/edit?usp=sharing"",""กาฬสินธุ์!M234"")+IMPORTRANGE(""https://docs.google.com/spreadsheets/d/1aHkj4IaQMThhwWwevcOymEh837vdxeC_PycurhTbGFA/edit?usp=sharing"","&amp;"""ขอนแก่น!M234"")+IMPORTRANGE(""https://docs.google.com/spreadsheets/d/1FvTu2DsIWUjP6WCWra38Bkj_oOl_sOMf14r5Fg5srxU/edit?usp=sharing"",""ชัยภูมิ!M234"")+IMPORTRANGE(""https://docs.google.com/spreadsheets/d/1XVB7oCJ3pr-vBUdflwPQ8Z2LlzhnCvZaaYjAfP-647E/edit"&amp;"?usp=sharing"",""นครพนม!M234"")+IMPORTRANGE(""https://docs.google.com/spreadsheets/d/1Mnpb-8PYAgn85W6KOTD40hc_Xc55CaLfHoGAbrZ8tls/edit?usp=sharing"",""นครราชสีมา!M234"")+IMPORTRANGE(""https://docs.google.com/spreadsheets/d/1xoDLGBv9CYbyosIhki0kTq6IpYNj-gp"&amp;"jxfobnaDiut0/edit?usp=sharing"",""บึงกาฬ!M234"")+IMPORTRANGE(""https://docs.google.com/spreadsheets/d/1MMPq-JyI6DSgQETxuSiXkesP-P7JHuemnE6QJIa-Nlw/edit?usp=sharing"",""บุรีรัมย์!M234"")+IMPORTRANGE(""https://docs.google.com/spreadsheets/d/1l6IZ8xUPgMrESzc"&amp;"TYwhA1k_tPjeQjJPTqlm8Gd9eU5g/edit?usp=sharing"",""มหาสารคาม!M234"")+IMPORTRANGE(""https://docs.google.com/spreadsheets/d/1uB74YLqNjWX6FObjekfB2NtSYigTQyR2rq9u4Ub2Sq4/edit?usp=sharing"",""มุกดาหาร!M234"")+IMPORTRANGE(""https://docs.google.com/spreadsheets/"&amp;"d/1NexK3geCPxCTO1fzNF8dPec7yZyUx3OaWkFBC9HsQOo/edit?usp=sharing"",""ยโสธร!M234"")+IMPORTRANGE(""https://docs.google.com/spreadsheets/d/1v_cJrbBlyqmnHPReHk44g9NrMRdENNlSy_E_c5M9fIg/edit?usp=sharing"",""ร้อยเอ็ด!M234"")+IMPORTRANGE(""https://docs.google.com"&amp;"/spreadsheets/d/1Ul4RCpCX66NxYADU1QpwAPjOmBzW64SsT11s1wzXw_c/edit?usp=sharing"",""เลย!M234"")+IMPORTRANGE(""https://docs.google.com/spreadsheets/d/1bRrNKwbHDVktQG10isr5vbWRtt5spIZPpkOSWgbT5ug/edit?usp=sharing"",""ศรีสะเกษ!M234"")+IMPORTRANGE(""https://doc"&amp;"s.google.com/spreadsheets/d/17P34_Ow5kFBfdQD0qspb2UuPX5zpi6WMrQzslghyvrI/edit?usp=sharing"",""สกลนคร!M234"")+IMPORTRANGE(""https://docs.google.com/spreadsheets/d/1yswqbM3-AEpThF3ZSUa1AcmHnmRTF1vlJ1CZGcJ8YuU/edit?usp=sharing"",""สุรินทร์!M234"")+IMPORTRANG"&amp;"E(""https://docs.google.com/spreadsheets/d/13JHU_EFbsQOUQ0JSQ3dWy1VTRosIWcDq6Nc99z2qzdc/edit?usp=sharing"",""หนองคาย!M234"")+IMPORTRANGE(""https://docs.google.com/spreadsheets/d/1Hx73zIEgVdDZZaYSTc46Dqv64atFhpr3GelxLbaIN8A/edit?usp=sharing"",""หนองบัวลำภู"&amp;"!M234"")+IMPORTRANGE(""https://docs.google.com/spreadsheets/d/1lFxr3ctmjFN90yc-xV6jrQ9Ty8BKYVBWnAZ15wcNIJc/edit?usp=sharing"",""อำนาจเจริญ!M234"")+IMPORTRANGE(""https://docs.google.com/spreadsheets/d/1gF7RJpRnL-1oyjyeWxs5SFWEH7y8ahOZsQlyp2A2e-A/edit?usp=s"&amp;"haring"",""อุดรธานี!M234"")+IMPORTRANGE(""https://docs.google.com/spreadsheets/d/1kfLP0j3INXRa8bTDpcEmoWewMBV61jlFlfzczfjWIgc/edit?usp=sharing"",""อุบลราชธานี!M234"")"),0)</f>
        <v>0</v>
      </c>
      <c r="N234" s="56">
        <f ca="1">IFERROR(__xludf.DUMMYFUNCTION("IMPORTRANGE(""https://docs.google.com/spreadsheets/d/1yhBcrRPreicbMKl9Bu_Snb2-OcQAF62RKfhTLhJ2eAA/edit?usp=sharing"",""กาฬสินธุ์!N234"")+IMPORTRANGE(""https://docs.google.com/spreadsheets/d/1aHkj4IaQMThhwWwevcOymEh837vdxeC_PycurhTbGFA/edit?usp=sharing"","&amp;"""ขอนแก่น!N234"")+IMPORTRANGE(""https://docs.google.com/spreadsheets/d/1FvTu2DsIWUjP6WCWra38Bkj_oOl_sOMf14r5Fg5srxU/edit?usp=sharing"",""ชัยภูมิ!N234"")+IMPORTRANGE(""https://docs.google.com/spreadsheets/d/1XVB7oCJ3pr-vBUdflwPQ8Z2LlzhnCvZaaYjAfP-647E/edit"&amp;"?usp=sharing"",""นครพนม!N234"")+IMPORTRANGE(""https://docs.google.com/spreadsheets/d/1Mnpb-8PYAgn85W6KOTD40hc_Xc55CaLfHoGAbrZ8tls/edit?usp=sharing"",""นครราชสีมา!N234"")+IMPORTRANGE(""https://docs.google.com/spreadsheets/d/1xoDLGBv9CYbyosIhki0kTq6IpYNj-gp"&amp;"jxfobnaDiut0/edit?usp=sharing"",""บึงกาฬ!N234"")+IMPORTRANGE(""https://docs.google.com/spreadsheets/d/1MMPq-JyI6DSgQETxuSiXkesP-P7JHuemnE6QJIa-Nlw/edit?usp=sharing"",""บุรีรัมย์!N234"")+IMPORTRANGE(""https://docs.google.com/spreadsheets/d/1l6IZ8xUPgMrESzc"&amp;"TYwhA1k_tPjeQjJPTqlm8Gd9eU5g/edit?usp=sharing"",""มหาสารคาม!N234"")+IMPORTRANGE(""https://docs.google.com/spreadsheets/d/1uB74YLqNjWX6FObjekfB2NtSYigTQyR2rq9u4Ub2Sq4/edit?usp=sharing"",""มุกดาหาร!N234"")+IMPORTRANGE(""https://docs.google.com/spreadsheets/"&amp;"d/1NexK3geCPxCTO1fzNF8dPec7yZyUx3OaWkFBC9HsQOo/edit?usp=sharing"",""ยโสธร!N234"")+IMPORTRANGE(""https://docs.google.com/spreadsheets/d/1v_cJrbBlyqmnHPReHk44g9NrMRdENNlSy_E_c5M9fIg/edit?usp=sharing"",""ร้อยเอ็ด!N234"")+IMPORTRANGE(""https://docs.google.com"&amp;"/spreadsheets/d/1Ul4RCpCX66NxYADU1QpwAPjOmBzW64SsT11s1wzXw_c/edit?usp=sharing"",""เลย!N234"")+IMPORTRANGE(""https://docs.google.com/spreadsheets/d/1bRrNKwbHDVktQG10isr5vbWRtt5spIZPpkOSWgbT5ug/edit?usp=sharing"",""ศรีสะเกษ!N234"")+IMPORTRANGE(""https://doc"&amp;"s.google.com/spreadsheets/d/17P34_Ow5kFBfdQD0qspb2UuPX5zpi6WMrQzslghyvrI/edit?usp=sharing"",""สกลนคร!N234"")+IMPORTRANGE(""https://docs.google.com/spreadsheets/d/1yswqbM3-AEpThF3ZSUa1AcmHnmRTF1vlJ1CZGcJ8YuU/edit?usp=sharing"",""สุรินทร์!N234"")+IMPORTRANG"&amp;"E(""https://docs.google.com/spreadsheets/d/13JHU_EFbsQOUQ0JSQ3dWy1VTRosIWcDq6Nc99z2qzdc/edit?usp=sharing"",""หนองคาย!N234"")+IMPORTRANGE(""https://docs.google.com/spreadsheets/d/1Hx73zIEgVdDZZaYSTc46Dqv64atFhpr3GelxLbaIN8A/edit?usp=sharing"",""หนองบัวลำภู"&amp;"!N234"")+IMPORTRANGE(""https://docs.google.com/spreadsheets/d/1lFxr3ctmjFN90yc-xV6jrQ9Ty8BKYVBWnAZ15wcNIJc/edit?usp=sharing"",""อำนาจเจริญ!N234"")+IMPORTRANGE(""https://docs.google.com/spreadsheets/d/1gF7RJpRnL-1oyjyeWxs5SFWEH7y8ahOZsQlyp2A2e-A/edit?usp=s"&amp;"haring"",""อุดรธานี!N234"")+IMPORTRANGE(""https://docs.google.com/spreadsheets/d/1kfLP0j3INXRa8bTDpcEmoWewMBV61jlFlfzczfjWIgc/edit?usp=sharing"",""อุบลราชธานี!N234"")"),0)</f>
        <v>0</v>
      </c>
      <c r="O234" s="55"/>
      <c r="P234" s="55"/>
      <c r="Q234" s="56">
        <f ca="1">IFERROR(__xludf.DUMMYFUNCTION("IMPORTRANGE(""https://docs.google.com/spreadsheets/d/1yhBcrRPreicbMKl9Bu_Snb2-OcQAF62RKfhTLhJ2eAA/edit?usp=sharing"",""กาฬสินธุ์!Q234"")+IMPORTRANGE(""https://docs.google.com/spreadsheets/d/1aHkj4IaQMThhwWwevcOymEh837vdxeC_PycurhTbGFA/edit?usp=sharing"","&amp;"""ขอนแก่น!Q234"")+IMPORTRANGE(""https://docs.google.com/spreadsheets/d/1FvTu2DsIWUjP6WCWra38Bkj_oOl_sOMf14r5Fg5srxU/edit?usp=sharing"",""ชัยภูมิ!Q234"")+IMPORTRANGE(""https://docs.google.com/spreadsheets/d/1XVB7oCJ3pr-vBUdflwPQ8Z2LlzhnCvZaaYjAfP-647E/edit"&amp;"?usp=sharing"",""นครพนม!Q234"")+IMPORTRANGE(""https://docs.google.com/spreadsheets/d/1Mnpb-8PYAgn85W6KOTD40hc_Xc55CaLfHoGAbrZ8tls/edit?usp=sharing"",""นครราชสีมา!Q234"")+IMPORTRANGE(""https://docs.google.com/spreadsheets/d/1xoDLGBv9CYbyosIhki0kTq6IpYNj-gp"&amp;"jxfobnaDiut0/edit?usp=sharing"",""บึงกาฬ!Q234"")+IMPORTRANGE(""https://docs.google.com/spreadsheets/d/1MMPq-JyI6DSgQETxuSiXkesP-P7JHuemnE6QJIa-Nlw/edit?usp=sharing"",""บุรีรัมย์!Q234"")+IMPORTRANGE(""https://docs.google.com/spreadsheets/d/1l6IZ8xUPgMrESzc"&amp;"TYwhA1k_tPjeQjJPTqlm8Gd9eU5g/edit?usp=sharing"",""มหาสารคาม!Q234"")+IMPORTRANGE(""https://docs.google.com/spreadsheets/d/1uB74YLqNjWX6FObjekfB2NtSYigTQyR2rq9u4Ub2Sq4/edit?usp=sharing"",""มุกดาหาร!Q234"")+IMPORTRANGE(""https://docs.google.com/spreadsheets/"&amp;"d/1NexK3geCPxCTO1fzNF8dPec7yZyUx3OaWkFBC9HsQOo/edit?usp=sharing"",""ยโสธร!Q234"")+IMPORTRANGE(""https://docs.google.com/spreadsheets/d/1v_cJrbBlyqmnHPReHk44g9NrMRdENNlSy_E_c5M9fIg/edit?usp=sharing"",""ร้อยเอ็ด!Q234"")+IMPORTRANGE(""https://docs.google.com"&amp;"/spreadsheets/d/1Ul4RCpCX66NxYADU1QpwAPjOmBzW64SsT11s1wzXw_c/edit?usp=sharing"",""เลย!Q234"")+IMPORTRANGE(""https://docs.google.com/spreadsheets/d/1bRrNKwbHDVktQG10isr5vbWRtt5spIZPpkOSWgbT5ug/edit?usp=sharing"",""ศรีสะเกษ!Q234"")+IMPORTRANGE(""https://doc"&amp;"s.google.com/spreadsheets/d/17P34_Ow5kFBfdQD0qspb2UuPX5zpi6WMrQzslghyvrI/edit?usp=sharing"",""สกลนคร!Q234"")+IMPORTRANGE(""https://docs.google.com/spreadsheets/d/1yswqbM3-AEpThF3ZSUa1AcmHnmRTF1vlJ1CZGcJ8YuU/edit?usp=sharing"",""สุรินทร์!Q234"")+IMPORTRANG"&amp;"E(""https://docs.google.com/spreadsheets/d/13JHU_EFbsQOUQ0JSQ3dWy1VTRosIWcDq6Nc99z2qzdc/edit?usp=sharing"",""หนองคาย!Q234"")+IMPORTRANGE(""https://docs.google.com/spreadsheets/d/1Hx73zIEgVdDZZaYSTc46Dqv64atFhpr3GelxLbaIN8A/edit?usp=sharing"",""หนองบัวลำภู"&amp;"!Q234"")+IMPORTRANGE(""https://docs.google.com/spreadsheets/d/1lFxr3ctmjFN90yc-xV6jrQ9Ty8BKYVBWnAZ15wcNIJc/edit?usp=sharing"",""อำนาจเจริญ!Q234"")+IMPORTRANGE(""https://docs.google.com/spreadsheets/d/1gF7RJpRnL-1oyjyeWxs5SFWEH7y8ahOZsQlyp2A2e-A/edit?usp=s"&amp;"haring"",""อุดรธานี!Q234"")+IMPORTRANGE(""https://docs.google.com/spreadsheets/d/1kfLP0j3INXRa8bTDpcEmoWewMBV61jlFlfzczfjWIgc/edit?usp=sharing"",""อุบลราชธานี!Q234"")"),0)</f>
        <v>0</v>
      </c>
      <c r="R234" s="56">
        <f ca="1">IFERROR(__xludf.DUMMYFUNCTION("IMPORTRANGE(""https://docs.google.com/spreadsheets/d/1yhBcrRPreicbMKl9Bu_Snb2-OcQAF62RKfhTLhJ2eAA/edit?usp=sharing"",""กาฬสินธุ์!R234"")+IMPORTRANGE(""https://docs.google.com/spreadsheets/d/1aHkj4IaQMThhwWwevcOymEh837vdxeC_PycurhTbGFA/edit?usp=sharing"","&amp;"""ขอนแก่น!R234"")+IMPORTRANGE(""https://docs.google.com/spreadsheets/d/1FvTu2DsIWUjP6WCWra38Bkj_oOl_sOMf14r5Fg5srxU/edit?usp=sharing"",""ชัยภูมิ!R234"")+IMPORTRANGE(""https://docs.google.com/spreadsheets/d/1XVB7oCJ3pr-vBUdflwPQ8Z2LlzhnCvZaaYjAfP-647E/edit"&amp;"?usp=sharing"",""นครพนม!R234"")+IMPORTRANGE(""https://docs.google.com/spreadsheets/d/1Mnpb-8PYAgn85W6KOTD40hc_Xc55CaLfHoGAbrZ8tls/edit?usp=sharing"",""นครราชสีมา!R234"")+IMPORTRANGE(""https://docs.google.com/spreadsheets/d/1xoDLGBv9CYbyosIhki0kTq6IpYNj-gp"&amp;"jxfobnaDiut0/edit?usp=sharing"",""บึงกาฬ!R234"")+IMPORTRANGE(""https://docs.google.com/spreadsheets/d/1MMPq-JyI6DSgQETxuSiXkesP-P7JHuemnE6QJIa-Nlw/edit?usp=sharing"",""บุรีรัมย์!R234"")+IMPORTRANGE(""https://docs.google.com/spreadsheets/d/1l6IZ8xUPgMrESzc"&amp;"TYwhA1k_tPjeQjJPTqlm8Gd9eU5g/edit?usp=sharing"",""มหาสารคาม!R234"")+IMPORTRANGE(""https://docs.google.com/spreadsheets/d/1uB74YLqNjWX6FObjekfB2NtSYigTQyR2rq9u4Ub2Sq4/edit?usp=sharing"",""มุกดาหาร!R234"")+IMPORTRANGE(""https://docs.google.com/spreadsheets/"&amp;"d/1NexK3geCPxCTO1fzNF8dPec7yZyUx3OaWkFBC9HsQOo/edit?usp=sharing"",""ยโสธร!R234"")+IMPORTRANGE(""https://docs.google.com/spreadsheets/d/1v_cJrbBlyqmnHPReHk44g9NrMRdENNlSy_E_c5M9fIg/edit?usp=sharing"",""ร้อยเอ็ด!R234"")+IMPORTRANGE(""https://docs.google.com"&amp;"/spreadsheets/d/1Ul4RCpCX66NxYADU1QpwAPjOmBzW64SsT11s1wzXw_c/edit?usp=sharing"",""เลย!R234"")+IMPORTRANGE(""https://docs.google.com/spreadsheets/d/1bRrNKwbHDVktQG10isr5vbWRtt5spIZPpkOSWgbT5ug/edit?usp=sharing"",""ศรีสะเกษ!R234"")+IMPORTRANGE(""https://doc"&amp;"s.google.com/spreadsheets/d/17P34_Ow5kFBfdQD0qspb2UuPX5zpi6WMrQzslghyvrI/edit?usp=sharing"",""สกลนคร!R234"")+IMPORTRANGE(""https://docs.google.com/spreadsheets/d/1yswqbM3-AEpThF3ZSUa1AcmHnmRTF1vlJ1CZGcJ8YuU/edit?usp=sharing"",""สุรินทร์!R234"")+IMPORTRANG"&amp;"E(""https://docs.google.com/spreadsheets/d/13JHU_EFbsQOUQ0JSQ3dWy1VTRosIWcDq6Nc99z2qzdc/edit?usp=sharing"",""หนองคาย!R234"")+IMPORTRANGE(""https://docs.google.com/spreadsheets/d/1Hx73zIEgVdDZZaYSTc46Dqv64atFhpr3GelxLbaIN8A/edit?usp=sharing"",""หนองบัวลำภู"&amp;"!R234"")+IMPORTRANGE(""https://docs.google.com/spreadsheets/d/1lFxr3ctmjFN90yc-xV6jrQ9Ty8BKYVBWnAZ15wcNIJc/edit?usp=sharing"",""อำนาจเจริญ!R234"")+IMPORTRANGE(""https://docs.google.com/spreadsheets/d/1gF7RJpRnL-1oyjyeWxs5SFWEH7y8ahOZsQlyp2A2e-A/edit?usp=s"&amp;"haring"",""อุดรธานี!R234"")+IMPORTRANGE(""https://docs.google.com/spreadsheets/d/1kfLP0j3INXRa8bTDpcEmoWewMBV61jlFlfzczfjWIgc/edit?usp=sharing"",""อุบลราชธานี!R234"")"),0)</f>
        <v>0</v>
      </c>
      <c r="S234" s="57">
        <f ca="1">IFERROR(__xludf.DUMMYFUNCTION("IMPORTRANGE(""https://docs.google.com/spreadsheets/d/1yhBcrRPreicbMKl9Bu_Snb2-OcQAF62RKfhTLhJ2eAA/edit?usp=sharing"",""กาฬสินธุ์!S234"")+IMPORTRANGE(""https://docs.google.com/spreadsheets/d/1aHkj4IaQMThhwWwevcOymEh837vdxeC_PycurhTbGFA/edit?usp=sharing"","&amp;"""ขอนแก่น!S234"")+IMPORTRANGE(""https://docs.google.com/spreadsheets/d/1FvTu2DsIWUjP6WCWra38Bkj_oOl_sOMf14r5Fg5srxU/edit?usp=sharing"",""ชัยภูมิ!S234"")+IMPORTRANGE(""https://docs.google.com/spreadsheets/d/1XVB7oCJ3pr-vBUdflwPQ8Z2LlzhnCvZaaYjAfP-647E/edit"&amp;"?usp=sharing"",""นครพนม!S234"")+IMPORTRANGE(""https://docs.google.com/spreadsheets/d/1Mnpb-8PYAgn85W6KOTD40hc_Xc55CaLfHoGAbrZ8tls/edit?usp=sharing"",""นครราชสีมา!S234"")+IMPORTRANGE(""https://docs.google.com/spreadsheets/d/1xoDLGBv9CYbyosIhki0kTq6IpYNj-gp"&amp;"jxfobnaDiut0/edit?usp=sharing"",""บึงกาฬ!S234"")+IMPORTRANGE(""https://docs.google.com/spreadsheets/d/1MMPq-JyI6DSgQETxuSiXkesP-P7JHuemnE6QJIa-Nlw/edit?usp=sharing"",""บุรีรัมย์!S234"")+IMPORTRANGE(""https://docs.google.com/spreadsheets/d/1l6IZ8xUPgMrESzc"&amp;"TYwhA1k_tPjeQjJPTqlm8Gd9eU5g/edit?usp=sharing"",""มหาสารคาม!S234"")+IMPORTRANGE(""https://docs.google.com/spreadsheets/d/1uB74YLqNjWX6FObjekfB2NtSYigTQyR2rq9u4Ub2Sq4/edit?usp=sharing"",""มุกดาหาร!S234"")+IMPORTRANGE(""https://docs.google.com/spreadsheets/"&amp;"d/1NexK3geCPxCTO1fzNF8dPec7yZyUx3OaWkFBC9HsQOo/edit?usp=sharing"",""ยโสธร!S234"")+IMPORTRANGE(""https://docs.google.com/spreadsheets/d/1v_cJrbBlyqmnHPReHk44g9NrMRdENNlSy_E_c5M9fIg/edit?usp=sharing"",""ร้อยเอ็ด!S234"")+IMPORTRANGE(""https://docs.google.com"&amp;"/spreadsheets/d/1Ul4RCpCX66NxYADU1QpwAPjOmBzW64SsT11s1wzXw_c/edit?usp=sharing"",""เลย!S234"")+IMPORTRANGE(""https://docs.google.com/spreadsheets/d/1bRrNKwbHDVktQG10isr5vbWRtt5spIZPpkOSWgbT5ug/edit?usp=sharing"",""ศรีสะเกษ!S234"")+IMPORTRANGE(""https://doc"&amp;"s.google.com/spreadsheets/d/17P34_Ow5kFBfdQD0qspb2UuPX5zpi6WMrQzslghyvrI/edit?usp=sharing"",""สกลนคร!S234"")+IMPORTRANGE(""https://docs.google.com/spreadsheets/d/1yswqbM3-AEpThF3ZSUa1AcmHnmRTF1vlJ1CZGcJ8YuU/edit?usp=sharing"",""สุรินทร์!S234"")+IMPORTRANG"&amp;"E(""https://docs.google.com/spreadsheets/d/13JHU_EFbsQOUQ0JSQ3dWy1VTRosIWcDq6Nc99z2qzdc/edit?usp=sharing"",""หนองคาย!S234"")+IMPORTRANGE(""https://docs.google.com/spreadsheets/d/1Hx73zIEgVdDZZaYSTc46Dqv64atFhpr3GelxLbaIN8A/edit?usp=sharing"",""หนองบัวลำภู"&amp;"!S234"")+IMPORTRANGE(""https://docs.google.com/spreadsheets/d/1lFxr3ctmjFN90yc-xV6jrQ9Ty8BKYVBWnAZ15wcNIJc/edit?usp=sharing"",""อำนาจเจริญ!S234"")+IMPORTRANGE(""https://docs.google.com/spreadsheets/d/1gF7RJpRnL-1oyjyeWxs5SFWEH7y8ahOZsQlyp2A2e-A/edit?usp=s"&amp;"haring"",""อุดรธานี!S234"")+IMPORTRANGE(""https://docs.google.com/spreadsheets/d/1kfLP0j3INXRa8bTDpcEmoWewMBV61jlFlfzczfjWIgc/edit?usp=sharing"",""อุบลราชธานี!S234"")"),0)</f>
        <v>0</v>
      </c>
      <c r="T234" s="55"/>
      <c r="U234" s="55"/>
    </row>
    <row r="235" spans="1:21" ht="18.75">
      <c r="A235" s="238"/>
      <c r="B235" s="188"/>
      <c r="C235" s="188"/>
      <c r="D235" s="58" t="s">
        <v>106</v>
      </c>
      <c r="E235" s="50"/>
      <c r="F235" s="50"/>
      <c r="G235" s="52"/>
      <c r="H235" s="162" t="s">
        <v>14</v>
      </c>
      <c r="I235" s="54"/>
      <c r="J235" s="54"/>
      <c r="K235" s="55"/>
      <c r="L235" s="56">
        <f ca="1">IFERROR(__xludf.DUMMYFUNCTION("IMPORTRANGE(""https://docs.google.com/spreadsheets/d/1yhBcrRPreicbMKl9Bu_Snb2-OcQAF62RKfhTLhJ2eAA/edit?usp=sharing"",""กาฬสินธุ์!L235"")+IMPORTRANGE(""https://docs.google.com/spreadsheets/d/1aHkj4IaQMThhwWwevcOymEh837vdxeC_PycurhTbGFA/edit?usp=sharing"","&amp;"""ขอนแก่น!L235"")+IMPORTRANGE(""https://docs.google.com/spreadsheets/d/1FvTu2DsIWUjP6WCWra38Bkj_oOl_sOMf14r5Fg5srxU/edit?usp=sharing"",""ชัยภูมิ!L235"")+IMPORTRANGE(""https://docs.google.com/spreadsheets/d/1XVB7oCJ3pr-vBUdflwPQ8Z2LlzhnCvZaaYjAfP-647E/edit"&amp;"?usp=sharing"",""นครพนม!L235"")+IMPORTRANGE(""https://docs.google.com/spreadsheets/d/1Mnpb-8PYAgn85W6KOTD40hc_Xc55CaLfHoGAbrZ8tls/edit?usp=sharing"",""นครราชสีมา!L235"")+IMPORTRANGE(""https://docs.google.com/spreadsheets/d/1xoDLGBv9CYbyosIhki0kTq6IpYNj-gp"&amp;"jxfobnaDiut0/edit?usp=sharing"",""บึงกาฬ!L235"")+IMPORTRANGE(""https://docs.google.com/spreadsheets/d/1MMPq-JyI6DSgQETxuSiXkesP-P7JHuemnE6QJIa-Nlw/edit?usp=sharing"",""บุรีรัมย์!L235"")+IMPORTRANGE(""https://docs.google.com/spreadsheets/d/1l6IZ8xUPgMrESzc"&amp;"TYwhA1k_tPjeQjJPTqlm8Gd9eU5g/edit?usp=sharing"",""มหาสารคาม!L235"")+IMPORTRANGE(""https://docs.google.com/spreadsheets/d/1uB74YLqNjWX6FObjekfB2NtSYigTQyR2rq9u4Ub2Sq4/edit?usp=sharing"",""มุกดาหาร!L235"")+IMPORTRANGE(""https://docs.google.com/spreadsheets/"&amp;"d/1NexK3geCPxCTO1fzNF8dPec7yZyUx3OaWkFBC9HsQOo/edit?usp=sharing"",""ยโสธร!L235"")+IMPORTRANGE(""https://docs.google.com/spreadsheets/d/1v_cJrbBlyqmnHPReHk44g9NrMRdENNlSy_E_c5M9fIg/edit?usp=sharing"",""ร้อยเอ็ด!L235"")+IMPORTRANGE(""https://docs.google.com"&amp;"/spreadsheets/d/1Ul4RCpCX66NxYADU1QpwAPjOmBzW64SsT11s1wzXw_c/edit?usp=sharing"",""เลย!L235"")+IMPORTRANGE(""https://docs.google.com/spreadsheets/d/1bRrNKwbHDVktQG10isr5vbWRtt5spIZPpkOSWgbT5ug/edit?usp=sharing"",""ศรีสะเกษ!L235"")+IMPORTRANGE(""https://doc"&amp;"s.google.com/spreadsheets/d/17P34_Ow5kFBfdQD0qspb2UuPX5zpi6WMrQzslghyvrI/edit?usp=sharing"",""สกลนคร!L235"")+IMPORTRANGE(""https://docs.google.com/spreadsheets/d/1yswqbM3-AEpThF3ZSUa1AcmHnmRTF1vlJ1CZGcJ8YuU/edit?usp=sharing"",""สุรินทร์!L235"")+IMPORTRANG"&amp;"E(""https://docs.google.com/spreadsheets/d/13JHU_EFbsQOUQ0JSQ3dWy1VTRosIWcDq6Nc99z2qzdc/edit?usp=sharing"",""หนองคาย!L235"")+IMPORTRANGE(""https://docs.google.com/spreadsheets/d/1Hx73zIEgVdDZZaYSTc46Dqv64atFhpr3GelxLbaIN8A/edit?usp=sharing"",""หนองบัวลำภู"&amp;"!L235"")+IMPORTRANGE(""https://docs.google.com/spreadsheets/d/1lFxr3ctmjFN90yc-xV6jrQ9Ty8BKYVBWnAZ15wcNIJc/edit?usp=sharing"",""อำนาจเจริญ!L235"")+IMPORTRANGE(""https://docs.google.com/spreadsheets/d/1gF7RJpRnL-1oyjyeWxs5SFWEH7y8ahOZsQlyp2A2e-A/edit?usp=s"&amp;"haring"",""อุดรธานี!L235"")+IMPORTRANGE(""https://docs.google.com/spreadsheets/d/1kfLP0j3INXRa8bTDpcEmoWewMBV61jlFlfzczfjWIgc/edit?usp=sharing"",""อุบลราชธานี!L235"")"),48000)</f>
        <v>48000</v>
      </c>
      <c r="M235" s="56">
        <f ca="1">IFERROR(__xludf.DUMMYFUNCTION("IMPORTRANGE(""https://docs.google.com/spreadsheets/d/1yhBcrRPreicbMKl9Bu_Snb2-OcQAF62RKfhTLhJ2eAA/edit?usp=sharing"",""กาฬสินธุ์!M235"")+IMPORTRANGE(""https://docs.google.com/spreadsheets/d/1aHkj4IaQMThhwWwevcOymEh837vdxeC_PycurhTbGFA/edit?usp=sharing"","&amp;"""ขอนแก่น!M235"")+IMPORTRANGE(""https://docs.google.com/spreadsheets/d/1FvTu2DsIWUjP6WCWra38Bkj_oOl_sOMf14r5Fg5srxU/edit?usp=sharing"",""ชัยภูมิ!M235"")+IMPORTRANGE(""https://docs.google.com/spreadsheets/d/1XVB7oCJ3pr-vBUdflwPQ8Z2LlzhnCvZaaYjAfP-647E/edit"&amp;"?usp=sharing"",""นครพนม!M235"")+IMPORTRANGE(""https://docs.google.com/spreadsheets/d/1Mnpb-8PYAgn85W6KOTD40hc_Xc55CaLfHoGAbrZ8tls/edit?usp=sharing"",""นครราชสีมา!M235"")+IMPORTRANGE(""https://docs.google.com/spreadsheets/d/1xoDLGBv9CYbyosIhki0kTq6IpYNj-gp"&amp;"jxfobnaDiut0/edit?usp=sharing"",""บึงกาฬ!M235"")+IMPORTRANGE(""https://docs.google.com/spreadsheets/d/1MMPq-JyI6DSgQETxuSiXkesP-P7JHuemnE6QJIa-Nlw/edit?usp=sharing"",""บุรีรัมย์!M235"")+IMPORTRANGE(""https://docs.google.com/spreadsheets/d/1l6IZ8xUPgMrESzc"&amp;"TYwhA1k_tPjeQjJPTqlm8Gd9eU5g/edit?usp=sharing"",""มหาสารคาม!M235"")+IMPORTRANGE(""https://docs.google.com/spreadsheets/d/1uB74YLqNjWX6FObjekfB2NtSYigTQyR2rq9u4Ub2Sq4/edit?usp=sharing"",""มุกดาหาร!M235"")+IMPORTRANGE(""https://docs.google.com/spreadsheets/"&amp;"d/1NexK3geCPxCTO1fzNF8dPec7yZyUx3OaWkFBC9HsQOo/edit?usp=sharing"",""ยโสธร!M235"")+IMPORTRANGE(""https://docs.google.com/spreadsheets/d/1v_cJrbBlyqmnHPReHk44g9NrMRdENNlSy_E_c5M9fIg/edit?usp=sharing"",""ร้อยเอ็ด!M235"")+IMPORTRANGE(""https://docs.google.com"&amp;"/spreadsheets/d/1Ul4RCpCX66NxYADU1QpwAPjOmBzW64SsT11s1wzXw_c/edit?usp=sharing"",""เลย!M235"")+IMPORTRANGE(""https://docs.google.com/spreadsheets/d/1bRrNKwbHDVktQG10isr5vbWRtt5spIZPpkOSWgbT5ug/edit?usp=sharing"",""ศรีสะเกษ!M235"")+IMPORTRANGE(""https://doc"&amp;"s.google.com/spreadsheets/d/17P34_Ow5kFBfdQD0qspb2UuPX5zpi6WMrQzslghyvrI/edit?usp=sharing"",""สกลนคร!M235"")+IMPORTRANGE(""https://docs.google.com/spreadsheets/d/1yswqbM3-AEpThF3ZSUa1AcmHnmRTF1vlJ1CZGcJ8YuU/edit?usp=sharing"",""สุรินทร์!M235"")+IMPORTRANG"&amp;"E(""https://docs.google.com/spreadsheets/d/13JHU_EFbsQOUQ0JSQ3dWy1VTRosIWcDq6Nc99z2qzdc/edit?usp=sharing"",""หนองคาย!M235"")+IMPORTRANGE(""https://docs.google.com/spreadsheets/d/1Hx73zIEgVdDZZaYSTc46Dqv64atFhpr3GelxLbaIN8A/edit?usp=sharing"",""หนองบัวลำภู"&amp;"!M235"")+IMPORTRANGE(""https://docs.google.com/spreadsheets/d/1lFxr3ctmjFN90yc-xV6jrQ9Ty8BKYVBWnAZ15wcNIJc/edit?usp=sharing"",""อำนาจเจริญ!M235"")+IMPORTRANGE(""https://docs.google.com/spreadsheets/d/1gF7RJpRnL-1oyjyeWxs5SFWEH7y8ahOZsQlyp2A2e-A/edit?usp=s"&amp;"haring"",""อุดรธานี!M235"")+IMPORTRANGE(""https://docs.google.com/spreadsheets/d/1kfLP0j3INXRa8bTDpcEmoWewMBV61jlFlfzczfjWIgc/edit?usp=sharing"",""อุบลราชธานี!M235"")"),0)</f>
        <v>0</v>
      </c>
      <c r="N235" s="56">
        <f ca="1">IFERROR(__xludf.DUMMYFUNCTION("IMPORTRANGE(""https://docs.google.com/spreadsheets/d/1yhBcrRPreicbMKl9Bu_Snb2-OcQAF62RKfhTLhJ2eAA/edit?usp=sharing"",""กาฬสินธุ์!N235"")+IMPORTRANGE(""https://docs.google.com/spreadsheets/d/1aHkj4IaQMThhwWwevcOymEh837vdxeC_PycurhTbGFA/edit?usp=sharing"","&amp;"""ขอนแก่น!N235"")+IMPORTRANGE(""https://docs.google.com/spreadsheets/d/1FvTu2DsIWUjP6WCWra38Bkj_oOl_sOMf14r5Fg5srxU/edit?usp=sharing"",""ชัยภูมิ!N235"")+IMPORTRANGE(""https://docs.google.com/spreadsheets/d/1XVB7oCJ3pr-vBUdflwPQ8Z2LlzhnCvZaaYjAfP-647E/edit"&amp;"?usp=sharing"",""นครพนม!N235"")+IMPORTRANGE(""https://docs.google.com/spreadsheets/d/1Mnpb-8PYAgn85W6KOTD40hc_Xc55CaLfHoGAbrZ8tls/edit?usp=sharing"",""นครราชสีมา!N235"")+IMPORTRANGE(""https://docs.google.com/spreadsheets/d/1xoDLGBv9CYbyosIhki0kTq6IpYNj-gp"&amp;"jxfobnaDiut0/edit?usp=sharing"",""บึงกาฬ!N235"")+IMPORTRANGE(""https://docs.google.com/spreadsheets/d/1MMPq-JyI6DSgQETxuSiXkesP-P7JHuemnE6QJIa-Nlw/edit?usp=sharing"",""บุรีรัมย์!N235"")+IMPORTRANGE(""https://docs.google.com/spreadsheets/d/1l6IZ8xUPgMrESzc"&amp;"TYwhA1k_tPjeQjJPTqlm8Gd9eU5g/edit?usp=sharing"",""มหาสารคาม!N235"")+IMPORTRANGE(""https://docs.google.com/spreadsheets/d/1uB74YLqNjWX6FObjekfB2NtSYigTQyR2rq9u4Ub2Sq4/edit?usp=sharing"",""มุกดาหาร!N235"")+IMPORTRANGE(""https://docs.google.com/spreadsheets/"&amp;"d/1NexK3geCPxCTO1fzNF8dPec7yZyUx3OaWkFBC9HsQOo/edit?usp=sharing"",""ยโสธร!N235"")+IMPORTRANGE(""https://docs.google.com/spreadsheets/d/1v_cJrbBlyqmnHPReHk44g9NrMRdENNlSy_E_c5M9fIg/edit?usp=sharing"",""ร้อยเอ็ด!N235"")+IMPORTRANGE(""https://docs.google.com"&amp;"/spreadsheets/d/1Ul4RCpCX66NxYADU1QpwAPjOmBzW64SsT11s1wzXw_c/edit?usp=sharing"",""เลย!N235"")+IMPORTRANGE(""https://docs.google.com/spreadsheets/d/1bRrNKwbHDVktQG10isr5vbWRtt5spIZPpkOSWgbT5ug/edit?usp=sharing"",""ศรีสะเกษ!N235"")+IMPORTRANGE(""https://doc"&amp;"s.google.com/spreadsheets/d/17P34_Ow5kFBfdQD0qspb2UuPX5zpi6WMrQzslghyvrI/edit?usp=sharing"",""สกลนคร!N235"")+IMPORTRANGE(""https://docs.google.com/spreadsheets/d/1yswqbM3-AEpThF3ZSUa1AcmHnmRTF1vlJ1CZGcJ8YuU/edit?usp=sharing"",""สุรินทร์!N235"")+IMPORTRANG"&amp;"E(""https://docs.google.com/spreadsheets/d/13JHU_EFbsQOUQ0JSQ3dWy1VTRosIWcDq6Nc99z2qzdc/edit?usp=sharing"",""หนองคาย!N235"")+IMPORTRANGE(""https://docs.google.com/spreadsheets/d/1Hx73zIEgVdDZZaYSTc46Dqv64atFhpr3GelxLbaIN8A/edit?usp=sharing"",""หนองบัวลำภู"&amp;"!N235"")+IMPORTRANGE(""https://docs.google.com/spreadsheets/d/1lFxr3ctmjFN90yc-xV6jrQ9Ty8BKYVBWnAZ15wcNIJc/edit?usp=sharing"",""อำนาจเจริญ!N235"")+IMPORTRANGE(""https://docs.google.com/spreadsheets/d/1gF7RJpRnL-1oyjyeWxs5SFWEH7y8ahOZsQlyp2A2e-A/edit?usp=s"&amp;"haring"",""อุดรธานี!N235"")+IMPORTRANGE(""https://docs.google.com/spreadsheets/d/1kfLP0j3INXRa8bTDpcEmoWewMBV61jlFlfzczfjWIgc/edit?usp=sharing"",""อุบลราชธานี!N235"")"),48000)</f>
        <v>48000</v>
      </c>
      <c r="O235" s="55"/>
      <c r="P235" s="55"/>
      <c r="Q235" s="56">
        <f ca="1">IFERROR(__xludf.DUMMYFUNCTION("IMPORTRANGE(""https://docs.google.com/spreadsheets/d/1yhBcrRPreicbMKl9Bu_Snb2-OcQAF62RKfhTLhJ2eAA/edit?usp=sharing"",""กาฬสินธุ์!Q235"")+IMPORTRANGE(""https://docs.google.com/spreadsheets/d/1aHkj4IaQMThhwWwevcOymEh837vdxeC_PycurhTbGFA/edit?usp=sharing"","&amp;"""ขอนแก่น!Q235"")+IMPORTRANGE(""https://docs.google.com/spreadsheets/d/1FvTu2DsIWUjP6WCWra38Bkj_oOl_sOMf14r5Fg5srxU/edit?usp=sharing"",""ชัยภูมิ!Q235"")+IMPORTRANGE(""https://docs.google.com/spreadsheets/d/1XVB7oCJ3pr-vBUdflwPQ8Z2LlzhnCvZaaYjAfP-647E/edit"&amp;"?usp=sharing"",""นครพนม!Q235"")+IMPORTRANGE(""https://docs.google.com/spreadsheets/d/1Mnpb-8PYAgn85W6KOTD40hc_Xc55CaLfHoGAbrZ8tls/edit?usp=sharing"",""นครราชสีมา!Q235"")+IMPORTRANGE(""https://docs.google.com/spreadsheets/d/1xoDLGBv9CYbyosIhki0kTq6IpYNj-gp"&amp;"jxfobnaDiut0/edit?usp=sharing"",""บึงกาฬ!Q235"")+IMPORTRANGE(""https://docs.google.com/spreadsheets/d/1MMPq-JyI6DSgQETxuSiXkesP-P7JHuemnE6QJIa-Nlw/edit?usp=sharing"",""บุรีรัมย์!Q235"")+IMPORTRANGE(""https://docs.google.com/spreadsheets/d/1l6IZ8xUPgMrESzc"&amp;"TYwhA1k_tPjeQjJPTqlm8Gd9eU5g/edit?usp=sharing"",""มหาสารคาม!Q235"")+IMPORTRANGE(""https://docs.google.com/spreadsheets/d/1uB74YLqNjWX6FObjekfB2NtSYigTQyR2rq9u4Ub2Sq4/edit?usp=sharing"",""มุกดาหาร!Q235"")+IMPORTRANGE(""https://docs.google.com/spreadsheets/"&amp;"d/1NexK3geCPxCTO1fzNF8dPec7yZyUx3OaWkFBC9HsQOo/edit?usp=sharing"",""ยโสธร!Q235"")+IMPORTRANGE(""https://docs.google.com/spreadsheets/d/1v_cJrbBlyqmnHPReHk44g9NrMRdENNlSy_E_c5M9fIg/edit?usp=sharing"",""ร้อยเอ็ด!Q235"")+IMPORTRANGE(""https://docs.google.com"&amp;"/spreadsheets/d/1Ul4RCpCX66NxYADU1QpwAPjOmBzW64SsT11s1wzXw_c/edit?usp=sharing"",""เลย!Q235"")+IMPORTRANGE(""https://docs.google.com/spreadsheets/d/1bRrNKwbHDVktQG10isr5vbWRtt5spIZPpkOSWgbT5ug/edit?usp=sharing"",""ศรีสะเกษ!Q235"")+IMPORTRANGE(""https://doc"&amp;"s.google.com/spreadsheets/d/17P34_Ow5kFBfdQD0qspb2UuPX5zpi6WMrQzslghyvrI/edit?usp=sharing"",""สกลนคร!Q235"")+IMPORTRANGE(""https://docs.google.com/spreadsheets/d/1yswqbM3-AEpThF3ZSUa1AcmHnmRTF1vlJ1CZGcJ8YuU/edit?usp=sharing"",""สุรินทร์!Q235"")+IMPORTRANG"&amp;"E(""https://docs.google.com/spreadsheets/d/13JHU_EFbsQOUQ0JSQ3dWy1VTRosIWcDq6Nc99z2qzdc/edit?usp=sharing"",""หนองคาย!Q235"")+IMPORTRANGE(""https://docs.google.com/spreadsheets/d/1Hx73zIEgVdDZZaYSTc46Dqv64atFhpr3GelxLbaIN8A/edit?usp=sharing"",""หนองบัวลำภู"&amp;"!Q235"")+IMPORTRANGE(""https://docs.google.com/spreadsheets/d/1lFxr3ctmjFN90yc-xV6jrQ9Ty8BKYVBWnAZ15wcNIJc/edit?usp=sharing"",""อำนาจเจริญ!Q235"")+IMPORTRANGE(""https://docs.google.com/spreadsheets/d/1gF7RJpRnL-1oyjyeWxs5SFWEH7y8ahOZsQlyp2A2e-A/edit?usp=s"&amp;"haring"",""อุดรธานี!Q235"")+IMPORTRANGE(""https://docs.google.com/spreadsheets/d/1kfLP0j3INXRa8bTDpcEmoWewMBV61jlFlfzczfjWIgc/edit?usp=sharing"",""อุบลราชธานี!Q235"")"),234400)</f>
        <v>234400</v>
      </c>
      <c r="R235" s="56">
        <f ca="1">IFERROR(__xludf.DUMMYFUNCTION("IMPORTRANGE(""https://docs.google.com/spreadsheets/d/1yhBcrRPreicbMKl9Bu_Snb2-OcQAF62RKfhTLhJ2eAA/edit?usp=sharing"",""กาฬสินธุ์!R235"")+IMPORTRANGE(""https://docs.google.com/spreadsheets/d/1aHkj4IaQMThhwWwevcOymEh837vdxeC_PycurhTbGFA/edit?usp=sharing"","&amp;"""ขอนแก่น!R235"")+IMPORTRANGE(""https://docs.google.com/spreadsheets/d/1FvTu2DsIWUjP6WCWra38Bkj_oOl_sOMf14r5Fg5srxU/edit?usp=sharing"",""ชัยภูมิ!R235"")+IMPORTRANGE(""https://docs.google.com/spreadsheets/d/1XVB7oCJ3pr-vBUdflwPQ8Z2LlzhnCvZaaYjAfP-647E/edit"&amp;"?usp=sharing"",""นครพนม!R235"")+IMPORTRANGE(""https://docs.google.com/spreadsheets/d/1Mnpb-8PYAgn85W6KOTD40hc_Xc55CaLfHoGAbrZ8tls/edit?usp=sharing"",""นครราชสีมา!R235"")+IMPORTRANGE(""https://docs.google.com/spreadsheets/d/1xoDLGBv9CYbyosIhki0kTq6IpYNj-gp"&amp;"jxfobnaDiut0/edit?usp=sharing"",""บึงกาฬ!R235"")+IMPORTRANGE(""https://docs.google.com/spreadsheets/d/1MMPq-JyI6DSgQETxuSiXkesP-P7JHuemnE6QJIa-Nlw/edit?usp=sharing"",""บุรีรัมย์!R235"")+IMPORTRANGE(""https://docs.google.com/spreadsheets/d/1l6IZ8xUPgMrESzc"&amp;"TYwhA1k_tPjeQjJPTqlm8Gd9eU5g/edit?usp=sharing"",""มหาสารคาม!R235"")+IMPORTRANGE(""https://docs.google.com/spreadsheets/d/1uB74YLqNjWX6FObjekfB2NtSYigTQyR2rq9u4Ub2Sq4/edit?usp=sharing"",""มุกดาหาร!R235"")+IMPORTRANGE(""https://docs.google.com/spreadsheets/"&amp;"d/1NexK3geCPxCTO1fzNF8dPec7yZyUx3OaWkFBC9HsQOo/edit?usp=sharing"",""ยโสธร!R235"")+IMPORTRANGE(""https://docs.google.com/spreadsheets/d/1v_cJrbBlyqmnHPReHk44g9NrMRdENNlSy_E_c5M9fIg/edit?usp=sharing"",""ร้อยเอ็ด!R235"")+IMPORTRANGE(""https://docs.google.com"&amp;"/spreadsheets/d/1Ul4RCpCX66NxYADU1QpwAPjOmBzW64SsT11s1wzXw_c/edit?usp=sharing"",""เลย!R235"")+IMPORTRANGE(""https://docs.google.com/spreadsheets/d/1bRrNKwbHDVktQG10isr5vbWRtt5spIZPpkOSWgbT5ug/edit?usp=sharing"",""ศรีสะเกษ!R235"")+IMPORTRANGE(""https://doc"&amp;"s.google.com/spreadsheets/d/17P34_Ow5kFBfdQD0qspb2UuPX5zpi6WMrQzslghyvrI/edit?usp=sharing"",""สกลนคร!R235"")+IMPORTRANGE(""https://docs.google.com/spreadsheets/d/1yswqbM3-AEpThF3ZSUa1AcmHnmRTF1vlJ1CZGcJ8YuU/edit?usp=sharing"",""สุรินทร์!R235"")+IMPORTRANG"&amp;"E(""https://docs.google.com/spreadsheets/d/13JHU_EFbsQOUQ0JSQ3dWy1VTRosIWcDq6Nc99z2qzdc/edit?usp=sharing"",""หนองคาย!R235"")+IMPORTRANGE(""https://docs.google.com/spreadsheets/d/1Hx73zIEgVdDZZaYSTc46Dqv64atFhpr3GelxLbaIN8A/edit?usp=sharing"",""หนองบัวลำภู"&amp;"!R235"")+IMPORTRANGE(""https://docs.google.com/spreadsheets/d/1lFxr3ctmjFN90yc-xV6jrQ9Ty8BKYVBWnAZ15wcNIJc/edit?usp=sharing"",""อำนาจเจริญ!R235"")+IMPORTRANGE(""https://docs.google.com/spreadsheets/d/1gF7RJpRnL-1oyjyeWxs5SFWEH7y8ahOZsQlyp2A2e-A/edit?usp=s"&amp;"haring"",""อุดรธานี!R235"")+IMPORTRANGE(""https://docs.google.com/spreadsheets/d/1kfLP0j3INXRa8bTDpcEmoWewMBV61jlFlfzczfjWIgc/edit?usp=sharing"",""อุบลราชธานี!R235"")"),0)</f>
        <v>0</v>
      </c>
      <c r="S235" s="57">
        <f ca="1">IFERROR(__xludf.DUMMYFUNCTION("IMPORTRANGE(""https://docs.google.com/spreadsheets/d/1yhBcrRPreicbMKl9Bu_Snb2-OcQAF62RKfhTLhJ2eAA/edit?usp=sharing"",""กาฬสินธุ์!S235"")+IMPORTRANGE(""https://docs.google.com/spreadsheets/d/1aHkj4IaQMThhwWwevcOymEh837vdxeC_PycurhTbGFA/edit?usp=sharing"","&amp;"""ขอนแก่น!S235"")+IMPORTRANGE(""https://docs.google.com/spreadsheets/d/1FvTu2DsIWUjP6WCWra38Bkj_oOl_sOMf14r5Fg5srxU/edit?usp=sharing"",""ชัยภูมิ!S235"")+IMPORTRANGE(""https://docs.google.com/spreadsheets/d/1XVB7oCJ3pr-vBUdflwPQ8Z2LlzhnCvZaaYjAfP-647E/edit"&amp;"?usp=sharing"",""นครพนม!S235"")+IMPORTRANGE(""https://docs.google.com/spreadsheets/d/1Mnpb-8PYAgn85W6KOTD40hc_Xc55CaLfHoGAbrZ8tls/edit?usp=sharing"",""นครราชสีมา!S235"")+IMPORTRANGE(""https://docs.google.com/spreadsheets/d/1xoDLGBv9CYbyosIhki0kTq6IpYNj-gp"&amp;"jxfobnaDiut0/edit?usp=sharing"",""บึงกาฬ!S235"")+IMPORTRANGE(""https://docs.google.com/spreadsheets/d/1MMPq-JyI6DSgQETxuSiXkesP-P7JHuemnE6QJIa-Nlw/edit?usp=sharing"",""บุรีรัมย์!S235"")+IMPORTRANGE(""https://docs.google.com/spreadsheets/d/1l6IZ8xUPgMrESzc"&amp;"TYwhA1k_tPjeQjJPTqlm8Gd9eU5g/edit?usp=sharing"",""มหาสารคาม!S235"")+IMPORTRANGE(""https://docs.google.com/spreadsheets/d/1uB74YLqNjWX6FObjekfB2NtSYigTQyR2rq9u4Ub2Sq4/edit?usp=sharing"",""มุกดาหาร!S235"")+IMPORTRANGE(""https://docs.google.com/spreadsheets/"&amp;"d/1NexK3geCPxCTO1fzNF8dPec7yZyUx3OaWkFBC9HsQOo/edit?usp=sharing"",""ยโสธร!S235"")+IMPORTRANGE(""https://docs.google.com/spreadsheets/d/1v_cJrbBlyqmnHPReHk44g9NrMRdENNlSy_E_c5M9fIg/edit?usp=sharing"",""ร้อยเอ็ด!S235"")+IMPORTRANGE(""https://docs.google.com"&amp;"/spreadsheets/d/1Ul4RCpCX66NxYADU1QpwAPjOmBzW64SsT11s1wzXw_c/edit?usp=sharing"",""เลย!S235"")+IMPORTRANGE(""https://docs.google.com/spreadsheets/d/1bRrNKwbHDVktQG10isr5vbWRtt5spIZPpkOSWgbT5ug/edit?usp=sharing"",""ศรีสะเกษ!S235"")+IMPORTRANGE(""https://doc"&amp;"s.google.com/spreadsheets/d/17P34_Ow5kFBfdQD0qspb2UuPX5zpi6WMrQzslghyvrI/edit?usp=sharing"",""สกลนคร!S235"")+IMPORTRANGE(""https://docs.google.com/spreadsheets/d/1yswqbM3-AEpThF3ZSUa1AcmHnmRTF1vlJ1CZGcJ8YuU/edit?usp=sharing"",""สุรินทร์!S235"")+IMPORTRANG"&amp;"E(""https://docs.google.com/spreadsheets/d/13JHU_EFbsQOUQ0JSQ3dWy1VTRosIWcDq6Nc99z2qzdc/edit?usp=sharing"",""หนองคาย!S235"")+IMPORTRANGE(""https://docs.google.com/spreadsheets/d/1Hx73zIEgVdDZZaYSTc46Dqv64atFhpr3GelxLbaIN8A/edit?usp=sharing"",""หนองบัวลำภู"&amp;"!S235"")+IMPORTRANGE(""https://docs.google.com/spreadsheets/d/1lFxr3ctmjFN90yc-xV6jrQ9Ty8BKYVBWnAZ15wcNIJc/edit?usp=sharing"",""อำนาจเจริญ!S235"")+IMPORTRANGE(""https://docs.google.com/spreadsheets/d/1gF7RJpRnL-1oyjyeWxs5SFWEH7y8ahOZsQlyp2A2e-A/edit?usp=s"&amp;"haring"",""อุดรธานี!S235"")+IMPORTRANGE(""https://docs.google.com/spreadsheets/d/1kfLP0j3INXRa8bTDpcEmoWewMBV61jlFlfzczfjWIgc/edit?usp=sharing"",""อุบลราชธานี!S235"")"),84246)</f>
        <v>84246</v>
      </c>
      <c r="T235" s="55"/>
      <c r="U235" s="55"/>
    </row>
    <row r="236" spans="1:21" ht="18.75">
      <c r="A236" s="238"/>
      <c r="B236" s="188"/>
      <c r="C236" s="188"/>
      <c r="D236" s="58" t="s">
        <v>107</v>
      </c>
      <c r="E236" s="50"/>
      <c r="F236" s="50"/>
      <c r="G236" s="52"/>
      <c r="H236" s="162" t="s">
        <v>14</v>
      </c>
      <c r="I236" s="54"/>
      <c r="J236" s="54"/>
      <c r="K236" s="55"/>
      <c r="L236" s="56">
        <f ca="1">IFERROR(__xludf.DUMMYFUNCTION("IMPORTRANGE(""https://docs.google.com/spreadsheets/d/1yhBcrRPreicbMKl9Bu_Snb2-OcQAF62RKfhTLhJ2eAA/edit?usp=sharing"",""กาฬสินธุ์!L236"")+IMPORTRANGE(""https://docs.google.com/spreadsheets/d/1aHkj4IaQMThhwWwevcOymEh837vdxeC_PycurhTbGFA/edit?usp=sharing"","&amp;"""ขอนแก่น!L236"")+IMPORTRANGE(""https://docs.google.com/spreadsheets/d/1FvTu2DsIWUjP6WCWra38Bkj_oOl_sOMf14r5Fg5srxU/edit?usp=sharing"",""ชัยภูมิ!L236"")+IMPORTRANGE(""https://docs.google.com/spreadsheets/d/1XVB7oCJ3pr-vBUdflwPQ8Z2LlzhnCvZaaYjAfP-647E/edit"&amp;"?usp=sharing"",""นครพนม!L236"")+IMPORTRANGE(""https://docs.google.com/spreadsheets/d/1Mnpb-8PYAgn85W6KOTD40hc_Xc55CaLfHoGAbrZ8tls/edit?usp=sharing"",""นครราชสีมา!L236"")+IMPORTRANGE(""https://docs.google.com/spreadsheets/d/1xoDLGBv9CYbyosIhki0kTq6IpYNj-gp"&amp;"jxfobnaDiut0/edit?usp=sharing"",""บึงกาฬ!L236"")+IMPORTRANGE(""https://docs.google.com/spreadsheets/d/1MMPq-JyI6DSgQETxuSiXkesP-P7JHuemnE6QJIa-Nlw/edit?usp=sharing"",""บุรีรัมย์!L236"")+IMPORTRANGE(""https://docs.google.com/spreadsheets/d/1l6IZ8xUPgMrESzc"&amp;"TYwhA1k_tPjeQjJPTqlm8Gd9eU5g/edit?usp=sharing"",""มหาสารคาม!L236"")+IMPORTRANGE(""https://docs.google.com/spreadsheets/d/1uB74YLqNjWX6FObjekfB2NtSYigTQyR2rq9u4Ub2Sq4/edit?usp=sharing"",""มุกดาหาร!L236"")+IMPORTRANGE(""https://docs.google.com/spreadsheets/"&amp;"d/1NexK3geCPxCTO1fzNF8dPec7yZyUx3OaWkFBC9HsQOo/edit?usp=sharing"",""ยโสธร!L236"")+IMPORTRANGE(""https://docs.google.com/spreadsheets/d/1v_cJrbBlyqmnHPReHk44g9NrMRdENNlSy_E_c5M9fIg/edit?usp=sharing"",""ร้อยเอ็ด!L236"")+IMPORTRANGE(""https://docs.google.com"&amp;"/spreadsheets/d/1Ul4RCpCX66NxYADU1QpwAPjOmBzW64SsT11s1wzXw_c/edit?usp=sharing"",""เลย!L236"")+IMPORTRANGE(""https://docs.google.com/spreadsheets/d/1bRrNKwbHDVktQG10isr5vbWRtt5spIZPpkOSWgbT5ug/edit?usp=sharing"",""ศรีสะเกษ!L236"")+IMPORTRANGE(""https://doc"&amp;"s.google.com/spreadsheets/d/17P34_Ow5kFBfdQD0qspb2UuPX5zpi6WMrQzslghyvrI/edit?usp=sharing"",""สกลนคร!L236"")+IMPORTRANGE(""https://docs.google.com/spreadsheets/d/1yswqbM3-AEpThF3ZSUa1AcmHnmRTF1vlJ1CZGcJ8YuU/edit?usp=sharing"",""สุรินทร์!L236"")+IMPORTRANG"&amp;"E(""https://docs.google.com/spreadsheets/d/13JHU_EFbsQOUQ0JSQ3dWy1VTRosIWcDq6Nc99z2qzdc/edit?usp=sharing"",""หนองคาย!L236"")+IMPORTRANGE(""https://docs.google.com/spreadsheets/d/1Hx73zIEgVdDZZaYSTc46Dqv64atFhpr3GelxLbaIN8A/edit?usp=sharing"",""หนองบัวลำภู"&amp;"!L236"")+IMPORTRANGE(""https://docs.google.com/spreadsheets/d/1lFxr3ctmjFN90yc-xV6jrQ9Ty8BKYVBWnAZ15wcNIJc/edit?usp=sharing"",""อำนาจเจริญ!L236"")+IMPORTRANGE(""https://docs.google.com/spreadsheets/d/1gF7RJpRnL-1oyjyeWxs5SFWEH7y8ahOZsQlyp2A2e-A/edit?usp=s"&amp;"haring"",""อุดรธานี!L236"")+IMPORTRANGE(""https://docs.google.com/spreadsheets/d/1kfLP0j3INXRa8bTDpcEmoWewMBV61jlFlfzczfjWIgc/edit?usp=sharing"",""อุบลราชธานี!L236"")"),66000)</f>
        <v>66000</v>
      </c>
      <c r="M236" s="56">
        <f ca="1">IFERROR(__xludf.DUMMYFUNCTION("IMPORTRANGE(""https://docs.google.com/spreadsheets/d/1yhBcrRPreicbMKl9Bu_Snb2-OcQAF62RKfhTLhJ2eAA/edit?usp=sharing"",""กาฬสินธุ์!M236"")+IMPORTRANGE(""https://docs.google.com/spreadsheets/d/1aHkj4IaQMThhwWwevcOymEh837vdxeC_PycurhTbGFA/edit?usp=sharing"","&amp;"""ขอนแก่น!M236"")+IMPORTRANGE(""https://docs.google.com/spreadsheets/d/1FvTu2DsIWUjP6WCWra38Bkj_oOl_sOMf14r5Fg5srxU/edit?usp=sharing"",""ชัยภูมิ!M236"")+IMPORTRANGE(""https://docs.google.com/spreadsheets/d/1XVB7oCJ3pr-vBUdflwPQ8Z2LlzhnCvZaaYjAfP-647E/edit"&amp;"?usp=sharing"",""นครพนม!M236"")+IMPORTRANGE(""https://docs.google.com/spreadsheets/d/1Mnpb-8PYAgn85W6KOTD40hc_Xc55CaLfHoGAbrZ8tls/edit?usp=sharing"",""นครราชสีมา!M236"")+IMPORTRANGE(""https://docs.google.com/spreadsheets/d/1xoDLGBv9CYbyosIhki0kTq6IpYNj-gp"&amp;"jxfobnaDiut0/edit?usp=sharing"",""บึงกาฬ!M236"")+IMPORTRANGE(""https://docs.google.com/spreadsheets/d/1MMPq-JyI6DSgQETxuSiXkesP-P7JHuemnE6QJIa-Nlw/edit?usp=sharing"",""บุรีรัมย์!M236"")+IMPORTRANGE(""https://docs.google.com/spreadsheets/d/1l6IZ8xUPgMrESzc"&amp;"TYwhA1k_tPjeQjJPTqlm8Gd9eU5g/edit?usp=sharing"",""มหาสารคาม!M236"")+IMPORTRANGE(""https://docs.google.com/spreadsheets/d/1uB74YLqNjWX6FObjekfB2NtSYigTQyR2rq9u4Ub2Sq4/edit?usp=sharing"",""มุกดาหาร!M236"")+IMPORTRANGE(""https://docs.google.com/spreadsheets/"&amp;"d/1NexK3geCPxCTO1fzNF8dPec7yZyUx3OaWkFBC9HsQOo/edit?usp=sharing"",""ยโสธร!M236"")+IMPORTRANGE(""https://docs.google.com/spreadsheets/d/1v_cJrbBlyqmnHPReHk44g9NrMRdENNlSy_E_c5M9fIg/edit?usp=sharing"",""ร้อยเอ็ด!M236"")+IMPORTRANGE(""https://docs.google.com"&amp;"/spreadsheets/d/1Ul4RCpCX66NxYADU1QpwAPjOmBzW64SsT11s1wzXw_c/edit?usp=sharing"",""เลย!M236"")+IMPORTRANGE(""https://docs.google.com/spreadsheets/d/1bRrNKwbHDVktQG10isr5vbWRtt5spIZPpkOSWgbT5ug/edit?usp=sharing"",""ศรีสะเกษ!M236"")+IMPORTRANGE(""https://doc"&amp;"s.google.com/spreadsheets/d/17P34_Ow5kFBfdQD0qspb2UuPX5zpi6WMrQzslghyvrI/edit?usp=sharing"",""สกลนคร!M236"")+IMPORTRANGE(""https://docs.google.com/spreadsheets/d/1yswqbM3-AEpThF3ZSUa1AcmHnmRTF1vlJ1CZGcJ8YuU/edit?usp=sharing"",""สุรินทร์!M236"")+IMPORTRANG"&amp;"E(""https://docs.google.com/spreadsheets/d/13JHU_EFbsQOUQ0JSQ3dWy1VTRosIWcDq6Nc99z2qzdc/edit?usp=sharing"",""หนองคาย!M236"")+IMPORTRANGE(""https://docs.google.com/spreadsheets/d/1Hx73zIEgVdDZZaYSTc46Dqv64atFhpr3GelxLbaIN8A/edit?usp=sharing"",""หนองบัวลำภู"&amp;"!M236"")+IMPORTRANGE(""https://docs.google.com/spreadsheets/d/1lFxr3ctmjFN90yc-xV6jrQ9Ty8BKYVBWnAZ15wcNIJc/edit?usp=sharing"",""อำนาจเจริญ!M236"")+IMPORTRANGE(""https://docs.google.com/spreadsheets/d/1gF7RJpRnL-1oyjyeWxs5SFWEH7y8ahOZsQlyp2A2e-A/edit?usp=s"&amp;"haring"",""อุดรธานี!M236"")+IMPORTRANGE(""https://docs.google.com/spreadsheets/d/1kfLP0j3INXRa8bTDpcEmoWewMBV61jlFlfzczfjWIgc/edit?usp=sharing"",""อุบลราชธานี!M236"")"),0)</f>
        <v>0</v>
      </c>
      <c r="N236" s="56">
        <f ca="1">IFERROR(__xludf.DUMMYFUNCTION("IMPORTRANGE(""https://docs.google.com/spreadsheets/d/1yhBcrRPreicbMKl9Bu_Snb2-OcQAF62RKfhTLhJ2eAA/edit?usp=sharing"",""กาฬสินธุ์!N236"")+IMPORTRANGE(""https://docs.google.com/spreadsheets/d/1aHkj4IaQMThhwWwevcOymEh837vdxeC_PycurhTbGFA/edit?usp=sharing"","&amp;"""ขอนแก่น!N236"")+IMPORTRANGE(""https://docs.google.com/spreadsheets/d/1FvTu2DsIWUjP6WCWra38Bkj_oOl_sOMf14r5Fg5srxU/edit?usp=sharing"",""ชัยภูมิ!N236"")+IMPORTRANGE(""https://docs.google.com/spreadsheets/d/1XVB7oCJ3pr-vBUdflwPQ8Z2LlzhnCvZaaYjAfP-647E/edit"&amp;"?usp=sharing"",""นครพนม!N236"")+IMPORTRANGE(""https://docs.google.com/spreadsheets/d/1Mnpb-8PYAgn85W6KOTD40hc_Xc55CaLfHoGAbrZ8tls/edit?usp=sharing"",""นครราชสีมา!N236"")+IMPORTRANGE(""https://docs.google.com/spreadsheets/d/1xoDLGBv9CYbyosIhki0kTq6IpYNj-gp"&amp;"jxfobnaDiut0/edit?usp=sharing"",""บึงกาฬ!N236"")+IMPORTRANGE(""https://docs.google.com/spreadsheets/d/1MMPq-JyI6DSgQETxuSiXkesP-P7JHuemnE6QJIa-Nlw/edit?usp=sharing"",""บุรีรัมย์!N236"")+IMPORTRANGE(""https://docs.google.com/spreadsheets/d/1l6IZ8xUPgMrESzc"&amp;"TYwhA1k_tPjeQjJPTqlm8Gd9eU5g/edit?usp=sharing"",""มหาสารคาม!N236"")+IMPORTRANGE(""https://docs.google.com/spreadsheets/d/1uB74YLqNjWX6FObjekfB2NtSYigTQyR2rq9u4Ub2Sq4/edit?usp=sharing"",""มุกดาหาร!N236"")+IMPORTRANGE(""https://docs.google.com/spreadsheets/"&amp;"d/1NexK3geCPxCTO1fzNF8dPec7yZyUx3OaWkFBC9HsQOo/edit?usp=sharing"",""ยโสธร!N236"")+IMPORTRANGE(""https://docs.google.com/spreadsheets/d/1v_cJrbBlyqmnHPReHk44g9NrMRdENNlSy_E_c5M9fIg/edit?usp=sharing"",""ร้อยเอ็ด!N236"")+IMPORTRANGE(""https://docs.google.com"&amp;"/spreadsheets/d/1Ul4RCpCX66NxYADU1QpwAPjOmBzW64SsT11s1wzXw_c/edit?usp=sharing"",""เลย!N236"")+IMPORTRANGE(""https://docs.google.com/spreadsheets/d/1bRrNKwbHDVktQG10isr5vbWRtt5spIZPpkOSWgbT5ug/edit?usp=sharing"",""ศรีสะเกษ!N236"")+IMPORTRANGE(""https://doc"&amp;"s.google.com/spreadsheets/d/17P34_Ow5kFBfdQD0qspb2UuPX5zpi6WMrQzslghyvrI/edit?usp=sharing"",""สกลนคร!N236"")+IMPORTRANGE(""https://docs.google.com/spreadsheets/d/1yswqbM3-AEpThF3ZSUa1AcmHnmRTF1vlJ1CZGcJ8YuU/edit?usp=sharing"",""สุรินทร์!N236"")+IMPORTRANG"&amp;"E(""https://docs.google.com/spreadsheets/d/13JHU_EFbsQOUQ0JSQ3dWy1VTRosIWcDq6Nc99z2qzdc/edit?usp=sharing"",""หนองคาย!N236"")+IMPORTRANGE(""https://docs.google.com/spreadsheets/d/1Hx73zIEgVdDZZaYSTc46Dqv64atFhpr3GelxLbaIN8A/edit?usp=sharing"",""หนองบัวลำภู"&amp;"!N236"")+IMPORTRANGE(""https://docs.google.com/spreadsheets/d/1lFxr3ctmjFN90yc-xV6jrQ9Ty8BKYVBWnAZ15wcNIJc/edit?usp=sharing"",""อำนาจเจริญ!N236"")+IMPORTRANGE(""https://docs.google.com/spreadsheets/d/1gF7RJpRnL-1oyjyeWxs5SFWEH7y8ahOZsQlyp2A2e-A/edit?usp=s"&amp;"haring"",""อุดรธานี!N236"")+IMPORTRANGE(""https://docs.google.com/spreadsheets/d/1kfLP0j3INXRa8bTDpcEmoWewMBV61jlFlfzczfjWIgc/edit?usp=sharing"",""อุบลราชธานี!N236"")"),66000)</f>
        <v>66000</v>
      </c>
      <c r="O236" s="55"/>
      <c r="P236" s="55"/>
      <c r="Q236" s="56">
        <f ca="1">IFERROR(__xludf.DUMMYFUNCTION("IMPORTRANGE(""https://docs.google.com/spreadsheets/d/1yhBcrRPreicbMKl9Bu_Snb2-OcQAF62RKfhTLhJ2eAA/edit?usp=sharing"",""กาฬสินธุ์!Q236"")+IMPORTRANGE(""https://docs.google.com/spreadsheets/d/1aHkj4IaQMThhwWwevcOymEh837vdxeC_PycurhTbGFA/edit?usp=sharing"","&amp;"""ขอนแก่น!Q236"")+IMPORTRANGE(""https://docs.google.com/spreadsheets/d/1FvTu2DsIWUjP6WCWra38Bkj_oOl_sOMf14r5Fg5srxU/edit?usp=sharing"",""ชัยภูมิ!Q236"")+IMPORTRANGE(""https://docs.google.com/spreadsheets/d/1XVB7oCJ3pr-vBUdflwPQ8Z2LlzhnCvZaaYjAfP-647E/edit"&amp;"?usp=sharing"",""นครพนม!Q236"")+IMPORTRANGE(""https://docs.google.com/spreadsheets/d/1Mnpb-8PYAgn85W6KOTD40hc_Xc55CaLfHoGAbrZ8tls/edit?usp=sharing"",""นครราชสีมา!Q236"")+IMPORTRANGE(""https://docs.google.com/spreadsheets/d/1xoDLGBv9CYbyosIhki0kTq6IpYNj-gp"&amp;"jxfobnaDiut0/edit?usp=sharing"",""บึงกาฬ!Q236"")+IMPORTRANGE(""https://docs.google.com/spreadsheets/d/1MMPq-JyI6DSgQETxuSiXkesP-P7JHuemnE6QJIa-Nlw/edit?usp=sharing"",""บุรีรัมย์!Q236"")+IMPORTRANGE(""https://docs.google.com/spreadsheets/d/1l6IZ8xUPgMrESzc"&amp;"TYwhA1k_tPjeQjJPTqlm8Gd9eU5g/edit?usp=sharing"",""มหาสารคาม!Q236"")+IMPORTRANGE(""https://docs.google.com/spreadsheets/d/1uB74YLqNjWX6FObjekfB2NtSYigTQyR2rq9u4Ub2Sq4/edit?usp=sharing"",""มุกดาหาร!Q236"")+IMPORTRANGE(""https://docs.google.com/spreadsheets/"&amp;"d/1NexK3geCPxCTO1fzNF8dPec7yZyUx3OaWkFBC9HsQOo/edit?usp=sharing"",""ยโสธร!Q236"")+IMPORTRANGE(""https://docs.google.com/spreadsheets/d/1v_cJrbBlyqmnHPReHk44g9NrMRdENNlSy_E_c5M9fIg/edit?usp=sharing"",""ร้อยเอ็ด!Q236"")+IMPORTRANGE(""https://docs.google.com"&amp;"/spreadsheets/d/1Ul4RCpCX66NxYADU1QpwAPjOmBzW64SsT11s1wzXw_c/edit?usp=sharing"",""เลย!Q236"")+IMPORTRANGE(""https://docs.google.com/spreadsheets/d/1bRrNKwbHDVktQG10isr5vbWRtt5spIZPpkOSWgbT5ug/edit?usp=sharing"",""ศรีสะเกษ!Q236"")+IMPORTRANGE(""https://doc"&amp;"s.google.com/spreadsheets/d/17P34_Ow5kFBfdQD0qspb2UuPX5zpi6WMrQzslghyvrI/edit?usp=sharing"",""สกลนคร!Q236"")+IMPORTRANGE(""https://docs.google.com/spreadsheets/d/1yswqbM3-AEpThF3ZSUa1AcmHnmRTF1vlJ1CZGcJ8YuU/edit?usp=sharing"",""สุรินทร์!Q236"")+IMPORTRANG"&amp;"E(""https://docs.google.com/spreadsheets/d/13JHU_EFbsQOUQ0JSQ3dWy1VTRosIWcDq6Nc99z2qzdc/edit?usp=sharing"",""หนองคาย!Q236"")+IMPORTRANGE(""https://docs.google.com/spreadsheets/d/1Hx73zIEgVdDZZaYSTc46Dqv64atFhpr3GelxLbaIN8A/edit?usp=sharing"",""หนองบัวลำภู"&amp;"!Q236"")+IMPORTRANGE(""https://docs.google.com/spreadsheets/d/1lFxr3ctmjFN90yc-xV6jrQ9Ty8BKYVBWnAZ15wcNIJc/edit?usp=sharing"",""อำนาจเจริญ!Q236"")+IMPORTRANGE(""https://docs.google.com/spreadsheets/d/1gF7RJpRnL-1oyjyeWxs5SFWEH7y8ahOZsQlyp2A2e-A/edit?usp=s"&amp;"haring"",""อุดรธานี!Q236"")+IMPORTRANGE(""https://docs.google.com/spreadsheets/d/1kfLP0j3INXRa8bTDpcEmoWewMBV61jlFlfzczfjWIgc/edit?usp=sharing"",""อุบลราชธานี!Q236"")"),0)</f>
        <v>0</v>
      </c>
      <c r="R236" s="56">
        <f ca="1">IFERROR(__xludf.DUMMYFUNCTION("IMPORTRANGE(""https://docs.google.com/spreadsheets/d/1yhBcrRPreicbMKl9Bu_Snb2-OcQAF62RKfhTLhJ2eAA/edit?usp=sharing"",""กาฬสินธุ์!R236"")+IMPORTRANGE(""https://docs.google.com/spreadsheets/d/1aHkj4IaQMThhwWwevcOymEh837vdxeC_PycurhTbGFA/edit?usp=sharing"","&amp;"""ขอนแก่น!R236"")+IMPORTRANGE(""https://docs.google.com/spreadsheets/d/1FvTu2DsIWUjP6WCWra38Bkj_oOl_sOMf14r5Fg5srxU/edit?usp=sharing"",""ชัยภูมิ!R236"")+IMPORTRANGE(""https://docs.google.com/spreadsheets/d/1XVB7oCJ3pr-vBUdflwPQ8Z2LlzhnCvZaaYjAfP-647E/edit"&amp;"?usp=sharing"",""นครพนม!R236"")+IMPORTRANGE(""https://docs.google.com/spreadsheets/d/1Mnpb-8PYAgn85W6KOTD40hc_Xc55CaLfHoGAbrZ8tls/edit?usp=sharing"",""นครราชสีมา!R236"")+IMPORTRANGE(""https://docs.google.com/spreadsheets/d/1xoDLGBv9CYbyosIhki0kTq6IpYNj-gp"&amp;"jxfobnaDiut0/edit?usp=sharing"",""บึงกาฬ!R236"")+IMPORTRANGE(""https://docs.google.com/spreadsheets/d/1MMPq-JyI6DSgQETxuSiXkesP-P7JHuemnE6QJIa-Nlw/edit?usp=sharing"",""บุรีรัมย์!R236"")+IMPORTRANGE(""https://docs.google.com/spreadsheets/d/1l6IZ8xUPgMrESzc"&amp;"TYwhA1k_tPjeQjJPTqlm8Gd9eU5g/edit?usp=sharing"",""มหาสารคาม!R236"")+IMPORTRANGE(""https://docs.google.com/spreadsheets/d/1uB74YLqNjWX6FObjekfB2NtSYigTQyR2rq9u4Ub2Sq4/edit?usp=sharing"",""มุกดาหาร!R236"")+IMPORTRANGE(""https://docs.google.com/spreadsheets/"&amp;"d/1NexK3geCPxCTO1fzNF8dPec7yZyUx3OaWkFBC9HsQOo/edit?usp=sharing"",""ยโสธร!R236"")+IMPORTRANGE(""https://docs.google.com/spreadsheets/d/1v_cJrbBlyqmnHPReHk44g9NrMRdENNlSy_E_c5M9fIg/edit?usp=sharing"",""ร้อยเอ็ด!R236"")+IMPORTRANGE(""https://docs.google.com"&amp;"/spreadsheets/d/1Ul4RCpCX66NxYADU1QpwAPjOmBzW64SsT11s1wzXw_c/edit?usp=sharing"",""เลย!R236"")+IMPORTRANGE(""https://docs.google.com/spreadsheets/d/1bRrNKwbHDVktQG10isr5vbWRtt5spIZPpkOSWgbT5ug/edit?usp=sharing"",""ศรีสะเกษ!R236"")+IMPORTRANGE(""https://doc"&amp;"s.google.com/spreadsheets/d/17P34_Ow5kFBfdQD0qspb2UuPX5zpi6WMrQzslghyvrI/edit?usp=sharing"",""สกลนคร!R236"")+IMPORTRANGE(""https://docs.google.com/spreadsheets/d/1yswqbM3-AEpThF3ZSUa1AcmHnmRTF1vlJ1CZGcJ8YuU/edit?usp=sharing"",""สุรินทร์!R236"")+IMPORTRANG"&amp;"E(""https://docs.google.com/spreadsheets/d/13JHU_EFbsQOUQ0JSQ3dWy1VTRosIWcDq6Nc99z2qzdc/edit?usp=sharing"",""หนองคาย!R236"")+IMPORTRANGE(""https://docs.google.com/spreadsheets/d/1Hx73zIEgVdDZZaYSTc46Dqv64atFhpr3GelxLbaIN8A/edit?usp=sharing"",""หนองบัวลำภู"&amp;"!R236"")+IMPORTRANGE(""https://docs.google.com/spreadsheets/d/1lFxr3ctmjFN90yc-xV6jrQ9Ty8BKYVBWnAZ15wcNIJc/edit?usp=sharing"",""อำนาจเจริญ!R236"")+IMPORTRANGE(""https://docs.google.com/spreadsheets/d/1gF7RJpRnL-1oyjyeWxs5SFWEH7y8ahOZsQlyp2A2e-A/edit?usp=s"&amp;"haring"",""อุดรธานี!R236"")+IMPORTRANGE(""https://docs.google.com/spreadsheets/d/1kfLP0j3INXRa8bTDpcEmoWewMBV61jlFlfzczfjWIgc/edit?usp=sharing"",""อุบลราชธานี!R236"")"),0)</f>
        <v>0</v>
      </c>
      <c r="S236" s="57">
        <f ca="1">IFERROR(__xludf.DUMMYFUNCTION("IMPORTRANGE(""https://docs.google.com/spreadsheets/d/1yhBcrRPreicbMKl9Bu_Snb2-OcQAF62RKfhTLhJ2eAA/edit?usp=sharing"",""กาฬสินธุ์!S236"")+IMPORTRANGE(""https://docs.google.com/spreadsheets/d/1aHkj4IaQMThhwWwevcOymEh837vdxeC_PycurhTbGFA/edit?usp=sharing"","&amp;"""ขอนแก่น!S236"")+IMPORTRANGE(""https://docs.google.com/spreadsheets/d/1FvTu2DsIWUjP6WCWra38Bkj_oOl_sOMf14r5Fg5srxU/edit?usp=sharing"",""ชัยภูมิ!S236"")+IMPORTRANGE(""https://docs.google.com/spreadsheets/d/1XVB7oCJ3pr-vBUdflwPQ8Z2LlzhnCvZaaYjAfP-647E/edit"&amp;"?usp=sharing"",""นครพนม!S236"")+IMPORTRANGE(""https://docs.google.com/spreadsheets/d/1Mnpb-8PYAgn85W6KOTD40hc_Xc55CaLfHoGAbrZ8tls/edit?usp=sharing"",""นครราชสีมา!S236"")+IMPORTRANGE(""https://docs.google.com/spreadsheets/d/1xoDLGBv9CYbyosIhki0kTq6IpYNj-gp"&amp;"jxfobnaDiut0/edit?usp=sharing"",""บึงกาฬ!S236"")+IMPORTRANGE(""https://docs.google.com/spreadsheets/d/1MMPq-JyI6DSgQETxuSiXkesP-P7JHuemnE6QJIa-Nlw/edit?usp=sharing"",""บุรีรัมย์!S236"")+IMPORTRANGE(""https://docs.google.com/spreadsheets/d/1l6IZ8xUPgMrESzc"&amp;"TYwhA1k_tPjeQjJPTqlm8Gd9eU5g/edit?usp=sharing"",""มหาสารคาม!S236"")+IMPORTRANGE(""https://docs.google.com/spreadsheets/d/1uB74YLqNjWX6FObjekfB2NtSYigTQyR2rq9u4Ub2Sq4/edit?usp=sharing"",""มุกดาหาร!S236"")+IMPORTRANGE(""https://docs.google.com/spreadsheets/"&amp;"d/1NexK3geCPxCTO1fzNF8dPec7yZyUx3OaWkFBC9HsQOo/edit?usp=sharing"",""ยโสธร!S236"")+IMPORTRANGE(""https://docs.google.com/spreadsheets/d/1v_cJrbBlyqmnHPReHk44g9NrMRdENNlSy_E_c5M9fIg/edit?usp=sharing"",""ร้อยเอ็ด!S236"")+IMPORTRANGE(""https://docs.google.com"&amp;"/spreadsheets/d/1Ul4RCpCX66NxYADU1QpwAPjOmBzW64SsT11s1wzXw_c/edit?usp=sharing"",""เลย!S236"")+IMPORTRANGE(""https://docs.google.com/spreadsheets/d/1bRrNKwbHDVktQG10isr5vbWRtt5spIZPpkOSWgbT5ug/edit?usp=sharing"",""ศรีสะเกษ!S236"")+IMPORTRANGE(""https://doc"&amp;"s.google.com/spreadsheets/d/17P34_Ow5kFBfdQD0qspb2UuPX5zpi6WMrQzslghyvrI/edit?usp=sharing"",""สกลนคร!S236"")+IMPORTRANGE(""https://docs.google.com/spreadsheets/d/1yswqbM3-AEpThF3ZSUa1AcmHnmRTF1vlJ1CZGcJ8YuU/edit?usp=sharing"",""สุรินทร์!S236"")+IMPORTRANG"&amp;"E(""https://docs.google.com/spreadsheets/d/13JHU_EFbsQOUQ0JSQ3dWy1VTRosIWcDq6Nc99z2qzdc/edit?usp=sharing"",""หนองคาย!S236"")+IMPORTRANGE(""https://docs.google.com/spreadsheets/d/1Hx73zIEgVdDZZaYSTc46Dqv64atFhpr3GelxLbaIN8A/edit?usp=sharing"",""หนองบัวลำภู"&amp;"!S236"")+IMPORTRANGE(""https://docs.google.com/spreadsheets/d/1lFxr3ctmjFN90yc-xV6jrQ9Ty8BKYVBWnAZ15wcNIJc/edit?usp=sharing"",""อำนาจเจริญ!S236"")+IMPORTRANGE(""https://docs.google.com/spreadsheets/d/1gF7RJpRnL-1oyjyeWxs5SFWEH7y8ahOZsQlyp2A2e-A/edit?usp=s"&amp;"haring"",""อุดรธานี!S236"")+IMPORTRANGE(""https://docs.google.com/spreadsheets/d/1kfLP0j3INXRa8bTDpcEmoWewMBV61jlFlfzczfjWIgc/edit?usp=sharing"",""อุบลราชธานี!S236"")"),0)</f>
        <v>0</v>
      </c>
      <c r="T236" s="55"/>
      <c r="U236" s="55"/>
    </row>
    <row r="237" spans="1:21" ht="19.5">
      <c r="A237" s="166"/>
      <c r="B237" s="167"/>
      <c r="C237" s="191" t="s">
        <v>18</v>
      </c>
      <c r="D237" s="168" t="s">
        <v>38</v>
      </c>
      <c r="E237" s="169"/>
      <c r="F237" s="169"/>
      <c r="G237" s="170"/>
      <c r="H237" s="171"/>
      <c r="I237" s="163"/>
      <c r="J237" s="54"/>
      <c r="K237" s="55"/>
      <c r="L237" s="55"/>
      <c r="M237" s="55"/>
      <c r="N237" s="55"/>
      <c r="O237" s="164"/>
      <c r="P237" s="164"/>
      <c r="Q237" s="55"/>
      <c r="R237" s="55"/>
      <c r="S237" s="62"/>
      <c r="T237" s="164"/>
      <c r="U237" s="164"/>
    </row>
    <row r="238" spans="1:21" ht="18.75">
      <c r="A238" s="166"/>
      <c r="B238" s="167"/>
      <c r="C238" s="167"/>
      <c r="D238" s="178" t="s">
        <v>108</v>
      </c>
      <c r="E238" s="174"/>
      <c r="F238" s="174"/>
      <c r="G238" s="171"/>
      <c r="H238" s="179" t="s">
        <v>35</v>
      </c>
      <c r="I238" s="181">
        <f ca="1">IFERROR(__xludf.DUMMYFUNCTION("IMPORTRANGE(""https://docs.google.com/spreadsheets/d/1yhBcrRPreicbMKl9Bu_Snb2-OcQAF62RKfhTLhJ2eAA/edit?usp=sharing"",""กาฬสินธุ์!I238"")+IMPORTRANGE(""https://docs.google.com/spreadsheets/d/1aHkj4IaQMThhwWwevcOymEh837vdxeC_PycurhTbGFA/edit?usp=sharing"","&amp;"""ขอนแก่น!I238"")+IMPORTRANGE(""https://docs.google.com/spreadsheets/d/1FvTu2DsIWUjP6WCWra38Bkj_oOl_sOMf14r5Fg5srxU/edit?usp=sharing"",""ชัยภูมิ!I238"")+IMPORTRANGE(""https://docs.google.com/spreadsheets/d/1XVB7oCJ3pr-vBUdflwPQ8Z2LlzhnCvZaaYjAfP-647E/edit"&amp;"?usp=sharing"",""นครพนม!I238"")+IMPORTRANGE(""https://docs.google.com/spreadsheets/d/1Mnpb-8PYAgn85W6KOTD40hc_Xc55CaLfHoGAbrZ8tls/edit?usp=sharing"",""นครราชสีมา!I238"")+IMPORTRANGE(""https://docs.google.com/spreadsheets/d/1xoDLGBv9CYbyosIhki0kTq6IpYNj-gp"&amp;"jxfobnaDiut0/edit?usp=sharing"",""บึงกาฬ!I238"")+IMPORTRANGE(""https://docs.google.com/spreadsheets/d/1MMPq-JyI6DSgQETxuSiXkesP-P7JHuemnE6QJIa-Nlw/edit?usp=sharing"",""บุรีรัมย์!I238"")+IMPORTRANGE(""https://docs.google.com/spreadsheets/d/1l6IZ8xUPgMrESzc"&amp;"TYwhA1k_tPjeQjJPTqlm8Gd9eU5g/edit?usp=sharing"",""มหาสารคาม!I238"")+IMPORTRANGE(""https://docs.google.com/spreadsheets/d/1uB74YLqNjWX6FObjekfB2NtSYigTQyR2rq9u4Ub2Sq4/edit?usp=sharing"",""มุกดาหาร!I238"")+IMPORTRANGE(""https://docs.google.com/spreadsheets/"&amp;"d/1NexK3geCPxCTO1fzNF8dPec7yZyUx3OaWkFBC9HsQOo/edit?usp=sharing"",""ยโสธร!I238"")+IMPORTRANGE(""https://docs.google.com/spreadsheets/d/1v_cJrbBlyqmnHPReHk44g9NrMRdENNlSy_E_c5M9fIg/edit?usp=sharing"",""ร้อยเอ็ด!I238"")+IMPORTRANGE(""https://docs.google.com"&amp;"/spreadsheets/d/1Ul4RCpCX66NxYADU1QpwAPjOmBzW64SsT11s1wzXw_c/edit?usp=sharing"",""เลย!I238"")+IMPORTRANGE(""https://docs.google.com/spreadsheets/d/1bRrNKwbHDVktQG10isr5vbWRtt5spIZPpkOSWgbT5ug/edit?usp=sharing"",""ศรีสะเกษ!I238"")+IMPORTRANGE(""https://doc"&amp;"s.google.com/spreadsheets/d/17P34_Ow5kFBfdQD0qspb2UuPX5zpi6WMrQzslghyvrI/edit?usp=sharing"",""สกลนคร!I238"")+IMPORTRANGE(""https://docs.google.com/spreadsheets/d/1yswqbM3-AEpThF3ZSUa1AcmHnmRTF1vlJ1CZGcJ8YuU/edit?usp=sharing"",""สุรินทร์!I238"")+IMPORTRANG"&amp;"E(""https://docs.google.com/spreadsheets/d/13JHU_EFbsQOUQ0JSQ3dWy1VTRosIWcDq6Nc99z2qzdc/edit?usp=sharing"",""หนองคาย!I238"")+IMPORTRANGE(""https://docs.google.com/spreadsheets/d/1Hx73zIEgVdDZZaYSTc46Dqv64atFhpr3GelxLbaIN8A/edit?usp=sharing"",""หนองบัวลำภู"&amp;"!I238"")+IMPORTRANGE(""https://docs.google.com/spreadsheets/d/1lFxr3ctmjFN90yc-xV6jrQ9Ty8BKYVBWnAZ15wcNIJc/edit?usp=sharing"",""อำนาจเจริญ!I238"")+IMPORTRANGE(""https://docs.google.com/spreadsheets/d/1gF7RJpRnL-1oyjyeWxs5SFWEH7y8ahOZsQlyp2A2e-A/edit?usp=s"&amp;"haring"",""อุดรธานี!I238"")+IMPORTRANGE(""https://docs.google.com/spreadsheets/d/1kfLP0j3INXRa8bTDpcEmoWewMBV61jlFlfzczfjWIgc/edit?usp=sharing"",""อุบลราชธานี!I238"")"),140)</f>
        <v>140</v>
      </c>
      <c r="J238" s="181">
        <f ca="1">IFERROR(__xludf.DUMMYFUNCTION("IMPORTRANGE(""https://docs.google.com/spreadsheets/d/1yhBcrRPreicbMKl9Bu_Snb2-OcQAF62RKfhTLhJ2eAA/edit?usp=sharing"",""กาฬสินธุ์!J238"")+IMPORTRANGE(""https://docs.google.com/spreadsheets/d/1aHkj4IaQMThhwWwevcOymEh837vdxeC_PycurhTbGFA/edit?usp=sharing"","&amp;"""ขอนแก่น!J238"")+IMPORTRANGE(""https://docs.google.com/spreadsheets/d/1FvTu2DsIWUjP6WCWra38Bkj_oOl_sOMf14r5Fg5srxU/edit?usp=sharing"",""ชัยภูมิ!J238"")+IMPORTRANGE(""https://docs.google.com/spreadsheets/d/1XVB7oCJ3pr-vBUdflwPQ8Z2LlzhnCvZaaYjAfP-647E/edit"&amp;"?usp=sharing"",""นครพนม!J238"")+IMPORTRANGE(""https://docs.google.com/spreadsheets/d/1Mnpb-8PYAgn85W6KOTD40hc_Xc55CaLfHoGAbrZ8tls/edit?usp=sharing"",""นครราชสีมา!J238"")+IMPORTRANGE(""https://docs.google.com/spreadsheets/d/1xoDLGBv9CYbyosIhki0kTq6IpYNj-gp"&amp;"jxfobnaDiut0/edit?usp=sharing"",""บึงกาฬ!J238"")+IMPORTRANGE(""https://docs.google.com/spreadsheets/d/1MMPq-JyI6DSgQETxuSiXkesP-P7JHuemnE6QJIa-Nlw/edit?usp=sharing"",""บุรีรัมย์!J238"")+IMPORTRANGE(""https://docs.google.com/spreadsheets/d/1l6IZ8xUPgMrESzc"&amp;"TYwhA1k_tPjeQjJPTqlm8Gd9eU5g/edit?usp=sharing"",""มหาสารคาม!J238"")+IMPORTRANGE(""https://docs.google.com/spreadsheets/d/1uB74YLqNjWX6FObjekfB2NtSYigTQyR2rq9u4Ub2Sq4/edit?usp=sharing"",""มุกดาหาร!J238"")+IMPORTRANGE(""https://docs.google.com/spreadsheets/"&amp;"d/1NexK3geCPxCTO1fzNF8dPec7yZyUx3OaWkFBC9HsQOo/edit?usp=sharing"",""ยโสธร!J238"")+IMPORTRANGE(""https://docs.google.com/spreadsheets/d/1v_cJrbBlyqmnHPReHk44g9NrMRdENNlSy_E_c5M9fIg/edit?usp=sharing"",""ร้อยเอ็ด!J238"")+IMPORTRANGE(""https://docs.google.com"&amp;"/spreadsheets/d/1Ul4RCpCX66NxYADU1QpwAPjOmBzW64SsT11s1wzXw_c/edit?usp=sharing"",""เลย!J238"")+IMPORTRANGE(""https://docs.google.com/spreadsheets/d/1bRrNKwbHDVktQG10isr5vbWRtt5spIZPpkOSWgbT5ug/edit?usp=sharing"",""ศรีสะเกษ!J238"")+IMPORTRANGE(""https://doc"&amp;"s.google.com/spreadsheets/d/17P34_Ow5kFBfdQD0qspb2UuPX5zpi6WMrQzslghyvrI/edit?usp=sharing"",""สกลนคร!J238"")+IMPORTRANGE(""https://docs.google.com/spreadsheets/d/1yswqbM3-AEpThF3ZSUa1AcmHnmRTF1vlJ1CZGcJ8YuU/edit?usp=sharing"",""สุรินทร์!J238"")+IMPORTRANG"&amp;"E(""https://docs.google.com/spreadsheets/d/13JHU_EFbsQOUQ0JSQ3dWy1VTRosIWcDq6Nc99z2qzdc/edit?usp=sharing"",""หนองคาย!J238"")+IMPORTRANGE(""https://docs.google.com/spreadsheets/d/1Hx73zIEgVdDZZaYSTc46Dqv64atFhpr3GelxLbaIN8A/edit?usp=sharing"",""หนองบัวลำภู"&amp;"!J238"")+IMPORTRANGE(""https://docs.google.com/spreadsheets/d/1lFxr3ctmjFN90yc-xV6jrQ9Ty8BKYVBWnAZ15wcNIJc/edit?usp=sharing"",""อำนาจเจริญ!J238"")+IMPORTRANGE(""https://docs.google.com/spreadsheets/d/1gF7RJpRnL-1oyjyeWxs5SFWEH7y8ahOZsQlyp2A2e-A/edit?usp=s"&amp;"haring"",""อุดรธานี!J238"")+IMPORTRANGE(""https://docs.google.com/spreadsheets/d/1kfLP0j3INXRa8bTDpcEmoWewMBV61jlFlfzczfjWIgc/edit?usp=sharing"",""อุบลราชธานี!J238"")"),91)</f>
        <v>91</v>
      </c>
      <c r="K238" s="56">
        <f ca="1">IF(I238&gt;0,J238*100/I238,0)</f>
        <v>65</v>
      </c>
      <c r="L238" s="55"/>
      <c r="M238" s="55"/>
      <c r="N238" s="55"/>
      <c r="O238" s="55"/>
      <c r="P238" s="55"/>
      <c r="Q238" s="55"/>
      <c r="R238" s="55"/>
      <c r="S238" s="62"/>
      <c r="T238" s="55"/>
      <c r="U238" s="55"/>
    </row>
    <row r="239" spans="1:21" ht="18.75">
      <c r="A239" s="166"/>
      <c r="B239" s="167"/>
      <c r="C239" s="167"/>
      <c r="D239" s="266" t="s">
        <v>43</v>
      </c>
      <c r="E239" s="174"/>
      <c r="F239" s="174"/>
      <c r="G239" s="171"/>
      <c r="H239" s="171"/>
      <c r="I239" s="54"/>
      <c r="J239" s="54"/>
      <c r="K239" s="55"/>
      <c r="L239" s="55"/>
      <c r="M239" s="55"/>
      <c r="N239" s="55"/>
      <c r="O239" s="164"/>
      <c r="P239" s="164"/>
      <c r="Q239" s="55"/>
      <c r="R239" s="55"/>
      <c r="S239" s="62"/>
      <c r="T239" s="164"/>
      <c r="U239" s="164"/>
    </row>
    <row r="240" spans="1:21" ht="18.75">
      <c r="A240" s="166"/>
      <c r="B240" s="167"/>
      <c r="C240" s="167"/>
      <c r="D240" s="167"/>
      <c r="E240" s="173" t="s">
        <v>109</v>
      </c>
      <c r="F240" s="174"/>
      <c r="G240" s="171"/>
      <c r="H240" s="179" t="s">
        <v>35</v>
      </c>
      <c r="I240" s="212">
        <v>0</v>
      </c>
      <c r="J240" s="181">
        <f ca="1">IFERROR(__xludf.DUMMYFUNCTION("IMPORTRANGE(""https://docs.google.com/spreadsheets/d/1yhBcrRPreicbMKl9Bu_Snb2-OcQAF62RKfhTLhJ2eAA/edit?usp=sharing"",""กาฬสินธุ์!J240"")+IMPORTRANGE(""https://docs.google.com/spreadsheets/d/1aHkj4IaQMThhwWwevcOymEh837vdxeC_PycurhTbGFA/edit?usp=sharing"","&amp;"""ขอนแก่น!J240"")+IMPORTRANGE(""https://docs.google.com/spreadsheets/d/1FvTu2DsIWUjP6WCWra38Bkj_oOl_sOMf14r5Fg5srxU/edit?usp=sharing"",""ชัยภูมิ!J240"")+IMPORTRANGE(""https://docs.google.com/spreadsheets/d/1XVB7oCJ3pr-vBUdflwPQ8Z2LlzhnCvZaaYjAfP-647E/edit"&amp;"?usp=sharing"",""นครพนม!J240"")+IMPORTRANGE(""https://docs.google.com/spreadsheets/d/1Mnpb-8PYAgn85W6KOTD40hc_Xc55CaLfHoGAbrZ8tls/edit?usp=sharing"",""นครราชสีมา!J240"")+IMPORTRANGE(""https://docs.google.com/spreadsheets/d/1xoDLGBv9CYbyosIhki0kTq6IpYNj-gp"&amp;"jxfobnaDiut0/edit?usp=sharing"",""บึงกาฬ!J240"")+IMPORTRANGE(""https://docs.google.com/spreadsheets/d/1MMPq-JyI6DSgQETxuSiXkesP-P7JHuemnE6QJIa-Nlw/edit?usp=sharing"",""บุรีรัมย์!J240"")+IMPORTRANGE(""https://docs.google.com/spreadsheets/d/1l6IZ8xUPgMrESzc"&amp;"TYwhA1k_tPjeQjJPTqlm8Gd9eU5g/edit?usp=sharing"",""มหาสารคาม!J240"")+IMPORTRANGE(""https://docs.google.com/spreadsheets/d/1uB74YLqNjWX6FObjekfB2NtSYigTQyR2rq9u4Ub2Sq4/edit?usp=sharing"",""มุกดาหาร!J240"")+IMPORTRANGE(""https://docs.google.com/spreadsheets/"&amp;"d/1NexK3geCPxCTO1fzNF8dPec7yZyUx3OaWkFBC9HsQOo/edit?usp=sharing"",""ยโสธร!J240"")+IMPORTRANGE(""https://docs.google.com/spreadsheets/d/1v_cJrbBlyqmnHPReHk44g9NrMRdENNlSy_E_c5M9fIg/edit?usp=sharing"",""ร้อยเอ็ด!J240"")+IMPORTRANGE(""https://docs.google.com"&amp;"/spreadsheets/d/1Ul4RCpCX66NxYADU1QpwAPjOmBzW64SsT11s1wzXw_c/edit?usp=sharing"",""เลย!J240"")+IMPORTRANGE(""https://docs.google.com/spreadsheets/d/1bRrNKwbHDVktQG10isr5vbWRtt5spIZPpkOSWgbT5ug/edit?usp=sharing"",""ศรีสะเกษ!J240"")+IMPORTRANGE(""https://doc"&amp;"s.google.com/spreadsheets/d/17P34_Ow5kFBfdQD0qspb2UuPX5zpi6WMrQzslghyvrI/edit?usp=sharing"",""สกลนคร!J240"")+IMPORTRANGE(""https://docs.google.com/spreadsheets/d/1yswqbM3-AEpThF3ZSUa1AcmHnmRTF1vlJ1CZGcJ8YuU/edit?usp=sharing"",""สุรินทร์!J240"")+IMPORTRANG"&amp;"E(""https://docs.google.com/spreadsheets/d/13JHU_EFbsQOUQ0JSQ3dWy1VTRosIWcDq6Nc99z2qzdc/edit?usp=sharing"",""หนองคาย!J240"")+IMPORTRANGE(""https://docs.google.com/spreadsheets/d/1Hx73zIEgVdDZZaYSTc46Dqv64atFhpr3GelxLbaIN8A/edit?usp=sharing"",""หนองบัวลำภู"&amp;"!J240"")+IMPORTRANGE(""https://docs.google.com/spreadsheets/d/1lFxr3ctmjFN90yc-xV6jrQ9Ty8BKYVBWnAZ15wcNIJc/edit?usp=sharing"",""อำนาจเจริญ!J240"")+IMPORTRANGE(""https://docs.google.com/spreadsheets/d/1gF7RJpRnL-1oyjyeWxs5SFWEH7y8ahOZsQlyp2A2e-A/edit?usp=s"&amp;"haring"",""อุดรธานี!J240"")+IMPORTRANGE(""https://docs.google.com/spreadsheets/d/1kfLP0j3INXRa8bTDpcEmoWewMBV61jlFlfzczfjWIgc/edit?usp=sharing"",""อุบลราชธานี!J240"")"),40)</f>
        <v>40</v>
      </c>
      <c r="K240" s="56">
        <f t="shared" ref="K240:K241" si="187">IF(I240&gt;0,J240*100/I240,0)</f>
        <v>0</v>
      </c>
      <c r="L240" s="55"/>
      <c r="M240" s="55"/>
      <c r="N240" s="55"/>
      <c r="O240" s="55"/>
      <c r="P240" s="55"/>
      <c r="Q240" s="55"/>
      <c r="R240" s="55"/>
      <c r="S240" s="62"/>
      <c r="T240" s="55"/>
      <c r="U240" s="55"/>
    </row>
    <row r="241" spans="1:21" ht="18.75">
      <c r="A241" s="166"/>
      <c r="B241" s="167"/>
      <c r="C241" s="167"/>
      <c r="D241" s="167"/>
      <c r="E241" s="173" t="s">
        <v>110</v>
      </c>
      <c r="F241" s="174"/>
      <c r="G241" s="171"/>
      <c r="H241" s="179" t="s">
        <v>61</v>
      </c>
      <c r="I241" s="212">
        <v>0</v>
      </c>
      <c r="J241" s="181">
        <f ca="1">IFERROR(__xludf.DUMMYFUNCTION("IMPORTRANGE(""https://docs.google.com/spreadsheets/d/1yhBcrRPreicbMKl9Bu_Snb2-OcQAF62RKfhTLhJ2eAA/edit?usp=sharing"",""กาฬสินธุ์!J241"")+IMPORTRANGE(""https://docs.google.com/spreadsheets/d/1aHkj4IaQMThhwWwevcOymEh837vdxeC_PycurhTbGFA/edit?usp=sharing"","&amp;"""ขอนแก่น!J241"")+IMPORTRANGE(""https://docs.google.com/spreadsheets/d/1FvTu2DsIWUjP6WCWra38Bkj_oOl_sOMf14r5Fg5srxU/edit?usp=sharing"",""ชัยภูมิ!J241"")+IMPORTRANGE(""https://docs.google.com/spreadsheets/d/1XVB7oCJ3pr-vBUdflwPQ8Z2LlzhnCvZaaYjAfP-647E/edit"&amp;"?usp=sharing"",""นครพนม!J241"")+IMPORTRANGE(""https://docs.google.com/spreadsheets/d/1Mnpb-8PYAgn85W6KOTD40hc_Xc55CaLfHoGAbrZ8tls/edit?usp=sharing"",""นครราชสีมา!J241"")+IMPORTRANGE(""https://docs.google.com/spreadsheets/d/1xoDLGBv9CYbyosIhki0kTq6IpYNj-gp"&amp;"jxfobnaDiut0/edit?usp=sharing"",""บึงกาฬ!J241"")+IMPORTRANGE(""https://docs.google.com/spreadsheets/d/1MMPq-JyI6DSgQETxuSiXkesP-P7JHuemnE6QJIa-Nlw/edit?usp=sharing"",""บุรีรัมย์!J241"")+IMPORTRANGE(""https://docs.google.com/spreadsheets/d/1l6IZ8xUPgMrESzc"&amp;"TYwhA1k_tPjeQjJPTqlm8Gd9eU5g/edit?usp=sharing"",""มหาสารคาม!J241"")+IMPORTRANGE(""https://docs.google.com/spreadsheets/d/1uB74YLqNjWX6FObjekfB2NtSYigTQyR2rq9u4Ub2Sq4/edit?usp=sharing"",""มุกดาหาร!J241"")+IMPORTRANGE(""https://docs.google.com/spreadsheets/"&amp;"d/1NexK3geCPxCTO1fzNF8dPec7yZyUx3OaWkFBC9HsQOo/edit?usp=sharing"",""ยโสธร!J241"")+IMPORTRANGE(""https://docs.google.com/spreadsheets/d/1v_cJrbBlyqmnHPReHk44g9NrMRdENNlSy_E_c5M9fIg/edit?usp=sharing"",""ร้อยเอ็ด!J241"")+IMPORTRANGE(""https://docs.google.com"&amp;"/spreadsheets/d/1Ul4RCpCX66NxYADU1QpwAPjOmBzW64SsT11s1wzXw_c/edit?usp=sharing"",""เลย!J241"")+IMPORTRANGE(""https://docs.google.com/spreadsheets/d/1bRrNKwbHDVktQG10isr5vbWRtt5spIZPpkOSWgbT5ug/edit?usp=sharing"",""ศรีสะเกษ!J241"")+IMPORTRANGE(""https://doc"&amp;"s.google.com/spreadsheets/d/17P34_Ow5kFBfdQD0qspb2UuPX5zpi6WMrQzslghyvrI/edit?usp=sharing"",""สกลนคร!J241"")+IMPORTRANGE(""https://docs.google.com/spreadsheets/d/1yswqbM3-AEpThF3ZSUa1AcmHnmRTF1vlJ1CZGcJ8YuU/edit?usp=sharing"",""สุรินทร์!J241"")+IMPORTRANG"&amp;"E(""https://docs.google.com/spreadsheets/d/13JHU_EFbsQOUQ0JSQ3dWy1VTRosIWcDq6Nc99z2qzdc/edit?usp=sharing"",""หนองคาย!J241"")+IMPORTRANGE(""https://docs.google.com/spreadsheets/d/1Hx73zIEgVdDZZaYSTc46Dqv64atFhpr3GelxLbaIN8A/edit?usp=sharing"",""หนองบัวลำภู"&amp;"!J241"")+IMPORTRANGE(""https://docs.google.com/spreadsheets/d/1lFxr3ctmjFN90yc-xV6jrQ9Ty8BKYVBWnAZ15wcNIJc/edit?usp=sharing"",""อำนาจเจริญ!J241"")+IMPORTRANGE(""https://docs.google.com/spreadsheets/d/1gF7RJpRnL-1oyjyeWxs5SFWEH7y8ahOZsQlyp2A2e-A/edit?usp=s"&amp;"haring"",""อุดรธานี!J241"")+IMPORTRANGE(""https://docs.google.com/spreadsheets/d/1kfLP0j3INXRa8bTDpcEmoWewMBV61jlFlfzczfjWIgc/edit?usp=sharing"",""อุบลราชธานี!J241"")"),1)</f>
        <v>1</v>
      </c>
      <c r="K241" s="56">
        <f t="shared" si="187"/>
        <v>0</v>
      </c>
      <c r="L241" s="55"/>
      <c r="M241" s="55"/>
      <c r="N241" s="55"/>
      <c r="O241" s="55"/>
      <c r="P241" s="55"/>
      <c r="Q241" s="55"/>
      <c r="R241" s="55"/>
      <c r="S241" s="62"/>
      <c r="T241" s="55"/>
      <c r="U241" s="55"/>
    </row>
    <row r="242" spans="1:21" ht="19.5">
      <c r="A242" s="258"/>
      <c r="B242" s="259"/>
      <c r="C242" s="267" t="s">
        <v>111</v>
      </c>
      <c r="D242" s="260"/>
      <c r="E242" s="260"/>
      <c r="F242" s="260"/>
      <c r="G242" s="261"/>
      <c r="H242" s="268" t="s">
        <v>35</v>
      </c>
      <c r="I242" s="263"/>
      <c r="J242" s="263"/>
      <c r="K242" s="264"/>
      <c r="L242" s="264"/>
      <c r="M242" s="264"/>
      <c r="N242" s="264"/>
      <c r="O242" s="264"/>
      <c r="P242" s="264"/>
      <c r="Q242" s="264"/>
      <c r="R242" s="264"/>
      <c r="S242" s="265"/>
      <c r="T242" s="249"/>
      <c r="U242" s="249"/>
    </row>
    <row r="243" spans="1:21" ht="19.5">
      <c r="A243" s="269"/>
      <c r="B243" s="260"/>
      <c r="C243" s="267" t="s">
        <v>18</v>
      </c>
      <c r="D243" s="270" t="s">
        <v>19</v>
      </c>
      <c r="E243" s="260"/>
      <c r="F243" s="260"/>
      <c r="G243" s="261"/>
      <c r="H243" s="271" t="s">
        <v>14</v>
      </c>
      <c r="I243" s="263"/>
      <c r="J243" s="263"/>
      <c r="K243" s="264"/>
      <c r="L243" s="264"/>
      <c r="M243" s="264"/>
      <c r="N243" s="264"/>
      <c r="O243" s="264"/>
      <c r="P243" s="264"/>
      <c r="Q243" s="264"/>
      <c r="R243" s="264"/>
      <c r="S243" s="265"/>
      <c r="T243" s="55"/>
      <c r="U243" s="55"/>
    </row>
    <row r="244" spans="1:21" ht="18.75">
      <c r="A244" s="269"/>
      <c r="B244" s="259"/>
      <c r="C244" s="260"/>
      <c r="D244" s="272" t="s">
        <v>86</v>
      </c>
      <c r="E244" s="260"/>
      <c r="F244" s="260"/>
      <c r="G244" s="261"/>
      <c r="H244" s="273" t="s">
        <v>14</v>
      </c>
      <c r="I244" s="263"/>
      <c r="J244" s="263"/>
      <c r="K244" s="264"/>
      <c r="L244" s="264"/>
      <c r="M244" s="264"/>
      <c r="N244" s="264"/>
      <c r="O244" s="264"/>
      <c r="P244" s="264"/>
      <c r="Q244" s="264"/>
      <c r="R244" s="264"/>
      <c r="S244" s="265"/>
      <c r="T244" s="55"/>
      <c r="U244" s="55"/>
    </row>
    <row r="245" spans="1:21" ht="18.75">
      <c r="A245" s="258"/>
      <c r="B245" s="259"/>
      <c r="C245" s="259"/>
      <c r="D245" s="272" t="s">
        <v>88</v>
      </c>
      <c r="E245" s="260"/>
      <c r="F245" s="260"/>
      <c r="G245" s="261"/>
      <c r="H245" s="273" t="s">
        <v>14</v>
      </c>
      <c r="I245" s="263"/>
      <c r="J245" s="263"/>
      <c r="K245" s="264"/>
      <c r="L245" s="264"/>
      <c r="M245" s="264"/>
      <c r="N245" s="264"/>
      <c r="O245" s="264"/>
      <c r="P245" s="264"/>
      <c r="Q245" s="264"/>
      <c r="R245" s="264"/>
      <c r="S245" s="265"/>
      <c r="T245" s="55"/>
      <c r="U245" s="55"/>
    </row>
    <row r="246" spans="1:21" ht="18.75">
      <c r="A246" s="258"/>
      <c r="B246" s="259"/>
      <c r="C246" s="259"/>
      <c r="D246" s="272" t="s">
        <v>106</v>
      </c>
      <c r="E246" s="260"/>
      <c r="F246" s="260"/>
      <c r="G246" s="261"/>
      <c r="H246" s="273" t="s">
        <v>14</v>
      </c>
      <c r="I246" s="263"/>
      <c r="J246" s="263"/>
      <c r="K246" s="264"/>
      <c r="L246" s="264"/>
      <c r="M246" s="264"/>
      <c r="N246" s="264"/>
      <c r="O246" s="264"/>
      <c r="P246" s="264"/>
      <c r="Q246" s="264"/>
      <c r="R246" s="264"/>
      <c r="S246" s="265"/>
      <c r="T246" s="55"/>
      <c r="U246" s="55"/>
    </row>
    <row r="247" spans="1:21" ht="18.75">
      <c r="A247" s="258"/>
      <c r="B247" s="259"/>
      <c r="C247" s="259"/>
      <c r="D247" s="272" t="s">
        <v>107</v>
      </c>
      <c r="E247" s="260"/>
      <c r="F247" s="260"/>
      <c r="G247" s="261"/>
      <c r="H247" s="273" t="s">
        <v>14</v>
      </c>
      <c r="I247" s="263"/>
      <c r="J247" s="263"/>
      <c r="K247" s="264"/>
      <c r="L247" s="264"/>
      <c r="M247" s="264"/>
      <c r="N247" s="264"/>
      <c r="O247" s="264"/>
      <c r="P247" s="264"/>
      <c r="Q247" s="264"/>
      <c r="R247" s="264"/>
      <c r="S247" s="265"/>
      <c r="T247" s="55"/>
      <c r="U247" s="55"/>
    </row>
    <row r="248" spans="1:21" ht="19.5">
      <c r="A248" s="258"/>
      <c r="B248" s="259"/>
      <c r="C248" s="274" t="s">
        <v>18</v>
      </c>
      <c r="D248" s="275" t="s">
        <v>38</v>
      </c>
      <c r="E248" s="260"/>
      <c r="F248" s="260"/>
      <c r="G248" s="261"/>
      <c r="H248" s="261"/>
      <c r="I248" s="263"/>
      <c r="J248" s="263"/>
      <c r="K248" s="264"/>
      <c r="L248" s="264"/>
      <c r="M248" s="264"/>
      <c r="N248" s="264"/>
      <c r="O248" s="264"/>
      <c r="P248" s="264"/>
      <c r="Q248" s="264"/>
      <c r="R248" s="264"/>
      <c r="S248" s="265"/>
      <c r="T248" s="164"/>
      <c r="U248" s="164"/>
    </row>
    <row r="249" spans="1:21" ht="18.75">
      <c r="A249" s="258"/>
      <c r="B249" s="259"/>
      <c r="C249" s="259"/>
      <c r="D249" s="272" t="s">
        <v>108</v>
      </c>
      <c r="E249" s="260"/>
      <c r="F249" s="260"/>
      <c r="G249" s="261"/>
      <c r="H249" s="276" t="s">
        <v>35</v>
      </c>
      <c r="I249" s="263"/>
      <c r="J249" s="263"/>
      <c r="K249" s="264"/>
      <c r="L249" s="264"/>
      <c r="M249" s="264"/>
      <c r="N249" s="264"/>
      <c r="O249" s="264"/>
      <c r="P249" s="264"/>
      <c r="Q249" s="264"/>
      <c r="R249" s="264"/>
      <c r="S249" s="265"/>
      <c r="T249" s="55"/>
      <c r="U249" s="55"/>
    </row>
    <row r="250" spans="1:21" ht="18.75">
      <c r="A250" s="258"/>
      <c r="B250" s="259"/>
      <c r="C250" s="259"/>
      <c r="D250" s="277" t="s">
        <v>43</v>
      </c>
      <c r="E250" s="260"/>
      <c r="F250" s="260"/>
      <c r="G250" s="261"/>
      <c r="H250" s="261"/>
      <c r="I250" s="263"/>
      <c r="J250" s="263"/>
      <c r="K250" s="264"/>
      <c r="L250" s="264"/>
      <c r="M250" s="264"/>
      <c r="N250" s="264"/>
      <c r="O250" s="264"/>
      <c r="P250" s="264"/>
      <c r="Q250" s="264"/>
      <c r="R250" s="264"/>
      <c r="S250" s="265"/>
      <c r="T250" s="164"/>
      <c r="U250" s="164"/>
    </row>
    <row r="251" spans="1:21" ht="18.75">
      <c r="A251" s="258"/>
      <c r="B251" s="259"/>
      <c r="C251" s="259"/>
      <c r="D251" s="259"/>
      <c r="E251" s="278" t="s">
        <v>109</v>
      </c>
      <c r="F251" s="260"/>
      <c r="G251" s="261"/>
      <c r="H251" s="276" t="s">
        <v>35</v>
      </c>
      <c r="I251" s="263"/>
      <c r="J251" s="263"/>
      <c r="K251" s="264"/>
      <c r="L251" s="264"/>
      <c r="M251" s="264"/>
      <c r="N251" s="264"/>
      <c r="O251" s="264"/>
      <c r="P251" s="264"/>
      <c r="Q251" s="264"/>
      <c r="R251" s="264"/>
      <c r="S251" s="265"/>
      <c r="T251" s="55"/>
      <c r="U251" s="55"/>
    </row>
    <row r="252" spans="1:21" ht="18.75">
      <c r="A252" s="258"/>
      <c r="B252" s="259"/>
      <c r="C252" s="259"/>
      <c r="D252" s="259"/>
      <c r="E252" s="278" t="s">
        <v>110</v>
      </c>
      <c r="F252" s="260"/>
      <c r="G252" s="261"/>
      <c r="H252" s="276" t="s">
        <v>61</v>
      </c>
      <c r="I252" s="263"/>
      <c r="J252" s="263"/>
      <c r="K252" s="264"/>
      <c r="L252" s="264"/>
      <c r="M252" s="264"/>
      <c r="N252" s="264"/>
      <c r="O252" s="264"/>
      <c r="P252" s="264"/>
      <c r="Q252" s="264"/>
      <c r="R252" s="264"/>
      <c r="S252" s="265"/>
      <c r="T252" s="55"/>
      <c r="U252" s="55"/>
    </row>
    <row r="253" spans="1:21" ht="19.5">
      <c r="A253" s="258"/>
      <c r="B253" s="259"/>
      <c r="C253" s="267" t="s">
        <v>112</v>
      </c>
      <c r="D253" s="260"/>
      <c r="E253" s="260"/>
      <c r="F253" s="260"/>
      <c r="G253" s="261"/>
      <c r="H253" s="268" t="s">
        <v>35</v>
      </c>
      <c r="I253" s="263"/>
      <c r="J253" s="263"/>
      <c r="K253" s="264"/>
      <c r="L253" s="264"/>
      <c r="M253" s="264"/>
      <c r="N253" s="264"/>
      <c r="O253" s="264"/>
      <c r="P253" s="264"/>
      <c r="Q253" s="264"/>
      <c r="R253" s="264"/>
      <c r="S253" s="265"/>
      <c r="T253" s="249"/>
      <c r="U253" s="249"/>
    </row>
    <row r="254" spans="1:21" ht="19.5">
      <c r="A254" s="269"/>
      <c r="B254" s="260"/>
      <c r="C254" s="267" t="s">
        <v>18</v>
      </c>
      <c r="D254" s="275" t="s">
        <v>19</v>
      </c>
      <c r="E254" s="260"/>
      <c r="F254" s="260"/>
      <c r="G254" s="261"/>
      <c r="H254" s="271" t="s">
        <v>14</v>
      </c>
      <c r="I254" s="263"/>
      <c r="J254" s="263"/>
      <c r="K254" s="264"/>
      <c r="L254" s="264"/>
      <c r="M254" s="264"/>
      <c r="N254" s="264"/>
      <c r="O254" s="264"/>
      <c r="P254" s="264"/>
      <c r="Q254" s="264"/>
      <c r="R254" s="264"/>
      <c r="S254" s="265"/>
      <c r="T254" s="55"/>
      <c r="U254" s="55"/>
    </row>
    <row r="255" spans="1:21" ht="18.75">
      <c r="A255" s="269"/>
      <c r="B255" s="259"/>
      <c r="C255" s="260"/>
      <c r="D255" s="272" t="s">
        <v>86</v>
      </c>
      <c r="E255" s="260"/>
      <c r="F255" s="260"/>
      <c r="G255" s="261"/>
      <c r="H255" s="273" t="s">
        <v>14</v>
      </c>
      <c r="I255" s="263"/>
      <c r="J255" s="263"/>
      <c r="K255" s="264"/>
      <c r="L255" s="264"/>
      <c r="M255" s="264"/>
      <c r="N255" s="264"/>
      <c r="O255" s="264"/>
      <c r="P255" s="264"/>
      <c r="Q255" s="264"/>
      <c r="R255" s="264"/>
      <c r="S255" s="265"/>
      <c r="T255" s="55"/>
      <c r="U255" s="55"/>
    </row>
    <row r="256" spans="1:21" ht="18.75">
      <c r="A256" s="258"/>
      <c r="B256" s="259"/>
      <c r="C256" s="259"/>
      <c r="D256" s="272" t="s">
        <v>88</v>
      </c>
      <c r="E256" s="260"/>
      <c r="F256" s="260"/>
      <c r="G256" s="261"/>
      <c r="H256" s="273" t="s">
        <v>14</v>
      </c>
      <c r="I256" s="263"/>
      <c r="J256" s="263"/>
      <c r="K256" s="264"/>
      <c r="L256" s="264"/>
      <c r="M256" s="264"/>
      <c r="N256" s="264"/>
      <c r="O256" s="264"/>
      <c r="P256" s="264"/>
      <c r="Q256" s="264"/>
      <c r="R256" s="264"/>
      <c r="S256" s="265"/>
      <c r="T256" s="55"/>
      <c r="U256" s="55"/>
    </row>
    <row r="257" spans="1:21" ht="18.75">
      <c r="A257" s="258"/>
      <c r="B257" s="259"/>
      <c r="C257" s="259"/>
      <c r="D257" s="272" t="s">
        <v>106</v>
      </c>
      <c r="E257" s="260"/>
      <c r="F257" s="260"/>
      <c r="G257" s="261"/>
      <c r="H257" s="273" t="s">
        <v>14</v>
      </c>
      <c r="I257" s="263"/>
      <c r="J257" s="263"/>
      <c r="K257" s="264"/>
      <c r="L257" s="264"/>
      <c r="M257" s="264"/>
      <c r="N257" s="264"/>
      <c r="O257" s="264"/>
      <c r="P257" s="264"/>
      <c r="Q257" s="264"/>
      <c r="R257" s="264"/>
      <c r="S257" s="265"/>
      <c r="T257" s="55"/>
      <c r="U257" s="55"/>
    </row>
    <row r="258" spans="1:21" ht="18.75">
      <c r="A258" s="258"/>
      <c r="B258" s="259"/>
      <c r="C258" s="259"/>
      <c r="D258" s="272" t="s">
        <v>107</v>
      </c>
      <c r="E258" s="260"/>
      <c r="F258" s="260"/>
      <c r="G258" s="261"/>
      <c r="H258" s="273" t="s">
        <v>14</v>
      </c>
      <c r="I258" s="263"/>
      <c r="J258" s="263"/>
      <c r="K258" s="264"/>
      <c r="L258" s="264"/>
      <c r="M258" s="264"/>
      <c r="N258" s="264"/>
      <c r="O258" s="264"/>
      <c r="P258" s="264"/>
      <c r="Q258" s="264"/>
      <c r="R258" s="264"/>
      <c r="S258" s="265"/>
      <c r="T258" s="55"/>
      <c r="U258" s="55"/>
    </row>
    <row r="259" spans="1:21" ht="19.5">
      <c r="A259" s="258"/>
      <c r="B259" s="259"/>
      <c r="C259" s="274" t="s">
        <v>18</v>
      </c>
      <c r="D259" s="275" t="s">
        <v>38</v>
      </c>
      <c r="E259" s="260"/>
      <c r="F259" s="260"/>
      <c r="G259" s="261"/>
      <c r="H259" s="261"/>
      <c r="I259" s="263"/>
      <c r="J259" s="263"/>
      <c r="K259" s="264"/>
      <c r="L259" s="264"/>
      <c r="M259" s="264"/>
      <c r="N259" s="264"/>
      <c r="O259" s="264"/>
      <c r="P259" s="264"/>
      <c r="Q259" s="264"/>
      <c r="R259" s="264"/>
      <c r="S259" s="265"/>
      <c r="T259" s="164"/>
      <c r="U259" s="164"/>
    </row>
    <row r="260" spans="1:21" ht="18.75">
      <c r="A260" s="258"/>
      <c r="B260" s="259"/>
      <c r="C260" s="259"/>
      <c r="D260" s="272" t="s">
        <v>108</v>
      </c>
      <c r="E260" s="260"/>
      <c r="F260" s="260"/>
      <c r="G260" s="261"/>
      <c r="H260" s="276" t="s">
        <v>35</v>
      </c>
      <c r="I260" s="263"/>
      <c r="J260" s="263"/>
      <c r="K260" s="264"/>
      <c r="L260" s="264"/>
      <c r="M260" s="264"/>
      <c r="N260" s="264"/>
      <c r="O260" s="264"/>
      <c r="P260" s="264"/>
      <c r="Q260" s="264"/>
      <c r="R260" s="264"/>
      <c r="S260" s="265"/>
      <c r="T260" s="55"/>
      <c r="U260" s="55"/>
    </row>
    <row r="261" spans="1:21" ht="18.75">
      <c r="A261" s="258"/>
      <c r="B261" s="259"/>
      <c r="C261" s="259"/>
      <c r="D261" s="277" t="s">
        <v>43</v>
      </c>
      <c r="E261" s="260"/>
      <c r="F261" s="260"/>
      <c r="G261" s="261"/>
      <c r="H261" s="261"/>
      <c r="I261" s="263"/>
      <c r="J261" s="263"/>
      <c r="K261" s="264"/>
      <c r="L261" s="264"/>
      <c r="M261" s="264"/>
      <c r="N261" s="264"/>
      <c r="O261" s="264"/>
      <c r="P261" s="264"/>
      <c r="Q261" s="264"/>
      <c r="R261" s="264"/>
      <c r="S261" s="265"/>
      <c r="T261" s="164"/>
      <c r="U261" s="164"/>
    </row>
    <row r="262" spans="1:21" ht="18.75">
      <c r="A262" s="258"/>
      <c r="B262" s="259"/>
      <c r="C262" s="259"/>
      <c r="D262" s="259"/>
      <c r="E262" s="278" t="s">
        <v>109</v>
      </c>
      <c r="F262" s="260"/>
      <c r="G262" s="261"/>
      <c r="H262" s="276" t="s">
        <v>35</v>
      </c>
      <c r="I262" s="263"/>
      <c r="J262" s="263"/>
      <c r="K262" s="264"/>
      <c r="L262" s="264"/>
      <c r="M262" s="264"/>
      <c r="N262" s="264"/>
      <c r="O262" s="264"/>
      <c r="P262" s="264"/>
      <c r="Q262" s="264"/>
      <c r="R262" s="264"/>
      <c r="S262" s="265"/>
      <c r="T262" s="55"/>
      <c r="U262" s="55"/>
    </row>
    <row r="263" spans="1:21" ht="18.75">
      <c r="A263" s="258"/>
      <c r="B263" s="259"/>
      <c r="C263" s="259"/>
      <c r="D263" s="259"/>
      <c r="E263" s="278" t="s">
        <v>110</v>
      </c>
      <c r="F263" s="260"/>
      <c r="G263" s="261"/>
      <c r="H263" s="276" t="s">
        <v>61</v>
      </c>
      <c r="I263" s="263"/>
      <c r="J263" s="263"/>
      <c r="K263" s="264"/>
      <c r="L263" s="264"/>
      <c r="M263" s="264"/>
      <c r="N263" s="264"/>
      <c r="O263" s="264"/>
      <c r="P263" s="264"/>
      <c r="Q263" s="264"/>
      <c r="R263" s="264"/>
      <c r="S263" s="265"/>
      <c r="T263" s="55"/>
      <c r="U263" s="55"/>
    </row>
    <row r="264" spans="1:21" ht="19.5">
      <c r="A264" s="223" t="s">
        <v>113</v>
      </c>
      <c r="B264" s="224"/>
      <c r="C264" s="224"/>
      <c r="D264" s="225"/>
      <c r="E264" s="225"/>
      <c r="F264" s="225"/>
      <c r="G264" s="226"/>
      <c r="H264" s="226"/>
      <c r="I264" s="227"/>
      <c r="J264" s="227"/>
      <c r="K264" s="228"/>
      <c r="L264" s="228"/>
      <c r="M264" s="228"/>
      <c r="N264" s="228"/>
      <c r="O264" s="228"/>
      <c r="P264" s="228"/>
      <c r="Q264" s="228"/>
      <c r="R264" s="228"/>
      <c r="S264" s="229"/>
      <c r="T264" s="228"/>
      <c r="U264" s="228"/>
    </row>
    <row r="265" spans="1:21" ht="19.5">
      <c r="A265" s="230"/>
      <c r="B265" s="231" t="s">
        <v>114</v>
      </c>
      <c r="C265" s="232"/>
      <c r="D265" s="169"/>
      <c r="E265" s="169"/>
      <c r="F265" s="169"/>
      <c r="G265" s="170"/>
      <c r="H265" s="233" t="s">
        <v>35</v>
      </c>
      <c r="I265" s="234">
        <f ca="1">IFERROR(__xludf.DUMMYFUNCTION("IMPORTRANGE(""https://docs.google.com/spreadsheets/d/1yhBcrRPreicbMKl9Bu_Snb2-OcQAF62RKfhTLhJ2eAA/edit?usp=sharing"",""กาฬสินธุ์!I265"")+IMPORTRANGE(""https://docs.google.com/spreadsheets/d/1aHkj4IaQMThhwWwevcOymEh837vdxeC_PycurhTbGFA/edit?usp=sharing"","&amp;"""ขอนแก่น!I265"")+IMPORTRANGE(""https://docs.google.com/spreadsheets/d/1FvTu2DsIWUjP6WCWra38Bkj_oOl_sOMf14r5Fg5srxU/edit?usp=sharing"",""ชัยภูมิ!I265"")+IMPORTRANGE(""https://docs.google.com/spreadsheets/d/1XVB7oCJ3pr-vBUdflwPQ8Z2LlzhnCvZaaYjAfP-647E/edit"&amp;"?usp=sharing"",""นครพนม!I265"")+IMPORTRANGE(""https://docs.google.com/spreadsheets/d/1Mnpb-8PYAgn85W6KOTD40hc_Xc55CaLfHoGAbrZ8tls/edit?usp=sharing"",""นครราชสีมา!I265"")+IMPORTRANGE(""https://docs.google.com/spreadsheets/d/1xoDLGBv9CYbyosIhki0kTq6IpYNj-gp"&amp;"jxfobnaDiut0/edit?usp=sharing"",""บึงกาฬ!I265"")+IMPORTRANGE(""https://docs.google.com/spreadsheets/d/1MMPq-JyI6DSgQETxuSiXkesP-P7JHuemnE6QJIa-Nlw/edit?usp=sharing"",""บุรีรัมย์!I265"")+IMPORTRANGE(""https://docs.google.com/spreadsheets/d/1l6IZ8xUPgMrESzc"&amp;"TYwhA1k_tPjeQjJPTqlm8Gd9eU5g/edit?usp=sharing"",""มหาสารคาม!I265"")+IMPORTRANGE(""https://docs.google.com/spreadsheets/d/1uB74YLqNjWX6FObjekfB2NtSYigTQyR2rq9u4Ub2Sq4/edit?usp=sharing"",""มุกดาหาร!I265"")+IMPORTRANGE(""https://docs.google.com/spreadsheets/"&amp;"d/1NexK3geCPxCTO1fzNF8dPec7yZyUx3OaWkFBC9HsQOo/edit?usp=sharing"",""ยโสธร!I265"")+IMPORTRANGE(""https://docs.google.com/spreadsheets/d/1v_cJrbBlyqmnHPReHk44g9NrMRdENNlSy_E_c5M9fIg/edit?usp=sharing"",""ร้อยเอ็ด!I265"")+IMPORTRANGE(""https://docs.google.com"&amp;"/spreadsheets/d/1Ul4RCpCX66NxYADU1QpwAPjOmBzW64SsT11s1wzXw_c/edit?usp=sharing"",""เลย!I265"")+IMPORTRANGE(""https://docs.google.com/spreadsheets/d/1bRrNKwbHDVktQG10isr5vbWRtt5spIZPpkOSWgbT5ug/edit?usp=sharing"",""ศรีสะเกษ!I265"")+IMPORTRANGE(""https://doc"&amp;"s.google.com/spreadsheets/d/17P34_Ow5kFBfdQD0qspb2UuPX5zpi6WMrQzslghyvrI/edit?usp=sharing"",""สกลนคร!I265"")+IMPORTRANGE(""https://docs.google.com/spreadsheets/d/1yswqbM3-AEpThF3ZSUa1AcmHnmRTF1vlJ1CZGcJ8YuU/edit?usp=sharing"",""สุรินทร์!I265"")+IMPORTRANG"&amp;"E(""https://docs.google.com/spreadsheets/d/13JHU_EFbsQOUQ0JSQ3dWy1VTRosIWcDq6Nc99z2qzdc/edit?usp=sharing"",""หนองคาย!I265"")+IMPORTRANGE(""https://docs.google.com/spreadsheets/d/1Hx73zIEgVdDZZaYSTc46Dqv64atFhpr3GelxLbaIN8A/edit?usp=sharing"",""หนองบัวลำภู"&amp;"!I265"")+IMPORTRANGE(""https://docs.google.com/spreadsheets/d/1lFxr3ctmjFN90yc-xV6jrQ9Ty8BKYVBWnAZ15wcNIJc/edit?usp=sharing"",""อำนาจเจริญ!I265"")+IMPORTRANGE(""https://docs.google.com/spreadsheets/d/1gF7RJpRnL-1oyjyeWxs5SFWEH7y8ahOZsQlyp2A2e-A/edit?usp=s"&amp;"haring"",""อุดรธานี!I265"")+IMPORTRANGE(""https://docs.google.com/spreadsheets/d/1kfLP0j3INXRa8bTDpcEmoWewMBV61jlFlfzczfjWIgc/edit?usp=sharing"",""อุบลราชธานี!I265"")"),464)</f>
        <v>464</v>
      </c>
      <c r="J265" s="234">
        <f ca="1">IFERROR(__xludf.DUMMYFUNCTION("IMPORTRANGE(""https://docs.google.com/spreadsheets/d/13wPX838HrBrQMCywv1BsuMkt4PEKTChp52zj44s2izQ/edit?usp=sharing"",""กาญจนบุรี!J265"")+IMPORTRANGE(""https://docs.google.com/spreadsheets/d/1ddFKvqj1W1NEiWytbGlB1zMx_ykJDVtmfEQ-6-lIUBA/edit?usp=sharing"","&amp;"""จันทบุรี!J265"")+IMPORTRANGE(""https://docs.google.com/spreadsheets/d/1T1PQvRODqOBZk8BRht_U031fIS1beLA0Ub2CEytj2q0/edit?usp=sharing"",""ฉะเชิงเทรา!J265"")+IMPORTRANGE(""https://docs.google.com/spreadsheets/d/11tr1B-Bhyr79v2bkwVh5h_fR-PStkgjlZtkrZpYurG0/"&amp;"edit?usp=sharing"",""ชลบุรี!J265"")+IMPORTRANGE(""https://docs.google.com/spreadsheets/d/1hh-FVnSX0vozXhGluamEcS54Dw9_zqW0N7qJUWgJ0Sw/edit?usp=sharing"",""ชัยนาท!J265"")+IMPORTRANGE(""https://docs.google.com/spreadsheets/d/1jkqa6GXxSacMcY1eN8AHjMNJ_7dDXMJ"&amp;"VRLDlaFSOdPM/edit?usp=sharing"",""ตราด!J265"")+IMPORTRANGE(""https://docs.google.com/spreadsheets/d/18hSgUJ3VwClqi_qtULmmW3cLr0oe3OKaSYoKzdpTsYQ/edit?usp=sharing"",""นครนายก!J265"")+IMPORTRANGE(""https://docs.google.com/spreadsheets/d/1YTZo6WM2dQ6Ix6FSdnL"&amp;"5P7uVnVKu40sxZu975tgG10E/edit?usp=sharing"",""นครปฐม!J265"")+IMPORTRANGE(""https://docs.google.com/spreadsheets/d/1OYoGg4WDg5RIzwGeB10padOxJF9E_Vljuvvct_M7RDo/edit?usp=sharing"",""ปทุมธานี!J265"")+IMPORTRANGE(""https://docs.google.com/spreadsheets/d/1GbCI"&amp;"E4D4wk9FUozzqk7SxfDMxDVBwVmI5zcaVUSzKAc/edit?usp=sharing"",""ประจวบคีรีขันธ์!J265"")+IMPORTRANGE(""https://docs.google.com/spreadsheets/d/1vVf6wykvW_lAyu7Yo9L4hUTqHqIeP_qcVuxCtosJEbg/edit?usp=sharing"",""ปราจีนบุรี!J265"")+IMPORTRANGE(""https://docs.googl"&amp;"e.com/spreadsheets/d/1BIDqLLg5jk3v59G8NlR8rk5xfQDKne0sAvZHSj7TI6I/edit?usp=sharing"",""พระนครศรีอยุธยา!J265"")+IMPORTRANGE(""https://docs.google.com/spreadsheets/d/1YXvxf8Yu6_rV4hTBrwMqAcAnv6DfhUxh5emyM3CJp_w/edit?usp=sharing"",""เพชรบุรี!J265"")+IMPORTRA"&amp;"NGE(""https://docs.google.com/spreadsheets/d/19KBlQQs7uwvsao6t2n-KvW3Ax8J8uRRfZPq1zPbXgKc/edit?usp=sharing"",""ระยอง!J265"")+IMPORTRANGE(""https://docs.google.com/spreadsheets/d/1jQ6P4QcrGM89YfqcC_PxOHGCMq5ezhucwJd8ci-NHng/edit?usp=sharing"",""ราชบุรี!J26"&amp;"5"")+IMPORTRANGE(""https://docs.google.com/spreadsheets/d/1lufeA2cfFqM-elVq2hznhDzC6Pr7wkJ9ZG_sYNGCMCU/edit?usp=sharing"",""ลพบุรี!J265"")+IMPORTRANGE(""https://docs.google.com/spreadsheets/d/10oOiF7loTyfsTkbd4MpaIm0HQ9SwB7IYHdIUvt-U1Uc/edit?usp=sharing"""&amp;",""สระแก้ว!J265"")+IMPORTRANGE(""https://docs.google.com/spreadsheets/d/1xmPlrr1QbdSIKvl1dWUl9K4PjAfSL9oeMr_37QVzcxc/edit?usp=sharing"",""สระบุรี!J265"")+IMPORTRANGE(""https://docs.google.com/spreadsheets/d/1j51vR6CYVGhABJpv6tkstgok82RLpXieLzW1yOY5rHw/edi"&amp;"t?usp=sharing"",""สิงห์บุรี!J265"")+IMPORTRANGE(""https://docs.google.com/spreadsheets/d/1H1EalTWKUSzO4Z1-1CwzoDUaVffgrThEBe2sl74kKG0/edit?usp=sharing"",""สุพรรณบุรี!J265"")+IMPORTRANGE(""https://docs.google.com/spreadsheets/d/1BmIruG_sIrJLYao_Pdr7zVArWsf"&amp;"oBt2692TMi6x_854/edit?usp=sharing"",""อ่างทอง!J265"")"),126)</f>
        <v>126</v>
      </c>
      <c r="K265" s="235">
        <f ca="1">IF(I265&gt;0,J265*100/I265,0)</f>
        <v>27.155172413793103</v>
      </c>
      <c r="L265" s="236"/>
      <c r="M265" s="236"/>
      <c r="N265" s="236"/>
      <c r="O265" s="236"/>
      <c r="P265" s="236"/>
      <c r="Q265" s="236"/>
      <c r="R265" s="236"/>
      <c r="S265" s="237"/>
      <c r="T265" s="236"/>
      <c r="U265" s="236"/>
    </row>
    <row r="266" spans="1:21" ht="19.5">
      <c r="A266" s="155"/>
      <c r="B266" s="50"/>
      <c r="C266" s="156" t="s">
        <v>18</v>
      </c>
      <c r="D266" s="157" t="s">
        <v>19</v>
      </c>
      <c r="E266" s="50"/>
      <c r="F266" s="50"/>
      <c r="G266" s="52"/>
      <c r="H266" s="158" t="s">
        <v>14</v>
      </c>
      <c r="I266" s="54"/>
      <c r="J266" s="54"/>
      <c r="K266" s="55"/>
      <c r="L266" s="159">
        <f t="shared" ref="L266:N266" ca="1" si="188">L267+L268</f>
        <v>0</v>
      </c>
      <c r="M266" s="159">
        <f t="shared" ca="1" si="188"/>
        <v>100000</v>
      </c>
      <c r="N266" s="159">
        <f t="shared" ca="1" si="188"/>
        <v>46240</v>
      </c>
      <c r="O266" s="159">
        <f t="shared" ref="O266:O274" ca="1" si="189">IF(L266&gt;0,N266*100/L266,0)</f>
        <v>0</v>
      </c>
      <c r="P266" s="159">
        <f t="shared" ref="P266:P274" ca="1" si="190">IF(M266&gt;0,N266*100/M266,0)</f>
        <v>46.24</v>
      </c>
      <c r="Q266" s="159">
        <f t="shared" ref="Q266:S266" ca="1" si="191">Q267+Q268</f>
        <v>1046560</v>
      </c>
      <c r="R266" s="159">
        <f t="shared" ca="1" si="191"/>
        <v>1046560</v>
      </c>
      <c r="S266" s="160">
        <f t="shared" ca="1" si="191"/>
        <v>551632</v>
      </c>
      <c r="T266" s="159">
        <f t="shared" ref="T266:T274" ca="1" si="192">IF(Q266&gt;0,S266*100/Q266,0)</f>
        <v>52.709065892065432</v>
      </c>
      <c r="U266" s="159">
        <f t="shared" ref="U266:U274" ca="1" si="193">IF(R266&gt;0,S266*100/R266,0)</f>
        <v>52.709065892065432</v>
      </c>
    </row>
    <row r="267" spans="1:21" ht="18.75">
      <c r="A267" s="155"/>
      <c r="B267" s="50"/>
      <c r="C267" s="50"/>
      <c r="D267" s="50"/>
      <c r="E267" s="58" t="s">
        <v>20</v>
      </c>
      <c r="F267" s="50"/>
      <c r="G267" s="52"/>
      <c r="H267" s="161" t="s">
        <v>14</v>
      </c>
      <c r="I267" s="54"/>
      <c r="J267" s="54"/>
      <c r="K267" s="55"/>
      <c r="L267" s="56">
        <f t="shared" ref="L267:N267" ca="1" si="194">L270+L273</f>
        <v>0</v>
      </c>
      <c r="M267" s="56">
        <f t="shared" ca="1" si="194"/>
        <v>0</v>
      </c>
      <c r="N267" s="56">
        <f t="shared" ca="1" si="194"/>
        <v>0</v>
      </c>
      <c r="O267" s="56">
        <f t="shared" ca="1" si="189"/>
        <v>0</v>
      </c>
      <c r="P267" s="56">
        <f t="shared" ca="1" si="190"/>
        <v>0</v>
      </c>
      <c r="Q267" s="56">
        <f t="shared" ref="Q267:S267" ca="1" si="195">Q270+Q273</f>
        <v>0</v>
      </c>
      <c r="R267" s="56">
        <f t="shared" ca="1" si="195"/>
        <v>0</v>
      </c>
      <c r="S267" s="57">
        <f t="shared" ca="1" si="195"/>
        <v>0</v>
      </c>
      <c r="T267" s="59">
        <f t="shared" ca="1" si="192"/>
        <v>0</v>
      </c>
      <c r="U267" s="59">
        <f t="shared" ca="1" si="193"/>
        <v>0</v>
      </c>
    </row>
    <row r="268" spans="1:21" ht="18.75">
      <c r="A268" s="155"/>
      <c r="B268" s="50"/>
      <c r="C268" s="50"/>
      <c r="D268" s="50"/>
      <c r="E268" s="58" t="s">
        <v>21</v>
      </c>
      <c r="F268" s="50"/>
      <c r="G268" s="52"/>
      <c r="H268" s="161" t="s">
        <v>14</v>
      </c>
      <c r="I268" s="54"/>
      <c r="J268" s="54"/>
      <c r="K268" s="55"/>
      <c r="L268" s="56">
        <f t="shared" ref="L268:N268" ca="1" si="196">L271+L274</f>
        <v>0</v>
      </c>
      <c r="M268" s="56">
        <f t="shared" ca="1" si="196"/>
        <v>100000</v>
      </c>
      <c r="N268" s="56">
        <f t="shared" ca="1" si="196"/>
        <v>46240</v>
      </c>
      <c r="O268" s="56">
        <f t="shared" ca="1" si="189"/>
        <v>0</v>
      </c>
      <c r="P268" s="56">
        <f t="shared" ca="1" si="190"/>
        <v>46.24</v>
      </c>
      <c r="Q268" s="56">
        <f t="shared" ref="Q268:S268" ca="1" si="197">Q271+Q274</f>
        <v>1046560</v>
      </c>
      <c r="R268" s="56">
        <f t="shared" ca="1" si="197"/>
        <v>1046560</v>
      </c>
      <c r="S268" s="57">
        <f t="shared" ca="1" si="197"/>
        <v>551632</v>
      </c>
      <c r="T268" s="56">
        <f t="shared" ca="1" si="192"/>
        <v>52.709065892065432</v>
      </c>
      <c r="U268" s="56">
        <f t="shared" ca="1" si="193"/>
        <v>52.709065892065432</v>
      </c>
    </row>
    <row r="269" spans="1:21" ht="18.75">
      <c r="A269" s="155"/>
      <c r="B269" s="50"/>
      <c r="C269" s="50"/>
      <c r="D269" s="51" t="s">
        <v>22</v>
      </c>
      <c r="E269" s="50"/>
      <c r="F269" s="50"/>
      <c r="G269" s="52"/>
      <c r="H269" s="162" t="s">
        <v>14</v>
      </c>
      <c r="I269" s="163"/>
      <c r="J269" s="163"/>
      <c r="K269" s="164"/>
      <c r="L269" s="56">
        <f t="shared" ref="L269:N269" ca="1" si="198">L270+L271</f>
        <v>0</v>
      </c>
      <c r="M269" s="56">
        <f t="shared" ca="1" si="198"/>
        <v>100000</v>
      </c>
      <c r="N269" s="56">
        <f t="shared" ca="1" si="198"/>
        <v>46240</v>
      </c>
      <c r="O269" s="56">
        <f t="shared" ca="1" si="189"/>
        <v>0</v>
      </c>
      <c r="P269" s="56">
        <f t="shared" ca="1" si="190"/>
        <v>46.24</v>
      </c>
      <c r="Q269" s="56">
        <f t="shared" ref="Q269:S269" ca="1" si="199">Q270+Q271</f>
        <v>1046560</v>
      </c>
      <c r="R269" s="56">
        <f t="shared" ca="1" si="199"/>
        <v>1046560</v>
      </c>
      <c r="S269" s="57">
        <f t="shared" ca="1" si="199"/>
        <v>551632</v>
      </c>
      <c r="T269" s="56">
        <f t="shared" ca="1" si="192"/>
        <v>52.709065892065432</v>
      </c>
      <c r="U269" s="56">
        <f t="shared" ca="1" si="193"/>
        <v>52.709065892065432</v>
      </c>
    </row>
    <row r="270" spans="1:21" ht="18.75">
      <c r="A270" s="155"/>
      <c r="B270" s="50"/>
      <c r="C270" s="50"/>
      <c r="D270" s="50"/>
      <c r="E270" s="58" t="s">
        <v>36</v>
      </c>
      <c r="F270" s="50"/>
      <c r="G270" s="52"/>
      <c r="H270" s="162" t="s">
        <v>14</v>
      </c>
      <c r="I270" s="163"/>
      <c r="J270" s="163"/>
      <c r="K270" s="164"/>
      <c r="L270" s="56">
        <f ca="1">IFERROR(__xludf.DUMMYFUNCTION("IMPORTRANGE(""https://docs.google.com/spreadsheets/d/1yhBcrRPreicbMKl9Bu_Snb2-OcQAF62RKfhTLhJ2eAA/edit?usp=sharing"",""กาฬสินธุ์!L270"")+IMPORTRANGE(""https://docs.google.com/spreadsheets/d/1aHkj4IaQMThhwWwevcOymEh837vdxeC_PycurhTbGFA/edit?usp=sharing"","&amp;"""ขอนแก่น!L270"")+IMPORTRANGE(""https://docs.google.com/spreadsheets/d/1FvTu2DsIWUjP6WCWra38Bkj_oOl_sOMf14r5Fg5srxU/edit?usp=sharing"",""ชัยภูมิ!L270"")+IMPORTRANGE(""https://docs.google.com/spreadsheets/d/1XVB7oCJ3pr-vBUdflwPQ8Z2LlzhnCvZaaYjAfP-647E/edit"&amp;"?usp=sharing"",""นครพนม!L270"")+IMPORTRANGE(""https://docs.google.com/spreadsheets/d/1Mnpb-8PYAgn85W6KOTD40hc_Xc55CaLfHoGAbrZ8tls/edit?usp=sharing"",""นครราชสีมา!L270"")+IMPORTRANGE(""https://docs.google.com/spreadsheets/d/1xoDLGBv9CYbyosIhki0kTq6IpYNj-gp"&amp;"jxfobnaDiut0/edit?usp=sharing"",""บึงกาฬ!L270"")+IMPORTRANGE(""https://docs.google.com/spreadsheets/d/1MMPq-JyI6DSgQETxuSiXkesP-P7JHuemnE6QJIa-Nlw/edit?usp=sharing"",""บุรีรัมย์!L270"")+IMPORTRANGE(""https://docs.google.com/spreadsheets/d/1l6IZ8xUPgMrESzc"&amp;"TYwhA1k_tPjeQjJPTqlm8Gd9eU5g/edit?usp=sharing"",""มหาสารคาม!L270"")+IMPORTRANGE(""https://docs.google.com/spreadsheets/d/1uB74YLqNjWX6FObjekfB2NtSYigTQyR2rq9u4Ub2Sq4/edit?usp=sharing"",""มุกดาหาร!L270"")+IMPORTRANGE(""https://docs.google.com/spreadsheets/"&amp;"d/1NexK3geCPxCTO1fzNF8dPec7yZyUx3OaWkFBC9HsQOo/edit?usp=sharing"",""ยโสธร!L270"")+IMPORTRANGE(""https://docs.google.com/spreadsheets/d/1v_cJrbBlyqmnHPReHk44g9NrMRdENNlSy_E_c5M9fIg/edit?usp=sharing"",""ร้อยเอ็ด!L270"")+IMPORTRANGE(""https://docs.google.com"&amp;"/spreadsheets/d/1Ul4RCpCX66NxYADU1QpwAPjOmBzW64SsT11s1wzXw_c/edit?usp=sharing"",""เลย!L270"")+IMPORTRANGE(""https://docs.google.com/spreadsheets/d/1bRrNKwbHDVktQG10isr5vbWRtt5spIZPpkOSWgbT5ug/edit?usp=sharing"",""ศรีสะเกษ!L270"")+IMPORTRANGE(""https://doc"&amp;"s.google.com/spreadsheets/d/17P34_Ow5kFBfdQD0qspb2UuPX5zpi6WMrQzslghyvrI/edit?usp=sharing"",""สกลนคร!L270"")+IMPORTRANGE(""https://docs.google.com/spreadsheets/d/1yswqbM3-AEpThF3ZSUa1AcmHnmRTF1vlJ1CZGcJ8YuU/edit?usp=sharing"",""สุรินทร์!L270"")+IMPORTRANG"&amp;"E(""https://docs.google.com/spreadsheets/d/13JHU_EFbsQOUQ0JSQ3dWy1VTRosIWcDq6Nc99z2qzdc/edit?usp=sharing"",""หนองคาย!L270"")+IMPORTRANGE(""https://docs.google.com/spreadsheets/d/1Hx73zIEgVdDZZaYSTc46Dqv64atFhpr3GelxLbaIN8A/edit?usp=sharing"",""หนองบัวลำภู"&amp;"!L270"")+IMPORTRANGE(""https://docs.google.com/spreadsheets/d/1lFxr3ctmjFN90yc-xV6jrQ9Ty8BKYVBWnAZ15wcNIJc/edit?usp=sharing"",""อำนาจเจริญ!L270"")+IMPORTRANGE(""https://docs.google.com/spreadsheets/d/1gF7RJpRnL-1oyjyeWxs5SFWEH7y8ahOZsQlyp2A2e-A/edit?usp=s"&amp;"haring"",""อุดรธานี!L270"")+IMPORTRANGE(""https://docs.google.com/spreadsheets/d/1kfLP0j3INXRa8bTDpcEmoWewMBV61jlFlfzczfjWIgc/edit?usp=sharing"",""อุบลราชธานี!L270"")"),0)</f>
        <v>0</v>
      </c>
      <c r="M270" s="56">
        <f ca="1">IFERROR(__xludf.DUMMYFUNCTION("IMPORTRANGE(""https://docs.google.com/spreadsheets/d/1yhBcrRPreicbMKl9Bu_Snb2-OcQAF62RKfhTLhJ2eAA/edit?usp=sharing"",""กาฬสินธุ์!M270"")+IMPORTRANGE(""https://docs.google.com/spreadsheets/d/1aHkj4IaQMThhwWwevcOymEh837vdxeC_PycurhTbGFA/edit?usp=sharing"","&amp;"""ขอนแก่น!M270"")+IMPORTRANGE(""https://docs.google.com/spreadsheets/d/1FvTu2DsIWUjP6WCWra38Bkj_oOl_sOMf14r5Fg5srxU/edit?usp=sharing"",""ชัยภูมิ!M270"")+IMPORTRANGE(""https://docs.google.com/spreadsheets/d/1XVB7oCJ3pr-vBUdflwPQ8Z2LlzhnCvZaaYjAfP-647E/edit"&amp;"?usp=sharing"",""นครพนม!M270"")+IMPORTRANGE(""https://docs.google.com/spreadsheets/d/1Mnpb-8PYAgn85W6KOTD40hc_Xc55CaLfHoGAbrZ8tls/edit?usp=sharing"",""นครราชสีมา!M270"")+IMPORTRANGE(""https://docs.google.com/spreadsheets/d/1xoDLGBv9CYbyosIhki0kTq6IpYNj-gp"&amp;"jxfobnaDiut0/edit?usp=sharing"",""บึงกาฬ!M270"")+IMPORTRANGE(""https://docs.google.com/spreadsheets/d/1MMPq-JyI6DSgQETxuSiXkesP-P7JHuemnE6QJIa-Nlw/edit?usp=sharing"",""บุรีรัมย์!M270"")+IMPORTRANGE(""https://docs.google.com/spreadsheets/d/1l6IZ8xUPgMrESzc"&amp;"TYwhA1k_tPjeQjJPTqlm8Gd9eU5g/edit?usp=sharing"",""มหาสารคาม!M270"")+IMPORTRANGE(""https://docs.google.com/spreadsheets/d/1uB74YLqNjWX6FObjekfB2NtSYigTQyR2rq9u4Ub2Sq4/edit?usp=sharing"",""มุกดาหาร!M270"")+IMPORTRANGE(""https://docs.google.com/spreadsheets/"&amp;"d/1NexK3geCPxCTO1fzNF8dPec7yZyUx3OaWkFBC9HsQOo/edit?usp=sharing"",""ยโสธร!M270"")+IMPORTRANGE(""https://docs.google.com/spreadsheets/d/1v_cJrbBlyqmnHPReHk44g9NrMRdENNlSy_E_c5M9fIg/edit?usp=sharing"",""ร้อยเอ็ด!M270"")+IMPORTRANGE(""https://docs.google.com"&amp;"/spreadsheets/d/1Ul4RCpCX66NxYADU1QpwAPjOmBzW64SsT11s1wzXw_c/edit?usp=sharing"",""เลย!M270"")+IMPORTRANGE(""https://docs.google.com/spreadsheets/d/1bRrNKwbHDVktQG10isr5vbWRtt5spIZPpkOSWgbT5ug/edit?usp=sharing"",""ศรีสะเกษ!M270"")+IMPORTRANGE(""https://doc"&amp;"s.google.com/spreadsheets/d/17P34_Ow5kFBfdQD0qspb2UuPX5zpi6WMrQzslghyvrI/edit?usp=sharing"",""สกลนคร!M270"")+IMPORTRANGE(""https://docs.google.com/spreadsheets/d/1yswqbM3-AEpThF3ZSUa1AcmHnmRTF1vlJ1CZGcJ8YuU/edit?usp=sharing"",""สุรินทร์!M270"")+IMPORTRANG"&amp;"E(""https://docs.google.com/spreadsheets/d/13JHU_EFbsQOUQ0JSQ3dWy1VTRosIWcDq6Nc99z2qzdc/edit?usp=sharing"",""หนองคาย!M270"")+IMPORTRANGE(""https://docs.google.com/spreadsheets/d/1Hx73zIEgVdDZZaYSTc46Dqv64atFhpr3GelxLbaIN8A/edit?usp=sharing"",""หนองบัวลำภู"&amp;"!M270"")+IMPORTRANGE(""https://docs.google.com/spreadsheets/d/1lFxr3ctmjFN90yc-xV6jrQ9Ty8BKYVBWnAZ15wcNIJc/edit?usp=sharing"",""อำนาจเจริญ!M270"")+IMPORTRANGE(""https://docs.google.com/spreadsheets/d/1gF7RJpRnL-1oyjyeWxs5SFWEH7y8ahOZsQlyp2A2e-A/edit?usp=s"&amp;"haring"",""อุดรธานี!M270"")+IMPORTRANGE(""https://docs.google.com/spreadsheets/d/1kfLP0j3INXRa8bTDpcEmoWewMBV61jlFlfzczfjWIgc/edit?usp=sharing"",""อุบลราชธานี!M270"")"),0)</f>
        <v>0</v>
      </c>
      <c r="N270" s="56">
        <f ca="1">IFERROR(__xludf.DUMMYFUNCTION("IMPORTRANGE(""https://docs.google.com/spreadsheets/d/1yhBcrRPreicbMKl9Bu_Snb2-OcQAF62RKfhTLhJ2eAA/edit?usp=sharing"",""กาฬสินธุ์!N270"")+IMPORTRANGE(""https://docs.google.com/spreadsheets/d/1aHkj4IaQMThhwWwevcOymEh837vdxeC_PycurhTbGFA/edit?usp=sharing"","&amp;"""ขอนแก่น!N270"")+IMPORTRANGE(""https://docs.google.com/spreadsheets/d/1FvTu2DsIWUjP6WCWra38Bkj_oOl_sOMf14r5Fg5srxU/edit?usp=sharing"",""ชัยภูมิ!N270"")+IMPORTRANGE(""https://docs.google.com/spreadsheets/d/1XVB7oCJ3pr-vBUdflwPQ8Z2LlzhnCvZaaYjAfP-647E/edit"&amp;"?usp=sharing"",""นครพนม!N270"")+IMPORTRANGE(""https://docs.google.com/spreadsheets/d/1Mnpb-8PYAgn85W6KOTD40hc_Xc55CaLfHoGAbrZ8tls/edit?usp=sharing"",""นครราชสีมา!N270"")+IMPORTRANGE(""https://docs.google.com/spreadsheets/d/1xoDLGBv9CYbyosIhki0kTq6IpYNj-gp"&amp;"jxfobnaDiut0/edit?usp=sharing"",""บึงกาฬ!N270"")+IMPORTRANGE(""https://docs.google.com/spreadsheets/d/1MMPq-JyI6DSgQETxuSiXkesP-P7JHuemnE6QJIa-Nlw/edit?usp=sharing"",""บุรีรัมย์!N270"")+IMPORTRANGE(""https://docs.google.com/spreadsheets/d/1l6IZ8xUPgMrESzc"&amp;"TYwhA1k_tPjeQjJPTqlm8Gd9eU5g/edit?usp=sharing"",""มหาสารคาม!N270"")+IMPORTRANGE(""https://docs.google.com/spreadsheets/d/1uB74YLqNjWX6FObjekfB2NtSYigTQyR2rq9u4Ub2Sq4/edit?usp=sharing"",""มุกดาหาร!N270"")+IMPORTRANGE(""https://docs.google.com/spreadsheets/"&amp;"d/1NexK3geCPxCTO1fzNF8dPec7yZyUx3OaWkFBC9HsQOo/edit?usp=sharing"",""ยโสธร!N270"")+IMPORTRANGE(""https://docs.google.com/spreadsheets/d/1v_cJrbBlyqmnHPReHk44g9NrMRdENNlSy_E_c5M9fIg/edit?usp=sharing"",""ร้อยเอ็ด!N270"")+IMPORTRANGE(""https://docs.google.com"&amp;"/spreadsheets/d/1Ul4RCpCX66NxYADU1QpwAPjOmBzW64SsT11s1wzXw_c/edit?usp=sharing"",""เลย!N270"")+IMPORTRANGE(""https://docs.google.com/spreadsheets/d/1bRrNKwbHDVktQG10isr5vbWRtt5spIZPpkOSWgbT5ug/edit?usp=sharing"",""ศรีสะเกษ!N270"")+IMPORTRANGE(""https://doc"&amp;"s.google.com/spreadsheets/d/17P34_Ow5kFBfdQD0qspb2UuPX5zpi6WMrQzslghyvrI/edit?usp=sharing"",""สกลนคร!N270"")+IMPORTRANGE(""https://docs.google.com/spreadsheets/d/1yswqbM3-AEpThF3ZSUa1AcmHnmRTF1vlJ1CZGcJ8YuU/edit?usp=sharing"",""สุรินทร์!N270"")+IMPORTRANG"&amp;"E(""https://docs.google.com/spreadsheets/d/13JHU_EFbsQOUQ0JSQ3dWy1VTRosIWcDq6Nc99z2qzdc/edit?usp=sharing"",""หนองคาย!N270"")+IMPORTRANGE(""https://docs.google.com/spreadsheets/d/1Hx73zIEgVdDZZaYSTc46Dqv64atFhpr3GelxLbaIN8A/edit?usp=sharing"",""หนองบัวลำภู"&amp;"!N270"")+IMPORTRANGE(""https://docs.google.com/spreadsheets/d/1lFxr3ctmjFN90yc-xV6jrQ9Ty8BKYVBWnAZ15wcNIJc/edit?usp=sharing"",""อำนาจเจริญ!N270"")+IMPORTRANGE(""https://docs.google.com/spreadsheets/d/1gF7RJpRnL-1oyjyeWxs5SFWEH7y8ahOZsQlyp2A2e-A/edit?usp=s"&amp;"haring"",""อุดรธานี!N270"")+IMPORTRANGE(""https://docs.google.com/spreadsheets/d/1kfLP0j3INXRa8bTDpcEmoWewMBV61jlFlfzczfjWIgc/edit?usp=sharing"",""อุบลราชธานี!N270"")"),0)</f>
        <v>0</v>
      </c>
      <c r="O270" s="56">
        <f t="shared" ca="1" si="189"/>
        <v>0</v>
      </c>
      <c r="P270" s="56">
        <f t="shared" ca="1" si="190"/>
        <v>0</v>
      </c>
      <c r="Q270" s="56">
        <f ca="1">IFERROR(__xludf.DUMMYFUNCTION("IMPORTRANGE(""https://docs.google.com/spreadsheets/d/1yhBcrRPreicbMKl9Bu_Snb2-OcQAF62RKfhTLhJ2eAA/edit?usp=sharing"",""กาฬสินธุ์!Q270"")+IMPORTRANGE(""https://docs.google.com/spreadsheets/d/1aHkj4IaQMThhwWwevcOymEh837vdxeC_PycurhTbGFA/edit?usp=sharing"","&amp;"""ขอนแก่น!Q270"")+IMPORTRANGE(""https://docs.google.com/spreadsheets/d/1FvTu2DsIWUjP6WCWra38Bkj_oOl_sOMf14r5Fg5srxU/edit?usp=sharing"",""ชัยภูมิ!Q270"")+IMPORTRANGE(""https://docs.google.com/spreadsheets/d/1XVB7oCJ3pr-vBUdflwPQ8Z2LlzhnCvZaaYjAfP-647E/edit"&amp;"?usp=sharing"",""นครพนม!Q270"")+IMPORTRANGE(""https://docs.google.com/spreadsheets/d/1Mnpb-8PYAgn85W6KOTD40hc_Xc55CaLfHoGAbrZ8tls/edit?usp=sharing"",""นครราชสีมา!Q270"")+IMPORTRANGE(""https://docs.google.com/spreadsheets/d/1xoDLGBv9CYbyosIhki0kTq6IpYNj-gp"&amp;"jxfobnaDiut0/edit?usp=sharing"",""บึงกาฬ!Q270"")+IMPORTRANGE(""https://docs.google.com/spreadsheets/d/1MMPq-JyI6DSgQETxuSiXkesP-P7JHuemnE6QJIa-Nlw/edit?usp=sharing"",""บุรีรัมย์!Q270"")+IMPORTRANGE(""https://docs.google.com/spreadsheets/d/1l6IZ8xUPgMrESzc"&amp;"TYwhA1k_tPjeQjJPTqlm8Gd9eU5g/edit?usp=sharing"",""มหาสารคาม!Q270"")+IMPORTRANGE(""https://docs.google.com/spreadsheets/d/1uB74YLqNjWX6FObjekfB2NtSYigTQyR2rq9u4Ub2Sq4/edit?usp=sharing"",""มุกดาหาร!Q270"")+IMPORTRANGE(""https://docs.google.com/spreadsheets/"&amp;"d/1NexK3geCPxCTO1fzNF8dPec7yZyUx3OaWkFBC9HsQOo/edit?usp=sharing"",""ยโสธร!Q270"")+IMPORTRANGE(""https://docs.google.com/spreadsheets/d/1v_cJrbBlyqmnHPReHk44g9NrMRdENNlSy_E_c5M9fIg/edit?usp=sharing"",""ร้อยเอ็ด!Q270"")+IMPORTRANGE(""https://docs.google.com"&amp;"/spreadsheets/d/1Ul4RCpCX66NxYADU1QpwAPjOmBzW64SsT11s1wzXw_c/edit?usp=sharing"",""เลย!Q270"")+IMPORTRANGE(""https://docs.google.com/spreadsheets/d/1bRrNKwbHDVktQG10isr5vbWRtt5spIZPpkOSWgbT5ug/edit?usp=sharing"",""ศรีสะเกษ!Q270"")+IMPORTRANGE(""https://doc"&amp;"s.google.com/spreadsheets/d/17P34_Ow5kFBfdQD0qspb2UuPX5zpi6WMrQzslghyvrI/edit?usp=sharing"",""สกลนคร!Q270"")+IMPORTRANGE(""https://docs.google.com/spreadsheets/d/1yswqbM3-AEpThF3ZSUa1AcmHnmRTF1vlJ1CZGcJ8YuU/edit?usp=sharing"",""สุรินทร์!Q270"")+IMPORTRANG"&amp;"E(""https://docs.google.com/spreadsheets/d/13JHU_EFbsQOUQ0JSQ3dWy1VTRosIWcDq6Nc99z2qzdc/edit?usp=sharing"",""หนองคาย!Q270"")+IMPORTRANGE(""https://docs.google.com/spreadsheets/d/1Hx73zIEgVdDZZaYSTc46Dqv64atFhpr3GelxLbaIN8A/edit?usp=sharing"",""หนองบัวลำภู"&amp;"!Q270"")+IMPORTRANGE(""https://docs.google.com/spreadsheets/d/1lFxr3ctmjFN90yc-xV6jrQ9Ty8BKYVBWnAZ15wcNIJc/edit?usp=sharing"",""อำนาจเจริญ!Q270"")+IMPORTRANGE(""https://docs.google.com/spreadsheets/d/1gF7RJpRnL-1oyjyeWxs5SFWEH7y8ahOZsQlyp2A2e-A/edit?usp=s"&amp;"haring"",""อุดรธานี!Q270"")+IMPORTRANGE(""https://docs.google.com/spreadsheets/d/1kfLP0j3INXRa8bTDpcEmoWewMBV61jlFlfzczfjWIgc/edit?usp=sharing"",""อุบลราชธานี!Q270"")"),0)</f>
        <v>0</v>
      </c>
      <c r="R270" s="56">
        <f ca="1">IFERROR(__xludf.DUMMYFUNCTION("IMPORTRANGE(""https://docs.google.com/spreadsheets/d/1yhBcrRPreicbMKl9Bu_Snb2-OcQAF62RKfhTLhJ2eAA/edit?usp=sharing"",""กาฬสินธุ์!R270"")+IMPORTRANGE(""https://docs.google.com/spreadsheets/d/1aHkj4IaQMThhwWwevcOymEh837vdxeC_PycurhTbGFA/edit?usp=sharing"","&amp;"""ขอนแก่น!R270"")+IMPORTRANGE(""https://docs.google.com/spreadsheets/d/1FvTu2DsIWUjP6WCWra38Bkj_oOl_sOMf14r5Fg5srxU/edit?usp=sharing"",""ชัยภูมิ!R270"")+IMPORTRANGE(""https://docs.google.com/spreadsheets/d/1XVB7oCJ3pr-vBUdflwPQ8Z2LlzhnCvZaaYjAfP-647E/edit"&amp;"?usp=sharing"",""นครพนม!R270"")+IMPORTRANGE(""https://docs.google.com/spreadsheets/d/1Mnpb-8PYAgn85W6KOTD40hc_Xc55CaLfHoGAbrZ8tls/edit?usp=sharing"",""นครราชสีมา!R270"")+IMPORTRANGE(""https://docs.google.com/spreadsheets/d/1xoDLGBv9CYbyosIhki0kTq6IpYNj-gp"&amp;"jxfobnaDiut0/edit?usp=sharing"",""บึงกาฬ!R270"")+IMPORTRANGE(""https://docs.google.com/spreadsheets/d/1MMPq-JyI6DSgQETxuSiXkesP-P7JHuemnE6QJIa-Nlw/edit?usp=sharing"",""บุรีรัมย์!R270"")+IMPORTRANGE(""https://docs.google.com/spreadsheets/d/1l6IZ8xUPgMrESzc"&amp;"TYwhA1k_tPjeQjJPTqlm8Gd9eU5g/edit?usp=sharing"",""มหาสารคาม!R270"")+IMPORTRANGE(""https://docs.google.com/spreadsheets/d/1uB74YLqNjWX6FObjekfB2NtSYigTQyR2rq9u4Ub2Sq4/edit?usp=sharing"",""มุกดาหาร!R270"")+IMPORTRANGE(""https://docs.google.com/spreadsheets/"&amp;"d/1NexK3geCPxCTO1fzNF8dPec7yZyUx3OaWkFBC9HsQOo/edit?usp=sharing"",""ยโสธร!R270"")+IMPORTRANGE(""https://docs.google.com/spreadsheets/d/1v_cJrbBlyqmnHPReHk44g9NrMRdENNlSy_E_c5M9fIg/edit?usp=sharing"",""ร้อยเอ็ด!R270"")+IMPORTRANGE(""https://docs.google.com"&amp;"/spreadsheets/d/1Ul4RCpCX66NxYADU1QpwAPjOmBzW64SsT11s1wzXw_c/edit?usp=sharing"",""เลย!R270"")+IMPORTRANGE(""https://docs.google.com/spreadsheets/d/1bRrNKwbHDVktQG10isr5vbWRtt5spIZPpkOSWgbT5ug/edit?usp=sharing"",""ศรีสะเกษ!R270"")+IMPORTRANGE(""https://doc"&amp;"s.google.com/spreadsheets/d/17P34_Ow5kFBfdQD0qspb2UuPX5zpi6WMrQzslghyvrI/edit?usp=sharing"",""สกลนคร!R270"")+IMPORTRANGE(""https://docs.google.com/spreadsheets/d/1yswqbM3-AEpThF3ZSUa1AcmHnmRTF1vlJ1CZGcJ8YuU/edit?usp=sharing"",""สุรินทร์!R270"")+IMPORTRANG"&amp;"E(""https://docs.google.com/spreadsheets/d/13JHU_EFbsQOUQ0JSQ3dWy1VTRosIWcDq6Nc99z2qzdc/edit?usp=sharing"",""หนองคาย!R270"")+IMPORTRANGE(""https://docs.google.com/spreadsheets/d/1Hx73zIEgVdDZZaYSTc46Dqv64atFhpr3GelxLbaIN8A/edit?usp=sharing"",""หนองบัวลำภู"&amp;"!R270"")+IMPORTRANGE(""https://docs.google.com/spreadsheets/d/1lFxr3ctmjFN90yc-xV6jrQ9Ty8BKYVBWnAZ15wcNIJc/edit?usp=sharing"",""อำนาจเจริญ!R270"")+IMPORTRANGE(""https://docs.google.com/spreadsheets/d/1gF7RJpRnL-1oyjyeWxs5SFWEH7y8ahOZsQlyp2A2e-A/edit?usp=s"&amp;"haring"",""อุดรธานี!R270"")+IMPORTRANGE(""https://docs.google.com/spreadsheets/d/1kfLP0j3INXRa8bTDpcEmoWewMBV61jlFlfzczfjWIgc/edit?usp=sharing"",""อุบลราชธานี!R270"")"),0)</f>
        <v>0</v>
      </c>
      <c r="S270" s="57">
        <f ca="1">IFERROR(__xludf.DUMMYFUNCTION("IMPORTRANGE(""https://docs.google.com/spreadsheets/d/1yhBcrRPreicbMKl9Bu_Snb2-OcQAF62RKfhTLhJ2eAA/edit?usp=sharing"",""กาฬสินธุ์!S270"")+IMPORTRANGE(""https://docs.google.com/spreadsheets/d/1aHkj4IaQMThhwWwevcOymEh837vdxeC_PycurhTbGFA/edit?usp=sharing"","&amp;"""ขอนแก่น!S270"")+IMPORTRANGE(""https://docs.google.com/spreadsheets/d/1FvTu2DsIWUjP6WCWra38Bkj_oOl_sOMf14r5Fg5srxU/edit?usp=sharing"",""ชัยภูมิ!S270"")+IMPORTRANGE(""https://docs.google.com/spreadsheets/d/1XVB7oCJ3pr-vBUdflwPQ8Z2LlzhnCvZaaYjAfP-647E/edit"&amp;"?usp=sharing"",""นครพนม!S270"")+IMPORTRANGE(""https://docs.google.com/spreadsheets/d/1Mnpb-8PYAgn85W6KOTD40hc_Xc55CaLfHoGAbrZ8tls/edit?usp=sharing"",""นครราชสีมา!S270"")+IMPORTRANGE(""https://docs.google.com/spreadsheets/d/1xoDLGBv9CYbyosIhki0kTq6IpYNj-gp"&amp;"jxfobnaDiut0/edit?usp=sharing"",""บึงกาฬ!S270"")+IMPORTRANGE(""https://docs.google.com/spreadsheets/d/1MMPq-JyI6DSgQETxuSiXkesP-P7JHuemnE6QJIa-Nlw/edit?usp=sharing"",""บุรีรัมย์!S270"")+IMPORTRANGE(""https://docs.google.com/spreadsheets/d/1l6IZ8xUPgMrESzc"&amp;"TYwhA1k_tPjeQjJPTqlm8Gd9eU5g/edit?usp=sharing"",""มหาสารคาม!S270"")+IMPORTRANGE(""https://docs.google.com/spreadsheets/d/1uB74YLqNjWX6FObjekfB2NtSYigTQyR2rq9u4Ub2Sq4/edit?usp=sharing"",""มุกดาหาร!S270"")+IMPORTRANGE(""https://docs.google.com/spreadsheets/"&amp;"d/1NexK3geCPxCTO1fzNF8dPec7yZyUx3OaWkFBC9HsQOo/edit?usp=sharing"",""ยโสธร!S270"")+IMPORTRANGE(""https://docs.google.com/spreadsheets/d/1v_cJrbBlyqmnHPReHk44g9NrMRdENNlSy_E_c5M9fIg/edit?usp=sharing"",""ร้อยเอ็ด!S270"")+IMPORTRANGE(""https://docs.google.com"&amp;"/spreadsheets/d/1Ul4RCpCX66NxYADU1QpwAPjOmBzW64SsT11s1wzXw_c/edit?usp=sharing"",""เลย!S270"")+IMPORTRANGE(""https://docs.google.com/spreadsheets/d/1bRrNKwbHDVktQG10isr5vbWRtt5spIZPpkOSWgbT5ug/edit?usp=sharing"",""ศรีสะเกษ!S270"")+IMPORTRANGE(""https://doc"&amp;"s.google.com/spreadsheets/d/17P34_Ow5kFBfdQD0qspb2UuPX5zpi6WMrQzslghyvrI/edit?usp=sharing"",""สกลนคร!S270"")+IMPORTRANGE(""https://docs.google.com/spreadsheets/d/1yswqbM3-AEpThF3ZSUa1AcmHnmRTF1vlJ1CZGcJ8YuU/edit?usp=sharing"",""สุรินทร์!S270"")+IMPORTRANG"&amp;"E(""https://docs.google.com/spreadsheets/d/13JHU_EFbsQOUQ0JSQ3dWy1VTRosIWcDq6Nc99z2qzdc/edit?usp=sharing"",""หนองคาย!S270"")+IMPORTRANGE(""https://docs.google.com/spreadsheets/d/1Hx73zIEgVdDZZaYSTc46Dqv64atFhpr3GelxLbaIN8A/edit?usp=sharing"",""หนองบัวลำภู"&amp;"!S270"")+IMPORTRANGE(""https://docs.google.com/spreadsheets/d/1lFxr3ctmjFN90yc-xV6jrQ9Ty8BKYVBWnAZ15wcNIJc/edit?usp=sharing"",""อำนาจเจริญ!S270"")+IMPORTRANGE(""https://docs.google.com/spreadsheets/d/1gF7RJpRnL-1oyjyeWxs5SFWEH7y8ahOZsQlyp2A2e-A/edit?usp=s"&amp;"haring"",""อุดรธานี!S270"")+IMPORTRANGE(""https://docs.google.com/spreadsheets/d/1kfLP0j3INXRa8bTDpcEmoWewMBV61jlFlfzczfjWIgc/edit?usp=sharing"",""อุบลราชธานี!S270"")"),0)</f>
        <v>0</v>
      </c>
      <c r="T270" s="59">
        <f t="shared" ca="1" si="192"/>
        <v>0</v>
      </c>
      <c r="U270" s="59">
        <f t="shared" ca="1" si="193"/>
        <v>0</v>
      </c>
    </row>
    <row r="271" spans="1:21" ht="18.75">
      <c r="A271" s="155"/>
      <c r="B271" s="50"/>
      <c r="C271" s="50"/>
      <c r="D271" s="50"/>
      <c r="E271" s="58" t="s">
        <v>37</v>
      </c>
      <c r="F271" s="50"/>
      <c r="G271" s="52"/>
      <c r="H271" s="162" t="s">
        <v>14</v>
      </c>
      <c r="I271" s="163"/>
      <c r="J271" s="163"/>
      <c r="K271" s="164"/>
      <c r="L271" s="56">
        <f ca="1">IFERROR(__xludf.DUMMYFUNCTION("IMPORTRANGE(""https://docs.google.com/spreadsheets/d/1yhBcrRPreicbMKl9Bu_Snb2-OcQAF62RKfhTLhJ2eAA/edit?usp=sharing"",""กาฬสินธุ์!L271"")+IMPORTRANGE(""https://docs.google.com/spreadsheets/d/1aHkj4IaQMThhwWwevcOymEh837vdxeC_PycurhTbGFA/edit?usp=sharing"","&amp;"""ขอนแก่น!L271"")+IMPORTRANGE(""https://docs.google.com/spreadsheets/d/1FvTu2DsIWUjP6WCWra38Bkj_oOl_sOMf14r5Fg5srxU/edit?usp=sharing"",""ชัยภูมิ!L271"")+IMPORTRANGE(""https://docs.google.com/spreadsheets/d/1XVB7oCJ3pr-vBUdflwPQ8Z2LlzhnCvZaaYjAfP-647E/edit"&amp;"?usp=sharing"",""นครพนม!L271"")+IMPORTRANGE(""https://docs.google.com/spreadsheets/d/1Mnpb-8PYAgn85W6KOTD40hc_Xc55CaLfHoGAbrZ8tls/edit?usp=sharing"",""นครราชสีมา!L271"")+IMPORTRANGE(""https://docs.google.com/spreadsheets/d/1xoDLGBv9CYbyosIhki0kTq6IpYNj-gp"&amp;"jxfobnaDiut0/edit?usp=sharing"",""บึงกาฬ!L271"")+IMPORTRANGE(""https://docs.google.com/spreadsheets/d/1MMPq-JyI6DSgQETxuSiXkesP-P7JHuemnE6QJIa-Nlw/edit?usp=sharing"",""บุรีรัมย์!L271"")+IMPORTRANGE(""https://docs.google.com/spreadsheets/d/1l6IZ8xUPgMrESzc"&amp;"TYwhA1k_tPjeQjJPTqlm8Gd9eU5g/edit?usp=sharing"",""มหาสารคาม!L271"")+IMPORTRANGE(""https://docs.google.com/spreadsheets/d/1uB74YLqNjWX6FObjekfB2NtSYigTQyR2rq9u4Ub2Sq4/edit?usp=sharing"",""มุกดาหาร!L271"")+IMPORTRANGE(""https://docs.google.com/spreadsheets/"&amp;"d/1NexK3geCPxCTO1fzNF8dPec7yZyUx3OaWkFBC9HsQOo/edit?usp=sharing"",""ยโสธร!L271"")+IMPORTRANGE(""https://docs.google.com/spreadsheets/d/1v_cJrbBlyqmnHPReHk44g9NrMRdENNlSy_E_c5M9fIg/edit?usp=sharing"",""ร้อยเอ็ด!L271"")+IMPORTRANGE(""https://docs.google.com"&amp;"/spreadsheets/d/1Ul4RCpCX66NxYADU1QpwAPjOmBzW64SsT11s1wzXw_c/edit?usp=sharing"",""เลย!L271"")+IMPORTRANGE(""https://docs.google.com/spreadsheets/d/1bRrNKwbHDVktQG10isr5vbWRtt5spIZPpkOSWgbT5ug/edit?usp=sharing"",""ศรีสะเกษ!L271"")+IMPORTRANGE(""https://doc"&amp;"s.google.com/spreadsheets/d/17P34_Ow5kFBfdQD0qspb2UuPX5zpi6WMrQzslghyvrI/edit?usp=sharing"",""สกลนคร!L271"")+IMPORTRANGE(""https://docs.google.com/spreadsheets/d/1yswqbM3-AEpThF3ZSUa1AcmHnmRTF1vlJ1CZGcJ8YuU/edit?usp=sharing"",""สุรินทร์!L271"")+IMPORTRANG"&amp;"E(""https://docs.google.com/spreadsheets/d/13JHU_EFbsQOUQ0JSQ3dWy1VTRosIWcDq6Nc99z2qzdc/edit?usp=sharing"",""หนองคาย!L271"")+IMPORTRANGE(""https://docs.google.com/spreadsheets/d/1Hx73zIEgVdDZZaYSTc46Dqv64atFhpr3GelxLbaIN8A/edit?usp=sharing"",""หนองบัวลำภู"&amp;"!L271"")+IMPORTRANGE(""https://docs.google.com/spreadsheets/d/1lFxr3ctmjFN90yc-xV6jrQ9Ty8BKYVBWnAZ15wcNIJc/edit?usp=sharing"",""อำนาจเจริญ!L271"")+IMPORTRANGE(""https://docs.google.com/spreadsheets/d/1gF7RJpRnL-1oyjyeWxs5SFWEH7y8ahOZsQlyp2A2e-A/edit?usp=s"&amp;"haring"",""อุดรธานี!L271"")+IMPORTRANGE(""https://docs.google.com/spreadsheets/d/1kfLP0j3INXRa8bTDpcEmoWewMBV61jlFlfzczfjWIgc/edit?usp=sharing"",""อุบลราชธานี!L271"")"),0)</f>
        <v>0</v>
      </c>
      <c r="M271" s="56">
        <f ca="1">IFERROR(__xludf.DUMMYFUNCTION("IMPORTRANGE(""https://docs.google.com/spreadsheets/d/1yhBcrRPreicbMKl9Bu_Snb2-OcQAF62RKfhTLhJ2eAA/edit?usp=sharing"",""กาฬสินธุ์!M271"")+IMPORTRANGE(""https://docs.google.com/spreadsheets/d/1aHkj4IaQMThhwWwevcOymEh837vdxeC_PycurhTbGFA/edit?usp=sharing"","&amp;"""ขอนแก่น!M271"")+IMPORTRANGE(""https://docs.google.com/spreadsheets/d/1FvTu2DsIWUjP6WCWra38Bkj_oOl_sOMf14r5Fg5srxU/edit?usp=sharing"",""ชัยภูมิ!M271"")+IMPORTRANGE(""https://docs.google.com/spreadsheets/d/1XVB7oCJ3pr-vBUdflwPQ8Z2LlzhnCvZaaYjAfP-647E/edit"&amp;"?usp=sharing"",""นครพนม!M271"")+IMPORTRANGE(""https://docs.google.com/spreadsheets/d/1Mnpb-8PYAgn85W6KOTD40hc_Xc55CaLfHoGAbrZ8tls/edit?usp=sharing"",""นครราชสีมา!M271"")+IMPORTRANGE(""https://docs.google.com/spreadsheets/d/1xoDLGBv9CYbyosIhki0kTq6IpYNj-gp"&amp;"jxfobnaDiut0/edit?usp=sharing"",""บึงกาฬ!M271"")+IMPORTRANGE(""https://docs.google.com/spreadsheets/d/1MMPq-JyI6DSgQETxuSiXkesP-P7JHuemnE6QJIa-Nlw/edit?usp=sharing"",""บุรีรัมย์!M271"")+IMPORTRANGE(""https://docs.google.com/spreadsheets/d/1l6IZ8xUPgMrESzc"&amp;"TYwhA1k_tPjeQjJPTqlm8Gd9eU5g/edit?usp=sharing"",""มหาสารคาม!M271"")+IMPORTRANGE(""https://docs.google.com/spreadsheets/d/1uB74YLqNjWX6FObjekfB2NtSYigTQyR2rq9u4Ub2Sq4/edit?usp=sharing"",""มุกดาหาร!M271"")+IMPORTRANGE(""https://docs.google.com/spreadsheets/"&amp;"d/1NexK3geCPxCTO1fzNF8dPec7yZyUx3OaWkFBC9HsQOo/edit?usp=sharing"",""ยโสธร!M271"")+IMPORTRANGE(""https://docs.google.com/spreadsheets/d/1v_cJrbBlyqmnHPReHk44g9NrMRdENNlSy_E_c5M9fIg/edit?usp=sharing"",""ร้อยเอ็ด!M271"")+IMPORTRANGE(""https://docs.google.com"&amp;"/spreadsheets/d/1Ul4RCpCX66NxYADU1QpwAPjOmBzW64SsT11s1wzXw_c/edit?usp=sharing"",""เลย!M271"")+IMPORTRANGE(""https://docs.google.com/spreadsheets/d/1bRrNKwbHDVktQG10isr5vbWRtt5spIZPpkOSWgbT5ug/edit?usp=sharing"",""ศรีสะเกษ!M271"")+IMPORTRANGE(""https://doc"&amp;"s.google.com/spreadsheets/d/17P34_Ow5kFBfdQD0qspb2UuPX5zpi6WMrQzslghyvrI/edit?usp=sharing"",""สกลนคร!M271"")+IMPORTRANGE(""https://docs.google.com/spreadsheets/d/1yswqbM3-AEpThF3ZSUa1AcmHnmRTF1vlJ1CZGcJ8YuU/edit?usp=sharing"",""สุรินทร์!M271"")+IMPORTRANG"&amp;"E(""https://docs.google.com/spreadsheets/d/13JHU_EFbsQOUQ0JSQ3dWy1VTRosIWcDq6Nc99z2qzdc/edit?usp=sharing"",""หนองคาย!M271"")+IMPORTRANGE(""https://docs.google.com/spreadsheets/d/1Hx73zIEgVdDZZaYSTc46Dqv64atFhpr3GelxLbaIN8A/edit?usp=sharing"",""หนองบัวลำภู"&amp;"!M271"")+IMPORTRANGE(""https://docs.google.com/spreadsheets/d/1lFxr3ctmjFN90yc-xV6jrQ9Ty8BKYVBWnAZ15wcNIJc/edit?usp=sharing"",""อำนาจเจริญ!M271"")+IMPORTRANGE(""https://docs.google.com/spreadsheets/d/1gF7RJpRnL-1oyjyeWxs5SFWEH7y8ahOZsQlyp2A2e-A/edit?usp=s"&amp;"haring"",""อุดรธานี!M271"")+IMPORTRANGE(""https://docs.google.com/spreadsheets/d/1kfLP0j3INXRa8bTDpcEmoWewMBV61jlFlfzczfjWIgc/edit?usp=sharing"",""อุบลราชธานี!M271"")"),100000)</f>
        <v>100000</v>
      </c>
      <c r="N271" s="56">
        <f ca="1">IFERROR(__xludf.DUMMYFUNCTION("IMPORTRANGE(""https://docs.google.com/spreadsheets/d/1yhBcrRPreicbMKl9Bu_Snb2-OcQAF62RKfhTLhJ2eAA/edit?usp=sharing"",""กาฬสินธุ์!N271"")+IMPORTRANGE(""https://docs.google.com/spreadsheets/d/1aHkj4IaQMThhwWwevcOymEh837vdxeC_PycurhTbGFA/edit?usp=sharing"","&amp;"""ขอนแก่น!N271"")+IMPORTRANGE(""https://docs.google.com/spreadsheets/d/1FvTu2DsIWUjP6WCWra38Bkj_oOl_sOMf14r5Fg5srxU/edit?usp=sharing"",""ชัยภูมิ!N271"")+IMPORTRANGE(""https://docs.google.com/spreadsheets/d/1XVB7oCJ3pr-vBUdflwPQ8Z2LlzhnCvZaaYjAfP-647E/edit"&amp;"?usp=sharing"",""นครพนม!N271"")+IMPORTRANGE(""https://docs.google.com/spreadsheets/d/1Mnpb-8PYAgn85W6KOTD40hc_Xc55CaLfHoGAbrZ8tls/edit?usp=sharing"",""นครราชสีมา!N271"")+IMPORTRANGE(""https://docs.google.com/spreadsheets/d/1xoDLGBv9CYbyosIhki0kTq6IpYNj-gp"&amp;"jxfobnaDiut0/edit?usp=sharing"",""บึงกาฬ!N271"")+IMPORTRANGE(""https://docs.google.com/spreadsheets/d/1MMPq-JyI6DSgQETxuSiXkesP-P7JHuemnE6QJIa-Nlw/edit?usp=sharing"",""บุรีรัมย์!N271"")+IMPORTRANGE(""https://docs.google.com/spreadsheets/d/1l6IZ8xUPgMrESzc"&amp;"TYwhA1k_tPjeQjJPTqlm8Gd9eU5g/edit?usp=sharing"",""มหาสารคาม!N271"")+IMPORTRANGE(""https://docs.google.com/spreadsheets/d/1uB74YLqNjWX6FObjekfB2NtSYigTQyR2rq9u4Ub2Sq4/edit?usp=sharing"",""มุกดาหาร!N271"")+IMPORTRANGE(""https://docs.google.com/spreadsheets/"&amp;"d/1NexK3geCPxCTO1fzNF8dPec7yZyUx3OaWkFBC9HsQOo/edit?usp=sharing"",""ยโสธร!N271"")+IMPORTRANGE(""https://docs.google.com/spreadsheets/d/1v_cJrbBlyqmnHPReHk44g9NrMRdENNlSy_E_c5M9fIg/edit?usp=sharing"",""ร้อยเอ็ด!N271"")+IMPORTRANGE(""https://docs.google.com"&amp;"/spreadsheets/d/1Ul4RCpCX66NxYADU1QpwAPjOmBzW64SsT11s1wzXw_c/edit?usp=sharing"",""เลย!N271"")+IMPORTRANGE(""https://docs.google.com/spreadsheets/d/1bRrNKwbHDVktQG10isr5vbWRtt5spIZPpkOSWgbT5ug/edit?usp=sharing"",""ศรีสะเกษ!N271"")+IMPORTRANGE(""https://doc"&amp;"s.google.com/spreadsheets/d/17P34_Ow5kFBfdQD0qspb2UuPX5zpi6WMrQzslghyvrI/edit?usp=sharing"",""สกลนคร!N271"")+IMPORTRANGE(""https://docs.google.com/spreadsheets/d/1yswqbM3-AEpThF3ZSUa1AcmHnmRTF1vlJ1CZGcJ8YuU/edit?usp=sharing"",""สุรินทร์!N271"")+IMPORTRANG"&amp;"E(""https://docs.google.com/spreadsheets/d/13JHU_EFbsQOUQ0JSQ3dWy1VTRosIWcDq6Nc99z2qzdc/edit?usp=sharing"",""หนองคาย!N271"")+IMPORTRANGE(""https://docs.google.com/spreadsheets/d/1Hx73zIEgVdDZZaYSTc46Dqv64atFhpr3GelxLbaIN8A/edit?usp=sharing"",""หนองบัวลำภู"&amp;"!N271"")+IMPORTRANGE(""https://docs.google.com/spreadsheets/d/1lFxr3ctmjFN90yc-xV6jrQ9Ty8BKYVBWnAZ15wcNIJc/edit?usp=sharing"",""อำนาจเจริญ!N271"")+IMPORTRANGE(""https://docs.google.com/spreadsheets/d/1gF7RJpRnL-1oyjyeWxs5SFWEH7y8ahOZsQlyp2A2e-A/edit?usp=s"&amp;"haring"",""อุดรธานี!N271"")+IMPORTRANGE(""https://docs.google.com/spreadsheets/d/1kfLP0j3INXRa8bTDpcEmoWewMBV61jlFlfzczfjWIgc/edit?usp=sharing"",""อุบลราชธานี!N271"")"),46240)</f>
        <v>46240</v>
      </c>
      <c r="O271" s="56">
        <f t="shared" ca="1" si="189"/>
        <v>0</v>
      </c>
      <c r="P271" s="56">
        <f t="shared" ca="1" si="190"/>
        <v>46.24</v>
      </c>
      <c r="Q271" s="56">
        <f ca="1">IFERROR(__xludf.DUMMYFUNCTION("IMPORTRANGE(""https://docs.google.com/spreadsheets/d/1yhBcrRPreicbMKl9Bu_Snb2-OcQAF62RKfhTLhJ2eAA/edit?usp=sharing"",""กาฬสินธุ์!Q271"")+IMPORTRANGE(""https://docs.google.com/spreadsheets/d/1aHkj4IaQMThhwWwevcOymEh837vdxeC_PycurhTbGFA/edit?usp=sharing"","&amp;"""ขอนแก่น!Q271"")+IMPORTRANGE(""https://docs.google.com/spreadsheets/d/1FvTu2DsIWUjP6WCWra38Bkj_oOl_sOMf14r5Fg5srxU/edit?usp=sharing"",""ชัยภูมิ!Q271"")+IMPORTRANGE(""https://docs.google.com/spreadsheets/d/1XVB7oCJ3pr-vBUdflwPQ8Z2LlzhnCvZaaYjAfP-647E/edit"&amp;"?usp=sharing"",""นครพนม!Q271"")+IMPORTRANGE(""https://docs.google.com/spreadsheets/d/1Mnpb-8PYAgn85W6KOTD40hc_Xc55CaLfHoGAbrZ8tls/edit?usp=sharing"",""นครราชสีมา!Q271"")+IMPORTRANGE(""https://docs.google.com/spreadsheets/d/1xoDLGBv9CYbyosIhki0kTq6IpYNj-gp"&amp;"jxfobnaDiut0/edit?usp=sharing"",""บึงกาฬ!Q271"")+IMPORTRANGE(""https://docs.google.com/spreadsheets/d/1MMPq-JyI6DSgQETxuSiXkesP-P7JHuemnE6QJIa-Nlw/edit?usp=sharing"",""บุรีรัมย์!Q271"")+IMPORTRANGE(""https://docs.google.com/spreadsheets/d/1l6IZ8xUPgMrESzc"&amp;"TYwhA1k_tPjeQjJPTqlm8Gd9eU5g/edit?usp=sharing"",""มหาสารคาม!Q271"")+IMPORTRANGE(""https://docs.google.com/spreadsheets/d/1uB74YLqNjWX6FObjekfB2NtSYigTQyR2rq9u4Ub2Sq4/edit?usp=sharing"",""มุกดาหาร!Q271"")+IMPORTRANGE(""https://docs.google.com/spreadsheets/"&amp;"d/1NexK3geCPxCTO1fzNF8dPec7yZyUx3OaWkFBC9HsQOo/edit?usp=sharing"",""ยโสธร!Q271"")+IMPORTRANGE(""https://docs.google.com/spreadsheets/d/1v_cJrbBlyqmnHPReHk44g9NrMRdENNlSy_E_c5M9fIg/edit?usp=sharing"",""ร้อยเอ็ด!Q271"")+IMPORTRANGE(""https://docs.google.com"&amp;"/spreadsheets/d/1Ul4RCpCX66NxYADU1QpwAPjOmBzW64SsT11s1wzXw_c/edit?usp=sharing"",""เลย!Q271"")+IMPORTRANGE(""https://docs.google.com/spreadsheets/d/1bRrNKwbHDVktQG10isr5vbWRtt5spIZPpkOSWgbT5ug/edit?usp=sharing"",""ศรีสะเกษ!Q271"")+IMPORTRANGE(""https://doc"&amp;"s.google.com/spreadsheets/d/17P34_Ow5kFBfdQD0qspb2UuPX5zpi6WMrQzslghyvrI/edit?usp=sharing"",""สกลนคร!Q271"")+IMPORTRANGE(""https://docs.google.com/spreadsheets/d/1yswqbM3-AEpThF3ZSUa1AcmHnmRTF1vlJ1CZGcJ8YuU/edit?usp=sharing"",""สุรินทร์!Q271"")+IMPORTRANG"&amp;"E(""https://docs.google.com/spreadsheets/d/13JHU_EFbsQOUQ0JSQ3dWy1VTRosIWcDq6Nc99z2qzdc/edit?usp=sharing"",""หนองคาย!Q271"")+IMPORTRANGE(""https://docs.google.com/spreadsheets/d/1Hx73zIEgVdDZZaYSTc46Dqv64atFhpr3GelxLbaIN8A/edit?usp=sharing"",""หนองบัวลำภู"&amp;"!Q271"")+IMPORTRANGE(""https://docs.google.com/spreadsheets/d/1lFxr3ctmjFN90yc-xV6jrQ9Ty8BKYVBWnAZ15wcNIJc/edit?usp=sharing"",""อำนาจเจริญ!Q271"")+IMPORTRANGE(""https://docs.google.com/spreadsheets/d/1gF7RJpRnL-1oyjyeWxs5SFWEH7y8ahOZsQlyp2A2e-A/edit?usp=s"&amp;"haring"",""อุดรธานี!Q271"")+IMPORTRANGE(""https://docs.google.com/spreadsheets/d/1kfLP0j3INXRa8bTDpcEmoWewMBV61jlFlfzczfjWIgc/edit?usp=sharing"",""อุบลราชธานี!Q271"")"),1046560)</f>
        <v>1046560</v>
      </c>
      <c r="R271" s="56">
        <f ca="1">IFERROR(__xludf.DUMMYFUNCTION("IMPORTRANGE(""https://docs.google.com/spreadsheets/d/1yhBcrRPreicbMKl9Bu_Snb2-OcQAF62RKfhTLhJ2eAA/edit?usp=sharing"",""กาฬสินธุ์!R271"")+IMPORTRANGE(""https://docs.google.com/spreadsheets/d/1aHkj4IaQMThhwWwevcOymEh837vdxeC_PycurhTbGFA/edit?usp=sharing"","&amp;"""ขอนแก่น!R271"")+IMPORTRANGE(""https://docs.google.com/spreadsheets/d/1FvTu2DsIWUjP6WCWra38Bkj_oOl_sOMf14r5Fg5srxU/edit?usp=sharing"",""ชัยภูมิ!R271"")+IMPORTRANGE(""https://docs.google.com/spreadsheets/d/1XVB7oCJ3pr-vBUdflwPQ8Z2LlzhnCvZaaYjAfP-647E/edit"&amp;"?usp=sharing"",""นครพนม!R271"")+IMPORTRANGE(""https://docs.google.com/spreadsheets/d/1Mnpb-8PYAgn85W6KOTD40hc_Xc55CaLfHoGAbrZ8tls/edit?usp=sharing"",""นครราชสีมา!R271"")+IMPORTRANGE(""https://docs.google.com/spreadsheets/d/1xoDLGBv9CYbyosIhki0kTq6IpYNj-gp"&amp;"jxfobnaDiut0/edit?usp=sharing"",""บึงกาฬ!R271"")+IMPORTRANGE(""https://docs.google.com/spreadsheets/d/1MMPq-JyI6DSgQETxuSiXkesP-P7JHuemnE6QJIa-Nlw/edit?usp=sharing"",""บุรีรัมย์!R271"")+IMPORTRANGE(""https://docs.google.com/spreadsheets/d/1l6IZ8xUPgMrESzc"&amp;"TYwhA1k_tPjeQjJPTqlm8Gd9eU5g/edit?usp=sharing"",""มหาสารคาม!R271"")+IMPORTRANGE(""https://docs.google.com/spreadsheets/d/1uB74YLqNjWX6FObjekfB2NtSYigTQyR2rq9u4Ub2Sq4/edit?usp=sharing"",""มุกดาหาร!R271"")+IMPORTRANGE(""https://docs.google.com/spreadsheets/"&amp;"d/1NexK3geCPxCTO1fzNF8dPec7yZyUx3OaWkFBC9HsQOo/edit?usp=sharing"",""ยโสธร!R271"")+IMPORTRANGE(""https://docs.google.com/spreadsheets/d/1v_cJrbBlyqmnHPReHk44g9NrMRdENNlSy_E_c5M9fIg/edit?usp=sharing"",""ร้อยเอ็ด!R271"")+IMPORTRANGE(""https://docs.google.com"&amp;"/spreadsheets/d/1Ul4RCpCX66NxYADU1QpwAPjOmBzW64SsT11s1wzXw_c/edit?usp=sharing"",""เลย!R271"")+IMPORTRANGE(""https://docs.google.com/spreadsheets/d/1bRrNKwbHDVktQG10isr5vbWRtt5spIZPpkOSWgbT5ug/edit?usp=sharing"",""ศรีสะเกษ!R271"")+IMPORTRANGE(""https://doc"&amp;"s.google.com/spreadsheets/d/17P34_Ow5kFBfdQD0qspb2UuPX5zpi6WMrQzslghyvrI/edit?usp=sharing"",""สกลนคร!R271"")+IMPORTRANGE(""https://docs.google.com/spreadsheets/d/1yswqbM3-AEpThF3ZSUa1AcmHnmRTF1vlJ1CZGcJ8YuU/edit?usp=sharing"",""สุรินทร์!R271"")+IMPORTRANG"&amp;"E(""https://docs.google.com/spreadsheets/d/13JHU_EFbsQOUQ0JSQ3dWy1VTRosIWcDq6Nc99z2qzdc/edit?usp=sharing"",""หนองคาย!R271"")+IMPORTRANGE(""https://docs.google.com/spreadsheets/d/1Hx73zIEgVdDZZaYSTc46Dqv64atFhpr3GelxLbaIN8A/edit?usp=sharing"",""หนองบัวลำภู"&amp;"!R271"")+IMPORTRANGE(""https://docs.google.com/spreadsheets/d/1lFxr3ctmjFN90yc-xV6jrQ9Ty8BKYVBWnAZ15wcNIJc/edit?usp=sharing"",""อำนาจเจริญ!R271"")+IMPORTRANGE(""https://docs.google.com/spreadsheets/d/1gF7RJpRnL-1oyjyeWxs5SFWEH7y8ahOZsQlyp2A2e-A/edit?usp=s"&amp;"haring"",""อุดรธานี!R271"")+IMPORTRANGE(""https://docs.google.com/spreadsheets/d/1kfLP0j3INXRa8bTDpcEmoWewMBV61jlFlfzczfjWIgc/edit?usp=sharing"",""อุบลราชธานี!R271"")"),1046560)</f>
        <v>1046560</v>
      </c>
      <c r="S271" s="57">
        <f ca="1">IFERROR(__xludf.DUMMYFUNCTION("IMPORTRANGE(""https://docs.google.com/spreadsheets/d/1yhBcrRPreicbMKl9Bu_Snb2-OcQAF62RKfhTLhJ2eAA/edit?usp=sharing"",""กาฬสินธุ์!S271"")+IMPORTRANGE(""https://docs.google.com/spreadsheets/d/1aHkj4IaQMThhwWwevcOymEh837vdxeC_PycurhTbGFA/edit?usp=sharing"","&amp;"""ขอนแก่น!S271"")+IMPORTRANGE(""https://docs.google.com/spreadsheets/d/1FvTu2DsIWUjP6WCWra38Bkj_oOl_sOMf14r5Fg5srxU/edit?usp=sharing"",""ชัยภูมิ!S271"")+IMPORTRANGE(""https://docs.google.com/spreadsheets/d/1XVB7oCJ3pr-vBUdflwPQ8Z2LlzhnCvZaaYjAfP-647E/edit"&amp;"?usp=sharing"",""นครพนม!S271"")+IMPORTRANGE(""https://docs.google.com/spreadsheets/d/1Mnpb-8PYAgn85W6KOTD40hc_Xc55CaLfHoGAbrZ8tls/edit?usp=sharing"",""นครราชสีมา!S271"")+IMPORTRANGE(""https://docs.google.com/spreadsheets/d/1xoDLGBv9CYbyosIhki0kTq6IpYNj-gp"&amp;"jxfobnaDiut0/edit?usp=sharing"",""บึงกาฬ!S271"")+IMPORTRANGE(""https://docs.google.com/spreadsheets/d/1MMPq-JyI6DSgQETxuSiXkesP-P7JHuemnE6QJIa-Nlw/edit?usp=sharing"",""บุรีรัมย์!S271"")+IMPORTRANGE(""https://docs.google.com/spreadsheets/d/1l6IZ8xUPgMrESzc"&amp;"TYwhA1k_tPjeQjJPTqlm8Gd9eU5g/edit?usp=sharing"",""มหาสารคาม!S271"")+IMPORTRANGE(""https://docs.google.com/spreadsheets/d/1uB74YLqNjWX6FObjekfB2NtSYigTQyR2rq9u4Ub2Sq4/edit?usp=sharing"",""มุกดาหาร!S271"")+IMPORTRANGE(""https://docs.google.com/spreadsheets/"&amp;"d/1NexK3geCPxCTO1fzNF8dPec7yZyUx3OaWkFBC9HsQOo/edit?usp=sharing"",""ยโสธร!S271"")+IMPORTRANGE(""https://docs.google.com/spreadsheets/d/1v_cJrbBlyqmnHPReHk44g9NrMRdENNlSy_E_c5M9fIg/edit?usp=sharing"",""ร้อยเอ็ด!S271"")+IMPORTRANGE(""https://docs.google.com"&amp;"/spreadsheets/d/1Ul4RCpCX66NxYADU1QpwAPjOmBzW64SsT11s1wzXw_c/edit?usp=sharing"",""เลย!S271"")+IMPORTRANGE(""https://docs.google.com/spreadsheets/d/1bRrNKwbHDVktQG10isr5vbWRtt5spIZPpkOSWgbT5ug/edit?usp=sharing"",""ศรีสะเกษ!S271"")+IMPORTRANGE(""https://doc"&amp;"s.google.com/spreadsheets/d/17P34_Ow5kFBfdQD0qspb2UuPX5zpi6WMrQzslghyvrI/edit?usp=sharing"",""สกลนคร!S271"")+IMPORTRANGE(""https://docs.google.com/spreadsheets/d/1yswqbM3-AEpThF3ZSUa1AcmHnmRTF1vlJ1CZGcJ8YuU/edit?usp=sharing"",""สุรินทร์!S271"")+IMPORTRANG"&amp;"E(""https://docs.google.com/spreadsheets/d/13JHU_EFbsQOUQ0JSQ3dWy1VTRosIWcDq6Nc99z2qzdc/edit?usp=sharing"",""หนองคาย!S271"")+IMPORTRANGE(""https://docs.google.com/spreadsheets/d/1Hx73zIEgVdDZZaYSTc46Dqv64atFhpr3GelxLbaIN8A/edit?usp=sharing"",""หนองบัวลำภู"&amp;"!S271"")+IMPORTRANGE(""https://docs.google.com/spreadsheets/d/1lFxr3ctmjFN90yc-xV6jrQ9Ty8BKYVBWnAZ15wcNIJc/edit?usp=sharing"",""อำนาจเจริญ!S271"")+IMPORTRANGE(""https://docs.google.com/spreadsheets/d/1gF7RJpRnL-1oyjyeWxs5SFWEH7y8ahOZsQlyp2A2e-A/edit?usp=s"&amp;"haring"",""อุดรธานี!S271"")+IMPORTRANGE(""https://docs.google.com/spreadsheets/d/1kfLP0j3INXRa8bTDpcEmoWewMBV61jlFlfzczfjWIgc/edit?usp=sharing"",""อุบลราชธานี!S271"")"),551632)</f>
        <v>551632</v>
      </c>
      <c r="T271" s="56">
        <f t="shared" ca="1" si="192"/>
        <v>52.709065892065432</v>
      </c>
      <c r="U271" s="56">
        <f t="shared" ca="1" si="193"/>
        <v>52.709065892065432</v>
      </c>
    </row>
    <row r="272" spans="1:21" ht="18.75">
      <c r="A272" s="155"/>
      <c r="B272" s="50"/>
      <c r="C272" s="50"/>
      <c r="D272" s="51" t="s">
        <v>23</v>
      </c>
      <c r="E272" s="50"/>
      <c r="F272" s="50"/>
      <c r="G272" s="52"/>
      <c r="H272" s="165" t="s">
        <v>14</v>
      </c>
      <c r="I272" s="163"/>
      <c r="J272" s="163"/>
      <c r="K272" s="164"/>
      <c r="L272" s="56">
        <f t="shared" ref="L272:N272" ca="1" si="200">L273+L274</f>
        <v>0</v>
      </c>
      <c r="M272" s="56">
        <f t="shared" ca="1" si="200"/>
        <v>0</v>
      </c>
      <c r="N272" s="56">
        <f t="shared" ca="1" si="200"/>
        <v>0</v>
      </c>
      <c r="O272" s="56">
        <f t="shared" ca="1" si="189"/>
        <v>0</v>
      </c>
      <c r="P272" s="56">
        <f t="shared" ca="1" si="190"/>
        <v>0</v>
      </c>
      <c r="Q272" s="56">
        <f t="shared" ref="Q272:S272" ca="1" si="201">Q273+Q274</f>
        <v>0</v>
      </c>
      <c r="R272" s="56">
        <f t="shared" ca="1" si="201"/>
        <v>0</v>
      </c>
      <c r="S272" s="57">
        <f t="shared" ca="1" si="201"/>
        <v>0</v>
      </c>
      <c r="T272" s="56">
        <f t="shared" ca="1" si="192"/>
        <v>0</v>
      </c>
      <c r="U272" s="56">
        <f t="shared" ca="1" si="193"/>
        <v>0</v>
      </c>
    </row>
    <row r="273" spans="1:21" ht="18.75">
      <c r="A273" s="155"/>
      <c r="B273" s="50"/>
      <c r="C273" s="50"/>
      <c r="D273" s="50"/>
      <c r="E273" s="58" t="s">
        <v>20</v>
      </c>
      <c r="F273" s="50"/>
      <c r="G273" s="52"/>
      <c r="H273" s="162" t="s">
        <v>14</v>
      </c>
      <c r="I273" s="163"/>
      <c r="J273" s="163"/>
      <c r="K273" s="164"/>
      <c r="L273" s="56">
        <f ca="1">IFERROR(__xludf.DUMMYFUNCTION("IMPORTRANGE(""https://docs.google.com/spreadsheets/d/1yhBcrRPreicbMKl9Bu_Snb2-OcQAF62RKfhTLhJ2eAA/edit?usp=sharing"",""กาฬสินธุ์!L273"")+IMPORTRANGE(""https://docs.google.com/spreadsheets/d/1aHkj4IaQMThhwWwevcOymEh837vdxeC_PycurhTbGFA/edit?usp=sharing"","&amp;"""ขอนแก่น!L273"")+IMPORTRANGE(""https://docs.google.com/spreadsheets/d/1FvTu2DsIWUjP6WCWra38Bkj_oOl_sOMf14r5Fg5srxU/edit?usp=sharing"",""ชัยภูมิ!L273"")+IMPORTRANGE(""https://docs.google.com/spreadsheets/d/1XVB7oCJ3pr-vBUdflwPQ8Z2LlzhnCvZaaYjAfP-647E/edit"&amp;"?usp=sharing"",""นครพนม!L273"")+IMPORTRANGE(""https://docs.google.com/spreadsheets/d/1Mnpb-8PYAgn85W6KOTD40hc_Xc55CaLfHoGAbrZ8tls/edit?usp=sharing"",""นครราชสีมา!L273"")+IMPORTRANGE(""https://docs.google.com/spreadsheets/d/1xoDLGBv9CYbyosIhki0kTq6IpYNj-gp"&amp;"jxfobnaDiut0/edit?usp=sharing"",""บึงกาฬ!L273"")+IMPORTRANGE(""https://docs.google.com/spreadsheets/d/1MMPq-JyI6DSgQETxuSiXkesP-P7JHuemnE6QJIa-Nlw/edit?usp=sharing"",""บุรีรัมย์!L273"")+IMPORTRANGE(""https://docs.google.com/spreadsheets/d/1l6IZ8xUPgMrESzc"&amp;"TYwhA1k_tPjeQjJPTqlm8Gd9eU5g/edit?usp=sharing"",""มหาสารคาม!L273"")+IMPORTRANGE(""https://docs.google.com/spreadsheets/d/1uB74YLqNjWX6FObjekfB2NtSYigTQyR2rq9u4Ub2Sq4/edit?usp=sharing"",""มุกดาหาร!L273"")+IMPORTRANGE(""https://docs.google.com/spreadsheets/"&amp;"d/1NexK3geCPxCTO1fzNF8dPec7yZyUx3OaWkFBC9HsQOo/edit?usp=sharing"",""ยโสธร!L273"")+IMPORTRANGE(""https://docs.google.com/spreadsheets/d/1v_cJrbBlyqmnHPReHk44g9NrMRdENNlSy_E_c5M9fIg/edit?usp=sharing"",""ร้อยเอ็ด!L273"")+IMPORTRANGE(""https://docs.google.com"&amp;"/spreadsheets/d/1Ul4RCpCX66NxYADU1QpwAPjOmBzW64SsT11s1wzXw_c/edit?usp=sharing"",""เลย!L273"")+IMPORTRANGE(""https://docs.google.com/spreadsheets/d/1bRrNKwbHDVktQG10isr5vbWRtt5spIZPpkOSWgbT5ug/edit?usp=sharing"",""ศรีสะเกษ!L273"")+IMPORTRANGE(""https://doc"&amp;"s.google.com/spreadsheets/d/17P34_Ow5kFBfdQD0qspb2UuPX5zpi6WMrQzslghyvrI/edit?usp=sharing"",""สกลนคร!L273"")+IMPORTRANGE(""https://docs.google.com/spreadsheets/d/1yswqbM3-AEpThF3ZSUa1AcmHnmRTF1vlJ1CZGcJ8YuU/edit?usp=sharing"",""สุรินทร์!L273"")+IMPORTRANG"&amp;"E(""https://docs.google.com/spreadsheets/d/13JHU_EFbsQOUQ0JSQ3dWy1VTRosIWcDq6Nc99z2qzdc/edit?usp=sharing"",""หนองคาย!L273"")+IMPORTRANGE(""https://docs.google.com/spreadsheets/d/1Hx73zIEgVdDZZaYSTc46Dqv64atFhpr3GelxLbaIN8A/edit?usp=sharing"",""หนองบัวลำภู"&amp;"!L273"")+IMPORTRANGE(""https://docs.google.com/spreadsheets/d/1lFxr3ctmjFN90yc-xV6jrQ9Ty8BKYVBWnAZ15wcNIJc/edit?usp=sharing"",""อำนาจเจริญ!L273"")+IMPORTRANGE(""https://docs.google.com/spreadsheets/d/1gF7RJpRnL-1oyjyeWxs5SFWEH7y8ahOZsQlyp2A2e-A/edit?usp=s"&amp;"haring"",""อุดรธานี!L273"")+IMPORTRANGE(""https://docs.google.com/spreadsheets/d/1kfLP0j3INXRa8bTDpcEmoWewMBV61jlFlfzczfjWIgc/edit?usp=sharing"",""อุบลราชธานี!L273"")"),0)</f>
        <v>0</v>
      </c>
      <c r="M273" s="56">
        <f ca="1">IFERROR(__xludf.DUMMYFUNCTION("IMPORTRANGE(""https://docs.google.com/spreadsheets/d/1yhBcrRPreicbMKl9Bu_Snb2-OcQAF62RKfhTLhJ2eAA/edit?usp=sharing"",""กาฬสินธุ์!M273"")+IMPORTRANGE(""https://docs.google.com/spreadsheets/d/1aHkj4IaQMThhwWwevcOymEh837vdxeC_PycurhTbGFA/edit?usp=sharing"","&amp;"""ขอนแก่น!M273"")+IMPORTRANGE(""https://docs.google.com/spreadsheets/d/1FvTu2DsIWUjP6WCWra38Bkj_oOl_sOMf14r5Fg5srxU/edit?usp=sharing"",""ชัยภูมิ!M273"")+IMPORTRANGE(""https://docs.google.com/spreadsheets/d/1XVB7oCJ3pr-vBUdflwPQ8Z2LlzhnCvZaaYjAfP-647E/edit"&amp;"?usp=sharing"",""นครพนม!M273"")+IMPORTRANGE(""https://docs.google.com/spreadsheets/d/1Mnpb-8PYAgn85W6KOTD40hc_Xc55CaLfHoGAbrZ8tls/edit?usp=sharing"",""นครราชสีมา!M273"")+IMPORTRANGE(""https://docs.google.com/spreadsheets/d/1xoDLGBv9CYbyosIhki0kTq6IpYNj-gp"&amp;"jxfobnaDiut0/edit?usp=sharing"",""บึงกาฬ!M273"")+IMPORTRANGE(""https://docs.google.com/spreadsheets/d/1MMPq-JyI6DSgQETxuSiXkesP-P7JHuemnE6QJIa-Nlw/edit?usp=sharing"",""บุรีรัมย์!M273"")+IMPORTRANGE(""https://docs.google.com/spreadsheets/d/1l6IZ8xUPgMrESzc"&amp;"TYwhA1k_tPjeQjJPTqlm8Gd9eU5g/edit?usp=sharing"",""มหาสารคาม!M273"")+IMPORTRANGE(""https://docs.google.com/spreadsheets/d/1uB74YLqNjWX6FObjekfB2NtSYigTQyR2rq9u4Ub2Sq4/edit?usp=sharing"",""มุกดาหาร!M273"")+IMPORTRANGE(""https://docs.google.com/spreadsheets/"&amp;"d/1NexK3geCPxCTO1fzNF8dPec7yZyUx3OaWkFBC9HsQOo/edit?usp=sharing"",""ยโสธร!M273"")+IMPORTRANGE(""https://docs.google.com/spreadsheets/d/1v_cJrbBlyqmnHPReHk44g9NrMRdENNlSy_E_c5M9fIg/edit?usp=sharing"",""ร้อยเอ็ด!M273"")+IMPORTRANGE(""https://docs.google.com"&amp;"/spreadsheets/d/1Ul4RCpCX66NxYADU1QpwAPjOmBzW64SsT11s1wzXw_c/edit?usp=sharing"",""เลย!M273"")+IMPORTRANGE(""https://docs.google.com/spreadsheets/d/1bRrNKwbHDVktQG10isr5vbWRtt5spIZPpkOSWgbT5ug/edit?usp=sharing"",""ศรีสะเกษ!M273"")+IMPORTRANGE(""https://doc"&amp;"s.google.com/spreadsheets/d/17P34_Ow5kFBfdQD0qspb2UuPX5zpi6WMrQzslghyvrI/edit?usp=sharing"",""สกลนคร!M273"")+IMPORTRANGE(""https://docs.google.com/spreadsheets/d/1yswqbM3-AEpThF3ZSUa1AcmHnmRTF1vlJ1CZGcJ8YuU/edit?usp=sharing"",""สุรินทร์!M273"")+IMPORTRANG"&amp;"E(""https://docs.google.com/spreadsheets/d/13JHU_EFbsQOUQ0JSQ3dWy1VTRosIWcDq6Nc99z2qzdc/edit?usp=sharing"",""หนองคาย!M273"")+IMPORTRANGE(""https://docs.google.com/spreadsheets/d/1Hx73zIEgVdDZZaYSTc46Dqv64atFhpr3GelxLbaIN8A/edit?usp=sharing"",""หนองบัวลำภู"&amp;"!M273"")+IMPORTRANGE(""https://docs.google.com/spreadsheets/d/1lFxr3ctmjFN90yc-xV6jrQ9Ty8BKYVBWnAZ15wcNIJc/edit?usp=sharing"",""อำนาจเจริญ!M273"")+IMPORTRANGE(""https://docs.google.com/spreadsheets/d/1gF7RJpRnL-1oyjyeWxs5SFWEH7y8ahOZsQlyp2A2e-A/edit?usp=s"&amp;"haring"",""อุดรธานี!M273"")+IMPORTRANGE(""https://docs.google.com/spreadsheets/d/1kfLP0j3INXRa8bTDpcEmoWewMBV61jlFlfzczfjWIgc/edit?usp=sharing"",""อุบลราชธานี!M273"")"),0)</f>
        <v>0</v>
      </c>
      <c r="N273" s="56">
        <f ca="1">IFERROR(__xludf.DUMMYFUNCTION("IMPORTRANGE(""https://docs.google.com/spreadsheets/d/1yhBcrRPreicbMKl9Bu_Snb2-OcQAF62RKfhTLhJ2eAA/edit?usp=sharing"",""กาฬสินธุ์!N273"")+IMPORTRANGE(""https://docs.google.com/spreadsheets/d/1aHkj4IaQMThhwWwevcOymEh837vdxeC_PycurhTbGFA/edit?usp=sharing"","&amp;"""ขอนแก่น!N273"")+IMPORTRANGE(""https://docs.google.com/spreadsheets/d/1FvTu2DsIWUjP6WCWra38Bkj_oOl_sOMf14r5Fg5srxU/edit?usp=sharing"",""ชัยภูมิ!N273"")+IMPORTRANGE(""https://docs.google.com/spreadsheets/d/1XVB7oCJ3pr-vBUdflwPQ8Z2LlzhnCvZaaYjAfP-647E/edit"&amp;"?usp=sharing"",""นครพนม!N273"")+IMPORTRANGE(""https://docs.google.com/spreadsheets/d/1Mnpb-8PYAgn85W6KOTD40hc_Xc55CaLfHoGAbrZ8tls/edit?usp=sharing"",""นครราชสีมา!N273"")+IMPORTRANGE(""https://docs.google.com/spreadsheets/d/1xoDLGBv9CYbyosIhki0kTq6IpYNj-gp"&amp;"jxfobnaDiut0/edit?usp=sharing"",""บึงกาฬ!N273"")+IMPORTRANGE(""https://docs.google.com/spreadsheets/d/1MMPq-JyI6DSgQETxuSiXkesP-P7JHuemnE6QJIa-Nlw/edit?usp=sharing"",""บุรีรัมย์!N273"")+IMPORTRANGE(""https://docs.google.com/spreadsheets/d/1l6IZ8xUPgMrESzc"&amp;"TYwhA1k_tPjeQjJPTqlm8Gd9eU5g/edit?usp=sharing"",""มหาสารคาม!N273"")+IMPORTRANGE(""https://docs.google.com/spreadsheets/d/1uB74YLqNjWX6FObjekfB2NtSYigTQyR2rq9u4Ub2Sq4/edit?usp=sharing"",""มุกดาหาร!N273"")+IMPORTRANGE(""https://docs.google.com/spreadsheets/"&amp;"d/1NexK3geCPxCTO1fzNF8dPec7yZyUx3OaWkFBC9HsQOo/edit?usp=sharing"",""ยโสธร!N273"")+IMPORTRANGE(""https://docs.google.com/spreadsheets/d/1v_cJrbBlyqmnHPReHk44g9NrMRdENNlSy_E_c5M9fIg/edit?usp=sharing"",""ร้อยเอ็ด!N273"")+IMPORTRANGE(""https://docs.google.com"&amp;"/spreadsheets/d/1Ul4RCpCX66NxYADU1QpwAPjOmBzW64SsT11s1wzXw_c/edit?usp=sharing"",""เลย!N273"")+IMPORTRANGE(""https://docs.google.com/spreadsheets/d/1bRrNKwbHDVktQG10isr5vbWRtt5spIZPpkOSWgbT5ug/edit?usp=sharing"",""ศรีสะเกษ!N273"")+IMPORTRANGE(""https://doc"&amp;"s.google.com/spreadsheets/d/17P34_Ow5kFBfdQD0qspb2UuPX5zpi6WMrQzslghyvrI/edit?usp=sharing"",""สกลนคร!N273"")+IMPORTRANGE(""https://docs.google.com/spreadsheets/d/1yswqbM3-AEpThF3ZSUa1AcmHnmRTF1vlJ1CZGcJ8YuU/edit?usp=sharing"",""สุรินทร์!N273"")+IMPORTRANG"&amp;"E(""https://docs.google.com/spreadsheets/d/13JHU_EFbsQOUQ0JSQ3dWy1VTRosIWcDq6Nc99z2qzdc/edit?usp=sharing"",""หนองคาย!N273"")+IMPORTRANGE(""https://docs.google.com/spreadsheets/d/1Hx73zIEgVdDZZaYSTc46Dqv64atFhpr3GelxLbaIN8A/edit?usp=sharing"",""หนองบัวลำภู"&amp;"!N273"")+IMPORTRANGE(""https://docs.google.com/spreadsheets/d/1lFxr3ctmjFN90yc-xV6jrQ9Ty8BKYVBWnAZ15wcNIJc/edit?usp=sharing"",""อำนาจเจริญ!N273"")+IMPORTRANGE(""https://docs.google.com/spreadsheets/d/1gF7RJpRnL-1oyjyeWxs5SFWEH7y8ahOZsQlyp2A2e-A/edit?usp=s"&amp;"haring"",""อุดรธานี!N273"")+IMPORTRANGE(""https://docs.google.com/spreadsheets/d/1kfLP0j3INXRa8bTDpcEmoWewMBV61jlFlfzczfjWIgc/edit?usp=sharing"",""อุบลราชธานี!N273"")"),0)</f>
        <v>0</v>
      </c>
      <c r="O273" s="56">
        <f t="shared" ca="1" si="189"/>
        <v>0</v>
      </c>
      <c r="P273" s="56">
        <f t="shared" ca="1" si="190"/>
        <v>0</v>
      </c>
      <c r="Q273" s="56">
        <f ca="1">IFERROR(__xludf.DUMMYFUNCTION("IMPORTRANGE(""https://docs.google.com/spreadsheets/d/1yhBcrRPreicbMKl9Bu_Snb2-OcQAF62RKfhTLhJ2eAA/edit?usp=sharing"",""กาฬสินธุ์!Q273"")+IMPORTRANGE(""https://docs.google.com/spreadsheets/d/1aHkj4IaQMThhwWwevcOymEh837vdxeC_PycurhTbGFA/edit?usp=sharing"","&amp;"""ขอนแก่น!Q273"")+IMPORTRANGE(""https://docs.google.com/spreadsheets/d/1FvTu2DsIWUjP6WCWra38Bkj_oOl_sOMf14r5Fg5srxU/edit?usp=sharing"",""ชัยภูมิ!Q273"")+IMPORTRANGE(""https://docs.google.com/spreadsheets/d/1XVB7oCJ3pr-vBUdflwPQ8Z2LlzhnCvZaaYjAfP-647E/edit"&amp;"?usp=sharing"",""นครพนม!Q273"")+IMPORTRANGE(""https://docs.google.com/spreadsheets/d/1Mnpb-8PYAgn85W6KOTD40hc_Xc55CaLfHoGAbrZ8tls/edit?usp=sharing"",""นครราชสีมา!Q273"")+IMPORTRANGE(""https://docs.google.com/spreadsheets/d/1xoDLGBv9CYbyosIhki0kTq6IpYNj-gp"&amp;"jxfobnaDiut0/edit?usp=sharing"",""บึงกาฬ!Q273"")+IMPORTRANGE(""https://docs.google.com/spreadsheets/d/1MMPq-JyI6DSgQETxuSiXkesP-P7JHuemnE6QJIa-Nlw/edit?usp=sharing"",""บุรีรัมย์!Q273"")+IMPORTRANGE(""https://docs.google.com/spreadsheets/d/1l6IZ8xUPgMrESzc"&amp;"TYwhA1k_tPjeQjJPTqlm8Gd9eU5g/edit?usp=sharing"",""มหาสารคาม!Q273"")+IMPORTRANGE(""https://docs.google.com/spreadsheets/d/1uB74YLqNjWX6FObjekfB2NtSYigTQyR2rq9u4Ub2Sq4/edit?usp=sharing"",""มุกดาหาร!Q273"")+IMPORTRANGE(""https://docs.google.com/spreadsheets/"&amp;"d/1NexK3geCPxCTO1fzNF8dPec7yZyUx3OaWkFBC9HsQOo/edit?usp=sharing"",""ยโสธร!Q273"")+IMPORTRANGE(""https://docs.google.com/spreadsheets/d/1v_cJrbBlyqmnHPReHk44g9NrMRdENNlSy_E_c5M9fIg/edit?usp=sharing"",""ร้อยเอ็ด!Q273"")+IMPORTRANGE(""https://docs.google.com"&amp;"/spreadsheets/d/1Ul4RCpCX66NxYADU1QpwAPjOmBzW64SsT11s1wzXw_c/edit?usp=sharing"",""เลย!Q273"")+IMPORTRANGE(""https://docs.google.com/spreadsheets/d/1bRrNKwbHDVktQG10isr5vbWRtt5spIZPpkOSWgbT5ug/edit?usp=sharing"",""ศรีสะเกษ!Q273"")+IMPORTRANGE(""https://doc"&amp;"s.google.com/spreadsheets/d/17P34_Ow5kFBfdQD0qspb2UuPX5zpi6WMrQzslghyvrI/edit?usp=sharing"",""สกลนคร!Q273"")+IMPORTRANGE(""https://docs.google.com/spreadsheets/d/1yswqbM3-AEpThF3ZSUa1AcmHnmRTF1vlJ1CZGcJ8YuU/edit?usp=sharing"",""สุรินทร์!Q273"")+IMPORTRANG"&amp;"E(""https://docs.google.com/spreadsheets/d/13JHU_EFbsQOUQ0JSQ3dWy1VTRosIWcDq6Nc99z2qzdc/edit?usp=sharing"",""หนองคาย!Q273"")+IMPORTRANGE(""https://docs.google.com/spreadsheets/d/1Hx73zIEgVdDZZaYSTc46Dqv64atFhpr3GelxLbaIN8A/edit?usp=sharing"",""หนองบัวลำภู"&amp;"!Q273"")+IMPORTRANGE(""https://docs.google.com/spreadsheets/d/1lFxr3ctmjFN90yc-xV6jrQ9Ty8BKYVBWnAZ15wcNIJc/edit?usp=sharing"",""อำนาจเจริญ!Q273"")+IMPORTRANGE(""https://docs.google.com/spreadsheets/d/1gF7RJpRnL-1oyjyeWxs5SFWEH7y8ahOZsQlyp2A2e-A/edit?usp=s"&amp;"haring"",""อุดรธานี!Q273"")+IMPORTRANGE(""https://docs.google.com/spreadsheets/d/1kfLP0j3INXRa8bTDpcEmoWewMBV61jlFlfzczfjWIgc/edit?usp=sharing"",""อุบลราชธานี!Q273"")"),0)</f>
        <v>0</v>
      </c>
      <c r="R273" s="56">
        <f ca="1">IFERROR(__xludf.DUMMYFUNCTION("IMPORTRANGE(""https://docs.google.com/spreadsheets/d/1yhBcrRPreicbMKl9Bu_Snb2-OcQAF62RKfhTLhJ2eAA/edit?usp=sharing"",""กาฬสินธุ์!R273"")+IMPORTRANGE(""https://docs.google.com/spreadsheets/d/1aHkj4IaQMThhwWwevcOymEh837vdxeC_PycurhTbGFA/edit?usp=sharing"","&amp;"""ขอนแก่น!R273"")+IMPORTRANGE(""https://docs.google.com/spreadsheets/d/1FvTu2DsIWUjP6WCWra38Bkj_oOl_sOMf14r5Fg5srxU/edit?usp=sharing"",""ชัยภูมิ!R273"")+IMPORTRANGE(""https://docs.google.com/spreadsheets/d/1XVB7oCJ3pr-vBUdflwPQ8Z2LlzhnCvZaaYjAfP-647E/edit"&amp;"?usp=sharing"",""นครพนม!R273"")+IMPORTRANGE(""https://docs.google.com/spreadsheets/d/1Mnpb-8PYAgn85W6KOTD40hc_Xc55CaLfHoGAbrZ8tls/edit?usp=sharing"",""นครราชสีมา!R273"")+IMPORTRANGE(""https://docs.google.com/spreadsheets/d/1xoDLGBv9CYbyosIhki0kTq6IpYNj-gp"&amp;"jxfobnaDiut0/edit?usp=sharing"",""บึงกาฬ!R273"")+IMPORTRANGE(""https://docs.google.com/spreadsheets/d/1MMPq-JyI6DSgQETxuSiXkesP-P7JHuemnE6QJIa-Nlw/edit?usp=sharing"",""บุรีรัมย์!R273"")+IMPORTRANGE(""https://docs.google.com/spreadsheets/d/1l6IZ8xUPgMrESzc"&amp;"TYwhA1k_tPjeQjJPTqlm8Gd9eU5g/edit?usp=sharing"",""มหาสารคาม!R273"")+IMPORTRANGE(""https://docs.google.com/spreadsheets/d/1uB74YLqNjWX6FObjekfB2NtSYigTQyR2rq9u4Ub2Sq4/edit?usp=sharing"",""มุกดาหาร!R273"")+IMPORTRANGE(""https://docs.google.com/spreadsheets/"&amp;"d/1NexK3geCPxCTO1fzNF8dPec7yZyUx3OaWkFBC9HsQOo/edit?usp=sharing"",""ยโสธร!R273"")+IMPORTRANGE(""https://docs.google.com/spreadsheets/d/1v_cJrbBlyqmnHPReHk44g9NrMRdENNlSy_E_c5M9fIg/edit?usp=sharing"",""ร้อยเอ็ด!R273"")+IMPORTRANGE(""https://docs.google.com"&amp;"/spreadsheets/d/1Ul4RCpCX66NxYADU1QpwAPjOmBzW64SsT11s1wzXw_c/edit?usp=sharing"",""เลย!R273"")+IMPORTRANGE(""https://docs.google.com/spreadsheets/d/1bRrNKwbHDVktQG10isr5vbWRtt5spIZPpkOSWgbT5ug/edit?usp=sharing"",""ศรีสะเกษ!R273"")+IMPORTRANGE(""https://doc"&amp;"s.google.com/spreadsheets/d/17P34_Ow5kFBfdQD0qspb2UuPX5zpi6WMrQzslghyvrI/edit?usp=sharing"",""สกลนคร!R273"")+IMPORTRANGE(""https://docs.google.com/spreadsheets/d/1yswqbM3-AEpThF3ZSUa1AcmHnmRTF1vlJ1CZGcJ8YuU/edit?usp=sharing"",""สุรินทร์!R273"")+IMPORTRANG"&amp;"E(""https://docs.google.com/spreadsheets/d/13JHU_EFbsQOUQ0JSQ3dWy1VTRosIWcDq6Nc99z2qzdc/edit?usp=sharing"",""หนองคาย!R273"")+IMPORTRANGE(""https://docs.google.com/spreadsheets/d/1Hx73zIEgVdDZZaYSTc46Dqv64atFhpr3GelxLbaIN8A/edit?usp=sharing"",""หนองบัวลำภู"&amp;"!R273"")+IMPORTRANGE(""https://docs.google.com/spreadsheets/d/1lFxr3ctmjFN90yc-xV6jrQ9Ty8BKYVBWnAZ15wcNIJc/edit?usp=sharing"",""อำนาจเจริญ!R273"")+IMPORTRANGE(""https://docs.google.com/spreadsheets/d/1gF7RJpRnL-1oyjyeWxs5SFWEH7y8ahOZsQlyp2A2e-A/edit?usp=s"&amp;"haring"",""อุดรธานี!R273"")+IMPORTRANGE(""https://docs.google.com/spreadsheets/d/1kfLP0j3INXRa8bTDpcEmoWewMBV61jlFlfzczfjWIgc/edit?usp=sharing"",""อุบลราชธานี!R273"")"),0)</f>
        <v>0</v>
      </c>
      <c r="S273" s="57">
        <f ca="1">IFERROR(__xludf.DUMMYFUNCTION("IMPORTRANGE(""https://docs.google.com/spreadsheets/d/1yhBcrRPreicbMKl9Bu_Snb2-OcQAF62RKfhTLhJ2eAA/edit?usp=sharing"",""กาฬสินธุ์!S273"")+IMPORTRANGE(""https://docs.google.com/spreadsheets/d/1aHkj4IaQMThhwWwevcOymEh837vdxeC_PycurhTbGFA/edit?usp=sharing"","&amp;"""ขอนแก่น!S273"")+IMPORTRANGE(""https://docs.google.com/spreadsheets/d/1FvTu2DsIWUjP6WCWra38Bkj_oOl_sOMf14r5Fg5srxU/edit?usp=sharing"",""ชัยภูมิ!S273"")+IMPORTRANGE(""https://docs.google.com/spreadsheets/d/1XVB7oCJ3pr-vBUdflwPQ8Z2LlzhnCvZaaYjAfP-647E/edit"&amp;"?usp=sharing"",""นครพนม!S273"")+IMPORTRANGE(""https://docs.google.com/spreadsheets/d/1Mnpb-8PYAgn85W6KOTD40hc_Xc55CaLfHoGAbrZ8tls/edit?usp=sharing"",""นครราชสีมา!S273"")+IMPORTRANGE(""https://docs.google.com/spreadsheets/d/1xoDLGBv9CYbyosIhki0kTq6IpYNj-gp"&amp;"jxfobnaDiut0/edit?usp=sharing"",""บึงกาฬ!S273"")+IMPORTRANGE(""https://docs.google.com/spreadsheets/d/1MMPq-JyI6DSgQETxuSiXkesP-P7JHuemnE6QJIa-Nlw/edit?usp=sharing"",""บุรีรัมย์!S273"")+IMPORTRANGE(""https://docs.google.com/spreadsheets/d/1l6IZ8xUPgMrESzc"&amp;"TYwhA1k_tPjeQjJPTqlm8Gd9eU5g/edit?usp=sharing"",""มหาสารคาม!S273"")+IMPORTRANGE(""https://docs.google.com/spreadsheets/d/1uB74YLqNjWX6FObjekfB2NtSYigTQyR2rq9u4Ub2Sq4/edit?usp=sharing"",""มุกดาหาร!S273"")+IMPORTRANGE(""https://docs.google.com/spreadsheets/"&amp;"d/1NexK3geCPxCTO1fzNF8dPec7yZyUx3OaWkFBC9HsQOo/edit?usp=sharing"",""ยโสธร!S273"")+IMPORTRANGE(""https://docs.google.com/spreadsheets/d/1v_cJrbBlyqmnHPReHk44g9NrMRdENNlSy_E_c5M9fIg/edit?usp=sharing"",""ร้อยเอ็ด!S273"")+IMPORTRANGE(""https://docs.google.com"&amp;"/spreadsheets/d/1Ul4RCpCX66NxYADU1QpwAPjOmBzW64SsT11s1wzXw_c/edit?usp=sharing"",""เลย!S273"")+IMPORTRANGE(""https://docs.google.com/spreadsheets/d/1bRrNKwbHDVktQG10isr5vbWRtt5spIZPpkOSWgbT5ug/edit?usp=sharing"",""ศรีสะเกษ!S273"")+IMPORTRANGE(""https://doc"&amp;"s.google.com/spreadsheets/d/17P34_Ow5kFBfdQD0qspb2UuPX5zpi6WMrQzslghyvrI/edit?usp=sharing"",""สกลนคร!S273"")+IMPORTRANGE(""https://docs.google.com/spreadsheets/d/1yswqbM3-AEpThF3ZSUa1AcmHnmRTF1vlJ1CZGcJ8YuU/edit?usp=sharing"",""สุรินทร์!S273"")+IMPORTRANG"&amp;"E(""https://docs.google.com/spreadsheets/d/13JHU_EFbsQOUQ0JSQ3dWy1VTRosIWcDq6Nc99z2qzdc/edit?usp=sharing"",""หนองคาย!S273"")+IMPORTRANGE(""https://docs.google.com/spreadsheets/d/1Hx73zIEgVdDZZaYSTc46Dqv64atFhpr3GelxLbaIN8A/edit?usp=sharing"",""หนองบัวลำภู"&amp;"!S273"")+IMPORTRANGE(""https://docs.google.com/spreadsheets/d/1lFxr3ctmjFN90yc-xV6jrQ9Ty8BKYVBWnAZ15wcNIJc/edit?usp=sharing"",""อำนาจเจริญ!S273"")+IMPORTRANGE(""https://docs.google.com/spreadsheets/d/1gF7RJpRnL-1oyjyeWxs5SFWEH7y8ahOZsQlyp2A2e-A/edit?usp=s"&amp;"haring"",""อุดรธานี!S273"")+IMPORTRANGE(""https://docs.google.com/spreadsheets/d/1kfLP0j3INXRa8bTDpcEmoWewMBV61jlFlfzczfjWIgc/edit?usp=sharing"",""อุบลราชธานี!S273"")"),0)</f>
        <v>0</v>
      </c>
      <c r="T273" s="59">
        <f t="shared" ca="1" si="192"/>
        <v>0</v>
      </c>
      <c r="U273" s="59">
        <f t="shared" ca="1" si="193"/>
        <v>0</v>
      </c>
    </row>
    <row r="274" spans="1:21" ht="18.75">
      <c r="A274" s="155"/>
      <c r="B274" s="50"/>
      <c r="C274" s="50"/>
      <c r="D274" s="50"/>
      <c r="E274" s="58" t="s">
        <v>21</v>
      </c>
      <c r="F274" s="50"/>
      <c r="G274" s="52"/>
      <c r="H274" s="165" t="s">
        <v>14</v>
      </c>
      <c r="I274" s="163"/>
      <c r="J274" s="163"/>
      <c r="K274" s="164"/>
      <c r="L274" s="56">
        <f ca="1">IFERROR(__xludf.DUMMYFUNCTION("IMPORTRANGE(""https://docs.google.com/spreadsheets/d/1yhBcrRPreicbMKl9Bu_Snb2-OcQAF62RKfhTLhJ2eAA/edit?usp=sharing"",""กาฬสินธุ์!L274"")+IMPORTRANGE(""https://docs.google.com/spreadsheets/d/1aHkj4IaQMThhwWwevcOymEh837vdxeC_PycurhTbGFA/edit?usp=sharing"","&amp;"""ขอนแก่น!L274"")+IMPORTRANGE(""https://docs.google.com/spreadsheets/d/1FvTu2DsIWUjP6WCWra38Bkj_oOl_sOMf14r5Fg5srxU/edit?usp=sharing"",""ชัยภูมิ!L274"")+IMPORTRANGE(""https://docs.google.com/spreadsheets/d/1XVB7oCJ3pr-vBUdflwPQ8Z2LlzhnCvZaaYjAfP-647E/edit"&amp;"?usp=sharing"",""นครพนม!L274"")+IMPORTRANGE(""https://docs.google.com/spreadsheets/d/1Mnpb-8PYAgn85W6KOTD40hc_Xc55CaLfHoGAbrZ8tls/edit?usp=sharing"",""นครราชสีมา!L274"")+IMPORTRANGE(""https://docs.google.com/spreadsheets/d/1xoDLGBv9CYbyosIhki0kTq6IpYNj-gp"&amp;"jxfobnaDiut0/edit?usp=sharing"",""บึงกาฬ!L274"")+IMPORTRANGE(""https://docs.google.com/spreadsheets/d/1MMPq-JyI6DSgQETxuSiXkesP-P7JHuemnE6QJIa-Nlw/edit?usp=sharing"",""บุรีรัมย์!L274"")+IMPORTRANGE(""https://docs.google.com/spreadsheets/d/1l6IZ8xUPgMrESzc"&amp;"TYwhA1k_tPjeQjJPTqlm8Gd9eU5g/edit?usp=sharing"",""มหาสารคาม!L274"")+IMPORTRANGE(""https://docs.google.com/spreadsheets/d/1uB74YLqNjWX6FObjekfB2NtSYigTQyR2rq9u4Ub2Sq4/edit?usp=sharing"",""มุกดาหาร!L274"")+IMPORTRANGE(""https://docs.google.com/spreadsheets/"&amp;"d/1NexK3geCPxCTO1fzNF8dPec7yZyUx3OaWkFBC9HsQOo/edit?usp=sharing"",""ยโสธร!L274"")+IMPORTRANGE(""https://docs.google.com/spreadsheets/d/1v_cJrbBlyqmnHPReHk44g9NrMRdENNlSy_E_c5M9fIg/edit?usp=sharing"",""ร้อยเอ็ด!L274"")+IMPORTRANGE(""https://docs.google.com"&amp;"/spreadsheets/d/1Ul4RCpCX66NxYADU1QpwAPjOmBzW64SsT11s1wzXw_c/edit?usp=sharing"",""เลย!L274"")+IMPORTRANGE(""https://docs.google.com/spreadsheets/d/1bRrNKwbHDVktQG10isr5vbWRtt5spIZPpkOSWgbT5ug/edit?usp=sharing"",""ศรีสะเกษ!L274"")+IMPORTRANGE(""https://doc"&amp;"s.google.com/spreadsheets/d/17P34_Ow5kFBfdQD0qspb2UuPX5zpi6WMrQzslghyvrI/edit?usp=sharing"",""สกลนคร!L274"")+IMPORTRANGE(""https://docs.google.com/spreadsheets/d/1yswqbM3-AEpThF3ZSUa1AcmHnmRTF1vlJ1CZGcJ8YuU/edit?usp=sharing"",""สุรินทร์!L274"")+IMPORTRANG"&amp;"E(""https://docs.google.com/spreadsheets/d/13JHU_EFbsQOUQ0JSQ3dWy1VTRosIWcDq6Nc99z2qzdc/edit?usp=sharing"",""หนองคาย!L274"")+IMPORTRANGE(""https://docs.google.com/spreadsheets/d/1Hx73zIEgVdDZZaYSTc46Dqv64atFhpr3GelxLbaIN8A/edit?usp=sharing"",""หนองบัวลำภู"&amp;"!L274"")+IMPORTRANGE(""https://docs.google.com/spreadsheets/d/1lFxr3ctmjFN90yc-xV6jrQ9Ty8BKYVBWnAZ15wcNIJc/edit?usp=sharing"",""อำนาจเจริญ!L274"")+IMPORTRANGE(""https://docs.google.com/spreadsheets/d/1gF7RJpRnL-1oyjyeWxs5SFWEH7y8ahOZsQlyp2A2e-A/edit?usp=s"&amp;"haring"",""อุดรธานี!L274"")+IMPORTRANGE(""https://docs.google.com/spreadsheets/d/1kfLP0j3INXRa8bTDpcEmoWewMBV61jlFlfzczfjWIgc/edit?usp=sharing"",""อุบลราชธานี!L274"")"),0)</f>
        <v>0</v>
      </c>
      <c r="M274" s="56">
        <f ca="1">IFERROR(__xludf.DUMMYFUNCTION("IMPORTRANGE(""https://docs.google.com/spreadsheets/d/1yhBcrRPreicbMKl9Bu_Snb2-OcQAF62RKfhTLhJ2eAA/edit?usp=sharing"",""กาฬสินธุ์!M274"")+IMPORTRANGE(""https://docs.google.com/spreadsheets/d/1aHkj4IaQMThhwWwevcOymEh837vdxeC_PycurhTbGFA/edit?usp=sharing"","&amp;"""ขอนแก่น!M274"")+IMPORTRANGE(""https://docs.google.com/spreadsheets/d/1FvTu2DsIWUjP6WCWra38Bkj_oOl_sOMf14r5Fg5srxU/edit?usp=sharing"",""ชัยภูมิ!M274"")+IMPORTRANGE(""https://docs.google.com/spreadsheets/d/1XVB7oCJ3pr-vBUdflwPQ8Z2LlzhnCvZaaYjAfP-647E/edit"&amp;"?usp=sharing"",""นครพนม!M274"")+IMPORTRANGE(""https://docs.google.com/spreadsheets/d/1Mnpb-8PYAgn85W6KOTD40hc_Xc55CaLfHoGAbrZ8tls/edit?usp=sharing"",""นครราชสีมา!M274"")+IMPORTRANGE(""https://docs.google.com/spreadsheets/d/1xoDLGBv9CYbyosIhki0kTq6IpYNj-gp"&amp;"jxfobnaDiut0/edit?usp=sharing"",""บึงกาฬ!M274"")+IMPORTRANGE(""https://docs.google.com/spreadsheets/d/1MMPq-JyI6DSgQETxuSiXkesP-P7JHuemnE6QJIa-Nlw/edit?usp=sharing"",""บุรีรัมย์!M274"")+IMPORTRANGE(""https://docs.google.com/spreadsheets/d/1l6IZ8xUPgMrESzc"&amp;"TYwhA1k_tPjeQjJPTqlm8Gd9eU5g/edit?usp=sharing"",""มหาสารคาม!M274"")+IMPORTRANGE(""https://docs.google.com/spreadsheets/d/1uB74YLqNjWX6FObjekfB2NtSYigTQyR2rq9u4Ub2Sq4/edit?usp=sharing"",""มุกดาหาร!M274"")+IMPORTRANGE(""https://docs.google.com/spreadsheets/"&amp;"d/1NexK3geCPxCTO1fzNF8dPec7yZyUx3OaWkFBC9HsQOo/edit?usp=sharing"",""ยโสธร!M274"")+IMPORTRANGE(""https://docs.google.com/spreadsheets/d/1v_cJrbBlyqmnHPReHk44g9NrMRdENNlSy_E_c5M9fIg/edit?usp=sharing"",""ร้อยเอ็ด!M274"")+IMPORTRANGE(""https://docs.google.com"&amp;"/spreadsheets/d/1Ul4RCpCX66NxYADU1QpwAPjOmBzW64SsT11s1wzXw_c/edit?usp=sharing"",""เลย!M274"")+IMPORTRANGE(""https://docs.google.com/spreadsheets/d/1bRrNKwbHDVktQG10isr5vbWRtt5spIZPpkOSWgbT5ug/edit?usp=sharing"",""ศรีสะเกษ!M274"")+IMPORTRANGE(""https://doc"&amp;"s.google.com/spreadsheets/d/17P34_Ow5kFBfdQD0qspb2UuPX5zpi6WMrQzslghyvrI/edit?usp=sharing"",""สกลนคร!M274"")+IMPORTRANGE(""https://docs.google.com/spreadsheets/d/1yswqbM3-AEpThF3ZSUa1AcmHnmRTF1vlJ1CZGcJ8YuU/edit?usp=sharing"",""สุรินทร์!M274"")+IMPORTRANG"&amp;"E(""https://docs.google.com/spreadsheets/d/13JHU_EFbsQOUQ0JSQ3dWy1VTRosIWcDq6Nc99z2qzdc/edit?usp=sharing"",""หนองคาย!M274"")+IMPORTRANGE(""https://docs.google.com/spreadsheets/d/1Hx73zIEgVdDZZaYSTc46Dqv64atFhpr3GelxLbaIN8A/edit?usp=sharing"",""หนองบัวลำภู"&amp;"!M274"")+IMPORTRANGE(""https://docs.google.com/spreadsheets/d/1lFxr3ctmjFN90yc-xV6jrQ9Ty8BKYVBWnAZ15wcNIJc/edit?usp=sharing"",""อำนาจเจริญ!M274"")+IMPORTRANGE(""https://docs.google.com/spreadsheets/d/1gF7RJpRnL-1oyjyeWxs5SFWEH7y8ahOZsQlyp2A2e-A/edit?usp=s"&amp;"haring"",""อุดรธานี!M274"")+IMPORTRANGE(""https://docs.google.com/spreadsheets/d/1kfLP0j3INXRa8bTDpcEmoWewMBV61jlFlfzczfjWIgc/edit?usp=sharing"",""อุบลราชธานี!M274"")"),0)</f>
        <v>0</v>
      </c>
      <c r="N274" s="56">
        <f ca="1">IFERROR(__xludf.DUMMYFUNCTION("IMPORTRANGE(""https://docs.google.com/spreadsheets/d/1yhBcrRPreicbMKl9Bu_Snb2-OcQAF62RKfhTLhJ2eAA/edit?usp=sharing"",""กาฬสินธุ์!N274"")+IMPORTRANGE(""https://docs.google.com/spreadsheets/d/1aHkj4IaQMThhwWwevcOymEh837vdxeC_PycurhTbGFA/edit?usp=sharing"","&amp;"""ขอนแก่น!N274"")+IMPORTRANGE(""https://docs.google.com/spreadsheets/d/1FvTu2DsIWUjP6WCWra38Bkj_oOl_sOMf14r5Fg5srxU/edit?usp=sharing"",""ชัยภูมิ!N274"")+IMPORTRANGE(""https://docs.google.com/spreadsheets/d/1XVB7oCJ3pr-vBUdflwPQ8Z2LlzhnCvZaaYjAfP-647E/edit"&amp;"?usp=sharing"",""นครพนม!N274"")+IMPORTRANGE(""https://docs.google.com/spreadsheets/d/1Mnpb-8PYAgn85W6KOTD40hc_Xc55CaLfHoGAbrZ8tls/edit?usp=sharing"",""นครราชสีมา!N274"")+IMPORTRANGE(""https://docs.google.com/spreadsheets/d/1xoDLGBv9CYbyosIhki0kTq6IpYNj-gp"&amp;"jxfobnaDiut0/edit?usp=sharing"",""บึงกาฬ!N274"")+IMPORTRANGE(""https://docs.google.com/spreadsheets/d/1MMPq-JyI6DSgQETxuSiXkesP-P7JHuemnE6QJIa-Nlw/edit?usp=sharing"",""บุรีรัมย์!N274"")+IMPORTRANGE(""https://docs.google.com/spreadsheets/d/1l6IZ8xUPgMrESzc"&amp;"TYwhA1k_tPjeQjJPTqlm8Gd9eU5g/edit?usp=sharing"",""มหาสารคาม!N274"")+IMPORTRANGE(""https://docs.google.com/spreadsheets/d/1uB74YLqNjWX6FObjekfB2NtSYigTQyR2rq9u4Ub2Sq4/edit?usp=sharing"",""มุกดาหาร!N274"")+IMPORTRANGE(""https://docs.google.com/spreadsheets/"&amp;"d/1NexK3geCPxCTO1fzNF8dPec7yZyUx3OaWkFBC9HsQOo/edit?usp=sharing"",""ยโสธร!N274"")+IMPORTRANGE(""https://docs.google.com/spreadsheets/d/1v_cJrbBlyqmnHPReHk44g9NrMRdENNlSy_E_c5M9fIg/edit?usp=sharing"",""ร้อยเอ็ด!N274"")+IMPORTRANGE(""https://docs.google.com"&amp;"/spreadsheets/d/1Ul4RCpCX66NxYADU1QpwAPjOmBzW64SsT11s1wzXw_c/edit?usp=sharing"",""เลย!N274"")+IMPORTRANGE(""https://docs.google.com/spreadsheets/d/1bRrNKwbHDVktQG10isr5vbWRtt5spIZPpkOSWgbT5ug/edit?usp=sharing"",""ศรีสะเกษ!N274"")+IMPORTRANGE(""https://doc"&amp;"s.google.com/spreadsheets/d/17P34_Ow5kFBfdQD0qspb2UuPX5zpi6WMrQzslghyvrI/edit?usp=sharing"",""สกลนคร!N274"")+IMPORTRANGE(""https://docs.google.com/spreadsheets/d/1yswqbM3-AEpThF3ZSUa1AcmHnmRTF1vlJ1CZGcJ8YuU/edit?usp=sharing"",""สุรินทร์!N274"")+IMPORTRANG"&amp;"E(""https://docs.google.com/spreadsheets/d/13JHU_EFbsQOUQ0JSQ3dWy1VTRosIWcDq6Nc99z2qzdc/edit?usp=sharing"",""หนองคาย!N274"")+IMPORTRANGE(""https://docs.google.com/spreadsheets/d/1Hx73zIEgVdDZZaYSTc46Dqv64atFhpr3GelxLbaIN8A/edit?usp=sharing"",""หนองบัวลำภู"&amp;"!N274"")+IMPORTRANGE(""https://docs.google.com/spreadsheets/d/1lFxr3ctmjFN90yc-xV6jrQ9Ty8BKYVBWnAZ15wcNIJc/edit?usp=sharing"",""อำนาจเจริญ!N274"")+IMPORTRANGE(""https://docs.google.com/spreadsheets/d/1gF7RJpRnL-1oyjyeWxs5SFWEH7y8ahOZsQlyp2A2e-A/edit?usp=s"&amp;"haring"",""อุดรธานี!N274"")+IMPORTRANGE(""https://docs.google.com/spreadsheets/d/1kfLP0j3INXRa8bTDpcEmoWewMBV61jlFlfzczfjWIgc/edit?usp=sharing"",""อุบลราชธานี!N274"")"),0)</f>
        <v>0</v>
      </c>
      <c r="O274" s="56">
        <f t="shared" ca="1" si="189"/>
        <v>0</v>
      </c>
      <c r="P274" s="56">
        <f t="shared" ca="1" si="190"/>
        <v>0</v>
      </c>
      <c r="Q274" s="56">
        <f ca="1">IFERROR(__xludf.DUMMYFUNCTION("IMPORTRANGE(""https://docs.google.com/spreadsheets/d/1yhBcrRPreicbMKl9Bu_Snb2-OcQAF62RKfhTLhJ2eAA/edit?usp=sharing"",""กาฬสินธุ์!Q274"")+IMPORTRANGE(""https://docs.google.com/spreadsheets/d/1aHkj4IaQMThhwWwevcOymEh837vdxeC_PycurhTbGFA/edit?usp=sharing"","&amp;"""ขอนแก่น!Q274"")+IMPORTRANGE(""https://docs.google.com/spreadsheets/d/1FvTu2DsIWUjP6WCWra38Bkj_oOl_sOMf14r5Fg5srxU/edit?usp=sharing"",""ชัยภูมิ!Q274"")+IMPORTRANGE(""https://docs.google.com/spreadsheets/d/1XVB7oCJ3pr-vBUdflwPQ8Z2LlzhnCvZaaYjAfP-647E/edit"&amp;"?usp=sharing"",""นครพนม!Q274"")+IMPORTRANGE(""https://docs.google.com/spreadsheets/d/1Mnpb-8PYAgn85W6KOTD40hc_Xc55CaLfHoGAbrZ8tls/edit?usp=sharing"",""นครราชสีมา!Q274"")+IMPORTRANGE(""https://docs.google.com/spreadsheets/d/1xoDLGBv9CYbyosIhki0kTq6IpYNj-gp"&amp;"jxfobnaDiut0/edit?usp=sharing"",""บึงกาฬ!Q274"")+IMPORTRANGE(""https://docs.google.com/spreadsheets/d/1MMPq-JyI6DSgQETxuSiXkesP-P7JHuemnE6QJIa-Nlw/edit?usp=sharing"",""บุรีรัมย์!Q274"")+IMPORTRANGE(""https://docs.google.com/spreadsheets/d/1l6IZ8xUPgMrESzc"&amp;"TYwhA1k_tPjeQjJPTqlm8Gd9eU5g/edit?usp=sharing"",""มหาสารคาม!Q274"")+IMPORTRANGE(""https://docs.google.com/spreadsheets/d/1uB74YLqNjWX6FObjekfB2NtSYigTQyR2rq9u4Ub2Sq4/edit?usp=sharing"",""มุกดาหาร!Q274"")+IMPORTRANGE(""https://docs.google.com/spreadsheets/"&amp;"d/1NexK3geCPxCTO1fzNF8dPec7yZyUx3OaWkFBC9HsQOo/edit?usp=sharing"",""ยโสธร!Q274"")+IMPORTRANGE(""https://docs.google.com/spreadsheets/d/1v_cJrbBlyqmnHPReHk44g9NrMRdENNlSy_E_c5M9fIg/edit?usp=sharing"",""ร้อยเอ็ด!Q274"")+IMPORTRANGE(""https://docs.google.com"&amp;"/spreadsheets/d/1Ul4RCpCX66NxYADU1QpwAPjOmBzW64SsT11s1wzXw_c/edit?usp=sharing"",""เลย!Q274"")+IMPORTRANGE(""https://docs.google.com/spreadsheets/d/1bRrNKwbHDVktQG10isr5vbWRtt5spIZPpkOSWgbT5ug/edit?usp=sharing"",""ศรีสะเกษ!Q274"")+IMPORTRANGE(""https://doc"&amp;"s.google.com/spreadsheets/d/17P34_Ow5kFBfdQD0qspb2UuPX5zpi6WMrQzslghyvrI/edit?usp=sharing"",""สกลนคร!Q274"")+IMPORTRANGE(""https://docs.google.com/spreadsheets/d/1yswqbM3-AEpThF3ZSUa1AcmHnmRTF1vlJ1CZGcJ8YuU/edit?usp=sharing"",""สุรินทร์!Q274"")+IMPORTRANG"&amp;"E(""https://docs.google.com/spreadsheets/d/13JHU_EFbsQOUQ0JSQ3dWy1VTRosIWcDq6Nc99z2qzdc/edit?usp=sharing"",""หนองคาย!Q274"")+IMPORTRANGE(""https://docs.google.com/spreadsheets/d/1Hx73zIEgVdDZZaYSTc46Dqv64atFhpr3GelxLbaIN8A/edit?usp=sharing"",""หนองบัวลำภู"&amp;"!Q274"")+IMPORTRANGE(""https://docs.google.com/spreadsheets/d/1lFxr3ctmjFN90yc-xV6jrQ9Ty8BKYVBWnAZ15wcNIJc/edit?usp=sharing"",""อำนาจเจริญ!Q274"")+IMPORTRANGE(""https://docs.google.com/spreadsheets/d/1gF7RJpRnL-1oyjyeWxs5SFWEH7y8ahOZsQlyp2A2e-A/edit?usp=s"&amp;"haring"",""อุดรธานี!Q274"")+IMPORTRANGE(""https://docs.google.com/spreadsheets/d/1kfLP0j3INXRa8bTDpcEmoWewMBV61jlFlfzczfjWIgc/edit?usp=sharing"",""อุบลราชธานี!Q274"")"),0)</f>
        <v>0</v>
      </c>
      <c r="R274" s="56">
        <f ca="1">IFERROR(__xludf.DUMMYFUNCTION("IMPORTRANGE(""https://docs.google.com/spreadsheets/d/1yhBcrRPreicbMKl9Bu_Snb2-OcQAF62RKfhTLhJ2eAA/edit?usp=sharing"",""กาฬสินธุ์!R274"")+IMPORTRANGE(""https://docs.google.com/spreadsheets/d/1aHkj4IaQMThhwWwevcOymEh837vdxeC_PycurhTbGFA/edit?usp=sharing"","&amp;"""ขอนแก่น!R274"")+IMPORTRANGE(""https://docs.google.com/spreadsheets/d/1FvTu2DsIWUjP6WCWra38Bkj_oOl_sOMf14r5Fg5srxU/edit?usp=sharing"",""ชัยภูมิ!R274"")+IMPORTRANGE(""https://docs.google.com/spreadsheets/d/1XVB7oCJ3pr-vBUdflwPQ8Z2LlzhnCvZaaYjAfP-647E/edit"&amp;"?usp=sharing"",""นครพนม!R274"")+IMPORTRANGE(""https://docs.google.com/spreadsheets/d/1Mnpb-8PYAgn85W6KOTD40hc_Xc55CaLfHoGAbrZ8tls/edit?usp=sharing"",""นครราชสีมา!R274"")+IMPORTRANGE(""https://docs.google.com/spreadsheets/d/1xoDLGBv9CYbyosIhki0kTq6IpYNj-gp"&amp;"jxfobnaDiut0/edit?usp=sharing"",""บึงกาฬ!R274"")+IMPORTRANGE(""https://docs.google.com/spreadsheets/d/1MMPq-JyI6DSgQETxuSiXkesP-P7JHuemnE6QJIa-Nlw/edit?usp=sharing"",""บุรีรัมย์!R274"")+IMPORTRANGE(""https://docs.google.com/spreadsheets/d/1l6IZ8xUPgMrESzc"&amp;"TYwhA1k_tPjeQjJPTqlm8Gd9eU5g/edit?usp=sharing"",""มหาสารคาม!R274"")+IMPORTRANGE(""https://docs.google.com/spreadsheets/d/1uB74YLqNjWX6FObjekfB2NtSYigTQyR2rq9u4Ub2Sq4/edit?usp=sharing"",""มุกดาหาร!R274"")+IMPORTRANGE(""https://docs.google.com/spreadsheets/"&amp;"d/1NexK3geCPxCTO1fzNF8dPec7yZyUx3OaWkFBC9HsQOo/edit?usp=sharing"",""ยโสธร!R274"")+IMPORTRANGE(""https://docs.google.com/spreadsheets/d/1v_cJrbBlyqmnHPReHk44g9NrMRdENNlSy_E_c5M9fIg/edit?usp=sharing"",""ร้อยเอ็ด!R274"")+IMPORTRANGE(""https://docs.google.com"&amp;"/spreadsheets/d/1Ul4RCpCX66NxYADU1QpwAPjOmBzW64SsT11s1wzXw_c/edit?usp=sharing"",""เลย!R274"")+IMPORTRANGE(""https://docs.google.com/spreadsheets/d/1bRrNKwbHDVktQG10isr5vbWRtt5spIZPpkOSWgbT5ug/edit?usp=sharing"",""ศรีสะเกษ!R274"")+IMPORTRANGE(""https://doc"&amp;"s.google.com/spreadsheets/d/17P34_Ow5kFBfdQD0qspb2UuPX5zpi6WMrQzslghyvrI/edit?usp=sharing"",""สกลนคร!R274"")+IMPORTRANGE(""https://docs.google.com/spreadsheets/d/1yswqbM3-AEpThF3ZSUa1AcmHnmRTF1vlJ1CZGcJ8YuU/edit?usp=sharing"",""สุรินทร์!R274"")+IMPORTRANG"&amp;"E(""https://docs.google.com/spreadsheets/d/13JHU_EFbsQOUQ0JSQ3dWy1VTRosIWcDq6Nc99z2qzdc/edit?usp=sharing"",""หนองคาย!R274"")+IMPORTRANGE(""https://docs.google.com/spreadsheets/d/1Hx73zIEgVdDZZaYSTc46Dqv64atFhpr3GelxLbaIN8A/edit?usp=sharing"",""หนองบัวลำภู"&amp;"!R274"")+IMPORTRANGE(""https://docs.google.com/spreadsheets/d/1lFxr3ctmjFN90yc-xV6jrQ9Ty8BKYVBWnAZ15wcNIJc/edit?usp=sharing"",""อำนาจเจริญ!R274"")+IMPORTRANGE(""https://docs.google.com/spreadsheets/d/1gF7RJpRnL-1oyjyeWxs5SFWEH7y8ahOZsQlyp2A2e-A/edit?usp=s"&amp;"haring"",""อุดรธานี!R274"")+IMPORTRANGE(""https://docs.google.com/spreadsheets/d/1kfLP0j3INXRa8bTDpcEmoWewMBV61jlFlfzczfjWIgc/edit?usp=sharing"",""อุบลราชธานี!R274"")"),0)</f>
        <v>0</v>
      </c>
      <c r="S274" s="57">
        <f ca="1">IFERROR(__xludf.DUMMYFUNCTION("IMPORTRANGE(""https://docs.google.com/spreadsheets/d/1yhBcrRPreicbMKl9Bu_Snb2-OcQAF62RKfhTLhJ2eAA/edit?usp=sharing"",""กาฬสินธุ์!S274"")+IMPORTRANGE(""https://docs.google.com/spreadsheets/d/1aHkj4IaQMThhwWwevcOymEh837vdxeC_PycurhTbGFA/edit?usp=sharing"","&amp;"""ขอนแก่น!S274"")+IMPORTRANGE(""https://docs.google.com/spreadsheets/d/1FvTu2DsIWUjP6WCWra38Bkj_oOl_sOMf14r5Fg5srxU/edit?usp=sharing"",""ชัยภูมิ!S274"")+IMPORTRANGE(""https://docs.google.com/spreadsheets/d/1XVB7oCJ3pr-vBUdflwPQ8Z2LlzhnCvZaaYjAfP-647E/edit"&amp;"?usp=sharing"",""นครพนม!S274"")+IMPORTRANGE(""https://docs.google.com/spreadsheets/d/1Mnpb-8PYAgn85W6KOTD40hc_Xc55CaLfHoGAbrZ8tls/edit?usp=sharing"",""นครราชสีมา!S274"")+IMPORTRANGE(""https://docs.google.com/spreadsheets/d/1xoDLGBv9CYbyosIhki0kTq6IpYNj-gp"&amp;"jxfobnaDiut0/edit?usp=sharing"",""บึงกาฬ!S274"")+IMPORTRANGE(""https://docs.google.com/spreadsheets/d/1MMPq-JyI6DSgQETxuSiXkesP-P7JHuemnE6QJIa-Nlw/edit?usp=sharing"",""บุรีรัมย์!S274"")+IMPORTRANGE(""https://docs.google.com/spreadsheets/d/1l6IZ8xUPgMrESzc"&amp;"TYwhA1k_tPjeQjJPTqlm8Gd9eU5g/edit?usp=sharing"",""มหาสารคาม!S274"")+IMPORTRANGE(""https://docs.google.com/spreadsheets/d/1uB74YLqNjWX6FObjekfB2NtSYigTQyR2rq9u4Ub2Sq4/edit?usp=sharing"",""มุกดาหาร!S274"")+IMPORTRANGE(""https://docs.google.com/spreadsheets/"&amp;"d/1NexK3geCPxCTO1fzNF8dPec7yZyUx3OaWkFBC9HsQOo/edit?usp=sharing"",""ยโสธร!S274"")+IMPORTRANGE(""https://docs.google.com/spreadsheets/d/1v_cJrbBlyqmnHPReHk44g9NrMRdENNlSy_E_c5M9fIg/edit?usp=sharing"",""ร้อยเอ็ด!S274"")+IMPORTRANGE(""https://docs.google.com"&amp;"/spreadsheets/d/1Ul4RCpCX66NxYADU1QpwAPjOmBzW64SsT11s1wzXw_c/edit?usp=sharing"",""เลย!S274"")+IMPORTRANGE(""https://docs.google.com/spreadsheets/d/1bRrNKwbHDVktQG10isr5vbWRtt5spIZPpkOSWgbT5ug/edit?usp=sharing"",""ศรีสะเกษ!S274"")+IMPORTRANGE(""https://doc"&amp;"s.google.com/spreadsheets/d/17P34_Ow5kFBfdQD0qspb2UuPX5zpi6WMrQzslghyvrI/edit?usp=sharing"",""สกลนคร!S274"")+IMPORTRANGE(""https://docs.google.com/spreadsheets/d/1yswqbM3-AEpThF3ZSUa1AcmHnmRTF1vlJ1CZGcJ8YuU/edit?usp=sharing"",""สุรินทร์!S274"")+IMPORTRANG"&amp;"E(""https://docs.google.com/spreadsheets/d/13JHU_EFbsQOUQ0JSQ3dWy1VTRosIWcDq6Nc99z2qzdc/edit?usp=sharing"",""หนองคาย!S274"")+IMPORTRANGE(""https://docs.google.com/spreadsheets/d/1Hx73zIEgVdDZZaYSTc46Dqv64atFhpr3GelxLbaIN8A/edit?usp=sharing"",""หนองบัวลำภู"&amp;"!S274"")+IMPORTRANGE(""https://docs.google.com/spreadsheets/d/1lFxr3ctmjFN90yc-xV6jrQ9Ty8BKYVBWnAZ15wcNIJc/edit?usp=sharing"",""อำนาจเจริญ!S274"")+IMPORTRANGE(""https://docs.google.com/spreadsheets/d/1gF7RJpRnL-1oyjyeWxs5SFWEH7y8ahOZsQlyp2A2e-A/edit?usp=s"&amp;"haring"",""อุดรธานี!S274"")+IMPORTRANGE(""https://docs.google.com/spreadsheets/d/1kfLP0j3INXRa8bTDpcEmoWewMBV61jlFlfzczfjWIgc/edit?usp=sharing"",""อุบลราชธานี!S274"")"),0)</f>
        <v>0</v>
      </c>
      <c r="T274" s="56">
        <f t="shared" ca="1" si="192"/>
        <v>0</v>
      </c>
      <c r="U274" s="56">
        <f t="shared" ca="1" si="193"/>
        <v>0</v>
      </c>
    </row>
    <row r="275" spans="1:21" ht="19.5">
      <c r="A275" s="166"/>
      <c r="B275" s="167"/>
      <c r="C275" s="58" t="s">
        <v>18</v>
      </c>
      <c r="D275" s="168" t="s">
        <v>38</v>
      </c>
      <c r="E275" s="169"/>
      <c r="F275" s="169"/>
      <c r="G275" s="170"/>
      <c r="H275" s="171"/>
      <c r="I275" s="163"/>
      <c r="J275" s="163"/>
      <c r="K275" s="164"/>
      <c r="L275" s="164"/>
      <c r="M275" s="164"/>
      <c r="N275" s="164"/>
      <c r="O275" s="164"/>
      <c r="P275" s="164"/>
      <c r="Q275" s="164"/>
      <c r="R275" s="164"/>
      <c r="S275" s="172"/>
      <c r="T275" s="164"/>
      <c r="U275" s="164"/>
    </row>
    <row r="276" spans="1:21" ht="18.75">
      <c r="A276" s="279"/>
      <c r="B276" s="188"/>
      <c r="C276" s="188"/>
      <c r="D276" s="280" t="s">
        <v>115</v>
      </c>
      <c r="E276" s="50"/>
      <c r="F276" s="50"/>
      <c r="G276" s="52"/>
      <c r="H276" s="161" t="s">
        <v>35</v>
      </c>
      <c r="I276" s="181">
        <f ca="1">IFERROR(__xludf.DUMMYFUNCTION("IMPORTRANGE(""https://docs.google.com/spreadsheets/d/1yhBcrRPreicbMKl9Bu_Snb2-OcQAF62RKfhTLhJ2eAA/edit?usp=sharing"",""กาฬสินธุ์!I276"")+IMPORTRANGE(""https://docs.google.com/spreadsheets/d/1aHkj4IaQMThhwWwevcOymEh837vdxeC_PycurhTbGFA/edit?usp=sharing"","&amp;"""ขอนแก่น!I276"")+IMPORTRANGE(""https://docs.google.com/spreadsheets/d/1FvTu2DsIWUjP6WCWra38Bkj_oOl_sOMf14r5Fg5srxU/edit?usp=sharing"",""ชัยภูมิ!I276"")+IMPORTRANGE(""https://docs.google.com/spreadsheets/d/1XVB7oCJ3pr-vBUdflwPQ8Z2LlzhnCvZaaYjAfP-647E/edit"&amp;"?usp=sharing"",""นครพนม!I276"")+IMPORTRANGE(""https://docs.google.com/spreadsheets/d/1Mnpb-8PYAgn85W6KOTD40hc_Xc55CaLfHoGAbrZ8tls/edit?usp=sharing"",""นครราชสีมา!I276"")+IMPORTRANGE(""https://docs.google.com/spreadsheets/d/1xoDLGBv9CYbyosIhki0kTq6IpYNj-gp"&amp;"jxfobnaDiut0/edit?usp=sharing"",""บึงกาฬ!I276"")+IMPORTRANGE(""https://docs.google.com/spreadsheets/d/1MMPq-JyI6DSgQETxuSiXkesP-P7JHuemnE6QJIa-Nlw/edit?usp=sharing"",""บุรีรัมย์!I276"")+IMPORTRANGE(""https://docs.google.com/spreadsheets/d/1l6IZ8xUPgMrESzc"&amp;"TYwhA1k_tPjeQjJPTqlm8Gd9eU5g/edit?usp=sharing"",""มหาสารคาม!I276"")+IMPORTRANGE(""https://docs.google.com/spreadsheets/d/1uB74YLqNjWX6FObjekfB2NtSYigTQyR2rq9u4Ub2Sq4/edit?usp=sharing"",""มุกดาหาร!I276"")+IMPORTRANGE(""https://docs.google.com/spreadsheets/"&amp;"d/1NexK3geCPxCTO1fzNF8dPec7yZyUx3OaWkFBC9HsQOo/edit?usp=sharing"",""ยโสธร!I276"")+IMPORTRANGE(""https://docs.google.com/spreadsheets/d/1v_cJrbBlyqmnHPReHk44g9NrMRdENNlSy_E_c5M9fIg/edit?usp=sharing"",""ร้อยเอ็ด!I276"")+IMPORTRANGE(""https://docs.google.com"&amp;"/spreadsheets/d/1Ul4RCpCX66NxYADU1QpwAPjOmBzW64SsT11s1wzXw_c/edit?usp=sharing"",""เลย!I276"")+IMPORTRANGE(""https://docs.google.com/spreadsheets/d/1bRrNKwbHDVktQG10isr5vbWRtt5spIZPpkOSWgbT5ug/edit?usp=sharing"",""ศรีสะเกษ!I276"")+IMPORTRANGE(""https://doc"&amp;"s.google.com/spreadsheets/d/17P34_Ow5kFBfdQD0qspb2UuPX5zpi6WMrQzslghyvrI/edit?usp=sharing"",""สกลนคร!I276"")+IMPORTRANGE(""https://docs.google.com/spreadsheets/d/1yswqbM3-AEpThF3ZSUa1AcmHnmRTF1vlJ1CZGcJ8YuU/edit?usp=sharing"",""สุรินทร์!I276"")+IMPORTRANG"&amp;"E(""https://docs.google.com/spreadsheets/d/13JHU_EFbsQOUQ0JSQ3dWy1VTRosIWcDq6Nc99z2qzdc/edit?usp=sharing"",""หนองคาย!I276"")+IMPORTRANGE(""https://docs.google.com/spreadsheets/d/1Hx73zIEgVdDZZaYSTc46Dqv64atFhpr3GelxLbaIN8A/edit?usp=sharing"",""หนองบัวลำภู"&amp;"!I276"")+IMPORTRANGE(""https://docs.google.com/spreadsheets/d/1lFxr3ctmjFN90yc-xV6jrQ9Ty8BKYVBWnAZ15wcNIJc/edit?usp=sharing"",""อำนาจเจริญ!I276"")+IMPORTRANGE(""https://docs.google.com/spreadsheets/d/1gF7RJpRnL-1oyjyeWxs5SFWEH7y8ahOZsQlyp2A2e-A/edit?usp=s"&amp;"haring"",""อุดรธานี!I276"")+IMPORTRANGE(""https://docs.google.com/spreadsheets/d/1kfLP0j3INXRa8bTDpcEmoWewMBV61jlFlfzczfjWIgc/edit?usp=sharing"",""อุบลราชธานี!I276"")"),464)</f>
        <v>464</v>
      </c>
      <c r="J276" s="181">
        <f ca="1">IFERROR(__xludf.DUMMYFUNCTION("IMPORTRANGE(""https://docs.google.com/spreadsheets/d/13wPX838HrBrQMCywv1BsuMkt4PEKTChp52zj44s2izQ/edit?usp=sharing"",""กาญจนบุรี!J276"")+IMPORTRANGE(""https://docs.google.com/spreadsheets/d/1ddFKvqj1W1NEiWytbGlB1zMx_ykJDVtmfEQ-6-lIUBA/edit?usp=sharing"","&amp;"""จันทบุรี!J276"")+IMPORTRANGE(""https://docs.google.com/spreadsheets/d/1T1PQvRODqOBZk8BRht_U031fIS1beLA0Ub2CEytj2q0/edit?usp=sharing"",""ฉะเชิงเทรา!J276"")+IMPORTRANGE(""https://docs.google.com/spreadsheets/d/11tr1B-Bhyr79v2bkwVh5h_fR-PStkgjlZtkrZpYurG0/"&amp;"edit?usp=sharing"",""ชลบุรี!J276"")+IMPORTRANGE(""https://docs.google.com/spreadsheets/d/1hh-FVnSX0vozXhGluamEcS54Dw9_zqW0N7qJUWgJ0Sw/edit?usp=sharing"",""ชัยนาท!J276"")+IMPORTRANGE(""https://docs.google.com/spreadsheets/d/1jkqa6GXxSacMcY1eN8AHjMNJ_7dDXMJ"&amp;"VRLDlaFSOdPM/edit?usp=sharing"",""ตราด!J276"")+IMPORTRANGE(""https://docs.google.com/spreadsheets/d/18hSgUJ3VwClqi_qtULmmW3cLr0oe3OKaSYoKzdpTsYQ/edit?usp=sharing"",""นครนายก!J276"")+IMPORTRANGE(""https://docs.google.com/spreadsheets/d/1YTZo6WM2dQ6Ix6FSdnL"&amp;"5P7uVnVKu40sxZu975tgG10E/edit?usp=sharing"",""นครปฐม!J276"")+IMPORTRANGE(""https://docs.google.com/spreadsheets/d/1OYoGg4WDg5RIzwGeB10padOxJF9E_Vljuvvct_M7RDo/edit?usp=sharing"",""ปทุมธานี!J276"")+IMPORTRANGE(""https://docs.google.com/spreadsheets/d/1GbCI"&amp;"E4D4wk9FUozzqk7SxfDMxDVBwVmI5zcaVUSzKAc/edit?usp=sharing"",""ประจวบคีรีขันธ์!J276"")+IMPORTRANGE(""https://docs.google.com/spreadsheets/d/1vVf6wykvW_lAyu7Yo9L4hUTqHqIeP_qcVuxCtosJEbg/edit?usp=sharing"",""ปราจีนบุรี!J276"")+IMPORTRANGE(""https://docs.googl"&amp;"e.com/spreadsheets/d/1BIDqLLg5jk3v59G8NlR8rk5xfQDKne0sAvZHSj7TI6I/edit?usp=sharing"",""พระนครศรีอยุธยา!J276"")+IMPORTRANGE(""https://docs.google.com/spreadsheets/d/1YXvxf8Yu6_rV4hTBrwMqAcAnv6DfhUxh5emyM3CJp_w/edit?usp=sharing"",""เพชรบุรี!J276"")+IMPORTRA"&amp;"NGE(""https://docs.google.com/spreadsheets/d/19KBlQQs7uwvsao6t2n-KvW3Ax8J8uRRfZPq1zPbXgKc/edit?usp=sharing"",""ระยอง!J276"")+IMPORTRANGE(""https://docs.google.com/spreadsheets/d/1jQ6P4QcrGM89YfqcC_PxOHGCMq5ezhucwJd8ci-NHng/edit?usp=sharing"",""ราชบุรี!J27"&amp;"6"")+IMPORTRANGE(""https://docs.google.com/spreadsheets/d/1lufeA2cfFqM-elVq2hznhDzC6Pr7wkJ9ZG_sYNGCMCU/edit?usp=sharing"",""ลพบุรี!J276"")+IMPORTRANGE(""https://docs.google.com/spreadsheets/d/10oOiF7loTyfsTkbd4MpaIm0HQ9SwB7IYHdIUvt-U1Uc/edit?usp=sharing"""&amp;",""สระแก้ว!J276"")+IMPORTRANGE(""https://docs.google.com/spreadsheets/d/1xmPlrr1QbdSIKvl1dWUl9K4PjAfSL9oeMr_37QVzcxc/edit?usp=sharing"",""สระบุรี!J276"")+IMPORTRANGE(""https://docs.google.com/spreadsheets/d/1j51vR6CYVGhABJpv6tkstgok82RLpXieLzW1yOY5rHw/edi"&amp;"t?usp=sharing"",""สิงห์บุรี!J276"")+IMPORTRANGE(""https://docs.google.com/spreadsheets/d/1H1EalTWKUSzO4Z1-1CwzoDUaVffgrThEBe2sl74kKG0/edit?usp=sharing"",""สุพรรณบุรี!J276"")+IMPORTRANGE(""https://docs.google.com/spreadsheets/d/1BmIruG_sIrJLYao_Pdr7zVArWsf"&amp;"oBt2692TMi6x_854/edit?usp=sharing"",""อ่างทอง!J276"")"),126)</f>
        <v>126</v>
      </c>
      <c r="K276" s="56">
        <f ca="1">IF(I276&gt;0,J276*100/I276,0)</f>
        <v>27.155172413793103</v>
      </c>
      <c r="L276" s="55"/>
      <c r="M276" s="55"/>
      <c r="N276" s="55"/>
      <c r="O276" s="55"/>
      <c r="P276" s="55"/>
      <c r="Q276" s="55"/>
      <c r="R276" s="55"/>
      <c r="S276" s="62"/>
      <c r="T276" s="55"/>
      <c r="U276" s="55"/>
    </row>
    <row r="277" spans="1:21" ht="18.75">
      <c r="A277" s="281"/>
      <c r="B277" s="282"/>
      <c r="C277" s="282"/>
      <c r="D277" s="283" t="s">
        <v>116</v>
      </c>
      <c r="E277" s="2"/>
      <c r="F277" s="2"/>
      <c r="G277" s="284"/>
      <c r="H277" s="66" t="s">
        <v>35</v>
      </c>
      <c r="I277" s="216">
        <v>0</v>
      </c>
      <c r="J277" s="216">
        <v>0</v>
      </c>
      <c r="K277" s="285">
        <v>0</v>
      </c>
      <c r="L277" s="286"/>
      <c r="M277" s="286"/>
      <c r="N277" s="286"/>
      <c r="O277" s="286"/>
      <c r="P277" s="286"/>
      <c r="Q277" s="286"/>
      <c r="R277" s="286"/>
      <c r="S277" s="287"/>
      <c r="T277" s="286"/>
      <c r="U277" s="286"/>
    </row>
    <row r="278" spans="1:21" ht="19.5">
      <c r="A278" s="288" t="s">
        <v>117</v>
      </c>
      <c r="B278" s="289"/>
      <c r="C278" s="289"/>
      <c r="D278" s="289"/>
      <c r="E278" s="290"/>
      <c r="F278" s="290"/>
      <c r="G278" s="290"/>
      <c r="H278" s="290"/>
      <c r="I278" s="291"/>
      <c r="J278" s="291"/>
      <c r="K278" s="292"/>
      <c r="L278" s="292"/>
      <c r="M278" s="292"/>
      <c r="N278" s="292"/>
      <c r="O278" s="292"/>
      <c r="P278" s="293"/>
      <c r="Q278" s="292"/>
      <c r="R278" s="292"/>
      <c r="S278" s="292"/>
      <c r="T278" s="292"/>
      <c r="U278" s="293"/>
    </row>
    <row r="279" spans="1:21" ht="19.5">
      <c r="A279" s="294" t="s">
        <v>118</v>
      </c>
      <c r="B279" s="295"/>
      <c r="C279" s="296"/>
      <c r="D279" s="295"/>
      <c r="E279" s="295"/>
      <c r="F279" s="295"/>
      <c r="G279" s="295"/>
      <c r="H279" s="295"/>
      <c r="I279" s="297"/>
      <c r="J279" s="298"/>
      <c r="K279" s="299"/>
      <c r="L279" s="299"/>
      <c r="M279" s="299"/>
      <c r="N279" s="299"/>
      <c r="O279" s="299"/>
      <c r="P279" s="299"/>
      <c r="Q279" s="299"/>
      <c r="R279" s="299"/>
      <c r="S279" s="300"/>
      <c r="T279" s="299"/>
      <c r="U279" s="299"/>
    </row>
    <row r="280" spans="1:21" ht="19.5">
      <c r="A280" s="301"/>
      <c r="B280" s="302" t="s">
        <v>119</v>
      </c>
      <c r="C280" s="303"/>
      <c r="D280" s="304"/>
      <c r="E280" s="303"/>
      <c r="F280" s="303"/>
      <c r="G280" s="305"/>
      <c r="H280" s="306" t="s">
        <v>35</v>
      </c>
      <c r="I280" s="307">
        <f t="shared" ref="I280:J280" ca="1" si="202">I293</f>
        <v>230</v>
      </c>
      <c r="J280" s="307">
        <f t="shared" ca="1" si="202"/>
        <v>230</v>
      </c>
      <c r="K280" s="308">
        <f t="shared" ref="K280:K281" ca="1" si="203">IF(I280&gt;0,J280*100/I280,0)</f>
        <v>100</v>
      </c>
      <c r="L280" s="309"/>
      <c r="M280" s="309"/>
      <c r="N280" s="309"/>
      <c r="O280" s="309"/>
      <c r="P280" s="309"/>
      <c r="Q280" s="309"/>
      <c r="R280" s="309"/>
      <c r="S280" s="310"/>
      <c r="T280" s="309"/>
      <c r="U280" s="309"/>
    </row>
    <row r="281" spans="1:21" ht="19.5">
      <c r="A281" s="301"/>
      <c r="B281" s="303"/>
      <c r="C281" s="303"/>
      <c r="D281" s="304"/>
      <c r="E281" s="303"/>
      <c r="F281" s="303"/>
      <c r="G281" s="305"/>
      <c r="H281" s="306" t="s">
        <v>46</v>
      </c>
      <c r="I281" s="307">
        <f t="shared" ref="I281:J281" ca="1" si="204">I292</f>
        <v>2300</v>
      </c>
      <c r="J281" s="307">
        <f t="shared" ca="1" si="204"/>
        <v>2300</v>
      </c>
      <c r="K281" s="308">
        <f t="shared" ca="1" si="203"/>
        <v>100</v>
      </c>
      <c r="L281" s="309"/>
      <c r="M281" s="309"/>
      <c r="N281" s="309"/>
      <c r="O281" s="309"/>
      <c r="P281" s="309"/>
      <c r="Q281" s="309"/>
      <c r="R281" s="309"/>
      <c r="S281" s="310"/>
      <c r="T281" s="309"/>
      <c r="U281" s="309"/>
    </row>
    <row r="282" spans="1:21" ht="19.5">
      <c r="A282" s="155"/>
      <c r="B282" s="50"/>
      <c r="C282" s="156" t="s">
        <v>18</v>
      </c>
      <c r="D282" s="157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159">
        <f t="shared" ref="L282:N282" ca="1" si="205">L283+L284</f>
        <v>1104420</v>
      </c>
      <c r="M282" s="159">
        <f t="shared" ca="1" si="205"/>
        <v>1104420</v>
      </c>
      <c r="N282" s="159">
        <f t="shared" ca="1" si="205"/>
        <v>927001.11</v>
      </c>
      <c r="O282" s="159">
        <f t="shared" ref="O282:O290" ca="1" si="206">IF(L282&gt;0,N282*100/L282,0)</f>
        <v>83.935559841364693</v>
      </c>
      <c r="P282" s="159">
        <f t="shared" ref="P282:P290" ca="1" si="207">IF(M282&gt;0,N282*100/M282,0)</f>
        <v>83.935559841364693</v>
      </c>
      <c r="Q282" s="159">
        <f t="shared" ref="Q282:S282" ca="1" si="208">Q283+Q284</f>
        <v>0</v>
      </c>
      <c r="R282" s="159">
        <f t="shared" ca="1" si="208"/>
        <v>0</v>
      </c>
      <c r="S282" s="160">
        <f t="shared" ca="1" si="208"/>
        <v>0</v>
      </c>
      <c r="T282" s="159">
        <f t="shared" ref="T282:T290" ca="1" si="209">IF(Q282&gt;0,S282*100/Q282,0)</f>
        <v>0</v>
      </c>
      <c r="U282" s="159">
        <f t="shared" ref="U282:U290" ca="1" si="210">IF(R282&gt;0,S282*100/R282,0)</f>
        <v>0</v>
      </c>
    </row>
    <row r="283" spans="1:21" ht="18.75">
      <c r="A283" s="155"/>
      <c r="B283" s="50"/>
      <c r="C283" s="50"/>
      <c r="D283" s="50"/>
      <c r="E283" s="58" t="s">
        <v>20</v>
      </c>
      <c r="F283" s="50"/>
      <c r="G283" s="52"/>
      <c r="H283" s="161" t="s">
        <v>14</v>
      </c>
      <c r="I283" s="54"/>
      <c r="J283" s="54"/>
      <c r="K283" s="55"/>
      <c r="L283" s="56">
        <f t="shared" ref="L283:N283" ca="1" si="211">L286+L289</f>
        <v>0</v>
      </c>
      <c r="M283" s="56">
        <f t="shared" ca="1" si="211"/>
        <v>0</v>
      </c>
      <c r="N283" s="56">
        <f t="shared" ca="1" si="211"/>
        <v>0</v>
      </c>
      <c r="O283" s="56">
        <f t="shared" ca="1" si="206"/>
        <v>0</v>
      </c>
      <c r="P283" s="56">
        <f t="shared" ca="1" si="207"/>
        <v>0</v>
      </c>
      <c r="Q283" s="56">
        <f t="shared" ref="Q283:S283" ca="1" si="212">Q286+Q289</f>
        <v>0</v>
      </c>
      <c r="R283" s="56">
        <f t="shared" ca="1" si="212"/>
        <v>0</v>
      </c>
      <c r="S283" s="57">
        <f t="shared" ca="1" si="212"/>
        <v>0</v>
      </c>
      <c r="T283" s="59">
        <f t="shared" ca="1" si="209"/>
        <v>0</v>
      </c>
      <c r="U283" s="59">
        <f t="shared" ca="1" si="210"/>
        <v>0</v>
      </c>
    </row>
    <row r="284" spans="1:21" ht="18.75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56">
        <f t="shared" ref="L284:N284" ca="1" si="213">L287+L290</f>
        <v>1104420</v>
      </c>
      <c r="M284" s="56">
        <f t="shared" ca="1" si="213"/>
        <v>1104420</v>
      </c>
      <c r="N284" s="56">
        <f t="shared" ca="1" si="213"/>
        <v>927001.11</v>
      </c>
      <c r="O284" s="56">
        <f t="shared" ca="1" si="206"/>
        <v>83.935559841364693</v>
      </c>
      <c r="P284" s="56">
        <f t="shared" ca="1" si="207"/>
        <v>83.935559841364693</v>
      </c>
      <c r="Q284" s="56">
        <f t="shared" ref="Q284:S284" ca="1" si="214">Q287+Q290</f>
        <v>0</v>
      </c>
      <c r="R284" s="56">
        <f t="shared" ca="1" si="214"/>
        <v>0</v>
      </c>
      <c r="S284" s="57">
        <f t="shared" ca="1" si="214"/>
        <v>0</v>
      </c>
      <c r="T284" s="56">
        <f t="shared" ca="1" si="209"/>
        <v>0</v>
      </c>
      <c r="U284" s="56">
        <f t="shared" ca="1" si="210"/>
        <v>0</v>
      </c>
    </row>
    <row r="285" spans="1:21" ht="18.75">
      <c r="A285" s="155"/>
      <c r="B285" s="50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56">
        <f t="shared" ref="L285:N285" ca="1" si="215">L286+L287</f>
        <v>1104420</v>
      </c>
      <c r="M285" s="56">
        <f t="shared" ca="1" si="215"/>
        <v>1104420</v>
      </c>
      <c r="N285" s="56">
        <f t="shared" ca="1" si="215"/>
        <v>927001.11</v>
      </c>
      <c r="O285" s="56">
        <f t="shared" ca="1" si="206"/>
        <v>83.935559841364693</v>
      </c>
      <c r="P285" s="56">
        <f t="shared" ca="1" si="207"/>
        <v>83.935559841364693</v>
      </c>
      <c r="Q285" s="56">
        <f t="shared" ref="Q285:S285" ca="1" si="216">Q286+Q287</f>
        <v>0</v>
      </c>
      <c r="R285" s="56">
        <f t="shared" ca="1" si="216"/>
        <v>0</v>
      </c>
      <c r="S285" s="57">
        <f t="shared" ca="1" si="216"/>
        <v>0</v>
      </c>
      <c r="T285" s="56">
        <f t="shared" ca="1" si="209"/>
        <v>0</v>
      </c>
      <c r="U285" s="56">
        <f t="shared" ca="1" si="210"/>
        <v>0</v>
      </c>
    </row>
    <row r="286" spans="1:21" ht="18.75">
      <c r="A286" s="155"/>
      <c r="B286" s="50"/>
      <c r="C286" s="50"/>
      <c r="D286" s="50"/>
      <c r="E286" s="58" t="s">
        <v>36</v>
      </c>
      <c r="F286" s="50"/>
      <c r="G286" s="52"/>
      <c r="H286" s="162" t="s">
        <v>14</v>
      </c>
      <c r="I286" s="163"/>
      <c r="J286" s="163"/>
      <c r="K286" s="164"/>
      <c r="L286" s="56">
        <f ca="1">IFERROR(__xludf.DUMMYFUNCTION("IMPORTRANGE(""https://docs.google.com/spreadsheets/d/1yhBcrRPreicbMKl9Bu_Snb2-OcQAF62RKfhTLhJ2eAA/edit?usp=sharing"",""กาฬสินธุ์!L286"")+IMPORTRANGE(""https://docs.google.com/spreadsheets/d/1aHkj4IaQMThhwWwevcOymEh837vdxeC_PycurhTbGFA/edit?usp=sharing"","&amp;"""ขอนแก่น!L286"")+IMPORTRANGE(""https://docs.google.com/spreadsheets/d/1FvTu2DsIWUjP6WCWra38Bkj_oOl_sOMf14r5Fg5srxU/edit?usp=sharing"",""ชัยภูมิ!L286"")+IMPORTRANGE(""https://docs.google.com/spreadsheets/d/1XVB7oCJ3pr-vBUdflwPQ8Z2LlzhnCvZaaYjAfP-647E/edit"&amp;"?usp=sharing"",""นครพนม!L286"")+IMPORTRANGE(""https://docs.google.com/spreadsheets/d/1Mnpb-8PYAgn85W6KOTD40hc_Xc55CaLfHoGAbrZ8tls/edit?usp=sharing"",""นครราชสีมา!L286"")+IMPORTRANGE(""https://docs.google.com/spreadsheets/d/1xoDLGBv9CYbyosIhki0kTq6IpYNj-gp"&amp;"jxfobnaDiut0/edit?usp=sharing"",""บึงกาฬ!L286"")+IMPORTRANGE(""https://docs.google.com/spreadsheets/d/1MMPq-JyI6DSgQETxuSiXkesP-P7JHuemnE6QJIa-Nlw/edit?usp=sharing"",""บุรีรัมย์!L286"")+IMPORTRANGE(""https://docs.google.com/spreadsheets/d/1l6IZ8xUPgMrESzc"&amp;"TYwhA1k_tPjeQjJPTqlm8Gd9eU5g/edit?usp=sharing"",""มหาสารคาม!L286"")+IMPORTRANGE(""https://docs.google.com/spreadsheets/d/1uB74YLqNjWX6FObjekfB2NtSYigTQyR2rq9u4Ub2Sq4/edit?usp=sharing"",""มุกดาหาร!L286"")+IMPORTRANGE(""https://docs.google.com/spreadsheets/"&amp;"d/1NexK3geCPxCTO1fzNF8dPec7yZyUx3OaWkFBC9HsQOo/edit?usp=sharing"",""ยโสธร!L286"")+IMPORTRANGE(""https://docs.google.com/spreadsheets/d/1v_cJrbBlyqmnHPReHk44g9NrMRdENNlSy_E_c5M9fIg/edit?usp=sharing"",""ร้อยเอ็ด!L286"")+IMPORTRANGE(""https://docs.google.com"&amp;"/spreadsheets/d/1Ul4RCpCX66NxYADU1QpwAPjOmBzW64SsT11s1wzXw_c/edit?usp=sharing"",""เลย!L286"")+IMPORTRANGE(""https://docs.google.com/spreadsheets/d/1bRrNKwbHDVktQG10isr5vbWRtt5spIZPpkOSWgbT5ug/edit?usp=sharing"",""ศรีสะเกษ!L286"")+IMPORTRANGE(""https://doc"&amp;"s.google.com/spreadsheets/d/17P34_Ow5kFBfdQD0qspb2UuPX5zpi6WMrQzslghyvrI/edit?usp=sharing"",""สกลนคร!L286"")+IMPORTRANGE(""https://docs.google.com/spreadsheets/d/1yswqbM3-AEpThF3ZSUa1AcmHnmRTF1vlJ1CZGcJ8YuU/edit?usp=sharing"",""สุรินทร์!L286"")+IMPORTRANG"&amp;"E(""https://docs.google.com/spreadsheets/d/13JHU_EFbsQOUQ0JSQ3dWy1VTRosIWcDq6Nc99z2qzdc/edit?usp=sharing"",""หนองคาย!L286"")+IMPORTRANGE(""https://docs.google.com/spreadsheets/d/1Hx73zIEgVdDZZaYSTc46Dqv64atFhpr3GelxLbaIN8A/edit?usp=sharing"",""หนองบัวลำภู"&amp;"!L286"")+IMPORTRANGE(""https://docs.google.com/spreadsheets/d/1lFxr3ctmjFN90yc-xV6jrQ9Ty8BKYVBWnAZ15wcNIJc/edit?usp=sharing"",""อำนาจเจริญ!L286"")+IMPORTRANGE(""https://docs.google.com/spreadsheets/d/1gF7RJpRnL-1oyjyeWxs5SFWEH7y8ahOZsQlyp2A2e-A/edit?usp=s"&amp;"haring"",""อุดรธานี!L286"")+IMPORTRANGE(""https://docs.google.com/spreadsheets/d/1kfLP0j3INXRa8bTDpcEmoWewMBV61jlFlfzczfjWIgc/edit?usp=sharing"",""อุบลราชธานี!L286"")"),0)</f>
        <v>0</v>
      </c>
      <c r="M286" s="56">
        <f ca="1">IFERROR(__xludf.DUMMYFUNCTION("IMPORTRANGE(""https://docs.google.com/spreadsheets/d/1yhBcrRPreicbMKl9Bu_Snb2-OcQAF62RKfhTLhJ2eAA/edit?usp=sharing"",""กาฬสินธุ์!M286"")+IMPORTRANGE(""https://docs.google.com/spreadsheets/d/1aHkj4IaQMThhwWwevcOymEh837vdxeC_PycurhTbGFA/edit?usp=sharing"","&amp;"""ขอนแก่น!M286"")+IMPORTRANGE(""https://docs.google.com/spreadsheets/d/1FvTu2DsIWUjP6WCWra38Bkj_oOl_sOMf14r5Fg5srxU/edit?usp=sharing"",""ชัยภูมิ!M286"")+IMPORTRANGE(""https://docs.google.com/spreadsheets/d/1XVB7oCJ3pr-vBUdflwPQ8Z2LlzhnCvZaaYjAfP-647E/edit"&amp;"?usp=sharing"",""นครพนม!M286"")+IMPORTRANGE(""https://docs.google.com/spreadsheets/d/1Mnpb-8PYAgn85W6KOTD40hc_Xc55CaLfHoGAbrZ8tls/edit?usp=sharing"",""นครราชสีมา!M286"")+IMPORTRANGE(""https://docs.google.com/spreadsheets/d/1xoDLGBv9CYbyosIhki0kTq6IpYNj-gp"&amp;"jxfobnaDiut0/edit?usp=sharing"",""บึงกาฬ!M286"")+IMPORTRANGE(""https://docs.google.com/spreadsheets/d/1MMPq-JyI6DSgQETxuSiXkesP-P7JHuemnE6QJIa-Nlw/edit?usp=sharing"",""บุรีรัมย์!M286"")+IMPORTRANGE(""https://docs.google.com/spreadsheets/d/1l6IZ8xUPgMrESzc"&amp;"TYwhA1k_tPjeQjJPTqlm8Gd9eU5g/edit?usp=sharing"",""มหาสารคาม!M286"")+IMPORTRANGE(""https://docs.google.com/spreadsheets/d/1uB74YLqNjWX6FObjekfB2NtSYigTQyR2rq9u4Ub2Sq4/edit?usp=sharing"",""มุกดาหาร!M286"")+IMPORTRANGE(""https://docs.google.com/spreadsheets/"&amp;"d/1NexK3geCPxCTO1fzNF8dPec7yZyUx3OaWkFBC9HsQOo/edit?usp=sharing"",""ยโสธร!M286"")+IMPORTRANGE(""https://docs.google.com/spreadsheets/d/1v_cJrbBlyqmnHPReHk44g9NrMRdENNlSy_E_c5M9fIg/edit?usp=sharing"",""ร้อยเอ็ด!M286"")+IMPORTRANGE(""https://docs.google.com"&amp;"/spreadsheets/d/1Ul4RCpCX66NxYADU1QpwAPjOmBzW64SsT11s1wzXw_c/edit?usp=sharing"",""เลย!M286"")+IMPORTRANGE(""https://docs.google.com/spreadsheets/d/1bRrNKwbHDVktQG10isr5vbWRtt5spIZPpkOSWgbT5ug/edit?usp=sharing"",""ศรีสะเกษ!M286"")+IMPORTRANGE(""https://doc"&amp;"s.google.com/spreadsheets/d/17P34_Ow5kFBfdQD0qspb2UuPX5zpi6WMrQzslghyvrI/edit?usp=sharing"",""สกลนคร!M286"")+IMPORTRANGE(""https://docs.google.com/spreadsheets/d/1yswqbM3-AEpThF3ZSUa1AcmHnmRTF1vlJ1CZGcJ8YuU/edit?usp=sharing"",""สุรินทร์!M286"")+IMPORTRANG"&amp;"E(""https://docs.google.com/spreadsheets/d/13JHU_EFbsQOUQ0JSQ3dWy1VTRosIWcDq6Nc99z2qzdc/edit?usp=sharing"",""หนองคาย!M286"")+IMPORTRANGE(""https://docs.google.com/spreadsheets/d/1Hx73zIEgVdDZZaYSTc46Dqv64atFhpr3GelxLbaIN8A/edit?usp=sharing"",""หนองบัวลำภู"&amp;"!M286"")+IMPORTRANGE(""https://docs.google.com/spreadsheets/d/1lFxr3ctmjFN90yc-xV6jrQ9Ty8BKYVBWnAZ15wcNIJc/edit?usp=sharing"",""อำนาจเจริญ!M286"")+IMPORTRANGE(""https://docs.google.com/spreadsheets/d/1gF7RJpRnL-1oyjyeWxs5SFWEH7y8ahOZsQlyp2A2e-A/edit?usp=s"&amp;"haring"",""อุดรธานี!M286"")+IMPORTRANGE(""https://docs.google.com/spreadsheets/d/1kfLP0j3INXRa8bTDpcEmoWewMBV61jlFlfzczfjWIgc/edit?usp=sharing"",""อุบลราชธานี!M286"")"),0)</f>
        <v>0</v>
      </c>
      <c r="N286" s="56">
        <f ca="1">IFERROR(__xludf.DUMMYFUNCTION("IMPORTRANGE(""https://docs.google.com/spreadsheets/d/1yhBcrRPreicbMKl9Bu_Snb2-OcQAF62RKfhTLhJ2eAA/edit?usp=sharing"",""กาฬสินธุ์!N286"")+IMPORTRANGE(""https://docs.google.com/spreadsheets/d/1aHkj4IaQMThhwWwevcOymEh837vdxeC_PycurhTbGFA/edit?usp=sharing"","&amp;"""ขอนแก่น!N286"")+IMPORTRANGE(""https://docs.google.com/spreadsheets/d/1FvTu2DsIWUjP6WCWra38Bkj_oOl_sOMf14r5Fg5srxU/edit?usp=sharing"",""ชัยภูมิ!N286"")+IMPORTRANGE(""https://docs.google.com/spreadsheets/d/1XVB7oCJ3pr-vBUdflwPQ8Z2LlzhnCvZaaYjAfP-647E/edit"&amp;"?usp=sharing"",""นครพนม!N286"")+IMPORTRANGE(""https://docs.google.com/spreadsheets/d/1Mnpb-8PYAgn85W6KOTD40hc_Xc55CaLfHoGAbrZ8tls/edit?usp=sharing"",""นครราชสีมา!N286"")+IMPORTRANGE(""https://docs.google.com/spreadsheets/d/1xoDLGBv9CYbyosIhki0kTq6IpYNj-gp"&amp;"jxfobnaDiut0/edit?usp=sharing"",""บึงกาฬ!N286"")+IMPORTRANGE(""https://docs.google.com/spreadsheets/d/1MMPq-JyI6DSgQETxuSiXkesP-P7JHuemnE6QJIa-Nlw/edit?usp=sharing"",""บุรีรัมย์!N286"")+IMPORTRANGE(""https://docs.google.com/spreadsheets/d/1l6IZ8xUPgMrESzc"&amp;"TYwhA1k_tPjeQjJPTqlm8Gd9eU5g/edit?usp=sharing"",""มหาสารคาม!N286"")+IMPORTRANGE(""https://docs.google.com/spreadsheets/d/1uB74YLqNjWX6FObjekfB2NtSYigTQyR2rq9u4Ub2Sq4/edit?usp=sharing"",""มุกดาหาร!N286"")+IMPORTRANGE(""https://docs.google.com/spreadsheets/"&amp;"d/1NexK3geCPxCTO1fzNF8dPec7yZyUx3OaWkFBC9HsQOo/edit?usp=sharing"",""ยโสธร!N286"")+IMPORTRANGE(""https://docs.google.com/spreadsheets/d/1v_cJrbBlyqmnHPReHk44g9NrMRdENNlSy_E_c5M9fIg/edit?usp=sharing"",""ร้อยเอ็ด!N286"")+IMPORTRANGE(""https://docs.google.com"&amp;"/spreadsheets/d/1Ul4RCpCX66NxYADU1QpwAPjOmBzW64SsT11s1wzXw_c/edit?usp=sharing"",""เลย!N286"")+IMPORTRANGE(""https://docs.google.com/spreadsheets/d/1bRrNKwbHDVktQG10isr5vbWRtt5spIZPpkOSWgbT5ug/edit?usp=sharing"",""ศรีสะเกษ!N286"")+IMPORTRANGE(""https://doc"&amp;"s.google.com/spreadsheets/d/17P34_Ow5kFBfdQD0qspb2UuPX5zpi6WMrQzslghyvrI/edit?usp=sharing"",""สกลนคร!N286"")+IMPORTRANGE(""https://docs.google.com/spreadsheets/d/1yswqbM3-AEpThF3ZSUa1AcmHnmRTF1vlJ1CZGcJ8YuU/edit?usp=sharing"",""สุรินทร์!N286"")+IMPORTRANG"&amp;"E(""https://docs.google.com/spreadsheets/d/13JHU_EFbsQOUQ0JSQ3dWy1VTRosIWcDq6Nc99z2qzdc/edit?usp=sharing"",""หนองคาย!N286"")+IMPORTRANGE(""https://docs.google.com/spreadsheets/d/1Hx73zIEgVdDZZaYSTc46Dqv64atFhpr3GelxLbaIN8A/edit?usp=sharing"",""หนองบัวลำภู"&amp;"!N286"")+IMPORTRANGE(""https://docs.google.com/spreadsheets/d/1lFxr3ctmjFN90yc-xV6jrQ9Ty8BKYVBWnAZ15wcNIJc/edit?usp=sharing"",""อำนาจเจริญ!N286"")+IMPORTRANGE(""https://docs.google.com/spreadsheets/d/1gF7RJpRnL-1oyjyeWxs5SFWEH7y8ahOZsQlyp2A2e-A/edit?usp=s"&amp;"haring"",""อุดรธานี!N286"")+IMPORTRANGE(""https://docs.google.com/spreadsheets/d/1kfLP0j3INXRa8bTDpcEmoWewMBV61jlFlfzczfjWIgc/edit?usp=sharing"",""อุบลราชธานี!N286"")"),0)</f>
        <v>0</v>
      </c>
      <c r="O286" s="56">
        <f t="shared" ca="1" si="206"/>
        <v>0</v>
      </c>
      <c r="P286" s="56">
        <f t="shared" ca="1" si="207"/>
        <v>0</v>
      </c>
      <c r="Q286" s="56">
        <f ca="1">IFERROR(__xludf.DUMMYFUNCTION("IMPORTRANGE(""https://docs.google.com/spreadsheets/d/1yhBcrRPreicbMKl9Bu_Snb2-OcQAF62RKfhTLhJ2eAA/edit?usp=sharing"",""กาฬสินธุ์!Q286"")+IMPORTRANGE(""https://docs.google.com/spreadsheets/d/1aHkj4IaQMThhwWwevcOymEh837vdxeC_PycurhTbGFA/edit?usp=sharing"","&amp;"""ขอนแก่น!Q286"")+IMPORTRANGE(""https://docs.google.com/spreadsheets/d/1FvTu2DsIWUjP6WCWra38Bkj_oOl_sOMf14r5Fg5srxU/edit?usp=sharing"",""ชัยภูมิ!Q286"")+IMPORTRANGE(""https://docs.google.com/spreadsheets/d/1XVB7oCJ3pr-vBUdflwPQ8Z2LlzhnCvZaaYjAfP-647E/edit"&amp;"?usp=sharing"",""นครพนม!Q286"")+IMPORTRANGE(""https://docs.google.com/spreadsheets/d/1Mnpb-8PYAgn85W6KOTD40hc_Xc55CaLfHoGAbrZ8tls/edit?usp=sharing"",""นครราชสีมา!Q286"")+IMPORTRANGE(""https://docs.google.com/spreadsheets/d/1xoDLGBv9CYbyosIhki0kTq6IpYNj-gp"&amp;"jxfobnaDiut0/edit?usp=sharing"",""บึงกาฬ!Q286"")+IMPORTRANGE(""https://docs.google.com/spreadsheets/d/1MMPq-JyI6DSgQETxuSiXkesP-P7JHuemnE6QJIa-Nlw/edit?usp=sharing"",""บุรีรัมย์!Q286"")+IMPORTRANGE(""https://docs.google.com/spreadsheets/d/1l6IZ8xUPgMrESzc"&amp;"TYwhA1k_tPjeQjJPTqlm8Gd9eU5g/edit?usp=sharing"",""มหาสารคาม!Q286"")+IMPORTRANGE(""https://docs.google.com/spreadsheets/d/1uB74YLqNjWX6FObjekfB2NtSYigTQyR2rq9u4Ub2Sq4/edit?usp=sharing"",""มุกดาหาร!Q286"")+IMPORTRANGE(""https://docs.google.com/spreadsheets/"&amp;"d/1NexK3geCPxCTO1fzNF8dPec7yZyUx3OaWkFBC9HsQOo/edit?usp=sharing"",""ยโสธร!Q286"")+IMPORTRANGE(""https://docs.google.com/spreadsheets/d/1v_cJrbBlyqmnHPReHk44g9NrMRdENNlSy_E_c5M9fIg/edit?usp=sharing"",""ร้อยเอ็ด!Q286"")+IMPORTRANGE(""https://docs.google.com"&amp;"/spreadsheets/d/1Ul4RCpCX66NxYADU1QpwAPjOmBzW64SsT11s1wzXw_c/edit?usp=sharing"",""เลย!Q286"")+IMPORTRANGE(""https://docs.google.com/spreadsheets/d/1bRrNKwbHDVktQG10isr5vbWRtt5spIZPpkOSWgbT5ug/edit?usp=sharing"",""ศรีสะเกษ!Q286"")+IMPORTRANGE(""https://doc"&amp;"s.google.com/spreadsheets/d/17P34_Ow5kFBfdQD0qspb2UuPX5zpi6WMrQzslghyvrI/edit?usp=sharing"",""สกลนคร!Q286"")+IMPORTRANGE(""https://docs.google.com/spreadsheets/d/1yswqbM3-AEpThF3ZSUa1AcmHnmRTF1vlJ1CZGcJ8YuU/edit?usp=sharing"",""สุรินทร์!Q286"")+IMPORTRANG"&amp;"E(""https://docs.google.com/spreadsheets/d/13JHU_EFbsQOUQ0JSQ3dWy1VTRosIWcDq6Nc99z2qzdc/edit?usp=sharing"",""หนองคาย!Q286"")+IMPORTRANGE(""https://docs.google.com/spreadsheets/d/1Hx73zIEgVdDZZaYSTc46Dqv64atFhpr3GelxLbaIN8A/edit?usp=sharing"",""หนองบัวลำภู"&amp;"!Q286"")+IMPORTRANGE(""https://docs.google.com/spreadsheets/d/1lFxr3ctmjFN90yc-xV6jrQ9Ty8BKYVBWnAZ15wcNIJc/edit?usp=sharing"",""อำนาจเจริญ!Q286"")+IMPORTRANGE(""https://docs.google.com/spreadsheets/d/1gF7RJpRnL-1oyjyeWxs5SFWEH7y8ahOZsQlyp2A2e-A/edit?usp=s"&amp;"haring"",""อุดรธานี!Q286"")+IMPORTRANGE(""https://docs.google.com/spreadsheets/d/1kfLP0j3INXRa8bTDpcEmoWewMBV61jlFlfzczfjWIgc/edit?usp=sharing"",""อุบลราชธานี!Q286"")"),0)</f>
        <v>0</v>
      </c>
      <c r="R286" s="56">
        <f ca="1">IFERROR(__xludf.DUMMYFUNCTION("IMPORTRANGE(""https://docs.google.com/spreadsheets/d/1yhBcrRPreicbMKl9Bu_Snb2-OcQAF62RKfhTLhJ2eAA/edit?usp=sharing"",""กาฬสินธุ์!R286"")+IMPORTRANGE(""https://docs.google.com/spreadsheets/d/1aHkj4IaQMThhwWwevcOymEh837vdxeC_PycurhTbGFA/edit?usp=sharing"","&amp;"""ขอนแก่น!R286"")+IMPORTRANGE(""https://docs.google.com/spreadsheets/d/1FvTu2DsIWUjP6WCWra38Bkj_oOl_sOMf14r5Fg5srxU/edit?usp=sharing"",""ชัยภูมิ!R286"")+IMPORTRANGE(""https://docs.google.com/spreadsheets/d/1XVB7oCJ3pr-vBUdflwPQ8Z2LlzhnCvZaaYjAfP-647E/edit"&amp;"?usp=sharing"",""นครพนม!R286"")+IMPORTRANGE(""https://docs.google.com/spreadsheets/d/1Mnpb-8PYAgn85W6KOTD40hc_Xc55CaLfHoGAbrZ8tls/edit?usp=sharing"",""นครราชสีมา!R286"")+IMPORTRANGE(""https://docs.google.com/spreadsheets/d/1xoDLGBv9CYbyosIhki0kTq6IpYNj-gp"&amp;"jxfobnaDiut0/edit?usp=sharing"",""บึงกาฬ!R286"")+IMPORTRANGE(""https://docs.google.com/spreadsheets/d/1MMPq-JyI6DSgQETxuSiXkesP-P7JHuemnE6QJIa-Nlw/edit?usp=sharing"",""บุรีรัมย์!R286"")+IMPORTRANGE(""https://docs.google.com/spreadsheets/d/1l6IZ8xUPgMrESzc"&amp;"TYwhA1k_tPjeQjJPTqlm8Gd9eU5g/edit?usp=sharing"",""มหาสารคาม!R286"")+IMPORTRANGE(""https://docs.google.com/spreadsheets/d/1uB74YLqNjWX6FObjekfB2NtSYigTQyR2rq9u4Ub2Sq4/edit?usp=sharing"",""มุกดาหาร!R286"")+IMPORTRANGE(""https://docs.google.com/spreadsheets/"&amp;"d/1NexK3geCPxCTO1fzNF8dPec7yZyUx3OaWkFBC9HsQOo/edit?usp=sharing"",""ยโสธร!R286"")+IMPORTRANGE(""https://docs.google.com/spreadsheets/d/1v_cJrbBlyqmnHPReHk44g9NrMRdENNlSy_E_c5M9fIg/edit?usp=sharing"",""ร้อยเอ็ด!R286"")+IMPORTRANGE(""https://docs.google.com"&amp;"/spreadsheets/d/1Ul4RCpCX66NxYADU1QpwAPjOmBzW64SsT11s1wzXw_c/edit?usp=sharing"",""เลย!R286"")+IMPORTRANGE(""https://docs.google.com/spreadsheets/d/1bRrNKwbHDVktQG10isr5vbWRtt5spIZPpkOSWgbT5ug/edit?usp=sharing"",""ศรีสะเกษ!R286"")+IMPORTRANGE(""https://doc"&amp;"s.google.com/spreadsheets/d/17P34_Ow5kFBfdQD0qspb2UuPX5zpi6WMrQzslghyvrI/edit?usp=sharing"",""สกลนคร!R286"")+IMPORTRANGE(""https://docs.google.com/spreadsheets/d/1yswqbM3-AEpThF3ZSUa1AcmHnmRTF1vlJ1CZGcJ8YuU/edit?usp=sharing"",""สุรินทร์!R286"")+IMPORTRANG"&amp;"E(""https://docs.google.com/spreadsheets/d/13JHU_EFbsQOUQ0JSQ3dWy1VTRosIWcDq6Nc99z2qzdc/edit?usp=sharing"",""หนองคาย!R286"")+IMPORTRANGE(""https://docs.google.com/spreadsheets/d/1Hx73zIEgVdDZZaYSTc46Dqv64atFhpr3GelxLbaIN8A/edit?usp=sharing"",""หนองบัวลำภู"&amp;"!R286"")+IMPORTRANGE(""https://docs.google.com/spreadsheets/d/1lFxr3ctmjFN90yc-xV6jrQ9Ty8BKYVBWnAZ15wcNIJc/edit?usp=sharing"",""อำนาจเจริญ!R286"")+IMPORTRANGE(""https://docs.google.com/spreadsheets/d/1gF7RJpRnL-1oyjyeWxs5SFWEH7y8ahOZsQlyp2A2e-A/edit?usp=s"&amp;"haring"",""อุดรธานี!R286"")+IMPORTRANGE(""https://docs.google.com/spreadsheets/d/1kfLP0j3INXRa8bTDpcEmoWewMBV61jlFlfzczfjWIgc/edit?usp=sharing"",""อุบลราชธานี!R286"")"),0)</f>
        <v>0</v>
      </c>
      <c r="S286" s="57">
        <f ca="1">IFERROR(__xludf.DUMMYFUNCTION("IMPORTRANGE(""https://docs.google.com/spreadsheets/d/1yhBcrRPreicbMKl9Bu_Snb2-OcQAF62RKfhTLhJ2eAA/edit?usp=sharing"",""กาฬสินธุ์!S286"")+IMPORTRANGE(""https://docs.google.com/spreadsheets/d/1aHkj4IaQMThhwWwevcOymEh837vdxeC_PycurhTbGFA/edit?usp=sharing"","&amp;"""ขอนแก่น!S286"")+IMPORTRANGE(""https://docs.google.com/spreadsheets/d/1FvTu2DsIWUjP6WCWra38Bkj_oOl_sOMf14r5Fg5srxU/edit?usp=sharing"",""ชัยภูมิ!S286"")+IMPORTRANGE(""https://docs.google.com/spreadsheets/d/1XVB7oCJ3pr-vBUdflwPQ8Z2LlzhnCvZaaYjAfP-647E/edit"&amp;"?usp=sharing"",""นครพนม!S286"")+IMPORTRANGE(""https://docs.google.com/spreadsheets/d/1Mnpb-8PYAgn85W6KOTD40hc_Xc55CaLfHoGAbrZ8tls/edit?usp=sharing"",""นครราชสีมา!S286"")+IMPORTRANGE(""https://docs.google.com/spreadsheets/d/1xoDLGBv9CYbyosIhki0kTq6IpYNj-gp"&amp;"jxfobnaDiut0/edit?usp=sharing"",""บึงกาฬ!S286"")+IMPORTRANGE(""https://docs.google.com/spreadsheets/d/1MMPq-JyI6DSgQETxuSiXkesP-P7JHuemnE6QJIa-Nlw/edit?usp=sharing"",""บุรีรัมย์!S286"")+IMPORTRANGE(""https://docs.google.com/spreadsheets/d/1l6IZ8xUPgMrESzc"&amp;"TYwhA1k_tPjeQjJPTqlm8Gd9eU5g/edit?usp=sharing"",""มหาสารคาม!S286"")+IMPORTRANGE(""https://docs.google.com/spreadsheets/d/1uB74YLqNjWX6FObjekfB2NtSYigTQyR2rq9u4Ub2Sq4/edit?usp=sharing"",""มุกดาหาร!S286"")+IMPORTRANGE(""https://docs.google.com/spreadsheets/"&amp;"d/1NexK3geCPxCTO1fzNF8dPec7yZyUx3OaWkFBC9HsQOo/edit?usp=sharing"",""ยโสธร!S286"")+IMPORTRANGE(""https://docs.google.com/spreadsheets/d/1v_cJrbBlyqmnHPReHk44g9NrMRdENNlSy_E_c5M9fIg/edit?usp=sharing"",""ร้อยเอ็ด!S286"")+IMPORTRANGE(""https://docs.google.com"&amp;"/spreadsheets/d/1Ul4RCpCX66NxYADU1QpwAPjOmBzW64SsT11s1wzXw_c/edit?usp=sharing"",""เลย!S286"")+IMPORTRANGE(""https://docs.google.com/spreadsheets/d/1bRrNKwbHDVktQG10isr5vbWRtt5spIZPpkOSWgbT5ug/edit?usp=sharing"",""ศรีสะเกษ!S286"")+IMPORTRANGE(""https://doc"&amp;"s.google.com/spreadsheets/d/17P34_Ow5kFBfdQD0qspb2UuPX5zpi6WMrQzslghyvrI/edit?usp=sharing"",""สกลนคร!S286"")+IMPORTRANGE(""https://docs.google.com/spreadsheets/d/1yswqbM3-AEpThF3ZSUa1AcmHnmRTF1vlJ1CZGcJ8YuU/edit?usp=sharing"",""สุรินทร์!S286"")+IMPORTRANG"&amp;"E(""https://docs.google.com/spreadsheets/d/13JHU_EFbsQOUQ0JSQ3dWy1VTRosIWcDq6Nc99z2qzdc/edit?usp=sharing"",""หนองคาย!S286"")+IMPORTRANGE(""https://docs.google.com/spreadsheets/d/1Hx73zIEgVdDZZaYSTc46Dqv64atFhpr3GelxLbaIN8A/edit?usp=sharing"",""หนองบัวลำภู"&amp;"!S286"")+IMPORTRANGE(""https://docs.google.com/spreadsheets/d/1lFxr3ctmjFN90yc-xV6jrQ9Ty8BKYVBWnAZ15wcNIJc/edit?usp=sharing"",""อำนาจเจริญ!S286"")+IMPORTRANGE(""https://docs.google.com/spreadsheets/d/1gF7RJpRnL-1oyjyeWxs5SFWEH7y8ahOZsQlyp2A2e-A/edit?usp=s"&amp;"haring"",""อุดรธานี!S286"")+IMPORTRANGE(""https://docs.google.com/spreadsheets/d/1kfLP0j3INXRa8bTDpcEmoWewMBV61jlFlfzczfjWIgc/edit?usp=sharing"",""อุบลราชธานี!S286"")"),0)</f>
        <v>0</v>
      </c>
      <c r="T286" s="59">
        <f t="shared" ca="1" si="209"/>
        <v>0</v>
      </c>
      <c r="U286" s="59">
        <f t="shared" ca="1" si="210"/>
        <v>0</v>
      </c>
    </row>
    <row r="287" spans="1:21" ht="18.75">
      <c r="A287" s="155"/>
      <c r="B287" s="50"/>
      <c r="C287" s="50"/>
      <c r="D287" s="50"/>
      <c r="E287" s="58" t="s">
        <v>37</v>
      </c>
      <c r="F287" s="50"/>
      <c r="G287" s="52"/>
      <c r="H287" s="162" t="s">
        <v>14</v>
      </c>
      <c r="I287" s="163"/>
      <c r="J287" s="163"/>
      <c r="K287" s="164"/>
      <c r="L287" s="56">
        <f ca="1">IFERROR(__xludf.DUMMYFUNCTION("IMPORTRANGE(""https://docs.google.com/spreadsheets/d/1yhBcrRPreicbMKl9Bu_Snb2-OcQAF62RKfhTLhJ2eAA/edit?usp=sharing"",""กาฬสินธุ์!L287"")+IMPORTRANGE(""https://docs.google.com/spreadsheets/d/1aHkj4IaQMThhwWwevcOymEh837vdxeC_PycurhTbGFA/edit?usp=sharing"","&amp;"""ขอนแก่น!L287"")+IMPORTRANGE(""https://docs.google.com/spreadsheets/d/1FvTu2DsIWUjP6WCWra38Bkj_oOl_sOMf14r5Fg5srxU/edit?usp=sharing"",""ชัยภูมิ!L287"")+IMPORTRANGE(""https://docs.google.com/spreadsheets/d/1XVB7oCJ3pr-vBUdflwPQ8Z2LlzhnCvZaaYjAfP-647E/edit"&amp;"?usp=sharing"",""นครพนม!L287"")+IMPORTRANGE(""https://docs.google.com/spreadsheets/d/1Mnpb-8PYAgn85W6KOTD40hc_Xc55CaLfHoGAbrZ8tls/edit?usp=sharing"",""นครราชสีมา!L287"")+IMPORTRANGE(""https://docs.google.com/spreadsheets/d/1xoDLGBv9CYbyosIhki0kTq6IpYNj-gp"&amp;"jxfobnaDiut0/edit?usp=sharing"",""บึงกาฬ!L287"")+IMPORTRANGE(""https://docs.google.com/spreadsheets/d/1MMPq-JyI6DSgQETxuSiXkesP-P7JHuemnE6QJIa-Nlw/edit?usp=sharing"",""บุรีรัมย์!L287"")+IMPORTRANGE(""https://docs.google.com/spreadsheets/d/1l6IZ8xUPgMrESzc"&amp;"TYwhA1k_tPjeQjJPTqlm8Gd9eU5g/edit?usp=sharing"",""มหาสารคาม!L287"")+IMPORTRANGE(""https://docs.google.com/spreadsheets/d/1uB74YLqNjWX6FObjekfB2NtSYigTQyR2rq9u4Ub2Sq4/edit?usp=sharing"",""มุกดาหาร!L287"")+IMPORTRANGE(""https://docs.google.com/spreadsheets/"&amp;"d/1NexK3geCPxCTO1fzNF8dPec7yZyUx3OaWkFBC9HsQOo/edit?usp=sharing"",""ยโสธร!L287"")+IMPORTRANGE(""https://docs.google.com/spreadsheets/d/1v_cJrbBlyqmnHPReHk44g9NrMRdENNlSy_E_c5M9fIg/edit?usp=sharing"",""ร้อยเอ็ด!L287"")+IMPORTRANGE(""https://docs.google.com"&amp;"/spreadsheets/d/1Ul4RCpCX66NxYADU1QpwAPjOmBzW64SsT11s1wzXw_c/edit?usp=sharing"",""เลย!L287"")+IMPORTRANGE(""https://docs.google.com/spreadsheets/d/1bRrNKwbHDVktQG10isr5vbWRtt5spIZPpkOSWgbT5ug/edit?usp=sharing"",""ศรีสะเกษ!L287"")+IMPORTRANGE(""https://doc"&amp;"s.google.com/spreadsheets/d/17P34_Ow5kFBfdQD0qspb2UuPX5zpi6WMrQzslghyvrI/edit?usp=sharing"",""สกลนคร!L287"")+IMPORTRANGE(""https://docs.google.com/spreadsheets/d/1yswqbM3-AEpThF3ZSUa1AcmHnmRTF1vlJ1CZGcJ8YuU/edit?usp=sharing"",""สุรินทร์!L287"")+IMPORTRANG"&amp;"E(""https://docs.google.com/spreadsheets/d/13JHU_EFbsQOUQ0JSQ3dWy1VTRosIWcDq6Nc99z2qzdc/edit?usp=sharing"",""หนองคาย!L287"")+IMPORTRANGE(""https://docs.google.com/spreadsheets/d/1Hx73zIEgVdDZZaYSTc46Dqv64atFhpr3GelxLbaIN8A/edit?usp=sharing"",""หนองบัวลำภู"&amp;"!L287"")+IMPORTRANGE(""https://docs.google.com/spreadsheets/d/1lFxr3ctmjFN90yc-xV6jrQ9Ty8BKYVBWnAZ15wcNIJc/edit?usp=sharing"",""อำนาจเจริญ!L287"")+IMPORTRANGE(""https://docs.google.com/spreadsheets/d/1gF7RJpRnL-1oyjyeWxs5SFWEH7y8ahOZsQlyp2A2e-A/edit?usp=s"&amp;"haring"",""อุดรธานี!L287"")+IMPORTRANGE(""https://docs.google.com/spreadsheets/d/1kfLP0j3INXRa8bTDpcEmoWewMBV61jlFlfzczfjWIgc/edit?usp=sharing"",""อุบลราชธานี!L287"")"),1104420)</f>
        <v>1104420</v>
      </c>
      <c r="M287" s="56">
        <f ca="1">IFERROR(__xludf.DUMMYFUNCTION("IMPORTRANGE(""https://docs.google.com/spreadsheets/d/1yhBcrRPreicbMKl9Bu_Snb2-OcQAF62RKfhTLhJ2eAA/edit?usp=sharing"",""กาฬสินธุ์!M287"")+IMPORTRANGE(""https://docs.google.com/spreadsheets/d/1aHkj4IaQMThhwWwevcOymEh837vdxeC_PycurhTbGFA/edit?usp=sharing"","&amp;"""ขอนแก่น!M287"")+IMPORTRANGE(""https://docs.google.com/spreadsheets/d/1FvTu2DsIWUjP6WCWra38Bkj_oOl_sOMf14r5Fg5srxU/edit?usp=sharing"",""ชัยภูมิ!M287"")+IMPORTRANGE(""https://docs.google.com/spreadsheets/d/1XVB7oCJ3pr-vBUdflwPQ8Z2LlzhnCvZaaYjAfP-647E/edit"&amp;"?usp=sharing"",""นครพนม!M287"")+IMPORTRANGE(""https://docs.google.com/spreadsheets/d/1Mnpb-8PYAgn85W6KOTD40hc_Xc55CaLfHoGAbrZ8tls/edit?usp=sharing"",""นครราชสีมา!M287"")+IMPORTRANGE(""https://docs.google.com/spreadsheets/d/1xoDLGBv9CYbyosIhki0kTq6IpYNj-gp"&amp;"jxfobnaDiut0/edit?usp=sharing"",""บึงกาฬ!M287"")+IMPORTRANGE(""https://docs.google.com/spreadsheets/d/1MMPq-JyI6DSgQETxuSiXkesP-P7JHuemnE6QJIa-Nlw/edit?usp=sharing"",""บุรีรัมย์!M287"")+IMPORTRANGE(""https://docs.google.com/spreadsheets/d/1l6IZ8xUPgMrESzc"&amp;"TYwhA1k_tPjeQjJPTqlm8Gd9eU5g/edit?usp=sharing"",""มหาสารคาม!M287"")+IMPORTRANGE(""https://docs.google.com/spreadsheets/d/1uB74YLqNjWX6FObjekfB2NtSYigTQyR2rq9u4Ub2Sq4/edit?usp=sharing"",""มุกดาหาร!M287"")+IMPORTRANGE(""https://docs.google.com/spreadsheets/"&amp;"d/1NexK3geCPxCTO1fzNF8dPec7yZyUx3OaWkFBC9HsQOo/edit?usp=sharing"",""ยโสธร!M287"")+IMPORTRANGE(""https://docs.google.com/spreadsheets/d/1v_cJrbBlyqmnHPReHk44g9NrMRdENNlSy_E_c5M9fIg/edit?usp=sharing"",""ร้อยเอ็ด!M287"")+IMPORTRANGE(""https://docs.google.com"&amp;"/spreadsheets/d/1Ul4RCpCX66NxYADU1QpwAPjOmBzW64SsT11s1wzXw_c/edit?usp=sharing"",""เลย!M287"")+IMPORTRANGE(""https://docs.google.com/spreadsheets/d/1bRrNKwbHDVktQG10isr5vbWRtt5spIZPpkOSWgbT5ug/edit?usp=sharing"",""ศรีสะเกษ!M287"")+IMPORTRANGE(""https://doc"&amp;"s.google.com/spreadsheets/d/17P34_Ow5kFBfdQD0qspb2UuPX5zpi6WMrQzslghyvrI/edit?usp=sharing"",""สกลนคร!M287"")+IMPORTRANGE(""https://docs.google.com/spreadsheets/d/1yswqbM3-AEpThF3ZSUa1AcmHnmRTF1vlJ1CZGcJ8YuU/edit?usp=sharing"",""สุรินทร์!M287"")+IMPORTRANG"&amp;"E(""https://docs.google.com/spreadsheets/d/13JHU_EFbsQOUQ0JSQ3dWy1VTRosIWcDq6Nc99z2qzdc/edit?usp=sharing"",""หนองคาย!M287"")+IMPORTRANGE(""https://docs.google.com/spreadsheets/d/1Hx73zIEgVdDZZaYSTc46Dqv64atFhpr3GelxLbaIN8A/edit?usp=sharing"",""หนองบัวลำภู"&amp;"!M287"")+IMPORTRANGE(""https://docs.google.com/spreadsheets/d/1lFxr3ctmjFN90yc-xV6jrQ9Ty8BKYVBWnAZ15wcNIJc/edit?usp=sharing"",""อำนาจเจริญ!M287"")+IMPORTRANGE(""https://docs.google.com/spreadsheets/d/1gF7RJpRnL-1oyjyeWxs5SFWEH7y8ahOZsQlyp2A2e-A/edit?usp=s"&amp;"haring"",""อุดรธานี!M287"")+IMPORTRANGE(""https://docs.google.com/spreadsheets/d/1kfLP0j3INXRa8bTDpcEmoWewMBV61jlFlfzczfjWIgc/edit?usp=sharing"",""อุบลราชธานี!M287"")"),1104420)</f>
        <v>1104420</v>
      </c>
      <c r="N287" s="56">
        <f ca="1">IFERROR(__xludf.DUMMYFUNCTION("IMPORTRANGE(""https://docs.google.com/spreadsheets/d/1yhBcrRPreicbMKl9Bu_Snb2-OcQAF62RKfhTLhJ2eAA/edit?usp=sharing"",""กาฬสินธุ์!N287"")+IMPORTRANGE(""https://docs.google.com/spreadsheets/d/1aHkj4IaQMThhwWwevcOymEh837vdxeC_PycurhTbGFA/edit?usp=sharing"","&amp;"""ขอนแก่น!N287"")+IMPORTRANGE(""https://docs.google.com/spreadsheets/d/1FvTu2DsIWUjP6WCWra38Bkj_oOl_sOMf14r5Fg5srxU/edit?usp=sharing"",""ชัยภูมิ!N287"")+IMPORTRANGE(""https://docs.google.com/spreadsheets/d/1XVB7oCJ3pr-vBUdflwPQ8Z2LlzhnCvZaaYjAfP-647E/edit"&amp;"?usp=sharing"",""นครพนม!N287"")+IMPORTRANGE(""https://docs.google.com/spreadsheets/d/1Mnpb-8PYAgn85W6KOTD40hc_Xc55CaLfHoGAbrZ8tls/edit?usp=sharing"",""นครราชสีมา!N287"")+IMPORTRANGE(""https://docs.google.com/spreadsheets/d/1xoDLGBv9CYbyosIhki0kTq6IpYNj-gp"&amp;"jxfobnaDiut0/edit?usp=sharing"",""บึงกาฬ!N287"")+IMPORTRANGE(""https://docs.google.com/spreadsheets/d/1MMPq-JyI6DSgQETxuSiXkesP-P7JHuemnE6QJIa-Nlw/edit?usp=sharing"",""บุรีรัมย์!N287"")+IMPORTRANGE(""https://docs.google.com/spreadsheets/d/1l6IZ8xUPgMrESzc"&amp;"TYwhA1k_tPjeQjJPTqlm8Gd9eU5g/edit?usp=sharing"",""มหาสารคาม!N287"")+IMPORTRANGE(""https://docs.google.com/spreadsheets/d/1uB74YLqNjWX6FObjekfB2NtSYigTQyR2rq9u4Ub2Sq4/edit?usp=sharing"",""มุกดาหาร!N287"")+IMPORTRANGE(""https://docs.google.com/spreadsheets/"&amp;"d/1NexK3geCPxCTO1fzNF8dPec7yZyUx3OaWkFBC9HsQOo/edit?usp=sharing"",""ยโสธร!N287"")+IMPORTRANGE(""https://docs.google.com/spreadsheets/d/1v_cJrbBlyqmnHPReHk44g9NrMRdENNlSy_E_c5M9fIg/edit?usp=sharing"",""ร้อยเอ็ด!N287"")+IMPORTRANGE(""https://docs.google.com"&amp;"/spreadsheets/d/1Ul4RCpCX66NxYADU1QpwAPjOmBzW64SsT11s1wzXw_c/edit?usp=sharing"",""เลย!N287"")+IMPORTRANGE(""https://docs.google.com/spreadsheets/d/1bRrNKwbHDVktQG10isr5vbWRtt5spIZPpkOSWgbT5ug/edit?usp=sharing"",""ศรีสะเกษ!N287"")+IMPORTRANGE(""https://doc"&amp;"s.google.com/spreadsheets/d/17P34_Ow5kFBfdQD0qspb2UuPX5zpi6WMrQzslghyvrI/edit?usp=sharing"",""สกลนคร!N287"")+IMPORTRANGE(""https://docs.google.com/spreadsheets/d/1yswqbM3-AEpThF3ZSUa1AcmHnmRTF1vlJ1CZGcJ8YuU/edit?usp=sharing"",""สุรินทร์!N287"")+IMPORTRANG"&amp;"E(""https://docs.google.com/spreadsheets/d/13JHU_EFbsQOUQ0JSQ3dWy1VTRosIWcDq6Nc99z2qzdc/edit?usp=sharing"",""หนองคาย!N287"")+IMPORTRANGE(""https://docs.google.com/spreadsheets/d/1Hx73zIEgVdDZZaYSTc46Dqv64atFhpr3GelxLbaIN8A/edit?usp=sharing"",""หนองบัวลำภู"&amp;"!N287"")+IMPORTRANGE(""https://docs.google.com/spreadsheets/d/1lFxr3ctmjFN90yc-xV6jrQ9Ty8BKYVBWnAZ15wcNIJc/edit?usp=sharing"",""อำนาจเจริญ!N287"")+IMPORTRANGE(""https://docs.google.com/spreadsheets/d/1gF7RJpRnL-1oyjyeWxs5SFWEH7y8ahOZsQlyp2A2e-A/edit?usp=s"&amp;"haring"",""อุดรธานี!N287"")+IMPORTRANGE(""https://docs.google.com/spreadsheets/d/1kfLP0j3INXRa8bTDpcEmoWewMBV61jlFlfzczfjWIgc/edit?usp=sharing"",""อุบลราชธานี!N287"")"),927001.11)</f>
        <v>927001.11</v>
      </c>
      <c r="O287" s="56">
        <f t="shared" ca="1" si="206"/>
        <v>83.935559841364693</v>
      </c>
      <c r="P287" s="56">
        <f t="shared" ca="1" si="207"/>
        <v>83.935559841364693</v>
      </c>
      <c r="Q287" s="56">
        <f ca="1">IFERROR(__xludf.DUMMYFUNCTION("IMPORTRANGE(""https://docs.google.com/spreadsheets/d/1yhBcrRPreicbMKl9Bu_Snb2-OcQAF62RKfhTLhJ2eAA/edit?usp=sharing"",""กาฬสินธุ์!Q287"")+IMPORTRANGE(""https://docs.google.com/spreadsheets/d/1aHkj4IaQMThhwWwevcOymEh837vdxeC_PycurhTbGFA/edit?usp=sharing"","&amp;"""ขอนแก่น!Q287"")+IMPORTRANGE(""https://docs.google.com/spreadsheets/d/1FvTu2DsIWUjP6WCWra38Bkj_oOl_sOMf14r5Fg5srxU/edit?usp=sharing"",""ชัยภูมิ!Q287"")+IMPORTRANGE(""https://docs.google.com/spreadsheets/d/1XVB7oCJ3pr-vBUdflwPQ8Z2LlzhnCvZaaYjAfP-647E/edit"&amp;"?usp=sharing"",""นครพนม!Q287"")+IMPORTRANGE(""https://docs.google.com/spreadsheets/d/1Mnpb-8PYAgn85W6KOTD40hc_Xc55CaLfHoGAbrZ8tls/edit?usp=sharing"",""นครราชสีมา!Q287"")+IMPORTRANGE(""https://docs.google.com/spreadsheets/d/1xoDLGBv9CYbyosIhki0kTq6IpYNj-gp"&amp;"jxfobnaDiut0/edit?usp=sharing"",""บึงกาฬ!Q287"")+IMPORTRANGE(""https://docs.google.com/spreadsheets/d/1MMPq-JyI6DSgQETxuSiXkesP-P7JHuemnE6QJIa-Nlw/edit?usp=sharing"",""บุรีรัมย์!Q287"")+IMPORTRANGE(""https://docs.google.com/spreadsheets/d/1l6IZ8xUPgMrESzc"&amp;"TYwhA1k_tPjeQjJPTqlm8Gd9eU5g/edit?usp=sharing"",""มหาสารคาม!Q287"")+IMPORTRANGE(""https://docs.google.com/spreadsheets/d/1uB74YLqNjWX6FObjekfB2NtSYigTQyR2rq9u4Ub2Sq4/edit?usp=sharing"",""มุกดาหาร!Q287"")+IMPORTRANGE(""https://docs.google.com/spreadsheets/"&amp;"d/1NexK3geCPxCTO1fzNF8dPec7yZyUx3OaWkFBC9HsQOo/edit?usp=sharing"",""ยโสธร!Q287"")+IMPORTRANGE(""https://docs.google.com/spreadsheets/d/1v_cJrbBlyqmnHPReHk44g9NrMRdENNlSy_E_c5M9fIg/edit?usp=sharing"",""ร้อยเอ็ด!Q287"")+IMPORTRANGE(""https://docs.google.com"&amp;"/spreadsheets/d/1Ul4RCpCX66NxYADU1QpwAPjOmBzW64SsT11s1wzXw_c/edit?usp=sharing"",""เลย!Q287"")+IMPORTRANGE(""https://docs.google.com/spreadsheets/d/1bRrNKwbHDVktQG10isr5vbWRtt5spIZPpkOSWgbT5ug/edit?usp=sharing"",""ศรีสะเกษ!Q287"")+IMPORTRANGE(""https://doc"&amp;"s.google.com/spreadsheets/d/17P34_Ow5kFBfdQD0qspb2UuPX5zpi6WMrQzslghyvrI/edit?usp=sharing"",""สกลนคร!Q287"")+IMPORTRANGE(""https://docs.google.com/spreadsheets/d/1yswqbM3-AEpThF3ZSUa1AcmHnmRTF1vlJ1CZGcJ8YuU/edit?usp=sharing"",""สุรินทร์!Q287"")+IMPORTRANG"&amp;"E(""https://docs.google.com/spreadsheets/d/13JHU_EFbsQOUQ0JSQ3dWy1VTRosIWcDq6Nc99z2qzdc/edit?usp=sharing"",""หนองคาย!Q287"")+IMPORTRANGE(""https://docs.google.com/spreadsheets/d/1Hx73zIEgVdDZZaYSTc46Dqv64atFhpr3GelxLbaIN8A/edit?usp=sharing"",""หนองบัวลำภู"&amp;"!Q287"")+IMPORTRANGE(""https://docs.google.com/spreadsheets/d/1lFxr3ctmjFN90yc-xV6jrQ9Ty8BKYVBWnAZ15wcNIJc/edit?usp=sharing"",""อำนาจเจริญ!Q287"")+IMPORTRANGE(""https://docs.google.com/spreadsheets/d/1gF7RJpRnL-1oyjyeWxs5SFWEH7y8ahOZsQlyp2A2e-A/edit?usp=s"&amp;"haring"",""อุดรธานี!Q287"")+IMPORTRANGE(""https://docs.google.com/spreadsheets/d/1kfLP0j3INXRa8bTDpcEmoWewMBV61jlFlfzczfjWIgc/edit?usp=sharing"",""อุบลราชธานี!Q287"")"),0)</f>
        <v>0</v>
      </c>
      <c r="R287" s="56">
        <f ca="1">IFERROR(__xludf.DUMMYFUNCTION("IMPORTRANGE(""https://docs.google.com/spreadsheets/d/1yhBcrRPreicbMKl9Bu_Snb2-OcQAF62RKfhTLhJ2eAA/edit?usp=sharing"",""กาฬสินธุ์!R287"")+IMPORTRANGE(""https://docs.google.com/spreadsheets/d/1aHkj4IaQMThhwWwevcOymEh837vdxeC_PycurhTbGFA/edit?usp=sharing"","&amp;"""ขอนแก่น!R287"")+IMPORTRANGE(""https://docs.google.com/spreadsheets/d/1FvTu2DsIWUjP6WCWra38Bkj_oOl_sOMf14r5Fg5srxU/edit?usp=sharing"",""ชัยภูมิ!R287"")+IMPORTRANGE(""https://docs.google.com/spreadsheets/d/1XVB7oCJ3pr-vBUdflwPQ8Z2LlzhnCvZaaYjAfP-647E/edit"&amp;"?usp=sharing"",""นครพนม!R287"")+IMPORTRANGE(""https://docs.google.com/spreadsheets/d/1Mnpb-8PYAgn85W6KOTD40hc_Xc55CaLfHoGAbrZ8tls/edit?usp=sharing"",""นครราชสีมา!R287"")+IMPORTRANGE(""https://docs.google.com/spreadsheets/d/1xoDLGBv9CYbyosIhki0kTq6IpYNj-gp"&amp;"jxfobnaDiut0/edit?usp=sharing"",""บึงกาฬ!R287"")+IMPORTRANGE(""https://docs.google.com/spreadsheets/d/1MMPq-JyI6DSgQETxuSiXkesP-P7JHuemnE6QJIa-Nlw/edit?usp=sharing"",""บุรีรัมย์!R287"")+IMPORTRANGE(""https://docs.google.com/spreadsheets/d/1l6IZ8xUPgMrESzc"&amp;"TYwhA1k_tPjeQjJPTqlm8Gd9eU5g/edit?usp=sharing"",""มหาสารคาม!R287"")+IMPORTRANGE(""https://docs.google.com/spreadsheets/d/1uB74YLqNjWX6FObjekfB2NtSYigTQyR2rq9u4Ub2Sq4/edit?usp=sharing"",""มุกดาหาร!R287"")+IMPORTRANGE(""https://docs.google.com/spreadsheets/"&amp;"d/1NexK3geCPxCTO1fzNF8dPec7yZyUx3OaWkFBC9HsQOo/edit?usp=sharing"",""ยโสธร!R287"")+IMPORTRANGE(""https://docs.google.com/spreadsheets/d/1v_cJrbBlyqmnHPReHk44g9NrMRdENNlSy_E_c5M9fIg/edit?usp=sharing"",""ร้อยเอ็ด!R287"")+IMPORTRANGE(""https://docs.google.com"&amp;"/spreadsheets/d/1Ul4RCpCX66NxYADU1QpwAPjOmBzW64SsT11s1wzXw_c/edit?usp=sharing"",""เลย!R287"")+IMPORTRANGE(""https://docs.google.com/spreadsheets/d/1bRrNKwbHDVktQG10isr5vbWRtt5spIZPpkOSWgbT5ug/edit?usp=sharing"",""ศรีสะเกษ!R287"")+IMPORTRANGE(""https://doc"&amp;"s.google.com/spreadsheets/d/17P34_Ow5kFBfdQD0qspb2UuPX5zpi6WMrQzslghyvrI/edit?usp=sharing"",""สกลนคร!R287"")+IMPORTRANGE(""https://docs.google.com/spreadsheets/d/1yswqbM3-AEpThF3ZSUa1AcmHnmRTF1vlJ1CZGcJ8YuU/edit?usp=sharing"",""สุรินทร์!R287"")+IMPORTRANG"&amp;"E(""https://docs.google.com/spreadsheets/d/13JHU_EFbsQOUQ0JSQ3dWy1VTRosIWcDq6Nc99z2qzdc/edit?usp=sharing"",""หนองคาย!R287"")+IMPORTRANGE(""https://docs.google.com/spreadsheets/d/1Hx73zIEgVdDZZaYSTc46Dqv64atFhpr3GelxLbaIN8A/edit?usp=sharing"",""หนองบัวลำภู"&amp;"!R287"")+IMPORTRANGE(""https://docs.google.com/spreadsheets/d/1lFxr3ctmjFN90yc-xV6jrQ9Ty8BKYVBWnAZ15wcNIJc/edit?usp=sharing"",""อำนาจเจริญ!R287"")+IMPORTRANGE(""https://docs.google.com/spreadsheets/d/1gF7RJpRnL-1oyjyeWxs5SFWEH7y8ahOZsQlyp2A2e-A/edit?usp=s"&amp;"haring"",""อุดรธานี!R287"")+IMPORTRANGE(""https://docs.google.com/spreadsheets/d/1kfLP0j3INXRa8bTDpcEmoWewMBV61jlFlfzczfjWIgc/edit?usp=sharing"",""อุบลราชธานี!R287"")"),0)</f>
        <v>0</v>
      </c>
      <c r="S287" s="57">
        <f ca="1">IFERROR(__xludf.DUMMYFUNCTION("IMPORTRANGE(""https://docs.google.com/spreadsheets/d/1yhBcrRPreicbMKl9Bu_Snb2-OcQAF62RKfhTLhJ2eAA/edit?usp=sharing"",""กาฬสินธุ์!S287"")+IMPORTRANGE(""https://docs.google.com/spreadsheets/d/1aHkj4IaQMThhwWwevcOymEh837vdxeC_PycurhTbGFA/edit?usp=sharing"","&amp;"""ขอนแก่น!S287"")+IMPORTRANGE(""https://docs.google.com/spreadsheets/d/1FvTu2DsIWUjP6WCWra38Bkj_oOl_sOMf14r5Fg5srxU/edit?usp=sharing"",""ชัยภูมิ!S287"")+IMPORTRANGE(""https://docs.google.com/spreadsheets/d/1XVB7oCJ3pr-vBUdflwPQ8Z2LlzhnCvZaaYjAfP-647E/edit"&amp;"?usp=sharing"",""นครพนม!S287"")+IMPORTRANGE(""https://docs.google.com/spreadsheets/d/1Mnpb-8PYAgn85W6KOTD40hc_Xc55CaLfHoGAbrZ8tls/edit?usp=sharing"",""นครราชสีมา!S287"")+IMPORTRANGE(""https://docs.google.com/spreadsheets/d/1xoDLGBv9CYbyosIhki0kTq6IpYNj-gp"&amp;"jxfobnaDiut0/edit?usp=sharing"",""บึงกาฬ!S287"")+IMPORTRANGE(""https://docs.google.com/spreadsheets/d/1MMPq-JyI6DSgQETxuSiXkesP-P7JHuemnE6QJIa-Nlw/edit?usp=sharing"",""บุรีรัมย์!S287"")+IMPORTRANGE(""https://docs.google.com/spreadsheets/d/1l6IZ8xUPgMrESzc"&amp;"TYwhA1k_tPjeQjJPTqlm8Gd9eU5g/edit?usp=sharing"",""มหาสารคาม!S287"")+IMPORTRANGE(""https://docs.google.com/spreadsheets/d/1uB74YLqNjWX6FObjekfB2NtSYigTQyR2rq9u4Ub2Sq4/edit?usp=sharing"",""มุกดาหาร!S287"")+IMPORTRANGE(""https://docs.google.com/spreadsheets/"&amp;"d/1NexK3geCPxCTO1fzNF8dPec7yZyUx3OaWkFBC9HsQOo/edit?usp=sharing"",""ยโสธร!S287"")+IMPORTRANGE(""https://docs.google.com/spreadsheets/d/1v_cJrbBlyqmnHPReHk44g9NrMRdENNlSy_E_c5M9fIg/edit?usp=sharing"",""ร้อยเอ็ด!S287"")+IMPORTRANGE(""https://docs.google.com"&amp;"/spreadsheets/d/1Ul4RCpCX66NxYADU1QpwAPjOmBzW64SsT11s1wzXw_c/edit?usp=sharing"",""เลย!S287"")+IMPORTRANGE(""https://docs.google.com/spreadsheets/d/1bRrNKwbHDVktQG10isr5vbWRtt5spIZPpkOSWgbT5ug/edit?usp=sharing"",""ศรีสะเกษ!S287"")+IMPORTRANGE(""https://doc"&amp;"s.google.com/spreadsheets/d/17P34_Ow5kFBfdQD0qspb2UuPX5zpi6WMrQzslghyvrI/edit?usp=sharing"",""สกลนคร!S287"")+IMPORTRANGE(""https://docs.google.com/spreadsheets/d/1yswqbM3-AEpThF3ZSUa1AcmHnmRTF1vlJ1CZGcJ8YuU/edit?usp=sharing"",""สุรินทร์!S287"")+IMPORTRANG"&amp;"E(""https://docs.google.com/spreadsheets/d/13JHU_EFbsQOUQ0JSQ3dWy1VTRosIWcDq6Nc99z2qzdc/edit?usp=sharing"",""หนองคาย!S287"")+IMPORTRANGE(""https://docs.google.com/spreadsheets/d/1Hx73zIEgVdDZZaYSTc46Dqv64atFhpr3GelxLbaIN8A/edit?usp=sharing"",""หนองบัวลำภู"&amp;"!S287"")+IMPORTRANGE(""https://docs.google.com/spreadsheets/d/1lFxr3ctmjFN90yc-xV6jrQ9Ty8BKYVBWnAZ15wcNIJc/edit?usp=sharing"",""อำนาจเจริญ!S287"")+IMPORTRANGE(""https://docs.google.com/spreadsheets/d/1gF7RJpRnL-1oyjyeWxs5SFWEH7y8ahOZsQlyp2A2e-A/edit?usp=s"&amp;"haring"",""อุดรธานี!S287"")+IMPORTRANGE(""https://docs.google.com/spreadsheets/d/1kfLP0j3INXRa8bTDpcEmoWewMBV61jlFlfzczfjWIgc/edit?usp=sharing"",""อุบลราชธานี!S287"")"),0)</f>
        <v>0</v>
      </c>
      <c r="T287" s="59">
        <f t="shared" ca="1" si="209"/>
        <v>0</v>
      </c>
      <c r="U287" s="59">
        <f t="shared" ca="1" si="210"/>
        <v>0</v>
      </c>
    </row>
    <row r="288" spans="1:21" ht="18.75">
      <c r="A288" s="155"/>
      <c r="B288" s="50"/>
      <c r="C288" s="50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56">
        <f t="shared" ref="L288:N288" ca="1" si="217">L289+L290</f>
        <v>0</v>
      </c>
      <c r="M288" s="56">
        <f t="shared" ca="1" si="217"/>
        <v>0</v>
      </c>
      <c r="N288" s="56">
        <f t="shared" ca="1" si="217"/>
        <v>0</v>
      </c>
      <c r="O288" s="56">
        <f t="shared" ca="1" si="206"/>
        <v>0</v>
      </c>
      <c r="P288" s="56">
        <f t="shared" ca="1" si="207"/>
        <v>0</v>
      </c>
      <c r="Q288" s="56">
        <f t="shared" ref="Q288:S288" ca="1" si="218">Q289+Q290</f>
        <v>0</v>
      </c>
      <c r="R288" s="56">
        <f t="shared" ca="1" si="218"/>
        <v>0</v>
      </c>
      <c r="S288" s="57">
        <f t="shared" ca="1" si="218"/>
        <v>0</v>
      </c>
      <c r="T288" s="56">
        <f t="shared" ca="1" si="209"/>
        <v>0</v>
      </c>
      <c r="U288" s="56">
        <f t="shared" ca="1" si="210"/>
        <v>0</v>
      </c>
    </row>
    <row r="289" spans="1:21" ht="18.75">
      <c r="A289" s="155"/>
      <c r="B289" s="50"/>
      <c r="C289" s="50"/>
      <c r="D289" s="50"/>
      <c r="E289" s="58" t="s">
        <v>20</v>
      </c>
      <c r="F289" s="50"/>
      <c r="G289" s="52"/>
      <c r="H289" s="162" t="s">
        <v>14</v>
      </c>
      <c r="I289" s="163"/>
      <c r="J289" s="163"/>
      <c r="K289" s="164"/>
      <c r="L289" s="56">
        <f ca="1">IFERROR(__xludf.DUMMYFUNCTION("IMPORTRANGE(""https://docs.google.com/spreadsheets/d/1yhBcrRPreicbMKl9Bu_Snb2-OcQAF62RKfhTLhJ2eAA/edit?usp=sharing"",""กาฬสินธุ์!L289"")+IMPORTRANGE(""https://docs.google.com/spreadsheets/d/1aHkj4IaQMThhwWwevcOymEh837vdxeC_PycurhTbGFA/edit?usp=sharing"","&amp;"""ขอนแก่น!L289"")+IMPORTRANGE(""https://docs.google.com/spreadsheets/d/1FvTu2DsIWUjP6WCWra38Bkj_oOl_sOMf14r5Fg5srxU/edit?usp=sharing"",""ชัยภูมิ!L289"")+IMPORTRANGE(""https://docs.google.com/spreadsheets/d/1XVB7oCJ3pr-vBUdflwPQ8Z2LlzhnCvZaaYjAfP-647E/edit"&amp;"?usp=sharing"",""นครพนม!L289"")+IMPORTRANGE(""https://docs.google.com/spreadsheets/d/1Mnpb-8PYAgn85W6KOTD40hc_Xc55CaLfHoGAbrZ8tls/edit?usp=sharing"",""นครราชสีมา!L289"")+IMPORTRANGE(""https://docs.google.com/spreadsheets/d/1xoDLGBv9CYbyosIhki0kTq6IpYNj-gp"&amp;"jxfobnaDiut0/edit?usp=sharing"",""บึงกาฬ!L289"")+IMPORTRANGE(""https://docs.google.com/spreadsheets/d/1MMPq-JyI6DSgQETxuSiXkesP-P7JHuemnE6QJIa-Nlw/edit?usp=sharing"",""บุรีรัมย์!L289"")+IMPORTRANGE(""https://docs.google.com/spreadsheets/d/1l6IZ8xUPgMrESzc"&amp;"TYwhA1k_tPjeQjJPTqlm8Gd9eU5g/edit?usp=sharing"",""มหาสารคาม!L289"")+IMPORTRANGE(""https://docs.google.com/spreadsheets/d/1uB74YLqNjWX6FObjekfB2NtSYigTQyR2rq9u4Ub2Sq4/edit?usp=sharing"",""มุกดาหาร!L289"")+IMPORTRANGE(""https://docs.google.com/spreadsheets/"&amp;"d/1NexK3geCPxCTO1fzNF8dPec7yZyUx3OaWkFBC9HsQOo/edit?usp=sharing"",""ยโสธร!L289"")+IMPORTRANGE(""https://docs.google.com/spreadsheets/d/1v_cJrbBlyqmnHPReHk44g9NrMRdENNlSy_E_c5M9fIg/edit?usp=sharing"",""ร้อยเอ็ด!L289"")+IMPORTRANGE(""https://docs.google.com"&amp;"/spreadsheets/d/1Ul4RCpCX66NxYADU1QpwAPjOmBzW64SsT11s1wzXw_c/edit?usp=sharing"",""เลย!L289"")+IMPORTRANGE(""https://docs.google.com/spreadsheets/d/1bRrNKwbHDVktQG10isr5vbWRtt5spIZPpkOSWgbT5ug/edit?usp=sharing"",""ศรีสะเกษ!L289"")+IMPORTRANGE(""https://doc"&amp;"s.google.com/spreadsheets/d/17P34_Ow5kFBfdQD0qspb2UuPX5zpi6WMrQzslghyvrI/edit?usp=sharing"",""สกลนคร!L289"")+IMPORTRANGE(""https://docs.google.com/spreadsheets/d/1yswqbM3-AEpThF3ZSUa1AcmHnmRTF1vlJ1CZGcJ8YuU/edit?usp=sharing"",""สุรินทร์!L289"")+IMPORTRANG"&amp;"E(""https://docs.google.com/spreadsheets/d/13JHU_EFbsQOUQ0JSQ3dWy1VTRosIWcDq6Nc99z2qzdc/edit?usp=sharing"",""หนองคาย!L289"")+IMPORTRANGE(""https://docs.google.com/spreadsheets/d/1Hx73zIEgVdDZZaYSTc46Dqv64atFhpr3GelxLbaIN8A/edit?usp=sharing"",""หนองบัวลำภู"&amp;"!L289"")+IMPORTRANGE(""https://docs.google.com/spreadsheets/d/1lFxr3ctmjFN90yc-xV6jrQ9Ty8BKYVBWnAZ15wcNIJc/edit?usp=sharing"",""อำนาจเจริญ!L289"")+IMPORTRANGE(""https://docs.google.com/spreadsheets/d/1gF7RJpRnL-1oyjyeWxs5SFWEH7y8ahOZsQlyp2A2e-A/edit?usp=s"&amp;"haring"",""อุดรธานี!L289"")+IMPORTRANGE(""https://docs.google.com/spreadsheets/d/1kfLP0j3INXRa8bTDpcEmoWewMBV61jlFlfzczfjWIgc/edit?usp=sharing"",""อุบลราชธานี!L289"")"),0)</f>
        <v>0</v>
      </c>
      <c r="M289" s="56">
        <f ca="1">IFERROR(__xludf.DUMMYFUNCTION("IMPORTRANGE(""https://docs.google.com/spreadsheets/d/1yhBcrRPreicbMKl9Bu_Snb2-OcQAF62RKfhTLhJ2eAA/edit?usp=sharing"",""กาฬสินธุ์!M289"")+IMPORTRANGE(""https://docs.google.com/spreadsheets/d/1aHkj4IaQMThhwWwevcOymEh837vdxeC_PycurhTbGFA/edit?usp=sharing"","&amp;"""ขอนแก่น!M289"")+IMPORTRANGE(""https://docs.google.com/spreadsheets/d/1FvTu2DsIWUjP6WCWra38Bkj_oOl_sOMf14r5Fg5srxU/edit?usp=sharing"",""ชัยภูมิ!M289"")+IMPORTRANGE(""https://docs.google.com/spreadsheets/d/1XVB7oCJ3pr-vBUdflwPQ8Z2LlzhnCvZaaYjAfP-647E/edit"&amp;"?usp=sharing"",""นครพนม!M289"")+IMPORTRANGE(""https://docs.google.com/spreadsheets/d/1Mnpb-8PYAgn85W6KOTD40hc_Xc55CaLfHoGAbrZ8tls/edit?usp=sharing"",""นครราชสีมา!M289"")+IMPORTRANGE(""https://docs.google.com/spreadsheets/d/1xoDLGBv9CYbyosIhki0kTq6IpYNj-gp"&amp;"jxfobnaDiut0/edit?usp=sharing"",""บึงกาฬ!M289"")+IMPORTRANGE(""https://docs.google.com/spreadsheets/d/1MMPq-JyI6DSgQETxuSiXkesP-P7JHuemnE6QJIa-Nlw/edit?usp=sharing"",""บุรีรัมย์!M289"")+IMPORTRANGE(""https://docs.google.com/spreadsheets/d/1l6IZ8xUPgMrESzc"&amp;"TYwhA1k_tPjeQjJPTqlm8Gd9eU5g/edit?usp=sharing"",""มหาสารคาม!M289"")+IMPORTRANGE(""https://docs.google.com/spreadsheets/d/1uB74YLqNjWX6FObjekfB2NtSYigTQyR2rq9u4Ub2Sq4/edit?usp=sharing"",""มุกดาหาร!M289"")+IMPORTRANGE(""https://docs.google.com/spreadsheets/"&amp;"d/1NexK3geCPxCTO1fzNF8dPec7yZyUx3OaWkFBC9HsQOo/edit?usp=sharing"",""ยโสธร!M289"")+IMPORTRANGE(""https://docs.google.com/spreadsheets/d/1v_cJrbBlyqmnHPReHk44g9NrMRdENNlSy_E_c5M9fIg/edit?usp=sharing"",""ร้อยเอ็ด!M289"")+IMPORTRANGE(""https://docs.google.com"&amp;"/spreadsheets/d/1Ul4RCpCX66NxYADU1QpwAPjOmBzW64SsT11s1wzXw_c/edit?usp=sharing"",""เลย!M289"")+IMPORTRANGE(""https://docs.google.com/spreadsheets/d/1bRrNKwbHDVktQG10isr5vbWRtt5spIZPpkOSWgbT5ug/edit?usp=sharing"",""ศรีสะเกษ!M289"")+IMPORTRANGE(""https://doc"&amp;"s.google.com/spreadsheets/d/17P34_Ow5kFBfdQD0qspb2UuPX5zpi6WMrQzslghyvrI/edit?usp=sharing"",""สกลนคร!M289"")+IMPORTRANGE(""https://docs.google.com/spreadsheets/d/1yswqbM3-AEpThF3ZSUa1AcmHnmRTF1vlJ1CZGcJ8YuU/edit?usp=sharing"",""สุรินทร์!M289"")+IMPORTRANG"&amp;"E(""https://docs.google.com/spreadsheets/d/13JHU_EFbsQOUQ0JSQ3dWy1VTRosIWcDq6Nc99z2qzdc/edit?usp=sharing"",""หนองคาย!M289"")+IMPORTRANGE(""https://docs.google.com/spreadsheets/d/1Hx73zIEgVdDZZaYSTc46Dqv64atFhpr3GelxLbaIN8A/edit?usp=sharing"",""หนองบัวลำภู"&amp;"!M289"")+IMPORTRANGE(""https://docs.google.com/spreadsheets/d/1lFxr3ctmjFN90yc-xV6jrQ9Ty8BKYVBWnAZ15wcNIJc/edit?usp=sharing"",""อำนาจเจริญ!M289"")+IMPORTRANGE(""https://docs.google.com/spreadsheets/d/1gF7RJpRnL-1oyjyeWxs5SFWEH7y8ahOZsQlyp2A2e-A/edit?usp=s"&amp;"haring"",""อุดรธานี!M289"")+IMPORTRANGE(""https://docs.google.com/spreadsheets/d/1kfLP0j3INXRa8bTDpcEmoWewMBV61jlFlfzczfjWIgc/edit?usp=sharing"",""อุบลราชธานี!M289"")"),0)</f>
        <v>0</v>
      </c>
      <c r="N289" s="56">
        <f ca="1">IFERROR(__xludf.DUMMYFUNCTION("IMPORTRANGE(""https://docs.google.com/spreadsheets/d/1yhBcrRPreicbMKl9Bu_Snb2-OcQAF62RKfhTLhJ2eAA/edit?usp=sharing"",""กาฬสินธุ์!N289"")+IMPORTRANGE(""https://docs.google.com/spreadsheets/d/1aHkj4IaQMThhwWwevcOymEh837vdxeC_PycurhTbGFA/edit?usp=sharing"","&amp;"""ขอนแก่น!N289"")+IMPORTRANGE(""https://docs.google.com/spreadsheets/d/1FvTu2DsIWUjP6WCWra38Bkj_oOl_sOMf14r5Fg5srxU/edit?usp=sharing"",""ชัยภูมิ!N289"")+IMPORTRANGE(""https://docs.google.com/spreadsheets/d/1XVB7oCJ3pr-vBUdflwPQ8Z2LlzhnCvZaaYjAfP-647E/edit"&amp;"?usp=sharing"",""นครพนม!N289"")+IMPORTRANGE(""https://docs.google.com/spreadsheets/d/1Mnpb-8PYAgn85W6KOTD40hc_Xc55CaLfHoGAbrZ8tls/edit?usp=sharing"",""นครราชสีมา!N289"")+IMPORTRANGE(""https://docs.google.com/spreadsheets/d/1xoDLGBv9CYbyosIhki0kTq6IpYNj-gp"&amp;"jxfobnaDiut0/edit?usp=sharing"",""บึงกาฬ!N289"")+IMPORTRANGE(""https://docs.google.com/spreadsheets/d/1MMPq-JyI6DSgQETxuSiXkesP-P7JHuemnE6QJIa-Nlw/edit?usp=sharing"",""บุรีรัมย์!N289"")+IMPORTRANGE(""https://docs.google.com/spreadsheets/d/1l6IZ8xUPgMrESzc"&amp;"TYwhA1k_tPjeQjJPTqlm8Gd9eU5g/edit?usp=sharing"",""มหาสารคาม!N289"")+IMPORTRANGE(""https://docs.google.com/spreadsheets/d/1uB74YLqNjWX6FObjekfB2NtSYigTQyR2rq9u4Ub2Sq4/edit?usp=sharing"",""มุกดาหาร!N289"")+IMPORTRANGE(""https://docs.google.com/spreadsheets/"&amp;"d/1NexK3geCPxCTO1fzNF8dPec7yZyUx3OaWkFBC9HsQOo/edit?usp=sharing"",""ยโสธร!N289"")+IMPORTRANGE(""https://docs.google.com/spreadsheets/d/1v_cJrbBlyqmnHPReHk44g9NrMRdENNlSy_E_c5M9fIg/edit?usp=sharing"",""ร้อยเอ็ด!N289"")+IMPORTRANGE(""https://docs.google.com"&amp;"/spreadsheets/d/1Ul4RCpCX66NxYADU1QpwAPjOmBzW64SsT11s1wzXw_c/edit?usp=sharing"",""เลย!N289"")+IMPORTRANGE(""https://docs.google.com/spreadsheets/d/1bRrNKwbHDVktQG10isr5vbWRtt5spIZPpkOSWgbT5ug/edit?usp=sharing"",""ศรีสะเกษ!N289"")+IMPORTRANGE(""https://doc"&amp;"s.google.com/spreadsheets/d/17P34_Ow5kFBfdQD0qspb2UuPX5zpi6WMrQzslghyvrI/edit?usp=sharing"",""สกลนคร!N289"")+IMPORTRANGE(""https://docs.google.com/spreadsheets/d/1yswqbM3-AEpThF3ZSUa1AcmHnmRTF1vlJ1CZGcJ8YuU/edit?usp=sharing"",""สุรินทร์!N289"")+IMPORTRANG"&amp;"E(""https://docs.google.com/spreadsheets/d/13JHU_EFbsQOUQ0JSQ3dWy1VTRosIWcDq6Nc99z2qzdc/edit?usp=sharing"",""หนองคาย!N289"")+IMPORTRANGE(""https://docs.google.com/spreadsheets/d/1Hx73zIEgVdDZZaYSTc46Dqv64atFhpr3GelxLbaIN8A/edit?usp=sharing"",""หนองบัวลำภู"&amp;"!N289"")+IMPORTRANGE(""https://docs.google.com/spreadsheets/d/1lFxr3ctmjFN90yc-xV6jrQ9Ty8BKYVBWnAZ15wcNIJc/edit?usp=sharing"",""อำนาจเจริญ!N289"")+IMPORTRANGE(""https://docs.google.com/spreadsheets/d/1gF7RJpRnL-1oyjyeWxs5SFWEH7y8ahOZsQlyp2A2e-A/edit?usp=s"&amp;"haring"",""อุดรธานี!N289"")+IMPORTRANGE(""https://docs.google.com/spreadsheets/d/1kfLP0j3INXRa8bTDpcEmoWewMBV61jlFlfzczfjWIgc/edit?usp=sharing"",""อุบลราชธานี!N289"")"),0)</f>
        <v>0</v>
      </c>
      <c r="O289" s="56">
        <f t="shared" ca="1" si="206"/>
        <v>0</v>
      </c>
      <c r="P289" s="56">
        <f t="shared" ca="1" si="207"/>
        <v>0</v>
      </c>
      <c r="Q289" s="56">
        <f ca="1">IFERROR(__xludf.DUMMYFUNCTION("IMPORTRANGE(""https://docs.google.com/spreadsheets/d/1yhBcrRPreicbMKl9Bu_Snb2-OcQAF62RKfhTLhJ2eAA/edit?usp=sharing"",""กาฬสินธุ์!Q289"")+IMPORTRANGE(""https://docs.google.com/spreadsheets/d/1aHkj4IaQMThhwWwevcOymEh837vdxeC_PycurhTbGFA/edit?usp=sharing"","&amp;"""ขอนแก่น!Q289"")+IMPORTRANGE(""https://docs.google.com/spreadsheets/d/1FvTu2DsIWUjP6WCWra38Bkj_oOl_sOMf14r5Fg5srxU/edit?usp=sharing"",""ชัยภูมิ!Q289"")+IMPORTRANGE(""https://docs.google.com/spreadsheets/d/1XVB7oCJ3pr-vBUdflwPQ8Z2LlzhnCvZaaYjAfP-647E/edit"&amp;"?usp=sharing"",""นครพนม!Q289"")+IMPORTRANGE(""https://docs.google.com/spreadsheets/d/1Mnpb-8PYAgn85W6KOTD40hc_Xc55CaLfHoGAbrZ8tls/edit?usp=sharing"",""นครราชสีมา!Q289"")+IMPORTRANGE(""https://docs.google.com/spreadsheets/d/1xoDLGBv9CYbyosIhki0kTq6IpYNj-gp"&amp;"jxfobnaDiut0/edit?usp=sharing"",""บึงกาฬ!Q289"")+IMPORTRANGE(""https://docs.google.com/spreadsheets/d/1MMPq-JyI6DSgQETxuSiXkesP-P7JHuemnE6QJIa-Nlw/edit?usp=sharing"",""บุรีรัมย์!Q289"")+IMPORTRANGE(""https://docs.google.com/spreadsheets/d/1l6IZ8xUPgMrESzc"&amp;"TYwhA1k_tPjeQjJPTqlm8Gd9eU5g/edit?usp=sharing"",""มหาสารคาม!Q289"")+IMPORTRANGE(""https://docs.google.com/spreadsheets/d/1uB74YLqNjWX6FObjekfB2NtSYigTQyR2rq9u4Ub2Sq4/edit?usp=sharing"",""มุกดาหาร!Q289"")+IMPORTRANGE(""https://docs.google.com/spreadsheets/"&amp;"d/1NexK3geCPxCTO1fzNF8dPec7yZyUx3OaWkFBC9HsQOo/edit?usp=sharing"",""ยโสธร!Q289"")+IMPORTRANGE(""https://docs.google.com/spreadsheets/d/1v_cJrbBlyqmnHPReHk44g9NrMRdENNlSy_E_c5M9fIg/edit?usp=sharing"",""ร้อยเอ็ด!Q289"")+IMPORTRANGE(""https://docs.google.com"&amp;"/spreadsheets/d/1Ul4RCpCX66NxYADU1QpwAPjOmBzW64SsT11s1wzXw_c/edit?usp=sharing"",""เลย!Q289"")+IMPORTRANGE(""https://docs.google.com/spreadsheets/d/1bRrNKwbHDVktQG10isr5vbWRtt5spIZPpkOSWgbT5ug/edit?usp=sharing"",""ศรีสะเกษ!Q289"")+IMPORTRANGE(""https://doc"&amp;"s.google.com/spreadsheets/d/17P34_Ow5kFBfdQD0qspb2UuPX5zpi6WMrQzslghyvrI/edit?usp=sharing"",""สกลนคร!Q289"")+IMPORTRANGE(""https://docs.google.com/spreadsheets/d/1yswqbM3-AEpThF3ZSUa1AcmHnmRTF1vlJ1CZGcJ8YuU/edit?usp=sharing"",""สุรินทร์!Q289"")+IMPORTRANG"&amp;"E(""https://docs.google.com/spreadsheets/d/13JHU_EFbsQOUQ0JSQ3dWy1VTRosIWcDq6Nc99z2qzdc/edit?usp=sharing"",""หนองคาย!Q289"")+IMPORTRANGE(""https://docs.google.com/spreadsheets/d/1Hx73zIEgVdDZZaYSTc46Dqv64atFhpr3GelxLbaIN8A/edit?usp=sharing"",""หนองบัวลำภู"&amp;"!Q289"")+IMPORTRANGE(""https://docs.google.com/spreadsheets/d/1lFxr3ctmjFN90yc-xV6jrQ9Ty8BKYVBWnAZ15wcNIJc/edit?usp=sharing"",""อำนาจเจริญ!Q289"")+IMPORTRANGE(""https://docs.google.com/spreadsheets/d/1gF7RJpRnL-1oyjyeWxs5SFWEH7y8ahOZsQlyp2A2e-A/edit?usp=s"&amp;"haring"",""อุดรธานี!Q289"")+IMPORTRANGE(""https://docs.google.com/spreadsheets/d/1kfLP0j3INXRa8bTDpcEmoWewMBV61jlFlfzczfjWIgc/edit?usp=sharing"",""อุบลราชธานี!Q289"")"),0)</f>
        <v>0</v>
      </c>
      <c r="R289" s="56">
        <f ca="1">IFERROR(__xludf.DUMMYFUNCTION("IMPORTRANGE(""https://docs.google.com/spreadsheets/d/1yhBcrRPreicbMKl9Bu_Snb2-OcQAF62RKfhTLhJ2eAA/edit?usp=sharing"",""กาฬสินธุ์!R289"")+IMPORTRANGE(""https://docs.google.com/spreadsheets/d/1aHkj4IaQMThhwWwevcOymEh837vdxeC_PycurhTbGFA/edit?usp=sharing"","&amp;"""ขอนแก่น!R289"")+IMPORTRANGE(""https://docs.google.com/spreadsheets/d/1FvTu2DsIWUjP6WCWra38Bkj_oOl_sOMf14r5Fg5srxU/edit?usp=sharing"",""ชัยภูมิ!R289"")+IMPORTRANGE(""https://docs.google.com/spreadsheets/d/1XVB7oCJ3pr-vBUdflwPQ8Z2LlzhnCvZaaYjAfP-647E/edit"&amp;"?usp=sharing"",""นครพนม!R289"")+IMPORTRANGE(""https://docs.google.com/spreadsheets/d/1Mnpb-8PYAgn85W6KOTD40hc_Xc55CaLfHoGAbrZ8tls/edit?usp=sharing"",""นครราชสีมา!R289"")+IMPORTRANGE(""https://docs.google.com/spreadsheets/d/1xoDLGBv9CYbyosIhki0kTq6IpYNj-gp"&amp;"jxfobnaDiut0/edit?usp=sharing"",""บึงกาฬ!R289"")+IMPORTRANGE(""https://docs.google.com/spreadsheets/d/1MMPq-JyI6DSgQETxuSiXkesP-P7JHuemnE6QJIa-Nlw/edit?usp=sharing"",""บุรีรัมย์!R289"")+IMPORTRANGE(""https://docs.google.com/spreadsheets/d/1l6IZ8xUPgMrESzc"&amp;"TYwhA1k_tPjeQjJPTqlm8Gd9eU5g/edit?usp=sharing"",""มหาสารคาม!R289"")+IMPORTRANGE(""https://docs.google.com/spreadsheets/d/1uB74YLqNjWX6FObjekfB2NtSYigTQyR2rq9u4Ub2Sq4/edit?usp=sharing"",""มุกดาหาร!R289"")+IMPORTRANGE(""https://docs.google.com/spreadsheets/"&amp;"d/1NexK3geCPxCTO1fzNF8dPec7yZyUx3OaWkFBC9HsQOo/edit?usp=sharing"",""ยโสธร!R289"")+IMPORTRANGE(""https://docs.google.com/spreadsheets/d/1v_cJrbBlyqmnHPReHk44g9NrMRdENNlSy_E_c5M9fIg/edit?usp=sharing"",""ร้อยเอ็ด!R289"")+IMPORTRANGE(""https://docs.google.com"&amp;"/spreadsheets/d/1Ul4RCpCX66NxYADU1QpwAPjOmBzW64SsT11s1wzXw_c/edit?usp=sharing"",""เลย!R289"")+IMPORTRANGE(""https://docs.google.com/spreadsheets/d/1bRrNKwbHDVktQG10isr5vbWRtt5spIZPpkOSWgbT5ug/edit?usp=sharing"",""ศรีสะเกษ!R289"")+IMPORTRANGE(""https://doc"&amp;"s.google.com/spreadsheets/d/17P34_Ow5kFBfdQD0qspb2UuPX5zpi6WMrQzslghyvrI/edit?usp=sharing"",""สกลนคร!R289"")+IMPORTRANGE(""https://docs.google.com/spreadsheets/d/1yswqbM3-AEpThF3ZSUa1AcmHnmRTF1vlJ1CZGcJ8YuU/edit?usp=sharing"",""สุรินทร์!R289"")+IMPORTRANG"&amp;"E(""https://docs.google.com/spreadsheets/d/13JHU_EFbsQOUQ0JSQ3dWy1VTRosIWcDq6Nc99z2qzdc/edit?usp=sharing"",""หนองคาย!R289"")+IMPORTRANGE(""https://docs.google.com/spreadsheets/d/1Hx73zIEgVdDZZaYSTc46Dqv64atFhpr3GelxLbaIN8A/edit?usp=sharing"",""หนองบัวลำภู"&amp;"!R289"")+IMPORTRANGE(""https://docs.google.com/spreadsheets/d/1lFxr3ctmjFN90yc-xV6jrQ9Ty8BKYVBWnAZ15wcNIJc/edit?usp=sharing"",""อำนาจเจริญ!R289"")+IMPORTRANGE(""https://docs.google.com/spreadsheets/d/1gF7RJpRnL-1oyjyeWxs5SFWEH7y8ahOZsQlyp2A2e-A/edit?usp=s"&amp;"haring"",""อุดรธานี!R289"")+IMPORTRANGE(""https://docs.google.com/spreadsheets/d/1kfLP0j3INXRa8bTDpcEmoWewMBV61jlFlfzczfjWIgc/edit?usp=sharing"",""อุบลราชธานี!R289"")"),0)</f>
        <v>0</v>
      </c>
      <c r="S289" s="57">
        <f ca="1">IFERROR(__xludf.DUMMYFUNCTION("IMPORTRANGE(""https://docs.google.com/spreadsheets/d/1yhBcrRPreicbMKl9Bu_Snb2-OcQAF62RKfhTLhJ2eAA/edit?usp=sharing"",""กาฬสินธุ์!S289"")+IMPORTRANGE(""https://docs.google.com/spreadsheets/d/1aHkj4IaQMThhwWwevcOymEh837vdxeC_PycurhTbGFA/edit?usp=sharing"","&amp;"""ขอนแก่น!S289"")+IMPORTRANGE(""https://docs.google.com/spreadsheets/d/1FvTu2DsIWUjP6WCWra38Bkj_oOl_sOMf14r5Fg5srxU/edit?usp=sharing"",""ชัยภูมิ!S289"")+IMPORTRANGE(""https://docs.google.com/spreadsheets/d/1XVB7oCJ3pr-vBUdflwPQ8Z2LlzhnCvZaaYjAfP-647E/edit"&amp;"?usp=sharing"",""นครพนม!S289"")+IMPORTRANGE(""https://docs.google.com/spreadsheets/d/1Mnpb-8PYAgn85W6KOTD40hc_Xc55CaLfHoGAbrZ8tls/edit?usp=sharing"",""นครราชสีมา!S289"")+IMPORTRANGE(""https://docs.google.com/spreadsheets/d/1xoDLGBv9CYbyosIhki0kTq6IpYNj-gp"&amp;"jxfobnaDiut0/edit?usp=sharing"",""บึงกาฬ!S289"")+IMPORTRANGE(""https://docs.google.com/spreadsheets/d/1MMPq-JyI6DSgQETxuSiXkesP-P7JHuemnE6QJIa-Nlw/edit?usp=sharing"",""บุรีรัมย์!S289"")+IMPORTRANGE(""https://docs.google.com/spreadsheets/d/1l6IZ8xUPgMrESzc"&amp;"TYwhA1k_tPjeQjJPTqlm8Gd9eU5g/edit?usp=sharing"",""มหาสารคาม!S289"")+IMPORTRANGE(""https://docs.google.com/spreadsheets/d/1uB74YLqNjWX6FObjekfB2NtSYigTQyR2rq9u4Ub2Sq4/edit?usp=sharing"",""มุกดาหาร!S289"")+IMPORTRANGE(""https://docs.google.com/spreadsheets/"&amp;"d/1NexK3geCPxCTO1fzNF8dPec7yZyUx3OaWkFBC9HsQOo/edit?usp=sharing"",""ยโสธร!S289"")+IMPORTRANGE(""https://docs.google.com/spreadsheets/d/1v_cJrbBlyqmnHPReHk44g9NrMRdENNlSy_E_c5M9fIg/edit?usp=sharing"",""ร้อยเอ็ด!S289"")+IMPORTRANGE(""https://docs.google.com"&amp;"/spreadsheets/d/1Ul4RCpCX66NxYADU1QpwAPjOmBzW64SsT11s1wzXw_c/edit?usp=sharing"",""เลย!S289"")+IMPORTRANGE(""https://docs.google.com/spreadsheets/d/1bRrNKwbHDVktQG10isr5vbWRtt5spIZPpkOSWgbT5ug/edit?usp=sharing"",""ศรีสะเกษ!S289"")+IMPORTRANGE(""https://doc"&amp;"s.google.com/spreadsheets/d/17P34_Ow5kFBfdQD0qspb2UuPX5zpi6WMrQzslghyvrI/edit?usp=sharing"",""สกลนคร!S289"")+IMPORTRANGE(""https://docs.google.com/spreadsheets/d/1yswqbM3-AEpThF3ZSUa1AcmHnmRTF1vlJ1CZGcJ8YuU/edit?usp=sharing"",""สุรินทร์!S289"")+IMPORTRANG"&amp;"E(""https://docs.google.com/spreadsheets/d/13JHU_EFbsQOUQ0JSQ3dWy1VTRosIWcDq6Nc99z2qzdc/edit?usp=sharing"",""หนองคาย!S289"")+IMPORTRANGE(""https://docs.google.com/spreadsheets/d/1Hx73zIEgVdDZZaYSTc46Dqv64atFhpr3GelxLbaIN8A/edit?usp=sharing"",""หนองบัวลำภู"&amp;"!S289"")+IMPORTRANGE(""https://docs.google.com/spreadsheets/d/1lFxr3ctmjFN90yc-xV6jrQ9Ty8BKYVBWnAZ15wcNIJc/edit?usp=sharing"",""อำนาจเจริญ!S289"")+IMPORTRANGE(""https://docs.google.com/spreadsheets/d/1gF7RJpRnL-1oyjyeWxs5SFWEH7y8ahOZsQlyp2A2e-A/edit?usp=s"&amp;"haring"",""อุดรธานี!S289"")+IMPORTRANGE(""https://docs.google.com/spreadsheets/d/1kfLP0j3INXRa8bTDpcEmoWewMBV61jlFlfzczfjWIgc/edit?usp=sharing"",""อุบลราชธานี!S289"")"),0)</f>
        <v>0</v>
      </c>
      <c r="T289" s="59">
        <f t="shared" ca="1" si="209"/>
        <v>0</v>
      </c>
      <c r="U289" s="59">
        <f t="shared" ca="1" si="210"/>
        <v>0</v>
      </c>
    </row>
    <row r="290" spans="1:21" ht="18.75">
      <c r="A290" s="155"/>
      <c r="B290" s="50"/>
      <c r="C290" s="50"/>
      <c r="D290" s="50"/>
      <c r="E290" s="58" t="s">
        <v>21</v>
      </c>
      <c r="F290" s="50"/>
      <c r="G290" s="52"/>
      <c r="H290" s="165" t="s">
        <v>14</v>
      </c>
      <c r="I290" s="163"/>
      <c r="J290" s="163"/>
      <c r="K290" s="164"/>
      <c r="L290" s="56">
        <f ca="1">IFERROR(__xludf.DUMMYFUNCTION("IMPORTRANGE(""https://docs.google.com/spreadsheets/d/1yhBcrRPreicbMKl9Bu_Snb2-OcQAF62RKfhTLhJ2eAA/edit?usp=sharing"",""กาฬสินธุ์!L290"")+IMPORTRANGE(""https://docs.google.com/spreadsheets/d/1aHkj4IaQMThhwWwevcOymEh837vdxeC_PycurhTbGFA/edit?usp=sharing"","&amp;"""ขอนแก่น!L290"")+IMPORTRANGE(""https://docs.google.com/spreadsheets/d/1FvTu2DsIWUjP6WCWra38Bkj_oOl_sOMf14r5Fg5srxU/edit?usp=sharing"",""ชัยภูมิ!L290"")+IMPORTRANGE(""https://docs.google.com/spreadsheets/d/1XVB7oCJ3pr-vBUdflwPQ8Z2LlzhnCvZaaYjAfP-647E/edit"&amp;"?usp=sharing"",""นครพนม!L290"")+IMPORTRANGE(""https://docs.google.com/spreadsheets/d/1Mnpb-8PYAgn85W6KOTD40hc_Xc55CaLfHoGAbrZ8tls/edit?usp=sharing"",""นครราชสีมา!L290"")+IMPORTRANGE(""https://docs.google.com/spreadsheets/d/1xoDLGBv9CYbyosIhki0kTq6IpYNj-gp"&amp;"jxfobnaDiut0/edit?usp=sharing"",""บึงกาฬ!L290"")+IMPORTRANGE(""https://docs.google.com/spreadsheets/d/1MMPq-JyI6DSgQETxuSiXkesP-P7JHuemnE6QJIa-Nlw/edit?usp=sharing"",""บุรีรัมย์!L290"")+IMPORTRANGE(""https://docs.google.com/spreadsheets/d/1l6IZ8xUPgMrESzc"&amp;"TYwhA1k_tPjeQjJPTqlm8Gd9eU5g/edit?usp=sharing"",""มหาสารคาม!L290"")+IMPORTRANGE(""https://docs.google.com/spreadsheets/d/1uB74YLqNjWX6FObjekfB2NtSYigTQyR2rq9u4Ub2Sq4/edit?usp=sharing"",""มุกดาหาร!L290"")+IMPORTRANGE(""https://docs.google.com/spreadsheets/"&amp;"d/1NexK3geCPxCTO1fzNF8dPec7yZyUx3OaWkFBC9HsQOo/edit?usp=sharing"",""ยโสธร!L290"")+IMPORTRANGE(""https://docs.google.com/spreadsheets/d/1v_cJrbBlyqmnHPReHk44g9NrMRdENNlSy_E_c5M9fIg/edit?usp=sharing"",""ร้อยเอ็ด!L290"")+IMPORTRANGE(""https://docs.google.com"&amp;"/spreadsheets/d/1Ul4RCpCX66NxYADU1QpwAPjOmBzW64SsT11s1wzXw_c/edit?usp=sharing"",""เลย!L290"")+IMPORTRANGE(""https://docs.google.com/spreadsheets/d/1bRrNKwbHDVktQG10isr5vbWRtt5spIZPpkOSWgbT5ug/edit?usp=sharing"",""ศรีสะเกษ!L290"")+IMPORTRANGE(""https://doc"&amp;"s.google.com/spreadsheets/d/17P34_Ow5kFBfdQD0qspb2UuPX5zpi6WMrQzslghyvrI/edit?usp=sharing"",""สกลนคร!L290"")+IMPORTRANGE(""https://docs.google.com/spreadsheets/d/1yswqbM3-AEpThF3ZSUa1AcmHnmRTF1vlJ1CZGcJ8YuU/edit?usp=sharing"",""สุรินทร์!L290"")+IMPORTRANG"&amp;"E(""https://docs.google.com/spreadsheets/d/13JHU_EFbsQOUQ0JSQ3dWy1VTRosIWcDq6Nc99z2qzdc/edit?usp=sharing"",""หนองคาย!L290"")+IMPORTRANGE(""https://docs.google.com/spreadsheets/d/1Hx73zIEgVdDZZaYSTc46Dqv64atFhpr3GelxLbaIN8A/edit?usp=sharing"",""หนองบัวลำภู"&amp;"!L290"")+IMPORTRANGE(""https://docs.google.com/spreadsheets/d/1lFxr3ctmjFN90yc-xV6jrQ9Ty8BKYVBWnAZ15wcNIJc/edit?usp=sharing"",""อำนาจเจริญ!L290"")+IMPORTRANGE(""https://docs.google.com/spreadsheets/d/1gF7RJpRnL-1oyjyeWxs5SFWEH7y8ahOZsQlyp2A2e-A/edit?usp=s"&amp;"haring"",""อุดรธานี!L290"")+IMPORTRANGE(""https://docs.google.com/spreadsheets/d/1kfLP0j3INXRa8bTDpcEmoWewMBV61jlFlfzczfjWIgc/edit?usp=sharing"",""อุบลราชธานี!L290"")"),0)</f>
        <v>0</v>
      </c>
      <c r="M290" s="56">
        <f ca="1">IFERROR(__xludf.DUMMYFUNCTION("IMPORTRANGE(""https://docs.google.com/spreadsheets/d/1yhBcrRPreicbMKl9Bu_Snb2-OcQAF62RKfhTLhJ2eAA/edit?usp=sharing"",""กาฬสินธุ์!M290"")+IMPORTRANGE(""https://docs.google.com/spreadsheets/d/1aHkj4IaQMThhwWwevcOymEh837vdxeC_PycurhTbGFA/edit?usp=sharing"","&amp;"""ขอนแก่น!M290"")+IMPORTRANGE(""https://docs.google.com/spreadsheets/d/1FvTu2DsIWUjP6WCWra38Bkj_oOl_sOMf14r5Fg5srxU/edit?usp=sharing"",""ชัยภูมิ!M290"")+IMPORTRANGE(""https://docs.google.com/spreadsheets/d/1XVB7oCJ3pr-vBUdflwPQ8Z2LlzhnCvZaaYjAfP-647E/edit"&amp;"?usp=sharing"",""นครพนม!M290"")+IMPORTRANGE(""https://docs.google.com/spreadsheets/d/1Mnpb-8PYAgn85W6KOTD40hc_Xc55CaLfHoGAbrZ8tls/edit?usp=sharing"",""นครราชสีมา!M290"")+IMPORTRANGE(""https://docs.google.com/spreadsheets/d/1xoDLGBv9CYbyosIhki0kTq6IpYNj-gp"&amp;"jxfobnaDiut0/edit?usp=sharing"",""บึงกาฬ!M290"")+IMPORTRANGE(""https://docs.google.com/spreadsheets/d/1MMPq-JyI6DSgQETxuSiXkesP-P7JHuemnE6QJIa-Nlw/edit?usp=sharing"",""บุรีรัมย์!M290"")+IMPORTRANGE(""https://docs.google.com/spreadsheets/d/1l6IZ8xUPgMrESzc"&amp;"TYwhA1k_tPjeQjJPTqlm8Gd9eU5g/edit?usp=sharing"",""มหาสารคาม!M290"")+IMPORTRANGE(""https://docs.google.com/spreadsheets/d/1uB74YLqNjWX6FObjekfB2NtSYigTQyR2rq9u4Ub2Sq4/edit?usp=sharing"",""มุกดาหาร!M290"")+IMPORTRANGE(""https://docs.google.com/spreadsheets/"&amp;"d/1NexK3geCPxCTO1fzNF8dPec7yZyUx3OaWkFBC9HsQOo/edit?usp=sharing"",""ยโสธร!M290"")+IMPORTRANGE(""https://docs.google.com/spreadsheets/d/1v_cJrbBlyqmnHPReHk44g9NrMRdENNlSy_E_c5M9fIg/edit?usp=sharing"",""ร้อยเอ็ด!M290"")+IMPORTRANGE(""https://docs.google.com"&amp;"/spreadsheets/d/1Ul4RCpCX66NxYADU1QpwAPjOmBzW64SsT11s1wzXw_c/edit?usp=sharing"",""เลย!M290"")+IMPORTRANGE(""https://docs.google.com/spreadsheets/d/1bRrNKwbHDVktQG10isr5vbWRtt5spIZPpkOSWgbT5ug/edit?usp=sharing"",""ศรีสะเกษ!M290"")+IMPORTRANGE(""https://doc"&amp;"s.google.com/spreadsheets/d/17P34_Ow5kFBfdQD0qspb2UuPX5zpi6WMrQzslghyvrI/edit?usp=sharing"",""สกลนคร!M290"")+IMPORTRANGE(""https://docs.google.com/spreadsheets/d/1yswqbM3-AEpThF3ZSUa1AcmHnmRTF1vlJ1CZGcJ8YuU/edit?usp=sharing"",""สุรินทร์!M290"")+IMPORTRANG"&amp;"E(""https://docs.google.com/spreadsheets/d/13JHU_EFbsQOUQ0JSQ3dWy1VTRosIWcDq6Nc99z2qzdc/edit?usp=sharing"",""หนองคาย!M290"")+IMPORTRANGE(""https://docs.google.com/spreadsheets/d/1Hx73zIEgVdDZZaYSTc46Dqv64atFhpr3GelxLbaIN8A/edit?usp=sharing"",""หนองบัวลำภู"&amp;"!M290"")+IMPORTRANGE(""https://docs.google.com/spreadsheets/d/1lFxr3ctmjFN90yc-xV6jrQ9Ty8BKYVBWnAZ15wcNIJc/edit?usp=sharing"",""อำนาจเจริญ!M290"")+IMPORTRANGE(""https://docs.google.com/spreadsheets/d/1gF7RJpRnL-1oyjyeWxs5SFWEH7y8ahOZsQlyp2A2e-A/edit?usp=s"&amp;"haring"",""อุดรธานี!M290"")+IMPORTRANGE(""https://docs.google.com/spreadsheets/d/1kfLP0j3INXRa8bTDpcEmoWewMBV61jlFlfzczfjWIgc/edit?usp=sharing"",""อุบลราชธานี!M290"")"),0)</f>
        <v>0</v>
      </c>
      <c r="N290" s="56">
        <f ca="1">IFERROR(__xludf.DUMMYFUNCTION("IMPORTRANGE(""https://docs.google.com/spreadsheets/d/1yhBcrRPreicbMKl9Bu_Snb2-OcQAF62RKfhTLhJ2eAA/edit?usp=sharing"",""กาฬสินธุ์!N290"")+IMPORTRANGE(""https://docs.google.com/spreadsheets/d/1aHkj4IaQMThhwWwevcOymEh837vdxeC_PycurhTbGFA/edit?usp=sharing"","&amp;"""ขอนแก่น!N290"")+IMPORTRANGE(""https://docs.google.com/spreadsheets/d/1FvTu2DsIWUjP6WCWra38Bkj_oOl_sOMf14r5Fg5srxU/edit?usp=sharing"",""ชัยภูมิ!N290"")+IMPORTRANGE(""https://docs.google.com/spreadsheets/d/1XVB7oCJ3pr-vBUdflwPQ8Z2LlzhnCvZaaYjAfP-647E/edit"&amp;"?usp=sharing"",""นครพนม!N290"")+IMPORTRANGE(""https://docs.google.com/spreadsheets/d/1Mnpb-8PYAgn85W6KOTD40hc_Xc55CaLfHoGAbrZ8tls/edit?usp=sharing"",""นครราชสีมา!N290"")+IMPORTRANGE(""https://docs.google.com/spreadsheets/d/1xoDLGBv9CYbyosIhki0kTq6IpYNj-gp"&amp;"jxfobnaDiut0/edit?usp=sharing"",""บึงกาฬ!N290"")+IMPORTRANGE(""https://docs.google.com/spreadsheets/d/1MMPq-JyI6DSgQETxuSiXkesP-P7JHuemnE6QJIa-Nlw/edit?usp=sharing"",""บุรีรัมย์!N290"")+IMPORTRANGE(""https://docs.google.com/spreadsheets/d/1l6IZ8xUPgMrESzc"&amp;"TYwhA1k_tPjeQjJPTqlm8Gd9eU5g/edit?usp=sharing"",""มหาสารคาม!N290"")+IMPORTRANGE(""https://docs.google.com/spreadsheets/d/1uB74YLqNjWX6FObjekfB2NtSYigTQyR2rq9u4Ub2Sq4/edit?usp=sharing"",""มุกดาหาร!N290"")+IMPORTRANGE(""https://docs.google.com/spreadsheets/"&amp;"d/1NexK3geCPxCTO1fzNF8dPec7yZyUx3OaWkFBC9HsQOo/edit?usp=sharing"",""ยโสธร!N290"")+IMPORTRANGE(""https://docs.google.com/spreadsheets/d/1v_cJrbBlyqmnHPReHk44g9NrMRdENNlSy_E_c5M9fIg/edit?usp=sharing"",""ร้อยเอ็ด!N290"")+IMPORTRANGE(""https://docs.google.com"&amp;"/spreadsheets/d/1Ul4RCpCX66NxYADU1QpwAPjOmBzW64SsT11s1wzXw_c/edit?usp=sharing"",""เลย!N290"")+IMPORTRANGE(""https://docs.google.com/spreadsheets/d/1bRrNKwbHDVktQG10isr5vbWRtt5spIZPpkOSWgbT5ug/edit?usp=sharing"",""ศรีสะเกษ!N290"")+IMPORTRANGE(""https://doc"&amp;"s.google.com/spreadsheets/d/17P34_Ow5kFBfdQD0qspb2UuPX5zpi6WMrQzslghyvrI/edit?usp=sharing"",""สกลนคร!N290"")+IMPORTRANGE(""https://docs.google.com/spreadsheets/d/1yswqbM3-AEpThF3ZSUa1AcmHnmRTF1vlJ1CZGcJ8YuU/edit?usp=sharing"",""สุรินทร์!N290"")+IMPORTRANG"&amp;"E(""https://docs.google.com/spreadsheets/d/13JHU_EFbsQOUQ0JSQ3dWy1VTRosIWcDq6Nc99z2qzdc/edit?usp=sharing"",""หนองคาย!N290"")+IMPORTRANGE(""https://docs.google.com/spreadsheets/d/1Hx73zIEgVdDZZaYSTc46Dqv64atFhpr3GelxLbaIN8A/edit?usp=sharing"",""หนองบัวลำภู"&amp;"!N290"")+IMPORTRANGE(""https://docs.google.com/spreadsheets/d/1lFxr3ctmjFN90yc-xV6jrQ9Ty8BKYVBWnAZ15wcNIJc/edit?usp=sharing"",""อำนาจเจริญ!N290"")+IMPORTRANGE(""https://docs.google.com/spreadsheets/d/1gF7RJpRnL-1oyjyeWxs5SFWEH7y8ahOZsQlyp2A2e-A/edit?usp=s"&amp;"haring"",""อุดรธานี!N290"")+IMPORTRANGE(""https://docs.google.com/spreadsheets/d/1kfLP0j3INXRa8bTDpcEmoWewMBV61jlFlfzczfjWIgc/edit?usp=sharing"",""อุบลราชธานี!N290"")"),0)</f>
        <v>0</v>
      </c>
      <c r="O290" s="56">
        <f t="shared" ca="1" si="206"/>
        <v>0</v>
      </c>
      <c r="P290" s="56">
        <f t="shared" ca="1" si="207"/>
        <v>0</v>
      </c>
      <c r="Q290" s="56">
        <f ca="1">IFERROR(__xludf.DUMMYFUNCTION("IMPORTRANGE(""https://docs.google.com/spreadsheets/d/1yhBcrRPreicbMKl9Bu_Snb2-OcQAF62RKfhTLhJ2eAA/edit?usp=sharing"",""กาฬสินธุ์!Q290"")+IMPORTRANGE(""https://docs.google.com/spreadsheets/d/1aHkj4IaQMThhwWwevcOymEh837vdxeC_PycurhTbGFA/edit?usp=sharing"","&amp;"""ขอนแก่น!Q290"")+IMPORTRANGE(""https://docs.google.com/spreadsheets/d/1FvTu2DsIWUjP6WCWra38Bkj_oOl_sOMf14r5Fg5srxU/edit?usp=sharing"",""ชัยภูมิ!Q290"")+IMPORTRANGE(""https://docs.google.com/spreadsheets/d/1XVB7oCJ3pr-vBUdflwPQ8Z2LlzhnCvZaaYjAfP-647E/edit"&amp;"?usp=sharing"",""นครพนม!Q290"")+IMPORTRANGE(""https://docs.google.com/spreadsheets/d/1Mnpb-8PYAgn85W6KOTD40hc_Xc55CaLfHoGAbrZ8tls/edit?usp=sharing"",""นครราชสีมา!Q290"")+IMPORTRANGE(""https://docs.google.com/spreadsheets/d/1xoDLGBv9CYbyosIhki0kTq6IpYNj-gp"&amp;"jxfobnaDiut0/edit?usp=sharing"",""บึงกาฬ!Q290"")+IMPORTRANGE(""https://docs.google.com/spreadsheets/d/1MMPq-JyI6DSgQETxuSiXkesP-P7JHuemnE6QJIa-Nlw/edit?usp=sharing"",""บุรีรัมย์!Q290"")+IMPORTRANGE(""https://docs.google.com/spreadsheets/d/1l6IZ8xUPgMrESzc"&amp;"TYwhA1k_tPjeQjJPTqlm8Gd9eU5g/edit?usp=sharing"",""มหาสารคาม!Q290"")+IMPORTRANGE(""https://docs.google.com/spreadsheets/d/1uB74YLqNjWX6FObjekfB2NtSYigTQyR2rq9u4Ub2Sq4/edit?usp=sharing"",""มุกดาหาร!Q290"")+IMPORTRANGE(""https://docs.google.com/spreadsheets/"&amp;"d/1NexK3geCPxCTO1fzNF8dPec7yZyUx3OaWkFBC9HsQOo/edit?usp=sharing"",""ยโสธร!Q290"")+IMPORTRANGE(""https://docs.google.com/spreadsheets/d/1v_cJrbBlyqmnHPReHk44g9NrMRdENNlSy_E_c5M9fIg/edit?usp=sharing"",""ร้อยเอ็ด!Q290"")+IMPORTRANGE(""https://docs.google.com"&amp;"/spreadsheets/d/1Ul4RCpCX66NxYADU1QpwAPjOmBzW64SsT11s1wzXw_c/edit?usp=sharing"",""เลย!Q290"")+IMPORTRANGE(""https://docs.google.com/spreadsheets/d/1bRrNKwbHDVktQG10isr5vbWRtt5spIZPpkOSWgbT5ug/edit?usp=sharing"",""ศรีสะเกษ!Q290"")+IMPORTRANGE(""https://doc"&amp;"s.google.com/spreadsheets/d/17P34_Ow5kFBfdQD0qspb2UuPX5zpi6WMrQzslghyvrI/edit?usp=sharing"",""สกลนคร!Q290"")+IMPORTRANGE(""https://docs.google.com/spreadsheets/d/1yswqbM3-AEpThF3ZSUa1AcmHnmRTF1vlJ1CZGcJ8YuU/edit?usp=sharing"",""สุรินทร์!Q290"")+IMPORTRANG"&amp;"E(""https://docs.google.com/spreadsheets/d/13JHU_EFbsQOUQ0JSQ3dWy1VTRosIWcDq6Nc99z2qzdc/edit?usp=sharing"",""หนองคาย!Q290"")+IMPORTRANGE(""https://docs.google.com/spreadsheets/d/1Hx73zIEgVdDZZaYSTc46Dqv64atFhpr3GelxLbaIN8A/edit?usp=sharing"",""หนองบัวลำภู"&amp;"!Q290"")+IMPORTRANGE(""https://docs.google.com/spreadsheets/d/1lFxr3ctmjFN90yc-xV6jrQ9Ty8BKYVBWnAZ15wcNIJc/edit?usp=sharing"",""อำนาจเจริญ!Q290"")+IMPORTRANGE(""https://docs.google.com/spreadsheets/d/1gF7RJpRnL-1oyjyeWxs5SFWEH7y8ahOZsQlyp2A2e-A/edit?usp=s"&amp;"haring"",""อุดรธานี!Q290"")+IMPORTRANGE(""https://docs.google.com/spreadsheets/d/1kfLP0j3INXRa8bTDpcEmoWewMBV61jlFlfzczfjWIgc/edit?usp=sharing"",""อุบลราชธานี!Q290"")"),0)</f>
        <v>0</v>
      </c>
      <c r="R290" s="56">
        <f ca="1">IFERROR(__xludf.DUMMYFUNCTION("IMPORTRANGE(""https://docs.google.com/spreadsheets/d/1yhBcrRPreicbMKl9Bu_Snb2-OcQAF62RKfhTLhJ2eAA/edit?usp=sharing"",""กาฬสินธุ์!R290"")+IMPORTRANGE(""https://docs.google.com/spreadsheets/d/1aHkj4IaQMThhwWwevcOymEh837vdxeC_PycurhTbGFA/edit?usp=sharing"","&amp;"""ขอนแก่น!R290"")+IMPORTRANGE(""https://docs.google.com/spreadsheets/d/1FvTu2DsIWUjP6WCWra38Bkj_oOl_sOMf14r5Fg5srxU/edit?usp=sharing"",""ชัยภูมิ!R290"")+IMPORTRANGE(""https://docs.google.com/spreadsheets/d/1XVB7oCJ3pr-vBUdflwPQ8Z2LlzhnCvZaaYjAfP-647E/edit"&amp;"?usp=sharing"",""นครพนม!R290"")+IMPORTRANGE(""https://docs.google.com/spreadsheets/d/1Mnpb-8PYAgn85W6KOTD40hc_Xc55CaLfHoGAbrZ8tls/edit?usp=sharing"",""นครราชสีมา!R290"")+IMPORTRANGE(""https://docs.google.com/spreadsheets/d/1xoDLGBv9CYbyosIhki0kTq6IpYNj-gp"&amp;"jxfobnaDiut0/edit?usp=sharing"",""บึงกาฬ!R290"")+IMPORTRANGE(""https://docs.google.com/spreadsheets/d/1MMPq-JyI6DSgQETxuSiXkesP-P7JHuemnE6QJIa-Nlw/edit?usp=sharing"",""บุรีรัมย์!R290"")+IMPORTRANGE(""https://docs.google.com/spreadsheets/d/1l6IZ8xUPgMrESzc"&amp;"TYwhA1k_tPjeQjJPTqlm8Gd9eU5g/edit?usp=sharing"",""มหาสารคาม!R290"")+IMPORTRANGE(""https://docs.google.com/spreadsheets/d/1uB74YLqNjWX6FObjekfB2NtSYigTQyR2rq9u4Ub2Sq4/edit?usp=sharing"",""มุกดาหาร!R290"")+IMPORTRANGE(""https://docs.google.com/spreadsheets/"&amp;"d/1NexK3geCPxCTO1fzNF8dPec7yZyUx3OaWkFBC9HsQOo/edit?usp=sharing"",""ยโสธร!R290"")+IMPORTRANGE(""https://docs.google.com/spreadsheets/d/1v_cJrbBlyqmnHPReHk44g9NrMRdENNlSy_E_c5M9fIg/edit?usp=sharing"",""ร้อยเอ็ด!R290"")+IMPORTRANGE(""https://docs.google.com"&amp;"/spreadsheets/d/1Ul4RCpCX66NxYADU1QpwAPjOmBzW64SsT11s1wzXw_c/edit?usp=sharing"",""เลย!R290"")+IMPORTRANGE(""https://docs.google.com/spreadsheets/d/1bRrNKwbHDVktQG10isr5vbWRtt5spIZPpkOSWgbT5ug/edit?usp=sharing"",""ศรีสะเกษ!R290"")+IMPORTRANGE(""https://doc"&amp;"s.google.com/spreadsheets/d/17P34_Ow5kFBfdQD0qspb2UuPX5zpi6WMrQzslghyvrI/edit?usp=sharing"",""สกลนคร!R290"")+IMPORTRANGE(""https://docs.google.com/spreadsheets/d/1yswqbM3-AEpThF3ZSUa1AcmHnmRTF1vlJ1CZGcJ8YuU/edit?usp=sharing"",""สุรินทร์!R290"")+IMPORTRANG"&amp;"E(""https://docs.google.com/spreadsheets/d/13JHU_EFbsQOUQ0JSQ3dWy1VTRosIWcDq6Nc99z2qzdc/edit?usp=sharing"",""หนองคาย!R290"")+IMPORTRANGE(""https://docs.google.com/spreadsheets/d/1Hx73zIEgVdDZZaYSTc46Dqv64atFhpr3GelxLbaIN8A/edit?usp=sharing"",""หนองบัวลำภู"&amp;"!R290"")+IMPORTRANGE(""https://docs.google.com/spreadsheets/d/1lFxr3ctmjFN90yc-xV6jrQ9Ty8BKYVBWnAZ15wcNIJc/edit?usp=sharing"",""อำนาจเจริญ!R290"")+IMPORTRANGE(""https://docs.google.com/spreadsheets/d/1gF7RJpRnL-1oyjyeWxs5SFWEH7y8ahOZsQlyp2A2e-A/edit?usp=s"&amp;"haring"",""อุดรธานี!R290"")+IMPORTRANGE(""https://docs.google.com/spreadsheets/d/1kfLP0j3INXRa8bTDpcEmoWewMBV61jlFlfzczfjWIgc/edit?usp=sharing"",""อุบลราชธานี!R290"")"),0)</f>
        <v>0</v>
      </c>
      <c r="S290" s="57">
        <f ca="1">IFERROR(__xludf.DUMMYFUNCTION("IMPORTRANGE(""https://docs.google.com/spreadsheets/d/1yhBcrRPreicbMKl9Bu_Snb2-OcQAF62RKfhTLhJ2eAA/edit?usp=sharing"",""กาฬสินธุ์!S290"")+IMPORTRANGE(""https://docs.google.com/spreadsheets/d/1aHkj4IaQMThhwWwevcOymEh837vdxeC_PycurhTbGFA/edit?usp=sharing"","&amp;"""ขอนแก่น!S290"")+IMPORTRANGE(""https://docs.google.com/spreadsheets/d/1FvTu2DsIWUjP6WCWra38Bkj_oOl_sOMf14r5Fg5srxU/edit?usp=sharing"",""ชัยภูมิ!S290"")+IMPORTRANGE(""https://docs.google.com/spreadsheets/d/1XVB7oCJ3pr-vBUdflwPQ8Z2LlzhnCvZaaYjAfP-647E/edit"&amp;"?usp=sharing"",""นครพนม!S290"")+IMPORTRANGE(""https://docs.google.com/spreadsheets/d/1Mnpb-8PYAgn85W6KOTD40hc_Xc55CaLfHoGAbrZ8tls/edit?usp=sharing"",""นครราชสีมา!S290"")+IMPORTRANGE(""https://docs.google.com/spreadsheets/d/1xoDLGBv9CYbyosIhki0kTq6IpYNj-gp"&amp;"jxfobnaDiut0/edit?usp=sharing"",""บึงกาฬ!S290"")+IMPORTRANGE(""https://docs.google.com/spreadsheets/d/1MMPq-JyI6DSgQETxuSiXkesP-P7JHuemnE6QJIa-Nlw/edit?usp=sharing"",""บุรีรัมย์!S290"")+IMPORTRANGE(""https://docs.google.com/spreadsheets/d/1l6IZ8xUPgMrESzc"&amp;"TYwhA1k_tPjeQjJPTqlm8Gd9eU5g/edit?usp=sharing"",""มหาสารคาม!S290"")+IMPORTRANGE(""https://docs.google.com/spreadsheets/d/1uB74YLqNjWX6FObjekfB2NtSYigTQyR2rq9u4Ub2Sq4/edit?usp=sharing"",""มุกดาหาร!S290"")+IMPORTRANGE(""https://docs.google.com/spreadsheets/"&amp;"d/1NexK3geCPxCTO1fzNF8dPec7yZyUx3OaWkFBC9HsQOo/edit?usp=sharing"",""ยโสธร!S290"")+IMPORTRANGE(""https://docs.google.com/spreadsheets/d/1v_cJrbBlyqmnHPReHk44g9NrMRdENNlSy_E_c5M9fIg/edit?usp=sharing"",""ร้อยเอ็ด!S290"")+IMPORTRANGE(""https://docs.google.com"&amp;"/spreadsheets/d/1Ul4RCpCX66NxYADU1QpwAPjOmBzW64SsT11s1wzXw_c/edit?usp=sharing"",""เลย!S290"")+IMPORTRANGE(""https://docs.google.com/spreadsheets/d/1bRrNKwbHDVktQG10isr5vbWRtt5spIZPpkOSWgbT5ug/edit?usp=sharing"",""ศรีสะเกษ!S290"")+IMPORTRANGE(""https://doc"&amp;"s.google.com/spreadsheets/d/17P34_Ow5kFBfdQD0qspb2UuPX5zpi6WMrQzslghyvrI/edit?usp=sharing"",""สกลนคร!S290"")+IMPORTRANGE(""https://docs.google.com/spreadsheets/d/1yswqbM3-AEpThF3ZSUa1AcmHnmRTF1vlJ1CZGcJ8YuU/edit?usp=sharing"",""สุรินทร์!S290"")+IMPORTRANG"&amp;"E(""https://docs.google.com/spreadsheets/d/13JHU_EFbsQOUQ0JSQ3dWy1VTRosIWcDq6Nc99z2qzdc/edit?usp=sharing"",""หนองคาย!S290"")+IMPORTRANGE(""https://docs.google.com/spreadsheets/d/1Hx73zIEgVdDZZaYSTc46Dqv64atFhpr3GelxLbaIN8A/edit?usp=sharing"",""หนองบัวลำภู"&amp;"!S290"")+IMPORTRANGE(""https://docs.google.com/spreadsheets/d/1lFxr3ctmjFN90yc-xV6jrQ9Ty8BKYVBWnAZ15wcNIJc/edit?usp=sharing"",""อำนาจเจริญ!S290"")+IMPORTRANGE(""https://docs.google.com/spreadsheets/d/1gF7RJpRnL-1oyjyeWxs5SFWEH7y8ahOZsQlyp2A2e-A/edit?usp=s"&amp;"haring"",""อุดรธานี!S290"")+IMPORTRANGE(""https://docs.google.com/spreadsheets/d/1kfLP0j3INXRa8bTDpcEmoWewMBV61jlFlfzczfjWIgc/edit?usp=sharing"",""อุบลราชธานี!S290"")"),0)</f>
        <v>0</v>
      </c>
      <c r="T290" s="56">
        <f t="shared" ca="1" si="209"/>
        <v>0</v>
      </c>
      <c r="U290" s="56">
        <f t="shared" ca="1" si="210"/>
        <v>0</v>
      </c>
    </row>
    <row r="291" spans="1:21" ht="19.5">
      <c r="A291" s="166"/>
      <c r="B291" s="167"/>
      <c r="C291" s="156" t="s">
        <v>18</v>
      </c>
      <c r="D291" s="168" t="s">
        <v>38</v>
      </c>
      <c r="E291" s="169"/>
      <c r="F291" s="169"/>
      <c r="G291" s="170"/>
      <c r="H291" s="171"/>
      <c r="I291" s="163"/>
      <c r="J291" s="163"/>
      <c r="K291" s="164"/>
      <c r="L291" s="164"/>
      <c r="M291" s="164"/>
      <c r="N291" s="164"/>
      <c r="O291" s="164"/>
      <c r="P291" s="164"/>
      <c r="Q291" s="164"/>
      <c r="R291" s="164"/>
      <c r="S291" s="172"/>
      <c r="T291" s="164"/>
      <c r="U291" s="164"/>
    </row>
    <row r="292" spans="1:21" ht="18.75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181">
        <f ca="1">IFERROR(__xludf.DUMMYFUNCTION("IMPORTRANGE(""https://docs.google.com/spreadsheets/d/1yhBcrRPreicbMKl9Bu_Snb2-OcQAF62RKfhTLhJ2eAA/edit?usp=sharing"",""กาฬสินธุ์!I292"")+IMPORTRANGE(""https://docs.google.com/spreadsheets/d/1aHkj4IaQMThhwWwevcOymEh837vdxeC_PycurhTbGFA/edit?usp=sharing"","&amp;"""ขอนแก่น!I292"")+IMPORTRANGE(""https://docs.google.com/spreadsheets/d/1FvTu2DsIWUjP6WCWra38Bkj_oOl_sOMf14r5Fg5srxU/edit?usp=sharing"",""ชัยภูมิ!I292"")+IMPORTRANGE(""https://docs.google.com/spreadsheets/d/1XVB7oCJ3pr-vBUdflwPQ8Z2LlzhnCvZaaYjAfP-647E/edit"&amp;"?usp=sharing"",""นครพนม!I292"")+IMPORTRANGE(""https://docs.google.com/spreadsheets/d/1Mnpb-8PYAgn85W6KOTD40hc_Xc55CaLfHoGAbrZ8tls/edit?usp=sharing"",""นครราชสีมา!I292"")+IMPORTRANGE(""https://docs.google.com/spreadsheets/d/1xoDLGBv9CYbyosIhki0kTq6IpYNj-gp"&amp;"jxfobnaDiut0/edit?usp=sharing"",""บึงกาฬ!I292"")+IMPORTRANGE(""https://docs.google.com/spreadsheets/d/1MMPq-JyI6DSgQETxuSiXkesP-P7JHuemnE6QJIa-Nlw/edit?usp=sharing"",""บุรีรัมย์!I292"")+IMPORTRANGE(""https://docs.google.com/spreadsheets/d/1l6IZ8xUPgMrESzc"&amp;"TYwhA1k_tPjeQjJPTqlm8Gd9eU5g/edit?usp=sharing"",""มหาสารคาม!I292"")+IMPORTRANGE(""https://docs.google.com/spreadsheets/d/1uB74YLqNjWX6FObjekfB2NtSYigTQyR2rq9u4Ub2Sq4/edit?usp=sharing"",""มุกดาหาร!I292"")+IMPORTRANGE(""https://docs.google.com/spreadsheets/"&amp;"d/1NexK3geCPxCTO1fzNF8dPec7yZyUx3OaWkFBC9HsQOo/edit?usp=sharing"",""ยโสธร!I292"")+IMPORTRANGE(""https://docs.google.com/spreadsheets/d/1v_cJrbBlyqmnHPReHk44g9NrMRdENNlSy_E_c5M9fIg/edit?usp=sharing"",""ร้อยเอ็ด!I292"")+IMPORTRANGE(""https://docs.google.com"&amp;"/spreadsheets/d/1Ul4RCpCX66NxYADU1QpwAPjOmBzW64SsT11s1wzXw_c/edit?usp=sharing"",""เลย!I292"")+IMPORTRANGE(""https://docs.google.com/spreadsheets/d/1bRrNKwbHDVktQG10isr5vbWRtt5spIZPpkOSWgbT5ug/edit?usp=sharing"",""ศรีสะเกษ!I292"")+IMPORTRANGE(""https://doc"&amp;"s.google.com/spreadsheets/d/17P34_Ow5kFBfdQD0qspb2UuPX5zpi6WMrQzslghyvrI/edit?usp=sharing"",""สกลนคร!I292"")+IMPORTRANGE(""https://docs.google.com/spreadsheets/d/1yswqbM3-AEpThF3ZSUa1AcmHnmRTF1vlJ1CZGcJ8YuU/edit?usp=sharing"",""สุรินทร์!I292"")+IMPORTRANG"&amp;"E(""https://docs.google.com/spreadsheets/d/13JHU_EFbsQOUQ0JSQ3dWy1VTRosIWcDq6Nc99z2qzdc/edit?usp=sharing"",""หนองคาย!I292"")+IMPORTRANGE(""https://docs.google.com/spreadsheets/d/1Hx73zIEgVdDZZaYSTc46Dqv64atFhpr3GelxLbaIN8A/edit?usp=sharing"",""หนองบัวลำภู"&amp;"!I292"")+IMPORTRANGE(""https://docs.google.com/spreadsheets/d/1lFxr3ctmjFN90yc-xV6jrQ9Ty8BKYVBWnAZ15wcNIJc/edit?usp=sharing"",""อำนาจเจริญ!I292"")+IMPORTRANGE(""https://docs.google.com/spreadsheets/d/1gF7RJpRnL-1oyjyeWxs5SFWEH7y8ahOZsQlyp2A2e-A/edit?usp=s"&amp;"haring"",""อุดรธานี!I292"")+IMPORTRANGE(""https://docs.google.com/spreadsheets/d/1kfLP0j3INXRa8bTDpcEmoWewMBV61jlFlfzczfjWIgc/edit?usp=sharing"",""อุบลราชธานี!I292"")"),2300)</f>
        <v>2300</v>
      </c>
      <c r="J292" s="181">
        <f ca="1">IFERROR(__xludf.DUMMYFUNCTION("IMPORTRANGE(""https://docs.google.com/spreadsheets/d/1yhBcrRPreicbMKl9Bu_Snb2-OcQAF62RKfhTLhJ2eAA/edit?usp=sharing"",""กาฬสินธุ์!J292"")+IMPORTRANGE(""https://docs.google.com/spreadsheets/d/1aHkj4IaQMThhwWwevcOymEh837vdxeC_PycurhTbGFA/edit?usp=sharing"","&amp;"""ขอนแก่น!J292"")+IMPORTRANGE(""https://docs.google.com/spreadsheets/d/1FvTu2DsIWUjP6WCWra38Bkj_oOl_sOMf14r5Fg5srxU/edit?usp=sharing"",""ชัยภูมิ!J292"")+IMPORTRANGE(""https://docs.google.com/spreadsheets/d/1XVB7oCJ3pr-vBUdflwPQ8Z2LlzhnCvZaaYjAfP-647E/edit"&amp;"?usp=sharing"",""นครพนม!J292"")+IMPORTRANGE(""https://docs.google.com/spreadsheets/d/1Mnpb-8PYAgn85W6KOTD40hc_Xc55CaLfHoGAbrZ8tls/edit?usp=sharing"",""นครราชสีมา!J292"")+IMPORTRANGE(""https://docs.google.com/spreadsheets/d/1xoDLGBv9CYbyosIhki0kTq6IpYNj-gp"&amp;"jxfobnaDiut0/edit?usp=sharing"",""บึงกาฬ!J292"")+IMPORTRANGE(""https://docs.google.com/spreadsheets/d/1MMPq-JyI6DSgQETxuSiXkesP-P7JHuemnE6QJIa-Nlw/edit?usp=sharing"",""บุรีรัมย์!J292"")+IMPORTRANGE(""https://docs.google.com/spreadsheets/d/1l6IZ8xUPgMrESzc"&amp;"TYwhA1k_tPjeQjJPTqlm8Gd9eU5g/edit?usp=sharing"",""มหาสารคาม!J292"")+IMPORTRANGE(""https://docs.google.com/spreadsheets/d/1uB74YLqNjWX6FObjekfB2NtSYigTQyR2rq9u4Ub2Sq4/edit?usp=sharing"",""มุกดาหาร!J292"")+IMPORTRANGE(""https://docs.google.com/spreadsheets/"&amp;"d/1NexK3geCPxCTO1fzNF8dPec7yZyUx3OaWkFBC9HsQOo/edit?usp=sharing"",""ยโสธร!J292"")+IMPORTRANGE(""https://docs.google.com/spreadsheets/d/1v_cJrbBlyqmnHPReHk44g9NrMRdENNlSy_E_c5M9fIg/edit?usp=sharing"",""ร้อยเอ็ด!J292"")+IMPORTRANGE(""https://docs.google.com"&amp;"/spreadsheets/d/1Ul4RCpCX66NxYADU1QpwAPjOmBzW64SsT11s1wzXw_c/edit?usp=sharing"",""เลย!J292"")+IMPORTRANGE(""https://docs.google.com/spreadsheets/d/1bRrNKwbHDVktQG10isr5vbWRtt5spIZPpkOSWgbT5ug/edit?usp=sharing"",""ศรีสะเกษ!J292"")+IMPORTRANGE(""https://doc"&amp;"s.google.com/spreadsheets/d/17P34_Ow5kFBfdQD0qspb2UuPX5zpi6WMrQzslghyvrI/edit?usp=sharing"",""สกลนคร!J292"")+IMPORTRANGE(""https://docs.google.com/spreadsheets/d/1yswqbM3-AEpThF3ZSUa1AcmHnmRTF1vlJ1CZGcJ8YuU/edit?usp=sharing"",""สุรินทร์!J292"")+IMPORTRANG"&amp;"E(""https://docs.google.com/spreadsheets/d/13JHU_EFbsQOUQ0JSQ3dWy1VTRosIWcDq6Nc99z2qzdc/edit?usp=sharing"",""หนองคาย!J292"")+IMPORTRANGE(""https://docs.google.com/spreadsheets/d/1Hx73zIEgVdDZZaYSTc46Dqv64atFhpr3GelxLbaIN8A/edit?usp=sharing"",""หนองบัวลำภู"&amp;"!J292"")+IMPORTRANGE(""https://docs.google.com/spreadsheets/d/1lFxr3ctmjFN90yc-xV6jrQ9Ty8BKYVBWnAZ15wcNIJc/edit?usp=sharing"",""อำนาจเจริญ!J292"")+IMPORTRANGE(""https://docs.google.com/spreadsheets/d/1gF7RJpRnL-1oyjyeWxs5SFWEH7y8ahOZsQlyp2A2e-A/edit?usp=s"&amp;"haring"",""อุดรธานี!J292"")+IMPORTRANGE(""https://docs.google.com/spreadsheets/d/1kfLP0j3INXRa8bTDpcEmoWewMBV61jlFlfzczfjWIgc/edit?usp=sharing"",""อุบลราชธานี!J292"")"),2300)</f>
        <v>2300</v>
      </c>
      <c r="K292" s="182">
        <f t="shared" ref="K292:K293" ca="1" si="219">IF(I292&gt;0,J292*100/I292,0)</f>
        <v>100</v>
      </c>
      <c r="L292" s="164"/>
      <c r="M292" s="164"/>
      <c r="N292" s="164"/>
      <c r="O292" s="164"/>
      <c r="P292" s="164"/>
      <c r="Q292" s="164"/>
      <c r="R292" s="164"/>
      <c r="S292" s="172"/>
      <c r="T292" s="164"/>
      <c r="U292" s="164"/>
    </row>
    <row r="293" spans="1:21" ht="19.5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176">
        <f ca="1">IFERROR(__xludf.DUMMYFUNCTION("IMPORTRANGE(""https://docs.google.com/spreadsheets/d/1yhBcrRPreicbMKl9Bu_Snb2-OcQAF62RKfhTLhJ2eAA/edit?usp=sharing"",""กาฬสินธุ์!I293"")+IMPORTRANGE(""https://docs.google.com/spreadsheets/d/1aHkj4IaQMThhwWwevcOymEh837vdxeC_PycurhTbGFA/edit?usp=sharing"","&amp;"""ขอนแก่น!I293"")+IMPORTRANGE(""https://docs.google.com/spreadsheets/d/1FvTu2DsIWUjP6WCWra38Bkj_oOl_sOMf14r5Fg5srxU/edit?usp=sharing"",""ชัยภูมิ!I293"")+IMPORTRANGE(""https://docs.google.com/spreadsheets/d/1XVB7oCJ3pr-vBUdflwPQ8Z2LlzhnCvZaaYjAfP-647E/edit"&amp;"?usp=sharing"",""นครพนม!I293"")+IMPORTRANGE(""https://docs.google.com/spreadsheets/d/1Mnpb-8PYAgn85W6KOTD40hc_Xc55CaLfHoGAbrZ8tls/edit?usp=sharing"",""นครราชสีมา!I293"")+IMPORTRANGE(""https://docs.google.com/spreadsheets/d/1xoDLGBv9CYbyosIhki0kTq6IpYNj-gp"&amp;"jxfobnaDiut0/edit?usp=sharing"",""บึงกาฬ!I293"")+IMPORTRANGE(""https://docs.google.com/spreadsheets/d/1MMPq-JyI6DSgQETxuSiXkesP-P7JHuemnE6QJIa-Nlw/edit?usp=sharing"",""บุรีรัมย์!I293"")+IMPORTRANGE(""https://docs.google.com/spreadsheets/d/1l6IZ8xUPgMrESzc"&amp;"TYwhA1k_tPjeQjJPTqlm8Gd9eU5g/edit?usp=sharing"",""มหาสารคาม!I293"")+IMPORTRANGE(""https://docs.google.com/spreadsheets/d/1uB74YLqNjWX6FObjekfB2NtSYigTQyR2rq9u4Ub2Sq4/edit?usp=sharing"",""มุกดาหาร!I293"")+IMPORTRANGE(""https://docs.google.com/spreadsheets/"&amp;"d/1NexK3geCPxCTO1fzNF8dPec7yZyUx3OaWkFBC9HsQOo/edit?usp=sharing"",""ยโสธร!I293"")+IMPORTRANGE(""https://docs.google.com/spreadsheets/d/1v_cJrbBlyqmnHPReHk44g9NrMRdENNlSy_E_c5M9fIg/edit?usp=sharing"",""ร้อยเอ็ด!I293"")+IMPORTRANGE(""https://docs.google.com"&amp;"/spreadsheets/d/1Ul4RCpCX66NxYADU1QpwAPjOmBzW64SsT11s1wzXw_c/edit?usp=sharing"",""เลย!I293"")+IMPORTRANGE(""https://docs.google.com/spreadsheets/d/1bRrNKwbHDVktQG10isr5vbWRtt5spIZPpkOSWgbT5ug/edit?usp=sharing"",""ศรีสะเกษ!I293"")+IMPORTRANGE(""https://doc"&amp;"s.google.com/spreadsheets/d/17P34_Ow5kFBfdQD0qspb2UuPX5zpi6WMrQzslghyvrI/edit?usp=sharing"",""สกลนคร!I293"")+IMPORTRANGE(""https://docs.google.com/spreadsheets/d/1yswqbM3-AEpThF3ZSUa1AcmHnmRTF1vlJ1CZGcJ8YuU/edit?usp=sharing"",""สุรินทร์!I293"")+IMPORTRANG"&amp;"E(""https://docs.google.com/spreadsheets/d/13JHU_EFbsQOUQ0JSQ3dWy1VTRosIWcDq6Nc99z2qzdc/edit?usp=sharing"",""หนองคาย!I293"")+IMPORTRANGE(""https://docs.google.com/spreadsheets/d/1Hx73zIEgVdDZZaYSTc46Dqv64atFhpr3GelxLbaIN8A/edit?usp=sharing"",""หนองบัวลำภู"&amp;"!I293"")+IMPORTRANGE(""https://docs.google.com/spreadsheets/d/1lFxr3ctmjFN90yc-xV6jrQ9Ty8BKYVBWnAZ15wcNIJc/edit?usp=sharing"",""อำนาจเจริญ!I293"")+IMPORTRANGE(""https://docs.google.com/spreadsheets/d/1gF7RJpRnL-1oyjyeWxs5SFWEH7y8ahOZsQlyp2A2e-A/edit?usp=s"&amp;"haring"",""อุดรธานี!I293"")+IMPORTRANGE(""https://docs.google.com/spreadsheets/d/1kfLP0j3INXRa8bTDpcEmoWewMBV61jlFlfzczfjWIgc/edit?usp=sharing"",""อุบลราชธานี!I293"")"),230)</f>
        <v>230</v>
      </c>
      <c r="J293" s="176">
        <f ca="1">IFERROR(__xludf.DUMMYFUNCTION("IMPORTRANGE(""https://docs.google.com/spreadsheets/d/1yhBcrRPreicbMKl9Bu_Snb2-OcQAF62RKfhTLhJ2eAA/edit?usp=sharing"",""กาฬสินธุ์!J293"")+IMPORTRANGE(""https://docs.google.com/spreadsheets/d/1aHkj4IaQMThhwWwevcOymEh837vdxeC_PycurhTbGFA/edit?usp=sharing"","&amp;"""ขอนแก่น!J293"")+IMPORTRANGE(""https://docs.google.com/spreadsheets/d/1FvTu2DsIWUjP6WCWra38Bkj_oOl_sOMf14r5Fg5srxU/edit?usp=sharing"",""ชัยภูมิ!J293"")+IMPORTRANGE(""https://docs.google.com/spreadsheets/d/1XVB7oCJ3pr-vBUdflwPQ8Z2LlzhnCvZaaYjAfP-647E/edit"&amp;"?usp=sharing"",""นครพนม!J293"")+IMPORTRANGE(""https://docs.google.com/spreadsheets/d/1Mnpb-8PYAgn85W6KOTD40hc_Xc55CaLfHoGAbrZ8tls/edit?usp=sharing"",""นครราชสีมา!J293"")+IMPORTRANGE(""https://docs.google.com/spreadsheets/d/1xoDLGBv9CYbyosIhki0kTq6IpYNj-gp"&amp;"jxfobnaDiut0/edit?usp=sharing"",""บึงกาฬ!J293"")+IMPORTRANGE(""https://docs.google.com/spreadsheets/d/1MMPq-JyI6DSgQETxuSiXkesP-P7JHuemnE6QJIa-Nlw/edit?usp=sharing"",""บุรีรัมย์!J293"")+IMPORTRANGE(""https://docs.google.com/spreadsheets/d/1l6IZ8xUPgMrESzc"&amp;"TYwhA1k_tPjeQjJPTqlm8Gd9eU5g/edit?usp=sharing"",""มหาสารคาม!J293"")+IMPORTRANGE(""https://docs.google.com/spreadsheets/d/1uB74YLqNjWX6FObjekfB2NtSYigTQyR2rq9u4Ub2Sq4/edit?usp=sharing"",""มุกดาหาร!J293"")+IMPORTRANGE(""https://docs.google.com/spreadsheets/"&amp;"d/1NexK3geCPxCTO1fzNF8dPec7yZyUx3OaWkFBC9HsQOo/edit?usp=sharing"",""ยโสธร!J293"")+IMPORTRANGE(""https://docs.google.com/spreadsheets/d/1v_cJrbBlyqmnHPReHk44g9NrMRdENNlSy_E_c5M9fIg/edit?usp=sharing"",""ร้อยเอ็ด!J293"")+IMPORTRANGE(""https://docs.google.com"&amp;"/spreadsheets/d/1Ul4RCpCX66NxYADU1QpwAPjOmBzW64SsT11s1wzXw_c/edit?usp=sharing"",""เลย!J293"")+IMPORTRANGE(""https://docs.google.com/spreadsheets/d/1bRrNKwbHDVktQG10isr5vbWRtt5spIZPpkOSWgbT5ug/edit?usp=sharing"",""ศรีสะเกษ!J293"")+IMPORTRANGE(""https://doc"&amp;"s.google.com/spreadsheets/d/17P34_Ow5kFBfdQD0qspb2UuPX5zpi6WMrQzslghyvrI/edit?usp=sharing"",""สกลนคร!J293"")+IMPORTRANGE(""https://docs.google.com/spreadsheets/d/1yswqbM3-AEpThF3ZSUa1AcmHnmRTF1vlJ1CZGcJ8YuU/edit?usp=sharing"",""สุรินทร์!J293"")+IMPORTRANG"&amp;"E(""https://docs.google.com/spreadsheets/d/13JHU_EFbsQOUQ0JSQ3dWy1VTRosIWcDq6Nc99z2qzdc/edit?usp=sharing"",""หนองคาย!J293"")+IMPORTRANGE(""https://docs.google.com/spreadsheets/d/1Hx73zIEgVdDZZaYSTc46Dqv64atFhpr3GelxLbaIN8A/edit?usp=sharing"",""หนองบัวลำภู"&amp;"!J293"")+IMPORTRANGE(""https://docs.google.com/spreadsheets/d/1lFxr3ctmjFN90yc-xV6jrQ9Ty8BKYVBWnAZ15wcNIJc/edit?usp=sharing"",""อำนาจเจริญ!J293"")+IMPORTRANGE(""https://docs.google.com/spreadsheets/d/1gF7RJpRnL-1oyjyeWxs5SFWEH7y8ahOZsQlyp2A2e-A/edit?usp=s"&amp;"haring"",""อุดรธานี!J293"")+IMPORTRANGE(""https://docs.google.com/spreadsheets/d/1kfLP0j3INXRa8bTDpcEmoWewMBV61jlFlfzczfjWIgc/edit?usp=sharing"",""อุบลราชธานี!J293"")"),230)</f>
        <v>230</v>
      </c>
      <c r="K293" s="177">
        <f t="shared" ca="1" si="219"/>
        <v>100</v>
      </c>
      <c r="L293" s="164"/>
      <c r="M293" s="164"/>
      <c r="N293" s="164"/>
      <c r="O293" s="164"/>
      <c r="P293" s="164"/>
      <c r="Q293" s="164"/>
      <c r="R293" s="164"/>
      <c r="S293" s="172"/>
      <c r="T293" s="164"/>
      <c r="U293" s="164"/>
    </row>
    <row r="294" spans="1:21" ht="19.5">
      <c r="A294" s="166"/>
      <c r="B294" s="167"/>
      <c r="C294" s="167"/>
      <c r="D294" s="174"/>
      <c r="E294" s="194" t="s">
        <v>122</v>
      </c>
      <c r="F294" s="174"/>
      <c r="G294" s="171"/>
      <c r="H294" s="171"/>
      <c r="I294" s="163"/>
      <c r="J294" s="54"/>
      <c r="K294" s="164"/>
      <c r="L294" s="164"/>
      <c r="M294" s="164"/>
      <c r="N294" s="164"/>
      <c r="O294" s="164"/>
      <c r="P294" s="164"/>
      <c r="Q294" s="164"/>
      <c r="R294" s="164"/>
      <c r="S294" s="172"/>
      <c r="T294" s="164"/>
      <c r="U294" s="164"/>
    </row>
    <row r="295" spans="1:21" ht="19.5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180">
        <f ca="1">IFERROR(__xludf.DUMMYFUNCTION("IMPORTRANGE(""https://docs.google.com/spreadsheets/d/1yhBcrRPreicbMKl9Bu_Snb2-OcQAF62RKfhTLhJ2eAA/edit?usp=sharing"",""กาฬสินธุ์!I295"")+IMPORTRANGE(""https://docs.google.com/spreadsheets/d/1aHkj4IaQMThhwWwevcOymEh837vdxeC_PycurhTbGFA/edit?usp=sharing"","&amp;"""ขอนแก่น!I295"")+IMPORTRANGE(""https://docs.google.com/spreadsheets/d/1FvTu2DsIWUjP6WCWra38Bkj_oOl_sOMf14r5Fg5srxU/edit?usp=sharing"",""ชัยภูมิ!I295"")+IMPORTRANGE(""https://docs.google.com/spreadsheets/d/1XVB7oCJ3pr-vBUdflwPQ8Z2LlzhnCvZaaYjAfP-647E/edit"&amp;"?usp=sharing"",""นครพนม!I295"")+IMPORTRANGE(""https://docs.google.com/spreadsheets/d/1Mnpb-8PYAgn85W6KOTD40hc_Xc55CaLfHoGAbrZ8tls/edit?usp=sharing"",""นครราชสีมา!I295"")+IMPORTRANGE(""https://docs.google.com/spreadsheets/d/1xoDLGBv9CYbyosIhki0kTq6IpYNj-gp"&amp;"jxfobnaDiut0/edit?usp=sharing"",""บึงกาฬ!I295"")+IMPORTRANGE(""https://docs.google.com/spreadsheets/d/1MMPq-JyI6DSgQETxuSiXkesP-P7JHuemnE6QJIa-Nlw/edit?usp=sharing"",""บุรีรัมย์!I295"")+IMPORTRANGE(""https://docs.google.com/spreadsheets/d/1l6IZ8xUPgMrESzc"&amp;"TYwhA1k_tPjeQjJPTqlm8Gd9eU5g/edit?usp=sharing"",""มหาสารคาม!I295"")+IMPORTRANGE(""https://docs.google.com/spreadsheets/d/1uB74YLqNjWX6FObjekfB2NtSYigTQyR2rq9u4Ub2Sq4/edit?usp=sharing"",""มุกดาหาร!I295"")+IMPORTRANGE(""https://docs.google.com/spreadsheets/"&amp;"d/1NexK3geCPxCTO1fzNF8dPec7yZyUx3OaWkFBC9HsQOo/edit?usp=sharing"",""ยโสธร!I295"")+IMPORTRANGE(""https://docs.google.com/spreadsheets/d/1v_cJrbBlyqmnHPReHk44g9NrMRdENNlSy_E_c5M9fIg/edit?usp=sharing"",""ร้อยเอ็ด!I295"")+IMPORTRANGE(""https://docs.google.com"&amp;"/spreadsheets/d/1Ul4RCpCX66NxYADU1QpwAPjOmBzW64SsT11s1wzXw_c/edit?usp=sharing"",""เลย!I295"")+IMPORTRANGE(""https://docs.google.com/spreadsheets/d/1bRrNKwbHDVktQG10isr5vbWRtt5spIZPpkOSWgbT5ug/edit?usp=sharing"",""ศรีสะเกษ!I295"")+IMPORTRANGE(""https://doc"&amp;"s.google.com/spreadsheets/d/17P34_Ow5kFBfdQD0qspb2UuPX5zpi6WMrQzslghyvrI/edit?usp=sharing"",""สกลนคร!I295"")+IMPORTRANGE(""https://docs.google.com/spreadsheets/d/1yswqbM3-AEpThF3ZSUa1AcmHnmRTF1vlJ1CZGcJ8YuU/edit?usp=sharing"",""สุรินทร์!I295"")+IMPORTRANG"&amp;"E(""https://docs.google.com/spreadsheets/d/13JHU_EFbsQOUQ0JSQ3dWy1VTRosIWcDq6Nc99z2qzdc/edit?usp=sharing"",""หนองคาย!I295"")+IMPORTRANGE(""https://docs.google.com/spreadsheets/d/1Hx73zIEgVdDZZaYSTc46Dqv64atFhpr3GelxLbaIN8A/edit?usp=sharing"",""หนองบัวลำภู"&amp;"!I295"")+IMPORTRANGE(""https://docs.google.com/spreadsheets/d/1lFxr3ctmjFN90yc-xV6jrQ9Ty8BKYVBWnAZ15wcNIJc/edit?usp=sharing"",""อำนาจเจริญ!I295"")+IMPORTRANGE(""https://docs.google.com/spreadsheets/d/1gF7RJpRnL-1oyjyeWxs5SFWEH7y8ahOZsQlyp2A2e-A/edit?usp=s"&amp;"haring"",""อุดรธานี!I295"")+IMPORTRANGE(""https://docs.google.com/spreadsheets/d/1kfLP0j3INXRa8bTDpcEmoWewMBV61jlFlfzczfjWIgc/edit?usp=sharing"",""อุบลราชธานี!I295"")"),230)</f>
        <v>230</v>
      </c>
      <c r="J295" s="181">
        <f ca="1">IFERROR(__xludf.DUMMYFUNCTION("IMPORTRANGE(""https://docs.google.com/spreadsheets/d/1yhBcrRPreicbMKl9Bu_Snb2-OcQAF62RKfhTLhJ2eAA/edit?usp=sharing"",""กาฬสินธุ์!J295"")+IMPORTRANGE(""https://docs.google.com/spreadsheets/d/1aHkj4IaQMThhwWwevcOymEh837vdxeC_PycurhTbGFA/edit?usp=sharing"","&amp;"""ขอนแก่น!J295"")+IMPORTRANGE(""https://docs.google.com/spreadsheets/d/1FvTu2DsIWUjP6WCWra38Bkj_oOl_sOMf14r5Fg5srxU/edit?usp=sharing"",""ชัยภูมิ!J295"")+IMPORTRANGE(""https://docs.google.com/spreadsheets/d/1XVB7oCJ3pr-vBUdflwPQ8Z2LlzhnCvZaaYjAfP-647E/edit"&amp;"?usp=sharing"",""นครพนม!J295"")+IMPORTRANGE(""https://docs.google.com/spreadsheets/d/1Mnpb-8PYAgn85W6KOTD40hc_Xc55CaLfHoGAbrZ8tls/edit?usp=sharing"",""นครราชสีมา!J295"")+IMPORTRANGE(""https://docs.google.com/spreadsheets/d/1xoDLGBv9CYbyosIhki0kTq6IpYNj-gp"&amp;"jxfobnaDiut0/edit?usp=sharing"",""บึงกาฬ!J295"")+IMPORTRANGE(""https://docs.google.com/spreadsheets/d/1MMPq-JyI6DSgQETxuSiXkesP-P7JHuemnE6QJIa-Nlw/edit?usp=sharing"",""บุรีรัมย์!J295"")+IMPORTRANGE(""https://docs.google.com/spreadsheets/d/1l6IZ8xUPgMrESzc"&amp;"TYwhA1k_tPjeQjJPTqlm8Gd9eU5g/edit?usp=sharing"",""มหาสารคาม!J295"")+IMPORTRANGE(""https://docs.google.com/spreadsheets/d/1uB74YLqNjWX6FObjekfB2NtSYigTQyR2rq9u4Ub2Sq4/edit?usp=sharing"",""มุกดาหาร!J295"")+IMPORTRANGE(""https://docs.google.com/spreadsheets/"&amp;"d/1NexK3geCPxCTO1fzNF8dPec7yZyUx3OaWkFBC9HsQOo/edit?usp=sharing"",""ยโสธร!J295"")+IMPORTRANGE(""https://docs.google.com/spreadsheets/d/1v_cJrbBlyqmnHPReHk44g9NrMRdENNlSy_E_c5M9fIg/edit?usp=sharing"",""ร้อยเอ็ด!J295"")+IMPORTRANGE(""https://docs.google.com"&amp;"/spreadsheets/d/1Ul4RCpCX66NxYADU1QpwAPjOmBzW64SsT11s1wzXw_c/edit?usp=sharing"",""เลย!J295"")+IMPORTRANGE(""https://docs.google.com/spreadsheets/d/1bRrNKwbHDVktQG10isr5vbWRtt5spIZPpkOSWgbT5ug/edit?usp=sharing"",""ศรีสะเกษ!J295"")+IMPORTRANGE(""https://doc"&amp;"s.google.com/spreadsheets/d/17P34_Ow5kFBfdQD0qspb2UuPX5zpi6WMrQzslghyvrI/edit?usp=sharing"",""สกลนคร!J295"")+IMPORTRANGE(""https://docs.google.com/spreadsheets/d/1yswqbM3-AEpThF3ZSUa1AcmHnmRTF1vlJ1CZGcJ8YuU/edit?usp=sharing"",""สุรินทร์!J295"")+IMPORTRANG"&amp;"E(""https://docs.google.com/spreadsheets/d/13JHU_EFbsQOUQ0JSQ3dWy1VTRosIWcDq6Nc99z2qzdc/edit?usp=sharing"",""หนองคาย!J295"")+IMPORTRANGE(""https://docs.google.com/spreadsheets/d/1Hx73zIEgVdDZZaYSTc46Dqv64atFhpr3GelxLbaIN8A/edit?usp=sharing"",""หนองบัวลำภู"&amp;"!J295"")+IMPORTRANGE(""https://docs.google.com/spreadsheets/d/1lFxr3ctmjFN90yc-xV6jrQ9Ty8BKYVBWnAZ15wcNIJc/edit?usp=sharing"",""อำนาจเจริญ!J295"")+IMPORTRANGE(""https://docs.google.com/spreadsheets/d/1gF7RJpRnL-1oyjyeWxs5SFWEH7y8ahOZsQlyp2A2e-A/edit?usp=s"&amp;"haring"",""อุดรธานี!J295"")+IMPORTRANGE(""https://docs.google.com/spreadsheets/d/1kfLP0j3INXRa8bTDpcEmoWewMBV61jlFlfzczfjWIgc/edit?usp=sharing"",""อุบลราชธานี!J295"")"),230)</f>
        <v>230</v>
      </c>
      <c r="K295" s="182">
        <f t="shared" ref="K295:K296" ca="1" si="220">IF(I295&gt;0,J295*100/I295,0)</f>
        <v>100</v>
      </c>
      <c r="L295" s="164"/>
      <c r="M295" s="164"/>
      <c r="N295" s="164"/>
      <c r="O295" s="164"/>
      <c r="P295" s="164"/>
      <c r="Q295" s="164"/>
      <c r="R295" s="164"/>
      <c r="S295" s="172"/>
      <c r="T295" s="164"/>
      <c r="U295" s="164"/>
    </row>
    <row r="296" spans="1:21" ht="19.5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180">
        <f ca="1">IFERROR(__xludf.DUMMYFUNCTION("IMPORTRANGE(""https://docs.google.com/spreadsheets/d/1yhBcrRPreicbMKl9Bu_Snb2-OcQAF62RKfhTLhJ2eAA/edit?usp=sharing"",""กาฬสินธุ์!I296"")+IMPORTRANGE(""https://docs.google.com/spreadsheets/d/1aHkj4IaQMThhwWwevcOymEh837vdxeC_PycurhTbGFA/edit?usp=sharing"","&amp;"""ขอนแก่น!I296"")+IMPORTRANGE(""https://docs.google.com/spreadsheets/d/1FvTu2DsIWUjP6WCWra38Bkj_oOl_sOMf14r5Fg5srxU/edit?usp=sharing"",""ชัยภูมิ!I296"")+IMPORTRANGE(""https://docs.google.com/spreadsheets/d/1XVB7oCJ3pr-vBUdflwPQ8Z2LlzhnCvZaaYjAfP-647E/edit"&amp;"?usp=sharing"",""นครพนม!I296"")+IMPORTRANGE(""https://docs.google.com/spreadsheets/d/1Mnpb-8PYAgn85W6KOTD40hc_Xc55CaLfHoGAbrZ8tls/edit?usp=sharing"",""นครราชสีมา!I296"")+IMPORTRANGE(""https://docs.google.com/spreadsheets/d/1xoDLGBv9CYbyosIhki0kTq6IpYNj-gp"&amp;"jxfobnaDiut0/edit?usp=sharing"",""บึงกาฬ!I296"")+IMPORTRANGE(""https://docs.google.com/spreadsheets/d/1MMPq-JyI6DSgQETxuSiXkesP-P7JHuemnE6QJIa-Nlw/edit?usp=sharing"",""บุรีรัมย์!I296"")+IMPORTRANGE(""https://docs.google.com/spreadsheets/d/1l6IZ8xUPgMrESzc"&amp;"TYwhA1k_tPjeQjJPTqlm8Gd9eU5g/edit?usp=sharing"",""มหาสารคาม!I296"")+IMPORTRANGE(""https://docs.google.com/spreadsheets/d/1uB74YLqNjWX6FObjekfB2NtSYigTQyR2rq9u4Ub2Sq4/edit?usp=sharing"",""มุกดาหาร!I296"")+IMPORTRANGE(""https://docs.google.com/spreadsheets/"&amp;"d/1NexK3geCPxCTO1fzNF8dPec7yZyUx3OaWkFBC9HsQOo/edit?usp=sharing"",""ยโสธร!I296"")+IMPORTRANGE(""https://docs.google.com/spreadsheets/d/1v_cJrbBlyqmnHPReHk44g9NrMRdENNlSy_E_c5M9fIg/edit?usp=sharing"",""ร้อยเอ็ด!I296"")+IMPORTRANGE(""https://docs.google.com"&amp;"/spreadsheets/d/1Ul4RCpCX66NxYADU1QpwAPjOmBzW64SsT11s1wzXw_c/edit?usp=sharing"",""เลย!I296"")+IMPORTRANGE(""https://docs.google.com/spreadsheets/d/1bRrNKwbHDVktQG10isr5vbWRtt5spIZPpkOSWgbT5ug/edit?usp=sharing"",""ศรีสะเกษ!I296"")+IMPORTRANGE(""https://doc"&amp;"s.google.com/spreadsheets/d/17P34_Ow5kFBfdQD0qspb2UuPX5zpi6WMrQzslghyvrI/edit?usp=sharing"",""สกลนคร!I296"")+IMPORTRANGE(""https://docs.google.com/spreadsheets/d/1yswqbM3-AEpThF3ZSUa1AcmHnmRTF1vlJ1CZGcJ8YuU/edit?usp=sharing"",""สุรินทร์!I296"")+IMPORTRANG"&amp;"E(""https://docs.google.com/spreadsheets/d/13JHU_EFbsQOUQ0JSQ3dWy1VTRosIWcDq6Nc99z2qzdc/edit?usp=sharing"",""หนองคาย!I296"")+IMPORTRANGE(""https://docs.google.com/spreadsheets/d/1Hx73zIEgVdDZZaYSTc46Dqv64atFhpr3GelxLbaIN8A/edit?usp=sharing"",""หนองบัวลำภู"&amp;"!I296"")+IMPORTRANGE(""https://docs.google.com/spreadsheets/d/1lFxr3ctmjFN90yc-xV6jrQ9Ty8BKYVBWnAZ15wcNIJc/edit?usp=sharing"",""อำนาจเจริญ!I296"")+IMPORTRANGE(""https://docs.google.com/spreadsheets/d/1gF7RJpRnL-1oyjyeWxs5SFWEH7y8ahOZsQlyp2A2e-A/edit?usp=s"&amp;"haring"",""อุดรธานี!I296"")+IMPORTRANGE(""https://docs.google.com/spreadsheets/d/1kfLP0j3INXRa8bTDpcEmoWewMBV61jlFlfzczfjWIgc/edit?usp=sharing"",""อุบลราชธานี!I296"")"),230)</f>
        <v>230</v>
      </c>
      <c r="J296" s="181">
        <f ca="1">IFERROR(__xludf.DUMMYFUNCTION("IMPORTRANGE(""https://docs.google.com/spreadsheets/d/1yhBcrRPreicbMKl9Bu_Snb2-OcQAF62RKfhTLhJ2eAA/edit?usp=sharing"",""กาฬสินธุ์!J296"")+IMPORTRANGE(""https://docs.google.com/spreadsheets/d/1aHkj4IaQMThhwWwevcOymEh837vdxeC_PycurhTbGFA/edit?usp=sharing"","&amp;"""ขอนแก่น!J296"")+IMPORTRANGE(""https://docs.google.com/spreadsheets/d/1FvTu2DsIWUjP6WCWra38Bkj_oOl_sOMf14r5Fg5srxU/edit?usp=sharing"",""ชัยภูมิ!J296"")+IMPORTRANGE(""https://docs.google.com/spreadsheets/d/1XVB7oCJ3pr-vBUdflwPQ8Z2LlzhnCvZaaYjAfP-647E/edit"&amp;"?usp=sharing"",""นครพนม!J296"")+IMPORTRANGE(""https://docs.google.com/spreadsheets/d/1Mnpb-8PYAgn85W6KOTD40hc_Xc55CaLfHoGAbrZ8tls/edit?usp=sharing"",""นครราชสีมา!J296"")+IMPORTRANGE(""https://docs.google.com/spreadsheets/d/1xoDLGBv9CYbyosIhki0kTq6IpYNj-gp"&amp;"jxfobnaDiut0/edit?usp=sharing"",""บึงกาฬ!J296"")+IMPORTRANGE(""https://docs.google.com/spreadsheets/d/1MMPq-JyI6DSgQETxuSiXkesP-P7JHuemnE6QJIa-Nlw/edit?usp=sharing"",""บุรีรัมย์!J296"")+IMPORTRANGE(""https://docs.google.com/spreadsheets/d/1l6IZ8xUPgMrESzc"&amp;"TYwhA1k_tPjeQjJPTqlm8Gd9eU5g/edit?usp=sharing"",""มหาสารคาม!J296"")+IMPORTRANGE(""https://docs.google.com/spreadsheets/d/1uB74YLqNjWX6FObjekfB2NtSYigTQyR2rq9u4Ub2Sq4/edit?usp=sharing"",""มุกดาหาร!J296"")+IMPORTRANGE(""https://docs.google.com/spreadsheets/"&amp;"d/1NexK3geCPxCTO1fzNF8dPec7yZyUx3OaWkFBC9HsQOo/edit?usp=sharing"",""ยโสธร!J296"")+IMPORTRANGE(""https://docs.google.com/spreadsheets/d/1v_cJrbBlyqmnHPReHk44g9NrMRdENNlSy_E_c5M9fIg/edit?usp=sharing"",""ร้อยเอ็ด!J296"")+IMPORTRANGE(""https://docs.google.com"&amp;"/spreadsheets/d/1Ul4RCpCX66NxYADU1QpwAPjOmBzW64SsT11s1wzXw_c/edit?usp=sharing"",""เลย!J296"")+IMPORTRANGE(""https://docs.google.com/spreadsheets/d/1bRrNKwbHDVktQG10isr5vbWRtt5spIZPpkOSWgbT5ug/edit?usp=sharing"",""ศรีสะเกษ!J296"")+IMPORTRANGE(""https://doc"&amp;"s.google.com/spreadsheets/d/17P34_Ow5kFBfdQD0qspb2UuPX5zpi6WMrQzslghyvrI/edit?usp=sharing"",""สกลนคร!J296"")+IMPORTRANGE(""https://docs.google.com/spreadsheets/d/1yswqbM3-AEpThF3ZSUa1AcmHnmRTF1vlJ1CZGcJ8YuU/edit?usp=sharing"",""สุรินทร์!J296"")+IMPORTRANG"&amp;"E(""https://docs.google.com/spreadsheets/d/13JHU_EFbsQOUQ0JSQ3dWy1VTRosIWcDq6Nc99z2qzdc/edit?usp=sharing"",""หนองคาย!J296"")+IMPORTRANGE(""https://docs.google.com/spreadsheets/d/1Hx73zIEgVdDZZaYSTc46Dqv64atFhpr3GelxLbaIN8A/edit?usp=sharing"",""หนองบัวลำภู"&amp;"!J296"")+IMPORTRANGE(""https://docs.google.com/spreadsheets/d/1lFxr3ctmjFN90yc-xV6jrQ9Ty8BKYVBWnAZ15wcNIJc/edit?usp=sharing"",""อำนาจเจริญ!J296"")+IMPORTRANGE(""https://docs.google.com/spreadsheets/d/1gF7RJpRnL-1oyjyeWxs5SFWEH7y8ahOZsQlyp2A2e-A/edit?usp=s"&amp;"haring"",""อุดรธานี!J296"")+IMPORTRANGE(""https://docs.google.com/spreadsheets/d/1kfLP0j3INXRa8bTDpcEmoWewMBV61jlFlfzczfjWIgc/edit?usp=sharing"",""อุบลราชธานี!J296"")"),230)</f>
        <v>230</v>
      </c>
      <c r="K296" s="182">
        <f t="shared" ca="1" si="220"/>
        <v>100</v>
      </c>
      <c r="L296" s="164"/>
      <c r="M296" s="164"/>
      <c r="N296" s="164"/>
      <c r="O296" s="164"/>
      <c r="P296" s="164"/>
      <c r="Q296" s="164"/>
      <c r="R296" s="164"/>
      <c r="S296" s="172"/>
      <c r="T296" s="164"/>
      <c r="U296" s="164"/>
    </row>
    <row r="297" spans="1:21" ht="12.75">
      <c r="A297" s="192"/>
      <c r="B297" s="193"/>
      <c r="C297" s="193"/>
      <c r="D297" s="22"/>
      <c r="E297" s="22"/>
      <c r="F297" s="22"/>
      <c r="G297" s="23"/>
      <c r="H297" s="23"/>
      <c r="I297" s="24"/>
      <c r="J297" s="24"/>
      <c r="K297" s="25"/>
      <c r="L297" s="25"/>
      <c r="M297" s="25"/>
      <c r="N297" s="25"/>
      <c r="O297" s="25"/>
      <c r="P297" s="25"/>
      <c r="Q297" s="25"/>
      <c r="R297" s="25"/>
      <c r="S297" s="26"/>
      <c r="T297" s="25"/>
      <c r="U297" s="25"/>
    </row>
    <row r="298" spans="1:21" ht="12.75">
      <c r="A298" s="192"/>
      <c r="B298" s="193"/>
      <c r="C298" s="193"/>
      <c r="D298" s="22"/>
      <c r="E298" s="22"/>
      <c r="F298" s="22"/>
      <c r="G298" s="23"/>
      <c r="H298" s="23"/>
      <c r="I298" s="24"/>
      <c r="J298" s="24"/>
      <c r="K298" s="25"/>
      <c r="L298" s="25"/>
      <c r="M298" s="25"/>
      <c r="N298" s="25"/>
      <c r="O298" s="25"/>
      <c r="P298" s="25"/>
      <c r="Q298" s="25"/>
      <c r="R298" s="25"/>
      <c r="S298" s="26"/>
      <c r="T298" s="25"/>
      <c r="U298" s="25"/>
    </row>
    <row r="299" spans="1:21" ht="12.75">
      <c r="A299" s="311"/>
      <c r="B299" s="312"/>
      <c r="C299" s="312"/>
      <c r="D299" s="27"/>
      <c r="E299" s="27"/>
      <c r="F299" s="27"/>
      <c r="G299" s="17"/>
      <c r="H299" s="17"/>
      <c r="I299" s="18"/>
      <c r="J299" s="18"/>
      <c r="K299" s="19"/>
      <c r="L299" s="19"/>
      <c r="M299" s="19"/>
      <c r="N299" s="19"/>
      <c r="O299" s="19"/>
      <c r="P299" s="19"/>
      <c r="Q299" s="19"/>
      <c r="R299" s="19"/>
      <c r="S299" s="28"/>
      <c r="T299" s="19"/>
      <c r="U299" s="19"/>
    </row>
    <row r="300" spans="1:21" ht="19.5">
      <c r="A300" s="313" t="s">
        <v>125</v>
      </c>
      <c r="B300" s="314"/>
      <c r="C300" s="314"/>
      <c r="D300" s="314"/>
      <c r="E300" s="315"/>
      <c r="F300" s="315"/>
      <c r="G300" s="315"/>
      <c r="H300" s="315"/>
      <c r="I300" s="316"/>
      <c r="J300" s="316"/>
      <c r="K300" s="317"/>
      <c r="L300" s="317"/>
      <c r="M300" s="317"/>
      <c r="N300" s="317"/>
      <c r="O300" s="317"/>
      <c r="P300" s="318"/>
      <c r="Q300" s="317"/>
      <c r="R300" s="317"/>
      <c r="S300" s="317"/>
      <c r="T300" s="317"/>
      <c r="U300" s="318"/>
    </row>
    <row r="301" spans="1:21" ht="19.5">
      <c r="A301" s="319" t="s">
        <v>126</v>
      </c>
      <c r="B301" s="320"/>
      <c r="C301" s="320"/>
      <c r="D301" s="321"/>
      <c r="E301" s="321"/>
      <c r="F301" s="321"/>
      <c r="G301" s="322"/>
      <c r="H301" s="322"/>
      <c r="I301" s="323"/>
      <c r="J301" s="323"/>
      <c r="K301" s="324"/>
      <c r="L301" s="324"/>
      <c r="M301" s="324"/>
      <c r="N301" s="324"/>
      <c r="O301" s="324"/>
      <c r="P301" s="324"/>
      <c r="Q301" s="324"/>
      <c r="R301" s="324"/>
      <c r="S301" s="325"/>
      <c r="T301" s="324"/>
      <c r="U301" s="324"/>
    </row>
    <row r="302" spans="1:21" ht="19.5">
      <c r="A302" s="326"/>
      <c r="B302" s="327" t="s">
        <v>127</v>
      </c>
      <c r="C302" s="328"/>
      <c r="D302" s="328"/>
      <c r="E302" s="328"/>
      <c r="F302" s="328"/>
      <c r="G302" s="329"/>
      <c r="H302" s="330" t="s">
        <v>35</v>
      </c>
      <c r="I302" s="331">
        <f t="shared" ref="I302:J302" ca="1" si="221">I314</f>
        <v>475</v>
      </c>
      <c r="J302" s="331">
        <f t="shared" ca="1" si="221"/>
        <v>225</v>
      </c>
      <c r="K302" s="332">
        <f ca="1">IF(I302&gt;0,J302*100/I302,0)</f>
        <v>47.368421052631582</v>
      </c>
      <c r="L302" s="333"/>
      <c r="M302" s="333"/>
      <c r="N302" s="333"/>
      <c r="O302" s="333"/>
      <c r="P302" s="333"/>
      <c r="Q302" s="333"/>
      <c r="R302" s="333"/>
      <c r="S302" s="334"/>
      <c r="T302" s="333"/>
      <c r="U302" s="333"/>
    </row>
    <row r="303" spans="1:21" ht="19.5">
      <c r="A303" s="155"/>
      <c r="B303" s="50"/>
      <c r="C303" s="156" t="s">
        <v>18</v>
      </c>
      <c r="D303" s="157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159">
        <f t="shared" ref="L303:N303" ca="1" si="222">L304+L305</f>
        <v>1259700</v>
      </c>
      <c r="M303" s="159">
        <f t="shared" ca="1" si="222"/>
        <v>1259700</v>
      </c>
      <c r="N303" s="159">
        <f t="shared" ca="1" si="222"/>
        <v>1003603.99</v>
      </c>
      <c r="O303" s="159">
        <f t="shared" ref="O303:O311" ca="1" si="223">IF(L303&gt;0,N303*100/L303,0)</f>
        <v>79.670079383980308</v>
      </c>
      <c r="P303" s="159">
        <f t="shared" ref="P303:P311" ca="1" si="224">IF(M303&gt;0,N303*100/M303,0)</f>
        <v>79.670079383980308</v>
      </c>
      <c r="Q303" s="159">
        <f t="shared" ref="Q303:S303" ca="1" si="225">Q304+Q305</f>
        <v>3742634.15</v>
      </c>
      <c r="R303" s="159">
        <f t="shared" ca="1" si="225"/>
        <v>3742630</v>
      </c>
      <c r="S303" s="160">
        <f t="shared" ca="1" si="225"/>
        <v>271997.5</v>
      </c>
      <c r="T303" s="159">
        <f t="shared" ref="T303:T311" ca="1" si="226">IF(Q303&gt;0,S303*100/Q303,0)</f>
        <v>7.2675417660045669</v>
      </c>
      <c r="U303" s="159">
        <f t="shared" ref="U303:U311" ca="1" si="227">IF(R303&gt;0,S303*100/R303,0)</f>
        <v>7.2675498245885919</v>
      </c>
    </row>
    <row r="304" spans="1:21" ht="18.75">
      <c r="A304" s="155"/>
      <c r="B304" s="50"/>
      <c r="C304" s="50"/>
      <c r="D304" s="50"/>
      <c r="E304" s="58" t="s">
        <v>20</v>
      </c>
      <c r="F304" s="50"/>
      <c r="G304" s="52"/>
      <c r="H304" s="161" t="s">
        <v>14</v>
      </c>
      <c r="I304" s="54"/>
      <c r="J304" s="54"/>
      <c r="K304" s="55"/>
      <c r="L304" s="56">
        <f t="shared" ref="L304:N304" ca="1" si="228">L307+L310</f>
        <v>0</v>
      </c>
      <c r="M304" s="56">
        <f t="shared" ca="1" si="228"/>
        <v>0</v>
      </c>
      <c r="N304" s="56">
        <f t="shared" ca="1" si="228"/>
        <v>0</v>
      </c>
      <c r="O304" s="56">
        <f t="shared" ca="1" si="223"/>
        <v>0</v>
      </c>
      <c r="P304" s="56">
        <f t="shared" ca="1" si="224"/>
        <v>0</v>
      </c>
      <c r="Q304" s="56">
        <f t="shared" ref="Q304:S304" ca="1" si="229">Q307+Q310</f>
        <v>0</v>
      </c>
      <c r="R304" s="56">
        <f t="shared" ca="1" si="229"/>
        <v>0</v>
      </c>
      <c r="S304" s="57">
        <f t="shared" ca="1" si="229"/>
        <v>0</v>
      </c>
      <c r="T304" s="59">
        <f t="shared" ca="1" si="226"/>
        <v>0</v>
      </c>
      <c r="U304" s="59">
        <f t="shared" ca="1" si="227"/>
        <v>0</v>
      </c>
    </row>
    <row r="305" spans="1:21" ht="18.75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56">
        <f t="shared" ref="L305:N305" ca="1" si="230">L308+L311</f>
        <v>1259700</v>
      </c>
      <c r="M305" s="56">
        <f t="shared" ca="1" si="230"/>
        <v>1259700</v>
      </c>
      <c r="N305" s="56">
        <f t="shared" ca="1" si="230"/>
        <v>1003603.99</v>
      </c>
      <c r="O305" s="56">
        <f t="shared" ca="1" si="223"/>
        <v>79.670079383980308</v>
      </c>
      <c r="P305" s="56">
        <f t="shared" ca="1" si="224"/>
        <v>79.670079383980308</v>
      </c>
      <c r="Q305" s="56">
        <f t="shared" ref="Q305:S305" ca="1" si="231">Q308+Q311</f>
        <v>3742634.15</v>
      </c>
      <c r="R305" s="56">
        <f t="shared" ca="1" si="231"/>
        <v>3742630</v>
      </c>
      <c r="S305" s="57">
        <f t="shared" ca="1" si="231"/>
        <v>271997.5</v>
      </c>
      <c r="T305" s="56">
        <f t="shared" ca="1" si="226"/>
        <v>7.2675417660045669</v>
      </c>
      <c r="U305" s="56">
        <f t="shared" ca="1" si="227"/>
        <v>7.2675498245885919</v>
      </c>
    </row>
    <row r="306" spans="1:21" ht="18.75">
      <c r="A306" s="155"/>
      <c r="B306" s="50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56">
        <f t="shared" ref="L306:N306" ca="1" si="232">L307+L308</f>
        <v>1259700</v>
      </c>
      <c r="M306" s="56">
        <f t="shared" ca="1" si="232"/>
        <v>1259700</v>
      </c>
      <c r="N306" s="56">
        <f t="shared" ca="1" si="232"/>
        <v>1003603.99</v>
      </c>
      <c r="O306" s="56">
        <f t="shared" ca="1" si="223"/>
        <v>79.670079383980308</v>
      </c>
      <c r="P306" s="56">
        <f t="shared" ca="1" si="224"/>
        <v>79.670079383980308</v>
      </c>
      <c r="Q306" s="56">
        <f t="shared" ref="Q306:S306" ca="1" si="233">Q307+Q308</f>
        <v>3742634.15</v>
      </c>
      <c r="R306" s="56">
        <f t="shared" ca="1" si="233"/>
        <v>3742630</v>
      </c>
      <c r="S306" s="57">
        <f t="shared" ca="1" si="233"/>
        <v>271997.5</v>
      </c>
      <c r="T306" s="56">
        <f t="shared" ca="1" si="226"/>
        <v>7.2675417660045669</v>
      </c>
      <c r="U306" s="56">
        <f t="shared" ca="1" si="227"/>
        <v>7.2675498245885919</v>
      </c>
    </row>
    <row r="307" spans="1:21" ht="18.75">
      <c r="A307" s="155"/>
      <c r="B307" s="50"/>
      <c r="C307" s="50"/>
      <c r="D307" s="50"/>
      <c r="E307" s="58" t="s">
        <v>36</v>
      </c>
      <c r="F307" s="50"/>
      <c r="G307" s="52"/>
      <c r="H307" s="162" t="s">
        <v>14</v>
      </c>
      <c r="I307" s="163"/>
      <c r="J307" s="163"/>
      <c r="K307" s="164"/>
      <c r="L307" s="56">
        <f ca="1">IFERROR(__xludf.DUMMYFUNCTION("IMPORTRANGE(""https://docs.google.com/spreadsheets/d/1yhBcrRPreicbMKl9Bu_Snb2-OcQAF62RKfhTLhJ2eAA/edit?usp=sharing"",""กาฬสินธุ์!L307"")+IMPORTRANGE(""https://docs.google.com/spreadsheets/d/1aHkj4IaQMThhwWwevcOymEh837vdxeC_PycurhTbGFA/edit?usp=sharing"","&amp;"""ขอนแก่น!L307"")+IMPORTRANGE(""https://docs.google.com/spreadsheets/d/1FvTu2DsIWUjP6WCWra38Bkj_oOl_sOMf14r5Fg5srxU/edit?usp=sharing"",""ชัยภูมิ!L307"")+IMPORTRANGE(""https://docs.google.com/spreadsheets/d/1XVB7oCJ3pr-vBUdflwPQ8Z2LlzhnCvZaaYjAfP-647E/edit"&amp;"?usp=sharing"",""นครพนม!L307"")+IMPORTRANGE(""https://docs.google.com/spreadsheets/d/1Mnpb-8PYAgn85W6KOTD40hc_Xc55CaLfHoGAbrZ8tls/edit?usp=sharing"",""นครราชสีมา!L307"")+IMPORTRANGE(""https://docs.google.com/spreadsheets/d/1xoDLGBv9CYbyosIhki0kTq6IpYNj-gp"&amp;"jxfobnaDiut0/edit?usp=sharing"",""บึงกาฬ!L307"")+IMPORTRANGE(""https://docs.google.com/spreadsheets/d/1MMPq-JyI6DSgQETxuSiXkesP-P7JHuemnE6QJIa-Nlw/edit?usp=sharing"",""บุรีรัมย์!L307"")+IMPORTRANGE(""https://docs.google.com/spreadsheets/d/1l6IZ8xUPgMrESzc"&amp;"TYwhA1k_tPjeQjJPTqlm8Gd9eU5g/edit?usp=sharing"",""มหาสารคาม!L307"")+IMPORTRANGE(""https://docs.google.com/spreadsheets/d/1uB74YLqNjWX6FObjekfB2NtSYigTQyR2rq9u4Ub2Sq4/edit?usp=sharing"",""มุกดาหาร!L307"")+IMPORTRANGE(""https://docs.google.com/spreadsheets/"&amp;"d/1NexK3geCPxCTO1fzNF8dPec7yZyUx3OaWkFBC9HsQOo/edit?usp=sharing"",""ยโสธร!L307"")+IMPORTRANGE(""https://docs.google.com/spreadsheets/d/1v_cJrbBlyqmnHPReHk44g9NrMRdENNlSy_E_c5M9fIg/edit?usp=sharing"",""ร้อยเอ็ด!L307"")+IMPORTRANGE(""https://docs.google.com"&amp;"/spreadsheets/d/1Ul4RCpCX66NxYADU1QpwAPjOmBzW64SsT11s1wzXw_c/edit?usp=sharing"",""เลย!L307"")+IMPORTRANGE(""https://docs.google.com/spreadsheets/d/1bRrNKwbHDVktQG10isr5vbWRtt5spIZPpkOSWgbT5ug/edit?usp=sharing"",""ศรีสะเกษ!L307"")+IMPORTRANGE(""https://doc"&amp;"s.google.com/spreadsheets/d/17P34_Ow5kFBfdQD0qspb2UuPX5zpi6WMrQzslghyvrI/edit?usp=sharing"",""สกลนคร!L307"")+IMPORTRANGE(""https://docs.google.com/spreadsheets/d/1yswqbM3-AEpThF3ZSUa1AcmHnmRTF1vlJ1CZGcJ8YuU/edit?usp=sharing"",""สุรินทร์!L307"")+IMPORTRANG"&amp;"E(""https://docs.google.com/spreadsheets/d/13JHU_EFbsQOUQ0JSQ3dWy1VTRosIWcDq6Nc99z2qzdc/edit?usp=sharing"",""หนองคาย!L307"")+IMPORTRANGE(""https://docs.google.com/spreadsheets/d/1Hx73zIEgVdDZZaYSTc46Dqv64atFhpr3GelxLbaIN8A/edit?usp=sharing"",""หนองบัวลำภู"&amp;"!L307"")+IMPORTRANGE(""https://docs.google.com/spreadsheets/d/1lFxr3ctmjFN90yc-xV6jrQ9Ty8BKYVBWnAZ15wcNIJc/edit?usp=sharing"",""อำนาจเจริญ!L307"")+IMPORTRANGE(""https://docs.google.com/spreadsheets/d/1gF7RJpRnL-1oyjyeWxs5SFWEH7y8ahOZsQlyp2A2e-A/edit?usp=s"&amp;"haring"",""อุดรธานี!L307"")+IMPORTRANGE(""https://docs.google.com/spreadsheets/d/1kfLP0j3INXRa8bTDpcEmoWewMBV61jlFlfzczfjWIgc/edit?usp=sharing"",""อุบลราชธานี!L307"")"),0)</f>
        <v>0</v>
      </c>
      <c r="M307" s="56">
        <f ca="1">IFERROR(__xludf.DUMMYFUNCTION("IMPORTRANGE(""https://docs.google.com/spreadsheets/d/1yhBcrRPreicbMKl9Bu_Snb2-OcQAF62RKfhTLhJ2eAA/edit?usp=sharing"",""กาฬสินธุ์!M307"")+IMPORTRANGE(""https://docs.google.com/spreadsheets/d/1aHkj4IaQMThhwWwevcOymEh837vdxeC_PycurhTbGFA/edit?usp=sharing"","&amp;"""ขอนแก่น!M307"")+IMPORTRANGE(""https://docs.google.com/spreadsheets/d/1FvTu2DsIWUjP6WCWra38Bkj_oOl_sOMf14r5Fg5srxU/edit?usp=sharing"",""ชัยภูมิ!M307"")+IMPORTRANGE(""https://docs.google.com/spreadsheets/d/1XVB7oCJ3pr-vBUdflwPQ8Z2LlzhnCvZaaYjAfP-647E/edit"&amp;"?usp=sharing"",""นครพนม!M307"")+IMPORTRANGE(""https://docs.google.com/spreadsheets/d/1Mnpb-8PYAgn85W6KOTD40hc_Xc55CaLfHoGAbrZ8tls/edit?usp=sharing"",""นครราชสีมา!M307"")+IMPORTRANGE(""https://docs.google.com/spreadsheets/d/1xoDLGBv9CYbyosIhki0kTq6IpYNj-gp"&amp;"jxfobnaDiut0/edit?usp=sharing"",""บึงกาฬ!M307"")+IMPORTRANGE(""https://docs.google.com/spreadsheets/d/1MMPq-JyI6DSgQETxuSiXkesP-P7JHuemnE6QJIa-Nlw/edit?usp=sharing"",""บุรีรัมย์!M307"")+IMPORTRANGE(""https://docs.google.com/spreadsheets/d/1l6IZ8xUPgMrESzc"&amp;"TYwhA1k_tPjeQjJPTqlm8Gd9eU5g/edit?usp=sharing"",""มหาสารคาม!M307"")+IMPORTRANGE(""https://docs.google.com/spreadsheets/d/1uB74YLqNjWX6FObjekfB2NtSYigTQyR2rq9u4Ub2Sq4/edit?usp=sharing"",""มุกดาหาร!M307"")+IMPORTRANGE(""https://docs.google.com/spreadsheets/"&amp;"d/1NexK3geCPxCTO1fzNF8dPec7yZyUx3OaWkFBC9HsQOo/edit?usp=sharing"",""ยโสธร!M307"")+IMPORTRANGE(""https://docs.google.com/spreadsheets/d/1v_cJrbBlyqmnHPReHk44g9NrMRdENNlSy_E_c5M9fIg/edit?usp=sharing"",""ร้อยเอ็ด!M307"")+IMPORTRANGE(""https://docs.google.com"&amp;"/spreadsheets/d/1Ul4RCpCX66NxYADU1QpwAPjOmBzW64SsT11s1wzXw_c/edit?usp=sharing"",""เลย!M307"")+IMPORTRANGE(""https://docs.google.com/spreadsheets/d/1bRrNKwbHDVktQG10isr5vbWRtt5spIZPpkOSWgbT5ug/edit?usp=sharing"",""ศรีสะเกษ!M307"")+IMPORTRANGE(""https://doc"&amp;"s.google.com/spreadsheets/d/17P34_Ow5kFBfdQD0qspb2UuPX5zpi6WMrQzslghyvrI/edit?usp=sharing"",""สกลนคร!M307"")+IMPORTRANGE(""https://docs.google.com/spreadsheets/d/1yswqbM3-AEpThF3ZSUa1AcmHnmRTF1vlJ1CZGcJ8YuU/edit?usp=sharing"",""สุรินทร์!M307"")+IMPORTRANG"&amp;"E(""https://docs.google.com/spreadsheets/d/13JHU_EFbsQOUQ0JSQ3dWy1VTRosIWcDq6Nc99z2qzdc/edit?usp=sharing"",""หนองคาย!M307"")+IMPORTRANGE(""https://docs.google.com/spreadsheets/d/1Hx73zIEgVdDZZaYSTc46Dqv64atFhpr3GelxLbaIN8A/edit?usp=sharing"",""หนองบัวลำภู"&amp;"!M307"")+IMPORTRANGE(""https://docs.google.com/spreadsheets/d/1lFxr3ctmjFN90yc-xV6jrQ9Ty8BKYVBWnAZ15wcNIJc/edit?usp=sharing"",""อำนาจเจริญ!M307"")+IMPORTRANGE(""https://docs.google.com/spreadsheets/d/1gF7RJpRnL-1oyjyeWxs5SFWEH7y8ahOZsQlyp2A2e-A/edit?usp=s"&amp;"haring"",""อุดรธานี!M307"")+IMPORTRANGE(""https://docs.google.com/spreadsheets/d/1kfLP0j3INXRa8bTDpcEmoWewMBV61jlFlfzczfjWIgc/edit?usp=sharing"",""อุบลราชธานี!M307"")"),0)</f>
        <v>0</v>
      </c>
      <c r="N307" s="56">
        <f ca="1">IFERROR(__xludf.DUMMYFUNCTION("IMPORTRANGE(""https://docs.google.com/spreadsheets/d/1yhBcrRPreicbMKl9Bu_Snb2-OcQAF62RKfhTLhJ2eAA/edit?usp=sharing"",""กาฬสินธุ์!N307"")+IMPORTRANGE(""https://docs.google.com/spreadsheets/d/1aHkj4IaQMThhwWwevcOymEh837vdxeC_PycurhTbGFA/edit?usp=sharing"","&amp;"""ขอนแก่น!N307"")+IMPORTRANGE(""https://docs.google.com/spreadsheets/d/1FvTu2DsIWUjP6WCWra38Bkj_oOl_sOMf14r5Fg5srxU/edit?usp=sharing"",""ชัยภูมิ!N307"")+IMPORTRANGE(""https://docs.google.com/spreadsheets/d/1XVB7oCJ3pr-vBUdflwPQ8Z2LlzhnCvZaaYjAfP-647E/edit"&amp;"?usp=sharing"",""นครพนม!N307"")+IMPORTRANGE(""https://docs.google.com/spreadsheets/d/1Mnpb-8PYAgn85W6KOTD40hc_Xc55CaLfHoGAbrZ8tls/edit?usp=sharing"",""นครราชสีมา!N307"")+IMPORTRANGE(""https://docs.google.com/spreadsheets/d/1xoDLGBv9CYbyosIhki0kTq6IpYNj-gp"&amp;"jxfobnaDiut0/edit?usp=sharing"",""บึงกาฬ!N307"")+IMPORTRANGE(""https://docs.google.com/spreadsheets/d/1MMPq-JyI6DSgQETxuSiXkesP-P7JHuemnE6QJIa-Nlw/edit?usp=sharing"",""บุรีรัมย์!N307"")+IMPORTRANGE(""https://docs.google.com/spreadsheets/d/1l6IZ8xUPgMrESzc"&amp;"TYwhA1k_tPjeQjJPTqlm8Gd9eU5g/edit?usp=sharing"",""มหาสารคาม!N307"")+IMPORTRANGE(""https://docs.google.com/spreadsheets/d/1uB74YLqNjWX6FObjekfB2NtSYigTQyR2rq9u4Ub2Sq4/edit?usp=sharing"",""มุกดาหาร!N307"")+IMPORTRANGE(""https://docs.google.com/spreadsheets/"&amp;"d/1NexK3geCPxCTO1fzNF8dPec7yZyUx3OaWkFBC9HsQOo/edit?usp=sharing"",""ยโสธร!N307"")+IMPORTRANGE(""https://docs.google.com/spreadsheets/d/1v_cJrbBlyqmnHPReHk44g9NrMRdENNlSy_E_c5M9fIg/edit?usp=sharing"",""ร้อยเอ็ด!N307"")+IMPORTRANGE(""https://docs.google.com"&amp;"/spreadsheets/d/1Ul4RCpCX66NxYADU1QpwAPjOmBzW64SsT11s1wzXw_c/edit?usp=sharing"",""เลย!N307"")+IMPORTRANGE(""https://docs.google.com/spreadsheets/d/1bRrNKwbHDVktQG10isr5vbWRtt5spIZPpkOSWgbT5ug/edit?usp=sharing"",""ศรีสะเกษ!N307"")+IMPORTRANGE(""https://doc"&amp;"s.google.com/spreadsheets/d/17P34_Ow5kFBfdQD0qspb2UuPX5zpi6WMrQzslghyvrI/edit?usp=sharing"",""สกลนคร!N307"")+IMPORTRANGE(""https://docs.google.com/spreadsheets/d/1yswqbM3-AEpThF3ZSUa1AcmHnmRTF1vlJ1CZGcJ8YuU/edit?usp=sharing"",""สุรินทร์!N307"")+IMPORTRANG"&amp;"E(""https://docs.google.com/spreadsheets/d/13JHU_EFbsQOUQ0JSQ3dWy1VTRosIWcDq6Nc99z2qzdc/edit?usp=sharing"",""หนองคาย!N307"")+IMPORTRANGE(""https://docs.google.com/spreadsheets/d/1Hx73zIEgVdDZZaYSTc46Dqv64atFhpr3GelxLbaIN8A/edit?usp=sharing"",""หนองบัวลำภู"&amp;"!N307"")+IMPORTRANGE(""https://docs.google.com/spreadsheets/d/1lFxr3ctmjFN90yc-xV6jrQ9Ty8BKYVBWnAZ15wcNIJc/edit?usp=sharing"",""อำนาจเจริญ!N307"")+IMPORTRANGE(""https://docs.google.com/spreadsheets/d/1gF7RJpRnL-1oyjyeWxs5SFWEH7y8ahOZsQlyp2A2e-A/edit?usp=s"&amp;"haring"",""อุดรธานี!N307"")+IMPORTRANGE(""https://docs.google.com/spreadsheets/d/1kfLP0j3INXRa8bTDpcEmoWewMBV61jlFlfzczfjWIgc/edit?usp=sharing"",""อุบลราชธานี!N307"")"),0)</f>
        <v>0</v>
      </c>
      <c r="O307" s="56">
        <f t="shared" ca="1" si="223"/>
        <v>0</v>
      </c>
      <c r="P307" s="56">
        <f t="shared" ca="1" si="224"/>
        <v>0</v>
      </c>
      <c r="Q307" s="56">
        <f ca="1">IFERROR(__xludf.DUMMYFUNCTION("IMPORTRANGE(""https://docs.google.com/spreadsheets/d/1yhBcrRPreicbMKl9Bu_Snb2-OcQAF62RKfhTLhJ2eAA/edit?usp=sharing"",""กาฬสินธุ์!Q307"")+IMPORTRANGE(""https://docs.google.com/spreadsheets/d/1aHkj4IaQMThhwWwevcOymEh837vdxeC_PycurhTbGFA/edit?usp=sharing"","&amp;"""ขอนแก่น!Q307"")+IMPORTRANGE(""https://docs.google.com/spreadsheets/d/1FvTu2DsIWUjP6WCWra38Bkj_oOl_sOMf14r5Fg5srxU/edit?usp=sharing"",""ชัยภูมิ!Q307"")+IMPORTRANGE(""https://docs.google.com/spreadsheets/d/1XVB7oCJ3pr-vBUdflwPQ8Z2LlzhnCvZaaYjAfP-647E/edit"&amp;"?usp=sharing"",""นครพนม!Q307"")+IMPORTRANGE(""https://docs.google.com/spreadsheets/d/1Mnpb-8PYAgn85W6KOTD40hc_Xc55CaLfHoGAbrZ8tls/edit?usp=sharing"",""นครราชสีมา!Q307"")+IMPORTRANGE(""https://docs.google.com/spreadsheets/d/1xoDLGBv9CYbyosIhki0kTq6IpYNj-gp"&amp;"jxfobnaDiut0/edit?usp=sharing"",""บึงกาฬ!Q307"")+IMPORTRANGE(""https://docs.google.com/spreadsheets/d/1MMPq-JyI6DSgQETxuSiXkesP-P7JHuemnE6QJIa-Nlw/edit?usp=sharing"",""บุรีรัมย์!Q307"")+IMPORTRANGE(""https://docs.google.com/spreadsheets/d/1l6IZ8xUPgMrESzc"&amp;"TYwhA1k_tPjeQjJPTqlm8Gd9eU5g/edit?usp=sharing"",""มหาสารคาม!Q307"")+IMPORTRANGE(""https://docs.google.com/spreadsheets/d/1uB74YLqNjWX6FObjekfB2NtSYigTQyR2rq9u4Ub2Sq4/edit?usp=sharing"",""มุกดาหาร!Q307"")+IMPORTRANGE(""https://docs.google.com/spreadsheets/"&amp;"d/1NexK3geCPxCTO1fzNF8dPec7yZyUx3OaWkFBC9HsQOo/edit?usp=sharing"",""ยโสธร!Q307"")+IMPORTRANGE(""https://docs.google.com/spreadsheets/d/1v_cJrbBlyqmnHPReHk44g9NrMRdENNlSy_E_c5M9fIg/edit?usp=sharing"",""ร้อยเอ็ด!Q307"")+IMPORTRANGE(""https://docs.google.com"&amp;"/spreadsheets/d/1Ul4RCpCX66NxYADU1QpwAPjOmBzW64SsT11s1wzXw_c/edit?usp=sharing"",""เลย!Q307"")+IMPORTRANGE(""https://docs.google.com/spreadsheets/d/1bRrNKwbHDVktQG10isr5vbWRtt5spIZPpkOSWgbT5ug/edit?usp=sharing"",""ศรีสะเกษ!Q307"")+IMPORTRANGE(""https://doc"&amp;"s.google.com/spreadsheets/d/17P34_Ow5kFBfdQD0qspb2UuPX5zpi6WMrQzslghyvrI/edit?usp=sharing"",""สกลนคร!Q307"")+IMPORTRANGE(""https://docs.google.com/spreadsheets/d/1yswqbM3-AEpThF3ZSUa1AcmHnmRTF1vlJ1CZGcJ8YuU/edit?usp=sharing"",""สุรินทร์!Q307"")+IMPORTRANG"&amp;"E(""https://docs.google.com/spreadsheets/d/13JHU_EFbsQOUQ0JSQ3dWy1VTRosIWcDq6Nc99z2qzdc/edit?usp=sharing"",""หนองคาย!Q307"")+IMPORTRANGE(""https://docs.google.com/spreadsheets/d/1Hx73zIEgVdDZZaYSTc46Dqv64atFhpr3GelxLbaIN8A/edit?usp=sharing"",""หนองบัวลำภู"&amp;"!Q307"")+IMPORTRANGE(""https://docs.google.com/spreadsheets/d/1lFxr3ctmjFN90yc-xV6jrQ9Ty8BKYVBWnAZ15wcNIJc/edit?usp=sharing"",""อำนาจเจริญ!Q307"")+IMPORTRANGE(""https://docs.google.com/spreadsheets/d/1gF7RJpRnL-1oyjyeWxs5SFWEH7y8ahOZsQlyp2A2e-A/edit?usp=s"&amp;"haring"",""อุดรธานี!Q307"")+IMPORTRANGE(""https://docs.google.com/spreadsheets/d/1kfLP0j3INXRa8bTDpcEmoWewMBV61jlFlfzczfjWIgc/edit?usp=sharing"",""อุบลราชธานี!Q307"")"),0)</f>
        <v>0</v>
      </c>
      <c r="R307" s="56">
        <f ca="1">IFERROR(__xludf.DUMMYFUNCTION("IMPORTRANGE(""https://docs.google.com/spreadsheets/d/1yhBcrRPreicbMKl9Bu_Snb2-OcQAF62RKfhTLhJ2eAA/edit?usp=sharing"",""กาฬสินธุ์!R307"")+IMPORTRANGE(""https://docs.google.com/spreadsheets/d/1aHkj4IaQMThhwWwevcOymEh837vdxeC_PycurhTbGFA/edit?usp=sharing"","&amp;"""ขอนแก่น!R307"")+IMPORTRANGE(""https://docs.google.com/spreadsheets/d/1FvTu2DsIWUjP6WCWra38Bkj_oOl_sOMf14r5Fg5srxU/edit?usp=sharing"",""ชัยภูมิ!R307"")+IMPORTRANGE(""https://docs.google.com/spreadsheets/d/1XVB7oCJ3pr-vBUdflwPQ8Z2LlzhnCvZaaYjAfP-647E/edit"&amp;"?usp=sharing"",""นครพนม!R307"")+IMPORTRANGE(""https://docs.google.com/spreadsheets/d/1Mnpb-8PYAgn85W6KOTD40hc_Xc55CaLfHoGAbrZ8tls/edit?usp=sharing"",""นครราชสีมา!R307"")+IMPORTRANGE(""https://docs.google.com/spreadsheets/d/1xoDLGBv9CYbyosIhki0kTq6IpYNj-gp"&amp;"jxfobnaDiut0/edit?usp=sharing"",""บึงกาฬ!R307"")+IMPORTRANGE(""https://docs.google.com/spreadsheets/d/1MMPq-JyI6DSgQETxuSiXkesP-P7JHuemnE6QJIa-Nlw/edit?usp=sharing"",""บุรีรัมย์!R307"")+IMPORTRANGE(""https://docs.google.com/spreadsheets/d/1l6IZ8xUPgMrESzc"&amp;"TYwhA1k_tPjeQjJPTqlm8Gd9eU5g/edit?usp=sharing"",""มหาสารคาม!R307"")+IMPORTRANGE(""https://docs.google.com/spreadsheets/d/1uB74YLqNjWX6FObjekfB2NtSYigTQyR2rq9u4Ub2Sq4/edit?usp=sharing"",""มุกดาหาร!R307"")+IMPORTRANGE(""https://docs.google.com/spreadsheets/"&amp;"d/1NexK3geCPxCTO1fzNF8dPec7yZyUx3OaWkFBC9HsQOo/edit?usp=sharing"",""ยโสธร!R307"")+IMPORTRANGE(""https://docs.google.com/spreadsheets/d/1v_cJrbBlyqmnHPReHk44g9NrMRdENNlSy_E_c5M9fIg/edit?usp=sharing"",""ร้อยเอ็ด!R307"")+IMPORTRANGE(""https://docs.google.com"&amp;"/spreadsheets/d/1Ul4RCpCX66NxYADU1QpwAPjOmBzW64SsT11s1wzXw_c/edit?usp=sharing"",""เลย!R307"")+IMPORTRANGE(""https://docs.google.com/spreadsheets/d/1bRrNKwbHDVktQG10isr5vbWRtt5spIZPpkOSWgbT5ug/edit?usp=sharing"",""ศรีสะเกษ!R307"")+IMPORTRANGE(""https://doc"&amp;"s.google.com/spreadsheets/d/17P34_Ow5kFBfdQD0qspb2UuPX5zpi6WMrQzslghyvrI/edit?usp=sharing"",""สกลนคร!R307"")+IMPORTRANGE(""https://docs.google.com/spreadsheets/d/1yswqbM3-AEpThF3ZSUa1AcmHnmRTF1vlJ1CZGcJ8YuU/edit?usp=sharing"",""สุรินทร์!R307"")+IMPORTRANG"&amp;"E(""https://docs.google.com/spreadsheets/d/13JHU_EFbsQOUQ0JSQ3dWy1VTRosIWcDq6Nc99z2qzdc/edit?usp=sharing"",""หนองคาย!R307"")+IMPORTRANGE(""https://docs.google.com/spreadsheets/d/1Hx73zIEgVdDZZaYSTc46Dqv64atFhpr3GelxLbaIN8A/edit?usp=sharing"",""หนองบัวลำภู"&amp;"!R307"")+IMPORTRANGE(""https://docs.google.com/spreadsheets/d/1lFxr3ctmjFN90yc-xV6jrQ9Ty8BKYVBWnAZ15wcNIJc/edit?usp=sharing"",""อำนาจเจริญ!R307"")+IMPORTRANGE(""https://docs.google.com/spreadsheets/d/1gF7RJpRnL-1oyjyeWxs5SFWEH7y8ahOZsQlyp2A2e-A/edit?usp=s"&amp;"haring"",""อุดรธานี!R307"")+IMPORTRANGE(""https://docs.google.com/spreadsheets/d/1kfLP0j3INXRa8bTDpcEmoWewMBV61jlFlfzczfjWIgc/edit?usp=sharing"",""อุบลราชธานี!R307"")"),0)</f>
        <v>0</v>
      </c>
      <c r="S307" s="57">
        <f ca="1">IFERROR(__xludf.DUMMYFUNCTION("IMPORTRANGE(""https://docs.google.com/spreadsheets/d/1yhBcrRPreicbMKl9Bu_Snb2-OcQAF62RKfhTLhJ2eAA/edit?usp=sharing"",""กาฬสินธุ์!S307"")+IMPORTRANGE(""https://docs.google.com/spreadsheets/d/1aHkj4IaQMThhwWwevcOymEh837vdxeC_PycurhTbGFA/edit?usp=sharing"","&amp;"""ขอนแก่น!S307"")+IMPORTRANGE(""https://docs.google.com/spreadsheets/d/1FvTu2DsIWUjP6WCWra38Bkj_oOl_sOMf14r5Fg5srxU/edit?usp=sharing"",""ชัยภูมิ!S307"")+IMPORTRANGE(""https://docs.google.com/spreadsheets/d/1XVB7oCJ3pr-vBUdflwPQ8Z2LlzhnCvZaaYjAfP-647E/edit"&amp;"?usp=sharing"",""นครพนม!S307"")+IMPORTRANGE(""https://docs.google.com/spreadsheets/d/1Mnpb-8PYAgn85W6KOTD40hc_Xc55CaLfHoGAbrZ8tls/edit?usp=sharing"",""นครราชสีมา!S307"")+IMPORTRANGE(""https://docs.google.com/spreadsheets/d/1xoDLGBv9CYbyosIhki0kTq6IpYNj-gp"&amp;"jxfobnaDiut0/edit?usp=sharing"",""บึงกาฬ!S307"")+IMPORTRANGE(""https://docs.google.com/spreadsheets/d/1MMPq-JyI6DSgQETxuSiXkesP-P7JHuemnE6QJIa-Nlw/edit?usp=sharing"",""บุรีรัมย์!S307"")+IMPORTRANGE(""https://docs.google.com/spreadsheets/d/1l6IZ8xUPgMrESzc"&amp;"TYwhA1k_tPjeQjJPTqlm8Gd9eU5g/edit?usp=sharing"",""มหาสารคาม!S307"")+IMPORTRANGE(""https://docs.google.com/spreadsheets/d/1uB74YLqNjWX6FObjekfB2NtSYigTQyR2rq9u4Ub2Sq4/edit?usp=sharing"",""มุกดาหาร!S307"")+IMPORTRANGE(""https://docs.google.com/spreadsheets/"&amp;"d/1NexK3geCPxCTO1fzNF8dPec7yZyUx3OaWkFBC9HsQOo/edit?usp=sharing"",""ยโสธร!S307"")+IMPORTRANGE(""https://docs.google.com/spreadsheets/d/1v_cJrbBlyqmnHPReHk44g9NrMRdENNlSy_E_c5M9fIg/edit?usp=sharing"",""ร้อยเอ็ด!S307"")+IMPORTRANGE(""https://docs.google.com"&amp;"/spreadsheets/d/1Ul4RCpCX66NxYADU1QpwAPjOmBzW64SsT11s1wzXw_c/edit?usp=sharing"",""เลย!S307"")+IMPORTRANGE(""https://docs.google.com/spreadsheets/d/1bRrNKwbHDVktQG10isr5vbWRtt5spIZPpkOSWgbT5ug/edit?usp=sharing"",""ศรีสะเกษ!S307"")+IMPORTRANGE(""https://doc"&amp;"s.google.com/spreadsheets/d/17P34_Ow5kFBfdQD0qspb2UuPX5zpi6WMrQzslghyvrI/edit?usp=sharing"",""สกลนคร!S307"")+IMPORTRANGE(""https://docs.google.com/spreadsheets/d/1yswqbM3-AEpThF3ZSUa1AcmHnmRTF1vlJ1CZGcJ8YuU/edit?usp=sharing"",""สุรินทร์!S307"")+IMPORTRANG"&amp;"E(""https://docs.google.com/spreadsheets/d/13JHU_EFbsQOUQ0JSQ3dWy1VTRosIWcDq6Nc99z2qzdc/edit?usp=sharing"",""หนองคาย!S307"")+IMPORTRANGE(""https://docs.google.com/spreadsheets/d/1Hx73zIEgVdDZZaYSTc46Dqv64atFhpr3GelxLbaIN8A/edit?usp=sharing"",""หนองบัวลำภู"&amp;"!S307"")+IMPORTRANGE(""https://docs.google.com/spreadsheets/d/1lFxr3ctmjFN90yc-xV6jrQ9Ty8BKYVBWnAZ15wcNIJc/edit?usp=sharing"",""อำนาจเจริญ!S307"")+IMPORTRANGE(""https://docs.google.com/spreadsheets/d/1gF7RJpRnL-1oyjyeWxs5SFWEH7y8ahOZsQlyp2A2e-A/edit?usp=s"&amp;"haring"",""อุดรธานี!S307"")+IMPORTRANGE(""https://docs.google.com/spreadsheets/d/1kfLP0j3INXRa8bTDpcEmoWewMBV61jlFlfzczfjWIgc/edit?usp=sharing"",""อุบลราชธานี!S307"")"),0)</f>
        <v>0</v>
      </c>
      <c r="T307" s="59">
        <f t="shared" ca="1" si="226"/>
        <v>0</v>
      </c>
      <c r="U307" s="59">
        <f t="shared" ca="1" si="227"/>
        <v>0</v>
      </c>
    </row>
    <row r="308" spans="1:21" ht="18.75">
      <c r="A308" s="155"/>
      <c r="B308" s="50"/>
      <c r="C308" s="50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56">
        <f ca="1">IFERROR(__xludf.DUMMYFUNCTION("IMPORTRANGE(""https://docs.google.com/spreadsheets/d/1yhBcrRPreicbMKl9Bu_Snb2-OcQAF62RKfhTLhJ2eAA/edit?usp=sharing"",""กาฬสินธุ์!L308"")+IMPORTRANGE(""https://docs.google.com/spreadsheets/d/1aHkj4IaQMThhwWwevcOymEh837vdxeC_PycurhTbGFA/edit?usp=sharing"","&amp;"""ขอนแก่น!L308"")+IMPORTRANGE(""https://docs.google.com/spreadsheets/d/1FvTu2DsIWUjP6WCWra38Bkj_oOl_sOMf14r5Fg5srxU/edit?usp=sharing"",""ชัยภูมิ!L308"")+IMPORTRANGE(""https://docs.google.com/spreadsheets/d/1XVB7oCJ3pr-vBUdflwPQ8Z2LlzhnCvZaaYjAfP-647E/edit"&amp;"?usp=sharing"",""นครพนม!L308"")+IMPORTRANGE(""https://docs.google.com/spreadsheets/d/1Mnpb-8PYAgn85W6KOTD40hc_Xc55CaLfHoGAbrZ8tls/edit?usp=sharing"",""นครราชสีมา!L308"")+IMPORTRANGE(""https://docs.google.com/spreadsheets/d/1xoDLGBv9CYbyosIhki0kTq6IpYNj-gp"&amp;"jxfobnaDiut0/edit?usp=sharing"",""บึงกาฬ!L308"")+IMPORTRANGE(""https://docs.google.com/spreadsheets/d/1MMPq-JyI6DSgQETxuSiXkesP-P7JHuemnE6QJIa-Nlw/edit?usp=sharing"",""บุรีรัมย์!L308"")+IMPORTRANGE(""https://docs.google.com/spreadsheets/d/1l6IZ8xUPgMrESzc"&amp;"TYwhA1k_tPjeQjJPTqlm8Gd9eU5g/edit?usp=sharing"",""มหาสารคาม!L308"")+IMPORTRANGE(""https://docs.google.com/spreadsheets/d/1uB74YLqNjWX6FObjekfB2NtSYigTQyR2rq9u4Ub2Sq4/edit?usp=sharing"",""มุกดาหาร!L308"")+IMPORTRANGE(""https://docs.google.com/spreadsheets/"&amp;"d/1NexK3geCPxCTO1fzNF8dPec7yZyUx3OaWkFBC9HsQOo/edit?usp=sharing"",""ยโสธร!L308"")+IMPORTRANGE(""https://docs.google.com/spreadsheets/d/1v_cJrbBlyqmnHPReHk44g9NrMRdENNlSy_E_c5M9fIg/edit?usp=sharing"",""ร้อยเอ็ด!L308"")+IMPORTRANGE(""https://docs.google.com"&amp;"/spreadsheets/d/1Ul4RCpCX66NxYADU1QpwAPjOmBzW64SsT11s1wzXw_c/edit?usp=sharing"",""เลย!L308"")+IMPORTRANGE(""https://docs.google.com/spreadsheets/d/1bRrNKwbHDVktQG10isr5vbWRtt5spIZPpkOSWgbT5ug/edit?usp=sharing"",""ศรีสะเกษ!L308"")+IMPORTRANGE(""https://doc"&amp;"s.google.com/spreadsheets/d/17P34_Ow5kFBfdQD0qspb2UuPX5zpi6WMrQzslghyvrI/edit?usp=sharing"",""สกลนคร!L308"")+IMPORTRANGE(""https://docs.google.com/spreadsheets/d/1yswqbM3-AEpThF3ZSUa1AcmHnmRTF1vlJ1CZGcJ8YuU/edit?usp=sharing"",""สุรินทร์!L308"")+IMPORTRANG"&amp;"E(""https://docs.google.com/spreadsheets/d/13JHU_EFbsQOUQ0JSQ3dWy1VTRosIWcDq6Nc99z2qzdc/edit?usp=sharing"",""หนองคาย!L308"")+IMPORTRANGE(""https://docs.google.com/spreadsheets/d/1Hx73zIEgVdDZZaYSTc46Dqv64atFhpr3GelxLbaIN8A/edit?usp=sharing"",""หนองบัวลำภู"&amp;"!L308"")+IMPORTRANGE(""https://docs.google.com/spreadsheets/d/1lFxr3ctmjFN90yc-xV6jrQ9Ty8BKYVBWnAZ15wcNIJc/edit?usp=sharing"",""อำนาจเจริญ!L308"")+IMPORTRANGE(""https://docs.google.com/spreadsheets/d/1gF7RJpRnL-1oyjyeWxs5SFWEH7y8ahOZsQlyp2A2e-A/edit?usp=s"&amp;"haring"",""อุดรธานี!L308"")+IMPORTRANGE(""https://docs.google.com/spreadsheets/d/1kfLP0j3INXRa8bTDpcEmoWewMBV61jlFlfzczfjWIgc/edit?usp=sharing"",""อุบลราชธานี!L308"")"),1259700)</f>
        <v>1259700</v>
      </c>
      <c r="M308" s="56">
        <f ca="1">IFERROR(__xludf.DUMMYFUNCTION("IMPORTRANGE(""https://docs.google.com/spreadsheets/d/1yhBcrRPreicbMKl9Bu_Snb2-OcQAF62RKfhTLhJ2eAA/edit?usp=sharing"",""กาฬสินธุ์!M308"")+IMPORTRANGE(""https://docs.google.com/spreadsheets/d/1aHkj4IaQMThhwWwevcOymEh837vdxeC_PycurhTbGFA/edit?usp=sharing"","&amp;"""ขอนแก่น!M308"")+IMPORTRANGE(""https://docs.google.com/spreadsheets/d/1FvTu2DsIWUjP6WCWra38Bkj_oOl_sOMf14r5Fg5srxU/edit?usp=sharing"",""ชัยภูมิ!M308"")+IMPORTRANGE(""https://docs.google.com/spreadsheets/d/1XVB7oCJ3pr-vBUdflwPQ8Z2LlzhnCvZaaYjAfP-647E/edit"&amp;"?usp=sharing"",""นครพนม!M308"")+IMPORTRANGE(""https://docs.google.com/spreadsheets/d/1Mnpb-8PYAgn85W6KOTD40hc_Xc55CaLfHoGAbrZ8tls/edit?usp=sharing"",""นครราชสีมา!M308"")+IMPORTRANGE(""https://docs.google.com/spreadsheets/d/1xoDLGBv9CYbyosIhki0kTq6IpYNj-gp"&amp;"jxfobnaDiut0/edit?usp=sharing"",""บึงกาฬ!M308"")+IMPORTRANGE(""https://docs.google.com/spreadsheets/d/1MMPq-JyI6DSgQETxuSiXkesP-P7JHuemnE6QJIa-Nlw/edit?usp=sharing"",""บุรีรัมย์!M308"")+IMPORTRANGE(""https://docs.google.com/spreadsheets/d/1l6IZ8xUPgMrESzc"&amp;"TYwhA1k_tPjeQjJPTqlm8Gd9eU5g/edit?usp=sharing"",""มหาสารคาม!M308"")+IMPORTRANGE(""https://docs.google.com/spreadsheets/d/1uB74YLqNjWX6FObjekfB2NtSYigTQyR2rq9u4Ub2Sq4/edit?usp=sharing"",""มุกดาหาร!M308"")+IMPORTRANGE(""https://docs.google.com/spreadsheets/"&amp;"d/1NexK3geCPxCTO1fzNF8dPec7yZyUx3OaWkFBC9HsQOo/edit?usp=sharing"",""ยโสธร!M308"")+IMPORTRANGE(""https://docs.google.com/spreadsheets/d/1v_cJrbBlyqmnHPReHk44g9NrMRdENNlSy_E_c5M9fIg/edit?usp=sharing"",""ร้อยเอ็ด!M308"")+IMPORTRANGE(""https://docs.google.com"&amp;"/spreadsheets/d/1Ul4RCpCX66NxYADU1QpwAPjOmBzW64SsT11s1wzXw_c/edit?usp=sharing"",""เลย!M308"")+IMPORTRANGE(""https://docs.google.com/spreadsheets/d/1bRrNKwbHDVktQG10isr5vbWRtt5spIZPpkOSWgbT5ug/edit?usp=sharing"",""ศรีสะเกษ!M308"")+IMPORTRANGE(""https://doc"&amp;"s.google.com/spreadsheets/d/17P34_Ow5kFBfdQD0qspb2UuPX5zpi6WMrQzslghyvrI/edit?usp=sharing"",""สกลนคร!M308"")+IMPORTRANGE(""https://docs.google.com/spreadsheets/d/1yswqbM3-AEpThF3ZSUa1AcmHnmRTF1vlJ1CZGcJ8YuU/edit?usp=sharing"",""สุรินทร์!M308"")+IMPORTRANG"&amp;"E(""https://docs.google.com/spreadsheets/d/13JHU_EFbsQOUQ0JSQ3dWy1VTRosIWcDq6Nc99z2qzdc/edit?usp=sharing"",""หนองคาย!M308"")+IMPORTRANGE(""https://docs.google.com/spreadsheets/d/1Hx73zIEgVdDZZaYSTc46Dqv64atFhpr3GelxLbaIN8A/edit?usp=sharing"",""หนองบัวลำภู"&amp;"!M308"")+IMPORTRANGE(""https://docs.google.com/spreadsheets/d/1lFxr3ctmjFN90yc-xV6jrQ9Ty8BKYVBWnAZ15wcNIJc/edit?usp=sharing"",""อำนาจเจริญ!M308"")+IMPORTRANGE(""https://docs.google.com/spreadsheets/d/1gF7RJpRnL-1oyjyeWxs5SFWEH7y8ahOZsQlyp2A2e-A/edit?usp=s"&amp;"haring"",""อุดรธานี!M308"")+IMPORTRANGE(""https://docs.google.com/spreadsheets/d/1kfLP0j3INXRa8bTDpcEmoWewMBV61jlFlfzczfjWIgc/edit?usp=sharing"",""อุบลราชธานี!M308"")"),1259700)</f>
        <v>1259700</v>
      </c>
      <c r="N308" s="56">
        <f ca="1">IFERROR(__xludf.DUMMYFUNCTION("IMPORTRANGE(""https://docs.google.com/spreadsheets/d/1yhBcrRPreicbMKl9Bu_Snb2-OcQAF62RKfhTLhJ2eAA/edit?usp=sharing"",""กาฬสินธุ์!N308"")+IMPORTRANGE(""https://docs.google.com/spreadsheets/d/1aHkj4IaQMThhwWwevcOymEh837vdxeC_PycurhTbGFA/edit?usp=sharing"","&amp;"""ขอนแก่น!N308"")+IMPORTRANGE(""https://docs.google.com/spreadsheets/d/1FvTu2DsIWUjP6WCWra38Bkj_oOl_sOMf14r5Fg5srxU/edit?usp=sharing"",""ชัยภูมิ!N308"")+IMPORTRANGE(""https://docs.google.com/spreadsheets/d/1XVB7oCJ3pr-vBUdflwPQ8Z2LlzhnCvZaaYjAfP-647E/edit"&amp;"?usp=sharing"",""นครพนม!N308"")+IMPORTRANGE(""https://docs.google.com/spreadsheets/d/1Mnpb-8PYAgn85W6KOTD40hc_Xc55CaLfHoGAbrZ8tls/edit?usp=sharing"",""นครราชสีมา!N308"")+IMPORTRANGE(""https://docs.google.com/spreadsheets/d/1xoDLGBv9CYbyosIhki0kTq6IpYNj-gp"&amp;"jxfobnaDiut0/edit?usp=sharing"",""บึงกาฬ!N308"")+IMPORTRANGE(""https://docs.google.com/spreadsheets/d/1MMPq-JyI6DSgQETxuSiXkesP-P7JHuemnE6QJIa-Nlw/edit?usp=sharing"",""บุรีรัมย์!N308"")+IMPORTRANGE(""https://docs.google.com/spreadsheets/d/1l6IZ8xUPgMrESzc"&amp;"TYwhA1k_tPjeQjJPTqlm8Gd9eU5g/edit?usp=sharing"",""มหาสารคาม!N308"")+IMPORTRANGE(""https://docs.google.com/spreadsheets/d/1uB74YLqNjWX6FObjekfB2NtSYigTQyR2rq9u4Ub2Sq4/edit?usp=sharing"",""มุกดาหาร!N308"")+IMPORTRANGE(""https://docs.google.com/spreadsheets/"&amp;"d/1NexK3geCPxCTO1fzNF8dPec7yZyUx3OaWkFBC9HsQOo/edit?usp=sharing"",""ยโสธร!N308"")+IMPORTRANGE(""https://docs.google.com/spreadsheets/d/1v_cJrbBlyqmnHPReHk44g9NrMRdENNlSy_E_c5M9fIg/edit?usp=sharing"",""ร้อยเอ็ด!N308"")+IMPORTRANGE(""https://docs.google.com"&amp;"/spreadsheets/d/1Ul4RCpCX66NxYADU1QpwAPjOmBzW64SsT11s1wzXw_c/edit?usp=sharing"",""เลย!N308"")+IMPORTRANGE(""https://docs.google.com/spreadsheets/d/1bRrNKwbHDVktQG10isr5vbWRtt5spIZPpkOSWgbT5ug/edit?usp=sharing"",""ศรีสะเกษ!N308"")+IMPORTRANGE(""https://doc"&amp;"s.google.com/spreadsheets/d/17P34_Ow5kFBfdQD0qspb2UuPX5zpi6WMrQzslghyvrI/edit?usp=sharing"",""สกลนคร!N308"")+IMPORTRANGE(""https://docs.google.com/spreadsheets/d/1yswqbM3-AEpThF3ZSUa1AcmHnmRTF1vlJ1CZGcJ8YuU/edit?usp=sharing"",""สุรินทร์!N308"")+IMPORTRANG"&amp;"E(""https://docs.google.com/spreadsheets/d/13JHU_EFbsQOUQ0JSQ3dWy1VTRosIWcDq6Nc99z2qzdc/edit?usp=sharing"",""หนองคาย!N308"")+IMPORTRANGE(""https://docs.google.com/spreadsheets/d/1Hx73zIEgVdDZZaYSTc46Dqv64atFhpr3GelxLbaIN8A/edit?usp=sharing"",""หนองบัวลำภู"&amp;"!N308"")+IMPORTRANGE(""https://docs.google.com/spreadsheets/d/1lFxr3ctmjFN90yc-xV6jrQ9Ty8BKYVBWnAZ15wcNIJc/edit?usp=sharing"",""อำนาจเจริญ!N308"")+IMPORTRANGE(""https://docs.google.com/spreadsheets/d/1gF7RJpRnL-1oyjyeWxs5SFWEH7y8ahOZsQlyp2A2e-A/edit?usp=s"&amp;"haring"",""อุดรธานี!N308"")+IMPORTRANGE(""https://docs.google.com/spreadsheets/d/1kfLP0j3INXRa8bTDpcEmoWewMBV61jlFlfzczfjWIgc/edit?usp=sharing"",""อุบลราชธานี!N308"")"),1003603.99)</f>
        <v>1003603.99</v>
      </c>
      <c r="O308" s="56">
        <f t="shared" ca="1" si="223"/>
        <v>79.670079383980308</v>
      </c>
      <c r="P308" s="56">
        <f t="shared" ca="1" si="224"/>
        <v>79.670079383980308</v>
      </c>
      <c r="Q308" s="56">
        <f ca="1">IFERROR(__xludf.DUMMYFUNCTION("IMPORTRANGE(""https://docs.google.com/spreadsheets/d/1yhBcrRPreicbMKl9Bu_Snb2-OcQAF62RKfhTLhJ2eAA/edit?usp=sharing"",""กาฬสินธุ์!Q308"")+IMPORTRANGE(""https://docs.google.com/spreadsheets/d/1aHkj4IaQMThhwWwevcOymEh837vdxeC_PycurhTbGFA/edit?usp=sharing"","&amp;"""ขอนแก่น!Q308"")+IMPORTRANGE(""https://docs.google.com/spreadsheets/d/1FvTu2DsIWUjP6WCWra38Bkj_oOl_sOMf14r5Fg5srxU/edit?usp=sharing"",""ชัยภูมิ!Q308"")+IMPORTRANGE(""https://docs.google.com/spreadsheets/d/1XVB7oCJ3pr-vBUdflwPQ8Z2LlzhnCvZaaYjAfP-647E/edit"&amp;"?usp=sharing"",""นครพนม!Q308"")+IMPORTRANGE(""https://docs.google.com/spreadsheets/d/1Mnpb-8PYAgn85W6KOTD40hc_Xc55CaLfHoGAbrZ8tls/edit?usp=sharing"",""นครราชสีมา!Q308"")+IMPORTRANGE(""https://docs.google.com/spreadsheets/d/1xoDLGBv9CYbyosIhki0kTq6IpYNj-gp"&amp;"jxfobnaDiut0/edit?usp=sharing"",""บึงกาฬ!Q308"")+IMPORTRANGE(""https://docs.google.com/spreadsheets/d/1MMPq-JyI6DSgQETxuSiXkesP-P7JHuemnE6QJIa-Nlw/edit?usp=sharing"",""บุรีรัมย์!Q308"")+IMPORTRANGE(""https://docs.google.com/spreadsheets/d/1l6IZ8xUPgMrESzc"&amp;"TYwhA1k_tPjeQjJPTqlm8Gd9eU5g/edit?usp=sharing"",""มหาสารคาม!Q308"")+IMPORTRANGE(""https://docs.google.com/spreadsheets/d/1uB74YLqNjWX6FObjekfB2NtSYigTQyR2rq9u4Ub2Sq4/edit?usp=sharing"",""มุกดาหาร!Q308"")+IMPORTRANGE(""https://docs.google.com/spreadsheets/"&amp;"d/1NexK3geCPxCTO1fzNF8dPec7yZyUx3OaWkFBC9HsQOo/edit?usp=sharing"",""ยโสธร!Q308"")+IMPORTRANGE(""https://docs.google.com/spreadsheets/d/1v_cJrbBlyqmnHPReHk44g9NrMRdENNlSy_E_c5M9fIg/edit?usp=sharing"",""ร้อยเอ็ด!Q308"")+IMPORTRANGE(""https://docs.google.com"&amp;"/spreadsheets/d/1Ul4RCpCX66NxYADU1QpwAPjOmBzW64SsT11s1wzXw_c/edit?usp=sharing"",""เลย!Q308"")+IMPORTRANGE(""https://docs.google.com/spreadsheets/d/1bRrNKwbHDVktQG10isr5vbWRtt5spIZPpkOSWgbT5ug/edit?usp=sharing"",""ศรีสะเกษ!Q308"")+IMPORTRANGE(""https://doc"&amp;"s.google.com/spreadsheets/d/17P34_Ow5kFBfdQD0qspb2UuPX5zpi6WMrQzslghyvrI/edit?usp=sharing"",""สกลนคร!Q308"")+IMPORTRANGE(""https://docs.google.com/spreadsheets/d/1yswqbM3-AEpThF3ZSUa1AcmHnmRTF1vlJ1CZGcJ8YuU/edit?usp=sharing"",""สุรินทร์!Q308"")+IMPORTRANG"&amp;"E(""https://docs.google.com/spreadsheets/d/13JHU_EFbsQOUQ0JSQ3dWy1VTRosIWcDq6Nc99z2qzdc/edit?usp=sharing"",""หนองคาย!Q308"")+IMPORTRANGE(""https://docs.google.com/spreadsheets/d/1Hx73zIEgVdDZZaYSTc46Dqv64atFhpr3GelxLbaIN8A/edit?usp=sharing"",""หนองบัวลำภู"&amp;"!Q308"")+IMPORTRANGE(""https://docs.google.com/spreadsheets/d/1lFxr3ctmjFN90yc-xV6jrQ9Ty8BKYVBWnAZ15wcNIJc/edit?usp=sharing"",""อำนาจเจริญ!Q308"")+IMPORTRANGE(""https://docs.google.com/spreadsheets/d/1gF7RJpRnL-1oyjyeWxs5SFWEH7y8ahOZsQlyp2A2e-A/edit?usp=s"&amp;"haring"",""อุดรธานี!Q308"")+IMPORTRANGE(""https://docs.google.com/spreadsheets/d/1kfLP0j3INXRa8bTDpcEmoWewMBV61jlFlfzczfjWIgc/edit?usp=sharing"",""อุบลราชธานี!Q308"")"),3742634.15)</f>
        <v>3742634.15</v>
      </c>
      <c r="R308" s="56">
        <f ca="1">IFERROR(__xludf.DUMMYFUNCTION("IMPORTRANGE(""https://docs.google.com/spreadsheets/d/1yhBcrRPreicbMKl9Bu_Snb2-OcQAF62RKfhTLhJ2eAA/edit?usp=sharing"",""กาฬสินธุ์!R308"")+IMPORTRANGE(""https://docs.google.com/spreadsheets/d/1aHkj4IaQMThhwWwevcOymEh837vdxeC_PycurhTbGFA/edit?usp=sharing"","&amp;"""ขอนแก่น!R308"")+IMPORTRANGE(""https://docs.google.com/spreadsheets/d/1FvTu2DsIWUjP6WCWra38Bkj_oOl_sOMf14r5Fg5srxU/edit?usp=sharing"",""ชัยภูมิ!R308"")+IMPORTRANGE(""https://docs.google.com/spreadsheets/d/1XVB7oCJ3pr-vBUdflwPQ8Z2LlzhnCvZaaYjAfP-647E/edit"&amp;"?usp=sharing"",""นครพนม!R308"")+IMPORTRANGE(""https://docs.google.com/spreadsheets/d/1Mnpb-8PYAgn85W6KOTD40hc_Xc55CaLfHoGAbrZ8tls/edit?usp=sharing"",""นครราชสีมา!R308"")+IMPORTRANGE(""https://docs.google.com/spreadsheets/d/1xoDLGBv9CYbyosIhki0kTq6IpYNj-gp"&amp;"jxfobnaDiut0/edit?usp=sharing"",""บึงกาฬ!R308"")+IMPORTRANGE(""https://docs.google.com/spreadsheets/d/1MMPq-JyI6DSgQETxuSiXkesP-P7JHuemnE6QJIa-Nlw/edit?usp=sharing"",""บุรีรัมย์!R308"")+IMPORTRANGE(""https://docs.google.com/spreadsheets/d/1l6IZ8xUPgMrESzc"&amp;"TYwhA1k_tPjeQjJPTqlm8Gd9eU5g/edit?usp=sharing"",""มหาสารคาม!R308"")+IMPORTRANGE(""https://docs.google.com/spreadsheets/d/1uB74YLqNjWX6FObjekfB2NtSYigTQyR2rq9u4Ub2Sq4/edit?usp=sharing"",""มุกดาหาร!R308"")+IMPORTRANGE(""https://docs.google.com/spreadsheets/"&amp;"d/1NexK3geCPxCTO1fzNF8dPec7yZyUx3OaWkFBC9HsQOo/edit?usp=sharing"",""ยโสธร!R308"")+IMPORTRANGE(""https://docs.google.com/spreadsheets/d/1v_cJrbBlyqmnHPReHk44g9NrMRdENNlSy_E_c5M9fIg/edit?usp=sharing"",""ร้อยเอ็ด!R308"")+IMPORTRANGE(""https://docs.google.com"&amp;"/spreadsheets/d/1Ul4RCpCX66NxYADU1QpwAPjOmBzW64SsT11s1wzXw_c/edit?usp=sharing"",""เลย!R308"")+IMPORTRANGE(""https://docs.google.com/spreadsheets/d/1bRrNKwbHDVktQG10isr5vbWRtt5spIZPpkOSWgbT5ug/edit?usp=sharing"",""ศรีสะเกษ!R308"")+IMPORTRANGE(""https://doc"&amp;"s.google.com/spreadsheets/d/17P34_Ow5kFBfdQD0qspb2UuPX5zpi6WMrQzslghyvrI/edit?usp=sharing"",""สกลนคร!R308"")+IMPORTRANGE(""https://docs.google.com/spreadsheets/d/1yswqbM3-AEpThF3ZSUa1AcmHnmRTF1vlJ1CZGcJ8YuU/edit?usp=sharing"",""สุรินทร์!R308"")+IMPORTRANG"&amp;"E(""https://docs.google.com/spreadsheets/d/13JHU_EFbsQOUQ0JSQ3dWy1VTRosIWcDq6Nc99z2qzdc/edit?usp=sharing"",""หนองคาย!R308"")+IMPORTRANGE(""https://docs.google.com/spreadsheets/d/1Hx73zIEgVdDZZaYSTc46Dqv64atFhpr3GelxLbaIN8A/edit?usp=sharing"",""หนองบัวลำภู"&amp;"!R308"")+IMPORTRANGE(""https://docs.google.com/spreadsheets/d/1lFxr3ctmjFN90yc-xV6jrQ9Ty8BKYVBWnAZ15wcNIJc/edit?usp=sharing"",""อำนาจเจริญ!R308"")+IMPORTRANGE(""https://docs.google.com/spreadsheets/d/1gF7RJpRnL-1oyjyeWxs5SFWEH7y8ahOZsQlyp2A2e-A/edit?usp=s"&amp;"haring"",""อุดรธานี!R308"")+IMPORTRANGE(""https://docs.google.com/spreadsheets/d/1kfLP0j3INXRa8bTDpcEmoWewMBV61jlFlfzczfjWIgc/edit?usp=sharing"",""อุบลราชธานี!R308"")"),3742630)</f>
        <v>3742630</v>
      </c>
      <c r="S308" s="57">
        <f ca="1">IFERROR(__xludf.DUMMYFUNCTION("IMPORTRANGE(""https://docs.google.com/spreadsheets/d/1yhBcrRPreicbMKl9Bu_Snb2-OcQAF62RKfhTLhJ2eAA/edit?usp=sharing"",""กาฬสินธุ์!S308"")+IMPORTRANGE(""https://docs.google.com/spreadsheets/d/1aHkj4IaQMThhwWwevcOymEh837vdxeC_PycurhTbGFA/edit?usp=sharing"","&amp;"""ขอนแก่น!S308"")+IMPORTRANGE(""https://docs.google.com/spreadsheets/d/1FvTu2DsIWUjP6WCWra38Bkj_oOl_sOMf14r5Fg5srxU/edit?usp=sharing"",""ชัยภูมิ!S308"")+IMPORTRANGE(""https://docs.google.com/spreadsheets/d/1XVB7oCJ3pr-vBUdflwPQ8Z2LlzhnCvZaaYjAfP-647E/edit"&amp;"?usp=sharing"",""นครพนม!S308"")+IMPORTRANGE(""https://docs.google.com/spreadsheets/d/1Mnpb-8PYAgn85W6KOTD40hc_Xc55CaLfHoGAbrZ8tls/edit?usp=sharing"",""นครราชสีมา!S308"")+IMPORTRANGE(""https://docs.google.com/spreadsheets/d/1xoDLGBv9CYbyosIhki0kTq6IpYNj-gp"&amp;"jxfobnaDiut0/edit?usp=sharing"",""บึงกาฬ!S308"")+IMPORTRANGE(""https://docs.google.com/spreadsheets/d/1MMPq-JyI6DSgQETxuSiXkesP-P7JHuemnE6QJIa-Nlw/edit?usp=sharing"",""บุรีรัมย์!S308"")+IMPORTRANGE(""https://docs.google.com/spreadsheets/d/1l6IZ8xUPgMrESzc"&amp;"TYwhA1k_tPjeQjJPTqlm8Gd9eU5g/edit?usp=sharing"",""มหาสารคาม!S308"")+IMPORTRANGE(""https://docs.google.com/spreadsheets/d/1uB74YLqNjWX6FObjekfB2NtSYigTQyR2rq9u4Ub2Sq4/edit?usp=sharing"",""มุกดาหาร!S308"")+IMPORTRANGE(""https://docs.google.com/spreadsheets/"&amp;"d/1NexK3geCPxCTO1fzNF8dPec7yZyUx3OaWkFBC9HsQOo/edit?usp=sharing"",""ยโสธร!S308"")+IMPORTRANGE(""https://docs.google.com/spreadsheets/d/1v_cJrbBlyqmnHPReHk44g9NrMRdENNlSy_E_c5M9fIg/edit?usp=sharing"",""ร้อยเอ็ด!S308"")+IMPORTRANGE(""https://docs.google.com"&amp;"/spreadsheets/d/1Ul4RCpCX66NxYADU1QpwAPjOmBzW64SsT11s1wzXw_c/edit?usp=sharing"",""เลย!S308"")+IMPORTRANGE(""https://docs.google.com/spreadsheets/d/1bRrNKwbHDVktQG10isr5vbWRtt5spIZPpkOSWgbT5ug/edit?usp=sharing"",""ศรีสะเกษ!S308"")+IMPORTRANGE(""https://doc"&amp;"s.google.com/spreadsheets/d/17P34_Ow5kFBfdQD0qspb2UuPX5zpi6WMrQzslghyvrI/edit?usp=sharing"",""สกลนคร!S308"")+IMPORTRANGE(""https://docs.google.com/spreadsheets/d/1yswqbM3-AEpThF3ZSUa1AcmHnmRTF1vlJ1CZGcJ8YuU/edit?usp=sharing"",""สุรินทร์!S308"")+IMPORTRANG"&amp;"E(""https://docs.google.com/spreadsheets/d/13JHU_EFbsQOUQ0JSQ3dWy1VTRosIWcDq6Nc99z2qzdc/edit?usp=sharing"",""หนองคาย!S308"")+IMPORTRANGE(""https://docs.google.com/spreadsheets/d/1Hx73zIEgVdDZZaYSTc46Dqv64atFhpr3GelxLbaIN8A/edit?usp=sharing"",""หนองบัวลำภู"&amp;"!S308"")+IMPORTRANGE(""https://docs.google.com/spreadsheets/d/1lFxr3ctmjFN90yc-xV6jrQ9Ty8BKYVBWnAZ15wcNIJc/edit?usp=sharing"",""อำนาจเจริญ!S308"")+IMPORTRANGE(""https://docs.google.com/spreadsheets/d/1gF7RJpRnL-1oyjyeWxs5SFWEH7y8ahOZsQlyp2A2e-A/edit?usp=s"&amp;"haring"",""อุดรธานี!S308"")+IMPORTRANGE(""https://docs.google.com/spreadsheets/d/1kfLP0j3INXRa8bTDpcEmoWewMBV61jlFlfzczfjWIgc/edit?usp=sharing"",""อุบลราชธานี!S308"")"),271997.5)</f>
        <v>271997.5</v>
      </c>
      <c r="T308" s="56">
        <f t="shared" ca="1" si="226"/>
        <v>7.2675417660045669</v>
      </c>
      <c r="U308" s="56">
        <f t="shared" ca="1" si="227"/>
        <v>7.2675498245885919</v>
      </c>
    </row>
    <row r="309" spans="1:21" ht="18.75">
      <c r="A309" s="155"/>
      <c r="B309" s="50"/>
      <c r="C309" s="50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56">
        <f t="shared" ref="L309:N309" ca="1" si="234">L310+L311</f>
        <v>0</v>
      </c>
      <c r="M309" s="56">
        <f t="shared" ca="1" si="234"/>
        <v>0</v>
      </c>
      <c r="N309" s="56">
        <f t="shared" ca="1" si="234"/>
        <v>0</v>
      </c>
      <c r="O309" s="56">
        <f t="shared" ca="1" si="223"/>
        <v>0</v>
      </c>
      <c r="P309" s="56">
        <f t="shared" ca="1" si="224"/>
        <v>0</v>
      </c>
      <c r="Q309" s="56">
        <f t="shared" ref="Q309:S309" ca="1" si="235">Q310+Q311</f>
        <v>0</v>
      </c>
      <c r="R309" s="56">
        <f t="shared" ca="1" si="235"/>
        <v>0</v>
      </c>
      <c r="S309" s="57">
        <f t="shared" ca="1" si="235"/>
        <v>0</v>
      </c>
      <c r="T309" s="56">
        <f t="shared" ca="1" si="226"/>
        <v>0</v>
      </c>
      <c r="U309" s="56">
        <f t="shared" ca="1" si="227"/>
        <v>0</v>
      </c>
    </row>
    <row r="310" spans="1:21" ht="18.75">
      <c r="A310" s="155"/>
      <c r="B310" s="50"/>
      <c r="C310" s="50"/>
      <c r="D310" s="50"/>
      <c r="E310" s="58" t="s">
        <v>20</v>
      </c>
      <c r="F310" s="50"/>
      <c r="G310" s="52"/>
      <c r="H310" s="162" t="s">
        <v>14</v>
      </c>
      <c r="I310" s="163"/>
      <c r="J310" s="163"/>
      <c r="K310" s="164"/>
      <c r="L310" s="56">
        <f ca="1">IFERROR(__xludf.DUMMYFUNCTION("IMPORTRANGE(""https://docs.google.com/spreadsheets/d/1yhBcrRPreicbMKl9Bu_Snb2-OcQAF62RKfhTLhJ2eAA/edit?usp=sharing"",""กาฬสินธุ์!L310"")+IMPORTRANGE(""https://docs.google.com/spreadsheets/d/1aHkj4IaQMThhwWwevcOymEh837vdxeC_PycurhTbGFA/edit?usp=sharing"","&amp;"""ขอนแก่น!L310"")+IMPORTRANGE(""https://docs.google.com/spreadsheets/d/1FvTu2DsIWUjP6WCWra38Bkj_oOl_sOMf14r5Fg5srxU/edit?usp=sharing"",""ชัยภูมิ!L310"")+IMPORTRANGE(""https://docs.google.com/spreadsheets/d/1XVB7oCJ3pr-vBUdflwPQ8Z2LlzhnCvZaaYjAfP-647E/edit"&amp;"?usp=sharing"",""นครพนม!L310"")+IMPORTRANGE(""https://docs.google.com/spreadsheets/d/1Mnpb-8PYAgn85W6KOTD40hc_Xc55CaLfHoGAbrZ8tls/edit?usp=sharing"",""นครราชสีมา!L310"")+IMPORTRANGE(""https://docs.google.com/spreadsheets/d/1xoDLGBv9CYbyosIhki0kTq6IpYNj-gp"&amp;"jxfobnaDiut0/edit?usp=sharing"",""บึงกาฬ!L310"")+IMPORTRANGE(""https://docs.google.com/spreadsheets/d/1MMPq-JyI6DSgQETxuSiXkesP-P7JHuemnE6QJIa-Nlw/edit?usp=sharing"",""บุรีรัมย์!L310"")+IMPORTRANGE(""https://docs.google.com/spreadsheets/d/1l6IZ8xUPgMrESzc"&amp;"TYwhA1k_tPjeQjJPTqlm8Gd9eU5g/edit?usp=sharing"",""มหาสารคาม!L310"")+IMPORTRANGE(""https://docs.google.com/spreadsheets/d/1uB74YLqNjWX6FObjekfB2NtSYigTQyR2rq9u4Ub2Sq4/edit?usp=sharing"",""มุกดาหาร!L310"")+IMPORTRANGE(""https://docs.google.com/spreadsheets/"&amp;"d/1NexK3geCPxCTO1fzNF8dPec7yZyUx3OaWkFBC9HsQOo/edit?usp=sharing"",""ยโสธร!L310"")+IMPORTRANGE(""https://docs.google.com/spreadsheets/d/1v_cJrbBlyqmnHPReHk44g9NrMRdENNlSy_E_c5M9fIg/edit?usp=sharing"",""ร้อยเอ็ด!L310"")+IMPORTRANGE(""https://docs.google.com"&amp;"/spreadsheets/d/1Ul4RCpCX66NxYADU1QpwAPjOmBzW64SsT11s1wzXw_c/edit?usp=sharing"",""เลย!L310"")+IMPORTRANGE(""https://docs.google.com/spreadsheets/d/1bRrNKwbHDVktQG10isr5vbWRtt5spIZPpkOSWgbT5ug/edit?usp=sharing"",""ศรีสะเกษ!L310"")+IMPORTRANGE(""https://doc"&amp;"s.google.com/spreadsheets/d/17P34_Ow5kFBfdQD0qspb2UuPX5zpi6WMrQzslghyvrI/edit?usp=sharing"",""สกลนคร!L310"")+IMPORTRANGE(""https://docs.google.com/spreadsheets/d/1yswqbM3-AEpThF3ZSUa1AcmHnmRTF1vlJ1CZGcJ8YuU/edit?usp=sharing"",""สุรินทร์!L310"")+IMPORTRANG"&amp;"E(""https://docs.google.com/spreadsheets/d/13JHU_EFbsQOUQ0JSQ3dWy1VTRosIWcDq6Nc99z2qzdc/edit?usp=sharing"",""หนองคาย!L310"")+IMPORTRANGE(""https://docs.google.com/spreadsheets/d/1Hx73zIEgVdDZZaYSTc46Dqv64atFhpr3GelxLbaIN8A/edit?usp=sharing"",""หนองบัวลำภู"&amp;"!L310"")+IMPORTRANGE(""https://docs.google.com/spreadsheets/d/1lFxr3ctmjFN90yc-xV6jrQ9Ty8BKYVBWnAZ15wcNIJc/edit?usp=sharing"",""อำนาจเจริญ!L310"")+IMPORTRANGE(""https://docs.google.com/spreadsheets/d/1gF7RJpRnL-1oyjyeWxs5SFWEH7y8ahOZsQlyp2A2e-A/edit?usp=s"&amp;"haring"",""อุดรธานี!L310"")+IMPORTRANGE(""https://docs.google.com/spreadsheets/d/1kfLP0j3INXRa8bTDpcEmoWewMBV61jlFlfzczfjWIgc/edit?usp=sharing"",""อุบลราชธานี!L310"")"),0)</f>
        <v>0</v>
      </c>
      <c r="M310" s="56">
        <f ca="1">IFERROR(__xludf.DUMMYFUNCTION("IMPORTRANGE(""https://docs.google.com/spreadsheets/d/1yhBcrRPreicbMKl9Bu_Snb2-OcQAF62RKfhTLhJ2eAA/edit?usp=sharing"",""กาฬสินธุ์!M310"")+IMPORTRANGE(""https://docs.google.com/spreadsheets/d/1aHkj4IaQMThhwWwevcOymEh837vdxeC_PycurhTbGFA/edit?usp=sharing"","&amp;"""ขอนแก่น!M310"")+IMPORTRANGE(""https://docs.google.com/spreadsheets/d/1FvTu2DsIWUjP6WCWra38Bkj_oOl_sOMf14r5Fg5srxU/edit?usp=sharing"",""ชัยภูมิ!M310"")+IMPORTRANGE(""https://docs.google.com/spreadsheets/d/1XVB7oCJ3pr-vBUdflwPQ8Z2LlzhnCvZaaYjAfP-647E/edit"&amp;"?usp=sharing"",""นครพนม!M310"")+IMPORTRANGE(""https://docs.google.com/spreadsheets/d/1Mnpb-8PYAgn85W6KOTD40hc_Xc55CaLfHoGAbrZ8tls/edit?usp=sharing"",""นครราชสีมา!M310"")+IMPORTRANGE(""https://docs.google.com/spreadsheets/d/1xoDLGBv9CYbyosIhki0kTq6IpYNj-gp"&amp;"jxfobnaDiut0/edit?usp=sharing"",""บึงกาฬ!M310"")+IMPORTRANGE(""https://docs.google.com/spreadsheets/d/1MMPq-JyI6DSgQETxuSiXkesP-P7JHuemnE6QJIa-Nlw/edit?usp=sharing"",""บุรีรัมย์!M310"")+IMPORTRANGE(""https://docs.google.com/spreadsheets/d/1l6IZ8xUPgMrESzc"&amp;"TYwhA1k_tPjeQjJPTqlm8Gd9eU5g/edit?usp=sharing"",""มหาสารคาม!M310"")+IMPORTRANGE(""https://docs.google.com/spreadsheets/d/1uB74YLqNjWX6FObjekfB2NtSYigTQyR2rq9u4Ub2Sq4/edit?usp=sharing"",""มุกดาหาร!M310"")+IMPORTRANGE(""https://docs.google.com/spreadsheets/"&amp;"d/1NexK3geCPxCTO1fzNF8dPec7yZyUx3OaWkFBC9HsQOo/edit?usp=sharing"",""ยโสธร!M310"")+IMPORTRANGE(""https://docs.google.com/spreadsheets/d/1v_cJrbBlyqmnHPReHk44g9NrMRdENNlSy_E_c5M9fIg/edit?usp=sharing"",""ร้อยเอ็ด!M310"")+IMPORTRANGE(""https://docs.google.com"&amp;"/spreadsheets/d/1Ul4RCpCX66NxYADU1QpwAPjOmBzW64SsT11s1wzXw_c/edit?usp=sharing"",""เลย!M310"")+IMPORTRANGE(""https://docs.google.com/spreadsheets/d/1bRrNKwbHDVktQG10isr5vbWRtt5spIZPpkOSWgbT5ug/edit?usp=sharing"",""ศรีสะเกษ!M310"")+IMPORTRANGE(""https://doc"&amp;"s.google.com/spreadsheets/d/17P34_Ow5kFBfdQD0qspb2UuPX5zpi6WMrQzslghyvrI/edit?usp=sharing"",""สกลนคร!M310"")+IMPORTRANGE(""https://docs.google.com/spreadsheets/d/1yswqbM3-AEpThF3ZSUa1AcmHnmRTF1vlJ1CZGcJ8YuU/edit?usp=sharing"",""สุรินทร์!M310"")+IMPORTRANG"&amp;"E(""https://docs.google.com/spreadsheets/d/13JHU_EFbsQOUQ0JSQ3dWy1VTRosIWcDq6Nc99z2qzdc/edit?usp=sharing"",""หนองคาย!M310"")+IMPORTRANGE(""https://docs.google.com/spreadsheets/d/1Hx73zIEgVdDZZaYSTc46Dqv64atFhpr3GelxLbaIN8A/edit?usp=sharing"",""หนองบัวลำภู"&amp;"!M310"")+IMPORTRANGE(""https://docs.google.com/spreadsheets/d/1lFxr3ctmjFN90yc-xV6jrQ9Ty8BKYVBWnAZ15wcNIJc/edit?usp=sharing"",""อำนาจเจริญ!M310"")+IMPORTRANGE(""https://docs.google.com/spreadsheets/d/1gF7RJpRnL-1oyjyeWxs5SFWEH7y8ahOZsQlyp2A2e-A/edit?usp=s"&amp;"haring"",""อุดรธานี!M310"")+IMPORTRANGE(""https://docs.google.com/spreadsheets/d/1kfLP0j3INXRa8bTDpcEmoWewMBV61jlFlfzczfjWIgc/edit?usp=sharing"",""อุบลราชธานี!M310"")"),0)</f>
        <v>0</v>
      </c>
      <c r="N310" s="56">
        <f ca="1">IFERROR(__xludf.DUMMYFUNCTION("IMPORTRANGE(""https://docs.google.com/spreadsheets/d/1yhBcrRPreicbMKl9Bu_Snb2-OcQAF62RKfhTLhJ2eAA/edit?usp=sharing"",""กาฬสินธุ์!N310"")+IMPORTRANGE(""https://docs.google.com/spreadsheets/d/1aHkj4IaQMThhwWwevcOymEh837vdxeC_PycurhTbGFA/edit?usp=sharing"","&amp;"""ขอนแก่น!N310"")+IMPORTRANGE(""https://docs.google.com/spreadsheets/d/1FvTu2DsIWUjP6WCWra38Bkj_oOl_sOMf14r5Fg5srxU/edit?usp=sharing"",""ชัยภูมิ!N310"")+IMPORTRANGE(""https://docs.google.com/spreadsheets/d/1XVB7oCJ3pr-vBUdflwPQ8Z2LlzhnCvZaaYjAfP-647E/edit"&amp;"?usp=sharing"",""นครพนม!N310"")+IMPORTRANGE(""https://docs.google.com/spreadsheets/d/1Mnpb-8PYAgn85W6KOTD40hc_Xc55CaLfHoGAbrZ8tls/edit?usp=sharing"",""นครราชสีมา!N310"")+IMPORTRANGE(""https://docs.google.com/spreadsheets/d/1xoDLGBv9CYbyosIhki0kTq6IpYNj-gp"&amp;"jxfobnaDiut0/edit?usp=sharing"",""บึงกาฬ!N310"")+IMPORTRANGE(""https://docs.google.com/spreadsheets/d/1MMPq-JyI6DSgQETxuSiXkesP-P7JHuemnE6QJIa-Nlw/edit?usp=sharing"",""บุรีรัมย์!N310"")+IMPORTRANGE(""https://docs.google.com/spreadsheets/d/1l6IZ8xUPgMrESzc"&amp;"TYwhA1k_tPjeQjJPTqlm8Gd9eU5g/edit?usp=sharing"",""มหาสารคาม!N310"")+IMPORTRANGE(""https://docs.google.com/spreadsheets/d/1uB74YLqNjWX6FObjekfB2NtSYigTQyR2rq9u4Ub2Sq4/edit?usp=sharing"",""มุกดาหาร!N310"")+IMPORTRANGE(""https://docs.google.com/spreadsheets/"&amp;"d/1NexK3geCPxCTO1fzNF8dPec7yZyUx3OaWkFBC9HsQOo/edit?usp=sharing"",""ยโสธร!N310"")+IMPORTRANGE(""https://docs.google.com/spreadsheets/d/1v_cJrbBlyqmnHPReHk44g9NrMRdENNlSy_E_c5M9fIg/edit?usp=sharing"",""ร้อยเอ็ด!N310"")+IMPORTRANGE(""https://docs.google.com"&amp;"/spreadsheets/d/1Ul4RCpCX66NxYADU1QpwAPjOmBzW64SsT11s1wzXw_c/edit?usp=sharing"",""เลย!N310"")+IMPORTRANGE(""https://docs.google.com/spreadsheets/d/1bRrNKwbHDVktQG10isr5vbWRtt5spIZPpkOSWgbT5ug/edit?usp=sharing"",""ศรีสะเกษ!N310"")+IMPORTRANGE(""https://doc"&amp;"s.google.com/spreadsheets/d/17P34_Ow5kFBfdQD0qspb2UuPX5zpi6WMrQzslghyvrI/edit?usp=sharing"",""สกลนคร!N310"")+IMPORTRANGE(""https://docs.google.com/spreadsheets/d/1yswqbM3-AEpThF3ZSUa1AcmHnmRTF1vlJ1CZGcJ8YuU/edit?usp=sharing"",""สุรินทร์!N310"")+IMPORTRANG"&amp;"E(""https://docs.google.com/spreadsheets/d/13JHU_EFbsQOUQ0JSQ3dWy1VTRosIWcDq6Nc99z2qzdc/edit?usp=sharing"",""หนองคาย!N310"")+IMPORTRANGE(""https://docs.google.com/spreadsheets/d/1Hx73zIEgVdDZZaYSTc46Dqv64atFhpr3GelxLbaIN8A/edit?usp=sharing"",""หนองบัวลำภู"&amp;"!N310"")+IMPORTRANGE(""https://docs.google.com/spreadsheets/d/1lFxr3ctmjFN90yc-xV6jrQ9Ty8BKYVBWnAZ15wcNIJc/edit?usp=sharing"",""อำนาจเจริญ!N310"")+IMPORTRANGE(""https://docs.google.com/spreadsheets/d/1gF7RJpRnL-1oyjyeWxs5SFWEH7y8ahOZsQlyp2A2e-A/edit?usp=s"&amp;"haring"",""อุดรธานี!N310"")+IMPORTRANGE(""https://docs.google.com/spreadsheets/d/1kfLP0j3INXRa8bTDpcEmoWewMBV61jlFlfzczfjWIgc/edit?usp=sharing"",""อุบลราชธานี!N310"")"),0)</f>
        <v>0</v>
      </c>
      <c r="O310" s="56">
        <f t="shared" ca="1" si="223"/>
        <v>0</v>
      </c>
      <c r="P310" s="56">
        <f t="shared" ca="1" si="224"/>
        <v>0</v>
      </c>
      <c r="Q310" s="56">
        <f ca="1">IFERROR(__xludf.DUMMYFUNCTION("IMPORTRANGE(""https://docs.google.com/spreadsheets/d/1yhBcrRPreicbMKl9Bu_Snb2-OcQAF62RKfhTLhJ2eAA/edit?usp=sharing"",""กาฬสินธุ์!Q310"")+IMPORTRANGE(""https://docs.google.com/spreadsheets/d/1aHkj4IaQMThhwWwevcOymEh837vdxeC_PycurhTbGFA/edit?usp=sharing"","&amp;"""ขอนแก่น!Q310"")+IMPORTRANGE(""https://docs.google.com/spreadsheets/d/1FvTu2DsIWUjP6WCWra38Bkj_oOl_sOMf14r5Fg5srxU/edit?usp=sharing"",""ชัยภูมิ!Q310"")+IMPORTRANGE(""https://docs.google.com/spreadsheets/d/1XVB7oCJ3pr-vBUdflwPQ8Z2LlzhnCvZaaYjAfP-647E/edit"&amp;"?usp=sharing"",""นครพนม!Q310"")+IMPORTRANGE(""https://docs.google.com/spreadsheets/d/1Mnpb-8PYAgn85W6KOTD40hc_Xc55CaLfHoGAbrZ8tls/edit?usp=sharing"",""นครราชสีมา!Q310"")+IMPORTRANGE(""https://docs.google.com/spreadsheets/d/1xoDLGBv9CYbyosIhki0kTq6IpYNj-gp"&amp;"jxfobnaDiut0/edit?usp=sharing"",""บึงกาฬ!Q310"")+IMPORTRANGE(""https://docs.google.com/spreadsheets/d/1MMPq-JyI6DSgQETxuSiXkesP-P7JHuemnE6QJIa-Nlw/edit?usp=sharing"",""บุรีรัมย์!Q310"")+IMPORTRANGE(""https://docs.google.com/spreadsheets/d/1l6IZ8xUPgMrESzc"&amp;"TYwhA1k_tPjeQjJPTqlm8Gd9eU5g/edit?usp=sharing"",""มหาสารคาม!Q310"")+IMPORTRANGE(""https://docs.google.com/spreadsheets/d/1uB74YLqNjWX6FObjekfB2NtSYigTQyR2rq9u4Ub2Sq4/edit?usp=sharing"",""มุกดาหาร!Q310"")+IMPORTRANGE(""https://docs.google.com/spreadsheets/"&amp;"d/1NexK3geCPxCTO1fzNF8dPec7yZyUx3OaWkFBC9HsQOo/edit?usp=sharing"",""ยโสธร!Q310"")+IMPORTRANGE(""https://docs.google.com/spreadsheets/d/1v_cJrbBlyqmnHPReHk44g9NrMRdENNlSy_E_c5M9fIg/edit?usp=sharing"",""ร้อยเอ็ด!Q310"")+IMPORTRANGE(""https://docs.google.com"&amp;"/spreadsheets/d/1Ul4RCpCX66NxYADU1QpwAPjOmBzW64SsT11s1wzXw_c/edit?usp=sharing"",""เลย!Q310"")+IMPORTRANGE(""https://docs.google.com/spreadsheets/d/1bRrNKwbHDVktQG10isr5vbWRtt5spIZPpkOSWgbT5ug/edit?usp=sharing"",""ศรีสะเกษ!Q310"")+IMPORTRANGE(""https://doc"&amp;"s.google.com/spreadsheets/d/17P34_Ow5kFBfdQD0qspb2UuPX5zpi6WMrQzslghyvrI/edit?usp=sharing"",""สกลนคร!Q310"")+IMPORTRANGE(""https://docs.google.com/spreadsheets/d/1yswqbM3-AEpThF3ZSUa1AcmHnmRTF1vlJ1CZGcJ8YuU/edit?usp=sharing"",""สุรินทร์!Q310"")+IMPORTRANG"&amp;"E(""https://docs.google.com/spreadsheets/d/13JHU_EFbsQOUQ0JSQ3dWy1VTRosIWcDq6Nc99z2qzdc/edit?usp=sharing"",""หนองคาย!Q310"")+IMPORTRANGE(""https://docs.google.com/spreadsheets/d/1Hx73zIEgVdDZZaYSTc46Dqv64atFhpr3GelxLbaIN8A/edit?usp=sharing"",""หนองบัวลำภู"&amp;"!Q310"")+IMPORTRANGE(""https://docs.google.com/spreadsheets/d/1lFxr3ctmjFN90yc-xV6jrQ9Ty8BKYVBWnAZ15wcNIJc/edit?usp=sharing"",""อำนาจเจริญ!Q310"")+IMPORTRANGE(""https://docs.google.com/spreadsheets/d/1gF7RJpRnL-1oyjyeWxs5SFWEH7y8ahOZsQlyp2A2e-A/edit?usp=s"&amp;"haring"",""อุดรธานี!Q310"")+IMPORTRANGE(""https://docs.google.com/spreadsheets/d/1kfLP0j3INXRa8bTDpcEmoWewMBV61jlFlfzczfjWIgc/edit?usp=sharing"",""อุบลราชธานี!Q310"")"),0)</f>
        <v>0</v>
      </c>
      <c r="R310" s="56">
        <f ca="1">IFERROR(__xludf.DUMMYFUNCTION("IMPORTRANGE(""https://docs.google.com/spreadsheets/d/1yhBcrRPreicbMKl9Bu_Snb2-OcQAF62RKfhTLhJ2eAA/edit?usp=sharing"",""กาฬสินธุ์!R310"")+IMPORTRANGE(""https://docs.google.com/spreadsheets/d/1aHkj4IaQMThhwWwevcOymEh837vdxeC_PycurhTbGFA/edit?usp=sharing"","&amp;"""ขอนแก่น!R310"")+IMPORTRANGE(""https://docs.google.com/spreadsheets/d/1FvTu2DsIWUjP6WCWra38Bkj_oOl_sOMf14r5Fg5srxU/edit?usp=sharing"",""ชัยภูมิ!R310"")+IMPORTRANGE(""https://docs.google.com/spreadsheets/d/1XVB7oCJ3pr-vBUdflwPQ8Z2LlzhnCvZaaYjAfP-647E/edit"&amp;"?usp=sharing"",""นครพนม!R310"")+IMPORTRANGE(""https://docs.google.com/spreadsheets/d/1Mnpb-8PYAgn85W6KOTD40hc_Xc55CaLfHoGAbrZ8tls/edit?usp=sharing"",""นครราชสีมา!R310"")+IMPORTRANGE(""https://docs.google.com/spreadsheets/d/1xoDLGBv9CYbyosIhki0kTq6IpYNj-gp"&amp;"jxfobnaDiut0/edit?usp=sharing"",""บึงกาฬ!R310"")+IMPORTRANGE(""https://docs.google.com/spreadsheets/d/1MMPq-JyI6DSgQETxuSiXkesP-P7JHuemnE6QJIa-Nlw/edit?usp=sharing"",""บุรีรัมย์!R310"")+IMPORTRANGE(""https://docs.google.com/spreadsheets/d/1l6IZ8xUPgMrESzc"&amp;"TYwhA1k_tPjeQjJPTqlm8Gd9eU5g/edit?usp=sharing"",""มหาสารคาม!R310"")+IMPORTRANGE(""https://docs.google.com/spreadsheets/d/1uB74YLqNjWX6FObjekfB2NtSYigTQyR2rq9u4Ub2Sq4/edit?usp=sharing"",""มุกดาหาร!R310"")+IMPORTRANGE(""https://docs.google.com/spreadsheets/"&amp;"d/1NexK3geCPxCTO1fzNF8dPec7yZyUx3OaWkFBC9HsQOo/edit?usp=sharing"",""ยโสธร!R310"")+IMPORTRANGE(""https://docs.google.com/spreadsheets/d/1v_cJrbBlyqmnHPReHk44g9NrMRdENNlSy_E_c5M9fIg/edit?usp=sharing"",""ร้อยเอ็ด!R310"")+IMPORTRANGE(""https://docs.google.com"&amp;"/spreadsheets/d/1Ul4RCpCX66NxYADU1QpwAPjOmBzW64SsT11s1wzXw_c/edit?usp=sharing"",""เลย!R310"")+IMPORTRANGE(""https://docs.google.com/spreadsheets/d/1bRrNKwbHDVktQG10isr5vbWRtt5spIZPpkOSWgbT5ug/edit?usp=sharing"",""ศรีสะเกษ!R310"")+IMPORTRANGE(""https://doc"&amp;"s.google.com/spreadsheets/d/17P34_Ow5kFBfdQD0qspb2UuPX5zpi6WMrQzslghyvrI/edit?usp=sharing"",""สกลนคร!R310"")+IMPORTRANGE(""https://docs.google.com/spreadsheets/d/1yswqbM3-AEpThF3ZSUa1AcmHnmRTF1vlJ1CZGcJ8YuU/edit?usp=sharing"",""สุรินทร์!R310"")+IMPORTRANG"&amp;"E(""https://docs.google.com/spreadsheets/d/13JHU_EFbsQOUQ0JSQ3dWy1VTRosIWcDq6Nc99z2qzdc/edit?usp=sharing"",""หนองคาย!R310"")+IMPORTRANGE(""https://docs.google.com/spreadsheets/d/1Hx73zIEgVdDZZaYSTc46Dqv64atFhpr3GelxLbaIN8A/edit?usp=sharing"",""หนองบัวลำภู"&amp;"!R310"")+IMPORTRANGE(""https://docs.google.com/spreadsheets/d/1lFxr3ctmjFN90yc-xV6jrQ9Ty8BKYVBWnAZ15wcNIJc/edit?usp=sharing"",""อำนาจเจริญ!R310"")+IMPORTRANGE(""https://docs.google.com/spreadsheets/d/1gF7RJpRnL-1oyjyeWxs5SFWEH7y8ahOZsQlyp2A2e-A/edit?usp=s"&amp;"haring"",""อุดรธานี!R310"")+IMPORTRANGE(""https://docs.google.com/spreadsheets/d/1kfLP0j3INXRa8bTDpcEmoWewMBV61jlFlfzczfjWIgc/edit?usp=sharing"",""อุบลราชธานี!R310"")"),0)</f>
        <v>0</v>
      </c>
      <c r="S310" s="57">
        <f ca="1">IFERROR(__xludf.DUMMYFUNCTION("IMPORTRANGE(""https://docs.google.com/spreadsheets/d/1yhBcrRPreicbMKl9Bu_Snb2-OcQAF62RKfhTLhJ2eAA/edit?usp=sharing"",""กาฬสินธุ์!S310"")+IMPORTRANGE(""https://docs.google.com/spreadsheets/d/1aHkj4IaQMThhwWwevcOymEh837vdxeC_PycurhTbGFA/edit?usp=sharing"","&amp;"""ขอนแก่น!S310"")+IMPORTRANGE(""https://docs.google.com/spreadsheets/d/1FvTu2DsIWUjP6WCWra38Bkj_oOl_sOMf14r5Fg5srxU/edit?usp=sharing"",""ชัยภูมิ!S310"")+IMPORTRANGE(""https://docs.google.com/spreadsheets/d/1XVB7oCJ3pr-vBUdflwPQ8Z2LlzhnCvZaaYjAfP-647E/edit"&amp;"?usp=sharing"",""นครพนม!S310"")+IMPORTRANGE(""https://docs.google.com/spreadsheets/d/1Mnpb-8PYAgn85W6KOTD40hc_Xc55CaLfHoGAbrZ8tls/edit?usp=sharing"",""นครราชสีมา!S310"")+IMPORTRANGE(""https://docs.google.com/spreadsheets/d/1xoDLGBv9CYbyosIhki0kTq6IpYNj-gp"&amp;"jxfobnaDiut0/edit?usp=sharing"",""บึงกาฬ!S310"")+IMPORTRANGE(""https://docs.google.com/spreadsheets/d/1MMPq-JyI6DSgQETxuSiXkesP-P7JHuemnE6QJIa-Nlw/edit?usp=sharing"",""บุรีรัมย์!S310"")+IMPORTRANGE(""https://docs.google.com/spreadsheets/d/1l6IZ8xUPgMrESzc"&amp;"TYwhA1k_tPjeQjJPTqlm8Gd9eU5g/edit?usp=sharing"",""มหาสารคาม!S310"")+IMPORTRANGE(""https://docs.google.com/spreadsheets/d/1uB74YLqNjWX6FObjekfB2NtSYigTQyR2rq9u4Ub2Sq4/edit?usp=sharing"",""มุกดาหาร!S310"")+IMPORTRANGE(""https://docs.google.com/spreadsheets/"&amp;"d/1NexK3geCPxCTO1fzNF8dPec7yZyUx3OaWkFBC9HsQOo/edit?usp=sharing"",""ยโสธร!S310"")+IMPORTRANGE(""https://docs.google.com/spreadsheets/d/1v_cJrbBlyqmnHPReHk44g9NrMRdENNlSy_E_c5M9fIg/edit?usp=sharing"",""ร้อยเอ็ด!S310"")+IMPORTRANGE(""https://docs.google.com"&amp;"/spreadsheets/d/1Ul4RCpCX66NxYADU1QpwAPjOmBzW64SsT11s1wzXw_c/edit?usp=sharing"",""เลย!S310"")+IMPORTRANGE(""https://docs.google.com/spreadsheets/d/1bRrNKwbHDVktQG10isr5vbWRtt5spIZPpkOSWgbT5ug/edit?usp=sharing"",""ศรีสะเกษ!S310"")+IMPORTRANGE(""https://doc"&amp;"s.google.com/spreadsheets/d/17P34_Ow5kFBfdQD0qspb2UuPX5zpi6WMrQzslghyvrI/edit?usp=sharing"",""สกลนคร!S310"")+IMPORTRANGE(""https://docs.google.com/spreadsheets/d/1yswqbM3-AEpThF3ZSUa1AcmHnmRTF1vlJ1CZGcJ8YuU/edit?usp=sharing"",""สุรินทร์!S310"")+IMPORTRANG"&amp;"E(""https://docs.google.com/spreadsheets/d/13JHU_EFbsQOUQ0JSQ3dWy1VTRosIWcDq6Nc99z2qzdc/edit?usp=sharing"",""หนองคาย!S310"")+IMPORTRANGE(""https://docs.google.com/spreadsheets/d/1Hx73zIEgVdDZZaYSTc46Dqv64atFhpr3GelxLbaIN8A/edit?usp=sharing"",""หนองบัวลำภู"&amp;"!S310"")+IMPORTRANGE(""https://docs.google.com/spreadsheets/d/1lFxr3ctmjFN90yc-xV6jrQ9Ty8BKYVBWnAZ15wcNIJc/edit?usp=sharing"",""อำนาจเจริญ!S310"")+IMPORTRANGE(""https://docs.google.com/spreadsheets/d/1gF7RJpRnL-1oyjyeWxs5SFWEH7y8ahOZsQlyp2A2e-A/edit?usp=s"&amp;"haring"",""อุดรธานี!S310"")+IMPORTRANGE(""https://docs.google.com/spreadsheets/d/1kfLP0j3INXRa8bTDpcEmoWewMBV61jlFlfzczfjWIgc/edit?usp=sharing"",""อุบลราชธานี!S310"")"),0)</f>
        <v>0</v>
      </c>
      <c r="T310" s="59">
        <f t="shared" ca="1" si="226"/>
        <v>0</v>
      </c>
      <c r="U310" s="59">
        <f t="shared" ca="1" si="227"/>
        <v>0</v>
      </c>
    </row>
    <row r="311" spans="1:21" ht="18.75">
      <c r="A311" s="155"/>
      <c r="B311" s="50"/>
      <c r="C311" s="50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56">
        <f ca="1">IFERROR(__xludf.DUMMYFUNCTION("IMPORTRANGE(""https://docs.google.com/spreadsheets/d/1yhBcrRPreicbMKl9Bu_Snb2-OcQAF62RKfhTLhJ2eAA/edit?usp=sharing"",""กาฬสินธุ์!L311"")+IMPORTRANGE(""https://docs.google.com/spreadsheets/d/1aHkj4IaQMThhwWwevcOymEh837vdxeC_PycurhTbGFA/edit?usp=sharing"","&amp;"""ขอนแก่น!L311"")+IMPORTRANGE(""https://docs.google.com/spreadsheets/d/1FvTu2DsIWUjP6WCWra38Bkj_oOl_sOMf14r5Fg5srxU/edit?usp=sharing"",""ชัยภูมิ!L311"")+IMPORTRANGE(""https://docs.google.com/spreadsheets/d/1XVB7oCJ3pr-vBUdflwPQ8Z2LlzhnCvZaaYjAfP-647E/edit"&amp;"?usp=sharing"",""นครพนม!L311"")+IMPORTRANGE(""https://docs.google.com/spreadsheets/d/1Mnpb-8PYAgn85W6KOTD40hc_Xc55CaLfHoGAbrZ8tls/edit?usp=sharing"",""นครราชสีมา!L311"")+IMPORTRANGE(""https://docs.google.com/spreadsheets/d/1xoDLGBv9CYbyosIhki0kTq6IpYNj-gp"&amp;"jxfobnaDiut0/edit?usp=sharing"",""บึงกาฬ!L311"")+IMPORTRANGE(""https://docs.google.com/spreadsheets/d/1MMPq-JyI6DSgQETxuSiXkesP-P7JHuemnE6QJIa-Nlw/edit?usp=sharing"",""บุรีรัมย์!L311"")+IMPORTRANGE(""https://docs.google.com/spreadsheets/d/1l6IZ8xUPgMrESzc"&amp;"TYwhA1k_tPjeQjJPTqlm8Gd9eU5g/edit?usp=sharing"",""มหาสารคาม!L311"")+IMPORTRANGE(""https://docs.google.com/spreadsheets/d/1uB74YLqNjWX6FObjekfB2NtSYigTQyR2rq9u4Ub2Sq4/edit?usp=sharing"",""มุกดาหาร!L311"")+IMPORTRANGE(""https://docs.google.com/spreadsheets/"&amp;"d/1NexK3geCPxCTO1fzNF8dPec7yZyUx3OaWkFBC9HsQOo/edit?usp=sharing"",""ยโสธร!L311"")+IMPORTRANGE(""https://docs.google.com/spreadsheets/d/1v_cJrbBlyqmnHPReHk44g9NrMRdENNlSy_E_c5M9fIg/edit?usp=sharing"",""ร้อยเอ็ด!L311"")+IMPORTRANGE(""https://docs.google.com"&amp;"/spreadsheets/d/1Ul4RCpCX66NxYADU1QpwAPjOmBzW64SsT11s1wzXw_c/edit?usp=sharing"",""เลย!L311"")+IMPORTRANGE(""https://docs.google.com/spreadsheets/d/1bRrNKwbHDVktQG10isr5vbWRtt5spIZPpkOSWgbT5ug/edit?usp=sharing"",""ศรีสะเกษ!L311"")+IMPORTRANGE(""https://doc"&amp;"s.google.com/spreadsheets/d/17P34_Ow5kFBfdQD0qspb2UuPX5zpi6WMrQzslghyvrI/edit?usp=sharing"",""สกลนคร!L311"")+IMPORTRANGE(""https://docs.google.com/spreadsheets/d/1yswqbM3-AEpThF3ZSUa1AcmHnmRTF1vlJ1CZGcJ8YuU/edit?usp=sharing"",""สุรินทร์!L311"")+IMPORTRANG"&amp;"E(""https://docs.google.com/spreadsheets/d/13JHU_EFbsQOUQ0JSQ3dWy1VTRosIWcDq6Nc99z2qzdc/edit?usp=sharing"",""หนองคาย!L311"")+IMPORTRANGE(""https://docs.google.com/spreadsheets/d/1Hx73zIEgVdDZZaYSTc46Dqv64atFhpr3GelxLbaIN8A/edit?usp=sharing"",""หนองบัวลำภู"&amp;"!L311"")+IMPORTRANGE(""https://docs.google.com/spreadsheets/d/1lFxr3ctmjFN90yc-xV6jrQ9Ty8BKYVBWnAZ15wcNIJc/edit?usp=sharing"",""อำนาจเจริญ!L311"")+IMPORTRANGE(""https://docs.google.com/spreadsheets/d/1gF7RJpRnL-1oyjyeWxs5SFWEH7y8ahOZsQlyp2A2e-A/edit?usp=s"&amp;"haring"",""อุดรธานี!L311"")+IMPORTRANGE(""https://docs.google.com/spreadsheets/d/1kfLP0j3INXRa8bTDpcEmoWewMBV61jlFlfzczfjWIgc/edit?usp=sharing"",""อุบลราชธานี!L311"")"),0)</f>
        <v>0</v>
      </c>
      <c r="M311" s="56">
        <f ca="1">IFERROR(__xludf.DUMMYFUNCTION("IMPORTRANGE(""https://docs.google.com/spreadsheets/d/1yhBcrRPreicbMKl9Bu_Snb2-OcQAF62RKfhTLhJ2eAA/edit?usp=sharing"",""กาฬสินธุ์!M311"")+IMPORTRANGE(""https://docs.google.com/spreadsheets/d/1aHkj4IaQMThhwWwevcOymEh837vdxeC_PycurhTbGFA/edit?usp=sharing"","&amp;"""ขอนแก่น!M311"")+IMPORTRANGE(""https://docs.google.com/spreadsheets/d/1FvTu2DsIWUjP6WCWra38Bkj_oOl_sOMf14r5Fg5srxU/edit?usp=sharing"",""ชัยภูมิ!M311"")+IMPORTRANGE(""https://docs.google.com/spreadsheets/d/1XVB7oCJ3pr-vBUdflwPQ8Z2LlzhnCvZaaYjAfP-647E/edit"&amp;"?usp=sharing"",""นครพนม!M311"")+IMPORTRANGE(""https://docs.google.com/spreadsheets/d/1Mnpb-8PYAgn85W6KOTD40hc_Xc55CaLfHoGAbrZ8tls/edit?usp=sharing"",""นครราชสีมา!M311"")+IMPORTRANGE(""https://docs.google.com/spreadsheets/d/1xoDLGBv9CYbyosIhki0kTq6IpYNj-gp"&amp;"jxfobnaDiut0/edit?usp=sharing"",""บึงกาฬ!M311"")+IMPORTRANGE(""https://docs.google.com/spreadsheets/d/1MMPq-JyI6DSgQETxuSiXkesP-P7JHuemnE6QJIa-Nlw/edit?usp=sharing"",""บุรีรัมย์!M311"")+IMPORTRANGE(""https://docs.google.com/spreadsheets/d/1l6IZ8xUPgMrESzc"&amp;"TYwhA1k_tPjeQjJPTqlm8Gd9eU5g/edit?usp=sharing"",""มหาสารคาม!M311"")+IMPORTRANGE(""https://docs.google.com/spreadsheets/d/1uB74YLqNjWX6FObjekfB2NtSYigTQyR2rq9u4Ub2Sq4/edit?usp=sharing"",""มุกดาหาร!M311"")+IMPORTRANGE(""https://docs.google.com/spreadsheets/"&amp;"d/1NexK3geCPxCTO1fzNF8dPec7yZyUx3OaWkFBC9HsQOo/edit?usp=sharing"",""ยโสธร!M311"")+IMPORTRANGE(""https://docs.google.com/spreadsheets/d/1v_cJrbBlyqmnHPReHk44g9NrMRdENNlSy_E_c5M9fIg/edit?usp=sharing"",""ร้อยเอ็ด!M311"")+IMPORTRANGE(""https://docs.google.com"&amp;"/spreadsheets/d/1Ul4RCpCX66NxYADU1QpwAPjOmBzW64SsT11s1wzXw_c/edit?usp=sharing"",""เลย!M311"")+IMPORTRANGE(""https://docs.google.com/spreadsheets/d/1bRrNKwbHDVktQG10isr5vbWRtt5spIZPpkOSWgbT5ug/edit?usp=sharing"",""ศรีสะเกษ!M311"")+IMPORTRANGE(""https://doc"&amp;"s.google.com/spreadsheets/d/17P34_Ow5kFBfdQD0qspb2UuPX5zpi6WMrQzslghyvrI/edit?usp=sharing"",""สกลนคร!M311"")+IMPORTRANGE(""https://docs.google.com/spreadsheets/d/1yswqbM3-AEpThF3ZSUa1AcmHnmRTF1vlJ1CZGcJ8YuU/edit?usp=sharing"",""สุรินทร์!M311"")+IMPORTRANG"&amp;"E(""https://docs.google.com/spreadsheets/d/13JHU_EFbsQOUQ0JSQ3dWy1VTRosIWcDq6Nc99z2qzdc/edit?usp=sharing"",""หนองคาย!M311"")+IMPORTRANGE(""https://docs.google.com/spreadsheets/d/1Hx73zIEgVdDZZaYSTc46Dqv64atFhpr3GelxLbaIN8A/edit?usp=sharing"",""หนองบัวลำภู"&amp;"!M311"")+IMPORTRANGE(""https://docs.google.com/spreadsheets/d/1lFxr3ctmjFN90yc-xV6jrQ9Ty8BKYVBWnAZ15wcNIJc/edit?usp=sharing"",""อำนาจเจริญ!M311"")+IMPORTRANGE(""https://docs.google.com/spreadsheets/d/1gF7RJpRnL-1oyjyeWxs5SFWEH7y8ahOZsQlyp2A2e-A/edit?usp=s"&amp;"haring"",""อุดรธานี!M311"")+IMPORTRANGE(""https://docs.google.com/spreadsheets/d/1kfLP0j3INXRa8bTDpcEmoWewMBV61jlFlfzczfjWIgc/edit?usp=sharing"",""อุบลราชธานี!M311"")"),0)</f>
        <v>0</v>
      </c>
      <c r="N311" s="56">
        <f ca="1">IFERROR(__xludf.DUMMYFUNCTION("IMPORTRANGE(""https://docs.google.com/spreadsheets/d/1yhBcrRPreicbMKl9Bu_Snb2-OcQAF62RKfhTLhJ2eAA/edit?usp=sharing"",""กาฬสินธุ์!N311"")+IMPORTRANGE(""https://docs.google.com/spreadsheets/d/1aHkj4IaQMThhwWwevcOymEh837vdxeC_PycurhTbGFA/edit?usp=sharing"","&amp;"""ขอนแก่น!N311"")+IMPORTRANGE(""https://docs.google.com/spreadsheets/d/1FvTu2DsIWUjP6WCWra38Bkj_oOl_sOMf14r5Fg5srxU/edit?usp=sharing"",""ชัยภูมิ!N311"")+IMPORTRANGE(""https://docs.google.com/spreadsheets/d/1XVB7oCJ3pr-vBUdflwPQ8Z2LlzhnCvZaaYjAfP-647E/edit"&amp;"?usp=sharing"",""นครพนม!N311"")+IMPORTRANGE(""https://docs.google.com/spreadsheets/d/1Mnpb-8PYAgn85W6KOTD40hc_Xc55CaLfHoGAbrZ8tls/edit?usp=sharing"",""นครราชสีมา!N311"")+IMPORTRANGE(""https://docs.google.com/spreadsheets/d/1xoDLGBv9CYbyosIhki0kTq6IpYNj-gp"&amp;"jxfobnaDiut0/edit?usp=sharing"",""บึงกาฬ!N311"")+IMPORTRANGE(""https://docs.google.com/spreadsheets/d/1MMPq-JyI6DSgQETxuSiXkesP-P7JHuemnE6QJIa-Nlw/edit?usp=sharing"",""บุรีรัมย์!N311"")+IMPORTRANGE(""https://docs.google.com/spreadsheets/d/1l6IZ8xUPgMrESzc"&amp;"TYwhA1k_tPjeQjJPTqlm8Gd9eU5g/edit?usp=sharing"",""มหาสารคาม!N311"")+IMPORTRANGE(""https://docs.google.com/spreadsheets/d/1uB74YLqNjWX6FObjekfB2NtSYigTQyR2rq9u4Ub2Sq4/edit?usp=sharing"",""มุกดาหาร!N311"")+IMPORTRANGE(""https://docs.google.com/spreadsheets/"&amp;"d/1NexK3geCPxCTO1fzNF8dPec7yZyUx3OaWkFBC9HsQOo/edit?usp=sharing"",""ยโสธร!N311"")+IMPORTRANGE(""https://docs.google.com/spreadsheets/d/1v_cJrbBlyqmnHPReHk44g9NrMRdENNlSy_E_c5M9fIg/edit?usp=sharing"",""ร้อยเอ็ด!N311"")+IMPORTRANGE(""https://docs.google.com"&amp;"/spreadsheets/d/1Ul4RCpCX66NxYADU1QpwAPjOmBzW64SsT11s1wzXw_c/edit?usp=sharing"",""เลย!N311"")+IMPORTRANGE(""https://docs.google.com/spreadsheets/d/1bRrNKwbHDVktQG10isr5vbWRtt5spIZPpkOSWgbT5ug/edit?usp=sharing"",""ศรีสะเกษ!N311"")+IMPORTRANGE(""https://doc"&amp;"s.google.com/spreadsheets/d/17P34_Ow5kFBfdQD0qspb2UuPX5zpi6WMrQzslghyvrI/edit?usp=sharing"",""สกลนคร!N311"")+IMPORTRANGE(""https://docs.google.com/spreadsheets/d/1yswqbM3-AEpThF3ZSUa1AcmHnmRTF1vlJ1CZGcJ8YuU/edit?usp=sharing"",""สุรินทร์!N311"")+IMPORTRANG"&amp;"E(""https://docs.google.com/spreadsheets/d/13JHU_EFbsQOUQ0JSQ3dWy1VTRosIWcDq6Nc99z2qzdc/edit?usp=sharing"",""หนองคาย!N311"")+IMPORTRANGE(""https://docs.google.com/spreadsheets/d/1Hx73zIEgVdDZZaYSTc46Dqv64atFhpr3GelxLbaIN8A/edit?usp=sharing"",""หนองบัวลำภู"&amp;"!N311"")+IMPORTRANGE(""https://docs.google.com/spreadsheets/d/1lFxr3ctmjFN90yc-xV6jrQ9Ty8BKYVBWnAZ15wcNIJc/edit?usp=sharing"",""อำนาจเจริญ!N311"")+IMPORTRANGE(""https://docs.google.com/spreadsheets/d/1gF7RJpRnL-1oyjyeWxs5SFWEH7y8ahOZsQlyp2A2e-A/edit?usp=s"&amp;"haring"",""อุดรธานี!N311"")+IMPORTRANGE(""https://docs.google.com/spreadsheets/d/1kfLP0j3INXRa8bTDpcEmoWewMBV61jlFlfzczfjWIgc/edit?usp=sharing"",""อุบลราชธานี!N311"")"),0)</f>
        <v>0</v>
      </c>
      <c r="O311" s="56">
        <f t="shared" ca="1" si="223"/>
        <v>0</v>
      </c>
      <c r="P311" s="56">
        <f t="shared" ca="1" si="224"/>
        <v>0</v>
      </c>
      <c r="Q311" s="56">
        <f ca="1">IFERROR(__xludf.DUMMYFUNCTION("IMPORTRANGE(""https://docs.google.com/spreadsheets/d/1yhBcrRPreicbMKl9Bu_Snb2-OcQAF62RKfhTLhJ2eAA/edit?usp=sharing"",""กาฬสินธุ์!Q311"")+IMPORTRANGE(""https://docs.google.com/spreadsheets/d/1aHkj4IaQMThhwWwevcOymEh837vdxeC_PycurhTbGFA/edit?usp=sharing"","&amp;"""ขอนแก่น!Q311"")+IMPORTRANGE(""https://docs.google.com/spreadsheets/d/1FvTu2DsIWUjP6WCWra38Bkj_oOl_sOMf14r5Fg5srxU/edit?usp=sharing"",""ชัยภูมิ!Q311"")+IMPORTRANGE(""https://docs.google.com/spreadsheets/d/1XVB7oCJ3pr-vBUdflwPQ8Z2LlzhnCvZaaYjAfP-647E/edit"&amp;"?usp=sharing"",""นครพนม!Q311"")+IMPORTRANGE(""https://docs.google.com/spreadsheets/d/1Mnpb-8PYAgn85W6KOTD40hc_Xc55CaLfHoGAbrZ8tls/edit?usp=sharing"",""นครราชสีมา!Q311"")+IMPORTRANGE(""https://docs.google.com/spreadsheets/d/1xoDLGBv9CYbyosIhki0kTq6IpYNj-gp"&amp;"jxfobnaDiut0/edit?usp=sharing"",""บึงกาฬ!Q311"")+IMPORTRANGE(""https://docs.google.com/spreadsheets/d/1MMPq-JyI6DSgQETxuSiXkesP-P7JHuemnE6QJIa-Nlw/edit?usp=sharing"",""บุรีรัมย์!Q311"")+IMPORTRANGE(""https://docs.google.com/spreadsheets/d/1l6IZ8xUPgMrESzc"&amp;"TYwhA1k_tPjeQjJPTqlm8Gd9eU5g/edit?usp=sharing"",""มหาสารคาม!Q311"")+IMPORTRANGE(""https://docs.google.com/spreadsheets/d/1uB74YLqNjWX6FObjekfB2NtSYigTQyR2rq9u4Ub2Sq4/edit?usp=sharing"",""มุกดาหาร!Q311"")+IMPORTRANGE(""https://docs.google.com/spreadsheets/"&amp;"d/1NexK3geCPxCTO1fzNF8dPec7yZyUx3OaWkFBC9HsQOo/edit?usp=sharing"",""ยโสธร!Q311"")+IMPORTRANGE(""https://docs.google.com/spreadsheets/d/1v_cJrbBlyqmnHPReHk44g9NrMRdENNlSy_E_c5M9fIg/edit?usp=sharing"",""ร้อยเอ็ด!Q311"")+IMPORTRANGE(""https://docs.google.com"&amp;"/spreadsheets/d/1Ul4RCpCX66NxYADU1QpwAPjOmBzW64SsT11s1wzXw_c/edit?usp=sharing"",""เลย!Q311"")+IMPORTRANGE(""https://docs.google.com/spreadsheets/d/1bRrNKwbHDVktQG10isr5vbWRtt5spIZPpkOSWgbT5ug/edit?usp=sharing"",""ศรีสะเกษ!Q311"")+IMPORTRANGE(""https://doc"&amp;"s.google.com/spreadsheets/d/17P34_Ow5kFBfdQD0qspb2UuPX5zpi6WMrQzslghyvrI/edit?usp=sharing"",""สกลนคร!Q311"")+IMPORTRANGE(""https://docs.google.com/spreadsheets/d/1yswqbM3-AEpThF3ZSUa1AcmHnmRTF1vlJ1CZGcJ8YuU/edit?usp=sharing"",""สุรินทร์!Q311"")+IMPORTRANG"&amp;"E(""https://docs.google.com/spreadsheets/d/13JHU_EFbsQOUQ0JSQ3dWy1VTRosIWcDq6Nc99z2qzdc/edit?usp=sharing"",""หนองคาย!Q311"")+IMPORTRANGE(""https://docs.google.com/spreadsheets/d/1Hx73zIEgVdDZZaYSTc46Dqv64atFhpr3GelxLbaIN8A/edit?usp=sharing"",""หนองบัวลำภู"&amp;"!Q311"")+IMPORTRANGE(""https://docs.google.com/spreadsheets/d/1lFxr3ctmjFN90yc-xV6jrQ9Ty8BKYVBWnAZ15wcNIJc/edit?usp=sharing"",""อำนาจเจริญ!Q311"")+IMPORTRANGE(""https://docs.google.com/spreadsheets/d/1gF7RJpRnL-1oyjyeWxs5SFWEH7y8ahOZsQlyp2A2e-A/edit?usp=s"&amp;"haring"",""อุดรธานี!Q311"")+IMPORTRANGE(""https://docs.google.com/spreadsheets/d/1kfLP0j3INXRa8bTDpcEmoWewMBV61jlFlfzczfjWIgc/edit?usp=sharing"",""อุบลราชธานี!Q311"")"),0)</f>
        <v>0</v>
      </c>
      <c r="R311" s="56">
        <f ca="1">IFERROR(__xludf.DUMMYFUNCTION("IMPORTRANGE(""https://docs.google.com/spreadsheets/d/1yhBcrRPreicbMKl9Bu_Snb2-OcQAF62RKfhTLhJ2eAA/edit?usp=sharing"",""กาฬสินธุ์!R311"")+IMPORTRANGE(""https://docs.google.com/spreadsheets/d/1aHkj4IaQMThhwWwevcOymEh837vdxeC_PycurhTbGFA/edit?usp=sharing"","&amp;"""ขอนแก่น!R311"")+IMPORTRANGE(""https://docs.google.com/spreadsheets/d/1FvTu2DsIWUjP6WCWra38Bkj_oOl_sOMf14r5Fg5srxU/edit?usp=sharing"",""ชัยภูมิ!R311"")+IMPORTRANGE(""https://docs.google.com/spreadsheets/d/1XVB7oCJ3pr-vBUdflwPQ8Z2LlzhnCvZaaYjAfP-647E/edit"&amp;"?usp=sharing"",""นครพนม!R311"")+IMPORTRANGE(""https://docs.google.com/spreadsheets/d/1Mnpb-8PYAgn85W6KOTD40hc_Xc55CaLfHoGAbrZ8tls/edit?usp=sharing"",""นครราชสีมา!R311"")+IMPORTRANGE(""https://docs.google.com/spreadsheets/d/1xoDLGBv9CYbyosIhki0kTq6IpYNj-gp"&amp;"jxfobnaDiut0/edit?usp=sharing"",""บึงกาฬ!R311"")+IMPORTRANGE(""https://docs.google.com/spreadsheets/d/1MMPq-JyI6DSgQETxuSiXkesP-P7JHuemnE6QJIa-Nlw/edit?usp=sharing"",""บุรีรัมย์!R311"")+IMPORTRANGE(""https://docs.google.com/spreadsheets/d/1l6IZ8xUPgMrESzc"&amp;"TYwhA1k_tPjeQjJPTqlm8Gd9eU5g/edit?usp=sharing"",""มหาสารคาม!R311"")+IMPORTRANGE(""https://docs.google.com/spreadsheets/d/1uB74YLqNjWX6FObjekfB2NtSYigTQyR2rq9u4Ub2Sq4/edit?usp=sharing"",""มุกดาหาร!R311"")+IMPORTRANGE(""https://docs.google.com/spreadsheets/"&amp;"d/1NexK3geCPxCTO1fzNF8dPec7yZyUx3OaWkFBC9HsQOo/edit?usp=sharing"",""ยโสธร!R311"")+IMPORTRANGE(""https://docs.google.com/spreadsheets/d/1v_cJrbBlyqmnHPReHk44g9NrMRdENNlSy_E_c5M9fIg/edit?usp=sharing"",""ร้อยเอ็ด!R311"")+IMPORTRANGE(""https://docs.google.com"&amp;"/spreadsheets/d/1Ul4RCpCX66NxYADU1QpwAPjOmBzW64SsT11s1wzXw_c/edit?usp=sharing"",""เลย!R311"")+IMPORTRANGE(""https://docs.google.com/spreadsheets/d/1bRrNKwbHDVktQG10isr5vbWRtt5spIZPpkOSWgbT5ug/edit?usp=sharing"",""ศรีสะเกษ!R311"")+IMPORTRANGE(""https://doc"&amp;"s.google.com/spreadsheets/d/17P34_Ow5kFBfdQD0qspb2UuPX5zpi6WMrQzslghyvrI/edit?usp=sharing"",""สกลนคร!R311"")+IMPORTRANGE(""https://docs.google.com/spreadsheets/d/1yswqbM3-AEpThF3ZSUa1AcmHnmRTF1vlJ1CZGcJ8YuU/edit?usp=sharing"",""สุรินทร์!R311"")+IMPORTRANG"&amp;"E(""https://docs.google.com/spreadsheets/d/13JHU_EFbsQOUQ0JSQ3dWy1VTRosIWcDq6Nc99z2qzdc/edit?usp=sharing"",""หนองคาย!R311"")+IMPORTRANGE(""https://docs.google.com/spreadsheets/d/1Hx73zIEgVdDZZaYSTc46Dqv64atFhpr3GelxLbaIN8A/edit?usp=sharing"",""หนองบัวลำภู"&amp;"!R311"")+IMPORTRANGE(""https://docs.google.com/spreadsheets/d/1lFxr3ctmjFN90yc-xV6jrQ9Ty8BKYVBWnAZ15wcNIJc/edit?usp=sharing"",""อำนาจเจริญ!R311"")+IMPORTRANGE(""https://docs.google.com/spreadsheets/d/1gF7RJpRnL-1oyjyeWxs5SFWEH7y8ahOZsQlyp2A2e-A/edit?usp=s"&amp;"haring"",""อุดรธานี!R311"")+IMPORTRANGE(""https://docs.google.com/spreadsheets/d/1kfLP0j3INXRa8bTDpcEmoWewMBV61jlFlfzczfjWIgc/edit?usp=sharing"",""อุบลราชธานี!R311"")"),0)</f>
        <v>0</v>
      </c>
      <c r="S311" s="57">
        <f ca="1">IFERROR(__xludf.DUMMYFUNCTION("IMPORTRANGE(""https://docs.google.com/spreadsheets/d/1yhBcrRPreicbMKl9Bu_Snb2-OcQAF62RKfhTLhJ2eAA/edit?usp=sharing"",""กาฬสินธุ์!S311"")+IMPORTRANGE(""https://docs.google.com/spreadsheets/d/1aHkj4IaQMThhwWwevcOymEh837vdxeC_PycurhTbGFA/edit?usp=sharing"","&amp;"""ขอนแก่น!S311"")+IMPORTRANGE(""https://docs.google.com/spreadsheets/d/1FvTu2DsIWUjP6WCWra38Bkj_oOl_sOMf14r5Fg5srxU/edit?usp=sharing"",""ชัยภูมิ!S311"")+IMPORTRANGE(""https://docs.google.com/spreadsheets/d/1XVB7oCJ3pr-vBUdflwPQ8Z2LlzhnCvZaaYjAfP-647E/edit"&amp;"?usp=sharing"",""นครพนม!S311"")+IMPORTRANGE(""https://docs.google.com/spreadsheets/d/1Mnpb-8PYAgn85W6KOTD40hc_Xc55CaLfHoGAbrZ8tls/edit?usp=sharing"",""นครราชสีมา!S311"")+IMPORTRANGE(""https://docs.google.com/spreadsheets/d/1xoDLGBv9CYbyosIhki0kTq6IpYNj-gp"&amp;"jxfobnaDiut0/edit?usp=sharing"",""บึงกาฬ!S311"")+IMPORTRANGE(""https://docs.google.com/spreadsheets/d/1MMPq-JyI6DSgQETxuSiXkesP-P7JHuemnE6QJIa-Nlw/edit?usp=sharing"",""บุรีรัมย์!S311"")+IMPORTRANGE(""https://docs.google.com/spreadsheets/d/1l6IZ8xUPgMrESzc"&amp;"TYwhA1k_tPjeQjJPTqlm8Gd9eU5g/edit?usp=sharing"",""มหาสารคาม!S311"")+IMPORTRANGE(""https://docs.google.com/spreadsheets/d/1uB74YLqNjWX6FObjekfB2NtSYigTQyR2rq9u4Ub2Sq4/edit?usp=sharing"",""มุกดาหาร!S311"")+IMPORTRANGE(""https://docs.google.com/spreadsheets/"&amp;"d/1NexK3geCPxCTO1fzNF8dPec7yZyUx3OaWkFBC9HsQOo/edit?usp=sharing"",""ยโสธร!S311"")+IMPORTRANGE(""https://docs.google.com/spreadsheets/d/1v_cJrbBlyqmnHPReHk44g9NrMRdENNlSy_E_c5M9fIg/edit?usp=sharing"",""ร้อยเอ็ด!S311"")+IMPORTRANGE(""https://docs.google.com"&amp;"/spreadsheets/d/1Ul4RCpCX66NxYADU1QpwAPjOmBzW64SsT11s1wzXw_c/edit?usp=sharing"",""เลย!S311"")+IMPORTRANGE(""https://docs.google.com/spreadsheets/d/1bRrNKwbHDVktQG10isr5vbWRtt5spIZPpkOSWgbT5ug/edit?usp=sharing"",""ศรีสะเกษ!S311"")+IMPORTRANGE(""https://doc"&amp;"s.google.com/spreadsheets/d/17P34_Ow5kFBfdQD0qspb2UuPX5zpi6WMrQzslghyvrI/edit?usp=sharing"",""สกลนคร!S311"")+IMPORTRANGE(""https://docs.google.com/spreadsheets/d/1yswqbM3-AEpThF3ZSUa1AcmHnmRTF1vlJ1CZGcJ8YuU/edit?usp=sharing"",""สุรินทร์!S311"")+IMPORTRANG"&amp;"E(""https://docs.google.com/spreadsheets/d/13JHU_EFbsQOUQ0JSQ3dWy1VTRosIWcDq6Nc99z2qzdc/edit?usp=sharing"",""หนองคาย!S311"")+IMPORTRANGE(""https://docs.google.com/spreadsheets/d/1Hx73zIEgVdDZZaYSTc46Dqv64atFhpr3GelxLbaIN8A/edit?usp=sharing"",""หนองบัวลำภู"&amp;"!S311"")+IMPORTRANGE(""https://docs.google.com/spreadsheets/d/1lFxr3ctmjFN90yc-xV6jrQ9Ty8BKYVBWnAZ15wcNIJc/edit?usp=sharing"",""อำนาจเจริญ!S311"")+IMPORTRANGE(""https://docs.google.com/spreadsheets/d/1gF7RJpRnL-1oyjyeWxs5SFWEH7y8ahOZsQlyp2A2e-A/edit?usp=s"&amp;"haring"",""อุดรธานี!S311"")+IMPORTRANGE(""https://docs.google.com/spreadsheets/d/1kfLP0j3INXRa8bTDpcEmoWewMBV61jlFlfzczfjWIgc/edit?usp=sharing"",""อุบลราชธานี!S311"")"),0)</f>
        <v>0</v>
      </c>
      <c r="T311" s="56">
        <f t="shared" ca="1" si="226"/>
        <v>0</v>
      </c>
      <c r="U311" s="56">
        <f t="shared" ca="1" si="227"/>
        <v>0</v>
      </c>
    </row>
    <row r="312" spans="1:21" ht="19.5">
      <c r="A312" s="166"/>
      <c r="B312" s="167"/>
      <c r="C312" s="156" t="s">
        <v>18</v>
      </c>
      <c r="D312" s="168" t="s">
        <v>38</v>
      </c>
      <c r="E312" s="169"/>
      <c r="F312" s="169"/>
      <c r="G312" s="170"/>
      <c r="H312" s="171"/>
      <c r="I312" s="54"/>
      <c r="J312" s="54"/>
      <c r="K312" s="55"/>
      <c r="L312" s="55"/>
      <c r="M312" s="55"/>
      <c r="N312" s="55"/>
      <c r="O312" s="55"/>
      <c r="P312" s="55"/>
      <c r="Q312" s="55"/>
      <c r="R312" s="55"/>
      <c r="S312" s="62"/>
      <c r="T312" s="55"/>
      <c r="U312" s="55"/>
    </row>
    <row r="313" spans="1:21" ht="18.75">
      <c r="A313" s="166"/>
      <c r="B313" s="167"/>
      <c r="C313" s="167"/>
      <c r="D313" s="178" t="s">
        <v>128</v>
      </c>
      <c r="E313" s="174"/>
      <c r="F313" s="174"/>
      <c r="G313" s="171"/>
      <c r="H313" s="171"/>
      <c r="I313" s="54"/>
      <c r="J313" s="181">
        <f ca="1">IFERROR(__xludf.DUMMYFUNCTION("IMPORTRANGE(""https://docs.google.com/spreadsheets/d/1yhBcrRPreicbMKl9Bu_Snb2-OcQAF62RKfhTLhJ2eAA/edit?usp=sharing"",""กาฬสินธุ์!J313"")+IMPORTRANGE(""https://docs.google.com/spreadsheets/d/1aHkj4IaQMThhwWwevcOymEh837vdxeC_PycurhTbGFA/edit?usp=sharing"","&amp;"""ขอนแก่น!J313"")+IMPORTRANGE(""https://docs.google.com/spreadsheets/d/1FvTu2DsIWUjP6WCWra38Bkj_oOl_sOMf14r5Fg5srxU/edit?usp=sharing"",""ชัยภูมิ!J313"")+IMPORTRANGE(""https://docs.google.com/spreadsheets/d/1XVB7oCJ3pr-vBUdflwPQ8Z2LlzhnCvZaaYjAfP-647E/edit"&amp;"?usp=sharing"",""นครพนม!J313"")+IMPORTRANGE(""https://docs.google.com/spreadsheets/d/1Mnpb-8PYAgn85W6KOTD40hc_Xc55CaLfHoGAbrZ8tls/edit?usp=sharing"",""นครราชสีมา!J313"")+IMPORTRANGE(""https://docs.google.com/spreadsheets/d/1xoDLGBv9CYbyosIhki0kTq6IpYNj-gp"&amp;"jxfobnaDiut0/edit?usp=sharing"",""บึงกาฬ!J313"")+IMPORTRANGE(""https://docs.google.com/spreadsheets/d/1MMPq-JyI6DSgQETxuSiXkesP-P7JHuemnE6QJIa-Nlw/edit?usp=sharing"",""บุรีรัมย์!J313"")+IMPORTRANGE(""https://docs.google.com/spreadsheets/d/1l6IZ8xUPgMrESzc"&amp;"TYwhA1k_tPjeQjJPTqlm8Gd9eU5g/edit?usp=sharing"",""มหาสารคาม!J313"")+IMPORTRANGE(""https://docs.google.com/spreadsheets/d/1uB74YLqNjWX6FObjekfB2NtSYigTQyR2rq9u4Ub2Sq4/edit?usp=sharing"",""มุกดาหาร!J313"")+IMPORTRANGE(""https://docs.google.com/spreadsheets/"&amp;"d/1NexK3geCPxCTO1fzNF8dPec7yZyUx3OaWkFBC9HsQOo/edit?usp=sharing"",""ยโสธร!J313"")+IMPORTRANGE(""https://docs.google.com/spreadsheets/d/1v_cJrbBlyqmnHPReHk44g9NrMRdENNlSy_E_c5M9fIg/edit?usp=sharing"",""ร้อยเอ็ด!J313"")+IMPORTRANGE(""https://docs.google.com"&amp;"/spreadsheets/d/1Ul4RCpCX66NxYADU1QpwAPjOmBzW64SsT11s1wzXw_c/edit?usp=sharing"",""เลย!J313"")+IMPORTRANGE(""https://docs.google.com/spreadsheets/d/1bRrNKwbHDVktQG10isr5vbWRtt5spIZPpkOSWgbT5ug/edit?usp=sharing"",""ศรีสะเกษ!J313"")+IMPORTRANGE(""https://doc"&amp;"s.google.com/spreadsheets/d/17P34_Ow5kFBfdQD0qspb2UuPX5zpi6WMrQzslghyvrI/edit?usp=sharing"",""สกลนคร!J313"")+IMPORTRANGE(""https://docs.google.com/spreadsheets/d/1yswqbM3-AEpThF3ZSUa1AcmHnmRTF1vlJ1CZGcJ8YuU/edit?usp=sharing"",""สุรินทร์!J313"")+IMPORTRANG"&amp;"E(""https://docs.google.com/spreadsheets/d/13JHU_EFbsQOUQ0JSQ3dWy1VTRosIWcDq6Nc99z2qzdc/edit?usp=sharing"",""หนองคาย!J313"")+IMPORTRANGE(""https://docs.google.com/spreadsheets/d/1Hx73zIEgVdDZZaYSTc46Dqv64atFhpr3GelxLbaIN8A/edit?usp=sharing"",""หนองบัวลำภู"&amp;"!J313"")+IMPORTRANGE(""https://docs.google.com/spreadsheets/d/1lFxr3ctmjFN90yc-xV6jrQ9Ty8BKYVBWnAZ15wcNIJc/edit?usp=sharing"",""อำนาจเจริญ!J313"")+IMPORTRANGE(""https://docs.google.com/spreadsheets/d/1gF7RJpRnL-1oyjyeWxs5SFWEH7y8ahOZsQlyp2A2e-A/edit?usp=s"&amp;"haring"",""อุดรธานี!J313"")+IMPORTRANGE(""https://docs.google.com/spreadsheets/d/1kfLP0j3INXRa8bTDpcEmoWewMBV61jlFlfzczfjWIgc/edit?usp=sharing"",""อุบลราชธานี!J313"")"),0)</f>
        <v>0</v>
      </c>
      <c r="K313" s="55"/>
      <c r="L313" s="55"/>
      <c r="M313" s="55"/>
      <c r="N313" s="55"/>
      <c r="O313" s="55"/>
      <c r="P313" s="55"/>
      <c r="Q313" s="55"/>
      <c r="R313" s="55"/>
      <c r="S313" s="62"/>
      <c r="T313" s="25"/>
      <c r="U313" s="25"/>
    </row>
    <row r="314" spans="1:21" ht="18.75">
      <c r="A314" s="166"/>
      <c r="B314" s="167"/>
      <c r="C314" s="167"/>
      <c r="D314" s="178" t="s">
        <v>121</v>
      </c>
      <c r="E314" s="174"/>
      <c r="F314" s="174"/>
      <c r="G314" s="171"/>
      <c r="H314" s="179" t="s">
        <v>35</v>
      </c>
      <c r="I314" s="181">
        <f ca="1">IFERROR(__xludf.DUMMYFUNCTION("IMPORTRANGE(""https://docs.google.com/spreadsheets/d/1yhBcrRPreicbMKl9Bu_Snb2-OcQAF62RKfhTLhJ2eAA/edit?usp=sharing"",""กาฬสินธุ์!I314"")+IMPORTRANGE(""https://docs.google.com/spreadsheets/d/1aHkj4IaQMThhwWwevcOymEh837vdxeC_PycurhTbGFA/edit?usp=sharing"","&amp;"""ขอนแก่น!I314"")+IMPORTRANGE(""https://docs.google.com/spreadsheets/d/1FvTu2DsIWUjP6WCWra38Bkj_oOl_sOMf14r5Fg5srxU/edit?usp=sharing"",""ชัยภูมิ!I314"")+IMPORTRANGE(""https://docs.google.com/spreadsheets/d/1XVB7oCJ3pr-vBUdflwPQ8Z2LlzhnCvZaaYjAfP-647E/edit"&amp;"?usp=sharing"",""นครพนม!I314"")+IMPORTRANGE(""https://docs.google.com/spreadsheets/d/1Mnpb-8PYAgn85W6KOTD40hc_Xc55CaLfHoGAbrZ8tls/edit?usp=sharing"",""นครราชสีมา!I314"")+IMPORTRANGE(""https://docs.google.com/spreadsheets/d/1xoDLGBv9CYbyosIhki0kTq6IpYNj-gp"&amp;"jxfobnaDiut0/edit?usp=sharing"",""บึงกาฬ!I314"")+IMPORTRANGE(""https://docs.google.com/spreadsheets/d/1MMPq-JyI6DSgQETxuSiXkesP-P7JHuemnE6QJIa-Nlw/edit?usp=sharing"",""บุรีรัมย์!I314"")+IMPORTRANGE(""https://docs.google.com/spreadsheets/d/1l6IZ8xUPgMrESzc"&amp;"TYwhA1k_tPjeQjJPTqlm8Gd9eU5g/edit?usp=sharing"",""มหาสารคาม!I314"")+IMPORTRANGE(""https://docs.google.com/spreadsheets/d/1uB74YLqNjWX6FObjekfB2NtSYigTQyR2rq9u4Ub2Sq4/edit?usp=sharing"",""มุกดาหาร!I314"")+IMPORTRANGE(""https://docs.google.com/spreadsheets/"&amp;"d/1NexK3geCPxCTO1fzNF8dPec7yZyUx3OaWkFBC9HsQOo/edit?usp=sharing"",""ยโสธร!I314"")+IMPORTRANGE(""https://docs.google.com/spreadsheets/d/1v_cJrbBlyqmnHPReHk44g9NrMRdENNlSy_E_c5M9fIg/edit?usp=sharing"",""ร้อยเอ็ด!I314"")+IMPORTRANGE(""https://docs.google.com"&amp;"/spreadsheets/d/1Ul4RCpCX66NxYADU1QpwAPjOmBzW64SsT11s1wzXw_c/edit?usp=sharing"",""เลย!I314"")+IMPORTRANGE(""https://docs.google.com/spreadsheets/d/1bRrNKwbHDVktQG10isr5vbWRtt5spIZPpkOSWgbT5ug/edit?usp=sharing"",""ศรีสะเกษ!I314"")+IMPORTRANGE(""https://doc"&amp;"s.google.com/spreadsheets/d/17P34_Ow5kFBfdQD0qspb2UuPX5zpi6WMrQzslghyvrI/edit?usp=sharing"",""สกลนคร!I314"")+IMPORTRANGE(""https://docs.google.com/spreadsheets/d/1yswqbM3-AEpThF3ZSUa1AcmHnmRTF1vlJ1CZGcJ8YuU/edit?usp=sharing"",""สุรินทร์!I314"")+IMPORTRANG"&amp;"E(""https://docs.google.com/spreadsheets/d/13JHU_EFbsQOUQ0JSQ3dWy1VTRosIWcDq6Nc99z2qzdc/edit?usp=sharing"",""หนองคาย!I314"")+IMPORTRANGE(""https://docs.google.com/spreadsheets/d/1Hx73zIEgVdDZZaYSTc46Dqv64atFhpr3GelxLbaIN8A/edit?usp=sharing"",""หนองบัวลำภู"&amp;"!I314"")+IMPORTRANGE(""https://docs.google.com/spreadsheets/d/1lFxr3ctmjFN90yc-xV6jrQ9Ty8BKYVBWnAZ15wcNIJc/edit?usp=sharing"",""อำนาจเจริญ!I314"")+IMPORTRANGE(""https://docs.google.com/spreadsheets/d/1gF7RJpRnL-1oyjyeWxs5SFWEH7y8ahOZsQlyp2A2e-A/edit?usp=s"&amp;"haring"",""อุดรธานี!I314"")+IMPORTRANGE(""https://docs.google.com/spreadsheets/d/1kfLP0j3INXRa8bTDpcEmoWewMBV61jlFlfzczfjWIgc/edit?usp=sharing"",""อุบลราชธานี!I314"")"),475)</f>
        <v>475</v>
      </c>
      <c r="J314" s="181">
        <f ca="1">IFERROR(__xludf.DUMMYFUNCTION("IMPORTRANGE(""https://docs.google.com/spreadsheets/d/1yhBcrRPreicbMKl9Bu_Snb2-OcQAF62RKfhTLhJ2eAA/edit?usp=sharing"",""กาฬสินธุ์!J314"")+IMPORTRANGE(""https://docs.google.com/spreadsheets/d/1aHkj4IaQMThhwWwevcOymEh837vdxeC_PycurhTbGFA/edit?usp=sharing"","&amp;"""ขอนแก่น!J314"")+IMPORTRANGE(""https://docs.google.com/spreadsheets/d/1FvTu2DsIWUjP6WCWra38Bkj_oOl_sOMf14r5Fg5srxU/edit?usp=sharing"",""ชัยภูมิ!J314"")+IMPORTRANGE(""https://docs.google.com/spreadsheets/d/1XVB7oCJ3pr-vBUdflwPQ8Z2LlzhnCvZaaYjAfP-647E/edit"&amp;"?usp=sharing"",""นครพนม!J314"")+IMPORTRANGE(""https://docs.google.com/spreadsheets/d/1Mnpb-8PYAgn85W6KOTD40hc_Xc55CaLfHoGAbrZ8tls/edit?usp=sharing"",""นครราชสีมา!J314"")+IMPORTRANGE(""https://docs.google.com/spreadsheets/d/1xoDLGBv9CYbyosIhki0kTq6IpYNj-gp"&amp;"jxfobnaDiut0/edit?usp=sharing"",""บึงกาฬ!J314"")+IMPORTRANGE(""https://docs.google.com/spreadsheets/d/1MMPq-JyI6DSgQETxuSiXkesP-P7JHuemnE6QJIa-Nlw/edit?usp=sharing"",""บุรีรัมย์!J314"")+IMPORTRANGE(""https://docs.google.com/spreadsheets/d/1l6IZ8xUPgMrESzc"&amp;"TYwhA1k_tPjeQjJPTqlm8Gd9eU5g/edit?usp=sharing"",""มหาสารคาม!J314"")+IMPORTRANGE(""https://docs.google.com/spreadsheets/d/1uB74YLqNjWX6FObjekfB2NtSYigTQyR2rq9u4Ub2Sq4/edit?usp=sharing"",""มุกดาหาร!J314"")+IMPORTRANGE(""https://docs.google.com/spreadsheets/"&amp;"d/1NexK3geCPxCTO1fzNF8dPec7yZyUx3OaWkFBC9HsQOo/edit?usp=sharing"",""ยโสธร!J314"")+IMPORTRANGE(""https://docs.google.com/spreadsheets/d/1v_cJrbBlyqmnHPReHk44g9NrMRdENNlSy_E_c5M9fIg/edit?usp=sharing"",""ร้อยเอ็ด!J314"")+IMPORTRANGE(""https://docs.google.com"&amp;"/spreadsheets/d/1Ul4RCpCX66NxYADU1QpwAPjOmBzW64SsT11s1wzXw_c/edit?usp=sharing"",""เลย!J314"")+IMPORTRANGE(""https://docs.google.com/spreadsheets/d/1bRrNKwbHDVktQG10isr5vbWRtt5spIZPpkOSWgbT5ug/edit?usp=sharing"",""ศรีสะเกษ!J314"")+IMPORTRANGE(""https://doc"&amp;"s.google.com/spreadsheets/d/17P34_Ow5kFBfdQD0qspb2UuPX5zpi6WMrQzslghyvrI/edit?usp=sharing"",""สกลนคร!J314"")+IMPORTRANGE(""https://docs.google.com/spreadsheets/d/1yswqbM3-AEpThF3ZSUa1AcmHnmRTF1vlJ1CZGcJ8YuU/edit?usp=sharing"",""สุรินทร์!J314"")+IMPORTRANG"&amp;"E(""https://docs.google.com/spreadsheets/d/13JHU_EFbsQOUQ0JSQ3dWy1VTRosIWcDq6Nc99z2qzdc/edit?usp=sharing"",""หนองคาย!J314"")+IMPORTRANGE(""https://docs.google.com/spreadsheets/d/1Hx73zIEgVdDZZaYSTc46Dqv64atFhpr3GelxLbaIN8A/edit?usp=sharing"",""หนองบัวลำภู"&amp;"!J314"")+IMPORTRANGE(""https://docs.google.com/spreadsheets/d/1lFxr3ctmjFN90yc-xV6jrQ9Ty8BKYVBWnAZ15wcNIJc/edit?usp=sharing"",""อำนาจเจริญ!J314"")+IMPORTRANGE(""https://docs.google.com/spreadsheets/d/1gF7RJpRnL-1oyjyeWxs5SFWEH7y8ahOZsQlyp2A2e-A/edit?usp=s"&amp;"haring"",""อุดรธานี!J314"")+IMPORTRANGE(""https://docs.google.com/spreadsheets/d/1kfLP0j3INXRa8bTDpcEmoWewMBV61jlFlfzczfjWIgc/edit?usp=sharing"",""อุบลราชธานี!J314"")"),225)</f>
        <v>225</v>
      </c>
      <c r="K314" s="56">
        <f t="shared" ref="K314:K317" ca="1" si="236">IF(I314&gt;0,J314*100/I314,0)</f>
        <v>47.368421052631582</v>
      </c>
      <c r="L314" s="55"/>
      <c r="M314" s="55"/>
      <c r="N314" s="55"/>
      <c r="O314" s="55"/>
      <c r="P314" s="55"/>
      <c r="Q314" s="55"/>
      <c r="R314" s="55"/>
      <c r="S314" s="62"/>
      <c r="T314" s="55"/>
      <c r="U314" s="55"/>
    </row>
    <row r="315" spans="1:21" ht="18.75">
      <c r="A315" s="166"/>
      <c r="B315" s="167"/>
      <c r="C315" s="167"/>
      <c r="D315" s="178" t="s">
        <v>129</v>
      </c>
      <c r="E315" s="174"/>
      <c r="F315" s="174"/>
      <c r="G315" s="171"/>
      <c r="H315" s="179" t="s">
        <v>35</v>
      </c>
      <c r="I315" s="181">
        <f ca="1">IFERROR(__xludf.DUMMYFUNCTION("IMPORTRANGE(""https://docs.google.com/spreadsheets/d/1yhBcrRPreicbMKl9Bu_Snb2-OcQAF62RKfhTLhJ2eAA/edit?usp=sharing"",""กาฬสินธุ์!I315"")+IMPORTRANGE(""https://docs.google.com/spreadsheets/d/1aHkj4IaQMThhwWwevcOymEh837vdxeC_PycurhTbGFA/edit?usp=sharing"","&amp;"""ขอนแก่น!I315"")+IMPORTRANGE(""https://docs.google.com/spreadsheets/d/1FvTu2DsIWUjP6WCWra38Bkj_oOl_sOMf14r5Fg5srxU/edit?usp=sharing"",""ชัยภูมิ!I315"")+IMPORTRANGE(""https://docs.google.com/spreadsheets/d/1XVB7oCJ3pr-vBUdflwPQ8Z2LlzhnCvZaaYjAfP-647E/edit"&amp;"?usp=sharing"",""นครพนม!I315"")+IMPORTRANGE(""https://docs.google.com/spreadsheets/d/1Mnpb-8PYAgn85W6KOTD40hc_Xc55CaLfHoGAbrZ8tls/edit?usp=sharing"",""นครราชสีมา!I315"")+IMPORTRANGE(""https://docs.google.com/spreadsheets/d/1xoDLGBv9CYbyosIhki0kTq6IpYNj-gp"&amp;"jxfobnaDiut0/edit?usp=sharing"",""บึงกาฬ!I315"")+IMPORTRANGE(""https://docs.google.com/spreadsheets/d/1MMPq-JyI6DSgQETxuSiXkesP-P7JHuemnE6QJIa-Nlw/edit?usp=sharing"",""บุรีรัมย์!I315"")+IMPORTRANGE(""https://docs.google.com/spreadsheets/d/1l6IZ8xUPgMrESzc"&amp;"TYwhA1k_tPjeQjJPTqlm8Gd9eU5g/edit?usp=sharing"",""มหาสารคาม!I315"")+IMPORTRANGE(""https://docs.google.com/spreadsheets/d/1uB74YLqNjWX6FObjekfB2NtSYigTQyR2rq9u4Ub2Sq4/edit?usp=sharing"",""มุกดาหาร!I315"")+IMPORTRANGE(""https://docs.google.com/spreadsheets/"&amp;"d/1NexK3geCPxCTO1fzNF8dPec7yZyUx3OaWkFBC9HsQOo/edit?usp=sharing"",""ยโสธร!I315"")+IMPORTRANGE(""https://docs.google.com/spreadsheets/d/1v_cJrbBlyqmnHPReHk44g9NrMRdENNlSy_E_c5M9fIg/edit?usp=sharing"",""ร้อยเอ็ด!I315"")+IMPORTRANGE(""https://docs.google.com"&amp;"/spreadsheets/d/1Ul4RCpCX66NxYADU1QpwAPjOmBzW64SsT11s1wzXw_c/edit?usp=sharing"",""เลย!I315"")+IMPORTRANGE(""https://docs.google.com/spreadsheets/d/1bRrNKwbHDVktQG10isr5vbWRtt5spIZPpkOSWgbT5ug/edit?usp=sharing"",""ศรีสะเกษ!I315"")+IMPORTRANGE(""https://doc"&amp;"s.google.com/spreadsheets/d/17P34_Ow5kFBfdQD0qspb2UuPX5zpi6WMrQzslghyvrI/edit?usp=sharing"",""สกลนคร!I315"")+IMPORTRANGE(""https://docs.google.com/spreadsheets/d/1yswqbM3-AEpThF3ZSUa1AcmHnmRTF1vlJ1CZGcJ8YuU/edit?usp=sharing"",""สุรินทร์!I315"")+IMPORTRANG"&amp;"E(""https://docs.google.com/spreadsheets/d/13JHU_EFbsQOUQ0JSQ3dWy1VTRosIWcDq6Nc99z2qzdc/edit?usp=sharing"",""หนองคาย!I315"")+IMPORTRANGE(""https://docs.google.com/spreadsheets/d/1Hx73zIEgVdDZZaYSTc46Dqv64atFhpr3GelxLbaIN8A/edit?usp=sharing"",""หนองบัวลำภู"&amp;"!I315"")+IMPORTRANGE(""https://docs.google.com/spreadsheets/d/1lFxr3ctmjFN90yc-xV6jrQ9Ty8BKYVBWnAZ15wcNIJc/edit?usp=sharing"",""อำนาจเจริญ!I315"")+IMPORTRANGE(""https://docs.google.com/spreadsheets/d/1gF7RJpRnL-1oyjyeWxs5SFWEH7y8ahOZsQlyp2A2e-A/edit?usp=s"&amp;"haring"",""อุดรธานี!I315"")+IMPORTRANGE(""https://docs.google.com/spreadsheets/d/1kfLP0j3INXRa8bTDpcEmoWewMBV61jlFlfzczfjWIgc/edit?usp=sharing"",""อุบลราชธานี!I315"")"),0)</f>
        <v>0</v>
      </c>
      <c r="J315" s="181">
        <f ca="1">IFERROR(__xludf.DUMMYFUNCTION("IMPORTRANGE(""https://docs.google.com/spreadsheets/d/1yhBcrRPreicbMKl9Bu_Snb2-OcQAF62RKfhTLhJ2eAA/edit?usp=sharing"",""กาฬสินธุ์!J315"")+IMPORTRANGE(""https://docs.google.com/spreadsheets/d/1aHkj4IaQMThhwWwevcOymEh837vdxeC_PycurhTbGFA/edit?usp=sharing"","&amp;"""ขอนแก่น!J315"")+IMPORTRANGE(""https://docs.google.com/spreadsheets/d/1FvTu2DsIWUjP6WCWra38Bkj_oOl_sOMf14r5Fg5srxU/edit?usp=sharing"",""ชัยภูมิ!J315"")+IMPORTRANGE(""https://docs.google.com/spreadsheets/d/1XVB7oCJ3pr-vBUdflwPQ8Z2LlzhnCvZaaYjAfP-647E/edit"&amp;"?usp=sharing"",""นครพนม!J315"")+IMPORTRANGE(""https://docs.google.com/spreadsheets/d/1Mnpb-8PYAgn85W6KOTD40hc_Xc55CaLfHoGAbrZ8tls/edit?usp=sharing"",""นครราชสีมา!J315"")+IMPORTRANGE(""https://docs.google.com/spreadsheets/d/1xoDLGBv9CYbyosIhki0kTq6IpYNj-gp"&amp;"jxfobnaDiut0/edit?usp=sharing"",""บึงกาฬ!J315"")+IMPORTRANGE(""https://docs.google.com/spreadsheets/d/1MMPq-JyI6DSgQETxuSiXkesP-P7JHuemnE6QJIa-Nlw/edit?usp=sharing"",""บุรีรัมย์!J315"")+IMPORTRANGE(""https://docs.google.com/spreadsheets/d/1l6IZ8xUPgMrESzc"&amp;"TYwhA1k_tPjeQjJPTqlm8Gd9eU5g/edit?usp=sharing"",""มหาสารคาม!J315"")+IMPORTRANGE(""https://docs.google.com/spreadsheets/d/1uB74YLqNjWX6FObjekfB2NtSYigTQyR2rq9u4Ub2Sq4/edit?usp=sharing"",""มุกดาหาร!J315"")+IMPORTRANGE(""https://docs.google.com/spreadsheets/"&amp;"d/1NexK3geCPxCTO1fzNF8dPec7yZyUx3OaWkFBC9HsQOo/edit?usp=sharing"",""ยโสธร!J315"")+IMPORTRANGE(""https://docs.google.com/spreadsheets/d/1v_cJrbBlyqmnHPReHk44g9NrMRdENNlSy_E_c5M9fIg/edit?usp=sharing"",""ร้อยเอ็ด!J315"")+IMPORTRANGE(""https://docs.google.com"&amp;"/spreadsheets/d/1Ul4RCpCX66NxYADU1QpwAPjOmBzW64SsT11s1wzXw_c/edit?usp=sharing"",""เลย!J315"")+IMPORTRANGE(""https://docs.google.com/spreadsheets/d/1bRrNKwbHDVktQG10isr5vbWRtt5spIZPpkOSWgbT5ug/edit?usp=sharing"",""ศรีสะเกษ!J315"")+IMPORTRANGE(""https://doc"&amp;"s.google.com/spreadsheets/d/17P34_Ow5kFBfdQD0qspb2UuPX5zpi6WMrQzslghyvrI/edit?usp=sharing"",""สกลนคร!J315"")+IMPORTRANGE(""https://docs.google.com/spreadsheets/d/1yswqbM3-AEpThF3ZSUa1AcmHnmRTF1vlJ1CZGcJ8YuU/edit?usp=sharing"",""สุรินทร์!J315"")+IMPORTRANG"&amp;"E(""https://docs.google.com/spreadsheets/d/13JHU_EFbsQOUQ0JSQ3dWy1VTRosIWcDq6Nc99z2qzdc/edit?usp=sharing"",""หนองคาย!J315"")+IMPORTRANGE(""https://docs.google.com/spreadsheets/d/1Hx73zIEgVdDZZaYSTc46Dqv64atFhpr3GelxLbaIN8A/edit?usp=sharing"",""หนองบัวลำภู"&amp;"!J315"")+IMPORTRANGE(""https://docs.google.com/spreadsheets/d/1lFxr3ctmjFN90yc-xV6jrQ9Ty8BKYVBWnAZ15wcNIJc/edit?usp=sharing"",""อำนาจเจริญ!J315"")+IMPORTRANGE(""https://docs.google.com/spreadsheets/d/1gF7RJpRnL-1oyjyeWxs5SFWEH7y8ahOZsQlyp2A2e-A/edit?usp=s"&amp;"haring"",""อุดรธานี!J315"")+IMPORTRANGE(""https://docs.google.com/spreadsheets/d/1kfLP0j3INXRa8bTDpcEmoWewMBV61jlFlfzczfjWIgc/edit?usp=sharing"",""อุบลราชธานี!J315"")"),0)</f>
        <v>0</v>
      </c>
      <c r="K315" s="56">
        <f t="shared" ca="1" si="236"/>
        <v>0</v>
      </c>
      <c r="L315" s="55"/>
      <c r="M315" s="55"/>
      <c r="N315" s="55"/>
      <c r="O315" s="55"/>
      <c r="P315" s="55"/>
      <c r="Q315" s="55"/>
      <c r="R315" s="55"/>
      <c r="S315" s="62"/>
      <c r="T315" s="25"/>
      <c r="U315" s="25"/>
    </row>
    <row r="316" spans="1:21" ht="18.75">
      <c r="A316" s="166"/>
      <c r="B316" s="167"/>
      <c r="C316" s="167"/>
      <c r="D316" s="178" t="s">
        <v>50</v>
      </c>
      <c r="E316" s="174"/>
      <c r="F316" s="174"/>
      <c r="G316" s="171"/>
      <c r="H316" s="179" t="s">
        <v>35</v>
      </c>
      <c r="I316" s="181">
        <f ca="1">IFERROR(__xludf.DUMMYFUNCTION("IMPORTRANGE(""https://docs.google.com/spreadsheets/d/1yhBcrRPreicbMKl9Bu_Snb2-OcQAF62RKfhTLhJ2eAA/edit?usp=sharing"",""กาฬสินธุ์!I316"")+IMPORTRANGE(""https://docs.google.com/spreadsheets/d/1aHkj4IaQMThhwWwevcOymEh837vdxeC_PycurhTbGFA/edit?usp=sharing"","&amp;"""ขอนแก่น!I316"")+IMPORTRANGE(""https://docs.google.com/spreadsheets/d/1FvTu2DsIWUjP6WCWra38Bkj_oOl_sOMf14r5Fg5srxU/edit?usp=sharing"",""ชัยภูมิ!I316"")+IMPORTRANGE(""https://docs.google.com/spreadsheets/d/1XVB7oCJ3pr-vBUdflwPQ8Z2LlzhnCvZaaYjAfP-647E/edit"&amp;"?usp=sharing"",""นครพนม!I316"")+IMPORTRANGE(""https://docs.google.com/spreadsheets/d/1Mnpb-8PYAgn85W6KOTD40hc_Xc55CaLfHoGAbrZ8tls/edit?usp=sharing"",""นครราชสีมา!I316"")+IMPORTRANGE(""https://docs.google.com/spreadsheets/d/1xoDLGBv9CYbyosIhki0kTq6IpYNj-gp"&amp;"jxfobnaDiut0/edit?usp=sharing"",""บึงกาฬ!I316"")+IMPORTRANGE(""https://docs.google.com/spreadsheets/d/1MMPq-JyI6DSgQETxuSiXkesP-P7JHuemnE6QJIa-Nlw/edit?usp=sharing"",""บุรีรัมย์!I316"")+IMPORTRANGE(""https://docs.google.com/spreadsheets/d/1l6IZ8xUPgMrESzc"&amp;"TYwhA1k_tPjeQjJPTqlm8Gd9eU5g/edit?usp=sharing"",""มหาสารคาม!I316"")+IMPORTRANGE(""https://docs.google.com/spreadsheets/d/1uB74YLqNjWX6FObjekfB2NtSYigTQyR2rq9u4Ub2Sq4/edit?usp=sharing"",""มุกดาหาร!I316"")+IMPORTRANGE(""https://docs.google.com/spreadsheets/"&amp;"d/1NexK3geCPxCTO1fzNF8dPec7yZyUx3OaWkFBC9HsQOo/edit?usp=sharing"",""ยโสธร!I316"")+IMPORTRANGE(""https://docs.google.com/spreadsheets/d/1v_cJrbBlyqmnHPReHk44g9NrMRdENNlSy_E_c5M9fIg/edit?usp=sharing"",""ร้อยเอ็ด!I316"")+IMPORTRANGE(""https://docs.google.com"&amp;"/spreadsheets/d/1Ul4RCpCX66NxYADU1QpwAPjOmBzW64SsT11s1wzXw_c/edit?usp=sharing"",""เลย!I316"")+IMPORTRANGE(""https://docs.google.com/spreadsheets/d/1bRrNKwbHDVktQG10isr5vbWRtt5spIZPpkOSWgbT5ug/edit?usp=sharing"",""ศรีสะเกษ!I316"")+IMPORTRANGE(""https://doc"&amp;"s.google.com/spreadsheets/d/17P34_Ow5kFBfdQD0qspb2UuPX5zpi6WMrQzslghyvrI/edit?usp=sharing"",""สกลนคร!I316"")+IMPORTRANGE(""https://docs.google.com/spreadsheets/d/1yswqbM3-AEpThF3ZSUa1AcmHnmRTF1vlJ1CZGcJ8YuU/edit?usp=sharing"",""สุรินทร์!I316"")+IMPORTRANG"&amp;"E(""https://docs.google.com/spreadsheets/d/13JHU_EFbsQOUQ0JSQ3dWy1VTRosIWcDq6Nc99z2qzdc/edit?usp=sharing"",""หนองคาย!I316"")+IMPORTRANGE(""https://docs.google.com/spreadsheets/d/1Hx73zIEgVdDZZaYSTc46Dqv64atFhpr3GelxLbaIN8A/edit?usp=sharing"",""หนองบัวลำภู"&amp;"!I316"")+IMPORTRANGE(""https://docs.google.com/spreadsheets/d/1lFxr3ctmjFN90yc-xV6jrQ9Ty8BKYVBWnAZ15wcNIJc/edit?usp=sharing"",""อำนาจเจริญ!I316"")+IMPORTRANGE(""https://docs.google.com/spreadsheets/d/1gF7RJpRnL-1oyjyeWxs5SFWEH7y8ahOZsQlyp2A2e-A/edit?usp=s"&amp;"haring"",""อุดรธานี!I316"")+IMPORTRANGE(""https://docs.google.com/spreadsheets/d/1kfLP0j3INXRa8bTDpcEmoWewMBV61jlFlfzczfjWIgc/edit?usp=sharing"",""อุบลราชธานี!I316"")"),0)</f>
        <v>0</v>
      </c>
      <c r="J316" s="181">
        <f ca="1">IFERROR(__xludf.DUMMYFUNCTION("IMPORTRANGE(""https://docs.google.com/spreadsheets/d/1yhBcrRPreicbMKl9Bu_Snb2-OcQAF62RKfhTLhJ2eAA/edit?usp=sharing"",""กาฬสินธุ์!J316"")+IMPORTRANGE(""https://docs.google.com/spreadsheets/d/1aHkj4IaQMThhwWwevcOymEh837vdxeC_PycurhTbGFA/edit?usp=sharing"","&amp;"""ขอนแก่น!J316"")+IMPORTRANGE(""https://docs.google.com/spreadsheets/d/1FvTu2DsIWUjP6WCWra38Bkj_oOl_sOMf14r5Fg5srxU/edit?usp=sharing"",""ชัยภูมิ!J316"")+IMPORTRANGE(""https://docs.google.com/spreadsheets/d/1XVB7oCJ3pr-vBUdflwPQ8Z2LlzhnCvZaaYjAfP-647E/edit"&amp;"?usp=sharing"",""นครพนม!J316"")+IMPORTRANGE(""https://docs.google.com/spreadsheets/d/1Mnpb-8PYAgn85W6KOTD40hc_Xc55CaLfHoGAbrZ8tls/edit?usp=sharing"",""นครราชสีมา!J316"")+IMPORTRANGE(""https://docs.google.com/spreadsheets/d/1xoDLGBv9CYbyosIhki0kTq6IpYNj-gp"&amp;"jxfobnaDiut0/edit?usp=sharing"",""บึงกาฬ!J316"")+IMPORTRANGE(""https://docs.google.com/spreadsheets/d/1MMPq-JyI6DSgQETxuSiXkesP-P7JHuemnE6QJIa-Nlw/edit?usp=sharing"",""บุรีรัมย์!J316"")+IMPORTRANGE(""https://docs.google.com/spreadsheets/d/1l6IZ8xUPgMrESzc"&amp;"TYwhA1k_tPjeQjJPTqlm8Gd9eU5g/edit?usp=sharing"",""มหาสารคาม!J316"")+IMPORTRANGE(""https://docs.google.com/spreadsheets/d/1uB74YLqNjWX6FObjekfB2NtSYigTQyR2rq9u4Ub2Sq4/edit?usp=sharing"",""มุกดาหาร!J316"")+IMPORTRANGE(""https://docs.google.com/spreadsheets/"&amp;"d/1NexK3geCPxCTO1fzNF8dPec7yZyUx3OaWkFBC9HsQOo/edit?usp=sharing"",""ยโสธร!J316"")+IMPORTRANGE(""https://docs.google.com/spreadsheets/d/1v_cJrbBlyqmnHPReHk44g9NrMRdENNlSy_E_c5M9fIg/edit?usp=sharing"",""ร้อยเอ็ด!J316"")+IMPORTRANGE(""https://docs.google.com"&amp;"/spreadsheets/d/1Ul4RCpCX66NxYADU1QpwAPjOmBzW64SsT11s1wzXw_c/edit?usp=sharing"",""เลย!J316"")+IMPORTRANGE(""https://docs.google.com/spreadsheets/d/1bRrNKwbHDVktQG10isr5vbWRtt5spIZPpkOSWgbT5ug/edit?usp=sharing"",""ศรีสะเกษ!J316"")+IMPORTRANGE(""https://doc"&amp;"s.google.com/spreadsheets/d/17P34_Ow5kFBfdQD0qspb2UuPX5zpi6WMrQzslghyvrI/edit?usp=sharing"",""สกลนคร!J316"")+IMPORTRANGE(""https://docs.google.com/spreadsheets/d/1yswqbM3-AEpThF3ZSUa1AcmHnmRTF1vlJ1CZGcJ8YuU/edit?usp=sharing"",""สุรินทร์!J316"")+IMPORTRANG"&amp;"E(""https://docs.google.com/spreadsheets/d/13JHU_EFbsQOUQ0JSQ3dWy1VTRosIWcDq6Nc99z2qzdc/edit?usp=sharing"",""หนองคาย!J316"")+IMPORTRANGE(""https://docs.google.com/spreadsheets/d/1Hx73zIEgVdDZZaYSTc46Dqv64atFhpr3GelxLbaIN8A/edit?usp=sharing"",""หนองบัวลำภู"&amp;"!J316"")+IMPORTRANGE(""https://docs.google.com/spreadsheets/d/1lFxr3ctmjFN90yc-xV6jrQ9Ty8BKYVBWnAZ15wcNIJc/edit?usp=sharing"",""อำนาจเจริญ!J316"")+IMPORTRANGE(""https://docs.google.com/spreadsheets/d/1gF7RJpRnL-1oyjyeWxs5SFWEH7y8ahOZsQlyp2A2e-A/edit?usp=s"&amp;"haring"",""อุดรธานี!J316"")+IMPORTRANGE(""https://docs.google.com/spreadsheets/d/1kfLP0j3INXRa8bTDpcEmoWewMBV61jlFlfzczfjWIgc/edit?usp=sharing"",""อุบลราชธานี!J316"")"),0)</f>
        <v>0</v>
      </c>
      <c r="K316" s="56">
        <f t="shared" ca="1" si="236"/>
        <v>0</v>
      </c>
      <c r="L316" s="55"/>
      <c r="M316" s="55"/>
      <c r="N316" s="55"/>
      <c r="O316" s="55"/>
      <c r="P316" s="55"/>
      <c r="Q316" s="55"/>
      <c r="R316" s="55"/>
      <c r="S316" s="62"/>
      <c r="T316" s="25"/>
      <c r="U316" s="25"/>
    </row>
    <row r="317" spans="1:21" ht="18.75">
      <c r="A317" s="238"/>
      <c r="B317" s="188"/>
      <c r="C317" s="188"/>
      <c r="D317" s="58" t="s">
        <v>130</v>
      </c>
      <c r="E317" s="50"/>
      <c r="F317" s="50"/>
      <c r="G317" s="52"/>
      <c r="H317" s="53" t="s">
        <v>35</v>
      </c>
      <c r="I317" s="181">
        <f ca="1">IFERROR(__xludf.DUMMYFUNCTION("IMPORTRANGE(""https://docs.google.com/spreadsheets/d/1yhBcrRPreicbMKl9Bu_Snb2-OcQAF62RKfhTLhJ2eAA/edit?usp=sharing"",""กาฬสินธุ์!I317"")+IMPORTRANGE(""https://docs.google.com/spreadsheets/d/1aHkj4IaQMThhwWwevcOymEh837vdxeC_PycurhTbGFA/edit?usp=sharing"","&amp;"""ขอนแก่น!I317"")+IMPORTRANGE(""https://docs.google.com/spreadsheets/d/1FvTu2DsIWUjP6WCWra38Bkj_oOl_sOMf14r5Fg5srxU/edit?usp=sharing"",""ชัยภูมิ!I317"")+IMPORTRANGE(""https://docs.google.com/spreadsheets/d/1XVB7oCJ3pr-vBUdflwPQ8Z2LlzhnCvZaaYjAfP-647E/edit"&amp;"?usp=sharing"",""นครพนม!I317"")+IMPORTRANGE(""https://docs.google.com/spreadsheets/d/1Mnpb-8PYAgn85W6KOTD40hc_Xc55CaLfHoGAbrZ8tls/edit?usp=sharing"",""นครราชสีมา!I317"")+IMPORTRANGE(""https://docs.google.com/spreadsheets/d/1xoDLGBv9CYbyosIhki0kTq6IpYNj-gp"&amp;"jxfobnaDiut0/edit?usp=sharing"",""บึงกาฬ!I317"")+IMPORTRANGE(""https://docs.google.com/spreadsheets/d/1MMPq-JyI6DSgQETxuSiXkesP-P7JHuemnE6QJIa-Nlw/edit?usp=sharing"",""บุรีรัมย์!I317"")+IMPORTRANGE(""https://docs.google.com/spreadsheets/d/1l6IZ8xUPgMrESzc"&amp;"TYwhA1k_tPjeQjJPTqlm8Gd9eU5g/edit?usp=sharing"",""มหาสารคาม!I317"")+IMPORTRANGE(""https://docs.google.com/spreadsheets/d/1uB74YLqNjWX6FObjekfB2NtSYigTQyR2rq9u4Ub2Sq4/edit?usp=sharing"",""มุกดาหาร!I317"")+IMPORTRANGE(""https://docs.google.com/spreadsheets/"&amp;"d/1NexK3geCPxCTO1fzNF8dPec7yZyUx3OaWkFBC9HsQOo/edit?usp=sharing"",""ยโสธร!I317"")+IMPORTRANGE(""https://docs.google.com/spreadsheets/d/1v_cJrbBlyqmnHPReHk44g9NrMRdENNlSy_E_c5M9fIg/edit?usp=sharing"",""ร้อยเอ็ด!I317"")+IMPORTRANGE(""https://docs.google.com"&amp;"/spreadsheets/d/1Ul4RCpCX66NxYADU1QpwAPjOmBzW64SsT11s1wzXw_c/edit?usp=sharing"",""เลย!I317"")+IMPORTRANGE(""https://docs.google.com/spreadsheets/d/1bRrNKwbHDVktQG10isr5vbWRtt5spIZPpkOSWgbT5ug/edit?usp=sharing"",""ศรีสะเกษ!I317"")+IMPORTRANGE(""https://doc"&amp;"s.google.com/spreadsheets/d/17P34_Ow5kFBfdQD0qspb2UuPX5zpi6WMrQzslghyvrI/edit?usp=sharing"",""สกลนคร!I317"")+IMPORTRANGE(""https://docs.google.com/spreadsheets/d/1yswqbM3-AEpThF3ZSUa1AcmHnmRTF1vlJ1CZGcJ8YuU/edit?usp=sharing"",""สุรินทร์!I317"")+IMPORTRANG"&amp;"E(""https://docs.google.com/spreadsheets/d/13JHU_EFbsQOUQ0JSQ3dWy1VTRosIWcDq6Nc99z2qzdc/edit?usp=sharing"",""หนองคาย!I317"")+IMPORTRANGE(""https://docs.google.com/spreadsheets/d/1Hx73zIEgVdDZZaYSTc46Dqv64atFhpr3GelxLbaIN8A/edit?usp=sharing"",""หนองบัวลำภู"&amp;"!I317"")+IMPORTRANGE(""https://docs.google.com/spreadsheets/d/1lFxr3ctmjFN90yc-xV6jrQ9Ty8BKYVBWnAZ15wcNIJc/edit?usp=sharing"",""อำนาจเจริญ!I317"")+IMPORTRANGE(""https://docs.google.com/spreadsheets/d/1gF7RJpRnL-1oyjyeWxs5SFWEH7y8ahOZsQlyp2A2e-A/edit?usp=s"&amp;"haring"",""อุดรธานี!I317"")+IMPORTRANGE(""https://docs.google.com/spreadsheets/d/1kfLP0j3INXRa8bTDpcEmoWewMBV61jlFlfzczfjWIgc/edit?usp=sharing"",""อุบลราชธานี!I317"")"),0)</f>
        <v>0</v>
      </c>
      <c r="J317" s="181">
        <f ca="1">IFERROR(__xludf.DUMMYFUNCTION("IMPORTRANGE(""https://docs.google.com/spreadsheets/d/1yhBcrRPreicbMKl9Bu_Snb2-OcQAF62RKfhTLhJ2eAA/edit?usp=sharing"",""กาฬสินธุ์!J317"")+IMPORTRANGE(""https://docs.google.com/spreadsheets/d/1aHkj4IaQMThhwWwevcOymEh837vdxeC_PycurhTbGFA/edit?usp=sharing"","&amp;"""ขอนแก่น!J317"")+IMPORTRANGE(""https://docs.google.com/spreadsheets/d/1FvTu2DsIWUjP6WCWra38Bkj_oOl_sOMf14r5Fg5srxU/edit?usp=sharing"",""ชัยภูมิ!J317"")+IMPORTRANGE(""https://docs.google.com/spreadsheets/d/1XVB7oCJ3pr-vBUdflwPQ8Z2LlzhnCvZaaYjAfP-647E/edit"&amp;"?usp=sharing"",""นครพนม!J317"")+IMPORTRANGE(""https://docs.google.com/spreadsheets/d/1Mnpb-8PYAgn85W6KOTD40hc_Xc55CaLfHoGAbrZ8tls/edit?usp=sharing"",""นครราชสีมา!J317"")+IMPORTRANGE(""https://docs.google.com/spreadsheets/d/1xoDLGBv9CYbyosIhki0kTq6IpYNj-gp"&amp;"jxfobnaDiut0/edit?usp=sharing"",""บึงกาฬ!J317"")+IMPORTRANGE(""https://docs.google.com/spreadsheets/d/1MMPq-JyI6DSgQETxuSiXkesP-P7JHuemnE6QJIa-Nlw/edit?usp=sharing"",""บุรีรัมย์!J317"")+IMPORTRANGE(""https://docs.google.com/spreadsheets/d/1l6IZ8xUPgMrESzc"&amp;"TYwhA1k_tPjeQjJPTqlm8Gd9eU5g/edit?usp=sharing"",""มหาสารคาม!J317"")+IMPORTRANGE(""https://docs.google.com/spreadsheets/d/1uB74YLqNjWX6FObjekfB2NtSYigTQyR2rq9u4Ub2Sq4/edit?usp=sharing"",""มุกดาหาร!J317"")+IMPORTRANGE(""https://docs.google.com/spreadsheets/"&amp;"d/1NexK3geCPxCTO1fzNF8dPec7yZyUx3OaWkFBC9HsQOo/edit?usp=sharing"",""ยโสธร!J317"")+IMPORTRANGE(""https://docs.google.com/spreadsheets/d/1v_cJrbBlyqmnHPReHk44g9NrMRdENNlSy_E_c5M9fIg/edit?usp=sharing"",""ร้อยเอ็ด!J317"")+IMPORTRANGE(""https://docs.google.com"&amp;"/spreadsheets/d/1Ul4RCpCX66NxYADU1QpwAPjOmBzW64SsT11s1wzXw_c/edit?usp=sharing"",""เลย!J317"")+IMPORTRANGE(""https://docs.google.com/spreadsheets/d/1bRrNKwbHDVktQG10isr5vbWRtt5spIZPpkOSWgbT5ug/edit?usp=sharing"",""ศรีสะเกษ!J317"")+IMPORTRANGE(""https://doc"&amp;"s.google.com/spreadsheets/d/17P34_Ow5kFBfdQD0qspb2UuPX5zpi6WMrQzslghyvrI/edit?usp=sharing"",""สกลนคร!J317"")+IMPORTRANGE(""https://docs.google.com/spreadsheets/d/1yswqbM3-AEpThF3ZSUa1AcmHnmRTF1vlJ1CZGcJ8YuU/edit?usp=sharing"",""สุรินทร์!J317"")+IMPORTRANG"&amp;"E(""https://docs.google.com/spreadsheets/d/13JHU_EFbsQOUQ0JSQ3dWy1VTRosIWcDq6Nc99z2qzdc/edit?usp=sharing"",""หนองคาย!J317"")+IMPORTRANGE(""https://docs.google.com/spreadsheets/d/1Hx73zIEgVdDZZaYSTc46Dqv64atFhpr3GelxLbaIN8A/edit?usp=sharing"",""หนองบัวลำภู"&amp;"!J317"")+IMPORTRANGE(""https://docs.google.com/spreadsheets/d/1lFxr3ctmjFN90yc-xV6jrQ9Ty8BKYVBWnAZ15wcNIJc/edit?usp=sharing"",""อำนาจเจริญ!J317"")+IMPORTRANGE(""https://docs.google.com/spreadsheets/d/1gF7RJpRnL-1oyjyeWxs5SFWEH7y8ahOZsQlyp2A2e-A/edit?usp=s"&amp;"haring"",""อุดรธานี!J317"")+IMPORTRANGE(""https://docs.google.com/spreadsheets/d/1kfLP0j3INXRa8bTDpcEmoWewMBV61jlFlfzczfjWIgc/edit?usp=sharing"",""อุบลราชธานี!J317"")"),0)</f>
        <v>0</v>
      </c>
      <c r="K317" s="56">
        <f t="shared" ca="1" si="236"/>
        <v>0</v>
      </c>
      <c r="L317" s="55"/>
      <c r="M317" s="55"/>
      <c r="N317" s="55"/>
      <c r="O317" s="55"/>
      <c r="P317" s="55"/>
      <c r="Q317" s="55"/>
      <c r="R317" s="55"/>
      <c r="S317" s="62"/>
      <c r="T317" s="25"/>
      <c r="U317" s="25"/>
    </row>
    <row r="318" spans="1:21" ht="19.5">
      <c r="A318" s="319" t="s">
        <v>131</v>
      </c>
      <c r="B318" s="320"/>
      <c r="C318" s="320"/>
      <c r="D318" s="321"/>
      <c r="E318" s="320"/>
      <c r="F318" s="320"/>
      <c r="G318" s="320"/>
      <c r="H318" s="321"/>
      <c r="I318" s="323"/>
      <c r="J318" s="323"/>
      <c r="K318" s="324"/>
      <c r="L318" s="324"/>
      <c r="M318" s="324"/>
      <c r="N318" s="324"/>
      <c r="O318" s="324"/>
      <c r="P318" s="324"/>
      <c r="Q318" s="324"/>
      <c r="R318" s="324"/>
      <c r="S318" s="325"/>
      <c r="T318" s="324"/>
      <c r="U318" s="324"/>
    </row>
    <row r="319" spans="1:21" ht="19.5">
      <c r="A319" s="335"/>
      <c r="B319" s="327" t="s">
        <v>132</v>
      </c>
      <c r="C319" s="336"/>
      <c r="D319" s="337"/>
      <c r="E319" s="328"/>
      <c r="F319" s="328"/>
      <c r="G319" s="329"/>
      <c r="H319" s="330" t="s">
        <v>133</v>
      </c>
      <c r="I319" s="331">
        <f t="shared" ref="I319:J319" ca="1" si="237">I330</f>
        <v>2</v>
      </c>
      <c r="J319" s="331">
        <f t="shared" ca="1" si="237"/>
        <v>1</v>
      </c>
      <c r="K319" s="332">
        <f ca="1">IF(I319&gt;0,J319*100/I319,0)</f>
        <v>50</v>
      </c>
      <c r="L319" s="333"/>
      <c r="M319" s="333"/>
      <c r="N319" s="333"/>
      <c r="O319" s="333"/>
      <c r="P319" s="333"/>
      <c r="Q319" s="333"/>
      <c r="R319" s="333"/>
      <c r="S319" s="334"/>
      <c r="T319" s="333"/>
      <c r="U319" s="333"/>
    </row>
    <row r="320" spans="1:21" ht="19.5">
      <c r="A320" s="155"/>
      <c r="B320" s="50"/>
      <c r="C320" s="156" t="s">
        <v>18</v>
      </c>
      <c r="D320" s="157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159">
        <f t="shared" ref="L320:N320" ca="1" si="238">L321+L322</f>
        <v>50000</v>
      </c>
      <c r="M320" s="159">
        <f t="shared" ca="1" si="238"/>
        <v>50000</v>
      </c>
      <c r="N320" s="159">
        <f t="shared" ca="1" si="238"/>
        <v>6900</v>
      </c>
      <c r="O320" s="159">
        <f t="shared" ref="O320:O328" ca="1" si="239">IF(L320&gt;0,N320*100/L320,0)</f>
        <v>13.8</v>
      </c>
      <c r="P320" s="159">
        <f t="shared" ref="P320:P328" ca="1" si="240">IF(M320&gt;0,N320*100/M320,0)</f>
        <v>13.8</v>
      </c>
      <c r="Q320" s="159">
        <f t="shared" ref="Q320:S320" ca="1" si="241">Q321+Q322</f>
        <v>0</v>
      </c>
      <c r="R320" s="159">
        <f t="shared" ca="1" si="241"/>
        <v>0</v>
      </c>
      <c r="S320" s="160">
        <f t="shared" ca="1" si="241"/>
        <v>0</v>
      </c>
      <c r="T320" s="159">
        <f t="shared" ref="T320:T328" ca="1" si="242">IF(Q320&gt;0,S320*100/Q320,0)</f>
        <v>0</v>
      </c>
      <c r="U320" s="159">
        <f t="shared" ref="U320:U328" ca="1" si="243">IF(R320&gt;0,S320*100/R320,0)</f>
        <v>0</v>
      </c>
    </row>
    <row r="321" spans="1:21" ht="18.75">
      <c r="A321" s="155"/>
      <c r="B321" s="50"/>
      <c r="C321" s="50"/>
      <c r="D321" s="50"/>
      <c r="E321" s="58" t="s">
        <v>20</v>
      </c>
      <c r="F321" s="50"/>
      <c r="G321" s="52"/>
      <c r="H321" s="161" t="s">
        <v>14</v>
      </c>
      <c r="I321" s="54"/>
      <c r="J321" s="54"/>
      <c r="K321" s="55"/>
      <c r="L321" s="56">
        <f t="shared" ref="L321:N321" ca="1" si="244">L324+L327</f>
        <v>0</v>
      </c>
      <c r="M321" s="56">
        <f t="shared" ca="1" si="244"/>
        <v>0</v>
      </c>
      <c r="N321" s="56">
        <f t="shared" ca="1" si="244"/>
        <v>0</v>
      </c>
      <c r="O321" s="56">
        <f t="shared" ca="1" si="239"/>
        <v>0</v>
      </c>
      <c r="P321" s="56">
        <f t="shared" ca="1" si="240"/>
        <v>0</v>
      </c>
      <c r="Q321" s="56">
        <f t="shared" ref="Q321:S321" ca="1" si="245">Q324+Q327</f>
        <v>0</v>
      </c>
      <c r="R321" s="56">
        <f t="shared" ca="1" si="245"/>
        <v>0</v>
      </c>
      <c r="S321" s="57">
        <f t="shared" ca="1" si="245"/>
        <v>0</v>
      </c>
      <c r="T321" s="59">
        <f t="shared" ca="1" si="242"/>
        <v>0</v>
      </c>
      <c r="U321" s="59">
        <f t="shared" ca="1" si="243"/>
        <v>0</v>
      </c>
    </row>
    <row r="322" spans="1:21" ht="18.75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56">
        <f t="shared" ref="L322:N322" ca="1" si="246">L325+L328</f>
        <v>50000</v>
      </c>
      <c r="M322" s="56">
        <f t="shared" ca="1" si="246"/>
        <v>50000</v>
      </c>
      <c r="N322" s="56">
        <f t="shared" ca="1" si="246"/>
        <v>6900</v>
      </c>
      <c r="O322" s="56">
        <f t="shared" ca="1" si="239"/>
        <v>13.8</v>
      </c>
      <c r="P322" s="56">
        <f t="shared" ca="1" si="240"/>
        <v>13.8</v>
      </c>
      <c r="Q322" s="56">
        <f t="shared" ref="Q322:S322" ca="1" si="247">Q325+Q328</f>
        <v>0</v>
      </c>
      <c r="R322" s="56">
        <f t="shared" ca="1" si="247"/>
        <v>0</v>
      </c>
      <c r="S322" s="57">
        <f t="shared" ca="1" si="247"/>
        <v>0</v>
      </c>
      <c r="T322" s="56">
        <f t="shared" ca="1" si="242"/>
        <v>0</v>
      </c>
      <c r="U322" s="56">
        <f t="shared" ca="1" si="243"/>
        <v>0</v>
      </c>
    </row>
    <row r="323" spans="1:21" ht="18.75">
      <c r="A323" s="155"/>
      <c r="B323" s="50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56">
        <f t="shared" ref="L323:N323" ca="1" si="248">L324+L325</f>
        <v>50000</v>
      </c>
      <c r="M323" s="56">
        <f t="shared" ca="1" si="248"/>
        <v>50000</v>
      </c>
      <c r="N323" s="56">
        <f t="shared" ca="1" si="248"/>
        <v>6900</v>
      </c>
      <c r="O323" s="56">
        <f t="shared" ca="1" si="239"/>
        <v>13.8</v>
      </c>
      <c r="P323" s="56">
        <f t="shared" ca="1" si="240"/>
        <v>13.8</v>
      </c>
      <c r="Q323" s="56">
        <f t="shared" ref="Q323:S323" ca="1" si="249">Q324+Q325</f>
        <v>0</v>
      </c>
      <c r="R323" s="56">
        <f t="shared" ca="1" si="249"/>
        <v>0</v>
      </c>
      <c r="S323" s="57">
        <f t="shared" ca="1" si="249"/>
        <v>0</v>
      </c>
      <c r="T323" s="56">
        <f t="shared" ca="1" si="242"/>
        <v>0</v>
      </c>
      <c r="U323" s="56">
        <f t="shared" ca="1" si="243"/>
        <v>0</v>
      </c>
    </row>
    <row r="324" spans="1:21" ht="18.75">
      <c r="A324" s="155"/>
      <c r="B324" s="50"/>
      <c r="C324" s="50"/>
      <c r="D324" s="50"/>
      <c r="E324" s="58" t="s">
        <v>36</v>
      </c>
      <c r="F324" s="50"/>
      <c r="G324" s="52"/>
      <c r="H324" s="162" t="s">
        <v>14</v>
      </c>
      <c r="I324" s="163"/>
      <c r="J324" s="163"/>
      <c r="K324" s="164"/>
      <c r="L324" s="56">
        <f ca="1">IFERROR(__xludf.DUMMYFUNCTION("IMPORTRANGE(""https://docs.google.com/spreadsheets/d/1yhBcrRPreicbMKl9Bu_Snb2-OcQAF62RKfhTLhJ2eAA/edit?usp=sharing"",""กาฬสินธุ์!L324"")+IMPORTRANGE(""https://docs.google.com/spreadsheets/d/1aHkj4IaQMThhwWwevcOymEh837vdxeC_PycurhTbGFA/edit?usp=sharing"","&amp;"""ขอนแก่น!L324"")+IMPORTRANGE(""https://docs.google.com/spreadsheets/d/1FvTu2DsIWUjP6WCWra38Bkj_oOl_sOMf14r5Fg5srxU/edit?usp=sharing"",""ชัยภูมิ!L324"")+IMPORTRANGE(""https://docs.google.com/spreadsheets/d/1XVB7oCJ3pr-vBUdflwPQ8Z2LlzhnCvZaaYjAfP-647E/edit"&amp;"?usp=sharing"",""นครพนม!L324"")+IMPORTRANGE(""https://docs.google.com/spreadsheets/d/1Mnpb-8PYAgn85W6KOTD40hc_Xc55CaLfHoGAbrZ8tls/edit?usp=sharing"",""นครราชสีมา!L324"")+IMPORTRANGE(""https://docs.google.com/spreadsheets/d/1xoDLGBv9CYbyosIhki0kTq6IpYNj-gp"&amp;"jxfobnaDiut0/edit?usp=sharing"",""บึงกาฬ!L324"")+IMPORTRANGE(""https://docs.google.com/spreadsheets/d/1MMPq-JyI6DSgQETxuSiXkesP-P7JHuemnE6QJIa-Nlw/edit?usp=sharing"",""บุรีรัมย์!L324"")+IMPORTRANGE(""https://docs.google.com/spreadsheets/d/1l6IZ8xUPgMrESzc"&amp;"TYwhA1k_tPjeQjJPTqlm8Gd9eU5g/edit?usp=sharing"",""มหาสารคาม!L324"")+IMPORTRANGE(""https://docs.google.com/spreadsheets/d/1uB74YLqNjWX6FObjekfB2NtSYigTQyR2rq9u4Ub2Sq4/edit?usp=sharing"",""มุกดาหาร!L324"")+IMPORTRANGE(""https://docs.google.com/spreadsheets/"&amp;"d/1NexK3geCPxCTO1fzNF8dPec7yZyUx3OaWkFBC9HsQOo/edit?usp=sharing"",""ยโสธร!L324"")+IMPORTRANGE(""https://docs.google.com/spreadsheets/d/1v_cJrbBlyqmnHPReHk44g9NrMRdENNlSy_E_c5M9fIg/edit?usp=sharing"",""ร้อยเอ็ด!L324"")+IMPORTRANGE(""https://docs.google.com"&amp;"/spreadsheets/d/1Ul4RCpCX66NxYADU1QpwAPjOmBzW64SsT11s1wzXw_c/edit?usp=sharing"",""เลย!L324"")+IMPORTRANGE(""https://docs.google.com/spreadsheets/d/1bRrNKwbHDVktQG10isr5vbWRtt5spIZPpkOSWgbT5ug/edit?usp=sharing"",""ศรีสะเกษ!L324"")+IMPORTRANGE(""https://doc"&amp;"s.google.com/spreadsheets/d/17P34_Ow5kFBfdQD0qspb2UuPX5zpi6WMrQzslghyvrI/edit?usp=sharing"",""สกลนคร!L324"")+IMPORTRANGE(""https://docs.google.com/spreadsheets/d/1yswqbM3-AEpThF3ZSUa1AcmHnmRTF1vlJ1CZGcJ8YuU/edit?usp=sharing"",""สุรินทร์!L324"")+IMPORTRANG"&amp;"E(""https://docs.google.com/spreadsheets/d/13JHU_EFbsQOUQ0JSQ3dWy1VTRosIWcDq6Nc99z2qzdc/edit?usp=sharing"",""หนองคาย!L324"")+IMPORTRANGE(""https://docs.google.com/spreadsheets/d/1Hx73zIEgVdDZZaYSTc46Dqv64atFhpr3GelxLbaIN8A/edit?usp=sharing"",""หนองบัวลำภู"&amp;"!L324"")+IMPORTRANGE(""https://docs.google.com/spreadsheets/d/1lFxr3ctmjFN90yc-xV6jrQ9Ty8BKYVBWnAZ15wcNIJc/edit?usp=sharing"",""อำนาจเจริญ!L324"")+IMPORTRANGE(""https://docs.google.com/spreadsheets/d/1gF7RJpRnL-1oyjyeWxs5SFWEH7y8ahOZsQlyp2A2e-A/edit?usp=s"&amp;"haring"",""อุดรธานี!L324"")+IMPORTRANGE(""https://docs.google.com/spreadsheets/d/1kfLP0j3INXRa8bTDpcEmoWewMBV61jlFlfzczfjWIgc/edit?usp=sharing"",""อุบลราชธานี!L324"")"),0)</f>
        <v>0</v>
      </c>
      <c r="M324" s="56">
        <f ca="1">IFERROR(__xludf.DUMMYFUNCTION("IMPORTRANGE(""https://docs.google.com/spreadsheets/d/1yhBcrRPreicbMKl9Bu_Snb2-OcQAF62RKfhTLhJ2eAA/edit?usp=sharing"",""กาฬสินธุ์!M324"")+IMPORTRANGE(""https://docs.google.com/spreadsheets/d/1aHkj4IaQMThhwWwevcOymEh837vdxeC_PycurhTbGFA/edit?usp=sharing"","&amp;"""ขอนแก่น!M324"")+IMPORTRANGE(""https://docs.google.com/spreadsheets/d/1FvTu2DsIWUjP6WCWra38Bkj_oOl_sOMf14r5Fg5srxU/edit?usp=sharing"",""ชัยภูมิ!M324"")+IMPORTRANGE(""https://docs.google.com/spreadsheets/d/1XVB7oCJ3pr-vBUdflwPQ8Z2LlzhnCvZaaYjAfP-647E/edit"&amp;"?usp=sharing"",""นครพนม!M324"")+IMPORTRANGE(""https://docs.google.com/spreadsheets/d/1Mnpb-8PYAgn85W6KOTD40hc_Xc55CaLfHoGAbrZ8tls/edit?usp=sharing"",""นครราชสีมา!M324"")+IMPORTRANGE(""https://docs.google.com/spreadsheets/d/1xoDLGBv9CYbyosIhki0kTq6IpYNj-gp"&amp;"jxfobnaDiut0/edit?usp=sharing"",""บึงกาฬ!M324"")+IMPORTRANGE(""https://docs.google.com/spreadsheets/d/1MMPq-JyI6DSgQETxuSiXkesP-P7JHuemnE6QJIa-Nlw/edit?usp=sharing"",""บุรีรัมย์!M324"")+IMPORTRANGE(""https://docs.google.com/spreadsheets/d/1l6IZ8xUPgMrESzc"&amp;"TYwhA1k_tPjeQjJPTqlm8Gd9eU5g/edit?usp=sharing"",""มหาสารคาม!M324"")+IMPORTRANGE(""https://docs.google.com/spreadsheets/d/1uB74YLqNjWX6FObjekfB2NtSYigTQyR2rq9u4Ub2Sq4/edit?usp=sharing"",""มุกดาหาร!M324"")+IMPORTRANGE(""https://docs.google.com/spreadsheets/"&amp;"d/1NexK3geCPxCTO1fzNF8dPec7yZyUx3OaWkFBC9HsQOo/edit?usp=sharing"",""ยโสธร!M324"")+IMPORTRANGE(""https://docs.google.com/spreadsheets/d/1v_cJrbBlyqmnHPReHk44g9NrMRdENNlSy_E_c5M9fIg/edit?usp=sharing"",""ร้อยเอ็ด!M324"")+IMPORTRANGE(""https://docs.google.com"&amp;"/spreadsheets/d/1Ul4RCpCX66NxYADU1QpwAPjOmBzW64SsT11s1wzXw_c/edit?usp=sharing"",""เลย!M324"")+IMPORTRANGE(""https://docs.google.com/spreadsheets/d/1bRrNKwbHDVktQG10isr5vbWRtt5spIZPpkOSWgbT5ug/edit?usp=sharing"",""ศรีสะเกษ!M324"")+IMPORTRANGE(""https://doc"&amp;"s.google.com/spreadsheets/d/17P34_Ow5kFBfdQD0qspb2UuPX5zpi6WMrQzslghyvrI/edit?usp=sharing"",""สกลนคร!M324"")+IMPORTRANGE(""https://docs.google.com/spreadsheets/d/1yswqbM3-AEpThF3ZSUa1AcmHnmRTF1vlJ1CZGcJ8YuU/edit?usp=sharing"",""สุรินทร์!M324"")+IMPORTRANG"&amp;"E(""https://docs.google.com/spreadsheets/d/13JHU_EFbsQOUQ0JSQ3dWy1VTRosIWcDq6Nc99z2qzdc/edit?usp=sharing"",""หนองคาย!M324"")+IMPORTRANGE(""https://docs.google.com/spreadsheets/d/1Hx73zIEgVdDZZaYSTc46Dqv64atFhpr3GelxLbaIN8A/edit?usp=sharing"",""หนองบัวลำภู"&amp;"!M324"")+IMPORTRANGE(""https://docs.google.com/spreadsheets/d/1lFxr3ctmjFN90yc-xV6jrQ9Ty8BKYVBWnAZ15wcNIJc/edit?usp=sharing"",""อำนาจเจริญ!M324"")+IMPORTRANGE(""https://docs.google.com/spreadsheets/d/1gF7RJpRnL-1oyjyeWxs5SFWEH7y8ahOZsQlyp2A2e-A/edit?usp=s"&amp;"haring"",""อุดรธานี!M324"")+IMPORTRANGE(""https://docs.google.com/spreadsheets/d/1kfLP0j3INXRa8bTDpcEmoWewMBV61jlFlfzczfjWIgc/edit?usp=sharing"",""อุบลราชธานี!M324"")"),0)</f>
        <v>0</v>
      </c>
      <c r="N324" s="56">
        <f ca="1">IFERROR(__xludf.DUMMYFUNCTION("IMPORTRANGE(""https://docs.google.com/spreadsheets/d/1yhBcrRPreicbMKl9Bu_Snb2-OcQAF62RKfhTLhJ2eAA/edit?usp=sharing"",""กาฬสินธุ์!N324"")+IMPORTRANGE(""https://docs.google.com/spreadsheets/d/1aHkj4IaQMThhwWwevcOymEh837vdxeC_PycurhTbGFA/edit?usp=sharing"","&amp;"""ขอนแก่น!N324"")+IMPORTRANGE(""https://docs.google.com/spreadsheets/d/1FvTu2DsIWUjP6WCWra38Bkj_oOl_sOMf14r5Fg5srxU/edit?usp=sharing"",""ชัยภูมิ!N324"")+IMPORTRANGE(""https://docs.google.com/spreadsheets/d/1XVB7oCJ3pr-vBUdflwPQ8Z2LlzhnCvZaaYjAfP-647E/edit"&amp;"?usp=sharing"",""นครพนม!N324"")+IMPORTRANGE(""https://docs.google.com/spreadsheets/d/1Mnpb-8PYAgn85W6KOTD40hc_Xc55CaLfHoGAbrZ8tls/edit?usp=sharing"",""นครราชสีมา!N324"")+IMPORTRANGE(""https://docs.google.com/spreadsheets/d/1xoDLGBv9CYbyosIhki0kTq6IpYNj-gp"&amp;"jxfobnaDiut0/edit?usp=sharing"",""บึงกาฬ!N324"")+IMPORTRANGE(""https://docs.google.com/spreadsheets/d/1MMPq-JyI6DSgQETxuSiXkesP-P7JHuemnE6QJIa-Nlw/edit?usp=sharing"",""บุรีรัมย์!N324"")+IMPORTRANGE(""https://docs.google.com/spreadsheets/d/1l6IZ8xUPgMrESzc"&amp;"TYwhA1k_tPjeQjJPTqlm8Gd9eU5g/edit?usp=sharing"",""มหาสารคาม!N324"")+IMPORTRANGE(""https://docs.google.com/spreadsheets/d/1uB74YLqNjWX6FObjekfB2NtSYigTQyR2rq9u4Ub2Sq4/edit?usp=sharing"",""มุกดาหาร!N324"")+IMPORTRANGE(""https://docs.google.com/spreadsheets/"&amp;"d/1NexK3geCPxCTO1fzNF8dPec7yZyUx3OaWkFBC9HsQOo/edit?usp=sharing"",""ยโสธร!N324"")+IMPORTRANGE(""https://docs.google.com/spreadsheets/d/1v_cJrbBlyqmnHPReHk44g9NrMRdENNlSy_E_c5M9fIg/edit?usp=sharing"",""ร้อยเอ็ด!N324"")+IMPORTRANGE(""https://docs.google.com"&amp;"/spreadsheets/d/1Ul4RCpCX66NxYADU1QpwAPjOmBzW64SsT11s1wzXw_c/edit?usp=sharing"",""เลย!N324"")+IMPORTRANGE(""https://docs.google.com/spreadsheets/d/1bRrNKwbHDVktQG10isr5vbWRtt5spIZPpkOSWgbT5ug/edit?usp=sharing"",""ศรีสะเกษ!N324"")+IMPORTRANGE(""https://doc"&amp;"s.google.com/spreadsheets/d/17P34_Ow5kFBfdQD0qspb2UuPX5zpi6WMrQzslghyvrI/edit?usp=sharing"",""สกลนคร!N324"")+IMPORTRANGE(""https://docs.google.com/spreadsheets/d/1yswqbM3-AEpThF3ZSUa1AcmHnmRTF1vlJ1CZGcJ8YuU/edit?usp=sharing"",""สุรินทร์!N324"")+IMPORTRANG"&amp;"E(""https://docs.google.com/spreadsheets/d/13JHU_EFbsQOUQ0JSQ3dWy1VTRosIWcDq6Nc99z2qzdc/edit?usp=sharing"",""หนองคาย!N324"")+IMPORTRANGE(""https://docs.google.com/spreadsheets/d/1Hx73zIEgVdDZZaYSTc46Dqv64atFhpr3GelxLbaIN8A/edit?usp=sharing"",""หนองบัวลำภู"&amp;"!N324"")+IMPORTRANGE(""https://docs.google.com/spreadsheets/d/1lFxr3ctmjFN90yc-xV6jrQ9Ty8BKYVBWnAZ15wcNIJc/edit?usp=sharing"",""อำนาจเจริญ!N324"")+IMPORTRANGE(""https://docs.google.com/spreadsheets/d/1gF7RJpRnL-1oyjyeWxs5SFWEH7y8ahOZsQlyp2A2e-A/edit?usp=s"&amp;"haring"",""อุดรธานี!N324"")+IMPORTRANGE(""https://docs.google.com/spreadsheets/d/1kfLP0j3INXRa8bTDpcEmoWewMBV61jlFlfzczfjWIgc/edit?usp=sharing"",""อุบลราชธานี!N324"")"),0)</f>
        <v>0</v>
      </c>
      <c r="O324" s="56">
        <f t="shared" ca="1" si="239"/>
        <v>0</v>
      </c>
      <c r="P324" s="56">
        <f t="shared" ca="1" si="240"/>
        <v>0</v>
      </c>
      <c r="Q324" s="56">
        <f ca="1">IFERROR(__xludf.DUMMYFUNCTION("IMPORTRANGE(""https://docs.google.com/spreadsheets/d/1yhBcrRPreicbMKl9Bu_Snb2-OcQAF62RKfhTLhJ2eAA/edit?usp=sharing"",""กาฬสินธุ์!Q324"")+IMPORTRANGE(""https://docs.google.com/spreadsheets/d/1aHkj4IaQMThhwWwevcOymEh837vdxeC_PycurhTbGFA/edit?usp=sharing"","&amp;"""ขอนแก่น!Q324"")+IMPORTRANGE(""https://docs.google.com/spreadsheets/d/1FvTu2DsIWUjP6WCWra38Bkj_oOl_sOMf14r5Fg5srxU/edit?usp=sharing"",""ชัยภูมิ!Q324"")+IMPORTRANGE(""https://docs.google.com/spreadsheets/d/1XVB7oCJ3pr-vBUdflwPQ8Z2LlzhnCvZaaYjAfP-647E/edit"&amp;"?usp=sharing"",""นครพนม!Q324"")+IMPORTRANGE(""https://docs.google.com/spreadsheets/d/1Mnpb-8PYAgn85W6KOTD40hc_Xc55CaLfHoGAbrZ8tls/edit?usp=sharing"",""นครราชสีมา!Q324"")+IMPORTRANGE(""https://docs.google.com/spreadsheets/d/1xoDLGBv9CYbyosIhki0kTq6IpYNj-gp"&amp;"jxfobnaDiut0/edit?usp=sharing"",""บึงกาฬ!Q324"")+IMPORTRANGE(""https://docs.google.com/spreadsheets/d/1MMPq-JyI6DSgQETxuSiXkesP-P7JHuemnE6QJIa-Nlw/edit?usp=sharing"",""บุรีรัมย์!Q324"")+IMPORTRANGE(""https://docs.google.com/spreadsheets/d/1l6IZ8xUPgMrESzc"&amp;"TYwhA1k_tPjeQjJPTqlm8Gd9eU5g/edit?usp=sharing"",""มหาสารคาม!Q324"")+IMPORTRANGE(""https://docs.google.com/spreadsheets/d/1uB74YLqNjWX6FObjekfB2NtSYigTQyR2rq9u4Ub2Sq4/edit?usp=sharing"",""มุกดาหาร!Q324"")+IMPORTRANGE(""https://docs.google.com/spreadsheets/"&amp;"d/1NexK3geCPxCTO1fzNF8dPec7yZyUx3OaWkFBC9HsQOo/edit?usp=sharing"",""ยโสธร!Q324"")+IMPORTRANGE(""https://docs.google.com/spreadsheets/d/1v_cJrbBlyqmnHPReHk44g9NrMRdENNlSy_E_c5M9fIg/edit?usp=sharing"",""ร้อยเอ็ด!Q324"")+IMPORTRANGE(""https://docs.google.com"&amp;"/spreadsheets/d/1Ul4RCpCX66NxYADU1QpwAPjOmBzW64SsT11s1wzXw_c/edit?usp=sharing"",""เลย!Q324"")+IMPORTRANGE(""https://docs.google.com/spreadsheets/d/1bRrNKwbHDVktQG10isr5vbWRtt5spIZPpkOSWgbT5ug/edit?usp=sharing"",""ศรีสะเกษ!Q324"")+IMPORTRANGE(""https://doc"&amp;"s.google.com/spreadsheets/d/17P34_Ow5kFBfdQD0qspb2UuPX5zpi6WMrQzslghyvrI/edit?usp=sharing"",""สกลนคร!Q324"")+IMPORTRANGE(""https://docs.google.com/spreadsheets/d/1yswqbM3-AEpThF3ZSUa1AcmHnmRTF1vlJ1CZGcJ8YuU/edit?usp=sharing"",""สุรินทร์!Q324"")+IMPORTRANG"&amp;"E(""https://docs.google.com/spreadsheets/d/13JHU_EFbsQOUQ0JSQ3dWy1VTRosIWcDq6Nc99z2qzdc/edit?usp=sharing"",""หนองคาย!Q324"")+IMPORTRANGE(""https://docs.google.com/spreadsheets/d/1Hx73zIEgVdDZZaYSTc46Dqv64atFhpr3GelxLbaIN8A/edit?usp=sharing"",""หนองบัวลำภู"&amp;"!Q324"")+IMPORTRANGE(""https://docs.google.com/spreadsheets/d/1lFxr3ctmjFN90yc-xV6jrQ9Ty8BKYVBWnAZ15wcNIJc/edit?usp=sharing"",""อำนาจเจริญ!Q324"")+IMPORTRANGE(""https://docs.google.com/spreadsheets/d/1gF7RJpRnL-1oyjyeWxs5SFWEH7y8ahOZsQlyp2A2e-A/edit?usp=s"&amp;"haring"",""อุดรธานี!Q324"")+IMPORTRANGE(""https://docs.google.com/spreadsheets/d/1kfLP0j3INXRa8bTDpcEmoWewMBV61jlFlfzczfjWIgc/edit?usp=sharing"",""อุบลราชธานี!Q324"")"),0)</f>
        <v>0</v>
      </c>
      <c r="R324" s="56">
        <f ca="1">IFERROR(__xludf.DUMMYFUNCTION("IMPORTRANGE(""https://docs.google.com/spreadsheets/d/1yhBcrRPreicbMKl9Bu_Snb2-OcQAF62RKfhTLhJ2eAA/edit?usp=sharing"",""กาฬสินธุ์!R324"")+IMPORTRANGE(""https://docs.google.com/spreadsheets/d/1aHkj4IaQMThhwWwevcOymEh837vdxeC_PycurhTbGFA/edit?usp=sharing"","&amp;"""ขอนแก่น!R324"")+IMPORTRANGE(""https://docs.google.com/spreadsheets/d/1FvTu2DsIWUjP6WCWra38Bkj_oOl_sOMf14r5Fg5srxU/edit?usp=sharing"",""ชัยภูมิ!R324"")+IMPORTRANGE(""https://docs.google.com/spreadsheets/d/1XVB7oCJ3pr-vBUdflwPQ8Z2LlzhnCvZaaYjAfP-647E/edit"&amp;"?usp=sharing"",""นครพนม!R324"")+IMPORTRANGE(""https://docs.google.com/spreadsheets/d/1Mnpb-8PYAgn85W6KOTD40hc_Xc55CaLfHoGAbrZ8tls/edit?usp=sharing"",""นครราชสีมา!R324"")+IMPORTRANGE(""https://docs.google.com/spreadsheets/d/1xoDLGBv9CYbyosIhki0kTq6IpYNj-gp"&amp;"jxfobnaDiut0/edit?usp=sharing"",""บึงกาฬ!R324"")+IMPORTRANGE(""https://docs.google.com/spreadsheets/d/1MMPq-JyI6DSgQETxuSiXkesP-P7JHuemnE6QJIa-Nlw/edit?usp=sharing"",""บุรีรัมย์!R324"")+IMPORTRANGE(""https://docs.google.com/spreadsheets/d/1l6IZ8xUPgMrESzc"&amp;"TYwhA1k_tPjeQjJPTqlm8Gd9eU5g/edit?usp=sharing"",""มหาสารคาม!R324"")+IMPORTRANGE(""https://docs.google.com/spreadsheets/d/1uB74YLqNjWX6FObjekfB2NtSYigTQyR2rq9u4Ub2Sq4/edit?usp=sharing"",""มุกดาหาร!R324"")+IMPORTRANGE(""https://docs.google.com/spreadsheets/"&amp;"d/1NexK3geCPxCTO1fzNF8dPec7yZyUx3OaWkFBC9HsQOo/edit?usp=sharing"",""ยโสธร!R324"")+IMPORTRANGE(""https://docs.google.com/spreadsheets/d/1v_cJrbBlyqmnHPReHk44g9NrMRdENNlSy_E_c5M9fIg/edit?usp=sharing"",""ร้อยเอ็ด!R324"")+IMPORTRANGE(""https://docs.google.com"&amp;"/spreadsheets/d/1Ul4RCpCX66NxYADU1QpwAPjOmBzW64SsT11s1wzXw_c/edit?usp=sharing"",""เลย!R324"")+IMPORTRANGE(""https://docs.google.com/spreadsheets/d/1bRrNKwbHDVktQG10isr5vbWRtt5spIZPpkOSWgbT5ug/edit?usp=sharing"",""ศรีสะเกษ!R324"")+IMPORTRANGE(""https://doc"&amp;"s.google.com/spreadsheets/d/17P34_Ow5kFBfdQD0qspb2UuPX5zpi6WMrQzslghyvrI/edit?usp=sharing"",""สกลนคร!R324"")+IMPORTRANGE(""https://docs.google.com/spreadsheets/d/1yswqbM3-AEpThF3ZSUa1AcmHnmRTF1vlJ1CZGcJ8YuU/edit?usp=sharing"",""สุรินทร์!R324"")+IMPORTRANG"&amp;"E(""https://docs.google.com/spreadsheets/d/13JHU_EFbsQOUQ0JSQ3dWy1VTRosIWcDq6Nc99z2qzdc/edit?usp=sharing"",""หนองคาย!R324"")+IMPORTRANGE(""https://docs.google.com/spreadsheets/d/1Hx73zIEgVdDZZaYSTc46Dqv64atFhpr3GelxLbaIN8A/edit?usp=sharing"",""หนองบัวลำภู"&amp;"!R324"")+IMPORTRANGE(""https://docs.google.com/spreadsheets/d/1lFxr3ctmjFN90yc-xV6jrQ9Ty8BKYVBWnAZ15wcNIJc/edit?usp=sharing"",""อำนาจเจริญ!R324"")+IMPORTRANGE(""https://docs.google.com/spreadsheets/d/1gF7RJpRnL-1oyjyeWxs5SFWEH7y8ahOZsQlyp2A2e-A/edit?usp=s"&amp;"haring"",""อุดรธานี!R324"")+IMPORTRANGE(""https://docs.google.com/spreadsheets/d/1kfLP0j3INXRa8bTDpcEmoWewMBV61jlFlfzczfjWIgc/edit?usp=sharing"",""อุบลราชธานี!R324"")"),0)</f>
        <v>0</v>
      </c>
      <c r="S324" s="57">
        <f ca="1">IFERROR(__xludf.DUMMYFUNCTION("IMPORTRANGE(""https://docs.google.com/spreadsheets/d/1yhBcrRPreicbMKl9Bu_Snb2-OcQAF62RKfhTLhJ2eAA/edit?usp=sharing"",""กาฬสินธุ์!S324"")+IMPORTRANGE(""https://docs.google.com/spreadsheets/d/1aHkj4IaQMThhwWwevcOymEh837vdxeC_PycurhTbGFA/edit?usp=sharing"","&amp;"""ขอนแก่น!S324"")+IMPORTRANGE(""https://docs.google.com/spreadsheets/d/1FvTu2DsIWUjP6WCWra38Bkj_oOl_sOMf14r5Fg5srxU/edit?usp=sharing"",""ชัยภูมิ!S324"")+IMPORTRANGE(""https://docs.google.com/spreadsheets/d/1XVB7oCJ3pr-vBUdflwPQ8Z2LlzhnCvZaaYjAfP-647E/edit"&amp;"?usp=sharing"",""นครพนม!S324"")+IMPORTRANGE(""https://docs.google.com/spreadsheets/d/1Mnpb-8PYAgn85W6KOTD40hc_Xc55CaLfHoGAbrZ8tls/edit?usp=sharing"",""นครราชสีมา!S324"")+IMPORTRANGE(""https://docs.google.com/spreadsheets/d/1xoDLGBv9CYbyosIhki0kTq6IpYNj-gp"&amp;"jxfobnaDiut0/edit?usp=sharing"",""บึงกาฬ!S324"")+IMPORTRANGE(""https://docs.google.com/spreadsheets/d/1MMPq-JyI6DSgQETxuSiXkesP-P7JHuemnE6QJIa-Nlw/edit?usp=sharing"",""บุรีรัมย์!S324"")+IMPORTRANGE(""https://docs.google.com/spreadsheets/d/1l6IZ8xUPgMrESzc"&amp;"TYwhA1k_tPjeQjJPTqlm8Gd9eU5g/edit?usp=sharing"",""มหาสารคาม!S324"")+IMPORTRANGE(""https://docs.google.com/spreadsheets/d/1uB74YLqNjWX6FObjekfB2NtSYigTQyR2rq9u4Ub2Sq4/edit?usp=sharing"",""มุกดาหาร!S324"")+IMPORTRANGE(""https://docs.google.com/spreadsheets/"&amp;"d/1NexK3geCPxCTO1fzNF8dPec7yZyUx3OaWkFBC9HsQOo/edit?usp=sharing"",""ยโสธร!S324"")+IMPORTRANGE(""https://docs.google.com/spreadsheets/d/1v_cJrbBlyqmnHPReHk44g9NrMRdENNlSy_E_c5M9fIg/edit?usp=sharing"",""ร้อยเอ็ด!S324"")+IMPORTRANGE(""https://docs.google.com"&amp;"/spreadsheets/d/1Ul4RCpCX66NxYADU1QpwAPjOmBzW64SsT11s1wzXw_c/edit?usp=sharing"",""เลย!S324"")+IMPORTRANGE(""https://docs.google.com/spreadsheets/d/1bRrNKwbHDVktQG10isr5vbWRtt5spIZPpkOSWgbT5ug/edit?usp=sharing"",""ศรีสะเกษ!S324"")+IMPORTRANGE(""https://doc"&amp;"s.google.com/spreadsheets/d/17P34_Ow5kFBfdQD0qspb2UuPX5zpi6WMrQzslghyvrI/edit?usp=sharing"",""สกลนคร!S324"")+IMPORTRANGE(""https://docs.google.com/spreadsheets/d/1yswqbM3-AEpThF3ZSUa1AcmHnmRTF1vlJ1CZGcJ8YuU/edit?usp=sharing"",""สุรินทร์!S324"")+IMPORTRANG"&amp;"E(""https://docs.google.com/spreadsheets/d/13JHU_EFbsQOUQ0JSQ3dWy1VTRosIWcDq6Nc99z2qzdc/edit?usp=sharing"",""หนองคาย!S324"")+IMPORTRANGE(""https://docs.google.com/spreadsheets/d/1Hx73zIEgVdDZZaYSTc46Dqv64atFhpr3GelxLbaIN8A/edit?usp=sharing"",""หนองบัวลำภู"&amp;"!S324"")+IMPORTRANGE(""https://docs.google.com/spreadsheets/d/1lFxr3ctmjFN90yc-xV6jrQ9Ty8BKYVBWnAZ15wcNIJc/edit?usp=sharing"",""อำนาจเจริญ!S324"")+IMPORTRANGE(""https://docs.google.com/spreadsheets/d/1gF7RJpRnL-1oyjyeWxs5SFWEH7y8ahOZsQlyp2A2e-A/edit?usp=s"&amp;"haring"",""อุดรธานี!S324"")+IMPORTRANGE(""https://docs.google.com/spreadsheets/d/1kfLP0j3INXRa8bTDpcEmoWewMBV61jlFlfzczfjWIgc/edit?usp=sharing"",""อุบลราชธานี!S324"")"),0)</f>
        <v>0</v>
      </c>
      <c r="T324" s="59">
        <f t="shared" ca="1" si="242"/>
        <v>0</v>
      </c>
      <c r="U324" s="59">
        <f t="shared" ca="1" si="243"/>
        <v>0</v>
      </c>
    </row>
    <row r="325" spans="1:21" ht="18.75">
      <c r="A325" s="155"/>
      <c r="B325" s="50"/>
      <c r="C325" s="50"/>
      <c r="D325" s="50"/>
      <c r="E325" s="58" t="s">
        <v>37</v>
      </c>
      <c r="F325" s="50"/>
      <c r="G325" s="52"/>
      <c r="H325" s="162" t="s">
        <v>14</v>
      </c>
      <c r="I325" s="163"/>
      <c r="J325" s="163"/>
      <c r="K325" s="164"/>
      <c r="L325" s="56">
        <f ca="1">IFERROR(__xludf.DUMMYFUNCTION("IMPORTRANGE(""https://docs.google.com/spreadsheets/d/1yhBcrRPreicbMKl9Bu_Snb2-OcQAF62RKfhTLhJ2eAA/edit?usp=sharing"",""กาฬสินธุ์!L325"")+IMPORTRANGE(""https://docs.google.com/spreadsheets/d/1aHkj4IaQMThhwWwevcOymEh837vdxeC_PycurhTbGFA/edit?usp=sharing"","&amp;"""ขอนแก่น!L325"")+IMPORTRANGE(""https://docs.google.com/spreadsheets/d/1FvTu2DsIWUjP6WCWra38Bkj_oOl_sOMf14r5Fg5srxU/edit?usp=sharing"",""ชัยภูมิ!L325"")+IMPORTRANGE(""https://docs.google.com/spreadsheets/d/1XVB7oCJ3pr-vBUdflwPQ8Z2LlzhnCvZaaYjAfP-647E/edit"&amp;"?usp=sharing"",""นครพนม!L325"")+IMPORTRANGE(""https://docs.google.com/spreadsheets/d/1Mnpb-8PYAgn85W6KOTD40hc_Xc55CaLfHoGAbrZ8tls/edit?usp=sharing"",""นครราชสีมา!L325"")+IMPORTRANGE(""https://docs.google.com/spreadsheets/d/1xoDLGBv9CYbyosIhki0kTq6IpYNj-gp"&amp;"jxfobnaDiut0/edit?usp=sharing"",""บึงกาฬ!L325"")+IMPORTRANGE(""https://docs.google.com/spreadsheets/d/1MMPq-JyI6DSgQETxuSiXkesP-P7JHuemnE6QJIa-Nlw/edit?usp=sharing"",""บุรีรัมย์!L325"")+IMPORTRANGE(""https://docs.google.com/spreadsheets/d/1l6IZ8xUPgMrESzc"&amp;"TYwhA1k_tPjeQjJPTqlm8Gd9eU5g/edit?usp=sharing"",""มหาสารคาม!L325"")+IMPORTRANGE(""https://docs.google.com/spreadsheets/d/1uB74YLqNjWX6FObjekfB2NtSYigTQyR2rq9u4Ub2Sq4/edit?usp=sharing"",""มุกดาหาร!L325"")+IMPORTRANGE(""https://docs.google.com/spreadsheets/"&amp;"d/1NexK3geCPxCTO1fzNF8dPec7yZyUx3OaWkFBC9HsQOo/edit?usp=sharing"",""ยโสธร!L325"")+IMPORTRANGE(""https://docs.google.com/spreadsheets/d/1v_cJrbBlyqmnHPReHk44g9NrMRdENNlSy_E_c5M9fIg/edit?usp=sharing"",""ร้อยเอ็ด!L325"")+IMPORTRANGE(""https://docs.google.com"&amp;"/spreadsheets/d/1Ul4RCpCX66NxYADU1QpwAPjOmBzW64SsT11s1wzXw_c/edit?usp=sharing"",""เลย!L325"")+IMPORTRANGE(""https://docs.google.com/spreadsheets/d/1bRrNKwbHDVktQG10isr5vbWRtt5spIZPpkOSWgbT5ug/edit?usp=sharing"",""ศรีสะเกษ!L325"")+IMPORTRANGE(""https://doc"&amp;"s.google.com/spreadsheets/d/17P34_Ow5kFBfdQD0qspb2UuPX5zpi6WMrQzslghyvrI/edit?usp=sharing"",""สกลนคร!L325"")+IMPORTRANGE(""https://docs.google.com/spreadsheets/d/1yswqbM3-AEpThF3ZSUa1AcmHnmRTF1vlJ1CZGcJ8YuU/edit?usp=sharing"",""สุรินทร์!L325"")+IMPORTRANG"&amp;"E(""https://docs.google.com/spreadsheets/d/13JHU_EFbsQOUQ0JSQ3dWy1VTRosIWcDq6Nc99z2qzdc/edit?usp=sharing"",""หนองคาย!L325"")+IMPORTRANGE(""https://docs.google.com/spreadsheets/d/1Hx73zIEgVdDZZaYSTc46Dqv64atFhpr3GelxLbaIN8A/edit?usp=sharing"",""หนองบัวลำภู"&amp;"!L325"")+IMPORTRANGE(""https://docs.google.com/spreadsheets/d/1lFxr3ctmjFN90yc-xV6jrQ9Ty8BKYVBWnAZ15wcNIJc/edit?usp=sharing"",""อำนาจเจริญ!L325"")+IMPORTRANGE(""https://docs.google.com/spreadsheets/d/1gF7RJpRnL-1oyjyeWxs5SFWEH7y8ahOZsQlyp2A2e-A/edit?usp=s"&amp;"haring"",""อุดรธานี!L325"")+IMPORTRANGE(""https://docs.google.com/spreadsheets/d/1kfLP0j3INXRa8bTDpcEmoWewMBV61jlFlfzczfjWIgc/edit?usp=sharing"",""อุบลราชธานี!L325"")"),50000)</f>
        <v>50000</v>
      </c>
      <c r="M325" s="56">
        <f ca="1">IFERROR(__xludf.DUMMYFUNCTION("IMPORTRANGE(""https://docs.google.com/spreadsheets/d/1yhBcrRPreicbMKl9Bu_Snb2-OcQAF62RKfhTLhJ2eAA/edit?usp=sharing"",""กาฬสินธุ์!M325"")+IMPORTRANGE(""https://docs.google.com/spreadsheets/d/1aHkj4IaQMThhwWwevcOymEh837vdxeC_PycurhTbGFA/edit?usp=sharing"","&amp;"""ขอนแก่น!M325"")+IMPORTRANGE(""https://docs.google.com/spreadsheets/d/1FvTu2DsIWUjP6WCWra38Bkj_oOl_sOMf14r5Fg5srxU/edit?usp=sharing"",""ชัยภูมิ!M325"")+IMPORTRANGE(""https://docs.google.com/spreadsheets/d/1XVB7oCJ3pr-vBUdflwPQ8Z2LlzhnCvZaaYjAfP-647E/edit"&amp;"?usp=sharing"",""นครพนม!M325"")+IMPORTRANGE(""https://docs.google.com/spreadsheets/d/1Mnpb-8PYAgn85W6KOTD40hc_Xc55CaLfHoGAbrZ8tls/edit?usp=sharing"",""นครราชสีมา!M325"")+IMPORTRANGE(""https://docs.google.com/spreadsheets/d/1xoDLGBv9CYbyosIhki0kTq6IpYNj-gp"&amp;"jxfobnaDiut0/edit?usp=sharing"",""บึงกาฬ!M325"")+IMPORTRANGE(""https://docs.google.com/spreadsheets/d/1MMPq-JyI6DSgQETxuSiXkesP-P7JHuemnE6QJIa-Nlw/edit?usp=sharing"",""บุรีรัมย์!M325"")+IMPORTRANGE(""https://docs.google.com/spreadsheets/d/1l6IZ8xUPgMrESzc"&amp;"TYwhA1k_tPjeQjJPTqlm8Gd9eU5g/edit?usp=sharing"",""มหาสารคาม!M325"")+IMPORTRANGE(""https://docs.google.com/spreadsheets/d/1uB74YLqNjWX6FObjekfB2NtSYigTQyR2rq9u4Ub2Sq4/edit?usp=sharing"",""มุกดาหาร!M325"")+IMPORTRANGE(""https://docs.google.com/spreadsheets/"&amp;"d/1NexK3geCPxCTO1fzNF8dPec7yZyUx3OaWkFBC9HsQOo/edit?usp=sharing"",""ยโสธร!M325"")+IMPORTRANGE(""https://docs.google.com/spreadsheets/d/1v_cJrbBlyqmnHPReHk44g9NrMRdENNlSy_E_c5M9fIg/edit?usp=sharing"",""ร้อยเอ็ด!M325"")+IMPORTRANGE(""https://docs.google.com"&amp;"/spreadsheets/d/1Ul4RCpCX66NxYADU1QpwAPjOmBzW64SsT11s1wzXw_c/edit?usp=sharing"",""เลย!M325"")+IMPORTRANGE(""https://docs.google.com/spreadsheets/d/1bRrNKwbHDVktQG10isr5vbWRtt5spIZPpkOSWgbT5ug/edit?usp=sharing"",""ศรีสะเกษ!M325"")+IMPORTRANGE(""https://doc"&amp;"s.google.com/spreadsheets/d/17P34_Ow5kFBfdQD0qspb2UuPX5zpi6WMrQzslghyvrI/edit?usp=sharing"",""สกลนคร!M325"")+IMPORTRANGE(""https://docs.google.com/spreadsheets/d/1yswqbM3-AEpThF3ZSUa1AcmHnmRTF1vlJ1CZGcJ8YuU/edit?usp=sharing"",""สุรินทร์!M325"")+IMPORTRANG"&amp;"E(""https://docs.google.com/spreadsheets/d/13JHU_EFbsQOUQ0JSQ3dWy1VTRosIWcDq6Nc99z2qzdc/edit?usp=sharing"",""หนองคาย!M325"")+IMPORTRANGE(""https://docs.google.com/spreadsheets/d/1Hx73zIEgVdDZZaYSTc46Dqv64atFhpr3GelxLbaIN8A/edit?usp=sharing"",""หนองบัวลำภู"&amp;"!M325"")+IMPORTRANGE(""https://docs.google.com/spreadsheets/d/1lFxr3ctmjFN90yc-xV6jrQ9Ty8BKYVBWnAZ15wcNIJc/edit?usp=sharing"",""อำนาจเจริญ!M325"")+IMPORTRANGE(""https://docs.google.com/spreadsheets/d/1gF7RJpRnL-1oyjyeWxs5SFWEH7y8ahOZsQlyp2A2e-A/edit?usp=s"&amp;"haring"",""อุดรธานี!M325"")+IMPORTRANGE(""https://docs.google.com/spreadsheets/d/1kfLP0j3INXRa8bTDpcEmoWewMBV61jlFlfzczfjWIgc/edit?usp=sharing"",""อุบลราชธานี!M325"")"),50000)</f>
        <v>50000</v>
      </c>
      <c r="N325" s="56">
        <f ca="1">IFERROR(__xludf.DUMMYFUNCTION("IMPORTRANGE(""https://docs.google.com/spreadsheets/d/1yhBcrRPreicbMKl9Bu_Snb2-OcQAF62RKfhTLhJ2eAA/edit?usp=sharing"",""กาฬสินธุ์!N325"")+IMPORTRANGE(""https://docs.google.com/spreadsheets/d/1aHkj4IaQMThhwWwevcOymEh837vdxeC_PycurhTbGFA/edit?usp=sharing"","&amp;"""ขอนแก่น!N325"")+IMPORTRANGE(""https://docs.google.com/spreadsheets/d/1FvTu2DsIWUjP6WCWra38Bkj_oOl_sOMf14r5Fg5srxU/edit?usp=sharing"",""ชัยภูมิ!N325"")+IMPORTRANGE(""https://docs.google.com/spreadsheets/d/1XVB7oCJ3pr-vBUdflwPQ8Z2LlzhnCvZaaYjAfP-647E/edit"&amp;"?usp=sharing"",""นครพนม!N325"")+IMPORTRANGE(""https://docs.google.com/spreadsheets/d/1Mnpb-8PYAgn85W6KOTD40hc_Xc55CaLfHoGAbrZ8tls/edit?usp=sharing"",""นครราชสีมา!N325"")+IMPORTRANGE(""https://docs.google.com/spreadsheets/d/1xoDLGBv9CYbyosIhki0kTq6IpYNj-gp"&amp;"jxfobnaDiut0/edit?usp=sharing"",""บึงกาฬ!N325"")+IMPORTRANGE(""https://docs.google.com/spreadsheets/d/1MMPq-JyI6DSgQETxuSiXkesP-P7JHuemnE6QJIa-Nlw/edit?usp=sharing"",""บุรีรัมย์!N325"")+IMPORTRANGE(""https://docs.google.com/spreadsheets/d/1l6IZ8xUPgMrESzc"&amp;"TYwhA1k_tPjeQjJPTqlm8Gd9eU5g/edit?usp=sharing"",""มหาสารคาม!N325"")+IMPORTRANGE(""https://docs.google.com/spreadsheets/d/1uB74YLqNjWX6FObjekfB2NtSYigTQyR2rq9u4Ub2Sq4/edit?usp=sharing"",""มุกดาหาร!N325"")+IMPORTRANGE(""https://docs.google.com/spreadsheets/"&amp;"d/1NexK3geCPxCTO1fzNF8dPec7yZyUx3OaWkFBC9HsQOo/edit?usp=sharing"",""ยโสธร!N325"")+IMPORTRANGE(""https://docs.google.com/spreadsheets/d/1v_cJrbBlyqmnHPReHk44g9NrMRdENNlSy_E_c5M9fIg/edit?usp=sharing"",""ร้อยเอ็ด!N325"")+IMPORTRANGE(""https://docs.google.com"&amp;"/spreadsheets/d/1Ul4RCpCX66NxYADU1QpwAPjOmBzW64SsT11s1wzXw_c/edit?usp=sharing"",""เลย!N325"")+IMPORTRANGE(""https://docs.google.com/spreadsheets/d/1bRrNKwbHDVktQG10isr5vbWRtt5spIZPpkOSWgbT5ug/edit?usp=sharing"",""ศรีสะเกษ!N325"")+IMPORTRANGE(""https://doc"&amp;"s.google.com/spreadsheets/d/17P34_Ow5kFBfdQD0qspb2UuPX5zpi6WMrQzslghyvrI/edit?usp=sharing"",""สกลนคร!N325"")+IMPORTRANGE(""https://docs.google.com/spreadsheets/d/1yswqbM3-AEpThF3ZSUa1AcmHnmRTF1vlJ1CZGcJ8YuU/edit?usp=sharing"",""สุรินทร์!N325"")+IMPORTRANG"&amp;"E(""https://docs.google.com/spreadsheets/d/13JHU_EFbsQOUQ0JSQ3dWy1VTRosIWcDq6Nc99z2qzdc/edit?usp=sharing"",""หนองคาย!N325"")+IMPORTRANGE(""https://docs.google.com/spreadsheets/d/1Hx73zIEgVdDZZaYSTc46Dqv64atFhpr3GelxLbaIN8A/edit?usp=sharing"",""หนองบัวลำภู"&amp;"!N325"")+IMPORTRANGE(""https://docs.google.com/spreadsheets/d/1lFxr3ctmjFN90yc-xV6jrQ9Ty8BKYVBWnAZ15wcNIJc/edit?usp=sharing"",""อำนาจเจริญ!N325"")+IMPORTRANGE(""https://docs.google.com/spreadsheets/d/1gF7RJpRnL-1oyjyeWxs5SFWEH7y8ahOZsQlyp2A2e-A/edit?usp=s"&amp;"haring"",""อุดรธานี!N325"")+IMPORTRANGE(""https://docs.google.com/spreadsheets/d/1kfLP0j3INXRa8bTDpcEmoWewMBV61jlFlfzczfjWIgc/edit?usp=sharing"",""อุบลราชธานี!N325"")"),6900)</f>
        <v>6900</v>
      </c>
      <c r="O325" s="56">
        <f t="shared" ca="1" si="239"/>
        <v>13.8</v>
      </c>
      <c r="P325" s="56">
        <f t="shared" ca="1" si="240"/>
        <v>13.8</v>
      </c>
      <c r="Q325" s="56">
        <f ca="1">IFERROR(__xludf.DUMMYFUNCTION("IMPORTRANGE(""https://docs.google.com/spreadsheets/d/1yhBcrRPreicbMKl9Bu_Snb2-OcQAF62RKfhTLhJ2eAA/edit?usp=sharing"",""กาฬสินธุ์!Q325"")+IMPORTRANGE(""https://docs.google.com/spreadsheets/d/1aHkj4IaQMThhwWwevcOymEh837vdxeC_PycurhTbGFA/edit?usp=sharing"","&amp;"""ขอนแก่น!Q325"")+IMPORTRANGE(""https://docs.google.com/spreadsheets/d/1FvTu2DsIWUjP6WCWra38Bkj_oOl_sOMf14r5Fg5srxU/edit?usp=sharing"",""ชัยภูมิ!Q325"")+IMPORTRANGE(""https://docs.google.com/spreadsheets/d/1XVB7oCJ3pr-vBUdflwPQ8Z2LlzhnCvZaaYjAfP-647E/edit"&amp;"?usp=sharing"",""นครพนม!Q325"")+IMPORTRANGE(""https://docs.google.com/spreadsheets/d/1Mnpb-8PYAgn85W6KOTD40hc_Xc55CaLfHoGAbrZ8tls/edit?usp=sharing"",""นครราชสีมา!Q325"")+IMPORTRANGE(""https://docs.google.com/spreadsheets/d/1xoDLGBv9CYbyosIhki0kTq6IpYNj-gp"&amp;"jxfobnaDiut0/edit?usp=sharing"",""บึงกาฬ!Q325"")+IMPORTRANGE(""https://docs.google.com/spreadsheets/d/1MMPq-JyI6DSgQETxuSiXkesP-P7JHuemnE6QJIa-Nlw/edit?usp=sharing"",""บุรีรัมย์!Q325"")+IMPORTRANGE(""https://docs.google.com/spreadsheets/d/1l6IZ8xUPgMrESzc"&amp;"TYwhA1k_tPjeQjJPTqlm8Gd9eU5g/edit?usp=sharing"",""มหาสารคาม!Q325"")+IMPORTRANGE(""https://docs.google.com/spreadsheets/d/1uB74YLqNjWX6FObjekfB2NtSYigTQyR2rq9u4Ub2Sq4/edit?usp=sharing"",""มุกดาหาร!Q325"")+IMPORTRANGE(""https://docs.google.com/spreadsheets/"&amp;"d/1NexK3geCPxCTO1fzNF8dPec7yZyUx3OaWkFBC9HsQOo/edit?usp=sharing"",""ยโสธร!Q325"")+IMPORTRANGE(""https://docs.google.com/spreadsheets/d/1v_cJrbBlyqmnHPReHk44g9NrMRdENNlSy_E_c5M9fIg/edit?usp=sharing"",""ร้อยเอ็ด!Q325"")+IMPORTRANGE(""https://docs.google.com"&amp;"/spreadsheets/d/1Ul4RCpCX66NxYADU1QpwAPjOmBzW64SsT11s1wzXw_c/edit?usp=sharing"",""เลย!Q325"")+IMPORTRANGE(""https://docs.google.com/spreadsheets/d/1bRrNKwbHDVktQG10isr5vbWRtt5spIZPpkOSWgbT5ug/edit?usp=sharing"",""ศรีสะเกษ!Q325"")+IMPORTRANGE(""https://doc"&amp;"s.google.com/spreadsheets/d/17P34_Ow5kFBfdQD0qspb2UuPX5zpi6WMrQzslghyvrI/edit?usp=sharing"",""สกลนคร!Q325"")+IMPORTRANGE(""https://docs.google.com/spreadsheets/d/1yswqbM3-AEpThF3ZSUa1AcmHnmRTF1vlJ1CZGcJ8YuU/edit?usp=sharing"",""สุรินทร์!Q325"")+IMPORTRANG"&amp;"E(""https://docs.google.com/spreadsheets/d/13JHU_EFbsQOUQ0JSQ3dWy1VTRosIWcDq6Nc99z2qzdc/edit?usp=sharing"",""หนองคาย!Q325"")+IMPORTRANGE(""https://docs.google.com/spreadsheets/d/1Hx73zIEgVdDZZaYSTc46Dqv64atFhpr3GelxLbaIN8A/edit?usp=sharing"",""หนองบัวลำภู"&amp;"!Q325"")+IMPORTRANGE(""https://docs.google.com/spreadsheets/d/1lFxr3ctmjFN90yc-xV6jrQ9Ty8BKYVBWnAZ15wcNIJc/edit?usp=sharing"",""อำนาจเจริญ!Q325"")+IMPORTRANGE(""https://docs.google.com/spreadsheets/d/1gF7RJpRnL-1oyjyeWxs5SFWEH7y8ahOZsQlyp2A2e-A/edit?usp=s"&amp;"haring"",""อุดรธานี!Q325"")+IMPORTRANGE(""https://docs.google.com/spreadsheets/d/1kfLP0j3INXRa8bTDpcEmoWewMBV61jlFlfzczfjWIgc/edit?usp=sharing"",""อุบลราชธานี!Q325"")"),0)</f>
        <v>0</v>
      </c>
      <c r="R325" s="56">
        <f ca="1">IFERROR(__xludf.DUMMYFUNCTION("IMPORTRANGE(""https://docs.google.com/spreadsheets/d/1yhBcrRPreicbMKl9Bu_Snb2-OcQAF62RKfhTLhJ2eAA/edit?usp=sharing"",""กาฬสินธุ์!R325"")+IMPORTRANGE(""https://docs.google.com/spreadsheets/d/1aHkj4IaQMThhwWwevcOymEh837vdxeC_PycurhTbGFA/edit?usp=sharing"","&amp;"""ขอนแก่น!R325"")+IMPORTRANGE(""https://docs.google.com/spreadsheets/d/1FvTu2DsIWUjP6WCWra38Bkj_oOl_sOMf14r5Fg5srxU/edit?usp=sharing"",""ชัยภูมิ!R325"")+IMPORTRANGE(""https://docs.google.com/spreadsheets/d/1XVB7oCJ3pr-vBUdflwPQ8Z2LlzhnCvZaaYjAfP-647E/edit"&amp;"?usp=sharing"",""นครพนม!R325"")+IMPORTRANGE(""https://docs.google.com/spreadsheets/d/1Mnpb-8PYAgn85W6KOTD40hc_Xc55CaLfHoGAbrZ8tls/edit?usp=sharing"",""นครราชสีมา!R325"")+IMPORTRANGE(""https://docs.google.com/spreadsheets/d/1xoDLGBv9CYbyosIhki0kTq6IpYNj-gp"&amp;"jxfobnaDiut0/edit?usp=sharing"",""บึงกาฬ!R325"")+IMPORTRANGE(""https://docs.google.com/spreadsheets/d/1MMPq-JyI6DSgQETxuSiXkesP-P7JHuemnE6QJIa-Nlw/edit?usp=sharing"",""บุรีรัมย์!R325"")+IMPORTRANGE(""https://docs.google.com/spreadsheets/d/1l6IZ8xUPgMrESzc"&amp;"TYwhA1k_tPjeQjJPTqlm8Gd9eU5g/edit?usp=sharing"",""มหาสารคาม!R325"")+IMPORTRANGE(""https://docs.google.com/spreadsheets/d/1uB74YLqNjWX6FObjekfB2NtSYigTQyR2rq9u4Ub2Sq4/edit?usp=sharing"",""มุกดาหาร!R325"")+IMPORTRANGE(""https://docs.google.com/spreadsheets/"&amp;"d/1NexK3geCPxCTO1fzNF8dPec7yZyUx3OaWkFBC9HsQOo/edit?usp=sharing"",""ยโสธร!R325"")+IMPORTRANGE(""https://docs.google.com/spreadsheets/d/1v_cJrbBlyqmnHPReHk44g9NrMRdENNlSy_E_c5M9fIg/edit?usp=sharing"",""ร้อยเอ็ด!R325"")+IMPORTRANGE(""https://docs.google.com"&amp;"/spreadsheets/d/1Ul4RCpCX66NxYADU1QpwAPjOmBzW64SsT11s1wzXw_c/edit?usp=sharing"",""เลย!R325"")+IMPORTRANGE(""https://docs.google.com/spreadsheets/d/1bRrNKwbHDVktQG10isr5vbWRtt5spIZPpkOSWgbT5ug/edit?usp=sharing"",""ศรีสะเกษ!R325"")+IMPORTRANGE(""https://doc"&amp;"s.google.com/spreadsheets/d/17P34_Ow5kFBfdQD0qspb2UuPX5zpi6WMrQzslghyvrI/edit?usp=sharing"",""สกลนคร!R325"")+IMPORTRANGE(""https://docs.google.com/spreadsheets/d/1yswqbM3-AEpThF3ZSUa1AcmHnmRTF1vlJ1CZGcJ8YuU/edit?usp=sharing"",""สุรินทร์!R325"")+IMPORTRANG"&amp;"E(""https://docs.google.com/spreadsheets/d/13JHU_EFbsQOUQ0JSQ3dWy1VTRosIWcDq6Nc99z2qzdc/edit?usp=sharing"",""หนองคาย!R325"")+IMPORTRANGE(""https://docs.google.com/spreadsheets/d/1Hx73zIEgVdDZZaYSTc46Dqv64atFhpr3GelxLbaIN8A/edit?usp=sharing"",""หนองบัวลำภู"&amp;"!R325"")+IMPORTRANGE(""https://docs.google.com/spreadsheets/d/1lFxr3ctmjFN90yc-xV6jrQ9Ty8BKYVBWnAZ15wcNIJc/edit?usp=sharing"",""อำนาจเจริญ!R325"")+IMPORTRANGE(""https://docs.google.com/spreadsheets/d/1gF7RJpRnL-1oyjyeWxs5SFWEH7y8ahOZsQlyp2A2e-A/edit?usp=s"&amp;"haring"",""อุดรธานี!R325"")+IMPORTRANGE(""https://docs.google.com/spreadsheets/d/1kfLP0j3INXRa8bTDpcEmoWewMBV61jlFlfzczfjWIgc/edit?usp=sharing"",""อุบลราชธานี!R325"")"),0)</f>
        <v>0</v>
      </c>
      <c r="S325" s="57">
        <f ca="1">IFERROR(__xludf.DUMMYFUNCTION("IMPORTRANGE(""https://docs.google.com/spreadsheets/d/1yhBcrRPreicbMKl9Bu_Snb2-OcQAF62RKfhTLhJ2eAA/edit?usp=sharing"",""กาฬสินธุ์!S325"")+IMPORTRANGE(""https://docs.google.com/spreadsheets/d/1aHkj4IaQMThhwWwevcOymEh837vdxeC_PycurhTbGFA/edit?usp=sharing"","&amp;"""ขอนแก่น!S325"")+IMPORTRANGE(""https://docs.google.com/spreadsheets/d/1FvTu2DsIWUjP6WCWra38Bkj_oOl_sOMf14r5Fg5srxU/edit?usp=sharing"",""ชัยภูมิ!S325"")+IMPORTRANGE(""https://docs.google.com/spreadsheets/d/1XVB7oCJ3pr-vBUdflwPQ8Z2LlzhnCvZaaYjAfP-647E/edit"&amp;"?usp=sharing"",""นครพนม!S325"")+IMPORTRANGE(""https://docs.google.com/spreadsheets/d/1Mnpb-8PYAgn85W6KOTD40hc_Xc55CaLfHoGAbrZ8tls/edit?usp=sharing"",""นครราชสีมา!S325"")+IMPORTRANGE(""https://docs.google.com/spreadsheets/d/1xoDLGBv9CYbyosIhki0kTq6IpYNj-gp"&amp;"jxfobnaDiut0/edit?usp=sharing"",""บึงกาฬ!S325"")+IMPORTRANGE(""https://docs.google.com/spreadsheets/d/1MMPq-JyI6DSgQETxuSiXkesP-P7JHuemnE6QJIa-Nlw/edit?usp=sharing"",""บุรีรัมย์!S325"")+IMPORTRANGE(""https://docs.google.com/spreadsheets/d/1l6IZ8xUPgMrESzc"&amp;"TYwhA1k_tPjeQjJPTqlm8Gd9eU5g/edit?usp=sharing"",""มหาสารคาม!S325"")+IMPORTRANGE(""https://docs.google.com/spreadsheets/d/1uB74YLqNjWX6FObjekfB2NtSYigTQyR2rq9u4Ub2Sq4/edit?usp=sharing"",""มุกดาหาร!S325"")+IMPORTRANGE(""https://docs.google.com/spreadsheets/"&amp;"d/1NexK3geCPxCTO1fzNF8dPec7yZyUx3OaWkFBC9HsQOo/edit?usp=sharing"",""ยโสธร!S325"")+IMPORTRANGE(""https://docs.google.com/spreadsheets/d/1v_cJrbBlyqmnHPReHk44g9NrMRdENNlSy_E_c5M9fIg/edit?usp=sharing"",""ร้อยเอ็ด!S325"")+IMPORTRANGE(""https://docs.google.com"&amp;"/spreadsheets/d/1Ul4RCpCX66NxYADU1QpwAPjOmBzW64SsT11s1wzXw_c/edit?usp=sharing"",""เลย!S325"")+IMPORTRANGE(""https://docs.google.com/spreadsheets/d/1bRrNKwbHDVktQG10isr5vbWRtt5spIZPpkOSWgbT5ug/edit?usp=sharing"",""ศรีสะเกษ!S325"")+IMPORTRANGE(""https://doc"&amp;"s.google.com/spreadsheets/d/17P34_Ow5kFBfdQD0qspb2UuPX5zpi6WMrQzslghyvrI/edit?usp=sharing"",""สกลนคร!S325"")+IMPORTRANGE(""https://docs.google.com/spreadsheets/d/1yswqbM3-AEpThF3ZSUa1AcmHnmRTF1vlJ1CZGcJ8YuU/edit?usp=sharing"",""สุรินทร์!S325"")+IMPORTRANG"&amp;"E(""https://docs.google.com/spreadsheets/d/13JHU_EFbsQOUQ0JSQ3dWy1VTRosIWcDq6Nc99z2qzdc/edit?usp=sharing"",""หนองคาย!S325"")+IMPORTRANGE(""https://docs.google.com/spreadsheets/d/1Hx73zIEgVdDZZaYSTc46Dqv64atFhpr3GelxLbaIN8A/edit?usp=sharing"",""หนองบัวลำภู"&amp;"!S325"")+IMPORTRANGE(""https://docs.google.com/spreadsheets/d/1lFxr3ctmjFN90yc-xV6jrQ9Ty8BKYVBWnAZ15wcNIJc/edit?usp=sharing"",""อำนาจเจริญ!S325"")+IMPORTRANGE(""https://docs.google.com/spreadsheets/d/1gF7RJpRnL-1oyjyeWxs5SFWEH7y8ahOZsQlyp2A2e-A/edit?usp=s"&amp;"haring"",""อุดรธานี!S325"")+IMPORTRANGE(""https://docs.google.com/spreadsheets/d/1kfLP0j3INXRa8bTDpcEmoWewMBV61jlFlfzczfjWIgc/edit?usp=sharing"",""อุบลราชธานี!S325"")"),0)</f>
        <v>0</v>
      </c>
      <c r="T325" s="56">
        <f t="shared" ca="1" si="242"/>
        <v>0</v>
      </c>
      <c r="U325" s="56">
        <f t="shared" ca="1" si="243"/>
        <v>0</v>
      </c>
    </row>
    <row r="326" spans="1:21" ht="18.75">
      <c r="A326" s="155"/>
      <c r="B326" s="50"/>
      <c r="C326" s="50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56">
        <f t="shared" ref="L326:N326" ca="1" si="250">L327+L328</f>
        <v>0</v>
      </c>
      <c r="M326" s="56">
        <f t="shared" ca="1" si="250"/>
        <v>0</v>
      </c>
      <c r="N326" s="56">
        <f t="shared" ca="1" si="250"/>
        <v>0</v>
      </c>
      <c r="O326" s="56">
        <f t="shared" ca="1" si="239"/>
        <v>0</v>
      </c>
      <c r="P326" s="56">
        <f t="shared" ca="1" si="240"/>
        <v>0</v>
      </c>
      <c r="Q326" s="56">
        <f t="shared" ref="Q326:S326" ca="1" si="251">Q327+Q328</f>
        <v>0</v>
      </c>
      <c r="R326" s="56">
        <f t="shared" ca="1" si="251"/>
        <v>0</v>
      </c>
      <c r="S326" s="57">
        <f t="shared" ca="1" si="251"/>
        <v>0</v>
      </c>
      <c r="T326" s="56">
        <f t="shared" ca="1" si="242"/>
        <v>0</v>
      </c>
      <c r="U326" s="56">
        <f t="shared" ca="1" si="243"/>
        <v>0</v>
      </c>
    </row>
    <row r="327" spans="1:21" ht="18.75">
      <c r="A327" s="155"/>
      <c r="B327" s="50"/>
      <c r="C327" s="50"/>
      <c r="D327" s="50"/>
      <c r="E327" s="58" t="s">
        <v>20</v>
      </c>
      <c r="F327" s="50"/>
      <c r="G327" s="52"/>
      <c r="H327" s="162" t="s">
        <v>14</v>
      </c>
      <c r="I327" s="163"/>
      <c r="J327" s="163"/>
      <c r="K327" s="164"/>
      <c r="L327" s="56">
        <f ca="1">IFERROR(__xludf.DUMMYFUNCTION("IMPORTRANGE(""https://docs.google.com/spreadsheets/d/1yhBcrRPreicbMKl9Bu_Snb2-OcQAF62RKfhTLhJ2eAA/edit?usp=sharing"",""กาฬสินธุ์!L327"")+IMPORTRANGE(""https://docs.google.com/spreadsheets/d/1aHkj4IaQMThhwWwevcOymEh837vdxeC_PycurhTbGFA/edit?usp=sharing"","&amp;"""ขอนแก่น!L327"")+IMPORTRANGE(""https://docs.google.com/spreadsheets/d/1FvTu2DsIWUjP6WCWra38Bkj_oOl_sOMf14r5Fg5srxU/edit?usp=sharing"",""ชัยภูมิ!L327"")+IMPORTRANGE(""https://docs.google.com/spreadsheets/d/1XVB7oCJ3pr-vBUdflwPQ8Z2LlzhnCvZaaYjAfP-647E/edit"&amp;"?usp=sharing"",""นครพนม!L327"")+IMPORTRANGE(""https://docs.google.com/spreadsheets/d/1Mnpb-8PYAgn85W6KOTD40hc_Xc55CaLfHoGAbrZ8tls/edit?usp=sharing"",""นครราชสีมา!L327"")+IMPORTRANGE(""https://docs.google.com/spreadsheets/d/1xoDLGBv9CYbyosIhki0kTq6IpYNj-gp"&amp;"jxfobnaDiut0/edit?usp=sharing"",""บึงกาฬ!L327"")+IMPORTRANGE(""https://docs.google.com/spreadsheets/d/1MMPq-JyI6DSgQETxuSiXkesP-P7JHuemnE6QJIa-Nlw/edit?usp=sharing"",""บุรีรัมย์!L327"")+IMPORTRANGE(""https://docs.google.com/spreadsheets/d/1l6IZ8xUPgMrESzc"&amp;"TYwhA1k_tPjeQjJPTqlm8Gd9eU5g/edit?usp=sharing"",""มหาสารคาม!L327"")+IMPORTRANGE(""https://docs.google.com/spreadsheets/d/1uB74YLqNjWX6FObjekfB2NtSYigTQyR2rq9u4Ub2Sq4/edit?usp=sharing"",""มุกดาหาร!L327"")+IMPORTRANGE(""https://docs.google.com/spreadsheets/"&amp;"d/1NexK3geCPxCTO1fzNF8dPec7yZyUx3OaWkFBC9HsQOo/edit?usp=sharing"",""ยโสธร!L327"")+IMPORTRANGE(""https://docs.google.com/spreadsheets/d/1v_cJrbBlyqmnHPReHk44g9NrMRdENNlSy_E_c5M9fIg/edit?usp=sharing"",""ร้อยเอ็ด!L327"")+IMPORTRANGE(""https://docs.google.com"&amp;"/spreadsheets/d/1Ul4RCpCX66NxYADU1QpwAPjOmBzW64SsT11s1wzXw_c/edit?usp=sharing"",""เลย!L327"")+IMPORTRANGE(""https://docs.google.com/spreadsheets/d/1bRrNKwbHDVktQG10isr5vbWRtt5spIZPpkOSWgbT5ug/edit?usp=sharing"",""ศรีสะเกษ!L327"")+IMPORTRANGE(""https://doc"&amp;"s.google.com/spreadsheets/d/17P34_Ow5kFBfdQD0qspb2UuPX5zpi6WMrQzslghyvrI/edit?usp=sharing"",""สกลนคร!L327"")+IMPORTRANGE(""https://docs.google.com/spreadsheets/d/1yswqbM3-AEpThF3ZSUa1AcmHnmRTF1vlJ1CZGcJ8YuU/edit?usp=sharing"",""สุรินทร์!L327"")+IMPORTRANG"&amp;"E(""https://docs.google.com/spreadsheets/d/13JHU_EFbsQOUQ0JSQ3dWy1VTRosIWcDq6Nc99z2qzdc/edit?usp=sharing"",""หนองคาย!L327"")+IMPORTRANGE(""https://docs.google.com/spreadsheets/d/1Hx73zIEgVdDZZaYSTc46Dqv64atFhpr3GelxLbaIN8A/edit?usp=sharing"",""หนองบัวลำภู"&amp;"!L327"")+IMPORTRANGE(""https://docs.google.com/spreadsheets/d/1lFxr3ctmjFN90yc-xV6jrQ9Ty8BKYVBWnAZ15wcNIJc/edit?usp=sharing"",""อำนาจเจริญ!L327"")+IMPORTRANGE(""https://docs.google.com/spreadsheets/d/1gF7RJpRnL-1oyjyeWxs5SFWEH7y8ahOZsQlyp2A2e-A/edit?usp=s"&amp;"haring"",""อุดรธานี!L327"")+IMPORTRANGE(""https://docs.google.com/spreadsheets/d/1kfLP0j3INXRa8bTDpcEmoWewMBV61jlFlfzczfjWIgc/edit?usp=sharing"",""อุบลราชธานี!L327"")"),0)</f>
        <v>0</v>
      </c>
      <c r="M327" s="56">
        <f ca="1">IFERROR(__xludf.DUMMYFUNCTION("IMPORTRANGE(""https://docs.google.com/spreadsheets/d/1yhBcrRPreicbMKl9Bu_Snb2-OcQAF62RKfhTLhJ2eAA/edit?usp=sharing"",""กาฬสินธุ์!M327"")+IMPORTRANGE(""https://docs.google.com/spreadsheets/d/1aHkj4IaQMThhwWwevcOymEh837vdxeC_PycurhTbGFA/edit?usp=sharing"","&amp;"""ขอนแก่น!M327"")+IMPORTRANGE(""https://docs.google.com/spreadsheets/d/1FvTu2DsIWUjP6WCWra38Bkj_oOl_sOMf14r5Fg5srxU/edit?usp=sharing"",""ชัยภูมิ!M327"")+IMPORTRANGE(""https://docs.google.com/spreadsheets/d/1XVB7oCJ3pr-vBUdflwPQ8Z2LlzhnCvZaaYjAfP-647E/edit"&amp;"?usp=sharing"",""นครพนม!M327"")+IMPORTRANGE(""https://docs.google.com/spreadsheets/d/1Mnpb-8PYAgn85W6KOTD40hc_Xc55CaLfHoGAbrZ8tls/edit?usp=sharing"",""นครราชสีมา!M327"")+IMPORTRANGE(""https://docs.google.com/spreadsheets/d/1xoDLGBv9CYbyosIhki0kTq6IpYNj-gp"&amp;"jxfobnaDiut0/edit?usp=sharing"",""บึงกาฬ!M327"")+IMPORTRANGE(""https://docs.google.com/spreadsheets/d/1MMPq-JyI6DSgQETxuSiXkesP-P7JHuemnE6QJIa-Nlw/edit?usp=sharing"",""บุรีรัมย์!M327"")+IMPORTRANGE(""https://docs.google.com/spreadsheets/d/1l6IZ8xUPgMrESzc"&amp;"TYwhA1k_tPjeQjJPTqlm8Gd9eU5g/edit?usp=sharing"",""มหาสารคาม!M327"")+IMPORTRANGE(""https://docs.google.com/spreadsheets/d/1uB74YLqNjWX6FObjekfB2NtSYigTQyR2rq9u4Ub2Sq4/edit?usp=sharing"",""มุกดาหาร!M327"")+IMPORTRANGE(""https://docs.google.com/spreadsheets/"&amp;"d/1NexK3geCPxCTO1fzNF8dPec7yZyUx3OaWkFBC9HsQOo/edit?usp=sharing"",""ยโสธร!M327"")+IMPORTRANGE(""https://docs.google.com/spreadsheets/d/1v_cJrbBlyqmnHPReHk44g9NrMRdENNlSy_E_c5M9fIg/edit?usp=sharing"",""ร้อยเอ็ด!M327"")+IMPORTRANGE(""https://docs.google.com"&amp;"/spreadsheets/d/1Ul4RCpCX66NxYADU1QpwAPjOmBzW64SsT11s1wzXw_c/edit?usp=sharing"",""เลย!M327"")+IMPORTRANGE(""https://docs.google.com/spreadsheets/d/1bRrNKwbHDVktQG10isr5vbWRtt5spIZPpkOSWgbT5ug/edit?usp=sharing"",""ศรีสะเกษ!M327"")+IMPORTRANGE(""https://doc"&amp;"s.google.com/spreadsheets/d/17P34_Ow5kFBfdQD0qspb2UuPX5zpi6WMrQzslghyvrI/edit?usp=sharing"",""สกลนคร!M327"")+IMPORTRANGE(""https://docs.google.com/spreadsheets/d/1yswqbM3-AEpThF3ZSUa1AcmHnmRTF1vlJ1CZGcJ8YuU/edit?usp=sharing"",""สุรินทร์!M327"")+IMPORTRANG"&amp;"E(""https://docs.google.com/spreadsheets/d/13JHU_EFbsQOUQ0JSQ3dWy1VTRosIWcDq6Nc99z2qzdc/edit?usp=sharing"",""หนองคาย!M327"")+IMPORTRANGE(""https://docs.google.com/spreadsheets/d/1Hx73zIEgVdDZZaYSTc46Dqv64atFhpr3GelxLbaIN8A/edit?usp=sharing"",""หนองบัวลำภู"&amp;"!M327"")+IMPORTRANGE(""https://docs.google.com/spreadsheets/d/1lFxr3ctmjFN90yc-xV6jrQ9Ty8BKYVBWnAZ15wcNIJc/edit?usp=sharing"",""อำนาจเจริญ!M327"")+IMPORTRANGE(""https://docs.google.com/spreadsheets/d/1gF7RJpRnL-1oyjyeWxs5SFWEH7y8ahOZsQlyp2A2e-A/edit?usp=s"&amp;"haring"",""อุดรธานี!M327"")+IMPORTRANGE(""https://docs.google.com/spreadsheets/d/1kfLP0j3INXRa8bTDpcEmoWewMBV61jlFlfzczfjWIgc/edit?usp=sharing"",""อุบลราชธานี!M327"")"),0)</f>
        <v>0</v>
      </c>
      <c r="N327" s="56">
        <f ca="1">IFERROR(__xludf.DUMMYFUNCTION("IMPORTRANGE(""https://docs.google.com/spreadsheets/d/1yhBcrRPreicbMKl9Bu_Snb2-OcQAF62RKfhTLhJ2eAA/edit?usp=sharing"",""กาฬสินธุ์!N327"")+IMPORTRANGE(""https://docs.google.com/spreadsheets/d/1aHkj4IaQMThhwWwevcOymEh837vdxeC_PycurhTbGFA/edit?usp=sharing"","&amp;"""ขอนแก่น!N327"")+IMPORTRANGE(""https://docs.google.com/spreadsheets/d/1FvTu2DsIWUjP6WCWra38Bkj_oOl_sOMf14r5Fg5srxU/edit?usp=sharing"",""ชัยภูมิ!N327"")+IMPORTRANGE(""https://docs.google.com/spreadsheets/d/1XVB7oCJ3pr-vBUdflwPQ8Z2LlzhnCvZaaYjAfP-647E/edit"&amp;"?usp=sharing"",""นครพนม!N327"")+IMPORTRANGE(""https://docs.google.com/spreadsheets/d/1Mnpb-8PYAgn85W6KOTD40hc_Xc55CaLfHoGAbrZ8tls/edit?usp=sharing"",""นครราชสีมา!N327"")+IMPORTRANGE(""https://docs.google.com/spreadsheets/d/1xoDLGBv9CYbyosIhki0kTq6IpYNj-gp"&amp;"jxfobnaDiut0/edit?usp=sharing"",""บึงกาฬ!N327"")+IMPORTRANGE(""https://docs.google.com/spreadsheets/d/1MMPq-JyI6DSgQETxuSiXkesP-P7JHuemnE6QJIa-Nlw/edit?usp=sharing"",""บุรีรัมย์!N327"")+IMPORTRANGE(""https://docs.google.com/spreadsheets/d/1l6IZ8xUPgMrESzc"&amp;"TYwhA1k_tPjeQjJPTqlm8Gd9eU5g/edit?usp=sharing"",""มหาสารคาม!N327"")+IMPORTRANGE(""https://docs.google.com/spreadsheets/d/1uB74YLqNjWX6FObjekfB2NtSYigTQyR2rq9u4Ub2Sq4/edit?usp=sharing"",""มุกดาหาร!N327"")+IMPORTRANGE(""https://docs.google.com/spreadsheets/"&amp;"d/1NexK3geCPxCTO1fzNF8dPec7yZyUx3OaWkFBC9HsQOo/edit?usp=sharing"",""ยโสธร!N327"")+IMPORTRANGE(""https://docs.google.com/spreadsheets/d/1v_cJrbBlyqmnHPReHk44g9NrMRdENNlSy_E_c5M9fIg/edit?usp=sharing"",""ร้อยเอ็ด!N327"")+IMPORTRANGE(""https://docs.google.com"&amp;"/spreadsheets/d/1Ul4RCpCX66NxYADU1QpwAPjOmBzW64SsT11s1wzXw_c/edit?usp=sharing"",""เลย!N327"")+IMPORTRANGE(""https://docs.google.com/spreadsheets/d/1bRrNKwbHDVktQG10isr5vbWRtt5spIZPpkOSWgbT5ug/edit?usp=sharing"",""ศรีสะเกษ!N327"")+IMPORTRANGE(""https://doc"&amp;"s.google.com/spreadsheets/d/17P34_Ow5kFBfdQD0qspb2UuPX5zpi6WMrQzslghyvrI/edit?usp=sharing"",""สกลนคร!N327"")+IMPORTRANGE(""https://docs.google.com/spreadsheets/d/1yswqbM3-AEpThF3ZSUa1AcmHnmRTF1vlJ1CZGcJ8YuU/edit?usp=sharing"",""สุรินทร์!N327"")+IMPORTRANG"&amp;"E(""https://docs.google.com/spreadsheets/d/13JHU_EFbsQOUQ0JSQ3dWy1VTRosIWcDq6Nc99z2qzdc/edit?usp=sharing"",""หนองคาย!N327"")+IMPORTRANGE(""https://docs.google.com/spreadsheets/d/1Hx73zIEgVdDZZaYSTc46Dqv64atFhpr3GelxLbaIN8A/edit?usp=sharing"",""หนองบัวลำภู"&amp;"!N327"")+IMPORTRANGE(""https://docs.google.com/spreadsheets/d/1lFxr3ctmjFN90yc-xV6jrQ9Ty8BKYVBWnAZ15wcNIJc/edit?usp=sharing"",""อำนาจเจริญ!N327"")+IMPORTRANGE(""https://docs.google.com/spreadsheets/d/1gF7RJpRnL-1oyjyeWxs5SFWEH7y8ahOZsQlyp2A2e-A/edit?usp=s"&amp;"haring"",""อุดรธานี!N327"")+IMPORTRANGE(""https://docs.google.com/spreadsheets/d/1kfLP0j3INXRa8bTDpcEmoWewMBV61jlFlfzczfjWIgc/edit?usp=sharing"",""อุบลราชธานี!N327"")"),0)</f>
        <v>0</v>
      </c>
      <c r="O327" s="56">
        <f t="shared" ca="1" si="239"/>
        <v>0</v>
      </c>
      <c r="P327" s="56">
        <f t="shared" ca="1" si="240"/>
        <v>0</v>
      </c>
      <c r="Q327" s="56">
        <f ca="1">IFERROR(__xludf.DUMMYFUNCTION("IMPORTRANGE(""https://docs.google.com/spreadsheets/d/1yhBcrRPreicbMKl9Bu_Snb2-OcQAF62RKfhTLhJ2eAA/edit?usp=sharing"",""กาฬสินธุ์!Q327"")+IMPORTRANGE(""https://docs.google.com/spreadsheets/d/1aHkj4IaQMThhwWwevcOymEh837vdxeC_PycurhTbGFA/edit?usp=sharing"","&amp;"""ขอนแก่น!Q327"")+IMPORTRANGE(""https://docs.google.com/spreadsheets/d/1FvTu2DsIWUjP6WCWra38Bkj_oOl_sOMf14r5Fg5srxU/edit?usp=sharing"",""ชัยภูมิ!Q327"")+IMPORTRANGE(""https://docs.google.com/spreadsheets/d/1XVB7oCJ3pr-vBUdflwPQ8Z2LlzhnCvZaaYjAfP-647E/edit"&amp;"?usp=sharing"",""นครพนม!Q327"")+IMPORTRANGE(""https://docs.google.com/spreadsheets/d/1Mnpb-8PYAgn85W6KOTD40hc_Xc55CaLfHoGAbrZ8tls/edit?usp=sharing"",""นครราชสีมา!Q327"")+IMPORTRANGE(""https://docs.google.com/spreadsheets/d/1xoDLGBv9CYbyosIhki0kTq6IpYNj-gp"&amp;"jxfobnaDiut0/edit?usp=sharing"",""บึงกาฬ!Q327"")+IMPORTRANGE(""https://docs.google.com/spreadsheets/d/1MMPq-JyI6DSgQETxuSiXkesP-P7JHuemnE6QJIa-Nlw/edit?usp=sharing"",""บุรีรัมย์!Q327"")+IMPORTRANGE(""https://docs.google.com/spreadsheets/d/1l6IZ8xUPgMrESzc"&amp;"TYwhA1k_tPjeQjJPTqlm8Gd9eU5g/edit?usp=sharing"",""มหาสารคาม!Q327"")+IMPORTRANGE(""https://docs.google.com/spreadsheets/d/1uB74YLqNjWX6FObjekfB2NtSYigTQyR2rq9u4Ub2Sq4/edit?usp=sharing"",""มุกดาหาร!Q327"")+IMPORTRANGE(""https://docs.google.com/spreadsheets/"&amp;"d/1NexK3geCPxCTO1fzNF8dPec7yZyUx3OaWkFBC9HsQOo/edit?usp=sharing"",""ยโสธร!Q327"")+IMPORTRANGE(""https://docs.google.com/spreadsheets/d/1v_cJrbBlyqmnHPReHk44g9NrMRdENNlSy_E_c5M9fIg/edit?usp=sharing"",""ร้อยเอ็ด!Q327"")+IMPORTRANGE(""https://docs.google.com"&amp;"/spreadsheets/d/1Ul4RCpCX66NxYADU1QpwAPjOmBzW64SsT11s1wzXw_c/edit?usp=sharing"",""เลย!Q327"")+IMPORTRANGE(""https://docs.google.com/spreadsheets/d/1bRrNKwbHDVktQG10isr5vbWRtt5spIZPpkOSWgbT5ug/edit?usp=sharing"",""ศรีสะเกษ!Q327"")+IMPORTRANGE(""https://doc"&amp;"s.google.com/spreadsheets/d/17P34_Ow5kFBfdQD0qspb2UuPX5zpi6WMrQzslghyvrI/edit?usp=sharing"",""สกลนคร!Q327"")+IMPORTRANGE(""https://docs.google.com/spreadsheets/d/1yswqbM3-AEpThF3ZSUa1AcmHnmRTF1vlJ1CZGcJ8YuU/edit?usp=sharing"",""สุรินทร์!Q327"")+IMPORTRANG"&amp;"E(""https://docs.google.com/spreadsheets/d/13JHU_EFbsQOUQ0JSQ3dWy1VTRosIWcDq6Nc99z2qzdc/edit?usp=sharing"",""หนองคาย!Q327"")+IMPORTRANGE(""https://docs.google.com/spreadsheets/d/1Hx73zIEgVdDZZaYSTc46Dqv64atFhpr3GelxLbaIN8A/edit?usp=sharing"",""หนองบัวลำภู"&amp;"!Q327"")+IMPORTRANGE(""https://docs.google.com/spreadsheets/d/1lFxr3ctmjFN90yc-xV6jrQ9Ty8BKYVBWnAZ15wcNIJc/edit?usp=sharing"",""อำนาจเจริญ!Q327"")+IMPORTRANGE(""https://docs.google.com/spreadsheets/d/1gF7RJpRnL-1oyjyeWxs5SFWEH7y8ahOZsQlyp2A2e-A/edit?usp=s"&amp;"haring"",""อุดรธานี!Q327"")+IMPORTRANGE(""https://docs.google.com/spreadsheets/d/1kfLP0j3INXRa8bTDpcEmoWewMBV61jlFlfzczfjWIgc/edit?usp=sharing"",""อุบลราชธานี!Q327"")"),0)</f>
        <v>0</v>
      </c>
      <c r="R327" s="56">
        <f ca="1">IFERROR(__xludf.DUMMYFUNCTION("IMPORTRANGE(""https://docs.google.com/spreadsheets/d/1yhBcrRPreicbMKl9Bu_Snb2-OcQAF62RKfhTLhJ2eAA/edit?usp=sharing"",""กาฬสินธุ์!R327"")+IMPORTRANGE(""https://docs.google.com/spreadsheets/d/1aHkj4IaQMThhwWwevcOymEh837vdxeC_PycurhTbGFA/edit?usp=sharing"","&amp;"""ขอนแก่น!R327"")+IMPORTRANGE(""https://docs.google.com/spreadsheets/d/1FvTu2DsIWUjP6WCWra38Bkj_oOl_sOMf14r5Fg5srxU/edit?usp=sharing"",""ชัยภูมิ!R327"")+IMPORTRANGE(""https://docs.google.com/spreadsheets/d/1XVB7oCJ3pr-vBUdflwPQ8Z2LlzhnCvZaaYjAfP-647E/edit"&amp;"?usp=sharing"",""นครพนม!R327"")+IMPORTRANGE(""https://docs.google.com/spreadsheets/d/1Mnpb-8PYAgn85W6KOTD40hc_Xc55CaLfHoGAbrZ8tls/edit?usp=sharing"",""นครราชสีมา!R327"")+IMPORTRANGE(""https://docs.google.com/spreadsheets/d/1xoDLGBv9CYbyosIhki0kTq6IpYNj-gp"&amp;"jxfobnaDiut0/edit?usp=sharing"",""บึงกาฬ!R327"")+IMPORTRANGE(""https://docs.google.com/spreadsheets/d/1MMPq-JyI6DSgQETxuSiXkesP-P7JHuemnE6QJIa-Nlw/edit?usp=sharing"",""บุรีรัมย์!R327"")+IMPORTRANGE(""https://docs.google.com/spreadsheets/d/1l6IZ8xUPgMrESzc"&amp;"TYwhA1k_tPjeQjJPTqlm8Gd9eU5g/edit?usp=sharing"",""มหาสารคาม!R327"")+IMPORTRANGE(""https://docs.google.com/spreadsheets/d/1uB74YLqNjWX6FObjekfB2NtSYigTQyR2rq9u4Ub2Sq4/edit?usp=sharing"",""มุกดาหาร!R327"")+IMPORTRANGE(""https://docs.google.com/spreadsheets/"&amp;"d/1NexK3geCPxCTO1fzNF8dPec7yZyUx3OaWkFBC9HsQOo/edit?usp=sharing"",""ยโสธร!R327"")+IMPORTRANGE(""https://docs.google.com/spreadsheets/d/1v_cJrbBlyqmnHPReHk44g9NrMRdENNlSy_E_c5M9fIg/edit?usp=sharing"",""ร้อยเอ็ด!R327"")+IMPORTRANGE(""https://docs.google.com"&amp;"/spreadsheets/d/1Ul4RCpCX66NxYADU1QpwAPjOmBzW64SsT11s1wzXw_c/edit?usp=sharing"",""เลย!R327"")+IMPORTRANGE(""https://docs.google.com/spreadsheets/d/1bRrNKwbHDVktQG10isr5vbWRtt5spIZPpkOSWgbT5ug/edit?usp=sharing"",""ศรีสะเกษ!R327"")+IMPORTRANGE(""https://doc"&amp;"s.google.com/spreadsheets/d/17P34_Ow5kFBfdQD0qspb2UuPX5zpi6WMrQzslghyvrI/edit?usp=sharing"",""สกลนคร!R327"")+IMPORTRANGE(""https://docs.google.com/spreadsheets/d/1yswqbM3-AEpThF3ZSUa1AcmHnmRTF1vlJ1CZGcJ8YuU/edit?usp=sharing"",""สุรินทร์!R327"")+IMPORTRANG"&amp;"E(""https://docs.google.com/spreadsheets/d/13JHU_EFbsQOUQ0JSQ3dWy1VTRosIWcDq6Nc99z2qzdc/edit?usp=sharing"",""หนองคาย!R327"")+IMPORTRANGE(""https://docs.google.com/spreadsheets/d/1Hx73zIEgVdDZZaYSTc46Dqv64atFhpr3GelxLbaIN8A/edit?usp=sharing"",""หนองบัวลำภู"&amp;"!R327"")+IMPORTRANGE(""https://docs.google.com/spreadsheets/d/1lFxr3ctmjFN90yc-xV6jrQ9Ty8BKYVBWnAZ15wcNIJc/edit?usp=sharing"",""อำนาจเจริญ!R327"")+IMPORTRANGE(""https://docs.google.com/spreadsheets/d/1gF7RJpRnL-1oyjyeWxs5SFWEH7y8ahOZsQlyp2A2e-A/edit?usp=s"&amp;"haring"",""อุดรธานี!R327"")+IMPORTRANGE(""https://docs.google.com/spreadsheets/d/1kfLP0j3INXRa8bTDpcEmoWewMBV61jlFlfzczfjWIgc/edit?usp=sharing"",""อุบลราชธานี!R327"")"),0)</f>
        <v>0</v>
      </c>
      <c r="S327" s="57">
        <f ca="1">IFERROR(__xludf.DUMMYFUNCTION("IMPORTRANGE(""https://docs.google.com/spreadsheets/d/1yhBcrRPreicbMKl9Bu_Snb2-OcQAF62RKfhTLhJ2eAA/edit?usp=sharing"",""กาฬสินธุ์!S327"")+IMPORTRANGE(""https://docs.google.com/spreadsheets/d/1aHkj4IaQMThhwWwevcOymEh837vdxeC_PycurhTbGFA/edit?usp=sharing"","&amp;"""ขอนแก่น!S327"")+IMPORTRANGE(""https://docs.google.com/spreadsheets/d/1FvTu2DsIWUjP6WCWra38Bkj_oOl_sOMf14r5Fg5srxU/edit?usp=sharing"",""ชัยภูมิ!S327"")+IMPORTRANGE(""https://docs.google.com/spreadsheets/d/1XVB7oCJ3pr-vBUdflwPQ8Z2LlzhnCvZaaYjAfP-647E/edit"&amp;"?usp=sharing"",""นครพนม!S327"")+IMPORTRANGE(""https://docs.google.com/spreadsheets/d/1Mnpb-8PYAgn85W6KOTD40hc_Xc55CaLfHoGAbrZ8tls/edit?usp=sharing"",""นครราชสีมา!S327"")+IMPORTRANGE(""https://docs.google.com/spreadsheets/d/1xoDLGBv9CYbyosIhki0kTq6IpYNj-gp"&amp;"jxfobnaDiut0/edit?usp=sharing"",""บึงกาฬ!S327"")+IMPORTRANGE(""https://docs.google.com/spreadsheets/d/1MMPq-JyI6DSgQETxuSiXkesP-P7JHuemnE6QJIa-Nlw/edit?usp=sharing"",""บุรีรัมย์!S327"")+IMPORTRANGE(""https://docs.google.com/spreadsheets/d/1l6IZ8xUPgMrESzc"&amp;"TYwhA1k_tPjeQjJPTqlm8Gd9eU5g/edit?usp=sharing"",""มหาสารคาม!S327"")+IMPORTRANGE(""https://docs.google.com/spreadsheets/d/1uB74YLqNjWX6FObjekfB2NtSYigTQyR2rq9u4Ub2Sq4/edit?usp=sharing"",""มุกดาหาร!S327"")+IMPORTRANGE(""https://docs.google.com/spreadsheets/"&amp;"d/1NexK3geCPxCTO1fzNF8dPec7yZyUx3OaWkFBC9HsQOo/edit?usp=sharing"",""ยโสธร!S327"")+IMPORTRANGE(""https://docs.google.com/spreadsheets/d/1v_cJrbBlyqmnHPReHk44g9NrMRdENNlSy_E_c5M9fIg/edit?usp=sharing"",""ร้อยเอ็ด!S327"")+IMPORTRANGE(""https://docs.google.com"&amp;"/spreadsheets/d/1Ul4RCpCX66NxYADU1QpwAPjOmBzW64SsT11s1wzXw_c/edit?usp=sharing"",""เลย!S327"")+IMPORTRANGE(""https://docs.google.com/spreadsheets/d/1bRrNKwbHDVktQG10isr5vbWRtt5spIZPpkOSWgbT5ug/edit?usp=sharing"",""ศรีสะเกษ!S327"")+IMPORTRANGE(""https://doc"&amp;"s.google.com/spreadsheets/d/17P34_Ow5kFBfdQD0qspb2UuPX5zpi6WMrQzslghyvrI/edit?usp=sharing"",""สกลนคร!S327"")+IMPORTRANGE(""https://docs.google.com/spreadsheets/d/1yswqbM3-AEpThF3ZSUa1AcmHnmRTF1vlJ1CZGcJ8YuU/edit?usp=sharing"",""สุรินทร์!S327"")+IMPORTRANG"&amp;"E(""https://docs.google.com/spreadsheets/d/13JHU_EFbsQOUQ0JSQ3dWy1VTRosIWcDq6Nc99z2qzdc/edit?usp=sharing"",""หนองคาย!S327"")+IMPORTRANGE(""https://docs.google.com/spreadsheets/d/1Hx73zIEgVdDZZaYSTc46Dqv64atFhpr3GelxLbaIN8A/edit?usp=sharing"",""หนองบัวลำภู"&amp;"!S327"")+IMPORTRANGE(""https://docs.google.com/spreadsheets/d/1lFxr3ctmjFN90yc-xV6jrQ9Ty8BKYVBWnAZ15wcNIJc/edit?usp=sharing"",""อำนาจเจริญ!S327"")+IMPORTRANGE(""https://docs.google.com/spreadsheets/d/1gF7RJpRnL-1oyjyeWxs5SFWEH7y8ahOZsQlyp2A2e-A/edit?usp=s"&amp;"haring"",""อุดรธานี!S327"")+IMPORTRANGE(""https://docs.google.com/spreadsheets/d/1kfLP0j3INXRa8bTDpcEmoWewMBV61jlFlfzczfjWIgc/edit?usp=sharing"",""อุบลราชธานี!S327"")"),0)</f>
        <v>0</v>
      </c>
      <c r="T327" s="59">
        <f t="shared" ca="1" si="242"/>
        <v>0</v>
      </c>
      <c r="U327" s="59">
        <f t="shared" ca="1" si="243"/>
        <v>0</v>
      </c>
    </row>
    <row r="328" spans="1:21" ht="18.75">
      <c r="A328" s="155"/>
      <c r="B328" s="50"/>
      <c r="C328" s="50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56">
        <f ca="1">IFERROR(__xludf.DUMMYFUNCTION("IMPORTRANGE(""https://docs.google.com/spreadsheets/d/1yhBcrRPreicbMKl9Bu_Snb2-OcQAF62RKfhTLhJ2eAA/edit?usp=sharing"",""กาฬสินธุ์!L328"")+IMPORTRANGE(""https://docs.google.com/spreadsheets/d/1aHkj4IaQMThhwWwevcOymEh837vdxeC_PycurhTbGFA/edit?usp=sharing"","&amp;"""ขอนแก่น!L328"")+IMPORTRANGE(""https://docs.google.com/spreadsheets/d/1FvTu2DsIWUjP6WCWra38Bkj_oOl_sOMf14r5Fg5srxU/edit?usp=sharing"",""ชัยภูมิ!L328"")+IMPORTRANGE(""https://docs.google.com/spreadsheets/d/1XVB7oCJ3pr-vBUdflwPQ8Z2LlzhnCvZaaYjAfP-647E/edit"&amp;"?usp=sharing"",""นครพนม!L328"")+IMPORTRANGE(""https://docs.google.com/spreadsheets/d/1Mnpb-8PYAgn85W6KOTD40hc_Xc55CaLfHoGAbrZ8tls/edit?usp=sharing"",""นครราชสีมา!L328"")+IMPORTRANGE(""https://docs.google.com/spreadsheets/d/1xoDLGBv9CYbyosIhki0kTq6IpYNj-gp"&amp;"jxfobnaDiut0/edit?usp=sharing"",""บึงกาฬ!L328"")+IMPORTRANGE(""https://docs.google.com/spreadsheets/d/1MMPq-JyI6DSgQETxuSiXkesP-P7JHuemnE6QJIa-Nlw/edit?usp=sharing"",""บุรีรัมย์!L328"")+IMPORTRANGE(""https://docs.google.com/spreadsheets/d/1l6IZ8xUPgMrESzc"&amp;"TYwhA1k_tPjeQjJPTqlm8Gd9eU5g/edit?usp=sharing"",""มหาสารคาม!L328"")+IMPORTRANGE(""https://docs.google.com/spreadsheets/d/1uB74YLqNjWX6FObjekfB2NtSYigTQyR2rq9u4Ub2Sq4/edit?usp=sharing"",""มุกดาหาร!L328"")+IMPORTRANGE(""https://docs.google.com/spreadsheets/"&amp;"d/1NexK3geCPxCTO1fzNF8dPec7yZyUx3OaWkFBC9HsQOo/edit?usp=sharing"",""ยโสธร!L328"")+IMPORTRANGE(""https://docs.google.com/spreadsheets/d/1v_cJrbBlyqmnHPReHk44g9NrMRdENNlSy_E_c5M9fIg/edit?usp=sharing"",""ร้อยเอ็ด!L328"")+IMPORTRANGE(""https://docs.google.com"&amp;"/spreadsheets/d/1Ul4RCpCX66NxYADU1QpwAPjOmBzW64SsT11s1wzXw_c/edit?usp=sharing"",""เลย!L328"")+IMPORTRANGE(""https://docs.google.com/spreadsheets/d/1bRrNKwbHDVktQG10isr5vbWRtt5spIZPpkOSWgbT5ug/edit?usp=sharing"",""ศรีสะเกษ!L328"")+IMPORTRANGE(""https://doc"&amp;"s.google.com/spreadsheets/d/17P34_Ow5kFBfdQD0qspb2UuPX5zpi6WMrQzslghyvrI/edit?usp=sharing"",""สกลนคร!L328"")+IMPORTRANGE(""https://docs.google.com/spreadsheets/d/1yswqbM3-AEpThF3ZSUa1AcmHnmRTF1vlJ1CZGcJ8YuU/edit?usp=sharing"",""สุรินทร์!L328"")+IMPORTRANG"&amp;"E(""https://docs.google.com/spreadsheets/d/13JHU_EFbsQOUQ0JSQ3dWy1VTRosIWcDq6Nc99z2qzdc/edit?usp=sharing"",""หนองคาย!L328"")+IMPORTRANGE(""https://docs.google.com/spreadsheets/d/1Hx73zIEgVdDZZaYSTc46Dqv64atFhpr3GelxLbaIN8A/edit?usp=sharing"",""หนองบัวลำภู"&amp;"!L328"")+IMPORTRANGE(""https://docs.google.com/spreadsheets/d/1lFxr3ctmjFN90yc-xV6jrQ9Ty8BKYVBWnAZ15wcNIJc/edit?usp=sharing"",""อำนาจเจริญ!L328"")+IMPORTRANGE(""https://docs.google.com/spreadsheets/d/1gF7RJpRnL-1oyjyeWxs5SFWEH7y8ahOZsQlyp2A2e-A/edit?usp=s"&amp;"haring"",""อุดรธานี!L328"")+IMPORTRANGE(""https://docs.google.com/spreadsheets/d/1kfLP0j3INXRa8bTDpcEmoWewMBV61jlFlfzczfjWIgc/edit?usp=sharing"",""อุบลราชธานี!L328"")"),0)</f>
        <v>0</v>
      </c>
      <c r="M328" s="56">
        <f ca="1">IFERROR(__xludf.DUMMYFUNCTION("IMPORTRANGE(""https://docs.google.com/spreadsheets/d/1yhBcrRPreicbMKl9Bu_Snb2-OcQAF62RKfhTLhJ2eAA/edit?usp=sharing"",""กาฬสินธุ์!M328"")+IMPORTRANGE(""https://docs.google.com/spreadsheets/d/1aHkj4IaQMThhwWwevcOymEh837vdxeC_PycurhTbGFA/edit?usp=sharing"","&amp;"""ขอนแก่น!M328"")+IMPORTRANGE(""https://docs.google.com/spreadsheets/d/1FvTu2DsIWUjP6WCWra38Bkj_oOl_sOMf14r5Fg5srxU/edit?usp=sharing"",""ชัยภูมิ!M328"")+IMPORTRANGE(""https://docs.google.com/spreadsheets/d/1XVB7oCJ3pr-vBUdflwPQ8Z2LlzhnCvZaaYjAfP-647E/edit"&amp;"?usp=sharing"",""นครพนม!M328"")+IMPORTRANGE(""https://docs.google.com/spreadsheets/d/1Mnpb-8PYAgn85W6KOTD40hc_Xc55CaLfHoGAbrZ8tls/edit?usp=sharing"",""นครราชสีมา!M328"")+IMPORTRANGE(""https://docs.google.com/spreadsheets/d/1xoDLGBv9CYbyosIhki0kTq6IpYNj-gp"&amp;"jxfobnaDiut0/edit?usp=sharing"",""บึงกาฬ!M328"")+IMPORTRANGE(""https://docs.google.com/spreadsheets/d/1MMPq-JyI6DSgQETxuSiXkesP-P7JHuemnE6QJIa-Nlw/edit?usp=sharing"",""บุรีรัมย์!M328"")+IMPORTRANGE(""https://docs.google.com/spreadsheets/d/1l6IZ8xUPgMrESzc"&amp;"TYwhA1k_tPjeQjJPTqlm8Gd9eU5g/edit?usp=sharing"",""มหาสารคาม!M328"")+IMPORTRANGE(""https://docs.google.com/spreadsheets/d/1uB74YLqNjWX6FObjekfB2NtSYigTQyR2rq9u4Ub2Sq4/edit?usp=sharing"",""มุกดาหาร!M328"")+IMPORTRANGE(""https://docs.google.com/spreadsheets/"&amp;"d/1NexK3geCPxCTO1fzNF8dPec7yZyUx3OaWkFBC9HsQOo/edit?usp=sharing"",""ยโสธร!M328"")+IMPORTRANGE(""https://docs.google.com/spreadsheets/d/1v_cJrbBlyqmnHPReHk44g9NrMRdENNlSy_E_c5M9fIg/edit?usp=sharing"",""ร้อยเอ็ด!M328"")+IMPORTRANGE(""https://docs.google.com"&amp;"/spreadsheets/d/1Ul4RCpCX66NxYADU1QpwAPjOmBzW64SsT11s1wzXw_c/edit?usp=sharing"",""เลย!M328"")+IMPORTRANGE(""https://docs.google.com/spreadsheets/d/1bRrNKwbHDVktQG10isr5vbWRtt5spIZPpkOSWgbT5ug/edit?usp=sharing"",""ศรีสะเกษ!M328"")+IMPORTRANGE(""https://doc"&amp;"s.google.com/spreadsheets/d/17P34_Ow5kFBfdQD0qspb2UuPX5zpi6WMrQzslghyvrI/edit?usp=sharing"",""สกลนคร!M328"")+IMPORTRANGE(""https://docs.google.com/spreadsheets/d/1yswqbM3-AEpThF3ZSUa1AcmHnmRTF1vlJ1CZGcJ8YuU/edit?usp=sharing"",""สุรินทร์!M328"")+IMPORTRANG"&amp;"E(""https://docs.google.com/spreadsheets/d/13JHU_EFbsQOUQ0JSQ3dWy1VTRosIWcDq6Nc99z2qzdc/edit?usp=sharing"",""หนองคาย!M328"")+IMPORTRANGE(""https://docs.google.com/spreadsheets/d/1Hx73zIEgVdDZZaYSTc46Dqv64atFhpr3GelxLbaIN8A/edit?usp=sharing"",""หนองบัวลำภู"&amp;"!M328"")+IMPORTRANGE(""https://docs.google.com/spreadsheets/d/1lFxr3ctmjFN90yc-xV6jrQ9Ty8BKYVBWnAZ15wcNIJc/edit?usp=sharing"",""อำนาจเจริญ!M328"")+IMPORTRANGE(""https://docs.google.com/spreadsheets/d/1gF7RJpRnL-1oyjyeWxs5SFWEH7y8ahOZsQlyp2A2e-A/edit?usp=s"&amp;"haring"",""อุดรธานี!M328"")+IMPORTRANGE(""https://docs.google.com/spreadsheets/d/1kfLP0j3INXRa8bTDpcEmoWewMBV61jlFlfzczfjWIgc/edit?usp=sharing"",""อุบลราชธานี!M328"")"),0)</f>
        <v>0</v>
      </c>
      <c r="N328" s="56">
        <f ca="1">IFERROR(__xludf.DUMMYFUNCTION("IMPORTRANGE(""https://docs.google.com/spreadsheets/d/1yhBcrRPreicbMKl9Bu_Snb2-OcQAF62RKfhTLhJ2eAA/edit?usp=sharing"",""กาฬสินธุ์!N328"")+IMPORTRANGE(""https://docs.google.com/spreadsheets/d/1aHkj4IaQMThhwWwevcOymEh837vdxeC_PycurhTbGFA/edit?usp=sharing"","&amp;"""ขอนแก่น!N328"")+IMPORTRANGE(""https://docs.google.com/spreadsheets/d/1FvTu2DsIWUjP6WCWra38Bkj_oOl_sOMf14r5Fg5srxU/edit?usp=sharing"",""ชัยภูมิ!N328"")+IMPORTRANGE(""https://docs.google.com/spreadsheets/d/1XVB7oCJ3pr-vBUdflwPQ8Z2LlzhnCvZaaYjAfP-647E/edit"&amp;"?usp=sharing"",""นครพนม!N328"")+IMPORTRANGE(""https://docs.google.com/spreadsheets/d/1Mnpb-8PYAgn85W6KOTD40hc_Xc55CaLfHoGAbrZ8tls/edit?usp=sharing"",""นครราชสีมา!N328"")+IMPORTRANGE(""https://docs.google.com/spreadsheets/d/1xoDLGBv9CYbyosIhki0kTq6IpYNj-gp"&amp;"jxfobnaDiut0/edit?usp=sharing"",""บึงกาฬ!N328"")+IMPORTRANGE(""https://docs.google.com/spreadsheets/d/1MMPq-JyI6DSgQETxuSiXkesP-P7JHuemnE6QJIa-Nlw/edit?usp=sharing"",""บุรีรัมย์!N328"")+IMPORTRANGE(""https://docs.google.com/spreadsheets/d/1l6IZ8xUPgMrESzc"&amp;"TYwhA1k_tPjeQjJPTqlm8Gd9eU5g/edit?usp=sharing"",""มหาสารคาม!N328"")+IMPORTRANGE(""https://docs.google.com/spreadsheets/d/1uB74YLqNjWX6FObjekfB2NtSYigTQyR2rq9u4Ub2Sq4/edit?usp=sharing"",""มุกดาหาร!N328"")+IMPORTRANGE(""https://docs.google.com/spreadsheets/"&amp;"d/1NexK3geCPxCTO1fzNF8dPec7yZyUx3OaWkFBC9HsQOo/edit?usp=sharing"",""ยโสธร!N328"")+IMPORTRANGE(""https://docs.google.com/spreadsheets/d/1v_cJrbBlyqmnHPReHk44g9NrMRdENNlSy_E_c5M9fIg/edit?usp=sharing"",""ร้อยเอ็ด!N328"")+IMPORTRANGE(""https://docs.google.com"&amp;"/spreadsheets/d/1Ul4RCpCX66NxYADU1QpwAPjOmBzW64SsT11s1wzXw_c/edit?usp=sharing"",""เลย!N328"")+IMPORTRANGE(""https://docs.google.com/spreadsheets/d/1bRrNKwbHDVktQG10isr5vbWRtt5spIZPpkOSWgbT5ug/edit?usp=sharing"",""ศรีสะเกษ!N328"")+IMPORTRANGE(""https://doc"&amp;"s.google.com/spreadsheets/d/17P34_Ow5kFBfdQD0qspb2UuPX5zpi6WMrQzslghyvrI/edit?usp=sharing"",""สกลนคร!N328"")+IMPORTRANGE(""https://docs.google.com/spreadsheets/d/1yswqbM3-AEpThF3ZSUa1AcmHnmRTF1vlJ1CZGcJ8YuU/edit?usp=sharing"",""สุรินทร์!N328"")+IMPORTRANG"&amp;"E(""https://docs.google.com/spreadsheets/d/13JHU_EFbsQOUQ0JSQ3dWy1VTRosIWcDq6Nc99z2qzdc/edit?usp=sharing"",""หนองคาย!N328"")+IMPORTRANGE(""https://docs.google.com/spreadsheets/d/1Hx73zIEgVdDZZaYSTc46Dqv64atFhpr3GelxLbaIN8A/edit?usp=sharing"",""หนองบัวลำภู"&amp;"!N328"")+IMPORTRANGE(""https://docs.google.com/spreadsheets/d/1lFxr3ctmjFN90yc-xV6jrQ9Ty8BKYVBWnAZ15wcNIJc/edit?usp=sharing"",""อำนาจเจริญ!N328"")+IMPORTRANGE(""https://docs.google.com/spreadsheets/d/1gF7RJpRnL-1oyjyeWxs5SFWEH7y8ahOZsQlyp2A2e-A/edit?usp=s"&amp;"haring"",""อุดรธานี!N328"")+IMPORTRANGE(""https://docs.google.com/spreadsheets/d/1kfLP0j3INXRa8bTDpcEmoWewMBV61jlFlfzczfjWIgc/edit?usp=sharing"",""อุบลราชธานี!N328"")"),0)</f>
        <v>0</v>
      </c>
      <c r="O328" s="56">
        <f t="shared" ca="1" si="239"/>
        <v>0</v>
      </c>
      <c r="P328" s="56">
        <f t="shared" ca="1" si="240"/>
        <v>0</v>
      </c>
      <c r="Q328" s="56">
        <f ca="1">IFERROR(__xludf.DUMMYFUNCTION("IMPORTRANGE(""https://docs.google.com/spreadsheets/d/1yhBcrRPreicbMKl9Bu_Snb2-OcQAF62RKfhTLhJ2eAA/edit?usp=sharing"",""กาฬสินธุ์!Q328"")+IMPORTRANGE(""https://docs.google.com/spreadsheets/d/1aHkj4IaQMThhwWwevcOymEh837vdxeC_PycurhTbGFA/edit?usp=sharing"","&amp;"""ขอนแก่น!Q328"")+IMPORTRANGE(""https://docs.google.com/spreadsheets/d/1FvTu2DsIWUjP6WCWra38Bkj_oOl_sOMf14r5Fg5srxU/edit?usp=sharing"",""ชัยภูมิ!Q328"")+IMPORTRANGE(""https://docs.google.com/spreadsheets/d/1XVB7oCJ3pr-vBUdflwPQ8Z2LlzhnCvZaaYjAfP-647E/edit"&amp;"?usp=sharing"",""นครพนม!Q328"")+IMPORTRANGE(""https://docs.google.com/spreadsheets/d/1Mnpb-8PYAgn85W6KOTD40hc_Xc55CaLfHoGAbrZ8tls/edit?usp=sharing"",""นครราชสีมา!Q328"")+IMPORTRANGE(""https://docs.google.com/spreadsheets/d/1xoDLGBv9CYbyosIhki0kTq6IpYNj-gp"&amp;"jxfobnaDiut0/edit?usp=sharing"",""บึงกาฬ!Q328"")+IMPORTRANGE(""https://docs.google.com/spreadsheets/d/1MMPq-JyI6DSgQETxuSiXkesP-P7JHuemnE6QJIa-Nlw/edit?usp=sharing"",""บุรีรัมย์!Q328"")+IMPORTRANGE(""https://docs.google.com/spreadsheets/d/1l6IZ8xUPgMrESzc"&amp;"TYwhA1k_tPjeQjJPTqlm8Gd9eU5g/edit?usp=sharing"",""มหาสารคาม!Q328"")+IMPORTRANGE(""https://docs.google.com/spreadsheets/d/1uB74YLqNjWX6FObjekfB2NtSYigTQyR2rq9u4Ub2Sq4/edit?usp=sharing"",""มุกดาหาร!Q328"")+IMPORTRANGE(""https://docs.google.com/spreadsheets/"&amp;"d/1NexK3geCPxCTO1fzNF8dPec7yZyUx3OaWkFBC9HsQOo/edit?usp=sharing"",""ยโสธร!Q328"")+IMPORTRANGE(""https://docs.google.com/spreadsheets/d/1v_cJrbBlyqmnHPReHk44g9NrMRdENNlSy_E_c5M9fIg/edit?usp=sharing"",""ร้อยเอ็ด!Q328"")+IMPORTRANGE(""https://docs.google.com"&amp;"/spreadsheets/d/1Ul4RCpCX66NxYADU1QpwAPjOmBzW64SsT11s1wzXw_c/edit?usp=sharing"",""เลย!Q328"")+IMPORTRANGE(""https://docs.google.com/spreadsheets/d/1bRrNKwbHDVktQG10isr5vbWRtt5spIZPpkOSWgbT5ug/edit?usp=sharing"",""ศรีสะเกษ!Q328"")+IMPORTRANGE(""https://doc"&amp;"s.google.com/spreadsheets/d/17P34_Ow5kFBfdQD0qspb2UuPX5zpi6WMrQzslghyvrI/edit?usp=sharing"",""สกลนคร!Q328"")+IMPORTRANGE(""https://docs.google.com/spreadsheets/d/1yswqbM3-AEpThF3ZSUa1AcmHnmRTF1vlJ1CZGcJ8YuU/edit?usp=sharing"",""สุรินทร์!Q328"")+IMPORTRANG"&amp;"E(""https://docs.google.com/spreadsheets/d/13JHU_EFbsQOUQ0JSQ3dWy1VTRosIWcDq6Nc99z2qzdc/edit?usp=sharing"",""หนองคาย!Q328"")+IMPORTRANGE(""https://docs.google.com/spreadsheets/d/1Hx73zIEgVdDZZaYSTc46Dqv64atFhpr3GelxLbaIN8A/edit?usp=sharing"",""หนองบัวลำภู"&amp;"!Q328"")+IMPORTRANGE(""https://docs.google.com/spreadsheets/d/1lFxr3ctmjFN90yc-xV6jrQ9Ty8BKYVBWnAZ15wcNIJc/edit?usp=sharing"",""อำนาจเจริญ!Q328"")+IMPORTRANGE(""https://docs.google.com/spreadsheets/d/1gF7RJpRnL-1oyjyeWxs5SFWEH7y8ahOZsQlyp2A2e-A/edit?usp=s"&amp;"haring"",""อุดรธานี!Q328"")+IMPORTRANGE(""https://docs.google.com/spreadsheets/d/1kfLP0j3INXRa8bTDpcEmoWewMBV61jlFlfzczfjWIgc/edit?usp=sharing"",""อุบลราชธานี!Q328"")"),0)</f>
        <v>0</v>
      </c>
      <c r="R328" s="56">
        <f ca="1">IFERROR(__xludf.DUMMYFUNCTION("IMPORTRANGE(""https://docs.google.com/spreadsheets/d/1yhBcrRPreicbMKl9Bu_Snb2-OcQAF62RKfhTLhJ2eAA/edit?usp=sharing"",""กาฬสินธุ์!R328"")+IMPORTRANGE(""https://docs.google.com/spreadsheets/d/1aHkj4IaQMThhwWwevcOymEh837vdxeC_PycurhTbGFA/edit?usp=sharing"","&amp;"""ขอนแก่น!R328"")+IMPORTRANGE(""https://docs.google.com/spreadsheets/d/1FvTu2DsIWUjP6WCWra38Bkj_oOl_sOMf14r5Fg5srxU/edit?usp=sharing"",""ชัยภูมิ!R328"")+IMPORTRANGE(""https://docs.google.com/spreadsheets/d/1XVB7oCJ3pr-vBUdflwPQ8Z2LlzhnCvZaaYjAfP-647E/edit"&amp;"?usp=sharing"",""นครพนม!R328"")+IMPORTRANGE(""https://docs.google.com/spreadsheets/d/1Mnpb-8PYAgn85W6KOTD40hc_Xc55CaLfHoGAbrZ8tls/edit?usp=sharing"",""นครราชสีมา!R328"")+IMPORTRANGE(""https://docs.google.com/spreadsheets/d/1xoDLGBv9CYbyosIhki0kTq6IpYNj-gp"&amp;"jxfobnaDiut0/edit?usp=sharing"",""บึงกาฬ!R328"")+IMPORTRANGE(""https://docs.google.com/spreadsheets/d/1MMPq-JyI6DSgQETxuSiXkesP-P7JHuemnE6QJIa-Nlw/edit?usp=sharing"",""บุรีรัมย์!R328"")+IMPORTRANGE(""https://docs.google.com/spreadsheets/d/1l6IZ8xUPgMrESzc"&amp;"TYwhA1k_tPjeQjJPTqlm8Gd9eU5g/edit?usp=sharing"",""มหาสารคาม!R328"")+IMPORTRANGE(""https://docs.google.com/spreadsheets/d/1uB74YLqNjWX6FObjekfB2NtSYigTQyR2rq9u4Ub2Sq4/edit?usp=sharing"",""มุกดาหาร!R328"")+IMPORTRANGE(""https://docs.google.com/spreadsheets/"&amp;"d/1NexK3geCPxCTO1fzNF8dPec7yZyUx3OaWkFBC9HsQOo/edit?usp=sharing"",""ยโสธร!R328"")+IMPORTRANGE(""https://docs.google.com/spreadsheets/d/1v_cJrbBlyqmnHPReHk44g9NrMRdENNlSy_E_c5M9fIg/edit?usp=sharing"",""ร้อยเอ็ด!R328"")+IMPORTRANGE(""https://docs.google.com"&amp;"/spreadsheets/d/1Ul4RCpCX66NxYADU1QpwAPjOmBzW64SsT11s1wzXw_c/edit?usp=sharing"",""เลย!R328"")+IMPORTRANGE(""https://docs.google.com/spreadsheets/d/1bRrNKwbHDVktQG10isr5vbWRtt5spIZPpkOSWgbT5ug/edit?usp=sharing"",""ศรีสะเกษ!R328"")+IMPORTRANGE(""https://doc"&amp;"s.google.com/spreadsheets/d/17P34_Ow5kFBfdQD0qspb2UuPX5zpi6WMrQzslghyvrI/edit?usp=sharing"",""สกลนคร!R328"")+IMPORTRANGE(""https://docs.google.com/spreadsheets/d/1yswqbM3-AEpThF3ZSUa1AcmHnmRTF1vlJ1CZGcJ8YuU/edit?usp=sharing"",""สุรินทร์!R328"")+IMPORTRANG"&amp;"E(""https://docs.google.com/spreadsheets/d/13JHU_EFbsQOUQ0JSQ3dWy1VTRosIWcDq6Nc99z2qzdc/edit?usp=sharing"",""หนองคาย!R328"")+IMPORTRANGE(""https://docs.google.com/spreadsheets/d/1Hx73zIEgVdDZZaYSTc46Dqv64atFhpr3GelxLbaIN8A/edit?usp=sharing"",""หนองบัวลำภู"&amp;"!R328"")+IMPORTRANGE(""https://docs.google.com/spreadsheets/d/1lFxr3ctmjFN90yc-xV6jrQ9Ty8BKYVBWnAZ15wcNIJc/edit?usp=sharing"",""อำนาจเจริญ!R328"")+IMPORTRANGE(""https://docs.google.com/spreadsheets/d/1gF7RJpRnL-1oyjyeWxs5SFWEH7y8ahOZsQlyp2A2e-A/edit?usp=s"&amp;"haring"",""อุดรธานี!R328"")+IMPORTRANGE(""https://docs.google.com/spreadsheets/d/1kfLP0j3INXRa8bTDpcEmoWewMBV61jlFlfzczfjWIgc/edit?usp=sharing"",""อุบลราชธานี!R328"")"),0)</f>
        <v>0</v>
      </c>
      <c r="S328" s="57">
        <f ca="1">IFERROR(__xludf.DUMMYFUNCTION("IMPORTRANGE(""https://docs.google.com/spreadsheets/d/1yhBcrRPreicbMKl9Bu_Snb2-OcQAF62RKfhTLhJ2eAA/edit?usp=sharing"",""กาฬสินธุ์!S328"")+IMPORTRANGE(""https://docs.google.com/spreadsheets/d/1aHkj4IaQMThhwWwevcOymEh837vdxeC_PycurhTbGFA/edit?usp=sharing"","&amp;"""ขอนแก่น!S328"")+IMPORTRANGE(""https://docs.google.com/spreadsheets/d/1FvTu2DsIWUjP6WCWra38Bkj_oOl_sOMf14r5Fg5srxU/edit?usp=sharing"",""ชัยภูมิ!S328"")+IMPORTRANGE(""https://docs.google.com/spreadsheets/d/1XVB7oCJ3pr-vBUdflwPQ8Z2LlzhnCvZaaYjAfP-647E/edit"&amp;"?usp=sharing"",""นครพนม!S328"")+IMPORTRANGE(""https://docs.google.com/spreadsheets/d/1Mnpb-8PYAgn85W6KOTD40hc_Xc55CaLfHoGAbrZ8tls/edit?usp=sharing"",""นครราชสีมา!S328"")+IMPORTRANGE(""https://docs.google.com/spreadsheets/d/1xoDLGBv9CYbyosIhki0kTq6IpYNj-gp"&amp;"jxfobnaDiut0/edit?usp=sharing"",""บึงกาฬ!S328"")+IMPORTRANGE(""https://docs.google.com/spreadsheets/d/1MMPq-JyI6DSgQETxuSiXkesP-P7JHuemnE6QJIa-Nlw/edit?usp=sharing"",""บุรีรัมย์!S328"")+IMPORTRANGE(""https://docs.google.com/spreadsheets/d/1l6IZ8xUPgMrESzc"&amp;"TYwhA1k_tPjeQjJPTqlm8Gd9eU5g/edit?usp=sharing"",""มหาสารคาม!S328"")+IMPORTRANGE(""https://docs.google.com/spreadsheets/d/1uB74YLqNjWX6FObjekfB2NtSYigTQyR2rq9u4Ub2Sq4/edit?usp=sharing"",""มุกดาหาร!S328"")+IMPORTRANGE(""https://docs.google.com/spreadsheets/"&amp;"d/1NexK3geCPxCTO1fzNF8dPec7yZyUx3OaWkFBC9HsQOo/edit?usp=sharing"",""ยโสธร!S328"")+IMPORTRANGE(""https://docs.google.com/spreadsheets/d/1v_cJrbBlyqmnHPReHk44g9NrMRdENNlSy_E_c5M9fIg/edit?usp=sharing"",""ร้อยเอ็ด!S328"")+IMPORTRANGE(""https://docs.google.com"&amp;"/spreadsheets/d/1Ul4RCpCX66NxYADU1QpwAPjOmBzW64SsT11s1wzXw_c/edit?usp=sharing"",""เลย!S328"")+IMPORTRANGE(""https://docs.google.com/spreadsheets/d/1bRrNKwbHDVktQG10isr5vbWRtt5spIZPpkOSWgbT5ug/edit?usp=sharing"",""ศรีสะเกษ!S328"")+IMPORTRANGE(""https://doc"&amp;"s.google.com/spreadsheets/d/17P34_Ow5kFBfdQD0qspb2UuPX5zpi6WMrQzslghyvrI/edit?usp=sharing"",""สกลนคร!S328"")+IMPORTRANGE(""https://docs.google.com/spreadsheets/d/1yswqbM3-AEpThF3ZSUa1AcmHnmRTF1vlJ1CZGcJ8YuU/edit?usp=sharing"",""สุรินทร์!S328"")+IMPORTRANG"&amp;"E(""https://docs.google.com/spreadsheets/d/13JHU_EFbsQOUQ0JSQ3dWy1VTRosIWcDq6Nc99z2qzdc/edit?usp=sharing"",""หนองคาย!S328"")+IMPORTRANGE(""https://docs.google.com/spreadsheets/d/1Hx73zIEgVdDZZaYSTc46Dqv64atFhpr3GelxLbaIN8A/edit?usp=sharing"",""หนองบัวลำภู"&amp;"!S328"")+IMPORTRANGE(""https://docs.google.com/spreadsheets/d/1lFxr3ctmjFN90yc-xV6jrQ9Ty8BKYVBWnAZ15wcNIJc/edit?usp=sharing"",""อำนาจเจริญ!S328"")+IMPORTRANGE(""https://docs.google.com/spreadsheets/d/1gF7RJpRnL-1oyjyeWxs5SFWEH7y8ahOZsQlyp2A2e-A/edit?usp=s"&amp;"haring"",""อุดรธานี!S328"")+IMPORTRANGE(""https://docs.google.com/spreadsheets/d/1kfLP0j3INXRa8bTDpcEmoWewMBV61jlFlfzczfjWIgc/edit?usp=sharing"",""อุบลราชธานี!S328"")"),0)</f>
        <v>0</v>
      </c>
      <c r="T328" s="56">
        <f t="shared" ca="1" si="242"/>
        <v>0</v>
      </c>
      <c r="U328" s="56">
        <f t="shared" ca="1" si="243"/>
        <v>0</v>
      </c>
    </row>
    <row r="329" spans="1:21" ht="19.5">
      <c r="A329" s="166"/>
      <c r="B329" s="167"/>
      <c r="C329" s="156" t="s">
        <v>18</v>
      </c>
      <c r="D329" s="168" t="s">
        <v>38</v>
      </c>
      <c r="E329" s="169"/>
      <c r="F329" s="169"/>
      <c r="G329" s="170"/>
      <c r="H329" s="171"/>
      <c r="I329" s="163"/>
      <c r="J329" s="54"/>
      <c r="K329" s="55"/>
      <c r="L329" s="55"/>
      <c r="M329" s="55"/>
      <c r="N329" s="55"/>
      <c r="O329" s="164"/>
      <c r="P329" s="164"/>
      <c r="Q329" s="55"/>
      <c r="R329" s="55"/>
      <c r="S329" s="62"/>
      <c r="T329" s="164"/>
      <c r="U329" s="164"/>
    </row>
    <row r="330" spans="1:21" ht="18.75">
      <c r="A330" s="166"/>
      <c r="B330" s="167"/>
      <c r="C330" s="167"/>
      <c r="D330" s="173" t="s">
        <v>134</v>
      </c>
      <c r="E330" s="174"/>
      <c r="F330" s="174"/>
      <c r="G330" s="171"/>
      <c r="H330" s="53" t="s">
        <v>133</v>
      </c>
      <c r="I330" s="181">
        <f ca="1">IFERROR(__xludf.DUMMYFUNCTION("IMPORTRANGE(""https://docs.google.com/spreadsheets/d/1yhBcrRPreicbMKl9Bu_Snb2-OcQAF62RKfhTLhJ2eAA/edit?usp=sharing"",""กาฬสินธุ์!I330"")+IMPORTRANGE(""https://docs.google.com/spreadsheets/d/1aHkj4IaQMThhwWwevcOymEh837vdxeC_PycurhTbGFA/edit?usp=sharing"","&amp;"""ขอนแก่น!I330"")+IMPORTRANGE(""https://docs.google.com/spreadsheets/d/1FvTu2DsIWUjP6WCWra38Bkj_oOl_sOMf14r5Fg5srxU/edit?usp=sharing"",""ชัยภูมิ!I330"")+IMPORTRANGE(""https://docs.google.com/spreadsheets/d/1XVB7oCJ3pr-vBUdflwPQ8Z2LlzhnCvZaaYjAfP-647E/edit"&amp;"?usp=sharing"",""นครพนม!I330"")+IMPORTRANGE(""https://docs.google.com/spreadsheets/d/1Mnpb-8PYAgn85W6KOTD40hc_Xc55CaLfHoGAbrZ8tls/edit?usp=sharing"",""นครราชสีมา!I330"")+IMPORTRANGE(""https://docs.google.com/spreadsheets/d/1xoDLGBv9CYbyosIhki0kTq6IpYNj-gp"&amp;"jxfobnaDiut0/edit?usp=sharing"",""บึงกาฬ!I330"")+IMPORTRANGE(""https://docs.google.com/spreadsheets/d/1MMPq-JyI6DSgQETxuSiXkesP-P7JHuemnE6QJIa-Nlw/edit?usp=sharing"",""บุรีรัมย์!I330"")+IMPORTRANGE(""https://docs.google.com/spreadsheets/d/1l6IZ8xUPgMrESzc"&amp;"TYwhA1k_tPjeQjJPTqlm8Gd9eU5g/edit?usp=sharing"",""มหาสารคาม!I330"")+IMPORTRANGE(""https://docs.google.com/spreadsheets/d/1uB74YLqNjWX6FObjekfB2NtSYigTQyR2rq9u4Ub2Sq4/edit?usp=sharing"",""มุกดาหาร!I330"")+IMPORTRANGE(""https://docs.google.com/spreadsheets/"&amp;"d/1NexK3geCPxCTO1fzNF8dPec7yZyUx3OaWkFBC9HsQOo/edit?usp=sharing"",""ยโสธร!I330"")+IMPORTRANGE(""https://docs.google.com/spreadsheets/d/1v_cJrbBlyqmnHPReHk44g9NrMRdENNlSy_E_c5M9fIg/edit?usp=sharing"",""ร้อยเอ็ด!I330"")+IMPORTRANGE(""https://docs.google.com"&amp;"/spreadsheets/d/1Ul4RCpCX66NxYADU1QpwAPjOmBzW64SsT11s1wzXw_c/edit?usp=sharing"",""เลย!I330"")+IMPORTRANGE(""https://docs.google.com/spreadsheets/d/1bRrNKwbHDVktQG10isr5vbWRtt5spIZPpkOSWgbT5ug/edit?usp=sharing"",""ศรีสะเกษ!I330"")+IMPORTRANGE(""https://doc"&amp;"s.google.com/spreadsheets/d/17P34_Ow5kFBfdQD0qspb2UuPX5zpi6WMrQzslghyvrI/edit?usp=sharing"",""สกลนคร!I330"")+IMPORTRANGE(""https://docs.google.com/spreadsheets/d/1yswqbM3-AEpThF3ZSUa1AcmHnmRTF1vlJ1CZGcJ8YuU/edit?usp=sharing"",""สุรินทร์!I330"")+IMPORTRANG"&amp;"E(""https://docs.google.com/spreadsheets/d/13JHU_EFbsQOUQ0JSQ3dWy1VTRosIWcDq6Nc99z2qzdc/edit?usp=sharing"",""หนองคาย!I330"")+IMPORTRANGE(""https://docs.google.com/spreadsheets/d/1Hx73zIEgVdDZZaYSTc46Dqv64atFhpr3GelxLbaIN8A/edit?usp=sharing"",""หนองบัวลำภู"&amp;"!I330"")+IMPORTRANGE(""https://docs.google.com/spreadsheets/d/1lFxr3ctmjFN90yc-xV6jrQ9Ty8BKYVBWnAZ15wcNIJc/edit?usp=sharing"",""อำนาจเจริญ!I330"")+IMPORTRANGE(""https://docs.google.com/spreadsheets/d/1gF7RJpRnL-1oyjyeWxs5SFWEH7y8ahOZsQlyp2A2e-A/edit?usp=s"&amp;"haring"",""อุดรธานี!I330"")+IMPORTRANGE(""https://docs.google.com/spreadsheets/d/1kfLP0j3INXRa8bTDpcEmoWewMBV61jlFlfzczfjWIgc/edit?usp=sharing"",""อุบลราชธานี!I330"")"),2)</f>
        <v>2</v>
      </c>
      <c r="J330" s="181">
        <f ca="1">IFERROR(__xludf.DUMMYFUNCTION("IMPORTRANGE(""https://docs.google.com/spreadsheets/d/1yhBcrRPreicbMKl9Bu_Snb2-OcQAF62RKfhTLhJ2eAA/edit?usp=sharing"",""กาฬสินธุ์!J330"")+IMPORTRANGE(""https://docs.google.com/spreadsheets/d/1aHkj4IaQMThhwWwevcOymEh837vdxeC_PycurhTbGFA/edit?usp=sharing"","&amp;"""ขอนแก่น!J330"")+IMPORTRANGE(""https://docs.google.com/spreadsheets/d/1FvTu2DsIWUjP6WCWra38Bkj_oOl_sOMf14r5Fg5srxU/edit?usp=sharing"",""ชัยภูมิ!J330"")+IMPORTRANGE(""https://docs.google.com/spreadsheets/d/1XVB7oCJ3pr-vBUdflwPQ8Z2LlzhnCvZaaYjAfP-647E/edit"&amp;"?usp=sharing"",""นครพนม!J330"")+IMPORTRANGE(""https://docs.google.com/spreadsheets/d/1Mnpb-8PYAgn85W6KOTD40hc_Xc55CaLfHoGAbrZ8tls/edit?usp=sharing"",""นครราชสีมา!J330"")+IMPORTRANGE(""https://docs.google.com/spreadsheets/d/1xoDLGBv9CYbyosIhki0kTq6IpYNj-gp"&amp;"jxfobnaDiut0/edit?usp=sharing"",""บึงกาฬ!J330"")+IMPORTRANGE(""https://docs.google.com/spreadsheets/d/1MMPq-JyI6DSgQETxuSiXkesP-P7JHuemnE6QJIa-Nlw/edit?usp=sharing"",""บุรีรัมย์!J330"")+IMPORTRANGE(""https://docs.google.com/spreadsheets/d/1l6IZ8xUPgMrESzc"&amp;"TYwhA1k_tPjeQjJPTqlm8Gd9eU5g/edit?usp=sharing"",""มหาสารคาม!J330"")+IMPORTRANGE(""https://docs.google.com/spreadsheets/d/1uB74YLqNjWX6FObjekfB2NtSYigTQyR2rq9u4Ub2Sq4/edit?usp=sharing"",""มุกดาหาร!J330"")+IMPORTRANGE(""https://docs.google.com/spreadsheets/"&amp;"d/1NexK3geCPxCTO1fzNF8dPec7yZyUx3OaWkFBC9HsQOo/edit?usp=sharing"",""ยโสธร!J330"")+IMPORTRANGE(""https://docs.google.com/spreadsheets/d/1v_cJrbBlyqmnHPReHk44g9NrMRdENNlSy_E_c5M9fIg/edit?usp=sharing"",""ร้อยเอ็ด!J330"")+IMPORTRANGE(""https://docs.google.com"&amp;"/spreadsheets/d/1Ul4RCpCX66NxYADU1QpwAPjOmBzW64SsT11s1wzXw_c/edit?usp=sharing"",""เลย!J330"")+IMPORTRANGE(""https://docs.google.com/spreadsheets/d/1bRrNKwbHDVktQG10isr5vbWRtt5spIZPpkOSWgbT5ug/edit?usp=sharing"",""ศรีสะเกษ!J330"")+IMPORTRANGE(""https://doc"&amp;"s.google.com/spreadsheets/d/17P34_Ow5kFBfdQD0qspb2UuPX5zpi6WMrQzslghyvrI/edit?usp=sharing"",""สกลนคร!J330"")+IMPORTRANGE(""https://docs.google.com/spreadsheets/d/1yswqbM3-AEpThF3ZSUa1AcmHnmRTF1vlJ1CZGcJ8YuU/edit?usp=sharing"",""สุรินทร์!J330"")+IMPORTRANG"&amp;"E(""https://docs.google.com/spreadsheets/d/13JHU_EFbsQOUQ0JSQ3dWy1VTRosIWcDq6Nc99z2qzdc/edit?usp=sharing"",""หนองคาย!J330"")+IMPORTRANGE(""https://docs.google.com/spreadsheets/d/1Hx73zIEgVdDZZaYSTc46Dqv64atFhpr3GelxLbaIN8A/edit?usp=sharing"",""หนองบัวลำภู"&amp;"!J330"")+IMPORTRANGE(""https://docs.google.com/spreadsheets/d/1lFxr3ctmjFN90yc-xV6jrQ9Ty8BKYVBWnAZ15wcNIJc/edit?usp=sharing"",""อำนาจเจริญ!J330"")+IMPORTRANGE(""https://docs.google.com/spreadsheets/d/1gF7RJpRnL-1oyjyeWxs5SFWEH7y8ahOZsQlyp2A2e-A/edit?usp=s"&amp;"haring"",""อุดรธานี!J330"")+IMPORTRANGE(""https://docs.google.com/spreadsheets/d/1kfLP0j3INXRa8bTDpcEmoWewMBV61jlFlfzczfjWIgc/edit?usp=sharing"",""อุบลราชธานี!J330"")"),1)</f>
        <v>1</v>
      </c>
      <c r="K330" s="56">
        <f ca="1">IF(I330&gt;0,J330*100/I330,0)</f>
        <v>50</v>
      </c>
      <c r="L330" s="55"/>
      <c r="M330" s="55"/>
      <c r="N330" s="55"/>
      <c r="O330" s="164"/>
      <c r="P330" s="164"/>
      <c r="Q330" s="55"/>
      <c r="R330" s="55"/>
      <c r="S330" s="62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1"/>
      <c r="I331" s="323"/>
      <c r="J331" s="323"/>
      <c r="K331" s="324"/>
      <c r="L331" s="324"/>
      <c r="M331" s="324"/>
      <c r="N331" s="324"/>
      <c r="O331" s="324"/>
      <c r="P331" s="324"/>
      <c r="Q331" s="324"/>
      <c r="R331" s="324"/>
      <c r="S331" s="325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30" t="s">
        <v>35</v>
      </c>
      <c r="I332" s="331">
        <f ca="1">I344</f>
        <v>57200</v>
      </c>
      <c r="J332" s="331">
        <f ca="1">J344+J347+J348+J349+J353</f>
        <v>190797</v>
      </c>
      <c r="K332" s="332">
        <f ca="1">IF(I332&gt;0,J332*100/I332,0)</f>
        <v>333.5611888111888</v>
      </c>
      <c r="L332" s="333"/>
      <c r="M332" s="333"/>
      <c r="N332" s="333"/>
      <c r="O332" s="333"/>
      <c r="P332" s="333"/>
      <c r="Q332" s="333"/>
      <c r="R332" s="333"/>
      <c r="S332" s="334"/>
      <c r="T332" s="333"/>
      <c r="U332" s="333"/>
    </row>
    <row r="333" spans="1:21" ht="19.5">
      <c r="A333" s="155"/>
      <c r="B333" s="50"/>
      <c r="C333" s="156" t="s">
        <v>18</v>
      </c>
      <c r="D333" s="157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159">
        <f t="shared" ref="L333:N333" ca="1" si="252">L334+L335</f>
        <v>2440700</v>
      </c>
      <c r="M333" s="159">
        <f t="shared" ca="1" si="252"/>
        <v>2540700</v>
      </c>
      <c r="N333" s="159">
        <f t="shared" ca="1" si="252"/>
        <v>1847970.8199999901</v>
      </c>
      <c r="O333" s="159">
        <f t="shared" ref="O333:O341" ca="1" si="253">IF(L333&gt;0,N333*100/L333,0)</f>
        <v>75.714787560945226</v>
      </c>
      <c r="P333" s="159">
        <f t="shared" ref="P333:P341" ca="1" si="254">IF(M333&gt;0,N333*100/M333,0)</f>
        <v>72.734711693627347</v>
      </c>
      <c r="Q333" s="159">
        <f t="shared" ref="Q333:S333" ca="1" si="255">Q334+Q335</f>
        <v>0</v>
      </c>
      <c r="R333" s="159">
        <f t="shared" ca="1" si="255"/>
        <v>0</v>
      </c>
      <c r="S333" s="160">
        <f t="shared" ca="1" si="255"/>
        <v>0</v>
      </c>
      <c r="T333" s="159">
        <f t="shared" ref="T333:T341" ca="1" si="256">IF(Q333&gt;0,S333*100/Q333,0)</f>
        <v>0</v>
      </c>
      <c r="U333" s="159">
        <f t="shared" ref="U333:U341" ca="1" si="257">IF(R333&gt;0,S333*100/R333,0)</f>
        <v>0</v>
      </c>
    </row>
    <row r="334" spans="1:21" ht="18.75">
      <c r="A334" s="155"/>
      <c r="B334" s="50"/>
      <c r="C334" s="50"/>
      <c r="D334" s="50"/>
      <c r="E334" s="58" t="s">
        <v>20</v>
      </c>
      <c r="F334" s="50"/>
      <c r="G334" s="52"/>
      <c r="H334" s="161" t="s">
        <v>14</v>
      </c>
      <c r="I334" s="54"/>
      <c r="J334" s="54"/>
      <c r="K334" s="55"/>
      <c r="L334" s="56">
        <f t="shared" ref="L334:N334" ca="1" si="258">L337+L340</f>
        <v>0</v>
      </c>
      <c r="M334" s="56">
        <f t="shared" ca="1" si="258"/>
        <v>0</v>
      </c>
      <c r="N334" s="56">
        <f t="shared" ca="1" si="258"/>
        <v>0</v>
      </c>
      <c r="O334" s="56">
        <f t="shared" ca="1" si="253"/>
        <v>0</v>
      </c>
      <c r="P334" s="56">
        <f t="shared" ca="1" si="254"/>
        <v>0</v>
      </c>
      <c r="Q334" s="56">
        <f t="shared" ref="Q334:S334" ca="1" si="259">Q337+Q340</f>
        <v>0</v>
      </c>
      <c r="R334" s="56">
        <f t="shared" ca="1" si="259"/>
        <v>0</v>
      </c>
      <c r="S334" s="57">
        <f t="shared" ca="1" si="259"/>
        <v>0</v>
      </c>
      <c r="T334" s="59">
        <f t="shared" ca="1" si="256"/>
        <v>0</v>
      </c>
      <c r="U334" s="59">
        <f t="shared" ca="1" si="257"/>
        <v>0</v>
      </c>
    </row>
    <row r="335" spans="1:21" ht="18.75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56">
        <f t="shared" ref="L335:N335" ca="1" si="260">L338+L341</f>
        <v>2440700</v>
      </c>
      <c r="M335" s="56">
        <f t="shared" ca="1" si="260"/>
        <v>2540700</v>
      </c>
      <c r="N335" s="56">
        <f t="shared" ca="1" si="260"/>
        <v>1847970.8199999901</v>
      </c>
      <c r="O335" s="56">
        <f t="shared" ca="1" si="253"/>
        <v>75.714787560945226</v>
      </c>
      <c r="P335" s="56">
        <f t="shared" ca="1" si="254"/>
        <v>72.734711693627347</v>
      </c>
      <c r="Q335" s="56">
        <f t="shared" ref="Q335:S335" ca="1" si="261">Q338+Q341</f>
        <v>0</v>
      </c>
      <c r="R335" s="56">
        <f t="shared" ca="1" si="261"/>
        <v>0</v>
      </c>
      <c r="S335" s="57">
        <f t="shared" ca="1" si="261"/>
        <v>0</v>
      </c>
      <c r="T335" s="56">
        <f t="shared" ca="1" si="256"/>
        <v>0</v>
      </c>
      <c r="U335" s="56">
        <f t="shared" ca="1" si="257"/>
        <v>0</v>
      </c>
    </row>
    <row r="336" spans="1:21" ht="18.75">
      <c r="A336" s="155"/>
      <c r="B336" s="50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56">
        <f t="shared" ref="L336:N336" ca="1" si="262">L337+L338</f>
        <v>2440700</v>
      </c>
      <c r="M336" s="56">
        <f t="shared" ca="1" si="262"/>
        <v>2540700</v>
      </c>
      <c r="N336" s="56">
        <f t="shared" ca="1" si="262"/>
        <v>1847970.8199999901</v>
      </c>
      <c r="O336" s="56">
        <f t="shared" ca="1" si="253"/>
        <v>75.714787560945226</v>
      </c>
      <c r="P336" s="56">
        <f t="shared" ca="1" si="254"/>
        <v>72.734711693627347</v>
      </c>
      <c r="Q336" s="56">
        <f t="shared" ref="Q336:S336" ca="1" si="263">Q337+Q338</f>
        <v>0</v>
      </c>
      <c r="R336" s="56">
        <f t="shared" ca="1" si="263"/>
        <v>0</v>
      </c>
      <c r="S336" s="57">
        <f t="shared" ca="1" si="263"/>
        <v>0</v>
      </c>
      <c r="T336" s="56">
        <f t="shared" ca="1" si="256"/>
        <v>0</v>
      </c>
      <c r="U336" s="56">
        <f t="shared" ca="1" si="257"/>
        <v>0</v>
      </c>
    </row>
    <row r="337" spans="1:21" ht="18.75">
      <c r="A337" s="155"/>
      <c r="B337" s="50"/>
      <c r="C337" s="50"/>
      <c r="D337" s="50"/>
      <c r="E337" s="58" t="s">
        <v>36</v>
      </c>
      <c r="F337" s="50"/>
      <c r="G337" s="52"/>
      <c r="H337" s="162" t="s">
        <v>14</v>
      </c>
      <c r="I337" s="163"/>
      <c r="J337" s="163"/>
      <c r="K337" s="164"/>
      <c r="L337" s="56">
        <f ca="1">IFERROR(__xludf.DUMMYFUNCTION("IMPORTRANGE(""https://docs.google.com/spreadsheets/d/1yhBcrRPreicbMKl9Bu_Snb2-OcQAF62RKfhTLhJ2eAA/edit?usp=sharing"",""กาฬสินธุ์!L337"")+IMPORTRANGE(""https://docs.google.com/spreadsheets/d/1aHkj4IaQMThhwWwevcOymEh837vdxeC_PycurhTbGFA/edit?usp=sharing"","&amp;"""ขอนแก่น!L337"")+IMPORTRANGE(""https://docs.google.com/spreadsheets/d/1FvTu2DsIWUjP6WCWra38Bkj_oOl_sOMf14r5Fg5srxU/edit?usp=sharing"",""ชัยภูมิ!L337"")+IMPORTRANGE(""https://docs.google.com/spreadsheets/d/1XVB7oCJ3pr-vBUdflwPQ8Z2LlzhnCvZaaYjAfP-647E/edit"&amp;"?usp=sharing"",""นครพนม!L337"")+IMPORTRANGE(""https://docs.google.com/spreadsheets/d/1Mnpb-8PYAgn85W6KOTD40hc_Xc55CaLfHoGAbrZ8tls/edit?usp=sharing"",""นครราชสีมา!L337"")+IMPORTRANGE(""https://docs.google.com/spreadsheets/d/1xoDLGBv9CYbyosIhki0kTq6IpYNj-gp"&amp;"jxfobnaDiut0/edit?usp=sharing"",""บึงกาฬ!L337"")+IMPORTRANGE(""https://docs.google.com/spreadsheets/d/1MMPq-JyI6DSgQETxuSiXkesP-P7JHuemnE6QJIa-Nlw/edit?usp=sharing"",""บุรีรัมย์!L337"")+IMPORTRANGE(""https://docs.google.com/spreadsheets/d/1l6IZ8xUPgMrESzc"&amp;"TYwhA1k_tPjeQjJPTqlm8Gd9eU5g/edit?usp=sharing"",""มหาสารคาม!L337"")+IMPORTRANGE(""https://docs.google.com/spreadsheets/d/1uB74YLqNjWX6FObjekfB2NtSYigTQyR2rq9u4Ub2Sq4/edit?usp=sharing"",""มุกดาหาร!L337"")+IMPORTRANGE(""https://docs.google.com/spreadsheets/"&amp;"d/1NexK3geCPxCTO1fzNF8dPec7yZyUx3OaWkFBC9HsQOo/edit?usp=sharing"",""ยโสธร!L337"")+IMPORTRANGE(""https://docs.google.com/spreadsheets/d/1v_cJrbBlyqmnHPReHk44g9NrMRdENNlSy_E_c5M9fIg/edit?usp=sharing"",""ร้อยเอ็ด!L337"")+IMPORTRANGE(""https://docs.google.com"&amp;"/spreadsheets/d/1Ul4RCpCX66NxYADU1QpwAPjOmBzW64SsT11s1wzXw_c/edit?usp=sharing"",""เลย!L337"")+IMPORTRANGE(""https://docs.google.com/spreadsheets/d/1bRrNKwbHDVktQG10isr5vbWRtt5spIZPpkOSWgbT5ug/edit?usp=sharing"",""ศรีสะเกษ!L337"")+IMPORTRANGE(""https://doc"&amp;"s.google.com/spreadsheets/d/17P34_Ow5kFBfdQD0qspb2UuPX5zpi6WMrQzslghyvrI/edit?usp=sharing"",""สกลนคร!L337"")+IMPORTRANGE(""https://docs.google.com/spreadsheets/d/1yswqbM3-AEpThF3ZSUa1AcmHnmRTF1vlJ1CZGcJ8YuU/edit?usp=sharing"",""สุรินทร์!L337"")+IMPORTRANG"&amp;"E(""https://docs.google.com/spreadsheets/d/13JHU_EFbsQOUQ0JSQ3dWy1VTRosIWcDq6Nc99z2qzdc/edit?usp=sharing"",""หนองคาย!L337"")+IMPORTRANGE(""https://docs.google.com/spreadsheets/d/1Hx73zIEgVdDZZaYSTc46Dqv64atFhpr3GelxLbaIN8A/edit?usp=sharing"",""หนองบัวลำภู"&amp;"!L337"")+IMPORTRANGE(""https://docs.google.com/spreadsheets/d/1lFxr3ctmjFN90yc-xV6jrQ9Ty8BKYVBWnAZ15wcNIJc/edit?usp=sharing"",""อำนาจเจริญ!L337"")+IMPORTRANGE(""https://docs.google.com/spreadsheets/d/1gF7RJpRnL-1oyjyeWxs5SFWEH7y8ahOZsQlyp2A2e-A/edit?usp=s"&amp;"haring"",""อุดรธานี!L337"")+IMPORTRANGE(""https://docs.google.com/spreadsheets/d/1kfLP0j3INXRa8bTDpcEmoWewMBV61jlFlfzczfjWIgc/edit?usp=sharing"",""อุบลราชธานี!L337"")"),0)</f>
        <v>0</v>
      </c>
      <c r="M337" s="56">
        <f ca="1">IFERROR(__xludf.DUMMYFUNCTION("IMPORTRANGE(""https://docs.google.com/spreadsheets/d/1yhBcrRPreicbMKl9Bu_Snb2-OcQAF62RKfhTLhJ2eAA/edit?usp=sharing"",""กาฬสินธุ์!M337"")+IMPORTRANGE(""https://docs.google.com/spreadsheets/d/1aHkj4IaQMThhwWwevcOymEh837vdxeC_PycurhTbGFA/edit?usp=sharing"","&amp;"""ขอนแก่น!M337"")+IMPORTRANGE(""https://docs.google.com/spreadsheets/d/1FvTu2DsIWUjP6WCWra38Bkj_oOl_sOMf14r5Fg5srxU/edit?usp=sharing"",""ชัยภูมิ!M337"")+IMPORTRANGE(""https://docs.google.com/spreadsheets/d/1XVB7oCJ3pr-vBUdflwPQ8Z2LlzhnCvZaaYjAfP-647E/edit"&amp;"?usp=sharing"",""นครพนม!M337"")+IMPORTRANGE(""https://docs.google.com/spreadsheets/d/1Mnpb-8PYAgn85W6KOTD40hc_Xc55CaLfHoGAbrZ8tls/edit?usp=sharing"",""นครราชสีมา!M337"")+IMPORTRANGE(""https://docs.google.com/spreadsheets/d/1xoDLGBv9CYbyosIhki0kTq6IpYNj-gp"&amp;"jxfobnaDiut0/edit?usp=sharing"",""บึงกาฬ!M337"")+IMPORTRANGE(""https://docs.google.com/spreadsheets/d/1MMPq-JyI6DSgQETxuSiXkesP-P7JHuemnE6QJIa-Nlw/edit?usp=sharing"",""บุรีรัมย์!M337"")+IMPORTRANGE(""https://docs.google.com/spreadsheets/d/1l6IZ8xUPgMrESzc"&amp;"TYwhA1k_tPjeQjJPTqlm8Gd9eU5g/edit?usp=sharing"",""มหาสารคาม!M337"")+IMPORTRANGE(""https://docs.google.com/spreadsheets/d/1uB74YLqNjWX6FObjekfB2NtSYigTQyR2rq9u4Ub2Sq4/edit?usp=sharing"",""มุกดาหาร!M337"")+IMPORTRANGE(""https://docs.google.com/spreadsheets/"&amp;"d/1NexK3geCPxCTO1fzNF8dPec7yZyUx3OaWkFBC9HsQOo/edit?usp=sharing"",""ยโสธร!M337"")+IMPORTRANGE(""https://docs.google.com/spreadsheets/d/1v_cJrbBlyqmnHPReHk44g9NrMRdENNlSy_E_c5M9fIg/edit?usp=sharing"",""ร้อยเอ็ด!M337"")+IMPORTRANGE(""https://docs.google.com"&amp;"/spreadsheets/d/1Ul4RCpCX66NxYADU1QpwAPjOmBzW64SsT11s1wzXw_c/edit?usp=sharing"",""เลย!M337"")+IMPORTRANGE(""https://docs.google.com/spreadsheets/d/1bRrNKwbHDVktQG10isr5vbWRtt5spIZPpkOSWgbT5ug/edit?usp=sharing"",""ศรีสะเกษ!M337"")+IMPORTRANGE(""https://doc"&amp;"s.google.com/spreadsheets/d/17P34_Ow5kFBfdQD0qspb2UuPX5zpi6WMrQzslghyvrI/edit?usp=sharing"",""สกลนคร!M337"")+IMPORTRANGE(""https://docs.google.com/spreadsheets/d/1yswqbM3-AEpThF3ZSUa1AcmHnmRTF1vlJ1CZGcJ8YuU/edit?usp=sharing"",""สุรินทร์!M337"")+IMPORTRANG"&amp;"E(""https://docs.google.com/spreadsheets/d/13JHU_EFbsQOUQ0JSQ3dWy1VTRosIWcDq6Nc99z2qzdc/edit?usp=sharing"",""หนองคาย!M337"")+IMPORTRANGE(""https://docs.google.com/spreadsheets/d/1Hx73zIEgVdDZZaYSTc46Dqv64atFhpr3GelxLbaIN8A/edit?usp=sharing"",""หนองบัวลำภู"&amp;"!M337"")+IMPORTRANGE(""https://docs.google.com/spreadsheets/d/1lFxr3ctmjFN90yc-xV6jrQ9Ty8BKYVBWnAZ15wcNIJc/edit?usp=sharing"",""อำนาจเจริญ!M337"")+IMPORTRANGE(""https://docs.google.com/spreadsheets/d/1gF7RJpRnL-1oyjyeWxs5SFWEH7y8ahOZsQlyp2A2e-A/edit?usp=s"&amp;"haring"",""อุดรธานี!M337"")+IMPORTRANGE(""https://docs.google.com/spreadsheets/d/1kfLP0j3INXRa8bTDpcEmoWewMBV61jlFlfzczfjWIgc/edit?usp=sharing"",""อุบลราชธานี!M337"")"),0)</f>
        <v>0</v>
      </c>
      <c r="N337" s="56">
        <f ca="1">IFERROR(__xludf.DUMMYFUNCTION("IMPORTRANGE(""https://docs.google.com/spreadsheets/d/1yhBcrRPreicbMKl9Bu_Snb2-OcQAF62RKfhTLhJ2eAA/edit?usp=sharing"",""กาฬสินธุ์!N337"")+IMPORTRANGE(""https://docs.google.com/spreadsheets/d/1aHkj4IaQMThhwWwevcOymEh837vdxeC_PycurhTbGFA/edit?usp=sharing"","&amp;"""ขอนแก่น!N337"")+IMPORTRANGE(""https://docs.google.com/spreadsheets/d/1FvTu2DsIWUjP6WCWra38Bkj_oOl_sOMf14r5Fg5srxU/edit?usp=sharing"",""ชัยภูมิ!N337"")+IMPORTRANGE(""https://docs.google.com/spreadsheets/d/1XVB7oCJ3pr-vBUdflwPQ8Z2LlzhnCvZaaYjAfP-647E/edit"&amp;"?usp=sharing"",""นครพนม!N337"")+IMPORTRANGE(""https://docs.google.com/spreadsheets/d/1Mnpb-8PYAgn85W6KOTD40hc_Xc55CaLfHoGAbrZ8tls/edit?usp=sharing"",""นครราชสีมา!N337"")+IMPORTRANGE(""https://docs.google.com/spreadsheets/d/1xoDLGBv9CYbyosIhki0kTq6IpYNj-gp"&amp;"jxfobnaDiut0/edit?usp=sharing"",""บึงกาฬ!N337"")+IMPORTRANGE(""https://docs.google.com/spreadsheets/d/1MMPq-JyI6DSgQETxuSiXkesP-P7JHuemnE6QJIa-Nlw/edit?usp=sharing"",""บุรีรัมย์!N337"")+IMPORTRANGE(""https://docs.google.com/spreadsheets/d/1l6IZ8xUPgMrESzc"&amp;"TYwhA1k_tPjeQjJPTqlm8Gd9eU5g/edit?usp=sharing"",""มหาสารคาม!N337"")+IMPORTRANGE(""https://docs.google.com/spreadsheets/d/1uB74YLqNjWX6FObjekfB2NtSYigTQyR2rq9u4Ub2Sq4/edit?usp=sharing"",""มุกดาหาร!N337"")+IMPORTRANGE(""https://docs.google.com/spreadsheets/"&amp;"d/1NexK3geCPxCTO1fzNF8dPec7yZyUx3OaWkFBC9HsQOo/edit?usp=sharing"",""ยโสธร!N337"")+IMPORTRANGE(""https://docs.google.com/spreadsheets/d/1v_cJrbBlyqmnHPReHk44g9NrMRdENNlSy_E_c5M9fIg/edit?usp=sharing"",""ร้อยเอ็ด!N337"")+IMPORTRANGE(""https://docs.google.com"&amp;"/spreadsheets/d/1Ul4RCpCX66NxYADU1QpwAPjOmBzW64SsT11s1wzXw_c/edit?usp=sharing"",""เลย!N337"")+IMPORTRANGE(""https://docs.google.com/spreadsheets/d/1bRrNKwbHDVktQG10isr5vbWRtt5spIZPpkOSWgbT5ug/edit?usp=sharing"",""ศรีสะเกษ!N337"")+IMPORTRANGE(""https://doc"&amp;"s.google.com/spreadsheets/d/17P34_Ow5kFBfdQD0qspb2UuPX5zpi6WMrQzslghyvrI/edit?usp=sharing"",""สกลนคร!N337"")+IMPORTRANGE(""https://docs.google.com/spreadsheets/d/1yswqbM3-AEpThF3ZSUa1AcmHnmRTF1vlJ1CZGcJ8YuU/edit?usp=sharing"",""สุรินทร์!N337"")+IMPORTRANG"&amp;"E(""https://docs.google.com/spreadsheets/d/13JHU_EFbsQOUQ0JSQ3dWy1VTRosIWcDq6Nc99z2qzdc/edit?usp=sharing"",""หนองคาย!N337"")+IMPORTRANGE(""https://docs.google.com/spreadsheets/d/1Hx73zIEgVdDZZaYSTc46Dqv64atFhpr3GelxLbaIN8A/edit?usp=sharing"",""หนองบัวลำภู"&amp;"!N337"")+IMPORTRANGE(""https://docs.google.com/spreadsheets/d/1lFxr3ctmjFN90yc-xV6jrQ9Ty8BKYVBWnAZ15wcNIJc/edit?usp=sharing"",""อำนาจเจริญ!N337"")+IMPORTRANGE(""https://docs.google.com/spreadsheets/d/1gF7RJpRnL-1oyjyeWxs5SFWEH7y8ahOZsQlyp2A2e-A/edit?usp=s"&amp;"haring"",""อุดรธานี!N337"")+IMPORTRANGE(""https://docs.google.com/spreadsheets/d/1kfLP0j3INXRa8bTDpcEmoWewMBV61jlFlfzczfjWIgc/edit?usp=sharing"",""อุบลราชธานี!N337"")"),0)</f>
        <v>0</v>
      </c>
      <c r="O337" s="56">
        <f t="shared" ca="1" si="253"/>
        <v>0</v>
      </c>
      <c r="P337" s="56">
        <f t="shared" ca="1" si="254"/>
        <v>0</v>
      </c>
      <c r="Q337" s="56">
        <f ca="1">IFERROR(__xludf.DUMMYFUNCTION("IMPORTRANGE(""https://docs.google.com/spreadsheets/d/1yhBcrRPreicbMKl9Bu_Snb2-OcQAF62RKfhTLhJ2eAA/edit?usp=sharing"",""กาฬสินธุ์!Q337"")+IMPORTRANGE(""https://docs.google.com/spreadsheets/d/1aHkj4IaQMThhwWwevcOymEh837vdxeC_PycurhTbGFA/edit?usp=sharing"","&amp;"""ขอนแก่น!Q337"")+IMPORTRANGE(""https://docs.google.com/spreadsheets/d/1FvTu2DsIWUjP6WCWra38Bkj_oOl_sOMf14r5Fg5srxU/edit?usp=sharing"",""ชัยภูมิ!Q337"")+IMPORTRANGE(""https://docs.google.com/spreadsheets/d/1XVB7oCJ3pr-vBUdflwPQ8Z2LlzhnCvZaaYjAfP-647E/edit"&amp;"?usp=sharing"",""นครพนม!Q337"")+IMPORTRANGE(""https://docs.google.com/spreadsheets/d/1Mnpb-8PYAgn85W6KOTD40hc_Xc55CaLfHoGAbrZ8tls/edit?usp=sharing"",""นครราชสีมา!Q337"")+IMPORTRANGE(""https://docs.google.com/spreadsheets/d/1xoDLGBv9CYbyosIhki0kTq6IpYNj-gp"&amp;"jxfobnaDiut0/edit?usp=sharing"",""บึงกาฬ!Q337"")+IMPORTRANGE(""https://docs.google.com/spreadsheets/d/1MMPq-JyI6DSgQETxuSiXkesP-P7JHuemnE6QJIa-Nlw/edit?usp=sharing"",""บุรีรัมย์!Q337"")+IMPORTRANGE(""https://docs.google.com/spreadsheets/d/1l6IZ8xUPgMrESzc"&amp;"TYwhA1k_tPjeQjJPTqlm8Gd9eU5g/edit?usp=sharing"",""มหาสารคาม!Q337"")+IMPORTRANGE(""https://docs.google.com/spreadsheets/d/1uB74YLqNjWX6FObjekfB2NtSYigTQyR2rq9u4Ub2Sq4/edit?usp=sharing"",""มุกดาหาร!Q337"")+IMPORTRANGE(""https://docs.google.com/spreadsheets/"&amp;"d/1NexK3geCPxCTO1fzNF8dPec7yZyUx3OaWkFBC9HsQOo/edit?usp=sharing"",""ยโสธร!Q337"")+IMPORTRANGE(""https://docs.google.com/spreadsheets/d/1v_cJrbBlyqmnHPReHk44g9NrMRdENNlSy_E_c5M9fIg/edit?usp=sharing"",""ร้อยเอ็ด!Q337"")+IMPORTRANGE(""https://docs.google.com"&amp;"/spreadsheets/d/1Ul4RCpCX66NxYADU1QpwAPjOmBzW64SsT11s1wzXw_c/edit?usp=sharing"",""เลย!Q337"")+IMPORTRANGE(""https://docs.google.com/spreadsheets/d/1bRrNKwbHDVktQG10isr5vbWRtt5spIZPpkOSWgbT5ug/edit?usp=sharing"",""ศรีสะเกษ!Q337"")+IMPORTRANGE(""https://doc"&amp;"s.google.com/spreadsheets/d/17P34_Ow5kFBfdQD0qspb2UuPX5zpi6WMrQzslghyvrI/edit?usp=sharing"",""สกลนคร!Q337"")+IMPORTRANGE(""https://docs.google.com/spreadsheets/d/1yswqbM3-AEpThF3ZSUa1AcmHnmRTF1vlJ1CZGcJ8YuU/edit?usp=sharing"",""สุรินทร์!Q337"")+IMPORTRANG"&amp;"E(""https://docs.google.com/spreadsheets/d/13JHU_EFbsQOUQ0JSQ3dWy1VTRosIWcDq6Nc99z2qzdc/edit?usp=sharing"",""หนองคาย!Q337"")+IMPORTRANGE(""https://docs.google.com/spreadsheets/d/1Hx73zIEgVdDZZaYSTc46Dqv64atFhpr3GelxLbaIN8A/edit?usp=sharing"",""หนองบัวลำภู"&amp;"!Q337"")+IMPORTRANGE(""https://docs.google.com/spreadsheets/d/1lFxr3ctmjFN90yc-xV6jrQ9Ty8BKYVBWnAZ15wcNIJc/edit?usp=sharing"",""อำนาจเจริญ!Q337"")+IMPORTRANGE(""https://docs.google.com/spreadsheets/d/1gF7RJpRnL-1oyjyeWxs5SFWEH7y8ahOZsQlyp2A2e-A/edit?usp=s"&amp;"haring"",""อุดรธานี!Q337"")+IMPORTRANGE(""https://docs.google.com/spreadsheets/d/1kfLP0j3INXRa8bTDpcEmoWewMBV61jlFlfzczfjWIgc/edit?usp=sharing"",""อุบลราชธานี!Q337"")"),0)</f>
        <v>0</v>
      </c>
      <c r="R337" s="56">
        <f ca="1">IFERROR(__xludf.DUMMYFUNCTION("IMPORTRANGE(""https://docs.google.com/spreadsheets/d/1yhBcrRPreicbMKl9Bu_Snb2-OcQAF62RKfhTLhJ2eAA/edit?usp=sharing"",""กาฬสินธุ์!R337"")+IMPORTRANGE(""https://docs.google.com/spreadsheets/d/1aHkj4IaQMThhwWwevcOymEh837vdxeC_PycurhTbGFA/edit?usp=sharing"","&amp;"""ขอนแก่น!R337"")+IMPORTRANGE(""https://docs.google.com/spreadsheets/d/1FvTu2DsIWUjP6WCWra38Bkj_oOl_sOMf14r5Fg5srxU/edit?usp=sharing"",""ชัยภูมิ!R337"")+IMPORTRANGE(""https://docs.google.com/spreadsheets/d/1XVB7oCJ3pr-vBUdflwPQ8Z2LlzhnCvZaaYjAfP-647E/edit"&amp;"?usp=sharing"",""นครพนม!R337"")+IMPORTRANGE(""https://docs.google.com/spreadsheets/d/1Mnpb-8PYAgn85W6KOTD40hc_Xc55CaLfHoGAbrZ8tls/edit?usp=sharing"",""นครราชสีมา!R337"")+IMPORTRANGE(""https://docs.google.com/spreadsheets/d/1xoDLGBv9CYbyosIhki0kTq6IpYNj-gp"&amp;"jxfobnaDiut0/edit?usp=sharing"",""บึงกาฬ!R337"")+IMPORTRANGE(""https://docs.google.com/spreadsheets/d/1MMPq-JyI6DSgQETxuSiXkesP-P7JHuemnE6QJIa-Nlw/edit?usp=sharing"",""บุรีรัมย์!R337"")+IMPORTRANGE(""https://docs.google.com/spreadsheets/d/1l6IZ8xUPgMrESzc"&amp;"TYwhA1k_tPjeQjJPTqlm8Gd9eU5g/edit?usp=sharing"",""มหาสารคาม!R337"")+IMPORTRANGE(""https://docs.google.com/spreadsheets/d/1uB74YLqNjWX6FObjekfB2NtSYigTQyR2rq9u4Ub2Sq4/edit?usp=sharing"",""มุกดาหาร!R337"")+IMPORTRANGE(""https://docs.google.com/spreadsheets/"&amp;"d/1NexK3geCPxCTO1fzNF8dPec7yZyUx3OaWkFBC9HsQOo/edit?usp=sharing"",""ยโสธร!R337"")+IMPORTRANGE(""https://docs.google.com/spreadsheets/d/1v_cJrbBlyqmnHPReHk44g9NrMRdENNlSy_E_c5M9fIg/edit?usp=sharing"",""ร้อยเอ็ด!R337"")+IMPORTRANGE(""https://docs.google.com"&amp;"/spreadsheets/d/1Ul4RCpCX66NxYADU1QpwAPjOmBzW64SsT11s1wzXw_c/edit?usp=sharing"",""เลย!R337"")+IMPORTRANGE(""https://docs.google.com/spreadsheets/d/1bRrNKwbHDVktQG10isr5vbWRtt5spIZPpkOSWgbT5ug/edit?usp=sharing"",""ศรีสะเกษ!R337"")+IMPORTRANGE(""https://doc"&amp;"s.google.com/spreadsheets/d/17P34_Ow5kFBfdQD0qspb2UuPX5zpi6WMrQzslghyvrI/edit?usp=sharing"",""สกลนคร!R337"")+IMPORTRANGE(""https://docs.google.com/spreadsheets/d/1yswqbM3-AEpThF3ZSUa1AcmHnmRTF1vlJ1CZGcJ8YuU/edit?usp=sharing"",""สุรินทร์!R337"")+IMPORTRANG"&amp;"E(""https://docs.google.com/spreadsheets/d/13JHU_EFbsQOUQ0JSQ3dWy1VTRosIWcDq6Nc99z2qzdc/edit?usp=sharing"",""หนองคาย!R337"")+IMPORTRANGE(""https://docs.google.com/spreadsheets/d/1Hx73zIEgVdDZZaYSTc46Dqv64atFhpr3GelxLbaIN8A/edit?usp=sharing"",""หนองบัวลำภู"&amp;"!R337"")+IMPORTRANGE(""https://docs.google.com/spreadsheets/d/1lFxr3ctmjFN90yc-xV6jrQ9Ty8BKYVBWnAZ15wcNIJc/edit?usp=sharing"",""อำนาจเจริญ!R337"")+IMPORTRANGE(""https://docs.google.com/spreadsheets/d/1gF7RJpRnL-1oyjyeWxs5SFWEH7y8ahOZsQlyp2A2e-A/edit?usp=s"&amp;"haring"",""อุดรธานี!R337"")+IMPORTRANGE(""https://docs.google.com/spreadsheets/d/1kfLP0j3INXRa8bTDpcEmoWewMBV61jlFlfzczfjWIgc/edit?usp=sharing"",""อุบลราชธานี!R337"")"),0)</f>
        <v>0</v>
      </c>
      <c r="S337" s="57">
        <f ca="1">IFERROR(__xludf.DUMMYFUNCTION("IMPORTRANGE(""https://docs.google.com/spreadsheets/d/1yhBcrRPreicbMKl9Bu_Snb2-OcQAF62RKfhTLhJ2eAA/edit?usp=sharing"",""กาฬสินธุ์!S337"")+IMPORTRANGE(""https://docs.google.com/spreadsheets/d/1aHkj4IaQMThhwWwevcOymEh837vdxeC_PycurhTbGFA/edit?usp=sharing"","&amp;"""ขอนแก่น!S337"")+IMPORTRANGE(""https://docs.google.com/spreadsheets/d/1FvTu2DsIWUjP6WCWra38Bkj_oOl_sOMf14r5Fg5srxU/edit?usp=sharing"",""ชัยภูมิ!S337"")+IMPORTRANGE(""https://docs.google.com/spreadsheets/d/1XVB7oCJ3pr-vBUdflwPQ8Z2LlzhnCvZaaYjAfP-647E/edit"&amp;"?usp=sharing"",""นครพนม!S337"")+IMPORTRANGE(""https://docs.google.com/spreadsheets/d/1Mnpb-8PYAgn85W6KOTD40hc_Xc55CaLfHoGAbrZ8tls/edit?usp=sharing"",""นครราชสีมา!S337"")+IMPORTRANGE(""https://docs.google.com/spreadsheets/d/1xoDLGBv9CYbyosIhki0kTq6IpYNj-gp"&amp;"jxfobnaDiut0/edit?usp=sharing"",""บึงกาฬ!S337"")+IMPORTRANGE(""https://docs.google.com/spreadsheets/d/1MMPq-JyI6DSgQETxuSiXkesP-P7JHuemnE6QJIa-Nlw/edit?usp=sharing"",""บุรีรัมย์!S337"")+IMPORTRANGE(""https://docs.google.com/spreadsheets/d/1l6IZ8xUPgMrESzc"&amp;"TYwhA1k_tPjeQjJPTqlm8Gd9eU5g/edit?usp=sharing"",""มหาสารคาม!S337"")+IMPORTRANGE(""https://docs.google.com/spreadsheets/d/1uB74YLqNjWX6FObjekfB2NtSYigTQyR2rq9u4Ub2Sq4/edit?usp=sharing"",""มุกดาหาร!S337"")+IMPORTRANGE(""https://docs.google.com/spreadsheets/"&amp;"d/1NexK3geCPxCTO1fzNF8dPec7yZyUx3OaWkFBC9HsQOo/edit?usp=sharing"",""ยโสธร!S337"")+IMPORTRANGE(""https://docs.google.com/spreadsheets/d/1v_cJrbBlyqmnHPReHk44g9NrMRdENNlSy_E_c5M9fIg/edit?usp=sharing"",""ร้อยเอ็ด!S337"")+IMPORTRANGE(""https://docs.google.com"&amp;"/spreadsheets/d/1Ul4RCpCX66NxYADU1QpwAPjOmBzW64SsT11s1wzXw_c/edit?usp=sharing"",""เลย!S337"")+IMPORTRANGE(""https://docs.google.com/spreadsheets/d/1bRrNKwbHDVktQG10isr5vbWRtt5spIZPpkOSWgbT5ug/edit?usp=sharing"",""ศรีสะเกษ!S337"")+IMPORTRANGE(""https://doc"&amp;"s.google.com/spreadsheets/d/17P34_Ow5kFBfdQD0qspb2UuPX5zpi6WMrQzslghyvrI/edit?usp=sharing"",""สกลนคร!S337"")+IMPORTRANGE(""https://docs.google.com/spreadsheets/d/1yswqbM3-AEpThF3ZSUa1AcmHnmRTF1vlJ1CZGcJ8YuU/edit?usp=sharing"",""สุรินทร์!S337"")+IMPORTRANG"&amp;"E(""https://docs.google.com/spreadsheets/d/13JHU_EFbsQOUQ0JSQ3dWy1VTRosIWcDq6Nc99z2qzdc/edit?usp=sharing"",""หนองคาย!S337"")+IMPORTRANGE(""https://docs.google.com/spreadsheets/d/1Hx73zIEgVdDZZaYSTc46Dqv64atFhpr3GelxLbaIN8A/edit?usp=sharing"",""หนองบัวลำภู"&amp;"!S337"")+IMPORTRANGE(""https://docs.google.com/spreadsheets/d/1lFxr3ctmjFN90yc-xV6jrQ9Ty8BKYVBWnAZ15wcNIJc/edit?usp=sharing"",""อำนาจเจริญ!S337"")+IMPORTRANGE(""https://docs.google.com/spreadsheets/d/1gF7RJpRnL-1oyjyeWxs5SFWEH7y8ahOZsQlyp2A2e-A/edit?usp=s"&amp;"haring"",""อุดรธานี!S337"")+IMPORTRANGE(""https://docs.google.com/spreadsheets/d/1kfLP0j3INXRa8bTDpcEmoWewMBV61jlFlfzczfjWIgc/edit?usp=sharing"",""อุบลราชธานี!S337"")"),0)</f>
        <v>0</v>
      </c>
      <c r="T337" s="59">
        <f t="shared" ca="1" si="256"/>
        <v>0</v>
      </c>
      <c r="U337" s="59">
        <f t="shared" ca="1" si="257"/>
        <v>0</v>
      </c>
    </row>
    <row r="338" spans="1:21" ht="18.75">
      <c r="A338" s="155"/>
      <c r="B338" s="50"/>
      <c r="C338" s="50"/>
      <c r="D338" s="50"/>
      <c r="E338" s="58" t="s">
        <v>37</v>
      </c>
      <c r="F338" s="50"/>
      <c r="G338" s="52"/>
      <c r="H338" s="162" t="s">
        <v>14</v>
      </c>
      <c r="I338" s="163"/>
      <c r="J338" s="163"/>
      <c r="K338" s="164"/>
      <c r="L338" s="56">
        <f ca="1">IFERROR(__xludf.DUMMYFUNCTION("IMPORTRANGE(""https://docs.google.com/spreadsheets/d/1yhBcrRPreicbMKl9Bu_Snb2-OcQAF62RKfhTLhJ2eAA/edit?usp=sharing"",""กาฬสินธุ์!L338"")+IMPORTRANGE(""https://docs.google.com/spreadsheets/d/1aHkj4IaQMThhwWwevcOymEh837vdxeC_PycurhTbGFA/edit?usp=sharing"","&amp;"""ขอนแก่น!L338"")+IMPORTRANGE(""https://docs.google.com/spreadsheets/d/1FvTu2DsIWUjP6WCWra38Bkj_oOl_sOMf14r5Fg5srxU/edit?usp=sharing"",""ชัยภูมิ!L338"")+IMPORTRANGE(""https://docs.google.com/spreadsheets/d/1XVB7oCJ3pr-vBUdflwPQ8Z2LlzhnCvZaaYjAfP-647E/edit"&amp;"?usp=sharing"",""นครพนม!L338"")+IMPORTRANGE(""https://docs.google.com/spreadsheets/d/1Mnpb-8PYAgn85W6KOTD40hc_Xc55CaLfHoGAbrZ8tls/edit?usp=sharing"",""นครราชสีมา!L338"")+IMPORTRANGE(""https://docs.google.com/spreadsheets/d/1xoDLGBv9CYbyosIhki0kTq6IpYNj-gp"&amp;"jxfobnaDiut0/edit?usp=sharing"",""บึงกาฬ!L338"")+IMPORTRANGE(""https://docs.google.com/spreadsheets/d/1MMPq-JyI6DSgQETxuSiXkesP-P7JHuemnE6QJIa-Nlw/edit?usp=sharing"",""บุรีรัมย์!L338"")+IMPORTRANGE(""https://docs.google.com/spreadsheets/d/1l6IZ8xUPgMrESzc"&amp;"TYwhA1k_tPjeQjJPTqlm8Gd9eU5g/edit?usp=sharing"",""มหาสารคาม!L338"")+IMPORTRANGE(""https://docs.google.com/spreadsheets/d/1uB74YLqNjWX6FObjekfB2NtSYigTQyR2rq9u4Ub2Sq4/edit?usp=sharing"",""มุกดาหาร!L338"")+IMPORTRANGE(""https://docs.google.com/spreadsheets/"&amp;"d/1NexK3geCPxCTO1fzNF8dPec7yZyUx3OaWkFBC9HsQOo/edit?usp=sharing"",""ยโสธร!L338"")+IMPORTRANGE(""https://docs.google.com/spreadsheets/d/1v_cJrbBlyqmnHPReHk44g9NrMRdENNlSy_E_c5M9fIg/edit?usp=sharing"",""ร้อยเอ็ด!L338"")+IMPORTRANGE(""https://docs.google.com"&amp;"/spreadsheets/d/1Ul4RCpCX66NxYADU1QpwAPjOmBzW64SsT11s1wzXw_c/edit?usp=sharing"",""เลย!L338"")+IMPORTRANGE(""https://docs.google.com/spreadsheets/d/1bRrNKwbHDVktQG10isr5vbWRtt5spIZPpkOSWgbT5ug/edit?usp=sharing"",""ศรีสะเกษ!L338"")+IMPORTRANGE(""https://doc"&amp;"s.google.com/spreadsheets/d/17P34_Ow5kFBfdQD0qspb2UuPX5zpi6WMrQzslghyvrI/edit?usp=sharing"",""สกลนคร!L338"")+IMPORTRANGE(""https://docs.google.com/spreadsheets/d/1yswqbM3-AEpThF3ZSUa1AcmHnmRTF1vlJ1CZGcJ8YuU/edit?usp=sharing"",""สุรินทร์!L338"")+IMPORTRANG"&amp;"E(""https://docs.google.com/spreadsheets/d/13JHU_EFbsQOUQ0JSQ3dWy1VTRosIWcDq6Nc99z2qzdc/edit?usp=sharing"",""หนองคาย!L338"")+IMPORTRANGE(""https://docs.google.com/spreadsheets/d/1Hx73zIEgVdDZZaYSTc46Dqv64atFhpr3GelxLbaIN8A/edit?usp=sharing"",""หนองบัวลำภู"&amp;"!L338"")+IMPORTRANGE(""https://docs.google.com/spreadsheets/d/1lFxr3ctmjFN90yc-xV6jrQ9Ty8BKYVBWnAZ15wcNIJc/edit?usp=sharing"",""อำนาจเจริญ!L338"")+IMPORTRANGE(""https://docs.google.com/spreadsheets/d/1gF7RJpRnL-1oyjyeWxs5SFWEH7y8ahOZsQlyp2A2e-A/edit?usp=s"&amp;"haring"",""อุดรธานี!L338"")+IMPORTRANGE(""https://docs.google.com/spreadsheets/d/1kfLP0j3INXRa8bTDpcEmoWewMBV61jlFlfzczfjWIgc/edit?usp=sharing"",""อุบลราชธานี!L338"")"),2440700)</f>
        <v>2440700</v>
      </c>
      <c r="M338" s="56">
        <f ca="1">IFERROR(__xludf.DUMMYFUNCTION("IMPORTRANGE(""https://docs.google.com/spreadsheets/d/1yhBcrRPreicbMKl9Bu_Snb2-OcQAF62RKfhTLhJ2eAA/edit?usp=sharing"",""กาฬสินธุ์!M338"")+IMPORTRANGE(""https://docs.google.com/spreadsheets/d/1aHkj4IaQMThhwWwevcOymEh837vdxeC_PycurhTbGFA/edit?usp=sharing"","&amp;"""ขอนแก่น!M338"")+IMPORTRANGE(""https://docs.google.com/spreadsheets/d/1FvTu2DsIWUjP6WCWra38Bkj_oOl_sOMf14r5Fg5srxU/edit?usp=sharing"",""ชัยภูมิ!M338"")+IMPORTRANGE(""https://docs.google.com/spreadsheets/d/1XVB7oCJ3pr-vBUdflwPQ8Z2LlzhnCvZaaYjAfP-647E/edit"&amp;"?usp=sharing"",""นครพนม!M338"")+IMPORTRANGE(""https://docs.google.com/spreadsheets/d/1Mnpb-8PYAgn85W6KOTD40hc_Xc55CaLfHoGAbrZ8tls/edit?usp=sharing"",""นครราชสีมา!M338"")+IMPORTRANGE(""https://docs.google.com/spreadsheets/d/1xoDLGBv9CYbyosIhki0kTq6IpYNj-gp"&amp;"jxfobnaDiut0/edit?usp=sharing"",""บึงกาฬ!M338"")+IMPORTRANGE(""https://docs.google.com/spreadsheets/d/1MMPq-JyI6DSgQETxuSiXkesP-P7JHuemnE6QJIa-Nlw/edit?usp=sharing"",""บุรีรัมย์!M338"")+IMPORTRANGE(""https://docs.google.com/spreadsheets/d/1l6IZ8xUPgMrESzc"&amp;"TYwhA1k_tPjeQjJPTqlm8Gd9eU5g/edit?usp=sharing"",""มหาสารคาม!M338"")+IMPORTRANGE(""https://docs.google.com/spreadsheets/d/1uB74YLqNjWX6FObjekfB2NtSYigTQyR2rq9u4Ub2Sq4/edit?usp=sharing"",""มุกดาหาร!M338"")+IMPORTRANGE(""https://docs.google.com/spreadsheets/"&amp;"d/1NexK3geCPxCTO1fzNF8dPec7yZyUx3OaWkFBC9HsQOo/edit?usp=sharing"",""ยโสธร!M338"")+IMPORTRANGE(""https://docs.google.com/spreadsheets/d/1v_cJrbBlyqmnHPReHk44g9NrMRdENNlSy_E_c5M9fIg/edit?usp=sharing"",""ร้อยเอ็ด!M338"")+IMPORTRANGE(""https://docs.google.com"&amp;"/spreadsheets/d/1Ul4RCpCX66NxYADU1QpwAPjOmBzW64SsT11s1wzXw_c/edit?usp=sharing"",""เลย!M338"")+IMPORTRANGE(""https://docs.google.com/spreadsheets/d/1bRrNKwbHDVktQG10isr5vbWRtt5spIZPpkOSWgbT5ug/edit?usp=sharing"",""ศรีสะเกษ!M338"")+IMPORTRANGE(""https://doc"&amp;"s.google.com/spreadsheets/d/17P34_Ow5kFBfdQD0qspb2UuPX5zpi6WMrQzslghyvrI/edit?usp=sharing"",""สกลนคร!M338"")+IMPORTRANGE(""https://docs.google.com/spreadsheets/d/1yswqbM3-AEpThF3ZSUa1AcmHnmRTF1vlJ1CZGcJ8YuU/edit?usp=sharing"",""สุรินทร์!M338"")+IMPORTRANG"&amp;"E(""https://docs.google.com/spreadsheets/d/13JHU_EFbsQOUQ0JSQ3dWy1VTRosIWcDq6Nc99z2qzdc/edit?usp=sharing"",""หนองคาย!M338"")+IMPORTRANGE(""https://docs.google.com/spreadsheets/d/1Hx73zIEgVdDZZaYSTc46Dqv64atFhpr3GelxLbaIN8A/edit?usp=sharing"",""หนองบัวลำภู"&amp;"!M338"")+IMPORTRANGE(""https://docs.google.com/spreadsheets/d/1lFxr3ctmjFN90yc-xV6jrQ9Ty8BKYVBWnAZ15wcNIJc/edit?usp=sharing"",""อำนาจเจริญ!M338"")+IMPORTRANGE(""https://docs.google.com/spreadsheets/d/1gF7RJpRnL-1oyjyeWxs5SFWEH7y8ahOZsQlyp2A2e-A/edit?usp=s"&amp;"haring"",""อุดรธานี!M338"")+IMPORTRANGE(""https://docs.google.com/spreadsheets/d/1kfLP0j3INXRa8bTDpcEmoWewMBV61jlFlfzczfjWIgc/edit?usp=sharing"",""อุบลราชธานี!M338"")"),2540700)</f>
        <v>2540700</v>
      </c>
      <c r="N338" s="56">
        <f ca="1">IFERROR(__xludf.DUMMYFUNCTION("IMPORTRANGE(""https://docs.google.com/spreadsheets/d/1yhBcrRPreicbMKl9Bu_Snb2-OcQAF62RKfhTLhJ2eAA/edit?usp=sharing"",""กาฬสินธุ์!N338"")+IMPORTRANGE(""https://docs.google.com/spreadsheets/d/1aHkj4IaQMThhwWwevcOymEh837vdxeC_PycurhTbGFA/edit?usp=sharing"","&amp;"""ขอนแก่น!N338"")+IMPORTRANGE(""https://docs.google.com/spreadsheets/d/1FvTu2DsIWUjP6WCWra38Bkj_oOl_sOMf14r5Fg5srxU/edit?usp=sharing"",""ชัยภูมิ!N338"")+IMPORTRANGE(""https://docs.google.com/spreadsheets/d/1XVB7oCJ3pr-vBUdflwPQ8Z2LlzhnCvZaaYjAfP-647E/edit"&amp;"?usp=sharing"",""นครพนม!N338"")+IMPORTRANGE(""https://docs.google.com/spreadsheets/d/1Mnpb-8PYAgn85W6KOTD40hc_Xc55CaLfHoGAbrZ8tls/edit?usp=sharing"",""นครราชสีมา!N338"")+IMPORTRANGE(""https://docs.google.com/spreadsheets/d/1xoDLGBv9CYbyosIhki0kTq6IpYNj-gp"&amp;"jxfobnaDiut0/edit?usp=sharing"",""บึงกาฬ!N338"")+IMPORTRANGE(""https://docs.google.com/spreadsheets/d/1MMPq-JyI6DSgQETxuSiXkesP-P7JHuemnE6QJIa-Nlw/edit?usp=sharing"",""บุรีรัมย์!N338"")+IMPORTRANGE(""https://docs.google.com/spreadsheets/d/1l6IZ8xUPgMrESzc"&amp;"TYwhA1k_tPjeQjJPTqlm8Gd9eU5g/edit?usp=sharing"",""มหาสารคาม!N338"")+IMPORTRANGE(""https://docs.google.com/spreadsheets/d/1uB74YLqNjWX6FObjekfB2NtSYigTQyR2rq9u4Ub2Sq4/edit?usp=sharing"",""มุกดาหาร!N338"")+IMPORTRANGE(""https://docs.google.com/spreadsheets/"&amp;"d/1NexK3geCPxCTO1fzNF8dPec7yZyUx3OaWkFBC9HsQOo/edit?usp=sharing"",""ยโสธร!N338"")+IMPORTRANGE(""https://docs.google.com/spreadsheets/d/1v_cJrbBlyqmnHPReHk44g9NrMRdENNlSy_E_c5M9fIg/edit?usp=sharing"",""ร้อยเอ็ด!N338"")+IMPORTRANGE(""https://docs.google.com"&amp;"/spreadsheets/d/1Ul4RCpCX66NxYADU1QpwAPjOmBzW64SsT11s1wzXw_c/edit?usp=sharing"",""เลย!N338"")+IMPORTRANGE(""https://docs.google.com/spreadsheets/d/1bRrNKwbHDVktQG10isr5vbWRtt5spIZPpkOSWgbT5ug/edit?usp=sharing"",""ศรีสะเกษ!N338"")+IMPORTRANGE(""https://doc"&amp;"s.google.com/spreadsheets/d/17P34_Ow5kFBfdQD0qspb2UuPX5zpi6WMrQzslghyvrI/edit?usp=sharing"",""สกลนคร!N338"")+IMPORTRANGE(""https://docs.google.com/spreadsheets/d/1yswqbM3-AEpThF3ZSUa1AcmHnmRTF1vlJ1CZGcJ8YuU/edit?usp=sharing"",""สุรินทร์!N338"")+IMPORTRANG"&amp;"E(""https://docs.google.com/spreadsheets/d/13JHU_EFbsQOUQ0JSQ3dWy1VTRosIWcDq6Nc99z2qzdc/edit?usp=sharing"",""หนองคาย!N338"")+IMPORTRANGE(""https://docs.google.com/spreadsheets/d/1Hx73zIEgVdDZZaYSTc46Dqv64atFhpr3GelxLbaIN8A/edit?usp=sharing"",""หนองบัวลำภู"&amp;"!N338"")+IMPORTRANGE(""https://docs.google.com/spreadsheets/d/1lFxr3ctmjFN90yc-xV6jrQ9Ty8BKYVBWnAZ15wcNIJc/edit?usp=sharing"",""อำนาจเจริญ!N338"")+IMPORTRANGE(""https://docs.google.com/spreadsheets/d/1gF7RJpRnL-1oyjyeWxs5SFWEH7y8ahOZsQlyp2A2e-A/edit?usp=s"&amp;"haring"",""อุดรธานี!N338"")+IMPORTRANGE(""https://docs.google.com/spreadsheets/d/1kfLP0j3INXRa8bTDpcEmoWewMBV61jlFlfzczfjWIgc/edit?usp=sharing"",""อุบลราชธานี!N338"")"),1847970.81999999)</f>
        <v>1847970.8199999901</v>
      </c>
      <c r="O338" s="56">
        <f t="shared" ca="1" si="253"/>
        <v>75.714787560945226</v>
      </c>
      <c r="P338" s="56">
        <f t="shared" ca="1" si="254"/>
        <v>72.734711693627347</v>
      </c>
      <c r="Q338" s="56">
        <f ca="1">IFERROR(__xludf.DUMMYFUNCTION("IMPORTRANGE(""https://docs.google.com/spreadsheets/d/1yhBcrRPreicbMKl9Bu_Snb2-OcQAF62RKfhTLhJ2eAA/edit?usp=sharing"",""กาฬสินธุ์!Q338"")+IMPORTRANGE(""https://docs.google.com/spreadsheets/d/1aHkj4IaQMThhwWwevcOymEh837vdxeC_PycurhTbGFA/edit?usp=sharing"","&amp;"""ขอนแก่น!Q338"")+IMPORTRANGE(""https://docs.google.com/spreadsheets/d/1FvTu2DsIWUjP6WCWra38Bkj_oOl_sOMf14r5Fg5srxU/edit?usp=sharing"",""ชัยภูมิ!Q338"")+IMPORTRANGE(""https://docs.google.com/spreadsheets/d/1XVB7oCJ3pr-vBUdflwPQ8Z2LlzhnCvZaaYjAfP-647E/edit"&amp;"?usp=sharing"",""นครพนม!Q338"")+IMPORTRANGE(""https://docs.google.com/spreadsheets/d/1Mnpb-8PYAgn85W6KOTD40hc_Xc55CaLfHoGAbrZ8tls/edit?usp=sharing"",""นครราชสีมา!Q338"")+IMPORTRANGE(""https://docs.google.com/spreadsheets/d/1xoDLGBv9CYbyosIhki0kTq6IpYNj-gp"&amp;"jxfobnaDiut0/edit?usp=sharing"",""บึงกาฬ!Q338"")+IMPORTRANGE(""https://docs.google.com/spreadsheets/d/1MMPq-JyI6DSgQETxuSiXkesP-P7JHuemnE6QJIa-Nlw/edit?usp=sharing"",""บุรีรัมย์!Q338"")+IMPORTRANGE(""https://docs.google.com/spreadsheets/d/1l6IZ8xUPgMrESzc"&amp;"TYwhA1k_tPjeQjJPTqlm8Gd9eU5g/edit?usp=sharing"",""มหาสารคาม!Q338"")+IMPORTRANGE(""https://docs.google.com/spreadsheets/d/1uB74YLqNjWX6FObjekfB2NtSYigTQyR2rq9u4Ub2Sq4/edit?usp=sharing"",""มุกดาหาร!Q338"")+IMPORTRANGE(""https://docs.google.com/spreadsheets/"&amp;"d/1NexK3geCPxCTO1fzNF8dPec7yZyUx3OaWkFBC9HsQOo/edit?usp=sharing"",""ยโสธร!Q338"")+IMPORTRANGE(""https://docs.google.com/spreadsheets/d/1v_cJrbBlyqmnHPReHk44g9NrMRdENNlSy_E_c5M9fIg/edit?usp=sharing"",""ร้อยเอ็ด!Q338"")+IMPORTRANGE(""https://docs.google.com"&amp;"/spreadsheets/d/1Ul4RCpCX66NxYADU1QpwAPjOmBzW64SsT11s1wzXw_c/edit?usp=sharing"",""เลย!Q338"")+IMPORTRANGE(""https://docs.google.com/spreadsheets/d/1bRrNKwbHDVktQG10isr5vbWRtt5spIZPpkOSWgbT5ug/edit?usp=sharing"",""ศรีสะเกษ!Q338"")+IMPORTRANGE(""https://doc"&amp;"s.google.com/spreadsheets/d/17P34_Ow5kFBfdQD0qspb2UuPX5zpi6WMrQzslghyvrI/edit?usp=sharing"",""สกลนคร!Q338"")+IMPORTRANGE(""https://docs.google.com/spreadsheets/d/1yswqbM3-AEpThF3ZSUa1AcmHnmRTF1vlJ1CZGcJ8YuU/edit?usp=sharing"",""สุรินทร์!Q338"")+IMPORTRANG"&amp;"E(""https://docs.google.com/spreadsheets/d/13JHU_EFbsQOUQ0JSQ3dWy1VTRosIWcDq6Nc99z2qzdc/edit?usp=sharing"",""หนองคาย!Q338"")+IMPORTRANGE(""https://docs.google.com/spreadsheets/d/1Hx73zIEgVdDZZaYSTc46Dqv64atFhpr3GelxLbaIN8A/edit?usp=sharing"",""หนองบัวลำภู"&amp;"!Q338"")+IMPORTRANGE(""https://docs.google.com/spreadsheets/d/1lFxr3ctmjFN90yc-xV6jrQ9Ty8BKYVBWnAZ15wcNIJc/edit?usp=sharing"",""อำนาจเจริญ!Q338"")+IMPORTRANGE(""https://docs.google.com/spreadsheets/d/1gF7RJpRnL-1oyjyeWxs5SFWEH7y8ahOZsQlyp2A2e-A/edit?usp=s"&amp;"haring"",""อุดรธานี!Q338"")+IMPORTRANGE(""https://docs.google.com/spreadsheets/d/1kfLP0j3INXRa8bTDpcEmoWewMBV61jlFlfzczfjWIgc/edit?usp=sharing"",""อุบลราชธานี!Q338"")"),0)</f>
        <v>0</v>
      </c>
      <c r="R338" s="56">
        <f ca="1">IFERROR(__xludf.DUMMYFUNCTION("IMPORTRANGE(""https://docs.google.com/spreadsheets/d/1yhBcrRPreicbMKl9Bu_Snb2-OcQAF62RKfhTLhJ2eAA/edit?usp=sharing"",""กาฬสินธุ์!R338"")+IMPORTRANGE(""https://docs.google.com/spreadsheets/d/1aHkj4IaQMThhwWwevcOymEh837vdxeC_PycurhTbGFA/edit?usp=sharing"","&amp;"""ขอนแก่น!R338"")+IMPORTRANGE(""https://docs.google.com/spreadsheets/d/1FvTu2DsIWUjP6WCWra38Bkj_oOl_sOMf14r5Fg5srxU/edit?usp=sharing"",""ชัยภูมิ!R338"")+IMPORTRANGE(""https://docs.google.com/spreadsheets/d/1XVB7oCJ3pr-vBUdflwPQ8Z2LlzhnCvZaaYjAfP-647E/edit"&amp;"?usp=sharing"",""นครพนม!R338"")+IMPORTRANGE(""https://docs.google.com/spreadsheets/d/1Mnpb-8PYAgn85W6KOTD40hc_Xc55CaLfHoGAbrZ8tls/edit?usp=sharing"",""นครราชสีมา!R338"")+IMPORTRANGE(""https://docs.google.com/spreadsheets/d/1xoDLGBv9CYbyosIhki0kTq6IpYNj-gp"&amp;"jxfobnaDiut0/edit?usp=sharing"",""บึงกาฬ!R338"")+IMPORTRANGE(""https://docs.google.com/spreadsheets/d/1MMPq-JyI6DSgQETxuSiXkesP-P7JHuemnE6QJIa-Nlw/edit?usp=sharing"",""บุรีรัมย์!R338"")+IMPORTRANGE(""https://docs.google.com/spreadsheets/d/1l6IZ8xUPgMrESzc"&amp;"TYwhA1k_tPjeQjJPTqlm8Gd9eU5g/edit?usp=sharing"",""มหาสารคาม!R338"")+IMPORTRANGE(""https://docs.google.com/spreadsheets/d/1uB74YLqNjWX6FObjekfB2NtSYigTQyR2rq9u4Ub2Sq4/edit?usp=sharing"",""มุกดาหาร!R338"")+IMPORTRANGE(""https://docs.google.com/spreadsheets/"&amp;"d/1NexK3geCPxCTO1fzNF8dPec7yZyUx3OaWkFBC9HsQOo/edit?usp=sharing"",""ยโสธร!R338"")+IMPORTRANGE(""https://docs.google.com/spreadsheets/d/1v_cJrbBlyqmnHPReHk44g9NrMRdENNlSy_E_c5M9fIg/edit?usp=sharing"",""ร้อยเอ็ด!R338"")+IMPORTRANGE(""https://docs.google.com"&amp;"/spreadsheets/d/1Ul4RCpCX66NxYADU1QpwAPjOmBzW64SsT11s1wzXw_c/edit?usp=sharing"",""เลย!R338"")+IMPORTRANGE(""https://docs.google.com/spreadsheets/d/1bRrNKwbHDVktQG10isr5vbWRtt5spIZPpkOSWgbT5ug/edit?usp=sharing"",""ศรีสะเกษ!R338"")+IMPORTRANGE(""https://doc"&amp;"s.google.com/spreadsheets/d/17P34_Ow5kFBfdQD0qspb2UuPX5zpi6WMrQzslghyvrI/edit?usp=sharing"",""สกลนคร!R338"")+IMPORTRANGE(""https://docs.google.com/spreadsheets/d/1yswqbM3-AEpThF3ZSUa1AcmHnmRTF1vlJ1CZGcJ8YuU/edit?usp=sharing"",""สุรินทร์!R338"")+IMPORTRANG"&amp;"E(""https://docs.google.com/spreadsheets/d/13JHU_EFbsQOUQ0JSQ3dWy1VTRosIWcDq6Nc99z2qzdc/edit?usp=sharing"",""หนองคาย!R338"")+IMPORTRANGE(""https://docs.google.com/spreadsheets/d/1Hx73zIEgVdDZZaYSTc46Dqv64atFhpr3GelxLbaIN8A/edit?usp=sharing"",""หนองบัวลำภู"&amp;"!R338"")+IMPORTRANGE(""https://docs.google.com/spreadsheets/d/1lFxr3ctmjFN90yc-xV6jrQ9Ty8BKYVBWnAZ15wcNIJc/edit?usp=sharing"",""อำนาจเจริญ!R338"")+IMPORTRANGE(""https://docs.google.com/spreadsheets/d/1gF7RJpRnL-1oyjyeWxs5SFWEH7y8ahOZsQlyp2A2e-A/edit?usp=s"&amp;"haring"",""อุดรธานี!R338"")+IMPORTRANGE(""https://docs.google.com/spreadsheets/d/1kfLP0j3INXRa8bTDpcEmoWewMBV61jlFlfzczfjWIgc/edit?usp=sharing"",""อุบลราชธานี!R338"")"),0)</f>
        <v>0</v>
      </c>
      <c r="S338" s="57">
        <f ca="1">IFERROR(__xludf.DUMMYFUNCTION("IMPORTRANGE(""https://docs.google.com/spreadsheets/d/1yhBcrRPreicbMKl9Bu_Snb2-OcQAF62RKfhTLhJ2eAA/edit?usp=sharing"",""กาฬสินธุ์!S338"")+IMPORTRANGE(""https://docs.google.com/spreadsheets/d/1aHkj4IaQMThhwWwevcOymEh837vdxeC_PycurhTbGFA/edit?usp=sharing"","&amp;"""ขอนแก่น!S338"")+IMPORTRANGE(""https://docs.google.com/spreadsheets/d/1FvTu2DsIWUjP6WCWra38Bkj_oOl_sOMf14r5Fg5srxU/edit?usp=sharing"",""ชัยภูมิ!S338"")+IMPORTRANGE(""https://docs.google.com/spreadsheets/d/1XVB7oCJ3pr-vBUdflwPQ8Z2LlzhnCvZaaYjAfP-647E/edit"&amp;"?usp=sharing"",""นครพนม!S338"")+IMPORTRANGE(""https://docs.google.com/spreadsheets/d/1Mnpb-8PYAgn85W6KOTD40hc_Xc55CaLfHoGAbrZ8tls/edit?usp=sharing"",""นครราชสีมา!S338"")+IMPORTRANGE(""https://docs.google.com/spreadsheets/d/1xoDLGBv9CYbyosIhki0kTq6IpYNj-gp"&amp;"jxfobnaDiut0/edit?usp=sharing"",""บึงกาฬ!S338"")+IMPORTRANGE(""https://docs.google.com/spreadsheets/d/1MMPq-JyI6DSgQETxuSiXkesP-P7JHuemnE6QJIa-Nlw/edit?usp=sharing"",""บุรีรัมย์!S338"")+IMPORTRANGE(""https://docs.google.com/spreadsheets/d/1l6IZ8xUPgMrESzc"&amp;"TYwhA1k_tPjeQjJPTqlm8Gd9eU5g/edit?usp=sharing"",""มหาสารคาม!S338"")+IMPORTRANGE(""https://docs.google.com/spreadsheets/d/1uB74YLqNjWX6FObjekfB2NtSYigTQyR2rq9u4Ub2Sq4/edit?usp=sharing"",""มุกดาหาร!S338"")+IMPORTRANGE(""https://docs.google.com/spreadsheets/"&amp;"d/1NexK3geCPxCTO1fzNF8dPec7yZyUx3OaWkFBC9HsQOo/edit?usp=sharing"",""ยโสธร!S338"")+IMPORTRANGE(""https://docs.google.com/spreadsheets/d/1v_cJrbBlyqmnHPReHk44g9NrMRdENNlSy_E_c5M9fIg/edit?usp=sharing"",""ร้อยเอ็ด!S338"")+IMPORTRANGE(""https://docs.google.com"&amp;"/spreadsheets/d/1Ul4RCpCX66NxYADU1QpwAPjOmBzW64SsT11s1wzXw_c/edit?usp=sharing"",""เลย!S338"")+IMPORTRANGE(""https://docs.google.com/spreadsheets/d/1bRrNKwbHDVktQG10isr5vbWRtt5spIZPpkOSWgbT5ug/edit?usp=sharing"",""ศรีสะเกษ!S338"")+IMPORTRANGE(""https://doc"&amp;"s.google.com/spreadsheets/d/17P34_Ow5kFBfdQD0qspb2UuPX5zpi6WMrQzslghyvrI/edit?usp=sharing"",""สกลนคร!S338"")+IMPORTRANGE(""https://docs.google.com/spreadsheets/d/1yswqbM3-AEpThF3ZSUa1AcmHnmRTF1vlJ1CZGcJ8YuU/edit?usp=sharing"",""สุรินทร์!S338"")+IMPORTRANG"&amp;"E(""https://docs.google.com/spreadsheets/d/13JHU_EFbsQOUQ0JSQ3dWy1VTRosIWcDq6Nc99z2qzdc/edit?usp=sharing"",""หนองคาย!S338"")+IMPORTRANGE(""https://docs.google.com/spreadsheets/d/1Hx73zIEgVdDZZaYSTc46Dqv64atFhpr3GelxLbaIN8A/edit?usp=sharing"",""หนองบัวลำภู"&amp;"!S338"")+IMPORTRANGE(""https://docs.google.com/spreadsheets/d/1lFxr3ctmjFN90yc-xV6jrQ9Ty8BKYVBWnAZ15wcNIJc/edit?usp=sharing"",""อำนาจเจริญ!S338"")+IMPORTRANGE(""https://docs.google.com/spreadsheets/d/1gF7RJpRnL-1oyjyeWxs5SFWEH7y8ahOZsQlyp2A2e-A/edit?usp=s"&amp;"haring"",""อุดรธานี!S338"")+IMPORTRANGE(""https://docs.google.com/spreadsheets/d/1kfLP0j3INXRa8bTDpcEmoWewMBV61jlFlfzczfjWIgc/edit?usp=sharing"",""อุบลราชธานี!S338"")"),0)</f>
        <v>0</v>
      </c>
      <c r="T338" s="56">
        <f t="shared" ca="1" si="256"/>
        <v>0</v>
      </c>
      <c r="U338" s="56">
        <f t="shared" ca="1" si="257"/>
        <v>0</v>
      </c>
    </row>
    <row r="339" spans="1:21" ht="18.75">
      <c r="A339" s="155"/>
      <c r="B339" s="50"/>
      <c r="C339" s="50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56">
        <f t="shared" ref="L339:N339" ca="1" si="264">L340+L341</f>
        <v>0</v>
      </c>
      <c r="M339" s="56">
        <f t="shared" ca="1" si="264"/>
        <v>0</v>
      </c>
      <c r="N339" s="56">
        <f t="shared" ca="1" si="264"/>
        <v>0</v>
      </c>
      <c r="O339" s="56">
        <f t="shared" ca="1" si="253"/>
        <v>0</v>
      </c>
      <c r="P339" s="56">
        <f t="shared" ca="1" si="254"/>
        <v>0</v>
      </c>
      <c r="Q339" s="56">
        <f t="shared" ref="Q339:S339" ca="1" si="265">Q340+Q341</f>
        <v>0</v>
      </c>
      <c r="R339" s="56">
        <f t="shared" ca="1" si="265"/>
        <v>0</v>
      </c>
      <c r="S339" s="57">
        <f t="shared" ca="1" si="265"/>
        <v>0</v>
      </c>
      <c r="T339" s="56">
        <f t="shared" ca="1" si="256"/>
        <v>0</v>
      </c>
      <c r="U339" s="56">
        <f t="shared" ca="1" si="257"/>
        <v>0</v>
      </c>
    </row>
    <row r="340" spans="1:21" ht="18.75">
      <c r="A340" s="155"/>
      <c r="B340" s="50"/>
      <c r="C340" s="50"/>
      <c r="D340" s="50"/>
      <c r="E340" s="58" t="s">
        <v>20</v>
      </c>
      <c r="F340" s="50"/>
      <c r="G340" s="52"/>
      <c r="H340" s="162" t="s">
        <v>14</v>
      </c>
      <c r="I340" s="163"/>
      <c r="J340" s="163"/>
      <c r="K340" s="164"/>
      <c r="L340" s="56">
        <f ca="1">IFERROR(__xludf.DUMMYFUNCTION("IMPORTRANGE(""https://docs.google.com/spreadsheets/d/1yhBcrRPreicbMKl9Bu_Snb2-OcQAF62RKfhTLhJ2eAA/edit?usp=sharing"",""กาฬสินธุ์!L340"")+IMPORTRANGE(""https://docs.google.com/spreadsheets/d/1aHkj4IaQMThhwWwevcOymEh837vdxeC_PycurhTbGFA/edit?usp=sharing"","&amp;"""ขอนแก่น!L340"")+IMPORTRANGE(""https://docs.google.com/spreadsheets/d/1FvTu2DsIWUjP6WCWra38Bkj_oOl_sOMf14r5Fg5srxU/edit?usp=sharing"",""ชัยภูมิ!L340"")+IMPORTRANGE(""https://docs.google.com/spreadsheets/d/1XVB7oCJ3pr-vBUdflwPQ8Z2LlzhnCvZaaYjAfP-647E/edit"&amp;"?usp=sharing"",""นครพนม!L340"")+IMPORTRANGE(""https://docs.google.com/spreadsheets/d/1Mnpb-8PYAgn85W6KOTD40hc_Xc55CaLfHoGAbrZ8tls/edit?usp=sharing"",""นครราชสีมา!L340"")+IMPORTRANGE(""https://docs.google.com/spreadsheets/d/1xoDLGBv9CYbyosIhki0kTq6IpYNj-gp"&amp;"jxfobnaDiut0/edit?usp=sharing"",""บึงกาฬ!L340"")+IMPORTRANGE(""https://docs.google.com/spreadsheets/d/1MMPq-JyI6DSgQETxuSiXkesP-P7JHuemnE6QJIa-Nlw/edit?usp=sharing"",""บุรีรัมย์!L340"")+IMPORTRANGE(""https://docs.google.com/spreadsheets/d/1l6IZ8xUPgMrESzc"&amp;"TYwhA1k_tPjeQjJPTqlm8Gd9eU5g/edit?usp=sharing"",""มหาสารคาม!L340"")+IMPORTRANGE(""https://docs.google.com/spreadsheets/d/1uB74YLqNjWX6FObjekfB2NtSYigTQyR2rq9u4Ub2Sq4/edit?usp=sharing"",""มุกดาหาร!L340"")+IMPORTRANGE(""https://docs.google.com/spreadsheets/"&amp;"d/1NexK3geCPxCTO1fzNF8dPec7yZyUx3OaWkFBC9HsQOo/edit?usp=sharing"",""ยโสธร!L340"")+IMPORTRANGE(""https://docs.google.com/spreadsheets/d/1v_cJrbBlyqmnHPReHk44g9NrMRdENNlSy_E_c5M9fIg/edit?usp=sharing"",""ร้อยเอ็ด!L340"")+IMPORTRANGE(""https://docs.google.com"&amp;"/spreadsheets/d/1Ul4RCpCX66NxYADU1QpwAPjOmBzW64SsT11s1wzXw_c/edit?usp=sharing"",""เลย!L340"")+IMPORTRANGE(""https://docs.google.com/spreadsheets/d/1bRrNKwbHDVktQG10isr5vbWRtt5spIZPpkOSWgbT5ug/edit?usp=sharing"",""ศรีสะเกษ!L340"")+IMPORTRANGE(""https://doc"&amp;"s.google.com/spreadsheets/d/17P34_Ow5kFBfdQD0qspb2UuPX5zpi6WMrQzslghyvrI/edit?usp=sharing"",""สกลนคร!L340"")+IMPORTRANGE(""https://docs.google.com/spreadsheets/d/1yswqbM3-AEpThF3ZSUa1AcmHnmRTF1vlJ1CZGcJ8YuU/edit?usp=sharing"",""สุรินทร์!L340"")+IMPORTRANG"&amp;"E(""https://docs.google.com/spreadsheets/d/13JHU_EFbsQOUQ0JSQ3dWy1VTRosIWcDq6Nc99z2qzdc/edit?usp=sharing"",""หนองคาย!L340"")+IMPORTRANGE(""https://docs.google.com/spreadsheets/d/1Hx73zIEgVdDZZaYSTc46Dqv64atFhpr3GelxLbaIN8A/edit?usp=sharing"",""หนองบัวลำภู"&amp;"!L340"")+IMPORTRANGE(""https://docs.google.com/spreadsheets/d/1lFxr3ctmjFN90yc-xV6jrQ9Ty8BKYVBWnAZ15wcNIJc/edit?usp=sharing"",""อำนาจเจริญ!L340"")+IMPORTRANGE(""https://docs.google.com/spreadsheets/d/1gF7RJpRnL-1oyjyeWxs5SFWEH7y8ahOZsQlyp2A2e-A/edit?usp=s"&amp;"haring"",""อุดรธานี!L340"")+IMPORTRANGE(""https://docs.google.com/spreadsheets/d/1kfLP0j3INXRa8bTDpcEmoWewMBV61jlFlfzczfjWIgc/edit?usp=sharing"",""อุบลราชธานี!L340"")"),0)</f>
        <v>0</v>
      </c>
      <c r="M340" s="56">
        <f ca="1">IFERROR(__xludf.DUMMYFUNCTION("IMPORTRANGE(""https://docs.google.com/spreadsheets/d/1yhBcrRPreicbMKl9Bu_Snb2-OcQAF62RKfhTLhJ2eAA/edit?usp=sharing"",""กาฬสินธุ์!M340"")+IMPORTRANGE(""https://docs.google.com/spreadsheets/d/1aHkj4IaQMThhwWwevcOymEh837vdxeC_PycurhTbGFA/edit?usp=sharing"","&amp;"""ขอนแก่น!M340"")+IMPORTRANGE(""https://docs.google.com/spreadsheets/d/1FvTu2DsIWUjP6WCWra38Bkj_oOl_sOMf14r5Fg5srxU/edit?usp=sharing"",""ชัยภูมิ!M340"")+IMPORTRANGE(""https://docs.google.com/spreadsheets/d/1XVB7oCJ3pr-vBUdflwPQ8Z2LlzhnCvZaaYjAfP-647E/edit"&amp;"?usp=sharing"",""นครพนม!M340"")+IMPORTRANGE(""https://docs.google.com/spreadsheets/d/1Mnpb-8PYAgn85W6KOTD40hc_Xc55CaLfHoGAbrZ8tls/edit?usp=sharing"",""นครราชสีมา!M340"")+IMPORTRANGE(""https://docs.google.com/spreadsheets/d/1xoDLGBv9CYbyosIhki0kTq6IpYNj-gp"&amp;"jxfobnaDiut0/edit?usp=sharing"",""บึงกาฬ!M340"")+IMPORTRANGE(""https://docs.google.com/spreadsheets/d/1MMPq-JyI6DSgQETxuSiXkesP-P7JHuemnE6QJIa-Nlw/edit?usp=sharing"",""บุรีรัมย์!M340"")+IMPORTRANGE(""https://docs.google.com/spreadsheets/d/1l6IZ8xUPgMrESzc"&amp;"TYwhA1k_tPjeQjJPTqlm8Gd9eU5g/edit?usp=sharing"",""มหาสารคาม!M340"")+IMPORTRANGE(""https://docs.google.com/spreadsheets/d/1uB74YLqNjWX6FObjekfB2NtSYigTQyR2rq9u4Ub2Sq4/edit?usp=sharing"",""มุกดาหาร!M340"")+IMPORTRANGE(""https://docs.google.com/spreadsheets/"&amp;"d/1NexK3geCPxCTO1fzNF8dPec7yZyUx3OaWkFBC9HsQOo/edit?usp=sharing"",""ยโสธร!M340"")+IMPORTRANGE(""https://docs.google.com/spreadsheets/d/1v_cJrbBlyqmnHPReHk44g9NrMRdENNlSy_E_c5M9fIg/edit?usp=sharing"",""ร้อยเอ็ด!M340"")+IMPORTRANGE(""https://docs.google.com"&amp;"/spreadsheets/d/1Ul4RCpCX66NxYADU1QpwAPjOmBzW64SsT11s1wzXw_c/edit?usp=sharing"",""เลย!M340"")+IMPORTRANGE(""https://docs.google.com/spreadsheets/d/1bRrNKwbHDVktQG10isr5vbWRtt5spIZPpkOSWgbT5ug/edit?usp=sharing"",""ศรีสะเกษ!M340"")+IMPORTRANGE(""https://doc"&amp;"s.google.com/spreadsheets/d/17P34_Ow5kFBfdQD0qspb2UuPX5zpi6WMrQzslghyvrI/edit?usp=sharing"",""สกลนคร!M340"")+IMPORTRANGE(""https://docs.google.com/spreadsheets/d/1yswqbM3-AEpThF3ZSUa1AcmHnmRTF1vlJ1CZGcJ8YuU/edit?usp=sharing"",""สุรินทร์!M340"")+IMPORTRANG"&amp;"E(""https://docs.google.com/spreadsheets/d/13JHU_EFbsQOUQ0JSQ3dWy1VTRosIWcDq6Nc99z2qzdc/edit?usp=sharing"",""หนองคาย!M340"")+IMPORTRANGE(""https://docs.google.com/spreadsheets/d/1Hx73zIEgVdDZZaYSTc46Dqv64atFhpr3GelxLbaIN8A/edit?usp=sharing"",""หนองบัวลำภู"&amp;"!M340"")+IMPORTRANGE(""https://docs.google.com/spreadsheets/d/1lFxr3ctmjFN90yc-xV6jrQ9Ty8BKYVBWnAZ15wcNIJc/edit?usp=sharing"",""อำนาจเจริญ!M340"")+IMPORTRANGE(""https://docs.google.com/spreadsheets/d/1gF7RJpRnL-1oyjyeWxs5SFWEH7y8ahOZsQlyp2A2e-A/edit?usp=s"&amp;"haring"",""อุดรธานี!M340"")+IMPORTRANGE(""https://docs.google.com/spreadsheets/d/1kfLP0j3INXRa8bTDpcEmoWewMBV61jlFlfzczfjWIgc/edit?usp=sharing"",""อุบลราชธานี!M340"")"),0)</f>
        <v>0</v>
      </c>
      <c r="N340" s="56">
        <f ca="1">IFERROR(__xludf.DUMMYFUNCTION("IMPORTRANGE(""https://docs.google.com/spreadsheets/d/1yhBcrRPreicbMKl9Bu_Snb2-OcQAF62RKfhTLhJ2eAA/edit?usp=sharing"",""กาฬสินธุ์!N340"")+IMPORTRANGE(""https://docs.google.com/spreadsheets/d/1aHkj4IaQMThhwWwevcOymEh837vdxeC_PycurhTbGFA/edit?usp=sharing"","&amp;"""ขอนแก่น!N340"")+IMPORTRANGE(""https://docs.google.com/spreadsheets/d/1FvTu2DsIWUjP6WCWra38Bkj_oOl_sOMf14r5Fg5srxU/edit?usp=sharing"",""ชัยภูมิ!N340"")+IMPORTRANGE(""https://docs.google.com/spreadsheets/d/1XVB7oCJ3pr-vBUdflwPQ8Z2LlzhnCvZaaYjAfP-647E/edit"&amp;"?usp=sharing"",""นครพนม!N340"")+IMPORTRANGE(""https://docs.google.com/spreadsheets/d/1Mnpb-8PYAgn85W6KOTD40hc_Xc55CaLfHoGAbrZ8tls/edit?usp=sharing"",""นครราชสีมา!N340"")+IMPORTRANGE(""https://docs.google.com/spreadsheets/d/1xoDLGBv9CYbyosIhki0kTq6IpYNj-gp"&amp;"jxfobnaDiut0/edit?usp=sharing"",""บึงกาฬ!N340"")+IMPORTRANGE(""https://docs.google.com/spreadsheets/d/1MMPq-JyI6DSgQETxuSiXkesP-P7JHuemnE6QJIa-Nlw/edit?usp=sharing"",""บุรีรัมย์!N340"")+IMPORTRANGE(""https://docs.google.com/spreadsheets/d/1l6IZ8xUPgMrESzc"&amp;"TYwhA1k_tPjeQjJPTqlm8Gd9eU5g/edit?usp=sharing"",""มหาสารคาม!N340"")+IMPORTRANGE(""https://docs.google.com/spreadsheets/d/1uB74YLqNjWX6FObjekfB2NtSYigTQyR2rq9u4Ub2Sq4/edit?usp=sharing"",""มุกดาหาร!N340"")+IMPORTRANGE(""https://docs.google.com/spreadsheets/"&amp;"d/1NexK3geCPxCTO1fzNF8dPec7yZyUx3OaWkFBC9HsQOo/edit?usp=sharing"",""ยโสธร!N340"")+IMPORTRANGE(""https://docs.google.com/spreadsheets/d/1v_cJrbBlyqmnHPReHk44g9NrMRdENNlSy_E_c5M9fIg/edit?usp=sharing"",""ร้อยเอ็ด!N340"")+IMPORTRANGE(""https://docs.google.com"&amp;"/spreadsheets/d/1Ul4RCpCX66NxYADU1QpwAPjOmBzW64SsT11s1wzXw_c/edit?usp=sharing"",""เลย!N340"")+IMPORTRANGE(""https://docs.google.com/spreadsheets/d/1bRrNKwbHDVktQG10isr5vbWRtt5spIZPpkOSWgbT5ug/edit?usp=sharing"",""ศรีสะเกษ!N340"")+IMPORTRANGE(""https://doc"&amp;"s.google.com/spreadsheets/d/17P34_Ow5kFBfdQD0qspb2UuPX5zpi6WMrQzslghyvrI/edit?usp=sharing"",""สกลนคร!N340"")+IMPORTRANGE(""https://docs.google.com/spreadsheets/d/1yswqbM3-AEpThF3ZSUa1AcmHnmRTF1vlJ1CZGcJ8YuU/edit?usp=sharing"",""สุรินทร์!N340"")+IMPORTRANG"&amp;"E(""https://docs.google.com/spreadsheets/d/13JHU_EFbsQOUQ0JSQ3dWy1VTRosIWcDq6Nc99z2qzdc/edit?usp=sharing"",""หนองคาย!N340"")+IMPORTRANGE(""https://docs.google.com/spreadsheets/d/1Hx73zIEgVdDZZaYSTc46Dqv64atFhpr3GelxLbaIN8A/edit?usp=sharing"",""หนองบัวลำภู"&amp;"!N340"")+IMPORTRANGE(""https://docs.google.com/spreadsheets/d/1lFxr3ctmjFN90yc-xV6jrQ9Ty8BKYVBWnAZ15wcNIJc/edit?usp=sharing"",""อำนาจเจริญ!N340"")+IMPORTRANGE(""https://docs.google.com/spreadsheets/d/1gF7RJpRnL-1oyjyeWxs5SFWEH7y8ahOZsQlyp2A2e-A/edit?usp=s"&amp;"haring"",""อุดรธานี!N340"")+IMPORTRANGE(""https://docs.google.com/spreadsheets/d/1kfLP0j3INXRa8bTDpcEmoWewMBV61jlFlfzczfjWIgc/edit?usp=sharing"",""อุบลราชธานี!N340"")"),0)</f>
        <v>0</v>
      </c>
      <c r="O340" s="56">
        <f t="shared" ca="1" si="253"/>
        <v>0</v>
      </c>
      <c r="P340" s="56">
        <f t="shared" ca="1" si="254"/>
        <v>0</v>
      </c>
      <c r="Q340" s="56">
        <f ca="1">IFERROR(__xludf.DUMMYFUNCTION("IMPORTRANGE(""https://docs.google.com/spreadsheets/d/1yhBcrRPreicbMKl9Bu_Snb2-OcQAF62RKfhTLhJ2eAA/edit?usp=sharing"",""กาฬสินธุ์!Q340"")+IMPORTRANGE(""https://docs.google.com/spreadsheets/d/1aHkj4IaQMThhwWwevcOymEh837vdxeC_PycurhTbGFA/edit?usp=sharing"","&amp;"""ขอนแก่น!Q340"")+IMPORTRANGE(""https://docs.google.com/spreadsheets/d/1FvTu2DsIWUjP6WCWra38Bkj_oOl_sOMf14r5Fg5srxU/edit?usp=sharing"",""ชัยภูมิ!Q340"")+IMPORTRANGE(""https://docs.google.com/spreadsheets/d/1XVB7oCJ3pr-vBUdflwPQ8Z2LlzhnCvZaaYjAfP-647E/edit"&amp;"?usp=sharing"",""นครพนม!Q340"")+IMPORTRANGE(""https://docs.google.com/spreadsheets/d/1Mnpb-8PYAgn85W6KOTD40hc_Xc55CaLfHoGAbrZ8tls/edit?usp=sharing"",""นครราชสีมา!Q340"")+IMPORTRANGE(""https://docs.google.com/spreadsheets/d/1xoDLGBv9CYbyosIhki0kTq6IpYNj-gp"&amp;"jxfobnaDiut0/edit?usp=sharing"",""บึงกาฬ!Q340"")+IMPORTRANGE(""https://docs.google.com/spreadsheets/d/1MMPq-JyI6DSgQETxuSiXkesP-P7JHuemnE6QJIa-Nlw/edit?usp=sharing"",""บุรีรัมย์!Q340"")+IMPORTRANGE(""https://docs.google.com/spreadsheets/d/1l6IZ8xUPgMrESzc"&amp;"TYwhA1k_tPjeQjJPTqlm8Gd9eU5g/edit?usp=sharing"",""มหาสารคาม!Q340"")+IMPORTRANGE(""https://docs.google.com/spreadsheets/d/1uB74YLqNjWX6FObjekfB2NtSYigTQyR2rq9u4Ub2Sq4/edit?usp=sharing"",""มุกดาหาร!Q340"")+IMPORTRANGE(""https://docs.google.com/spreadsheets/"&amp;"d/1NexK3geCPxCTO1fzNF8dPec7yZyUx3OaWkFBC9HsQOo/edit?usp=sharing"",""ยโสธร!Q340"")+IMPORTRANGE(""https://docs.google.com/spreadsheets/d/1v_cJrbBlyqmnHPReHk44g9NrMRdENNlSy_E_c5M9fIg/edit?usp=sharing"",""ร้อยเอ็ด!Q340"")+IMPORTRANGE(""https://docs.google.com"&amp;"/spreadsheets/d/1Ul4RCpCX66NxYADU1QpwAPjOmBzW64SsT11s1wzXw_c/edit?usp=sharing"",""เลย!Q340"")+IMPORTRANGE(""https://docs.google.com/spreadsheets/d/1bRrNKwbHDVktQG10isr5vbWRtt5spIZPpkOSWgbT5ug/edit?usp=sharing"",""ศรีสะเกษ!Q340"")+IMPORTRANGE(""https://doc"&amp;"s.google.com/spreadsheets/d/17P34_Ow5kFBfdQD0qspb2UuPX5zpi6WMrQzslghyvrI/edit?usp=sharing"",""สกลนคร!Q340"")+IMPORTRANGE(""https://docs.google.com/spreadsheets/d/1yswqbM3-AEpThF3ZSUa1AcmHnmRTF1vlJ1CZGcJ8YuU/edit?usp=sharing"",""สุรินทร์!Q340"")+IMPORTRANG"&amp;"E(""https://docs.google.com/spreadsheets/d/13JHU_EFbsQOUQ0JSQ3dWy1VTRosIWcDq6Nc99z2qzdc/edit?usp=sharing"",""หนองคาย!Q340"")+IMPORTRANGE(""https://docs.google.com/spreadsheets/d/1Hx73zIEgVdDZZaYSTc46Dqv64atFhpr3GelxLbaIN8A/edit?usp=sharing"",""หนองบัวลำภู"&amp;"!Q340"")+IMPORTRANGE(""https://docs.google.com/spreadsheets/d/1lFxr3ctmjFN90yc-xV6jrQ9Ty8BKYVBWnAZ15wcNIJc/edit?usp=sharing"",""อำนาจเจริญ!Q340"")+IMPORTRANGE(""https://docs.google.com/spreadsheets/d/1gF7RJpRnL-1oyjyeWxs5SFWEH7y8ahOZsQlyp2A2e-A/edit?usp=s"&amp;"haring"",""อุดรธานี!Q340"")+IMPORTRANGE(""https://docs.google.com/spreadsheets/d/1kfLP0j3INXRa8bTDpcEmoWewMBV61jlFlfzczfjWIgc/edit?usp=sharing"",""อุบลราชธานี!Q340"")"),0)</f>
        <v>0</v>
      </c>
      <c r="R340" s="56">
        <f ca="1">IFERROR(__xludf.DUMMYFUNCTION("IMPORTRANGE(""https://docs.google.com/spreadsheets/d/1yhBcrRPreicbMKl9Bu_Snb2-OcQAF62RKfhTLhJ2eAA/edit?usp=sharing"",""กาฬสินธุ์!R340"")+IMPORTRANGE(""https://docs.google.com/spreadsheets/d/1aHkj4IaQMThhwWwevcOymEh837vdxeC_PycurhTbGFA/edit?usp=sharing"","&amp;"""ขอนแก่น!R340"")+IMPORTRANGE(""https://docs.google.com/spreadsheets/d/1FvTu2DsIWUjP6WCWra38Bkj_oOl_sOMf14r5Fg5srxU/edit?usp=sharing"",""ชัยภูมิ!R340"")+IMPORTRANGE(""https://docs.google.com/spreadsheets/d/1XVB7oCJ3pr-vBUdflwPQ8Z2LlzhnCvZaaYjAfP-647E/edit"&amp;"?usp=sharing"",""นครพนม!R340"")+IMPORTRANGE(""https://docs.google.com/spreadsheets/d/1Mnpb-8PYAgn85W6KOTD40hc_Xc55CaLfHoGAbrZ8tls/edit?usp=sharing"",""นครราชสีมา!R340"")+IMPORTRANGE(""https://docs.google.com/spreadsheets/d/1xoDLGBv9CYbyosIhki0kTq6IpYNj-gp"&amp;"jxfobnaDiut0/edit?usp=sharing"",""บึงกาฬ!R340"")+IMPORTRANGE(""https://docs.google.com/spreadsheets/d/1MMPq-JyI6DSgQETxuSiXkesP-P7JHuemnE6QJIa-Nlw/edit?usp=sharing"",""บุรีรัมย์!R340"")+IMPORTRANGE(""https://docs.google.com/spreadsheets/d/1l6IZ8xUPgMrESzc"&amp;"TYwhA1k_tPjeQjJPTqlm8Gd9eU5g/edit?usp=sharing"",""มหาสารคาม!R340"")+IMPORTRANGE(""https://docs.google.com/spreadsheets/d/1uB74YLqNjWX6FObjekfB2NtSYigTQyR2rq9u4Ub2Sq4/edit?usp=sharing"",""มุกดาหาร!R340"")+IMPORTRANGE(""https://docs.google.com/spreadsheets/"&amp;"d/1NexK3geCPxCTO1fzNF8dPec7yZyUx3OaWkFBC9HsQOo/edit?usp=sharing"",""ยโสธร!R340"")+IMPORTRANGE(""https://docs.google.com/spreadsheets/d/1v_cJrbBlyqmnHPReHk44g9NrMRdENNlSy_E_c5M9fIg/edit?usp=sharing"",""ร้อยเอ็ด!R340"")+IMPORTRANGE(""https://docs.google.com"&amp;"/spreadsheets/d/1Ul4RCpCX66NxYADU1QpwAPjOmBzW64SsT11s1wzXw_c/edit?usp=sharing"",""เลย!R340"")+IMPORTRANGE(""https://docs.google.com/spreadsheets/d/1bRrNKwbHDVktQG10isr5vbWRtt5spIZPpkOSWgbT5ug/edit?usp=sharing"",""ศรีสะเกษ!R340"")+IMPORTRANGE(""https://doc"&amp;"s.google.com/spreadsheets/d/17P34_Ow5kFBfdQD0qspb2UuPX5zpi6WMrQzslghyvrI/edit?usp=sharing"",""สกลนคร!R340"")+IMPORTRANGE(""https://docs.google.com/spreadsheets/d/1yswqbM3-AEpThF3ZSUa1AcmHnmRTF1vlJ1CZGcJ8YuU/edit?usp=sharing"",""สุรินทร์!R340"")+IMPORTRANG"&amp;"E(""https://docs.google.com/spreadsheets/d/13JHU_EFbsQOUQ0JSQ3dWy1VTRosIWcDq6Nc99z2qzdc/edit?usp=sharing"",""หนองคาย!R340"")+IMPORTRANGE(""https://docs.google.com/spreadsheets/d/1Hx73zIEgVdDZZaYSTc46Dqv64atFhpr3GelxLbaIN8A/edit?usp=sharing"",""หนองบัวลำภู"&amp;"!R340"")+IMPORTRANGE(""https://docs.google.com/spreadsheets/d/1lFxr3ctmjFN90yc-xV6jrQ9Ty8BKYVBWnAZ15wcNIJc/edit?usp=sharing"",""อำนาจเจริญ!R340"")+IMPORTRANGE(""https://docs.google.com/spreadsheets/d/1gF7RJpRnL-1oyjyeWxs5SFWEH7y8ahOZsQlyp2A2e-A/edit?usp=s"&amp;"haring"",""อุดรธานี!R340"")+IMPORTRANGE(""https://docs.google.com/spreadsheets/d/1kfLP0j3INXRa8bTDpcEmoWewMBV61jlFlfzczfjWIgc/edit?usp=sharing"",""อุบลราชธานี!R340"")"),0)</f>
        <v>0</v>
      </c>
      <c r="S340" s="57">
        <f ca="1">IFERROR(__xludf.DUMMYFUNCTION("IMPORTRANGE(""https://docs.google.com/spreadsheets/d/1yhBcrRPreicbMKl9Bu_Snb2-OcQAF62RKfhTLhJ2eAA/edit?usp=sharing"",""กาฬสินธุ์!S340"")+IMPORTRANGE(""https://docs.google.com/spreadsheets/d/1aHkj4IaQMThhwWwevcOymEh837vdxeC_PycurhTbGFA/edit?usp=sharing"","&amp;"""ขอนแก่น!S340"")+IMPORTRANGE(""https://docs.google.com/spreadsheets/d/1FvTu2DsIWUjP6WCWra38Bkj_oOl_sOMf14r5Fg5srxU/edit?usp=sharing"",""ชัยภูมิ!S340"")+IMPORTRANGE(""https://docs.google.com/spreadsheets/d/1XVB7oCJ3pr-vBUdflwPQ8Z2LlzhnCvZaaYjAfP-647E/edit"&amp;"?usp=sharing"",""นครพนม!S340"")+IMPORTRANGE(""https://docs.google.com/spreadsheets/d/1Mnpb-8PYAgn85W6KOTD40hc_Xc55CaLfHoGAbrZ8tls/edit?usp=sharing"",""นครราชสีมา!S340"")+IMPORTRANGE(""https://docs.google.com/spreadsheets/d/1xoDLGBv9CYbyosIhki0kTq6IpYNj-gp"&amp;"jxfobnaDiut0/edit?usp=sharing"",""บึงกาฬ!S340"")+IMPORTRANGE(""https://docs.google.com/spreadsheets/d/1MMPq-JyI6DSgQETxuSiXkesP-P7JHuemnE6QJIa-Nlw/edit?usp=sharing"",""บุรีรัมย์!S340"")+IMPORTRANGE(""https://docs.google.com/spreadsheets/d/1l6IZ8xUPgMrESzc"&amp;"TYwhA1k_tPjeQjJPTqlm8Gd9eU5g/edit?usp=sharing"",""มหาสารคาม!S340"")+IMPORTRANGE(""https://docs.google.com/spreadsheets/d/1uB74YLqNjWX6FObjekfB2NtSYigTQyR2rq9u4Ub2Sq4/edit?usp=sharing"",""มุกดาหาร!S340"")+IMPORTRANGE(""https://docs.google.com/spreadsheets/"&amp;"d/1NexK3geCPxCTO1fzNF8dPec7yZyUx3OaWkFBC9HsQOo/edit?usp=sharing"",""ยโสธร!S340"")+IMPORTRANGE(""https://docs.google.com/spreadsheets/d/1v_cJrbBlyqmnHPReHk44g9NrMRdENNlSy_E_c5M9fIg/edit?usp=sharing"",""ร้อยเอ็ด!S340"")+IMPORTRANGE(""https://docs.google.com"&amp;"/spreadsheets/d/1Ul4RCpCX66NxYADU1QpwAPjOmBzW64SsT11s1wzXw_c/edit?usp=sharing"",""เลย!S340"")+IMPORTRANGE(""https://docs.google.com/spreadsheets/d/1bRrNKwbHDVktQG10isr5vbWRtt5spIZPpkOSWgbT5ug/edit?usp=sharing"",""ศรีสะเกษ!S340"")+IMPORTRANGE(""https://doc"&amp;"s.google.com/spreadsheets/d/17P34_Ow5kFBfdQD0qspb2UuPX5zpi6WMrQzslghyvrI/edit?usp=sharing"",""สกลนคร!S340"")+IMPORTRANGE(""https://docs.google.com/spreadsheets/d/1yswqbM3-AEpThF3ZSUa1AcmHnmRTF1vlJ1CZGcJ8YuU/edit?usp=sharing"",""สุรินทร์!S340"")+IMPORTRANG"&amp;"E(""https://docs.google.com/spreadsheets/d/13JHU_EFbsQOUQ0JSQ3dWy1VTRosIWcDq6Nc99z2qzdc/edit?usp=sharing"",""หนองคาย!S340"")+IMPORTRANGE(""https://docs.google.com/spreadsheets/d/1Hx73zIEgVdDZZaYSTc46Dqv64atFhpr3GelxLbaIN8A/edit?usp=sharing"",""หนองบัวลำภู"&amp;"!S340"")+IMPORTRANGE(""https://docs.google.com/spreadsheets/d/1lFxr3ctmjFN90yc-xV6jrQ9Ty8BKYVBWnAZ15wcNIJc/edit?usp=sharing"",""อำนาจเจริญ!S340"")+IMPORTRANGE(""https://docs.google.com/spreadsheets/d/1gF7RJpRnL-1oyjyeWxs5SFWEH7y8ahOZsQlyp2A2e-A/edit?usp=s"&amp;"haring"",""อุดรธานี!S340"")+IMPORTRANGE(""https://docs.google.com/spreadsheets/d/1kfLP0j3INXRa8bTDpcEmoWewMBV61jlFlfzczfjWIgc/edit?usp=sharing"",""อุบลราชธานี!S340"")"),0)</f>
        <v>0</v>
      </c>
      <c r="T340" s="59">
        <f t="shared" ca="1" si="256"/>
        <v>0</v>
      </c>
      <c r="U340" s="59">
        <f t="shared" ca="1" si="257"/>
        <v>0</v>
      </c>
    </row>
    <row r="341" spans="1:21" ht="18.75">
      <c r="A341" s="155"/>
      <c r="B341" s="50"/>
      <c r="C341" s="50"/>
      <c r="D341" s="50"/>
      <c r="E341" s="58" t="s">
        <v>21</v>
      </c>
      <c r="F341" s="50"/>
      <c r="G341" s="52"/>
      <c r="H341" s="165" t="s">
        <v>14</v>
      </c>
      <c r="I341" s="163"/>
      <c r="J341" s="163"/>
      <c r="K341" s="164"/>
      <c r="L341" s="56">
        <f ca="1">IFERROR(__xludf.DUMMYFUNCTION("IMPORTRANGE(""https://docs.google.com/spreadsheets/d/1yhBcrRPreicbMKl9Bu_Snb2-OcQAF62RKfhTLhJ2eAA/edit?usp=sharing"",""กาฬสินธุ์!L341"")+IMPORTRANGE(""https://docs.google.com/spreadsheets/d/1aHkj4IaQMThhwWwevcOymEh837vdxeC_PycurhTbGFA/edit?usp=sharing"","&amp;"""ขอนแก่น!L341"")+IMPORTRANGE(""https://docs.google.com/spreadsheets/d/1FvTu2DsIWUjP6WCWra38Bkj_oOl_sOMf14r5Fg5srxU/edit?usp=sharing"",""ชัยภูมิ!L341"")+IMPORTRANGE(""https://docs.google.com/spreadsheets/d/1XVB7oCJ3pr-vBUdflwPQ8Z2LlzhnCvZaaYjAfP-647E/edit"&amp;"?usp=sharing"",""นครพนม!L341"")+IMPORTRANGE(""https://docs.google.com/spreadsheets/d/1Mnpb-8PYAgn85W6KOTD40hc_Xc55CaLfHoGAbrZ8tls/edit?usp=sharing"",""นครราชสีมา!L341"")+IMPORTRANGE(""https://docs.google.com/spreadsheets/d/1xoDLGBv9CYbyosIhki0kTq6IpYNj-gp"&amp;"jxfobnaDiut0/edit?usp=sharing"",""บึงกาฬ!L341"")+IMPORTRANGE(""https://docs.google.com/spreadsheets/d/1MMPq-JyI6DSgQETxuSiXkesP-P7JHuemnE6QJIa-Nlw/edit?usp=sharing"",""บุรีรัมย์!L341"")+IMPORTRANGE(""https://docs.google.com/spreadsheets/d/1l6IZ8xUPgMrESzc"&amp;"TYwhA1k_tPjeQjJPTqlm8Gd9eU5g/edit?usp=sharing"",""มหาสารคาม!L341"")+IMPORTRANGE(""https://docs.google.com/spreadsheets/d/1uB74YLqNjWX6FObjekfB2NtSYigTQyR2rq9u4Ub2Sq4/edit?usp=sharing"",""มุกดาหาร!L341"")+IMPORTRANGE(""https://docs.google.com/spreadsheets/"&amp;"d/1NexK3geCPxCTO1fzNF8dPec7yZyUx3OaWkFBC9HsQOo/edit?usp=sharing"",""ยโสธร!L341"")+IMPORTRANGE(""https://docs.google.com/spreadsheets/d/1v_cJrbBlyqmnHPReHk44g9NrMRdENNlSy_E_c5M9fIg/edit?usp=sharing"",""ร้อยเอ็ด!L341"")+IMPORTRANGE(""https://docs.google.com"&amp;"/spreadsheets/d/1Ul4RCpCX66NxYADU1QpwAPjOmBzW64SsT11s1wzXw_c/edit?usp=sharing"",""เลย!L341"")+IMPORTRANGE(""https://docs.google.com/spreadsheets/d/1bRrNKwbHDVktQG10isr5vbWRtt5spIZPpkOSWgbT5ug/edit?usp=sharing"",""ศรีสะเกษ!L341"")+IMPORTRANGE(""https://doc"&amp;"s.google.com/spreadsheets/d/17P34_Ow5kFBfdQD0qspb2UuPX5zpi6WMrQzslghyvrI/edit?usp=sharing"",""สกลนคร!L341"")+IMPORTRANGE(""https://docs.google.com/spreadsheets/d/1yswqbM3-AEpThF3ZSUa1AcmHnmRTF1vlJ1CZGcJ8YuU/edit?usp=sharing"",""สุรินทร์!L341"")+IMPORTRANG"&amp;"E(""https://docs.google.com/spreadsheets/d/13JHU_EFbsQOUQ0JSQ3dWy1VTRosIWcDq6Nc99z2qzdc/edit?usp=sharing"",""หนองคาย!L341"")+IMPORTRANGE(""https://docs.google.com/spreadsheets/d/1Hx73zIEgVdDZZaYSTc46Dqv64atFhpr3GelxLbaIN8A/edit?usp=sharing"",""หนองบัวลำภู"&amp;"!L341"")+IMPORTRANGE(""https://docs.google.com/spreadsheets/d/1lFxr3ctmjFN90yc-xV6jrQ9Ty8BKYVBWnAZ15wcNIJc/edit?usp=sharing"",""อำนาจเจริญ!L341"")+IMPORTRANGE(""https://docs.google.com/spreadsheets/d/1gF7RJpRnL-1oyjyeWxs5SFWEH7y8ahOZsQlyp2A2e-A/edit?usp=s"&amp;"haring"",""อุดรธานี!L341"")+IMPORTRANGE(""https://docs.google.com/spreadsheets/d/1kfLP0j3INXRa8bTDpcEmoWewMBV61jlFlfzczfjWIgc/edit?usp=sharing"",""อุบลราชธานี!L341"")"),0)</f>
        <v>0</v>
      </c>
      <c r="M341" s="56">
        <f ca="1">IFERROR(__xludf.DUMMYFUNCTION("IMPORTRANGE(""https://docs.google.com/spreadsheets/d/1yhBcrRPreicbMKl9Bu_Snb2-OcQAF62RKfhTLhJ2eAA/edit?usp=sharing"",""กาฬสินธุ์!M341"")+IMPORTRANGE(""https://docs.google.com/spreadsheets/d/1aHkj4IaQMThhwWwevcOymEh837vdxeC_PycurhTbGFA/edit?usp=sharing"","&amp;"""ขอนแก่น!M341"")+IMPORTRANGE(""https://docs.google.com/spreadsheets/d/1FvTu2DsIWUjP6WCWra38Bkj_oOl_sOMf14r5Fg5srxU/edit?usp=sharing"",""ชัยภูมิ!M341"")+IMPORTRANGE(""https://docs.google.com/spreadsheets/d/1XVB7oCJ3pr-vBUdflwPQ8Z2LlzhnCvZaaYjAfP-647E/edit"&amp;"?usp=sharing"",""นครพนม!M341"")+IMPORTRANGE(""https://docs.google.com/spreadsheets/d/1Mnpb-8PYAgn85W6KOTD40hc_Xc55CaLfHoGAbrZ8tls/edit?usp=sharing"",""นครราชสีมา!M341"")+IMPORTRANGE(""https://docs.google.com/spreadsheets/d/1xoDLGBv9CYbyosIhki0kTq6IpYNj-gp"&amp;"jxfobnaDiut0/edit?usp=sharing"",""บึงกาฬ!M341"")+IMPORTRANGE(""https://docs.google.com/spreadsheets/d/1MMPq-JyI6DSgQETxuSiXkesP-P7JHuemnE6QJIa-Nlw/edit?usp=sharing"",""บุรีรัมย์!M341"")+IMPORTRANGE(""https://docs.google.com/spreadsheets/d/1l6IZ8xUPgMrESzc"&amp;"TYwhA1k_tPjeQjJPTqlm8Gd9eU5g/edit?usp=sharing"",""มหาสารคาม!M341"")+IMPORTRANGE(""https://docs.google.com/spreadsheets/d/1uB74YLqNjWX6FObjekfB2NtSYigTQyR2rq9u4Ub2Sq4/edit?usp=sharing"",""มุกดาหาร!M341"")+IMPORTRANGE(""https://docs.google.com/spreadsheets/"&amp;"d/1NexK3geCPxCTO1fzNF8dPec7yZyUx3OaWkFBC9HsQOo/edit?usp=sharing"",""ยโสธร!M341"")+IMPORTRANGE(""https://docs.google.com/spreadsheets/d/1v_cJrbBlyqmnHPReHk44g9NrMRdENNlSy_E_c5M9fIg/edit?usp=sharing"",""ร้อยเอ็ด!M341"")+IMPORTRANGE(""https://docs.google.com"&amp;"/spreadsheets/d/1Ul4RCpCX66NxYADU1QpwAPjOmBzW64SsT11s1wzXw_c/edit?usp=sharing"",""เลย!M341"")+IMPORTRANGE(""https://docs.google.com/spreadsheets/d/1bRrNKwbHDVktQG10isr5vbWRtt5spIZPpkOSWgbT5ug/edit?usp=sharing"",""ศรีสะเกษ!M341"")+IMPORTRANGE(""https://doc"&amp;"s.google.com/spreadsheets/d/17P34_Ow5kFBfdQD0qspb2UuPX5zpi6WMrQzslghyvrI/edit?usp=sharing"",""สกลนคร!M341"")+IMPORTRANGE(""https://docs.google.com/spreadsheets/d/1yswqbM3-AEpThF3ZSUa1AcmHnmRTF1vlJ1CZGcJ8YuU/edit?usp=sharing"",""สุรินทร์!M341"")+IMPORTRANG"&amp;"E(""https://docs.google.com/spreadsheets/d/13JHU_EFbsQOUQ0JSQ3dWy1VTRosIWcDq6Nc99z2qzdc/edit?usp=sharing"",""หนองคาย!M341"")+IMPORTRANGE(""https://docs.google.com/spreadsheets/d/1Hx73zIEgVdDZZaYSTc46Dqv64atFhpr3GelxLbaIN8A/edit?usp=sharing"",""หนองบัวลำภู"&amp;"!M341"")+IMPORTRANGE(""https://docs.google.com/spreadsheets/d/1lFxr3ctmjFN90yc-xV6jrQ9Ty8BKYVBWnAZ15wcNIJc/edit?usp=sharing"",""อำนาจเจริญ!M341"")+IMPORTRANGE(""https://docs.google.com/spreadsheets/d/1gF7RJpRnL-1oyjyeWxs5SFWEH7y8ahOZsQlyp2A2e-A/edit?usp=s"&amp;"haring"",""อุดรธานี!M341"")+IMPORTRANGE(""https://docs.google.com/spreadsheets/d/1kfLP0j3INXRa8bTDpcEmoWewMBV61jlFlfzczfjWIgc/edit?usp=sharing"",""อุบลราชธานี!M341"")"),0)</f>
        <v>0</v>
      </c>
      <c r="N341" s="56">
        <f ca="1">IFERROR(__xludf.DUMMYFUNCTION("IMPORTRANGE(""https://docs.google.com/spreadsheets/d/1yhBcrRPreicbMKl9Bu_Snb2-OcQAF62RKfhTLhJ2eAA/edit?usp=sharing"",""กาฬสินธุ์!N341"")+IMPORTRANGE(""https://docs.google.com/spreadsheets/d/1aHkj4IaQMThhwWwevcOymEh837vdxeC_PycurhTbGFA/edit?usp=sharing"","&amp;"""ขอนแก่น!N341"")+IMPORTRANGE(""https://docs.google.com/spreadsheets/d/1FvTu2DsIWUjP6WCWra38Bkj_oOl_sOMf14r5Fg5srxU/edit?usp=sharing"",""ชัยภูมิ!N341"")+IMPORTRANGE(""https://docs.google.com/spreadsheets/d/1XVB7oCJ3pr-vBUdflwPQ8Z2LlzhnCvZaaYjAfP-647E/edit"&amp;"?usp=sharing"",""นครพนม!N341"")+IMPORTRANGE(""https://docs.google.com/spreadsheets/d/1Mnpb-8PYAgn85W6KOTD40hc_Xc55CaLfHoGAbrZ8tls/edit?usp=sharing"",""นครราชสีมา!N341"")+IMPORTRANGE(""https://docs.google.com/spreadsheets/d/1xoDLGBv9CYbyosIhki0kTq6IpYNj-gp"&amp;"jxfobnaDiut0/edit?usp=sharing"",""บึงกาฬ!N341"")+IMPORTRANGE(""https://docs.google.com/spreadsheets/d/1MMPq-JyI6DSgQETxuSiXkesP-P7JHuemnE6QJIa-Nlw/edit?usp=sharing"",""บุรีรัมย์!N341"")+IMPORTRANGE(""https://docs.google.com/spreadsheets/d/1l6IZ8xUPgMrESzc"&amp;"TYwhA1k_tPjeQjJPTqlm8Gd9eU5g/edit?usp=sharing"",""มหาสารคาม!N341"")+IMPORTRANGE(""https://docs.google.com/spreadsheets/d/1uB74YLqNjWX6FObjekfB2NtSYigTQyR2rq9u4Ub2Sq4/edit?usp=sharing"",""มุกดาหาร!N341"")+IMPORTRANGE(""https://docs.google.com/spreadsheets/"&amp;"d/1NexK3geCPxCTO1fzNF8dPec7yZyUx3OaWkFBC9HsQOo/edit?usp=sharing"",""ยโสธร!N341"")+IMPORTRANGE(""https://docs.google.com/spreadsheets/d/1v_cJrbBlyqmnHPReHk44g9NrMRdENNlSy_E_c5M9fIg/edit?usp=sharing"",""ร้อยเอ็ด!N341"")+IMPORTRANGE(""https://docs.google.com"&amp;"/spreadsheets/d/1Ul4RCpCX66NxYADU1QpwAPjOmBzW64SsT11s1wzXw_c/edit?usp=sharing"",""เลย!N341"")+IMPORTRANGE(""https://docs.google.com/spreadsheets/d/1bRrNKwbHDVktQG10isr5vbWRtt5spIZPpkOSWgbT5ug/edit?usp=sharing"",""ศรีสะเกษ!N341"")+IMPORTRANGE(""https://doc"&amp;"s.google.com/spreadsheets/d/17P34_Ow5kFBfdQD0qspb2UuPX5zpi6WMrQzslghyvrI/edit?usp=sharing"",""สกลนคร!N341"")+IMPORTRANGE(""https://docs.google.com/spreadsheets/d/1yswqbM3-AEpThF3ZSUa1AcmHnmRTF1vlJ1CZGcJ8YuU/edit?usp=sharing"",""สุรินทร์!N341"")+IMPORTRANG"&amp;"E(""https://docs.google.com/spreadsheets/d/13JHU_EFbsQOUQ0JSQ3dWy1VTRosIWcDq6Nc99z2qzdc/edit?usp=sharing"",""หนองคาย!N341"")+IMPORTRANGE(""https://docs.google.com/spreadsheets/d/1Hx73zIEgVdDZZaYSTc46Dqv64atFhpr3GelxLbaIN8A/edit?usp=sharing"",""หนองบัวลำภู"&amp;"!N341"")+IMPORTRANGE(""https://docs.google.com/spreadsheets/d/1lFxr3ctmjFN90yc-xV6jrQ9Ty8BKYVBWnAZ15wcNIJc/edit?usp=sharing"",""อำนาจเจริญ!N341"")+IMPORTRANGE(""https://docs.google.com/spreadsheets/d/1gF7RJpRnL-1oyjyeWxs5SFWEH7y8ahOZsQlyp2A2e-A/edit?usp=s"&amp;"haring"",""อุดรธานี!N341"")+IMPORTRANGE(""https://docs.google.com/spreadsheets/d/1kfLP0j3INXRa8bTDpcEmoWewMBV61jlFlfzczfjWIgc/edit?usp=sharing"",""อุบลราชธานี!N341"")"),0)</f>
        <v>0</v>
      </c>
      <c r="O341" s="56">
        <f t="shared" ca="1" si="253"/>
        <v>0</v>
      </c>
      <c r="P341" s="56">
        <f t="shared" ca="1" si="254"/>
        <v>0</v>
      </c>
      <c r="Q341" s="56">
        <f ca="1">IFERROR(__xludf.DUMMYFUNCTION("IMPORTRANGE(""https://docs.google.com/spreadsheets/d/1yhBcrRPreicbMKl9Bu_Snb2-OcQAF62RKfhTLhJ2eAA/edit?usp=sharing"",""กาฬสินธุ์!Q341"")+IMPORTRANGE(""https://docs.google.com/spreadsheets/d/1aHkj4IaQMThhwWwevcOymEh837vdxeC_PycurhTbGFA/edit?usp=sharing"","&amp;"""ขอนแก่น!Q341"")+IMPORTRANGE(""https://docs.google.com/spreadsheets/d/1FvTu2DsIWUjP6WCWra38Bkj_oOl_sOMf14r5Fg5srxU/edit?usp=sharing"",""ชัยภูมิ!Q341"")+IMPORTRANGE(""https://docs.google.com/spreadsheets/d/1XVB7oCJ3pr-vBUdflwPQ8Z2LlzhnCvZaaYjAfP-647E/edit"&amp;"?usp=sharing"",""นครพนม!Q341"")+IMPORTRANGE(""https://docs.google.com/spreadsheets/d/1Mnpb-8PYAgn85W6KOTD40hc_Xc55CaLfHoGAbrZ8tls/edit?usp=sharing"",""นครราชสีมา!Q341"")+IMPORTRANGE(""https://docs.google.com/spreadsheets/d/1xoDLGBv9CYbyosIhki0kTq6IpYNj-gp"&amp;"jxfobnaDiut0/edit?usp=sharing"",""บึงกาฬ!Q341"")+IMPORTRANGE(""https://docs.google.com/spreadsheets/d/1MMPq-JyI6DSgQETxuSiXkesP-P7JHuemnE6QJIa-Nlw/edit?usp=sharing"",""บุรีรัมย์!Q341"")+IMPORTRANGE(""https://docs.google.com/spreadsheets/d/1l6IZ8xUPgMrESzc"&amp;"TYwhA1k_tPjeQjJPTqlm8Gd9eU5g/edit?usp=sharing"",""มหาสารคาม!Q341"")+IMPORTRANGE(""https://docs.google.com/spreadsheets/d/1uB74YLqNjWX6FObjekfB2NtSYigTQyR2rq9u4Ub2Sq4/edit?usp=sharing"",""มุกดาหาร!Q341"")+IMPORTRANGE(""https://docs.google.com/spreadsheets/"&amp;"d/1NexK3geCPxCTO1fzNF8dPec7yZyUx3OaWkFBC9HsQOo/edit?usp=sharing"",""ยโสธร!Q341"")+IMPORTRANGE(""https://docs.google.com/spreadsheets/d/1v_cJrbBlyqmnHPReHk44g9NrMRdENNlSy_E_c5M9fIg/edit?usp=sharing"",""ร้อยเอ็ด!Q341"")+IMPORTRANGE(""https://docs.google.com"&amp;"/spreadsheets/d/1Ul4RCpCX66NxYADU1QpwAPjOmBzW64SsT11s1wzXw_c/edit?usp=sharing"",""เลย!Q341"")+IMPORTRANGE(""https://docs.google.com/spreadsheets/d/1bRrNKwbHDVktQG10isr5vbWRtt5spIZPpkOSWgbT5ug/edit?usp=sharing"",""ศรีสะเกษ!Q341"")+IMPORTRANGE(""https://doc"&amp;"s.google.com/spreadsheets/d/17P34_Ow5kFBfdQD0qspb2UuPX5zpi6WMrQzslghyvrI/edit?usp=sharing"",""สกลนคร!Q341"")+IMPORTRANGE(""https://docs.google.com/spreadsheets/d/1yswqbM3-AEpThF3ZSUa1AcmHnmRTF1vlJ1CZGcJ8YuU/edit?usp=sharing"",""สุรินทร์!Q341"")+IMPORTRANG"&amp;"E(""https://docs.google.com/spreadsheets/d/13JHU_EFbsQOUQ0JSQ3dWy1VTRosIWcDq6Nc99z2qzdc/edit?usp=sharing"",""หนองคาย!Q341"")+IMPORTRANGE(""https://docs.google.com/spreadsheets/d/1Hx73zIEgVdDZZaYSTc46Dqv64atFhpr3GelxLbaIN8A/edit?usp=sharing"",""หนองบัวลำภู"&amp;"!Q341"")+IMPORTRANGE(""https://docs.google.com/spreadsheets/d/1lFxr3ctmjFN90yc-xV6jrQ9Ty8BKYVBWnAZ15wcNIJc/edit?usp=sharing"",""อำนาจเจริญ!Q341"")+IMPORTRANGE(""https://docs.google.com/spreadsheets/d/1gF7RJpRnL-1oyjyeWxs5SFWEH7y8ahOZsQlyp2A2e-A/edit?usp=s"&amp;"haring"",""อุดรธานี!Q341"")+IMPORTRANGE(""https://docs.google.com/spreadsheets/d/1kfLP0j3INXRa8bTDpcEmoWewMBV61jlFlfzczfjWIgc/edit?usp=sharing"",""อุบลราชธานี!Q341"")"),0)</f>
        <v>0</v>
      </c>
      <c r="R341" s="56">
        <f ca="1">IFERROR(__xludf.DUMMYFUNCTION("IMPORTRANGE(""https://docs.google.com/spreadsheets/d/1yhBcrRPreicbMKl9Bu_Snb2-OcQAF62RKfhTLhJ2eAA/edit?usp=sharing"",""กาฬสินธุ์!R341"")+IMPORTRANGE(""https://docs.google.com/spreadsheets/d/1aHkj4IaQMThhwWwevcOymEh837vdxeC_PycurhTbGFA/edit?usp=sharing"","&amp;"""ขอนแก่น!R341"")+IMPORTRANGE(""https://docs.google.com/spreadsheets/d/1FvTu2DsIWUjP6WCWra38Bkj_oOl_sOMf14r5Fg5srxU/edit?usp=sharing"",""ชัยภูมิ!R341"")+IMPORTRANGE(""https://docs.google.com/spreadsheets/d/1XVB7oCJ3pr-vBUdflwPQ8Z2LlzhnCvZaaYjAfP-647E/edit"&amp;"?usp=sharing"",""นครพนม!R341"")+IMPORTRANGE(""https://docs.google.com/spreadsheets/d/1Mnpb-8PYAgn85W6KOTD40hc_Xc55CaLfHoGAbrZ8tls/edit?usp=sharing"",""นครราชสีมา!R341"")+IMPORTRANGE(""https://docs.google.com/spreadsheets/d/1xoDLGBv9CYbyosIhki0kTq6IpYNj-gp"&amp;"jxfobnaDiut0/edit?usp=sharing"",""บึงกาฬ!R341"")+IMPORTRANGE(""https://docs.google.com/spreadsheets/d/1MMPq-JyI6DSgQETxuSiXkesP-P7JHuemnE6QJIa-Nlw/edit?usp=sharing"",""บุรีรัมย์!R341"")+IMPORTRANGE(""https://docs.google.com/spreadsheets/d/1l6IZ8xUPgMrESzc"&amp;"TYwhA1k_tPjeQjJPTqlm8Gd9eU5g/edit?usp=sharing"",""มหาสารคาม!R341"")+IMPORTRANGE(""https://docs.google.com/spreadsheets/d/1uB74YLqNjWX6FObjekfB2NtSYigTQyR2rq9u4Ub2Sq4/edit?usp=sharing"",""มุกดาหาร!R341"")+IMPORTRANGE(""https://docs.google.com/spreadsheets/"&amp;"d/1NexK3geCPxCTO1fzNF8dPec7yZyUx3OaWkFBC9HsQOo/edit?usp=sharing"",""ยโสธร!R341"")+IMPORTRANGE(""https://docs.google.com/spreadsheets/d/1v_cJrbBlyqmnHPReHk44g9NrMRdENNlSy_E_c5M9fIg/edit?usp=sharing"",""ร้อยเอ็ด!R341"")+IMPORTRANGE(""https://docs.google.com"&amp;"/spreadsheets/d/1Ul4RCpCX66NxYADU1QpwAPjOmBzW64SsT11s1wzXw_c/edit?usp=sharing"",""เลย!R341"")+IMPORTRANGE(""https://docs.google.com/spreadsheets/d/1bRrNKwbHDVktQG10isr5vbWRtt5spIZPpkOSWgbT5ug/edit?usp=sharing"",""ศรีสะเกษ!R341"")+IMPORTRANGE(""https://doc"&amp;"s.google.com/spreadsheets/d/17P34_Ow5kFBfdQD0qspb2UuPX5zpi6WMrQzslghyvrI/edit?usp=sharing"",""สกลนคร!R341"")+IMPORTRANGE(""https://docs.google.com/spreadsheets/d/1yswqbM3-AEpThF3ZSUa1AcmHnmRTF1vlJ1CZGcJ8YuU/edit?usp=sharing"",""สุรินทร์!R341"")+IMPORTRANG"&amp;"E(""https://docs.google.com/spreadsheets/d/13JHU_EFbsQOUQ0JSQ3dWy1VTRosIWcDq6Nc99z2qzdc/edit?usp=sharing"",""หนองคาย!R341"")+IMPORTRANGE(""https://docs.google.com/spreadsheets/d/1Hx73zIEgVdDZZaYSTc46Dqv64atFhpr3GelxLbaIN8A/edit?usp=sharing"",""หนองบัวลำภู"&amp;"!R341"")+IMPORTRANGE(""https://docs.google.com/spreadsheets/d/1lFxr3ctmjFN90yc-xV6jrQ9Ty8BKYVBWnAZ15wcNIJc/edit?usp=sharing"",""อำนาจเจริญ!R341"")+IMPORTRANGE(""https://docs.google.com/spreadsheets/d/1gF7RJpRnL-1oyjyeWxs5SFWEH7y8ahOZsQlyp2A2e-A/edit?usp=s"&amp;"haring"",""อุดรธานี!R341"")+IMPORTRANGE(""https://docs.google.com/spreadsheets/d/1kfLP0j3INXRa8bTDpcEmoWewMBV61jlFlfzczfjWIgc/edit?usp=sharing"",""อุบลราชธานี!R341"")"),0)</f>
        <v>0</v>
      </c>
      <c r="S341" s="57">
        <f ca="1">IFERROR(__xludf.DUMMYFUNCTION("IMPORTRANGE(""https://docs.google.com/spreadsheets/d/1yhBcrRPreicbMKl9Bu_Snb2-OcQAF62RKfhTLhJ2eAA/edit?usp=sharing"",""กาฬสินธุ์!S341"")+IMPORTRANGE(""https://docs.google.com/spreadsheets/d/1aHkj4IaQMThhwWwevcOymEh837vdxeC_PycurhTbGFA/edit?usp=sharing"","&amp;"""ขอนแก่น!S341"")+IMPORTRANGE(""https://docs.google.com/spreadsheets/d/1FvTu2DsIWUjP6WCWra38Bkj_oOl_sOMf14r5Fg5srxU/edit?usp=sharing"",""ชัยภูมิ!S341"")+IMPORTRANGE(""https://docs.google.com/spreadsheets/d/1XVB7oCJ3pr-vBUdflwPQ8Z2LlzhnCvZaaYjAfP-647E/edit"&amp;"?usp=sharing"",""นครพนม!S341"")+IMPORTRANGE(""https://docs.google.com/spreadsheets/d/1Mnpb-8PYAgn85W6KOTD40hc_Xc55CaLfHoGAbrZ8tls/edit?usp=sharing"",""นครราชสีมา!S341"")+IMPORTRANGE(""https://docs.google.com/spreadsheets/d/1xoDLGBv9CYbyosIhki0kTq6IpYNj-gp"&amp;"jxfobnaDiut0/edit?usp=sharing"",""บึงกาฬ!S341"")+IMPORTRANGE(""https://docs.google.com/spreadsheets/d/1MMPq-JyI6DSgQETxuSiXkesP-P7JHuemnE6QJIa-Nlw/edit?usp=sharing"",""บุรีรัมย์!S341"")+IMPORTRANGE(""https://docs.google.com/spreadsheets/d/1l6IZ8xUPgMrESzc"&amp;"TYwhA1k_tPjeQjJPTqlm8Gd9eU5g/edit?usp=sharing"",""มหาสารคาม!S341"")+IMPORTRANGE(""https://docs.google.com/spreadsheets/d/1uB74YLqNjWX6FObjekfB2NtSYigTQyR2rq9u4Ub2Sq4/edit?usp=sharing"",""มุกดาหาร!S341"")+IMPORTRANGE(""https://docs.google.com/spreadsheets/"&amp;"d/1NexK3geCPxCTO1fzNF8dPec7yZyUx3OaWkFBC9HsQOo/edit?usp=sharing"",""ยโสธร!S341"")+IMPORTRANGE(""https://docs.google.com/spreadsheets/d/1v_cJrbBlyqmnHPReHk44g9NrMRdENNlSy_E_c5M9fIg/edit?usp=sharing"",""ร้อยเอ็ด!S341"")+IMPORTRANGE(""https://docs.google.com"&amp;"/spreadsheets/d/1Ul4RCpCX66NxYADU1QpwAPjOmBzW64SsT11s1wzXw_c/edit?usp=sharing"",""เลย!S341"")+IMPORTRANGE(""https://docs.google.com/spreadsheets/d/1bRrNKwbHDVktQG10isr5vbWRtt5spIZPpkOSWgbT5ug/edit?usp=sharing"",""ศรีสะเกษ!S341"")+IMPORTRANGE(""https://doc"&amp;"s.google.com/spreadsheets/d/17P34_Ow5kFBfdQD0qspb2UuPX5zpi6WMrQzslghyvrI/edit?usp=sharing"",""สกลนคร!S341"")+IMPORTRANGE(""https://docs.google.com/spreadsheets/d/1yswqbM3-AEpThF3ZSUa1AcmHnmRTF1vlJ1CZGcJ8YuU/edit?usp=sharing"",""สุรินทร์!S341"")+IMPORTRANG"&amp;"E(""https://docs.google.com/spreadsheets/d/13JHU_EFbsQOUQ0JSQ3dWy1VTRosIWcDq6Nc99z2qzdc/edit?usp=sharing"",""หนองคาย!S341"")+IMPORTRANGE(""https://docs.google.com/spreadsheets/d/1Hx73zIEgVdDZZaYSTc46Dqv64atFhpr3GelxLbaIN8A/edit?usp=sharing"",""หนองบัวลำภู"&amp;"!S341"")+IMPORTRANGE(""https://docs.google.com/spreadsheets/d/1lFxr3ctmjFN90yc-xV6jrQ9Ty8BKYVBWnAZ15wcNIJc/edit?usp=sharing"",""อำนาจเจริญ!S341"")+IMPORTRANGE(""https://docs.google.com/spreadsheets/d/1gF7RJpRnL-1oyjyeWxs5SFWEH7y8ahOZsQlyp2A2e-A/edit?usp=s"&amp;"haring"",""อุดรธานี!S341"")+IMPORTRANGE(""https://docs.google.com/spreadsheets/d/1kfLP0j3INXRa8bTDpcEmoWewMBV61jlFlfzczfjWIgc/edit?usp=sharing"",""อุบลราชธานี!S341"")"),0)</f>
        <v>0</v>
      </c>
      <c r="T341" s="56">
        <f t="shared" ca="1" si="256"/>
        <v>0</v>
      </c>
      <c r="U341" s="56">
        <f t="shared" ca="1" si="257"/>
        <v>0</v>
      </c>
    </row>
    <row r="342" spans="1:21" ht="19.5">
      <c r="A342" s="166"/>
      <c r="B342" s="167"/>
      <c r="C342" s="156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55"/>
      <c r="M342" s="55"/>
      <c r="N342" s="55"/>
      <c r="O342" s="164"/>
      <c r="P342" s="164"/>
      <c r="Q342" s="55"/>
      <c r="R342" s="55"/>
      <c r="S342" s="62"/>
      <c r="T342" s="164"/>
      <c r="U342" s="164"/>
    </row>
    <row r="343" spans="1:21" ht="19.5">
      <c r="A343" s="241"/>
      <c r="B343" s="244"/>
      <c r="C343" s="242"/>
      <c r="D343" s="244"/>
      <c r="E343" s="338" t="s">
        <v>137</v>
      </c>
      <c r="F343" s="244"/>
      <c r="G343" s="245"/>
      <c r="H343" s="246" t="s">
        <v>35</v>
      </c>
      <c r="I343" s="339">
        <v>0</v>
      </c>
      <c r="J343" s="247">
        <f ca="1">J344+J347+J348+J349</f>
        <v>75472</v>
      </c>
      <c r="K343" s="340">
        <v>0</v>
      </c>
      <c r="L343" s="249"/>
      <c r="M343" s="249"/>
      <c r="N343" s="249"/>
      <c r="O343" s="249"/>
      <c r="P343" s="249"/>
      <c r="Q343" s="249"/>
      <c r="R343" s="249"/>
      <c r="S343" s="250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40" t="s">
        <v>35</v>
      </c>
      <c r="I344" s="181">
        <f ca="1">IFERROR(__xludf.DUMMYFUNCTION("IMPORTRANGE(""https://docs.google.com/spreadsheets/d/1yhBcrRPreicbMKl9Bu_Snb2-OcQAF62RKfhTLhJ2eAA/edit?usp=sharing"",""กาฬสินธุ์!I344"")+IMPORTRANGE(""https://docs.google.com/spreadsheets/d/1aHkj4IaQMThhwWwevcOymEh837vdxeC_PycurhTbGFA/edit?usp=sharing"","&amp;"""ขอนแก่น!I344"")+IMPORTRANGE(""https://docs.google.com/spreadsheets/d/1FvTu2DsIWUjP6WCWra38Bkj_oOl_sOMf14r5Fg5srxU/edit?usp=sharing"",""ชัยภูมิ!I344"")+IMPORTRANGE(""https://docs.google.com/spreadsheets/d/1XVB7oCJ3pr-vBUdflwPQ8Z2LlzhnCvZaaYjAfP-647E/edit"&amp;"?usp=sharing"",""นครพนม!I344"")+IMPORTRANGE(""https://docs.google.com/spreadsheets/d/1Mnpb-8PYAgn85W6KOTD40hc_Xc55CaLfHoGAbrZ8tls/edit?usp=sharing"",""นครราชสีมา!I344"")+IMPORTRANGE(""https://docs.google.com/spreadsheets/d/1xoDLGBv9CYbyosIhki0kTq6IpYNj-gp"&amp;"jxfobnaDiut0/edit?usp=sharing"",""บึงกาฬ!I344"")+IMPORTRANGE(""https://docs.google.com/spreadsheets/d/1MMPq-JyI6DSgQETxuSiXkesP-P7JHuemnE6QJIa-Nlw/edit?usp=sharing"",""บุรีรัมย์!I344"")+IMPORTRANGE(""https://docs.google.com/spreadsheets/d/1l6IZ8xUPgMrESzc"&amp;"TYwhA1k_tPjeQjJPTqlm8Gd9eU5g/edit?usp=sharing"",""มหาสารคาม!I344"")+IMPORTRANGE(""https://docs.google.com/spreadsheets/d/1uB74YLqNjWX6FObjekfB2NtSYigTQyR2rq9u4Ub2Sq4/edit?usp=sharing"",""มุกดาหาร!I344"")+IMPORTRANGE(""https://docs.google.com/spreadsheets/"&amp;"d/1NexK3geCPxCTO1fzNF8dPec7yZyUx3OaWkFBC9HsQOo/edit?usp=sharing"",""ยโสธร!I344"")+IMPORTRANGE(""https://docs.google.com/spreadsheets/d/1v_cJrbBlyqmnHPReHk44g9NrMRdENNlSy_E_c5M9fIg/edit?usp=sharing"",""ร้อยเอ็ด!I344"")+IMPORTRANGE(""https://docs.google.com"&amp;"/spreadsheets/d/1Ul4RCpCX66NxYADU1QpwAPjOmBzW64SsT11s1wzXw_c/edit?usp=sharing"",""เลย!I344"")+IMPORTRANGE(""https://docs.google.com/spreadsheets/d/1bRrNKwbHDVktQG10isr5vbWRtt5spIZPpkOSWgbT5ug/edit?usp=sharing"",""ศรีสะเกษ!I344"")+IMPORTRANGE(""https://doc"&amp;"s.google.com/spreadsheets/d/17P34_Ow5kFBfdQD0qspb2UuPX5zpi6WMrQzslghyvrI/edit?usp=sharing"",""สกลนคร!I344"")+IMPORTRANGE(""https://docs.google.com/spreadsheets/d/1yswqbM3-AEpThF3ZSUa1AcmHnmRTF1vlJ1CZGcJ8YuU/edit?usp=sharing"",""สุรินทร์!I344"")+IMPORTRANG"&amp;"E(""https://docs.google.com/spreadsheets/d/13JHU_EFbsQOUQ0JSQ3dWy1VTRosIWcDq6Nc99z2qzdc/edit?usp=sharing"",""หนองคาย!I344"")+IMPORTRANGE(""https://docs.google.com/spreadsheets/d/1Hx73zIEgVdDZZaYSTc46Dqv64atFhpr3GelxLbaIN8A/edit?usp=sharing"",""หนองบัวลำภู"&amp;"!I344"")+IMPORTRANGE(""https://docs.google.com/spreadsheets/d/1lFxr3ctmjFN90yc-xV6jrQ9Ty8BKYVBWnAZ15wcNIJc/edit?usp=sharing"",""อำนาจเจริญ!I344"")+IMPORTRANGE(""https://docs.google.com/spreadsheets/d/1gF7RJpRnL-1oyjyeWxs5SFWEH7y8ahOZsQlyp2A2e-A/edit?usp=s"&amp;"haring"",""อุดรธานี!I344"")+IMPORTRANGE(""https://docs.google.com/spreadsheets/d/1kfLP0j3INXRa8bTDpcEmoWewMBV61jlFlfzczfjWIgc/edit?usp=sharing"",""อุบลราชธานี!I344"")"),57200)</f>
        <v>57200</v>
      </c>
      <c r="J344" s="181">
        <f ca="1">IFERROR(__xludf.DUMMYFUNCTION("IMPORTRANGE(""https://docs.google.com/spreadsheets/d/1yhBcrRPreicbMKl9Bu_Snb2-OcQAF62RKfhTLhJ2eAA/edit?usp=sharing"",""กาฬสินธุ์!J344"")+IMPORTRANGE(""https://docs.google.com/spreadsheets/d/1aHkj4IaQMThhwWwevcOymEh837vdxeC_PycurhTbGFA/edit?usp=sharing"","&amp;"""ขอนแก่น!J344"")+IMPORTRANGE(""https://docs.google.com/spreadsheets/d/1FvTu2DsIWUjP6WCWra38Bkj_oOl_sOMf14r5Fg5srxU/edit?usp=sharing"",""ชัยภูมิ!J344"")+IMPORTRANGE(""https://docs.google.com/spreadsheets/d/1XVB7oCJ3pr-vBUdflwPQ8Z2LlzhnCvZaaYjAfP-647E/edit"&amp;"?usp=sharing"",""นครพนม!J344"")+IMPORTRANGE(""https://docs.google.com/spreadsheets/d/1Mnpb-8PYAgn85W6KOTD40hc_Xc55CaLfHoGAbrZ8tls/edit?usp=sharing"",""นครราชสีมา!J344"")+IMPORTRANGE(""https://docs.google.com/spreadsheets/d/1xoDLGBv9CYbyosIhki0kTq6IpYNj-gp"&amp;"jxfobnaDiut0/edit?usp=sharing"",""บึงกาฬ!J344"")+IMPORTRANGE(""https://docs.google.com/spreadsheets/d/1MMPq-JyI6DSgQETxuSiXkesP-P7JHuemnE6QJIa-Nlw/edit?usp=sharing"",""บุรีรัมย์!J344"")+IMPORTRANGE(""https://docs.google.com/spreadsheets/d/1l6IZ8xUPgMrESzc"&amp;"TYwhA1k_tPjeQjJPTqlm8Gd9eU5g/edit?usp=sharing"",""มหาสารคาม!J344"")+IMPORTRANGE(""https://docs.google.com/spreadsheets/d/1uB74YLqNjWX6FObjekfB2NtSYigTQyR2rq9u4Ub2Sq4/edit?usp=sharing"",""มุกดาหาร!J344"")+IMPORTRANGE(""https://docs.google.com/spreadsheets/"&amp;"d/1NexK3geCPxCTO1fzNF8dPec7yZyUx3OaWkFBC9HsQOo/edit?usp=sharing"",""ยโสธร!J344"")+IMPORTRANGE(""https://docs.google.com/spreadsheets/d/1v_cJrbBlyqmnHPReHk44g9NrMRdENNlSy_E_c5M9fIg/edit?usp=sharing"",""ร้อยเอ็ด!J344"")+IMPORTRANGE(""https://docs.google.com"&amp;"/spreadsheets/d/1Ul4RCpCX66NxYADU1QpwAPjOmBzW64SsT11s1wzXw_c/edit?usp=sharing"",""เลย!J344"")+IMPORTRANGE(""https://docs.google.com/spreadsheets/d/1bRrNKwbHDVktQG10isr5vbWRtt5spIZPpkOSWgbT5ug/edit?usp=sharing"",""ศรีสะเกษ!J344"")+IMPORTRANGE(""https://doc"&amp;"s.google.com/spreadsheets/d/17P34_Ow5kFBfdQD0qspb2UuPX5zpi6WMrQzslghyvrI/edit?usp=sharing"",""สกลนคร!J344"")+IMPORTRANGE(""https://docs.google.com/spreadsheets/d/1yswqbM3-AEpThF3ZSUa1AcmHnmRTF1vlJ1CZGcJ8YuU/edit?usp=sharing"",""สุรินทร์!J344"")+IMPORTRANG"&amp;"E(""https://docs.google.com/spreadsheets/d/13JHU_EFbsQOUQ0JSQ3dWy1VTRosIWcDq6Nc99z2qzdc/edit?usp=sharing"",""หนองคาย!J344"")+IMPORTRANGE(""https://docs.google.com/spreadsheets/d/1Hx73zIEgVdDZZaYSTc46Dqv64atFhpr3GelxLbaIN8A/edit?usp=sharing"",""หนองบัวลำภู"&amp;"!J344"")+IMPORTRANGE(""https://docs.google.com/spreadsheets/d/1lFxr3ctmjFN90yc-xV6jrQ9Ty8BKYVBWnAZ15wcNIJc/edit?usp=sharing"",""อำนาจเจริญ!J344"")+IMPORTRANGE(""https://docs.google.com/spreadsheets/d/1gF7RJpRnL-1oyjyeWxs5SFWEH7y8ahOZsQlyp2A2e-A/edit?usp=s"&amp;"haring"",""อุดรธานี!J344"")+IMPORTRANGE(""https://docs.google.com/spreadsheets/d/1kfLP0j3INXRa8bTDpcEmoWewMBV61jlFlfzczfjWIgc/edit?usp=sharing"",""อุบลราชธานี!J344"")"),71175)</f>
        <v>71175</v>
      </c>
      <c r="K344" s="56">
        <f ca="1">IF(I344&gt;0,J344*100/I344,0)</f>
        <v>124.43181818181819</v>
      </c>
      <c r="L344" s="55"/>
      <c r="M344" s="55"/>
      <c r="N344" s="55"/>
      <c r="O344" s="55"/>
      <c r="P344" s="55"/>
      <c r="Q344" s="55"/>
      <c r="R344" s="55"/>
      <c r="S344" s="62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55"/>
      <c r="M345" s="55"/>
      <c r="N345" s="55"/>
      <c r="O345" s="55"/>
      <c r="P345" s="55"/>
      <c r="Q345" s="55"/>
      <c r="R345" s="55"/>
      <c r="S345" s="62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181">
        <f ca="1">IFERROR(__xludf.DUMMYFUNCTION("IMPORTRANGE(""https://docs.google.com/spreadsheets/d/1yhBcrRPreicbMKl9Bu_Snb2-OcQAF62RKfhTLhJ2eAA/edit?usp=sharing"",""กาฬสินธุ์!I346"")+IMPORTRANGE(""https://docs.google.com/spreadsheets/d/1aHkj4IaQMThhwWwevcOymEh837vdxeC_PycurhTbGFA/edit?usp=sharing"","&amp;"""ขอนแก่น!I346"")+IMPORTRANGE(""https://docs.google.com/spreadsheets/d/1FvTu2DsIWUjP6WCWra38Bkj_oOl_sOMf14r5Fg5srxU/edit?usp=sharing"",""ชัยภูมิ!I346"")+IMPORTRANGE(""https://docs.google.com/spreadsheets/d/1XVB7oCJ3pr-vBUdflwPQ8Z2LlzhnCvZaaYjAfP-647E/edit"&amp;"?usp=sharing"",""นครพนม!I346"")+IMPORTRANGE(""https://docs.google.com/spreadsheets/d/1Mnpb-8PYAgn85W6KOTD40hc_Xc55CaLfHoGAbrZ8tls/edit?usp=sharing"",""นครราชสีมา!I346"")+IMPORTRANGE(""https://docs.google.com/spreadsheets/d/1xoDLGBv9CYbyosIhki0kTq6IpYNj-gp"&amp;"jxfobnaDiut0/edit?usp=sharing"",""บึงกาฬ!I346"")+IMPORTRANGE(""https://docs.google.com/spreadsheets/d/1MMPq-JyI6DSgQETxuSiXkesP-P7JHuemnE6QJIa-Nlw/edit?usp=sharing"",""บุรีรัมย์!I346"")+IMPORTRANGE(""https://docs.google.com/spreadsheets/d/1l6IZ8xUPgMrESzc"&amp;"TYwhA1k_tPjeQjJPTqlm8Gd9eU5g/edit?usp=sharing"",""มหาสารคาม!I346"")+IMPORTRANGE(""https://docs.google.com/spreadsheets/d/1uB74YLqNjWX6FObjekfB2NtSYigTQyR2rq9u4Ub2Sq4/edit?usp=sharing"",""มุกดาหาร!I346"")+IMPORTRANGE(""https://docs.google.com/spreadsheets/"&amp;"d/1NexK3geCPxCTO1fzNF8dPec7yZyUx3OaWkFBC9HsQOo/edit?usp=sharing"",""ยโสธร!I346"")+IMPORTRANGE(""https://docs.google.com/spreadsheets/d/1v_cJrbBlyqmnHPReHk44g9NrMRdENNlSy_E_c5M9fIg/edit?usp=sharing"",""ร้อยเอ็ด!I346"")+IMPORTRANGE(""https://docs.google.com"&amp;"/spreadsheets/d/1Ul4RCpCX66NxYADU1QpwAPjOmBzW64SsT11s1wzXw_c/edit?usp=sharing"",""เลย!I346"")+IMPORTRANGE(""https://docs.google.com/spreadsheets/d/1bRrNKwbHDVktQG10isr5vbWRtt5spIZPpkOSWgbT5ug/edit?usp=sharing"",""ศรีสะเกษ!I346"")+IMPORTRANGE(""https://doc"&amp;"s.google.com/spreadsheets/d/17P34_Ow5kFBfdQD0qspb2UuPX5zpi6WMrQzslghyvrI/edit?usp=sharing"",""สกลนคร!I346"")+IMPORTRANGE(""https://docs.google.com/spreadsheets/d/1yswqbM3-AEpThF3ZSUa1AcmHnmRTF1vlJ1CZGcJ8YuU/edit?usp=sharing"",""สุรินทร์!I346"")+IMPORTRANG"&amp;"E(""https://docs.google.com/spreadsheets/d/13JHU_EFbsQOUQ0JSQ3dWy1VTRosIWcDq6Nc99z2qzdc/edit?usp=sharing"",""หนองคาย!I346"")+IMPORTRANGE(""https://docs.google.com/spreadsheets/d/1Hx73zIEgVdDZZaYSTc46Dqv64atFhpr3GelxLbaIN8A/edit?usp=sharing"",""หนองบัวลำภู"&amp;"!I346"")+IMPORTRANGE(""https://docs.google.com/spreadsheets/d/1lFxr3ctmjFN90yc-xV6jrQ9Ty8BKYVBWnAZ15wcNIJc/edit?usp=sharing"",""อำนาจเจริญ!I346"")+IMPORTRANGE(""https://docs.google.com/spreadsheets/d/1gF7RJpRnL-1oyjyeWxs5SFWEH7y8ahOZsQlyp2A2e-A/edit?usp=s"&amp;"haring"",""อุดรธานี!I346"")+IMPORTRANGE(""https://docs.google.com/spreadsheets/d/1kfLP0j3INXRa8bTDpcEmoWewMBV61jlFlfzczfjWIgc/edit?usp=sharing"",""อุบลราชธานี!I346"")"),106)</f>
        <v>106</v>
      </c>
      <c r="J346" s="181">
        <f ca="1">IFERROR(__xludf.DUMMYFUNCTION("IMPORTRANGE(""https://docs.google.com/spreadsheets/d/1yhBcrRPreicbMKl9Bu_Snb2-OcQAF62RKfhTLhJ2eAA/edit?usp=sharing"",""กาฬสินธุ์!J346"")+IMPORTRANGE(""https://docs.google.com/spreadsheets/d/1aHkj4IaQMThhwWwevcOymEh837vdxeC_PycurhTbGFA/edit?usp=sharing"","&amp;"""ขอนแก่น!J346"")+IMPORTRANGE(""https://docs.google.com/spreadsheets/d/1FvTu2DsIWUjP6WCWra38Bkj_oOl_sOMf14r5Fg5srxU/edit?usp=sharing"",""ชัยภูมิ!J346"")+IMPORTRANGE(""https://docs.google.com/spreadsheets/d/1XVB7oCJ3pr-vBUdflwPQ8Z2LlzhnCvZaaYjAfP-647E/edit"&amp;"?usp=sharing"",""นครพนม!J346"")+IMPORTRANGE(""https://docs.google.com/spreadsheets/d/1Mnpb-8PYAgn85W6KOTD40hc_Xc55CaLfHoGAbrZ8tls/edit?usp=sharing"",""นครราชสีมา!J346"")+IMPORTRANGE(""https://docs.google.com/spreadsheets/d/1xoDLGBv9CYbyosIhki0kTq6IpYNj-gp"&amp;"jxfobnaDiut0/edit?usp=sharing"",""บึงกาฬ!J346"")+IMPORTRANGE(""https://docs.google.com/spreadsheets/d/1MMPq-JyI6DSgQETxuSiXkesP-P7JHuemnE6QJIa-Nlw/edit?usp=sharing"",""บุรีรัมย์!J346"")+IMPORTRANGE(""https://docs.google.com/spreadsheets/d/1l6IZ8xUPgMrESzc"&amp;"TYwhA1k_tPjeQjJPTqlm8Gd9eU5g/edit?usp=sharing"",""มหาสารคาม!J346"")+IMPORTRANGE(""https://docs.google.com/spreadsheets/d/1uB74YLqNjWX6FObjekfB2NtSYigTQyR2rq9u4Ub2Sq4/edit?usp=sharing"",""มุกดาหาร!J346"")+IMPORTRANGE(""https://docs.google.com/spreadsheets/"&amp;"d/1NexK3geCPxCTO1fzNF8dPec7yZyUx3OaWkFBC9HsQOo/edit?usp=sharing"",""ยโสธร!J346"")+IMPORTRANGE(""https://docs.google.com/spreadsheets/d/1v_cJrbBlyqmnHPReHk44g9NrMRdENNlSy_E_c5M9fIg/edit?usp=sharing"",""ร้อยเอ็ด!J346"")+IMPORTRANGE(""https://docs.google.com"&amp;"/spreadsheets/d/1Ul4RCpCX66NxYADU1QpwAPjOmBzW64SsT11s1wzXw_c/edit?usp=sharing"",""เลย!J346"")+IMPORTRANGE(""https://docs.google.com/spreadsheets/d/1bRrNKwbHDVktQG10isr5vbWRtt5spIZPpkOSWgbT5ug/edit?usp=sharing"",""ศรีสะเกษ!J346"")+IMPORTRANGE(""https://doc"&amp;"s.google.com/spreadsheets/d/17P34_Ow5kFBfdQD0qspb2UuPX5zpi6WMrQzslghyvrI/edit?usp=sharing"",""สกลนคร!J346"")+IMPORTRANGE(""https://docs.google.com/spreadsheets/d/1yswqbM3-AEpThF3ZSUa1AcmHnmRTF1vlJ1CZGcJ8YuU/edit?usp=sharing"",""สุรินทร์!J346"")+IMPORTRANG"&amp;"E(""https://docs.google.com/spreadsheets/d/13JHU_EFbsQOUQ0JSQ3dWy1VTRosIWcDq6Nc99z2qzdc/edit?usp=sharing"",""หนองคาย!J346"")+IMPORTRANGE(""https://docs.google.com/spreadsheets/d/1Hx73zIEgVdDZZaYSTc46Dqv64atFhpr3GelxLbaIN8A/edit?usp=sharing"",""หนองบัวลำภู"&amp;"!J346"")+IMPORTRANGE(""https://docs.google.com/spreadsheets/d/1lFxr3ctmjFN90yc-xV6jrQ9Ty8BKYVBWnAZ15wcNIJc/edit?usp=sharing"",""อำนาจเจริญ!J346"")+IMPORTRANGE(""https://docs.google.com/spreadsheets/d/1gF7RJpRnL-1oyjyeWxs5SFWEH7y8ahOZsQlyp2A2e-A/edit?usp=s"&amp;"haring"",""อุดรธานี!J346"")+IMPORTRANGE(""https://docs.google.com/spreadsheets/d/1kfLP0j3INXRa8bTDpcEmoWewMBV61jlFlfzczfjWIgc/edit?usp=sharing"",""อุบลราชธานี!J346"")"),95)</f>
        <v>95</v>
      </c>
      <c r="K346" s="56">
        <f ca="1">IF(I346&gt;0,J346*100/I346,0)</f>
        <v>89.622641509433961</v>
      </c>
      <c r="L346" s="55"/>
      <c r="M346" s="55"/>
      <c r="N346" s="55"/>
      <c r="O346" s="55"/>
      <c r="P346" s="55"/>
      <c r="Q346" s="55"/>
      <c r="R346" s="55"/>
      <c r="S346" s="62"/>
      <c r="T346" s="55"/>
      <c r="U346" s="55"/>
    </row>
    <row r="347" spans="1:21" ht="18.75">
      <c r="A347" s="238"/>
      <c r="B347" s="50"/>
      <c r="C347" s="188"/>
      <c r="D347" s="174"/>
      <c r="E347" s="174"/>
      <c r="F347" s="178" t="s">
        <v>142</v>
      </c>
      <c r="G347" s="52"/>
      <c r="H347" s="203" t="s">
        <v>35</v>
      </c>
      <c r="I347" s="54"/>
      <c r="J347" s="181">
        <f ca="1">IFERROR(__xludf.DUMMYFUNCTION("IMPORTRANGE(""https://docs.google.com/spreadsheets/d/1yhBcrRPreicbMKl9Bu_Snb2-OcQAF62RKfhTLhJ2eAA/edit?usp=sharing"",""กาฬสินธุ์!J347"")+IMPORTRANGE(""https://docs.google.com/spreadsheets/d/1aHkj4IaQMThhwWwevcOymEh837vdxeC_PycurhTbGFA/edit?usp=sharing"","&amp;"""ขอนแก่น!J347"")+IMPORTRANGE(""https://docs.google.com/spreadsheets/d/1FvTu2DsIWUjP6WCWra38Bkj_oOl_sOMf14r5Fg5srxU/edit?usp=sharing"",""ชัยภูมิ!J347"")+IMPORTRANGE(""https://docs.google.com/spreadsheets/d/1XVB7oCJ3pr-vBUdflwPQ8Z2LlzhnCvZaaYjAfP-647E/edit"&amp;"?usp=sharing"",""นครพนม!J347"")+IMPORTRANGE(""https://docs.google.com/spreadsheets/d/1Mnpb-8PYAgn85W6KOTD40hc_Xc55CaLfHoGAbrZ8tls/edit?usp=sharing"",""นครราชสีมา!J347"")+IMPORTRANGE(""https://docs.google.com/spreadsheets/d/1xoDLGBv9CYbyosIhki0kTq6IpYNj-gp"&amp;"jxfobnaDiut0/edit?usp=sharing"",""บึงกาฬ!J347"")+IMPORTRANGE(""https://docs.google.com/spreadsheets/d/1MMPq-JyI6DSgQETxuSiXkesP-P7JHuemnE6QJIa-Nlw/edit?usp=sharing"",""บุรีรัมย์!J347"")+IMPORTRANGE(""https://docs.google.com/spreadsheets/d/1l6IZ8xUPgMrESzc"&amp;"TYwhA1k_tPjeQjJPTqlm8Gd9eU5g/edit?usp=sharing"",""มหาสารคาม!J347"")+IMPORTRANGE(""https://docs.google.com/spreadsheets/d/1uB74YLqNjWX6FObjekfB2NtSYigTQyR2rq9u4Ub2Sq4/edit?usp=sharing"",""มุกดาหาร!J347"")+IMPORTRANGE(""https://docs.google.com/spreadsheets/"&amp;"d/1NexK3geCPxCTO1fzNF8dPec7yZyUx3OaWkFBC9HsQOo/edit?usp=sharing"",""ยโสธร!J347"")+IMPORTRANGE(""https://docs.google.com/spreadsheets/d/1v_cJrbBlyqmnHPReHk44g9NrMRdENNlSy_E_c5M9fIg/edit?usp=sharing"",""ร้อยเอ็ด!J347"")+IMPORTRANGE(""https://docs.google.com"&amp;"/spreadsheets/d/1Ul4RCpCX66NxYADU1QpwAPjOmBzW64SsT11s1wzXw_c/edit?usp=sharing"",""เลย!J347"")+IMPORTRANGE(""https://docs.google.com/spreadsheets/d/1bRrNKwbHDVktQG10isr5vbWRtt5spIZPpkOSWgbT5ug/edit?usp=sharing"",""ศรีสะเกษ!J347"")+IMPORTRANGE(""https://doc"&amp;"s.google.com/spreadsheets/d/17P34_Ow5kFBfdQD0qspb2UuPX5zpi6WMrQzslghyvrI/edit?usp=sharing"",""สกลนคร!J347"")+IMPORTRANGE(""https://docs.google.com/spreadsheets/d/1yswqbM3-AEpThF3ZSUa1AcmHnmRTF1vlJ1CZGcJ8YuU/edit?usp=sharing"",""สุรินทร์!J347"")+IMPORTRANG"&amp;"E(""https://docs.google.com/spreadsheets/d/13JHU_EFbsQOUQ0JSQ3dWy1VTRosIWcDq6Nc99z2qzdc/edit?usp=sharing"",""หนองคาย!J347"")+IMPORTRANGE(""https://docs.google.com/spreadsheets/d/1Hx73zIEgVdDZZaYSTc46Dqv64atFhpr3GelxLbaIN8A/edit?usp=sharing"",""หนองบัวลำภู"&amp;"!J347"")+IMPORTRANGE(""https://docs.google.com/spreadsheets/d/1lFxr3ctmjFN90yc-xV6jrQ9Ty8BKYVBWnAZ15wcNIJc/edit?usp=sharing"",""อำนาจเจริญ!J347"")+IMPORTRANGE(""https://docs.google.com/spreadsheets/d/1gF7RJpRnL-1oyjyeWxs5SFWEH7y8ahOZsQlyp2A2e-A/edit?usp=s"&amp;"haring"",""อุดรธานี!J347"")+IMPORTRANGE(""https://docs.google.com/spreadsheets/d/1kfLP0j3INXRa8bTDpcEmoWewMBV61jlFlfzczfjWIgc/edit?usp=sharing"",""อุบลราชธานี!J347"")"),1768)</f>
        <v>1768</v>
      </c>
      <c r="K347" s="55"/>
      <c r="L347" s="55"/>
      <c r="M347" s="55"/>
      <c r="N347" s="55"/>
      <c r="O347" s="55"/>
      <c r="P347" s="55"/>
      <c r="Q347" s="55"/>
      <c r="R347" s="55"/>
      <c r="S347" s="62"/>
      <c r="T347" s="55"/>
      <c r="U347" s="55"/>
    </row>
    <row r="348" spans="1:21" ht="18.75">
      <c r="A348" s="238"/>
      <c r="B348" s="50"/>
      <c r="C348" s="188"/>
      <c r="D348" s="174"/>
      <c r="E348" s="178" t="s">
        <v>143</v>
      </c>
      <c r="F348" s="174"/>
      <c r="G348" s="52"/>
      <c r="H348" s="203" t="s">
        <v>35</v>
      </c>
      <c r="I348" s="54"/>
      <c r="J348" s="181">
        <f ca="1">IFERROR(__xludf.DUMMYFUNCTION("IMPORTRANGE(""https://docs.google.com/spreadsheets/d/1yhBcrRPreicbMKl9Bu_Snb2-OcQAF62RKfhTLhJ2eAA/edit?usp=sharing"",""กาฬสินธุ์!J348"")+IMPORTRANGE(""https://docs.google.com/spreadsheets/d/1aHkj4IaQMThhwWwevcOymEh837vdxeC_PycurhTbGFA/edit?usp=sharing"","&amp;"""ขอนแก่น!J348"")+IMPORTRANGE(""https://docs.google.com/spreadsheets/d/1FvTu2DsIWUjP6WCWra38Bkj_oOl_sOMf14r5Fg5srxU/edit?usp=sharing"",""ชัยภูมิ!J348"")+IMPORTRANGE(""https://docs.google.com/spreadsheets/d/1XVB7oCJ3pr-vBUdflwPQ8Z2LlzhnCvZaaYjAfP-647E/edit"&amp;"?usp=sharing"",""นครพนม!J348"")+IMPORTRANGE(""https://docs.google.com/spreadsheets/d/1Mnpb-8PYAgn85W6KOTD40hc_Xc55CaLfHoGAbrZ8tls/edit?usp=sharing"",""นครราชสีมา!J348"")+IMPORTRANGE(""https://docs.google.com/spreadsheets/d/1xoDLGBv9CYbyosIhki0kTq6IpYNj-gp"&amp;"jxfobnaDiut0/edit?usp=sharing"",""บึงกาฬ!J348"")+IMPORTRANGE(""https://docs.google.com/spreadsheets/d/1MMPq-JyI6DSgQETxuSiXkesP-P7JHuemnE6QJIa-Nlw/edit?usp=sharing"",""บุรีรัมย์!J348"")+IMPORTRANGE(""https://docs.google.com/spreadsheets/d/1l6IZ8xUPgMrESzc"&amp;"TYwhA1k_tPjeQjJPTqlm8Gd9eU5g/edit?usp=sharing"",""มหาสารคาม!J348"")+IMPORTRANGE(""https://docs.google.com/spreadsheets/d/1uB74YLqNjWX6FObjekfB2NtSYigTQyR2rq9u4Ub2Sq4/edit?usp=sharing"",""มุกดาหาร!J348"")+IMPORTRANGE(""https://docs.google.com/spreadsheets/"&amp;"d/1NexK3geCPxCTO1fzNF8dPec7yZyUx3OaWkFBC9HsQOo/edit?usp=sharing"",""ยโสธร!J348"")+IMPORTRANGE(""https://docs.google.com/spreadsheets/d/1v_cJrbBlyqmnHPReHk44g9NrMRdENNlSy_E_c5M9fIg/edit?usp=sharing"",""ร้อยเอ็ด!J348"")+IMPORTRANGE(""https://docs.google.com"&amp;"/spreadsheets/d/1Ul4RCpCX66NxYADU1QpwAPjOmBzW64SsT11s1wzXw_c/edit?usp=sharing"",""เลย!J348"")+IMPORTRANGE(""https://docs.google.com/spreadsheets/d/1bRrNKwbHDVktQG10isr5vbWRtt5spIZPpkOSWgbT5ug/edit?usp=sharing"",""ศรีสะเกษ!J348"")+IMPORTRANGE(""https://doc"&amp;"s.google.com/spreadsheets/d/17P34_Ow5kFBfdQD0qspb2UuPX5zpi6WMrQzslghyvrI/edit?usp=sharing"",""สกลนคร!J348"")+IMPORTRANGE(""https://docs.google.com/spreadsheets/d/1yswqbM3-AEpThF3ZSUa1AcmHnmRTF1vlJ1CZGcJ8YuU/edit?usp=sharing"",""สุรินทร์!J348"")+IMPORTRANG"&amp;"E(""https://docs.google.com/spreadsheets/d/13JHU_EFbsQOUQ0JSQ3dWy1VTRosIWcDq6Nc99z2qzdc/edit?usp=sharing"",""หนองคาย!J348"")+IMPORTRANGE(""https://docs.google.com/spreadsheets/d/1Hx73zIEgVdDZZaYSTc46Dqv64atFhpr3GelxLbaIN8A/edit?usp=sharing"",""หนองบัวลำภู"&amp;"!J348"")+IMPORTRANGE(""https://docs.google.com/spreadsheets/d/1lFxr3ctmjFN90yc-xV6jrQ9Ty8BKYVBWnAZ15wcNIJc/edit?usp=sharing"",""อำนาจเจริญ!J348"")+IMPORTRANGE(""https://docs.google.com/spreadsheets/d/1gF7RJpRnL-1oyjyeWxs5SFWEH7y8ahOZsQlyp2A2e-A/edit?usp=s"&amp;"haring"",""อุดรธานี!J348"")+IMPORTRANGE(""https://docs.google.com/spreadsheets/d/1kfLP0j3INXRa8bTDpcEmoWewMBV61jlFlfzczfjWIgc/edit?usp=sharing"",""อุบลราชธานี!J348"")"),1859)</f>
        <v>1859</v>
      </c>
      <c r="K348" s="55"/>
      <c r="L348" s="55"/>
      <c r="M348" s="55"/>
      <c r="N348" s="55"/>
      <c r="O348" s="55"/>
      <c r="P348" s="55"/>
      <c r="Q348" s="55"/>
      <c r="R348" s="55"/>
      <c r="S348" s="62"/>
      <c r="T348" s="55"/>
      <c r="U348" s="55"/>
    </row>
    <row r="349" spans="1:21" ht="18.75">
      <c r="A349" s="238"/>
      <c r="B349" s="50"/>
      <c r="C349" s="188"/>
      <c r="D349" s="167"/>
      <c r="E349" s="178" t="s">
        <v>144</v>
      </c>
      <c r="F349" s="174"/>
      <c r="G349" s="52"/>
      <c r="H349" s="203" t="s">
        <v>35</v>
      </c>
      <c r="I349" s="54"/>
      <c r="J349" s="181">
        <f ca="1">IFERROR(__xludf.DUMMYFUNCTION("IMPORTRANGE(""https://docs.google.com/spreadsheets/d/1yhBcrRPreicbMKl9Bu_Snb2-OcQAF62RKfhTLhJ2eAA/edit?usp=sharing"",""กาฬสินธุ์!J349"")+IMPORTRANGE(""https://docs.google.com/spreadsheets/d/1aHkj4IaQMThhwWwevcOymEh837vdxeC_PycurhTbGFA/edit?usp=sharing"","&amp;"""ขอนแก่น!J349"")+IMPORTRANGE(""https://docs.google.com/spreadsheets/d/1FvTu2DsIWUjP6WCWra38Bkj_oOl_sOMf14r5Fg5srxU/edit?usp=sharing"",""ชัยภูมิ!J349"")+IMPORTRANGE(""https://docs.google.com/spreadsheets/d/1XVB7oCJ3pr-vBUdflwPQ8Z2LlzhnCvZaaYjAfP-647E/edit"&amp;"?usp=sharing"",""นครพนม!J349"")+IMPORTRANGE(""https://docs.google.com/spreadsheets/d/1Mnpb-8PYAgn85W6KOTD40hc_Xc55CaLfHoGAbrZ8tls/edit?usp=sharing"",""นครราชสีมา!J349"")+IMPORTRANGE(""https://docs.google.com/spreadsheets/d/1xoDLGBv9CYbyosIhki0kTq6IpYNj-gp"&amp;"jxfobnaDiut0/edit?usp=sharing"",""บึงกาฬ!J349"")+IMPORTRANGE(""https://docs.google.com/spreadsheets/d/1MMPq-JyI6DSgQETxuSiXkesP-P7JHuemnE6QJIa-Nlw/edit?usp=sharing"",""บุรีรัมย์!J349"")+IMPORTRANGE(""https://docs.google.com/spreadsheets/d/1l6IZ8xUPgMrESzc"&amp;"TYwhA1k_tPjeQjJPTqlm8Gd9eU5g/edit?usp=sharing"",""มหาสารคาม!J349"")+IMPORTRANGE(""https://docs.google.com/spreadsheets/d/1uB74YLqNjWX6FObjekfB2NtSYigTQyR2rq9u4Ub2Sq4/edit?usp=sharing"",""มุกดาหาร!J349"")+IMPORTRANGE(""https://docs.google.com/spreadsheets/"&amp;"d/1NexK3geCPxCTO1fzNF8dPec7yZyUx3OaWkFBC9HsQOo/edit?usp=sharing"",""ยโสธร!J349"")+IMPORTRANGE(""https://docs.google.com/spreadsheets/d/1v_cJrbBlyqmnHPReHk44g9NrMRdENNlSy_E_c5M9fIg/edit?usp=sharing"",""ร้อยเอ็ด!J349"")+IMPORTRANGE(""https://docs.google.com"&amp;"/spreadsheets/d/1Ul4RCpCX66NxYADU1QpwAPjOmBzW64SsT11s1wzXw_c/edit?usp=sharing"",""เลย!J349"")+IMPORTRANGE(""https://docs.google.com/spreadsheets/d/1bRrNKwbHDVktQG10isr5vbWRtt5spIZPpkOSWgbT5ug/edit?usp=sharing"",""ศรีสะเกษ!J349"")+IMPORTRANGE(""https://doc"&amp;"s.google.com/spreadsheets/d/17P34_Ow5kFBfdQD0qspb2UuPX5zpi6WMrQzslghyvrI/edit?usp=sharing"",""สกลนคร!J349"")+IMPORTRANGE(""https://docs.google.com/spreadsheets/d/1yswqbM3-AEpThF3ZSUa1AcmHnmRTF1vlJ1CZGcJ8YuU/edit?usp=sharing"",""สุรินทร์!J349"")+IMPORTRANG"&amp;"E(""https://docs.google.com/spreadsheets/d/13JHU_EFbsQOUQ0JSQ3dWy1VTRosIWcDq6Nc99z2qzdc/edit?usp=sharing"",""หนองคาย!J349"")+IMPORTRANGE(""https://docs.google.com/spreadsheets/d/1Hx73zIEgVdDZZaYSTc46Dqv64atFhpr3GelxLbaIN8A/edit?usp=sharing"",""หนองบัวลำภู"&amp;"!J349"")+IMPORTRANGE(""https://docs.google.com/spreadsheets/d/1lFxr3ctmjFN90yc-xV6jrQ9Ty8BKYVBWnAZ15wcNIJc/edit?usp=sharing"",""อำนาจเจริญ!J349"")+IMPORTRANGE(""https://docs.google.com/spreadsheets/d/1gF7RJpRnL-1oyjyeWxs5SFWEH7y8ahOZsQlyp2A2e-A/edit?usp=s"&amp;"haring"",""อุดรธานี!J349"")+IMPORTRANGE(""https://docs.google.com/spreadsheets/d/1kfLP0j3INXRa8bTDpcEmoWewMBV61jlFlfzczfjWIgc/edit?usp=sharing"",""อุบลราชธานี!J349"")"),670)</f>
        <v>670</v>
      </c>
      <c r="K349" s="55"/>
      <c r="L349" s="55"/>
      <c r="M349" s="55"/>
      <c r="N349" s="55"/>
      <c r="O349" s="55"/>
      <c r="P349" s="55"/>
      <c r="Q349" s="55"/>
      <c r="R349" s="55"/>
      <c r="S349" s="62"/>
      <c r="T349" s="55"/>
      <c r="U349" s="55"/>
    </row>
    <row r="350" spans="1:21" ht="16.5">
      <c r="A350" s="18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0" s="50"/>
      <c r="F350" s="50"/>
      <c r="G350" s="52"/>
      <c r="H350" s="208"/>
      <c r="I350" s="54"/>
      <c r="J350" s="54"/>
      <c r="K350" s="55"/>
      <c r="L350" s="55"/>
      <c r="M350" s="55"/>
      <c r="N350" s="55"/>
      <c r="O350" s="55"/>
      <c r="P350" s="55"/>
      <c r="Q350" s="55"/>
      <c r="R350" s="55"/>
      <c r="S350" s="62"/>
      <c r="T350" s="55"/>
      <c r="U350" s="55"/>
    </row>
    <row r="351" spans="1:21" ht="19.5">
      <c r="A351" s="241"/>
      <c r="B351" s="244"/>
      <c r="C351" s="242"/>
      <c r="D351" s="244"/>
      <c r="E351" s="342" t="s">
        <v>145</v>
      </c>
      <c r="F351" s="244"/>
      <c r="G351" s="245"/>
      <c r="H351" s="246" t="s">
        <v>35</v>
      </c>
      <c r="I351" s="339">
        <v>0</v>
      </c>
      <c r="J351" s="247">
        <f ca="1">J352+J353</f>
        <v>167235</v>
      </c>
      <c r="K351" s="340">
        <v>0</v>
      </c>
      <c r="L351" s="249"/>
      <c r="M351" s="249"/>
      <c r="N351" s="249"/>
      <c r="O351" s="249"/>
      <c r="P351" s="249"/>
      <c r="Q351" s="249"/>
      <c r="R351" s="249"/>
      <c r="S351" s="250"/>
      <c r="T351" s="249"/>
      <c r="U351" s="249"/>
    </row>
    <row r="352" spans="1:21" ht="18.75">
      <c r="A352" s="188"/>
      <c r="B352" s="50"/>
      <c r="C352" s="188"/>
      <c r="D352" s="174"/>
      <c r="E352" s="178" t="s">
        <v>146</v>
      </c>
      <c r="F352" s="50"/>
      <c r="G352" s="52"/>
      <c r="H352" s="161" t="s">
        <v>35</v>
      </c>
      <c r="I352" s="54"/>
      <c r="J352" s="181">
        <f ca="1">IFERROR(__xludf.DUMMYFUNCTION("IMPORTRANGE(""https://docs.google.com/spreadsheets/d/1yhBcrRPreicbMKl9Bu_Snb2-OcQAF62RKfhTLhJ2eAA/edit?usp=sharing"",""กาฬสินธุ์!J352"")+IMPORTRANGE(""https://docs.google.com/spreadsheets/d/1aHkj4IaQMThhwWwevcOymEh837vdxeC_PycurhTbGFA/edit?usp=sharing"","&amp;"""ขอนแก่น!J352"")+IMPORTRANGE(""https://docs.google.com/spreadsheets/d/1FvTu2DsIWUjP6WCWra38Bkj_oOl_sOMf14r5Fg5srxU/edit?usp=sharing"",""ชัยภูมิ!J352"")+IMPORTRANGE(""https://docs.google.com/spreadsheets/d/1XVB7oCJ3pr-vBUdflwPQ8Z2LlzhnCvZaaYjAfP-647E/edit"&amp;"?usp=sharing"",""นครพนม!J352"")+IMPORTRANGE(""https://docs.google.com/spreadsheets/d/1Mnpb-8PYAgn85W6KOTD40hc_Xc55CaLfHoGAbrZ8tls/edit?usp=sharing"",""นครราชสีมา!J352"")+IMPORTRANGE(""https://docs.google.com/spreadsheets/d/1xoDLGBv9CYbyosIhki0kTq6IpYNj-gp"&amp;"jxfobnaDiut0/edit?usp=sharing"",""บึงกาฬ!J352"")+IMPORTRANGE(""https://docs.google.com/spreadsheets/d/1MMPq-JyI6DSgQETxuSiXkesP-P7JHuemnE6QJIa-Nlw/edit?usp=sharing"",""บุรีรัมย์!J352"")+IMPORTRANGE(""https://docs.google.com/spreadsheets/d/1l6IZ8xUPgMrESzc"&amp;"TYwhA1k_tPjeQjJPTqlm8Gd9eU5g/edit?usp=sharing"",""มหาสารคาม!J352"")+IMPORTRANGE(""https://docs.google.com/spreadsheets/d/1uB74YLqNjWX6FObjekfB2NtSYigTQyR2rq9u4Ub2Sq4/edit?usp=sharing"",""มุกดาหาร!J352"")+IMPORTRANGE(""https://docs.google.com/spreadsheets/"&amp;"d/1NexK3geCPxCTO1fzNF8dPec7yZyUx3OaWkFBC9HsQOo/edit?usp=sharing"",""ยโสธร!J352"")+IMPORTRANGE(""https://docs.google.com/spreadsheets/d/1v_cJrbBlyqmnHPReHk44g9NrMRdENNlSy_E_c5M9fIg/edit?usp=sharing"",""ร้อยเอ็ด!J352"")+IMPORTRANGE(""https://docs.google.com"&amp;"/spreadsheets/d/1Ul4RCpCX66NxYADU1QpwAPjOmBzW64SsT11s1wzXw_c/edit?usp=sharing"",""เลย!J352"")+IMPORTRANGE(""https://docs.google.com/spreadsheets/d/1bRrNKwbHDVktQG10isr5vbWRtt5spIZPpkOSWgbT5ug/edit?usp=sharing"",""ศรีสะเกษ!J352"")+IMPORTRANGE(""https://doc"&amp;"s.google.com/spreadsheets/d/17P34_Ow5kFBfdQD0qspb2UuPX5zpi6WMrQzslghyvrI/edit?usp=sharing"",""สกลนคร!J352"")+IMPORTRANGE(""https://docs.google.com/spreadsheets/d/1yswqbM3-AEpThF3ZSUa1AcmHnmRTF1vlJ1CZGcJ8YuU/edit?usp=sharing"",""สุรินทร์!J352"")+IMPORTRANG"&amp;"E(""https://docs.google.com/spreadsheets/d/13JHU_EFbsQOUQ0JSQ3dWy1VTRosIWcDq6Nc99z2qzdc/edit?usp=sharing"",""หนองคาย!J352"")+IMPORTRANGE(""https://docs.google.com/spreadsheets/d/1Hx73zIEgVdDZZaYSTc46Dqv64atFhpr3GelxLbaIN8A/edit?usp=sharing"",""หนองบัวลำภู"&amp;"!J352"")+IMPORTRANGE(""https://docs.google.com/spreadsheets/d/1lFxr3ctmjFN90yc-xV6jrQ9Ty8BKYVBWnAZ15wcNIJc/edit?usp=sharing"",""อำนาจเจริญ!J352"")+IMPORTRANGE(""https://docs.google.com/spreadsheets/d/1gF7RJpRnL-1oyjyeWxs5SFWEH7y8ahOZsQlyp2A2e-A/edit?usp=s"&amp;"haring"",""อุดรธานี!J352"")+IMPORTRANGE(""https://docs.google.com/spreadsheets/d/1kfLP0j3INXRa8bTDpcEmoWewMBV61jlFlfzczfjWIgc/edit?usp=sharing"",""อุบลราชธานี!J352"")"),51910)</f>
        <v>51910</v>
      </c>
      <c r="K352" s="55"/>
      <c r="L352" s="55"/>
      <c r="M352" s="55"/>
      <c r="N352" s="55"/>
      <c r="O352" s="55"/>
      <c r="P352" s="55"/>
      <c r="Q352" s="55"/>
      <c r="R352" s="55"/>
      <c r="S352" s="62"/>
      <c r="T352" s="55"/>
      <c r="U352" s="55"/>
    </row>
    <row r="353" spans="1:21" ht="18.75">
      <c r="A353" s="18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181">
        <f ca="1">IFERROR(__xludf.DUMMYFUNCTION("IMPORTRANGE(""https://docs.google.com/spreadsheets/d/1yhBcrRPreicbMKl9Bu_Snb2-OcQAF62RKfhTLhJ2eAA/edit?usp=sharing"",""กาฬสินธุ์!J353"")+IMPORTRANGE(""https://docs.google.com/spreadsheets/d/1aHkj4IaQMThhwWwevcOymEh837vdxeC_PycurhTbGFA/edit?usp=sharing"","&amp;"""ขอนแก่น!J353"")+IMPORTRANGE(""https://docs.google.com/spreadsheets/d/1FvTu2DsIWUjP6WCWra38Bkj_oOl_sOMf14r5Fg5srxU/edit?usp=sharing"",""ชัยภูมิ!J353"")+IMPORTRANGE(""https://docs.google.com/spreadsheets/d/1XVB7oCJ3pr-vBUdflwPQ8Z2LlzhnCvZaaYjAfP-647E/edit"&amp;"?usp=sharing"",""นครพนม!J353"")+IMPORTRANGE(""https://docs.google.com/spreadsheets/d/1Mnpb-8PYAgn85W6KOTD40hc_Xc55CaLfHoGAbrZ8tls/edit?usp=sharing"",""นครราชสีมา!J353"")+IMPORTRANGE(""https://docs.google.com/spreadsheets/d/1xoDLGBv9CYbyosIhki0kTq6IpYNj-gp"&amp;"jxfobnaDiut0/edit?usp=sharing"",""บึงกาฬ!J353"")+IMPORTRANGE(""https://docs.google.com/spreadsheets/d/1MMPq-JyI6DSgQETxuSiXkesP-P7JHuemnE6QJIa-Nlw/edit?usp=sharing"",""บุรีรัมย์!J353"")+IMPORTRANGE(""https://docs.google.com/spreadsheets/d/1l6IZ8xUPgMrESzc"&amp;"TYwhA1k_tPjeQjJPTqlm8Gd9eU5g/edit?usp=sharing"",""มหาสารคาม!J353"")+IMPORTRANGE(""https://docs.google.com/spreadsheets/d/1uB74YLqNjWX6FObjekfB2NtSYigTQyR2rq9u4Ub2Sq4/edit?usp=sharing"",""มุกดาหาร!J353"")+IMPORTRANGE(""https://docs.google.com/spreadsheets/"&amp;"d/1NexK3geCPxCTO1fzNF8dPec7yZyUx3OaWkFBC9HsQOo/edit?usp=sharing"",""ยโสธร!J353"")+IMPORTRANGE(""https://docs.google.com/spreadsheets/d/1v_cJrbBlyqmnHPReHk44g9NrMRdENNlSy_E_c5M9fIg/edit?usp=sharing"",""ร้อยเอ็ด!J353"")+IMPORTRANGE(""https://docs.google.com"&amp;"/spreadsheets/d/1Ul4RCpCX66NxYADU1QpwAPjOmBzW64SsT11s1wzXw_c/edit?usp=sharing"",""เลย!J353"")+IMPORTRANGE(""https://docs.google.com/spreadsheets/d/1bRrNKwbHDVktQG10isr5vbWRtt5spIZPpkOSWgbT5ug/edit?usp=sharing"",""ศรีสะเกษ!J353"")+IMPORTRANGE(""https://doc"&amp;"s.google.com/spreadsheets/d/17P34_Ow5kFBfdQD0qspb2UuPX5zpi6WMrQzslghyvrI/edit?usp=sharing"",""สกลนคร!J353"")+IMPORTRANGE(""https://docs.google.com/spreadsheets/d/1yswqbM3-AEpThF3ZSUa1AcmHnmRTF1vlJ1CZGcJ8YuU/edit?usp=sharing"",""สุรินทร์!J353"")+IMPORTRANG"&amp;"E(""https://docs.google.com/spreadsheets/d/13JHU_EFbsQOUQ0JSQ3dWy1VTRosIWcDq6Nc99z2qzdc/edit?usp=sharing"",""หนองคาย!J353"")+IMPORTRANGE(""https://docs.google.com/spreadsheets/d/1Hx73zIEgVdDZZaYSTc46Dqv64atFhpr3GelxLbaIN8A/edit?usp=sharing"",""หนองบัวลำภู"&amp;"!J353"")+IMPORTRANGE(""https://docs.google.com/spreadsheets/d/1lFxr3ctmjFN90yc-xV6jrQ9Ty8BKYVBWnAZ15wcNIJc/edit?usp=sharing"",""อำนาจเจริญ!J353"")+IMPORTRANGE(""https://docs.google.com/spreadsheets/d/1gF7RJpRnL-1oyjyeWxs5SFWEH7y8ahOZsQlyp2A2e-A/edit?usp=s"&amp;"haring"",""อุดรธานี!J353"")+IMPORTRANGE(""https://docs.google.com/spreadsheets/d/1kfLP0j3INXRa8bTDpcEmoWewMBV61jlFlfzczfjWIgc/edit?usp=sharing"",""อุบลราชธานี!J353"")"),115325)</f>
        <v>115325</v>
      </c>
      <c r="K353" s="55"/>
      <c r="L353" s="55"/>
      <c r="M353" s="55"/>
      <c r="N353" s="55"/>
      <c r="O353" s="55"/>
      <c r="P353" s="55"/>
      <c r="Q353" s="55"/>
      <c r="R353" s="55"/>
      <c r="S353" s="62"/>
      <c r="T353" s="55"/>
      <c r="U353" s="55"/>
    </row>
    <row r="354" spans="1:21" ht="18.75">
      <c r="A354" s="343"/>
      <c r="B354" s="344"/>
      <c r="C354" s="343"/>
      <c r="D354" s="343"/>
      <c r="E354" s="345" t="s">
        <v>148</v>
      </c>
      <c r="F354" s="344"/>
      <c r="G354" s="346"/>
      <c r="H354" s="347" t="s">
        <v>35</v>
      </c>
      <c r="I354" s="348"/>
      <c r="J354" s="349">
        <f ca="1">IFERROR(__xludf.DUMMYFUNCTION("IMPORTRANGE(""https://docs.google.com/spreadsheets/d/1yhBcrRPreicbMKl9Bu_Snb2-OcQAF62RKfhTLhJ2eAA/edit?usp=sharing"",""กาฬสินธุ์!J354"")+IMPORTRANGE(""https://docs.google.com/spreadsheets/d/1aHkj4IaQMThhwWwevcOymEh837vdxeC_PycurhTbGFA/edit?usp=sharing"","&amp;"""ขอนแก่น!J354"")+IMPORTRANGE(""https://docs.google.com/spreadsheets/d/1FvTu2DsIWUjP6WCWra38Bkj_oOl_sOMf14r5Fg5srxU/edit?usp=sharing"",""ชัยภูมิ!J354"")+IMPORTRANGE(""https://docs.google.com/spreadsheets/d/1XVB7oCJ3pr-vBUdflwPQ8Z2LlzhnCvZaaYjAfP-647E/edit"&amp;"?usp=sharing"",""นครพนม!J354"")+IMPORTRANGE(""https://docs.google.com/spreadsheets/d/1Mnpb-8PYAgn85W6KOTD40hc_Xc55CaLfHoGAbrZ8tls/edit?usp=sharing"",""นครราชสีมา!J354"")+IMPORTRANGE(""https://docs.google.com/spreadsheets/d/1xoDLGBv9CYbyosIhki0kTq6IpYNj-gp"&amp;"jxfobnaDiut0/edit?usp=sharing"",""บึงกาฬ!J354"")+IMPORTRANGE(""https://docs.google.com/spreadsheets/d/1MMPq-JyI6DSgQETxuSiXkesP-P7JHuemnE6QJIa-Nlw/edit?usp=sharing"",""บุรีรัมย์!J354"")+IMPORTRANGE(""https://docs.google.com/spreadsheets/d/1l6IZ8xUPgMrESzc"&amp;"TYwhA1k_tPjeQjJPTqlm8Gd9eU5g/edit?usp=sharing"",""มหาสารคาม!J354"")+IMPORTRANGE(""https://docs.google.com/spreadsheets/d/1uB74YLqNjWX6FObjekfB2NtSYigTQyR2rq9u4Ub2Sq4/edit?usp=sharing"",""มุกดาหาร!J354"")+IMPORTRANGE(""https://docs.google.com/spreadsheets/"&amp;"d/1NexK3geCPxCTO1fzNF8dPec7yZyUx3OaWkFBC9HsQOo/edit?usp=sharing"",""ยโสธร!J354"")+IMPORTRANGE(""https://docs.google.com/spreadsheets/d/1v_cJrbBlyqmnHPReHk44g9NrMRdENNlSy_E_c5M9fIg/edit?usp=sharing"",""ร้อยเอ็ด!J354"")+IMPORTRANGE(""https://docs.google.com"&amp;"/spreadsheets/d/1Ul4RCpCX66NxYADU1QpwAPjOmBzW64SsT11s1wzXw_c/edit?usp=sharing"",""เลย!J354"")+IMPORTRANGE(""https://docs.google.com/spreadsheets/d/1bRrNKwbHDVktQG10isr5vbWRtt5spIZPpkOSWgbT5ug/edit?usp=sharing"",""ศรีสะเกษ!J354"")+IMPORTRANGE(""https://doc"&amp;"s.google.com/spreadsheets/d/17P34_Ow5kFBfdQD0qspb2UuPX5zpi6WMrQzslghyvrI/edit?usp=sharing"",""สกลนคร!J354"")+IMPORTRANGE(""https://docs.google.com/spreadsheets/d/1yswqbM3-AEpThF3ZSUa1AcmHnmRTF1vlJ1CZGcJ8YuU/edit?usp=sharing"",""สุรินทร์!J354"")+IMPORTRANG"&amp;"E(""https://docs.google.com/spreadsheets/d/13JHU_EFbsQOUQ0JSQ3dWy1VTRosIWcDq6Nc99z2qzdc/edit?usp=sharing"",""หนองคาย!J354"")+IMPORTRANGE(""https://docs.google.com/spreadsheets/d/1Hx73zIEgVdDZZaYSTc46Dqv64atFhpr3GelxLbaIN8A/edit?usp=sharing"",""หนองบัวลำภู"&amp;"!J354"")+IMPORTRANGE(""https://docs.google.com/spreadsheets/d/1lFxr3ctmjFN90yc-xV6jrQ9Ty8BKYVBWnAZ15wcNIJc/edit?usp=sharing"",""อำนาจเจริญ!J354"")+IMPORTRANGE(""https://docs.google.com/spreadsheets/d/1gF7RJpRnL-1oyjyeWxs5SFWEH7y8ahOZsQlyp2A2e-A/edit?usp=s"&amp;"haring"",""อุดรธานี!J354"")+IMPORTRANGE(""https://docs.google.com/spreadsheets/d/1kfLP0j3INXRa8bTDpcEmoWewMBV61jlFlfzczfjWIgc/edit?usp=sharing"",""อุบลราชธานี!J354"")"),677)</f>
        <v>677</v>
      </c>
      <c r="K354" s="350"/>
      <c r="L354" s="350"/>
      <c r="M354" s="350"/>
      <c r="N354" s="350"/>
      <c r="O354" s="350"/>
      <c r="P354" s="350"/>
      <c r="Q354" s="350"/>
      <c r="R354" s="350"/>
      <c r="S354" s="350"/>
      <c r="T354" s="350"/>
      <c r="U354" s="350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29"/>
      <c r="I355" s="351"/>
      <c r="J355" s="351"/>
      <c r="K355" s="333"/>
      <c r="L355" s="333"/>
      <c r="M355" s="333"/>
      <c r="N355" s="333"/>
      <c r="O355" s="333"/>
      <c r="P355" s="333"/>
      <c r="Q355" s="333"/>
      <c r="R355" s="333"/>
      <c r="S355" s="334"/>
      <c r="T355" s="333"/>
      <c r="U355" s="333"/>
    </row>
    <row r="356" spans="1:21" ht="19.5">
      <c r="A356" s="155"/>
      <c r="B356" s="50"/>
      <c r="C356" s="156" t="s">
        <v>18</v>
      </c>
      <c r="D356" s="157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159">
        <f t="shared" ref="L356:N356" ca="1" si="266">L357+L358</f>
        <v>16083580</v>
      </c>
      <c r="M356" s="159">
        <f t="shared" ca="1" si="266"/>
        <v>16550850</v>
      </c>
      <c r="N356" s="159">
        <f t="shared" ca="1" si="266"/>
        <v>12641769.810000001</v>
      </c>
      <c r="O356" s="159">
        <f t="shared" ref="O356:O364" ca="1" si="267">IF(L356&gt;0,N356*100/L356,0)</f>
        <v>78.600472096386497</v>
      </c>
      <c r="P356" s="159">
        <f t="shared" ref="P356:P364" ca="1" si="268">IF(M356&gt;0,N356*100/M356,0)</f>
        <v>76.381393161076318</v>
      </c>
      <c r="Q356" s="159">
        <f t="shared" ref="Q356:S356" ca="1" si="269">Q357+Q358</f>
        <v>0</v>
      </c>
      <c r="R356" s="159">
        <f t="shared" ca="1" si="269"/>
        <v>0</v>
      </c>
      <c r="S356" s="160">
        <f t="shared" ca="1" si="269"/>
        <v>0</v>
      </c>
      <c r="T356" s="159">
        <f t="shared" ref="T356:T364" ca="1" si="270">IF(Q356&gt;0,S356*100/Q356,0)</f>
        <v>0</v>
      </c>
      <c r="U356" s="159">
        <f t="shared" ref="U356:U364" ca="1" si="271">IF(R356&gt;0,S356*100/R356,0)</f>
        <v>0</v>
      </c>
    </row>
    <row r="357" spans="1:21" ht="18.75">
      <c r="A357" s="155"/>
      <c r="B357" s="50"/>
      <c r="C357" s="50"/>
      <c r="D357" s="50"/>
      <c r="E357" s="58" t="s">
        <v>20</v>
      </c>
      <c r="F357" s="50"/>
      <c r="G357" s="52"/>
      <c r="H357" s="161" t="s">
        <v>14</v>
      </c>
      <c r="I357" s="54"/>
      <c r="J357" s="54"/>
      <c r="K357" s="55"/>
      <c r="L357" s="56">
        <f t="shared" ref="L357:N357" ca="1" si="272">L360+L363</f>
        <v>0</v>
      </c>
      <c r="M357" s="56">
        <f t="shared" ca="1" si="272"/>
        <v>0</v>
      </c>
      <c r="N357" s="56">
        <f t="shared" ca="1" si="272"/>
        <v>0</v>
      </c>
      <c r="O357" s="56">
        <f t="shared" ca="1" si="267"/>
        <v>0</v>
      </c>
      <c r="P357" s="56">
        <f t="shared" ca="1" si="268"/>
        <v>0</v>
      </c>
      <c r="Q357" s="56">
        <f t="shared" ref="Q357:S357" ca="1" si="273">Q360+Q363</f>
        <v>0</v>
      </c>
      <c r="R357" s="56">
        <f t="shared" ca="1" si="273"/>
        <v>0</v>
      </c>
      <c r="S357" s="57">
        <f t="shared" ca="1" si="273"/>
        <v>0</v>
      </c>
      <c r="T357" s="59">
        <f t="shared" ca="1" si="270"/>
        <v>0</v>
      </c>
      <c r="U357" s="59">
        <f t="shared" ca="1" si="271"/>
        <v>0</v>
      </c>
    </row>
    <row r="358" spans="1:21" ht="18.75">
      <c r="A358" s="155"/>
      <c r="B358" s="50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56">
        <f t="shared" ref="L358:N358" ca="1" si="274">L361+L364</f>
        <v>16083580</v>
      </c>
      <c r="M358" s="56">
        <f t="shared" ca="1" si="274"/>
        <v>16550850</v>
      </c>
      <c r="N358" s="56">
        <f t="shared" ca="1" si="274"/>
        <v>12641769.810000001</v>
      </c>
      <c r="O358" s="56">
        <f t="shared" ca="1" si="267"/>
        <v>78.600472096386497</v>
      </c>
      <c r="P358" s="56">
        <f t="shared" ca="1" si="268"/>
        <v>76.381393161076318</v>
      </c>
      <c r="Q358" s="56">
        <f t="shared" ref="Q358:S358" ca="1" si="275">Q361+Q364</f>
        <v>0</v>
      </c>
      <c r="R358" s="56">
        <f t="shared" ca="1" si="275"/>
        <v>0</v>
      </c>
      <c r="S358" s="57">
        <f t="shared" ca="1" si="275"/>
        <v>0</v>
      </c>
      <c r="T358" s="56">
        <f t="shared" ca="1" si="270"/>
        <v>0</v>
      </c>
      <c r="U358" s="56">
        <f t="shared" ca="1" si="271"/>
        <v>0</v>
      </c>
    </row>
    <row r="359" spans="1:21" ht="18.75">
      <c r="A359" s="155"/>
      <c r="B359" s="50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56">
        <f t="shared" ref="L359:N359" ca="1" si="276">L360+L361</f>
        <v>16083580</v>
      </c>
      <c r="M359" s="56">
        <f t="shared" ca="1" si="276"/>
        <v>16550850</v>
      </c>
      <c r="N359" s="56">
        <f t="shared" ca="1" si="276"/>
        <v>12641769.810000001</v>
      </c>
      <c r="O359" s="56">
        <f t="shared" ca="1" si="267"/>
        <v>78.600472096386497</v>
      </c>
      <c r="P359" s="56">
        <f t="shared" ca="1" si="268"/>
        <v>76.381393161076318</v>
      </c>
      <c r="Q359" s="56">
        <f t="shared" ref="Q359:S359" ca="1" si="277">Q360+Q361</f>
        <v>0</v>
      </c>
      <c r="R359" s="56">
        <f t="shared" ca="1" si="277"/>
        <v>0</v>
      </c>
      <c r="S359" s="57">
        <f t="shared" ca="1" si="277"/>
        <v>0</v>
      </c>
      <c r="T359" s="56">
        <f t="shared" ca="1" si="270"/>
        <v>0</v>
      </c>
      <c r="U359" s="56">
        <f t="shared" ca="1" si="271"/>
        <v>0</v>
      </c>
    </row>
    <row r="360" spans="1:21" ht="18.75">
      <c r="A360" s="155"/>
      <c r="B360" s="50"/>
      <c r="C360" s="50"/>
      <c r="D360" s="50"/>
      <c r="E360" s="58" t="s">
        <v>36</v>
      </c>
      <c r="F360" s="50"/>
      <c r="G360" s="52"/>
      <c r="H360" s="162" t="s">
        <v>14</v>
      </c>
      <c r="I360" s="163"/>
      <c r="J360" s="163"/>
      <c r="K360" s="164"/>
      <c r="L360" s="56">
        <f ca="1">IFERROR(__xludf.DUMMYFUNCTION("IMPORTRANGE(""https://docs.google.com/spreadsheets/d/1yhBcrRPreicbMKl9Bu_Snb2-OcQAF62RKfhTLhJ2eAA/edit?usp=sharing"",""กาฬสินธุ์!L360"")+IMPORTRANGE(""https://docs.google.com/spreadsheets/d/1aHkj4IaQMThhwWwevcOymEh837vdxeC_PycurhTbGFA/edit?usp=sharing"","&amp;"""ขอนแก่น!L360"")+IMPORTRANGE(""https://docs.google.com/spreadsheets/d/1FvTu2DsIWUjP6WCWra38Bkj_oOl_sOMf14r5Fg5srxU/edit?usp=sharing"",""ชัยภูมิ!L360"")+IMPORTRANGE(""https://docs.google.com/spreadsheets/d/1XVB7oCJ3pr-vBUdflwPQ8Z2LlzhnCvZaaYjAfP-647E/edit"&amp;"?usp=sharing"",""นครพนม!L360"")+IMPORTRANGE(""https://docs.google.com/spreadsheets/d/1Mnpb-8PYAgn85W6KOTD40hc_Xc55CaLfHoGAbrZ8tls/edit?usp=sharing"",""นครราชสีมา!L360"")+IMPORTRANGE(""https://docs.google.com/spreadsheets/d/1xoDLGBv9CYbyosIhki0kTq6IpYNj-gp"&amp;"jxfobnaDiut0/edit?usp=sharing"",""บึงกาฬ!L360"")+IMPORTRANGE(""https://docs.google.com/spreadsheets/d/1MMPq-JyI6DSgQETxuSiXkesP-P7JHuemnE6QJIa-Nlw/edit?usp=sharing"",""บุรีรัมย์!L360"")+IMPORTRANGE(""https://docs.google.com/spreadsheets/d/1l6IZ8xUPgMrESzc"&amp;"TYwhA1k_tPjeQjJPTqlm8Gd9eU5g/edit?usp=sharing"",""มหาสารคาม!L360"")+IMPORTRANGE(""https://docs.google.com/spreadsheets/d/1uB74YLqNjWX6FObjekfB2NtSYigTQyR2rq9u4Ub2Sq4/edit?usp=sharing"",""มุกดาหาร!L360"")+IMPORTRANGE(""https://docs.google.com/spreadsheets/"&amp;"d/1NexK3geCPxCTO1fzNF8dPec7yZyUx3OaWkFBC9HsQOo/edit?usp=sharing"",""ยโสธร!L360"")+IMPORTRANGE(""https://docs.google.com/spreadsheets/d/1v_cJrbBlyqmnHPReHk44g9NrMRdENNlSy_E_c5M9fIg/edit?usp=sharing"",""ร้อยเอ็ด!L360"")+IMPORTRANGE(""https://docs.google.com"&amp;"/spreadsheets/d/1Ul4RCpCX66NxYADU1QpwAPjOmBzW64SsT11s1wzXw_c/edit?usp=sharing"",""เลย!L360"")+IMPORTRANGE(""https://docs.google.com/spreadsheets/d/1bRrNKwbHDVktQG10isr5vbWRtt5spIZPpkOSWgbT5ug/edit?usp=sharing"",""ศรีสะเกษ!L360"")+IMPORTRANGE(""https://doc"&amp;"s.google.com/spreadsheets/d/17P34_Ow5kFBfdQD0qspb2UuPX5zpi6WMrQzslghyvrI/edit?usp=sharing"",""สกลนคร!L360"")+IMPORTRANGE(""https://docs.google.com/spreadsheets/d/1yswqbM3-AEpThF3ZSUa1AcmHnmRTF1vlJ1CZGcJ8YuU/edit?usp=sharing"",""สุรินทร์!L360"")+IMPORTRANG"&amp;"E(""https://docs.google.com/spreadsheets/d/13JHU_EFbsQOUQ0JSQ3dWy1VTRosIWcDq6Nc99z2qzdc/edit?usp=sharing"",""หนองคาย!L360"")+IMPORTRANGE(""https://docs.google.com/spreadsheets/d/1Hx73zIEgVdDZZaYSTc46Dqv64atFhpr3GelxLbaIN8A/edit?usp=sharing"",""หนองบัวลำภู"&amp;"!L360"")+IMPORTRANGE(""https://docs.google.com/spreadsheets/d/1lFxr3ctmjFN90yc-xV6jrQ9Ty8BKYVBWnAZ15wcNIJc/edit?usp=sharing"",""อำนาจเจริญ!L360"")+IMPORTRANGE(""https://docs.google.com/spreadsheets/d/1gF7RJpRnL-1oyjyeWxs5SFWEH7y8ahOZsQlyp2A2e-A/edit?usp=s"&amp;"haring"",""อุดรธานี!L360"")+IMPORTRANGE(""https://docs.google.com/spreadsheets/d/1kfLP0j3INXRa8bTDpcEmoWewMBV61jlFlfzczfjWIgc/edit?usp=sharing"",""อุบลราชธานี!L360"")"),0)</f>
        <v>0</v>
      </c>
      <c r="M360" s="56">
        <f ca="1">IFERROR(__xludf.DUMMYFUNCTION("IMPORTRANGE(""https://docs.google.com/spreadsheets/d/1yhBcrRPreicbMKl9Bu_Snb2-OcQAF62RKfhTLhJ2eAA/edit?usp=sharing"",""กาฬสินธุ์!M360"")+IMPORTRANGE(""https://docs.google.com/spreadsheets/d/1aHkj4IaQMThhwWwevcOymEh837vdxeC_PycurhTbGFA/edit?usp=sharing"","&amp;"""ขอนแก่น!M360"")+IMPORTRANGE(""https://docs.google.com/spreadsheets/d/1FvTu2DsIWUjP6WCWra38Bkj_oOl_sOMf14r5Fg5srxU/edit?usp=sharing"",""ชัยภูมิ!M360"")+IMPORTRANGE(""https://docs.google.com/spreadsheets/d/1XVB7oCJ3pr-vBUdflwPQ8Z2LlzhnCvZaaYjAfP-647E/edit"&amp;"?usp=sharing"",""นครพนม!M360"")+IMPORTRANGE(""https://docs.google.com/spreadsheets/d/1Mnpb-8PYAgn85W6KOTD40hc_Xc55CaLfHoGAbrZ8tls/edit?usp=sharing"",""นครราชสีมา!M360"")+IMPORTRANGE(""https://docs.google.com/spreadsheets/d/1xoDLGBv9CYbyosIhki0kTq6IpYNj-gp"&amp;"jxfobnaDiut0/edit?usp=sharing"",""บึงกาฬ!M360"")+IMPORTRANGE(""https://docs.google.com/spreadsheets/d/1MMPq-JyI6DSgQETxuSiXkesP-P7JHuemnE6QJIa-Nlw/edit?usp=sharing"",""บุรีรัมย์!M360"")+IMPORTRANGE(""https://docs.google.com/spreadsheets/d/1l6IZ8xUPgMrESzc"&amp;"TYwhA1k_tPjeQjJPTqlm8Gd9eU5g/edit?usp=sharing"",""มหาสารคาม!M360"")+IMPORTRANGE(""https://docs.google.com/spreadsheets/d/1uB74YLqNjWX6FObjekfB2NtSYigTQyR2rq9u4Ub2Sq4/edit?usp=sharing"",""มุกดาหาร!M360"")+IMPORTRANGE(""https://docs.google.com/spreadsheets/"&amp;"d/1NexK3geCPxCTO1fzNF8dPec7yZyUx3OaWkFBC9HsQOo/edit?usp=sharing"",""ยโสธร!M360"")+IMPORTRANGE(""https://docs.google.com/spreadsheets/d/1v_cJrbBlyqmnHPReHk44g9NrMRdENNlSy_E_c5M9fIg/edit?usp=sharing"",""ร้อยเอ็ด!M360"")+IMPORTRANGE(""https://docs.google.com"&amp;"/spreadsheets/d/1Ul4RCpCX66NxYADU1QpwAPjOmBzW64SsT11s1wzXw_c/edit?usp=sharing"",""เลย!M360"")+IMPORTRANGE(""https://docs.google.com/spreadsheets/d/1bRrNKwbHDVktQG10isr5vbWRtt5spIZPpkOSWgbT5ug/edit?usp=sharing"",""ศรีสะเกษ!M360"")+IMPORTRANGE(""https://doc"&amp;"s.google.com/spreadsheets/d/17P34_Ow5kFBfdQD0qspb2UuPX5zpi6WMrQzslghyvrI/edit?usp=sharing"",""สกลนคร!M360"")+IMPORTRANGE(""https://docs.google.com/spreadsheets/d/1yswqbM3-AEpThF3ZSUa1AcmHnmRTF1vlJ1CZGcJ8YuU/edit?usp=sharing"",""สุรินทร์!M360"")+IMPORTRANG"&amp;"E(""https://docs.google.com/spreadsheets/d/13JHU_EFbsQOUQ0JSQ3dWy1VTRosIWcDq6Nc99z2qzdc/edit?usp=sharing"",""หนองคาย!M360"")+IMPORTRANGE(""https://docs.google.com/spreadsheets/d/1Hx73zIEgVdDZZaYSTc46Dqv64atFhpr3GelxLbaIN8A/edit?usp=sharing"",""หนองบัวลำภู"&amp;"!M360"")+IMPORTRANGE(""https://docs.google.com/spreadsheets/d/1lFxr3ctmjFN90yc-xV6jrQ9Ty8BKYVBWnAZ15wcNIJc/edit?usp=sharing"",""อำนาจเจริญ!M360"")+IMPORTRANGE(""https://docs.google.com/spreadsheets/d/1gF7RJpRnL-1oyjyeWxs5SFWEH7y8ahOZsQlyp2A2e-A/edit?usp=s"&amp;"haring"",""อุดรธานี!M360"")+IMPORTRANGE(""https://docs.google.com/spreadsheets/d/1kfLP0j3INXRa8bTDpcEmoWewMBV61jlFlfzczfjWIgc/edit?usp=sharing"",""อุบลราชธานี!M360"")"),0)</f>
        <v>0</v>
      </c>
      <c r="N360" s="56">
        <f ca="1">IFERROR(__xludf.DUMMYFUNCTION("IMPORTRANGE(""https://docs.google.com/spreadsheets/d/1yhBcrRPreicbMKl9Bu_Snb2-OcQAF62RKfhTLhJ2eAA/edit?usp=sharing"",""กาฬสินธุ์!N360"")+IMPORTRANGE(""https://docs.google.com/spreadsheets/d/1aHkj4IaQMThhwWwevcOymEh837vdxeC_PycurhTbGFA/edit?usp=sharing"","&amp;"""ขอนแก่น!N360"")+IMPORTRANGE(""https://docs.google.com/spreadsheets/d/1FvTu2DsIWUjP6WCWra38Bkj_oOl_sOMf14r5Fg5srxU/edit?usp=sharing"",""ชัยภูมิ!N360"")+IMPORTRANGE(""https://docs.google.com/spreadsheets/d/1XVB7oCJ3pr-vBUdflwPQ8Z2LlzhnCvZaaYjAfP-647E/edit"&amp;"?usp=sharing"",""นครพนม!N360"")+IMPORTRANGE(""https://docs.google.com/spreadsheets/d/1Mnpb-8PYAgn85W6KOTD40hc_Xc55CaLfHoGAbrZ8tls/edit?usp=sharing"",""นครราชสีมา!N360"")+IMPORTRANGE(""https://docs.google.com/spreadsheets/d/1xoDLGBv9CYbyosIhki0kTq6IpYNj-gp"&amp;"jxfobnaDiut0/edit?usp=sharing"",""บึงกาฬ!N360"")+IMPORTRANGE(""https://docs.google.com/spreadsheets/d/1MMPq-JyI6DSgQETxuSiXkesP-P7JHuemnE6QJIa-Nlw/edit?usp=sharing"",""บุรีรัมย์!N360"")+IMPORTRANGE(""https://docs.google.com/spreadsheets/d/1l6IZ8xUPgMrESzc"&amp;"TYwhA1k_tPjeQjJPTqlm8Gd9eU5g/edit?usp=sharing"",""มหาสารคาม!N360"")+IMPORTRANGE(""https://docs.google.com/spreadsheets/d/1uB74YLqNjWX6FObjekfB2NtSYigTQyR2rq9u4Ub2Sq4/edit?usp=sharing"",""มุกดาหาร!N360"")+IMPORTRANGE(""https://docs.google.com/spreadsheets/"&amp;"d/1NexK3geCPxCTO1fzNF8dPec7yZyUx3OaWkFBC9HsQOo/edit?usp=sharing"",""ยโสธร!N360"")+IMPORTRANGE(""https://docs.google.com/spreadsheets/d/1v_cJrbBlyqmnHPReHk44g9NrMRdENNlSy_E_c5M9fIg/edit?usp=sharing"",""ร้อยเอ็ด!N360"")+IMPORTRANGE(""https://docs.google.com"&amp;"/spreadsheets/d/1Ul4RCpCX66NxYADU1QpwAPjOmBzW64SsT11s1wzXw_c/edit?usp=sharing"",""เลย!N360"")+IMPORTRANGE(""https://docs.google.com/spreadsheets/d/1bRrNKwbHDVktQG10isr5vbWRtt5spIZPpkOSWgbT5ug/edit?usp=sharing"",""ศรีสะเกษ!N360"")+IMPORTRANGE(""https://doc"&amp;"s.google.com/spreadsheets/d/17P34_Ow5kFBfdQD0qspb2UuPX5zpi6WMrQzslghyvrI/edit?usp=sharing"",""สกลนคร!N360"")+IMPORTRANGE(""https://docs.google.com/spreadsheets/d/1yswqbM3-AEpThF3ZSUa1AcmHnmRTF1vlJ1CZGcJ8YuU/edit?usp=sharing"",""สุรินทร์!N360"")+IMPORTRANG"&amp;"E(""https://docs.google.com/spreadsheets/d/13JHU_EFbsQOUQ0JSQ3dWy1VTRosIWcDq6Nc99z2qzdc/edit?usp=sharing"",""หนองคาย!N360"")+IMPORTRANGE(""https://docs.google.com/spreadsheets/d/1Hx73zIEgVdDZZaYSTc46Dqv64atFhpr3GelxLbaIN8A/edit?usp=sharing"",""หนองบัวลำภู"&amp;"!N360"")+IMPORTRANGE(""https://docs.google.com/spreadsheets/d/1lFxr3ctmjFN90yc-xV6jrQ9Ty8BKYVBWnAZ15wcNIJc/edit?usp=sharing"",""อำนาจเจริญ!N360"")+IMPORTRANGE(""https://docs.google.com/spreadsheets/d/1gF7RJpRnL-1oyjyeWxs5SFWEH7y8ahOZsQlyp2A2e-A/edit?usp=s"&amp;"haring"",""อุดรธานี!N360"")+IMPORTRANGE(""https://docs.google.com/spreadsheets/d/1kfLP0j3INXRa8bTDpcEmoWewMBV61jlFlfzczfjWIgc/edit?usp=sharing"",""อุบลราชธานี!N360"")"),0)</f>
        <v>0</v>
      </c>
      <c r="O360" s="56">
        <f t="shared" ca="1" si="267"/>
        <v>0</v>
      </c>
      <c r="P360" s="56">
        <f t="shared" ca="1" si="268"/>
        <v>0</v>
      </c>
      <c r="Q360" s="56">
        <f ca="1">IFERROR(__xludf.DUMMYFUNCTION("IMPORTRANGE(""https://docs.google.com/spreadsheets/d/1yhBcrRPreicbMKl9Bu_Snb2-OcQAF62RKfhTLhJ2eAA/edit?usp=sharing"",""กาฬสินธุ์!Q360"")+IMPORTRANGE(""https://docs.google.com/spreadsheets/d/1aHkj4IaQMThhwWwevcOymEh837vdxeC_PycurhTbGFA/edit?usp=sharing"","&amp;"""ขอนแก่น!Q360"")+IMPORTRANGE(""https://docs.google.com/spreadsheets/d/1FvTu2DsIWUjP6WCWra38Bkj_oOl_sOMf14r5Fg5srxU/edit?usp=sharing"",""ชัยภูมิ!Q360"")+IMPORTRANGE(""https://docs.google.com/spreadsheets/d/1XVB7oCJ3pr-vBUdflwPQ8Z2LlzhnCvZaaYjAfP-647E/edit"&amp;"?usp=sharing"",""นครพนม!Q360"")+IMPORTRANGE(""https://docs.google.com/spreadsheets/d/1Mnpb-8PYAgn85W6KOTD40hc_Xc55CaLfHoGAbrZ8tls/edit?usp=sharing"",""นครราชสีมา!Q360"")+IMPORTRANGE(""https://docs.google.com/spreadsheets/d/1xoDLGBv9CYbyosIhki0kTq6IpYNj-gp"&amp;"jxfobnaDiut0/edit?usp=sharing"",""บึงกาฬ!Q360"")+IMPORTRANGE(""https://docs.google.com/spreadsheets/d/1MMPq-JyI6DSgQETxuSiXkesP-P7JHuemnE6QJIa-Nlw/edit?usp=sharing"",""บุรีรัมย์!Q360"")+IMPORTRANGE(""https://docs.google.com/spreadsheets/d/1l6IZ8xUPgMrESzc"&amp;"TYwhA1k_tPjeQjJPTqlm8Gd9eU5g/edit?usp=sharing"",""มหาสารคาม!Q360"")+IMPORTRANGE(""https://docs.google.com/spreadsheets/d/1uB74YLqNjWX6FObjekfB2NtSYigTQyR2rq9u4Ub2Sq4/edit?usp=sharing"",""มุกดาหาร!Q360"")+IMPORTRANGE(""https://docs.google.com/spreadsheets/"&amp;"d/1NexK3geCPxCTO1fzNF8dPec7yZyUx3OaWkFBC9HsQOo/edit?usp=sharing"",""ยโสธร!Q360"")+IMPORTRANGE(""https://docs.google.com/spreadsheets/d/1v_cJrbBlyqmnHPReHk44g9NrMRdENNlSy_E_c5M9fIg/edit?usp=sharing"",""ร้อยเอ็ด!Q360"")+IMPORTRANGE(""https://docs.google.com"&amp;"/spreadsheets/d/1Ul4RCpCX66NxYADU1QpwAPjOmBzW64SsT11s1wzXw_c/edit?usp=sharing"",""เลย!Q360"")+IMPORTRANGE(""https://docs.google.com/spreadsheets/d/1bRrNKwbHDVktQG10isr5vbWRtt5spIZPpkOSWgbT5ug/edit?usp=sharing"",""ศรีสะเกษ!Q360"")+IMPORTRANGE(""https://doc"&amp;"s.google.com/spreadsheets/d/17P34_Ow5kFBfdQD0qspb2UuPX5zpi6WMrQzslghyvrI/edit?usp=sharing"",""สกลนคร!Q360"")+IMPORTRANGE(""https://docs.google.com/spreadsheets/d/1yswqbM3-AEpThF3ZSUa1AcmHnmRTF1vlJ1CZGcJ8YuU/edit?usp=sharing"",""สุรินทร์!Q360"")+IMPORTRANG"&amp;"E(""https://docs.google.com/spreadsheets/d/13JHU_EFbsQOUQ0JSQ3dWy1VTRosIWcDq6Nc99z2qzdc/edit?usp=sharing"",""หนองคาย!Q360"")+IMPORTRANGE(""https://docs.google.com/spreadsheets/d/1Hx73zIEgVdDZZaYSTc46Dqv64atFhpr3GelxLbaIN8A/edit?usp=sharing"",""หนองบัวลำภู"&amp;"!Q360"")+IMPORTRANGE(""https://docs.google.com/spreadsheets/d/1lFxr3ctmjFN90yc-xV6jrQ9Ty8BKYVBWnAZ15wcNIJc/edit?usp=sharing"",""อำนาจเจริญ!Q360"")+IMPORTRANGE(""https://docs.google.com/spreadsheets/d/1gF7RJpRnL-1oyjyeWxs5SFWEH7y8ahOZsQlyp2A2e-A/edit?usp=s"&amp;"haring"",""อุดรธานี!Q360"")+IMPORTRANGE(""https://docs.google.com/spreadsheets/d/1kfLP0j3INXRa8bTDpcEmoWewMBV61jlFlfzczfjWIgc/edit?usp=sharing"",""อุบลราชธานี!Q360"")"),0)</f>
        <v>0</v>
      </c>
      <c r="R360" s="56">
        <f ca="1">IFERROR(__xludf.DUMMYFUNCTION("IMPORTRANGE(""https://docs.google.com/spreadsheets/d/1yhBcrRPreicbMKl9Bu_Snb2-OcQAF62RKfhTLhJ2eAA/edit?usp=sharing"",""กาฬสินธุ์!R360"")+IMPORTRANGE(""https://docs.google.com/spreadsheets/d/1aHkj4IaQMThhwWwevcOymEh837vdxeC_PycurhTbGFA/edit?usp=sharing"","&amp;"""ขอนแก่น!R360"")+IMPORTRANGE(""https://docs.google.com/spreadsheets/d/1FvTu2DsIWUjP6WCWra38Bkj_oOl_sOMf14r5Fg5srxU/edit?usp=sharing"",""ชัยภูมิ!R360"")+IMPORTRANGE(""https://docs.google.com/spreadsheets/d/1XVB7oCJ3pr-vBUdflwPQ8Z2LlzhnCvZaaYjAfP-647E/edit"&amp;"?usp=sharing"",""นครพนม!R360"")+IMPORTRANGE(""https://docs.google.com/spreadsheets/d/1Mnpb-8PYAgn85W6KOTD40hc_Xc55CaLfHoGAbrZ8tls/edit?usp=sharing"",""นครราชสีมา!R360"")+IMPORTRANGE(""https://docs.google.com/spreadsheets/d/1xoDLGBv9CYbyosIhki0kTq6IpYNj-gp"&amp;"jxfobnaDiut0/edit?usp=sharing"",""บึงกาฬ!R360"")+IMPORTRANGE(""https://docs.google.com/spreadsheets/d/1MMPq-JyI6DSgQETxuSiXkesP-P7JHuemnE6QJIa-Nlw/edit?usp=sharing"",""บุรีรัมย์!R360"")+IMPORTRANGE(""https://docs.google.com/spreadsheets/d/1l6IZ8xUPgMrESzc"&amp;"TYwhA1k_tPjeQjJPTqlm8Gd9eU5g/edit?usp=sharing"",""มหาสารคาม!R360"")+IMPORTRANGE(""https://docs.google.com/spreadsheets/d/1uB74YLqNjWX6FObjekfB2NtSYigTQyR2rq9u4Ub2Sq4/edit?usp=sharing"",""มุกดาหาร!R360"")+IMPORTRANGE(""https://docs.google.com/spreadsheets/"&amp;"d/1NexK3geCPxCTO1fzNF8dPec7yZyUx3OaWkFBC9HsQOo/edit?usp=sharing"",""ยโสธร!R360"")+IMPORTRANGE(""https://docs.google.com/spreadsheets/d/1v_cJrbBlyqmnHPReHk44g9NrMRdENNlSy_E_c5M9fIg/edit?usp=sharing"",""ร้อยเอ็ด!R360"")+IMPORTRANGE(""https://docs.google.com"&amp;"/spreadsheets/d/1Ul4RCpCX66NxYADU1QpwAPjOmBzW64SsT11s1wzXw_c/edit?usp=sharing"",""เลย!R360"")+IMPORTRANGE(""https://docs.google.com/spreadsheets/d/1bRrNKwbHDVktQG10isr5vbWRtt5spIZPpkOSWgbT5ug/edit?usp=sharing"",""ศรีสะเกษ!R360"")+IMPORTRANGE(""https://doc"&amp;"s.google.com/spreadsheets/d/17P34_Ow5kFBfdQD0qspb2UuPX5zpi6WMrQzslghyvrI/edit?usp=sharing"",""สกลนคร!R360"")+IMPORTRANGE(""https://docs.google.com/spreadsheets/d/1yswqbM3-AEpThF3ZSUa1AcmHnmRTF1vlJ1CZGcJ8YuU/edit?usp=sharing"",""สุรินทร์!R360"")+IMPORTRANG"&amp;"E(""https://docs.google.com/spreadsheets/d/13JHU_EFbsQOUQ0JSQ3dWy1VTRosIWcDq6Nc99z2qzdc/edit?usp=sharing"",""หนองคาย!R360"")+IMPORTRANGE(""https://docs.google.com/spreadsheets/d/1Hx73zIEgVdDZZaYSTc46Dqv64atFhpr3GelxLbaIN8A/edit?usp=sharing"",""หนองบัวลำภู"&amp;"!R360"")+IMPORTRANGE(""https://docs.google.com/spreadsheets/d/1lFxr3ctmjFN90yc-xV6jrQ9Ty8BKYVBWnAZ15wcNIJc/edit?usp=sharing"",""อำนาจเจริญ!R360"")+IMPORTRANGE(""https://docs.google.com/spreadsheets/d/1gF7RJpRnL-1oyjyeWxs5SFWEH7y8ahOZsQlyp2A2e-A/edit?usp=s"&amp;"haring"",""อุดรธานี!R360"")+IMPORTRANGE(""https://docs.google.com/spreadsheets/d/1kfLP0j3INXRa8bTDpcEmoWewMBV61jlFlfzczfjWIgc/edit?usp=sharing"",""อุบลราชธานี!R360"")"),0)</f>
        <v>0</v>
      </c>
      <c r="S360" s="57">
        <f ca="1">IFERROR(__xludf.DUMMYFUNCTION("IMPORTRANGE(""https://docs.google.com/spreadsheets/d/1yhBcrRPreicbMKl9Bu_Snb2-OcQAF62RKfhTLhJ2eAA/edit?usp=sharing"",""กาฬสินธุ์!S360"")+IMPORTRANGE(""https://docs.google.com/spreadsheets/d/1aHkj4IaQMThhwWwevcOymEh837vdxeC_PycurhTbGFA/edit?usp=sharing"","&amp;"""ขอนแก่น!S360"")+IMPORTRANGE(""https://docs.google.com/spreadsheets/d/1FvTu2DsIWUjP6WCWra38Bkj_oOl_sOMf14r5Fg5srxU/edit?usp=sharing"",""ชัยภูมิ!S360"")+IMPORTRANGE(""https://docs.google.com/spreadsheets/d/1XVB7oCJ3pr-vBUdflwPQ8Z2LlzhnCvZaaYjAfP-647E/edit"&amp;"?usp=sharing"",""นครพนม!S360"")+IMPORTRANGE(""https://docs.google.com/spreadsheets/d/1Mnpb-8PYAgn85W6KOTD40hc_Xc55CaLfHoGAbrZ8tls/edit?usp=sharing"",""นครราชสีมา!S360"")+IMPORTRANGE(""https://docs.google.com/spreadsheets/d/1xoDLGBv9CYbyosIhki0kTq6IpYNj-gp"&amp;"jxfobnaDiut0/edit?usp=sharing"",""บึงกาฬ!S360"")+IMPORTRANGE(""https://docs.google.com/spreadsheets/d/1MMPq-JyI6DSgQETxuSiXkesP-P7JHuemnE6QJIa-Nlw/edit?usp=sharing"",""บุรีรัมย์!S360"")+IMPORTRANGE(""https://docs.google.com/spreadsheets/d/1l6IZ8xUPgMrESzc"&amp;"TYwhA1k_tPjeQjJPTqlm8Gd9eU5g/edit?usp=sharing"",""มหาสารคาม!S360"")+IMPORTRANGE(""https://docs.google.com/spreadsheets/d/1uB74YLqNjWX6FObjekfB2NtSYigTQyR2rq9u4Ub2Sq4/edit?usp=sharing"",""มุกดาหาร!S360"")+IMPORTRANGE(""https://docs.google.com/spreadsheets/"&amp;"d/1NexK3geCPxCTO1fzNF8dPec7yZyUx3OaWkFBC9HsQOo/edit?usp=sharing"",""ยโสธร!S360"")+IMPORTRANGE(""https://docs.google.com/spreadsheets/d/1v_cJrbBlyqmnHPReHk44g9NrMRdENNlSy_E_c5M9fIg/edit?usp=sharing"",""ร้อยเอ็ด!S360"")+IMPORTRANGE(""https://docs.google.com"&amp;"/spreadsheets/d/1Ul4RCpCX66NxYADU1QpwAPjOmBzW64SsT11s1wzXw_c/edit?usp=sharing"",""เลย!S360"")+IMPORTRANGE(""https://docs.google.com/spreadsheets/d/1bRrNKwbHDVktQG10isr5vbWRtt5spIZPpkOSWgbT5ug/edit?usp=sharing"",""ศรีสะเกษ!S360"")+IMPORTRANGE(""https://doc"&amp;"s.google.com/spreadsheets/d/17P34_Ow5kFBfdQD0qspb2UuPX5zpi6WMrQzslghyvrI/edit?usp=sharing"",""สกลนคร!S360"")+IMPORTRANGE(""https://docs.google.com/spreadsheets/d/1yswqbM3-AEpThF3ZSUa1AcmHnmRTF1vlJ1CZGcJ8YuU/edit?usp=sharing"",""สุรินทร์!S360"")+IMPORTRANG"&amp;"E(""https://docs.google.com/spreadsheets/d/13JHU_EFbsQOUQ0JSQ3dWy1VTRosIWcDq6Nc99z2qzdc/edit?usp=sharing"",""หนองคาย!S360"")+IMPORTRANGE(""https://docs.google.com/spreadsheets/d/1Hx73zIEgVdDZZaYSTc46Dqv64atFhpr3GelxLbaIN8A/edit?usp=sharing"",""หนองบัวลำภู"&amp;"!S360"")+IMPORTRANGE(""https://docs.google.com/spreadsheets/d/1lFxr3ctmjFN90yc-xV6jrQ9Ty8BKYVBWnAZ15wcNIJc/edit?usp=sharing"",""อำนาจเจริญ!S360"")+IMPORTRANGE(""https://docs.google.com/spreadsheets/d/1gF7RJpRnL-1oyjyeWxs5SFWEH7y8ahOZsQlyp2A2e-A/edit?usp=s"&amp;"haring"",""อุดรธานี!S360"")+IMPORTRANGE(""https://docs.google.com/spreadsheets/d/1kfLP0j3INXRa8bTDpcEmoWewMBV61jlFlfzczfjWIgc/edit?usp=sharing"",""อุบลราชธานี!S360"")"),0)</f>
        <v>0</v>
      </c>
      <c r="T360" s="59">
        <f t="shared" ca="1" si="270"/>
        <v>0</v>
      </c>
      <c r="U360" s="59">
        <f t="shared" ca="1" si="271"/>
        <v>0</v>
      </c>
    </row>
    <row r="361" spans="1:21" ht="18.75">
      <c r="A361" s="155"/>
      <c r="B361" s="50"/>
      <c r="C361" s="50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56">
        <f ca="1">IFERROR(__xludf.DUMMYFUNCTION("IMPORTRANGE(""https://docs.google.com/spreadsheets/d/1yhBcrRPreicbMKl9Bu_Snb2-OcQAF62RKfhTLhJ2eAA/edit?usp=sharing"",""กาฬสินธุ์!L361"")+IMPORTRANGE(""https://docs.google.com/spreadsheets/d/1aHkj4IaQMThhwWwevcOymEh837vdxeC_PycurhTbGFA/edit?usp=sharing"","&amp;"""ขอนแก่น!L361"")+IMPORTRANGE(""https://docs.google.com/spreadsheets/d/1FvTu2DsIWUjP6WCWra38Bkj_oOl_sOMf14r5Fg5srxU/edit?usp=sharing"",""ชัยภูมิ!L361"")+IMPORTRANGE(""https://docs.google.com/spreadsheets/d/1XVB7oCJ3pr-vBUdflwPQ8Z2LlzhnCvZaaYjAfP-647E/edit"&amp;"?usp=sharing"",""นครพนม!L361"")+IMPORTRANGE(""https://docs.google.com/spreadsheets/d/1Mnpb-8PYAgn85W6KOTD40hc_Xc55CaLfHoGAbrZ8tls/edit?usp=sharing"",""นครราชสีมา!L361"")+IMPORTRANGE(""https://docs.google.com/spreadsheets/d/1xoDLGBv9CYbyosIhki0kTq6IpYNj-gp"&amp;"jxfobnaDiut0/edit?usp=sharing"",""บึงกาฬ!L361"")+IMPORTRANGE(""https://docs.google.com/spreadsheets/d/1MMPq-JyI6DSgQETxuSiXkesP-P7JHuemnE6QJIa-Nlw/edit?usp=sharing"",""บุรีรัมย์!L361"")+IMPORTRANGE(""https://docs.google.com/spreadsheets/d/1l6IZ8xUPgMrESzc"&amp;"TYwhA1k_tPjeQjJPTqlm8Gd9eU5g/edit?usp=sharing"",""มหาสารคาม!L361"")+IMPORTRANGE(""https://docs.google.com/spreadsheets/d/1uB74YLqNjWX6FObjekfB2NtSYigTQyR2rq9u4Ub2Sq4/edit?usp=sharing"",""มุกดาหาร!L361"")+IMPORTRANGE(""https://docs.google.com/spreadsheets/"&amp;"d/1NexK3geCPxCTO1fzNF8dPec7yZyUx3OaWkFBC9HsQOo/edit?usp=sharing"",""ยโสธร!L361"")+IMPORTRANGE(""https://docs.google.com/spreadsheets/d/1v_cJrbBlyqmnHPReHk44g9NrMRdENNlSy_E_c5M9fIg/edit?usp=sharing"",""ร้อยเอ็ด!L361"")+IMPORTRANGE(""https://docs.google.com"&amp;"/spreadsheets/d/1Ul4RCpCX66NxYADU1QpwAPjOmBzW64SsT11s1wzXw_c/edit?usp=sharing"",""เลย!L361"")+IMPORTRANGE(""https://docs.google.com/spreadsheets/d/1bRrNKwbHDVktQG10isr5vbWRtt5spIZPpkOSWgbT5ug/edit?usp=sharing"",""ศรีสะเกษ!L361"")+IMPORTRANGE(""https://doc"&amp;"s.google.com/spreadsheets/d/17P34_Ow5kFBfdQD0qspb2UuPX5zpi6WMrQzslghyvrI/edit?usp=sharing"",""สกลนคร!L361"")+IMPORTRANGE(""https://docs.google.com/spreadsheets/d/1yswqbM3-AEpThF3ZSUa1AcmHnmRTF1vlJ1CZGcJ8YuU/edit?usp=sharing"",""สุรินทร์!L361"")+IMPORTRANG"&amp;"E(""https://docs.google.com/spreadsheets/d/13JHU_EFbsQOUQ0JSQ3dWy1VTRosIWcDq6Nc99z2qzdc/edit?usp=sharing"",""หนองคาย!L361"")+IMPORTRANGE(""https://docs.google.com/spreadsheets/d/1Hx73zIEgVdDZZaYSTc46Dqv64atFhpr3GelxLbaIN8A/edit?usp=sharing"",""หนองบัวลำภู"&amp;"!L361"")+IMPORTRANGE(""https://docs.google.com/spreadsheets/d/1lFxr3ctmjFN90yc-xV6jrQ9Ty8BKYVBWnAZ15wcNIJc/edit?usp=sharing"",""อำนาจเจริญ!L361"")+IMPORTRANGE(""https://docs.google.com/spreadsheets/d/1gF7RJpRnL-1oyjyeWxs5SFWEH7y8ahOZsQlyp2A2e-A/edit?usp=s"&amp;"haring"",""อุดรธานี!L361"")+IMPORTRANGE(""https://docs.google.com/spreadsheets/d/1kfLP0j3INXRa8bTDpcEmoWewMBV61jlFlfzczfjWIgc/edit?usp=sharing"",""อุบลราชธานี!L361"")"),16083580)</f>
        <v>16083580</v>
      </c>
      <c r="M361" s="56">
        <f ca="1">IFERROR(__xludf.DUMMYFUNCTION("IMPORTRANGE(""https://docs.google.com/spreadsheets/d/1yhBcrRPreicbMKl9Bu_Snb2-OcQAF62RKfhTLhJ2eAA/edit?usp=sharing"",""กาฬสินธุ์!M361"")+IMPORTRANGE(""https://docs.google.com/spreadsheets/d/1aHkj4IaQMThhwWwevcOymEh837vdxeC_PycurhTbGFA/edit?usp=sharing"","&amp;"""ขอนแก่น!M361"")+IMPORTRANGE(""https://docs.google.com/spreadsheets/d/1FvTu2DsIWUjP6WCWra38Bkj_oOl_sOMf14r5Fg5srxU/edit?usp=sharing"",""ชัยภูมิ!M361"")+IMPORTRANGE(""https://docs.google.com/spreadsheets/d/1XVB7oCJ3pr-vBUdflwPQ8Z2LlzhnCvZaaYjAfP-647E/edit"&amp;"?usp=sharing"",""นครพนม!M361"")+IMPORTRANGE(""https://docs.google.com/spreadsheets/d/1Mnpb-8PYAgn85W6KOTD40hc_Xc55CaLfHoGAbrZ8tls/edit?usp=sharing"",""นครราชสีมา!M361"")+IMPORTRANGE(""https://docs.google.com/spreadsheets/d/1xoDLGBv9CYbyosIhki0kTq6IpYNj-gp"&amp;"jxfobnaDiut0/edit?usp=sharing"",""บึงกาฬ!M361"")+IMPORTRANGE(""https://docs.google.com/spreadsheets/d/1MMPq-JyI6DSgQETxuSiXkesP-P7JHuemnE6QJIa-Nlw/edit?usp=sharing"",""บุรีรัมย์!M361"")+IMPORTRANGE(""https://docs.google.com/spreadsheets/d/1l6IZ8xUPgMrESzc"&amp;"TYwhA1k_tPjeQjJPTqlm8Gd9eU5g/edit?usp=sharing"",""มหาสารคาม!M361"")+IMPORTRANGE(""https://docs.google.com/spreadsheets/d/1uB74YLqNjWX6FObjekfB2NtSYigTQyR2rq9u4Ub2Sq4/edit?usp=sharing"",""มุกดาหาร!M361"")+IMPORTRANGE(""https://docs.google.com/spreadsheets/"&amp;"d/1NexK3geCPxCTO1fzNF8dPec7yZyUx3OaWkFBC9HsQOo/edit?usp=sharing"",""ยโสธร!M361"")+IMPORTRANGE(""https://docs.google.com/spreadsheets/d/1v_cJrbBlyqmnHPReHk44g9NrMRdENNlSy_E_c5M9fIg/edit?usp=sharing"",""ร้อยเอ็ด!M361"")+IMPORTRANGE(""https://docs.google.com"&amp;"/spreadsheets/d/1Ul4RCpCX66NxYADU1QpwAPjOmBzW64SsT11s1wzXw_c/edit?usp=sharing"",""เลย!M361"")+IMPORTRANGE(""https://docs.google.com/spreadsheets/d/1bRrNKwbHDVktQG10isr5vbWRtt5spIZPpkOSWgbT5ug/edit?usp=sharing"",""ศรีสะเกษ!M361"")+IMPORTRANGE(""https://doc"&amp;"s.google.com/spreadsheets/d/17P34_Ow5kFBfdQD0qspb2UuPX5zpi6WMrQzslghyvrI/edit?usp=sharing"",""สกลนคร!M361"")+IMPORTRANGE(""https://docs.google.com/spreadsheets/d/1yswqbM3-AEpThF3ZSUa1AcmHnmRTF1vlJ1CZGcJ8YuU/edit?usp=sharing"",""สุรินทร์!M361"")+IMPORTRANG"&amp;"E(""https://docs.google.com/spreadsheets/d/13JHU_EFbsQOUQ0JSQ3dWy1VTRosIWcDq6Nc99z2qzdc/edit?usp=sharing"",""หนองคาย!M361"")+IMPORTRANGE(""https://docs.google.com/spreadsheets/d/1Hx73zIEgVdDZZaYSTc46Dqv64atFhpr3GelxLbaIN8A/edit?usp=sharing"",""หนองบัวลำภู"&amp;"!M361"")+IMPORTRANGE(""https://docs.google.com/spreadsheets/d/1lFxr3ctmjFN90yc-xV6jrQ9Ty8BKYVBWnAZ15wcNIJc/edit?usp=sharing"",""อำนาจเจริญ!M361"")+IMPORTRANGE(""https://docs.google.com/spreadsheets/d/1gF7RJpRnL-1oyjyeWxs5SFWEH7y8ahOZsQlyp2A2e-A/edit?usp=s"&amp;"haring"",""อุดรธานี!M361"")+IMPORTRANGE(""https://docs.google.com/spreadsheets/d/1kfLP0j3INXRa8bTDpcEmoWewMBV61jlFlfzczfjWIgc/edit?usp=sharing"",""อุบลราชธานี!M361"")"),16550850)</f>
        <v>16550850</v>
      </c>
      <c r="N361" s="56">
        <f ca="1">IFERROR(__xludf.DUMMYFUNCTION("IMPORTRANGE(""https://docs.google.com/spreadsheets/d/1yhBcrRPreicbMKl9Bu_Snb2-OcQAF62RKfhTLhJ2eAA/edit?usp=sharing"",""กาฬสินธุ์!N361"")+IMPORTRANGE(""https://docs.google.com/spreadsheets/d/1aHkj4IaQMThhwWwevcOymEh837vdxeC_PycurhTbGFA/edit?usp=sharing"","&amp;"""ขอนแก่น!N361"")+IMPORTRANGE(""https://docs.google.com/spreadsheets/d/1FvTu2DsIWUjP6WCWra38Bkj_oOl_sOMf14r5Fg5srxU/edit?usp=sharing"",""ชัยภูมิ!N361"")+IMPORTRANGE(""https://docs.google.com/spreadsheets/d/1XVB7oCJ3pr-vBUdflwPQ8Z2LlzhnCvZaaYjAfP-647E/edit"&amp;"?usp=sharing"",""นครพนม!N361"")+IMPORTRANGE(""https://docs.google.com/spreadsheets/d/1Mnpb-8PYAgn85W6KOTD40hc_Xc55CaLfHoGAbrZ8tls/edit?usp=sharing"",""นครราชสีมา!N361"")+IMPORTRANGE(""https://docs.google.com/spreadsheets/d/1xoDLGBv9CYbyosIhki0kTq6IpYNj-gp"&amp;"jxfobnaDiut0/edit?usp=sharing"",""บึงกาฬ!N361"")+IMPORTRANGE(""https://docs.google.com/spreadsheets/d/1MMPq-JyI6DSgQETxuSiXkesP-P7JHuemnE6QJIa-Nlw/edit?usp=sharing"",""บุรีรัมย์!N361"")+IMPORTRANGE(""https://docs.google.com/spreadsheets/d/1l6IZ8xUPgMrESzc"&amp;"TYwhA1k_tPjeQjJPTqlm8Gd9eU5g/edit?usp=sharing"",""มหาสารคาม!N361"")+IMPORTRANGE(""https://docs.google.com/spreadsheets/d/1uB74YLqNjWX6FObjekfB2NtSYigTQyR2rq9u4Ub2Sq4/edit?usp=sharing"",""มุกดาหาร!N361"")+IMPORTRANGE(""https://docs.google.com/spreadsheets/"&amp;"d/1NexK3geCPxCTO1fzNF8dPec7yZyUx3OaWkFBC9HsQOo/edit?usp=sharing"",""ยโสธร!N361"")+IMPORTRANGE(""https://docs.google.com/spreadsheets/d/1v_cJrbBlyqmnHPReHk44g9NrMRdENNlSy_E_c5M9fIg/edit?usp=sharing"",""ร้อยเอ็ด!N361"")+IMPORTRANGE(""https://docs.google.com"&amp;"/spreadsheets/d/1Ul4RCpCX66NxYADU1QpwAPjOmBzW64SsT11s1wzXw_c/edit?usp=sharing"",""เลย!N361"")+IMPORTRANGE(""https://docs.google.com/spreadsheets/d/1bRrNKwbHDVktQG10isr5vbWRtt5spIZPpkOSWgbT5ug/edit?usp=sharing"",""ศรีสะเกษ!N361"")+IMPORTRANGE(""https://doc"&amp;"s.google.com/spreadsheets/d/17P34_Ow5kFBfdQD0qspb2UuPX5zpi6WMrQzslghyvrI/edit?usp=sharing"",""สกลนคร!N361"")+IMPORTRANGE(""https://docs.google.com/spreadsheets/d/1yswqbM3-AEpThF3ZSUa1AcmHnmRTF1vlJ1CZGcJ8YuU/edit?usp=sharing"",""สุรินทร์!N361"")+IMPORTRANG"&amp;"E(""https://docs.google.com/spreadsheets/d/13JHU_EFbsQOUQ0JSQ3dWy1VTRosIWcDq6Nc99z2qzdc/edit?usp=sharing"",""หนองคาย!N361"")+IMPORTRANGE(""https://docs.google.com/spreadsheets/d/1Hx73zIEgVdDZZaYSTc46Dqv64atFhpr3GelxLbaIN8A/edit?usp=sharing"",""หนองบัวลำภู"&amp;"!N361"")+IMPORTRANGE(""https://docs.google.com/spreadsheets/d/1lFxr3ctmjFN90yc-xV6jrQ9Ty8BKYVBWnAZ15wcNIJc/edit?usp=sharing"",""อำนาจเจริญ!N361"")+IMPORTRANGE(""https://docs.google.com/spreadsheets/d/1gF7RJpRnL-1oyjyeWxs5SFWEH7y8ahOZsQlyp2A2e-A/edit?usp=s"&amp;"haring"",""อุดรธานี!N361"")+IMPORTRANGE(""https://docs.google.com/spreadsheets/d/1kfLP0j3INXRa8bTDpcEmoWewMBV61jlFlfzczfjWIgc/edit?usp=sharing"",""อุบลราชธานี!N361"")"),12641769.81)</f>
        <v>12641769.810000001</v>
      </c>
      <c r="O361" s="56">
        <f t="shared" ca="1" si="267"/>
        <v>78.600472096386497</v>
      </c>
      <c r="P361" s="56">
        <f t="shared" ca="1" si="268"/>
        <v>76.381393161076318</v>
      </c>
      <c r="Q361" s="56">
        <f ca="1">IFERROR(__xludf.DUMMYFUNCTION("IMPORTRANGE(""https://docs.google.com/spreadsheets/d/1yhBcrRPreicbMKl9Bu_Snb2-OcQAF62RKfhTLhJ2eAA/edit?usp=sharing"",""กาฬสินธุ์!Q361"")+IMPORTRANGE(""https://docs.google.com/spreadsheets/d/1aHkj4IaQMThhwWwevcOymEh837vdxeC_PycurhTbGFA/edit?usp=sharing"","&amp;"""ขอนแก่น!Q361"")+IMPORTRANGE(""https://docs.google.com/spreadsheets/d/1FvTu2DsIWUjP6WCWra38Bkj_oOl_sOMf14r5Fg5srxU/edit?usp=sharing"",""ชัยภูมิ!Q361"")+IMPORTRANGE(""https://docs.google.com/spreadsheets/d/1XVB7oCJ3pr-vBUdflwPQ8Z2LlzhnCvZaaYjAfP-647E/edit"&amp;"?usp=sharing"",""นครพนม!Q361"")+IMPORTRANGE(""https://docs.google.com/spreadsheets/d/1Mnpb-8PYAgn85W6KOTD40hc_Xc55CaLfHoGAbrZ8tls/edit?usp=sharing"",""นครราชสีมา!Q361"")+IMPORTRANGE(""https://docs.google.com/spreadsheets/d/1xoDLGBv9CYbyosIhki0kTq6IpYNj-gp"&amp;"jxfobnaDiut0/edit?usp=sharing"",""บึงกาฬ!Q361"")+IMPORTRANGE(""https://docs.google.com/spreadsheets/d/1MMPq-JyI6DSgQETxuSiXkesP-P7JHuemnE6QJIa-Nlw/edit?usp=sharing"",""บุรีรัมย์!Q361"")+IMPORTRANGE(""https://docs.google.com/spreadsheets/d/1l6IZ8xUPgMrESzc"&amp;"TYwhA1k_tPjeQjJPTqlm8Gd9eU5g/edit?usp=sharing"",""มหาสารคาม!Q361"")+IMPORTRANGE(""https://docs.google.com/spreadsheets/d/1uB74YLqNjWX6FObjekfB2NtSYigTQyR2rq9u4Ub2Sq4/edit?usp=sharing"",""มุกดาหาร!Q361"")+IMPORTRANGE(""https://docs.google.com/spreadsheets/"&amp;"d/1NexK3geCPxCTO1fzNF8dPec7yZyUx3OaWkFBC9HsQOo/edit?usp=sharing"",""ยโสธร!Q361"")+IMPORTRANGE(""https://docs.google.com/spreadsheets/d/1v_cJrbBlyqmnHPReHk44g9NrMRdENNlSy_E_c5M9fIg/edit?usp=sharing"",""ร้อยเอ็ด!Q361"")+IMPORTRANGE(""https://docs.google.com"&amp;"/spreadsheets/d/1Ul4RCpCX66NxYADU1QpwAPjOmBzW64SsT11s1wzXw_c/edit?usp=sharing"",""เลย!Q361"")+IMPORTRANGE(""https://docs.google.com/spreadsheets/d/1bRrNKwbHDVktQG10isr5vbWRtt5spIZPpkOSWgbT5ug/edit?usp=sharing"",""ศรีสะเกษ!Q361"")+IMPORTRANGE(""https://doc"&amp;"s.google.com/spreadsheets/d/17P34_Ow5kFBfdQD0qspb2UuPX5zpi6WMrQzslghyvrI/edit?usp=sharing"",""สกลนคร!Q361"")+IMPORTRANGE(""https://docs.google.com/spreadsheets/d/1yswqbM3-AEpThF3ZSUa1AcmHnmRTF1vlJ1CZGcJ8YuU/edit?usp=sharing"",""สุรินทร์!Q361"")+IMPORTRANG"&amp;"E(""https://docs.google.com/spreadsheets/d/13JHU_EFbsQOUQ0JSQ3dWy1VTRosIWcDq6Nc99z2qzdc/edit?usp=sharing"",""หนองคาย!Q361"")+IMPORTRANGE(""https://docs.google.com/spreadsheets/d/1Hx73zIEgVdDZZaYSTc46Dqv64atFhpr3GelxLbaIN8A/edit?usp=sharing"",""หนองบัวลำภู"&amp;"!Q361"")+IMPORTRANGE(""https://docs.google.com/spreadsheets/d/1lFxr3ctmjFN90yc-xV6jrQ9Ty8BKYVBWnAZ15wcNIJc/edit?usp=sharing"",""อำนาจเจริญ!Q361"")+IMPORTRANGE(""https://docs.google.com/spreadsheets/d/1gF7RJpRnL-1oyjyeWxs5SFWEH7y8ahOZsQlyp2A2e-A/edit?usp=s"&amp;"haring"",""อุดรธานี!Q361"")+IMPORTRANGE(""https://docs.google.com/spreadsheets/d/1kfLP0j3INXRa8bTDpcEmoWewMBV61jlFlfzczfjWIgc/edit?usp=sharing"",""อุบลราชธานี!Q361"")"),0)</f>
        <v>0</v>
      </c>
      <c r="R361" s="56">
        <f ca="1">IFERROR(__xludf.DUMMYFUNCTION("IMPORTRANGE(""https://docs.google.com/spreadsheets/d/1yhBcrRPreicbMKl9Bu_Snb2-OcQAF62RKfhTLhJ2eAA/edit?usp=sharing"",""กาฬสินธุ์!R361"")+IMPORTRANGE(""https://docs.google.com/spreadsheets/d/1aHkj4IaQMThhwWwevcOymEh837vdxeC_PycurhTbGFA/edit?usp=sharing"","&amp;"""ขอนแก่น!R361"")+IMPORTRANGE(""https://docs.google.com/spreadsheets/d/1FvTu2DsIWUjP6WCWra38Bkj_oOl_sOMf14r5Fg5srxU/edit?usp=sharing"",""ชัยภูมิ!R361"")+IMPORTRANGE(""https://docs.google.com/spreadsheets/d/1XVB7oCJ3pr-vBUdflwPQ8Z2LlzhnCvZaaYjAfP-647E/edit"&amp;"?usp=sharing"",""นครพนม!R361"")+IMPORTRANGE(""https://docs.google.com/spreadsheets/d/1Mnpb-8PYAgn85W6KOTD40hc_Xc55CaLfHoGAbrZ8tls/edit?usp=sharing"",""นครราชสีมา!R361"")+IMPORTRANGE(""https://docs.google.com/spreadsheets/d/1xoDLGBv9CYbyosIhki0kTq6IpYNj-gp"&amp;"jxfobnaDiut0/edit?usp=sharing"",""บึงกาฬ!R361"")+IMPORTRANGE(""https://docs.google.com/spreadsheets/d/1MMPq-JyI6DSgQETxuSiXkesP-P7JHuemnE6QJIa-Nlw/edit?usp=sharing"",""บุรีรัมย์!R361"")+IMPORTRANGE(""https://docs.google.com/spreadsheets/d/1l6IZ8xUPgMrESzc"&amp;"TYwhA1k_tPjeQjJPTqlm8Gd9eU5g/edit?usp=sharing"",""มหาสารคาม!R361"")+IMPORTRANGE(""https://docs.google.com/spreadsheets/d/1uB74YLqNjWX6FObjekfB2NtSYigTQyR2rq9u4Ub2Sq4/edit?usp=sharing"",""มุกดาหาร!R361"")+IMPORTRANGE(""https://docs.google.com/spreadsheets/"&amp;"d/1NexK3geCPxCTO1fzNF8dPec7yZyUx3OaWkFBC9HsQOo/edit?usp=sharing"",""ยโสธร!R361"")+IMPORTRANGE(""https://docs.google.com/spreadsheets/d/1v_cJrbBlyqmnHPReHk44g9NrMRdENNlSy_E_c5M9fIg/edit?usp=sharing"",""ร้อยเอ็ด!R361"")+IMPORTRANGE(""https://docs.google.com"&amp;"/spreadsheets/d/1Ul4RCpCX66NxYADU1QpwAPjOmBzW64SsT11s1wzXw_c/edit?usp=sharing"",""เลย!R361"")+IMPORTRANGE(""https://docs.google.com/spreadsheets/d/1bRrNKwbHDVktQG10isr5vbWRtt5spIZPpkOSWgbT5ug/edit?usp=sharing"",""ศรีสะเกษ!R361"")+IMPORTRANGE(""https://doc"&amp;"s.google.com/spreadsheets/d/17P34_Ow5kFBfdQD0qspb2UuPX5zpi6WMrQzslghyvrI/edit?usp=sharing"",""สกลนคร!R361"")+IMPORTRANGE(""https://docs.google.com/spreadsheets/d/1yswqbM3-AEpThF3ZSUa1AcmHnmRTF1vlJ1CZGcJ8YuU/edit?usp=sharing"",""สุรินทร์!R361"")+IMPORTRANG"&amp;"E(""https://docs.google.com/spreadsheets/d/13JHU_EFbsQOUQ0JSQ3dWy1VTRosIWcDq6Nc99z2qzdc/edit?usp=sharing"",""หนองคาย!R361"")+IMPORTRANGE(""https://docs.google.com/spreadsheets/d/1Hx73zIEgVdDZZaYSTc46Dqv64atFhpr3GelxLbaIN8A/edit?usp=sharing"",""หนองบัวลำภู"&amp;"!R361"")+IMPORTRANGE(""https://docs.google.com/spreadsheets/d/1lFxr3ctmjFN90yc-xV6jrQ9Ty8BKYVBWnAZ15wcNIJc/edit?usp=sharing"",""อำนาจเจริญ!R361"")+IMPORTRANGE(""https://docs.google.com/spreadsheets/d/1gF7RJpRnL-1oyjyeWxs5SFWEH7y8ahOZsQlyp2A2e-A/edit?usp=s"&amp;"haring"",""อุดรธานี!R361"")+IMPORTRANGE(""https://docs.google.com/spreadsheets/d/1kfLP0j3INXRa8bTDpcEmoWewMBV61jlFlfzczfjWIgc/edit?usp=sharing"",""อุบลราชธานี!R361"")"),0)</f>
        <v>0</v>
      </c>
      <c r="S361" s="57">
        <f ca="1">IFERROR(__xludf.DUMMYFUNCTION("IMPORTRANGE(""https://docs.google.com/spreadsheets/d/1yhBcrRPreicbMKl9Bu_Snb2-OcQAF62RKfhTLhJ2eAA/edit?usp=sharing"",""กาฬสินธุ์!S361"")+IMPORTRANGE(""https://docs.google.com/spreadsheets/d/1aHkj4IaQMThhwWwevcOymEh837vdxeC_PycurhTbGFA/edit?usp=sharing"","&amp;"""ขอนแก่น!S361"")+IMPORTRANGE(""https://docs.google.com/spreadsheets/d/1FvTu2DsIWUjP6WCWra38Bkj_oOl_sOMf14r5Fg5srxU/edit?usp=sharing"",""ชัยภูมิ!S361"")+IMPORTRANGE(""https://docs.google.com/spreadsheets/d/1XVB7oCJ3pr-vBUdflwPQ8Z2LlzhnCvZaaYjAfP-647E/edit"&amp;"?usp=sharing"",""นครพนม!S361"")+IMPORTRANGE(""https://docs.google.com/spreadsheets/d/1Mnpb-8PYAgn85W6KOTD40hc_Xc55CaLfHoGAbrZ8tls/edit?usp=sharing"",""นครราชสีมา!S361"")+IMPORTRANGE(""https://docs.google.com/spreadsheets/d/1xoDLGBv9CYbyosIhki0kTq6IpYNj-gp"&amp;"jxfobnaDiut0/edit?usp=sharing"",""บึงกาฬ!S361"")+IMPORTRANGE(""https://docs.google.com/spreadsheets/d/1MMPq-JyI6DSgQETxuSiXkesP-P7JHuemnE6QJIa-Nlw/edit?usp=sharing"",""บุรีรัมย์!S361"")+IMPORTRANGE(""https://docs.google.com/spreadsheets/d/1l6IZ8xUPgMrESzc"&amp;"TYwhA1k_tPjeQjJPTqlm8Gd9eU5g/edit?usp=sharing"",""มหาสารคาม!S361"")+IMPORTRANGE(""https://docs.google.com/spreadsheets/d/1uB74YLqNjWX6FObjekfB2NtSYigTQyR2rq9u4Ub2Sq4/edit?usp=sharing"",""มุกดาหาร!S361"")+IMPORTRANGE(""https://docs.google.com/spreadsheets/"&amp;"d/1NexK3geCPxCTO1fzNF8dPec7yZyUx3OaWkFBC9HsQOo/edit?usp=sharing"",""ยโสธร!S361"")+IMPORTRANGE(""https://docs.google.com/spreadsheets/d/1v_cJrbBlyqmnHPReHk44g9NrMRdENNlSy_E_c5M9fIg/edit?usp=sharing"",""ร้อยเอ็ด!S361"")+IMPORTRANGE(""https://docs.google.com"&amp;"/spreadsheets/d/1Ul4RCpCX66NxYADU1QpwAPjOmBzW64SsT11s1wzXw_c/edit?usp=sharing"",""เลย!S361"")+IMPORTRANGE(""https://docs.google.com/spreadsheets/d/1bRrNKwbHDVktQG10isr5vbWRtt5spIZPpkOSWgbT5ug/edit?usp=sharing"",""ศรีสะเกษ!S361"")+IMPORTRANGE(""https://doc"&amp;"s.google.com/spreadsheets/d/17P34_Ow5kFBfdQD0qspb2UuPX5zpi6WMrQzslghyvrI/edit?usp=sharing"",""สกลนคร!S361"")+IMPORTRANGE(""https://docs.google.com/spreadsheets/d/1yswqbM3-AEpThF3ZSUa1AcmHnmRTF1vlJ1CZGcJ8YuU/edit?usp=sharing"",""สุรินทร์!S361"")+IMPORTRANG"&amp;"E(""https://docs.google.com/spreadsheets/d/13JHU_EFbsQOUQ0JSQ3dWy1VTRosIWcDq6Nc99z2qzdc/edit?usp=sharing"",""หนองคาย!S361"")+IMPORTRANGE(""https://docs.google.com/spreadsheets/d/1Hx73zIEgVdDZZaYSTc46Dqv64atFhpr3GelxLbaIN8A/edit?usp=sharing"",""หนองบัวลำภู"&amp;"!S361"")+IMPORTRANGE(""https://docs.google.com/spreadsheets/d/1lFxr3ctmjFN90yc-xV6jrQ9Ty8BKYVBWnAZ15wcNIJc/edit?usp=sharing"",""อำนาจเจริญ!S361"")+IMPORTRANGE(""https://docs.google.com/spreadsheets/d/1gF7RJpRnL-1oyjyeWxs5SFWEH7y8ahOZsQlyp2A2e-A/edit?usp=s"&amp;"haring"",""อุดรธานี!S361"")+IMPORTRANGE(""https://docs.google.com/spreadsheets/d/1kfLP0j3INXRa8bTDpcEmoWewMBV61jlFlfzczfjWIgc/edit?usp=sharing"",""อุบลราชธานี!S361"")"),0)</f>
        <v>0</v>
      </c>
      <c r="T361" s="56">
        <f t="shared" ca="1" si="270"/>
        <v>0</v>
      </c>
      <c r="U361" s="56">
        <f t="shared" ca="1" si="271"/>
        <v>0</v>
      </c>
    </row>
    <row r="362" spans="1:21" ht="18.75">
      <c r="A362" s="155"/>
      <c r="B362" s="50"/>
      <c r="C362" s="50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56">
        <f t="shared" ref="L362:N362" ca="1" si="278">L363+L364</f>
        <v>0</v>
      </c>
      <c r="M362" s="56">
        <f t="shared" ca="1" si="278"/>
        <v>0</v>
      </c>
      <c r="N362" s="56">
        <f t="shared" ca="1" si="278"/>
        <v>0</v>
      </c>
      <c r="O362" s="56">
        <f t="shared" ca="1" si="267"/>
        <v>0</v>
      </c>
      <c r="P362" s="56">
        <f t="shared" ca="1" si="268"/>
        <v>0</v>
      </c>
      <c r="Q362" s="56">
        <f t="shared" ref="Q362:S362" ca="1" si="279">Q363+Q364</f>
        <v>0</v>
      </c>
      <c r="R362" s="56">
        <f t="shared" ca="1" si="279"/>
        <v>0</v>
      </c>
      <c r="S362" s="57">
        <f t="shared" ca="1" si="279"/>
        <v>0</v>
      </c>
      <c r="T362" s="56">
        <f t="shared" ca="1" si="270"/>
        <v>0</v>
      </c>
      <c r="U362" s="56">
        <f t="shared" ca="1" si="271"/>
        <v>0</v>
      </c>
    </row>
    <row r="363" spans="1:21" ht="18.75">
      <c r="A363" s="155"/>
      <c r="B363" s="50"/>
      <c r="C363" s="50"/>
      <c r="D363" s="50"/>
      <c r="E363" s="58" t="s">
        <v>20</v>
      </c>
      <c r="F363" s="50"/>
      <c r="G363" s="52"/>
      <c r="H363" s="162" t="s">
        <v>14</v>
      </c>
      <c r="I363" s="163"/>
      <c r="J363" s="163"/>
      <c r="K363" s="164"/>
      <c r="L363" s="56">
        <f ca="1">IFERROR(__xludf.DUMMYFUNCTION("IMPORTRANGE(""https://docs.google.com/spreadsheets/d/1yhBcrRPreicbMKl9Bu_Snb2-OcQAF62RKfhTLhJ2eAA/edit?usp=sharing"",""กาฬสินธุ์!L363"")+IMPORTRANGE(""https://docs.google.com/spreadsheets/d/1aHkj4IaQMThhwWwevcOymEh837vdxeC_PycurhTbGFA/edit?usp=sharing"","&amp;"""ขอนแก่น!L363"")+IMPORTRANGE(""https://docs.google.com/spreadsheets/d/1FvTu2DsIWUjP6WCWra38Bkj_oOl_sOMf14r5Fg5srxU/edit?usp=sharing"",""ชัยภูมิ!L363"")+IMPORTRANGE(""https://docs.google.com/spreadsheets/d/1XVB7oCJ3pr-vBUdflwPQ8Z2LlzhnCvZaaYjAfP-647E/edit"&amp;"?usp=sharing"",""นครพนม!L363"")+IMPORTRANGE(""https://docs.google.com/spreadsheets/d/1Mnpb-8PYAgn85W6KOTD40hc_Xc55CaLfHoGAbrZ8tls/edit?usp=sharing"",""นครราชสีมา!L363"")+IMPORTRANGE(""https://docs.google.com/spreadsheets/d/1xoDLGBv9CYbyosIhki0kTq6IpYNj-gp"&amp;"jxfobnaDiut0/edit?usp=sharing"",""บึงกาฬ!L363"")+IMPORTRANGE(""https://docs.google.com/spreadsheets/d/1MMPq-JyI6DSgQETxuSiXkesP-P7JHuemnE6QJIa-Nlw/edit?usp=sharing"",""บุรีรัมย์!L363"")+IMPORTRANGE(""https://docs.google.com/spreadsheets/d/1l6IZ8xUPgMrESzc"&amp;"TYwhA1k_tPjeQjJPTqlm8Gd9eU5g/edit?usp=sharing"",""มหาสารคาม!L363"")+IMPORTRANGE(""https://docs.google.com/spreadsheets/d/1uB74YLqNjWX6FObjekfB2NtSYigTQyR2rq9u4Ub2Sq4/edit?usp=sharing"",""มุกดาหาร!L363"")+IMPORTRANGE(""https://docs.google.com/spreadsheets/"&amp;"d/1NexK3geCPxCTO1fzNF8dPec7yZyUx3OaWkFBC9HsQOo/edit?usp=sharing"",""ยโสธร!L363"")+IMPORTRANGE(""https://docs.google.com/spreadsheets/d/1v_cJrbBlyqmnHPReHk44g9NrMRdENNlSy_E_c5M9fIg/edit?usp=sharing"",""ร้อยเอ็ด!L363"")+IMPORTRANGE(""https://docs.google.com"&amp;"/spreadsheets/d/1Ul4RCpCX66NxYADU1QpwAPjOmBzW64SsT11s1wzXw_c/edit?usp=sharing"",""เลย!L363"")+IMPORTRANGE(""https://docs.google.com/spreadsheets/d/1bRrNKwbHDVktQG10isr5vbWRtt5spIZPpkOSWgbT5ug/edit?usp=sharing"",""ศรีสะเกษ!L363"")+IMPORTRANGE(""https://doc"&amp;"s.google.com/spreadsheets/d/17P34_Ow5kFBfdQD0qspb2UuPX5zpi6WMrQzslghyvrI/edit?usp=sharing"",""สกลนคร!L363"")+IMPORTRANGE(""https://docs.google.com/spreadsheets/d/1yswqbM3-AEpThF3ZSUa1AcmHnmRTF1vlJ1CZGcJ8YuU/edit?usp=sharing"",""สุรินทร์!L363"")+IMPORTRANG"&amp;"E(""https://docs.google.com/spreadsheets/d/13JHU_EFbsQOUQ0JSQ3dWy1VTRosIWcDq6Nc99z2qzdc/edit?usp=sharing"",""หนองคาย!L363"")+IMPORTRANGE(""https://docs.google.com/spreadsheets/d/1Hx73zIEgVdDZZaYSTc46Dqv64atFhpr3GelxLbaIN8A/edit?usp=sharing"",""หนองบัวลำภู"&amp;"!L363"")+IMPORTRANGE(""https://docs.google.com/spreadsheets/d/1lFxr3ctmjFN90yc-xV6jrQ9Ty8BKYVBWnAZ15wcNIJc/edit?usp=sharing"",""อำนาจเจริญ!L363"")+IMPORTRANGE(""https://docs.google.com/spreadsheets/d/1gF7RJpRnL-1oyjyeWxs5SFWEH7y8ahOZsQlyp2A2e-A/edit?usp=s"&amp;"haring"",""อุดรธานี!L363"")+IMPORTRANGE(""https://docs.google.com/spreadsheets/d/1kfLP0j3INXRa8bTDpcEmoWewMBV61jlFlfzczfjWIgc/edit?usp=sharing"",""อุบลราชธานี!L363"")"),0)</f>
        <v>0</v>
      </c>
      <c r="M363" s="56">
        <f ca="1">IFERROR(__xludf.DUMMYFUNCTION("IMPORTRANGE(""https://docs.google.com/spreadsheets/d/1yhBcrRPreicbMKl9Bu_Snb2-OcQAF62RKfhTLhJ2eAA/edit?usp=sharing"",""กาฬสินธุ์!M363"")+IMPORTRANGE(""https://docs.google.com/spreadsheets/d/1aHkj4IaQMThhwWwevcOymEh837vdxeC_PycurhTbGFA/edit?usp=sharing"","&amp;"""ขอนแก่น!M363"")+IMPORTRANGE(""https://docs.google.com/spreadsheets/d/1FvTu2DsIWUjP6WCWra38Bkj_oOl_sOMf14r5Fg5srxU/edit?usp=sharing"",""ชัยภูมิ!M363"")+IMPORTRANGE(""https://docs.google.com/spreadsheets/d/1XVB7oCJ3pr-vBUdflwPQ8Z2LlzhnCvZaaYjAfP-647E/edit"&amp;"?usp=sharing"",""นครพนม!M363"")+IMPORTRANGE(""https://docs.google.com/spreadsheets/d/1Mnpb-8PYAgn85W6KOTD40hc_Xc55CaLfHoGAbrZ8tls/edit?usp=sharing"",""นครราชสีมา!M363"")+IMPORTRANGE(""https://docs.google.com/spreadsheets/d/1xoDLGBv9CYbyosIhki0kTq6IpYNj-gp"&amp;"jxfobnaDiut0/edit?usp=sharing"",""บึงกาฬ!M363"")+IMPORTRANGE(""https://docs.google.com/spreadsheets/d/1MMPq-JyI6DSgQETxuSiXkesP-P7JHuemnE6QJIa-Nlw/edit?usp=sharing"",""บุรีรัมย์!M363"")+IMPORTRANGE(""https://docs.google.com/spreadsheets/d/1l6IZ8xUPgMrESzc"&amp;"TYwhA1k_tPjeQjJPTqlm8Gd9eU5g/edit?usp=sharing"",""มหาสารคาม!M363"")+IMPORTRANGE(""https://docs.google.com/spreadsheets/d/1uB74YLqNjWX6FObjekfB2NtSYigTQyR2rq9u4Ub2Sq4/edit?usp=sharing"",""มุกดาหาร!M363"")+IMPORTRANGE(""https://docs.google.com/spreadsheets/"&amp;"d/1NexK3geCPxCTO1fzNF8dPec7yZyUx3OaWkFBC9HsQOo/edit?usp=sharing"",""ยโสธร!M363"")+IMPORTRANGE(""https://docs.google.com/spreadsheets/d/1v_cJrbBlyqmnHPReHk44g9NrMRdENNlSy_E_c5M9fIg/edit?usp=sharing"",""ร้อยเอ็ด!M363"")+IMPORTRANGE(""https://docs.google.com"&amp;"/spreadsheets/d/1Ul4RCpCX66NxYADU1QpwAPjOmBzW64SsT11s1wzXw_c/edit?usp=sharing"",""เลย!M363"")+IMPORTRANGE(""https://docs.google.com/spreadsheets/d/1bRrNKwbHDVktQG10isr5vbWRtt5spIZPpkOSWgbT5ug/edit?usp=sharing"",""ศรีสะเกษ!M363"")+IMPORTRANGE(""https://doc"&amp;"s.google.com/spreadsheets/d/17P34_Ow5kFBfdQD0qspb2UuPX5zpi6WMrQzslghyvrI/edit?usp=sharing"",""สกลนคร!M363"")+IMPORTRANGE(""https://docs.google.com/spreadsheets/d/1yswqbM3-AEpThF3ZSUa1AcmHnmRTF1vlJ1CZGcJ8YuU/edit?usp=sharing"",""สุรินทร์!M363"")+IMPORTRANG"&amp;"E(""https://docs.google.com/spreadsheets/d/13JHU_EFbsQOUQ0JSQ3dWy1VTRosIWcDq6Nc99z2qzdc/edit?usp=sharing"",""หนองคาย!M363"")+IMPORTRANGE(""https://docs.google.com/spreadsheets/d/1Hx73zIEgVdDZZaYSTc46Dqv64atFhpr3GelxLbaIN8A/edit?usp=sharing"",""หนองบัวลำภู"&amp;"!M363"")+IMPORTRANGE(""https://docs.google.com/spreadsheets/d/1lFxr3ctmjFN90yc-xV6jrQ9Ty8BKYVBWnAZ15wcNIJc/edit?usp=sharing"",""อำนาจเจริญ!M363"")+IMPORTRANGE(""https://docs.google.com/spreadsheets/d/1gF7RJpRnL-1oyjyeWxs5SFWEH7y8ahOZsQlyp2A2e-A/edit?usp=s"&amp;"haring"",""อุดรธานี!M363"")+IMPORTRANGE(""https://docs.google.com/spreadsheets/d/1kfLP0j3INXRa8bTDpcEmoWewMBV61jlFlfzczfjWIgc/edit?usp=sharing"",""อุบลราชธานี!M363"")"),0)</f>
        <v>0</v>
      </c>
      <c r="N363" s="56">
        <f ca="1">IFERROR(__xludf.DUMMYFUNCTION("IMPORTRANGE(""https://docs.google.com/spreadsheets/d/1yhBcrRPreicbMKl9Bu_Snb2-OcQAF62RKfhTLhJ2eAA/edit?usp=sharing"",""กาฬสินธุ์!N363"")+IMPORTRANGE(""https://docs.google.com/spreadsheets/d/1aHkj4IaQMThhwWwevcOymEh837vdxeC_PycurhTbGFA/edit?usp=sharing"","&amp;"""ขอนแก่น!N363"")+IMPORTRANGE(""https://docs.google.com/spreadsheets/d/1FvTu2DsIWUjP6WCWra38Bkj_oOl_sOMf14r5Fg5srxU/edit?usp=sharing"",""ชัยภูมิ!N363"")+IMPORTRANGE(""https://docs.google.com/spreadsheets/d/1XVB7oCJ3pr-vBUdflwPQ8Z2LlzhnCvZaaYjAfP-647E/edit"&amp;"?usp=sharing"",""นครพนม!N363"")+IMPORTRANGE(""https://docs.google.com/spreadsheets/d/1Mnpb-8PYAgn85W6KOTD40hc_Xc55CaLfHoGAbrZ8tls/edit?usp=sharing"",""นครราชสีมา!N363"")+IMPORTRANGE(""https://docs.google.com/spreadsheets/d/1xoDLGBv9CYbyosIhki0kTq6IpYNj-gp"&amp;"jxfobnaDiut0/edit?usp=sharing"",""บึงกาฬ!N363"")+IMPORTRANGE(""https://docs.google.com/spreadsheets/d/1MMPq-JyI6DSgQETxuSiXkesP-P7JHuemnE6QJIa-Nlw/edit?usp=sharing"",""บุรีรัมย์!N363"")+IMPORTRANGE(""https://docs.google.com/spreadsheets/d/1l6IZ8xUPgMrESzc"&amp;"TYwhA1k_tPjeQjJPTqlm8Gd9eU5g/edit?usp=sharing"",""มหาสารคาม!N363"")+IMPORTRANGE(""https://docs.google.com/spreadsheets/d/1uB74YLqNjWX6FObjekfB2NtSYigTQyR2rq9u4Ub2Sq4/edit?usp=sharing"",""มุกดาหาร!N363"")+IMPORTRANGE(""https://docs.google.com/spreadsheets/"&amp;"d/1NexK3geCPxCTO1fzNF8dPec7yZyUx3OaWkFBC9HsQOo/edit?usp=sharing"",""ยโสธร!N363"")+IMPORTRANGE(""https://docs.google.com/spreadsheets/d/1v_cJrbBlyqmnHPReHk44g9NrMRdENNlSy_E_c5M9fIg/edit?usp=sharing"",""ร้อยเอ็ด!N363"")+IMPORTRANGE(""https://docs.google.com"&amp;"/spreadsheets/d/1Ul4RCpCX66NxYADU1QpwAPjOmBzW64SsT11s1wzXw_c/edit?usp=sharing"",""เลย!N363"")+IMPORTRANGE(""https://docs.google.com/spreadsheets/d/1bRrNKwbHDVktQG10isr5vbWRtt5spIZPpkOSWgbT5ug/edit?usp=sharing"",""ศรีสะเกษ!N363"")+IMPORTRANGE(""https://doc"&amp;"s.google.com/spreadsheets/d/17P34_Ow5kFBfdQD0qspb2UuPX5zpi6WMrQzslghyvrI/edit?usp=sharing"",""สกลนคร!N363"")+IMPORTRANGE(""https://docs.google.com/spreadsheets/d/1yswqbM3-AEpThF3ZSUa1AcmHnmRTF1vlJ1CZGcJ8YuU/edit?usp=sharing"",""สุรินทร์!N363"")+IMPORTRANG"&amp;"E(""https://docs.google.com/spreadsheets/d/13JHU_EFbsQOUQ0JSQ3dWy1VTRosIWcDq6Nc99z2qzdc/edit?usp=sharing"",""หนองคาย!N363"")+IMPORTRANGE(""https://docs.google.com/spreadsheets/d/1Hx73zIEgVdDZZaYSTc46Dqv64atFhpr3GelxLbaIN8A/edit?usp=sharing"",""หนองบัวลำภู"&amp;"!N363"")+IMPORTRANGE(""https://docs.google.com/spreadsheets/d/1lFxr3ctmjFN90yc-xV6jrQ9Ty8BKYVBWnAZ15wcNIJc/edit?usp=sharing"",""อำนาจเจริญ!N363"")+IMPORTRANGE(""https://docs.google.com/spreadsheets/d/1gF7RJpRnL-1oyjyeWxs5SFWEH7y8ahOZsQlyp2A2e-A/edit?usp=s"&amp;"haring"",""อุดรธานี!N363"")+IMPORTRANGE(""https://docs.google.com/spreadsheets/d/1kfLP0j3INXRa8bTDpcEmoWewMBV61jlFlfzczfjWIgc/edit?usp=sharing"",""อุบลราชธานี!N363"")"),0)</f>
        <v>0</v>
      </c>
      <c r="O363" s="56">
        <f t="shared" ca="1" si="267"/>
        <v>0</v>
      </c>
      <c r="P363" s="56">
        <f t="shared" ca="1" si="268"/>
        <v>0</v>
      </c>
      <c r="Q363" s="56">
        <f ca="1">IFERROR(__xludf.DUMMYFUNCTION("IMPORTRANGE(""https://docs.google.com/spreadsheets/d/1yhBcrRPreicbMKl9Bu_Snb2-OcQAF62RKfhTLhJ2eAA/edit?usp=sharing"",""กาฬสินธุ์!Q363"")+IMPORTRANGE(""https://docs.google.com/spreadsheets/d/1aHkj4IaQMThhwWwevcOymEh837vdxeC_PycurhTbGFA/edit?usp=sharing"","&amp;"""ขอนแก่น!Q363"")+IMPORTRANGE(""https://docs.google.com/spreadsheets/d/1FvTu2DsIWUjP6WCWra38Bkj_oOl_sOMf14r5Fg5srxU/edit?usp=sharing"",""ชัยภูมิ!Q363"")+IMPORTRANGE(""https://docs.google.com/spreadsheets/d/1XVB7oCJ3pr-vBUdflwPQ8Z2LlzhnCvZaaYjAfP-647E/edit"&amp;"?usp=sharing"",""นครพนม!Q363"")+IMPORTRANGE(""https://docs.google.com/spreadsheets/d/1Mnpb-8PYAgn85W6KOTD40hc_Xc55CaLfHoGAbrZ8tls/edit?usp=sharing"",""นครราชสีมา!Q363"")+IMPORTRANGE(""https://docs.google.com/spreadsheets/d/1xoDLGBv9CYbyosIhki0kTq6IpYNj-gp"&amp;"jxfobnaDiut0/edit?usp=sharing"",""บึงกาฬ!Q363"")+IMPORTRANGE(""https://docs.google.com/spreadsheets/d/1MMPq-JyI6DSgQETxuSiXkesP-P7JHuemnE6QJIa-Nlw/edit?usp=sharing"",""บุรีรัมย์!Q363"")+IMPORTRANGE(""https://docs.google.com/spreadsheets/d/1l6IZ8xUPgMrESzc"&amp;"TYwhA1k_tPjeQjJPTqlm8Gd9eU5g/edit?usp=sharing"",""มหาสารคาม!Q363"")+IMPORTRANGE(""https://docs.google.com/spreadsheets/d/1uB74YLqNjWX6FObjekfB2NtSYigTQyR2rq9u4Ub2Sq4/edit?usp=sharing"",""มุกดาหาร!Q363"")+IMPORTRANGE(""https://docs.google.com/spreadsheets/"&amp;"d/1NexK3geCPxCTO1fzNF8dPec7yZyUx3OaWkFBC9HsQOo/edit?usp=sharing"",""ยโสธร!Q363"")+IMPORTRANGE(""https://docs.google.com/spreadsheets/d/1v_cJrbBlyqmnHPReHk44g9NrMRdENNlSy_E_c5M9fIg/edit?usp=sharing"",""ร้อยเอ็ด!Q363"")+IMPORTRANGE(""https://docs.google.com"&amp;"/spreadsheets/d/1Ul4RCpCX66NxYADU1QpwAPjOmBzW64SsT11s1wzXw_c/edit?usp=sharing"",""เลย!Q363"")+IMPORTRANGE(""https://docs.google.com/spreadsheets/d/1bRrNKwbHDVktQG10isr5vbWRtt5spIZPpkOSWgbT5ug/edit?usp=sharing"",""ศรีสะเกษ!Q363"")+IMPORTRANGE(""https://doc"&amp;"s.google.com/spreadsheets/d/17P34_Ow5kFBfdQD0qspb2UuPX5zpi6WMrQzslghyvrI/edit?usp=sharing"",""สกลนคร!Q363"")+IMPORTRANGE(""https://docs.google.com/spreadsheets/d/1yswqbM3-AEpThF3ZSUa1AcmHnmRTF1vlJ1CZGcJ8YuU/edit?usp=sharing"",""สุรินทร์!Q363"")+IMPORTRANG"&amp;"E(""https://docs.google.com/spreadsheets/d/13JHU_EFbsQOUQ0JSQ3dWy1VTRosIWcDq6Nc99z2qzdc/edit?usp=sharing"",""หนองคาย!Q363"")+IMPORTRANGE(""https://docs.google.com/spreadsheets/d/1Hx73zIEgVdDZZaYSTc46Dqv64atFhpr3GelxLbaIN8A/edit?usp=sharing"",""หนองบัวลำภู"&amp;"!Q363"")+IMPORTRANGE(""https://docs.google.com/spreadsheets/d/1lFxr3ctmjFN90yc-xV6jrQ9Ty8BKYVBWnAZ15wcNIJc/edit?usp=sharing"",""อำนาจเจริญ!Q363"")+IMPORTRANGE(""https://docs.google.com/spreadsheets/d/1gF7RJpRnL-1oyjyeWxs5SFWEH7y8ahOZsQlyp2A2e-A/edit?usp=s"&amp;"haring"",""อุดรธานี!Q363"")+IMPORTRANGE(""https://docs.google.com/spreadsheets/d/1kfLP0j3INXRa8bTDpcEmoWewMBV61jlFlfzczfjWIgc/edit?usp=sharing"",""อุบลราชธานี!Q363"")"),0)</f>
        <v>0</v>
      </c>
      <c r="R363" s="56">
        <f ca="1">IFERROR(__xludf.DUMMYFUNCTION("IMPORTRANGE(""https://docs.google.com/spreadsheets/d/1yhBcrRPreicbMKl9Bu_Snb2-OcQAF62RKfhTLhJ2eAA/edit?usp=sharing"",""กาฬสินธุ์!R363"")+IMPORTRANGE(""https://docs.google.com/spreadsheets/d/1aHkj4IaQMThhwWwevcOymEh837vdxeC_PycurhTbGFA/edit?usp=sharing"","&amp;"""ขอนแก่น!R363"")+IMPORTRANGE(""https://docs.google.com/spreadsheets/d/1FvTu2DsIWUjP6WCWra38Bkj_oOl_sOMf14r5Fg5srxU/edit?usp=sharing"",""ชัยภูมิ!R363"")+IMPORTRANGE(""https://docs.google.com/spreadsheets/d/1XVB7oCJ3pr-vBUdflwPQ8Z2LlzhnCvZaaYjAfP-647E/edit"&amp;"?usp=sharing"",""นครพนม!R363"")+IMPORTRANGE(""https://docs.google.com/spreadsheets/d/1Mnpb-8PYAgn85W6KOTD40hc_Xc55CaLfHoGAbrZ8tls/edit?usp=sharing"",""นครราชสีมา!R363"")+IMPORTRANGE(""https://docs.google.com/spreadsheets/d/1xoDLGBv9CYbyosIhki0kTq6IpYNj-gp"&amp;"jxfobnaDiut0/edit?usp=sharing"",""บึงกาฬ!R363"")+IMPORTRANGE(""https://docs.google.com/spreadsheets/d/1MMPq-JyI6DSgQETxuSiXkesP-P7JHuemnE6QJIa-Nlw/edit?usp=sharing"",""บุรีรัมย์!R363"")+IMPORTRANGE(""https://docs.google.com/spreadsheets/d/1l6IZ8xUPgMrESzc"&amp;"TYwhA1k_tPjeQjJPTqlm8Gd9eU5g/edit?usp=sharing"",""มหาสารคาม!R363"")+IMPORTRANGE(""https://docs.google.com/spreadsheets/d/1uB74YLqNjWX6FObjekfB2NtSYigTQyR2rq9u4Ub2Sq4/edit?usp=sharing"",""มุกดาหาร!R363"")+IMPORTRANGE(""https://docs.google.com/spreadsheets/"&amp;"d/1NexK3geCPxCTO1fzNF8dPec7yZyUx3OaWkFBC9HsQOo/edit?usp=sharing"",""ยโสธร!R363"")+IMPORTRANGE(""https://docs.google.com/spreadsheets/d/1v_cJrbBlyqmnHPReHk44g9NrMRdENNlSy_E_c5M9fIg/edit?usp=sharing"",""ร้อยเอ็ด!R363"")+IMPORTRANGE(""https://docs.google.com"&amp;"/spreadsheets/d/1Ul4RCpCX66NxYADU1QpwAPjOmBzW64SsT11s1wzXw_c/edit?usp=sharing"",""เลย!R363"")+IMPORTRANGE(""https://docs.google.com/spreadsheets/d/1bRrNKwbHDVktQG10isr5vbWRtt5spIZPpkOSWgbT5ug/edit?usp=sharing"",""ศรีสะเกษ!R363"")+IMPORTRANGE(""https://doc"&amp;"s.google.com/spreadsheets/d/17P34_Ow5kFBfdQD0qspb2UuPX5zpi6WMrQzslghyvrI/edit?usp=sharing"",""สกลนคร!R363"")+IMPORTRANGE(""https://docs.google.com/spreadsheets/d/1yswqbM3-AEpThF3ZSUa1AcmHnmRTF1vlJ1CZGcJ8YuU/edit?usp=sharing"",""สุรินทร์!R363"")+IMPORTRANG"&amp;"E(""https://docs.google.com/spreadsheets/d/13JHU_EFbsQOUQ0JSQ3dWy1VTRosIWcDq6Nc99z2qzdc/edit?usp=sharing"",""หนองคาย!R363"")+IMPORTRANGE(""https://docs.google.com/spreadsheets/d/1Hx73zIEgVdDZZaYSTc46Dqv64atFhpr3GelxLbaIN8A/edit?usp=sharing"",""หนองบัวลำภู"&amp;"!R363"")+IMPORTRANGE(""https://docs.google.com/spreadsheets/d/1lFxr3ctmjFN90yc-xV6jrQ9Ty8BKYVBWnAZ15wcNIJc/edit?usp=sharing"",""อำนาจเจริญ!R363"")+IMPORTRANGE(""https://docs.google.com/spreadsheets/d/1gF7RJpRnL-1oyjyeWxs5SFWEH7y8ahOZsQlyp2A2e-A/edit?usp=s"&amp;"haring"",""อุดรธานี!R363"")+IMPORTRANGE(""https://docs.google.com/spreadsheets/d/1kfLP0j3INXRa8bTDpcEmoWewMBV61jlFlfzczfjWIgc/edit?usp=sharing"",""อุบลราชธานี!R363"")"),0)</f>
        <v>0</v>
      </c>
      <c r="S363" s="57">
        <f ca="1">IFERROR(__xludf.DUMMYFUNCTION("IMPORTRANGE(""https://docs.google.com/spreadsheets/d/1yhBcrRPreicbMKl9Bu_Snb2-OcQAF62RKfhTLhJ2eAA/edit?usp=sharing"",""กาฬสินธุ์!S363"")+IMPORTRANGE(""https://docs.google.com/spreadsheets/d/1aHkj4IaQMThhwWwevcOymEh837vdxeC_PycurhTbGFA/edit?usp=sharing"","&amp;"""ขอนแก่น!S363"")+IMPORTRANGE(""https://docs.google.com/spreadsheets/d/1FvTu2DsIWUjP6WCWra38Bkj_oOl_sOMf14r5Fg5srxU/edit?usp=sharing"",""ชัยภูมิ!S363"")+IMPORTRANGE(""https://docs.google.com/spreadsheets/d/1XVB7oCJ3pr-vBUdflwPQ8Z2LlzhnCvZaaYjAfP-647E/edit"&amp;"?usp=sharing"",""นครพนม!S363"")+IMPORTRANGE(""https://docs.google.com/spreadsheets/d/1Mnpb-8PYAgn85W6KOTD40hc_Xc55CaLfHoGAbrZ8tls/edit?usp=sharing"",""นครราชสีมา!S363"")+IMPORTRANGE(""https://docs.google.com/spreadsheets/d/1xoDLGBv9CYbyosIhki0kTq6IpYNj-gp"&amp;"jxfobnaDiut0/edit?usp=sharing"",""บึงกาฬ!S363"")+IMPORTRANGE(""https://docs.google.com/spreadsheets/d/1MMPq-JyI6DSgQETxuSiXkesP-P7JHuemnE6QJIa-Nlw/edit?usp=sharing"",""บุรีรัมย์!S363"")+IMPORTRANGE(""https://docs.google.com/spreadsheets/d/1l6IZ8xUPgMrESzc"&amp;"TYwhA1k_tPjeQjJPTqlm8Gd9eU5g/edit?usp=sharing"",""มหาสารคาม!S363"")+IMPORTRANGE(""https://docs.google.com/spreadsheets/d/1uB74YLqNjWX6FObjekfB2NtSYigTQyR2rq9u4Ub2Sq4/edit?usp=sharing"",""มุกดาหาร!S363"")+IMPORTRANGE(""https://docs.google.com/spreadsheets/"&amp;"d/1NexK3geCPxCTO1fzNF8dPec7yZyUx3OaWkFBC9HsQOo/edit?usp=sharing"",""ยโสธร!S363"")+IMPORTRANGE(""https://docs.google.com/spreadsheets/d/1v_cJrbBlyqmnHPReHk44g9NrMRdENNlSy_E_c5M9fIg/edit?usp=sharing"",""ร้อยเอ็ด!S363"")+IMPORTRANGE(""https://docs.google.com"&amp;"/spreadsheets/d/1Ul4RCpCX66NxYADU1QpwAPjOmBzW64SsT11s1wzXw_c/edit?usp=sharing"",""เลย!S363"")+IMPORTRANGE(""https://docs.google.com/spreadsheets/d/1bRrNKwbHDVktQG10isr5vbWRtt5spIZPpkOSWgbT5ug/edit?usp=sharing"",""ศรีสะเกษ!S363"")+IMPORTRANGE(""https://doc"&amp;"s.google.com/spreadsheets/d/17P34_Ow5kFBfdQD0qspb2UuPX5zpi6WMrQzslghyvrI/edit?usp=sharing"",""สกลนคร!S363"")+IMPORTRANGE(""https://docs.google.com/spreadsheets/d/1yswqbM3-AEpThF3ZSUa1AcmHnmRTF1vlJ1CZGcJ8YuU/edit?usp=sharing"",""สุรินทร์!S363"")+IMPORTRANG"&amp;"E(""https://docs.google.com/spreadsheets/d/13JHU_EFbsQOUQ0JSQ3dWy1VTRosIWcDq6Nc99z2qzdc/edit?usp=sharing"",""หนองคาย!S363"")+IMPORTRANGE(""https://docs.google.com/spreadsheets/d/1Hx73zIEgVdDZZaYSTc46Dqv64atFhpr3GelxLbaIN8A/edit?usp=sharing"",""หนองบัวลำภู"&amp;"!S363"")+IMPORTRANGE(""https://docs.google.com/spreadsheets/d/1lFxr3ctmjFN90yc-xV6jrQ9Ty8BKYVBWnAZ15wcNIJc/edit?usp=sharing"",""อำนาจเจริญ!S363"")+IMPORTRANGE(""https://docs.google.com/spreadsheets/d/1gF7RJpRnL-1oyjyeWxs5SFWEH7y8ahOZsQlyp2A2e-A/edit?usp=s"&amp;"haring"",""อุดรธานี!S363"")+IMPORTRANGE(""https://docs.google.com/spreadsheets/d/1kfLP0j3INXRa8bTDpcEmoWewMBV61jlFlfzczfjWIgc/edit?usp=sharing"",""อุบลราชธานี!S363"")"),0)</f>
        <v>0</v>
      </c>
      <c r="T363" s="59">
        <f t="shared" ca="1" si="270"/>
        <v>0</v>
      </c>
      <c r="U363" s="59">
        <f t="shared" ca="1" si="271"/>
        <v>0</v>
      </c>
    </row>
    <row r="364" spans="1:21" ht="18.75">
      <c r="A364" s="155"/>
      <c r="B364" s="50"/>
      <c r="C364" s="50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56">
        <f ca="1">IFERROR(__xludf.DUMMYFUNCTION("IMPORTRANGE(""https://docs.google.com/spreadsheets/d/1yhBcrRPreicbMKl9Bu_Snb2-OcQAF62RKfhTLhJ2eAA/edit?usp=sharing"",""กาฬสินธุ์!L364"")+IMPORTRANGE(""https://docs.google.com/spreadsheets/d/1aHkj4IaQMThhwWwevcOymEh837vdxeC_PycurhTbGFA/edit?usp=sharing"","&amp;"""ขอนแก่น!L364"")+IMPORTRANGE(""https://docs.google.com/spreadsheets/d/1FvTu2DsIWUjP6WCWra38Bkj_oOl_sOMf14r5Fg5srxU/edit?usp=sharing"",""ชัยภูมิ!L364"")+IMPORTRANGE(""https://docs.google.com/spreadsheets/d/1XVB7oCJ3pr-vBUdflwPQ8Z2LlzhnCvZaaYjAfP-647E/edit"&amp;"?usp=sharing"",""นครพนม!L364"")+IMPORTRANGE(""https://docs.google.com/spreadsheets/d/1Mnpb-8PYAgn85W6KOTD40hc_Xc55CaLfHoGAbrZ8tls/edit?usp=sharing"",""นครราชสีมา!L364"")+IMPORTRANGE(""https://docs.google.com/spreadsheets/d/1xoDLGBv9CYbyosIhki0kTq6IpYNj-gp"&amp;"jxfobnaDiut0/edit?usp=sharing"",""บึงกาฬ!L364"")+IMPORTRANGE(""https://docs.google.com/spreadsheets/d/1MMPq-JyI6DSgQETxuSiXkesP-P7JHuemnE6QJIa-Nlw/edit?usp=sharing"",""บุรีรัมย์!L364"")+IMPORTRANGE(""https://docs.google.com/spreadsheets/d/1l6IZ8xUPgMrESzc"&amp;"TYwhA1k_tPjeQjJPTqlm8Gd9eU5g/edit?usp=sharing"",""มหาสารคาม!L364"")+IMPORTRANGE(""https://docs.google.com/spreadsheets/d/1uB74YLqNjWX6FObjekfB2NtSYigTQyR2rq9u4Ub2Sq4/edit?usp=sharing"",""มุกดาหาร!L364"")+IMPORTRANGE(""https://docs.google.com/spreadsheets/"&amp;"d/1NexK3geCPxCTO1fzNF8dPec7yZyUx3OaWkFBC9HsQOo/edit?usp=sharing"",""ยโสธร!L364"")+IMPORTRANGE(""https://docs.google.com/spreadsheets/d/1v_cJrbBlyqmnHPReHk44g9NrMRdENNlSy_E_c5M9fIg/edit?usp=sharing"",""ร้อยเอ็ด!L364"")+IMPORTRANGE(""https://docs.google.com"&amp;"/spreadsheets/d/1Ul4RCpCX66NxYADU1QpwAPjOmBzW64SsT11s1wzXw_c/edit?usp=sharing"",""เลย!L364"")+IMPORTRANGE(""https://docs.google.com/spreadsheets/d/1bRrNKwbHDVktQG10isr5vbWRtt5spIZPpkOSWgbT5ug/edit?usp=sharing"",""ศรีสะเกษ!L364"")+IMPORTRANGE(""https://doc"&amp;"s.google.com/spreadsheets/d/17P34_Ow5kFBfdQD0qspb2UuPX5zpi6WMrQzslghyvrI/edit?usp=sharing"",""สกลนคร!L364"")+IMPORTRANGE(""https://docs.google.com/spreadsheets/d/1yswqbM3-AEpThF3ZSUa1AcmHnmRTF1vlJ1CZGcJ8YuU/edit?usp=sharing"",""สุรินทร์!L364"")+IMPORTRANG"&amp;"E(""https://docs.google.com/spreadsheets/d/13JHU_EFbsQOUQ0JSQ3dWy1VTRosIWcDq6Nc99z2qzdc/edit?usp=sharing"",""หนองคาย!L364"")+IMPORTRANGE(""https://docs.google.com/spreadsheets/d/1Hx73zIEgVdDZZaYSTc46Dqv64atFhpr3GelxLbaIN8A/edit?usp=sharing"",""หนองบัวลำภู"&amp;"!L364"")+IMPORTRANGE(""https://docs.google.com/spreadsheets/d/1lFxr3ctmjFN90yc-xV6jrQ9Ty8BKYVBWnAZ15wcNIJc/edit?usp=sharing"",""อำนาจเจริญ!L364"")+IMPORTRANGE(""https://docs.google.com/spreadsheets/d/1gF7RJpRnL-1oyjyeWxs5SFWEH7y8ahOZsQlyp2A2e-A/edit?usp=s"&amp;"haring"",""อุดรธานี!L364"")+IMPORTRANGE(""https://docs.google.com/spreadsheets/d/1kfLP0j3INXRa8bTDpcEmoWewMBV61jlFlfzczfjWIgc/edit?usp=sharing"",""อุบลราชธานี!L364"")"),0)</f>
        <v>0</v>
      </c>
      <c r="M364" s="56">
        <f ca="1">IFERROR(__xludf.DUMMYFUNCTION("IMPORTRANGE(""https://docs.google.com/spreadsheets/d/1yhBcrRPreicbMKl9Bu_Snb2-OcQAF62RKfhTLhJ2eAA/edit?usp=sharing"",""กาฬสินธุ์!M364"")+IMPORTRANGE(""https://docs.google.com/spreadsheets/d/1aHkj4IaQMThhwWwevcOymEh837vdxeC_PycurhTbGFA/edit?usp=sharing"","&amp;"""ขอนแก่น!M364"")+IMPORTRANGE(""https://docs.google.com/spreadsheets/d/1FvTu2DsIWUjP6WCWra38Bkj_oOl_sOMf14r5Fg5srxU/edit?usp=sharing"",""ชัยภูมิ!M364"")+IMPORTRANGE(""https://docs.google.com/spreadsheets/d/1XVB7oCJ3pr-vBUdflwPQ8Z2LlzhnCvZaaYjAfP-647E/edit"&amp;"?usp=sharing"",""นครพนม!M364"")+IMPORTRANGE(""https://docs.google.com/spreadsheets/d/1Mnpb-8PYAgn85W6KOTD40hc_Xc55CaLfHoGAbrZ8tls/edit?usp=sharing"",""นครราชสีมา!M364"")+IMPORTRANGE(""https://docs.google.com/spreadsheets/d/1xoDLGBv9CYbyosIhki0kTq6IpYNj-gp"&amp;"jxfobnaDiut0/edit?usp=sharing"",""บึงกาฬ!M364"")+IMPORTRANGE(""https://docs.google.com/spreadsheets/d/1MMPq-JyI6DSgQETxuSiXkesP-P7JHuemnE6QJIa-Nlw/edit?usp=sharing"",""บุรีรัมย์!M364"")+IMPORTRANGE(""https://docs.google.com/spreadsheets/d/1l6IZ8xUPgMrESzc"&amp;"TYwhA1k_tPjeQjJPTqlm8Gd9eU5g/edit?usp=sharing"",""มหาสารคาม!M364"")+IMPORTRANGE(""https://docs.google.com/spreadsheets/d/1uB74YLqNjWX6FObjekfB2NtSYigTQyR2rq9u4Ub2Sq4/edit?usp=sharing"",""มุกดาหาร!M364"")+IMPORTRANGE(""https://docs.google.com/spreadsheets/"&amp;"d/1NexK3geCPxCTO1fzNF8dPec7yZyUx3OaWkFBC9HsQOo/edit?usp=sharing"",""ยโสธร!M364"")+IMPORTRANGE(""https://docs.google.com/spreadsheets/d/1v_cJrbBlyqmnHPReHk44g9NrMRdENNlSy_E_c5M9fIg/edit?usp=sharing"",""ร้อยเอ็ด!M364"")+IMPORTRANGE(""https://docs.google.com"&amp;"/spreadsheets/d/1Ul4RCpCX66NxYADU1QpwAPjOmBzW64SsT11s1wzXw_c/edit?usp=sharing"",""เลย!M364"")+IMPORTRANGE(""https://docs.google.com/spreadsheets/d/1bRrNKwbHDVktQG10isr5vbWRtt5spIZPpkOSWgbT5ug/edit?usp=sharing"",""ศรีสะเกษ!M364"")+IMPORTRANGE(""https://doc"&amp;"s.google.com/spreadsheets/d/17P34_Ow5kFBfdQD0qspb2UuPX5zpi6WMrQzslghyvrI/edit?usp=sharing"",""สกลนคร!M364"")+IMPORTRANGE(""https://docs.google.com/spreadsheets/d/1yswqbM3-AEpThF3ZSUa1AcmHnmRTF1vlJ1CZGcJ8YuU/edit?usp=sharing"",""สุรินทร์!M364"")+IMPORTRANG"&amp;"E(""https://docs.google.com/spreadsheets/d/13JHU_EFbsQOUQ0JSQ3dWy1VTRosIWcDq6Nc99z2qzdc/edit?usp=sharing"",""หนองคาย!M364"")+IMPORTRANGE(""https://docs.google.com/spreadsheets/d/1Hx73zIEgVdDZZaYSTc46Dqv64atFhpr3GelxLbaIN8A/edit?usp=sharing"",""หนองบัวลำภู"&amp;"!M364"")+IMPORTRANGE(""https://docs.google.com/spreadsheets/d/1lFxr3ctmjFN90yc-xV6jrQ9Ty8BKYVBWnAZ15wcNIJc/edit?usp=sharing"",""อำนาจเจริญ!M364"")+IMPORTRANGE(""https://docs.google.com/spreadsheets/d/1gF7RJpRnL-1oyjyeWxs5SFWEH7y8ahOZsQlyp2A2e-A/edit?usp=s"&amp;"haring"",""อุดรธานี!M364"")+IMPORTRANGE(""https://docs.google.com/spreadsheets/d/1kfLP0j3INXRa8bTDpcEmoWewMBV61jlFlfzczfjWIgc/edit?usp=sharing"",""อุบลราชธานี!M364"")"),0)</f>
        <v>0</v>
      </c>
      <c r="N364" s="56">
        <f ca="1">IFERROR(__xludf.DUMMYFUNCTION("IMPORTRANGE(""https://docs.google.com/spreadsheets/d/1yhBcrRPreicbMKl9Bu_Snb2-OcQAF62RKfhTLhJ2eAA/edit?usp=sharing"",""กาฬสินธุ์!N364"")+IMPORTRANGE(""https://docs.google.com/spreadsheets/d/1aHkj4IaQMThhwWwevcOymEh837vdxeC_PycurhTbGFA/edit?usp=sharing"","&amp;"""ขอนแก่น!N364"")+IMPORTRANGE(""https://docs.google.com/spreadsheets/d/1FvTu2DsIWUjP6WCWra38Bkj_oOl_sOMf14r5Fg5srxU/edit?usp=sharing"",""ชัยภูมิ!N364"")+IMPORTRANGE(""https://docs.google.com/spreadsheets/d/1XVB7oCJ3pr-vBUdflwPQ8Z2LlzhnCvZaaYjAfP-647E/edit"&amp;"?usp=sharing"",""นครพนม!N364"")+IMPORTRANGE(""https://docs.google.com/spreadsheets/d/1Mnpb-8PYAgn85W6KOTD40hc_Xc55CaLfHoGAbrZ8tls/edit?usp=sharing"",""นครราชสีมา!N364"")+IMPORTRANGE(""https://docs.google.com/spreadsheets/d/1xoDLGBv9CYbyosIhki0kTq6IpYNj-gp"&amp;"jxfobnaDiut0/edit?usp=sharing"",""บึงกาฬ!N364"")+IMPORTRANGE(""https://docs.google.com/spreadsheets/d/1MMPq-JyI6DSgQETxuSiXkesP-P7JHuemnE6QJIa-Nlw/edit?usp=sharing"",""บุรีรัมย์!N364"")+IMPORTRANGE(""https://docs.google.com/spreadsheets/d/1l6IZ8xUPgMrESzc"&amp;"TYwhA1k_tPjeQjJPTqlm8Gd9eU5g/edit?usp=sharing"",""มหาสารคาม!N364"")+IMPORTRANGE(""https://docs.google.com/spreadsheets/d/1uB74YLqNjWX6FObjekfB2NtSYigTQyR2rq9u4Ub2Sq4/edit?usp=sharing"",""มุกดาหาร!N364"")+IMPORTRANGE(""https://docs.google.com/spreadsheets/"&amp;"d/1NexK3geCPxCTO1fzNF8dPec7yZyUx3OaWkFBC9HsQOo/edit?usp=sharing"",""ยโสธร!N364"")+IMPORTRANGE(""https://docs.google.com/spreadsheets/d/1v_cJrbBlyqmnHPReHk44g9NrMRdENNlSy_E_c5M9fIg/edit?usp=sharing"",""ร้อยเอ็ด!N364"")+IMPORTRANGE(""https://docs.google.com"&amp;"/spreadsheets/d/1Ul4RCpCX66NxYADU1QpwAPjOmBzW64SsT11s1wzXw_c/edit?usp=sharing"",""เลย!N364"")+IMPORTRANGE(""https://docs.google.com/spreadsheets/d/1bRrNKwbHDVktQG10isr5vbWRtt5spIZPpkOSWgbT5ug/edit?usp=sharing"",""ศรีสะเกษ!N364"")+IMPORTRANGE(""https://doc"&amp;"s.google.com/spreadsheets/d/17P34_Ow5kFBfdQD0qspb2UuPX5zpi6WMrQzslghyvrI/edit?usp=sharing"",""สกลนคร!N364"")+IMPORTRANGE(""https://docs.google.com/spreadsheets/d/1yswqbM3-AEpThF3ZSUa1AcmHnmRTF1vlJ1CZGcJ8YuU/edit?usp=sharing"",""สุรินทร์!N364"")+IMPORTRANG"&amp;"E(""https://docs.google.com/spreadsheets/d/13JHU_EFbsQOUQ0JSQ3dWy1VTRosIWcDq6Nc99z2qzdc/edit?usp=sharing"",""หนองคาย!N364"")+IMPORTRANGE(""https://docs.google.com/spreadsheets/d/1Hx73zIEgVdDZZaYSTc46Dqv64atFhpr3GelxLbaIN8A/edit?usp=sharing"",""หนองบัวลำภู"&amp;"!N364"")+IMPORTRANGE(""https://docs.google.com/spreadsheets/d/1lFxr3ctmjFN90yc-xV6jrQ9Ty8BKYVBWnAZ15wcNIJc/edit?usp=sharing"",""อำนาจเจริญ!N364"")+IMPORTRANGE(""https://docs.google.com/spreadsheets/d/1gF7RJpRnL-1oyjyeWxs5SFWEH7y8ahOZsQlyp2A2e-A/edit?usp=s"&amp;"haring"",""อุดรธานี!N364"")+IMPORTRANGE(""https://docs.google.com/spreadsheets/d/1kfLP0j3INXRa8bTDpcEmoWewMBV61jlFlfzczfjWIgc/edit?usp=sharing"",""อุบลราชธานี!N364"")"),0)</f>
        <v>0</v>
      </c>
      <c r="O364" s="56">
        <f t="shared" ca="1" si="267"/>
        <v>0</v>
      </c>
      <c r="P364" s="56">
        <f t="shared" ca="1" si="268"/>
        <v>0</v>
      </c>
      <c r="Q364" s="56">
        <f ca="1">IFERROR(__xludf.DUMMYFUNCTION("IMPORTRANGE(""https://docs.google.com/spreadsheets/d/1yhBcrRPreicbMKl9Bu_Snb2-OcQAF62RKfhTLhJ2eAA/edit?usp=sharing"",""กาฬสินธุ์!Q364"")+IMPORTRANGE(""https://docs.google.com/spreadsheets/d/1aHkj4IaQMThhwWwevcOymEh837vdxeC_PycurhTbGFA/edit?usp=sharing"","&amp;"""ขอนแก่น!Q364"")+IMPORTRANGE(""https://docs.google.com/spreadsheets/d/1FvTu2DsIWUjP6WCWra38Bkj_oOl_sOMf14r5Fg5srxU/edit?usp=sharing"",""ชัยภูมิ!Q364"")+IMPORTRANGE(""https://docs.google.com/spreadsheets/d/1XVB7oCJ3pr-vBUdflwPQ8Z2LlzhnCvZaaYjAfP-647E/edit"&amp;"?usp=sharing"",""นครพนม!Q364"")+IMPORTRANGE(""https://docs.google.com/spreadsheets/d/1Mnpb-8PYAgn85W6KOTD40hc_Xc55CaLfHoGAbrZ8tls/edit?usp=sharing"",""นครราชสีมา!Q364"")+IMPORTRANGE(""https://docs.google.com/spreadsheets/d/1xoDLGBv9CYbyosIhki0kTq6IpYNj-gp"&amp;"jxfobnaDiut0/edit?usp=sharing"",""บึงกาฬ!Q364"")+IMPORTRANGE(""https://docs.google.com/spreadsheets/d/1MMPq-JyI6DSgQETxuSiXkesP-P7JHuemnE6QJIa-Nlw/edit?usp=sharing"",""บุรีรัมย์!Q364"")+IMPORTRANGE(""https://docs.google.com/spreadsheets/d/1l6IZ8xUPgMrESzc"&amp;"TYwhA1k_tPjeQjJPTqlm8Gd9eU5g/edit?usp=sharing"",""มหาสารคาม!Q364"")+IMPORTRANGE(""https://docs.google.com/spreadsheets/d/1uB74YLqNjWX6FObjekfB2NtSYigTQyR2rq9u4Ub2Sq4/edit?usp=sharing"",""มุกดาหาร!Q364"")+IMPORTRANGE(""https://docs.google.com/spreadsheets/"&amp;"d/1NexK3geCPxCTO1fzNF8dPec7yZyUx3OaWkFBC9HsQOo/edit?usp=sharing"",""ยโสธร!Q364"")+IMPORTRANGE(""https://docs.google.com/spreadsheets/d/1v_cJrbBlyqmnHPReHk44g9NrMRdENNlSy_E_c5M9fIg/edit?usp=sharing"",""ร้อยเอ็ด!Q364"")+IMPORTRANGE(""https://docs.google.com"&amp;"/spreadsheets/d/1Ul4RCpCX66NxYADU1QpwAPjOmBzW64SsT11s1wzXw_c/edit?usp=sharing"",""เลย!Q364"")+IMPORTRANGE(""https://docs.google.com/spreadsheets/d/1bRrNKwbHDVktQG10isr5vbWRtt5spIZPpkOSWgbT5ug/edit?usp=sharing"",""ศรีสะเกษ!Q364"")+IMPORTRANGE(""https://doc"&amp;"s.google.com/spreadsheets/d/17P34_Ow5kFBfdQD0qspb2UuPX5zpi6WMrQzslghyvrI/edit?usp=sharing"",""สกลนคร!Q364"")+IMPORTRANGE(""https://docs.google.com/spreadsheets/d/1yswqbM3-AEpThF3ZSUa1AcmHnmRTF1vlJ1CZGcJ8YuU/edit?usp=sharing"",""สุรินทร์!Q364"")+IMPORTRANG"&amp;"E(""https://docs.google.com/spreadsheets/d/13JHU_EFbsQOUQ0JSQ3dWy1VTRosIWcDq6Nc99z2qzdc/edit?usp=sharing"",""หนองคาย!Q364"")+IMPORTRANGE(""https://docs.google.com/spreadsheets/d/1Hx73zIEgVdDZZaYSTc46Dqv64atFhpr3GelxLbaIN8A/edit?usp=sharing"",""หนองบัวลำภู"&amp;"!Q364"")+IMPORTRANGE(""https://docs.google.com/spreadsheets/d/1lFxr3ctmjFN90yc-xV6jrQ9Ty8BKYVBWnAZ15wcNIJc/edit?usp=sharing"",""อำนาจเจริญ!Q364"")+IMPORTRANGE(""https://docs.google.com/spreadsheets/d/1gF7RJpRnL-1oyjyeWxs5SFWEH7y8ahOZsQlyp2A2e-A/edit?usp=s"&amp;"haring"",""อุดรธานี!Q364"")+IMPORTRANGE(""https://docs.google.com/spreadsheets/d/1kfLP0j3INXRa8bTDpcEmoWewMBV61jlFlfzczfjWIgc/edit?usp=sharing"",""อุบลราชธานี!Q364"")"),0)</f>
        <v>0</v>
      </c>
      <c r="R364" s="56">
        <f ca="1">IFERROR(__xludf.DUMMYFUNCTION("IMPORTRANGE(""https://docs.google.com/spreadsheets/d/1yhBcrRPreicbMKl9Bu_Snb2-OcQAF62RKfhTLhJ2eAA/edit?usp=sharing"",""กาฬสินธุ์!R364"")+IMPORTRANGE(""https://docs.google.com/spreadsheets/d/1aHkj4IaQMThhwWwevcOymEh837vdxeC_PycurhTbGFA/edit?usp=sharing"","&amp;"""ขอนแก่น!R364"")+IMPORTRANGE(""https://docs.google.com/spreadsheets/d/1FvTu2DsIWUjP6WCWra38Bkj_oOl_sOMf14r5Fg5srxU/edit?usp=sharing"",""ชัยภูมิ!R364"")+IMPORTRANGE(""https://docs.google.com/spreadsheets/d/1XVB7oCJ3pr-vBUdflwPQ8Z2LlzhnCvZaaYjAfP-647E/edit"&amp;"?usp=sharing"",""นครพนม!R364"")+IMPORTRANGE(""https://docs.google.com/spreadsheets/d/1Mnpb-8PYAgn85W6KOTD40hc_Xc55CaLfHoGAbrZ8tls/edit?usp=sharing"",""นครราชสีมา!R364"")+IMPORTRANGE(""https://docs.google.com/spreadsheets/d/1xoDLGBv9CYbyosIhki0kTq6IpYNj-gp"&amp;"jxfobnaDiut0/edit?usp=sharing"",""บึงกาฬ!R364"")+IMPORTRANGE(""https://docs.google.com/spreadsheets/d/1MMPq-JyI6DSgQETxuSiXkesP-P7JHuemnE6QJIa-Nlw/edit?usp=sharing"",""บุรีรัมย์!R364"")+IMPORTRANGE(""https://docs.google.com/spreadsheets/d/1l6IZ8xUPgMrESzc"&amp;"TYwhA1k_tPjeQjJPTqlm8Gd9eU5g/edit?usp=sharing"",""มหาสารคาม!R364"")+IMPORTRANGE(""https://docs.google.com/spreadsheets/d/1uB74YLqNjWX6FObjekfB2NtSYigTQyR2rq9u4Ub2Sq4/edit?usp=sharing"",""มุกดาหาร!R364"")+IMPORTRANGE(""https://docs.google.com/spreadsheets/"&amp;"d/1NexK3geCPxCTO1fzNF8dPec7yZyUx3OaWkFBC9HsQOo/edit?usp=sharing"",""ยโสธร!R364"")+IMPORTRANGE(""https://docs.google.com/spreadsheets/d/1v_cJrbBlyqmnHPReHk44g9NrMRdENNlSy_E_c5M9fIg/edit?usp=sharing"",""ร้อยเอ็ด!R364"")+IMPORTRANGE(""https://docs.google.com"&amp;"/spreadsheets/d/1Ul4RCpCX66NxYADU1QpwAPjOmBzW64SsT11s1wzXw_c/edit?usp=sharing"",""เลย!R364"")+IMPORTRANGE(""https://docs.google.com/spreadsheets/d/1bRrNKwbHDVktQG10isr5vbWRtt5spIZPpkOSWgbT5ug/edit?usp=sharing"",""ศรีสะเกษ!R364"")+IMPORTRANGE(""https://doc"&amp;"s.google.com/spreadsheets/d/17P34_Ow5kFBfdQD0qspb2UuPX5zpi6WMrQzslghyvrI/edit?usp=sharing"",""สกลนคร!R364"")+IMPORTRANGE(""https://docs.google.com/spreadsheets/d/1yswqbM3-AEpThF3ZSUa1AcmHnmRTF1vlJ1CZGcJ8YuU/edit?usp=sharing"",""สุรินทร์!R364"")+IMPORTRANG"&amp;"E(""https://docs.google.com/spreadsheets/d/13JHU_EFbsQOUQ0JSQ3dWy1VTRosIWcDq6Nc99z2qzdc/edit?usp=sharing"",""หนองคาย!R364"")+IMPORTRANGE(""https://docs.google.com/spreadsheets/d/1Hx73zIEgVdDZZaYSTc46Dqv64atFhpr3GelxLbaIN8A/edit?usp=sharing"",""หนองบัวลำภู"&amp;"!R364"")+IMPORTRANGE(""https://docs.google.com/spreadsheets/d/1lFxr3ctmjFN90yc-xV6jrQ9Ty8BKYVBWnAZ15wcNIJc/edit?usp=sharing"",""อำนาจเจริญ!R364"")+IMPORTRANGE(""https://docs.google.com/spreadsheets/d/1gF7RJpRnL-1oyjyeWxs5SFWEH7y8ahOZsQlyp2A2e-A/edit?usp=s"&amp;"haring"",""อุดรธานี!R364"")+IMPORTRANGE(""https://docs.google.com/spreadsheets/d/1kfLP0j3INXRa8bTDpcEmoWewMBV61jlFlfzczfjWIgc/edit?usp=sharing"",""อุบลราชธานี!R364"")"),0)</f>
        <v>0</v>
      </c>
      <c r="S364" s="57">
        <f ca="1">IFERROR(__xludf.DUMMYFUNCTION("IMPORTRANGE(""https://docs.google.com/spreadsheets/d/1yhBcrRPreicbMKl9Bu_Snb2-OcQAF62RKfhTLhJ2eAA/edit?usp=sharing"",""กาฬสินธุ์!S364"")+IMPORTRANGE(""https://docs.google.com/spreadsheets/d/1aHkj4IaQMThhwWwevcOymEh837vdxeC_PycurhTbGFA/edit?usp=sharing"","&amp;"""ขอนแก่น!S364"")+IMPORTRANGE(""https://docs.google.com/spreadsheets/d/1FvTu2DsIWUjP6WCWra38Bkj_oOl_sOMf14r5Fg5srxU/edit?usp=sharing"",""ชัยภูมิ!S364"")+IMPORTRANGE(""https://docs.google.com/spreadsheets/d/1XVB7oCJ3pr-vBUdflwPQ8Z2LlzhnCvZaaYjAfP-647E/edit"&amp;"?usp=sharing"",""นครพนม!S364"")+IMPORTRANGE(""https://docs.google.com/spreadsheets/d/1Mnpb-8PYAgn85W6KOTD40hc_Xc55CaLfHoGAbrZ8tls/edit?usp=sharing"",""นครราชสีมา!S364"")+IMPORTRANGE(""https://docs.google.com/spreadsheets/d/1xoDLGBv9CYbyosIhki0kTq6IpYNj-gp"&amp;"jxfobnaDiut0/edit?usp=sharing"",""บึงกาฬ!S364"")+IMPORTRANGE(""https://docs.google.com/spreadsheets/d/1MMPq-JyI6DSgQETxuSiXkesP-P7JHuemnE6QJIa-Nlw/edit?usp=sharing"",""บุรีรัมย์!S364"")+IMPORTRANGE(""https://docs.google.com/spreadsheets/d/1l6IZ8xUPgMrESzc"&amp;"TYwhA1k_tPjeQjJPTqlm8Gd9eU5g/edit?usp=sharing"",""มหาสารคาม!S364"")+IMPORTRANGE(""https://docs.google.com/spreadsheets/d/1uB74YLqNjWX6FObjekfB2NtSYigTQyR2rq9u4Ub2Sq4/edit?usp=sharing"",""มุกดาหาร!S364"")+IMPORTRANGE(""https://docs.google.com/spreadsheets/"&amp;"d/1NexK3geCPxCTO1fzNF8dPec7yZyUx3OaWkFBC9HsQOo/edit?usp=sharing"",""ยโสธร!S364"")+IMPORTRANGE(""https://docs.google.com/spreadsheets/d/1v_cJrbBlyqmnHPReHk44g9NrMRdENNlSy_E_c5M9fIg/edit?usp=sharing"",""ร้อยเอ็ด!S364"")+IMPORTRANGE(""https://docs.google.com"&amp;"/spreadsheets/d/1Ul4RCpCX66NxYADU1QpwAPjOmBzW64SsT11s1wzXw_c/edit?usp=sharing"",""เลย!S364"")+IMPORTRANGE(""https://docs.google.com/spreadsheets/d/1bRrNKwbHDVktQG10isr5vbWRtt5spIZPpkOSWgbT5ug/edit?usp=sharing"",""ศรีสะเกษ!S364"")+IMPORTRANGE(""https://doc"&amp;"s.google.com/spreadsheets/d/17P34_Ow5kFBfdQD0qspb2UuPX5zpi6WMrQzslghyvrI/edit?usp=sharing"",""สกลนคร!S364"")+IMPORTRANGE(""https://docs.google.com/spreadsheets/d/1yswqbM3-AEpThF3ZSUa1AcmHnmRTF1vlJ1CZGcJ8YuU/edit?usp=sharing"",""สุรินทร์!S364"")+IMPORTRANG"&amp;"E(""https://docs.google.com/spreadsheets/d/13JHU_EFbsQOUQ0JSQ3dWy1VTRosIWcDq6Nc99z2qzdc/edit?usp=sharing"",""หนองคาย!S364"")+IMPORTRANGE(""https://docs.google.com/spreadsheets/d/1Hx73zIEgVdDZZaYSTc46Dqv64atFhpr3GelxLbaIN8A/edit?usp=sharing"",""หนองบัวลำภู"&amp;"!S364"")+IMPORTRANGE(""https://docs.google.com/spreadsheets/d/1lFxr3ctmjFN90yc-xV6jrQ9Ty8BKYVBWnAZ15wcNIJc/edit?usp=sharing"",""อำนาจเจริญ!S364"")+IMPORTRANGE(""https://docs.google.com/spreadsheets/d/1gF7RJpRnL-1oyjyeWxs5SFWEH7y8ahOZsQlyp2A2e-A/edit?usp=s"&amp;"haring"",""อุดรธานี!S364"")+IMPORTRANGE(""https://docs.google.com/spreadsheets/d/1kfLP0j3INXRa8bTDpcEmoWewMBV61jlFlfzczfjWIgc/edit?usp=sharing"",""อุบลราชธานี!S364"")"),0)</f>
        <v>0</v>
      </c>
      <c r="T364" s="56">
        <f t="shared" ca="1" si="270"/>
        <v>0</v>
      </c>
      <c r="U364" s="56">
        <f t="shared" ca="1" si="271"/>
        <v>0</v>
      </c>
    </row>
    <row r="365" spans="1:21" ht="19.5">
      <c r="A365" s="241"/>
      <c r="B365" s="242"/>
      <c r="C365" s="244"/>
      <c r="D365" s="342" t="s">
        <v>150</v>
      </c>
      <c r="E365" s="244"/>
      <c r="F365" s="244"/>
      <c r="G365" s="245"/>
      <c r="H365" s="254" t="s">
        <v>35</v>
      </c>
      <c r="I365" s="247">
        <f t="shared" ref="I365:J365" ca="1" si="280">I371</f>
        <v>12380</v>
      </c>
      <c r="J365" s="247">
        <f t="shared" ca="1" si="280"/>
        <v>8555</v>
      </c>
      <c r="K365" s="248">
        <f ca="1">IF(I365&gt;0,J365*100/I365,0)</f>
        <v>69.103392568659132</v>
      </c>
      <c r="L365" s="249"/>
      <c r="M365" s="249"/>
      <c r="N365" s="249"/>
      <c r="O365" s="249"/>
      <c r="P365" s="249"/>
      <c r="Q365" s="249"/>
      <c r="R365" s="249"/>
      <c r="S365" s="250"/>
      <c r="T365" s="249"/>
      <c r="U365" s="249"/>
    </row>
    <row r="366" spans="1:21" ht="19.5">
      <c r="A366" s="166"/>
      <c r="B366" s="167"/>
      <c r="C366" s="156" t="s">
        <v>18</v>
      </c>
      <c r="D366" s="168" t="s">
        <v>38</v>
      </c>
      <c r="E366" s="169"/>
      <c r="F366" s="169"/>
      <c r="G366" s="170"/>
      <c r="H366" s="171"/>
      <c r="I366" s="54"/>
      <c r="J366" s="54"/>
      <c r="K366" s="55"/>
      <c r="L366" s="164"/>
      <c r="M366" s="164"/>
      <c r="N366" s="164"/>
      <c r="O366" s="164"/>
      <c r="P366" s="164"/>
      <c r="Q366" s="164"/>
      <c r="R366" s="164"/>
      <c r="S366" s="172"/>
      <c r="T366" s="164"/>
      <c r="U366" s="164"/>
    </row>
    <row r="367" spans="1:21" ht="18.75">
      <c r="A367" s="166"/>
      <c r="B367" s="174"/>
      <c r="C367" s="167"/>
      <c r="D367" s="174"/>
      <c r="E367" s="173" t="s">
        <v>151</v>
      </c>
      <c r="F367" s="174"/>
      <c r="G367" s="171"/>
      <c r="H367" s="183" t="s">
        <v>35</v>
      </c>
      <c r="I367" s="212">
        <v>0</v>
      </c>
      <c r="J367" s="181">
        <f ca="1">IFERROR(__xludf.DUMMYFUNCTION("IMPORTRANGE(""https://docs.google.com/spreadsheets/d/1yhBcrRPreicbMKl9Bu_Snb2-OcQAF62RKfhTLhJ2eAA/edit?usp=sharing"",""กาฬสินธุ์!J367"")+IMPORTRANGE(""https://docs.google.com/spreadsheets/d/1aHkj4IaQMThhwWwevcOymEh837vdxeC_PycurhTbGFA/edit?usp=sharing"","&amp;"""ขอนแก่น!J367"")+IMPORTRANGE(""https://docs.google.com/spreadsheets/d/1FvTu2DsIWUjP6WCWra38Bkj_oOl_sOMf14r5Fg5srxU/edit?usp=sharing"",""ชัยภูมิ!J367"")+IMPORTRANGE(""https://docs.google.com/spreadsheets/d/1XVB7oCJ3pr-vBUdflwPQ8Z2LlzhnCvZaaYjAfP-647E/edit"&amp;"?usp=sharing"",""นครพนม!J367"")+IMPORTRANGE(""https://docs.google.com/spreadsheets/d/1Mnpb-8PYAgn85W6KOTD40hc_Xc55CaLfHoGAbrZ8tls/edit?usp=sharing"",""นครราชสีมา!J367"")+IMPORTRANGE(""https://docs.google.com/spreadsheets/d/1xoDLGBv9CYbyosIhki0kTq6IpYNj-gp"&amp;"jxfobnaDiut0/edit?usp=sharing"",""บึงกาฬ!J367"")+IMPORTRANGE(""https://docs.google.com/spreadsheets/d/1MMPq-JyI6DSgQETxuSiXkesP-P7JHuemnE6QJIa-Nlw/edit?usp=sharing"",""บุรีรัมย์!J367"")+IMPORTRANGE(""https://docs.google.com/spreadsheets/d/1l6IZ8xUPgMrESzc"&amp;"TYwhA1k_tPjeQjJPTqlm8Gd9eU5g/edit?usp=sharing"",""มหาสารคาม!J367"")+IMPORTRANGE(""https://docs.google.com/spreadsheets/d/1uB74YLqNjWX6FObjekfB2NtSYigTQyR2rq9u4Ub2Sq4/edit?usp=sharing"",""มุกดาหาร!J367"")+IMPORTRANGE(""https://docs.google.com/spreadsheets/"&amp;"d/1NexK3geCPxCTO1fzNF8dPec7yZyUx3OaWkFBC9HsQOo/edit?usp=sharing"",""ยโสธร!J367"")+IMPORTRANGE(""https://docs.google.com/spreadsheets/d/1v_cJrbBlyqmnHPReHk44g9NrMRdENNlSy_E_c5M9fIg/edit?usp=sharing"",""ร้อยเอ็ด!J367"")+IMPORTRANGE(""https://docs.google.com"&amp;"/spreadsheets/d/1Ul4RCpCX66NxYADU1QpwAPjOmBzW64SsT11s1wzXw_c/edit?usp=sharing"",""เลย!J367"")+IMPORTRANGE(""https://docs.google.com/spreadsheets/d/1bRrNKwbHDVktQG10isr5vbWRtt5spIZPpkOSWgbT5ug/edit?usp=sharing"",""ศรีสะเกษ!J367"")+IMPORTRANGE(""https://doc"&amp;"s.google.com/spreadsheets/d/17P34_Ow5kFBfdQD0qspb2UuPX5zpi6WMrQzslghyvrI/edit?usp=sharing"",""สกลนคร!J367"")+IMPORTRANGE(""https://docs.google.com/spreadsheets/d/1yswqbM3-AEpThF3ZSUa1AcmHnmRTF1vlJ1CZGcJ8YuU/edit?usp=sharing"",""สุรินทร์!J367"")+IMPORTRANG"&amp;"E(""https://docs.google.com/spreadsheets/d/13JHU_EFbsQOUQ0JSQ3dWy1VTRosIWcDq6Nc99z2qzdc/edit?usp=sharing"",""หนองคาย!J367"")+IMPORTRANGE(""https://docs.google.com/spreadsheets/d/1Hx73zIEgVdDZZaYSTc46Dqv64atFhpr3GelxLbaIN8A/edit?usp=sharing"",""หนองบัวลำภู"&amp;"!J367"")+IMPORTRANGE(""https://docs.google.com/spreadsheets/d/1lFxr3ctmjFN90yc-xV6jrQ9Ty8BKYVBWnAZ15wcNIJc/edit?usp=sharing"",""อำนาจเจริญ!J367"")+IMPORTRANGE(""https://docs.google.com/spreadsheets/d/1gF7RJpRnL-1oyjyeWxs5SFWEH7y8ahOZsQlyp2A2e-A/edit?usp=s"&amp;"haring"",""อุดรธานี!J367"")+IMPORTRANGE(""https://docs.google.com/spreadsheets/d/1kfLP0j3INXRa8bTDpcEmoWewMBV61jlFlfzczfjWIgc/edit?usp=sharing"",""อุบลราชธานี!J367"")"),6093)</f>
        <v>6093</v>
      </c>
      <c r="K367" s="56">
        <f t="shared" ref="K367:K372" si="281">IF(I367&gt;0,J367*100/I367,0)</f>
        <v>0</v>
      </c>
      <c r="L367" s="164"/>
      <c r="M367" s="164"/>
      <c r="N367" s="164"/>
      <c r="O367" s="164"/>
      <c r="P367" s="164"/>
      <c r="Q367" s="164"/>
      <c r="R367" s="164"/>
      <c r="S367" s="172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181">
        <f ca="1">IFERROR(__xludf.DUMMYFUNCTION("IMPORTRANGE(""https://docs.google.com/spreadsheets/d/1yhBcrRPreicbMKl9Bu_Snb2-OcQAF62RKfhTLhJ2eAA/edit?usp=sharing"",""กาฬสินธุ์!I368"")+IMPORTRANGE(""https://docs.google.com/spreadsheets/d/1aHkj4IaQMThhwWwevcOymEh837vdxeC_PycurhTbGFA/edit?usp=sharing"","&amp;"""ขอนแก่น!I368"")+IMPORTRANGE(""https://docs.google.com/spreadsheets/d/1FvTu2DsIWUjP6WCWra38Bkj_oOl_sOMf14r5Fg5srxU/edit?usp=sharing"",""ชัยภูมิ!I368"")+IMPORTRANGE(""https://docs.google.com/spreadsheets/d/1XVB7oCJ3pr-vBUdflwPQ8Z2LlzhnCvZaaYjAfP-647E/edit"&amp;"?usp=sharing"",""นครพนม!I368"")+IMPORTRANGE(""https://docs.google.com/spreadsheets/d/1Mnpb-8PYAgn85W6KOTD40hc_Xc55CaLfHoGAbrZ8tls/edit?usp=sharing"",""นครราชสีมา!I368"")+IMPORTRANGE(""https://docs.google.com/spreadsheets/d/1xoDLGBv9CYbyosIhki0kTq6IpYNj-gp"&amp;"jxfobnaDiut0/edit?usp=sharing"",""บึงกาฬ!I368"")+IMPORTRANGE(""https://docs.google.com/spreadsheets/d/1MMPq-JyI6DSgQETxuSiXkesP-P7JHuemnE6QJIa-Nlw/edit?usp=sharing"",""บุรีรัมย์!I368"")+IMPORTRANGE(""https://docs.google.com/spreadsheets/d/1l6IZ8xUPgMrESzc"&amp;"TYwhA1k_tPjeQjJPTqlm8Gd9eU5g/edit?usp=sharing"",""มหาสารคาม!I368"")+IMPORTRANGE(""https://docs.google.com/spreadsheets/d/1uB74YLqNjWX6FObjekfB2NtSYigTQyR2rq9u4Ub2Sq4/edit?usp=sharing"",""มุกดาหาร!I368"")+IMPORTRANGE(""https://docs.google.com/spreadsheets/"&amp;"d/1NexK3geCPxCTO1fzNF8dPec7yZyUx3OaWkFBC9HsQOo/edit?usp=sharing"",""ยโสธร!I368"")+IMPORTRANGE(""https://docs.google.com/spreadsheets/d/1v_cJrbBlyqmnHPReHk44g9NrMRdENNlSy_E_c5M9fIg/edit?usp=sharing"",""ร้อยเอ็ด!I368"")+IMPORTRANGE(""https://docs.google.com"&amp;"/spreadsheets/d/1Ul4RCpCX66NxYADU1QpwAPjOmBzW64SsT11s1wzXw_c/edit?usp=sharing"",""เลย!I368"")+IMPORTRANGE(""https://docs.google.com/spreadsheets/d/1bRrNKwbHDVktQG10isr5vbWRtt5spIZPpkOSWgbT5ug/edit?usp=sharing"",""ศรีสะเกษ!I368"")+IMPORTRANGE(""https://doc"&amp;"s.google.com/spreadsheets/d/17P34_Ow5kFBfdQD0qspb2UuPX5zpi6WMrQzslghyvrI/edit?usp=sharing"",""สกลนคร!I368"")+IMPORTRANGE(""https://docs.google.com/spreadsheets/d/1yswqbM3-AEpThF3ZSUa1AcmHnmRTF1vlJ1CZGcJ8YuU/edit?usp=sharing"",""สุรินทร์!I368"")+IMPORTRANG"&amp;"E(""https://docs.google.com/spreadsheets/d/13JHU_EFbsQOUQ0JSQ3dWy1VTRosIWcDq6Nc99z2qzdc/edit?usp=sharing"",""หนองคาย!I368"")+IMPORTRANGE(""https://docs.google.com/spreadsheets/d/1Hx73zIEgVdDZZaYSTc46Dqv64atFhpr3GelxLbaIN8A/edit?usp=sharing"",""หนองบัวลำภู"&amp;"!I368"")+IMPORTRANGE(""https://docs.google.com/spreadsheets/d/1lFxr3ctmjFN90yc-xV6jrQ9Ty8BKYVBWnAZ15wcNIJc/edit?usp=sharing"",""อำนาจเจริญ!I368"")+IMPORTRANGE(""https://docs.google.com/spreadsheets/d/1gF7RJpRnL-1oyjyeWxs5SFWEH7y8ahOZsQlyp2A2e-A/edit?usp=s"&amp;"haring"",""อุดรธานี!I368"")+IMPORTRANGE(""https://docs.google.com/spreadsheets/d/1kfLP0j3INXRa8bTDpcEmoWewMBV61jlFlfzczfjWIgc/edit?usp=sharing"",""อุบลราชธานี!I368"")"),40200)</f>
        <v>40200</v>
      </c>
      <c r="J368" s="181">
        <f ca="1">IFERROR(__xludf.DUMMYFUNCTION("IMPORTRANGE(""https://docs.google.com/spreadsheets/d/1yhBcrRPreicbMKl9Bu_Snb2-OcQAF62RKfhTLhJ2eAA/edit?usp=sharing"",""กาฬสินธุ์!J368"")+IMPORTRANGE(""https://docs.google.com/spreadsheets/d/1aHkj4IaQMThhwWwevcOymEh837vdxeC_PycurhTbGFA/edit?usp=sharing"","&amp;"""ขอนแก่น!J368"")+IMPORTRANGE(""https://docs.google.com/spreadsheets/d/1FvTu2DsIWUjP6WCWra38Bkj_oOl_sOMf14r5Fg5srxU/edit?usp=sharing"",""ชัยภูมิ!J368"")+IMPORTRANGE(""https://docs.google.com/spreadsheets/d/1XVB7oCJ3pr-vBUdflwPQ8Z2LlzhnCvZaaYjAfP-647E/edit"&amp;"?usp=sharing"",""นครพนม!J368"")+IMPORTRANGE(""https://docs.google.com/spreadsheets/d/1Mnpb-8PYAgn85W6KOTD40hc_Xc55CaLfHoGAbrZ8tls/edit?usp=sharing"",""นครราชสีมา!J368"")+IMPORTRANGE(""https://docs.google.com/spreadsheets/d/1xoDLGBv9CYbyosIhki0kTq6IpYNj-gp"&amp;"jxfobnaDiut0/edit?usp=sharing"",""บึงกาฬ!J368"")+IMPORTRANGE(""https://docs.google.com/spreadsheets/d/1MMPq-JyI6DSgQETxuSiXkesP-P7JHuemnE6QJIa-Nlw/edit?usp=sharing"",""บุรีรัมย์!J368"")+IMPORTRANGE(""https://docs.google.com/spreadsheets/d/1l6IZ8xUPgMrESzc"&amp;"TYwhA1k_tPjeQjJPTqlm8Gd9eU5g/edit?usp=sharing"",""มหาสารคาม!J368"")+IMPORTRANGE(""https://docs.google.com/spreadsheets/d/1uB74YLqNjWX6FObjekfB2NtSYigTQyR2rq9u4Ub2Sq4/edit?usp=sharing"",""มุกดาหาร!J368"")+IMPORTRANGE(""https://docs.google.com/spreadsheets/"&amp;"d/1NexK3geCPxCTO1fzNF8dPec7yZyUx3OaWkFBC9HsQOo/edit?usp=sharing"",""ยโสธร!J368"")+IMPORTRANGE(""https://docs.google.com/spreadsheets/d/1v_cJrbBlyqmnHPReHk44g9NrMRdENNlSy_E_c5M9fIg/edit?usp=sharing"",""ร้อยเอ็ด!J368"")+IMPORTRANGE(""https://docs.google.com"&amp;"/spreadsheets/d/1Ul4RCpCX66NxYADU1QpwAPjOmBzW64SsT11s1wzXw_c/edit?usp=sharing"",""เลย!J368"")+IMPORTRANGE(""https://docs.google.com/spreadsheets/d/1bRrNKwbHDVktQG10isr5vbWRtt5spIZPpkOSWgbT5ug/edit?usp=sharing"",""ศรีสะเกษ!J368"")+IMPORTRANGE(""https://doc"&amp;"s.google.com/spreadsheets/d/17P34_Ow5kFBfdQD0qspb2UuPX5zpi6WMrQzslghyvrI/edit?usp=sharing"",""สกลนคร!J368"")+IMPORTRANGE(""https://docs.google.com/spreadsheets/d/1yswqbM3-AEpThF3ZSUa1AcmHnmRTF1vlJ1CZGcJ8YuU/edit?usp=sharing"",""สุรินทร์!J368"")+IMPORTRANG"&amp;"E(""https://docs.google.com/spreadsheets/d/13JHU_EFbsQOUQ0JSQ3dWy1VTRosIWcDq6Nc99z2qzdc/edit?usp=sharing"",""หนองคาย!J368"")+IMPORTRANGE(""https://docs.google.com/spreadsheets/d/1Hx73zIEgVdDZZaYSTc46Dqv64atFhpr3GelxLbaIN8A/edit?usp=sharing"",""หนองบัวลำภู"&amp;"!J368"")+IMPORTRANGE(""https://docs.google.com/spreadsheets/d/1lFxr3ctmjFN90yc-xV6jrQ9Ty8BKYVBWnAZ15wcNIJc/edit?usp=sharing"",""อำนาจเจริญ!J368"")+IMPORTRANGE(""https://docs.google.com/spreadsheets/d/1gF7RJpRnL-1oyjyeWxs5SFWEH7y8ahOZsQlyp2A2e-A/edit?usp=s"&amp;"haring"",""อุดรธานี!J368"")+IMPORTRANGE(""https://docs.google.com/spreadsheets/d/1kfLP0j3INXRa8bTDpcEmoWewMBV61jlFlfzczfjWIgc/edit?usp=sharing"",""อุบลราชธานี!J368"")"),54022.62)</f>
        <v>54022.62</v>
      </c>
      <c r="K368" s="56">
        <f t="shared" ca="1" si="281"/>
        <v>134.38462686567163</v>
      </c>
      <c r="L368" s="164"/>
      <c r="M368" s="164"/>
      <c r="N368" s="164"/>
      <c r="O368" s="164"/>
      <c r="P368" s="164"/>
      <c r="Q368" s="164"/>
      <c r="R368" s="164"/>
      <c r="S368" s="172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79" t="s">
        <v>35</v>
      </c>
      <c r="I369" s="181">
        <f ca="1">IFERROR(__xludf.DUMMYFUNCTION("IMPORTRANGE(""https://docs.google.com/spreadsheets/d/1yhBcrRPreicbMKl9Bu_Snb2-OcQAF62RKfhTLhJ2eAA/edit?usp=sharing"",""กาฬสินธุ์!I369"")+IMPORTRANGE(""https://docs.google.com/spreadsheets/d/1aHkj4IaQMThhwWwevcOymEh837vdxeC_PycurhTbGFA/edit?usp=sharing"","&amp;"""ขอนแก่น!I369"")+IMPORTRANGE(""https://docs.google.com/spreadsheets/d/1FvTu2DsIWUjP6WCWra38Bkj_oOl_sOMf14r5Fg5srxU/edit?usp=sharing"",""ชัยภูมิ!I369"")+IMPORTRANGE(""https://docs.google.com/spreadsheets/d/1XVB7oCJ3pr-vBUdflwPQ8Z2LlzhnCvZaaYjAfP-647E/edit"&amp;"?usp=sharing"",""นครพนม!I369"")+IMPORTRANGE(""https://docs.google.com/spreadsheets/d/1Mnpb-8PYAgn85W6KOTD40hc_Xc55CaLfHoGAbrZ8tls/edit?usp=sharing"",""นครราชสีมา!I369"")+IMPORTRANGE(""https://docs.google.com/spreadsheets/d/1xoDLGBv9CYbyosIhki0kTq6IpYNj-gp"&amp;"jxfobnaDiut0/edit?usp=sharing"",""บึงกาฬ!I369"")+IMPORTRANGE(""https://docs.google.com/spreadsheets/d/1MMPq-JyI6DSgQETxuSiXkesP-P7JHuemnE6QJIa-Nlw/edit?usp=sharing"",""บุรีรัมย์!I369"")+IMPORTRANGE(""https://docs.google.com/spreadsheets/d/1l6IZ8xUPgMrESzc"&amp;"TYwhA1k_tPjeQjJPTqlm8Gd9eU5g/edit?usp=sharing"",""มหาสารคาม!I369"")+IMPORTRANGE(""https://docs.google.com/spreadsheets/d/1uB74YLqNjWX6FObjekfB2NtSYigTQyR2rq9u4Ub2Sq4/edit?usp=sharing"",""มุกดาหาร!I369"")+IMPORTRANGE(""https://docs.google.com/spreadsheets/"&amp;"d/1NexK3geCPxCTO1fzNF8dPec7yZyUx3OaWkFBC9HsQOo/edit?usp=sharing"",""ยโสธร!I369"")+IMPORTRANGE(""https://docs.google.com/spreadsheets/d/1v_cJrbBlyqmnHPReHk44g9NrMRdENNlSy_E_c5M9fIg/edit?usp=sharing"",""ร้อยเอ็ด!I369"")+IMPORTRANGE(""https://docs.google.com"&amp;"/spreadsheets/d/1Ul4RCpCX66NxYADU1QpwAPjOmBzW64SsT11s1wzXw_c/edit?usp=sharing"",""เลย!I369"")+IMPORTRANGE(""https://docs.google.com/spreadsheets/d/1bRrNKwbHDVktQG10isr5vbWRtt5spIZPpkOSWgbT5ug/edit?usp=sharing"",""ศรีสะเกษ!I369"")+IMPORTRANGE(""https://doc"&amp;"s.google.com/spreadsheets/d/17P34_Ow5kFBfdQD0qspb2UuPX5zpi6WMrQzslghyvrI/edit?usp=sharing"",""สกลนคร!I369"")+IMPORTRANGE(""https://docs.google.com/spreadsheets/d/1yswqbM3-AEpThF3ZSUa1AcmHnmRTF1vlJ1CZGcJ8YuU/edit?usp=sharing"",""สุรินทร์!I369"")+IMPORTRANG"&amp;"E(""https://docs.google.com/spreadsheets/d/13JHU_EFbsQOUQ0JSQ3dWy1VTRosIWcDq6Nc99z2qzdc/edit?usp=sharing"",""หนองคาย!I369"")+IMPORTRANGE(""https://docs.google.com/spreadsheets/d/1Hx73zIEgVdDZZaYSTc46Dqv64atFhpr3GelxLbaIN8A/edit?usp=sharing"",""หนองบัวลำภู"&amp;"!I369"")+IMPORTRANGE(""https://docs.google.com/spreadsheets/d/1lFxr3ctmjFN90yc-xV6jrQ9Ty8BKYVBWnAZ15wcNIJc/edit?usp=sharing"",""อำนาจเจริญ!I369"")+IMPORTRANGE(""https://docs.google.com/spreadsheets/d/1gF7RJpRnL-1oyjyeWxs5SFWEH7y8ahOZsQlyp2A2e-A/edit?usp=s"&amp;"haring"",""อุดรธานี!I369"")+IMPORTRANGE(""https://docs.google.com/spreadsheets/d/1kfLP0j3INXRa8bTDpcEmoWewMBV61jlFlfzczfjWIgc/edit?usp=sharing"",""อุบลราชธานี!I369"")"),12380)</f>
        <v>12380</v>
      </c>
      <c r="J369" s="181">
        <f ca="1">IFERROR(__xludf.DUMMYFUNCTION("IMPORTRANGE(""https://docs.google.com/spreadsheets/d/1yhBcrRPreicbMKl9Bu_Snb2-OcQAF62RKfhTLhJ2eAA/edit?usp=sharing"",""กาฬสินธุ์!J369"")+IMPORTRANGE(""https://docs.google.com/spreadsheets/d/1aHkj4IaQMThhwWwevcOymEh837vdxeC_PycurhTbGFA/edit?usp=sharing"","&amp;"""ขอนแก่น!J369"")+IMPORTRANGE(""https://docs.google.com/spreadsheets/d/1FvTu2DsIWUjP6WCWra38Bkj_oOl_sOMf14r5Fg5srxU/edit?usp=sharing"",""ชัยภูมิ!J369"")+IMPORTRANGE(""https://docs.google.com/spreadsheets/d/1XVB7oCJ3pr-vBUdflwPQ8Z2LlzhnCvZaaYjAfP-647E/edit"&amp;"?usp=sharing"",""นครพนม!J369"")+IMPORTRANGE(""https://docs.google.com/spreadsheets/d/1Mnpb-8PYAgn85W6KOTD40hc_Xc55CaLfHoGAbrZ8tls/edit?usp=sharing"",""นครราชสีมา!J369"")+IMPORTRANGE(""https://docs.google.com/spreadsheets/d/1xoDLGBv9CYbyosIhki0kTq6IpYNj-gp"&amp;"jxfobnaDiut0/edit?usp=sharing"",""บึงกาฬ!J369"")+IMPORTRANGE(""https://docs.google.com/spreadsheets/d/1MMPq-JyI6DSgQETxuSiXkesP-P7JHuemnE6QJIa-Nlw/edit?usp=sharing"",""บุรีรัมย์!J369"")+IMPORTRANGE(""https://docs.google.com/spreadsheets/d/1l6IZ8xUPgMrESzc"&amp;"TYwhA1k_tPjeQjJPTqlm8Gd9eU5g/edit?usp=sharing"",""มหาสารคาม!J369"")+IMPORTRANGE(""https://docs.google.com/spreadsheets/d/1uB74YLqNjWX6FObjekfB2NtSYigTQyR2rq9u4Ub2Sq4/edit?usp=sharing"",""มุกดาหาร!J369"")+IMPORTRANGE(""https://docs.google.com/spreadsheets/"&amp;"d/1NexK3geCPxCTO1fzNF8dPec7yZyUx3OaWkFBC9HsQOo/edit?usp=sharing"",""ยโสธร!J369"")+IMPORTRANGE(""https://docs.google.com/spreadsheets/d/1v_cJrbBlyqmnHPReHk44g9NrMRdENNlSy_E_c5M9fIg/edit?usp=sharing"",""ร้อยเอ็ด!J369"")+IMPORTRANGE(""https://docs.google.com"&amp;"/spreadsheets/d/1Ul4RCpCX66NxYADU1QpwAPjOmBzW64SsT11s1wzXw_c/edit?usp=sharing"",""เลย!J369"")+IMPORTRANGE(""https://docs.google.com/spreadsheets/d/1bRrNKwbHDVktQG10isr5vbWRtt5spIZPpkOSWgbT5ug/edit?usp=sharing"",""ศรีสะเกษ!J369"")+IMPORTRANGE(""https://doc"&amp;"s.google.com/spreadsheets/d/17P34_Ow5kFBfdQD0qspb2UuPX5zpi6WMrQzslghyvrI/edit?usp=sharing"",""สกลนคร!J369"")+IMPORTRANGE(""https://docs.google.com/spreadsheets/d/1yswqbM3-AEpThF3ZSUa1AcmHnmRTF1vlJ1CZGcJ8YuU/edit?usp=sharing"",""สุรินทร์!J369"")+IMPORTRANG"&amp;"E(""https://docs.google.com/spreadsheets/d/13JHU_EFbsQOUQ0JSQ3dWy1VTRosIWcDq6Nc99z2qzdc/edit?usp=sharing"",""หนองคาย!J369"")+IMPORTRANGE(""https://docs.google.com/spreadsheets/d/1Hx73zIEgVdDZZaYSTc46Dqv64atFhpr3GelxLbaIN8A/edit?usp=sharing"",""หนองบัวลำภู"&amp;"!J369"")+IMPORTRANGE(""https://docs.google.com/spreadsheets/d/1lFxr3ctmjFN90yc-xV6jrQ9Ty8BKYVBWnAZ15wcNIJc/edit?usp=sharing"",""อำนาจเจริญ!J369"")+IMPORTRANGE(""https://docs.google.com/spreadsheets/d/1gF7RJpRnL-1oyjyeWxs5SFWEH7y8ahOZsQlyp2A2e-A/edit?usp=s"&amp;"haring"",""อุดรธานี!J369"")+IMPORTRANGE(""https://docs.google.com/spreadsheets/d/1kfLP0j3INXRa8bTDpcEmoWewMBV61jlFlfzczfjWIgc/edit?usp=sharing"",""อุบลราชธานี!J369"")"),11734)</f>
        <v>11734</v>
      </c>
      <c r="K369" s="56">
        <f t="shared" ca="1" si="281"/>
        <v>94.78190630048465</v>
      </c>
      <c r="L369" s="164"/>
      <c r="M369" s="164"/>
      <c r="N369" s="164"/>
      <c r="O369" s="164"/>
      <c r="P369" s="164"/>
      <c r="Q369" s="164"/>
      <c r="R369" s="164"/>
      <c r="S369" s="172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79" t="s">
        <v>46</v>
      </c>
      <c r="I370" s="212">
        <v>0</v>
      </c>
      <c r="J370" s="181">
        <f ca="1">IFERROR(__xludf.DUMMYFUNCTION("IMPORTRANGE(""https://docs.google.com/spreadsheets/d/1yhBcrRPreicbMKl9Bu_Snb2-OcQAF62RKfhTLhJ2eAA/edit?usp=sharing"",""กาฬสินธุ์!J370"")+IMPORTRANGE(""https://docs.google.com/spreadsheets/d/1aHkj4IaQMThhwWwevcOymEh837vdxeC_PycurhTbGFA/edit?usp=sharing"","&amp;"""ขอนแก่น!J370"")+IMPORTRANGE(""https://docs.google.com/spreadsheets/d/1FvTu2DsIWUjP6WCWra38Bkj_oOl_sOMf14r5Fg5srxU/edit?usp=sharing"",""ชัยภูมิ!J370"")+IMPORTRANGE(""https://docs.google.com/spreadsheets/d/1XVB7oCJ3pr-vBUdflwPQ8Z2LlzhnCvZaaYjAfP-647E/edit"&amp;"?usp=sharing"",""นครพนม!J370"")+IMPORTRANGE(""https://docs.google.com/spreadsheets/d/1Mnpb-8PYAgn85W6KOTD40hc_Xc55CaLfHoGAbrZ8tls/edit?usp=sharing"",""นครราชสีมา!J370"")+IMPORTRANGE(""https://docs.google.com/spreadsheets/d/1xoDLGBv9CYbyosIhki0kTq6IpYNj-gp"&amp;"jxfobnaDiut0/edit?usp=sharing"",""บึงกาฬ!J370"")+IMPORTRANGE(""https://docs.google.com/spreadsheets/d/1MMPq-JyI6DSgQETxuSiXkesP-P7JHuemnE6QJIa-Nlw/edit?usp=sharing"",""บุรีรัมย์!J370"")+IMPORTRANGE(""https://docs.google.com/spreadsheets/d/1l6IZ8xUPgMrESzc"&amp;"TYwhA1k_tPjeQjJPTqlm8Gd9eU5g/edit?usp=sharing"",""มหาสารคาม!J370"")+IMPORTRANGE(""https://docs.google.com/spreadsheets/d/1uB74YLqNjWX6FObjekfB2NtSYigTQyR2rq9u4Ub2Sq4/edit?usp=sharing"",""มุกดาหาร!J370"")+IMPORTRANGE(""https://docs.google.com/spreadsheets/"&amp;"d/1NexK3geCPxCTO1fzNF8dPec7yZyUx3OaWkFBC9HsQOo/edit?usp=sharing"",""ยโสธร!J370"")+IMPORTRANGE(""https://docs.google.com/spreadsheets/d/1v_cJrbBlyqmnHPReHk44g9NrMRdENNlSy_E_c5M9fIg/edit?usp=sharing"",""ร้อยเอ็ด!J370"")+IMPORTRANGE(""https://docs.google.com"&amp;"/spreadsheets/d/1Ul4RCpCX66NxYADU1QpwAPjOmBzW64SsT11s1wzXw_c/edit?usp=sharing"",""เลย!J370"")+IMPORTRANGE(""https://docs.google.com/spreadsheets/d/1bRrNKwbHDVktQG10isr5vbWRtt5spIZPpkOSWgbT5ug/edit?usp=sharing"",""ศรีสะเกษ!J370"")+IMPORTRANGE(""https://doc"&amp;"s.google.com/spreadsheets/d/17P34_Ow5kFBfdQD0qspb2UuPX5zpi6WMrQzslghyvrI/edit?usp=sharing"",""สกลนคร!J370"")+IMPORTRANGE(""https://docs.google.com/spreadsheets/d/1yswqbM3-AEpThF3ZSUa1AcmHnmRTF1vlJ1CZGcJ8YuU/edit?usp=sharing"",""สุรินทร์!J370"")+IMPORTRANG"&amp;"E(""https://docs.google.com/spreadsheets/d/13JHU_EFbsQOUQ0JSQ3dWy1VTRosIWcDq6Nc99z2qzdc/edit?usp=sharing"",""หนองคาย!J370"")+IMPORTRANGE(""https://docs.google.com/spreadsheets/d/1Hx73zIEgVdDZZaYSTc46Dqv64atFhpr3GelxLbaIN8A/edit?usp=sharing"",""หนองบัวลำภู"&amp;"!J370"")+IMPORTRANGE(""https://docs.google.com/spreadsheets/d/1lFxr3ctmjFN90yc-xV6jrQ9Ty8BKYVBWnAZ15wcNIJc/edit?usp=sharing"",""อำนาจเจริญ!J370"")+IMPORTRANGE(""https://docs.google.com/spreadsheets/d/1gF7RJpRnL-1oyjyeWxs5SFWEH7y8ahOZsQlyp2A2e-A/edit?usp=s"&amp;"haring"",""อุดรธานี!J370"")+IMPORTRANGE(""https://docs.google.com/spreadsheets/d/1kfLP0j3INXRa8bTDpcEmoWewMBV61jlFlfzczfjWIgc/edit?usp=sharing"",""อุบลราชธานี!J370"")"),131690.93)</f>
        <v>131690.93</v>
      </c>
      <c r="K370" s="56">
        <f t="shared" si="281"/>
        <v>0</v>
      </c>
      <c r="L370" s="164"/>
      <c r="M370" s="164"/>
      <c r="N370" s="164"/>
      <c r="O370" s="164"/>
      <c r="P370" s="164"/>
      <c r="Q370" s="164"/>
      <c r="R370" s="164"/>
      <c r="S370" s="172"/>
      <c r="T370" s="164"/>
      <c r="U370" s="164"/>
    </row>
    <row r="371" spans="1:21" ht="18.75">
      <c r="A371" s="166"/>
      <c r="B371" s="174"/>
      <c r="C371" s="167"/>
      <c r="D371" s="174"/>
      <c r="E371" s="352" t="s">
        <v>153</v>
      </c>
      <c r="F371" s="174"/>
      <c r="G371" s="171"/>
      <c r="H371" s="179" t="s">
        <v>35</v>
      </c>
      <c r="I371" s="181">
        <f ca="1">IFERROR(__xludf.DUMMYFUNCTION("IMPORTRANGE(""https://docs.google.com/spreadsheets/d/1yhBcrRPreicbMKl9Bu_Snb2-OcQAF62RKfhTLhJ2eAA/edit?usp=sharing"",""กาฬสินธุ์!I371"")+IMPORTRANGE(""https://docs.google.com/spreadsheets/d/1aHkj4IaQMThhwWwevcOymEh837vdxeC_PycurhTbGFA/edit?usp=sharing"","&amp;"""ขอนแก่น!I371"")+IMPORTRANGE(""https://docs.google.com/spreadsheets/d/1FvTu2DsIWUjP6WCWra38Bkj_oOl_sOMf14r5Fg5srxU/edit?usp=sharing"",""ชัยภูมิ!I371"")+IMPORTRANGE(""https://docs.google.com/spreadsheets/d/1XVB7oCJ3pr-vBUdflwPQ8Z2LlzhnCvZaaYjAfP-647E/edit"&amp;"?usp=sharing"",""นครพนม!I371"")+IMPORTRANGE(""https://docs.google.com/spreadsheets/d/1Mnpb-8PYAgn85W6KOTD40hc_Xc55CaLfHoGAbrZ8tls/edit?usp=sharing"",""นครราชสีมา!I371"")+IMPORTRANGE(""https://docs.google.com/spreadsheets/d/1xoDLGBv9CYbyosIhki0kTq6IpYNj-gp"&amp;"jxfobnaDiut0/edit?usp=sharing"",""บึงกาฬ!I371"")+IMPORTRANGE(""https://docs.google.com/spreadsheets/d/1MMPq-JyI6DSgQETxuSiXkesP-P7JHuemnE6QJIa-Nlw/edit?usp=sharing"",""บุรีรัมย์!I371"")+IMPORTRANGE(""https://docs.google.com/spreadsheets/d/1l6IZ8xUPgMrESzc"&amp;"TYwhA1k_tPjeQjJPTqlm8Gd9eU5g/edit?usp=sharing"",""มหาสารคาม!I371"")+IMPORTRANGE(""https://docs.google.com/spreadsheets/d/1uB74YLqNjWX6FObjekfB2NtSYigTQyR2rq9u4Ub2Sq4/edit?usp=sharing"",""มุกดาหาร!I371"")+IMPORTRANGE(""https://docs.google.com/spreadsheets/"&amp;"d/1NexK3geCPxCTO1fzNF8dPec7yZyUx3OaWkFBC9HsQOo/edit?usp=sharing"",""ยโสธร!I371"")+IMPORTRANGE(""https://docs.google.com/spreadsheets/d/1v_cJrbBlyqmnHPReHk44g9NrMRdENNlSy_E_c5M9fIg/edit?usp=sharing"",""ร้อยเอ็ด!I371"")+IMPORTRANGE(""https://docs.google.com"&amp;"/spreadsheets/d/1Ul4RCpCX66NxYADU1QpwAPjOmBzW64SsT11s1wzXw_c/edit?usp=sharing"",""เลย!I371"")+IMPORTRANGE(""https://docs.google.com/spreadsheets/d/1bRrNKwbHDVktQG10isr5vbWRtt5spIZPpkOSWgbT5ug/edit?usp=sharing"",""ศรีสะเกษ!I371"")+IMPORTRANGE(""https://doc"&amp;"s.google.com/spreadsheets/d/17P34_Ow5kFBfdQD0qspb2UuPX5zpi6WMrQzslghyvrI/edit?usp=sharing"",""สกลนคร!I371"")+IMPORTRANGE(""https://docs.google.com/spreadsheets/d/1yswqbM3-AEpThF3ZSUa1AcmHnmRTF1vlJ1CZGcJ8YuU/edit?usp=sharing"",""สุรินทร์!I371"")+IMPORTRANG"&amp;"E(""https://docs.google.com/spreadsheets/d/13JHU_EFbsQOUQ0JSQ3dWy1VTRosIWcDq6Nc99z2qzdc/edit?usp=sharing"",""หนองคาย!I371"")+IMPORTRANGE(""https://docs.google.com/spreadsheets/d/1Hx73zIEgVdDZZaYSTc46Dqv64atFhpr3GelxLbaIN8A/edit?usp=sharing"",""หนองบัวลำภู"&amp;"!I371"")+IMPORTRANGE(""https://docs.google.com/spreadsheets/d/1lFxr3ctmjFN90yc-xV6jrQ9Ty8BKYVBWnAZ15wcNIJc/edit?usp=sharing"",""อำนาจเจริญ!I371"")+IMPORTRANGE(""https://docs.google.com/spreadsheets/d/1gF7RJpRnL-1oyjyeWxs5SFWEH7y8ahOZsQlyp2A2e-A/edit?usp=s"&amp;"haring"",""อุดรธานี!I371"")+IMPORTRANGE(""https://docs.google.com/spreadsheets/d/1kfLP0j3INXRa8bTDpcEmoWewMBV61jlFlfzczfjWIgc/edit?usp=sharing"",""อุบลราชธานี!I371"")"),12380)</f>
        <v>12380</v>
      </c>
      <c r="J371" s="181">
        <f ca="1">IFERROR(__xludf.DUMMYFUNCTION("IMPORTRANGE(""https://docs.google.com/spreadsheets/d/1yhBcrRPreicbMKl9Bu_Snb2-OcQAF62RKfhTLhJ2eAA/edit?usp=sharing"",""กาฬสินธุ์!J371"")+IMPORTRANGE(""https://docs.google.com/spreadsheets/d/1aHkj4IaQMThhwWwevcOymEh837vdxeC_PycurhTbGFA/edit?usp=sharing"","&amp;"""ขอนแก่น!J371"")+IMPORTRANGE(""https://docs.google.com/spreadsheets/d/1FvTu2DsIWUjP6WCWra38Bkj_oOl_sOMf14r5Fg5srxU/edit?usp=sharing"",""ชัยภูมิ!J371"")+IMPORTRANGE(""https://docs.google.com/spreadsheets/d/1XVB7oCJ3pr-vBUdflwPQ8Z2LlzhnCvZaaYjAfP-647E/edit"&amp;"?usp=sharing"",""นครพนม!J371"")+IMPORTRANGE(""https://docs.google.com/spreadsheets/d/1Mnpb-8PYAgn85W6KOTD40hc_Xc55CaLfHoGAbrZ8tls/edit?usp=sharing"",""นครราชสีมา!J371"")+IMPORTRANGE(""https://docs.google.com/spreadsheets/d/1xoDLGBv9CYbyosIhki0kTq6IpYNj-gp"&amp;"jxfobnaDiut0/edit?usp=sharing"",""บึงกาฬ!J371"")+IMPORTRANGE(""https://docs.google.com/spreadsheets/d/1MMPq-JyI6DSgQETxuSiXkesP-P7JHuemnE6QJIa-Nlw/edit?usp=sharing"",""บุรีรัมย์!J371"")+IMPORTRANGE(""https://docs.google.com/spreadsheets/d/1l6IZ8xUPgMrESzc"&amp;"TYwhA1k_tPjeQjJPTqlm8Gd9eU5g/edit?usp=sharing"",""มหาสารคาม!J371"")+IMPORTRANGE(""https://docs.google.com/spreadsheets/d/1uB74YLqNjWX6FObjekfB2NtSYigTQyR2rq9u4Ub2Sq4/edit?usp=sharing"",""มุกดาหาร!J371"")+IMPORTRANGE(""https://docs.google.com/spreadsheets/"&amp;"d/1NexK3geCPxCTO1fzNF8dPec7yZyUx3OaWkFBC9HsQOo/edit?usp=sharing"",""ยโสธร!J371"")+IMPORTRANGE(""https://docs.google.com/spreadsheets/d/1v_cJrbBlyqmnHPReHk44g9NrMRdENNlSy_E_c5M9fIg/edit?usp=sharing"",""ร้อยเอ็ด!J371"")+IMPORTRANGE(""https://docs.google.com"&amp;"/spreadsheets/d/1Ul4RCpCX66NxYADU1QpwAPjOmBzW64SsT11s1wzXw_c/edit?usp=sharing"",""เลย!J371"")+IMPORTRANGE(""https://docs.google.com/spreadsheets/d/1bRrNKwbHDVktQG10isr5vbWRtt5spIZPpkOSWgbT5ug/edit?usp=sharing"",""ศรีสะเกษ!J371"")+IMPORTRANGE(""https://doc"&amp;"s.google.com/spreadsheets/d/17P34_Ow5kFBfdQD0qspb2UuPX5zpi6WMrQzslghyvrI/edit?usp=sharing"",""สกลนคร!J371"")+IMPORTRANGE(""https://docs.google.com/spreadsheets/d/1yswqbM3-AEpThF3ZSUa1AcmHnmRTF1vlJ1CZGcJ8YuU/edit?usp=sharing"",""สุรินทร์!J371"")+IMPORTRANG"&amp;"E(""https://docs.google.com/spreadsheets/d/13JHU_EFbsQOUQ0JSQ3dWy1VTRosIWcDq6Nc99z2qzdc/edit?usp=sharing"",""หนองคาย!J371"")+IMPORTRANGE(""https://docs.google.com/spreadsheets/d/1Hx73zIEgVdDZZaYSTc46Dqv64atFhpr3GelxLbaIN8A/edit?usp=sharing"",""หนองบัวลำภู"&amp;"!J371"")+IMPORTRANGE(""https://docs.google.com/spreadsheets/d/1lFxr3ctmjFN90yc-xV6jrQ9Ty8BKYVBWnAZ15wcNIJc/edit?usp=sharing"",""อำนาจเจริญ!J371"")+IMPORTRANGE(""https://docs.google.com/spreadsheets/d/1gF7RJpRnL-1oyjyeWxs5SFWEH7y8ahOZsQlyp2A2e-A/edit?usp=s"&amp;"haring"",""อุดรธานี!J371"")+IMPORTRANGE(""https://docs.google.com/spreadsheets/d/1kfLP0j3INXRa8bTDpcEmoWewMBV61jlFlfzczfjWIgc/edit?usp=sharing"",""อุบลราชธานี!J371"")"),8555)</f>
        <v>8555</v>
      </c>
      <c r="K371" s="56">
        <f t="shared" ca="1" si="281"/>
        <v>69.103392568659132</v>
      </c>
      <c r="L371" s="164"/>
      <c r="M371" s="164"/>
      <c r="N371" s="164"/>
      <c r="O371" s="164"/>
      <c r="P371" s="164"/>
      <c r="Q371" s="164"/>
      <c r="R371" s="164"/>
      <c r="S371" s="172"/>
      <c r="T371" s="164"/>
      <c r="U371" s="164"/>
    </row>
    <row r="372" spans="1:21" ht="18.75">
      <c r="A372" s="166"/>
      <c r="B372" s="174"/>
      <c r="C372" s="167"/>
      <c r="D372" s="174"/>
      <c r="E372" s="174"/>
      <c r="F372" s="174"/>
      <c r="G372" s="171"/>
      <c r="H372" s="179" t="s">
        <v>46</v>
      </c>
      <c r="I372" s="212">
        <v>0</v>
      </c>
      <c r="J372" s="181">
        <f ca="1">IFERROR(__xludf.DUMMYFUNCTION("IMPORTRANGE(""https://docs.google.com/spreadsheets/d/1yhBcrRPreicbMKl9Bu_Snb2-OcQAF62RKfhTLhJ2eAA/edit?usp=sharing"",""กาฬสินธุ์!J372"")+IMPORTRANGE(""https://docs.google.com/spreadsheets/d/1aHkj4IaQMThhwWwevcOymEh837vdxeC_PycurhTbGFA/edit?usp=sharing"","&amp;"""ขอนแก่น!J372"")+IMPORTRANGE(""https://docs.google.com/spreadsheets/d/1FvTu2DsIWUjP6WCWra38Bkj_oOl_sOMf14r5Fg5srxU/edit?usp=sharing"",""ชัยภูมิ!J372"")+IMPORTRANGE(""https://docs.google.com/spreadsheets/d/1XVB7oCJ3pr-vBUdflwPQ8Z2LlzhnCvZaaYjAfP-647E/edit"&amp;"?usp=sharing"",""นครพนม!J372"")+IMPORTRANGE(""https://docs.google.com/spreadsheets/d/1Mnpb-8PYAgn85W6KOTD40hc_Xc55CaLfHoGAbrZ8tls/edit?usp=sharing"",""นครราชสีมา!J372"")+IMPORTRANGE(""https://docs.google.com/spreadsheets/d/1xoDLGBv9CYbyosIhki0kTq6IpYNj-gp"&amp;"jxfobnaDiut0/edit?usp=sharing"",""บึงกาฬ!J372"")+IMPORTRANGE(""https://docs.google.com/spreadsheets/d/1MMPq-JyI6DSgQETxuSiXkesP-P7JHuemnE6QJIa-Nlw/edit?usp=sharing"",""บุรีรัมย์!J372"")+IMPORTRANGE(""https://docs.google.com/spreadsheets/d/1l6IZ8xUPgMrESzc"&amp;"TYwhA1k_tPjeQjJPTqlm8Gd9eU5g/edit?usp=sharing"",""มหาสารคาม!J372"")+IMPORTRANGE(""https://docs.google.com/spreadsheets/d/1uB74YLqNjWX6FObjekfB2NtSYigTQyR2rq9u4Ub2Sq4/edit?usp=sharing"",""มุกดาหาร!J372"")+IMPORTRANGE(""https://docs.google.com/spreadsheets/"&amp;"d/1NexK3geCPxCTO1fzNF8dPec7yZyUx3OaWkFBC9HsQOo/edit?usp=sharing"",""ยโสธร!J372"")+IMPORTRANGE(""https://docs.google.com/spreadsheets/d/1v_cJrbBlyqmnHPReHk44g9NrMRdENNlSy_E_c5M9fIg/edit?usp=sharing"",""ร้อยเอ็ด!J372"")+IMPORTRANGE(""https://docs.google.com"&amp;"/spreadsheets/d/1Ul4RCpCX66NxYADU1QpwAPjOmBzW64SsT11s1wzXw_c/edit?usp=sharing"",""เลย!J372"")+IMPORTRANGE(""https://docs.google.com/spreadsheets/d/1bRrNKwbHDVktQG10isr5vbWRtt5spIZPpkOSWgbT5ug/edit?usp=sharing"",""ศรีสะเกษ!J372"")+IMPORTRANGE(""https://doc"&amp;"s.google.com/spreadsheets/d/17P34_Ow5kFBfdQD0qspb2UuPX5zpi6WMrQzslghyvrI/edit?usp=sharing"",""สกลนคร!J372"")+IMPORTRANGE(""https://docs.google.com/spreadsheets/d/1yswqbM3-AEpThF3ZSUa1AcmHnmRTF1vlJ1CZGcJ8YuU/edit?usp=sharing"",""สุรินทร์!J372"")+IMPORTRANG"&amp;"E(""https://docs.google.com/spreadsheets/d/13JHU_EFbsQOUQ0JSQ3dWy1VTRosIWcDq6Nc99z2qzdc/edit?usp=sharing"",""หนองคาย!J372"")+IMPORTRANGE(""https://docs.google.com/spreadsheets/d/1Hx73zIEgVdDZZaYSTc46Dqv64atFhpr3GelxLbaIN8A/edit?usp=sharing"",""หนองบัวลำภู"&amp;"!J372"")+IMPORTRANGE(""https://docs.google.com/spreadsheets/d/1lFxr3ctmjFN90yc-xV6jrQ9Ty8BKYVBWnAZ15wcNIJc/edit?usp=sharing"",""อำนาจเจริญ!J372"")+IMPORTRANGE(""https://docs.google.com/spreadsheets/d/1gF7RJpRnL-1oyjyeWxs5SFWEH7y8ahOZsQlyp2A2e-A/edit?usp=s"&amp;"haring"",""อุดรธานี!J372"")+IMPORTRANGE(""https://docs.google.com/spreadsheets/d/1kfLP0j3INXRa8bTDpcEmoWewMBV61jlFlfzczfjWIgc/edit?usp=sharing"",""อุบลราชธานี!J372"")"),99634.76)</f>
        <v>99634.76</v>
      </c>
      <c r="K372" s="56">
        <f t="shared" si="281"/>
        <v>0</v>
      </c>
      <c r="L372" s="164"/>
      <c r="M372" s="164"/>
      <c r="N372" s="164"/>
      <c r="O372" s="164"/>
      <c r="P372" s="164"/>
      <c r="Q372" s="164"/>
      <c r="R372" s="164"/>
      <c r="S372" s="172"/>
      <c r="T372" s="164"/>
      <c r="U372" s="164"/>
    </row>
    <row r="373" spans="1:21" ht="16.5">
      <c r="A373" s="5"/>
      <c r="B373" s="4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พ.ค. 67 เวลา 07.29 น.]")</f>
        <v xml:space="preserve"> [ข้อมูลจาก ระบบ ALRO Land Online ข้อมูล ณ 1 พ.ค. 67 เวลา 07.29 น.]</v>
      </c>
      <c r="E373" s="4"/>
      <c r="F373" s="4"/>
      <c r="G373" s="65"/>
      <c r="H373" s="65"/>
      <c r="I373" s="67"/>
      <c r="J373" s="67"/>
      <c r="K373" s="6"/>
      <c r="L373" s="6"/>
      <c r="M373" s="6"/>
      <c r="N373" s="6"/>
      <c r="O373" s="6"/>
      <c r="P373" s="6"/>
      <c r="Q373" s="6"/>
      <c r="R373" s="6"/>
      <c r="S373" s="68"/>
      <c r="T373" s="6"/>
      <c r="U373" s="6"/>
    </row>
    <row r="374" spans="1:21" ht="19.5">
      <c r="A374" s="335"/>
      <c r="B374" s="354" t="s">
        <v>154</v>
      </c>
      <c r="C374" s="336"/>
      <c r="D374" s="337"/>
      <c r="E374" s="328"/>
      <c r="F374" s="328"/>
      <c r="G374" s="329"/>
      <c r="H374" s="355" t="s">
        <v>46</v>
      </c>
      <c r="I374" s="331">
        <f ca="1">I385</f>
        <v>2000</v>
      </c>
      <c r="J374" s="331">
        <f ca="1">J386+J388</f>
        <v>27989</v>
      </c>
      <c r="K374" s="332">
        <f ca="1">IF(I374&gt;0,J374*100/I374,0)</f>
        <v>1399.45</v>
      </c>
      <c r="L374" s="333"/>
      <c r="M374" s="333"/>
      <c r="N374" s="333"/>
      <c r="O374" s="333"/>
      <c r="P374" s="333"/>
      <c r="Q374" s="333"/>
      <c r="R374" s="333"/>
      <c r="S374" s="334"/>
      <c r="T374" s="333"/>
      <c r="U374" s="333"/>
    </row>
    <row r="375" spans="1:21" ht="19.5">
      <c r="A375" s="155"/>
      <c r="B375" s="188"/>
      <c r="C375" s="191" t="s">
        <v>18</v>
      </c>
      <c r="D375" s="356" t="s">
        <v>19</v>
      </c>
      <c r="E375" s="188"/>
      <c r="F375" s="188"/>
      <c r="G375" s="208"/>
      <c r="H375" s="158" t="s">
        <v>14</v>
      </c>
      <c r="I375" s="54"/>
      <c r="J375" s="54"/>
      <c r="K375" s="55"/>
      <c r="L375" s="159">
        <f t="shared" ref="L375:N375" ca="1" si="282">L376+L377</f>
        <v>0</v>
      </c>
      <c r="M375" s="159">
        <f t="shared" ca="1" si="282"/>
        <v>0</v>
      </c>
      <c r="N375" s="159">
        <f t="shared" ca="1" si="282"/>
        <v>0</v>
      </c>
      <c r="O375" s="159">
        <f t="shared" ref="O375:O383" ca="1" si="283">IF(L375&gt;0,N375*100/L375,0)</f>
        <v>0</v>
      </c>
      <c r="P375" s="159">
        <f t="shared" ref="P375:P383" ca="1" si="284">IF(M375&gt;0,N375*100/M375,0)</f>
        <v>0</v>
      </c>
      <c r="Q375" s="159">
        <f t="shared" ref="Q375:S375" ca="1" si="285">Q376+Q377</f>
        <v>4456250</v>
      </c>
      <c r="R375" s="159">
        <f t="shared" ca="1" si="285"/>
        <v>2768750</v>
      </c>
      <c r="S375" s="160">
        <f t="shared" ca="1" si="285"/>
        <v>0</v>
      </c>
      <c r="T375" s="159">
        <f t="shared" ref="T375:T383" ca="1" si="286">IF(Q375&gt;0,S375*100/Q375,0)</f>
        <v>0</v>
      </c>
      <c r="U375" s="159">
        <f t="shared" ref="U375:U383" ca="1" si="287">IF(R375&gt;0,S375*100/R375,0)</f>
        <v>0</v>
      </c>
    </row>
    <row r="376" spans="1:21" ht="18.75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59">
        <f t="shared" ref="L376:N376" ca="1" si="288">L379+L382</f>
        <v>0</v>
      </c>
      <c r="M376" s="59">
        <f t="shared" ca="1" si="288"/>
        <v>0</v>
      </c>
      <c r="N376" s="59">
        <f t="shared" ca="1" si="288"/>
        <v>0</v>
      </c>
      <c r="O376" s="59">
        <f t="shared" ca="1" si="283"/>
        <v>0</v>
      </c>
      <c r="P376" s="59">
        <f t="shared" ca="1" si="284"/>
        <v>0</v>
      </c>
      <c r="Q376" s="59">
        <f t="shared" ref="Q376:S376" ca="1" si="289">Q379+Q382</f>
        <v>0</v>
      </c>
      <c r="R376" s="59">
        <f t="shared" ca="1" si="289"/>
        <v>0</v>
      </c>
      <c r="S376" s="60">
        <f t="shared" ca="1" si="289"/>
        <v>0</v>
      </c>
      <c r="T376" s="59">
        <f t="shared" ca="1" si="286"/>
        <v>0</v>
      </c>
      <c r="U376" s="59">
        <f t="shared" ca="1" si="287"/>
        <v>0</v>
      </c>
    </row>
    <row r="377" spans="1:21" ht="18.75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56">
        <f t="shared" ref="L377:N377" ca="1" si="290">L380+L383</f>
        <v>0</v>
      </c>
      <c r="M377" s="56">
        <f t="shared" ca="1" si="290"/>
        <v>0</v>
      </c>
      <c r="N377" s="56">
        <f t="shared" ca="1" si="290"/>
        <v>0</v>
      </c>
      <c r="O377" s="56">
        <f t="shared" ca="1" si="283"/>
        <v>0</v>
      </c>
      <c r="P377" s="56">
        <f t="shared" ca="1" si="284"/>
        <v>0</v>
      </c>
      <c r="Q377" s="56">
        <f t="shared" ref="Q377:S377" ca="1" si="291">Q380+Q383</f>
        <v>4456250</v>
      </c>
      <c r="R377" s="56">
        <f t="shared" ca="1" si="291"/>
        <v>2768750</v>
      </c>
      <c r="S377" s="57">
        <f t="shared" ca="1" si="291"/>
        <v>0</v>
      </c>
      <c r="T377" s="56">
        <f t="shared" ca="1" si="286"/>
        <v>0</v>
      </c>
      <c r="U377" s="56">
        <f t="shared" ca="1" si="287"/>
        <v>0</v>
      </c>
    </row>
    <row r="378" spans="1:21" ht="18.75">
      <c r="A378" s="155"/>
      <c r="B378" s="188"/>
      <c r="C378" s="188"/>
      <c r="D378" s="190" t="s">
        <v>22</v>
      </c>
      <c r="E378" s="50"/>
      <c r="F378" s="50"/>
      <c r="G378" s="52"/>
      <c r="H378" s="162" t="s">
        <v>14</v>
      </c>
      <c r="I378" s="163"/>
      <c r="J378" s="163"/>
      <c r="K378" s="164"/>
      <c r="L378" s="56">
        <f t="shared" ref="L378:N378" ca="1" si="292">L379+L380</f>
        <v>0</v>
      </c>
      <c r="M378" s="56">
        <f t="shared" ca="1" si="292"/>
        <v>0</v>
      </c>
      <c r="N378" s="56">
        <f t="shared" ca="1" si="292"/>
        <v>0</v>
      </c>
      <c r="O378" s="56">
        <f t="shared" ca="1" si="283"/>
        <v>0</v>
      </c>
      <c r="P378" s="56">
        <f t="shared" ca="1" si="284"/>
        <v>0</v>
      </c>
      <c r="Q378" s="56">
        <f t="shared" ref="Q378:S378" ca="1" si="293">Q379+Q380</f>
        <v>4456250</v>
      </c>
      <c r="R378" s="56">
        <f t="shared" ca="1" si="293"/>
        <v>2768750</v>
      </c>
      <c r="S378" s="57">
        <f t="shared" ca="1" si="293"/>
        <v>0</v>
      </c>
      <c r="T378" s="56">
        <f t="shared" ca="1" si="286"/>
        <v>0</v>
      </c>
      <c r="U378" s="56">
        <f t="shared" ca="1" si="287"/>
        <v>0</v>
      </c>
    </row>
    <row r="379" spans="1:21" ht="18.75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59">
        <f ca="1">IFERROR(__xludf.DUMMYFUNCTION("IMPORTRANGE(""https://docs.google.com/spreadsheets/d/1yhBcrRPreicbMKl9Bu_Snb2-OcQAF62RKfhTLhJ2eAA/edit?usp=sharing"",""กาฬสินธุ์!L379"")+IMPORTRANGE(""https://docs.google.com/spreadsheets/d/1aHkj4IaQMThhwWwevcOymEh837vdxeC_PycurhTbGFA/edit?usp=sharing"","&amp;"""ขอนแก่น!L379"")+IMPORTRANGE(""https://docs.google.com/spreadsheets/d/1FvTu2DsIWUjP6WCWra38Bkj_oOl_sOMf14r5Fg5srxU/edit?usp=sharing"",""ชัยภูมิ!L379"")+IMPORTRANGE(""https://docs.google.com/spreadsheets/d/1XVB7oCJ3pr-vBUdflwPQ8Z2LlzhnCvZaaYjAfP-647E/edit"&amp;"?usp=sharing"",""นครพนม!L379"")+IMPORTRANGE(""https://docs.google.com/spreadsheets/d/1Mnpb-8PYAgn85W6KOTD40hc_Xc55CaLfHoGAbrZ8tls/edit?usp=sharing"",""นครราชสีมา!L379"")+IMPORTRANGE(""https://docs.google.com/spreadsheets/d/1xoDLGBv9CYbyosIhki0kTq6IpYNj-gp"&amp;"jxfobnaDiut0/edit?usp=sharing"",""บึงกาฬ!L379"")+IMPORTRANGE(""https://docs.google.com/spreadsheets/d/1MMPq-JyI6DSgQETxuSiXkesP-P7JHuemnE6QJIa-Nlw/edit?usp=sharing"",""บุรีรัมย์!L379"")+IMPORTRANGE(""https://docs.google.com/spreadsheets/d/1l6IZ8xUPgMrESzc"&amp;"TYwhA1k_tPjeQjJPTqlm8Gd9eU5g/edit?usp=sharing"",""มหาสารคาม!L379"")+IMPORTRANGE(""https://docs.google.com/spreadsheets/d/1uB74YLqNjWX6FObjekfB2NtSYigTQyR2rq9u4Ub2Sq4/edit?usp=sharing"",""มุกดาหาร!L379"")+IMPORTRANGE(""https://docs.google.com/spreadsheets/"&amp;"d/1NexK3geCPxCTO1fzNF8dPec7yZyUx3OaWkFBC9HsQOo/edit?usp=sharing"",""ยโสธร!L379"")+IMPORTRANGE(""https://docs.google.com/spreadsheets/d/1v_cJrbBlyqmnHPReHk44g9NrMRdENNlSy_E_c5M9fIg/edit?usp=sharing"",""ร้อยเอ็ด!L379"")+IMPORTRANGE(""https://docs.google.com"&amp;"/spreadsheets/d/1Ul4RCpCX66NxYADU1QpwAPjOmBzW64SsT11s1wzXw_c/edit?usp=sharing"",""เลย!L379"")+IMPORTRANGE(""https://docs.google.com/spreadsheets/d/1bRrNKwbHDVktQG10isr5vbWRtt5spIZPpkOSWgbT5ug/edit?usp=sharing"",""ศรีสะเกษ!L379"")+IMPORTRANGE(""https://doc"&amp;"s.google.com/spreadsheets/d/17P34_Ow5kFBfdQD0qspb2UuPX5zpi6WMrQzslghyvrI/edit?usp=sharing"",""สกลนคร!L379"")+IMPORTRANGE(""https://docs.google.com/spreadsheets/d/1yswqbM3-AEpThF3ZSUa1AcmHnmRTF1vlJ1CZGcJ8YuU/edit?usp=sharing"",""สุรินทร์!L379"")+IMPORTRANG"&amp;"E(""https://docs.google.com/spreadsheets/d/13JHU_EFbsQOUQ0JSQ3dWy1VTRosIWcDq6Nc99z2qzdc/edit?usp=sharing"",""หนองคาย!L379"")+IMPORTRANGE(""https://docs.google.com/spreadsheets/d/1Hx73zIEgVdDZZaYSTc46Dqv64atFhpr3GelxLbaIN8A/edit?usp=sharing"",""หนองบัวลำภู"&amp;"!L379"")+IMPORTRANGE(""https://docs.google.com/spreadsheets/d/1lFxr3ctmjFN90yc-xV6jrQ9Ty8BKYVBWnAZ15wcNIJc/edit?usp=sharing"",""อำนาจเจริญ!L379"")+IMPORTRANGE(""https://docs.google.com/spreadsheets/d/1gF7RJpRnL-1oyjyeWxs5SFWEH7y8ahOZsQlyp2A2e-A/edit?usp=s"&amp;"haring"",""อุดรธานี!L379"")+IMPORTRANGE(""https://docs.google.com/spreadsheets/d/1kfLP0j3INXRa8bTDpcEmoWewMBV61jlFlfzczfjWIgc/edit?usp=sharing"",""อุบลราชธานี!L379"")"),0)</f>
        <v>0</v>
      </c>
      <c r="M379" s="59">
        <f ca="1">IFERROR(__xludf.DUMMYFUNCTION("IMPORTRANGE(""https://docs.google.com/spreadsheets/d/1yhBcrRPreicbMKl9Bu_Snb2-OcQAF62RKfhTLhJ2eAA/edit?usp=sharing"",""กาฬสินธุ์!M379"")+IMPORTRANGE(""https://docs.google.com/spreadsheets/d/1aHkj4IaQMThhwWwevcOymEh837vdxeC_PycurhTbGFA/edit?usp=sharing"","&amp;"""ขอนแก่น!M379"")+IMPORTRANGE(""https://docs.google.com/spreadsheets/d/1FvTu2DsIWUjP6WCWra38Bkj_oOl_sOMf14r5Fg5srxU/edit?usp=sharing"",""ชัยภูมิ!M379"")+IMPORTRANGE(""https://docs.google.com/spreadsheets/d/1XVB7oCJ3pr-vBUdflwPQ8Z2LlzhnCvZaaYjAfP-647E/edit"&amp;"?usp=sharing"",""นครพนม!M379"")+IMPORTRANGE(""https://docs.google.com/spreadsheets/d/1Mnpb-8PYAgn85W6KOTD40hc_Xc55CaLfHoGAbrZ8tls/edit?usp=sharing"",""นครราชสีมา!M379"")+IMPORTRANGE(""https://docs.google.com/spreadsheets/d/1xoDLGBv9CYbyosIhki0kTq6IpYNj-gp"&amp;"jxfobnaDiut0/edit?usp=sharing"",""บึงกาฬ!M379"")+IMPORTRANGE(""https://docs.google.com/spreadsheets/d/1MMPq-JyI6DSgQETxuSiXkesP-P7JHuemnE6QJIa-Nlw/edit?usp=sharing"",""บุรีรัมย์!M379"")+IMPORTRANGE(""https://docs.google.com/spreadsheets/d/1l6IZ8xUPgMrESzc"&amp;"TYwhA1k_tPjeQjJPTqlm8Gd9eU5g/edit?usp=sharing"",""มหาสารคาม!M379"")+IMPORTRANGE(""https://docs.google.com/spreadsheets/d/1uB74YLqNjWX6FObjekfB2NtSYigTQyR2rq9u4Ub2Sq4/edit?usp=sharing"",""มุกดาหาร!M379"")+IMPORTRANGE(""https://docs.google.com/spreadsheets/"&amp;"d/1NexK3geCPxCTO1fzNF8dPec7yZyUx3OaWkFBC9HsQOo/edit?usp=sharing"",""ยโสธร!M379"")+IMPORTRANGE(""https://docs.google.com/spreadsheets/d/1v_cJrbBlyqmnHPReHk44g9NrMRdENNlSy_E_c5M9fIg/edit?usp=sharing"",""ร้อยเอ็ด!M379"")+IMPORTRANGE(""https://docs.google.com"&amp;"/spreadsheets/d/1Ul4RCpCX66NxYADU1QpwAPjOmBzW64SsT11s1wzXw_c/edit?usp=sharing"",""เลย!M379"")+IMPORTRANGE(""https://docs.google.com/spreadsheets/d/1bRrNKwbHDVktQG10isr5vbWRtt5spIZPpkOSWgbT5ug/edit?usp=sharing"",""ศรีสะเกษ!M379"")+IMPORTRANGE(""https://doc"&amp;"s.google.com/spreadsheets/d/17P34_Ow5kFBfdQD0qspb2UuPX5zpi6WMrQzslghyvrI/edit?usp=sharing"",""สกลนคร!M379"")+IMPORTRANGE(""https://docs.google.com/spreadsheets/d/1yswqbM3-AEpThF3ZSUa1AcmHnmRTF1vlJ1CZGcJ8YuU/edit?usp=sharing"",""สุรินทร์!M379"")+IMPORTRANG"&amp;"E(""https://docs.google.com/spreadsheets/d/13JHU_EFbsQOUQ0JSQ3dWy1VTRosIWcDq6Nc99z2qzdc/edit?usp=sharing"",""หนองคาย!M379"")+IMPORTRANGE(""https://docs.google.com/spreadsheets/d/1Hx73zIEgVdDZZaYSTc46Dqv64atFhpr3GelxLbaIN8A/edit?usp=sharing"",""หนองบัวลำภู"&amp;"!M379"")+IMPORTRANGE(""https://docs.google.com/spreadsheets/d/1lFxr3ctmjFN90yc-xV6jrQ9Ty8BKYVBWnAZ15wcNIJc/edit?usp=sharing"",""อำนาจเจริญ!M379"")+IMPORTRANGE(""https://docs.google.com/spreadsheets/d/1gF7RJpRnL-1oyjyeWxs5SFWEH7y8ahOZsQlyp2A2e-A/edit?usp=s"&amp;"haring"",""อุดรธานี!M379"")+IMPORTRANGE(""https://docs.google.com/spreadsheets/d/1kfLP0j3INXRa8bTDpcEmoWewMBV61jlFlfzczfjWIgc/edit?usp=sharing"",""อุบลราชธานี!M379"")"),0)</f>
        <v>0</v>
      </c>
      <c r="N379" s="59">
        <f ca="1">IFERROR(__xludf.DUMMYFUNCTION("IMPORTRANGE(""https://docs.google.com/spreadsheets/d/1yhBcrRPreicbMKl9Bu_Snb2-OcQAF62RKfhTLhJ2eAA/edit?usp=sharing"",""กาฬสินธุ์!N379"")+IMPORTRANGE(""https://docs.google.com/spreadsheets/d/1aHkj4IaQMThhwWwevcOymEh837vdxeC_PycurhTbGFA/edit?usp=sharing"","&amp;"""ขอนแก่น!N379"")+IMPORTRANGE(""https://docs.google.com/spreadsheets/d/1FvTu2DsIWUjP6WCWra38Bkj_oOl_sOMf14r5Fg5srxU/edit?usp=sharing"",""ชัยภูมิ!N379"")+IMPORTRANGE(""https://docs.google.com/spreadsheets/d/1XVB7oCJ3pr-vBUdflwPQ8Z2LlzhnCvZaaYjAfP-647E/edit"&amp;"?usp=sharing"",""นครพนม!N379"")+IMPORTRANGE(""https://docs.google.com/spreadsheets/d/1Mnpb-8PYAgn85W6KOTD40hc_Xc55CaLfHoGAbrZ8tls/edit?usp=sharing"",""นครราชสีมา!N379"")+IMPORTRANGE(""https://docs.google.com/spreadsheets/d/1xoDLGBv9CYbyosIhki0kTq6IpYNj-gp"&amp;"jxfobnaDiut0/edit?usp=sharing"",""บึงกาฬ!N379"")+IMPORTRANGE(""https://docs.google.com/spreadsheets/d/1MMPq-JyI6DSgQETxuSiXkesP-P7JHuemnE6QJIa-Nlw/edit?usp=sharing"",""บุรีรัมย์!N379"")+IMPORTRANGE(""https://docs.google.com/spreadsheets/d/1l6IZ8xUPgMrESzc"&amp;"TYwhA1k_tPjeQjJPTqlm8Gd9eU5g/edit?usp=sharing"",""มหาสารคาม!N379"")+IMPORTRANGE(""https://docs.google.com/spreadsheets/d/1uB74YLqNjWX6FObjekfB2NtSYigTQyR2rq9u4Ub2Sq4/edit?usp=sharing"",""มุกดาหาร!N379"")+IMPORTRANGE(""https://docs.google.com/spreadsheets/"&amp;"d/1NexK3geCPxCTO1fzNF8dPec7yZyUx3OaWkFBC9HsQOo/edit?usp=sharing"",""ยโสธร!N379"")+IMPORTRANGE(""https://docs.google.com/spreadsheets/d/1v_cJrbBlyqmnHPReHk44g9NrMRdENNlSy_E_c5M9fIg/edit?usp=sharing"",""ร้อยเอ็ด!N379"")+IMPORTRANGE(""https://docs.google.com"&amp;"/spreadsheets/d/1Ul4RCpCX66NxYADU1QpwAPjOmBzW64SsT11s1wzXw_c/edit?usp=sharing"",""เลย!N379"")+IMPORTRANGE(""https://docs.google.com/spreadsheets/d/1bRrNKwbHDVktQG10isr5vbWRtt5spIZPpkOSWgbT5ug/edit?usp=sharing"",""ศรีสะเกษ!N379"")+IMPORTRANGE(""https://doc"&amp;"s.google.com/spreadsheets/d/17P34_Ow5kFBfdQD0qspb2UuPX5zpi6WMrQzslghyvrI/edit?usp=sharing"",""สกลนคร!N379"")+IMPORTRANGE(""https://docs.google.com/spreadsheets/d/1yswqbM3-AEpThF3ZSUa1AcmHnmRTF1vlJ1CZGcJ8YuU/edit?usp=sharing"",""สุรินทร์!N379"")+IMPORTRANG"&amp;"E(""https://docs.google.com/spreadsheets/d/13JHU_EFbsQOUQ0JSQ3dWy1VTRosIWcDq6Nc99z2qzdc/edit?usp=sharing"",""หนองคาย!N379"")+IMPORTRANGE(""https://docs.google.com/spreadsheets/d/1Hx73zIEgVdDZZaYSTc46Dqv64atFhpr3GelxLbaIN8A/edit?usp=sharing"",""หนองบัวลำภู"&amp;"!N379"")+IMPORTRANGE(""https://docs.google.com/spreadsheets/d/1lFxr3ctmjFN90yc-xV6jrQ9Ty8BKYVBWnAZ15wcNIJc/edit?usp=sharing"",""อำนาจเจริญ!N379"")+IMPORTRANGE(""https://docs.google.com/spreadsheets/d/1gF7RJpRnL-1oyjyeWxs5SFWEH7y8ahOZsQlyp2A2e-A/edit?usp=s"&amp;"haring"",""อุดรธานี!N379"")+IMPORTRANGE(""https://docs.google.com/spreadsheets/d/1kfLP0j3INXRa8bTDpcEmoWewMBV61jlFlfzczfjWIgc/edit?usp=sharing"",""อุบลราชธานี!N379"")"),0)</f>
        <v>0</v>
      </c>
      <c r="O379" s="59">
        <f t="shared" ca="1" si="283"/>
        <v>0</v>
      </c>
      <c r="P379" s="59">
        <f t="shared" ca="1" si="284"/>
        <v>0</v>
      </c>
      <c r="Q379" s="59">
        <f ca="1">IFERROR(__xludf.DUMMYFUNCTION("IMPORTRANGE(""https://docs.google.com/spreadsheets/d/1yhBcrRPreicbMKl9Bu_Snb2-OcQAF62RKfhTLhJ2eAA/edit?usp=sharing"",""กาฬสินธุ์!Q379"")+IMPORTRANGE(""https://docs.google.com/spreadsheets/d/1aHkj4IaQMThhwWwevcOymEh837vdxeC_PycurhTbGFA/edit?usp=sharing"","&amp;"""ขอนแก่น!Q379"")+IMPORTRANGE(""https://docs.google.com/spreadsheets/d/1FvTu2DsIWUjP6WCWra38Bkj_oOl_sOMf14r5Fg5srxU/edit?usp=sharing"",""ชัยภูมิ!Q379"")+IMPORTRANGE(""https://docs.google.com/spreadsheets/d/1XVB7oCJ3pr-vBUdflwPQ8Z2LlzhnCvZaaYjAfP-647E/edit"&amp;"?usp=sharing"",""นครพนม!Q379"")+IMPORTRANGE(""https://docs.google.com/spreadsheets/d/1Mnpb-8PYAgn85W6KOTD40hc_Xc55CaLfHoGAbrZ8tls/edit?usp=sharing"",""นครราชสีมา!Q379"")+IMPORTRANGE(""https://docs.google.com/spreadsheets/d/1xoDLGBv9CYbyosIhki0kTq6IpYNj-gp"&amp;"jxfobnaDiut0/edit?usp=sharing"",""บึงกาฬ!Q379"")+IMPORTRANGE(""https://docs.google.com/spreadsheets/d/1MMPq-JyI6DSgQETxuSiXkesP-P7JHuemnE6QJIa-Nlw/edit?usp=sharing"",""บุรีรัมย์!Q379"")+IMPORTRANGE(""https://docs.google.com/spreadsheets/d/1l6IZ8xUPgMrESzc"&amp;"TYwhA1k_tPjeQjJPTqlm8Gd9eU5g/edit?usp=sharing"",""มหาสารคาม!Q379"")+IMPORTRANGE(""https://docs.google.com/spreadsheets/d/1uB74YLqNjWX6FObjekfB2NtSYigTQyR2rq9u4Ub2Sq4/edit?usp=sharing"",""มุกดาหาร!Q379"")+IMPORTRANGE(""https://docs.google.com/spreadsheets/"&amp;"d/1NexK3geCPxCTO1fzNF8dPec7yZyUx3OaWkFBC9HsQOo/edit?usp=sharing"",""ยโสธร!Q379"")+IMPORTRANGE(""https://docs.google.com/spreadsheets/d/1v_cJrbBlyqmnHPReHk44g9NrMRdENNlSy_E_c5M9fIg/edit?usp=sharing"",""ร้อยเอ็ด!Q379"")+IMPORTRANGE(""https://docs.google.com"&amp;"/spreadsheets/d/1Ul4RCpCX66NxYADU1QpwAPjOmBzW64SsT11s1wzXw_c/edit?usp=sharing"",""เลย!Q379"")+IMPORTRANGE(""https://docs.google.com/spreadsheets/d/1bRrNKwbHDVktQG10isr5vbWRtt5spIZPpkOSWgbT5ug/edit?usp=sharing"",""ศรีสะเกษ!Q379"")+IMPORTRANGE(""https://doc"&amp;"s.google.com/spreadsheets/d/17P34_Ow5kFBfdQD0qspb2UuPX5zpi6WMrQzslghyvrI/edit?usp=sharing"",""สกลนคร!Q379"")+IMPORTRANGE(""https://docs.google.com/spreadsheets/d/1yswqbM3-AEpThF3ZSUa1AcmHnmRTF1vlJ1CZGcJ8YuU/edit?usp=sharing"",""สุรินทร์!Q379"")+IMPORTRANG"&amp;"E(""https://docs.google.com/spreadsheets/d/13JHU_EFbsQOUQ0JSQ3dWy1VTRosIWcDq6Nc99z2qzdc/edit?usp=sharing"",""หนองคาย!Q379"")+IMPORTRANGE(""https://docs.google.com/spreadsheets/d/1Hx73zIEgVdDZZaYSTc46Dqv64atFhpr3GelxLbaIN8A/edit?usp=sharing"",""หนองบัวลำภู"&amp;"!Q379"")+IMPORTRANGE(""https://docs.google.com/spreadsheets/d/1lFxr3ctmjFN90yc-xV6jrQ9Ty8BKYVBWnAZ15wcNIJc/edit?usp=sharing"",""อำนาจเจริญ!Q379"")+IMPORTRANGE(""https://docs.google.com/spreadsheets/d/1gF7RJpRnL-1oyjyeWxs5SFWEH7y8ahOZsQlyp2A2e-A/edit?usp=s"&amp;"haring"",""อุดรธานี!Q379"")+IMPORTRANGE(""https://docs.google.com/spreadsheets/d/1kfLP0j3INXRa8bTDpcEmoWewMBV61jlFlfzczfjWIgc/edit?usp=sharing"",""อุบลราชธานี!Q379"")"),0)</f>
        <v>0</v>
      </c>
      <c r="R379" s="59">
        <f ca="1">IFERROR(__xludf.DUMMYFUNCTION("IMPORTRANGE(""https://docs.google.com/spreadsheets/d/1yhBcrRPreicbMKl9Bu_Snb2-OcQAF62RKfhTLhJ2eAA/edit?usp=sharing"",""กาฬสินธุ์!R379"")+IMPORTRANGE(""https://docs.google.com/spreadsheets/d/1aHkj4IaQMThhwWwevcOymEh837vdxeC_PycurhTbGFA/edit?usp=sharing"","&amp;"""ขอนแก่น!R379"")+IMPORTRANGE(""https://docs.google.com/spreadsheets/d/1FvTu2DsIWUjP6WCWra38Bkj_oOl_sOMf14r5Fg5srxU/edit?usp=sharing"",""ชัยภูมิ!R379"")+IMPORTRANGE(""https://docs.google.com/spreadsheets/d/1XVB7oCJ3pr-vBUdflwPQ8Z2LlzhnCvZaaYjAfP-647E/edit"&amp;"?usp=sharing"",""นครพนม!R379"")+IMPORTRANGE(""https://docs.google.com/spreadsheets/d/1Mnpb-8PYAgn85W6KOTD40hc_Xc55CaLfHoGAbrZ8tls/edit?usp=sharing"",""นครราชสีมา!R379"")+IMPORTRANGE(""https://docs.google.com/spreadsheets/d/1xoDLGBv9CYbyosIhki0kTq6IpYNj-gp"&amp;"jxfobnaDiut0/edit?usp=sharing"",""บึงกาฬ!R379"")+IMPORTRANGE(""https://docs.google.com/spreadsheets/d/1MMPq-JyI6DSgQETxuSiXkesP-P7JHuemnE6QJIa-Nlw/edit?usp=sharing"",""บุรีรัมย์!R379"")+IMPORTRANGE(""https://docs.google.com/spreadsheets/d/1l6IZ8xUPgMrESzc"&amp;"TYwhA1k_tPjeQjJPTqlm8Gd9eU5g/edit?usp=sharing"",""มหาสารคาม!R379"")+IMPORTRANGE(""https://docs.google.com/spreadsheets/d/1uB74YLqNjWX6FObjekfB2NtSYigTQyR2rq9u4Ub2Sq4/edit?usp=sharing"",""มุกดาหาร!R379"")+IMPORTRANGE(""https://docs.google.com/spreadsheets/"&amp;"d/1NexK3geCPxCTO1fzNF8dPec7yZyUx3OaWkFBC9HsQOo/edit?usp=sharing"",""ยโสธร!R379"")+IMPORTRANGE(""https://docs.google.com/spreadsheets/d/1v_cJrbBlyqmnHPReHk44g9NrMRdENNlSy_E_c5M9fIg/edit?usp=sharing"",""ร้อยเอ็ด!R379"")+IMPORTRANGE(""https://docs.google.com"&amp;"/spreadsheets/d/1Ul4RCpCX66NxYADU1QpwAPjOmBzW64SsT11s1wzXw_c/edit?usp=sharing"",""เลย!R379"")+IMPORTRANGE(""https://docs.google.com/spreadsheets/d/1bRrNKwbHDVktQG10isr5vbWRtt5spIZPpkOSWgbT5ug/edit?usp=sharing"",""ศรีสะเกษ!R379"")+IMPORTRANGE(""https://doc"&amp;"s.google.com/spreadsheets/d/17P34_Ow5kFBfdQD0qspb2UuPX5zpi6WMrQzslghyvrI/edit?usp=sharing"",""สกลนคร!R379"")+IMPORTRANGE(""https://docs.google.com/spreadsheets/d/1yswqbM3-AEpThF3ZSUa1AcmHnmRTF1vlJ1CZGcJ8YuU/edit?usp=sharing"",""สุรินทร์!R379"")+IMPORTRANG"&amp;"E(""https://docs.google.com/spreadsheets/d/13JHU_EFbsQOUQ0JSQ3dWy1VTRosIWcDq6Nc99z2qzdc/edit?usp=sharing"",""หนองคาย!R379"")+IMPORTRANGE(""https://docs.google.com/spreadsheets/d/1Hx73zIEgVdDZZaYSTc46Dqv64atFhpr3GelxLbaIN8A/edit?usp=sharing"",""หนองบัวลำภู"&amp;"!R379"")+IMPORTRANGE(""https://docs.google.com/spreadsheets/d/1lFxr3ctmjFN90yc-xV6jrQ9Ty8BKYVBWnAZ15wcNIJc/edit?usp=sharing"",""อำนาจเจริญ!R379"")+IMPORTRANGE(""https://docs.google.com/spreadsheets/d/1gF7RJpRnL-1oyjyeWxs5SFWEH7y8ahOZsQlyp2A2e-A/edit?usp=s"&amp;"haring"",""อุดรธานี!R379"")+IMPORTRANGE(""https://docs.google.com/spreadsheets/d/1kfLP0j3INXRa8bTDpcEmoWewMBV61jlFlfzczfjWIgc/edit?usp=sharing"",""อุบลราชธานี!R379"")"),0)</f>
        <v>0</v>
      </c>
      <c r="S379" s="60">
        <f ca="1">IFERROR(__xludf.DUMMYFUNCTION("IMPORTRANGE(""https://docs.google.com/spreadsheets/d/1yhBcrRPreicbMKl9Bu_Snb2-OcQAF62RKfhTLhJ2eAA/edit?usp=sharing"",""กาฬสินธุ์!S379"")+IMPORTRANGE(""https://docs.google.com/spreadsheets/d/1aHkj4IaQMThhwWwevcOymEh837vdxeC_PycurhTbGFA/edit?usp=sharing"","&amp;"""ขอนแก่น!S379"")+IMPORTRANGE(""https://docs.google.com/spreadsheets/d/1FvTu2DsIWUjP6WCWra38Bkj_oOl_sOMf14r5Fg5srxU/edit?usp=sharing"",""ชัยภูมิ!S379"")+IMPORTRANGE(""https://docs.google.com/spreadsheets/d/1XVB7oCJ3pr-vBUdflwPQ8Z2LlzhnCvZaaYjAfP-647E/edit"&amp;"?usp=sharing"",""นครพนม!S379"")+IMPORTRANGE(""https://docs.google.com/spreadsheets/d/1Mnpb-8PYAgn85W6KOTD40hc_Xc55CaLfHoGAbrZ8tls/edit?usp=sharing"",""นครราชสีมา!S379"")+IMPORTRANGE(""https://docs.google.com/spreadsheets/d/1xoDLGBv9CYbyosIhki0kTq6IpYNj-gp"&amp;"jxfobnaDiut0/edit?usp=sharing"",""บึงกาฬ!S379"")+IMPORTRANGE(""https://docs.google.com/spreadsheets/d/1MMPq-JyI6DSgQETxuSiXkesP-P7JHuemnE6QJIa-Nlw/edit?usp=sharing"",""บุรีรัมย์!S379"")+IMPORTRANGE(""https://docs.google.com/spreadsheets/d/1l6IZ8xUPgMrESzc"&amp;"TYwhA1k_tPjeQjJPTqlm8Gd9eU5g/edit?usp=sharing"",""มหาสารคาม!S379"")+IMPORTRANGE(""https://docs.google.com/spreadsheets/d/1uB74YLqNjWX6FObjekfB2NtSYigTQyR2rq9u4Ub2Sq4/edit?usp=sharing"",""มุกดาหาร!S379"")+IMPORTRANGE(""https://docs.google.com/spreadsheets/"&amp;"d/1NexK3geCPxCTO1fzNF8dPec7yZyUx3OaWkFBC9HsQOo/edit?usp=sharing"",""ยโสธร!S379"")+IMPORTRANGE(""https://docs.google.com/spreadsheets/d/1v_cJrbBlyqmnHPReHk44g9NrMRdENNlSy_E_c5M9fIg/edit?usp=sharing"",""ร้อยเอ็ด!S379"")+IMPORTRANGE(""https://docs.google.com"&amp;"/spreadsheets/d/1Ul4RCpCX66NxYADU1QpwAPjOmBzW64SsT11s1wzXw_c/edit?usp=sharing"",""เลย!S379"")+IMPORTRANGE(""https://docs.google.com/spreadsheets/d/1bRrNKwbHDVktQG10isr5vbWRtt5spIZPpkOSWgbT5ug/edit?usp=sharing"",""ศรีสะเกษ!S379"")+IMPORTRANGE(""https://doc"&amp;"s.google.com/spreadsheets/d/17P34_Ow5kFBfdQD0qspb2UuPX5zpi6WMrQzslghyvrI/edit?usp=sharing"",""สกลนคร!S379"")+IMPORTRANGE(""https://docs.google.com/spreadsheets/d/1yswqbM3-AEpThF3ZSUa1AcmHnmRTF1vlJ1CZGcJ8YuU/edit?usp=sharing"",""สุรินทร์!S379"")+IMPORTRANG"&amp;"E(""https://docs.google.com/spreadsheets/d/13JHU_EFbsQOUQ0JSQ3dWy1VTRosIWcDq6Nc99z2qzdc/edit?usp=sharing"",""หนองคาย!S379"")+IMPORTRANGE(""https://docs.google.com/spreadsheets/d/1Hx73zIEgVdDZZaYSTc46Dqv64atFhpr3GelxLbaIN8A/edit?usp=sharing"",""หนองบัวลำภู"&amp;"!S379"")+IMPORTRANGE(""https://docs.google.com/spreadsheets/d/1lFxr3ctmjFN90yc-xV6jrQ9Ty8BKYVBWnAZ15wcNIJc/edit?usp=sharing"",""อำนาจเจริญ!S379"")+IMPORTRANGE(""https://docs.google.com/spreadsheets/d/1gF7RJpRnL-1oyjyeWxs5SFWEH7y8ahOZsQlyp2A2e-A/edit?usp=s"&amp;"haring"",""อุดรธานี!S379"")+IMPORTRANGE(""https://docs.google.com/spreadsheets/d/1kfLP0j3INXRa8bTDpcEmoWewMBV61jlFlfzczfjWIgc/edit?usp=sharing"",""อุบลราชธานี!S379"")"),0)</f>
        <v>0</v>
      </c>
      <c r="T379" s="59">
        <f t="shared" ca="1" si="286"/>
        <v>0</v>
      </c>
      <c r="U379" s="59">
        <f t="shared" ca="1" si="287"/>
        <v>0</v>
      </c>
    </row>
    <row r="380" spans="1:21" ht="18.75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56">
        <f ca="1">IFERROR(__xludf.DUMMYFUNCTION("IMPORTRANGE(""https://docs.google.com/spreadsheets/d/1yhBcrRPreicbMKl9Bu_Snb2-OcQAF62RKfhTLhJ2eAA/edit?usp=sharing"",""กาฬสินธุ์!L380"")+IMPORTRANGE(""https://docs.google.com/spreadsheets/d/1aHkj4IaQMThhwWwevcOymEh837vdxeC_PycurhTbGFA/edit?usp=sharing"","&amp;"""ขอนแก่น!L380"")+IMPORTRANGE(""https://docs.google.com/spreadsheets/d/1FvTu2DsIWUjP6WCWra38Bkj_oOl_sOMf14r5Fg5srxU/edit?usp=sharing"",""ชัยภูมิ!L380"")+IMPORTRANGE(""https://docs.google.com/spreadsheets/d/1XVB7oCJ3pr-vBUdflwPQ8Z2LlzhnCvZaaYjAfP-647E/edit"&amp;"?usp=sharing"",""นครพนม!L380"")+IMPORTRANGE(""https://docs.google.com/spreadsheets/d/1Mnpb-8PYAgn85W6KOTD40hc_Xc55CaLfHoGAbrZ8tls/edit?usp=sharing"",""นครราชสีมา!L380"")+IMPORTRANGE(""https://docs.google.com/spreadsheets/d/1xoDLGBv9CYbyosIhki0kTq6IpYNj-gp"&amp;"jxfobnaDiut0/edit?usp=sharing"",""บึงกาฬ!L380"")+IMPORTRANGE(""https://docs.google.com/spreadsheets/d/1MMPq-JyI6DSgQETxuSiXkesP-P7JHuemnE6QJIa-Nlw/edit?usp=sharing"",""บุรีรัมย์!L380"")+IMPORTRANGE(""https://docs.google.com/spreadsheets/d/1l6IZ8xUPgMrESzc"&amp;"TYwhA1k_tPjeQjJPTqlm8Gd9eU5g/edit?usp=sharing"",""มหาสารคาม!L380"")+IMPORTRANGE(""https://docs.google.com/spreadsheets/d/1uB74YLqNjWX6FObjekfB2NtSYigTQyR2rq9u4Ub2Sq4/edit?usp=sharing"",""มุกดาหาร!L380"")+IMPORTRANGE(""https://docs.google.com/spreadsheets/"&amp;"d/1NexK3geCPxCTO1fzNF8dPec7yZyUx3OaWkFBC9HsQOo/edit?usp=sharing"",""ยโสธร!L380"")+IMPORTRANGE(""https://docs.google.com/spreadsheets/d/1v_cJrbBlyqmnHPReHk44g9NrMRdENNlSy_E_c5M9fIg/edit?usp=sharing"",""ร้อยเอ็ด!L380"")+IMPORTRANGE(""https://docs.google.com"&amp;"/spreadsheets/d/1Ul4RCpCX66NxYADU1QpwAPjOmBzW64SsT11s1wzXw_c/edit?usp=sharing"",""เลย!L380"")+IMPORTRANGE(""https://docs.google.com/spreadsheets/d/1bRrNKwbHDVktQG10isr5vbWRtt5spIZPpkOSWgbT5ug/edit?usp=sharing"",""ศรีสะเกษ!L380"")+IMPORTRANGE(""https://doc"&amp;"s.google.com/spreadsheets/d/17P34_Ow5kFBfdQD0qspb2UuPX5zpi6WMrQzslghyvrI/edit?usp=sharing"",""สกลนคร!L380"")+IMPORTRANGE(""https://docs.google.com/spreadsheets/d/1yswqbM3-AEpThF3ZSUa1AcmHnmRTF1vlJ1CZGcJ8YuU/edit?usp=sharing"",""สุรินทร์!L380"")+IMPORTRANG"&amp;"E(""https://docs.google.com/spreadsheets/d/13JHU_EFbsQOUQ0JSQ3dWy1VTRosIWcDq6Nc99z2qzdc/edit?usp=sharing"",""หนองคาย!L380"")+IMPORTRANGE(""https://docs.google.com/spreadsheets/d/1Hx73zIEgVdDZZaYSTc46Dqv64atFhpr3GelxLbaIN8A/edit?usp=sharing"",""หนองบัวลำภู"&amp;"!L380"")+IMPORTRANGE(""https://docs.google.com/spreadsheets/d/1lFxr3ctmjFN90yc-xV6jrQ9Ty8BKYVBWnAZ15wcNIJc/edit?usp=sharing"",""อำนาจเจริญ!L380"")+IMPORTRANGE(""https://docs.google.com/spreadsheets/d/1gF7RJpRnL-1oyjyeWxs5SFWEH7y8ahOZsQlyp2A2e-A/edit?usp=s"&amp;"haring"",""อุดรธานี!L380"")+IMPORTRANGE(""https://docs.google.com/spreadsheets/d/1kfLP0j3INXRa8bTDpcEmoWewMBV61jlFlfzczfjWIgc/edit?usp=sharing"",""อุบลราชธานี!L380"")"),0)</f>
        <v>0</v>
      </c>
      <c r="M380" s="56">
        <f ca="1">IFERROR(__xludf.DUMMYFUNCTION("IMPORTRANGE(""https://docs.google.com/spreadsheets/d/1yhBcrRPreicbMKl9Bu_Snb2-OcQAF62RKfhTLhJ2eAA/edit?usp=sharing"",""กาฬสินธุ์!M380"")+IMPORTRANGE(""https://docs.google.com/spreadsheets/d/1aHkj4IaQMThhwWwevcOymEh837vdxeC_PycurhTbGFA/edit?usp=sharing"","&amp;"""ขอนแก่น!M380"")+IMPORTRANGE(""https://docs.google.com/spreadsheets/d/1FvTu2DsIWUjP6WCWra38Bkj_oOl_sOMf14r5Fg5srxU/edit?usp=sharing"",""ชัยภูมิ!M380"")+IMPORTRANGE(""https://docs.google.com/spreadsheets/d/1XVB7oCJ3pr-vBUdflwPQ8Z2LlzhnCvZaaYjAfP-647E/edit"&amp;"?usp=sharing"",""นครพนม!M380"")+IMPORTRANGE(""https://docs.google.com/spreadsheets/d/1Mnpb-8PYAgn85W6KOTD40hc_Xc55CaLfHoGAbrZ8tls/edit?usp=sharing"",""นครราชสีมา!M380"")+IMPORTRANGE(""https://docs.google.com/spreadsheets/d/1xoDLGBv9CYbyosIhki0kTq6IpYNj-gp"&amp;"jxfobnaDiut0/edit?usp=sharing"",""บึงกาฬ!M380"")+IMPORTRANGE(""https://docs.google.com/spreadsheets/d/1MMPq-JyI6DSgQETxuSiXkesP-P7JHuemnE6QJIa-Nlw/edit?usp=sharing"",""บุรีรัมย์!M380"")+IMPORTRANGE(""https://docs.google.com/spreadsheets/d/1l6IZ8xUPgMrESzc"&amp;"TYwhA1k_tPjeQjJPTqlm8Gd9eU5g/edit?usp=sharing"",""มหาสารคาม!M380"")+IMPORTRANGE(""https://docs.google.com/spreadsheets/d/1uB74YLqNjWX6FObjekfB2NtSYigTQyR2rq9u4Ub2Sq4/edit?usp=sharing"",""มุกดาหาร!M380"")+IMPORTRANGE(""https://docs.google.com/spreadsheets/"&amp;"d/1NexK3geCPxCTO1fzNF8dPec7yZyUx3OaWkFBC9HsQOo/edit?usp=sharing"",""ยโสธร!M380"")+IMPORTRANGE(""https://docs.google.com/spreadsheets/d/1v_cJrbBlyqmnHPReHk44g9NrMRdENNlSy_E_c5M9fIg/edit?usp=sharing"",""ร้อยเอ็ด!M380"")+IMPORTRANGE(""https://docs.google.com"&amp;"/spreadsheets/d/1Ul4RCpCX66NxYADU1QpwAPjOmBzW64SsT11s1wzXw_c/edit?usp=sharing"",""เลย!M380"")+IMPORTRANGE(""https://docs.google.com/spreadsheets/d/1bRrNKwbHDVktQG10isr5vbWRtt5spIZPpkOSWgbT5ug/edit?usp=sharing"",""ศรีสะเกษ!M380"")+IMPORTRANGE(""https://doc"&amp;"s.google.com/spreadsheets/d/17P34_Ow5kFBfdQD0qspb2UuPX5zpi6WMrQzslghyvrI/edit?usp=sharing"",""สกลนคร!M380"")+IMPORTRANGE(""https://docs.google.com/spreadsheets/d/1yswqbM3-AEpThF3ZSUa1AcmHnmRTF1vlJ1CZGcJ8YuU/edit?usp=sharing"",""สุรินทร์!M380"")+IMPORTRANG"&amp;"E(""https://docs.google.com/spreadsheets/d/13JHU_EFbsQOUQ0JSQ3dWy1VTRosIWcDq6Nc99z2qzdc/edit?usp=sharing"",""หนองคาย!M380"")+IMPORTRANGE(""https://docs.google.com/spreadsheets/d/1Hx73zIEgVdDZZaYSTc46Dqv64atFhpr3GelxLbaIN8A/edit?usp=sharing"",""หนองบัวลำภู"&amp;"!M380"")+IMPORTRANGE(""https://docs.google.com/spreadsheets/d/1lFxr3ctmjFN90yc-xV6jrQ9Ty8BKYVBWnAZ15wcNIJc/edit?usp=sharing"",""อำนาจเจริญ!M380"")+IMPORTRANGE(""https://docs.google.com/spreadsheets/d/1gF7RJpRnL-1oyjyeWxs5SFWEH7y8ahOZsQlyp2A2e-A/edit?usp=s"&amp;"haring"",""อุดรธานี!M380"")+IMPORTRANGE(""https://docs.google.com/spreadsheets/d/1kfLP0j3INXRa8bTDpcEmoWewMBV61jlFlfzczfjWIgc/edit?usp=sharing"",""อุบลราชธานี!M380"")"),0)</f>
        <v>0</v>
      </c>
      <c r="N380" s="56">
        <f ca="1">IFERROR(__xludf.DUMMYFUNCTION("IMPORTRANGE(""https://docs.google.com/spreadsheets/d/1yhBcrRPreicbMKl9Bu_Snb2-OcQAF62RKfhTLhJ2eAA/edit?usp=sharing"",""กาฬสินธุ์!N380"")+IMPORTRANGE(""https://docs.google.com/spreadsheets/d/1aHkj4IaQMThhwWwevcOymEh837vdxeC_PycurhTbGFA/edit?usp=sharing"","&amp;"""ขอนแก่น!N380"")+IMPORTRANGE(""https://docs.google.com/spreadsheets/d/1FvTu2DsIWUjP6WCWra38Bkj_oOl_sOMf14r5Fg5srxU/edit?usp=sharing"",""ชัยภูมิ!N380"")+IMPORTRANGE(""https://docs.google.com/spreadsheets/d/1XVB7oCJ3pr-vBUdflwPQ8Z2LlzhnCvZaaYjAfP-647E/edit"&amp;"?usp=sharing"",""นครพนม!N380"")+IMPORTRANGE(""https://docs.google.com/spreadsheets/d/1Mnpb-8PYAgn85W6KOTD40hc_Xc55CaLfHoGAbrZ8tls/edit?usp=sharing"",""นครราชสีมา!N380"")+IMPORTRANGE(""https://docs.google.com/spreadsheets/d/1xoDLGBv9CYbyosIhki0kTq6IpYNj-gp"&amp;"jxfobnaDiut0/edit?usp=sharing"",""บึงกาฬ!N380"")+IMPORTRANGE(""https://docs.google.com/spreadsheets/d/1MMPq-JyI6DSgQETxuSiXkesP-P7JHuemnE6QJIa-Nlw/edit?usp=sharing"",""บุรีรัมย์!N380"")+IMPORTRANGE(""https://docs.google.com/spreadsheets/d/1l6IZ8xUPgMrESzc"&amp;"TYwhA1k_tPjeQjJPTqlm8Gd9eU5g/edit?usp=sharing"",""มหาสารคาม!N380"")+IMPORTRANGE(""https://docs.google.com/spreadsheets/d/1uB74YLqNjWX6FObjekfB2NtSYigTQyR2rq9u4Ub2Sq4/edit?usp=sharing"",""มุกดาหาร!N380"")+IMPORTRANGE(""https://docs.google.com/spreadsheets/"&amp;"d/1NexK3geCPxCTO1fzNF8dPec7yZyUx3OaWkFBC9HsQOo/edit?usp=sharing"",""ยโสธร!N380"")+IMPORTRANGE(""https://docs.google.com/spreadsheets/d/1v_cJrbBlyqmnHPReHk44g9NrMRdENNlSy_E_c5M9fIg/edit?usp=sharing"",""ร้อยเอ็ด!N380"")+IMPORTRANGE(""https://docs.google.com"&amp;"/spreadsheets/d/1Ul4RCpCX66NxYADU1QpwAPjOmBzW64SsT11s1wzXw_c/edit?usp=sharing"",""เลย!N380"")+IMPORTRANGE(""https://docs.google.com/spreadsheets/d/1bRrNKwbHDVktQG10isr5vbWRtt5spIZPpkOSWgbT5ug/edit?usp=sharing"",""ศรีสะเกษ!N380"")+IMPORTRANGE(""https://doc"&amp;"s.google.com/spreadsheets/d/17P34_Ow5kFBfdQD0qspb2UuPX5zpi6WMrQzslghyvrI/edit?usp=sharing"",""สกลนคร!N380"")+IMPORTRANGE(""https://docs.google.com/spreadsheets/d/1yswqbM3-AEpThF3ZSUa1AcmHnmRTF1vlJ1CZGcJ8YuU/edit?usp=sharing"",""สุรินทร์!N380"")+IMPORTRANG"&amp;"E(""https://docs.google.com/spreadsheets/d/13JHU_EFbsQOUQ0JSQ3dWy1VTRosIWcDq6Nc99z2qzdc/edit?usp=sharing"",""หนองคาย!N380"")+IMPORTRANGE(""https://docs.google.com/spreadsheets/d/1Hx73zIEgVdDZZaYSTc46Dqv64atFhpr3GelxLbaIN8A/edit?usp=sharing"",""หนองบัวลำภู"&amp;"!N380"")+IMPORTRANGE(""https://docs.google.com/spreadsheets/d/1lFxr3ctmjFN90yc-xV6jrQ9Ty8BKYVBWnAZ15wcNIJc/edit?usp=sharing"",""อำนาจเจริญ!N380"")+IMPORTRANGE(""https://docs.google.com/spreadsheets/d/1gF7RJpRnL-1oyjyeWxs5SFWEH7y8ahOZsQlyp2A2e-A/edit?usp=s"&amp;"haring"",""อุดรธานี!N380"")+IMPORTRANGE(""https://docs.google.com/spreadsheets/d/1kfLP0j3INXRa8bTDpcEmoWewMBV61jlFlfzczfjWIgc/edit?usp=sharing"",""อุบลราชธานี!N380"")"),0)</f>
        <v>0</v>
      </c>
      <c r="O380" s="56">
        <f t="shared" ca="1" si="283"/>
        <v>0</v>
      </c>
      <c r="P380" s="56">
        <f t="shared" ca="1" si="284"/>
        <v>0</v>
      </c>
      <c r="Q380" s="56">
        <f ca="1">IFERROR(__xludf.DUMMYFUNCTION("IMPORTRANGE(""https://docs.google.com/spreadsheets/d/1yhBcrRPreicbMKl9Bu_Snb2-OcQAF62RKfhTLhJ2eAA/edit?usp=sharing"",""กาฬสินธุ์!Q380"")+IMPORTRANGE(""https://docs.google.com/spreadsheets/d/1aHkj4IaQMThhwWwevcOymEh837vdxeC_PycurhTbGFA/edit?usp=sharing"","&amp;"""ขอนแก่น!Q380"")+IMPORTRANGE(""https://docs.google.com/spreadsheets/d/1FvTu2DsIWUjP6WCWra38Bkj_oOl_sOMf14r5Fg5srxU/edit?usp=sharing"",""ชัยภูมิ!Q380"")+IMPORTRANGE(""https://docs.google.com/spreadsheets/d/1XVB7oCJ3pr-vBUdflwPQ8Z2LlzhnCvZaaYjAfP-647E/edit"&amp;"?usp=sharing"",""นครพนม!Q380"")+IMPORTRANGE(""https://docs.google.com/spreadsheets/d/1Mnpb-8PYAgn85W6KOTD40hc_Xc55CaLfHoGAbrZ8tls/edit?usp=sharing"",""นครราชสีมา!Q380"")+IMPORTRANGE(""https://docs.google.com/spreadsheets/d/1xoDLGBv9CYbyosIhki0kTq6IpYNj-gp"&amp;"jxfobnaDiut0/edit?usp=sharing"",""บึงกาฬ!Q380"")+IMPORTRANGE(""https://docs.google.com/spreadsheets/d/1MMPq-JyI6DSgQETxuSiXkesP-P7JHuemnE6QJIa-Nlw/edit?usp=sharing"",""บุรีรัมย์!Q380"")+IMPORTRANGE(""https://docs.google.com/spreadsheets/d/1l6IZ8xUPgMrESzc"&amp;"TYwhA1k_tPjeQjJPTqlm8Gd9eU5g/edit?usp=sharing"",""มหาสารคาม!Q380"")+IMPORTRANGE(""https://docs.google.com/spreadsheets/d/1uB74YLqNjWX6FObjekfB2NtSYigTQyR2rq9u4Ub2Sq4/edit?usp=sharing"",""มุกดาหาร!Q380"")+IMPORTRANGE(""https://docs.google.com/spreadsheets/"&amp;"d/1NexK3geCPxCTO1fzNF8dPec7yZyUx3OaWkFBC9HsQOo/edit?usp=sharing"",""ยโสธร!Q380"")+IMPORTRANGE(""https://docs.google.com/spreadsheets/d/1v_cJrbBlyqmnHPReHk44g9NrMRdENNlSy_E_c5M9fIg/edit?usp=sharing"",""ร้อยเอ็ด!Q380"")+IMPORTRANGE(""https://docs.google.com"&amp;"/spreadsheets/d/1Ul4RCpCX66NxYADU1QpwAPjOmBzW64SsT11s1wzXw_c/edit?usp=sharing"",""เลย!Q380"")+IMPORTRANGE(""https://docs.google.com/spreadsheets/d/1bRrNKwbHDVktQG10isr5vbWRtt5spIZPpkOSWgbT5ug/edit?usp=sharing"",""ศรีสะเกษ!Q380"")+IMPORTRANGE(""https://doc"&amp;"s.google.com/spreadsheets/d/17P34_Ow5kFBfdQD0qspb2UuPX5zpi6WMrQzslghyvrI/edit?usp=sharing"",""สกลนคร!Q380"")+IMPORTRANGE(""https://docs.google.com/spreadsheets/d/1yswqbM3-AEpThF3ZSUa1AcmHnmRTF1vlJ1CZGcJ8YuU/edit?usp=sharing"",""สุรินทร์!Q380"")+IMPORTRANG"&amp;"E(""https://docs.google.com/spreadsheets/d/13JHU_EFbsQOUQ0JSQ3dWy1VTRosIWcDq6Nc99z2qzdc/edit?usp=sharing"",""หนองคาย!Q380"")+IMPORTRANGE(""https://docs.google.com/spreadsheets/d/1Hx73zIEgVdDZZaYSTc46Dqv64atFhpr3GelxLbaIN8A/edit?usp=sharing"",""หนองบัวลำภู"&amp;"!Q380"")+IMPORTRANGE(""https://docs.google.com/spreadsheets/d/1lFxr3ctmjFN90yc-xV6jrQ9Ty8BKYVBWnAZ15wcNIJc/edit?usp=sharing"",""อำนาจเจริญ!Q380"")+IMPORTRANGE(""https://docs.google.com/spreadsheets/d/1gF7RJpRnL-1oyjyeWxs5SFWEH7y8ahOZsQlyp2A2e-A/edit?usp=s"&amp;"haring"",""อุดรธานี!Q380"")+IMPORTRANGE(""https://docs.google.com/spreadsheets/d/1kfLP0j3INXRa8bTDpcEmoWewMBV61jlFlfzczfjWIgc/edit?usp=sharing"",""อุบลราชธานี!Q380"")"),4456250)</f>
        <v>4456250</v>
      </c>
      <c r="R380" s="56">
        <f ca="1">IFERROR(__xludf.DUMMYFUNCTION("IMPORTRANGE(""https://docs.google.com/spreadsheets/d/1yhBcrRPreicbMKl9Bu_Snb2-OcQAF62RKfhTLhJ2eAA/edit?usp=sharing"",""กาฬสินธุ์!R380"")+IMPORTRANGE(""https://docs.google.com/spreadsheets/d/1aHkj4IaQMThhwWwevcOymEh837vdxeC_PycurhTbGFA/edit?usp=sharing"","&amp;"""ขอนแก่น!R380"")+IMPORTRANGE(""https://docs.google.com/spreadsheets/d/1FvTu2DsIWUjP6WCWra38Bkj_oOl_sOMf14r5Fg5srxU/edit?usp=sharing"",""ชัยภูมิ!R380"")+IMPORTRANGE(""https://docs.google.com/spreadsheets/d/1XVB7oCJ3pr-vBUdflwPQ8Z2LlzhnCvZaaYjAfP-647E/edit"&amp;"?usp=sharing"",""นครพนม!R380"")+IMPORTRANGE(""https://docs.google.com/spreadsheets/d/1Mnpb-8PYAgn85W6KOTD40hc_Xc55CaLfHoGAbrZ8tls/edit?usp=sharing"",""นครราชสีมา!R380"")+IMPORTRANGE(""https://docs.google.com/spreadsheets/d/1xoDLGBv9CYbyosIhki0kTq6IpYNj-gp"&amp;"jxfobnaDiut0/edit?usp=sharing"",""บึงกาฬ!R380"")+IMPORTRANGE(""https://docs.google.com/spreadsheets/d/1MMPq-JyI6DSgQETxuSiXkesP-P7JHuemnE6QJIa-Nlw/edit?usp=sharing"",""บุรีรัมย์!R380"")+IMPORTRANGE(""https://docs.google.com/spreadsheets/d/1l6IZ8xUPgMrESzc"&amp;"TYwhA1k_tPjeQjJPTqlm8Gd9eU5g/edit?usp=sharing"",""มหาสารคาม!R380"")+IMPORTRANGE(""https://docs.google.com/spreadsheets/d/1uB74YLqNjWX6FObjekfB2NtSYigTQyR2rq9u4Ub2Sq4/edit?usp=sharing"",""มุกดาหาร!R380"")+IMPORTRANGE(""https://docs.google.com/spreadsheets/"&amp;"d/1NexK3geCPxCTO1fzNF8dPec7yZyUx3OaWkFBC9HsQOo/edit?usp=sharing"",""ยโสธร!R380"")+IMPORTRANGE(""https://docs.google.com/spreadsheets/d/1v_cJrbBlyqmnHPReHk44g9NrMRdENNlSy_E_c5M9fIg/edit?usp=sharing"",""ร้อยเอ็ด!R380"")+IMPORTRANGE(""https://docs.google.com"&amp;"/spreadsheets/d/1Ul4RCpCX66NxYADU1QpwAPjOmBzW64SsT11s1wzXw_c/edit?usp=sharing"",""เลย!R380"")+IMPORTRANGE(""https://docs.google.com/spreadsheets/d/1bRrNKwbHDVktQG10isr5vbWRtt5spIZPpkOSWgbT5ug/edit?usp=sharing"",""ศรีสะเกษ!R380"")+IMPORTRANGE(""https://doc"&amp;"s.google.com/spreadsheets/d/17P34_Ow5kFBfdQD0qspb2UuPX5zpi6WMrQzslghyvrI/edit?usp=sharing"",""สกลนคร!R380"")+IMPORTRANGE(""https://docs.google.com/spreadsheets/d/1yswqbM3-AEpThF3ZSUa1AcmHnmRTF1vlJ1CZGcJ8YuU/edit?usp=sharing"",""สุรินทร์!R380"")+IMPORTRANG"&amp;"E(""https://docs.google.com/spreadsheets/d/13JHU_EFbsQOUQ0JSQ3dWy1VTRosIWcDq6Nc99z2qzdc/edit?usp=sharing"",""หนองคาย!R380"")+IMPORTRANGE(""https://docs.google.com/spreadsheets/d/1Hx73zIEgVdDZZaYSTc46Dqv64atFhpr3GelxLbaIN8A/edit?usp=sharing"",""หนองบัวลำภู"&amp;"!R380"")+IMPORTRANGE(""https://docs.google.com/spreadsheets/d/1lFxr3ctmjFN90yc-xV6jrQ9Ty8BKYVBWnAZ15wcNIJc/edit?usp=sharing"",""อำนาจเจริญ!R380"")+IMPORTRANGE(""https://docs.google.com/spreadsheets/d/1gF7RJpRnL-1oyjyeWxs5SFWEH7y8ahOZsQlyp2A2e-A/edit?usp=s"&amp;"haring"",""อุดรธานี!R380"")+IMPORTRANGE(""https://docs.google.com/spreadsheets/d/1kfLP0j3INXRa8bTDpcEmoWewMBV61jlFlfzczfjWIgc/edit?usp=sharing"",""อุบลราชธานี!R380"")"),2768750)</f>
        <v>2768750</v>
      </c>
      <c r="S380" s="57">
        <f ca="1">IFERROR(__xludf.DUMMYFUNCTION("IMPORTRANGE(""https://docs.google.com/spreadsheets/d/1yhBcrRPreicbMKl9Bu_Snb2-OcQAF62RKfhTLhJ2eAA/edit?usp=sharing"",""กาฬสินธุ์!S380"")+IMPORTRANGE(""https://docs.google.com/spreadsheets/d/1aHkj4IaQMThhwWwevcOymEh837vdxeC_PycurhTbGFA/edit?usp=sharing"","&amp;"""ขอนแก่น!S380"")+IMPORTRANGE(""https://docs.google.com/spreadsheets/d/1FvTu2DsIWUjP6WCWra38Bkj_oOl_sOMf14r5Fg5srxU/edit?usp=sharing"",""ชัยภูมิ!S380"")+IMPORTRANGE(""https://docs.google.com/spreadsheets/d/1XVB7oCJ3pr-vBUdflwPQ8Z2LlzhnCvZaaYjAfP-647E/edit"&amp;"?usp=sharing"",""นครพนม!S380"")+IMPORTRANGE(""https://docs.google.com/spreadsheets/d/1Mnpb-8PYAgn85W6KOTD40hc_Xc55CaLfHoGAbrZ8tls/edit?usp=sharing"",""นครราชสีมา!S380"")+IMPORTRANGE(""https://docs.google.com/spreadsheets/d/1xoDLGBv9CYbyosIhki0kTq6IpYNj-gp"&amp;"jxfobnaDiut0/edit?usp=sharing"",""บึงกาฬ!S380"")+IMPORTRANGE(""https://docs.google.com/spreadsheets/d/1MMPq-JyI6DSgQETxuSiXkesP-P7JHuemnE6QJIa-Nlw/edit?usp=sharing"",""บุรีรัมย์!S380"")+IMPORTRANGE(""https://docs.google.com/spreadsheets/d/1l6IZ8xUPgMrESzc"&amp;"TYwhA1k_tPjeQjJPTqlm8Gd9eU5g/edit?usp=sharing"",""มหาสารคาม!S380"")+IMPORTRANGE(""https://docs.google.com/spreadsheets/d/1uB74YLqNjWX6FObjekfB2NtSYigTQyR2rq9u4Ub2Sq4/edit?usp=sharing"",""มุกดาหาร!S380"")+IMPORTRANGE(""https://docs.google.com/spreadsheets/"&amp;"d/1NexK3geCPxCTO1fzNF8dPec7yZyUx3OaWkFBC9HsQOo/edit?usp=sharing"",""ยโสธร!S380"")+IMPORTRANGE(""https://docs.google.com/spreadsheets/d/1v_cJrbBlyqmnHPReHk44g9NrMRdENNlSy_E_c5M9fIg/edit?usp=sharing"",""ร้อยเอ็ด!S380"")+IMPORTRANGE(""https://docs.google.com"&amp;"/spreadsheets/d/1Ul4RCpCX66NxYADU1QpwAPjOmBzW64SsT11s1wzXw_c/edit?usp=sharing"",""เลย!S380"")+IMPORTRANGE(""https://docs.google.com/spreadsheets/d/1bRrNKwbHDVktQG10isr5vbWRtt5spIZPpkOSWgbT5ug/edit?usp=sharing"",""ศรีสะเกษ!S380"")+IMPORTRANGE(""https://doc"&amp;"s.google.com/spreadsheets/d/17P34_Ow5kFBfdQD0qspb2UuPX5zpi6WMrQzslghyvrI/edit?usp=sharing"",""สกลนคร!S380"")+IMPORTRANGE(""https://docs.google.com/spreadsheets/d/1yswqbM3-AEpThF3ZSUa1AcmHnmRTF1vlJ1CZGcJ8YuU/edit?usp=sharing"",""สุรินทร์!S380"")+IMPORTRANG"&amp;"E(""https://docs.google.com/spreadsheets/d/13JHU_EFbsQOUQ0JSQ3dWy1VTRosIWcDq6Nc99z2qzdc/edit?usp=sharing"",""หนองคาย!S380"")+IMPORTRANGE(""https://docs.google.com/spreadsheets/d/1Hx73zIEgVdDZZaYSTc46Dqv64atFhpr3GelxLbaIN8A/edit?usp=sharing"",""หนองบัวลำภู"&amp;"!S380"")+IMPORTRANGE(""https://docs.google.com/spreadsheets/d/1lFxr3ctmjFN90yc-xV6jrQ9Ty8BKYVBWnAZ15wcNIJc/edit?usp=sharing"",""อำนาจเจริญ!S380"")+IMPORTRANGE(""https://docs.google.com/spreadsheets/d/1gF7RJpRnL-1oyjyeWxs5SFWEH7y8ahOZsQlyp2A2e-A/edit?usp=s"&amp;"haring"",""อุดรธานี!S380"")+IMPORTRANGE(""https://docs.google.com/spreadsheets/d/1kfLP0j3INXRa8bTDpcEmoWewMBV61jlFlfzczfjWIgc/edit?usp=sharing"",""อุบลราชธานี!S380"")"),0)</f>
        <v>0</v>
      </c>
      <c r="T380" s="56">
        <f t="shared" ca="1" si="286"/>
        <v>0</v>
      </c>
      <c r="U380" s="56">
        <f t="shared" ca="1" si="287"/>
        <v>0</v>
      </c>
    </row>
    <row r="381" spans="1:21" ht="18.75">
      <c r="A381" s="155"/>
      <c r="B381" s="188"/>
      <c r="C381" s="188"/>
      <c r="D381" s="190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56">
        <f t="shared" ref="L381:N381" ca="1" si="294">L382+L383</f>
        <v>0</v>
      </c>
      <c r="M381" s="56">
        <f t="shared" ca="1" si="294"/>
        <v>0</v>
      </c>
      <c r="N381" s="56">
        <f t="shared" ca="1" si="294"/>
        <v>0</v>
      </c>
      <c r="O381" s="56">
        <f t="shared" ca="1" si="283"/>
        <v>0</v>
      </c>
      <c r="P381" s="56">
        <f t="shared" ca="1" si="284"/>
        <v>0</v>
      </c>
      <c r="Q381" s="56">
        <f t="shared" ref="Q381:S381" ca="1" si="295">Q382+Q383</f>
        <v>0</v>
      </c>
      <c r="R381" s="56">
        <f t="shared" ca="1" si="295"/>
        <v>0</v>
      </c>
      <c r="S381" s="57">
        <f t="shared" ca="1" si="295"/>
        <v>0</v>
      </c>
      <c r="T381" s="56">
        <f t="shared" ca="1" si="286"/>
        <v>0</v>
      </c>
      <c r="U381" s="56">
        <f t="shared" ca="1" si="287"/>
        <v>0</v>
      </c>
    </row>
    <row r="382" spans="1:21" ht="18.75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59">
        <f ca="1">IFERROR(__xludf.DUMMYFUNCTION("IMPORTRANGE(""https://docs.google.com/spreadsheets/d/1yhBcrRPreicbMKl9Bu_Snb2-OcQAF62RKfhTLhJ2eAA/edit?usp=sharing"",""กาฬสินธุ์!L382"")+IMPORTRANGE(""https://docs.google.com/spreadsheets/d/1aHkj4IaQMThhwWwevcOymEh837vdxeC_PycurhTbGFA/edit?usp=sharing"","&amp;"""ขอนแก่น!L382"")+IMPORTRANGE(""https://docs.google.com/spreadsheets/d/1FvTu2DsIWUjP6WCWra38Bkj_oOl_sOMf14r5Fg5srxU/edit?usp=sharing"",""ชัยภูมิ!L382"")+IMPORTRANGE(""https://docs.google.com/spreadsheets/d/1XVB7oCJ3pr-vBUdflwPQ8Z2LlzhnCvZaaYjAfP-647E/edit"&amp;"?usp=sharing"",""นครพนม!L382"")+IMPORTRANGE(""https://docs.google.com/spreadsheets/d/1Mnpb-8PYAgn85W6KOTD40hc_Xc55CaLfHoGAbrZ8tls/edit?usp=sharing"",""นครราชสีมา!L382"")+IMPORTRANGE(""https://docs.google.com/spreadsheets/d/1xoDLGBv9CYbyosIhki0kTq6IpYNj-gp"&amp;"jxfobnaDiut0/edit?usp=sharing"",""บึงกาฬ!L382"")+IMPORTRANGE(""https://docs.google.com/spreadsheets/d/1MMPq-JyI6DSgQETxuSiXkesP-P7JHuemnE6QJIa-Nlw/edit?usp=sharing"",""บุรีรัมย์!L382"")+IMPORTRANGE(""https://docs.google.com/spreadsheets/d/1l6IZ8xUPgMrESzc"&amp;"TYwhA1k_tPjeQjJPTqlm8Gd9eU5g/edit?usp=sharing"",""มหาสารคาม!L382"")+IMPORTRANGE(""https://docs.google.com/spreadsheets/d/1uB74YLqNjWX6FObjekfB2NtSYigTQyR2rq9u4Ub2Sq4/edit?usp=sharing"",""มุกดาหาร!L382"")+IMPORTRANGE(""https://docs.google.com/spreadsheets/"&amp;"d/1NexK3geCPxCTO1fzNF8dPec7yZyUx3OaWkFBC9HsQOo/edit?usp=sharing"",""ยโสธร!L382"")+IMPORTRANGE(""https://docs.google.com/spreadsheets/d/1v_cJrbBlyqmnHPReHk44g9NrMRdENNlSy_E_c5M9fIg/edit?usp=sharing"",""ร้อยเอ็ด!L382"")+IMPORTRANGE(""https://docs.google.com"&amp;"/spreadsheets/d/1Ul4RCpCX66NxYADU1QpwAPjOmBzW64SsT11s1wzXw_c/edit?usp=sharing"",""เลย!L382"")+IMPORTRANGE(""https://docs.google.com/spreadsheets/d/1bRrNKwbHDVktQG10isr5vbWRtt5spIZPpkOSWgbT5ug/edit?usp=sharing"",""ศรีสะเกษ!L382"")+IMPORTRANGE(""https://doc"&amp;"s.google.com/spreadsheets/d/17P34_Ow5kFBfdQD0qspb2UuPX5zpi6WMrQzslghyvrI/edit?usp=sharing"",""สกลนคร!L382"")+IMPORTRANGE(""https://docs.google.com/spreadsheets/d/1yswqbM3-AEpThF3ZSUa1AcmHnmRTF1vlJ1CZGcJ8YuU/edit?usp=sharing"",""สุรินทร์!L382"")+IMPORTRANG"&amp;"E(""https://docs.google.com/spreadsheets/d/13JHU_EFbsQOUQ0JSQ3dWy1VTRosIWcDq6Nc99z2qzdc/edit?usp=sharing"",""หนองคาย!L382"")+IMPORTRANGE(""https://docs.google.com/spreadsheets/d/1Hx73zIEgVdDZZaYSTc46Dqv64atFhpr3GelxLbaIN8A/edit?usp=sharing"",""หนองบัวลำภู"&amp;"!L382"")+IMPORTRANGE(""https://docs.google.com/spreadsheets/d/1lFxr3ctmjFN90yc-xV6jrQ9Ty8BKYVBWnAZ15wcNIJc/edit?usp=sharing"",""อำนาจเจริญ!L382"")+IMPORTRANGE(""https://docs.google.com/spreadsheets/d/1gF7RJpRnL-1oyjyeWxs5SFWEH7y8ahOZsQlyp2A2e-A/edit?usp=s"&amp;"haring"",""อุดรธานี!L382"")+IMPORTRANGE(""https://docs.google.com/spreadsheets/d/1kfLP0j3INXRa8bTDpcEmoWewMBV61jlFlfzczfjWIgc/edit?usp=sharing"",""อุบลราชธานี!L382"")"),0)</f>
        <v>0</v>
      </c>
      <c r="M382" s="59">
        <f ca="1">IFERROR(__xludf.DUMMYFUNCTION("IMPORTRANGE(""https://docs.google.com/spreadsheets/d/1yhBcrRPreicbMKl9Bu_Snb2-OcQAF62RKfhTLhJ2eAA/edit?usp=sharing"",""กาฬสินธุ์!M382"")+IMPORTRANGE(""https://docs.google.com/spreadsheets/d/1aHkj4IaQMThhwWwevcOymEh837vdxeC_PycurhTbGFA/edit?usp=sharing"","&amp;"""ขอนแก่น!M382"")+IMPORTRANGE(""https://docs.google.com/spreadsheets/d/1FvTu2DsIWUjP6WCWra38Bkj_oOl_sOMf14r5Fg5srxU/edit?usp=sharing"",""ชัยภูมิ!M382"")+IMPORTRANGE(""https://docs.google.com/spreadsheets/d/1XVB7oCJ3pr-vBUdflwPQ8Z2LlzhnCvZaaYjAfP-647E/edit"&amp;"?usp=sharing"",""นครพนม!M382"")+IMPORTRANGE(""https://docs.google.com/spreadsheets/d/1Mnpb-8PYAgn85W6KOTD40hc_Xc55CaLfHoGAbrZ8tls/edit?usp=sharing"",""นครราชสีมา!M382"")+IMPORTRANGE(""https://docs.google.com/spreadsheets/d/1xoDLGBv9CYbyosIhki0kTq6IpYNj-gp"&amp;"jxfobnaDiut0/edit?usp=sharing"",""บึงกาฬ!M382"")+IMPORTRANGE(""https://docs.google.com/spreadsheets/d/1MMPq-JyI6DSgQETxuSiXkesP-P7JHuemnE6QJIa-Nlw/edit?usp=sharing"",""บุรีรัมย์!M382"")+IMPORTRANGE(""https://docs.google.com/spreadsheets/d/1l6IZ8xUPgMrESzc"&amp;"TYwhA1k_tPjeQjJPTqlm8Gd9eU5g/edit?usp=sharing"",""มหาสารคาม!M382"")+IMPORTRANGE(""https://docs.google.com/spreadsheets/d/1uB74YLqNjWX6FObjekfB2NtSYigTQyR2rq9u4Ub2Sq4/edit?usp=sharing"",""มุกดาหาร!M382"")+IMPORTRANGE(""https://docs.google.com/spreadsheets/"&amp;"d/1NexK3geCPxCTO1fzNF8dPec7yZyUx3OaWkFBC9HsQOo/edit?usp=sharing"",""ยโสธร!M382"")+IMPORTRANGE(""https://docs.google.com/spreadsheets/d/1v_cJrbBlyqmnHPReHk44g9NrMRdENNlSy_E_c5M9fIg/edit?usp=sharing"",""ร้อยเอ็ด!M382"")+IMPORTRANGE(""https://docs.google.com"&amp;"/spreadsheets/d/1Ul4RCpCX66NxYADU1QpwAPjOmBzW64SsT11s1wzXw_c/edit?usp=sharing"",""เลย!M382"")+IMPORTRANGE(""https://docs.google.com/spreadsheets/d/1bRrNKwbHDVktQG10isr5vbWRtt5spIZPpkOSWgbT5ug/edit?usp=sharing"",""ศรีสะเกษ!M382"")+IMPORTRANGE(""https://doc"&amp;"s.google.com/spreadsheets/d/17P34_Ow5kFBfdQD0qspb2UuPX5zpi6WMrQzslghyvrI/edit?usp=sharing"",""สกลนคร!M382"")+IMPORTRANGE(""https://docs.google.com/spreadsheets/d/1yswqbM3-AEpThF3ZSUa1AcmHnmRTF1vlJ1CZGcJ8YuU/edit?usp=sharing"",""สุรินทร์!M382"")+IMPORTRANG"&amp;"E(""https://docs.google.com/spreadsheets/d/13JHU_EFbsQOUQ0JSQ3dWy1VTRosIWcDq6Nc99z2qzdc/edit?usp=sharing"",""หนองคาย!M382"")+IMPORTRANGE(""https://docs.google.com/spreadsheets/d/1Hx73zIEgVdDZZaYSTc46Dqv64atFhpr3GelxLbaIN8A/edit?usp=sharing"",""หนองบัวลำภู"&amp;"!M382"")+IMPORTRANGE(""https://docs.google.com/spreadsheets/d/1lFxr3ctmjFN90yc-xV6jrQ9Ty8BKYVBWnAZ15wcNIJc/edit?usp=sharing"",""อำนาจเจริญ!M382"")+IMPORTRANGE(""https://docs.google.com/spreadsheets/d/1gF7RJpRnL-1oyjyeWxs5SFWEH7y8ahOZsQlyp2A2e-A/edit?usp=s"&amp;"haring"",""อุดรธานี!M382"")+IMPORTRANGE(""https://docs.google.com/spreadsheets/d/1kfLP0j3INXRa8bTDpcEmoWewMBV61jlFlfzczfjWIgc/edit?usp=sharing"",""อุบลราชธานี!M382"")"),0)</f>
        <v>0</v>
      </c>
      <c r="N382" s="59">
        <f ca="1">IFERROR(__xludf.DUMMYFUNCTION("IMPORTRANGE(""https://docs.google.com/spreadsheets/d/1yhBcrRPreicbMKl9Bu_Snb2-OcQAF62RKfhTLhJ2eAA/edit?usp=sharing"",""กาฬสินธุ์!N382"")+IMPORTRANGE(""https://docs.google.com/spreadsheets/d/1aHkj4IaQMThhwWwevcOymEh837vdxeC_PycurhTbGFA/edit?usp=sharing"","&amp;"""ขอนแก่น!N382"")+IMPORTRANGE(""https://docs.google.com/spreadsheets/d/1FvTu2DsIWUjP6WCWra38Bkj_oOl_sOMf14r5Fg5srxU/edit?usp=sharing"",""ชัยภูมิ!N382"")+IMPORTRANGE(""https://docs.google.com/spreadsheets/d/1XVB7oCJ3pr-vBUdflwPQ8Z2LlzhnCvZaaYjAfP-647E/edit"&amp;"?usp=sharing"",""นครพนม!N382"")+IMPORTRANGE(""https://docs.google.com/spreadsheets/d/1Mnpb-8PYAgn85W6KOTD40hc_Xc55CaLfHoGAbrZ8tls/edit?usp=sharing"",""นครราชสีมา!N382"")+IMPORTRANGE(""https://docs.google.com/spreadsheets/d/1xoDLGBv9CYbyosIhki0kTq6IpYNj-gp"&amp;"jxfobnaDiut0/edit?usp=sharing"",""บึงกาฬ!N382"")+IMPORTRANGE(""https://docs.google.com/spreadsheets/d/1MMPq-JyI6DSgQETxuSiXkesP-P7JHuemnE6QJIa-Nlw/edit?usp=sharing"",""บุรีรัมย์!N382"")+IMPORTRANGE(""https://docs.google.com/spreadsheets/d/1l6IZ8xUPgMrESzc"&amp;"TYwhA1k_tPjeQjJPTqlm8Gd9eU5g/edit?usp=sharing"",""มหาสารคาม!N382"")+IMPORTRANGE(""https://docs.google.com/spreadsheets/d/1uB74YLqNjWX6FObjekfB2NtSYigTQyR2rq9u4Ub2Sq4/edit?usp=sharing"",""มุกดาหาร!N382"")+IMPORTRANGE(""https://docs.google.com/spreadsheets/"&amp;"d/1NexK3geCPxCTO1fzNF8dPec7yZyUx3OaWkFBC9HsQOo/edit?usp=sharing"",""ยโสธร!N382"")+IMPORTRANGE(""https://docs.google.com/spreadsheets/d/1v_cJrbBlyqmnHPReHk44g9NrMRdENNlSy_E_c5M9fIg/edit?usp=sharing"",""ร้อยเอ็ด!N382"")+IMPORTRANGE(""https://docs.google.com"&amp;"/spreadsheets/d/1Ul4RCpCX66NxYADU1QpwAPjOmBzW64SsT11s1wzXw_c/edit?usp=sharing"",""เลย!N382"")+IMPORTRANGE(""https://docs.google.com/spreadsheets/d/1bRrNKwbHDVktQG10isr5vbWRtt5spIZPpkOSWgbT5ug/edit?usp=sharing"",""ศรีสะเกษ!N382"")+IMPORTRANGE(""https://doc"&amp;"s.google.com/spreadsheets/d/17P34_Ow5kFBfdQD0qspb2UuPX5zpi6WMrQzslghyvrI/edit?usp=sharing"",""สกลนคร!N382"")+IMPORTRANGE(""https://docs.google.com/spreadsheets/d/1yswqbM3-AEpThF3ZSUa1AcmHnmRTF1vlJ1CZGcJ8YuU/edit?usp=sharing"",""สุรินทร์!N382"")+IMPORTRANG"&amp;"E(""https://docs.google.com/spreadsheets/d/13JHU_EFbsQOUQ0JSQ3dWy1VTRosIWcDq6Nc99z2qzdc/edit?usp=sharing"",""หนองคาย!N382"")+IMPORTRANGE(""https://docs.google.com/spreadsheets/d/1Hx73zIEgVdDZZaYSTc46Dqv64atFhpr3GelxLbaIN8A/edit?usp=sharing"",""หนองบัวลำภู"&amp;"!N382"")+IMPORTRANGE(""https://docs.google.com/spreadsheets/d/1lFxr3ctmjFN90yc-xV6jrQ9Ty8BKYVBWnAZ15wcNIJc/edit?usp=sharing"",""อำนาจเจริญ!N382"")+IMPORTRANGE(""https://docs.google.com/spreadsheets/d/1gF7RJpRnL-1oyjyeWxs5SFWEH7y8ahOZsQlyp2A2e-A/edit?usp=s"&amp;"haring"",""อุดรธานี!N382"")+IMPORTRANGE(""https://docs.google.com/spreadsheets/d/1kfLP0j3INXRa8bTDpcEmoWewMBV61jlFlfzczfjWIgc/edit?usp=sharing"",""อุบลราชธานี!N382"")"),0)</f>
        <v>0</v>
      </c>
      <c r="O382" s="59">
        <f t="shared" ca="1" si="283"/>
        <v>0</v>
      </c>
      <c r="P382" s="59">
        <f t="shared" ca="1" si="284"/>
        <v>0</v>
      </c>
      <c r="Q382" s="59">
        <f ca="1">IFERROR(__xludf.DUMMYFUNCTION("IMPORTRANGE(""https://docs.google.com/spreadsheets/d/1yhBcrRPreicbMKl9Bu_Snb2-OcQAF62RKfhTLhJ2eAA/edit?usp=sharing"",""กาฬสินธุ์!Q382"")+IMPORTRANGE(""https://docs.google.com/spreadsheets/d/1aHkj4IaQMThhwWwevcOymEh837vdxeC_PycurhTbGFA/edit?usp=sharing"","&amp;"""ขอนแก่น!Q382"")+IMPORTRANGE(""https://docs.google.com/spreadsheets/d/1FvTu2DsIWUjP6WCWra38Bkj_oOl_sOMf14r5Fg5srxU/edit?usp=sharing"",""ชัยภูมิ!Q382"")+IMPORTRANGE(""https://docs.google.com/spreadsheets/d/1XVB7oCJ3pr-vBUdflwPQ8Z2LlzhnCvZaaYjAfP-647E/edit"&amp;"?usp=sharing"",""นครพนม!Q382"")+IMPORTRANGE(""https://docs.google.com/spreadsheets/d/1Mnpb-8PYAgn85W6KOTD40hc_Xc55CaLfHoGAbrZ8tls/edit?usp=sharing"",""นครราชสีมา!Q382"")+IMPORTRANGE(""https://docs.google.com/spreadsheets/d/1xoDLGBv9CYbyosIhki0kTq6IpYNj-gp"&amp;"jxfobnaDiut0/edit?usp=sharing"",""บึงกาฬ!Q382"")+IMPORTRANGE(""https://docs.google.com/spreadsheets/d/1MMPq-JyI6DSgQETxuSiXkesP-P7JHuemnE6QJIa-Nlw/edit?usp=sharing"",""บุรีรัมย์!Q382"")+IMPORTRANGE(""https://docs.google.com/spreadsheets/d/1l6IZ8xUPgMrESzc"&amp;"TYwhA1k_tPjeQjJPTqlm8Gd9eU5g/edit?usp=sharing"",""มหาสารคาม!Q382"")+IMPORTRANGE(""https://docs.google.com/spreadsheets/d/1uB74YLqNjWX6FObjekfB2NtSYigTQyR2rq9u4Ub2Sq4/edit?usp=sharing"",""มุกดาหาร!Q382"")+IMPORTRANGE(""https://docs.google.com/spreadsheets/"&amp;"d/1NexK3geCPxCTO1fzNF8dPec7yZyUx3OaWkFBC9HsQOo/edit?usp=sharing"",""ยโสธร!Q382"")+IMPORTRANGE(""https://docs.google.com/spreadsheets/d/1v_cJrbBlyqmnHPReHk44g9NrMRdENNlSy_E_c5M9fIg/edit?usp=sharing"",""ร้อยเอ็ด!Q382"")+IMPORTRANGE(""https://docs.google.com"&amp;"/spreadsheets/d/1Ul4RCpCX66NxYADU1QpwAPjOmBzW64SsT11s1wzXw_c/edit?usp=sharing"",""เลย!Q382"")+IMPORTRANGE(""https://docs.google.com/spreadsheets/d/1bRrNKwbHDVktQG10isr5vbWRtt5spIZPpkOSWgbT5ug/edit?usp=sharing"",""ศรีสะเกษ!Q382"")+IMPORTRANGE(""https://doc"&amp;"s.google.com/spreadsheets/d/17P34_Ow5kFBfdQD0qspb2UuPX5zpi6WMrQzslghyvrI/edit?usp=sharing"",""สกลนคร!Q382"")+IMPORTRANGE(""https://docs.google.com/spreadsheets/d/1yswqbM3-AEpThF3ZSUa1AcmHnmRTF1vlJ1CZGcJ8YuU/edit?usp=sharing"",""สุรินทร์!Q382"")+IMPORTRANG"&amp;"E(""https://docs.google.com/spreadsheets/d/13JHU_EFbsQOUQ0JSQ3dWy1VTRosIWcDq6Nc99z2qzdc/edit?usp=sharing"",""หนองคาย!Q382"")+IMPORTRANGE(""https://docs.google.com/spreadsheets/d/1Hx73zIEgVdDZZaYSTc46Dqv64atFhpr3GelxLbaIN8A/edit?usp=sharing"",""หนองบัวลำภู"&amp;"!Q382"")+IMPORTRANGE(""https://docs.google.com/spreadsheets/d/1lFxr3ctmjFN90yc-xV6jrQ9Ty8BKYVBWnAZ15wcNIJc/edit?usp=sharing"",""อำนาจเจริญ!Q382"")+IMPORTRANGE(""https://docs.google.com/spreadsheets/d/1gF7RJpRnL-1oyjyeWxs5SFWEH7y8ahOZsQlyp2A2e-A/edit?usp=s"&amp;"haring"",""อุดรธานี!Q382"")+IMPORTRANGE(""https://docs.google.com/spreadsheets/d/1kfLP0j3INXRa8bTDpcEmoWewMBV61jlFlfzczfjWIgc/edit?usp=sharing"",""อุบลราชธานี!Q382"")"),0)</f>
        <v>0</v>
      </c>
      <c r="R382" s="59">
        <f ca="1">IFERROR(__xludf.DUMMYFUNCTION("IMPORTRANGE(""https://docs.google.com/spreadsheets/d/1yhBcrRPreicbMKl9Bu_Snb2-OcQAF62RKfhTLhJ2eAA/edit?usp=sharing"",""กาฬสินธุ์!R382"")+IMPORTRANGE(""https://docs.google.com/spreadsheets/d/1aHkj4IaQMThhwWwevcOymEh837vdxeC_PycurhTbGFA/edit?usp=sharing"","&amp;"""ขอนแก่น!R382"")+IMPORTRANGE(""https://docs.google.com/spreadsheets/d/1FvTu2DsIWUjP6WCWra38Bkj_oOl_sOMf14r5Fg5srxU/edit?usp=sharing"",""ชัยภูมิ!R382"")+IMPORTRANGE(""https://docs.google.com/spreadsheets/d/1XVB7oCJ3pr-vBUdflwPQ8Z2LlzhnCvZaaYjAfP-647E/edit"&amp;"?usp=sharing"",""นครพนม!R382"")+IMPORTRANGE(""https://docs.google.com/spreadsheets/d/1Mnpb-8PYAgn85W6KOTD40hc_Xc55CaLfHoGAbrZ8tls/edit?usp=sharing"",""นครราชสีมา!R382"")+IMPORTRANGE(""https://docs.google.com/spreadsheets/d/1xoDLGBv9CYbyosIhki0kTq6IpYNj-gp"&amp;"jxfobnaDiut0/edit?usp=sharing"",""บึงกาฬ!R382"")+IMPORTRANGE(""https://docs.google.com/spreadsheets/d/1MMPq-JyI6DSgQETxuSiXkesP-P7JHuemnE6QJIa-Nlw/edit?usp=sharing"",""บุรีรัมย์!R382"")+IMPORTRANGE(""https://docs.google.com/spreadsheets/d/1l6IZ8xUPgMrESzc"&amp;"TYwhA1k_tPjeQjJPTqlm8Gd9eU5g/edit?usp=sharing"",""มหาสารคาม!R382"")+IMPORTRANGE(""https://docs.google.com/spreadsheets/d/1uB74YLqNjWX6FObjekfB2NtSYigTQyR2rq9u4Ub2Sq4/edit?usp=sharing"",""มุกดาหาร!R382"")+IMPORTRANGE(""https://docs.google.com/spreadsheets/"&amp;"d/1NexK3geCPxCTO1fzNF8dPec7yZyUx3OaWkFBC9HsQOo/edit?usp=sharing"",""ยโสธร!R382"")+IMPORTRANGE(""https://docs.google.com/spreadsheets/d/1v_cJrbBlyqmnHPReHk44g9NrMRdENNlSy_E_c5M9fIg/edit?usp=sharing"",""ร้อยเอ็ด!R382"")+IMPORTRANGE(""https://docs.google.com"&amp;"/spreadsheets/d/1Ul4RCpCX66NxYADU1QpwAPjOmBzW64SsT11s1wzXw_c/edit?usp=sharing"",""เลย!R382"")+IMPORTRANGE(""https://docs.google.com/spreadsheets/d/1bRrNKwbHDVktQG10isr5vbWRtt5spIZPpkOSWgbT5ug/edit?usp=sharing"",""ศรีสะเกษ!R382"")+IMPORTRANGE(""https://doc"&amp;"s.google.com/spreadsheets/d/17P34_Ow5kFBfdQD0qspb2UuPX5zpi6WMrQzslghyvrI/edit?usp=sharing"",""สกลนคร!R382"")+IMPORTRANGE(""https://docs.google.com/spreadsheets/d/1yswqbM3-AEpThF3ZSUa1AcmHnmRTF1vlJ1CZGcJ8YuU/edit?usp=sharing"",""สุรินทร์!R382"")+IMPORTRANG"&amp;"E(""https://docs.google.com/spreadsheets/d/13JHU_EFbsQOUQ0JSQ3dWy1VTRosIWcDq6Nc99z2qzdc/edit?usp=sharing"",""หนองคาย!R382"")+IMPORTRANGE(""https://docs.google.com/spreadsheets/d/1Hx73zIEgVdDZZaYSTc46Dqv64atFhpr3GelxLbaIN8A/edit?usp=sharing"",""หนองบัวลำภู"&amp;"!R382"")+IMPORTRANGE(""https://docs.google.com/spreadsheets/d/1lFxr3ctmjFN90yc-xV6jrQ9Ty8BKYVBWnAZ15wcNIJc/edit?usp=sharing"",""อำนาจเจริญ!R382"")+IMPORTRANGE(""https://docs.google.com/spreadsheets/d/1gF7RJpRnL-1oyjyeWxs5SFWEH7y8ahOZsQlyp2A2e-A/edit?usp=s"&amp;"haring"",""อุดรธานี!R382"")+IMPORTRANGE(""https://docs.google.com/spreadsheets/d/1kfLP0j3INXRa8bTDpcEmoWewMBV61jlFlfzczfjWIgc/edit?usp=sharing"",""อุบลราชธานี!R382"")"),0)</f>
        <v>0</v>
      </c>
      <c r="S382" s="60">
        <f ca="1">IFERROR(__xludf.DUMMYFUNCTION("IMPORTRANGE(""https://docs.google.com/spreadsheets/d/1yhBcrRPreicbMKl9Bu_Snb2-OcQAF62RKfhTLhJ2eAA/edit?usp=sharing"",""กาฬสินธุ์!S382"")+IMPORTRANGE(""https://docs.google.com/spreadsheets/d/1aHkj4IaQMThhwWwevcOymEh837vdxeC_PycurhTbGFA/edit?usp=sharing"","&amp;"""ขอนแก่น!S382"")+IMPORTRANGE(""https://docs.google.com/spreadsheets/d/1FvTu2DsIWUjP6WCWra38Bkj_oOl_sOMf14r5Fg5srxU/edit?usp=sharing"",""ชัยภูมิ!S382"")+IMPORTRANGE(""https://docs.google.com/spreadsheets/d/1XVB7oCJ3pr-vBUdflwPQ8Z2LlzhnCvZaaYjAfP-647E/edit"&amp;"?usp=sharing"",""นครพนม!S382"")+IMPORTRANGE(""https://docs.google.com/spreadsheets/d/1Mnpb-8PYAgn85W6KOTD40hc_Xc55CaLfHoGAbrZ8tls/edit?usp=sharing"",""นครราชสีมา!S382"")+IMPORTRANGE(""https://docs.google.com/spreadsheets/d/1xoDLGBv9CYbyosIhki0kTq6IpYNj-gp"&amp;"jxfobnaDiut0/edit?usp=sharing"",""บึงกาฬ!S382"")+IMPORTRANGE(""https://docs.google.com/spreadsheets/d/1MMPq-JyI6DSgQETxuSiXkesP-P7JHuemnE6QJIa-Nlw/edit?usp=sharing"",""บุรีรัมย์!S382"")+IMPORTRANGE(""https://docs.google.com/spreadsheets/d/1l6IZ8xUPgMrESzc"&amp;"TYwhA1k_tPjeQjJPTqlm8Gd9eU5g/edit?usp=sharing"",""มหาสารคาม!S382"")+IMPORTRANGE(""https://docs.google.com/spreadsheets/d/1uB74YLqNjWX6FObjekfB2NtSYigTQyR2rq9u4Ub2Sq4/edit?usp=sharing"",""มุกดาหาร!S382"")+IMPORTRANGE(""https://docs.google.com/spreadsheets/"&amp;"d/1NexK3geCPxCTO1fzNF8dPec7yZyUx3OaWkFBC9HsQOo/edit?usp=sharing"",""ยโสธร!S382"")+IMPORTRANGE(""https://docs.google.com/spreadsheets/d/1v_cJrbBlyqmnHPReHk44g9NrMRdENNlSy_E_c5M9fIg/edit?usp=sharing"",""ร้อยเอ็ด!S382"")+IMPORTRANGE(""https://docs.google.com"&amp;"/spreadsheets/d/1Ul4RCpCX66NxYADU1QpwAPjOmBzW64SsT11s1wzXw_c/edit?usp=sharing"",""เลย!S382"")+IMPORTRANGE(""https://docs.google.com/spreadsheets/d/1bRrNKwbHDVktQG10isr5vbWRtt5spIZPpkOSWgbT5ug/edit?usp=sharing"",""ศรีสะเกษ!S382"")+IMPORTRANGE(""https://doc"&amp;"s.google.com/spreadsheets/d/17P34_Ow5kFBfdQD0qspb2UuPX5zpi6WMrQzslghyvrI/edit?usp=sharing"",""สกลนคร!S382"")+IMPORTRANGE(""https://docs.google.com/spreadsheets/d/1yswqbM3-AEpThF3ZSUa1AcmHnmRTF1vlJ1CZGcJ8YuU/edit?usp=sharing"",""สุรินทร์!S382"")+IMPORTRANG"&amp;"E(""https://docs.google.com/spreadsheets/d/13JHU_EFbsQOUQ0JSQ3dWy1VTRosIWcDq6Nc99z2qzdc/edit?usp=sharing"",""หนองคาย!S382"")+IMPORTRANGE(""https://docs.google.com/spreadsheets/d/1Hx73zIEgVdDZZaYSTc46Dqv64atFhpr3GelxLbaIN8A/edit?usp=sharing"",""หนองบัวลำภู"&amp;"!S382"")+IMPORTRANGE(""https://docs.google.com/spreadsheets/d/1lFxr3ctmjFN90yc-xV6jrQ9Ty8BKYVBWnAZ15wcNIJc/edit?usp=sharing"",""อำนาจเจริญ!S382"")+IMPORTRANGE(""https://docs.google.com/spreadsheets/d/1gF7RJpRnL-1oyjyeWxs5SFWEH7y8ahOZsQlyp2A2e-A/edit?usp=s"&amp;"haring"",""อุดรธานี!S382"")+IMPORTRANGE(""https://docs.google.com/spreadsheets/d/1kfLP0j3INXRa8bTDpcEmoWewMBV61jlFlfzczfjWIgc/edit?usp=sharing"",""อุบลราชธานี!S382"")"),0)</f>
        <v>0</v>
      </c>
      <c r="T382" s="59">
        <f t="shared" ca="1" si="286"/>
        <v>0</v>
      </c>
      <c r="U382" s="59">
        <f t="shared" ca="1" si="287"/>
        <v>0</v>
      </c>
    </row>
    <row r="383" spans="1:21" ht="18.75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56">
        <f ca="1">IFERROR(__xludf.DUMMYFUNCTION("IMPORTRANGE(""https://docs.google.com/spreadsheets/d/1yhBcrRPreicbMKl9Bu_Snb2-OcQAF62RKfhTLhJ2eAA/edit?usp=sharing"",""กาฬสินธุ์!L383"")+IMPORTRANGE(""https://docs.google.com/spreadsheets/d/1aHkj4IaQMThhwWwevcOymEh837vdxeC_PycurhTbGFA/edit?usp=sharing"","&amp;"""ขอนแก่น!L383"")+IMPORTRANGE(""https://docs.google.com/spreadsheets/d/1FvTu2DsIWUjP6WCWra38Bkj_oOl_sOMf14r5Fg5srxU/edit?usp=sharing"",""ชัยภูมิ!L383"")+IMPORTRANGE(""https://docs.google.com/spreadsheets/d/1XVB7oCJ3pr-vBUdflwPQ8Z2LlzhnCvZaaYjAfP-647E/edit"&amp;"?usp=sharing"",""นครพนม!L383"")+IMPORTRANGE(""https://docs.google.com/spreadsheets/d/1Mnpb-8PYAgn85W6KOTD40hc_Xc55CaLfHoGAbrZ8tls/edit?usp=sharing"",""นครราชสีมา!L383"")+IMPORTRANGE(""https://docs.google.com/spreadsheets/d/1xoDLGBv9CYbyosIhki0kTq6IpYNj-gp"&amp;"jxfobnaDiut0/edit?usp=sharing"",""บึงกาฬ!L383"")+IMPORTRANGE(""https://docs.google.com/spreadsheets/d/1MMPq-JyI6DSgQETxuSiXkesP-P7JHuemnE6QJIa-Nlw/edit?usp=sharing"",""บุรีรัมย์!L383"")+IMPORTRANGE(""https://docs.google.com/spreadsheets/d/1l6IZ8xUPgMrESzc"&amp;"TYwhA1k_tPjeQjJPTqlm8Gd9eU5g/edit?usp=sharing"",""มหาสารคาม!L383"")+IMPORTRANGE(""https://docs.google.com/spreadsheets/d/1uB74YLqNjWX6FObjekfB2NtSYigTQyR2rq9u4Ub2Sq4/edit?usp=sharing"",""มุกดาหาร!L383"")+IMPORTRANGE(""https://docs.google.com/spreadsheets/"&amp;"d/1NexK3geCPxCTO1fzNF8dPec7yZyUx3OaWkFBC9HsQOo/edit?usp=sharing"",""ยโสธร!L383"")+IMPORTRANGE(""https://docs.google.com/spreadsheets/d/1v_cJrbBlyqmnHPReHk44g9NrMRdENNlSy_E_c5M9fIg/edit?usp=sharing"",""ร้อยเอ็ด!L383"")+IMPORTRANGE(""https://docs.google.com"&amp;"/spreadsheets/d/1Ul4RCpCX66NxYADU1QpwAPjOmBzW64SsT11s1wzXw_c/edit?usp=sharing"",""เลย!L383"")+IMPORTRANGE(""https://docs.google.com/spreadsheets/d/1bRrNKwbHDVktQG10isr5vbWRtt5spIZPpkOSWgbT5ug/edit?usp=sharing"",""ศรีสะเกษ!L383"")+IMPORTRANGE(""https://doc"&amp;"s.google.com/spreadsheets/d/17P34_Ow5kFBfdQD0qspb2UuPX5zpi6WMrQzslghyvrI/edit?usp=sharing"",""สกลนคร!L383"")+IMPORTRANGE(""https://docs.google.com/spreadsheets/d/1yswqbM3-AEpThF3ZSUa1AcmHnmRTF1vlJ1CZGcJ8YuU/edit?usp=sharing"",""สุรินทร์!L383"")+IMPORTRANG"&amp;"E(""https://docs.google.com/spreadsheets/d/13JHU_EFbsQOUQ0JSQ3dWy1VTRosIWcDq6Nc99z2qzdc/edit?usp=sharing"",""หนองคาย!L383"")+IMPORTRANGE(""https://docs.google.com/spreadsheets/d/1Hx73zIEgVdDZZaYSTc46Dqv64atFhpr3GelxLbaIN8A/edit?usp=sharing"",""หนองบัวลำภู"&amp;"!L383"")+IMPORTRANGE(""https://docs.google.com/spreadsheets/d/1lFxr3ctmjFN90yc-xV6jrQ9Ty8BKYVBWnAZ15wcNIJc/edit?usp=sharing"",""อำนาจเจริญ!L383"")+IMPORTRANGE(""https://docs.google.com/spreadsheets/d/1gF7RJpRnL-1oyjyeWxs5SFWEH7y8ahOZsQlyp2A2e-A/edit?usp=s"&amp;"haring"",""อุดรธานี!L383"")+IMPORTRANGE(""https://docs.google.com/spreadsheets/d/1kfLP0j3INXRa8bTDpcEmoWewMBV61jlFlfzczfjWIgc/edit?usp=sharing"",""อุบลราชธานี!L383"")"),0)</f>
        <v>0</v>
      </c>
      <c r="M383" s="56">
        <f ca="1">IFERROR(__xludf.DUMMYFUNCTION("IMPORTRANGE(""https://docs.google.com/spreadsheets/d/1yhBcrRPreicbMKl9Bu_Snb2-OcQAF62RKfhTLhJ2eAA/edit?usp=sharing"",""กาฬสินธุ์!M383"")+IMPORTRANGE(""https://docs.google.com/spreadsheets/d/1aHkj4IaQMThhwWwevcOymEh837vdxeC_PycurhTbGFA/edit?usp=sharing"","&amp;"""ขอนแก่น!M383"")+IMPORTRANGE(""https://docs.google.com/spreadsheets/d/1FvTu2DsIWUjP6WCWra38Bkj_oOl_sOMf14r5Fg5srxU/edit?usp=sharing"",""ชัยภูมิ!M383"")+IMPORTRANGE(""https://docs.google.com/spreadsheets/d/1XVB7oCJ3pr-vBUdflwPQ8Z2LlzhnCvZaaYjAfP-647E/edit"&amp;"?usp=sharing"",""นครพนม!M383"")+IMPORTRANGE(""https://docs.google.com/spreadsheets/d/1Mnpb-8PYAgn85W6KOTD40hc_Xc55CaLfHoGAbrZ8tls/edit?usp=sharing"",""นครราชสีมา!M383"")+IMPORTRANGE(""https://docs.google.com/spreadsheets/d/1xoDLGBv9CYbyosIhki0kTq6IpYNj-gp"&amp;"jxfobnaDiut0/edit?usp=sharing"",""บึงกาฬ!M383"")+IMPORTRANGE(""https://docs.google.com/spreadsheets/d/1MMPq-JyI6DSgQETxuSiXkesP-P7JHuemnE6QJIa-Nlw/edit?usp=sharing"",""บุรีรัมย์!M383"")+IMPORTRANGE(""https://docs.google.com/spreadsheets/d/1l6IZ8xUPgMrESzc"&amp;"TYwhA1k_tPjeQjJPTqlm8Gd9eU5g/edit?usp=sharing"",""มหาสารคาม!M383"")+IMPORTRANGE(""https://docs.google.com/spreadsheets/d/1uB74YLqNjWX6FObjekfB2NtSYigTQyR2rq9u4Ub2Sq4/edit?usp=sharing"",""มุกดาหาร!M383"")+IMPORTRANGE(""https://docs.google.com/spreadsheets/"&amp;"d/1NexK3geCPxCTO1fzNF8dPec7yZyUx3OaWkFBC9HsQOo/edit?usp=sharing"",""ยโสธร!M383"")+IMPORTRANGE(""https://docs.google.com/spreadsheets/d/1v_cJrbBlyqmnHPReHk44g9NrMRdENNlSy_E_c5M9fIg/edit?usp=sharing"",""ร้อยเอ็ด!M383"")+IMPORTRANGE(""https://docs.google.com"&amp;"/spreadsheets/d/1Ul4RCpCX66NxYADU1QpwAPjOmBzW64SsT11s1wzXw_c/edit?usp=sharing"",""เลย!M383"")+IMPORTRANGE(""https://docs.google.com/spreadsheets/d/1bRrNKwbHDVktQG10isr5vbWRtt5spIZPpkOSWgbT5ug/edit?usp=sharing"",""ศรีสะเกษ!M383"")+IMPORTRANGE(""https://doc"&amp;"s.google.com/spreadsheets/d/17P34_Ow5kFBfdQD0qspb2UuPX5zpi6WMrQzslghyvrI/edit?usp=sharing"",""สกลนคร!M383"")+IMPORTRANGE(""https://docs.google.com/spreadsheets/d/1yswqbM3-AEpThF3ZSUa1AcmHnmRTF1vlJ1CZGcJ8YuU/edit?usp=sharing"",""สุรินทร์!M383"")+IMPORTRANG"&amp;"E(""https://docs.google.com/spreadsheets/d/13JHU_EFbsQOUQ0JSQ3dWy1VTRosIWcDq6Nc99z2qzdc/edit?usp=sharing"",""หนองคาย!M383"")+IMPORTRANGE(""https://docs.google.com/spreadsheets/d/1Hx73zIEgVdDZZaYSTc46Dqv64atFhpr3GelxLbaIN8A/edit?usp=sharing"",""หนองบัวลำภู"&amp;"!M383"")+IMPORTRANGE(""https://docs.google.com/spreadsheets/d/1lFxr3ctmjFN90yc-xV6jrQ9Ty8BKYVBWnAZ15wcNIJc/edit?usp=sharing"",""อำนาจเจริญ!M383"")+IMPORTRANGE(""https://docs.google.com/spreadsheets/d/1gF7RJpRnL-1oyjyeWxs5SFWEH7y8ahOZsQlyp2A2e-A/edit?usp=s"&amp;"haring"",""อุดรธานี!M383"")+IMPORTRANGE(""https://docs.google.com/spreadsheets/d/1kfLP0j3INXRa8bTDpcEmoWewMBV61jlFlfzczfjWIgc/edit?usp=sharing"",""อุบลราชธานี!M383"")"),0)</f>
        <v>0</v>
      </c>
      <c r="N383" s="56">
        <f ca="1">IFERROR(__xludf.DUMMYFUNCTION("IMPORTRANGE(""https://docs.google.com/spreadsheets/d/1yhBcrRPreicbMKl9Bu_Snb2-OcQAF62RKfhTLhJ2eAA/edit?usp=sharing"",""กาฬสินธุ์!N383"")+IMPORTRANGE(""https://docs.google.com/spreadsheets/d/1aHkj4IaQMThhwWwevcOymEh837vdxeC_PycurhTbGFA/edit?usp=sharing"","&amp;"""ขอนแก่น!N383"")+IMPORTRANGE(""https://docs.google.com/spreadsheets/d/1FvTu2DsIWUjP6WCWra38Bkj_oOl_sOMf14r5Fg5srxU/edit?usp=sharing"",""ชัยภูมิ!N383"")+IMPORTRANGE(""https://docs.google.com/spreadsheets/d/1XVB7oCJ3pr-vBUdflwPQ8Z2LlzhnCvZaaYjAfP-647E/edit"&amp;"?usp=sharing"",""นครพนม!N383"")+IMPORTRANGE(""https://docs.google.com/spreadsheets/d/1Mnpb-8PYAgn85W6KOTD40hc_Xc55CaLfHoGAbrZ8tls/edit?usp=sharing"",""นครราชสีมา!N383"")+IMPORTRANGE(""https://docs.google.com/spreadsheets/d/1xoDLGBv9CYbyosIhki0kTq6IpYNj-gp"&amp;"jxfobnaDiut0/edit?usp=sharing"",""บึงกาฬ!N383"")+IMPORTRANGE(""https://docs.google.com/spreadsheets/d/1MMPq-JyI6DSgQETxuSiXkesP-P7JHuemnE6QJIa-Nlw/edit?usp=sharing"",""บุรีรัมย์!N383"")+IMPORTRANGE(""https://docs.google.com/spreadsheets/d/1l6IZ8xUPgMrESzc"&amp;"TYwhA1k_tPjeQjJPTqlm8Gd9eU5g/edit?usp=sharing"",""มหาสารคาม!N383"")+IMPORTRANGE(""https://docs.google.com/spreadsheets/d/1uB74YLqNjWX6FObjekfB2NtSYigTQyR2rq9u4Ub2Sq4/edit?usp=sharing"",""มุกดาหาร!N383"")+IMPORTRANGE(""https://docs.google.com/spreadsheets/"&amp;"d/1NexK3geCPxCTO1fzNF8dPec7yZyUx3OaWkFBC9HsQOo/edit?usp=sharing"",""ยโสธร!N383"")+IMPORTRANGE(""https://docs.google.com/spreadsheets/d/1v_cJrbBlyqmnHPReHk44g9NrMRdENNlSy_E_c5M9fIg/edit?usp=sharing"",""ร้อยเอ็ด!N383"")+IMPORTRANGE(""https://docs.google.com"&amp;"/spreadsheets/d/1Ul4RCpCX66NxYADU1QpwAPjOmBzW64SsT11s1wzXw_c/edit?usp=sharing"",""เลย!N383"")+IMPORTRANGE(""https://docs.google.com/spreadsheets/d/1bRrNKwbHDVktQG10isr5vbWRtt5spIZPpkOSWgbT5ug/edit?usp=sharing"",""ศรีสะเกษ!N383"")+IMPORTRANGE(""https://doc"&amp;"s.google.com/spreadsheets/d/17P34_Ow5kFBfdQD0qspb2UuPX5zpi6WMrQzslghyvrI/edit?usp=sharing"",""สกลนคร!N383"")+IMPORTRANGE(""https://docs.google.com/spreadsheets/d/1yswqbM3-AEpThF3ZSUa1AcmHnmRTF1vlJ1CZGcJ8YuU/edit?usp=sharing"",""สุรินทร์!N383"")+IMPORTRANG"&amp;"E(""https://docs.google.com/spreadsheets/d/13JHU_EFbsQOUQ0JSQ3dWy1VTRosIWcDq6Nc99z2qzdc/edit?usp=sharing"",""หนองคาย!N383"")+IMPORTRANGE(""https://docs.google.com/spreadsheets/d/1Hx73zIEgVdDZZaYSTc46Dqv64atFhpr3GelxLbaIN8A/edit?usp=sharing"",""หนองบัวลำภู"&amp;"!N383"")+IMPORTRANGE(""https://docs.google.com/spreadsheets/d/1lFxr3ctmjFN90yc-xV6jrQ9Ty8BKYVBWnAZ15wcNIJc/edit?usp=sharing"",""อำนาจเจริญ!N383"")+IMPORTRANGE(""https://docs.google.com/spreadsheets/d/1gF7RJpRnL-1oyjyeWxs5SFWEH7y8ahOZsQlyp2A2e-A/edit?usp=s"&amp;"haring"",""อุดรธานี!N383"")+IMPORTRANGE(""https://docs.google.com/spreadsheets/d/1kfLP0j3INXRa8bTDpcEmoWewMBV61jlFlfzczfjWIgc/edit?usp=sharing"",""อุบลราชธานี!N383"")"),0)</f>
        <v>0</v>
      </c>
      <c r="O383" s="56">
        <f t="shared" ca="1" si="283"/>
        <v>0</v>
      </c>
      <c r="P383" s="56">
        <f t="shared" ca="1" si="284"/>
        <v>0</v>
      </c>
      <c r="Q383" s="56">
        <f ca="1">IFERROR(__xludf.DUMMYFUNCTION("IMPORTRANGE(""https://docs.google.com/spreadsheets/d/1yhBcrRPreicbMKl9Bu_Snb2-OcQAF62RKfhTLhJ2eAA/edit?usp=sharing"",""กาฬสินธุ์!Q383"")+IMPORTRANGE(""https://docs.google.com/spreadsheets/d/1aHkj4IaQMThhwWwevcOymEh837vdxeC_PycurhTbGFA/edit?usp=sharing"","&amp;"""ขอนแก่น!Q383"")+IMPORTRANGE(""https://docs.google.com/spreadsheets/d/1FvTu2DsIWUjP6WCWra38Bkj_oOl_sOMf14r5Fg5srxU/edit?usp=sharing"",""ชัยภูมิ!Q383"")+IMPORTRANGE(""https://docs.google.com/spreadsheets/d/1XVB7oCJ3pr-vBUdflwPQ8Z2LlzhnCvZaaYjAfP-647E/edit"&amp;"?usp=sharing"",""นครพนม!Q383"")+IMPORTRANGE(""https://docs.google.com/spreadsheets/d/1Mnpb-8PYAgn85W6KOTD40hc_Xc55CaLfHoGAbrZ8tls/edit?usp=sharing"",""นครราชสีมา!Q383"")+IMPORTRANGE(""https://docs.google.com/spreadsheets/d/1xoDLGBv9CYbyosIhki0kTq6IpYNj-gp"&amp;"jxfobnaDiut0/edit?usp=sharing"",""บึงกาฬ!Q383"")+IMPORTRANGE(""https://docs.google.com/spreadsheets/d/1MMPq-JyI6DSgQETxuSiXkesP-P7JHuemnE6QJIa-Nlw/edit?usp=sharing"",""บุรีรัมย์!Q383"")+IMPORTRANGE(""https://docs.google.com/spreadsheets/d/1l6IZ8xUPgMrESzc"&amp;"TYwhA1k_tPjeQjJPTqlm8Gd9eU5g/edit?usp=sharing"",""มหาสารคาม!Q383"")+IMPORTRANGE(""https://docs.google.com/spreadsheets/d/1uB74YLqNjWX6FObjekfB2NtSYigTQyR2rq9u4Ub2Sq4/edit?usp=sharing"",""มุกดาหาร!Q383"")+IMPORTRANGE(""https://docs.google.com/spreadsheets/"&amp;"d/1NexK3geCPxCTO1fzNF8dPec7yZyUx3OaWkFBC9HsQOo/edit?usp=sharing"",""ยโสธร!Q383"")+IMPORTRANGE(""https://docs.google.com/spreadsheets/d/1v_cJrbBlyqmnHPReHk44g9NrMRdENNlSy_E_c5M9fIg/edit?usp=sharing"",""ร้อยเอ็ด!Q383"")+IMPORTRANGE(""https://docs.google.com"&amp;"/spreadsheets/d/1Ul4RCpCX66NxYADU1QpwAPjOmBzW64SsT11s1wzXw_c/edit?usp=sharing"",""เลย!Q383"")+IMPORTRANGE(""https://docs.google.com/spreadsheets/d/1bRrNKwbHDVktQG10isr5vbWRtt5spIZPpkOSWgbT5ug/edit?usp=sharing"",""ศรีสะเกษ!Q383"")+IMPORTRANGE(""https://doc"&amp;"s.google.com/spreadsheets/d/17P34_Ow5kFBfdQD0qspb2UuPX5zpi6WMrQzslghyvrI/edit?usp=sharing"",""สกลนคร!Q383"")+IMPORTRANGE(""https://docs.google.com/spreadsheets/d/1yswqbM3-AEpThF3ZSUa1AcmHnmRTF1vlJ1CZGcJ8YuU/edit?usp=sharing"",""สุรินทร์!Q383"")+IMPORTRANG"&amp;"E(""https://docs.google.com/spreadsheets/d/13JHU_EFbsQOUQ0JSQ3dWy1VTRosIWcDq6Nc99z2qzdc/edit?usp=sharing"",""หนองคาย!Q383"")+IMPORTRANGE(""https://docs.google.com/spreadsheets/d/1Hx73zIEgVdDZZaYSTc46Dqv64atFhpr3GelxLbaIN8A/edit?usp=sharing"",""หนองบัวลำภู"&amp;"!Q383"")+IMPORTRANGE(""https://docs.google.com/spreadsheets/d/1lFxr3ctmjFN90yc-xV6jrQ9Ty8BKYVBWnAZ15wcNIJc/edit?usp=sharing"",""อำนาจเจริญ!Q383"")+IMPORTRANGE(""https://docs.google.com/spreadsheets/d/1gF7RJpRnL-1oyjyeWxs5SFWEH7y8ahOZsQlyp2A2e-A/edit?usp=s"&amp;"haring"",""อุดรธานี!Q383"")+IMPORTRANGE(""https://docs.google.com/spreadsheets/d/1kfLP0j3INXRa8bTDpcEmoWewMBV61jlFlfzczfjWIgc/edit?usp=sharing"",""อุบลราชธานี!Q383"")"),0)</f>
        <v>0</v>
      </c>
      <c r="R383" s="56">
        <f ca="1">IFERROR(__xludf.DUMMYFUNCTION("IMPORTRANGE(""https://docs.google.com/spreadsheets/d/1yhBcrRPreicbMKl9Bu_Snb2-OcQAF62RKfhTLhJ2eAA/edit?usp=sharing"",""กาฬสินธุ์!R383"")+IMPORTRANGE(""https://docs.google.com/spreadsheets/d/1aHkj4IaQMThhwWwevcOymEh837vdxeC_PycurhTbGFA/edit?usp=sharing"","&amp;"""ขอนแก่น!R383"")+IMPORTRANGE(""https://docs.google.com/spreadsheets/d/1FvTu2DsIWUjP6WCWra38Bkj_oOl_sOMf14r5Fg5srxU/edit?usp=sharing"",""ชัยภูมิ!R383"")+IMPORTRANGE(""https://docs.google.com/spreadsheets/d/1XVB7oCJ3pr-vBUdflwPQ8Z2LlzhnCvZaaYjAfP-647E/edit"&amp;"?usp=sharing"",""นครพนม!R383"")+IMPORTRANGE(""https://docs.google.com/spreadsheets/d/1Mnpb-8PYAgn85W6KOTD40hc_Xc55CaLfHoGAbrZ8tls/edit?usp=sharing"",""นครราชสีมา!R383"")+IMPORTRANGE(""https://docs.google.com/spreadsheets/d/1xoDLGBv9CYbyosIhki0kTq6IpYNj-gp"&amp;"jxfobnaDiut0/edit?usp=sharing"",""บึงกาฬ!R383"")+IMPORTRANGE(""https://docs.google.com/spreadsheets/d/1MMPq-JyI6DSgQETxuSiXkesP-P7JHuemnE6QJIa-Nlw/edit?usp=sharing"",""บุรีรัมย์!R383"")+IMPORTRANGE(""https://docs.google.com/spreadsheets/d/1l6IZ8xUPgMrESzc"&amp;"TYwhA1k_tPjeQjJPTqlm8Gd9eU5g/edit?usp=sharing"",""มหาสารคาม!R383"")+IMPORTRANGE(""https://docs.google.com/spreadsheets/d/1uB74YLqNjWX6FObjekfB2NtSYigTQyR2rq9u4Ub2Sq4/edit?usp=sharing"",""มุกดาหาร!R383"")+IMPORTRANGE(""https://docs.google.com/spreadsheets/"&amp;"d/1NexK3geCPxCTO1fzNF8dPec7yZyUx3OaWkFBC9HsQOo/edit?usp=sharing"",""ยโสธร!R383"")+IMPORTRANGE(""https://docs.google.com/spreadsheets/d/1v_cJrbBlyqmnHPReHk44g9NrMRdENNlSy_E_c5M9fIg/edit?usp=sharing"",""ร้อยเอ็ด!R383"")+IMPORTRANGE(""https://docs.google.com"&amp;"/spreadsheets/d/1Ul4RCpCX66NxYADU1QpwAPjOmBzW64SsT11s1wzXw_c/edit?usp=sharing"",""เลย!R383"")+IMPORTRANGE(""https://docs.google.com/spreadsheets/d/1bRrNKwbHDVktQG10isr5vbWRtt5spIZPpkOSWgbT5ug/edit?usp=sharing"",""ศรีสะเกษ!R383"")+IMPORTRANGE(""https://doc"&amp;"s.google.com/spreadsheets/d/17P34_Ow5kFBfdQD0qspb2UuPX5zpi6WMrQzslghyvrI/edit?usp=sharing"",""สกลนคร!R383"")+IMPORTRANGE(""https://docs.google.com/spreadsheets/d/1yswqbM3-AEpThF3ZSUa1AcmHnmRTF1vlJ1CZGcJ8YuU/edit?usp=sharing"",""สุรินทร์!R383"")+IMPORTRANG"&amp;"E(""https://docs.google.com/spreadsheets/d/13JHU_EFbsQOUQ0JSQ3dWy1VTRosIWcDq6Nc99z2qzdc/edit?usp=sharing"",""หนองคาย!R383"")+IMPORTRANGE(""https://docs.google.com/spreadsheets/d/1Hx73zIEgVdDZZaYSTc46Dqv64atFhpr3GelxLbaIN8A/edit?usp=sharing"",""หนองบัวลำภู"&amp;"!R383"")+IMPORTRANGE(""https://docs.google.com/spreadsheets/d/1lFxr3ctmjFN90yc-xV6jrQ9Ty8BKYVBWnAZ15wcNIJc/edit?usp=sharing"",""อำนาจเจริญ!R383"")+IMPORTRANGE(""https://docs.google.com/spreadsheets/d/1gF7RJpRnL-1oyjyeWxs5SFWEH7y8ahOZsQlyp2A2e-A/edit?usp=s"&amp;"haring"",""อุดรธานี!R383"")+IMPORTRANGE(""https://docs.google.com/spreadsheets/d/1kfLP0j3INXRa8bTDpcEmoWewMBV61jlFlfzczfjWIgc/edit?usp=sharing"",""อุบลราชธานี!R383"")"),0)</f>
        <v>0</v>
      </c>
      <c r="S383" s="57">
        <f ca="1">IFERROR(__xludf.DUMMYFUNCTION("IMPORTRANGE(""https://docs.google.com/spreadsheets/d/1yhBcrRPreicbMKl9Bu_Snb2-OcQAF62RKfhTLhJ2eAA/edit?usp=sharing"",""กาฬสินธุ์!S383"")+IMPORTRANGE(""https://docs.google.com/spreadsheets/d/1aHkj4IaQMThhwWwevcOymEh837vdxeC_PycurhTbGFA/edit?usp=sharing"","&amp;"""ขอนแก่น!S383"")+IMPORTRANGE(""https://docs.google.com/spreadsheets/d/1FvTu2DsIWUjP6WCWra38Bkj_oOl_sOMf14r5Fg5srxU/edit?usp=sharing"",""ชัยภูมิ!S383"")+IMPORTRANGE(""https://docs.google.com/spreadsheets/d/1XVB7oCJ3pr-vBUdflwPQ8Z2LlzhnCvZaaYjAfP-647E/edit"&amp;"?usp=sharing"",""นครพนม!S383"")+IMPORTRANGE(""https://docs.google.com/spreadsheets/d/1Mnpb-8PYAgn85W6KOTD40hc_Xc55CaLfHoGAbrZ8tls/edit?usp=sharing"",""นครราชสีมา!S383"")+IMPORTRANGE(""https://docs.google.com/spreadsheets/d/1xoDLGBv9CYbyosIhki0kTq6IpYNj-gp"&amp;"jxfobnaDiut0/edit?usp=sharing"",""บึงกาฬ!S383"")+IMPORTRANGE(""https://docs.google.com/spreadsheets/d/1MMPq-JyI6DSgQETxuSiXkesP-P7JHuemnE6QJIa-Nlw/edit?usp=sharing"",""บุรีรัมย์!S383"")+IMPORTRANGE(""https://docs.google.com/spreadsheets/d/1l6IZ8xUPgMrESzc"&amp;"TYwhA1k_tPjeQjJPTqlm8Gd9eU5g/edit?usp=sharing"",""มหาสารคาม!S383"")+IMPORTRANGE(""https://docs.google.com/spreadsheets/d/1uB74YLqNjWX6FObjekfB2NtSYigTQyR2rq9u4Ub2Sq4/edit?usp=sharing"",""มุกดาหาร!S383"")+IMPORTRANGE(""https://docs.google.com/spreadsheets/"&amp;"d/1NexK3geCPxCTO1fzNF8dPec7yZyUx3OaWkFBC9HsQOo/edit?usp=sharing"",""ยโสธร!S383"")+IMPORTRANGE(""https://docs.google.com/spreadsheets/d/1v_cJrbBlyqmnHPReHk44g9NrMRdENNlSy_E_c5M9fIg/edit?usp=sharing"",""ร้อยเอ็ด!S383"")+IMPORTRANGE(""https://docs.google.com"&amp;"/spreadsheets/d/1Ul4RCpCX66NxYADU1QpwAPjOmBzW64SsT11s1wzXw_c/edit?usp=sharing"",""เลย!S383"")+IMPORTRANGE(""https://docs.google.com/spreadsheets/d/1bRrNKwbHDVktQG10isr5vbWRtt5spIZPpkOSWgbT5ug/edit?usp=sharing"",""ศรีสะเกษ!S383"")+IMPORTRANGE(""https://doc"&amp;"s.google.com/spreadsheets/d/17P34_Ow5kFBfdQD0qspb2UuPX5zpi6WMrQzslghyvrI/edit?usp=sharing"",""สกลนคร!S383"")+IMPORTRANGE(""https://docs.google.com/spreadsheets/d/1yswqbM3-AEpThF3ZSUa1AcmHnmRTF1vlJ1CZGcJ8YuU/edit?usp=sharing"",""สุรินทร์!S383"")+IMPORTRANG"&amp;"E(""https://docs.google.com/spreadsheets/d/13JHU_EFbsQOUQ0JSQ3dWy1VTRosIWcDq6Nc99z2qzdc/edit?usp=sharing"",""หนองคาย!S383"")+IMPORTRANGE(""https://docs.google.com/spreadsheets/d/1Hx73zIEgVdDZZaYSTc46Dqv64atFhpr3GelxLbaIN8A/edit?usp=sharing"",""หนองบัวลำภู"&amp;"!S383"")+IMPORTRANGE(""https://docs.google.com/spreadsheets/d/1lFxr3ctmjFN90yc-xV6jrQ9Ty8BKYVBWnAZ15wcNIJc/edit?usp=sharing"",""อำนาจเจริญ!S383"")+IMPORTRANGE(""https://docs.google.com/spreadsheets/d/1gF7RJpRnL-1oyjyeWxs5SFWEH7y8ahOZsQlyp2A2e-A/edit?usp=s"&amp;"haring"",""อุดรธานี!S383"")+IMPORTRANGE(""https://docs.google.com/spreadsheets/d/1kfLP0j3INXRa8bTDpcEmoWewMBV61jlFlfzczfjWIgc/edit?usp=sharing"",""อุบลราชธานี!S383"")"),0)</f>
        <v>0</v>
      </c>
      <c r="T383" s="56">
        <f t="shared" ca="1" si="286"/>
        <v>0</v>
      </c>
      <c r="U383" s="56">
        <f t="shared" ca="1" si="287"/>
        <v>0</v>
      </c>
    </row>
    <row r="384" spans="1:21" ht="19.5">
      <c r="A384" s="166"/>
      <c r="B384" s="167"/>
      <c r="C384" s="191" t="s">
        <v>18</v>
      </c>
      <c r="D384" s="357" t="s">
        <v>38</v>
      </c>
      <c r="E384" s="169"/>
      <c r="F384" s="169"/>
      <c r="G384" s="170"/>
      <c r="H384" s="206"/>
      <c r="I384" s="163"/>
      <c r="J384" s="54"/>
      <c r="K384" s="55"/>
      <c r="L384" s="55"/>
      <c r="M384" s="55"/>
      <c r="N384" s="55"/>
      <c r="O384" s="164"/>
      <c r="P384" s="164"/>
      <c r="Q384" s="55"/>
      <c r="R384" s="55"/>
      <c r="S384" s="62"/>
      <c r="T384" s="164"/>
      <c r="U384" s="164"/>
    </row>
    <row r="385" spans="1:21" ht="18.75">
      <c r="A385" s="238"/>
      <c r="B385" s="188"/>
      <c r="C385" s="188"/>
      <c r="D385" s="188"/>
      <c r="E385" s="58" t="s">
        <v>155</v>
      </c>
      <c r="F385" s="50"/>
      <c r="G385" s="52"/>
      <c r="H385" s="161" t="s">
        <v>34</v>
      </c>
      <c r="I385" s="181">
        <f ca="1">IFERROR(__xludf.DUMMYFUNCTION("IMPORTRANGE(""https://docs.google.com/spreadsheets/d/1yhBcrRPreicbMKl9Bu_Snb2-OcQAF62RKfhTLhJ2eAA/edit?usp=sharing"",""กาฬสินธุ์!I385"")+IMPORTRANGE(""https://docs.google.com/spreadsheets/d/1aHkj4IaQMThhwWwevcOymEh837vdxeC_PycurhTbGFA/edit?usp=sharing"","&amp;"""ขอนแก่น!I385"")+IMPORTRANGE(""https://docs.google.com/spreadsheets/d/1FvTu2DsIWUjP6WCWra38Bkj_oOl_sOMf14r5Fg5srxU/edit?usp=sharing"",""ชัยภูมิ!I385"")+IMPORTRANGE(""https://docs.google.com/spreadsheets/d/1XVB7oCJ3pr-vBUdflwPQ8Z2LlzhnCvZaaYjAfP-647E/edit"&amp;"?usp=sharing"",""นครพนม!I385"")+IMPORTRANGE(""https://docs.google.com/spreadsheets/d/1Mnpb-8PYAgn85W6KOTD40hc_Xc55CaLfHoGAbrZ8tls/edit?usp=sharing"",""นครราชสีมา!I385"")+IMPORTRANGE(""https://docs.google.com/spreadsheets/d/1xoDLGBv9CYbyosIhki0kTq6IpYNj-gp"&amp;"jxfobnaDiut0/edit?usp=sharing"",""บึงกาฬ!I385"")+IMPORTRANGE(""https://docs.google.com/spreadsheets/d/1MMPq-JyI6DSgQETxuSiXkesP-P7JHuemnE6QJIa-Nlw/edit?usp=sharing"",""บุรีรัมย์!I385"")+IMPORTRANGE(""https://docs.google.com/spreadsheets/d/1l6IZ8xUPgMrESzc"&amp;"TYwhA1k_tPjeQjJPTqlm8Gd9eU5g/edit?usp=sharing"",""มหาสารคาม!I385"")+IMPORTRANGE(""https://docs.google.com/spreadsheets/d/1uB74YLqNjWX6FObjekfB2NtSYigTQyR2rq9u4Ub2Sq4/edit?usp=sharing"",""มุกดาหาร!I385"")+IMPORTRANGE(""https://docs.google.com/spreadsheets/"&amp;"d/1NexK3geCPxCTO1fzNF8dPec7yZyUx3OaWkFBC9HsQOo/edit?usp=sharing"",""ยโสธร!I385"")+IMPORTRANGE(""https://docs.google.com/spreadsheets/d/1v_cJrbBlyqmnHPReHk44g9NrMRdENNlSy_E_c5M9fIg/edit?usp=sharing"",""ร้อยเอ็ด!I385"")+IMPORTRANGE(""https://docs.google.com"&amp;"/spreadsheets/d/1Ul4RCpCX66NxYADU1QpwAPjOmBzW64SsT11s1wzXw_c/edit?usp=sharing"",""เลย!I385"")+IMPORTRANGE(""https://docs.google.com/spreadsheets/d/1bRrNKwbHDVktQG10isr5vbWRtt5spIZPpkOSWgbT5ug/edit?usp=sharing"",""ศรีสะเกษ!I385"")+IMPORTRANGE(""https://doc"&amp;"s.google.com/spreadsheets/d/17P34_Ow5kFBfdQD0qspb2UuPX5zpi6WMrQzslghyvrI/edit?usp=sharing"",""สกลนคร!I385"")+IMPORTRANGE(""https://docs.google.com/spreadsheets/d/1yswqbM3-AEpThF3ZSUa1AcmHnmRTF1vlJ1CZGcJ8YuU/edit?usp=sharing"",""สุรินทร์!I385"")+IMPORTRANG"&amp;"E(""https://docs.google.com/spreadsheets/d/13JHU_EFbsQOUQ0JSQ3dWy1VTRosIWcDq6Nc99z2qzdc/edit?usp=sharing"",""หนองคาย!I385"")+IMPORTRANGE(""https://docs.google.com/spreadsheets/d/1Hx73zIEgVdDZZaYSTc46Dqv64atFhpr3GelxLbaIN8A/edit?usp=sharing"",""หนองบัวลำภู"&amp;"!I385"")+IMPORTRANGE(""https://docs.google.com/spreadsheets/d/1lFxr3ctmjFN90yc-xV6jrQ9Ty8BKYVBWnAZ15wcNIJc/edit?usp=sharing"",""อำนาจเจริญ!I385"")+IMPORTRANGE(""https://docs.google.com/spreadsheets/d/1gF7RJpRnL-1oyjyeWxs5SFWEH7y8ahOZsQlyp2A2e-A/edit?usp=s"&amp;"haring"",""อุดรธานี!I385"")+IMPORTRANGE(""https://docs.google.com/spreadsheets/d/1kfLP0j3INXRa8bTDpcEmoWewMBV61jlFlfzczfjWIgc/edit?usp=sharing"",""อุบลราชธานี!I385"")"),2000)</f>
        <v>2000</v>
      </c>
      <c r="J385" s="181">
        <f ca="1">IFERROR(__xludf.DUMMYFUNCTION("IMPORTRANGE(""https://docs.google.com/spreadsheets/d/1yhBcrRPreicbMKl9Bu_Snb2-OcQAF62RKfhTLhJ2eAA/edit?usp=sharing"",""กาฬสินธุ์!J385"")+IMPORTRANGE(""https://docs.google.com/spreadsheets/d/1aHkj4IaQMThhwWwevcOymEh837vdxeC_PycurhTbGFA/edit?usp=sharing"","&amp;"""ขอนแก่น!J385"")+IMPORTRANGE(""https://docs.google.com/spreadsheets/d/1FvTu2DsIWUjP6WCWra38Bkj_oOl_sOMf14r5Fg5srxU/edit?usp=sharing"",""ชัยภูมิ!J385"")+IMPORTRANGE(""https://docs.google.com/spreadsheets/d/1XVB7oCJ3pr-vBUdflwPQ8Z2LlzhnCvZaaYjAfP-647E/edit"&amp;"?usp=sharing"",""นครพนม!J385"")+IMPORTRANGE(""https://docs.google.com/spreadsheets/d/1Mnpb-8PYAgn85W6KOTD40hc_Xc55CaLfHoGAbrZ8tls/edit?usp=sharing"",""นครราชสีมา!J385"")+IMPORTRANGE(""https://docs.google.com/spreadsheets/d/1xoDLGBv9CYbyosIhki0kTq6IpYNj-gp"&amp;"jxfobnaDiut0/edit?usp=sharing"",""บึงกาฬ!J385"")+IMPORTRANGE(""https://docs.google.com/spreadsheets/d/1MMPq-JyI6DSgQETxuSiXkesP-P7JHuemnE6QJIa-Nlw/edit?usp=sharing"",""บุรีรัมย์!J385"")+IMPORTRANGE(""https://docs.google.com/spreadsheets/d/1l6IZ8xUPgMrESzc"&amp;"TYwhA1k_tPjeQjJPTqlm8Gd9eU5g/edit?usp=sharing"",""มหาสารคาม!J385"")+IMPORTRANGE(""https://docs.google.com/spreadsheets/d/1uB74YLqNjWX6FObjekfB2NtSYigTQyR2rq9u4Ub2Sq4/edit?usp=sharing"",""มุกดาหาร!J385"")+IMPORTRANGE(""https://docs.google.com/spreadsheets/"&amp;"d/1NexK3geCPxCTO1fzNF8dPec7yZyUx3OaWkFBC9HsQOo/edit?usp=sharing"",""ยโสธร!J385"")+IMPORTRANGE(""https://docs.google.com/spreadsheets/d/1v_cJrbBlyqmnHPReHk44g9NrMRdENNlSy_E_c5M9fIg/edit?usp=sharing"",""ร้อยเอ็ด!J385"")+IMPORTRANGE(""https://docs.google.com"&amp;"/spreadsheets/d/1Ul4RCpCX66NxYADU1QpwAPjOmBzW64SsT11s1wzXw_c/edit?usp=sharing"",""เลย!J385"")+IMPORTRANGE(""https://docs.google.com/spreadsheets/d/1bRrNKwbHDVktQG10isr5vbWRtt5spIZPpkOSWgbT5ug/edit?usp=sharing"",""ศรีสะเกษ!J385"")+IMPORTRANGE(""https://doc"&amp;"s.google.com/spreadsheets/d/17P34_Ow5kFBfdQD0qspb2UuPX5zpi6WMrQzslghyvrI/edit?usp=sharing"",""สกลนคร!J385"")+IMPORTRANGE(""https://docs.google.com/spreadsheets/d/1yswqbM3-AEpThF3ZSUa1AcmHnmRTF1vlJ1CZGcJ8YuU/edit?usp=sharing"",""สุรินทร์!J385"")+IMPORTRANG"&amp;"E(""https://docs.google.com/spreadsheets/d/13JHU_EFbsQOUQ0JSQ3dWy1VTRosIWcDq6Nc99z2qzdc/edit?usp=sharing"",""หนองคาย!J385"")+IMPORTRANGE(""https://docs.google.com/spreadsheets/d/1Hx73zIEgVdDZZaYSTc46Dqv64atFhpr3GelxLbaIN8A/edit?usp=sharing"",""หนองบัวลำภู"&amp;"!J385"")+IMPORTRANGE(""https://docs.google.com/spreadsheets/d/1lFxr3ctmjFN90yc-xV6jrQ9Ty8BKYVBWnAZ15wcNIJc/edit?usp=sharing"",""อำนาจเจริญ!J385"")+IMPORTRANGE(""https://docs.google.com/spreadsheets/d/1gF7RJpRnL-1oyjyeWxs5SFWEH7y8ahOZsQlyp2A2e-A/edit?usp=s"&amp;"haring"",""อุดรธานี!J385"")+IMPORTRANGE(""https://docs.google.com/spreadsheets/d/1kfLP0j3INXRa8bTDpcEmoWewMBV61jlFlfzczfjWIgc/edit?usp=sharing"",""อุบลราชธานี!J385"")"),74)</f>
        <v>74</v>
      </c>
      <c r="K385" s="56">
        <f t="shared" ref="K385:K388" ca="1" si="296">IF(I385&gt;0,J385*100/I385,0)</f>
        <v>3.7</v>
      </c>
      <c r="L385" s="55"/>
      <c r="M385" s="55"/>
      <c r="N385" s="55"/>
      <c r="O385" s="55"/>
      <c r="P385" s="55"/>
      <c r="Q385" s="55"/>
      <c r="R385" s="55"/>
      <c r="S385" s="62"/>
      <c r="T385" s="55"/>
      <c r="U385" s="55"/>
    </row>
    <row r="386" spans="1:21" ht="18.75">
      <c r="A386" s="188"/>
      <c r="B386" s="188"/>
      <c r="C386" s="188"/>
      <c r="D386" s="188"/>
      <c r="E386" s="188"/>
      <c r="F386" s="188"/>
      <c r="G386" s="208"/>
      <c r="H386" s="161" t="s">
        <v>46</v>
      </c>
      <c r="I386" s="181">
        <f ca="1">IFERROR(__xludf.DUMMYFUNCTION("IMPORTRANGE(""https://docs.google.com/spreadsheets/d/1yhBcrRPreicbMKl9Bu_Snb2-OcQAF62RKfhTLhJ2eAA/edit?usp=sharing"",""กาฬสินธุ์!I386"")+IMPORTRANGE(""https://docs.google.com/spreadsheets/d/1aHkj4IaQMThhwWwevcOymEh837vdxeC_PycurhTbGFA/edit?usp=sharing"","&amp;"""ขอนแก่น!I386"")+IMPORTRANGE(""https://docs.google.com/spreadsheets/d/1FvTu2DsIWUjP6WCWra38Bkj_oOl_sOMf14r5Fg5srxU/edit?usp=sharing"",""ชัยภูมิ!I386"")+IMPORTRANGE(""https://docs.google.com/spreadsheets/d/1XVB7oCJ3pr-vBUdflwPQ8Z2LlzhnCvZaaYjAfP-647E/edit"&amp;"?usp=sharing"",""นครพนม!I386"")+IMPORTRANGE(""https://docs.google.com/spreadsheets/d/1Mnpb-8PYAgn85W6KOTD40hc_Xc55CaLfHoGAbrZ8tls/edit?usp=sharing"",""นครราชสีมา!I386"")+IMPORTRANGE(""https://docs.google.com/spreadsheets/d/1xoDLGBv9CYbyosIhki0kTq6IpYNj-gp"&amp;"jxfobnaDiut0/edit?usp=sharing"",""บึงกาฬ!I386"")+IMPORTRANGE(""https://docs.google.com/spreadsheets/d/1MMPq-JyI6DSgQETxuSiXkesP-P7JHuemnE6QJIa-Nlw/edit?usp=sharing"",""บุรีรัมย์!I386"")+IMPORTRANGE(""https://docs.google.com/spreadsheets/d/1l6IZ8xUPgMrESzc"&amp;"TYwhA1k_tPjeQjJPTqlm8Gd9eU5g/edit?usp=sharing"",""มหาสารคาม!I386"")+IMPORTRANGE(""https://docs.google.com/spreadsheets/d/1uB74YLqNjWX6FObjekfB2NtSYigTQyR2rq9u4Ub2Sq4/edit?usp=sharing"",""มุกดาหาร!I386"")+IMPORTRANGE(""https://docs.google.com/spreadsheets/"&amp;"d/1NexK3geCPxCTO1fzNF8dPec7yZyUx3OaWkFBC9HsQOo/edit?usp=sharing"",""ยโสธร!I386"")+IMPORTRANGE(""https://docs.google.com/spreadsheets/d/1v_cJrbBlyqmnHPReHk44g9NrMRdENNlSy_E_c5M9fIg/edit?usp=sharing"",""ร้อยเอ็ด!I386"")+IMPORTRANGE(""https://docs.google.com"&amp;"/spreadsheets/d/1Ul4RCpCX66NxYADU1QpwAPjOmBzW64SsT11s1wzXw_c/edit?usp=sharing"",""เลย!I386"")+IMPORTRANGE(""https://docs.google.com/spreadsheets/d/1bRrNKwbHDVktQG10isr5vbWRtt5spIZPpkOSWgbT5ug/edit?usp=sharing"",""ศรีสะเกษ!I386"")+IMPORTRANGE(""https://doc"&amp;"s.google.com/spreadsheets/d/17P34_Ow5kFBfdQD0qspb2UuPX5zpi6WMrQzslghyvrI/edit?usp=sharing"",""สกลนคร!I386"")+IMPORTRANGE(""https://docs.google.com/spreadsheets/d/1yswqbM3-AEpThF3ZSUa1AcmHnmRTF1vlJ1CZGcJ8YuU/edit?usp=sharing"",""สุรินทร์!I386"")+IMPORTRANG"&amp;"E(""https://docs.google.com/spreadsheets/d/13JHU_EFbsQOUQ0JSQ3dWy1VTRosIWcDq6Nc99z2qzdc/edit?usp=sharing"",""หนองคาย!I386"")+IMPORTRANGE(""https://docs.google.com/spreadsheets/d/1Hx73zIEgVdDZZaYSTc46Dqv64atFhpr3GelxLbaIN8A/edit?usp=sharing"",""หนองบัวลำภู"&amp;"!I386"")+IMPORTRANGE(""https://docs.google.com/spreadsheets/d/1lFxr3ctmjFN90yc-xV6jrQ9Ty8BKYVBWnAZ15wcNIJc/edit?usp=sharing"",""อำนาจเจริญ!I386"")+IMPORTRANGE(""https://docs.google.com/spreadsheets/d/1gF7RJpRnL-1oyjyeWxs5SFWEH7y8ahOZsQlyp2A2e-A/edit?usp=s"&amp;"haring"",""อุดรธานี!I386"")+IMPORTRANGE(""https://docs.google.com/spreadsheets/d/1kfLP0j3INXRa8bTDpcEmoWewMBV61jlFlfzczfjWIgc/edit?usp=sharing"",""อุบลราชธานี!I386"")"),71300)</f>
        <v>71300</v>
      </c>
      <c r="J386" s="181">
        <f ca="1">IFERROR(__xludf.DUMMYFUNCTION("IMPORTRANGE(""https://docs.google.com/spreadsheets/d/1yhBcrRPreicbMKl9Bu_Snb2-OcQAF62RKfhTLhJ2eAA/edit?usp=sharing"",""กาฬสินธุ์!J386"")+IMPORTRANGE(""https://docs.google.com/spreadsheets/d/1aHkj4IaQMThhwWwevcOymEh837vdxeC_PycurhTbGFA/edit?usp=sharing"","&amp;"""ขอนแก่น!J386"")+IMPORTRANGE(""https://docs.google.com/spreadsheets/d/1FvTu2DsIWUjP6WCWra38Bkj_oOl_sOMf14r5Fg5srxU/edit?usp=sharing"",""ชัยภูมิ!J386"")+IMPORTRANGE(""https://docs.google.com/spreadsheets/d/1XVB7oCJ3pr-vBUdflwPQ8Z2LlzhnCvZaaYjAfP-647E/edit"&amp;"?usp=sharing"",""นครพนม!J386"")+IMPORTRANGE(""https://docs.google.com/spreadsheets/d/1Mnpb-8PYAgn85W6KOTD40hc_Xc55CaLfHoGAbrZ8tls/edit?usp=sharing"",""นครราชสีมา!J386"")+IMPORTRANGE(""https://docs.google.com/spreadsheets/d/1xoDLGBv9CYbyosIhki0kTq6IpYNj-gp"&amp;"jxfobnaDiut0/edit?usp=sharing"",""บึงกาฬ!J386"")+IMPORTRANGE(""https://docs.google.com/spreadsheets/d/1MMPq-JyI6DSgQETxuSiXkesP-P7JHuemnE6QJIa-Nlw/edit?usp=sharing"",""บุรีรัมย์!J386"")+IMPORTRANGE(""https://docs.google.com/spreadsheets/d/1l6IZ8xUPgMrESzc"&amp;"TYwhA1k_tPjeQjJPTqlm8Gd9eU5g/edit?usp=sharing"",""มหาสารคาม!J386"")+IMPORTRANGE(""https://docs.google.com/spreadsheets/d/1uB74YLqNjWX6FObjekfB2NtSYigTQyR2rq9u4Ub2Sq4/edit?usp=sharing"",""มุกดาหาร!J386"")+IMPORTRANGE(""https://docs.google.com/spreadsheets/"&amp;"d/1NexK3geCPxCTO1fzNF8dPec7yZyUx3OaWkFBC9HsQOo/edit?usp=sharing"",""ยโสธร!J386"")+IMPORTRANGE(""https://docs.google.com/spreadsheets/d/1v_cJrbBlyqmnHPReHk44g9NrMRdENNlSy_E_c5M9fIg/edit?usp=sharing"",""ร้อยเอ็ด!J386"")+IMPORTRANGE(""https://docs.google.com"&amp;"/spreadsheets/d/1Ul4RCpCX66NxYADU1QpwAPjOmBzW64SsT11s1wzXw_c/edit?usp=sharing"",""เลย!J386"")+IMPORTRANGE(""https://docs.google.com/spreadsheets/d/1bRrNKwbHDVktQG10isr5vbWRtt5spIZPpkOSWgbT5ug/edit?usp=sharing"",""ศรีสะเกษ!J386"")+IMPORTRANGE(""https://doc"&amp;"s.google.com/spreadsheets/d/17P34_Ow5kFBfdQD0qspb2UuPX5zpi6WMrQzslghyvrI/edit?usp=sharing"",""สกลนคร!J386"")+IMPORTRANGE(""https://docs.google.com/spreadsheets/d/1yswqbM3-AEpThF3ZSUa1AcmHnmRTF1vlJ1CZGcJ8YuU/edit?usp=sharing"",""สุรินทร์!J386"")+IMPORTRANG"&amp;"E(""https://docs.google.com/spreadsheets/d/13JHU_EFbsQOUQ0JSQ3dWy1VTRosIWcDq6Nc99z2qzdc/edit?usp=sharing"",""หนองคาย!J386"")+IMPORTRANGE(""https://docs.google.com/spreadsheets/d/1Hx73zIEgVdDZZaYSTc46Dqv64atFhpr3GelxLbaIN8A/edit?usp=sharing"",""หนองบัวลำภู"&amp;"!J386"")+IMPORTRANGE(""https://docs.google.com/spreadsheets/d/1lFxr3ctmjFN90yc-xV6jrQ9Ty8BKYVBWnAZ15wcNIJc/edit?usp=sharing"",""อำนาจเจริญ!J386"")+IMPORTRANGE(""https://docs.google.com/spreadsheets/d/1gF7RJpRnL-1oyjyeWxs5SFWEH7y8ahOZsQlyp2A2e-A/edit?usp=s"&amp;"haring"",""อุดรธานี!J386"")+IMPORTRANGE(""https://docs.google.com/spreadsheets/d/1kfLP0j3INXRa8bTDpcEmoWewMBV61jlFlfzczfjWIgc/edit?usp=sharing"",""อุบลราชธานี!J386"")"),885)</f>
        <v>885</v>
      </c>
      <c r="K386" s="56">
        <f t="shared" ca="1" si="296"/>
        <v>1.2412342215988781</v>
      </c>
      <c r="L386" s="55"/>
      <c r="M386" s="55"/>
      <c r="N386" s="55"/>
      <c r="O386" s="55"/>
      <c r="P386" s="55"/>
      <c r="Q386" s="55"/>
      <c r="R386" s="55"/>
      <c r="S386" s="62"/>
      <c r="T386" s="55"/>
      <c r="U386" s="55"/>
    </row>
    <row r="387" spans="1:21" ht="18.75">
      <c r="A387" s="188"/>
      <c r="B387" s="188"/>
      <c r="C387" s="188"/>
      <c r="D387" s="188"/>
      <c r="E387" s="358" t="s">
        <v>156</v>
      </c>
      <c r="F387" s="188"/>
      <c r="G387" s="208"/>
      <c r="H387" s="187" t="s">
        <v>34</v>
      </c>
      <c r="I387" s="359">
        <f ca="1">IFERROR(__xludf.DUMMYFUNCTION("IMPORTRANGE(""https://docs.google.com/spreadsheets/d/1yhBcrRPreicbMKl9Bu_Snb2-OcQAF62RKfhTLhJ2eAA/edit?usp=sharing"",""กาฬสินธุ์!I387"")+IMPORTRANGE(""https://docs.google.com/spreadsheets/d/1aHkj4IaQMThhwWwevcOymEh837vdxeC_PycurhTbGFA/edit?usp=sharing"","&amp;"""ขอนแก่น!I387"")+IMPORTRANGE(""https://docs.google.com/spreadsheets/d/1FvTu2DsIWUjP6WCWra38Bkj_oOl_sOMf14r5Fg5srxU/edit?usp=sharing"",""ชัยภูมิ!I387"")+IMPORTRANGE(""https://docs.google.com/spreadsheets/d/1XVB7oCJ3pr-vBUdflwPQ8Z2LlzhnCvZaaYjAfP-647E/edit"&amp;"?usp=sharing"",""นครพนม!I387"")+IMPORTRANGE(""https://docs.google.com/spreadsheets/d/1Mnpb-8PYAgn85W6KOTD40hc_Xc55CaLfHoGAbrZ8tls/edit?usp=sharing"",""นครราชสีมา!I387"")+IMPORTRANGE(""https://docs.google.com/spreadsheets/d/1xoDLGBv9CYbyosIhki0kTq6IpYNj-gp"&amp;"jxfobnaDiut0/edit?usp=sharing"",""บึงกาฬ!I387"")+IMPORTRANGE(""https://docs.google.com/spreadsheets/d/1MMPq-JyI6DSgQETxuSiXkesP-P7JHuemnE6QJIa-Nlw/edit?usp=sharing"",""บุรีรัมย์!I387"")+IMPORTRANGE(""https://docs.google.com/spreadsheets/d/1l6IZ8xUPgMrESzc"&amp;"TYwhA1k_tPjeQjJPTqlm8Gd9eU5g/edit?usp=sharing"",""มหาสารคาม!I387"")+IMPORTRANGE(""https://docs.google.com/spreadsheets/d/1uB74YLqNjWX6FObjekfB2NtSYigTQyR2rq9u4Ub2Sq4/edit?usp=sharing"",""มุกดาหาร!I387"")+IMPORTRANGE(""https://docs.google.com/spreadsheets/"&amp;"d/1NexK3geCPxCTO1fzNF8dPec7yZyUx3OaWkFBC9HsQOo/edit?usp=sharing"",""ยโสธร!I387"")+IMPORTRANGE(""https://docs.google.com/spreadsheets/d/1v_cJrbBlyqmnHPReHk44g9NrMRdENNlSy_E_c5M9fIg/edit?usp=sharing"",""ร้อยเอ็ด!I387"")+IMPORTRANGE(""https://docs.google.com"&amp;"/spreadsheets/d/1Ul4RCpCX66NxYADU1QpwAPjOmBzW64SsT11s1wzXw_c/edit?usp=sharing"",""เลย!I387"")+IMPORTRANGE(""https://docs.google.com/spreadsheets/d/1bRrNKwbHDVktQG10isr5vbWRtt5spIZPpkOSWgbT5ug/edit?usp=sharing"",""ศรีสะเกษ!I387"")+IMPORTRANGE(""https://doc"&amp;"s.google.com/spreadsheets/d/17P34_Ow5kFBfdQD0qspb2UuPX5zpi6WMrQzslghyvrI/edit?usp=sharing"",""สกลนคร!I387"")+IMPORTRANGE(""https://docs.google.com/spreadsheets/d/1yswqbM3-AEpThF3ZSUa1AcmHnmRTF1vlJ1CZGcJ8YuU/edit?usp=sharing"",""สุรินทร์!I387"")+IMPORTRANG"&amp;"E(""https://docs.google.com/spreadsheets/d/13JHU_EFbsQOUQ0JSQ3dWy1VTRosIWcDq6Nc99z2qzdc/edit?usp=sharing"",""หนองคาย!I387"")+IMPORTRANGE(""https://docs.google.com/spreadsheets/d/1Hx73zIEgVdDZZaYSTc46Dqv64atFhpr3GelxLbaIN8A/edit?usp=sharing"",""หนองบัวลำภู"&amp;"!I387"")+IMPORTRANGE(""https://docs.google.com/spreadsheets/d/1lFxr3ctmjFN90yc-xV6jrQ9Ty8BKYVBWnAZ15wcNIJc/edit?usp=sharing"",""อำนาจเจริญ!I387"")+IMPORTRANGE(""https://docs.google.com/spreadsheets/d/1gF7RJpRnL-1oyjyeWxs5SFWEH7y8ahOZsQlyp2A2e-A/edit?usp=s"&amp;"haring"",""อุดรธานี!I387"")+IMPORTRANGE(""https://docs.google.com/spreadsheets/d/1kfLP0j3INXRa8bTDpcEmoWewMBV61jlFlfzczfjWIgc/edit?usp=sharing"",""อุบลราชธานี!I387"")"),0)</f>
        <v>0</v>
      </c>
      <c r="J387" s="359">
        <f ca="1">IFERROR(__xludf.DUMMYFUNCTION("IMPORTRANGE(""https://docs.google.com/spreadsheets/d/1yhBcrRPreicbMKl9Bu_Snb2-OcQAF62RKfhTLhJ2eAA/edit?usp=sharing"",""กาฬสินธุ์!J387"")+IMPORTRANGE(""https://docs.google.com/spreadsheets/d/1aHkj4IaQMThhwWwevcOymEh837vdxeC_PycurhTbGFA/edit?usp=sharing"","&amp;"""ขอนแก่น!J387"")+IMPORTRANGE(""https://docs.google.com/spreadsheets/d/1FvTu2DsIWUjP6WCWra38Bkj_oOl_sOMf14r5Fg5srxU/edit?usp=sharing"",""ชัยภูมิ!J387"")+IMPORTRANGE(""https://docs.google.com/spreadsheets/d/1XVB7oCJ3pr-vBUdflwPQ8Z2LlzhnCvZaaYjAfP-647E/edit"&amp;"?usp=sharing"",""นครพนม!J387"")+IMPORTRANGE(""https://docs.google.com/spreadsheets/d/1Mnpb-8PYAgn85W6KOTD40hc_Xc55CaLfHoGAbrZ8tls/edit?usp=sharing"",""นครราชสีมา!J387"")+IMPORTRANGE(""https://docs.google.com/spreadsheets/d/1xoDLGBv9CYbyosIhki0kTq6IpYNj-gp"&amp;"jxfobnaDiut0/edit?usp=sharing"",""บึงกาฬ!J387"")+IMPORTRANGE(""https://docs.google.com/spreadsheets/d/1MMPq-JyI6DSgQETxuSiXkesP-P7JHuemnE6QJIa-Nlw/edit?usp=sharing"",""บุรีรัมย์!J387"")+IMPORTRANGE(""https://docs.google.com/spreadsheets/d/1l6IZ8xUPgMrESzc"&amp;"TYwhA1k_tPjeQjJPTqlm8Gd9eU5g/edit?usp=sharing"",""มหาสารคาม!J387"")+IMPORTRANGE(""https://docs.google.com/spreadsheets/d/1uB74YLqNjWX6FObjekfB2NtSYigTQyR2rq9u4Ub2Sq4/edit?usp=sharing"",""มุกดาหาร!J387"")+IMPORTRANGE(""https://docs.google.com/spreadsheets/"&amp;"d/1NexK3geCPxCTO1fzNF8dPec7yZyUx3OaWkFBC9HsQOo/edit?usp=sharing"",""ยโสธร!J387"")+IMPORTRANGE(""https://docs.google.com/spreadsheets/d/1v_cJrbBlyqmnHPReHk44g9NrMRdENNlSy_E_c5M9fIg/edit?usp=sharing"",""ร้อยเอ็ด!J387"")+IMPORTRANGE(""https://docs.google.com"&amp;"/spreadsheets/d/1Ul4RCpCX66NxYADU1QpwAPjOmBzW64SsT11s1wzXw_c/edit?usp=sharing"",""เลย!J387"")+IMPORTRANGE(""https://docs.google.com/spreadsheets/d/1bRrNKwbHDVktQG10isr5vbWRtt5spIZPpkOSWgbT5ug/edit?usp=sharing"",""ศรีสะเกษ!J387"")+IMPORTRANGE(""https://doc"&amp;"s.google.com/spreadsheets/d/17P34_Ow5kFBfdQD0qspb2UuPX5zpi6WMrQzslghyvrI/edit?usp=sharing"",""สกลนคร!J387"")+IMPORTRANGE(""https://docs.google.com/spreadsheets/d/1yswqbM3-AEpThF3ZSUa1AcmHnmRTF1vlJ1CZGcJ8YuU/edit?usp=sharing"",""สุรินทร์!J387"")+IMPORTRANG"&amp;"E(""https://docs.google.com/spreadsheets/d/13JHU_EFbsQOUQ0JSQ3dWy1VTRosIWcDq6Nc99z2qzdc/edit?usp=sharing"",""หนองคาย!J387"")+IMPORTRANGE(""https://docs.google.com/spreadsheets/d/1Hx73zIEgVdDZZaYSTc46Dqv64atFhpr3GelxLbaIN8A/edit?usp=sharing"",""หนองบัวลำภู"&amp;"!J387"")+IMPORTRANGE(""https://docs.google.com/spreadsheets/d/1lFxr3ctmjFN90yc-xV6jrQ9Ty8BKYVBWnAZ15wcNIJc/edit?usp=sharing"",""อำนาจเจริญ!J387"")+IMPORTRANGE(""https://docs.google.com/spreadsheets/d/1gF7RJpRnL-1oyjyeWxs5SFWEH7y8ahOZsQlyp2A2e-A/edit?usp=s"&amp;"haring"",""อุดรธานี!J387"")+IMPORTRANGE(""https://docs.google.com/spreadsheets/d/1kfLP0j3INXRa8bTDpcEmoWewMBV61jlFlfzczfjWIgc/edit?usp=sharing"",""อุบลราชธานี!J387"")"),1937)</f>
        <v>1937</v>
      </c>
      <c r="K387" s="59">
        <f t="shared" ca="1" si="296"/>
        <v>0</v>
      </c>
      <c r="L387" s="55"/>
      <c r="M387" s="55"/>
      <c r="N387" s="55"/>
      <c r="O387" s="55"/>
      <c r="P387" s="55"/>
      <c r="Q387" s="55"/>
      <c r="R387" s="55"/>
      <c r="S387" s="62"/>
      <c r="T387" s="55"/>
      <c r="U387" s="55"/>
    </row>
    <row r="388" spans="1:21" ht="18.75">
      <c r="A388" s="188"/>
      <c r="B388" s="188"/>
      <c r="C388" s="188"/>
      <c r="D388" s="188"/>
      <c r="E388" s="188"/>
      <c r="F388" s="188"/>
      <c r="G388" s="208"/>
      <c r="H388" s="187" t="s">
        <v>46</v>
      </c>
      <c r="I388" s="359">
        <f ca="1">IFERROR(__xludf.DUMMYFUNCTION("IMPORTRANGE(""https://docs.google.com/spreadsheets/d/1yhBcrRPreicbMKl9Bu_Snb2-OcQAF62RKfhTLhJ2eAA/edit?usp=sharing"",""กาฬสินธุ์!I388"")+IMPORTRANGE(""https://docs.google.com/spreadsheets/d/1aHkj4IaQMThhwWwevcOymEh837vdxeC_PycurhTbGFA/edit?usp=sharing"","&amp;"""ขอนแก่น!I388"")+IMPORTRANGE(""https://docs.google.com/spreadsheets/d/1FvTu2DsIWUjP6WCWra38Bkj_oOl_sOMf14r5Fg5srxU/edit?usp=sharing"",""ชัยภูมิ!I388"")+IMPORTRANGE(""https://docs.google.com/spreadsheets/d/1XVB7oCJ3pr-vBUdflwPQ8Z2LlzhnCvZaaYjAfP-647E/edit"&amp;"?usp=sharing"",""นครพนม!I388"")+IMPORTRANGE(""https://docs.google.com/spreadsheets/d/1Mnpb-8PYAgn85W6KOTD40hc_Xc55CaLfHoGAbrZ8tls/edit?usp=sharing"",""นครราชสีมา!I388"")+IMPORTRANGE(""https://docs.google.com/spreadsheets/d/1xoDLGBv9CYbyosIhki0kTq6IpYNj-gp"&amp;"jxfobnaDiut0/edit?usp=sharing"",""บึงกาฬ!I388"")+IMPORTRANGE(""https://docs.google.com/spreadsheets/d/1MMPq-JyI6DSgQETxuSiXkesP-P7JHuemnE6QJIa-Nlw/edit?usp=sharing"",""บุรีรัมย์!I388"")+IMPORTRANGE(""https://docs.google.com/spreadsheets/d/1l6IZ8xUPgMrESzc"&amp;"TYwhA1k_tPjeQjJPTqlm8Gd9eU5g/edit?usp=sharing"",""มหาสารคาม!I388"")+IMPORTRANGE(""https://docs.google.com/spreadsheets/d/1uB74YLqNjWX6FObjekfB2NtSYigTQyR2rq9u4Ub2Sq4/edit?usp=sharing"",""มุกดาหาร!I388"")+IMPORTRANGE(""https://docs.google.com/spreadsheets/"&amp;"d/1NexK3geCPxCTO1fzNF8dPec7yZyUx3OaWkFBC9HsQOo/edit?usp=sharing"",""ยโสธร!I388"")+IMPORTRANGE(""https://docs.google.com/spreadsheets/d/1v_cJrbBlyqmnHPReHk44g9NrMRdENNlSy_E_c5M9fIg/edit?usp=sharing"",""ร้อยเอ็ด!I388"")+IMPORTRANGE(""https://docs.google.com"&amp;"/spreadsheets/d/1Ul4RCpCX66NxYADU1QpwAPjOmBzW64SsT11s1wzXw_c/edit?usp=sharing"",""เลย!I388"")+IMPORTRANGE(""https://docs.google.com/spreadsheets/d/1bRrNKwbHDVktQG10isr5vbWRtt5spIZPpkOSWgbT5ug/edit?usp=sharing"",""ศรีสะเกษ!I388"")+IMPORTRANGE(""https://doc"&amp;"s.google.com/spreadsheets/d/17P34_Ow5kFBfdQD0qspb2UuPX5zpi6WMrQzslghyvrI/edit?usp=sharing"",""สกลนคร!I388"")+IMPORTRANGE(""https://docs.google.com/spreadsheets/d/1yswqbM3-AEpThF3ZSUa1AcmHnmRTF1vlJ1CZGcJ8YuU/edit?usp=sharing"",""สุรินทร์!I388"")+IMPORTRANG"&amp;"E(""https://docs.google.com/spreadsheets/d/13JHU_EFbsQOUQ0JSQ3dWy1VTRosIWcDq6Nc99z2qzdc/edit?usp=sharing"",""หนองคาย!I388"")+IMPORTRANGE(""https://docs.google.com/spreadsheets/d/1Hx73zIEgVdDZZaYSTc46Dqv64atFhpr3GelxLbaIN8A/edit?usp=sharing"",""หนองบัวลำภู"&amp;"!I388"")+IMPORTRANGE(""https://docs.google.com/spreadsheets/d/1lFxr3ctmjFN90yc-xV6jrQ9Ty8BKYVBWnAZ15wcNIJc/edit?usp=sharing"",""อำนาจเจริญ!I388"")+IMPORTRANGE(""https://docs.google.com/spreadsheets/d/1gF7RJpRnL-1oyjyeWxs5SFWEH7y8ahOZsQlyp2A2e-A/edit?usp=s"&amp;"haring"",""อุดรธานี!I388"")+IMPORTRANGE(""https://docs.google.com/spreadsheets/d/1kfLP0j3INXRa8bTDpcEmoWewMBV61jlFlfzczfjWIgc/edit?usp=sharing"",""อุบลราชธานี!I388"")"),129600)</f>
        <v>129600</v>
      </c>
      <c r="J388" s="359">
        <f ca="1">IFERROR(__xludf.DUMMYFUNCTION("IMPORTRANGE(""https://docs.google.com/spreadsheets/d/1yhBcrRPreicbMKl9Bu_Snb2-OcQAF62RKfhTLhJ2eAA/edit?usp=sharing"",""กาฬสินธุ์!J388"")+IMPORTRANGE(""https://docs.google.com/spreadsheets/d/1aHkj4IaQMThhwWwevcOymEh837vdxeC_PycurhTbGFA/edit?usp=sharing"","&amp;"""ขอนแก่น!J388"")+IMPORTRANGE(""https://docs.google.com/spreadsheets/d/1FvTu2DsIWUjP6WCWra38Bkj_oOl_sOMf14r5Fg5srxU/edit?usp=sharing"",""ชัยภูมิ!J388"")+IMPORTRANGE(""https://docs.google.com/spreadsheets/d/1XVB7oCJ3pr-vBUdflwPQ8Z2LlzhnCvZaaYjAfP-647E/edit"&amp;"?usp=sharing"",""นครพนม!J388"")+IMPORTRANGE(""https://docs.google.com/spreadsheets/d/1Mnpb-8PYAgn85W6KOTD40hc_Xc55CaLfHoGAbrZ8tls/edit?usp=sharing"",""นครราชสีมา!J388"")+IMPORTRANGE(""https://docs.google.com/spreadsheets/d/1xoDLGBv9CYbyosIhki0kTq6IpYNj-gp"&amp;"jxfobnaDiut0/edit?usp=sharing"",""บึงกาฬ!J388"")+IMPORTRANGE(""https://docs.google.com/spreadsheets/d/1MMPq-JyI6DSgQETxuSiXkesP-P7JHuemnE6QJIa-Nlw/edit?usp=sharing"",""บุรีรัมย์!J388"")+IMPORTRANGE(""https://docs.google.com/spreadsheets/d/1l6IZ8xUPgMrESzc"&amp;"TYwhA1k_tPjeQjJPTqlm8Gd9eU5g/edit?usp=sharing"",""มหาสารคาม!J388"")+IMPORTRANGE(""https://docs.google.com/spreadsheets/d/1uB74YLqNjWX6FObjekfB2NtSYigTQyR2rq9u4Ub2Sq4/edit?usp=sharing"",""มุกดาหาร!J388"")+IMPORTRANGE(""https://docs.google.com/spreadsheets/"&amp;"d/1NexK3geCPxCTO1fzNF8dPec7yZyUx3OaWkFBC9HsQOo/edit?usp=sharing"",""ยโสธร!J388"")+IMPORTRANGE(""https://docs.google.com/spreadsheets/d/1v_cJrbBlyqmnHPReHk44g9NrMRdENNlSy_E_c5M9fIg/edit?usp=sharing"",""ร้อยเอ็ด!J388"")+IMPORTRANGE(""https://docs.google.com"&amp;"/spreadsheets/d/1Ul4RCpCX66NxYADU1QpwAPjOmBzW64SsT11s1wzXw_c/edit?usp=sharing"",""เลย!J388"")+IMPORTRANGE(""https://docs.google.com/spreadsheets/d/1bRrNKwbHDVktQG10isr5vbWRtt5spIZPpkOSWgbT5ug/edit?usp=sharing"",""ศรีสะเกษ!J388"")+IMPORTRANGE(""https://doc"&amp;"s.google.com/spreadsheets/d/17P34_Ow5kFBfdQD0qspb2UuPX5zpi6WMrQzslghyvrI/edit?usp=sharing"",""สกลนคร!J388"")+IMPORTRANGE(""https://docs.google.com/spreadsheets/d/1yswqbM3-AEpThF3ZSUa1AcmHnmRTF1vlJ1CZGcJ8YuU/edit?usp=sharing"",""สุรินทร์!J388"")+IMPORTRANG"&amp;"E(""https://docs.google.com/spreadsheets/d/13JHU_EFbsQOUQ0JSQ3dWy1VTRosIWcDq6Nc99z2qzdc/edit?usp=sharing"",""หนองคาย!J388"")+IMPORTRANGE(""https://docs.google.com/spreadsheets/d/1Hx73zIEgVdDZZaYSTc46Dqv64atFhpr3GelxLbaIN8A/edit?usp=sharing"",""หนองบัวลำภู"&amp;"!J388"")+IMPORTRANGE(""https://docs.google.com/spreadsheets/d/1lFxr3ctmjFN90yc-xV6jrQ9Ty8BKYVBWnAZ15wcNIJc/edit?usp=sharing"",""อำนาจเจริญ!J388"")+IMPORTRANGE(""https://docs.google.com/spreadsheets/d/1gF7RJpRnL-1oyjyeWxs5SFWEH7y8ahOZsQlyp2A2e-A/edit?usp=s"&amp;"haring"",""อุดรธานี!J388"")+IMPORTRANGE(""https://docs.google.com/spreadsheets/d/1kfLP0j3INXRa8bTDpcEmoWewMBV61jlFlfzczfjWIgc/edit?usp=sharing"",""อุบลราชธานี!J388"")"),27104)</f>
        <v>27104</v>
      </c>
      <c r="K388" s="59">
        <f t="shared" ca="1" si="296"/>
        <v>20.913580246913579</v>
      </c>
      <c r="L388" s="55"/>
      <c r="M388" s="55"/>
      <c r="N388" s="55"/>
      <c r="O388" s="55"/>
      <c r="P388" s="55"/>
      <c r="Q388" s="55"/>
      <c r="R388" s="55"/>
      <c r="S388" s="62"/>
      <c r="T388" s="55"/>
      <c r="U388" s="55"/>
    </row>
    <row r="389" spans="1:21" ht="12.75">
      <c r="A389" s="259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4"/>
      <c r="M389" s="264"/>
      <c r="N389" s="264"/>
      <c r="O389" s="264"/>
      <c r="P389" s="264"/>
      <c r="Q389" s="264"/>
      <c r="R389" s="264"/>
      <c r="S389" s="265"/>
      <c r="T389" s="264"/>
      <c r="U389" s="264"/>
    </row>
    <row r="390" spans="1:21" ht="12.75">
      <c r="A390" s="360"/>
      <c r="B390" s="360"/>
      <c r="C390" s="360"/>
      <c r="D390" s="360"/>
      <c r="E390" s="360"/>
      <c r="F390" s="360"/>
      <c r="G390" s="361"/>
      <c r="H390" s="361"/>
      <c r="I390" s="362"/>
      <c r="J390" s="362"/>
      <c r="K390" s="363"/>
      <c r="L390" s="363"/>
      <c r="M390" s="363"/>
      <c r="N390" s="363"/>
      <c r="O390" s="363"/>
      <c r="P390" s="363"/>
      <c r="Q390" s="363"/>
      <c r="R390" s="363"/>
      <c r="S390" s="364"/>
      <c r="T390" s="363"/>
      <c r="U390" s="363"/>
    </row>
    <row r="391" spans="1:21" ht="19.5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31">
        <f t="shared" ref="I391:J391" si="297">I402</f>
        <v>0</v>
      </c>
      <c r="J391" s="331">
        <f t="shared" si="297"/>
        <v>0</v>
      </c>
      <c r="K391" s="332">
        <f>IF(I391&gt;0,J391*100/I391,0)</f>
        <v>0</v>
      </c>
      <c r="L391" s="333"/>
      <c r="M391" s="333"/>
      <c r="N391" s="333"/>
      <c r="O391" s="333"/>
      <c r="P391" s="333"/>
      <c r="Q391" s="333"/>
      <c r="R391" s="333"/>
      <c r="S391" s="334"/>
      <c r="T391" s="333"/>
      <c r="U391" s="333"/>
    </row>
    <row r="392" spans="1:21" ht="19.5">
      <c r="A392" s="155"/>
      <c r="B392" s="188"/>
      <c r="C392" s="191" t="s">
        <v>18</v>
      </c>
      <c r="D392" s="356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159">
        <f t="shared" ref="L392:N392" ca="1" si="298">L393+L394</f>
        <v>0</v>
      </c>
      <c r="M392" s="159">
        <f t="shared" ca="1" si="298"/>
        <v>0</v>
      </c>
      <c r="N392" s="159">
        <f t="shared" ca="1" si="298"/>
        <v>0</v>
      </c>
      <c r="O392" s="159">
        <f t="shared" ref="O392:O400" ca="1" si="299">IF(L392&gt;0,N392*100/L392,0)</f>
        <v>0</v>
      </c>
      <c r="P392" s="159">
        <f t="shared" ref="P392:P400" ca="1" si="300">IF(M392&gt;0,N392*100/M392,0)</f>
        <v>0</v>
      </c>
      <c r="Q392" s="159">
        <f t="shared" ref="Q392:S392" ca="1" si="301">Q393+Q394</f>
        <v>0</v>
      </c>
      <c r="R392" s="159">
        <f t="shared" ca="1" si="301"/>
        <v>0</v>
      </c>
      <c r="S392" s="160">
        <f t="shared" ca="1" si="301"/>
        <v>0</v>
      </c>
      <c r="T392" s="159">
        <f t="shared" ref="T392:T400" ca="1" si="302">IF(Q392&gt;0,S392*100/Q392,0)</f>
        <v>0</v>
      </c>
      <c r="U392" s="159">
        <f t="shared" ref="U392:U400" ca="1" si="303">IF(R392&gt;0,S392*100/R392,0)</f>
        <v>0</v>
      </c>
    </row>
    <row r="393" spans="1:21" ht="18.75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59">
        <f t="shared" ref="L393:N393" ca="1" si="304">L396+L399</f>
        <v>0</v>
      </c>
      <c r="M393" s="59">
        <f t="shared" ca="1" si="304"/>
        <v>0</v>
      </c>
      <c r="N393" s="59">
        <f t="shared" ca="1" si="304"/>
        <v>0</v>
      </c>
      <c r="O393" s="59">
        <f t="shared" ca="1" si="299"/>
        <v>0</v>
      </c>
      <c r="P393" s="59">
        <f t="shared" ca="1" si="300"/>
        <v>0</v>
      </c>
      <c r="Q393" s="59">
        <f t="shared" ref="Q393:S393" ca="1" si="305">Q396+Q399</f>
        <v>0</v>
      </c>
      <c r="R393" s="59">
        <f t="shared" ca="1" si="305"/>
        <v>0</v>
      </c>
      <c r="S393" s="60">
        <f t="shared" ca="1" si="305"/>
        <v>0</v>
      </c>
      <c r="T393" s="59">
        <f t="shared" ca="1" si="302"/>
        <v>0</v>
      </c>
      <c r="U393" s="59">
        <f t="shared" ca="1" si="303"/>
        <v>0</v>
      </c>
    </row>
    <row r="394" spans="1:21" ht="18.75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56">
        <f t="shared" ref="L394:N394" ca="1" si="306">L397+L400</f>
        <v>0</v>
      </c>
      <c r="M394" s="56">
        <f t="shared" ca="1" si="306"/>
        <v>0</v>
      </c>
      <c r="N394" s="56">
        <f t="shared" ca="1" si="306"/>
        <v>0</v>
      </c>
      <c r="O394" s="56">
        <f t="shared" ca="1" si="299"/>
        <v>0</v>
      </c>
      <c r="P394" s="56">
        <f t="shared" ca="1" si="300"/>
        <v>0</v>
      </c>
      <c r="Q394" s="56">
        <f t="shared" ref="Q394:S394" ca="1" si="307">Q397+Q400</f>
        <v>0</v>
      </c>
      <c r="R394" s="56">
        <f t="shared" ca="1" si="307"/>
        <v>0</v>
      </c>
      <c r="S394" s="57">
        <f t="shared" ca="1" si="307"/>
        <v>0</v>
      </c>
      <c r="T394" s="56">
        <f t="shared" ca="1" si="302"/>
        <v>0</v>
      </c>
      <c r="U394" s="56">
        <f t="shared" ca="1" si="303"/>
        <v>0</v>
      </c>
    </row>
    <row r="395" spans="1:21" ht="18.75">
      <c r="A395" s="155"/>
      <c r="B395" s="188"/>
      <c r="C395" s="188"/>
      <c r="D395" s="190" t="s">
        <v>22</v>
      </c>
      <c r="E395" s="50"/>
      <c r="F395" s="50"/>
      <c r="G395" s="52"/>
      <c r="H395" s="162" t="s">
        <v>14</v>
      </c>
      <c r="I395" s="163"/>
      <c r="J395" s="163"/>
      <c r="K395" s="164"/>
      <c r="L395" s="56">
        <f t="shared" ref="L395:N395" ca="1" si="308">L396+L397</f>
        <v>0</v>
      </c>
      <c r="M395" s="56">
        <f t="shared" ca="1" si="308"/>
        <v>0</v>
      </c>
      <c r="N395" s="56">
        <f t="shared" ca="1" si="308"/>
        <v>0</v>
      </c>
      <c r="O395" s="56">
        <f t="shared" ca="1" si="299"/>
        <v>0</v>
      </c>
      <c r="P395" s="56">
        <f t="shared" ca="1" si="300"/>
        <v>0</v>
      </c>
      <c r="Q395" s="56">
        <f t="shared" ref="Q395:S395" ca="1" si="309">Q396+Q397</f>
        <v>0</v>
      </c>
      <c r="R395" s="56">
        <f t="shared" ca="1" si="309"/>
        <v>0</v>
      </c>
      <c r="S395" s="57">
        <f t="shared" ca="1" si="309"/>
        <v>0</v>
      </c>
      <c r="T395" s="56">
        <f t="shared" ca="1" si="302"/>
        <v>0</v>
      </c>
      <c r="U395" s="56">
        <f t="shared" ca="1" si="303"/>
        <v>0</v>
      </c>
    </row>
    <row r="396" spans="1:21" ht="18.75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59">
        <f ca="1">IFERROR(__xludf.DUMMYFUNCTION("IMPORTRANGE(""https://docs.google.com/spreadsheets/d/1yhBcrRPreicbMKl9Bu_Snb2-OcQAF62RKfhTLhJ2eAA/edit?usp=sharing"",""กาฬสินธุ์!L396"")+IMPORTRANGE(""https://docs.google.com/spreadsheets/d/1aHkj4IaQMThhwWwevcOymEh837vdxeC_PycurhTbGFA/edit?usp=sharing"","&amp;"""ขอนแก่น!L396"")+IMPORTRANGE(""https://docs.google.com/spreadsheets/d/1FvTu2DsIWUjP6WCWra38Bkj_oOl_sOMf14r5Fg5srxU/edit?usp=sharing"",""ชัยภูมิ!L396"")+IMPORTRANGE(""https://docs.google.com/spreadsheets/d/1XVB7oCJ3pr-vBUdflwPQ8Z2LlzhnCvZaaYjAfP-647E/edit"&amp;"?usp=sharing"",""นครพนม!L396"")+IMPORTRANGE(""https://docs.google.com/spreadsheets/d/1Mnpb-8PYAgn85W6KOTD40hc_Xc55CaLfHoGAbrZ8tls/edit?usp=sharing"",""นครราชสีมา!L396"")+IMPORTRANGE(""https://docs.google.com/spreadsheets/d/1xoDLGBv9CYbyosIhki0kTq6IpYNj-gp"&amp;"jxfobnaDiut0/edit?usp=sharing"",""บึงกาฬ!L396"")+IMPORTRANGE(""https://docs.google.com/spreadsheets/d/1MMPq-JyI6DSgQETxuSiXkesP-P7JHuemnE6QJIa-Nlw/edit?usp=sharing"",""บุรีรัมย์!L396"")+IMPORTRANGE(""https://docs.google.com/spreadsheets/d/1l6IZ8xUPgMrESzc"&amp;"TYwhA1k_tPjeQjJPTqlm8Gd9eU5g/edit?usp=sharing"",""มหาสารคาม!L396"")+IMPORTRANGE(""https://docs.google.com/spreadsheets/d/1uB74YLqNjWX6FObjekfB2NtSYigTQyR2rq9u4Ub2Sq4/edit?usp=sharing"",""มุกดาหาร!L396"")+IMPORTRANGE(""https://docs.google.com/spreadsheets/"&amp;"d/1NexK3geCPxCTO1fzNF8dPec7yZyUx3OaWkFBC9HsQOo/edit?usp=sharing"",""ยโสธร!L396"")+IMPORTRANGE(""https://docs.google.com/spreadsheets/d/1v_cJrbBlyqmnHPReHk44g9NrMRdENNlSy_E_c5M9fIg/edit?usp=sharing"",""ร้อยเอ็ด!L396"")+IMPORTRANGE(""https://docs.google.com"&amp;"/spreadsheets/d/1Ul4RCpCX66NxYADU1QpwAPjOmBzW64SsT11s1wzXw_c/edit?usp=sharing"",""เลย!L396"")+IMPORTRANGE(""https://docs.google.com/spreadsheets/d/1bRrNKwbHDVktQG10isr5vbWRtt5spIZPpkOSWgbT5ug/edit?usp=sharing"",""ศรีสะเกษ!L396"")+IMPORTRANGE(""https://doc"&amp;"s.google.com/spreadsheets/d/17P34_Ow5kFBfdQD0qspb2UuPX5zpi6WMrQzslghyvrI/edit?usp=sharing"",""สกลนคร!L396"")+IMPORTRANGE(""https://docs.google.com/spreadsheets/d/1yswqbM3-AEpThF3ZSUa1AcmHnmRTF1vlJ1CZGcJ8YuU/edit?usp=sharing"",""สุรินทร์!L396"")+IMPORTRANG"&amp;"E(""https://docs.google.com/spreadsheets/d/13JHU_EFbsQOUQ0JSQ3dWy1VTRosIWcDq6Nc99z2qzdc/edit?usp=sharing"",""หนองคาย!L396"")+IMPORTRANGE(""https://docs.google.com/spreadsheets/d/1Hx73zIEgVdDZZaYSTc46Dqv64atFhpr3GelxLbaIN8A/edit?usp=sharing"",""หนองบัวลำภู"&amp;"!L396"")+IMPORTRANGE(""https://docs.google.com/spreadsheets/d/1lFxr3ctmjFN90yc-xV6jrQ9Ty8BKYVBWnAZ15wcNIJc/edit?usp=sharing"",""อำนาจเจริญ!L396"")+IMPORTRANGE(""https://docs.google.com/spreadsheets/d/1gF7RJpRnL-1oyjyeWxs5SFWEH7y8ahOZsQlyp2A2e-A/edit?usp=s"&amp;"haring"",""อุดรธานี!L396"")+IMPORTRANGE(""https://docs.google.com/spreadsheets/d/1kfLP0j3INXRa8bTDpcEmoWewMBV61jlFlfzczfjWIgc/edit?usp=sharing"",""อุบลราชธานี!L396"")"),0)</f>
        <v>0</v>
      </c>
      <c r="M396" s="59">
        <f ca="1">IFERROR(__xludf.DUMMYFUNCTION("IMPORTRANGE(""https://docs.google.com/spreadsheets/d/1yhBcrRPreicbMKl9Bu_Snb2-OcQAF62RKfhTLhJ2eAA/edit?usp=sharing"",""กาฬสินธุ์!M396"")+IMPORTRANGE(""https://docs.google.com/spreadsheets/d/1aHkj4IaQMThhwWwevcOymEh837vdxeC_PycurhTbGFA/edit?usp=sharing"","&amp;"""ขอนแก่น!M396"")+IMPORTRANGE(""https://docs.google.com/spreadsheets/d/1FvTu2DsIWUjP6WCWra38Bkj_oOl_sOMf14r5Fg5srxU/edit?usp=sharing"",""ชัยภูมิ!M396"")+IMPORTRANGE(""https://docs.google.com/spreadsheets/d/1XVB7oCJ3pr-vBUdflwPQ8Z2LlzhnCvZaaYjAfP-647E/edit"&amp;"?usp=sharing"",""นครพนม!M396"")+IMPORTRANGE(""https://docs.google.com/spreadsheets/d/1Mnpb-8PYAgn85W6KOTD40hc_Xc55CaLfHoGAbrZ8tls/edit?usp=sharing"",""นครราชสีมา!M396"")+IMPORTRANGE(""https://docs.google.com/spreadsheets/d/1xoDLGBv9CYbyosIhki0kTq6IpYNj-gp"&amp;"jxfobnaDiut0/edit?usp=sharing"",""บึงกาฬ!M396"")+IMPORTRANGE(""https://docs.google.com/spreadsheets/d/1MMPq-JyI6DSgQETxuSiXkesP-P7JHuemnE6QJIa-Nlw/edit?usp=sharing"",""บุรีรัมย์!M396"")+IMPORTRANGE(""https://docs.google.com/spreadsheets/d/1l6IZ8xUPgMrESzc"&amp;"TYwhA1k_tPjeQjJPTqlm8Gd9eU5g/edit?usp=sharing"",""มหาสารคาม!M396"")+IMPORTRANGE(""https://docs.google.com/spreadsheets/d/1uB74YLqNjWX6FObjekfB2NtSYigTQyR2rq9u4Ub2Sq4/edit?usp=sharing"",""มุกดาหาร!M396"")+IMPORTRANGE(""https://docs.google.com/spreadsheets/"&amp;"d/1NexK3geCPxCTO1fzNF8dPec7yZyUx3OaWkFBC9HsQOo/edit?usp=sharing"",""ยโสธร!M396"")+IMPORTRANGE(""https://docs.google.com/spreadsheets/d/1v_cJrbBlyqmnHPReHk44g9NrMRdENNlSy_E_c5M9fIg/edit?usp=sharing"",""ร้อยเอ็ด!M396"")+IMPORTRANGE(""https://docs.google.com"&amp;"/spreadsheets/d/1Ul4RCpCX66NxYADU1QpwAPjOmBzW64SsT11s1wzXw_c/edit?usp=sharing"",""เลย!M396"")+IMPORTRANGE(""https://docs.google.com/spreadsheets/d/1bRrNKwbHDVktQG10isr5vbWRtt5spIZPpkOSWgbT5ug/edit?usp=sharing"",""ศรีสะเกษ!M396"")+IMPORTRANGE(""https://doc"&amp;"s.google.com/spreadsheets/d/17P34_Ow5kFBfdQD0qspb2UuPX5zpi6WMrQzslghyvrI/edit?usp=sharing"",""สกลนคร!M396"")+IMPORTRANGE(""https://docs.google.com/spreadsheets/d/1yswqbM3-AEpThF3ZSUa1AcmHnmRTF1vlJ1CZGcJ8YuU/edit?usp=sharing"",""สุรินทร์!M396"")+IMPORTRANG"&amp;"E(""https://docs.google.com/spreadsheets/d/13JHU_EFbsQOUQ0JSQ3dWy1VTRosIWcDq6Nc99z2qzdc/edit?usp=sharing"",""หนองคาย!M396"")+IMPORTRANGE(""https://docs.google.com/spreadsheets/d/1Hx73zIEgVdDZZaYSTc46Dqv64atFhpr3GelxLbaIN8A/edit?usp=sharing"",""หนองบัวลำภู"&amp;"!M396"")+IMPORTRANGE(""https://docs.google.com/spreadsheets/d/1lFxr3ctmjFN90yc-xV6jrQ9Ty8BKYVBWnAZ15wcNIJc/edit?usp=sharing"",""อำนาจเจริญ!M396"")+IMPORTRANGE(""https://docs.google.com/spreadsheets/d/1gF7RJpRnL-1oyjyeWxs5SFWEH7y8ahOZsQlyp2A2e-A/edit?usp=s"&amp;"haring"",""อุดรธานี!M396"")+IMPORTRANGE(""https://docs.google.com/spreadsheets/d/1kfLP0j3INXRa8bTDpcEmoWewMBV61jlFlfzczfjWIgc/edit?usp=sharing"",""อุบลราชธานี!M396"")"),0)</f>
        <v>0</v>
      </c>
      <c r="N396" s="59">
        <f ca="1">IFERROR(__xludf.DUMMYFUNCTION("IMPORTRANGE(""https://docs.google.com/spreadsheets/d/1yhBcrRPreicbMKl9Bu_Snb2-OcQAF62RKfhTLhJ2eAA/edit?usp=sharing"",""กาฬสินธุ์!N396"")+IMPORTRANGE(""https://docs.google.com/spreadsheets/d/1aHkj4IaQMThhwWwevcOymEh837vdxeC_PycurhTbGFA/edit?usp=sharing"","&amp;"""ขอนแก่น!N396"")+IMPORTRANGE(""https://docs.google.com/spreadsheets/d/1FvTu2DsIWUjP6WCWra38Bkj_oOl_sOMf14r5Fg5srxU/edit?usp=sharing"",""ชัยภูมิ!N396"")+IMPORTRANGE(""https://docs.google.com/spreadsheets/d/1XVB7oCJ3pr-vBUdflwPQ8Z2LlzhnCvZaaYjAfP-647E/edit"&amp;"?usp=sharing"",""นครพนม!N396"")+IMPORTRANGE(""https://docs.google.com/spreadsheets/d/1Mnpb-8PYAgn85W6KOTD40hc_Xc55CaLfHoGAbrZ8tls/edit?usp=sharing"",""นครราชสีมา!N396"")+IMPORTRANGE(""https://docs.google.com/spreadsheets/d/1xoDLGBv9CYbyosIhki0kTq6IpYNj-gp"&amp;"jxfobnaDiut0/edit?usp=sharing"",""บึงกาฬ!N396"")+IMPORTRANGE(""https://docs.google.com/spreadsheets/d/1MMPq-JyI6DSgQETxuSiXkesP-P7JHuemnE6QJIa-Nlw/edit?usp=sharing"",""บุรีรัมย์!N396"")+IMPORTRANGE(""https://docs.google.com/spreadsheets/d/1l6IZ8xUPgMrESzc"&amp;"TYwhA1k_tPjeQjJPTqlm8Gd9eU5g/edit?usp=sharing"",""มหาสารคาม!N396"")+IMPORTRANGE(""https://docs.google.com/spreadsheets/d/1uB74YLqNjWX6FObjekfB2NtSYigTQyR2rq9u4Ub2Sq4/edit?usp=sharing"",""มุกดาหาร!N396"")+IMPORTRANGE(""https://docs.google.com/spreadsheets/"&amp;"d/1NexK3geCPxCTO1fzNF8dPec7yZyUx3OaWkFBC9HsQOo/edit?usp=sharing"",""ยโสธร!N396"")+IMPORTRANGE(""https://docs.google.com/spreadsheets/d/1v_cJrbBlyqmnHPReHk44g9NrMRdENNlSy_E_c5M9fIg/edit?usp=sharing"",""ร้อยเอ็ด!N396"")+IMPORTRANGE(""https://docs.google.com"&amp;"/spreadsheets/d/1Ul4RCpCX66NxYADU1QpwAPjOmBzW64SsT11s1wzXw_c/edit?usp=sharing"",""เลย!N396"")+IMPORTRANGE(""https://docs.google.com/spreadsheets/d/1bRrNKwbHDVktQG10isr5vbWRtt5spIZPpkOSWgbT5ug/edit?usp=sharing"",""ศรีสะเกษ!N396"")+IMPORTRANGE(""https://doc"&amp;"s.google.com/spreadsheets/d/17P34_Ow5kFBfdQD0qspb2UuPX5zpi6WMrQzslghyvrI/edit?usp=sharing"",""สกลนคร!N396"")+IMPORTRANGE(""https://docs.google.com/spreadsheets/d/1yswqbM3-AEpThF3ZSUa1AcmHnmRTF1vlJ1CZGcJ8YuU/edit?usp=sharing"",""สุรินทร์!N396"")+IMPORTRANG"&amp;"E(""https://docs.google.com/spreadsheets/d/13JHU_EFbsQOUQ0JSQ3dWy1VTRosIWcDq6Nc99z2qzdc/edit?usp=sharing"",""หนองคาย!N396"")+IMPORTRANGE(""https://docs.google.com/spreadsheets/d/1Hx73zIEgVdDZZaYSTc46Dqv64atFhpr3GelxLbaIN8A/edit?usp=sharing"",""หนองบัวลำภู"&amp;"!N396"")+IMPORTRANGE(""https://docs.google.com/spreadsheets/d/1lFxr3ctmjFN90yc-xV6jrQ9Ty8BKYVBWnAZ15wcNIJc/edit?usp=sharing"",""อำนาจเจริญ!N396"")+IMPORTRANGE(""https://docs.google.com/spreadsheets/d/1gF7RJpRnL-1oyjyeWxs5SFWEH7y8ahOZsQlyp2A2e-A/edit?usp=s"&amp;"haring"",""อุดรธานี!N396"")+IMPORTRANGE(""https://docs.google.com/spreadsheets/d/1kfLP0j3INXRa8bTDpcEmoWewMBV61jlFlfzczfjWIgc/edit?usp=sharing"",""อุบลราชธานี!N396"")"),0)</f>
        <v>0</v>
      </c>
      <c r="O396" s="59">
        <f t="shared" ca="1" si="299"/>
        <v>0</v>
      </c>
      <c r="P396" s="59">
        <f t="shared" ca="1" si="300"/>
        <v>0</v>
      </c>
      <c r="Q396" s="59">
        <f ca="1">IFERROR(__xludf.DUMMYFUNCTION("IMPORTRANGE(""https://docs.google.com/spreadsheets/d/1yhBcrRPreicbMKl9Bu_Snb2-OcQAF62RKfhTLhJ2eAA/edit?usp=sharing"",""กาฬสินธุ์!Q396"")+IMPORTRANGE(""https://docs.google.com/spreadsheets/d/1aHkj4IaQMThhwWwevcOymEh837vdxeC_PycurhTbGFA/edit?usp=sharing"","&amp;"""ขอนแก่น!Q396"")+IMPORTRANGE(""https://docs.google.com/spreadsheets/d/1FvTu2DsIWUjP6WCWra38Bkj_oOl_sOMf14r5Fg5srxU/edit?usp=sharing"",""ชัยภูมิ!Q396"")+IMPORTRANGE(""https://docs.google.com/spreadsheets/d/1XVB7oCJ3pr-vBUdflwPQ8Z2LlzhnCvZaaYjAfP-647E/edit"&amp;"?usp=sharing"",""นครพนม!Q396"")+IMPORTRANGE(""https://docs.google.com/spreadsheets/d/1Mnpb-8PYAgn85W6KOTD40hc_Xc55CaLfHoGAbrZ8tls/edit?usp=sharing"",""นครราชสีมา!Q396"")+IMPORTRANGE(""https://docs.google.com/spreadsheets/d/1xoDLGBv9CYbyosIhki0kTq6IpYNj-gp"&amp;"jxfobnaDiut0/edit?usp=sharing"",""บึงกาฬ!Q396"")+IMPORTRANGE(""https://docs.google.com/spreadsheets/d/1MMPq-JyI6DSgQETxuSiXkesP-P7JHuemnE6QJIa-Nlw/edit?usp=sharing"",""บุรีรัมย์!Q396"")+IMPORTRANGE(""https://docs.google.com/spreadsheets/d/1l6IZ8xUPgMrESzc"&amp;"TYwhA1k_tPjeQjJPTqlm8Gd9eU5g/edit?usp=sharing"",""มหาสารคาม!Q396"")+IMPORTRANGE(""https://docs.google.com/spreadsheets/d/1uB74YLqNjWX6FObjekfB2NtSYigTQyR2rq9u4Ub2Sq4/edit?usp=sharing"",""มุกดาหาร!Q396"")+IMPORTRANGE(""https://docs.google.com/spreadsheets/"&amp;"d/1NexK3geCPxCTO1fzNF8dPec7yZyUx3OaWkFBC9HsQOo/edit?usp=sharing"",""ยโสธร!Q396"")+IMPORTRANGE(""https://docs.google.com/spreadsheets/d/1v_cJrbBlyqmnHPReHk44g9NrMRdENNlSy_E_c5M9fIg/edit?usp=sharing"",""ร้อยเอ็ด!Q396"")+IMPORTRANGE(""https://docs.google.com"&amp;"/spreadsheets/d/1Ul4RCpCX66NxYADU1QpwAPjOmBzW64SsT11s1wzXw_c/edit?usp=sharing"",""เลย!Q396"")+IMPORTRANGE(""https://docs.google.com/spreadsheets/d/1bRrNKwbHDVktQG10isr5vbWRtt5spIZPpkOSWgbT5ug/edit?usp=sharing"",""ศรีสะเกษ!Q396"")+IMPORTRANGE(""https://doc"&amp;"s.google.com/spreadsheets/d/17P34_Ow5kFBfdQD0qspb2UuPX5zpi6WMrQzslghyvrI/edit?usp=sharing"",""สกลนคร!Q396"")+IMPORTRANGE(""https://docs.google.com/spreadsheets/d/1yswqbM3-AEpThF3ZSUa1AcmHnmRTF1vlJ1CZGcJ8YuU/edit?usp=sharing"",""สุรินทร์!Q396"")+IMPORTRANG"&amp;"E(""https://docs.google.com/spreadsheets/d/13JHU_EFbsQOUQ0JSQ3dWy1VTRosIWcDq6Nc99z2qzdc/edit?usp=sharing"",""หนองคาย!Q396"")+IMPORTRANGE(""https://docs.google.com/spreadsheets/d/1Hx73zIEgVdDZZaYSTc46Dqv64atFhpr3GelxLbaIN8A/edit?usp=sharing"",""หนองบัวลำภู"&amp;"!Q396"")+IMPORTRANGE(""https://docs.google.com/spreadsheets/d/1lFxr3ctmjFN90yc-xV6jrQ9Ty8BKYVBWnAZ15wcNIJc/edit?usp=sharing"",""อำนาจเจริญ!Q396"")+IMPORTRANGE(""https://docs.google.com/spreadsheets/d/1gF7RJpRnL-1oyjyeWxs5SFWEH7y8ahOZsQlyp2A2e-A/edit?usp=s"&amp;"haring"",""อุดรธานี!Q396"")+IMPORTRANGE(""https://docs.google.com/spreadsheets/d/1kfLP0j3INXRa8bTDpcEmoWewMBV61jlFlfzczfjWIgc/edit?usp=sharing"",""อุบลราชธานี!Q396"")"),0)</f>
        <v>0</v>
      </c>
      <c r="R396" s="59">
        <f ca="1">IFERROR(__xludf.DUMMYFUNCTION("IMPORTRANGE(""https://docs.google.com/spreadsheets/d/1yhBcrRPreicbMKl9Bu_Snb2-OcQAF62RKfhTLhJ2eAA/edit?usp=sharing"",""กาฬสินธุ์!R396"")+IMPORTRANGE(""https://docs.google.com/spreadsheets/d/1aHkj4IaQMThhwWwevcOymEh837vdxeC_PycurhTbGFA/edit?usp=sharing"","&amp;"""ขอนแก่น!R396"")+IMPORTRANGE(""https://docs.google.com/spreadsheets/d/1FvTu2DsIWUjP6WCWra38Bkj_oOl_sOMf14r5Fg5srxU/edit?usp=sharing"",""ชัยภูมิ!R396"")+IMPORTRANGE(""https://docs.google.com/spreadsheets/d/1XVB7oCJ3pr-vBUdflwPQ8Z2LlzhnCvZaaYjAfP-647E/edit"&amp;"?usp=sharing"",""นครพนม!R396"")+IMPORTRANGE(""https://docs.google.com/spreadsheets/d/1Mnpb-8PYAgn85W6KOTD40hc_Xc55CaLfHoGAbrZ8tls/edit?usp=sharing"",""นครราชสีมา!R396"")+IMPORTRANGE(""https://docs.google.com/spreadsheets/d/1xoDLGBv9CYbyosIhki0kTq6IpYNj-gp"&amp;"jxfobnaDiut0/edit?usp=sharing"",""บึงกาฬ!R396"")+IMPORTRANGE(""https://docs.google.com/spreadsheets/d/1MMPq-JyI6DSgQETxuSiXkesP-P7JHuemnE6QJIa-Nlw/edit?usp=sharing"",""บุรีรัมย์!R396"")+IMPORTRANGE(""https://docs.google.com/spreadsheets/d/1l6IZ8xUPgMrESzc"&amp;"TYwhA1k_tPjeQjJPTqlm8Gd9eU5g/edit?usp=sharing"",""มหาสารคาม!R396"")+IMPORTRANGE(""https://docs.google.com/spreadsheets/d/1uB74YLqNjWX6FObjekfB2NtSYigTQyR2rq9u4Ub2Sq4/edit?usp=sharing"",""มุกดาหาร!R396"")+IMPORTRANGE(""https://docs.google.com/spreadsheets/"&amp;"d/1NexK3geCPxCTO1fzNF8dPec7yZyUx3OaWkFBC9HsQOo/edit?usp=sharing"",""ยโสธร!R396"")+IMPORTRANGE(""https://docs.google.com/spreadsheets/d/1v_cJrbBlyqmnHPReHk44g9NrMRdENNlSy_E_c5M9fIg/edit?usp=sharing"",""ร้อยเอ็ด!R396"")+IMPORTRANGE(""https://docs.google.com"&amp;"/spreadsheets/d/1Ul4RCpCX66NxYADU1QpwAPjOmBzW64SsT11s1wzXw_c/edit?usp=sharing"",""เลย!R396"")+IMPORTRANGE(""https://docs.google.com/spreadsheets/d/1bRrNKwbHDVktQG10isr5vbWRtt5spIZPpkOSWgbT5ug/edit?usp=sharing"",""ศรีสะเกษ!R396"")+IMPORTRANGE(""https://doc"&amp;"s.google.com/spreadsheets/d/17P34_Ow5kFBfdQD0qspb2UuPX5zpi6WMrQzslghyvrI/edit?usp=sharing"",""สกลนคร!R396"")+IMPORTRANGE(""https://docs.google.com/spreadsheets/d/1yswqbM3-AEpThF3ZSUa1AcmHnmRTF1vlJ1CZGcJ8YuU/edit?usp=sharing"",""สุรินทร์!R396"")+IMPORTRANG"&amp;"E(""https://docs.google.com/spreadsheets/d/13JHU_EFbsQOUQ0JSQ3dWy1VTRosIWcDq6Nc99z2qzdc/edit?usp=sharing"",""หนองคาย!R396"")+IMPORTRANGE(""https://docs.google.com/spreadsheets/d/1Hx73zIEgVdDZZaYSTc46Dqv64atFhpr3GelxLbaIN8A/edit?usp=sharing"",""หนองบัวลำภู"&amp;"!R396"")+IMPORTRANGE(""https://docs.google.com/spreadsheets/d/1lFxr3ctmjFN90yc-xV6jrQ9Ty8BKYVBWnAZ15wcNIJc/edit?usp=sharing"",""อำนาจเจริญ!R396"")+IMPORTRANGE(""https://docs.google.com/spreadsheets/d/1gF7RJpRnL-1oyjyeWxs5SFWEH7y8ahOZsQlyp2A2e-A/edit?usp=s"&amp;"haring"",""อุดรธานี!R396"")+IMPORTRANGE(""https://docs.google.com/spreadsheets/d/1kfLP0j3INXRa8bTDpcEmoWewMBV61jlFlfzczfjWIgc/edit?usp=sharing"",""อุบลราชธานี!R396"")"),0)</f>
        <v>0</v>
      </c>
      <c r="S396" s="60">
        <f ca="1">IFERROR(__xludf.DUMMYFUNCTION("IMPORTRANGE(""https://docs.google.com/spreadsheets/d/1yhBcrRPreicbMKl9Bu_Snb2-OcQAF62RKfhTLhJ2eAA/edit?usp=sharing"",""กาฬสินธุ์!S396"")+IMPORTRANGE(""https://docs.google.com/spreadsheets/d/1aHkj4IaQMThhwWwevcOymEh837vdxeC_PycurhTbGFA/edit?usp=sharing"","&amp;"""ขอนแก่น!S396"")+IMPORTRANGE(""https://docs.google.com/spreadsheets/d/1FvTu2DsIWUjP6WCWra38Bkj_oOl_sOMf14r5Fg5srxU/edit?usp=sharing"",""ชัยภูมิ!S396"")+IMPORTRANGE(""https://docs.google.com/spreadsheets/d/1XVB7oCJ3pr-vBUdflwPQ8Z2LlzhnCvZaaYjAfP-647E/edit"&amp;"?usp=sharing"",""นครพนม!S396"")+IMPORTRANGE(""https://docs.google.com/spreadsheets/d/1Mnpb-8PYAgn85W6KOTD40hc_Xc55CaLfHoGAbrZ8tls/edit?usp=sharing"",""นครราชสีมา!S396"")+IMPORTRANGE(""https://docs.google.com/spreadsheets/d/1xoDLGBv9CYbyosIhki0kTq6IpYNj-gp"&amp;"jxfobnaDiut0/edit?usp=sharing"",""บึงกาฬ!S396"")+IMPORTRANGE(""https://docs.google.com/spreadsheets/d/1MMPq-JyI6DSgQETxuSiXkesP-P7JHuemnE6QJIa-Nlw/edit?usp=sharing"",""บุรีรัมย์!S396"")+IMPORTRANGE(""https://docs.google.com/spreadsheets/d/1l6IZ8xUPgMrESzc"&amp;"TYwhA1k_tPjeQjJPTqlm8Gd9eU5g/edit?usp=sharing"",""มหาสารคาม!S396"")+IMPORTRANGE(""https://docs.google.com/spreadsheets/d/1uB74YLqNjWX6FObjekfB2NtSYigTQyR2rq9u4Ub2Sq4/edit?usp=sharing"",""มุกดาหาร!S396"")+IMPORTRANGE(""https://docs.google.com/spreadsheets/"&amp;"d/1NexK3geCPxCTO1fzNF8dPec7yZyUx3OaWkFBC9HsQOo/edit?usp=sharing"",""ยโสธร!S396"")+IMPORTRANGE(""https://docs.google.com/spreadsheets/d/1v_cJrbBlyqmnHPReHk44g9NrMRdENNlSy_E_c5M9fIg/edit?usp=sharing"",""ร้อยเอ็ด!S396"")+IMPORTRANGE(""https://docs.google.com"&amp;"/spreadsheets/d/1Ul4RCpCX66NxYADU1QpwAPjOmBzW64SsT11s1wzXw_c/edit?usp=sharing"",""เลย!S396"")+IMPORTRANGE(""https://docs.google.com/spreadsheets/d/1bRrNKwbHDVktQG10isr5vbWRtt5spIZPpkOSWgbT5ug/edit?usp=sharing"",""ศรีสะเกษ!S396"")+IMPORTRANGE(""https://doc"&amp;"s.google.com/spreadsheets/d/17P34_Ow5kFBfdQD0qspb2UuPX5zpi6WMrQzslghyvrI/edit?usp=sharing"",""สกลนคร!S396"")+IMPORTRANGE(""https://docs.google.com/spreadsheets/d/1yswqbM3-AEpThF3ZSUa1AcmHnmRTF1vlJ1CZGcJ8YuU/edit?usp=sharing"",""สุรินทร์!S396"")+IMPORTRANG"&amp;"E(""https://docs.google.com/spreadsheets/d/13JHU_EFbsQOUQ0JSQ3dWy1VTRosIWcDq6Nc99z2qzdc/edit?usp=sharing"",""หนองคาย!S396"")+IMPORTRANGE(""https://docs.google.com/spreadsheets/d/1Hx73zIEgVdDZZaYSTc46Dqv64atFhpr3GelxLbaIN8A/edit?usp=sharing"",""หนองบัวลำภู"&amp;"!S396"")+IMPORTRANGE(""https://docs.google.com/spreadsheets/d/1lFxr3ctmjFN90yc-xV6jrQ9Ty8BKYVBWnAZ15wcNIJc/edit?usp=sharing"",""อำนาจเจริญ!S396"")+IMPORTRANGE(""https://docs.google.com/spreadsheets/d/1gF7RJpRnL-1oyjyeWxs5SFWEH7y8ahOZsQlyp2A2e-A/edit?usp=s"&amp;"haring"",""อุดรธานี!S396"")+IMPORTRANGE(""https://docs.google.com/spreadsheets/d/1kfLP0j3INXRa8bTDpcEmoWewMBV61jlFlfzczfjWIgc/edit?usp=sharing"",""อุบลราชธานี!S396"")"),0)</f>
        <v>0</v>
      </c>
      <c r="T396" s="59">
        <f t="shared" ca="1" si="302"/>
        <v>0</v>
      </c>
      <c r="U396" s="59">
        <f t="shared" ca="1" si="303"/>
        <v>0</v>
      </c>
    </row>
    <row r="397" spans="1:21" ht="18.75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56">
        <f ca="1">IFERROR(__xludf.DUMMYFUNCTION("IMPORTRANGE(""https://docs.google.com/spreadsheets/d/1yhBcrRPreicbMKl9Bu_Snb2-OcQAF62RKfhTLhJ2eAA/edit?usp=sharing"",""กาฬสินธุ์!L397"")+IMPORTRANGE(""https://docs.google.com/spreadsheets/d/1aHkj4IaQMThhwWwevcOymEh837vdxeC_PycurhTbGFA/edit?usp=sharing"","&amp;"""ขอนแก่น!L397"")+IMPORTRANGE(""https://docs.google.com/spreadsheets/d/1FvTu2DsIWUjP6WCWra38Bkj_oOl_sOMf14r5Fg5srxU/edit?usp=sharing"",""ชัยภูมิ!L397"")+IMPORTRANGE(""https://docs.google.com/spreadsheets/d/1XVB7oCJ3pr-vBUdflwPQ8Z2LlzhnCvZaaYjAfP-647E/edit"&amp;"?usp=sharing"",""นครพนม!L397"")+IMPORTRANGE(""https://docs.google.com/spreadsheets/d/1Mnpb-8PYAgn85W6KOTD40hc_Xc55CaLfHoGAbrZ8tls/edit?usp=sharing"",""นครราชสีมา!L397"")+IMPORTRANGE(""https://docs.google.com/spreadsheets/d/1xoDLGBv9CYbyosIhki0kTq6IpYNj-gp"&amp;"jxfobnaDiut0/edit?usp=sharing"",""บึงกาฬ!L397"")+IMPORTRANGE(""https://docs.google.com/spreadsheets/d/1MMPq-JyI6DSgQETxuSiXkesP-P7JHuemnE6QJIa-Nlw/edit?usp=sharing"",""บุรีรัมย์!L397"")+IMPORTRANGE(""https://docs.google.com/spreadsheets/d/1l6IZ8xUPgMrESzc"&amp;"TYwhA1k_tPjeQjJPTqlm8Gd9eU5g/edit?usp=sharing"",""มหาสารคาม!L397"")+IMPORTRANGE(""https://docs.google.com/spreadsheets/d/1uB74YLqNjWX6FObjekfB2NtSYigTQyR2rq9u4Ub2Sq4/edit?usp=sharing"",""มุกดาหาร!L397"")+IMPORTRANGE(""https://docs.google.com/spreadsheets/"&amp;"d/1NexK3geCPxCTO1fzNF8dPec7yZyUx3OaWkFBC9HsQOo/edit?usp=sharing"",""ยโสธร!L397"")+IMPORTRANGE(""https://docs.google.com/spreadsheets/d/1v_cJrbBlyqmnHPReHk44g9NrMRdENNlSy_E_c5M9fIg/edit?usp=sharing"",""ร้อยเอ็ด!L397"")+IMPORTRANGE(""https://docs.google.com"&amp;"/spreadsheets/d/1Ul4RCpCX66NxYADU1QpwAPjOmBzW64SsT11s1wzXw_c/edit?usp=sharing"",""เลย!L397"")+IMPORTRANGE(""https://docs.google.com/spreadsheets/d/1bRrNKwbHDVktQG10isr5vbWRtt5spIZPpkOSWgbT5ug/edit?usp=sharing"",""ศรีสะเกษ!L397"")+IMPORTRANGE(""https://doc"&amp;"s.google.com/spreadsheets/d/17P34_Ow5kFBfdQD0qspb2UuPX5zpi6WMrQzslghyvrI/edit?usp=sharing"",""สกลนคร!L397"")+IMPORTRANGE(""https://docs.google.com/spreadsheets/d/1yswqbM3-AEpThF3ZSUa1AcmHnmRTF1vlJ1CZGcJ8YuU/edit?usp=sharing"",""สุรินทร์!L397"")+IMPORTRANG"&amp;"E(""https://docs.google.com/spreadsheets/d/13JHU_EFbsQOUQ0JSQ3dWy1VTRosIWcDq6Nc99z2qzdc/edit?usp=sharing"",""หนองคาย!L397"")+IMPORTRANGE(""https://docs.google.com/spreadsheets/d/1Hx73zIEgVdDZZaYSTc46Dqv64atFhpr3GelxLbaIN8A/edit?usp=sharing"",""หนองบัวลำภู"&amp;"!L397"")+IMPORTRANGE(""https://docs.google.com/spreadsheets/d/1lFxr3ctmjFN90yc-xV6jrQ9Ty8BKYVBWnAZ15wcNIJc/edit?usp=sharing"",""อำนาจเจริญ!L397"")+IMPORTRANGE(""https://docs.google.com/spreadsheets/d/1gF7RJpRnL-1oyjyeWxs5SFWEH7y8ahOZsQlyp2A2e-A/edit?usp=s"&amp;"haring"",""อุดรธานี!L397"")+IMPORTRANGE(""https://docs.google.com/spreadsheets/d/1kfLP0j3INXRa8bTDpcEmoWewMBV61jlFlfzczfjWIgc/edit?usp=sharing"",""อุบลราชธานี!L397"")"),0)</f>
        <v>0</v>
      </c>
      <c r="M397" s="56">
        <f ca="1">IFERROR(__xludf.DUMMYFUNCTION("IMPORTRANGE(""https://docs.google.com/spreadsheets/d/1yhBcrRPreicbMKl9Bu_Snb2-OcQAF62RKfhTLhJ2eAA/edit?usp=sharing"",""กาฬสินธุ์!M397"")+IMPORTRANGE(""https://docs.google.com/spreadsheets/d/1aHkj4IaQMThhwWwevcOymEh837vdxeC_PycurhTbGFA/edit?usp=sharing"","&amp;"""ขอนแก่น!M397"")+IMPORTRANGE(""https://docs.google.com/spreadsheets/d/1FvTu2DsIWUjP6WCWra38Bkj_oOl_sOMf14r5Fg5srxU/edit?usp=sharing"",""ชัยภูมิ!M397"")+IMPORTRANGE(""https://docs.google.com/spreadsheets/d/1XVB7oCJ3pr-vBUdflwPQ8Z2LlzhnCvZaaYjAfP-647E/edit"&amp;"?usp=sharing"",""นครพนม!M397"")+IMPORTRANGE(""https://docs.google.com/spreadsheets/d/1Mnpb-8PYAgn85W6KOTD40hc_Xc55CaLfHoGAbrZ8tls/edit?usp=sharing"",""นครราชสีมา!M397"")+IMPORTRANGE(""https://docs.google.com/spreadsheets/d/1xoDLGBv9CYbyosIhki0kTq6IpYNj-gp"&amp;"jxfobnaDiut0/edit?usp=sharing"",""บึงกาฬ!M397"")+IMPORTRANGE(""https://docs.google.com/spreadsheets/d/1MMPq-JyI6DSgQETxuSiXkesP-P7JHuemnE6QJIa-Nlw/edit?usp=sharing"",""บุรีรัมย์!M397"")+IMPORTRANGE(""https://docs.google.com/spreadsheets/d/1l6IZ8xUPgMrESzc"&amp;"TYwhA1k_tPjeQjJPTqlm8Gd9eU5g/edit?usp=sharing"",""มหาสารคาม!M397"")+IMPORTRANGE(""https://docs.google.com/spreadsheets/d/1uB74YLqNjWX6FObjekfB2NtSYigTQyR2rq9u4Ub2Sq4/edit?usp=sharing"",""มุกดาหาร!M397"")+IMPORTRANGE(""https://docs.google.com/spreadsheets/"&amp;"d/1NexK3geCPxCTO1fzNF8dPec7yZyUx3OaWkFBC9HsQOo/edit?usp=sharing"",""ยโสธร!M397"")+IMPORTRANGE(""https://docs.google.com/spreadsheets/d/1v_cJrbBlyqmnHPReHk44g9NrMRdENNlSy_E_c5M9fIg/edit?usp=sharing"",""ร้อยเอ็ด!M397"")+IMPORTRANGE(""https://docs.google.com"&amp;"/spreadsheets/d/1Ul4RCpCX66NxYADU1QpwAPjOmBzW64SsT11s1wzXw_c/edit?usp=sharing"",""เลย!M397"")+IMPORTRANGE(""https://docs.google.com/spreadsheets/d/1bRrNKwbHDVktQG10isr5vbWRtt5spIZPpkOSWgbT5ug/edit?usp=sharing"",""ศรีสะเกษ!M397"")+IMPORTRANGE(""https://doc"&amp;"s.google.com/spreadsheets/d/17P34_Ow5kFBfdQD0qspb2UuPX5zpi6WMrQzslghyvrI/edit?usp=sharing"",""สกลนคร!M397"")+IMPORTRANGE(""https://docs.google.com/spreadsheets/d/1yswqbM3-AEpThF3ZSUa1AcmHnmRTF1vlJ1CZGcJ8YuU/edit?usp=sharing"",""สุรินทร์!M397"")+IMPORTRANG"&amp;"E(""https://docs.google.com/spreadsheets/d/13JHU_EFbsQOUQ0JSQ3dWy1VTRosIWcDq6Nc99z2qzdc/edit?usp=sharing"",""หนองคาย!M397"")+IMPORTRANGE(""https://docs.google.com/spreadsheets/d/1Hx73zIEgVdDZZaYSTc46Dqv64atFhpr3GelxLbaIN8A/edit?usp=sharing"",""หนองบัวลำภู"&amp;"!M397"")+IMPORTRANGE(""https://docs.google.com/spreadsheets/d/1lFxr3ctmjFN90yc-xV6jrQ9Ty8BKYVBWnAZ15wcNIJc/edit?usp=sharing"",""อำนาจเจริญ!M397"")+IMPORTRANGE(""https://docs.google.com/spreadsheets/d/1gF7RJpRnL-1oyjyeWxs5SFWEH7y8ahOZsQlyp2A2e-A/edit?usp=s"&amp;"haring"",""อุดรธานี!M397"")+IMPORTRANGE(""https://docs.google.com/spreadsheets/d/1kfLP0j3INXRa8bTDpcEmoWewMBV61jlFlfzczfjWIgc/edit?usp=sharing"",""อุบลราชธานี!M397"")"),0)</f>
        <v>0</v>
      </c>
      <c r="N397" s="56">
        <f ca="1">IFERROR(__xludf.DUMMYFUNCTION("IMPORTRANGE(""https://docs.google.com/spreadsheets/d/1yhBcrRPreicbMKl9Bu_Snb2-OcQAF62RKfhTLhJ2eAA/edit?usp=sharing"",""กาฬสินธุ์!N397"")+IMPORTRANGE(""https://docs.google.com/spreadsheets/d/1aHkj4IaQMThhwWwevcOymEh837vdxeC_PycurhTbGFA/edit?usp=sharing"","&amp;"""ขอนแก่น!N397"")+IMPORTRANGE(""https://docs.google.com/spreadsheets/d/1FvTu2DsIWUjP6WCWra38Bkj_oOl_sOMf14r5Fg5srxU/edit?usp=sharing"",""ชัยภูมิ!N397"")+IMPORTRANGE(""https://docs.google.com/spreadsheets/d/1XVB7oCJ3pr-vBUdflwPQ8Z2LlzhnCvZaaYjAfP-647E/edit"&amp;"?usp=sharing"",""นครพนม!N397"")+IMPORTRANGE(""https://docs.google.com/spreadsheets/d/1Mnpb-8PYAgn85W6KOTD40hc_Xc55CaLfHoGAbrZ8tls/edit?usp=sharing"",""นครราชสีมา!N397"")+IMPORTRANGE(""https://docs.google.com/spreadsheets/d/1xoDLGBv9CYbyosIhki0kTq6IpYNj-gp"&amp;"jxfobnaDiut0/edit?usp=sharing"",""บึงกาฬ!N397"")+IMPORTRANGE(""https://docs.google.com/spreadsheets/d/1MMPq-JyI6DSgQETxuSiXkesP-P7JHuemnE6QJIa-Nlw/edit?usp=sharing"",""บุรีรัมย์!N397"")+IMPORTRANGE(""https://docs.google.com/spreadsheets/d/1l6IZ8xUPgMrESzc"&amp;"TYwhA1k_tPjeQjJPTqlm8Gd9eU5g/edit?usp=sharing"",""มหาสารคาม!N397"")+IMPORTRANGE(""https://docs.google.com/spreadsheets/d/1uB74YLqNjWX6FObjekfB2NtSYigTQyR2rq9u4Ub2Sq4/edit?usp=sharing"",""มุกดาหาร!N397"")+IMPORTRANGE(""https://docs.google.com/spreadsheets/"&amp;"d/1NexK3geCPxCTO1fzNF8dPec7yZyUx3OaWkFBC9HsQOo/edit?usp=sharing"",""ยโสธร!N397"")+IMPORTRANGE(""https://docs.google.com/spreadsheets/d/1v_cJrbBlyqmnHPReHk44g9NrMRdENNlSy_E_c5M9fIg/edit?usp=sharing"",""ร้อยเอ็ด!N397"")+IMPORTRANGE(""https://docs.google.com"&amp;"/spreadsheets/d/1Ul4RCpCX66NxYADU1QpwAPjOmBzW64SsT11s1wzXw_c/edit?usp=sharing"",""เลย!N397"")+IMPORTRANGE(""https://docs.google.com/spreadsheets/d/1bRrNKwbHDVktQG10isr5vbWRtt5spIZPpkOSWgbT5ug/edit?usp=sharing"",""ศรีสะเกษ!N397"")+IMPORTRANGE(""https://doc"&amp;"s.google.com/spreadsheets/d/17P34_Ow5kFBfdQD0qspb2UuPX5zpi6WMrQzslghyvrI/edit?usp=sharing"",""สกลนคร!N397"")+IMPORTRANGE(""https://docs.google.com/spreadsheets/d/1yswqbM3-AEpThF3ZSUa1AcmHnmRTF1vlJ1CZGcJ8YuU/edit?usp=sharing"",""สุรินทร์!N397"")+IMPORTRANG"&amp;"E(""https://docs.google.com/spreadsheets/d/13JHU_EFbsQOUQ0JSQ3dWy1VTRosIWcDq6Nc99z2qzdc/edit?usp=sharing"",""หนองคาย!N397"")+IMPORTRANGE(""https://docs.google.com/spreadsheets/d/1Hx73zIEgVdDZZaYSTc46Dqv64atFhpr3GelxLbaIN8A/edit?usp=sharing"",""หนองบัวลำภู"&amp;"!N397"")+IMPORTRANGE(""https://docs.google.com/spreadsheets/d/1lFxr3ctmjFN90yc-xV6jrQ9Ty8BKYVBWnAZ15wcNIJc/edit?usp=sharing"",""อำนาจเจริญ!N397"")+IMPORTRANGE(""https://docs.google.com/spreadsheets/d/1gF7RJpRnL-1oyjyeWxs5SFWEH7y8ahOZsQlyp2A2e-A/edit?usp=s"&amp;"haring"",""อุดรธานี!N397"")+IMPORTRANGE(""https://docs.google.com/spreadsheets/d/1kfLP0j3INXRa8bTDpcEmoWewMBV61jlFlfzczfjWIgc/edit?usp=sharing"",""อุบลราชธานี!N397"")"),0)</f>
        <v>0</v>
      </c>
      <c r="O397" s="56">
        <f t="shared" ca="1" si="299"/>
        <v>0</v>
      </c>
      <c r="P397" s="56">
        <f t="shared" ca="1" si="300"/>
        <v>0</v>
      </c>
      <c r="Q397" s="56">
        <f ca="1">IFERROR(__xludf.DUMMYFUNCTION("IMPORTRANGE(""https://docs.google.com/spreadsheets/d/1yhBcrRPreicbMKl9Bu_Snb2-OcQAF62RKfhTLhJ2eAA/edit?usp=sharing"",""กาฬสินธุ์!Q397"")+IMPORTRANGE(""https://docs.google.com/spreadsheets/d/1aHkj4IaQMThhwWwevcOymEh837vdxeC_PycurhTbGFA/edit?usp=sharing"","&amp;"""ขอนแก่น!Q397"")+IMPORTRANGE(""https://docs.google.com/spreadsheets/d/1FvTu2DsIWUjP6WCWra38Bkj_oOl_sOMf14r5Fg5srxU/edit?usp=sharing"",""ชัยภูมิ!Q397"")+IMPORTRANGE(""https://docs.google.com/spreadsheets/d/1XVB7oCJ3pr-vBUdflwPQ8Z2LlzhnCvZaaYjAfP-647E/edit"&amp;"?usp=sharing"",""นครพนม!Q397"")+IMPORTRANGE(""https://docs.google.com/spreadsheets/d/1Mnpb-8PYAgn85W6KOTD40hc_Xc55CaLfHoGAbrZ8tls/edit?usp=sharing"",""นครราชสีมา!Q397"")+IMPORTRANGE(""https://docs.google.com/spreadsheets/d/1xoDLGBv9CYbyosIhki0kTq6IpYNj-gp"&amp;"jxfobnaDiut0/edit?usp=sharing"",""บึงกาฬ!Q397"")+IMPORTRANGE(""https://docs.google.com/spreadsheets/d/1MMPq-JyI6DSgQETxuSiXkesP-P7JHuemnE6QJIa-Nlw/edit?usp=sharing"",""บุรีรัมย์!Q397"")+IMPORTRANGE(""https://docs.google.com/spreadsheets/d/1l6IZ8xUPgMrESzc"&amp;"TYwhA1k_tPjeQjJPTqlm8Gd9eU5g/edit?usp=sharing"",""มหาสารคาม!Q397"")+IMPORTRANGE(""https://docs.google.com/spreadsheets/d/1uB74YLqNjWX6FObjekfB2NtSYigTQyR2rq9u4Ub2Sq4/edit?usp=sharing"",""มุกดาหาร!Q397"")+IMPORTRANGE(""https://docs.google.com/spreadsheets/"&amp;"d/1NexK3geCPxCTO1fzNF8dPec7yZyUx3OaWkFBC9HsQOo/edit?usp=sharing"",""ยโสธร!Q397"")+IMPORTRANGE(""https://docs.google.com/spreadsheets/d/1v_cJrbBlyqmnHPReHk44g9NrMRdENNlSy_E_c5M9fIg/edit?usp=sharing"",""ร้อยเอ็ด!Q397"")+IMPORTRANGE(""https://docs.google.com"&amp;"/spreadsheets/d/1Ul4RCpCX66NxYADU1QpwAPjOmBzW64SsT11s1wzXw_c/edit?usp=sharing"",""เลย!Q397"")+IMPORTRANGE(""https://docs.google.com/spreadsheets/d/1bRrNKwbHDVktQG10isr5vbWRtt5spIZPpkOSWgbT5ug/edit?usp=sharing"",""ศรีสะเกษ!Q397"")+IMPORTRANGE(""https://doc"&amp;"s.google.com/spreadsheets/d/17P34_Ow5kFBfdQD0qspb2UuPX5zpi6WMrQzslghyvrI/edit?usp=sharing"",""สกลนคร!Q397"")+IMPORTRANGE(""https://docs.google.com/spreadsheets/d/1yswqbM3-AEpThF3ZSUa1AcmHnmRTF1vlJ1CZGcJ8YuU/edit?usp=sharing"",""สุรินทร์!Q397"")+IMPORTRANG"&amp;"E(""https://docs.google.com/spreadsheets/d/13JHU_EFbsQOUQ0JSQ3dWy1VTRosIWcDq6Nc99z2qzdc/edit?usp=sharing"",""หนองคาย!Q397"")+IMPORTRANGE(""https://docs.google.com/spreadsheets/d/1Hx73zIEgVdDZZaYSTc46Dqv64atFhpr3GelxLbaIN8A/edit?usp=sharing"",""หนองบัวลำภู"&amp;"!Q397"")+IMPORTRANGE(""https://docs.google.com/spreadsheets/d/1lFxr3ctmjFN90yc-xV6jrQ9Ty8BKYVBWnAZ15wcNIJc/edit?usp=sharing"",""อำนาจเจริญ!Q397"")+IMPORTRANGE(""https://docs.google.com/spreadsheets/d/1gF7RJpRnL-1oyjyeWxs5SFWEH7y8ahOZsQlyp2A2e-A/edit?usp=s"&amp;"haring"",""อุดรธานี!Q397"")+IMPORTRANGE(""https://docs.google.com/spreadsheets/d/1kfLP0j3INXRa8bTDpcEmoWewMBV61jlFlfzczfjWIgc/edit?usp=sharing"",""อุบลราชธานี!Q397"")"),0)</f>
        <v>0</v>
      </c>
      <c r="R397" s="56">
        <f ca="1">IFERROR(__xludf.DUMMYFUNCTION("IMPORTRANGE(""https://docs.google.com/spreadsheets/d/1yhBcrRPreicbMKl9Bu_Snb2-OcQAF62RKfhTLhJ2eAA/edit?usp=sharing"",""กาฬสินธุ์!R397"")+IMPORTRANGE(""https://docs.google.com/spreadsheets/d/1aHkj4IaQMThhwWwevcOymEh837vdxeC_PycurhTbGFA/edit?usp=sharing"","&amp;"""ขอนแก่น!R397"")+IMPORTRANGE(""https://docs.google.com/spreadsheets/d/1FvTu2DsIWUjP6WCWra38Bkj_oOl_sOMf14r5Fg5srxU/edit?usp=sharing"",""ชัยภูมิ!R397"")+IMPORTRANGE(""https://docs.google.com/spreadsheets/d/1XVB7oCJ3pr-vBUdflwPQ8Z2LlzhnCvZaaYjAfP-647E/edit"&amp;"?usp=sharing"",""นครพนม!R397"")+IMPORTRANGE(""https://docs.google.com/spreadsheets/d/1Mnpb-8PYAgn85W6KOTD40hc_Xc55CaLfHoGAbrZ8tls/edit?usp=sharing"",""นครราชสีมา!R397"")+IMPORTRANGE(""https://docs.google.com/spreadsheets/d/1xoDLGBv9CYbyosIhki0kTq6IpYNj-gp"&amp;"jxfobnaDiut0/edit?usp=sharing"",""บึงกาฬ!R397"")+IMPORTRANGE(""https://docs.google.com/spreadsheets/d/1MMPq-JyI6DSgQETxuSiXkesP-P7JHuemnE6QJIa-Nlw/edit?usp=sharing"",""บุรีรัมย์!R397"")+IMPORTRANGE(""https://docs.google.com/spreadsheets/d/1l6IZ8xUPgMrESzc"&amp;"TYwhA1k_tPjeQjJPTqlm8Gd9eU5g/edit?usp=sharing"",""มหาสารคาม!R397"")+IMPORTRANGE(""https://docs.google.com/spreadsheets/d/1uB74YLqNjWX6FObjekfB2NtSYigTQyR2rq9u4Ub2Sq4/edit?usp=sharing"",""มุกดาหาร!R397"")+IMPORTRANGE(""https://docs.google.com/spreadsheets/"&amp;"d/1NexK3geCPxCTO1fzNF8dPec7yZyUx3OaWkFBC9HsQOo/edit?usp=sharing"",""ยโสธร!R397"")+IMPORTRANGE(""https://docs.google.com/spreadsheets/d/1v_cJrbBlyqmnHPReHk44g9NrMRdENNlSy_E_c5M9fIg/edit?usp=sharing"",""ร้อยเอ็ด!R397"")+IMPORTRANGE(""https://docs.google.com"&amp;"/spreadsheets/d/1Ul4RCpCX66NxYADU1QpwAPjOmBzW64SsT11s1wzXw_c/edit?usp=sharing"",""เลย!R397"")+IMPORTRANGE(""https://docs.google.com/spreadsheets/d/1bRrNKwbHDVktQG10isr5vbWRtt5spIZPpkOSWgbT5ug/edit?usp=sharing"",""ศรีสะเกษ!R397"")+IMPORTRANGE(""https://doc"&amp;"s.google.com/spreadsheets/d/17P34_Ow5kFBfdQD0qspb2UuPX5zpi6WMrQzslghyvrI/edit?usp=sharing"",""สกลนคร!R397"")+IMPORTRANGE(""https://docs.google.com/spreadsheets/d/1yswqbM3-AEpThF3ZSUa1AcmHnmRTF1vlJ1CZGcJ8YuU/edit?usp=sharing"",""สุรินทร์!R397"")+IMPORTRANG"&amp;"E(""https://docs.google.com/spreadsheets/d/13JHU_EFbsQOUQ0JSQ3dWy1VTRosIWcDq6Nc99z2qzdc/edit?usp=sharing"",""หนองคาย!R397"")+IMPORTRANGE(""https://docs.google.com/spreadsheets/d/1Hx73zIEgVdDZZaYSTc46Dqv64atFhpr3GelxLbaIN8A/edit?usp=sharing"",""หนองบัวลำภู"&amp;"!R397"")+IMPORTRANGE(""https://docs.google.com/spreadsheets/d/1lFxr3ctmjFN90yc-xV6jrQ9Ty8BKYVBWnAZ15wcNIJc/edit?usp=sharing"",""อำนาจเจริญ!R397"")+IMPORTRANGE(""https://docs.google.com/spreadsheets/d/1gF7RJpRnL-1oyjyeWxs5SFWEH7y8ahOZsQlyp2A2e-A/edit?usp=s"&amp;"haring"",""อุดรธานี!R397"")+IMPORTRANGE(""https://docs.google.com/spreadsheets/d/1kfLP0j3INXRa8bTDpcEmoWewMBV61jlFlfzczfjWIgc/edit?usp=sharing"",""อุบลราชธานี!R397"")"),0)</f>
        <v>0</v>
      </c>
      <c r="S397" s="57">
        <f ca="1">IFERROR(__xludf.DUMMYFUNCTION("IMPORTRANGE(""https://docs.google.com/spreadsheets/d/1yhBcrRPreicbMKl9Bu_Snb2-OcQAF62RKfhTLhJ2eAA/edit?usp=sharing"",""กาฬสินธุ์!S397"")+IMPORTRANGE(""https://docs.google.com/spreadsheets/d/1aHkj4IaQMThhwWwevcOymEh837vdxeC_PycurhTbGFA/edit?usp=sharing"","&amp;"""ขอนแก่น!S397"")+IMPORTRANGE(""https://docs.google.com/spreadsheets/d/1FvTu2DsIWUjP6WCWra38Bkj_oOl_sOMf14r5Fg5srxU/edit?usp=sharing"",""ชัยภูมิ!S397"")+IMPORTRANGE(""https://docs.google.com/spreadsheets/d/1XVB7oCJ3pr-vBUdflwPQ8Z2LlzhnCvZaaYjAfP-647E/edit"&amp;"?usp=sharing"",""นครพนม!S397"")+IMPORTRANGE(""https://docs.google.com/spreadsheets/d/1Mnpb-8PYAgn85W6KOTD40hc_Xc55CaLfHoGAbrZ8tls/edit?usp=sharing"",""นครราชสีมา!S397"")+IMPORTRANGE(""https://docs.google.com/spreadsheets/d/1xoDLGBv9CYbyosIhki0kTq6IpYNj-gp"&amp;"jxfobnaDiut0/edit?usp=sharing"",""บึงกาฬ!S397"")+IMPORTRANGE(""https://docs.google.com/spreadsheets/d/1MMPq-JyI6DSgQETxuSiXkesP-P7JHuemnE6QJIa-Nlw/edit?usp=sharing"",""บุรีรัมย์!S397"")+IMPORTRANGE(""https://docs.google.com/spreadsheets/d/1l6IZ8xUPgMrESzc"&amp;"TYwhA1k_tPjeQjJPTqlm8Gd9eU5g/edit?usp=sharing"",""มหาสารคาม!S397"")+IMPORTRANGE(""https://docs.google.com/spreadsheets/d/1uB74YLqNjWX6FObjekfB2NtSYigTQyR2rq9u4Ub2Sq4/edit?usp=sharing"",""มุกดาหาร!S397"")+IMPORTRANGE(""https://docs.google.com/spreadsheets/"&amp;"d/1NexK3geCPxCTO1fzNF8dPec7yZyUx3OaWkFBC9HsQOo/edit?usp=sharing"",""ยโสธร!S397"")+IMPORTRANGE(""https://docs.google.com/spreadsheets/d/1v_cJrbBlyqmnHPReHk44g9NrMRdENNlSy_E_c5M9fIg/edit?usp=sharing"",""ร้อยเอ็ด!S397"")+IMPORTRANGE(""https://docs.google.com"&amp;"/spreadsheets/d/1Ul4RCpCX66NxYADU1QpwAPjOmBzW64SsT11s1wzXw_c/edit?usp=sharing"",""เลย!S397"")+IMPORTRANGE(""https://docs.google.com/spreadsheets/d/1bRrNKwbHDVktQG10isr5vbWRtt5spIZPpkOSWgbT5ug/edit?usp=sharing"",""ศรีสะเกษ!S397"")+IMPORTRANGE(""https://doc"&amp;"s.google.com/spreadsheets/d/17P34_Ow5kFBfdQD0qspb2UuPX5zpi6WMrQzslghyvrI/edit?usp=sharing"",""สกลนคร!S397"")+IMPORTRANGE(""https://docs.google.com/spreadsheets/d/1yswqbM3-AEpThF3ZSUa1AcmHnmRTF1vlJ1CZGcJ8YuU/edit?usp=sharing"",""สุรินทร์!S397"")+IMPORTRANG"&amp;"E(""https://docs.google.com/spreadsheets/d/13JHU_EFbsQOUQ0JSQ3dWy1VTRosIWcDq6Nc99z2qzdc/edit?usp=sharing"",""หนองคาย!S397"")+IMPORTRANGE(""https://docs.google.com/spreadsheets/d/1Hx73zIEgVdDZZaYSTc46Dqv64atFhpr3GelxLbaIN8A/edit?usp=sharing"",""หนองบัวลำภู"&amp;"!S397"")+IMPORTRANGE(""https://docs.google.com/spreadsheets/d/1lFxr3ctmjFN90yc-xV6jrQ9Ty8BKYVBWnAZ15wcNIJc/edit?usp=sharing"",""อำนาจเจริญ!S397"")+IMPORTRANGE(""https://docs.google.com/spreadsheets/d/1gF7RJpRnL-1oyjyeWxs5SFWEH7y8ahOZsQlyp2A2e-A/edit?usp=s"&amp;"haring"",""อุดรธานี!S397"")+IMPORTRANGE(""https://docs.google.com/spreadsheets/d/1kfLP0j3INXRa8bTDpcEmoWewMBV61jlFlfzczfjWIgc/edit?usp=sharing"",""อุบลราชธานี!S397"")"),0)</f>
        <v>0</v>
      </c>
      <c r="T397" s="56">
        <f t="shared" ca="1" si="302"/>
        <v>0</v>
      </c>
      <c r="U397" s="56">
        <f t="shared" ca="1" si="303"/>
        <v>0</v>
      </c>
    </row>
    <row r="398" spans="1:21" ht="18.75">
      <c r="A398" s="155"/>
      <c r="B398" s="188"/>
      <c r="C398" s="188"/>
      <c r="D398" s="190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56">
        <f t="shared" ref="L398:N398" ca="1" si="310">L399+L400</f>
        <v>0</v>
      </c>
      <c r="M398" s="56">
        <f t="shared" ca="1" si="310"/>
        <v>0</v>
      </c>
      <c r="N398" s="56">
        <f t="shared" ca="1" si="310"/>
        <v>0</v>
      </c>
      <c r="O398" s="56">
        <f t="shared" ca="1" si="299"/>
        <v>0</v>
      </c>
      <c r="P398" s="56">
        <f t="shared" ca="1" si="300"/>
        <v>0</v>
      </c>
      <c r="Q398" s="56">
        <f t="shared" ref="Q398:S398" ca="1" si="311">Q399+Q400</f>
        <v>0</v>
      </c>
      <c r="R398" s="56">
        <f t="shared" ca="1" si="311"/>
        <v>0</v>
      </c>
      <c r="S398" s="57">
        <f t="shared" ca="1" si="311"/>
        <v>0</v>
      </c>
      <c r="T398" s="56">
        <f t="shared" ca="1" si="302"/>
        <v>0</v>
      </c>
      <c r="U398" s="56">
        <f t="shared" ca="1" si="303"/>
        <v>0</v>
      </c>
    </row>
    <row r="399" spans="1:21" ht="18.75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59">
        <f ca="1">IFERROR(__xludf.DUMMYFUNCTION("IMPORTRANGE(""https://docs.google.com/spreadsheets/d/1yhBcrRPreicbMKl9Bu_Snb2-OcQAF62RKfhTLhJ2eAA/edit?usp=sharing"",""กาฬสินธุ์!L399"")+IMPORTRANGE(""https://docs.google.com/spreadsheets/d/1aHkj4IaQMThhwWwevcOymEh837vdxeC_PycurhTbGFA/edit?usp=sharing"","&amp;"""ขอนแก่น!L399"")+IMPORTRANGE(""https://docs.google.com/spreadsheets/d/1FvTu2DsIWUjP6WCWra38Bkj_oOl_sOMf14r5Fg5srxU/edit?usp=sharing"",""ชัยภูมิ!L399"")+IMPORTRANGE(""https://docs.google.com/spreadsheets/d/1XVB7oCJ3pr-vBUdflwPQ8Z2LlzhnCvZaaYjAfP-647E/edit"&amp;"?usp=sharing"",""นครพนม!L399"")+IMPORTRANGE(""https://docs.google.com/spreadsheets/d/1Mnpb-8PYAgn85W6KOTD40hc_Xc55CaLfHoGAbrZ8tls/edit?usp=sharing"",""นครราชสีมา!L399"")+IMPORTRANGE(""https://docs.google.com/spreadsheets/d/1xoDLGBv9CYbyosIhki0kTq6IpYNj-gp"&amp;"jxfobnaDiut0/edit?usp=sharing"",""บึงกาฬ!L399"")+IMPORTRANGE(""https://docs.google.com/spreadsheets/d/1MMPq-JyI6DSgQETxuSiXkesP-P7JHuemnE6QJIa-Nlw/edit?usp=sharing"",""บุรีรัมย์!L399"")+IMPORTRANGE(""https://docs.google.com/spreadsheets/d/1l6IZ8xUPgMrESzc"&amp;"TYwhA1k_tPjeQjJPTqlm8Gd9eU5g/edit?usp=sharing"",""มหาสารคาม!L399"")+IMPORTRANGE(""https://docs.google.com/spreadsheets/d/1uB74YLqNjWX6FObjekfB2NtSYigTQyR2rq9u4Ub2Sq4/edit?usp=sharing"",""มุกดาหาร!L399"")+IMPORTRANGE(""https://docs.google.com/spreadsheets/"&amp;"d/1NexK3geCPxCTO1fzNF8dPec7yZyUx3OaWkFBC9HsQOo/edit?usp=sharing"",""ยโสธร!L399"")+IMPORTRANGE(""https://docs.google.com/spreadsheets/d/1v_cJrbBlyqmnHPReHk44g9NrMRdENNlSy_E_c5M9fIg/edit?usp=sharing"",""ร้อยเอ็ด!L399"")+IMPORTRANGE(""https://docs.google.com"&amp;"/spreadsheets/d/1Ul4RCpCX66NxYADU1QpwAPjOmBzW64SsT11s1wzXw_c/edit?usp=sharing"",""เลย!L399"")+IMPORTRANGE(""https://docs.google.com/spreadsheets/d/1bRrNKwbHDVktQG10isr5vbWRtt5spIZPpkOSWgbT5ug/edit?usp=sharing"",""ศรีสะเกษ!L399"")+IMPORTRANGE(""https://doc"&amp;"s.google.com/spreadsheets/d/17P34_Ow5kFBfdQD0qspb2UuPX5zpi6WMrQzslghyvrI/edit?usp=sharing"",""สกลนคร!L399"")+IMPORTRANGE(""https://docs.google.com/spreadsheets/d/1yswqbM3-AEpThF3ZSUa1AcmHnmRTF1vlJ1CZGcJ8YuU/edit?usp=sharing"",""สุรินทร์!L399"")+IMPORTRANG"&amp;"E(""https://docs.google.com/spreadsheets/d/13JHU_EFbsQOUQ0JSQ3dWy1VTRosIWcDq6Nc99z2qzdc/edit?usp=sharing"",""หนองคาย!L399"")+IMPORTRANGE(""https://docs.google.com/spreadsheets/d/1Hx73zIEgVdDZZaYSTc46Dqv64atFhpr3GelxLbaIN8A/edit?usp=sharing"",""หนองบัวลำภู"&amp;"!L399"")+IMPORTRANGE(""https://docs.google.com/spreadsheets/d/1lFxr3ctmjFN90yc-xV6jrQ9Ty8BKYVBWnAZ15wcNIJc/edit?usp=sharing"",""อำนาจเจริญ!L399"")+IMPORTRANGE(""https://docs.google.com/spreadsheets/d/1gF7RJpRnL-1oyjyeWxs5SFWEH7y8ahOZsQlyp2A2e-A/edit?usp=s"&amp;"haring"",""อุดรธานี!L399"")+IMPORTRANGE(""https://docs.google.com/spreadsheets/d/1kfLP0j3INXRa8bTDpcEmoWewMBV61jlFlfzczfjWIgc/edit?usp=sharing"",""อุบลราชธานี!L399"")"),0)</f>
        <v>0</v>
      </c>
      <c r="M399" s="59">
        <f ca="1">IFERROR(__xludf.DUMMYFUNCTION("IMPORTRANGE(""https://docs.google.com/spreadsheets/d/1yhBcrRPreicbMKl9Bu_Snb2-OcQAF62RKfhTLhJ2eAA/edit?usp=sharing"",""กาฬสินธุ์!M399"")+IMPORTRANGE(""https://docs.google.com/spreadsheets/d/1aHkj4IaQMThhwWwevcOymEh837vdxeC_PycurhTbGFA/edit?usp=sharing"","&amp;"""ขอนแก่น!M399"")+IMPORTRANGE(""https://docs.google.com/spreadsheets/d/1FvTu2DsIWUjP6WCWra38Bkj_oOl_sOMf14r5Fg5srxU/edit?usp=sharing"",""ชัยภูมิ!M399"")+IMPORTRANGE(""https://docs.google.com/spreadsheets/d/1XVB7oCJ3pr-vBUdflwPQ8Z2LlzhnCvZaaYjAfP-647E/edit"&amp;"?usp=sharing"",""นครพนม!M399"")+IMPORTRANGE(""https://docs.google.com/spreadsheets/d/1Mnpb-8PYAgn85W6KOTD40hc_Xc55CaLfHoGAbrZ8tls/edit?usp=sharing"",""นครราชสีมา!M399"")+IMPORTRANGE(""https://docs.google.com/spreadsheets/d/1xoDLGBv9CYbyosIhki0kTq6IpYNj-gp"&amp;"jxfobnaDiut0/edit?usp=sharing"",""บึงกาฬ!M399"")+IMPORTRANGE(""https://docs.google.com/spreadsheets/d/1MMPq-JyI6DSgQETxuSiXkesP-P7JHuemnE6QJIa-Nlw/edit?usp=sharing"",""บุรีรัมย์!M399"")+IMPORTRANGE(""https://docs.google.com/spreadsheets/d/1l6IZ8xUPgMrESzc"&amp;"TYwhA1k_tPjeQjJPTqlm8Gd9eU5g/edit?usp=sharing"",""มหาสารคาม!M399"")+IMPORTRANGE(""https://docs.google.com/spreadsheets/d/1uB74YLqNjWX6FObjekfB2NtSYigTQyR2rq9u4Ub2Sq4/edit?usp=sharing"",""มุกดาหาร!M399"")+IMPORTRANGE(""https://docs.google.com/spreadsheets/"&amp;"d/1NexK3geCPxCTO1fzNF8dPec7yZyUx3OaWkFBC9HsQOo/edit?usp=sharing"",""ยโสธร!M399"")+IMPORTRANGE(""https://docs.google.com/spreadsheets/d/1v_cJrbBlyqmnHPReHk44g9NrMRdENNlSy_E_c5M9fIg/edit?usp=sharing"",""ร้อยเอ็ด!M399"")+IMPORTRANGE(""https://docs.google.com"&amp;"/spreadsheets/d/1Ul4RCpCX66NxYADU1QpwAPjOmBzW64SsT11s1wzXw_c/edit?usp=sharing"",""เลย!M399"")+IMPORTRANGE(""https://docs.google.com/spreadsheets/d/1bRrNKwbHDVktQG10isr5vbWRtt5spIZPpkOSWgbT5ug/edit?usp=sharing"",""ศรีสะเกษ!M399"")+IMPORTRANGE(""https://doc"&amp;"s.google.com/spreadsheets/d/17P34_Ow5kFBfdQD0qspb2UuPX5zpi6WMrQzslghyvrI/edit?usp=sharing"",""สกลนคร!M399"")+IMPORTRANGE(""https://docs.google.com/spreadsheets/d/1yswqbM3-AEpThF3ZSUa1AcmHnmRTF1vlJ1CZGcJ8YuU/edit?usp=sharing"",""สุรินทร์!M399"")+IMPORTRANG"&amp;"E(""https://docs.google.com/spreadsheets/d/13JHU_EFbsQOUQ0JSQ3dWy1VTRosIWcDq6Nc99z2qzdc/edit?usp=sharing"",""หนองคาย!M399"")+IMPORTRANGE(""https://docs.google.com/spreadsheets/d/1Hx73zIEgVdDZZaYSTc46Dqv64atFhpr3GelxLbaIN8A/edit?usp=sharing"",""หนองบัวลำภู"&amp;"!M399"")+IMPORTRANGE(""https://docs.google.com/spreadsheets/d/1lFxr3ctmjFN90yc-xV6jrQ9Ty8BKYVBWnAZ15wcNIJc/edit?usp=sharing"",""อำนาจเจริญ!M399"")+IMPORTRANGE(""https://docs.google.com/spreadsheets/d/1gF7RJpRnL-1oyjyeWxs5SFWEH7y8ahOZsQlyp2A2e-A/edit?usp=s"&amp;"haring"",""อุดรธานี!M399"")+IMPORTRANGE(""https://docs.google.com/spreadsheets/d/1kfLP0j3INXRa8bTDpcEmoWewMBV61jlFlfzczfjWIgc/edit?usp=sharing"",""อุบลราชธานี!M399"")"),0)</f>
        <v>0</v>
      </c>
      <c r="N399" s="59">
        <f ca="1">IFERROR(__xludf.DUMMYFUNCTION("IMPORTRANGE(""https://docs.google.com/spreadsheets/d/1yhBcrRPreicbMKl9Bu_Snb2-OcQAF62RKfhTLhJ2eAA/edit?usp=sharing"",""กาฬสินธุ์!N399"")+IMPORTRANGE(""https://docs.google.com/spreadsheets/d/1aHkj4IaQMThhwWwevcOymEh837vdxeC_PycurhTbGFA/edit?usp=sharing"","&amp;"""ขอนแก่น!N399"")+IMPORTRANGE(""https://docs.google.com/spreadsheets/d/1FvTu2DsIWUjP6WCWra38Bkj_oOl_sOMf14r5Fg5srxU/edit?usp=sharing"",""ชัยภูมิ!N399"")+IMPORTRANGE(""https://docs.google.com/spreadsheets/d/1XVB7oCJ3pr-vBUdflwPQ8Z2LlzhnCvZaaYjAfP-647E/edit"&amp;"?usp=sharing"",""นครพนม!N399"")+IMPORTRANGE(""https://docs.google.com/spreadsheets/d/1Mnpb-8PYAgn85W6KOTD40hc_Xc55CaLfHoGAbrZ8tls/edit?usp=sharing"",""นครราชสีมา!N399"")+IMPORTRANGE(""https://docs.google.com/spreadsheets/d/1xoDLGBv9CYbyosIhki0kTq6IpYNj-gp"&amp;"jxfobnaDiut0/edit?usp=sharing"",""บึงกาฬ!N399"")+IMPORTRANGE(""https://docs.google.com/spreadsheets/d/1MMPq-JyI6DSgQETxuSiXkesP-P7JHuemnE6QJIa-Nlw/edit?usp=sharing"",""บุรีรัมย์!N399"")+IMPORTRANGE(""https://docs.google.com/spreadsheets/d/1l6IZ8xUPgMrESzc"&amp;"TYwhA1k_tPjeQjJPTqlm8Gd9eU5g/edit?usp=sharing"",""มหาสารคาม!N399"")+IMPORTRANGE(""https://docs.google.com/spreadsheets/d/1uB74YLqNjWX6FObjekfB2NtSYigTQyR2rq9u4Ub2Sq4/edit?usp=sharing"",""มุกดาหาร!N399"")+IMPORTRANGE(""https://docs.google.com/spreadsheets/"&amp;"d/1NexK3geCPxCTO1fzNF8dPec7yZyUx3OaWkFBC9HsQOo/edit?usp=sharing"",""ยโสธร!N399"")+IMPORTRANGE(""https://docs.google.com/spreadsheets/d/1v_cJrbBlyqmnHPReHk44g9NrMRdENNlSy_E_c5M9fIg/edit?usp=sharing"",""ร้อยเอ็ด!N399"")+IMPORTRANGE(""https://docs.google.com"&amp;"/spreadsheets/d/1Ul4RCpCX66NxYADU1QpwAPjOmBzW64SsT11s1wzXw_c/edit?usp=sharing"",""เลย!N399"")+IMPORTRANGE(""https://docs.google.com/spreadsheets/d/1bRrNKwbHDVktQG10isr5vbWRtt5spIZPpkOSWgbT5ug/edit?usp=sharing"",""ศรีสะเกษ!N399"")+IMPORTRANGE(""https://doc"&amp;"s.google.com/spreadsheets/d/17P34_Ow5kFBfdQD0qspb2UuPX5zpi6WMrQzslghyvrI/edit?usp=sharing"",""สกลนคร!N399"")+IMPORTRANGE(""https://docs.google.com/spreadsheets/d/1yswqbM3-AEpThF3ZSUa1AcmHnmRTF1vlJ1CZGcJ8YuU/edit?usp=sharing"",""สุรินทร์!N399"")+IMPORTRANG"&amp;"E(""https://docs.google.com/spreadsheets/d/13JHU_EFbsQOUQ0JSQ3dWy1VTRosIWcDq6Nc99z2qzdc/edit?usp=sharing"",""หนองคาย!N399"")+IMPORTRANGE(""https://docs.google.com/spreadsheets/d/1Hx73zIEgVdDZZaYSTc46Dqv64atFhpr3GelxLbaIN8A/edit?usp=sharing"",""หนองบัวลำภู"&amp;"!N399"")+IMPORTRANGE(""https://docs.google.com/spreadsheets/d/1lFxr3ctmjFN90yc-xV6jrQ9Ty8BKYVBWnAZ15wcNIJc/edit?usp=sharing"",""อำนาจเจริญ!N399"")+IMPORTRANGE(""https://docs.google.com/spreadsheets/d/1gF7RJpRnL-1oyjyeWxs5SFWEH7y8ahOZsQlyp2A2e-A/edit?usp=s"&amp;"haring"",""อุดรธานี!N399"")+IMPORTRANGE(""https://docs.google.com/spreadsheets/d/1kfLP0j3INXRa8bTDpcEmoWewMBV61jlFlfzczfjWIgc/edit?usp=sharing"",""อุบลราชธานี!N399"")"),0)</f>
        <v>0</v>
      </c>
      <c r="O399" s="59">
        <f t="shared" ca="1" si="299"/>
        <v>0</v>
      </c>
      <c r="P399" s="59">
        <f t="shared" ca="1" si="300"/>
        <v>0</v>
      </c>
      <c r="Q399" s="59">
        <f ca="1">IFERROR(__xludf.DUMMYFUNCTION("IMPORTRANGE(""https://docs.google.com/spreadsheets/d/1yhBcrRPreicbMKl9Bu_Snb2-OcQAF62RKfhTLhJ2eAA/edit?usp=sharing"",""กาฬสินธุ์!Q399"")+IMPORTRANGE(""https://docs.google.com/spreadsheets/d/1aHkj4IaQMThhwWwevcOymEh837vdxeC_PycurhTbGFA/edit?usp=sharing"","&amp;"""ขอนแก่น!Q399"")+IMPORTRANGE(""https://docs.google.com/spreadsheets/d/1FvTu2DsIWUjP6WCWra38Bkj_oOl_sOMf14r5Fg5srxU/edit?usp=sharing"",""ชัยภูมิ!Q399"")+IMPORTRANGE(""https://docs.google.com/spreadsheets/d/1XVB7oCJ3pr-vBUdflwPQ8Z2LlzhnCvZaaYjAfP-647E/edit"&amp;"?usp=sharing"",""นครพนม!Q399"")+IMPORTRANGE(""https://docs.google.com/spreadsheets/d/1Mnpb-8PYAgn85W6KOTD40hc_Xc55CaLfHoGAbrZ8tls/edit?usp=sharing"",""นครราชสีมา!Q399"")+IMPORTRANGE(""https://docs.google.com/spreadsheets/d/1xoDLGBv9CYbyosIhki0kTq6IpYNj-gp"&amp;"jxfobnaDiut0/edit?usp=sharing"",""บึงกาฬ!Q399"")+IMPORTRANGE(""https://docs.google.com/spreadsheets/d/1MMPq-JyI6DSgQETxuSiXkesP-P7JHuemnE6QJIa-Nlw/edit?usp=sharing"",""บุรีรัมย์!Q399"")+IMPORTRANGE(""https://docs.google.com/spreadsheets/d/1l6IZ8xUPgMrESzc"&amp;"TYwhA1k_tPjeQjJPTqlm8Gd9eU5g/edit?usp=sharing"",""มหาสารคาม!Q399"")+IMPORTRANGE(""https://docs.google.com/spreadsheets/d/1uB74YLqNjWX6FObjekfB2NtSYigTQyR2rq9u4Ub2Sq4/edit?usp=sharing"",""มุกดาหาร!Q399"")+IMPORTRANGE(""https://docs.google.com/spreadsheets/"&amp;"d/1NexK3geCPxCTO1fzNF8dPec7yZyUx3OaWkFBC9HsQOo/edit?usp=sharing"",""ยโสธร!Q399"")+IMPORTRANGE(""https://docs.google.com/spreadsheets/d/1v_cJrbBlyqmnHPReHk44g9NrMRdENNlSy_E_c5M9fIg/edit?usp=sharing"",""ร้อยเอ็ด!Q399"")+IMPORTRANGE(""https://docs.google.com"&amp;"/spreadsheets/d/1Ul4RCpCX66NxYADU1QpwAPjOmBzW64SsT11s1wzXw_c/edit?usp=sharing"",""เลย!Q399"")+IMPORTRANGE(""https://docs.google.com/spreadsheets/d/1bRrNKwbHDVktQG10isr5vbWRtt5spIZPpkOSWgbT5ug/edit?usp=sharing"",""ศรีสะเกษ!Q399"")+IMPORTRANGE(""https://doc"&amp;"s.google.com/spreadsheets/d/17P34_Ow5kFBfdQD0qspb2UuPX5zpi6WMrQzslghyvrI/edit?usp=sharing"",""สกลนคร!Q399"")+IMPORTRANGE(""https://docs.google.com/spreadsheets/d/1yswqbM3-AEpThF3ZSUa1AcmHnmRTF1vlJ1CZGcJ8YuU/edit?usp=sharing"",""สุรินทร์!Q399"")+IMPORTRANG"&amp;"E(""https://docs.google.com/spreadsheets/d/13JHU_EFbsQOUQ0JSQ3dWy1VTRosIWcDq6Nc99z2qzdc/edit?usp=sharing"",""หนองคาย!Q399"")+IMPORTRANGE(""https://docs.google.com/spreadsheets/d/1Hx73zIEgVdDZZaYSTc46Dqv64atFhpr3GelxLbaIN8A/edit?usp=sharing"",""หนองบัวลำภู"&amp;"!Q399"")+IMPORTRANGE(""https://docs.google.com/spreadsheets/d/1lFxr3ctmjFN90yc-xV6jrQ9Ty8BKYVBWnAZ15wcNIJc/edit?usp=sharing"",""อำนาจเจริญ!Q399"")+IMPORTRANGE(""https://docs.google.com/spreadsheets/d/1gF7RJpRnL-1oyjyeWxs5SFWEH7y8ahOZsQlyp2A2e-A/edit?usp=s"&amp;"haring"",""อุดรธานี!Q399"")+IMPORTRANGE(""https://docs.google.com/spreadsheets/d/1kfLP0j3INXRa8bTDpcEmoWewMBV61jlFlfzczfjWIgc/edit?usp=sharing"",""อุบลราชธานี!Q399"")"),0)</f>
        <v>0</v>
      </c>
      <c r="R399" s="59">
        <f ca="1">IFERROR(__xludf.DUMMYFUNCTION("IMPORTRANGE(""https://docs.google.com/spreadsheets/d/1yhBcrRPreicbMKl9Bu_Snb2-OcQAF62RKfhTLhJ2eAA/edit?usp=sharing"",""กาฬสินธุ์!R399"")+IMPORTRANGE(""https://docs.google.com/spreadsheets/d/1aHkj4IaQMThhwWwevcOymEh837vdxeC_PycurhTbGFA/edit?usp=sharing"","&amp;"""ขอนแก่น!R399"")+IMPORTRANGE(""https://docs.google.com/spreadsheets/d/1FvTu2DsIWUjP6WCWra38Bkj_oOl_sOMf14r5Fg5srxU/edit?usp=sharing"",""ชัยภูมิ!R399"")+IMPORTRANGE(""https://docs.google.com/spreadsheets/d/1XVB7oCJ3pr-vBUdflwPQ8Z2LlzhnCvZaaYjAfP-647E/edit"&amp;"?usp=sharing"",""นครพนม!R399"")+IMPORTRANGE(""https://docs.google.com/spreadsheets/d/1Mnpb-8PYAgn85W6KOTD40hc_Xc55CaLfHoGAbrZ8tls/edit?usp=sharing"",""นครราชสีมา!R399"")+IMPORTRANGE(""https://docs.google.com/spreadsheets/d/1xoDLGBv9CYbyosIhki0kTq6IpYNj-gp"&amp;"jxfobnaDiut0/edit?usp=sharing"",""บึงกาฬ!R399"")+IMPORTRANGE(""https://docs.google.com/spreadsheets/d/1MMPq-JyI6DSgQETxuSiXkesP-P7JHuemnE6QJIa-Nlw/edit?usp=sharing"",""บุรีรัมย์!R399"")+IMPORTRANGE(""https://docs.google.com/spreadsheets/d/1l6IZ8xUPgMrESzc"&amp;"TYwhA1k_tPjeQjJPTqlm8Gd9eU5g/edit?usp=sharing"",""มหาสารคาม!R399"")+IMPORTRANGE(""https://docs.google.com/spreadsheets/d/1uB74YLqNjWX6FObjekfB2NtSYigTQyR2rq9u4Ub2Sq4/edit?usp=sharing"",""มุกดาหาร!R399"")+IMPORTRANGE(""https://docs.google.com/spreadsheets/"&amp;"d/1NexK3geCPxCTO1fzNF8dPec7yZyUx3OaWkFBC9HsQOo/edit?usp=sharing"",""ยโสธร!R399"")+IMPORTRANGE(""https://docs.google.com/spreadsheets/d/1v_cJrbBlyqmnHPReHk44g9NrMRdENNlSy_E_c5M9fIg/edit?usp=sharing"",""ร้อยเอ็ด!R399"")+IMPORTRANGE(""https://docs.google.com"&amp;"/spreadsheets/d/1Ul4RCpCX66NxYADU1QpwAPjOmBzW64SsT11s1wzXw_c/edit?usp=sharing"",""เลย!R399"")+IMPORTRANGE(""https://docs.google.com/spreadsheets/d/1bRrNKwbHDVktQG10isr5vbWRtt5spIZPpkOSWgbT5ug/edit?usp=sharing"",""ศรีสะเกษ!R399"")+IMPORTRANGE(""https://doc"&amp;"s.google.com/spreadsheets/d/17P34_Ow5kFBfdQD0qspb2UuPX5zpi6WMrQzslghyvrI/edit?usp=sharing"",""สกลนคร!R399"")+IMPORTRANGE(""https://docs.google.com/spreadsheets/d/1yswqbM3-AEpThF3ZSUa1AcmHnmRTF1vlJ1CZGcJ8YuU/edit?usp=sharing"",""สุรินทร์!R399"")+IMPORTRANG"&amp;"E(""https://docs.google.com/spreadsheets/d/13JHU_EFbsQOUQ0JSQ3dWy1VTRosIWcDq6Nc99z2qzdc/edit?usp=sharing"",""หนองคาย!R399"")+IMPORTRANGE(""https://docs.google.com/spreadsheets/d/1Hx73zIEgVdDZZaYSTc46Dqv64atFhpr3GelxLbaIN8A/edit?usp=sharing"",""หนองบัวลำภู"&amp;"!R399"")+IMPORTRANGE(""https://docs.google.com/spreadsheets/d/1lFxr3ctmjFN90yc-xV6jrQ9Ty8BKYVBWnAZ15wcNIJc/edit?usp=sharing"",""อำนาจเจริญ!R399"")+IMPORTRANGE(""https://docs.google.com/spreadsheets/d/1gF7RJpRnL-1oyjyeWxs5SFWEH7y8ahOZsQlyp2A2e-A/edit?usp=s"&amp;"haring"",""อุดรธานี!R399"")+IMPORTRANGE(""https://docs.google.com/spreadsheets/d/1kfLP0j3INXRa8bTDpcEmoWewMBV61jlFlfzczfjWIgc/edit?usp=sharing"",""อุบลราชธานี!R399"")"),0)</f>
        <v>0</v>
      </c>
      <c r="S399" s="60">
        <f ca="1">IFERROR(__xludf.DUMMYFUNCTION("IMPORTRANGE(""https://docs.google.com/spreadsheets/d/1yhBcrRPreicbMKl9Bu_Snb2-OcQAF62RKfhTLhJ2eAA/edit?usp=sharing"",""กาฬสินธุ์!S399"")+IMPORTRANGE(""https://docs.google.com/spreadsheets/d/1aHkj4IaQMThhwWwevcOymEh837vdxeC_PycurhTbGFA/edit?usp=sharing"","&amp;"""ขอนแก่น!S399"")+IMPORTRANGE(""https://docs.google.com/spreadsheets/d/1FvTu2DsIWUjP6WCWra38Bkj_oOl_sOMf14r5Fg5srxU/edit?usp=sharing"",""ชัยภูมิ!S399"")+IMPORTRANGE(""https://docs.google.com/spreadsheets/d/1XVB7oCJ3pr-vBUdflwPQ8Z2LlzhnCvZaaYjAfP-647E/edit"&amp;"?usp=sharing"",""นครพนม!S399"")+IMPORTRANGE(""https://docs.google.com/spreadsheets/d/1Mnpb-8PYAgn85W6KOTD40hc_Xc55CaLfHoGAbrZ8tls/edit?usp=sharing"",""นครราชสีมา!S399"")+IMPORTRANGE(""https://docs.google.com/spreadsheets/d/1xoDLGBv9CYbyosIhki0kTq6IpYNj-gp"&amp;"jxfobnaDiut0/edit?usp=sharing"",""บึงกาฬ!S399"")+IMPORTRANGE(""https://docs.google.com/spreadsheets/d/1MMPq-JyI6DSgQETxuSiXkesP-P7JHuemnE6QJIa-Nlw/edit?usp=sharing"",""บุรีรัมย์!S399"")+IMPORTRANGE(""https://docs.google.com/spreadsheets/d/1l6IZ8xUPgMrESzc"&amp;"TYwhA1k_tPjeQjJPTqlm8Gd9eU5g/edit?usp=sharing"",""มหาสารคาม!S399"")+IMPORTRANGE(""https://docs.google.com/spreadsheets/d/1uB74YLqNjWX6FObjekfB2NtSYigTQyR2rq9u4Ub2Sq4/edit?usp=sharing"",""มุกดาหาร!S399"")+IMPORTRANGE(""https://docs.google.com/spreadsheets/"&amp;"d/1NexK3geCPxCTO1fzNF8dPec7yZyUx3OaWkFBC9HsQOo/edit?usp=sharing"",""ยโสธร!S399"")+IMPORTRANGE(""https://docs.google.com/spreadsheets/d/1v_cJrbBlyqmnHPReHk44g9NrMRdENNlSy_E_c5M9fIg/edit?usp=sharing"",""ร้อยเอ็ด!S399"")+IMPORTRANGE(""https://docs.google.com"&amp;"/spreadsheets/d/1Ul4RCpCX66NxYADU1QpwAPjOmBzW64SsT11s1wzXw_c/edit?usp=sharing"",""เลย!S399"")+IMPORTRANGE(""https://docs.google.com/spreadsheets/d/1bRrNKwbHDVktQG10isr5vbWRtt5spIZPpkOSWgbT5ug/edit?usp=sharing"",""ศรีสะเกษ!S399"")+IMPORTRANGE(""https://doc"&amp;"s.google.com/spreadsheets/d/17P34_Ow5kFBfdQD0qspb2UuPX5zpi6WMrQzslghyvrI/edit?usp=sharing"",""สกลนคร!S399"")+IMPORTRANGE(""https://docs.google.com/spreadsheets/d/1yswqbM3-AEpThF3ZSUa1AcmHnmRTF1vlJ1CZGcJ8YuU/edit?usp=sharing"",""สุรินทร์!S399"")+IMPORTRANG"&amp;"E(""https://docs.google.com/spreadsheets/d/13JHU_EFbsQOUQ0JSQ3dWy1VTRosIWcDq6Nc99z2qzdc/edit?usp=sharing"",""หนองคาย!S399"")+IMPORTRANGE(""https://docs.google.com/spreadsheets/d/1Hx73zIEgVdDZZaYSTc46Dqv64atFhpr3GelxLbaIN8A/edit?usp=sharing"",""หนองบัวลำภู"&amp;"!S399"")+IMPORTRANGE(""https://docs.google.com/spreadsheets/d/1lFxr3ctmjFN90yc-xV6jrQ9Ty8BKYVBWnAZ15wcNIJc/edit?usp=sharing"",""อำนาจเจริญ!S399"")+IMPORTRANGE(""https://docs.google.com/spreadsheets/d/1gF7RJpRnL-1oyjyeWxs5SFWEH7y8ahOZsQlyp2A2e-A/edit?usp=s"&amp;"haring"",""อุดรธานี!S399"")+IMPORTRANGE(""https://docs.google.com/spreadsheets/d/1kfLP0j3INXRa8bTDpcEmoWewMBV61jlFlfzczfjWIgc/edit?usp=sharing"",""อุบลราชธานี!S399"")"),0)</f>
        <v>0</v>
      </c>
      <c r="T399" s="59">
        <f t="shared" ca="1" si="302"/>
        <v>0</v>
      </c>
      <c r="U399" s="59">
        <f t="shared" ca="1" si="303"/>
        <v>0</v>
      </c>
    </row>
    <row r="400" spans="1:21" ht="18.75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56">
        <f ca="1">IFERROR(__xludf.DUMMYFUNCTION("IMPORTRANGE(""https://docs.google.com/spreadsheets/d/1yhBcrRPreicbMKl9Bu_Snb2-OcQAF62RKfhTLhJ2eAA/edit?usp=sharing"",""กาฬสินธุ์!L400"")+IMPORTRANGE(""https://docs.google.com/spreadsheets/d/1aHkj4IaQMThhwWwevcOymEh837vdxeC_PycurhTbGFA/edit?usp=sharing"","&amp;"""ขอนแก่น!L400"")+IMPORTRANGE(""https://docs.google.com/spreadsheets/d/1FvTu2DsIWUjP6WCWra38Bkj_oOl_sOMf14r5Fg5srxU/edit?usp=sharing"",""ชัยภูมิ!L400"")+IMPORTRANGE(""https://docs.google.com/spreadsheets/d/1XVB7oCJ3pr-vBUdflwPQ8Z2LlzhnCvZaaYjAfP-647E/edit"&amp;"?usp=sharing"",""นครพนม!L400"")+IMPORTRANGE(""https://docs.google.com/spreadsheets/d/1Mnpb-8PYAgn85W6KOTD40hc_Xc55CaLfHoGAbrZ8tls/edit?usp=sharing"",""นครราชสีมา!L400"")+IMPORTRANGE(""https://docs.google.com/spreadsheets/d/1xoDLGBv9CYbyosIhki0kTq6IpYNj-gp"&amp;"jxfobnaDiut0/edit?usp=sharing"",""บึงกาฬ!L400"")+IMPORTRANGE(""https://docs.google.com/spreadsheets/d/1MMPq-JyI6DSgQETxuSiXkesP-P7JHuemnE6QJIa-Nlw/edit?usp=sharing"",""บุรีรัมย์!L400"")+IMPORTRANGE(""https://docs.google.com/spreadsheets/d/1l6IZ8xUPgMrESzc"&amp;"TYwhA1k_tPjeQjJPTqlm8Gd9eU5g/edit?usp=sharing"",""มหาสารคาม!L400"")+IMPORTRANGE(""https://docs.google.com/spreadsheets/d/1uB74YLqNjWX6FObjekfB2NtSYigTQyR2rq9u4Ub2Sq4/edit?usp=sharing"",""มุกดาหาร!L400"")+IMPORTRANGE(""https://docs.google.com/spreadsheets/"&amp;"d/1NexK3geCPxCTO1fzNF8dPec7yZyUx3OaWkFBC9HsQOo/edit?usp=sharing"",""ยโสธร!L400"")+IMPORTRANGE(""https://docs.google.com/spreadsheets/d/1v_cJrbBlyqmnHPReHk44g9NrMRdENNlSy_E_c5M9fIg/edit?usp=sharing"",""ร้อยเอ็ด!L400"")+IMPORTRANGE(""https://docs.google.com"&amp;"/spreadsheets/d/1Ul4RCpCX66NxYADU1QpwAPjOmBzW64SsT11s1wzXw_c/edit?usp=sharing"",""เลย!L400"")+IMPORTRANGE(""https://docs.google.com/spreadsheets/d/1bRrNKwbHDVktQG10isr5vbWRtt5spIZPpkOSWgbT5ug/edit?usp=sharing"",""ศรีสะเกษ!L400"")+IMPORTRANGE(""https://doc"&amp;"s.google.com/spreadsheets/d/17P34_Ow5kFBfdQD0qspb2UuPX5zpi6WMrQzslghyvrI/edit?usp=sharing"",""สกลนคร!L400"")+IMPORTRANGE(""https://docs.google.com/spreadsheets/d/1yswqbM3-AEpThF3ZSUa1AcmHnmRTF1vlJ1CZGcJ8YuU/edit?usp=sharing"",""สุรินทร์!L400"")+IMPORTRANG"&amp;"E(""https://docs.google.com/spreadsheets/d/13JHU_EFbsQOUQ0JSQ3dWy1VTRosIWcDq6Nc99z2qzdc/edit?usp=sharing"",""หนองคาย!L400"")+IMPORTRANGE(""https://docs.google.com/spreadsheets/d/1Hx73zIEgVdDZZaYSTc46Dqv64atFhpr3GelxLbaIN8A/edit?usp=sharing"",""หนองบัวลำภู"&amp;"!L400"")+IMPORTRANGE(""https://docs.google.com/spreadsheets/d/1lFxr3ctmjFN90yc-xV6jrQ9Ty8BKYVBWnAZ15wcNIJc/edit?usp=sharing"",""อำนาจเจริญ!L400"")+IMPORTRANGE(""https://docs.google.com/spreadsheets/d/1gF7RJpRnL-1oyjyeWxs5SFWEH7y8ahOZsQlyp2A2e-A/edit?usp=s"&amp;"haring"",""อุดรธานี!L400"")+IMPORTRANGE(""https://docs.google.com/spreadsheets/d/1kfLP0j3INXRa8bTDpcEmoWewMBV61jlFlfzczfjWIgc/edit?usp=sharing"",""อุบลราชธานี!L400"")"),0)</f>
        <v>0</v>
      </c>
      <c r="M400" s="56">
        <f ca="1">IFERROR(__xludf.DUMMYFUNCTION("IMPORTRANGE(""https://docs.google.com/spreadsheets/d/1yhBcrRPreicbMKl9Bu_Snb2-OcQAF62RKfhTLhJ2eAA/edit?usp=sharing"",""กาฬสินธุ์!M400"")+IMPORTRANGE(""https://docs.google.com/spreadsheets/d/1aHkj4IaQMThhwWwevcOymEh837vdxeC_PycurhTbGFA/edit?usp=sharing"","&amp;"""ขอนแก่น!M400"")+IMPORTRANGE(""https://docs.google.com/spreadsheets/d/1FvTu2DsIWUjP6WCWra38Bkj_oOl_sOMf14r5Fg5srxU/edit?usp=sharing"",""ชัยภูมิ!M400"")+IMPORTRANGE(""https://docs.google.com/spreadsheets/d/1XVB7oCJ3pr-vBUdflwPQ8Z2LlzhnCvZaaYjAfP-647E/edit"&amp;"?usp=sharing"",""นครพนม!M400"")+IMPORTRANGE(""https://docs.google.com/spreadsheets/d/1Mnpb-8PYAgn85W6KOTD40hc_Xc55CaLfHoGAbrZ8tls/edit?usp=sharing"",""นครราชสีมา!M400"")+IMPORTRANGE(""https://docs.google.com/spreadsheets/d/1xoDLGBv9CYbyosIhki0kTq6IpYNj-gp"&amp;"jxfobnaDiut0/edit?usp=sharing"",""บึงกาฬ!M400"")+IMPORTRANGE(""https://docs.google.com/spreadsheets/d/1MMPq-JyI6DSgQETxuSiXkesP-P7JHuemnE6QJIa-Nlw/edit?usp=sharing"",""บุรีรัมย์!M400"")+IMPORTRANGE(""https://docs.google.com/spreadsheets/d/1l6IZ8xUPgMrESzc"&amp;"TYwhA1k_tPjeQjJPTqlm8Gd9eU5g/edit?usp=sharing"",""มหาสารคาม!M400"")+IMPORTRANGE(""https://docs.google.com/spreadsheets/d/1uB74YLqNjWX6FObjekfB2NtSYigTQyR2rq9u4Ub2Sq4/edit?usp=sharing"",""มุกดาหาร!M400"")+IMPORTRANGE(""https://docs.google.com/spreadsheets/"&amp;"d/1NexK3geCPxCTO1fzNF8dPec7yZyUx3OaWkFBC9HsQOo/edit?usp=sharing"",""ยโสธร!M400"")+IMPORTRANGE(""https://docs.google.com/spreadsheets/d/1v_cJrbBlyqmnHPReHk44g9NrMRdENNlSy_E_c5M9fIg/edit?usp=sharing"",""ร้อยเอ็ด!M400"")+IMPORTRANGE(""https://docs.google.com"&amp;"/spreadsheets/d/1Ul4RCpCX66NxYADU1QpwAPjOmBzW64SsT11s1wzXw_c/edit?usp=sharing"",""เลย!M400"")+IMPORTRANGE(""https://docs.google.com/spreadsheets/d/1bRrNKwbHDVktQG10isr5vbWRtt5spIZPpkOSWgbT5ug/edit?usp=sharing"",""ศรีสะเกษ!M400"")+IMPORTRANGE(""https://doc"&amp;"s.google.com/spreadsheets/d/17P34_Ow5kFBfdQD0qspb2UuPX5zpi6WMrQzslghyvrI/edit?usp=sharing"",""สกลนคร!M400"")+IMPORTRANGE(""https://docs.google.com/spreadsheets/d/1yswqbM3-AEpThF3ZSUa1AcmHnmRTF1vlJ1CZGcJ8YuU/edit?usp=sharing"",""สุรินทร์!M400"")+IMPORTRANG"&amp;"E(""https://docs.google.com/spreadsheets/d/13JHU_EFbsQOUQ0JSQ3dWy1VTRosIWcDq6Nc99z2qzdc/edit?usp=sharing"",""หนองคาย!M400"")+IMPORTRANGE(""https://docs.google.com/spreadsheets/d/1Hx73zIEgVdDZZaYSTc46Dqv64atFhpr3GelxLbaIN8A/edit?usp=sharing"",""หนองบัวลำภู"&amp;"!M400"")+IMPORTRANGE(""https://docs.google.com/spreadsheets/d/1lFxr3ctmjFN90yc-xV6jrQ9Ty8BKYVBWnAZ15wcNIJc/edit?usp=sharing"",""อำนาจเจริญ!M400"")+IMPORTRANGE(""https://docs.google.com/spreadsheets/d/1gF7RJpRnL-1oyjyeWxs5SFWEH7y8ahOZsQlyp2A2e-A/edit?usp=s"&amp;"haring"",""อุดรธานี!M400"")+IMPORTRANGE(""https://docs.google.com/spreadsheets/d/1kfLP0j3INXRa8bTDpcEmoWewMBV61jlFlfzczfjWIgc/edit?usp=sharing"",""อุบลราชธานี!M400"")"),0)</f>
        <v>0</v>
      </c>
      <c r="N400" s="56">
        <f ca="1">IFERROR(__xludf.DUMMYFUNCTION("IMPORTRANGE(""https://docs.google.com/spreadsheets/d/1yhBcrRPreicbMKl9Bu_Snb2-OcQAF62RKfhTLhJ2eAA/edit?usp=sharing"",""กาฬสินธุ์!N400"")+IMPORTRANGE(""https://docs.google.com/spreadsheets/d/1aHkj4IaQMThhwWwevcOymEh837vdxeC_PycurhTbGFA/edit?usp=sharing"","&amp;"""ขอนแก่น!N400"")+IMPORTRANGE(""https://docs.google.com/spreadsheets/d/1FvTu2DsIWUjP6WCWra38Bkj_oOl_sOMf14r5Fg5srxU/edit?usp=sharing"",""ชัยภูมิ!N400"")+IMPORTRANGE(""https://docs.google.com/spreadsheets/d/1XVB7oCJ3pr-vBUdflwPQ8Z2LlzhnCvZaaYjAfP-647E/edit"&amp;"?usp=sharing"",""นครพนม!N400"")+IMPORTRANGE(""https://docs.google.com/spreadsheets/d/1Mnpb-8PYAgn85W6KOTD40hc_Xc55CaLfHoGAbrZ8tls/edit?usp=sharing"",""นครราชสีมา!N400"")+IMPORTRANGE(""https://docs.google.com/spreadsheets/d/1xoDLGBv9CYbyosIhki0kTq6IpYNj-gp"&amp;"jxfobnaDiut0/edit?usp=sharing"",""บึงกาฬ!N400"")+IMPORTRANGE(""https://docs.google.com/spreadsheets/d/1MMPq-JyI6DSgQETxuSiXkesP-P7JHuemnE6QJIa-Nlw/edit?usp=sharing"",""บุรีรัมย์!N400"")+IMPORTRANGE(""https://docs.google.com/spreadsheets/d/1l6IZ8xUPgMrESzc"&amp;"TYwhA1k_tPjeQjJPTqlm8Gd9eU5g/edit?usp=sharing"",""มหาสารคาม!N400"")+IMPORTRANGE(""https://docs.google.com/spreadsheets/d/1uB74YLqNjWX6FObjekfB2NtSYigTQyR2rq9u4Ub2Sq4/edit?usp=sharing"",""มุกดาหาร!N400"")+IMPORTRANGE(""https://docs.google.com/spreadsheets/"&amp;"d/1NexK3geCPxCTO1fzNF8dPec7yZyUx3OaWkFBC9HsQOo/edit?usp=sharing"",""ยโสธร!N400"")+IMPORTRANGE(""https://docs.google.com/spreadsheets/d/1v_cJrbBlyqmnHPReHk44g9NrMRdENNlSy_E_c5M9fIg/edit?usp=sharing"",""ร้อยเอ็ด!N400"")+IMPORTRANGE(""https://docs.google.com"&amp;"/spreadsheets/d/1Ul4RCpCX66NxYADU1QpwAPjOmBzW64SsT11s1wzXw_c/edit?usp=sharing"",""เลย!N400"")+IMPORTRANGE(""https://docs.google.com/spreadsheets/d/1bRrNKwbHDVktQG10isr5vbWRtt5spIZPpkOSWgbT5ug/edit?usp=sharing"",""ศรีสะเกษ!N400"")+IMPORTRANGE(""https://doc"&amp;"s.google.com/spreadsheets/d/17P34_Ow5kFBfdQD0qspb2UuPX5zpi6WMrQzslghyvrI/edit?usp=sharing"",""สกลนคร!N400"")+IMPORTRANGE(""https://docs.google.com/spreadsheets/d/1yswqbM3-AEpThF3ZSUa1AcmHnmRTF1vlJ1CZGcJ8YuU/edit?usp=sharing"",""สุรินทร์!N400"")+IMPORTRANG"&amp;"E(""https://docs.google.com/spreadsheets/d/13JHU_EFbsQOUQ0JSQ3dWy1VTRosIWcDq6Nc99z2qzdc/edit?usp=sharing"",""หนองคาย!N400"")+IMPORTRANGE(""https://docs.google.com/spreadsheets/d/1Hx73zIEgVdDZZaYSTc46Dqv64atFhpr3GelxLbaIN8A/edit?usp=sharing"",""หนองบัวลำภู"&amp;"!N400"")+IMPORTRANGE(""https://docs.google.com/spreadsheets/d/1lFxr3ctmjFN90yc-xV6jrQ9Ty8BKYVBWnAZ15wcNIJc/edit?usp=sharing"",""อำนาจเจริญ!N400"")+IMPORTRANGE(""https://docs.google.com/spreadsheets/d/1gF7RJpRnL-1oyjyeWxs5SFWEH7y8ahOZsQlyp2A2e-A/edit?usp=s"&amp;"haring"",""อุดรธานี!N400"")+IMPORTRANGE(""https://docs.google.com/spreadsheets/d/1kfLP0j3INXRa8bTDpcEmoWewMBV61jlFlfzczfjWIgc/edit?usp=sharing"",""อุบลราชธานี!N400"")"),0)</f>
        <v>0</v>
      </c>
      <c r="O400" s="56">
        <f t="shared" ca="1" si="299"/>
        <v>0</v>
      </c>
      <c r="P400" s="56">
        <f t="shared" ca="1" si="300"/>
        <v>0</v>
      </c>
      <c r="Q400" s="56">
        <f ca="1">IFERROR(__xludf.DUMMYFUNCTION("IMPORTRANGE(""https://docs.google.com/spreadsheets/d/1yhBcrRPreicbMKl9Bu_Snb2-OcQAF62RKfhTLhJ2eAA/edit?usp=sharing"",""กาฬสินธุ์!Q400"")+IMPORTRANGE(""https://docs.google.com/spreadsheets/d/1aHkj4IaQMThhwWwevcOymEh837vdxeC_PycurhTbGFA/edit?usp=sharing"","&amp;"""ขอนแก่น!Q400"")+IMPORTRANGE(""https://docs.google.com/spreadsheets/d/1FvTu2DsIWUjP6WCWra38Bkj_oOl_sOMf14r5Fg5srxU/edit?usp=sharing"",""ชัยภูมิ!Q400"")+IMPORTRANGE(""https://docs.google.com/spreadsheets/d/1XVB7oCJ3pr-vBUdflwPQ8Z2LlzhnCvZaaYjAfP-647E/edit"&amp;"?usp=sharing"",""นครพนม!Q400"")+IMPORTRANGE(""https://docs.google.com/spreadsheets/d/1Mnpb-8PYAgn85W6KOTD40hc_Xc55CaLfHoGAbrZ8tls/edit?usp=sharing"",""นครราชสีมา!Q400"")+IMPORTRANGE(""https://docs.google.com/spreadsheets/d/1xoDLGBv9CYbyosIhki0kTq6IpYNj-gp"&amp;"jxfobnaDiut0/edit?usp=sharing"",""บึงกาฬ!Q400"")+IMPORTRANGE(""https://docs.google.com/spreadsheets/d/1MMPq-JyI6DSgQETxuSiXkesP-P7JHuemnE6QJIa-Nlw/edit?usp=sharing"",""บุรีรัมย์!Q400"")+IMPORTRANGE(""https://docs.google.com/spreadsheets/d/1l6IZ8xUPgMrESzc"&amp;"TYwhA1k_tPjeQjJPTqlm8Gd9eU5g/edit?usp=sharing"",""มหาสารคาม!Q400"")+IMPORTRANGE(""https://docs.google.com/spreadsheets/d/1uB74YLqNjWX6FObjekfB2NtSYigTQyR2rq9u4Ub2Sq4/edit?usp=sharing"",""มุกดาหาร!Q400"")+IMPORTRANGE(""https://docs.google.com/spreadsheets/"&amp;"d/1NexK3geCPxCTO1fzNF8dPec7yZyUx3OaWkFBC9HsQOo/edit?usp=sharing"",""ยโสธร!Q400"")+IMPORTRANGE(""https://docs.google.com/spreadsheets/d/1v_cJrbBlyqmnHPReHk44g9NrMRdENNlSy_E_c5M9fIg/edit?usp=sharing"",""ร้อยเอ็ด!Q400"")+IMPORTRANGE(""https://docs.google.com"&amp;"/spreadsheets/d/1Ul4RCpCX66NxYADU1QpwAPjOmBzW64SsT11s1wzXw_c/edit?usp=sharing"",""เลย!Q400"")+IMPORTRANGE(""https://docs.google.com/spreadsheets/d/1bRrNKwbHDVktQG10isr5vbWRtt5spIZPpkOSWgbT5ug/edit?usp=sharing"",""ศรีสะเกษ!Q400"")+IMPORTRANGE(""https://doc"&amp;"s.google.com/spreadsheets/d/17P34_Ow5kFBfdQD0qspb2UuPX5zpi6WMrQzslghyvrI/edit?usp=sharing"",""สกลนคร!Q400"")+IMPORTRANGE(""https://docs.google.com/spreadsheets/d/1yswqbM3-AEpThF3ZSUa1AcmHnmRTF1vlJ1CZGcJ8YuU/edit?usp=sharing"",""สุรินทร์!Q400"")+IMPORTRANG"&amp;"E(""https://docs.google.com/spreadsheets/d/13JHU_EFbsQOUQ0JSQ3dWy1VTRosIWcDq6Nc99z2qzdc/edit?usp=sharing"",""หนองคาย!Q400"")+IMPORTRANGE(""https://docs.google.com/spreadsheets/d/1Hx73zIEgVdDZZaYSTc46Dqv64atFhpr3GelxLbaIN8A/edit?usp=sharing"",""หนองบัวลำภู"&amp;"!Q400"")+IMPORTRANGE(""https://docs.google.com/spreadsheets/d/1lFxr3ctmjFN90yc-xV6jrQ9Ty8BKYVBWnAZ15wcNIJc/edit?usp=sharing"",""อำนาจเจริญ!Q400"")+IMPORTRANGE(""https://docs.google.com/spreadsheets/d/1gF7RJpRnL-1oyjyeWxs5SFWEH7y8ahOZsQlyp2A2e-A/edit?usp=s"&amp;"haring"",""อุดรธานี!Q400"")+IMPORTRANGE(""https://docs.google.com/spreadsheets/d/1kfLP0j3INXRa8bTDpcEmoWewMBV61jlFlfzczfjWIgc/edit?usp=sharing"",""อุบลราชธานี!Q400"")"),0)</f>
        <v>0</v>
      </c>
      <c r="R400" s="56">
        <f ca="1">IFERROR(__xludf.DUMMYFUNCTION("IMPORTRANGE(""https://docs.google.com/spreadsheets/d/1yhBcrRPreicbMKl9Bu_Snb2-OcQAF62RKfhTLhJ2eAA/edit?usp=sharing"",""กาฬสินธุ์!R400"")+IMPORTRANGE(""https://docs.google.com/spreadsheets/d/1aHkj4IaQMThhwWwevcOymEh837vdxeC_PycurhTbGFA/edit?usp=sharing"","&amp;"""ขอนแก่น!R400"")+IMPORTRANGE(""https://docs.google.com/spreadsheets/d/1FvTu2DsIWUjP6WCWra38Bkj_oOl_sOMf14r5Fg5srxU/edit?usp=sharing"",""ชัยภูมิ!R400"")+IMPORTRANGE(""https://docs.google.com/spreadsheets/d/1XVB7oCJ3pr-vBUdflwPQ8Z2LlzhnCvZaaYjAfP-647E/edit"&amp;"?usp=sharing"",""นครพนม!R400"")+IMPORTRANGE(""https://docs.google.com/spreadsheets/d/1Mnpb-8PYAgn85W6KOTD40hc_Xc55CaLfHoGAbrZ8tls/edit?usp=sharing"",""นครราชสีมา!R400"")+IMPORTRANGE(""https://docs.google.com/spreadsheets/d/1xoDLGBv9CYbyosIhki0kTq6IpYNj-gp"&amp;"jxfobnaDiut0/edit?usp=sharing"",""บึงกาฬ!R400"")+IMPORTRANGE(""https://docs.google.com/spreadsheets/d/1MMPq-JyI6DSgQETxuSiXkesP-P7JHuemnE6QJIa-Nlw/edit?usp=sharing"",""บุรีรัมย์!R400"")+IMPORTRANGE(""https://docs.google.com/spreadsheets/d/1l6IZ8xUPgMrESzc"&amp;"TYwhA1k_tPjeQjJPTqlm8Gd9eU5g/edit?usp=sharing"",""มหาสารคาม!R400"")+IMPORTRANGE(""https://docs.google.com/spreadsheets/d/1uB74YLqNjWX6FObjekfB2NtSYigTQyR2rq9u4Ub2Sq4/edit?usp=sharing"",""มุกดาหาร!R400"")+IMPORTRANGE(""https://docs.google.com/spreadsheets/"&amp;"d/1NexK3geCPxCTO1fzNF8dPec7yZyUx3OaWkFBC9HsQOo/edit?usp=sharing"",""ยโสธร!R400"")+IMPORTRANGE(""https://docs.google.com/spreadsheets/d/1v_cJrbBlyqmnHPReHk44g9NrMRdENNlSy_E_c5M9fIg/edit?usp=sharing"",""ร้อยเอ็ด!R400"")+IMPORTRANGE(""https://docs.google.com"&amp;"/spreadsheets/d/1Ul4RCpCX66NxYADU1QpwAPjOmBzW64SsT11s1wzXw_c/edit?usp=sharing"",""เลย!R400"")+IMPORTRANGE(""https://docs.google.com/spreadsheets/d/1bRrNKwbHDVktQG10isr5vbWRtt5spIZPpkOSWgbT5ug/edit?usp=sharing"",""ศรีสะเกษ!R400"")+IMPORTRANGE(""https://doc"&amp;"s.google.com/spreadsheets/d/17P34_Ow5kFBfdQD0qspb2UuPX5zpi6WMrQzslghyvrI/edit?usp=sharing"",""สกลนคร!R400"")+IMPORTRANGE(""https://docs.google.com/spreadsheets/d/1yswqbM3-AEpThF3ZSUa1AcmHnmRTF1vlJ1CZGcJ8YuU/edit?usp=sharing"",""สุรินทร์!R400"")+IMPORTRANG"&amp;"E(""https://docs.google.com/spreadsheets/d/13JHU_EFbsQOUQ0JSQ3dWy1VTRosIWcDq6Nc99z2qzdc/edit?usp=sharing"",""หนองคาย!R400"")+IMPORTRANGE(""https://docs.google.com/spreadsheets/d/1Hx73zIEgVdDZZaYSTc46Dqv64atFhpr3GelxLbaIN8A/edit?usp=sharing"",""หนองบัวลำภู"&amp;"!R400"")+IMPORTRANGE(""https://docs.google.com/spreadsheets/d/1lFxr3ctmjFN90yc-xV6jrQ9Ty8BKYVBWnAZ15wcNIJc/edit?usp=sharing"",""อำนาจเจริญ!R400"")+IMPORTRANGE(""https://docs.google.com/spreadsheets/d/1gF7RJpRnL-1oyjyeWxs5SFWEH7y8ahOZsQlyp2A2e-A/edit?usp=s"&amp;"haring"",""อุดรธานี!R400"")+IMPORTRANGE(""https://docs.google.com/spreadsheets/d/1kfLP0j3INXRa8bTDpcEmoWewMBV61jlFlfzczfjWIgc/edit?usp=sharing"",""อุบลราชธานี!R400"")"),0)</f>
        <v>0</v>
      </c>
      <c r="S400" s="57">
        <f ca="1">IFERROR(__xludf.DUMMYFUNCTION("IMPORTRANGE(""https://docs.google.com/spreadsheets/d/1yhBcrRPreicbMKl9Bu_Snb2-OcQAF62RKfhTLhJ2eAA/edit?usp=sharing"",""กาฬสินธุ์!S400"")+IMPORTRANGE(""https://docs.google.com/spreadsheets/d/1aHkj4IaQMThhwWwevcOymEh837vdxeC_PycurhTbGFA/edit?usp=sharing"","&amp;"""ขอนแก่น!S400"")+IMPORTRANGE(""https://docs.google.com/spreadsheets/d/1FvTu2DsIWUjP6WCWra38Bkj_oOl_sOMf14r5Fg5srxU/edit?usp=sharing"",""ชัยภูมิ!S400"")+IMPORTRANGE(""https://docs.google.com/spreadsheets/d/1XVB7oCJ3pr-vBUdflwPQ8Z2LlzhnCvZaaYjAfP-647E/edit"&amp;"?usp=sharing"",""นครพนม!S400"")+IMPORTRANGE(""https://docs.google.com/spreadsheets/d/1Mnpb-8PYAgn85W6KOTD40hc_Xc55CaLfHoGAbrZ8tls/edit?usp=sharing"",""นครราชสีมา!S400"")+IMPORTRANGE(""https://docs.google.com/spreadsheets/d/1xoDLGBv9CYbyosIhki0kTq6IpYNj-gp"&amp;"jxfobnaDiut0/edit?usp=sharing"",""บึงกาฬ!S400"")+IMPORTRANGE(""https://docs.google.com/spreadsheets/d/1MMPq-JyI6DSgQETxuSiXkesP-P7JHuemnE6QJIa-Nlw/edit?usp=sharing"",""บุรีรัมย์!S400"")+IMPORTRANGE(""https://docs.google.com/spreadsheets/d/1l6IZ8xUPgMrESzc"&amp;"TYwhA1k_tPjeQjJPTqlm8Gd9eU5g/edit?usp=sharing"",""มหาสารคาม!S400"")+IMPORTRANGE(""https://docs.google.com/spreadsheets/d/1uB74YLqNjWX6FObjekfB2NtSYigTQyR2rq9u4Ub2Sq4/edit?usp=sharing"",""มุกดาหาร!S400"")+IMPORTRANGE(""https://docs.google.com/spreadsheets/"&amp;"d/1NexK3geCPxCTO1fzNF8dPec7yZyUx3OaWkFBC9HsQOo/edit?usp=sharing"",""ยโสธร!S400"")+IMPORTRANGE(""https://docs.google.com/spreadsheets/d/1v_cJrbBlyqmnHPReHk44g9NrMRdENNlSy_E_c5M9fIg/edit?usp=sharing"",""ร้อยเอ็ด!S400"")+IMPORTRANGE(""https://docs.google.com"&amp;"/spreadsheets/d/1Ul4RCpCX66NxYADU1QpwAPjOmBzW64SsT11s1wzXw_c/edit?usp=sharing"",""เลย!S400"")+IMPORTRANGE(""https://docs.google.com/spreadsheets/d/1bRrNKwbHDVktQG10isr5vbWRtt5spIZPpkOSWgbT5ug/edit?usp=sharing"",""ศรีสะเกษ!S400"")+IMPORTRANGE(""https://doc"&amp;"s.google.com/spreadsheets/d/17P34_Ow5kFBfdQD0qspb2UuPX5zpi6WMrQzslghyvrI/edit?usp=sharing"",""สกลนคร!S400"")+IMPORTRANGE(""https://docs.google.com/spreadsheets/d/1yswqbM3-AEpThF3ZSUa1AcmHnmRTF1vlJ1CZGcJ8YuU/edit?usp=sharing"",""สุรินทร์!S400"")+IMPORTRANG"&amp;"E(""https://docs.google.com/spreadsheets/d/13JHU_EFbsQOUQ0JSQ3dWy1VTRosIWcDq6Nc99z2qzdc/edit?usp=sharing"",""หนองคาย!S400"")+IMPORTRANGE(""https://docs.google.com/spreadsheets/d/1Hx73zIEgVdDZZaYSTc46Dqv64atFhpr3GelxLbaIN8A/edit?usp=sharing"",""หนองบัวลำภู"&amp;"!S400"")+IMPORTRANGE(""https://docs.google.com/spreadsheets/d/1lFxr3ctmjFN90yc-xV6jrQ9Ty8BKYVBWnAZ15wcNIJc/edit?usp=sharing"",""อำนาจเจริญ!S400"")+IMPORTRANGE(""https://docs.google.com/spreadsheets/d/1gF7RJpRnL-1oyjyeWxs5SFWEH7y8ahOZsQlyp2A2e-A/edit?usp=s"&amp;"haring"",""อุดรธานี!S400"")+IMPORTRANGE(""https://docs.google.com/spreadsheets/d/1kfLP0j3INXRa8bTDpcEmoWewMBV61jlFlfzczfjWIgc/edit?usp=sharing"",""อุบลราชธานี!S400"")"),0)</f>
        <v>0</v>
      </c>
      <c r="T400" s="56">
        <f t="shared" ca="1" si="302"/>
        <v>0</v>
      </c>
      <c r="U400" s="56">
        <f t="shared" ca="1" si="303"/>
        <v>0</v>
      </c>
    </row>
    <row r="401" spans="1:21" ht="19.5">
      <c r="A401" s="166"/>
      <c r="B401" s="167"/>
      <c r="C401" s="191" t="s">
        <v>18</v>
      </c>
      <c r="D401" s="357" t="s">
        <v>38</v>
      </c>
      <c r="E401" s="169"/>
      <c r="F401" s="169"/>
      <c r="G401" s="170"/>
      <c r="H401" s="206"/>
      <c r="I401" s="163"/>
      <c r="J401" s="54"/>
      <c r="K401" s="55"/>
      <c r="L401" s="55"/>
      <c r="M401" s="55"/>
      <c r="N401" s="55"/>
      <c r="O401" s="164"/>
      <c r="P401" s="164"/>
      <c r="Q401" s="55"/>
      <c r="R401" s="55"/>
      <c r="S401" s="62"/>
      <c r="T401" s="164"/>
      <c r="U401" s="164"/>
    </row>
    <row r="402" spans="1:21" ht="12.75">
      <c r="A402" s="258"/>
      <c r="B402" s="259"/>
      <c r="C402" s="259"/>
      <c r="D402" s="259"/>
      <c r="E402" s="260"/>
      <c r="F402" s="260"/>
      <c r="G402" s="261"/>
      <c r="H402" s="262"/>
      <c r="I402" s="263"/>
      <c r="J402" s="263"/>
      <c r="K402" s="264"/>
      <c r="L402" s="264"/>
      <c r="M402" s="264"/>
      <c r="N402" s="264"/>
      <c r="O402" s="264"/>
      <c r="P402" s="264"/>
      <c r="Q402" s="264"/>
      <c r="R402" s="264"/>
      <c r="S402" s="265"/>
      <c r="T402" s="264"/>
      <c r="U402" s="264"/>
    </row>
    <row r="403" spans="1:21" ht="12.75">
      <c r="A403" s="259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4"/>
      <c r="M403" s="264"/>
      <c r="N403" s="264"/>
      <c r="O403" s="264"/>
      <c r="P403" s="264"/>
      <c r="Q403" s="264"/>
      <c r="R403" s="264"/>
      <c r="S403" s="265"/>
      <c r="T403" s="264"/>
      <c r="U403" s="264"/>
    </row>
    <row r="404" spans="1:21" ht="12.75">
      <c r="A404" s="259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4"/>
      <c r="M404" s="264"/>
      <c r="N404" s="264"/>
      <c r="O404" s="264"/>
      <c r="P404" s="264"/>
      <c r="Q404" s="264"/>
      <c r="R404" s="264"/>
      <c r="S404" s="265"/>
      <c r="T404" s="264"/>
      <c r="U404" s="264"/>
    </row>
    <row r="405" spans="1:21" ht="12.75">
      <c r="A405" s="259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4"/>
      <c r="M405" s="264"/>
      <c r="N405" s="264"/>
      <c r="O405" s="264"/>
      <c r="P405" s="264"/>
      <c r="Q405" s="264"/>
      <c r="R405" s="264"/>
      <c r="S405" s="265"/>
      <c r="T405" s="264"/>
      <c r="U405" s="264"/>
    </row>
    <row r="406" spans="1:21" ht="12.75">
      <c r="A406" s="259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4"/>
      <c r="M406" s="264"/>
      <c r="N406" s="264"/>
      <c r="O406" s="264"/>
      <c r="P406" s="264"/>
      <c r="Q406" s="264"/>
      <c r="R406" s="264"/>
      <c r="S406" s="265"/>
      <c r="T406" s="264"/>
      <c r="U406" s="264"/>
    </row>
    <row r="407" spans="1:21" ht="12.75">
      <c r="A407" s="259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4"/>
      <c r="M407" s="264"/>
      <c r="N407" s="264"/>
      <c r="O407" s="264"/>
      <c r="P407" s="264"/>
      <c r="Q407" s="264"/>
      <c r="R407" s="264"/>
      <c r="S407" s="265"/>
      <c r="T407" s="264"/>
      <c r="U407" s="264"/>
    </row>
    <row r="408" spans="1:21" ht="12.75">
      <c r="A408" s="259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4"/>
      <c r="M408" s="264"/>
      <c r="N408" s="264"/>
      <c r="O408" s="264"/>
      <c r="P408" s="264"/>
      <c r="Q408" s="264"/>
      <c r="R408" s="264"/>
      <c r="S408" s="265"/>
      <c r="T408" s="264"/>
      <c r="U408" s="264"/>
    </row>
    <row r="409" spans="1:21" ht="12.75">
      <c r="A409" s="259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4"/>
      <c r="M409" s="264"/>
      <c r="N409" s="264"/>
      <c r="O409" s="264"/>
      <c r="P409" s="264"/>
      <c r="Q409" s="264"/>
      <c r="R409" s="264"/>
      <c r="S409" s="265"/>
      <c r="T409" s="264"/>
      <c r="U409" s="264"/>
    </row>
    <row r="410" spans="1:21" ht="12.75">
      <c r="A410" s="259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4"/>
      <c r="M410" s="264"/>
      <c r="N410" s="264"/>
      <c r="O410" s="264"/>
      <c r="P410" s="264"/>
      <c r="Q410" s="264"/>
      <c r="R410" s="264"/>
      <c r="S410" s="265"/>
      <c r="T410" s="264"/>
      <c r="U410" s="264"/>
    </row>
    <row r="411" spans="1:21" ht="12.75">
      <c r="A411" s="360"/>
      <c r="B411" s="360"/>
      <c r="C411" s="360"/>
      <c r="D411" s="360"/>
      <c r="E411" s="360"/>
      <c r="F411" s="360"/>
      <c r="G411" s="361"/>
      <c r="H411" s="361"/>
      <c r="I411" s="362"/>
      <c r="J411" s="362"/>
      <c r="K411" s="363"/>
      <c r="L411" s="363"/>
      <c r="M411" s="363"/>
      <c r="N411" s="363"/>
      <c r="O411" s="363"/>
      <c r="P411" s="363"/>
      <c r="Q411" s="363"/>
      <c r="R411" s="363"/>
      <c r="S411" s="364"/>
      <c r="T411" s="363"/>
      <c r="U411" s="363"/>
    </row>
    <row r="412" spans="1:21" ht="19.5">
      <c r="A412" s="337"/>
      <c r="B412" s="354" t="s">
        <v>158</v>
      </c>
      <c r="C412" s="337"/>
      <c r="D412" s="337"/>
      <c r="E412" s="337"/>
      <c r="F412" s="337"/>
      <c r="G412" s="365"/>
      <c r="H412" s="366" t="s">
        <v>46</v>
      </c>
      <c r="I412" s="331">
        <f t="shared" ref="I412:J412" ca="1" si="312">I423</f>
        <v>0</v>
      </c>
      <c r="J412" s="331">
        <f t="shared" ca="1" si="312"/>
        <v>0</v>
      </c>
      <c r="K412" s="332">
        <f ca="1">IF(I412&gt;0,J412*100/I412,0)</f>
        <v>0</v>
      </c>
      <c r="L412" s="333"/>
      <c r="M412" s="333"/>
      <c r="N412" s="333"/>
      <c r="O412" s="333"/>
      <c r="P412" s="333"/>
      <c r="Q412" s="333"/>
      <c r="R412" s="333"/>
      <c r="S412" s="334"/>
      <c r="T412" s="333"/>
      <c r="U412" s="333"/>
    </row>
    <row r="413" spans="1:21" ht="19.5">
      <c r="A413" s="155"/>
      <c r="B413" s="188"/>
      <c r="C413" s="367" t="s">
        <v>18</v>
      </c>
      <c r="D413" s="527" t="s">
        <v>19</v>
      </c>
      <c r="E413" s="514"/>
      <c r="F413" s="514"/>
      <c r="G413" s="512"/>
      <c r="H413" s="368" t="s">
        <v>14</v>
      </c>
      <c r="I413" s="54"/>
      <c r="J413" s="54"/>
      <c r="K413" s="55"/>
      <c r="L413" s="159">
        <f t="shared" ref="L413:N413" ca="1" si="313">L414+L415</f>
        <v>0</v>
      </c>
      <c r="M413" s="159">
        <f t="shared" ca="1" si="313"/>
        <v>0</v>
      </c>
      <c r="N413" s="159">
        <f t="shared" ca="1" si="313"/>
        <v>0</v>
      </c>
      <c r="O413" s="159">
        <f t="shared" ref="O413:O421" ca="1" si="314">IF(L413&gt;0,N413*100/L413,0)</f>
        <v>0</v>
      </c>
      <c r="P413" s="159">
        <f t="shared" ref="P413:P421" ca="1" si="315">IF(M413&gt;0,N413*100/M413,0)</f>
        <v>0</v>
      </c>
      <c r="Q413" s="159">
        <f t="shared" ref="Q413:S413" ca="1" si="316">Q414+Q415</f>
        <v>0</v>
      </c>
      <c r="R413" s="159">
        <f t="shared" ca="1" si="316"/>
        <v>0</v>
      </c>
      <c r="S413" s="160">
        <f t="shared" ca="1" si="316"/>
        <v>0</v>
      </c>
      <c r="T413" s="159">
        <f t="shared" ref="T413:T421" ca="1" si="317">IF(Q413&gt;0,S413*100/Q413,0)</f>
        <v>0</v>
      </c>
      <c r="U413" s="159">
        <f t="shared" ref="U413:U421" ca="1" si="318">IF(R413&gt;0,S413*100/R413,0)</f>
        <v>0</v>
      </c>
    </row>
    <row r="414" spans="1:21" ht="18.75">
      <c r="A414" s="155"/>
      <c r="B414" s="188"/>
      <c r="C414" s="188"/>
      <c r="D414" s="188"/>
      <c r="E414" s="358" t="s">
        <v>159</v>
      </c>
      <c r="F414" s="188"/>
      <c r="G414" s="208"/>
      <c r="H414" s="204" t="s">
        <v>14</v>
      </c>
      <c r="I414" s="54"/>
      <c r="J414" s="54"/>
      <c r="K414" s="55"/>
      <c r="L414" s="59">
        <f t="shared" ref="L414:N414" ca="1" si="319">L417+L420</f>
        <v>0</v>
      </c>
      <c r="M414" s="59">
        <f t="shared" ca="1" si="319"/>
        <v>0</v>
      </c>
      <c r="N414" s="59">
        <f t="shared" ca="1" si="319"/>
        <v>0</v>
      </c>
      <c r="O414" s="59">
        <f t="shared" ca="1" si="314"/>
        <v>0</v>
      </c>
      <c r="P414" s="59">
        <f t="shared" ca="1" si="315"/>
        <v>0</v>
      </c>
      <c r="Q414" s="59">
        <f t="shared" ref="Q414:S414" ca="1" si="320">Q417+Q420</f>
        <v>0</v>
      </c>
      <c r="R414" s="59">
        <f t="shared" ca="1" si="320"/>
        <v>0</v>
      </c>
      <c r="S414" s="60">
        <f t="shared" ca="1" si="320"/>
        <v>0</v>
      </c>
      <c r="T414" s="59">
        <f t="shared" ca="1" si="317"/>
        <v>0</v>
      </c>
      <c r="U414" s="59">
        <f t="shared" ca="1" si="318"/>
        <v>0</v>
      </c>
    </row>
    <row r="415" spans="1:21" ht="18.75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56">
        <f t="shared" ref="L415:N415" ca="1" si="321">L418+L421</f>
        <v>0</v>
      </c>
      <c r="M415" s="56">
        <f t="shared" ca="1" si="321"/>
        <v>0</v>
      </c>
      <c r="N415" s="56">
        <f t="shared" ca="1" si="321"/>
        <v>0</v>
      </c>
      <c r="O415" s="56">
        <f t="shared" ca="1" si="314"/>
        <v>0</v>
      </c>
      <c r="P415" s="56">
        <f t="shared" ca="1" si="315"/>
        <v>0</v>
      </c>
      <c r="Q415" s="56">
        <f t="shared" ref="Q415:S415" ca="1" si="322">Q418+Q421</f>
        <v>0</v>
      </c>
      <c r="R415" s="56">
        <f t="shared" ca="1" si="322"/>
        <v>0</v>
      </c>
      <c r="S415" s="57">
        <f t="shared" ca="1" si="322"/>
        <v>0</v>
      </c>
      <c r="T415" s="56">
        <f t="shared" ca="1" si="317"/>
        <v>0</v>
      </c>
      <c r="U415" s="56">
        <f t="shared" ca="1" si="318"/>
        <v>0</v>
      </c>
    </row>
    <row r="416" spans="1:21" ht="19.5">
      <c r="A416" s="155"/>
      <c r="B416" s="188"/>
      <c r="C416" s="188"/>
      <c r="D416" s="356" t="s">
        <v>22</v>
      </c>
      <c r="E416" s="188"/>
      <c r="F416" s="188"/>
      <c r="G416" s="208"/>
      <c r="H416" s="368" t="s">
        <v>14</v>
      </c>
      <c r="I416" s="54"/>
      <c r="J416" s="54"/>
      <c r="K416" s="55"/>
      <c r="L416" s="56">
        <f t="shared" ref="L416:N416" ca="1" si="323">L417+L418</f>
        <v>0</v>
      </c>
      <c r="M416" s="56">
        <f t="shared" ca="1" si="323"/>
        <v>0</v>
      </c>
      <c r="N416" s="56">
        <f t="shared" ca="1" si="323"/>
        <v>0</v>
      </c>
      <c r="O416" s="56">
        <f t="shared" ca="1" si="314"/>
        <v>0</v>
      </c>
      <c r="P416" s="56">
        <f t="shared" ca="1" si="315"/>
        <v>0</v>
      </c>
      <c r="Q416" s="56">
        <f t="shared" ref="Q416:S416" ca="1" si="324">Q417+Q418</f>
        <v>0</v>
      </c>
      <c r="R416" s="56">
        <f t="shared" ca="1" si="324"/>
        <v>0</v>
      </c>
      <c r="S416" s="57">
        <f t="shared" ca="1" si="324"/>
        <v>0</v>
      </c>
      <c r="T416" s="56">
        <f t="shared" ca="1" si="317"/>
        <v>0</v>
      </c>
      <c r="U416" s="56">
        <f t="shared" ca="1" si="318"/>
        <v>0</v>
      </c>
    </row>
    <row r="417" spans="1:21" ht="18.75">
      <c r="A417" s="155"/>
      <c r="B417" s="188"/>
      <c r="C417" s="188"/>
      <c r="D417" s="188"/>
      <c r="E417" s="358" t="s">
        <v>159</v>
      </c>
      <c r="F417" s="188"/>
      <c r="G417" s="208"/>
      <c r="H417" s="204" t="s">
        <v>14</v>
      </c>
      <c r="I417" s="54"/>
      <c r="J417" s="54"/>
      <c r="K417" s="55"/>
      <c r="L417" s="59">
        <f ca="1">IFERROR(__xludf.DUMMYFUNCTION("IMPORTRANGE(""https://docs.google.com/spreadsheets/d/1yhBcrRPreicbMKl9Bu_Snb2-OcQAF62RKfhTLhJ2eAA/edit?usp=sharing"",""กาฬสินธุ์!L417"")+IMPORTRANGE(""https://docs.google.com/spreadsheets/d/1aHkj4IaQMThhwWwevcOymEh837vdxeC_PycurhTbGFA/edit?usp=sharing"","&amp;"""ขอนแก่น!L417"")+IMPORTRANGE(""https://docs.google.com/spreadsheets/d/1FvTu2DsIWUjP6WCWra38Bkj_oOl_sOMf14r5Fg5srxU/edit?usp=sharing"",""ชัยภูมิ!L417"")+IMPORTRANGE(""https://docs.google.com/spreadsheets/d/1XVB7oCJ3pr-vBUdflwPQ8Z2LlzhnCvZaaYjAfP-647E/edit"&amp;"?usp=sharing"",""นครพนม!L417"")+IMPORTRANGE(""https://docs.google.com/spreadsheets/d/1Mnpb-8PYAgn85W6KOTD40hc_Xc55CaLfHoGAbrZ8tls/edit?usp=sharing"",""นครราชสีมา!L417"")+IMPORTRANGE(""https://docs.google.com/spreadsheets/d/1xoDLGBv9CYbyosIhki0kTq6IpYNj-gp"&amp;"jxfobnaDiut0/edit?usp=sharing"",""บึงกาฬ!L417"")+IMPORTRANGE(""https://docs.google.com/spreadsheets/d/1MMPq-JyI6DSgQETxuSiXkesP-P7JHuemnE6QJIa-Nlw/edit?usp=sharing"",""บุรีรัมย์!L417"")+IMPORTRANGE(""https://docs.google.com/spreadsheets/d/1l6IZ8xUPgMrESzc"&amp;"TYwhA1k_tPjeQjJPTqlm8Gd9eU5g/edit?usp=sharing"",""มหาสารคาม!L417"")+IMPORTRANGE(""https://docs.google.com/spreadsheets/d/1uB74YLqNjWX6FObjekfB2NtSYigTQyR2rq9u4Ub2Sq4/edit?usp=sharing"",""มุกดาหาร!L417"")+IMPORTRANGE(""https://docs.google.com/spreadsheets/"&amp;"d/1NexK3geCPxCTO1fzNF8dPec7yZyUx3OaWkFBC9HsQOo/edit?usp=sharing"",""ยโสธร!L417"")+IMPORTRANGE(""https://docs.google.com/spreadsheets/d/1v_cJrbBlyqmnHPReHk44g9NrMRdENNlSy_E_c5M9fIg/edit?usp=sharing"",""ร้อยเอ็ด!L417"")+IMPORTRANGE(""https://docs.google.com"&amp;"/spreadsheets/d/1Ul4RCpCX66NxYADU1QpwAPjOmBzW64SsT11s1wzXw_c/edit?usp=sharing"",""เลย!L417"")+IMPORTRANGE(""https://docs.google.com/spreadsheets/d/1bRrNKwbHDVktQG10isr5vbWRtt5spIZPpkOSWgbT5ug/edit?usp=sharing"",""ศรีสะเกษ!L417"")+IMPORTRANGE(""https://doc"&amp;"s.google.com/spreadsheets/d/17P34_Ow5kFBfdQD0qspb2UuPX5zpi6WMrQzslghyvrI/edit?usp=sharing"",""สกลนคร!L417"")+IMPORTRANGE(""https://docs.google.com/spreadsheets/d/1yswqbM3-AEpThF3ZSUa1AcmHnmRTF1vlJ1CZGcJ8YuU/edit?usp=sharing"",""สุรินทร์!L417"")+IMPORTRANG"&amp;"E(""https://docs.google.com/spreadsheets/d/13JHU_EFbsQOUQ0JSQ3dWy1VTRosIWcDq6Nc99z2qzdc/edit?usp=sharing"",""หนองคาย!L417"")+IMPORTRANGE(""https://docs.google.com/spreadsheets/d/1Hx73zIEgVdDZZaYSTc46Dqv64atFhpr3GelxLbaIN8A/edit?usp=sharing"",""หนองบัวลำภู"&amp;"!L417"")+IMPORTRANGE(""https://docs.google.com/spreadsheets/d/1lFxr3ctmjFN90yc-xV6jrQ9Ty8BKYVBWnAZ15wcNIJc/edit?usp=sharing"",""อำนาจเจริญ!L417"")+IMPORTRANGE(""https://docs.google.com/spreadsheets/d/1gF7RJpRnL-1oyjyeWxs5SFWEH7y8ahOZsQlyp2A2e-A/edit?usp=s"&amp;"haring"",""อุดรธานี!L417"")+IMPORTRANGE(""https://docs.google.com/spreadsheets/d/1kfLP0j3INXRa8bTDpcEmoWewMBV61jlFlfzczfjWIgc/edit?usp=sharing"",""อุบลราชธานี!L417"")"),0)</f>
        <v>0</v>
      </c>
      <c r="M417" s="59">
        <f ca="1">IFERROR(__xludf.DUMMYFUNCTION("IMPORTRANGE(""https://docs.google.com/spreadsheets/d/1yhBcrRPreicbMKl9Bu_Snb2-OcQAF62RKfhTLhJ2eAA/edit?usp=sharing"",""กาฬสินธุ์!M417"")+IMPORTRANGE(""https://docs.google.com/spreadsheets/d/1aHkj4IaQMThhwWwevcOymEh837vdxeC_PycurhTbGFA/edit?usp=sharing"","&amp;"""ขอนแก่น!M417"")+IMPORTRANGE(""https://docs.google.com/spreadsheets/d/1FvTu2DsIWUjP6WCWra38Bkj_oOl_sOMf14r5Fg5srxU/edit?usp=sharing"",""ชัยภูมิ!M417"")+IMPORTRANGE(""https://docs.google.com/spreadsheets/d/1XVB7oCJ3pr-vBUdflwPQ8Z2LlzhnCvZaaYjAfP-647E/edit"&amp;"?usp=sharing"",""นครพนม!M417"")+IMPORTRANGE(""https://docs.google.com/spreadsheets/d/1Mnpb-8PYAgn85W6KOTD40hc_Xc55CaLfHoGAbrZ8tls/edit?usp=sharing"",""นครราชสีมา!M417"")+IMPORTRANGE(""https://docs.google.com/spreadsheets/d/1xoDLGBv9CYbyosIhki0kTq6IpYNj-gp"&amp;"jxfobnaDiut0/edit?usp=sharing"",""บึงกาฬ!M417"")+IMPORTRANGE(""https://docs.google.com/spreadsheets/d/1MMPq-JyI6DSgQETxuSiXkesP-P7JHuemnE6QJIa-Nlw/edit?usp=sharing"",""บุรีรัมย์!M417"")+IMPORTRANGE(""https://docs.google.com/spreadsheets/d/1l6IZ8xUPgMrESzc"&amp;"TYwhA1k_tPjeQjJPTqlm8Gd9eU5g/edit?usp=sharing"",""มหาสารคาม!M417"")+IMPORTRANGE(""https://docs.google.com/spreadsheets/d/1uB74YLqNjWX6FObjekfB2NtSYigTQyR2rq9u4Ub2Sq4/edit?usp=sharing"",""มุกดาหาร!M417"")+IMPORTRANGE(""https://docs.google.com/spreadsheets/"&amp;"d/1NexK3geCPxCTO1fzNF8dPec7yZyUx3OaWkFBC9HsQOo/edit?usp=sharing"",""ยโสธร!M417"")+IMPORTRANGE(""https://docs.google.com/spreadsheets/d/1v_cJrbBlyqmnHPReHk44g9NrMRdENNlSy_E_c5M9fIg/edit?usp=sharing"",""ร้อยเอ็ด!M417"")+IMPORTRANGE(""https://docs.google.com"&amp;"/spreadsheets/d/1Ul4RCpCX66NxYADU1QpwAPjOmBzW64SsT11s1wzXw_c/edit?usp=sharing"",""เลย!M417"")+IMPORTRANGE(""https://docs.google.com/spreadsheets/d/1bRrNKwbHDVktQG10isr5vbWRtt5spIZPpkOSWgbT5ug/edit?usp=sharing"",""ศรีสะเกษ!M417"")+IMPORTRANGE(""https://doc"&amp;"s.google.com/spreadsheets/d/17P34_Ow5kFBfdQD0qspb2UuPX5zpi6WMrQzslghyvrI/edit?usp=sharing"",""สกลนคร!M417"")+IMPORTRANGE(""https://docs.google.com/spreadsheets/d/1yswqbM3-AEpThF3ZSUa1AcmHnmRTF1vlJ1CZGcJ8YuU/edit?usp=sharing"",""สุรินทร์!M417"")+IMPORTRANG"&amp;"E(""https://docs.google.com/spreadsheets/d/13JHU_EFbsQOUQ0JSQ3dWy1VTRosIWcDq6Nc99z2qzdc/edit?usp=sharing"",""หนองคาย!M417"")+IMPORTRANGE(""https://docs.google.com/spreadsheets/d/1Hx73zIEgVdDZZaYSTc46Dqv64atFhpr3GelxLbaIN8A/edit?usp=sharing"",""หนองบัวลำภู"&amp;"!M417"")+IMPORTRANGE(""https://docs.google.com/spreadsheets/d/1lFxr3ctmjFN90yc-xV6jrQ9Ty8BKYVBWnAZ15wcNIJc/edit?usp=sharing"",""อำนาจเจริญ!M417"")+IMPORTRANGE(""https://docs.google.com/spreadsheets/d/1gF7RJpRnL-1oyjyeWxs5SFWEH7y8ahOZsQlyp2A2e-A/edit?usp=s"&amp;"haring"",""อุดรธานี!M417"")+IMPORTRANGE(""https://docs.google.com/spreadsheets/d/1kfLP0j3INXRa8bTDpcEmoWewMBV61jlFlfzczfjWIgc/edit?usp=sharing"",""อุบลราชธานี!M417"")"),0)</f>
        <v>0</v>
      </c>
      <c r="N417" s="59">
        <f ca="1">IFERROR(__xludf.DUMMYFUNCTION("IMPORTRANGE(""https://docs.google.com/spreadsheets/d/1yhBcrRPreicbMKl9Bu_Snb2-OcQAF62RKfhTLhJ2eAA/edit?usp=sharing"",""กาฬสินธุ์!N417"")+IMPORTRANGE(""https://docs.google.com/spreadsheets/d/1aHkj4IaQMThhwWwevcOymEh837vdxeC_PycurhTbGFA/edit?usp=sharing"","&amp;"""ขอนแก่น!N417"")+IMPORTRANGE(""https://docs.google.com/spreadsheets/d/1FvTu2DsIWUjP6WCWra38Bkj_oOl_sOMf14r5Fg5srxU/edit?usp=sharing"",""ชัยภูมิ!N417"")+IMPORTRANGE(""https://docs.google.com/spreadsheets/d/1XVB7oCJ3pr-vBUdflwPQ8Z2LlzhnCvZaaYjAfP-647E/edit"&amp;"?usp=sharing"",""นครพนม!N417"")+IMPORTRANGE(""https://docs.google.com/spreadsheets/d/1Mnpb-8PYAgn85W6KOTD40hc_Xc55CaLfHoGAbrZ8tls/edit?usp=sharing"",""นครราชสีมา!N417"")+IMPORTRANGE(""https://docs.google.com/spreadsheets/d/1xoDLGBv9CYbyosIhki0kTq6IpYNj-gp"&amp;"jxfobnaDiut0/edit?usp=sharing"",""บึงกาฬ!N417"")+IMPORTRANGE(""https://docs.google.com/spreadsheets/d/1MMPq-JyI6DSgQETxuSiXkesP-P7JHuemnE6QJIa-Nlw/edit?usp=sharing"",""บุรีรัมย์!N417"")+IMPORTRANGE(""https://docs.google.com/spreadsheets/d/1l6IZ8xUPgMrESzc"&amp;"TYwhA1k_tPjeQjJPTqlm8Gd9eU5g/edit?usp=sharing"",""มหาสารคาม!N417"")+IMPORTRANGE(""https://docs.google.com/spreadsheets/d/1uB74YLqNjWX6FObjekfB2NtSYigTQyR2rq9u4Ub2Sq4/edit?usp=sharing"",""มุกดาหาร!N417"")+IMPORTRANGE(""https://docs.google.com/spreadsheets/"&amp;"d/1NexK3geCPxCTO1fzNF8dPec7yZyUx3OaWkFBC9HsQOo/edit?usp=sharing"",""ยโสธร!N417"")+IMPORTRANGE(""https://docs.google.com/spreadsheets/d/1v_cJrbBlyqmnHPReHk44g9NrMRdENNlSy_E_c5M9fIg/edit?usp=sharing"",""ร้อยเอ็ด!N417"")+IMPORTRANGE(""https://docs.google.com"&amp;"/spreadsheets/d/1Ul4RCpCX66NxYADU1QpwAPjOmBzW64SsT11s1wzXw_c/edit?usp=sharing"",""เลย!N417"")+IMPORTRANGE(""https://docs.google.com/spreadsheets/d/1bRrNKwbHDVktQG10isr5vbWRtt5spIZPpkOSWgbT5ug/edit?usp=sharing"",""ศรีสะเกษ!N417"")+IMPORTRANGE(""https://doc"&amp;"s.google.com/spreadsheets/d/17P34_Ow5kFBfdQD0qspb2UuPX5zpi6WMrQzslghyvrI/edit?usp=sharing"",""สกลนคร!N417"")+IMPORTRANGE(""https://docs.google.com/spreadsheets/d/1yswqbM3-AEpThF3ZSUa1AcmHnmRTF1vlJ1CZGcJ8YuU/edit?usp=sharing"",""สุรินทร์!N417"")+IMPORTRANG"&amp;"E(""https://docs.google.com/spreadsheets/d/13JHU_EFbsQOUQ0JSQ3dWy1VTRosIWcDq6Nc99z2qzdc/edit?usp=sharing"",""หนองคาย!N417"")+IMPORTRANGE(""https://docs.google.com/spreadsheets/d/1Hx73zIEgVdDZZaYSTc46Dqv64atFhpr3GelxLbaIN8A/edit?usp=sharing"",""หนองบัวลำภู"&amp;"!N417"")+IMPORTRANGE(""https://docs.google.com/spreadsheets/d/1lFxr3ctmjFN90yc-xV6jrQ9Ty8BKYVBWnAZ15wcNIJc/edit?usp=sharing"",""อำนาจเจริญ!N417"")+IMPORTRANGE(""https://docs.google.com/spreadsheets/d/1gF7RJpRnL-1oyjyeWxs5SFWEH7y8ahOZsQlyp2A2e-A/edit?usp=s"&amp;"haring"",""อุดรธานี!N417"")+IMPORTRANGE(""https://docs.google.com/spreadsheets/d/1kfLP0j3INXRa8bTDpcEmoWewMBV61jlFlfzczfjWIgc/edit?usp=sharing"",""อุบลราชธานี!N417"")"),0)</f>
        <v>0</v>
      </c>
      <c r="O417" s="59">
        <f t="shared" ca="1" si="314"/>
        <v>0</v>
      </c>
      <c r="P417" s="59">
        <f t="shared" ca="1" si="315"/>
        <v>0</v>
      </c>
      <c r="Q417" s="59">
        <f ca="1">IFERROR(__xludf.DUMMYFUNCTION("IMPORTRANGE(""https://docs.google.com/spreadsheets/d/1yhBcrRPreicbMKl9Bu_Snb2-OcQAF62RKfhTLhJ2eAA/edit?usp=sharing"",""กาฬสินธุ์!Q417"")+IMPORTRANGE(""https://docs.google.com/spreadsheets/d/1aHkj4IaQMThhwWwevcOymEh837vdxeC_PycurhTbGFA/edit?usp=sharing"","&amp;"""ขอนแก่น!Q417"")+IMPORTRANGE(""https://docs.google.com/spreadsheets/d/1FvTu2DsIWUjP6WCWra38Bkj_oOl_sOMf14r5Fg5srxU/edit?usp=sharing"",""ชัยภูมิ!Q417"")+IMPORTRANGE(""https://docs.google.com/spreadsheets/d/1XVB7oCJ3pr-vBUdflwPQ8Z2LlzhnCvZaaYjAfP-647E/edit"&amp;"?usp=sharing"",""นครพนม!Q417"")+IMPORTRANGE(""https://docs.google.com/spreadsheets/d/1Mnpb-8PYAgn85W6KOTD40hc_Xc55CaLfHoGAbrZ8tls/edit?usp=sharing"",""นครราชสีมา!Q417"")+IMPORTRANGE(""https://docs.google.com/spreadsheets/d/1xoDLGBv9CYbyosIhki0kTq6IpYNj-gp"&amp;"jxfobnaDiut0/edit?usp=sharing"",""บึงกาฬ!Q417"")+IMPORTRANGE(""https://docs.google.com/spreadsheets/d/1MMPq-JyI6DSgQETxuSiXkesP-P7JHuemnE6QJIa-Nlw/edit?usp=sharing"",""บุรีรัมย์!Q417"")+IMPORTRANGE(""https://docs.google.com/spreadsheets/d/1l6IZ8xUPgMrESzc"&amp;"TYwhA1k_tPjeQjJPTqlm8Gd9eU5g/edit?usp=sharing"",""มหาสารคาม!Q417"")+IMPORTRANGE(""https://docs.google.com/spreadsheets/d/1uB74YLqNjWX6FObjekfB2NtSYigTQyR2rq9u4Ub2Sq4/edit?usp=sharing"",""มุกดาหาร!Q417"")+IMPORTRANGE(""https://docs.google.com/spreadsheets/"&amp;"d/1NexK3geCPxCTO1fzNF8dPec7yZyUx3OaWkFBC9HsQOo/edit?usp=sharing"",""ยโสธร!Q417"")+IMPORTRANGE(""https://docs.google.com/spreadsheets/d/1v_cJrbBlyqmnHPReHk44g9NrMRdENNlSy_E_c5M9fIg/edit?usp=sharing"",""ร้อยเอ็ด!Q417"")+IMPORTRANGE(""https://docs.google.com"&amp;"/spreadsheets/d/1Ul4RCpCX66NxYADU1QpwAPjOmBzW64SsT11s1wzXw_c/edit?usp=sharing"",""เลย!Q417"")+IMPORTRANGE(""https://docs.google.com/spreadsheets/d/1bRrNKwbHDVktQG10isr5vbWRtt5spIZPpkOSWgbT5ug/edit?usp=sharing"",""ศรีสะเกษ!Q417"")+IMPORTRANGE(""https://doc"&amp;"s.google.com/spreadsheets/d/17P34_Ow5kFBfdQD0qspb2UuPX5zpi6WMrQzslghyvrI/edit?usp=sharing"",""สกลนคร!Q417"")+IMPORTRANGE(""https://docs.google.com/spreadsheets/d/1yswqbM3-AEpThF3ZSUa1AcmHnmRTF1vlJ1CZGcJ8YuU/edit?usp=sharing"",""สุรินทร์!Q417"")+IMPORTRANG"&amp;"E(""https://docs.google.com/spreadsheets/d/13JHU_EFbsQOUQ0JSQ3dWy1VTRosIWcDq6Nc99z2qzdc/edit?usp=sharing"",""หนองคาย!Q417"")+IMPORTRANGE(""https://docs.google.com/spreadsheets/d/1Hx73zIEgVdDZZaYSTc46Dqv64atFhpr3GelxLbaIN8A/edit?usp=sharing"",""หนองบัวลำภู"&amp;"!Q417"")+IMPORTRANGE(""https://docs.google.com/spreadsheets/d/1lFxr3ctmjFN90yc-xV6jrQ9Ty8BKYVBWnAZ15wcNIJc/edit?usp=sharing"",""อำนาจเจริญ!Q417"")+IMPORTRANGE(""https://docs.google.com/spreadsheets/d/1gF7RJpRnL-1oyjyeWxs5SFWEH7y8ahOZsQlyp2A2e-A/edit?usp=s"&amp;"haring"",""อุดรธานี!Q417"")+IMPORTRANGE(""https://docs.google.com/spreadsheets/d/1kfLP0j3INXRa8bTDpcEmoWewMBV61jlFlfzczfjWIgc/edit?usp=sharing"",""อุบลราชธานี!Q417"")"),0)</f>
        <v>0</v>
      </c>
      <c r="R417" s="59">
        <f ca="1">IFERROR(__xludf.DUMMYFUNCTION("IMPORTRANGE(""https://docs.google.com/spreadsheets/d/1yhBcrRPreicbMKl9Bu_Snb2-OcQAF62RKfhTLhJ2eAA/edit?usp=sharing"",""กาฬสินธุ์!R417"")+IMPORTRANGE(""https://docs.google.com/spreadsheets/d/1aHkj4IaQMThhwWwevcOymEh837vdxeC_PycurhTbGFA/edit?usp=sharing"","&amp;"""ขอนแก่น!R417"")+IMPORTRANGE(""https://docs.google.com/spreadsheets/d/1FvTu2DsIWUjP6WCWra38Bkj_oOl_sOMf14r5Fg5srxU/edit?usp=sharing"",""ชัยภูมิ!R417"")+IMPORTRANGE(""https://docs.google.com/spreadsheets/d/1XVB7oCJ3pr-vBUdflwPQ8Z2LlzhnCvZaaYjAfP-647E/edit"&amp;"?usp=sharing"",""นครพนม!R417"")+IMPORTRANGE(""https://docs.google.com/spreadsheets/d/1Mnpb-8PYAgn85W6KOTD40hc_Xc55CaLfHoGAbrZ8tls/edit?usp=sharing"",""นครราชสีมา!R417"")+IMPORTRANGE(""https://docs.google.com/spreadsheets/d/1xoDLGBv9CYbyosIhki0kTq6IpYNj-gp"&amp;"jxfobnaDiut0/edit?usp=sharing"",""บึงกาฬ!R417"")+IMPORTRANGE(""https://docs.google.com/spreadsheets/d/1MMPq-JyI6DSgQETxuSiXkesP-P7JHuemnE6QJIa-Nlw/edit?usp=sharing"",""บุรีรัมย์!R417"")+IMPORTRANGE(""https://docs.google.com/spreadsheets/d/1l6IZ8xUPgMrESzc"&amp;"TYwhA1k_tPjeQjJPTqlm8Gd9eU5g/edit?usp=sharing"",""มหาสารคาม!R417"")+IMPORTRANGE(""https://docs.google.com/spreadsheets/d/1uB74YLqNjWX6FObjekfB2NtSYigTQyR2rq9u4Ub2Sq4/edit?usp=sharing"",""มุกดาหาร!R417"")+IMPORTRANGE(""https://docs.google.com/spreadsheets/"&amp;"d/1NexK3geCPxCTO1fzNF8dPec7yZyUx3OaWkFBC9HsQOo/edit?usp=sharing"",""ยโสธร!R417"")+IMPORTRANGE(""https://docs.google.com/spreadsheets/d/1v_cJrbBlyqmnHPReHk44g9NrMRdENNlSy_E_c5M9fIg/edit?usp=sharing"",""ร้อยเอ็ด!R417"")+IMPORTRANGE(""https://docs.google.com"&amp;"/spreadsheets/d/1Ul4RCpCX66NxYADU1QpwAPjOmBzW64SsT11s1wzXw_c/edit?usp=sharing"",""เลย!R417"")+IMPORTRANGE(""https://docs.google.com/spreadsheets/d/1bRrNKwbHDVktQG10isr5vbWRtt5spIZPpkOSWgbT5ug/edit?usp=sharing"",""ศรีสะเกษ!R417"")+IMPORTRANGE(""https://doc"&amp;"s.google.com/spreadsheets/d/17P34_Ow5kFBfdQD0qspb2UuPX5zpi6WMrQzslghyvrI/edit?usp=sharing"",""สกลนคร!R417"")+IMPORTRANGE(""https://docs.google.com/spreadsheets/d/1yswqbM3-AEpThF3ZSUa1AcmHnmRTF1vlJ1CZGcJ8YuU/edit?usp=sharing"",""สุรินทร์!R417"")+IMPORTRANG"&amp;"E(""https://docs.google.com/spreadsheets/d/13JHU_EFbsQOUQ0JSQ3dWy1VTRosIWcDq6Nc99z2qzdc/edit?usp=sharing"",""หนองคาย!R417"")+IMPORTRANGE(""https://docs.google.com/spreadsheets/d/1Hx73zIEgVdDZZaYSTc46Dqv64atFhpr3GelxLbaIN8A/edit?usp=sharing"",""หนองบัวลำภู"&amp;"!R417"")+IMPORTRANGE(""https://docs.google.com/spreadsheets/d/1lFxr3ctmjFN90yc-xV6jrQ9Ty8BKYVBWnAZ15wcNIJc/edit?usp=sharing"",""อำนาจเจริญ!R417"")+IMPORTRANGE(""https://docs.google.com/spreadsheets/d/1gF7RJpRnL-1oyjyeWxs5SFWEH7y8ahOZsQlyp2A2e-A/edit?usp=s"&amp;"haring"",""อุดรธานี!R417"")+IMPORTRANGE(""https://docs.google.com/spreadsheets/d/1kfLP0j3INXRa8bTDpcEmoWewMBV61jlFlfzczfjWIgc/edit?usp=sharing"",""อุบลราชธานี!R417"")"),0)</f>
        <v>0</v>
      </c>
      <c r="S417" s="60">
        <f ca="1">IFERROR(__xludf.DUMMYFUNCTION("IMPORTRANGE(""https://docs.google.com/spreadsheets/d/1yhBcrRPreicbMKl9Bu_Snb2-OcQAF62RKfhTLhJ2eAA/edit?usp=sharing"",""กาฬสินธุ์!S417"")+IMPORTRANGE(""https://docs.google.com/spreadsheets/d/1aHkj4IaQMThhwWwevcOymEh837vdxeC_PycurhTbGFA/edit?usp=sharing"","&amp;"""ขอนแก่น!S417"")+IMPORTRANGE(""https://docs.google.com/spreadsheets/d/1FvTu2DsIWUjP6WCWra38Bkj_oOl_sOMf14r5Fg5srxU/edit?usp=sharing"",""ชัยภูมิ!S417"")+IMPORTRANGE(""https://docs.google.com/spreadsheets/d/1XVB7oCJ3pr-vBUdflwPQ8Z2LlzhnCvZaaYjAfP-647E/edit"&amp;"?usp=sharing"",""นครพนม!S417"")+IMPORTRANGE(""https://docs.google.com/spreadsheets/d/1Mnpb-8PYAgn85W6KOTD40hc_Xc55CaLfHoGAbrZ8tls/edit?usp=sharing"",""นครราชสีมา!S417"")+IMPORTRANGE(""https://docs.google.com/spreadsheets/d/1xoDLGBv9CYbyosIhki0kTq6IpYNj-gp"&amp;"jxfobnaDiut0/edit?usp=sharing"",""บึงกาฬ!S417"")+IMPORTRANGE(""https://docs.google.com/spreadsheets/d/1MMPq-JyI6DSgQETxuSiXkesP-P7JHuemnE6QJIa-Nlw/edit?usp=sharing"",""บุรีรัมย์!S417"")+IMPORTRANGE(""https://docs.google.com/spreadsheets/d/1l6IZ8xUPgMrESzc"&amp;"TYwhA1k_tPjeQjJPTqlm8Gd9eU5g/edit?usp=sharing"",""มหาสารคาม!S417"")+IMPORTRANGE(""https://docs.google.com/spreadsheets/d/1uB74YLqNjWX6FObjekfB2NtSYigTQyR2rq9u4Ub2Sq4/edit?usp=sharing"",""มุกดาหาร!S417"")+IMPORTRANGE(""https://docs.google.com/spreadsheets/"&amp;"d/1NexK3geCPxCTO1fzNF8dPec7yZyUx3OaWkFBC9HsQOo/edit?usp=sharing"",""ยโสธร!S417"")+IMPORTRANGE(""https://docs.google.com/spreadsheets/d/1v_cJrbBlyqmnHPReHk44g9NrMRdENNlSy_E_c5M9fIg/edit?usp=sharing"",""ร้อยเอ็ด!S417"")+IMPORTRANGE(""https://docs.google.com"&amp;"/spreadsheets/d/1Ul4RCpCX66NxYADU1QpwAPjOmBzW64SsT11s1wzXw_c/edit?usp=sharing"",""เลย!S417"")+IMPORTRANGE(""https://docs.google.com/spreadsheets/d/1bRrNKwbHDVktQG10isr5vbWRtt5spIZPpkOSWgbT5ug/edit?usp=sharing"",""ศรีสะเกษ!S417"")+IMPORTRANGE(""https://doc"&amp;"s.google.com/spreadsheets/d/17P34_Ow5kFBfdQD0qspb2UuPX5zpi6WMrQzslghyvrI/edit?usp=sharing"",""สกลนคร!S417"")+IMPORTRANGE(""https://docs.google.com/spreadsheets/d/1yswqbM3-AEpThF3ZSUa1AcmHnmRTF1vlJ1CZGcJ8YuU/edit?usp=sharing"",""สุรินทร์!S417"")+IMPORTRANG"&amp;"E(""https://docs.google.com/spreadsheets/d/13JHU_EFbsQOUQ0JSQ3dWy1VTRosIWcDq6Nc99z2qzdc/edit?usp=sharing"",""หนองคาย!S417"")+IMPORTRANGE(""https://docs.google.com/spreadsheets/d/1Hx73zIEgVdDZZaYSTc46Dqv64atFhpr3GelxLbaIN8A/edit?usp=sharing"",""หนองบัวลำภู"&amp;"!S417"")+IMPORTRANGE(""https://docs.google.com/spreadsheets/d/1lFxr3ctmjFN90yc-xV6jrQ9Ty8BKYVBWnAZ15wcNIJc/edit?usp=sharing"",""อำนาจเจริญ!S417"")+IMPORTRANGE(""https://docs.google.com/spreadsheets/d/1gF7RJpRnL-1oyjyeWxs5SFWEH7y8ahOZsQlyp2A2e-A/edit?usp=s"&amp;"haring"",""อุดรธานี!S417"")+IMPORTRANGE(""https://docs.google.com/spreadsheets/d/1kfLP0j3INXRa8bTDpcEmoWewMBV61jlFlfzczfjWIgc/edit?usp=sharing"",""อุบลราชธานี!S417"")"),0)</f>
        <v>0</v>
      </c>
      <c r="T417" s="59">
        <f t="shared" ca="1" si="317"/>
        <v>0</v>
      </c>
      <c r="U417" s="59">
        <f t="shared" ca="1" si="318"/>
        <v>0</v>
      </c>
    </row>
    <row r="418" spans="1:21" ht="18.75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56">
        <f ca="1">IFERROR(__xludf.DUMMYFUNCTION("IMPORTRANGE(""https://docs.google.com/spreadsheets/d/1yhBcrRPreicbMKl9Bu_Snb2-OcQAF62RKfhTLhJ2eAA/edit?usp=sharing"",""กาฬสินธุ์!L418"")+IMPORTRANGE(""https://docs.google.com/spreadsheets/d/1aHkj4IaQMThhwWwevcOymEh837vdxeC_PycurhTbGFA/edit?usp=sharing"","&amp;"""ขอนแก่น!L418"")+IMPORTRANGE(""https://docs.google.com/spreadsheets/d/1FvTu2DsIWUjP6WCWra38Bkj_oOl_sOMf14r5Fg5srxU/edit?usp=sharing"",""ชัยภูมิ!L418"")+IMPORTRANGE(""https://docs.google.com/spreadsheets/d/1XVB7oCJ3pr-vBUdflwPQ8Z2LlzhnCvZaaYjAfP-647E/edit"&amp;"?usp=sharing"",""นครพนม!L418"")+IMPORTRANGE(""https://docs.google.com/spreadsheets/d/1Mnpb-8PYAgn85W6KOTD40hc_Xc55CaLfHoGAbrZ8tls/edit?usp=sharing"",""นครราชสีมา!L418"")+IMPORTRANGE(""https://docs.google.com/spreadsheets/d/1xoDLGBv9CYbyosIhki0kTq6IpYNj-gp"&amp;"jxfobnaDiut0/edit?usp=sharing"",""บึงกาฬ!L418"")+IMPORTRANGE(""https://docs.google.com/spreadsheets/d/1MMPq-JyI6DSgQETxuSiXkesP-P7JHuemnE6QJIa-Nlw/edit?usp=sharing"",""บุรีรัมย์!L418"")+IMPORTRANGE(""https://docs.google.com/spreadsheets/d/1l6IZ8xUPgMrESzc"&amp;"TYwhA1k_tPjeQjJPTqlm8Gd9eU5g/edit?usp=sharing"",""มหาสารคาม!L418"")+IMPORTRANGE(""https://docs.google.com/spreadsheets/d/1uB74YLqNjWX6FObjekfB2NtSYigTQyR2rq9u4Ub2Sq4/edit?usp=sharing"",""มุกดาหาร!L418"")+IMPORTRANGE(""https://docs.google.com/spreadsheets/"&amp;"d/1NexK3geCPxCTO1fzNF8dPec7yZyUx3OaWkFBC9HsQOo/edit?usp=sharing"",""ยโสธร!L418"")+IMPORTRANGE(""https://docs.google.com/spreadsheets/d/1v_cJrbBlyqmnHPReHk44g9NrMRdENNlSy_E_c5M9fIg/edit?usp=sharing"",""ร้อยเอ็ด!L418"")+IMPORTRANGE(""https://docs.google.com"&amp;"/spreadsheets/d/1Ul4RCpCX66NxYADU1QpwAPjOmBzW64SsT11s1wzXw_c/edit?usp=sharing"",""เลย!L418"")+IMPORTRANGE(""https://docs.google.com/spreadsheets/d/1bRrNKwbHDVktQG10isr5vbWRtt5spIZPpkOSWgbT5ug/edit?usp=sharing"",""ศรีสะเกษ!L418"")+IMPORTRANGE(""https://doc"&amp;"s.google.com/spreadsheets/d/17P34_Ow5kFBfdQD0qspb2UuPX5zpi6WMrQzslghyvrI/edit?usp=sharing"",""สกลนคร!L418"")+IMPORTRANGE(""https://docs.google.com/spreadsheets/d/1yswqbM3-AEpThF3ZSUa1AcmHnmRTF1vlJ1CZGcJ8YuU/edit?usp=sharing"",""สุรินทร์!L418"")+IMPORTRANG"&amp;"E(""https://docs.google.com/spreadsheets/d/13JHU_EFbsQOUQ0JSQ3dWy1VTRosIWcDq6Nc99z2qzdc/edit?usp=sharing"",""หนองคาย!L418"")+IMPORTRANGE(""https://docs.google.com/spreadsheets/d/1Hx73zIEgVdDZZaYSTc46Dqv64atFhpr3GelxLbaIN8A/edit?usp=sharing"",""หนองบัวลำภู"&amp;"!L418"")+IMPORTRANGE(""https://docs.google.com/spreadsheets/d/1lFxr3ctmjFN90yc-xV6jrQ9Ty8BKYVBWnAZ15wcNIJc/edit?usp=sharing"",""อำนาจเจริญ!L418"")+IMPORTRANGE(""https://docs.google.com/spreadsheets/d/1gF7RJpRnL-1oyjyeWxs5SFWEH7y8ahOZsQlyp2A2e-A/edit?usp=s"&amp;"haring"",""อุดรธานี!L418"")+IMPORTRANGE(""https://docs.google.com/spreadsheets/d/1kfLP0j3INXRa8bTDpcEmoWewMBV61jlFlfzczfjWIgc/edit?usp=sharing"",""อุบลราชธานี!L418"")"),0)</f>
        <v>0</v>
      </c>
      <c r="M418" s="56">
        <f ca="1">IFERROR(__xludf.DUMMYFUNCTION("IMPORTRANGE(""https://docs.google.com/spreadsheets/d/1yhBcrRPreicbMKl9Bu_Snb2-OcQAF62RKfhTLhJ2eAA/edit?usp=sharing"",""กาฬสินธุ์!M418"")+IMPORTRANGE(""https://docs.google.com/spreadsheets/d/1aHkj4IaQMThhwWwevcOymEh837vdxeC_PycurhTbGFA/edit?usp=sharing"","&amp;"""ขอนแก่น!M418"")+IMPORTRANGE(""https://docs.google.com/spreadsheets/d/1FvTu2DsIWUjP6WCWra38Bkj_oOl_sOMf14r5Fg5srxU/edit?usp=sharing"",""ชัยภูมิ!M418"")+IMPORTRANGE(""https://docs.google.com/spreadsheets/d/1XVB7oCJ3pr-vBUdflwPQ8Z2LlzhnCvZaaYjAfP-647E/edit"&amp;"?usp=sharing"",""นครพนม!M418"")+IMPORTRANGE(""https://docs.google.com/spreadsheets/d/1Mnpb-8PYAgn85W6KOTD40hc_Xc55CaLfHoGAbrZ8tls/edit?usp=sharing"",""นครราชสีมา!M418"")+IMPORTRANGE(""https://docs.google.com/spreadsheets/d/1xoDLGBv9CYbyosIhki0kTq6IpYNj-gp"&amp;"jxfobnaDiut0/edit?usp=sharing"",""บึงกาฬ!M418"")+IMPORTRANGE(""https://docs.google.com/spreadsheets/d/1MMPq-JyI6DSgQETxuSiXkesP-P7JHuemnE6QJIa-Nlw/edit?usp=sharing"",""บุรีรัมย์!M418"")+IMPORTRANGE(""https://docs.google.com/spreadsheets/d/1l6IZ8xUPgMrESzc"&amp;"TYwhA1k_tPjeQjJPTqlm8Gd9eU5g/edit?usp=sharing"",""มหาสารคาม!M418"")+IMPORTRANGE(""https://docs.google.com/spreadsheets/d/1uB74YLqNjWX6FObjekfB2NtSYigTQyR2rq9u4Ub2Sq4/edit?usp=sharing"",""มุกดาหาร!M418"")+IMPORTRANGE(""https://docs.google.com/spreadsheets/"&amp;"d/1NexK3geCPxCTO1fzNF8dPec7yZyUx3OaWkFBC9HsQOo/edit?usp=sharing"",""ยโสธร!M418"")+IMPORTRANGE(""https://docs.google.com/spreadsheets/d/1v_cJrbBlyqmnHPReHk44g9NrMRdENNlSy_E_c5M9fIg/edit?usp=sharing"",""ร้อยเอ็ด!M418"")+IMPORTRANGE(""https://docs.google.com"&amp;"/spreadsheets/d/1Ul4RCpCX66NxYADU1QpwAPjOmBzW64SsT11s1wzXw_c/edit?usp=sharing"",""เลย!M418"")+IMPORTRANGE(""https://docs.google.com/spreadsheets/d/1bRrNKwbHDVktQG10isr5vbWRtt5spIZPpkOSWgbT5ug/edit?usp=sharing"",""ศรีสะเกษ!M418"")+IMPORTRANGE(""https://doc"&amp;"s.google.com/spreadsheets/d/17P34_Ow5kFBfdQD0qspb2UuPX5zpi6WMrQzslghyvrI/edit?usp=sharing"",""สกลนคร!M418"")+IMPORTRANGE(""https://docs.google.com/spreadsheets/d/1yswqbM3-AEpThF3ZSUa1AcmHnmRTF1vlJ1CZGcJ8YuU/edit?usp=sharing"",""สุรินทร์!M418"")+IMPORTRANG"&amp;"E(""https://docs.google.com/spreadsheets/d/13JHU_EFbsQOUQ0JSQ3dWy1VTRosIWcDq6Nc99z2qzdc/edit?usp=sharing"",""หนองคาย!M418"")+IMPORTRANGE(""https://docs.google.com/spreadsheets/d/1Hx73zIEgVdDZZaYSTc46Dqv64atFhpr3GelxLbaIN8A/edit?usp=sharing"",""หนองบัวลำภู"&amp;"!M418"")+IMPORTRANGE(""https://docs.google.com/spreadsheets/d/1lFxr3ctmjFN90yc-xV6jrQ9Ty8BKYVBWnAZ15wcNIJc/edit?usp=sharing"",""อำนาจเจริญ!M418"")+IMPORTRANGE(""https://docs.google.com/spreadsheets/d/1gF7RJpRnL-1oyjyeWxs5SFWEH7y8ahOZsQlyp2A2e-A/edit?usp=s"&amp;"haring"",""อุดรธานี!M418"")+IMPORTRANGE(""https://docs.google.com/spreadsheets/d/1kfLP0j3INXRa8bTDpcEmoWewMBV61jlFlfzczfjWIgc/edit?usp=sharing"",""อุบลราชธานี!M418"")"),0)</f>
        <v>0</v>
      </c>
      <c r="N418" s="56">
        <f ca="1">IFERROR(__xludf.DUMMYFUNCTION("IMPORTRANGE(""https://docs.google.com/spreadsheets/d/1yhBcrRPreicbMKl9Bu_Snb2-OcQAF62RKfhTLhJ2eAA/edit?usp=sharing"",""กาฬสินธุ์!N418"")+IMPORTRANGE(""https://docs.google.com/spreadsheets/d/1aHkj4IaQMThhwWwevcOymEh837vdxeC_PycurhTbGFA/edit?usp=sharing"","&amp;"""ขอนแก่น!N418"")+IMPORTRANGE(""https://docs.google.com/spreadsheets/d/1FvTu2DsIWUjP6WCWra38Bkj_oOl_sOMf14r5Fg5srxU/edit?usp=sharing"",""ชัยภูมิ!N418"")+IMPORTRANGE(""https://docs.google.com/spreadsheets/d/1XVB7oCJ3pr-vBUdflwPQ8Z2LlzhnCvZaaYjAfP-647E/edit"&amp;"?usp=sharing"",""นครพนม!N418"")+IMPORTRANGE(""https://docs.google.com/spreadsheets/d/1Mnpb-8PYAgn85W6KOTD40hc_Xc55CaLfHoGAbrZ8tls/edit?usp=sharing"",""นครราชสีมา!N418"")+IMPORTRANGE(""https://docs.google.com/spreadsheets/d/1xoDLGBv9CYbyosIhki0kTq6IpYNj-gp"&amp;"jxfobnaDiut0/edit?usp=sharing"",""บึงกาฬ!N418"")+IMPORTRANGE(""https://docs.google.com/spreadsheets/d/1MMPq-JyI6DSgQETxuSiXkesP-P7JHuemnE6QJIa-Nlw/edit?usp=sharing"",""บุรีรัมย์!N418"")+IMPORTRANGE(""https://docs.google.com/spreadsheets/d/1l6IZ8xUPgMrESzc"&amp;"TYwhA1k_tPjeQjJPTqlm8Gd9eU5g/edit?usp=sharing"",""มหาสารคาม!N418"")+IMPORTRANGE(""https://docs.google.com/spreadsheets/d/1uB74YLqNjWX6FObjekfB2NtSYigTQyR2rq9u4Ub2Sq4/edit?usp=sharing"",""มุกดาหาร!N418"")+IMPORTRANGE(""https://docs.google.com/spreadsheets/"&amp;"d/1NexK3geCPxCTO1fzNF8dPec7yZyUx3OaWkFBC9HsQOo/edit?usp=sharing"",""ยโสธร!N418"")+IMPORTRANGE(""https://docs.google.com/spreadsheets/d/1v_cJrbBlyqmnHPReHk44g9NrMRdENNlSy_E_c5M9fIg/edit?usp=sharing"",""ร้อยเอ็ด!N418"")+IMPORTRANGE(""https://docs.google.com"&amp;"/spreadsheets/d/1Ul4RCpCX66NxYADU1QpwAPjOmBzW64SsT11s1wzXw_c/edit?usp=sharing"",""เลย!N418"")+IMPORTRANGE(""https://docs.google.com/spreadsheets/d/1bRrNKwbHDVktQG10isr5vbWRtt5spIZPpkOSWgbT5ug/edit?usp=sharing"",""ศรีสะเกษ!N418"")+IMPORTRANGE(""https://doc"&amp;"s.google.com/spreadsheets/d/17P34_Ow5kFBfdQD0qspb2UuPX5zpi6WMrQzslghyvrI/edit?usp=sharing"",""สกลนคร!N418"")+IMPORTRANGE(""https://docs.google.com/spreadsheets/d/1yswqbM3-AEpThF3ZSUa1AcmHnmRTF1vlJ1CZGcJ8YuU/edit?usp=sharing"",""สุรินทร์!N418"")+IMPORTRANG"&amp;"E(""https://docs.google.com/spreadsheets/d/13JHU_EFbsQOUQ0JSQ3dWy1VTRosIWcDq6Nc99z2qzdc/edit?usp=sharing"",""หนองคาย!N418"")+IMPORTRANGE(""https://docs.google.com/spreadsheets/d/1Hx73zIEgVdDZZaYSTc46Dqv64atFhpr3GelxLbaIN8A/edit?usp=sharing"",""หนองบัวลำภู"&amp;"!N418"")+IMPORTRANGE(""https://docs.google.com/spreadsheets/d/1lFxr3ctmjFN90yc-xV6jrQ9Ty8BKYVBWnAZ15wcNIJc/edit?usp=sharing"",""อำนาจเจริญ!N418"")+IMPORTRANGE(""https://docs.google.com/spreadsheets/d/1gF7RJpRnL-1oyjyeWxs5SFWEH7y8ahOZsQlyp2A2e-A/edit?usp=s"&amp;"haring"",""อุดรธานี!N418"")+IMPORTRANGE(""https://docs.google.com/spreadsheets/d/1kfLP0j3INXRa8bTDpcEmoWewMBV61jlFlfzczfjWIgc/edit?usp=sharing"",""อุบลราชธานี!N418"")"),0)</f>
        <v>0</v>
      </c>
      <c r="O418" s="56">
        <f t="shared" ca="1" si="314"/>
        <v>0</v>
      </c>
      <c r="P418" s="56">
        <f t="shared" ca="1" si="315"/>
        <v>0</v>
      </c>
      <c r="Q418" s="56">
        <f ca="1">IFERROR(__xludf.DUMMYFUNCTION("IMPORTRANGE(""https://docs.google.com/spreadsheets/d/1yhBcrRPreicbMKl9Bu_Snb2-OcQAF62RKfhTLhJ2eAA/edit?usp=sharing"",""กาฬสินธุ์!Q418"")+IMPORTRANGE(""https://docs.google.com/spreadsheets/d/1aHkj4IaQMThhwWwevcOymEh837vdxeC_PycurhTbGFA/edit?usp=sharing"","&amp;"""ขอนแก่น!Q418"")+IMPORTRANGE(""https://docs.google.com/spreadsheets/d/1FvTu2DsIWUjP6WCWra38Bkj_oOl_sOMf14r5Fg5srxU/edit?usp=sharing"",""ชัยภูมิ!Q418"")+IMPORTRANGE(""https://docs.google.com/spreadsheets/d/1XVB7oCJ3pr-vBUdflwPQ8Z2LlzhnCvZaaYjAfP-647E/edit"&amp;"?usp=sharing"",""นครพนม!Q418"")+IMPORTRANGE(""https://docs.google.com/spreadsheets/d/1Mnpb-8PYAgn85W6KOTD40hc_Xc55CaLfHoGAbrZ8tls/edit?usp=sharing"",""นครราชสีมา!Q418"")+IMPORTRANGE(""https://docs.google.com/spreadsheets/d/1xoDLGBv9CYbyosIhki0kTq6IpYNj-gp"&amp;"jxfobnaDiut0/edit?usp=sharing"",""บึงกาฬ!Q418"")+IMPORTRANGE(""https://docs.google.com/spreadsheets/d/1MMPq-JyI6DSgQETxuSiXkesP-P7JHuemnE6QJIa-Nlw/edit?usp=sharing"",""บุรีรัมย์!Q418"")+IMPORTRANGE(""https://docs.google.com/spreadsheets/d/1l6IZ8xUPgMrESzc"&amp;"TYwhA1k_tPjeQjJPTqlm8Gd9eU5g/edit?usp=sharing"",""มหาสารคาม!Q418"")+IMPORTRANGE(""https://docs.google.com/spreadsheets/d/1uB74YLqNjWX6FObjekfB2NtSYigTQyR2rq9u4Ub2Sq4/edit?usp=sharing"",""มุกดาหาร!Q418"")+IMPORTRANGE(""https://docs.google.com/spreadsheets/"&amp;"d/1NexK3geCPxCTO1fzNF8dPec7yZyUx3OaWkFBC9HsQOo/edit?usp=sharing"",""ยโสธร!Q418"")+IMPORTRANGE(""https://docs.google.com/spreadsheets/d/1v_cJrbBlyqmnHPReHk44g9NrMRdENNlSy_E_c5M9fIg/edit?usp=sharing"",""ร้อยเอ็ด!Q418"")+IMPORTRANGE(""https://docs.google.com"&amp;"/spreadsheets/d/1Ul4RCpCX66NxYADU1QpwAPjOmBzW64SsT11s1wzXw_c/edit?usp=sharing"",""เลย!Q418"")+IMPORTRANGE(""https://docs.google.com/spreadsheets/d/1bRrNKwbHDVktQG10isr5vbWRtt5spIZPpkOSWgbT5ug/edit?usp=sharing"",""ศรีสะเกษ!Q418"")+IMPORTRANGE(""https://doc"&amp;"s.google.com/spreadsheets/d/17P34_Ow5kFBfdQD0qspb2UuPX5zpi6WMrQzslghyvrI/edit?usp=sharing"",""สกลนคร!Q418"")+IMPORTRANGE(""https://docs.google.com/spreadsheets/d/1yswqbM3-AEpThF3ZSUa1AcmHnmRTF1vlJ1CZGcJ8YuU/edit?usp=sharing"",""สุรินทร์!Q418"")+IMPORTRANG"&amp;"E(""https://docs.google.com/spreadsheets/d/13JHU_EFbsQOUQ0JSQ3dWy1VTRosIWcDq6Nc99z2qzdc/edit?usp=sharing"",""หนองคาย!Q418"")+IMPORTRANGE(""https://docs.google.com/spreadsheets/d/1Hx73zIEgVdDZZaYSTc46Dqv64atFhpr3GelxLbaIN8A/edit?usp=sharing"",""หนองบัวลำภู"&amp;"!Q418"")+IMPORTRANGE(""https://docs.google.com/spreadsheets/d/1lFxr3ctmjFN90yc-xV6jrQ9Ty8BKYVBWnAZ15wcNIJc/edit?usp=sharing"",""อำนาจเจริญ!Q418"")+IMPORTRANGE(""https://docs.google.com/spreadsheets/d/1gF7RJpRnL-1oyjyeWxs5SFWEH7y8ahOZsQlyp2A2e-A/edit?usp=s"&amp;"haring"",""อุดรธานี!Q418"")+IMPORTRANGE(""https://docs.google.com/spreadsheets/d/1kfLP0j3INXRa8bTDpcEmoWewMBV61jlFlfzczfjWIgc/edit?usp=sharing"",""อุบลราชธานี!Q418"")"),0)</f>
        <v>0</v>
      </c>
      <c r="R418" s="56">
        <f ca="1">IFERROR(__xludf.DUMMYFUNCTION("IMPORTRANGE(""https://docs.google.com/spreadsheets/d/1yhBcrRPreicbMKl9Bu_Snb2-OcQAF62RKfhTLhJ2eAA/edit?usp=sharing"",""กาฬสินธุ์!R418"")+IMPORTRANGE(""https://docs.google.com/spreadsheets/d/1aHkj4IaQMThhwWwevcOymEh837vdxeC_PycurhTbGFA/edit?usp=sharing"","&amp;"""ขอนแก่น!R418"")+IMPORTRANGE(""https://docs.google.com/spreadsheets/d/1FvTu2DsIWUjP6WCWra38Bkj_oOl_sOMf14r5Fg5srxU/edit?usp=sharing"",""ชัยภูมิ!R418"")+IMPORTRANGE(""https://docs.google.com/spreadsheets/d/1XVB7oCJ3pr-vBUdflwPQ8Z2LlzhnCvZaaYjAfP-647E/edit"&amp;"?usp=sharing"",""นครพนม!R418"")+IMPORTRANGE(""https://docs.google.com/spreadsheets/d/1Mnpb-8PYAgn85W6KOTD40hc_Xc55CaLfHoGAbrZ8tls/edit?usp=sharing"",""นครราชสีมา!R418"")+IMPORTRANGE(""https://docs.google.com/spreadsheets/d/1xoDLGBv9CYbyosIhki0kTq6IpYNj-gp"&amp;"jxfobnaDiut0/edit?usp=sharing"",""บึงกาฬ!R418"")+IMPORTRANGE(""https://docs.google.com/spreadsheets/d/1MMPq-JyI6DSgQETxuSiXkesP-P7JHuemnE6QJIa-Nlw/edit?usp=sharing"",""บุรีรัมย์!R418"")+IMPORTRANGE(""https://docs.google.com/spreadsheets/d/1l6IZ8xUPgMrESzc"&amp;"TYwhA1k_tPjeQjJPTqlm8Gd9eU5g/edit?usp=sharing"",""มหาสารคาม!R418"")+IMPORTRANGE(""https://docs.google.com/spreadsheets/d/1uB74YLqNjWX6FObjekfB2NtSYigTQyR2rq9u4Ub2Sq4/edit?usp=sharing"",""มุกดาหาร!R418"")+IMPORTRANGE(""https://docs.google.com/spreadsheets/"&amp;"d/1NexK3geCPxCTO1fzNF8dPec7yZyUx3OaWkFBC9HsQOo/edit?usp=sharing"",""ยโสธร!R418"")+IMPORTRANGE(""https://docs.google.com/spreadsheets/d/1v_cJrbBlyqmnHPReHk44g9NrMRdENNlSy_E_c5M9fIg/edit?usp=sharing"",""ร้อยเอ็ด!R418"")+IMPORTRANGE(""https://docs.google.com"&amp;"/spreadsheets/d/1Ul4RCpCX66NxYADU1QpwAPjOmBzW64SsT11s1wzXw_c/edit?usp=sharing"",""เลย!R418"")+IMPORTRANGE(""https://docs.google.com/spreadsheets/d/1bRrNKwbHDVktQG10isr5vbWRtt5spIZPpkOSWgbT5ug/edit?usp=sharing"",""ศรีสะเกษ!R418"")+IMPORTRANGE(""https://doc"&amp;"s.google.com/spreadsheets/d/17P34_Ow5kFBfdQD0qspb2UuPX5zpi6WMrQzslghyvrI/edit?usp=sharing"",""สกลนคร!R418"")+IMPORTRANGE(""https://docs.google.com/spreadsheets/d/1yswqbM3-AEpThF3ZSUa1AcmHnmRTF1vlJ1CZGcJ8YuU/edit?usp=sharing"",""สุรินทร์!R418"")+IMPORTRANG"&amp;"E(""https://docs.google.com/spreadsheets/d/13JHU_EFbsQOUQ0JSQ3dWy1VTRosIWcDq6Nc99z2qzdc/edit?usp=sharing"",""หนองคาย!R418"")+IMPORTRANGE(""https://docs.google.com/spreadsheets/d/1Hx73zIEgVdDZZaYSTc46Dqv64atFhpr3GelxLbaIN8A/edit?usp=sharing"",""หนองบัวลำภู"&amp;"!R418"")+IMPORTRANGE(""https://docs.google.com/spreadsheets/d/1lFxr3ctmjFN90yc-xV6jrQ9Ty8BKYVBWnAZ15wcNIJc/edit?usp=sharing"",""อำนาจเจริญ!R418"")+IMPORTRANGE(""https://docs.google.com/spreadsheets/d/1gF7RJpRnL-1oyjyeWxs5SFWEH7y8ahOZsQlyp2A2e-A/edit?usp=s"&amp;"haring"",""อุดรธานี!R418"")+IMPORTRANGE(""https://docs.google.com/spreadsheets/d/1kfLP0j3INXRa8bTDpcEmoWewMBV61jlFlfzczfjWIgc/edit?usp=sharing"",""อุบลราชธานี!R418"")"),0)</f>
        <v>0</v>
      </c>
      <c r="S418" s="57">
        <f ca="1">IFERROR(__xludf.DUMMYFUNCTION("IMPORTRANGE(""https://docs.google.com/spreadsheets/d/1yhBcrRPreicbMKl9Bu_Snb2-OcQAF62RKfhTLhJ2eAA/edit?usp=sharing"",""กาฬสินธุ์!S418"")+IMPORTRANGE(""https://docs.google.com/spreadsheets/d/1aHkj4IaQMThhwWwevcOymEh837vdxeC_PycurhTbGFA/edit?usp=sharing"","&amp;"""ขอนแก่น!S418"")+IMPORTRANGE(""https://docs.google.com/spreadsheets/d/1FvTu2DsIWUjP6WCWra38Bkj_oOl_sOMf14r5Fg5srxU/edit?usp=sharing"",""ชัยภูมิ!S418"")+IMPORTRANGE(""https://docs.google.com/spreadsheets/d/1XVB7oCJ3pr-vBUdflwPQ8Z2LlzhnCvZaaYjAfP-647E/edit"&amp;"?usp=sharing"",""นครพนม!S418"")+IMPORTRANGE(""https://docs.google.com/spreadsheets/d/1Mnpb-8PYAgn85W6KOTD40hc_Xc55CaLfHoGAbrZ8tls/edit?usp=sharing"",""นครราชสีมา!S418"")+IMPORTRANGE(""https://docs.google.com/spreadsheets/d/1xoDLGBv9CYbyosIhki0kTq6IpYNj-gp"&amp;"jxfobnaDiut0/edit?usp=sharing"",""บึงกาฬ!S418"")+IMPORTRANGE(""https://docs.google.com/spreadsheets/d/1MMPq-JyI6DSgQETxuSiXkesP-P7JHuemnE6QJIa-Nlw/edit?usp=sharing"",""บุรีรัมย์!S418"")+IMPORTRANGE(""https://docs.google.com/spreadsheets/d/1l6IZ8xUPgMrESzc"&amp;"TYwhA1k_tPjeQjJPTqlm8Gd9eU5g/edit?usp=sharing"",""มหาสารคาม!S418"")+IMPORTRANGE(""https://docs.google.com/spreadsheets/d/1uB74YLqNjWX6FObjekfB2NtSYigTQyR2rq9u4Ub2Sq4/edit?usp=sharing"",""มุกดาหาร!S418"")+IMPORTRANGE(""https://docs.google.com/spreadsheets/"&amp;"d/1NexK3geCPxCTO1fzNF8dPec7yZyUx3OaWkFBC9HsQOo/edit?usp=sharing"",""ยโสธร!S418"")+IMPORTRANGE(""https://docs.google.com/spreadsheets/d/1v_cJrbBlyqmnHPReHk44g9NrMRdENNlSy_E_c5M9fIg/edit?usp=sharing"",""ร้อยเอ็ด!S418"")+IMPORTRANGE(""https://docs.google.com"&amp;"/spreadsheets/d/1Ul4RCpCX66NxYADU1QpwAPjOmBzW64SsT11s1wzXw_c/edit?usp=sharing"",""เลย!S418"")+IMPORTRANGE(""https://docs.google.com/spreadsheets/d/1bRrNKwbHDVktQG10isr5vbWRtt5spIZPpkOSWgbT5ug/edit?usp=sharing"",""ศรีสะเกษ!S418"")+IMPORTRANGE(""https://doc"&amp;"s.google.com/spreadsheets/d/17P34_Ow5kFBfdQD0qspb2UuPX5zpi6WMrQzslghyvrI/edit?usp=sharing"",""สกลนคร!S418"")+IMPORTRANGE(""https://docs.google.com/spreadsheets/d/1yswqbM3-AEpThF3ZSUa1AcmHnmRTF1vlJ1CZGcJ8YuU/edit?usp=sharing"",""สุรินทร์!S418"")+IMPORTRANG"&amp;"E(""https://docs.google.com/spreadsheets/d/13JHU_EFbsQOUQ0JSQ3dWy1VTRosIWcDq6Nc99z2qzdc/edit?usp=sharing"",""หนองคาย!S418"")+IMPORTRANGE(""https://docs.google.com/spreadsheets/d/1Hx73zIEgVdDZZaYSTc46Dqv64atFhpr3GelxLbaIN8A/edit?usp=sharing"",""หนองบัวลำภู"&amp;"!S418"")+IMPORTRANGE(""https://docs.google.com/spreadsheets/d/1lFxr3ctmjFN90yc-xV6jrQ9Ty8BKYVBWnAZ15wcNIJc/edit?usp=sharing"",""อำนาจเจริญ!S418"")+IMPORTRANGE(""https://docs.google.com/spreadsheets/d/1gF7RJpRnL-1oyjyeWxs5SFWEH7y8ahOZsQlyp2A2e-A/edit?usp=s"&amp;"haring"",""อุดรธานี!S418"")+IMPORTRANGE(""https://docs.google.com/spreadsheets/d/1kfLP0j3INXRa8bTDpcEmoWewMBV61jlFlfzczfjWIgc/edit?usp=sharing"",""อุบลราชธานี!S418"")"),0)</f>
        <v>0</v>
      </c>
      <c r="T418" s="56">
        <f t="shared" ca="1" si="317"/>
        <v>0</v>
      </c>
      <c r="U418" s="56">
        <f t="shared" ca="1" si="318"/>
        <v>0</v>
      </c>
    </row>
    <row r="419" spans="1:21" ht="19.5">
      <c r="A419" s="155"/>
      <c r="B419" s="188"/>
      <c r="C419" s="188"/>
      <c r="D419" s="356" t="s">
        <v>23</v>
      </c>
      <c r="E419" s="188"/>
      <c r="F419" s="188"/>
      <c r="G419" s="208"/>
      <c r="H419" s="158" t="s">
        <v>14</v>
      </c>
      <c r="I419" s="54"/>
      <c r="J419" s="54"/>
      <c r="K419" s="55"/>
      <c r="L419" s="56">
        <f t="shared" ref="L419:N419" ca="1" si="325">L420+L421</f>
        <v>0</v>
      </c>
      <c r="M419" s="56">
        <f t="shared" ca="1" si="325"/>
        <v>0</v>
      </c>
      <c r="N419" s="56">
        <f t="shared" ca="1" si="325"/>
        <v>0</v>
      </c>
      <c r="O419" s="56">
        <f t="shared" ca="1" si="314"/>
        <v>0</v>
      </c>
      <c r="P419" s="56">
        <f t="shared" ca="1" si="315"/>
        <v>0</v>
      </c>
      <c r="Q419" s="56">
        <f t="shared" ref="Q419:S419" ca="1" si="326">Q420+Q421</f>
        <v>0</v>
      </c>
      <c r="R419" s="56">
        <f t="shared" ca="1" si="326"/>
        <v>0</v>
      </c>
      <c r="S419" s="57">
        <f t="shared" ca="1" si="326"/>
        <v>0</v>
      </c>
      <c r="T419" s="56">
        <f t="shared" ca="1" si="317"/>
        <v>0</v>
      </c>
      <c r="U419" s="56">
        <f t="shared" ca="1" si="318"/>
        <v>0</v>
      </c>
    </row>
    <row r="420" spans="1:21" ht="18.75">
      <c r="A420" s="155"/>
      <c r="B420" s="188"/>
      <c r="C420" s="188"/>
      <c r="D420" s="188"/>
      <c r="E420" s="358" t="s">
        <v>20</v>
      </c>
      <c r="F420" s="188"/>
      <c r="G420" s="208"/>
      <c r="H420" s="204" t="s">
        <v>14</v>
      </c>
      <c r="I420" s="54"/>
      <c r="J420" s="54"/>
      <c r="K420" s="55"/>
      <c r="L420" s="59">
        <f ca="1">IFERROR(__xludf.DUMMYFUNCTION("IMPORTRANGE(""https://docs.google.com/spreadsheets/d/1yhBcrRPreicbMKl9Bu_Snb2-OcQAF62RKfhTLhJ2eAA/edit?usp=sharing"",""กาฬสินธุ์!L420"")+IMPORTRANGE(""https://docs.google.com/spreadsheets/d/1aHkj4IaQMThhwWwevcOymEh837vdxeC_PycurhTbGFA/edit?usp=sharing"","&amp;"""ขอนแก่น!L420"")+IMPORTRANGE(""https://docs.google.com/spreadsheets/d/1FvTu2DsIWUjP6WCWra38Bkj_oOl_sOMf14r5Fg5srxU/edit?usp=sharing"",""ชัยภูมิ!L420"")+IMPORTRANGE(""https://docs.google.com/spreadsheets/d/1XVB7oCJ3pr-vBUdflwPQ8Z2LlzhnCvZaaYjAfP-647E/edit"&amp;"?usp=sharing"",""นครพนม!L420"")+IMPORTRANGE(""https://docs.google.com/spreadsheets/d/1Mnpb-8PYAgn85W6KOTD40hc_Xc55CaLfHoGAbrZ8tls/edit?usp=sharing"",""นครราชสีมา!L420"")+IMPORTRANGE(""https://docs.google.com/spreadsheets/d/1xoDLGBv9CYbyosIhki0kTq6IpYNj-gp"&amp;"jxfobnaDiut0/edit?usp=sharing"",""บึงกาฬ!L420"")+IMPORTRANGE(""https://docs.google.com/spreadsheets/d/1MMPq-JyI6DSgQETxuSiXkesP-P7JHuemnE6QJIa-Nlw/edit?usp=sharing"",""บุรีรัมย์!L420"")+IMPORTRANGE(""https://docs.google.com/spreadsheets/d/1l6IZ8xUPgMrESzc"&amp;"TYwhA1k_tPjeQjJPTqlm8Gd9eU5g/edit?usp=sharing"",""มหาสารคาม!L420"")+IMPORTRANGE(""https://docs.google.com/spreadsheets/d/1uB74YLqNjWX6FObjekfB2NtSYigTQyR2rq9u4Ub2Sq4/edit?usp=sharing"",""มุกดาหาร!L420"")+IMPORTRANGE(""https://docs.google.com/spreadsheets/"&amp;"d/1NexK3geCPxCTO1fzNF8dPec7yZyUx3OaWkFBC9HsQOo/edit?usp=sharing"",""ยโสธร!L420"")+IMPORTRANGE(""https://docs.google.com/spreadsheets/d/1v_cJrbBlyqmnHPReHk44g9NrMRdENNlSy_E_c5M9fIg/edit?usp=sharing"",""ร้อยเอ็ด!L420"")+IMPORTRANGE(""https://docs.google.com"&amp;"/spreadsheets/d/1Ul4RCpCX66NxYADU1QpwAPjOmBzW64SsT11s1wzXw_c/edit?usp=sharing"",""เลย!L420"")+IMPORTRANGE(""https://docs.google.com/spreadsheets/d/1bRrNKwbHDVktQG10isr5vbWRtt5spIZPpkOSWgbT5ug/edit?usp=sharing"",""ศรีสะเกษ!L420"")+IMPORTRANGE(""https://doc"&amp;"s.google.com/spreadsheets/d/17P34_Ow5kFBfdQD0qspb2UuPX5zpi6WMrQzslghyvrI/edit?usp=sharing"",""สกลนคร!L420"")+IMPORTRANGE(""https://docs.google.com/spreadsheets/d/1yswqbM3-AEpThF3ZSUa1AcmHnmRTF1vlJ1CZGcJ8YuU/edit?usp=sharing"",""สุรินทร์!L420"")+IMPORTRANG"&amp;"E(""https://docs.google.com/spreadsheets/d/13JHU_EFbsQOUQ0JSQ3dWy1VTRosIWcDq6Nc99z2qzdc/edit?usp=sharing"",""หนองคาย!L420"")+IMPORTRANGE(""https://docs.google.com/spreadsheets/d/1Hx73zIEgVdDZZaYSTc46Dqv64atFhpr3GelxLbaIN8A/edit?usp=sharing"",""หนองบัวลำภู"&amp;"!L420"")+IMPORTRANGE(""https://docs.google.com/spreadsheets/d/1lFxr3ctmjFN90yc-xV6jrQ9Ty8BKYVBWnAZ15wcNIJc/edit?usp=sharing"",""อำนาจเจริญ!L420"")+IMPORTRANGE(""https://docs.google.com/spreadsheets/d/1gF7RJpRnL-1oyjyeWxs5SFWEH7y8ahOZsQlyp2A2e-A/edit?usp=s"&amp;"haring"",""อุดรธานี!L420"")+IMPORTRANGE(""https://docs.google.com/spreadsheets/d/1kfLP0j3INXRa8bTDpcEmoWewMBV61jlFlfzczfjWIgc/edit?usp=sharing"",""อุบลราชธานี!L420"")"),0)</f>
        <v>0</v>
      </c>
      <c r="M420" s="59">
        <f ca="1">IFERROR(__xludf.DUMMYFUNCTION("IMPORTRANGE(""https://docs.google.com/spreadsheets/d/1yhBcrRPreicbMKl9Bu_Snb2-OcQAF62RKfhTLhJ2eAA/edit?usp=sharing"",""กาฬสินธุ์!M420"")+IMPORTRANGE(""https://docs.google.com/spreadsheets/d/1aHkj4IaQMThhwWwevcOymEh837vdxeC_PycurhTbGFA/edit?usp=sharing"","&amp;"""ขอนแก่น!M420"")+IMPORTRANGE(""https://docs.google.com/spreadsheets/d/1FvTu2DsIWUjP6WCWra38Bkj_oOl_sOMf14r5Fg5srxU/edit?usp=sharing"",""ชัยภูมิ!M420"")+IMPORTRANGE(""https://docs.google.com/spreadsheets/d/1XVB7oCJ3pr-vBUdflwPQ8Z2LlzhnCvZaaYjAfP-647E/edit"&amp;"?usp=sharing"",""นครพนม!M420"")+IMPORTRANGE(""https://docs.google.com/spreadsheets/d/1Mnpb-8PYAgn85W6KOTD40hc_Xc55CaLfHoGAbrZ8tls/edit?usp=sharing"",""นครราชสีมา!M420"")+IMPORTRANGE(""https://docs.google.com/spreadsheets/d/1xoDLGBv9CYbyosIhki0kTq6IpYNj-gp"&amp;"jxfobnaDiut0/edit?usp=sharing"",""บึงกาฬ!M420"")+IMPORTRANGE(""https://docs.google.com/spreadsheets/d/1MMPq-JyI6DSgQETxuSiXkesP-P7JHuemnE6QJIa-Nlw/edit?usp=sharing"",""บุรีรัมย์!M420"")+IMPORTRANGE(""https://docs.google.com/spreadsheets/d/1l6IZ8xUPgMrESzc"&amp;"TYwhA1k_tPjeQjJPTqlm8Gd9eU5g/edit?usp=sharing"",""มหาสารคาม!M420"")+IMPORTRANGE(""https://docs.google.com/spreadsheets/d/1uB74YLqNjWX6FObjekfB2NtSYigTQyR2rq9u4Ub2Sq4/edit?usp=sharing"",""มุกดาหาร!M420"")+IMPORTRANGE(""https://docs.google.com/spreadsheets/"&amp;"d/1NexK3geCPxCTO1fzNF8dPec7yZyUx3OaWkFBC9HsQOo/edit?usp=sharing"",""ยโสธร!M420"")+IMPORTRANGE(""https://docs.google.com/spreadsheets/d/1v_cJrbBlyqmnHPReHk44g9NrMRdENNlSy_E_c5M9fIg/edit?usp=sharing"",""ร้อยเอ็ด!M420"")+IMPORTRANGE(""https://docs.google.com"&amp;"/spreadsheets/d/1Ul4RCpCX66NxYADU1QpwAPjOmBzW64SsT11s1wzXw_c/edit?usp=sharing"",""เลย!M420"")+IMPORTRANGE(""https://docs.google.com/spreadsheets/d/1bRrNKwbHDVktQG10isr5vbWRtt5spIZPpkOSWgbT5ug/edit?usp=sharing"",""ศรีสะเกษ!M420"")+IMPORTRANGE(""https://doc"&amp;"s.google.com/spreadsheets/d/17P34_Ow5kFBfdQD0qspb2UuPX5zpi6WMrQzslghyvrI/edit?usp=sharing"",""สกลนคร!M420"")+IMPORTRANGE(""https://docs.google.com/spreadsheets/d/1yswqbM3-AEpThF3ZSUa1AcmHnmRTF1vlJ1CZGcJ8YuU/edit?usp=sharing"",""สุรินทร์!M420"")+IMPORTRANG"&amp;"E(""https://docs.google.com/spreadsheets/d/13JHU_EFbsQOUQ0JSQ3dWy1VTRosIWcDq6Nc99z2qzdc/edit?usp=sharing"",""หนองคาย!M420"")+IMPORTRANGE(""https://docs.google.com/spreadsheets/d/1Hx73zIEgVdDZZaYSTc46Dqv64atFhpr3GelxLbaIN8A/edit?usp=sharing"",""หนองบัวลำภู"&amp;"!M420"")+IMPORTRANGE(""https://docs.google.com/spreadsheets/d/1lFxr3ctmjFN90yc-xV6jrQ9Ty8BKYVBWnAZ15wcNIJc/edit?usp=sharing"",""อำนาจเจริญ!M420"")+IMPORTRANGE(""https://docs.google.com/spreadsheets/d/1gF7RJpRnL-1oyjyeWxs5SFWEH7y8ahOZsQlyp2A2e-A/edit?usp=s"&amp;"haring"",""อุดรธานี!M420"")+IMPORTRANGE(""https://docs.google.com/spreadsheets/d/1kfLP0j3INXRa8bTDpcEmoWewMBV61jlFlfzczfjWIgc/edit?usp=sharing"",""อุบลราชธานี!M420"")"),0)</f>
        <v>0</v>
      </c>
      <c r="N420" s="59">
        <f ca="1">IFERROR(__xludf.DUMMYFUNCTION("IMPORTRANGE(""https://docs.google.com/spreadsheets/d/1yhBcrRPreicbMKl9Bu_Snb2-OcQAF62RKfhTLhJ2eAA/edit?usp=sharing"",""กาฬสินธุ์!N420"")+IMPORTRANGE(""https://docs.google.com/spreadsheets/d/1aHkj4IaQMThhwWwevcOymEh837vdxeC_PycurhTbGFA/edit?usp=sharing"","&amp;"""ขอนแก่น!N420"")+IMPORTRANGE(""https://docs.google.com/spreadsheets/d/1FvTu2DsIWUjP6WCWra38Bkj_oOl_sOMf14r5Fg5srxU/edit?usp=sharing"",""ชัยภูมิ!N420"")+IMPORTRANGE(""https://docs.google.com/spreadsheets/d/1XVB7oCJ3pr-vBUdflwPQ8Z2LlzhnCvZaaYjAfP-647E/edit"&amp;"?usp=sharing"",""นครพนม!N420"")+IMPORTRANGE(""https://docs.google.com/spreadsheets/d/1Mnpb-8PYAgn85W6KOTD40hc_Xc55CaLfHoGAbrZ8tls/edit?usp=sharing"",""นครราชสีมา!N420"")+IMPORTRANGE(""https://docs.google.com/spreadsheets/d/1xoDLGBv9CYbyosIhki0kTq6IpYNj-gp"&amp;"jxfobnaDiut0/edit?usp=sharing"",""บึงกาฬ!N420"")+IMPORTRANGE(""https://docs.google.com/spreadsheets/d/1MMPq-JyI6DSgQETxuSiXkesP-P7JHuemnE6QJIa-Nlw/edit?usp=sharing"",""บุรีรัมย์!N420"")+IMPORTRANGE(""https://docs.google.com/spreadsheets/d/1l6IZ8xUPgMrESzc"&amp;"TYwhA1k_tPjeQjJPTqlm8Gd9eU5g/edit?usp=sharing"",""มหาสารคาม!N420"")+IMPORTRANGE(""https://docs.google.com/spreadsheets/d/1uB74YLqNjWX6FObjekfB2NtSYigTQyR2rq9u4Ub2Sq4/edit?usp=sharing"",""มุกดาหาร!N420"")+IMPORTRANGE(""https://docs.google.com/spreadsheets/"&amp;"d/1NexK3geCPxCTO1fzNF8dPec7yZyUx3OaWkFBC9HsQOo/edit?usp=sharing"",""ยโสธร!N420"")+IMPORTRANGE(""https://docs.google.com/spreadsheets/d/1v_cJrbBlyqmnHPReHk44g9NrMRdENNlSy_E_c5M9fIg/edit?usp=sharing"",""ร้อยเอ็ด!N420"")+IMPORTRANGE(""https://docs.google.com"&amp;"/spreadsheets/d/1Ul4RCpCX66NxYADU1QpwAPjOmBzW64SsT11s1wzXw_c/edit?usp=sharing"",""เลย!N420"")+IMPORTRANGE(""https://docs.google.com/spreadsheets/d/1bRrNKwbHDVktQG10isr5vbWRtt5spIZPpkOSWgbT5ug/edit?usp=sharing"",""ศรีสะเกษ!N420"")+IMPORTRANGE(""https://doc"&amp;"s.google.com/spreadsheets/d/17P34_Ow5kFBfdQD0qspb2UuPX5zpi6WMrQzslghyvrI/edit?usp=sharing"",""สกลนคร!N420"")+IMPORTRANGE(""https://docs.google.com/spreadsheets/d/1yswqbM3-AEpThF3ZSUa1AcmHnmRTF1vlJ1CZGcJ8YuU/edit?usp=sharing"",""สุรินทร์!N420"")+IMPORTRANG"&amp;"E(""https://docs.google.com/spreadsheets/d/13JHU_EFbsQOUQ0JSQ3dWy1VTRosIWcDq6Nc99z2qzdc/edit?usp=sharing"",""หนองคาย!N420"")+IMPORTRANGE(""https://docs.google.com/spreadsheets/d/1Hx73zIEgVdDZZaYSTc46Dqv64atFhpr3GelxLbaIN8A/edit?usp=sharing"",""หนองบัวลำภู"&amp;"!N420"")+IMPORTRANGE(""https://docs.google.com/spreadsheets/d/1lFxr3ctmjFN90yc-xV6jrQ9Ty8BKYVBWnAZ15wcNIJc/edit?usp=sharing"",""อำนาจเจริญ!N420"")+IMPORTRANGE(""https://docs.google.com/spreadsheets/d/1gF7RJpRnL-1oyjyeWxs5SFWEH7y8ahOZsQlyp2A2e-A/edit?usp=s"&amp;"haring"",""อุดรธานี!N420"")+IMPORTRANGE(""https://docs.google.com/spreadsheets/d/1kfLP0j3INXRa8bTDpcEmoWewMBV61jlFlfzczfjWIgc/edit?usp=sharing"",""อุบลราชธานี!N420"")"),0)</f>
        <v>0</v>
      </c>
      <c r="O420" s="59">
        <f t="shared" ca="1" si="314"/>
        <v>0</v>
      </c>
      <c r="P420" s="59">
        <f t="shared" ca="1" si="315"/>
        <v>0</v>
      </c>
      <c r="Q420" s="59">
        <f ca="1">IFERROR(__xludf.DUMMYFUNCTION("IMPORTRANGE(""https://docs.google.com/spreadsheets/d/1yhBcrRPreicbMKl9Bu_Snb2-OcQAF62RKfhTLhJ2eAA/edit?usp=sharing"",""กาฬสินธุ์!Q420"")+IMPORTRANGE(""https://docs.google.com/spreadsheets/d/1aHkj4IaQMThhwWwevcOymEh837vdxeC_PycurhTbGFA/edit?usp=sharing"","&amp;"""ขอนแก่น!Q420"")+IMPORTRANGE(""https://docs.google.com/spreadsheets/d/1FvTu2DsIWUjP6WCWra38Bkj_oOl_sOMf14r5Fg5srxU/edit?usp=sharing"",""ชัยภูมิ!Q420"")+IMPORTRANGE(""https://docs.google.com/spreadsheets/d/1XVB7oCJ3pr-vBUdflwPQ8Z2LlzhnCvZaaYjAfP-647E/edit"&amp;"?usp=sharing"",""นครพนม!Q420"")+IMPORTRANGE(""https://docs.google.com/spreadsheets/d/1Mnpb-8PYAgn85W6KOTD40hc_Xc55CaLfHoGAbrZ8tls/edit?usp=sharing"",""นครราชสีมา!Q420"")+IMPORTRANGE(""https://docs.google.com/spreadsheets/d/1xoDLGBv9CYbyosIhki0kTq6IpYNj-gp"&amp;"jxfobnaDiut0/edit?usp=sharing"",""บึงกาฬ!Q420"")+IMPORTRANGE(""https://docs.google.com/spreadsheets/d/1MMPq-JyI6DSgQETxuSiXkesP-P7JHuemnE6QJIa-Nlw/edit?usp=sharing"",""บุรีรัมย์!Q420"")+IMPORTRANGE(""https://docs.google.com/spreadsheets/d/1l6IZ8xUPgMrESzc"&amp;"TYwhA1k_tPjeQjJPTqlm8Gd9eU5g/edit?usp=sharing"",""มหาสารคาม!Q420"")+IMPORTRANGE(""https://docs.google.com/spreadsheets/d/1uB74YLqNjWX6FObjekfB2NtSYigTQyR2rq9u4Ub2Sq4/edit?usp=sharing"",""มุกดาหาร!Q420"")+IMPORTRANGE(""https://docs.google.com/spreadsheets/"&amp;"d/1NexK3geCPxCTO1fzNF8dPec7yZyUx3OaWkFBC9HsQOo/edit?usp=sharing"",""ยโสธร!Q420"")+IMPORTRANGE(""https://docs.google.com/spreadsheets/d/1v_cJrbBlyqmnHPReHk44g9NrMRdENNlSy_E_c5M9fIg/edit?usp=sharing"",""ร้อยเอ็ด!Q420"")+IMPORTRANGE(""https://docs.google.com"&amp;"/spreadsheets/d/1Ul4RCpCX66NxYADU1QpwAPjOmBzW64SsT11s1wzXw_c/edit?usp=sharing"",""เลย!Q420"")+IMPORTRANGE(""https://docs.google.com/spreadsheets/d/1bRrNKwbHDVktQG10isr5vbWRtt5spIZPpkOSWgbT5ug/edit?usp=sharing"",""ศรีสะเกษ!Q420"")+IMPORTRANGE(""https://doc"&amp;"s.google.com/spreadsheets/d/17P34_Ow5kFBfdQD0qspb2UuPX5zpi6WMrQzslghyvrI/edit?usp=sharing"",""สกลนคร!Q420"")+IMPORTRANGE(""https://docs.google.com/spreadsheets/d/1yswqbM3-AEpThF3ZSUa1AcmHnmRTF1vlJ1CZGcJ8YuU/edit?usp=sharing"",""สุรินทร์!Q420"")+IMPORTRANG"&amp;"E(""https://docs.google.com/spreadsheets/d/13JHU_EFbsQOUQ0JSQ3dWy1VTRosIWcDq6Nc99z2qzdc/edit?usp=sharing"",""หนองคาย!Q420"")+IMPORTRANGE(""https://docs.google.com/spreadsheets/d/1Hx73zIEgVdDZZaYSTc46Dqv64atFhpr3GelxLbaIN8A/edit?usp=sharing"",""หนองบัวลำภู"&amp;"!Q420"")+IMPORTRANGE(""https://docs.google.com/spreadsheets/d/1lFxr3ctmjFN90yc-xV6jrQ9Ty8BKYVBWnAZ15wcNIJc/edit?usp=sharing"",""อำนาจเจริญ!Q420"")+IMPORTRANGE(""https://docs.google.com/spreadsheets/d/1gF7RJpRnL-1oyjyeWxs5SFWEH7y8ahOZsQlyp2A2e-A/edit?usp=s"&amp;"haring"",""อุดรธานี!Q420"")+IMPORTRANGE(""https://docs.google.com/spreadsheets/d/1kfLP0j3INXRa8bTDpcEmoWewMBV61jlFlfzczfjWIgc/edit?usp=sharing"",""อุบลราชธานี!Q420"")"),0)</f>
        <v>0</v>
      </c>
      <c r="R420" s="59">
        <f ca="1">IFERROR(__xludf.DUMMYFUNCTION("IMPORTRANGE(""https://docs.google.com/spreadsheets/d/1yhBcrRPreicbMKl9Bu_Snb2-OcQAF62RKfhTLhJ2eAA/edit?usp=sharing"",""กาฬสินธุ์!R420"")+IMPORTRANGE(""https://docs.google.com/spreadsheets/d/1aHkj4IaQMThhwWwevcOymEh837vdxeC_PycurhTbGFA/edit?usp=sharing"","&amp;"""ขอนแก่น!R420"")+IMPORTRANGE(""https://docs.google.com/spreadsheets/d/1FvTu2DsIWUjP6WCWra38Bkj_oOl_sOMf14r5Fg5srxU/edit?usp=sharing"",""ชัยภูมิ!R420"")+IMPORTRANGE(""https://docs.google.com/spreadsheets/d/1XVB7oCJ3pr-vBUdflwPQ8Z2LlzhnCvZaaYjAfP-647E/edit"&amp;"?usp=sharing"",""นครพนม!R420"")+IMPORTRANGE(""https://docs.google.com/spreadsheets/d/1Mnpb-8PYAgn85W6KOTD40hc_Xc55CaLfHoGAbrZ8tls/edit?usp=sharing"",""นครราชสีมา!R420"")+IMPORTRANGE(""https://docs.google.com/spreadsheets/d/1xoDLGBv9CYbyosIhki0kTq6IpYNj-gp"&amp;"jxfobnaDiut0/edit?usp=sharing"",""บึงกาฬ!R420"")+IMPORTRANGE(""https://docs.google.com/spreadsheets/d/1MMPq-JyI6DSgQETxuSiXkesP-P7JHuemnE6QJIa-Nlw/edit?usp=sharing"",""บุรีรัมย์!R420"")+IMPORTRANGE(""https://docs.google.com/spreadsheets/d/1l6IZ8xUPgMrESzc"&amp;"TYwhA1k_tPjeQjJPTqlm8Gd9eU5g/edit?usp=sharing"",""มหาสารคาม!R420"")+IMPORTRANGE(""https://docs.google.com/spreadsheets/d/1uB74YLqNjWX6FObjekfB2NtSYigTQyR2rq9u4Ub2Sq4/edit?usp=sharing"",""มุกดาหาร!R420"")+IMPORTRANGE(""https://docs.google.com/spreadsheets/"&amp;"d/1NexK3geCPxCTO1fzNF8dPec7yZyUx3OaWkFBC9HsQOo/edit?usp=sharing"",""ยโสธร!R420"")+IMPORTRANGE(""https://docs.google.com/spreadsheets/d/1v_cJrbBlyqmnHPReHk44g9NrMRdENNlSy_E_c5M9fIg/edit?usp=sharing"",""ร้อยเอ็ด!R420"")+IMPORTRANGE(""https://docs.google.com"&amp;"/spreadsheets/d/1Ul4RCpCX66NxYADU1QpwAPjOmBzW64SsT11s1wzXw_c/edit?usp=sharing"",""เลย!R420"")+IMPORTRANGE(""https://docs.google.com/spreadsheets/d/1bRrNKwbHDVktQG10isr5vbWRtt5spIZPpkOSWgbT5ug/edit?usp=sharing"",""ศรีสะเกษ!R420"")+IMPORTRANGE(""https://doc"&amp;"s.google.com/spreadsheets/d/17P34_Ow5kFBfdQD0qspb2UuPX5zpi6WMrQzslghyvrI/edit?usp=sharing"",""สกลนคร!R420"")+IMPORTRANGE(""https://docs.google.com/spreadsheets/d/1yswqbM3-AEpThF3ZSUa1AcmHnmRTF1vlJ1CZGcJ8YuU/edit?usp=sharing"",""สุรินทร์!R420"")+IMPORTRANG"&amp;"E(""https://docs.google.com/spreadsheets/d/13JHU_EFbsQOUQ0JSQ3dWy1VTRosIWcDq6Nc99z2qzdc/edit?usp=sharing"",""หนองคาย!R420"")+IMPORTRANGE(""https://docs.google.com/spreadsheets/d/1Hx73zIEgVdDZZaYSTc46Dqv64atFhpr3GelxLbaIN8A/edit?usp=sharing"",""หนองบัวลำภู"&amp;"!R420"")+IMPORTRANGE(""https://docs.google.com/spreadsheets/d/1lFxr3ctmjFN90yc-xV6jrQ9Ty8BKYVBWnAZ15wcNIJc/edit?usp=sharing"",""อำนาจเจริญ!R420"")+IMPORTRANGE(""https://docs.google.com/spreadsheets/d/1gF7RJpRnL-1oyjyeWxs5SFWEH7y8ahOZsQlyp2A2e-A/edit?usp=s"&amp;"haring"",""อุดรธานี!R420"")+IMPORTRANGE(""https://docs.google.com/spreadsheets/d/1kfLP0j3INXRa8bTDpcEmoWewMBV61jlFlfzczfjWIgc/edit?usp=sharing"",""อุบลราชธานี!R420"")"),0)</f>
        <v>0</v>
      </c>
      <c r="S420" s="60">
        <f ca="1">IFERROR(__xludf.DUMMYFUNCTION("IMPORTRANGE(""https://docs.google.com/spreadsheets/d/1yhBcrRPreicbMKl9Bu_Snb2-OcQAF62RKfhTLhJ2eAA/edit?usp=sharing"",""กาฬสินธุ์!S420"")+IMPORTRANGE(""https://docs.google.com/spreadsheets/d/1aHkj4IaQMThhwWwevcOymEh837vdxeC_PycurhTbGFA/edit?usp=sharing"","&amp;"""ขอนแก่น!S420"")+IMPORTRANGE(""https://docs.google.com/spreadsheets/d/1FvTu2DsIWUjP6WCWra38Bkj_oOl_sOMf14r5Fg5srxU/edit?usp=sharing"",""ชัยภูมิ!S420"")+IMPORTRANGE(""https://docs.google.com/spreadsheets/d/1XVB7oCJ3pr-vBUdflwPQ8Z2LlzhnCvZaaYjAfP-647E/edit"&amp;"?usp=sharing"",""นครพนม!S420"")+IMPORTRANGE(""https://docs.google.com/spreadsheets/d/1Mnpb-8PYAgn85W6KOTD40hc_Xc55CaLfHoGAbrZ8tls/edit?usp=sharing"",""นครราชสีมา!S420"")+IMPORTRANGE(""https://docs.google.com/spreadsheets/d/1xoDLGBv9CYbyosIhki0kTq6IpYNj-gp"&amp;"jxfobnaDiut0/edit?usp=sharing"",""บึงกาฬ!S420"")+IMPORTRANGE(""https://docs.google.com/spreadsheets/d/1MMPq-JyI6DSgQETxuSiXkesP-P7JHuemnE6QJIa-Nlw/edit?usp=sharing"",""บุรีรัมย์!S420"")+IMPORTRANGE(""https://docs.google.com/spreadsheets/d/1l6IZ8xUPgMrESzc"&amp;"TYwhA1k_tPjeQjJPTqlm8Gd9eU5g/edit?usp=sharing"",""มหาสารคาม!S420"")+IMPORTRANGE(""https://docs.google.com/spreadsheets/d/1uB74YLqNjWX6FObjekfB2NtSYigTQyR2rq9u4Ub2Sq4/edit?usp=sharing"",""มุกดาหาร!S420"")+IMPORTRANGE(""https://docs.google.com/spreadsheets/"&amp;"d/1NexK3geCPxCTO1fzNF8dPec7yZyUx3OaWkFBC9HsQOo/edit?usp=sharing"",""ยโสธร!S420"")+IMPORTRANGE(""https://docs.google.com/spreadsheets/d/1v_cJrbBlyqmnHPReHk44g9NrMRdENNlSy_E_c5M9fIg/edit?usp=sharing"",""ร้อยเอ็ด!S420"")+IMPORTRANGE(""https://docs.google.com"&amp;"/spreadsheets/d/1Ul4RCpCX66NxYADU1QpwAPjOmBzW64SsT11s1wzXw_c/edit?usp=sharing"",""เลย!S420"")+IMPORTRANGE(""https://docs.google.com/spreadsheets/d/1bRrNKwbHDVktQG10isr5vbWRtt5spIZPpkOSWgbT5ug/edit?usp=sharing"",""ศรีสะเกษ!S420"")+IMPORTRANGE(""https://doc"&amp;"s.google.com/spreadsheets/d/17P34_Ow5kFBfdQD0qspb2UuPX5zpi6WMrQzslghyvrI/edit?usp=sharing"",""สกลนคร!S420"")+IMPORTRANGE(""https://docs.google.com/spreadsheets/d/1yswqbM3-AEpThF3ZSUa1AcmHnmRTF1vlJ1CZGcJ8YuU/edit?usp=sharing"",""สุรินทร์!S420"")+IMPORTRANG"&amp;"E(""https://docs.google.com/spreadsheets/d/13JHU_EFbsQOUQ0JSQ3dWy1VTRosIWcDq6Nc99z2qzdc/edit?usp=sharing"",""หนองคาย!S420"")+IMPORTRANGE(""https://docs.google.com/spreadsheets/d/1Hx73zIEgVdDZZaYSTc46Dqv64atFhpr3GelxLbaIN8A/edit?usp=sharing"",""หนองบัวลำภู"&amp;"!S420"")+IMPORTRANGE(""https://docs.google.com/spreadsheets/d/1lFxr3ctmjFN90yc-xV6jrQ9Ty8BKYVBWnAZ15wcNIJc/edit?usp=sharing"",""อำนาจเจริญ!S420"")+IMPORTRANGE(""https://docs.google.com/spreadsheets/d/1gF7RJpRnL-1oyjyeWxs5SFWEH7y8ahOZsQlyp2A2e-A/edit?usp=s"&amp;"haring"",""อุดรธานี!S420"")+IMPORTRANGE(""https://docs.google.com/spreadsheets/d/1kfLP0j3INXRa8bTDpcEmoWewMBV61jlFlfzczfjWIgc/edit?usp=sharing"",""อุบลราชธานี!S420"")"),0)</f>
        <v>0</v>
      </c>
      <c r="T420" s="59">
        <f t="shared" ca="1" si="317"/>
        <v>0</v>
      </c>
      <c r="U420" s="59">
        <f t="shared" ca="1" si="318"/>
        <v>0</v>
      </c>
    </row>
    <row r="421" spans="1:21" ht="18.75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56">
        <f ca="1">IFERROR(__xludf.DUMMYFUNCTION("IMPORTRANGE(""https://docs.google.com/spreadsheets/d/1yhBcrRPreicbMKl9Bu_Snb2-OcQAF62RKfhTLhJ2eAA/edit?usp=sharing"",""กาฬสินธุ์!L421"")+IMPORTRANGE(""https://docs.google.com/spreadsheets/d/1aHkj4IaQMThhwWwevcOymEh837vdxeC_PycurhTbGFA/edit?usp=sharing"","&amp;"""ขอนแก่น!L421"")+IMPORTRANGE(""https://docs.google.com/spreadsheets/d/1FvTu2DsIWUjP6WCWra38Bkj_oOl_sOMf14r5Fg5srxU/edit?usp=sharing"",""ชัยภูมิ!L421"")+IMPORTRANGE(""https://docs.google.com/spreadsheets/d/1XVB7oCJ3pr-vBUdflwPQ8Z2LlzhnCvZaaYjAfP-647E/edit"&amp;"?usp=sharing"",""นครพนม!L421"")+IMPORTRANGE(""https://docs.google.com/spreadsheets/d/1Mnpb-8PYAgn85W6KOTD40hc_Xc55CaLfHoGAbrZ8tls/edit?usp=sharing"",""นครราชสีมา!L421"")+IMPORTRANGE(""https://docs.google.com/spreadsheets/d/1xoDLGBv9CYbyosIhki0kTq6IpYNj-gp"&amp;"jxfobnaDiut0/edit?usp=sharing"",""บึงกาฬ!L421"")+IMPORTRANGE(""https://docs.google.com/spreadsheets/d/1MMPq-JyI6DSgQETxuSiXkesP-P7JHuemnE6QJIa-Nlw/edit?usp=sharing"",""บุรีรัมย์!L421"")+IMPORTRANGE(""https://docs.google.com/spreadsheets/d/1l6IZ8xUPgMrESzc"&amp;"TYwhA1k_tPjeQjJPTqlm8Gd9eU5g/edit?usp=sharing"",""มหาสารคาม!L421"")+IMPORTRANGE(""https://docs.google.com/spreadsheets/d/1uB74YLqNjWX6FObjekfB2NtSYigTQyR2rq9u4Ub2Sq4/edit?usp=sharing"",""มุกดาหาร!L421"")+IMPORTRANGE(""https://docs.google.com/spreadsheets/"&amp;"d/1NexK3geCPxCTO1fzNF8dPec7yZyUx3OaWkFBC9HsQOo/edit?usp=sharing"",""ยโสธร!L421"")+IMPORTRANGE(""https://docs.google.com/spreadsheets/d/1v_cJrbBlyqmnHPReHk44g9NrMRdENNlSy_E_c5M9fIg/edit?usp=sharing"",""ร้อยเอ็ด!L421"")+IMPORTRANGE(""https://docs.google.com"&amp;"/spreadsheets/d/1Ul4RCpCX66NxYADU1QpwAPjOmBzW64SsT11s1wzXw_c/edit?usp=sharing"",""เลย!L421"")+IMPORTRANGE(""https://docs.google.com/spreadsheets/d/1bRrNKwbHDVktQG10isr5vbWRtt5spIZPpkOSWgbT5ug/edit?usp=sharing"",""ศรีสะเกษ!L421"")+IMPORTRANGE(""https://doc"&amp;"s.google.com/spreadsheets/d/17P34_Ow5kFBfdQD0qspb2UuPX5zpi6WMrQzslghyvrI/edit?usp=sharing"",""สกลนคร!L421"")+IMPORTRANGE(""https://docs.google.com/spreadsheets/d/1yswqbM3-AEpThF3ZSUa1AcmHnmRTF1vlJ1CZGcJ8YuU/edit?usp=sharing"",""สุรินทร์!L421"")+IMPORTRANG"&amp;"E(""https://docs.google.com/spreadsheets/d/13JHU_EFbsQOUQ0JSQ3dWy1VTRosIWcDq6Nc99z2qzdc/edit?usp=sharing"",""หนองคาย!L421"")+IMPORTRANGE(""https://docs.google.com/spreadsheets/d/1Hx73zIEgVdDZZaYSTc46Dqv64atFhpr3GelxLbaIN8A/edit?usp=sharing"",""หนองบัวลำภู"&amp;"!L421"")+IMPORTRANGE(""https://docs.google.com/spreadsheets/d/1lFxr3ctmjFN90yc-xV6jrQ9Ty8BKYVBWnAZ15wcNIJc/edit?usp=sharing"",""อำนาจเจริญ!L421"")+IMPORTRANGE(""https://docs.google.com/spreadsheets/d/1gF7RJpRnL-1oyjyeWxs5SFWEH7y8ahOZsQlyp2A2e-A/edit?usp=s"&amp;"haring"",""อุดรธานี!L421"")+IMPORTRANGE(""https://docs.google.com/spreadsheets/d/1kfLP0j3INXRa8bTDpcEmoWewMBV61jlFlfzczfjWIgc/edit?usp=sharing"",""อุบลราชธานี!L421"")"),0)</f>
        <v>0</v>
      </c>
      <c r="M421" s="56">
        <f ca="1">IFERROR(__xludf.DUMMYFUNCTION("IMPORTRANGE(""https://docs.google.com/spreadsheets/d/1yhBcrRPreicbMKl9Bu_Snb2-OcQAF62RKfhTLhJ2eAA/edit?usp=sharing"",""กาฬสินธุ์!M421"")+IMPORTRANGE(""https://docs.google.com/spreadsheets/d/1aHkj4IaQMThhwWwevcOymEh837vdxeC_PycurhTbGFA/edit?usp=sharing"","&amp;"""ขอนแก่น!M421"")+IMPORTRANGE(""https://docs.google.com/spreadsheets/d/1FvTu2DsIWUjP6WCWra38Bkj_oOl_sOMf14r5Fg5srxU/edit?usp=sharing"",""ชัยภูมิ!M421"")+IMPORTRANGE(""https://docs.google.com/spreadsheets/d/1XVB7oCJ3pr-vBUdflwPQ8Z2LlzhnCvZaaYjAfP-647E/edit"&amp;"?usp=sharing"",""นครพนม!M421"")+IMPORTRANGE(""https://docs.google.com/spreadsheets/d/1Mnpb-8PYAgn85W6KOTD40hc_Xc55CaLfHoGAbrZ8tls/edit?usp=sharing"",""นครราชสีมา!M421"")+IMPORTRANGE(""https://docs.google.com/spreadsheets/d/1xoDLGBv9CYbyosIhki0kTq6IpYNj-gp"&amp;"jxfobnaDiut0/edit?usp=sharing"",""บึงกาฬ!M421"")+IMPORTRANGE(""https://docs.google.com/spreadsheets/d/1MMPq-JyI6DSgQETxuSiXkesP-P7JHuemnE6QJIa-Nlw/edit?usp=sharing"",""บุรีรัมย์!M421"")+IMPORTRANGE(""https://docs.google.com/spreadsheets/d/1l6IZ8xUPgMrESzc"&amp;"TYwhA1k_tPjeQjJPTqlm8Gd9eU5g/edit?usp=sharing"",""มหาสารคาม!M421"")+IMPORTRANGE(""https://docs.google.com/spreadsheets/d/1uB74YLqNjWX6FObjekfB2NtSYigTQyR2rq9u4Ub2Sq4/edit?usp=sharing"",""มุกดาหาร!M421"")+IMPORTRANGE(""https://docs.google.com/spreadsheets/"&amp;"d/1NexK3geCPxCTO1fzNF8dPec7yZyUx3OaWkFBC9HsQOo/edit?usp=sharing"",""ยโสธร!M421"")+IMPORTRANGE(""https://docs.google.com/spreadsheets/d/1v_cJrbBlyqmnHPReHk44g9NrMRdENNlSy_E_c5M9fIg/edit?usp=sharing"",""ร้อยเอ็ด!M421"")+IMPORTRANGE(""https://docs.google.com"&amp;"/spreadsheets/d/1Ul4RCpCX66NxYADU1QpwAPjOmBzW64SsT11s1wzXw_c/edit?usp=sharing"",""เลย!M421"")+IMPORTRANGE(""https://docs.google.com/spreadsheets/d/1bRrNKwbHDVktQG10isr5vbWRtt5spIZPpkOSWgbT5ug/edit?usp=sharing"",""ศรีสะเกษ!M421"")+IMPORTRANGE(""https://doc"&amp;"s.google.com/spreadsheets/d/17P34_Ow5kFBfdQD0qspb2UuPX5zpi6WMrQzslghyvrI/edit?usp=sharing"",""สกลนคร!M421"")+IMPORTRANGE(""https://docs.google.com/spreadsheets/d/1yswqbM3-AEpThF3ZSUa1AcmHnmRTF1vlJ1CZGcJ8YuU/edit?usp=sharing"",""สุรินทร์!M421"")+IMPORTRANG"&amp;"E(""https://docs.google.com/spreadsheets/d/13JHU_EFbsQOUQ0JSQ3dWy1VTRosIWcDq6Nc99z2qzdc/edit?usp=sharing"",""หนองคาย!M421"")+IMPORTRANGE(""https://docs.google.com/spreadsheets/d/1Hx73zIEgVdDZZaYSTc46Dqv64atFhpr3GelxLbaIN8A/edit?usp=sharing"",""หนองบัวลำภู"&amp;"!M421"")+IMPORTRANGE(""https://docs.google.com/spreadsheets/d/1lFxr3ctmjFN90yc-xV6jrQ9Ty8BKYVBWnAZ15wcNIJc/edit?usp=sharing"",""อำนาจเจริญ!M421"")+IMPORTRANGE(""https://docs.google.com/spreadsheets/d/1gF7RJpRnL-1oyjyeWxs5SFWEH7y8ahOZsQlyp2A2e-A/edit?usp=s"&amp;"haring"",""อุดรธานี!M421"")+IMPORTRANGE(""https://docs.google.com/spreadsheets/d/1kfLP0j3INXRa8bTDpcEmoWewMBV61jlFlfzczfjWIgc/edit?usp=sharing"",""อุบลราชธานี!M421"")"),0)</f>
        <v>0</v>
      </c>
      <c r="N421" s="56">
        <f ca="1">IFERROR(__xludf.DUMMYFUNCTION("IMPORTRANGE(""https://docs.google.com/spreadsheets/d/1yhBcrRPreicbMKl9Bu_Snb2-OcQAF62RKfhTLhJ2eAA/edit?usp=sharing"",""กาฬสินธุ์!N421"")+IMPORTRANGE(""https://docs.google.com/spreadsheets/d/1aHkj4IaQMThhwWwevcOymEh837vdxeC_PycurhTbGFA/edit?usp=sharing"","&amp;"""ขอนแก่น!N421"")+IMPORTRANGE(""https://docs.google.com/spreadsheets/d/1FvTu2DsIWUjP6WCWra38Bkj_oOl_sOMf14r5Fg5srxU/edit?usp=sharing"",""ชัยภูมิ!N421"")+IMPORTRANGE(""https://docs.google.com/spreadsheets/d/1XVB7oCJ3pr-vBUdflwPQ8Z2LlzhnCvZaaYjAfP-647E/edit"&amp;"?usp=sharing"",""นครพนม!N421"")+IMPORTRANGE(""https://docs.google.com/spreadsheets/d/1Mnpb-8PYAgn85W6KOTD40hc_Xc55CaLfHoGAbrZ8tls/edit?usp=sharing"",""นครราชสีมา!N421"")+IMPORTRANGE(""https://docs.google.com/spreadsheets/d/1xoDLGBv9CYbyosIhki0kTq6IpYNj-gp"&amp;"jxfobnaDiut0/edit?usp=sharing"",""บึงกาฬ!N421"")+IMPORTRANGE(""https://docs.google.com/spreadsheets/d/1MMPq-JyI6DSgQETxuSiXkesP-P7JHuemnE6QJIa-Nlw/edit?usp=sharing"",""บุรีรัมย์!N421"")+IMPORTRANGE(""https://docs.google.com/spreadsheets/d/1l6IZ8xUPgMrESzc"&amp;"TYwhA1k_tPjeQjJPTqlm8Gd9eU5g/edit?usp=sharing"",""มหาสารคาม!N421"")+IMPORTRANGE(""https://docs.google.com/spreadsheets/d/1uB74YLqNjWX6FObjekfB2NtSYigTQyR2rq9u4Ub2Sq4/edit?usp=sharing"",""มุกดาหาร!N421"")+IMPORTRANGE(""https://docs.google.com/spreadsheets/"&amp;"d/1NexK3geCPxCTO1fzNF8dPec7yZyUx3OaWkFBC9HsQOo/edit?usp=sharing"",""ยโสธร!N421"")+IMPORTRANGE(""https://docs.google.com/spreadsheets/d/1v_cJrbBlyqmnHPReHk44g9NrMRdENNlSy_E_c5M9fIg/edit?usp=sharing"",""ร้อยเอ็ด!N421"")+IMPORTRANGE(""https://docs.google.com"&amp;"/spreadsheets/d/1Ul4RCpCX66NxYADU1QpwAPjOmBzW64SsT11s1wzXw_c/edit?usp=sharing"",""เลย!N421"")+IMPORTRANGE(""https://docs.google.com/spreadsheets/d/1bRrNKwbHDVktQG10isr5vbWRtt5spIZPpkOSWgbT5ug/edit?usp=sharing"",""ศรีสะเกษ!N421"")+IMPORTRANGE(""https://doc"&amp;"s.google.com/spreadsheets/d/17P34_Ow5kFBfdQD0qspb2UuPX5zpi6WMrQzslghyvrI/edit?usp=sharing"",""สกลนคร!N421"")+IMPORTRANGE(""https://docs.google.com/spreadsheets/d/1yswqbM3-AEpThF3ZSUa1AcmHnmRTF1vlJ1CZGcJ8YuU/edit?usp=sharing"",""สุรินทร์!N421"")+IMPORTRANG"&amp;"E(""https://docs.google.com/spreadsheets/d/13JHU_EFbsQOUQ0JSQ3dWy1VTRosIWcDq6Nc99z2qzdc/edit?usp=sharing"",""หนองคาย!N421"")+IMPORTRANGE(""https://docs.google.com/spreadsheets/d/1Hx73zIEgVdDZZaYSTc46Dqv64atFhpr3GelxLbaIN8A/edit?usp=sharing"",""หนองบัวลำภู"&amp;"!N421"")+IMPORTRANGE(""https://docs.google.com/spreadsheets/d/1lFxr3ctmjFN90yc-xV6jrQ9Ty8BKYVBWnAZ15wcNIJc/edit?usp=sharing"",""อำนาจเจริญ!N421"")+IMPORTRANGE(""https://docs.google.com/spreadsheets/d/1gF7RJpRnL-1oyjyeWxs5SFWEH7y8ahOZsQlyp2A2e-A/edit?usp=s"&amp;"haring"",""อุดรธานี!N421"")+IMPORTRANGE(""https://docs.google.com/spreadsheets/d/1kfLP0j3INXRa8bTDpcEmoWewMBV61jlFlfzczfjWIgc/edit?usp=sharing"",""อุบลราชธานี!N421"")"),0)</f>
        <v>0</v>
      </c>
      <c r="O421" s="56">
        <f t="shared" ca="1" si="314"/>
        <v>0</v>
      </c>
      <c r="P421" s="56">
        <f t="shared" ca="1" si="315"/>
        <v>0</v>
      </c>
      <c r="Q421" s="56">
        <f ca="1">IFERROR(__xludf.DUMMYFUNCTION("IMPORTRANGE(""https://docs.google.com/spreadsheets/d/1yhBcrRPreicbMKl9Bu_Snb2-OcQAF62RKfhTLhJ2eAA/edit?usp=sharing"",""กาฬสินธุ์!Q421"")+IMPORTRANGE(""https://docs.google.com/spreadsheets/d/1aHkj4IaQMThhwWwevcOymEh837vdxeC_PycurhTbGFA/edit?usp=sharing"","&amp;"""ขอนแก่น!Q421"")+IMPORTRANGE(""https://docs.google.com/spreadsheets/d/1FvTu2DsIWUjP6WCWra38Bkj_oOl_sOMf14r5Fg5srxU/edit?usp=sharing"",""ชัยภูมิ!Q421"")+IMPORTRANGE(""https://docs.google.com/spreadsheets/d/1XVB7oCJ3pr-vBUdflwPQ8Z2LlzhnCvZaaYjAfP-647E/edit"&amp;"?usp=sharing"",""นครพนม!Q421"")+IMPORTRANGE(""https://docs.google.com/spreadsheets/d/1Mnpb-8PYAgn85W6KOTD40hc_Xc55CaLfHoGAbrZ8tls/edit?usp=sharing"",""นครราชสีมา!Q421"")+IMPORTRANGE(""https://docs.google.com/spreadsheets/d/1xoDLGBv9CYbyosIhki0kTq6IpYNj-gp"&amp;"jxfobnaDiut0/edit?usp=sharing"",""บึงกาฬ!Q421"")+IMPORTRANGE(""https://docs.google.com/spreadsheets/d/1MMPq-JyI6DSgQETxuSiXkesP-P7JHuemnE6QJIa-Nlw/edit?usp=sharing"",""บุรีรัมย์!Q421"")+IMPORTRANGE(""https://docs.google.com/spreadsheets/d/1l6IZ8xUPgMrESzc"&amp;"TYwhA1k_tPjeQjJPTqlm8Gd9eU5g/edit?usp=sharing"",""มหาสารคาม!Q421"")+IMPORTRANGE(""https://docs.google.com/spreadsheets/d/1uB74YLqNjWX6FObjekfB2NtSYigTQyR2rq9u4Ub2Sq4/edit?usp=sharing"",""มุกดาหาร!Q421"")+IMPORTRANGE(""https://docs.google.com/spreadsheets/"&amp;"d/1NexK3geCPxCTO1fzNF8dPec7yZyUx3OaWkFBC9HsQOo/edit?usp=sharing"",""ยโสธร!Q421"")+IMPORTRANGE(""https://docs.google.com/spreadsheets/d/1v_cJrbBlyqmnHPReHk44g9NrMRdENNlSy_E_c5M9fIg/edit?usp=sharing"",""ร้อยเอ็ด!Q421"")+IMPORTRANGE(""https://docs.google.com"&amp;"/spreadsheets/d/1Ul4RCpCX66NxYADU1QpwAPjOmBzW64SsT11s1wzXw_c/edit?usp=sharing"",""เลย!Q421"")+IMPORTRANGE(""https://docs.google.com/spreadsheets/d/1bRrNKwbHDVktQG10isr5vbWRtt5spIZPpkOSWgbT5ug/edit?usp=sharing"",""ศรีสะเกษ!Q421"")+IMPORTRANGE(""https://doc"&amp;"s.google.com/spreadsheets/d/17P34_Ow5kFBfdQD0qspb2UuPX5zpi6WMrQzslghyvrI/edit?usp=sharing"",""สกลนคร!Q421"")+IMPORTRANGE(""https://docs.google.com/spreadsheets/d/1yswqbM3-AEpThF3ZSUa1AcmHnmRTF1vlJ1CZGcJ8YuU/edit?usp=sharing"",""สุรินทร์!Q421"")+IMPORTRANG"&amp;"E(""https://docs.google.com/spreadsheets/d/13JHU_EFbsQOUQ0JSQ3dWy1VTRosIWcDq6Nc99z2qzdc/edit?usp=sharing"",""หนองคาย!Q421"")+IMPORTRANGE(""https://docs.google.com/spreadsheets/d/1Hx73zIEgVdDZZaYSTc46Dqv64atFhpr3GelxLbaIN8A/edit?usp=sharing"",""หนองบัวลำภู"&amp;"!Q421"")+IMPORTRANGE(""https://docs.google.com/spreadsheets/d/1lFxr3ctmjFN90yc-xV6jrQ9Ty8BKYVBWnAZ15wcNIJc/edit?usp=sharing"",""อำนาจเจริญ!Q421"")+IMPORTRANGE(""https://docs.google.com/spreadsheets/d/1gF7RJpRnL-1oyjyeWxs5SFWEH7y8ahOZsQlyp2A2e-A/edit?usp=s"&amp;"haring"",""อุดรธานี!Q421"")+IMPORTRANGE(""https://docs.google.com/spreadsheets/d/1kfLP0j3INXRa8bTDpcEmoWewMBV61jlFlfzczfjWIgc/edit?usp=sharing"",""อุบลราชธานี!Q421"")"),0)</f>
        <v>0</v>
      </c>
      <c r="R421" s="56">
        <f ca="1">IFERROR(__xludf.DUMMYFUNCTION("IMPORTRANGE(""https://docs.google.com/spreadsheets/d/1yhBcrRPreicbMKl9Bu_Snb2-OcQAF62RKfhTLhJ2eAA/edit?usp=sharing"",""กาฬสินธุ์!R421"")+IMPORTRANGE(""https://docs.google.com/spreadsheets/d/1aHkj4IaQMThhwWwevcOymEh837vdxeC_PycurhTbGFA/edit?usp=sharing"","&amp;"""ขอนแก่น!R421"")+IMPORTRANGE(""https://docs.google.com/spreadsheets/d/1FvTu2DsIWUjP6WCWra38Bkj_oOl_sOMf14r5Fg5srxU/edit?usp=sharing"",""ชัยภูมิ!R421"")+IMPORTRANGE(""https://docs.google.com/spreadsheets/d/1XVB7oCJ3pr-vBUdflwPQ8Z2LlzhnCvZaaYjAfP-647E/edit"&amp;"?usp=sharing"",""นครพนม!R421"")+IMPORTRANGE(""https://docs.google.com/spreadsheets/d/1Mnpb-8PYAgn85W6KOTD40hc_Xc55CaLfHoGAbrZ8tls/edit?usp=sharing"",""นครราชสีมา!R421"")+IMPORTRANGE(""https://docs.google.com/spreadsheets/d/1xoDLGBv9CYbyosIhki0kTq6IpYNj-gp"&amp;"jxfobnaDiut0/edit?usp=sharing"",""บึงกาฬ!R421"")+IMPORTRANGE(""https://docs.google.com/spreadsheets/d/1MMPq-JyI6DSgQETxuSiXkesP-P7JHuemnE6QJIa-Nlw/edit?usp=sharing"",""บุรีรัมย์!R421"")+IMPORTRANGE(""https://docs.google.com/spreadsheets/d/1l6IZ8xUPgMrESzc"&amp;"TYwhA1k_tPjeQjJPTqlm8Gd9eU5g/edit?usp=sharing"",""มหาสารคาม!R421"")+IMPORTRANGE(""https://docs.google.com/spreadsheets/d/1uB74YLqNjWX6FObjekfB2NtSYigTQyR2rq9u4Ub2Sq4/edit?usp=sharing"",""มุกดาหาร!R421"")+IMPORTRANGE(""https://docs.google.com/spreadsheets/"&amp;"d/1NexK3geCPxCTO1fzNF8dPec7yZyUx3OaWkFBC9HsQOo/edit?usp=sharing"",""ยโสธร!R421"")+IMPORTRANGE(""https://docs.google.com/spreadsheets/d/1v_cJrbBlyqmnHPReHk44g9NrMRdENNlSy_E_c5M9fIg/edit?usp=sharing"",""ร้อยเอ็ด!R421"")+IMPORTRANGE(""https://docs.google.com"&amp;"/spreadsheets/d/1Ul4RCpCX66NxYADU1QpwAPjOmBzW64SsT11s1wzXw_c/edit?usp=sharing"",""เลย!R421"")+IMPORTRANGE(""https://docs.google.com/spreadsheets/d/1bRrNKwbHDVktQG10isr5vbWRtt5spIZPpkOSWgbT5ug/edit?usp=sharing"",""ศรีสะเกษ!R421"")+IMPORTRANGE(""https://doc"&amp;"s.google.com/spreadsheets/d/17P34_Ow5kFBfdQD0qspb2UuPX5zpi6WMrQzslghyvrI/edit?usp=sharing"",""สกลนคร!R421"")+IMPORTRANGE(""https://docs.google.com/spreadsheets/d/1yswqbM3-AEpThF3ZSUa1AcmHnmRTF1vlJ1CZGcJ8YuU/edit?usp=sharing"",""สุรินทร์!R421"")+IMPORTRANG"&amp;"E(""https://docs.google.com/spreadsheets/d/13JHU_EFbsQOUQ0JSQ3dWy1VTRosIWcDq6Nc99z2qzdc/edit?usp=sharing"",""หนองคาย!R421"")+IMPORTRANGE(""https://docs.google.com/spreadsheets/d/1Hx73zIEgVdDZZaYSTc46Dqv64atFhpr3GelxLbaIN8A/edit?usp=sharing"",""หนองบัวลำภู"&amp;"!R421"")+IMPORTRANGE(""https://docs.google.com/spreadsheets/d/1lFxr3ctmjFN90yc-xV6jrQ9Ty8BKYVBWnAZ15wcNIJc/edit?usp=sharing"",""อำนาจเจริญ!R421"")+IMPORTRANGE(""https://docs.google.com/spreadsheets/d/1gF7RJpRnL-1oyjyeWxs5SFWEH7y8ahOZsQlyp2A2e-A/edit?usp=s"&amp;"haring"",""อุดรธานี!R421"")+IMPORTRANGE(""https://docs.google.com/spreadsheets/d/1kfLP0j3INXRa8bTDpcEmoWewMBV61jlFlfzczfjWIgc/edit?usp=sharing"",""อุบลราชธานี!R421"")"),0)</f>
        <v>0</v>
      </c>
      <c r="S421" s="57">
        <f ca="1">IFERROR(__xludf.DUMMYFUNCTION("IMPORTRANGE(""https://docs.google.com/spreadsheets/d/1yhBcrRPreicbMKl9Bu_Snb2-OcQAF62RKfhTLhJ2eAA/edit?usp=sharing"",""กาฬสินธุ์!S421"")+IMPORTRANGE(""https://docs.google.com/spreadsheets/d/1aHkj4IaQMThhwWwevcOymEh837vdxeC_PycurhTbGFA/edit?usp=sharing"","&amp;"""ขอนแก่น!S421"")+IMPORTRANGE(""https://docs.google.com/spreadsheets/d/1FvTu2DsIWUjP6WCWra38Bkj_oOl_sOMf14r5Fg5srxU/edit?usp=sharing"",""ชัยภูมิ!S421"")+IMPORTRANGE(""https://docs.google.com/spreadsheets/d/1XVB7oCJ3pr-vBUdflwPQ8Z2LlzhnCvZaaYjAfP-647E/edit"&amp;"?usp=sharing"",""นครพนม!S421"")+IMPORTRANGE(""https://docs.google.com/spreadsheets/d/1Mnpb-8PYAgn85W6KOTD40hc_Xc55CaLfHoGAbrZ8tls/edit?usp=sharing"",""นครราชสีมา!S421"")+IMPORTRANGE(""https://docs.google.com/spreadsheets/d/1xoDLGBv9CYbyosIhki0kTq6IpYNj-gp"&amp;"jxfobnaDiut0/edit?usp=sharing"",""บึงกาฬ!S421"")+IMPORTRANGE(""https://docs.google.com/spreadsheets/d/1MMPq-JyI6DSgQETxuSiXkesP-P7JHuemnE6QJIa-Nlw/edit?usp=sharing"",""บุรีรัมย์!S421"")+IMPORTRANGE(""https://docs.google.com/spreadsheets/d/1l6IZ8xUPgMrESzc"&amp;"TYwhA1k_tPjeQjJPTqlm8Gd9eU5g/edit?usp=sharing"",""มหาสารคาม!S421"")+IMPORTRANGE(""https://docs.google.com/spreadsheets/d/1uB74YLqNjWX6FObjekfB2NtSYigTQyR2rq9u4Ub2Sq4/edit?usp=sharing"",""มุกดาหาร!S421"")+IMPORTRANGE(""https://docs.google.com/spreadsheets/"&amp;"d/1NexK3geCPxCTO1fzNF8dPec7yZyUx3OaWkFBC9HsQOo/edit?usp=sharing"",""ยโสธร!S421"")+IMPORTRANGE(""https://docs.google.com/spreadsheets/d/1v_cJrbBlyqmnHPReHk44g9NrMRdENNlSy_E_c5M9fIg/edit?usp=sharing"",""ร้อยเอ็ด!S421"")+IMPORTRANGE(""https://docs.google.com"&amp;"/spreadsheets/d/1Ul4RCpCX66NxYADU1QpwAPjOmBzW64SsT11s1wzXw_c/edit?usp=sharing"",""เลย!S421"")+IMPORTRANGE(""https://docs.google.com/spreadsheets/d/1bRrNKwbHDVktQG10isr5vbWRtt5spIZPpkOSWgbT5ug/edit?usp=sharing"",""ศรีสะเกษ!S421"")+IMPORTRANGE(""https://doc"&amp;"s.google.com/spreadsheets/d/17P34_Ow5kFBfdQD0qspb2UuPX5zpi6WMrQzslghyvrI/edit?usp=sharing"",""สกลนคร!S421"")+IMPORTRANGE(""https://docs.google.com/spreadsheets/d/1yswqbM3-AEpThF3ZSUa1AcmHnmRTF1vlJ1CZGcJ8YuU/edit?usp=sharing"",""สุรินทร์!S421"")+IMPORTRANG"&amp;"E(""https://docs.google.com/spreadsheets/d/13JHU_EFbsQOUQ0JSQ3dWy1VTRosIWcDq6Nc99z2qzdc/edit?usp=sharing"",""หนองคาย!S421"")+IMPORTRANGE(""https://docs.google.com/spreadsheets/d/1Hx73zIEgVdDZZaYSTc46Dqv64atFhpr3GelxLbaIN8A/edit?usp=sharing"",""หนองบัวลำภู"&amp;"!S421"")+IMPORTRANGE(""https://docs.google.com/spreadsheets/d/1lFxr3ctmjFN90yc-xV6jrQ9Ty8BKYVBWnAZ15wcNIJc/edit?usp=sharing"",""อำนาจเจริญ!S421"")+IMPORTRANGE(""https://docs.google.com/spreadsheets/d/1gF7RJpRnL-1oyjyeWxs5SFWEH7y8ahOZsQlyp2A2e-A/edit?usp=s"&amp;"haring"",""อุดรธานี!S421"")+IMPORTRANGE(""https://docs.google.com/spreadsheets/d/1kfLP0j3INXRa8bTDpcEmoWewMBV61jlFlfzczfjWIgc/edit?usp=sharing"",""อุบลราชธานี!S421"")"),0)</f>
        <v>0</v>
      </c>
      <c r="T421" s="56">
        <f t="shared" ca="1" si="317"/>
        <v>0</v>
      </c>
      <c r="U421" s="56">
        <f t="shared" ca="1" si="318"/>
        <v>0</v>
      </c>
    </row>
    <row r="422" spans="1:21" ht="19.5">
      <c r="A422" s="238"/>
      <c r="B422" s="188"/>
      <c r="C422" s="367" t="s">
        <v>18</v>
      </c>
      <c r="D422" s="369" t="s">
        <v>38</v>
      </c>
      <c r="E422" s="188"/>
      <c r="F422" s="188"/>
      <c r="G422" s="208"/>
      <c r="H422" s="208"/>
      <c r="I422" s="54"/>
      <c r="J422" s="54"/>
      <c r="K422" s="55"/>
      <c r="L422" s="55"/>
      <c r="M422" s="55"/>
      <c r="N422" s="55"/>
      <c r="O422" s="55"/>
      <c r="P422" s="55"/>
      <c r="Q422" s="55"/>
      <c r="R422" s="55"/>
      <c r="S422" s="62"/>
      <c r="T422" s="55"/>
      <c r="U422" s="55"/>
    </row>
    <row r="423" spans="1:21" ht="19.5">
      <c r="A423" s="238"/>
      <c r="B423" s="191" t="s">
        <v>161</v>
      </c>
      <c r="C423" s="188"/>
      <c r="D423" s="188"/>
      <c r="E423" s="188"/>
      <c r="F423" s="188"/>
      <c r="G423" s="208"/>
      <c r="H423" s="368" t="s">
        <v>46</v>
      </c>
      <c r="I423" s="176">
        <f t="shared" ref="I423:J423" ca="1" si="327">I440</f>
        <v>0</v>
      </c>
      <c r="J423" s="176">
        <f t="shared" ca="1" si="327"/>
        <v>0</v>
      </c>
      <c r="K423" s="159">
        <f t="shared" ref="K423:K425" ca="1" si="328">IF(I423&gt;0,J423*100/I423,0)</f>
        <v>0</v>
      </c>
      <c r="L423" s="55"/>
      <c r="M423" s="55"/>
      <c r="N423" s="55"/>
      <c r="O423" s="55"/>
      <c r="P423" s="55"/>
      <c r="Q423" s="55"/>
      <c r="R423" s="55"/>
      <c r="S423" s="62"/>
      <c r="T423" s="55"/>
      <c r="U423" s="55"/>
    </row>
    <row r="424" spans="1:21" ht="19.5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176">
        <f ca="1">IFERROR(__xludf.DUMMYFUNCTION("IMPORTRANGE(""https://docs.google.com/spreadsheets/d/1yhBcrRPreicbMKl9Bu_Snb2-OcQAF62RKfhTLhJ2eAA/edit?usp=sharing"",""กาฬสินธุ์!I424"")+IMPORTRANGE(""https://docs.google.com/spreadsheets/d/1aHkj4IaQMThhwWwevcOymEh837vdxeC_PycurhTbGFA/edit?usp=sharing"","&amp;"""ขอนแก่น!I424"")+IMPORTRANGE(""https://docs.google.com/spreadsheets/d/1FvTu2DsIWUjP6WCWra38Bkj_oOl_sOMf14r5Fg5srxU/edit?usp=sharing"",""ชัยภูมิ!I424"")+IMPORTRANGE(""https://docs.google.com/spreadsheets/d/1XVB7oCJ3pr-vBUdflwPQ8Z2LlzhnCvZaaYjAfP-647E/edit"&amp;"?usp=sharing"",""นครพนม!I424"")+IMPORTRANGE(""https://docs.google.com/spreadsheets/d/1Mnpb-8PYAgn85W6KOTD40hc_Xc55CaLfHoGAbrZ8tls/edit?usp=sharing"",""นครราชสีมา!I424"")+IMPORTRANGE(""https://docs.google.com/spreadsheets/d/1xoDLGBv9CYbyosIhki0kTq6IpYNj-gp"&amp;"jxfobnaDiut0/edit?usp=sharing"",""บึงกาฬ!I424"")+IMPORTRANGE(""https://docs.google.com/spreadsheets/d/1MMPq-JyI6DSgQETxuSiXkesP-P7JHuemnE6QJIa-Nlw/edit?usp=sharing"",""บุรีรัมย์!I424"")+IMPORTRANGE(""https://docs.google.com/spreadsheets/d/1l6IZ8xUPgMrESzc"&amp;"TYwhA1k_tPjeQjJPTqlm8Gd9eU5g/edit?usp=sharing"",""มหาสารคาม!I424"")+IMPORTRANGE(""https://docs.google.com/spreadsheets/d/1uB74YLqNjWX6FObjekfB2NtSYigTQyR2rq9u4Ub2Sq4/edit?usp=sharing"",""มุกดาหาร!I424"")+IMPORTRANGE(""https://docs.google.com/spreadsheets/"&amp;"d/1NexK3geCPxCTO1fzNF8dPec7yZyUx3OaWkFBC9HsQOo/edit?usp=sharing"",""ยโสธร!I424"")+IMPORTRANGE(""https://docs.google.com/spreadsheets/d/1v_cJrbBlyqmnHPReHk44g9NrMRdENNlSy_E_c5M9fIg/edit?usp=sharing"",""ร้อยเอ็ด!I424"")+IMPORTRANGE(""https://docs.google.com"&amp;"/spreadsheets/d/1Ul4RCpCX66NxYADU1QpwAPjOmBzW64SsT11s1wzXw_c/edit?usp=sharing"",""เลย!I424"")+IMPORTRANGE(""https://docs.google.com/spreadsheets/d/1bRrNKwbHDVktQG10isr5vbWRtt5spIZPpkOSWgbT5ug/edit?usp=sharing"",""ศรีสะเกษ!I424"")+IMPORTRANGE(""https://doc"&amp;"s.google.com/spreadsheets/d/17P34_Ow5kFBfdQD0qspb2UuPX5zpi6WMrQzslghyvrI/edit?usp=sharing"",""สกลนคร!I424"")+IMPORTRANGE(""https://docs.google.com/spreadsheets/d/1yswqbM3-AEpThF3ZSUa1AcmHnmRTF1vlJ1CZGcJ8YuU/edit?usp=sharing"",""สุรินทร์!I424"")+IMPORTRANG"&amp;"E(""https://docs.google.com/spreadsheets/d/13JHU_EFbsQOUQ0JSQ3dWy1VTRosIWcDq6Nc99z2qzdc/edit?usp=sharing"",""หนองคาย!I424"")+IMPORTRANGE(""https://docs.google.com/spreadsheets/d/1Hx73zIEgVdDZZaYSTc46Dqv64atFhpr3GelxLbaIN8A/edit?usp=sharing"",""หนองบัวลำภู"&amp;"!I424"")+IMPORTRANGE(""https://docs.google.com/spreadsheets/d/1lFxr3ctmjFN90yc-xV6jrQ9Ty8BKYVBWnAZ15wcNIJc/edit?usp=sharing"",""อำนาจเจริญ!I424"")+IMPORTRANGE(""https://docs.google.com/spreadsheets/d/1gF7RJpRnL-1oyjyeWxs5SFWEH7y8ahOZsQlyp2A2e-A/edit?usp=s"&amp;"haring"",""อุดรธานี!I424"")+IMPORTRANGE(""https://docs.google.com/spreadsheets/d/1kfLP0j3INXRa8bTDpcEmoWewMBV61jlFlfzczfjWIgc/edit?usp=sharing"",""อุบลราชธานี!I424"")"),0)</f>
        <v>0</v>
      </c>
      <c r="J424" s="176">
        <f t="shared" ref="J424:J425" ca="1" si="329">J426+J428+J430</f>
        <v>0</v>
      </c>
      <c r="K424" s="159">
        <f t="shared" ca="1" si="328"/>
        <v>0</v>
      </c>
      <c r="L424" s="55"/>
      <c r="M424" s="55"/>
      <c r="N424" s="55"/>
      <c r="O424" s="55"/>
      <c r="P424" s="55"/>
      <c r="Q424" s="55"/>
      <c r="R424" s="55"/>
      <c r="S424" s="62"/>
      <c r="T424" s="55"/>
      <c r="U424" s="55"/>
    </row>
    <row r="425" spans="1:21" ht="19.5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176">
        <f ca="1">IFERROR(__xludf.DUMMYFUNCTION("IMPORTRANGE(""https://docs.google.com/spreadsheets/d/1yhBcrRPreicbMKl9Bu_Snb2-OcQAF62RKfhTLhJ2eAA/edit?usp=sharing"",""กาฬสินธุ์!I425"")+IMPORTRANGE(""https://docs.google.com/spreadsheets/d/1aHkj4IaQMThhwWwevcOymEh837vdxeC_PycurhTbGFA/edit?usp=sharing"","&amp;"""ขอนแก่น!I425"")+IMPORTRANGE(""https://docs.google.com/spreadsheets/d/1FvTu2DsIWUjP6WCWra38Bkj_oOl_sOMf14r5Fg5srxU/edit?usp=sharing"",""ชัยภูมิ!I425"")+IMPORTRANGE(""https://docs.google.com/spreadsheets/d/1XVB7oCJ3pr-vBUdflwPQ8Z2LlzhnCvZaaYjAfP-647E/edit"&amp;"?usp=sharing"",""นครพนม!I425"")+IMPORTRANGE(""https://docs.google.com/spreadsheets/d/1Mnpb-8PYAgn85W6KOTD40hc_Xc55CaLfHoGAbrZ8tls/edit?usp=sharing"",""นครราชสีมา!I425"")+IMPORTRANGE(""https://docs.google.com/spreadsheets/d/1xoDLGBv9CYbyosIhki0kTq6IpYNj-gp"&amp;"jxfobnaDiut0/edit?usp=sharing"",""บึงกาฬ!I425"")+IMPORTRANGE(""https://docs.google.com/spreadsheets/d/1MMPq-JyI6DSgQETxuSiXkesP-P7JHuemnE6QJIa-Nlw/edit?usp=sharing"",""บุรีรัมย์!I425"")+IMPORTRANGE(""https://docs.google.com/spreadsheets/d/1l6IZ8xUPgMrESzc"&amp;"TYwhA1k_tPjeQjJPTqlm8Gd9eU5g/edit?usp=sharing"",""มหาสารคาม!I425"")+IMPORTRANGE(""https://docs.google.com/spreadsheets/d/1uB74YLqNjWX6FObjekfB2NtSYigTQyR2rq9u4Ub2Sq4/edit?usp=sharing"",""มุกดาหาร!I425"")+IMPORTRANGE(""https://docs.google.com/spreadsheets/"&amp;"d/1NexK3geCPxCTO1fzNF8dPec7yZyUx3OaWkFBC9HsQOo/edit?usp=sharing"",""ยโสธร!I425"")+IMPORTRANGE(""https://docs.google.com/spreadsheets/d/1v_cJrbBlyqmnHPReHk44g9NrMRdENNlSy_E_c5M9fIg/edit?usp=sharing"",""ร้อยเอ็ด!I425"")+IMPORTRANGE(""https://docs.google.com"&amp;"/spreadsheets/d/1Ul4RCpCX66NxYADU1QpwAPjOmBzW64SsT11s1wzXw_c/edit?usp=sharing"",""เลย!I425"")+IMPORTRANGE(""https://docs.google.com/spreadsheets/d/1bRrNKwbHDVktQG10isr5vbWRtt5spIZPpkOSWgbT5ug/edit?usp=sharing"",""ศรีสะเกษ!I425"")+IMPORTRANGE(""https://doc"&amp;"s.google.com/spreadsheets/d/17P34_Ow5kFBfdQD0qspb2UuPX5zpi6WMrQzslghyvrI/edit?usp=sharing"",""สกลนคร!I425"")+IMPORTRANGE(""https://docs.google.com/spreadsheets/d/1yswqbM3-AEpThF3ZSUa1AcmHnmRTF1vlJ1CZGcJ8YuU/edit?usp=sharing"",""สุรินทร์!I425"")+IMPORTRANG"&amp;"E(""https://docs.google.com/spreadsheets/d/13JHU_EFbsQOUQ0JSQ3dWy1VTRosIWcDq6Nc99z2qzdc/edit?usp=sharing"",""หนองคาย!I425"")+IMPORTRANGE(""https://docs.google.com/spreadsheets/d/1Hx73zIEgVdDZZaYSTc46Dqv64atFhpr3GelxLbaIN8A/edit?usp=sharing"",""หนองบัวลำภู"&amp;"!I425"")+IMPORTRANGE(""https://docs.google.com/spreadsheets/d/1lFxr3ctmjFN90yc-xV6jrQ9Ty8BKYVBWnAZ15wcNIJc/edit?usp=sharing"",""อำนาจเจริญ!I425"")+IMPORTRANGE(""https://docs.google.com/spreadsheets/d/1gF7RJpRnL-1oyjyeWxs5SFWEH7y8ahOZsQlyp2A2e-A/edit?usp=s"&amp;"haring"",""อุดรธานี!I425"")+IMPORTRANGE(""https://docs.google.com/spreadsheets/d/1kfLP0j3INXRa8bTDpcEmoWewMBV61jlFlfzczfjWIgc/edit?usp=sharing"",""อุบลราชธานี!I425"")"),0)</f>
        <v>0</v>
      </c>
      <c r="J425" s="176">
        <f t="shared" ca="1" si="329"/>
        <v>0</v>
      </c>
      <c r="K425" s="159">
        <f t="shared" ca="1" si="328"/>
        <v>0</v>
      </c>
      <c r="L425" s="55"/>
      <c r="M425" s="55"/>
      <c r="N425" s="55"/>
      <c r="O425" s="55"/>
      <c r="P425" s="55"/>
      <c r="Q425" s="55"/>
      <c r="R425" s="55"/>
      <c r="S425" s="62"/>
      <c r="T425" s="55"/>
      <c r="U425" s="55"/>
    </row>
    <row r="426" spans="1:21" ht="18.75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26" s="55"/>
      <c r="L426" s="55"/>
      <c r="M426" s="55"/>
      <c r="N426" s="55"/>
      <c r="O426" s="55"/>
      <c r="P426" s="55"/>
      <c r="Q426" s="55"/>
      <c r="R426" s="55"/>
      <c r="S426" s="62"/>
      <c r="T426" s="55"/>
      <c r="U426" s="55"/>
    </row>
    <row r="427" spans="1:21" ht="18.75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27" s="55"/>
      <c r="L427" s="55"/>
      <c r="M427" s="55"/>
      <c r="N427" s="55"/>
      <c r="O427" s="55"/>
      <c r="P427" s="55"/>
      <c r="Q427" s="55"/>
      <c r="R427" s="55"/>
      <c r="S427" s="62"/>
      <c r="T427" s="55"/>
      <c r="U427" s="55"/>
    </row>
    <row r="428" spans="1:21" ht="18.75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28" s="55"/>
      <c r="L428" s="55"/>
      <c r="M428" s="55"/>
      <c r="N428" s="55"/>
      <c r="O428" s="55"/>
      <c r="P428" s="55"/>
      <c r="Q428" s="55"/>
      <c r="R428" s="55"/>
      <c r="S428" s="62"/>
      <c r="T428" s="55"/>
      <c r="U428" s="55"/>
    </row>
    <row r="429" spans="1:21" ht="18.75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29" s="55"/>
      <c r="L429" s="55"/>
      <c r="M429" s="55"/>
      <c r="N429" s="55"/>
      <c r="O429" s="55"/>
      <c r="P429" s="55"/>
      <c r="Q429" s="55"/>
      <c r="R429" s="55"/>
      <c r="S429" s="62"/>
      <c r="T429" s="55"/>
      <c r="U429" s="55"/>
    </row>
    <row r="430" spans="1:21" ht="18.75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30" s="55"/>
      <c r="L430" s="55"/>
      <c r="M430" s="55"/>
      <c r="N430" s="55"/>
      <c r="O430" s="55"/>
      <c r="P430" s="55"/>
      <c r="Q430" s="55"/>
      <c r="R430" s="55"/>
      <c r="S430" s="62"/>
      <c r="T430" s="55"/>
      <c r="U430" s="55"/>
    </row>
    <row r="431" spans="1:21" ht="18.75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31" s="55"/>
      <c r="L431" s="55"/>
      <c r="M431" s="55"/>
      <c r="N431" s="55"/>
      <c r="O431" s="55"/>
      <c r="P431" s="55"/>
      <c r="Q431" s="55"/>
      <c r="R431" s="55"/>
      <c r="S431" s="62"/>
      <c r="T431" s="55"/>
      <c r="U431" s="55"/>
    </row>
    <row r="432" spans="1:21" ht="19.5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176">
        <f ca="1">IFERROR(__xludf.DUMMYFUNCTION("IMPORTRANGE(""https://docs.google.com/spreadsheets/d/1yhBcrRPreicbMKl9Bu_Snb2-OcQAF62RKfhTLhJ2eAA/edit?usp=sharing"",""กาฬสินธุ์!I432"")+IMPORTRANGE(""https://docs.google.com/spreadsheets/d/1aHkj4IaQMThhwWwevcOymEh837vdxeC_PycurhTbGFA/edit?usp=sharing"","&amp;"""ขอนแก่น!I432"")+IMPORTRANGE(""https://docs.google.com/spreadsheets/d/1FvTu2DsIWUjP6WCWra38Bkj_oOl_sOMf14r5Fg5srxU/edit?usp=sharing"",""ชัยภูมิ!I432"")+IMPORTRANGE(""https://docs.google.com/spreadsheets/d/1XVB7oCJ3pr-vBUdflwPQ8Z2LlzhnCvZaaYjAfP-647E/edit"&amp;"?usp=sharing"",""นครพนม!I432"")+IMPORTRANGE(""https://docs.google.com/spreadsheets/d/1Mnpb-8PYAgn85W6KOTD40hc_Xc55CaLfHoGAbrZ8tls/edit?usp=sharing"",""นครราชสีมา!I432"")+IMPORTRANGE(""https://docs.google.com/spreadsheets/d/1xoDLGBv9CYbyosIhki0kTq6IpYNj-gp"&amp;"jxfobnaDiut0/edit?usp=sharing"",""บึงกาฬ!I432"")+IMPORTRANGE(""https://docs.google.com/spreadsheets/d/1MMPq-JyI6DSgQETxuSiXkesP-P7JHuemnE6QJIa-Nlw/edit?usp=sharing"",""บุรีรัมย์!I432"")+IMPORTRANGE(""https://docs.google.com/spreadsheets/d/1l6IZ8xUPgMrESzc"&amp;"TYwhA1k_tPjeQjJPTqlm8Gd9eU5g/edit?usp=sharing"",""มหาสารคาม!I432"")+IMPORTRANGE(""https://docs.google.com/spreadsheets/d/1uB74YLqNjWX6FObjekfB2NtSYigTQyR2rq9u4Ub2Sq4/edit?usp=sharing"",""มุกดาหาร!I432"")+IMPORTRANGE(""https://docs.google.com/spreadsheets/"&amp;"d/1NexK3geCPxCTO1fzNF8dPec7yZyUx3OaWkFBC9HsQOo/edit?usp=sharing"",""ยโสธร!I432"")+IMPORTRANGE(""https://docs.google.com/spreadsheets/d/1v_cJrbBlyqmnHPReHk44g9NrMRdENNlSy_E_c5M9fIg/edit?usp=sharing"",""ร้อยเอ็ด!I432"")+IMPORTRANGE(""https://docs.google.com"&amp;"/spreadsheets/d/1Ul4RCpCX66NxYADU1QpwAPjOmBzW64SsT11s1wzXw_c/edit?usp=sharing"",""เลย!I432"")+IMPORTRANGE(""https://docs.google.com/spreadsheets/d/1bRrNKwbHDVktQG10isr5vbWRtt5spIZPpkOSWgbT5ug/edit?usp=sharing"",""ศรีสะเกษ!I432"")+IMPORTRANGE(""https://doc"&amp;"s.google.com/spreadsheets/d/17P34_Ow5kFBfdQD0qspb2UuPX5zpi6WMrQzslghyvrI/edit?usp=sharing"",""สกลนคร!I432"")+IMPORTRANGE(""https://docs.google.com/spreadsheets/d/1yswqbM3-AEpThF3ZSUa1AcmHnmRTF1vlJ1CZGcJ8YuU/edit?usp=sharing"",""สุรินทร์!I432"")+IMPORTRANG"&amp;"E(""https://docs.google.com/spreadsheets/d/13JHU_EFbsQOUQ0JSQ3dWy1VTRosIWcDq6Nc99z2qzdc/edit?usp=sharing"",""หนองคาย!I432"")+IMPORTRANGE(""https://docs.google.com/spreadsheets/d/1Hx73zIEgVdDZZaYSTc46Dqv64atFhpr3GelxLbaIN8A/edit?usp=sharing"",""หนองบัวลำภู"&amp;"!I432"")+IMPORTRANGE(""https://docs.google.com/spreadsheets/d/1lFxr3ctmjFN90yc-xV6jrQ9Ty8BKYVBWnAZ15wcNIJc/edit?usp=sharing"",""อำนาจเจริญ!I432"")+IMPORTRANGE(""https://docs.google.com/spreadsheets/d/1gF7RJpRnL-1oyjyeWxs5SFWEH7y8ahOZsQlyp2A2e-A/edit?usp=s"&amp;"haring"",""อุดรธานี!I432"")+IMPORTRANGE(""https://docs.google.com/spreadsheets/d/1kfLP0j3INXRa8bTDpcEmoWewMBV61jlFlfzczfjWIgc/edit?usp=sharing"",""อุบลราชธานี!I432"")"),0)</f>
        <v>0</v>
      </c>
      <c r="J432" s="176">
        <f t="shared" ref="J432:J433" ca="1" si="330">J434+J436+J438</f>
        <v>0</v>
      </c>
      <c r="K432" s="159">
        <f t="shared" ref="K432:K433" ca="1" si="331">IF(I432&gt;0,J432*100/I432,0)</f>
        <v>0</v>
      </c>
      <c r="L432" s="55"/>
      <c r="M432" s="55"/>
      <c r="N432" s="55"/>
      <c r="O432" s="55"/>
      <c r="P432" s="55"/>
      <c r="Q432" s="55"/>
      <c r="R432" s="55"/>
      <c r="S432" s="62"/>
      <c r="T432" s="55"/>
      <c r="U432" s="55"/>
    </row>
    <row r="433" spans="1:21" ht="19.5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176">
        <f ca="1">IFERROR(__xludf.DUMMYFUNCTION("IMPORTRANGE(""https://docs.google.com/spreadsheets/d/1yhBcrRPreicbMKl9Bu_Snb2-OcQAF62RKfhTLhJ2eAA/edit?usp=sharing"",""กาฬสินธุ์!I433"")+IMPORTRANGE(""https://docs.google.com/spreadsheets/d/1aHkj4IaQMThhwWwevcOymEh837vdxeC_PycurhTbGFA/edit?usp=sharing"","&amp;"""ขอนแก่น!I433"")+IMPORTRANGE(""https://docs.google.com/spreadsheets/d/1FvTu2DsIWUjP6WCWra38Bkj_oOl_sOMf14r5Fg5srxU/edit?usp=sharing"",""ชัยภูมิ!I433"")+IMPORTRANGE(""https://docs.google.com/spreadsheets/d/1XVB7oCJ3pr-vBUdflwPQ8Z2LlzhnCvZaaYjAfP-647E/edit"&amp;"?usp=sharing"",""นครพนม!I433"")+IMPORTRANGE(""https://docs.google.com/spreadsheets/d/1Mnpb-8PYAgn85W6KOTD40hc_Xc55CaLfHoGAbrZ8tls/edit?usp=sharing"",""นครราชสีมา!I433"")+IMPORTRANGE(""https://docs.google.com/spreadsheets/d/1xoDLGBv9CYbyosIhki0kTq6IpYNj-gp"&amp;"jxfobnaDiut0/edit?usp=sharing"",""บึงกาฬ!I433"")+IMPORTRANGE(""https://docs.google.com/spreadsheets/d/1MMPq-JyI6DSgQETxuSiXkesP-P7JHuemnE6QJIa-Nlw/edit?usp=sharing"",""บุรีรัมย์!I433"")+IMPORTRANGE(""https://docs.google.com/spreadsheets/d/1l6IZ8xUPgMrESzc"&amp;"TYwhA1k_tPjeQjJPTqlm8Gd9eU5g/edit?usp=sharing"",""มหาสารคาม!I433"")+IMPORTRANGE(""https://docs.google.com/spreadsheets/d/1uB74YLqNjWX6FObjekfB2NtSYigTQyR2rq9u4Ub2Sq4/edit?usp=sharing"",""มุกดาหาร!I433"")+IMPORTRANGE(""https://docs.google.com/spreadsheets/"&amp;"d/1NexK3geCPxCTO1fzNF8dPec7yZyUx3OaWkFBC9HsQOo/edit?usp=sharing"",""ยโสธร!I433"")+IMPORTRANGE(""https://docs.google.com/spreadsheets/d/1v_cJrbBlyqmnHPReHk44g9NrMRdENNlSy_E_c5M9fIg/edit?usp=sharing"",""ร้อยเอ็ด!I433"")+IMPORTRANGE(""https://docs.google.com"&amp;"/spreadsheets/d/1Ul4RCpCX66NxYADU1QpwAPjOmBzW64SsT11s1wzXw_c/edit?usp=sharing"",""เลย!I433"")+IMPORTRANGE(""https://docs.google.com/spreadsheets/d/1bRrNKwbHDVktQG10isr5vbWRtt5spIZPpkOSWgbT5ug/edit?usp=sharing"",""ศรีสะเกษ!I433"")+IMPORTRANGE(""https://doc"&amp;"s.google.com/spreadsheets/d/17P34_Ow5kFBfdQD0qspb2UuPX5zpi6WMrQzslghyvrI/edit?usp=sharing"",""สกลนคร!I433"")+IMPORTRANGE(""https://docs.google.com/spreadsheets/d/1yswqbM3-AEpThF3ZSUa1AcmHnmRTF1vlJ1CZGcJ8YuU/edit?usp=sharing"",""สุรินทร์!I433"")+IMPORTRANG"&amp;"E(""https://docs.google.com/spreadsheets/d/13JHU_EFbsQOUQ0JSQ3dWy1VTRosIWcDq6Nc99z2qzdc/edit?usp=sharing"",""หนองคาย!I433"")+IMPORTRANGE(""https://docs.google.com/spreadsheets/d/1Hx73zIEgVdDZZaYSTc46Dqv64atFhpr3GelxLbaIN8A/edit?usp=sharing"",""หนองบัวลำภู"&amp;"!I433"")+IMPORTRANGE(""https://docs.google.com/spreadsheets/d/1lFxr3ctmjFN90yc-xV6jrQ9Ty8BKYVBWnAZ15wcNIJc/edit?usp=sharing"",""อำนาจเจริญ!I433"")+IMPORTRANGE(""https://docs.google.com/spreadsheets/d/1gF7RJpRnL-1oyjyeWxs5SFWEH7y8ahOZsQlyp2A2e-A/edit?usp=s"&amp;"haring"",""อุดรธานี!I433"")+IMPORTRANGE(""https://docs.google.com/spreadsheets/d/1kfLP0j3INXRa8bTDpcEmoWewMBV61jlFlfzczfjWIgc/edit?usp=sharing"",""อุบลราชธานี!I433"")"),0)</f>
        <v>0</v>
      </c>
      <c r="J433" s="176">
        <f t="shared" ca="1" si="330"/>
        <v>0</v>
      </c>
      <c r="K433" s="159">
        <f t="shared" ca="1" si="331"/>
        <v>0</v>
      </c>
      <c r="L433" s="55"/>
      <c r="M433" s="55"/>
      <c r="N433" s="55"/>
      <c r="O433" s="55"/>
      <c r="P433" s="55"/>
      <c r="Q433" s="55"/>
      <c r="R433" s="55"/>
      <c r="S433" s="62"/>
      <c r="T433" s="55"/>
      <c r="U433" s="55"/>
    </row>
    <row r="434" spans="1:21" ht="18.75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34" s="55"/>
      <c r="L434" s="55"/>
      <c r="M434" s="55"/>
      <c r="N434" s="55"/>
      <c r="O434" s="55"/>
      <c r="P434" s="55"/>
      <c r="Q434" s="55"/>
      <c r="R434" s="55"/>
      <c r="S434" s="62"/>
      <c r="T434" s="55"/>
      <c r="U434" s="55"/>
    </row>
    <row r="435" spans="1:21" ht="18.75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35" s="55"/>
      <c r="L435" s="55"/>
      <c r="M435" s="55"/>
      <c r="N435" s="55"/>
      <c r="O435" s="55"/>
      <c r="P435" s="55"/>
      <c r="Q435" s="55"/>
      <c r="R435" s="55"/>
      <c r="S435" s="62"/>
      <c r="T435" s="55"/>
      <c r="U435" s="55"/>
    </row>
    <row r="436" spans="1:21" ht="18.75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36" s="55"/>
      <c r="L436" s="55"/>
      <c r="M436" s="55"/>
      <c r="N436" s="55"/>
      <c r="O436" s="55"/>
      <c r="P436" s="55"/>
      <c r="Q436" s="55"/>
      <c r="R436" s="55"/>
      <c r="S436" s="62"/>
      <c r="T436" s="55"/>
      <c r="U436" s="55"/>
    </row>
    <row r="437" spans="1:21" ht="18.75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37" s="55"/>
      <c r="L437" s="55"/>
      <c r="M437" s="55"/>
      <c r="N437" s="55"/>
      <c r="O437" s="55"/>
      <c r="P437" s="55"/>
      <c r="Q437" s="55"/>
      <c r="R437" s="55"/>
      <c r="S437" s="62"/>
      <c r="T437" s="55"/>
      <c r="U437" s="55"/>
    </row>
    <row r="438" spans="1:21" ht="18.75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38" s="55"/>
      <c r="L438" s="55"/>
      <c r="M438" s="55"/>
      <c r="N438" s="55"/>
      <c r="O438" s="55"/>
      <c r="P438" s="55"/>
      <c r="Q438" s="55"/>
      <c r="R438" s="55"/>
      <c r="S438" s="62"/>
      <c r="T438" s="55"/>
      <c r="U438" s="55"/>
    </row>
    <row r="439" spans="1:21" ht="18.75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39" s="55"/>
      <c r="L439" s="55"/>
      <c r="M439" s="55"/>
      <c r="N439" s="55"/>
      <c r="O439" s="55"/>
      <c r="P439" s="55"/>
      <c r="Q439" s="55"/>
      <c r="R439" s="55"/>
      <c r="S439" s="62"/>
      <c r="T439" s="55"/>
      <c r="U439" s="55"/>
    </row>
    <row r="440" spans="1:21" ht="19.5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176">
        <f ca="1">IFERROR(__xludf.DUMMYFUNCTION("IMPORTRANGE(""https://docs.google.com/spreadsheets/d/1yhBcrRPreicbMKl9Bu_Snb2-OcQAF62RKfhTLhJ2eAA/edit?usp=sharing"",""กาฬสินธุ์!I440"")+IMPORTRANGE(""https://docs.google.com/spreadsheets/d/1aHkj4IaQMThhwWwevcOymEh837vdxeC_PycurhTbGFA/edit?usp=sharing"","&amp;"""ขอนแก่น!I440"")+IMPORTRANGE(""https://docs.google.com/spreadsheets/d/1FvTu2DsIWUjP6WCWra38Bkj_oOl_sOMf14r5Fg5srxU/edit?usp=sharing"",""ชัยภูมิ!I440"")+IMPORTRANGE(""https://docs.google.com/spreadsheets/d/1XVB7oCJ3pr-vBUdflwPQ8Z2LlzhnCvZaaYjAfP-647E/edit"&amp;"?usp=sharing"",""นครพนม!I440"")+IMPORTRANGE(""https://docs.google.com/spreadsheets/d/1Mnpb-8PYAgn85W6KOTD40hc_Xc55CaLfHoGAbrZ8tls/edit?usp=sharing"",""นครราชสีมา!I440"")+IMPORTRANGE(""https://docs.google.com/spreadsheets/d/1xoDLGBv9CYbyosIhki0kTq6IpYNj-gp"&amp;"jxfobnaDiut0/edit?usp=sharing"",""บึงกาฬ!I440"")+IMPORTRANGE(""https://docs.google.com/spreadsheets/d/1MMPq-JyI6DSgQETxuSiXkesP-P7JHuemnE6QJIa-Nlw/edit?usp=sharing"",""บุรีรัมย์!I440"")+IMPORTRANGE(""https://docs.google.com/spreadsheets/d/1l6IZ8xUPgMrESzc"&amp;"TYwhA1k_tPjeQjJPTqlm8Gd9eU5g/edit?usp=sharing"",""มหาสารคาม!I440"")+IMPORTRANGE(""https://docs.google.com/spreadsheets/d/1uB74YLqNjWX6FObjekfB2NtSYigTQyR2rq9u4Ub2Sq4/edit?usp=sharing"",""มุกดาหาร!I440"")+IMPORTRANGE(""https://docs.google.com/spreadsheets/"&amp;"d/1NexK3geCPxCTO1fzNF8dPec7yZyUx3OaWkFBC9HsQOo/edit?usp=sharing"",""ยโสธร!I440"")+IMPORTRANGE(""https://docs.google.com/spreadsheets/d/1v_cJrbBlyqmnHPReHk44g9NrMRdENNlSy_E_c5M9fIg/edit?usp=sharing"",""ร้อยเอ็ด!I440"")+IMPORTRANGE(""https://docs.google.com"&amp;"/spreadsheets/d/1Ul4RCpCX66NxYADU1QpwAPjOmBzW64SsT11s1wzXw_c/edit?usp=sharing"",""เลย!I440"")+IMPORTRANGE(""https://docs.google.com/spreadsheets/d/1bRrNKwbHDVktQG10isr5vbWRtt5spIZPpkOSWgbT5ug/edit?usp=sharing"",""ศรีสะเกษ!I440"")+IMPORTRANGE(""https://doc"&amp;"s.google.com/spreadsheets/d/17P34_Ow5kFBfdQD0qspb2UuPX5zpi6WMrQzslghyvrI/edit?usp=sharing"",""สกลนคร!I440"")+IMPORTRANGE(""https://docs.google.com/spreadsheets/d/1yswqbM3-AEpThF3ZSUa1AcmHnmRTF1vlJ1CZGcJ8YuU/edit?usp=sharing"",""สุรินทร์!I440"")+IMPORTRANG"&amp;"E(""https://docs.google.com/spreadsheets/d/13JHU_EFbsQOUQ0JSQ3dWy1VTRosIWcDq6Nc99z2qzdc/edit?usp=sharing"",""หนองคาย!I440"")+IMPORTRANGE(""https://docs.google.com/spreadsheets/d/1Hx73zIEgVdDZZaYSTc46Dqv64atFhpr3GelxLbaIN8A/edit?usp=sharing"",""หนองบัวลำภู"&amp;"!I440"")+IMPORTRANGE(""https://docs.google.com/spreadsheets/d/1lFxr3ctmjFN90yc-xV6jrQ9Ty8BKYVBWnAZ15wcNIJc/edit?usp=sharing"",""อำนาจเจริญ!I440"")+IMPORTRANGE(""https://docs.google.com/spreadsheets/d/1gF7RJpRnL-1oyjyeWxs5SFWEH7y8ahOZsQlyp2A2e-A/edit?usp=s"&amp;"haring"",""อุดรธานี!I440"")+IMPORTRANGE(""https://docs.google.com/spreadsheets/d/1kfLP0j3INXRa8bTDpcEmoWewMBV61jlFlfzczfjWIgc/edit?usp=sharing"",""อุบลราชธานี!I440"")"),0)</f>
        <v>0</v>
      </c>
      <c r="J440" s="176">
        <f t="shared" ref="J440:J441" ca="1" si="332">J442+J444+J446+J452+J454</f>
        <v>0</v>
      </c>
      <c r="K440" s="159">
        <f t="shared" ref="K440:K441" ca="1" si="333">IF(I440&gt;0,J440*100/I440,0)</f>
        <v>0</v>
      </c>
      <c r="L440" s="55"/>
      <c r="M440" s="55"/>
      <c r="N440" s="55"/>
      <c r="O440" s="55"/>
      <c r="P440" s="55"/>
      <c r="Q440" s="55"/>
      <c r="R440" s="55"/>
      <c r="S440" s="62"/>
      <c r="T440" s="55"/>
      <c r="U440" s="55"/>
    </row>
    <row r="441" spans="1:21" ht="19.5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176">
        <f ca="1">IFERROR(__xludf.DUMMYFUNCTION("IMPORTRANGE(""https://docs.google.com/spreadsheets/d/1yhBcrRPreicbMKl9Bu_Snb2-OcQAF62RKfhTLhJ2eAA/edit?usp=sharing"",""กาฬสินธุ์!I441"")+IMPORTRANGE(""https://docs.google.com/spreadsheets/d/1aHkj4IaQMThhwWwevcOymEh837vdxeC_PycurhTbGFA/edit?usp=sharing"","&amp;"""ขอนแก่น!I441"")+IMPORTRANGE(""https://docs.google.com/spreadsheets/d/1FvTu2DsIWUjP6WCWra38Bkj_oOl_sOMf14r5Fg5srxU/edit?usp=sharing"",""ชัยภูมิ!I441"")+IMPORTRANGE(""https://docs.google.com/spreadsheets/d/1XVB7oCJ3pr-vBUdflwPQ8Z2LlzhnCvZaaYjAfP-647E/edit"&amp;"?usp=sharing"",""นครพนม!I441"")+IMPORTRANGE(""https://docs.google.com/spreadsheets/d/1Mnpb-8PYAgn85W6KOTD40hc_Xc55CaLfHoGAbrZ8tls/edit?usp=sharing"",""นครราชสีมา!I441"")+IMPORTRANGE(""https://docs.google.com/spreadsheets/d/1xoDLGBv9CYbyosIhki0kTq6IpYNj-gp"&amp;"jxfobnaDiut0/edit?usp=sharing"",""บึงกาฬ!I441"")+IMPORTRANGE(""https://docs.google.com/spreadsheets/d/1MMPq-JyI6DSgQETxuSiXkesP-P7JHuemnE6QJIa-Nlw/edit?usp=sharing"",""บุรีรัมย์!I441"")+IMPORTRANGE(""https://docs.google.com/spreadsheets/d/1l6IZ8xUPgMrESzc"&amp;"TYwhA1k_tPjeQjJPTqlm8Gd9eU5g/edit?usp=sharing"",""มหาสารคาม!I441"")+IMPORTRANGE(""https://docs.google.com/spreadsheets/d/1uB74YLqNjWX6FObjekfB2NtSYigTQyR2rq9u4Ub2Sq4/edit?usp=sharing"",""มุกดาหาร!I441"")+IMPORTRANGE(""https://docs.google.com/spreadsheets/"&amp;"d/1NexK3geCPxCTO1fzNF8dPec7yZyUx3OaWkFBC9HsQOo/edit?usp=sharing"",""ยโสธร!I441"")+IMPORTRANGE(""https://docs.google.com/spreadsheets/d/1v_cJrbBlyqmnHPReHk44g9NrMRdENNlSy_E_c5M9fIg/edit?usp=sharing"",""ร้อยเอ็ด!I441"")+IMPORTRANGE(""https://docs.google.com"&amp;"/spreadsheets/d/1Ul4RCpCX66NxYADU1QpwAPjOmBzW64SsT11s1wzXw_c/edit?usp=sharing"",""เลย!I441"")+IMPORTRANGE(""https://docs.google.com/spreadsheets/d/1bRrNKwbHDVktQG10isr5vbWRtt5spIZPpkOSWgbT5ug/edit?usp=sharing"",""ศรีสะเกษ!I441"")+IMPORTRANGE(""https://doc"&amp;"s.google.com/spreadsheets/d/17P34_Ow5kFBfdQD0qspb2UuPX5zpi6WMrQzslghyvrI/edit?usp=sharing"",""สกลนคร!I441"")+IMPORTRANGE(""https://docs.google.com/spreadsheets/d/1yswqbM3-AEpThF3ZSUa1AcmHnmRTF1vlJ1CZGcJ8YuU/edit?usp=sharing"",""สุรินทร์!I441"")+IMPORTRANG"&amp;"E(""https://docs.google.com/spreadsheets/d/13JHU_EFbsQOUQ0JSQ3dWy1VTRosIWcDq6Nc99z2qzdc/edit?usp=sharing"",""หนองคาย!I441"")+IMPORTRANGE(""https://docs.google.com/spreadsheets/d/1Hx73zIEgVdDZZaYSTc46Dqv64atFhpr3GelxLbaIN8A/edit?usp=sharing"",""หนองบัวลำภู"&amp;"!I441"")+IMPORTRANGE(""https://docs.google.com/spreadsheets/d/1lFxr3ctmjFN90yc-xV6jrQ9Ty8BKYVBWnAZ15wcNIJc/edit?usp=sharing"",""อำนาจเจริญ!I441"")+IMPORTRANGE(""https://docs.google.com/spreadsheets/d/1gF7RJpRnL-1oyjyeWxs5SFWEH7y8ahOZsQlyp2A2e-A/edit?usp=s"&amp;"haring"",""อุดรธานี!I441"")+IMPORTRANGE(""https://docs.google.com/spreadsheets/d/1kfLP0j3INXRa8bTDpcEmoWewMBV61jlFlfzczfjWIgc/edit?usp=sharing"",""อุบลราชธานี!I441"")"),0)</f>
        <v>0</v>
      </c>
      <c r="J441" s="176">
        <f t="shared" ca="1" si="332"/>
        <v>0</v>
      </c>
      <c r="K441" s="159">
        <f t="shared" ca="1" si="333"/>
        <v>0</v>
      </c>
      <c r="L441" s="55"/>
      <c r="M441" s="55"/>
      <c r="N441" s="55"/>
      <c r="O441" s="55"/>
      <c r="P441" s="55"/>
      <c r="Q441" s="55"/>
      <c r="R441" s="55"/>
      <c r="S441" s="62"/>
      <c r="T441" s="55"/>
      <c r="U441" s="55"/>
    </row>
    <row r="442" spans="1:21" ht="18.75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42" s="55"/>
      <c r="L442" s="55"/>
      <c r="M442" s="55"/>
      <c r="N442" s="55"/>
      <c r="O442" s="55"/>
      <c r="P442" s="55"/>
      <c r="Q442" s="55"/>
      <c r="R442" s="55"/>
      <c r="S442" s="62"/>
      <c r="T442" s="55"/>
      <c r="U442" s="55"/>
    </row>
    <row r="443" spans="1:21" ht="18.75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43" s="55"/>
      <c r="L443" s="55"/>
      <c r="M443" s="55"/>
      <c r="N443" s="55"/>
      <c r="O443" s="55"/>
      <c r="P443" s="55"/>
      <c r="Q443" s="55"/>
      <c r="R443" s="55"/>
      <c r="S443" s="62"/>
      <c r="T443" s="55"/>
      <c r="U443" s="55"/>
    </row>
    <row r="444" spans="1:21" ht="18.75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44" s="55"/>
      <c r="L444" s="55"/>
      <c r="M444" s="55"/>
      <c r="N444" s="55"/>
      <c r="O444" s="55"/>
      <c r="P444" s="55"/>
      <c r="Q444" s="55"/>
      <c r="R444" s="55"/>
      <c r="S444" s="62"/>
      <c r="T444" s="55"/>
      <c r="U444" s="55"/>
    </row>
    <row r="445" spans="1:21" ht="18.75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45" s="55"/>
      <c r="L445" s="55"/>
      <c r="M445" s="55"/>
      <c r="N445" s="55"/>
      <c r="O445" s="55"/>
      <c r="P445" s="55"/>
      <c r="Q445" s="55"/>
      <c r="R445" s="55"/>
      <c r="S445" s="62"/>
      <c r="T445" s="55"/>
      <c r="U445" s="55"/>
    </row>
    <row r="446" spans="1:21" ht="19.5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176">
        <f t="shared" ref="J446:J447" ca="1" si="334">J448+J450</f>
        <v>0</v>
      </c>
      <c r="K446" s="55"/>
      <c r="L446" s="55"/>
      <c r="M446" s="55"/>
      <c r="N446" s="55"/>
      <c r="O446" s="55"/>
      <c r="P446" s="55"/>
      <c r="Q446" s="55"/>
      <c r="R446" s="55"/>
      <c r="S446" s="62"/>
      <c r="T446" s="55"/>
      <c r="U446" s="55"/>
    </row>
    <row r="447" spans="1:21" ht="19.5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176">
        <f t="shared" ca="1" si="334"/>
        <v>0</v>
      </c>
      <c r="K447" s="55"/>
      <c r="L447" s="55"/>
      <c r="M447" s="55"/>
      <c r="N447" s="55"/>
      <c r="O447" s="55"/>
      <c r="P447" s="55"/>
      <c r="Q447" s="55"/>
      <c r="R447" s="55"/>
      <c r="S447" s="62"/>
      <c r="T447" s="55"/>
      <c r="U447" s="55"/>
    </row>
    <row r="448" spans="1:21" ht="18.75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48" s="55"/>
      <c r="L448" s="55"/>
      <c r="M448" s="55"/>
      <c r="N448" s="55"/>
      <c r="O448" s="55"/>
      <c r="P448" s="55"/>
      <c r="Q448" s="55"/>
      <c r="R448" s="55"/>
      <c r="S448" s="62"/>
      <c r="T448" s="55"/>
      <c r="U448" s="55"/>
    </row>
    <row r="449" spans="1:21" ht="18.75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49" s="55"/>
      <c r="L449" s="55"/>
      <c r="M449" s="55"/>
      <c r="N449" s="55"/>
      <c r="O449" s="55"/>
      <c r="P449" s="55"/>
      <c r="Q449" s="55"/>
      <c r="R449" s="55"/>
      <c r="S449" s="62"/>
      <c r="T449" s="55"/>
      <c r="U449" s="55"/>
    </row>
    <row r="450" spans="1:21" ht="18.75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50" s="55"/>
      <c r="L450" s="55"/>
      <c r="M450" s="55"/>
      <c r="N450" s="55"/>
      <c r="O450" s="55"/>
      <c r="P450" s="55"/>
      <c r="Q450" s="55"/>
      <c r="R450" s="55"/>
      <c r="S450" s="62"/>
      <c r="T450" s="55"/>
      <c r="U450" s="55"/>
    </row>
    <row r="451" spans="1:21" ht="18.75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51" s="55"/>
      <c r="L451" s="55"/>
      <c r="M451" s="55"/>
      <c r="N451" s="55"/>
      <c r="O451" s="55"/>
      <c r="P451" s="55"/>
      <c r="Q451" s="55"/>
      <c r="R451" s="55"/>
      <c r="S451" s="62"/>
      <c r="T451" s="55"/>
      <c r="U451" s="55"/>
    </row>
    <row r="452" spans="1:21" ht="18.75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52" s="55"/>
      <c r="L452" s="55"/>
      <c r="M452" s="55"/>
      <c r="N452" s="55"/>
      <c r="O452" s="55"/>
      <c r="P452" s="55"/>
      <c r="Q452" s="55"/>
      <c r="R452" s="55"/>
      <c r="S452" s="62"/>
      <c r="T452" s="55"/>
      <c r="U452" s="55"/>
    </row>
    <row r="453" spans="1:21" ht="18.75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53" s="55"/>
      <c r="L453" s="55"/>
      <c r="M453" s="55"/>
      <c r="N453" s="55"/>
      <c r="O453" s="55"/>
      <c r="P453" s="55"/>
      <c r="Q453" s="55"/>
      <c r="R453" s="55"/>
      <c r="S453" s="62"/>
      <c r="T453" s="55"/>
      <c r="U453" s="55"/>
    </row>
    <row r="454" spans="1:21" ht="18.75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370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54" s="55"/>
      <c r="L454" s="55"/>
      <c r="M454" s="55"/>
      <c r="N454" s="55"/>
      <c r="O454" s="55"/>
      <c r="P454" s="55"/>
      <c r="Q454" s="55"/>
      <c r="R454" s="55"/>
      <c r="S454" s="62"/>
      <c r="T454" s="55"/>
      <c r="U454" s="55"/>
    </row>
    <row r="455" spans="1:21" ht="18.75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55" s="55"/>
      <c r="L455" s="55"/>
      <c r="M455" s="55"/>
      <c r="N455" s="55"/>
      <c r="O455" s="55"/>
      <c r="P455" s="55"/>
      <c r="Q455" s="55"/>
      <c r="R455" s="55"/>
      <c r="S455" s="62"/>
      <c r="T455" s="55"/>
      <c r="U455" s="55"/>
    </row>
    <row r="456" spans="1:21" ht="19.5">
      <c r="A456" s="238"/>
      <c r="B456" s="191" t="s">
        <v>178</v>
      </c>
      <c r="C456" s="188"/>
      <c r="D456" s="188"/>
      <c r="E456" s="188"/>
      <c r="F456" s="188"/>
      <c r="G456" s="208"/>
      <c r="H456" s="368" t="s">
        <v>46</v>
      </c>
      <c r="I456" s="176">
        <f t="shared" ref="I456:J456" ca="1" si="335">I457</f>
        <v>0</v>
      </c>
      <c r="J456" s="176">
        <f t="shared" ca="1" si="335"/>
        <v>0</v>
      </c>
      <c r="K456" s="159">
        <f t="shared" ref="K456:K458" ca="1" si="336">IF(I456&gt;0,J456*100/I456,0)</f>
        <v>0</v>
      </c>
      <c r="L456" s="55"/>
      <c r="M456" s="55"/>
      <c r="N456" s="55"/>
      <c r="O456" s="55"/>
      <c r="P456" s="55"/>
      <c r="Q456" s="55"/>
      <c r="R456" s="55"/>
      <c r="S456" s="62"/>
      <c r="T456" s="55"/>
      <c r="U456" s="55"/>
    </row>
    <row r="457" spans="1:21" ht="19.5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176">
        <f ca="1">IFERROR(__xludf.DUMMYFUNCTION("IMPORTRANGE(""https://docs.google.com/spreadsheets/d/1yhBcrRPreicbMKl9Bu_Snb2-OcQAF62RKfhTLhJ2eAA/edit?usp=sharing"",""กาฬสินธุ์!I457"")+IMPORTRANGE(""https://docs.google.com/spreadsheets/d/1aHkj4IaQMThhwWwevcOymEh837vdxeC_PycurhTbGFA/edit?usp=sharing"","&amp;"""ขอนแก่น!I457"")+IMPORTRANGE(""https://docs.google.com/spreadsheets/d/1FvTu2DsIWUjP6WCWra38Bkj_oOl_sOMf14r5Fg5srxU/edit?usp=sharing"",""ชัยภูมิ!I457"")+IMPORTRANGE(""https://docs.google.com/spreadsheets/d/1XVB7oCJ3pr-vBUdflwPQ8Z2LlzhnCvZaaYjAfP-647E/edit"&amp;"?usp=sharing"",""นครพนม!I457"")+IMPORTRANGE(""https://docs.google.com/spreadsheets/d/1Mnpb-8PYAgn85W6KOTD40hc_Xc55CaLfHoGAbrZ8tls/edit?usp=sharing"",""นครราชสีมา!I457"")+IMPORTRANGE(""https://docs.google.com/spreadsheets/d/1xoDLGBv9CYbyosIhki0kTq6IpYNj-gp"&amp;"jxfobnaDiut0/edit?usp=sharing"",""บึงกาฬ!I457"")+IMPORTRANGE(""https://docs.google.com/spreadsheets/d/1MMPq-JyI6DSgQETxuSiXkesP-P7JHuemnE6QJIa-Nlw/edit?usp=sharing"",""บุรีรัมย์!I457"")+IMPORTRANGE(""https://docs.google.com/spreadsheets/d/1l6IZ8xUPgMrESzc"&amp;"TYwhA1k_tPjeQjJPTqlm8Gd9eU5g/edit?usp=sharing"",""มหาสารคาม!I457"")+IMPORTRANGE(""https://docs.google.com/spreadsheets/d/1uB74YLqNjWX6FObjekfB2NtSYigTQyR2rq9u4Ub2Sq4/edit?usp=sharing"",""มุกดาหาร!I457"")+IMPORTRANGE(""https://docs.google.com/spreadsheets/"&amp;"d/1NexK3geCPxCTO1fzNF8dPec7yZyUx3OaWkFBC9HsQOo/edit?usp=sharing"",""ยโสธร!I457"")+IMPORTRANGE(""https://docs.google.com/spreadsheets/d/1v_cJrbBlyqmnHPReHk44g9NrMRdENNlSy_E_c5M9fIg/edit?usp=sharing"",""ร้อยเอ็ด!I457"")+IMPORTRANGE(""https://docs.google.com"&amp;"/spreadsheets/d/1Ul4RCpCX66NxYADU1QpwAPjOmBzW64SsT11s1wzXw_c/edit?usp=sharing"",""เลย!I457"")+IMPORTRANGE(""https://docs.google.com/spreadsheets/d/1bRrNKwbHDVktQG10isr5vbWRtt5spIZPpkOSWgbT5ug/edit?usp=sharing"",""ศรีสะเกษ!I457"")+IMPORTRANGE(""https://doc"&amp;"s.google.com/spreadsheets/d/17P34_Ow5kFBfdQD0qspb2UuPX5zpi6WMrQzslghyvrI/edit?usp=sharing"",""สกลนคร!I457"")+IMPORTRANGE(""https://docs.google.com/spreadsheets/d/1yswqbM3-AEpThF3ZSUa1AcmHnmRTF1vlJ1CZGcJ8YuU/edit?usp=sharing"",""สุรินทร์!I457"")+IMPORTRANG"&amp;"E(""https://docs.google.com/spreadsheets/d/13JHU_EFbsQOUQ0JSQ3dWy1VTRosIWcDq6Nc99z2qzdc/edit?usp=sharing"",""หนองคาย!I457"")+IMPORTRANGE(""https://docs.google.com/spreadsheets/d/1Hx73zIEgVdDZZaYSTc46Dqv64atFhpr3GelxLbaIN8A/edit?usp=sharing"",""หนองบัวลำภู"&amp;"!I457"")+IMPORTRANGE(""https://docs.google.com/spreadsheets/d/1lFxr3ctmjFN90yc-xV6jrQ9Ty8BKYVBWnAZ15wcNIJc/edit?usp=sharing"",""อำนาจเจริญ!I457"")+IMPORTRANGE(""https://docs.google.com/spreadsheets/d/1gF7RJpRnL-1oyjyeWxs5SFWEH7y8ahOZsQlyp2A2e-A/edit?usp=s"&amp;"haring"",""อุดรธานี!I457"")+IMPORTRANGE(""https://docs.google.com/spreadsheets/d/1kfLP0j3INXRa8bTDpcEmoWewMBV61jlFlfzczfjWIgc/edit?usp=sharing"",""อุบลราชธานี!I457"")"),0)</f>
        <v>0</v>
      </c>
      <c r="J457" s="176">
        <f t="shared" ref="J457:J458" ca="1" si="337">J459+J467+J473</f>
        <v>0</v>
      </c>
      <c r="K457" s="159">
        <f t="shared" ca="1" si="336"/>
        <v>0</v>
      </c>
      <c r="L457" s="55"/>
      <c r="M457" s="55"/>
      <c r="N457" s="55"/>
      <c r="O457" s="55"/>
      <c r="P457" s="55"/>
      <c r="Q457" s="55"/>
      <c r="R457" s="55"/>
      <c r="S457" s="62"/>
      <c r="T457" s="55"/>
      <c r="U457" s="55"/>
    </row>
    <row r="458" spans="1:21" ht="19.5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176">
        <f ca="1">IFERROR(__xludf.DUMMYFUNCTION("IMPORTRANGE(""https://docs.google.com/spreadsheets/d/1yhBcrRPreicbMKl9Bu_Snb2-OcQAF62RKfhTLhJ2eAA/edit?usp=sharing"",""กาฬสินธุ์!I458"")+IMPORTRANGE(""https://docs.google.com/spreadsheets/d/1aHkj4IaQMThhwWwevcOymEh837vdxeC_PycurhTbGFA/edit?usp=sharing"","&amp;"""ขอนแก่น!I458"")+IMPORTRANGE(""https://docs.google.com/spreadsheets/d/1FvTu2DsIWUjP6WCWra38Bkj_oOl_sOMf14r5Fg5srxU/edit?usp=sharing"",""ชัยภูมิ!I458"")+IMPORTRANGE(""https://docs.google.com/spreadsheets/d/1XVB7oCJ3pr-vBUdflwPQ8Z2LlzhnCvZaaYjAfP-647E/edit"&amp;"?usp=sharing"",""นครพนม!I458"")+IMPORTRANGE(""https://docs.google.com/spreadsheets/d/1Mnpb-8PYAgn85W6KOTD40hc_Xc55CaLfHoGAbrZ8tls/edit?usp=sharing"",""นครราชสีมา!I458"")+IMPORTRANGE(""https://docs.google.com/spreadsheets/d/1xoDLGBv9CYbyosIhki0kTq6IpYNj-gp"&amp;"jxfobnaDiut0/edit?usp=sharing"",""บึงกาฬ!I458"")+IMPORTRANGE(""https://docs.google.com/spreadsheets/d/1MMPq-JyI6DSgQETxuSiXkesP-P7JHuemnE6QJIa-Nlw/edit?usp=sharing"",""บุรีรัมย์!I458"")+IMPORTRANGE(""https://docs.google.com/spreadsheets/d/1l6IZ8xUPgMrESzc"&amp;"TYwhA1k_tPjeQjJPTqlm8Gd9eU5g/edit?usp=sharing"",""มหาสารคาม!I458"")+IMPORTRANGE(""https://docs.google.com/spreadsheets/d/1uB74YLqNjWX6FObjekfB2NtSYigTQyR2rq9u4Ub2Sq4/edit?usp=sharing"",""มุกดาหาร!I458"")+IMPORTRANGE(""https://docs.google.com/spreadsheets/"&amp;"d/1NexK3geCPxCTO1fzNF8dPec7yZyUx3OaWkFBC9HsQOo/edit?usp=sharing"",""ยโสธร!I458"")+IMPORTRANGE(""https://docs.google.com/spreadsheets/d/1v_cJrbBlyqmnHPReHk44g9NrMRdENNlSy_E_c5M9fIg/edit?usp=sharing"",""ร้อยเอ็ด!I458"")+IMPORTRANGE(""https://docs.google.com"&amp;"/spreadsheets/d/1Ul4RCpCX66NxYADU1QpwAPjOmBzW64SsT11s1wzXw_c/edit?usp=sharing"",""เลย!I458"")+IMPORTRANGE(""https://docs.google.com/spreadsheets/d/1bRrNKwbHDVktQG10isr5vbWRtt5spIZPpkOSWgbT5ug/edit?usp=sharing"",""ศรีสะเกษ!I458"")+IMPORTRANGE(""https://doc"&amp;"s.google.com/spreadsheets/d/17P34_Ow5kFBfdQD0qspb2UuPX5zpi6WMrQzslghyvrI/edit?usp=sharing"",""สกลนคร!I458"")+IMPORTRANGE(""https://docs.google.com/spreadsheets/d/1yswqbM3-AEpThF3ZSUa1AcmHnmRTF1vlJ1CZGcJ8YuU/edit?usp=sharing"",""สุรินทร์!I458"")+IMPORTRANG"&amp;"E(""https://docs.google.com/spreadsheets/d/13JHU_EFbsQOUQ0JSQ3dWy1VTRosIWcDq6Nc99z2qzdc/edit?usp=sharing"",""หนองคาย!I458"")+IMPORTRANGE(""https://docs.google.com/spreadsheets/d/1Hx73zIEgVdDZZaYSTc46Dqv64atFhpr3GelxLbaIN8A/edit?usp=sharing"",""หนองบัวลำภู"&amp;"!I458"")+IMPORTRANGE(""https://docs.google.com/spreadsheets/d/1lFxr3ctmjFN90yc-xV6jrQ9Ty8BKYVBWnAZ15wcNIJc/edit?usp=sharing"",""อำนาจเจริญ!I458"")+IMPORTRANGE(""https://docs.google.com/spreadsheets/d/1gF7RJpRnL-1oyjyeWxs5SFWEH7y8ahOZsQlyp2A2e-A/edit?usp=s"&amp;"haring"",""อุดรธานี!I458"")+IMPORTRANGE(""https://docs.google.com/spreadsheets/d/1kfLP0j3INXRa8bTDpcEmoWewMBV61jlFlfzczfjWIgc/edit?usp=sharing"",""อุบลราชธานี!I458"")"),0)</f>
        <v>0</v>
      </c>
      <c r="J458" s="176">
        <f t="shared" ca="1" si="337"/>
        <v>0</v>
      </c>
      <c r="K458" s="159">
        <f t="shared" ca="1" si="336"/>
        <v>0</v>
      </c>
      <c r="L458" s="55"/>
      <c r="M458" s="55"/>
      <c r="N458" s="55"/>
      <c r="O458" s="55"/>
      <c r="P458" s="55"/>
      <c r="Q458" s="55"/>
      <c r="R458" s="55"/>
      <c r="S458" s="62"/>
      <c r="T458" s="55"/>
      <c r="U458" s="55"/>
    </row>
    <row r="459" spans="1:21" ht="18.75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181">
        <f t="shared" ref="J459:J460" ca="1" si="338">J461+J463</f>
        <v>0</v>
      </c>
      <c r="K459" s="55"/>
      <c r="L459" s="55"/>
      <c r="M459" s="55"/>
      <c r="N459" s="55"/>
      <c r="O459" s="55"/>
      <c r="P459" s="55"/>
      <c r="Q459" s="55"/>
      <c r="R459" s="55"/>
      <c r="S459" s="62"/>
      <c r="T459" s="55"/>
      <c r="U459" s="55"/>
    </row>
    <row r="460" spans="1:21" ht="18.75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181">
        <f t="shared" ca="1" si="338"/>
        <v>0</v>
      </c>
      <c r="K460" s="55"/>
      <c r="L460" s="55"/>
      <c r="M460" s="55"/>
      <c r="N460" s="55"/>
      <c r="O460" s="55"/>
      <c r="P460" s="55"/>
      <c r="Q460" s="55"/>
      <c r="R460" s="55"/>
      <c r="S460" s="62"/>
      <c r="T460" s="55"/>
      <c r="U460" s="55"/>
    </row>
    <row r="461" spans="1:21" ht="18.75">
      <c r="A461" s="238"/>
      <c r="B461" s="188"/>
      <c r="C461" s="188"/>
      <c r="D461" s="371" t="s">
        <v>181</v>
      </c>
      <c r="E461" s="188"/>
      <c r="F461" s="188"/>
      <c r="G461" s="208"/>
      <c r="H461" s="161" t="s">
        <v>46</v>
      </c>
      <c r="I461" s="54"/>
      <c r="J461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61" s="55"/>
      <c r="L461" s="55"/>
      <c r="M461" s="55"/>
      <c r="N461" s="55"/>
      <c r="O461" s="55"/>
      <c r="P461" s="55"/>
      <c r="Q461" s="55"/>
      <c r="R461" s="55"/>
      <c r="S461" s="62"/>
      <c r="T461" s="55"/>
      <c r="U461" s="55"/>
    </row>
    <row r="462" spans="1:21" ht="18.75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62" s="55"/>
      <c r="L462" s="55"/>
      <c r="M462" s="55"/>
      <c r="N462" s="55"/>
      <c r="O462" s="55"/>
      <c r="P462" s="55"/>
      <c r="Q462" s="55"/>
      <c r="R462" s="55"/>
      <c r="S462" s="62"/>
      <c r="T462" s="55"/>
      <c r="U462" s="55"/>
    </row>
    <row r="463" spans="1:21" ht="18.75">
      <c r="A463" s="238"/>
      <c r="B463" s="188"/>
      <c r="C463" s="188"/>
      <c r="D463" s="371" t="s">
        <v>182</v>
      </c>
      <c r="E463" s="188"/>
      <c r="F463" s="188"/>
      <c r="G463" s="208"/>
      <c r="H463" s="161" t="s">
        <v>46</v>
      </c>
      <c r="I463" s="54"/>
      <c r="J463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63" s="55"/>
      <c r="L463" s="55"/>
      <c r="M463" s="55"/>
      <c r="N463" s="55"/>
      <c r="O463" s="55"/>
      <c r="P463" s="55"/>
      <c r="Q463" s="55"/>
      <c r="R463" s="55"/>
      <c r="S463" s="62"/>
      <c r="T463" s="55"/>
      <c r="U463" s="55"/>
    </row>
    <row r="464" spans="1:21" ht="18.75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64" s="55"/>
      <c r="L464" s="55"/>
      <c r="M464" s="55"/>
      <c r="N464" s="55"/>
      <c r="O464" s="55"/>
      <c r="P464" s="55"/>
      <c r="Q464" s="55"/>
      <c r="R464" s="55"/>
      <c r="S464" s="62"/>
      <c r="T464" s="55"/>
      <c r="U464" s="55"/>
    </row>
    <row r="465" spans="1:21" ht="18.75">
      <c r="A465" s="238"/>
      <c r="B465" s="188"/>
      <c r="C465" s="188"/>
      <c r="D465" s="371" t="s">
        <v>183</v>
      </c>
      <c r="E465" s="188"/>
      <c r="F465" s="188"/>
      <c r="G465" s="208"/>
      <c r="H465" s="161" t="s">
        <v>46</v>
      </c>
      <c r="I465" s="54"/>
      <c r="J465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65" s="55"/>
      <c r="L465" s="55"/>
      <c r="M465" s="55"/>
      <c r="N465" s="55"/>
      <c r="O465" s="55"/>
      <c r="P465" s="55"/>
      <c r="Q465" s="55"/>
      <c r="R465" s="55"/>
      <c r="S465" s="62"/>
      <c r="T465" s="55"/>
      <c r="U465" s="55"/>
    </row>
    <row r="466" spans="1:21" ht="18.75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66" s="55"/>
      <c r="L466" s="55"/>
      <c r="M466" s="55"/>
      <c r="N466" s="55"/>
      <c r="O466" s="55"/>
      <c r="P466" s="55"/>
      <c r="Q466" s="55"/>
      <c r="R466" s="55"/>
      <c r="S466" s="62"/>
      <c r="T466" s="55"/>
      <c r="U466" s="55"/>
    </row>
    <row r="467" spans="1:21" ht="18.75">
      <c r="A467" s="238"/>
      <c r="B467" s="188"/>
      <c r="C467" s="371" t="s">
        <v>184</v>
      </c>
      <c r="D467" s="188"/>
      <c r="E467" s="188"/>
      <c r="F467" s="188"/>
      <c r="G467" s="208"/>
      <c r="H467" s="161" t="s">
        <v>46</v>
      </c>
      <c r="I467" s="54"/>
      <c r="J467" s="181">
        <f t="shared" ref="J467:J468" ca="1" si="339">J469+J471</f>
        <v>0</v>
      </c>
      <c r="K467" s="55"/>
      <c r="L467" s="55"/>
      <c r="M467" s="55"/>
      <c r="N467" s="55"/>
      <c r="O467" s="55"/>
      <c r="P467" s="55"/>
      <c r="Q467" s="55"/>
      <c r="R467" s="55"/>
      <c r="S467" s="62"/>
      <c r="T467" s="55"/>
      <c r="U467" s="55"/>
    </row>
    <row r="468" spans="1:21" ht="18.75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181">
        <f t="shared" ca="1" si="339"/>
        <v>0</v>
      </c>
      <c r="K468" s="55"/>
      <c r="L468" s="55"/>
      <c r="M468" s="55"/>
      <c r="N468" s="55"/>
      <c r="O468" s="55"/>
      <c r="P468" s="55"/>
      <c r="Q468" s="55"/>
      <c r="R468" s="55"/>
      <c r="S468" s="62"/>
      <c r="T468" s="55"/>
      <c r="U468" s="55"/>
    </row>
    <row r="469" spans="1:21" ht="18.75">
      <c r="A469" s="238"/>
      <c r="B469" s="188"/>
      <c r="C469" s="188"/>
      <c r="D469" s="371" t="s">
        <v>185</v>
      </c>
      <c r="E469" s="188"/>
      <c r="F469" s="188"/>
      <c r="G469" s="208"/>
      <c r="H469" s="161" t="s">
        <v>46</v>
      </c>
      <c r="I469" s="54"/>
      <c r="J469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69" s="55"/>
      <c r="L469" s="55"/>
      <c r="M469" s="55"/>
      <c r="N469" s="55"/>
      <c r="O469" s="55"/>
      <c r="P469" s="55"/>
      <c r="Q469" s="55"/>
      <c r="R469" s="55"/>
      <c r="S469" s="62"/>
      <c r="T469" s="55"/>
      <c r="U469" s="55"/>
    </row>
    <row r="470" spans="1:21" ht="18.75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70" s="55"/>
      <c r="L470" s="55"/>
      <c r="M470" s="55"/>
      <c r="N470" s="55"/>
      <c r="O470" s="55"/>
      <c r="P470" s="55"/>
      <c r="Q470" s="55"/>
      <c r="R470" s="55"/>
      <c r="S470" s="62"/>
      <c r="T470" s="55"/>
      <c r="U470" s="55"/>
    </row>
    <row r="471" spans="1:21" ht="18.75">
      <c r="A471" s="238"/>
      <c r="B471" s="188"/>
      <c r="C471" s="188"/>
      <c r="D471" s="371" t="s">
        <v>186</v>
      </c>
      <c r="E471" s="188"/>
      <c r="F471" s="188"/>
      <c r="G471" s="208"/>
      <c r="H471" s="161" t="s">
        <v>46</v>
      </c>
      <c r="I471" s="54"/>
      <c r="J471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71" s="55"/>
      <c r="L471" s="55"/>
      <c r="M471" s="55"/>
      <c r="N471" s="55"/>
      <c r="O471" s="55"/>
      <c r="P471" s="55"/>
      <c r="Q471" s="55"/>
      <c r="R471" s="55"/>
      <c r="S471" s="62"/>
      <c r="T471" s="55"/>
      <c r="U471" s="55"/>
    </row>
    <row r="472" spans="1:21" ht="18.75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72" s="55"/>
      <c r="L472" s="55"/>
      <c r="M472" s="55"/>
      <c r="N472" s="55"/>
      <c r="O472" s="55"/>
      <c r="P472" s="55"/>
      <c r="Q472" s="55"/>
      <c r="R472" s="55"/>
      <c r="S472" s="62"/>
      <c r="T472" s="55"/>
      <c r="U472" s="55"/>
    </row>
    <row r="473" spans="1:21" ht="18.75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73" s="55"/>
      <c r="L473" s="55"/>
      <c r="M473" s="55"/>
      <c r="N473" s="55"/>
      <c r="O473" s="55"/>
      <c r="P473" s="55"/>
      <c r="Q473" s="55"/>
      <c r="R473" s="55"/>
      <c r="S473" s="62"/>
      <c r="T473" s="55"/>
      <c r="U473" s="55"/>
    </row>
    <row r="474" spans="1:21" ht="18.75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74" s="55"/>
      <c r="L474" s="55"/>
      <c r="M474" s="55"/>
      <c r="N474" s="55"/>
      <c r="O474" s="55"/>
      <c r="P474" s="55"/>
      <c r="Q474" s="55"/>
      <c r="R474" s="55"/>
      <c r="S474" s="62"/>
      <c r="T474" s="55"/>
      <c r="U474" s="55"/>
    </row>
    <row r="475" spans="1:21" ht="19.5">
      <c r="A475" s="238"/>
      <c r="B475" s="372" t="s">
        <v>188</v>
      </c>
      <c r="C475" s="188"/>
      <c r="D475" s="188"/>
      <c r="E475" s="188"/>
      <c r="F475" s="188"/>
      <c r="G475" s="208"/>
      <c r="H475" s="158" t="s">
        <v>46</v>
      </c>
      <c r="I475" s="373">
        <v>0</v>
      </c>
      <c r="J475" s="176">
        <f ca="1">J478+J480</f>
        <v>0</v>
      </c>
      <c r="K475" s="159">
        <f t="shared" ref="K475:K477" si="340">IF(I475&gt;0,J475*100/I475,0)</f>
        <v>0</v>
      </c>
      <c r="L475" s="55"/>
      <c r="M475" s="55"/>
      <c r="N475" s="55"/>
      <c r="O475" s="55"/>
      <c r="P475" s="55"/>
      <c r="Q475" s="55"/>
      <c r="R475" s="55"/>
      <c r="S475" s="62"/>
      <c r="T475" s="55"/>
      <c r="U475" s="55"/>
    </row>
    <row r="476" spans="1:21" ht="19.5">
      <c r="A476" s="238"/>
      <c r="B476" s="188"/>
      <c r="C476" s="191" t="s">
        <v>189</v>
      </c>
      <c r="D476" s="188"/>
      <c r="E476" s="188"/>
      <c r="F476" s="188"/>
      <c r="G476" s="208"/>
      <c r="H476" s="158" t="s">
        <v>46</v>
      </c>
      <c r="I476" s="373">
        <v>0</v>
      </c>
      <c r="J476" s="176">
        <f t="shared" ref="J476:J477" ca="1" si="341">J478+J480</f>
        <v>0</v>
      </c>
      <c r="K476" s="159">
        <f t="shared" si="340"/>
        <v>0</v>
      </c>
      <c r="L476" s="55"/>
      <c r="M476" s="55"/>
      <c r="N476" s="55"/>
      <c r="O476" s="55"/>
      <c r="P476" s="55"/>
      <c r="Q476" s="55"/>
      <c r="R476" s="55"/>
      <c r="S476" s="62"/>
      <c r="T476" s="55"/>
      <c r="U476" s="55"/>
    </row>
    <row r="477" spans="1:21" ht="19.5">
      <c r="A477" s="238"/>
      <c r="B477" s="188"/>
      <c r="C477" s="239" t="s">
        <v>190</v>
      </c>
      <c r="D477" s="188"/>
      <c r="E477" s="188"/>
      <c r="F477" s="188"/>
      <c r="G477" s="208"/>
      <c r="H477" s="158" t="s">
        <v>34</v>
      </c>
      <c r="I477" s="373">
        <v>0</v>
      </c>
      <c r="J477" s="176">
        <f t="shared" ca="1" si="341"/>
        <v>0</v>
      </c>
      <c r="K477" s="159">
        <f t="shared" si="340"/>
        <v>0</v>
      </c>
      <c r="L477" s="55"/>
      <c r="M477" s="55"/>
      <c r="N477" s="55"/>
      <c r="O477" s="55"/>
      <c r="P477" s="55"/>
      <c r="Q477" s="55"/>
      <c r="R477" s="55"/>
      <c r="S477" s="62"/>
      <c r="T477" s="55"/>
      <c r="U477" s="55"/>
    </row>
    <row r="478" spans="1:21" ht="18.75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78" s="55"/>
      <c r="L478" s="55"/>
      <c r="M478" s="55"/>
      <c r="N478" s="55"/>
      <c r="O478" s="55"/>
      <c r="P478" s="55"/>
      <c r="Q478" s="55"/>
      <c r="R478" s="55"/>
      <c r="S478" s="62"/>
      <c r="T478" s="55"/>
      <c r="U478" s="55"/>
    </row>
    <row r="479" spans="1:21" ht="18.75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79" s="55"/>
      <c r="L479" s="55"/>
      <c r="M479" s="55"/>
      <c r="N479" s="55"/>
      <c r="O479" s="55"/>
      <c r="P479" s="55"/>
      <c r="Q479" s="55"/>
      <c r="R479" s="55"/>
      <c r="S479" s="62"/>
      <c r="T479" s="55"/>
      <c r="U479" s="55"/>
    </row>
    <row r="480" spans="1:21" ht="18.75">
      <c r="A480" s="238"/>
      <c r="B480" s="188"/>
      <c r="C480" s="188"/>
      <c r="D480" s="371" t="s">
        <v>192</v>
      </c>
      <c r="E480" s="188"/>
      <c r="F480" s="188"/>
      <c r="G480" s="208"/>
      <c r="H480" s="161" t="s">
        <v>46</v>
      </c>
      <c r="I480" s="54"/>
      <c r="J480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80" s="55"/>
      <c r="L480" s="55"/>
      <c r="M480" s="55"/>
      <c r="N480" s="55"/>
      <c r="O480" s="55"/>
      <c r="P480" s="55"/>
      <c r="Q480" s="55"/>
      <c r="R480" s="55"/>
      <c r="S480" s="62"/>
      <c r="T480" s="55"/>
      <c r="U480" s="55"/>
    </row>
    <row r="481" spans="1:21" ht="18.75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81" s="55"/>
      <c r="L481" s="55"/>
      <c r="M481" s="55"/>
      <c r="N481" s="55"/>
      <c r="O481" s="55"/>
      <c r="P481" s="55"/>
      <c r="Q481" s="55"/>
      <c r="R481" s="55"/>
      <c r="S481" s="62"/>
      <c r="T481" s="55"/>
      <c r="U481" s="55"/>
    </row>
    <row r="482" spans="1:21" ht="18.75">
      <c r="A482" s="238"/>
      <c r="B482" s="188"/>
      <c r="C482" s="188"/>
      <c r="D482" s="371" t="s">
        <v>193</v>
      </c>
      <c r="E482" s="188"/>
      <c r="F482" s="188"/>
      <c r="G482" s="208"/>
      <c r="H482" s="161" t="s">
        <v>46</v>
      </c>
      <c r="I482" s="54"/>
      <c r="J482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82" s="55"/>
      <c r="L482" s="55"/>
      <c r="M482" s="55"/>
      <c r="N482" s="55"/>
      <c r="O482" s="55"/>
      <c r="P482" s="55"/>
      <c r="Q482" s="55"/>
      <c r="R482" s="55"/>
      <c r="S482" s="62"/>
      <c r="T482" s="55"/>
      <c r="U482" s="55"/>
    </row>
    <row r="483" spans="1:21" ht="18.75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83" s="55"/>
      <c r="L483" s="55"/>
      <c r="M483" s="55"/>
      <c r="N483" s="55"/>
      <c r="O483" s="55"/>
      <c r="P483" s="55"/>
      <c r="Q483" s="55"/>
      <c r="R483" s="55"/>
      <c r="S483" s="62"/>
      <c r="T483" s="55"/>
      <c r="U483" s="55"/>
    </row>
    <row r="484" spans="1:21" ht="19.5">
      <c r="A484" s="238"/>
      <c r="B484" s="188"/>
      <c r="C484" s="191" t="s">
        <v>194</v>
      </c>
      <c r="D484" s="188"/>
      <c r="E484" s="188"/>
      <c r="F484" s="188"/>
      <c r="G484" s="208"/>
      <c r="H484" s="158" t="s">
        <v>46</v>
      </c>
      <c r="I484" s="181">
        <f t="shared" ref="I484:I485" ca="1" si="342">J480</f>
        <v>0</v>
      </c>
      <c r="J484" s="176">
        <f t="shared" ref="J484:J485" ca="1" si="343">J486+J488+J490</f>
        <v>0</v>
      </c>
      <c r="K484" s="159">
        <f t="shared" ref="K484:K485" ca="1" si="344">IF(I484&gt;0,J484*100/I484,0)</f>
        <v>0</v>
      </c>
      <c r="L484" s="55"/>
      <c r="M484" s="55"/>
      <c r="N484" s="55"/>
      <c r="O484" s="55"/>
      <c r="P484" s="55"/>
      <c r="Q484" s="55"/>
      <c r="R484" s="55"/>
      <c r="S484" s="62"/>
      <c r="T484" s="55"/>
      <c r="U484" s="55"/>
    </row>
    <row r="485" spans="1:21" ht="19.5">
      <c r="A485" s="238"/>
      <c r="B485" s="188"/>
      <c r="C485" s="239" t="s">
        <v>195</v>
      </c>
      <c r="D485" s="188"/>
      <c r="E485" s="188"/>
      <c r="F485" s="188"/>
      <c r="G485" s="208"/>
      <c r="H485" s="158" t="s">
        <v>34</v>
      </c>
      <c r="I485" s="181">
        <f t="shared" ca="1" si="342"/>
        <v>0</v>
      </c>
      <c r="J485" s="176">
        <f t="shared" ca="1" si="343"/>
        <v>0</v>
      </c>
      <c r="K485" s="159">
        <f t="shared" ca="1" si="344"/>
        <v>0</v>
      </c>
      <c r="L485" s="55"/>
      <c r="M485" s="55"/>
      <c r="N485" s="55"/>
      <c r="O485" s="55"/>
      <c r="P485" s="55"/>
      <c r="Q485" s="55"/>
      <c r="R485" s="55"/>
      <c r="S485" s="62"/>
      <c r="T485" s="55"/>
      <c r="U485" s="55"/>
    </row>
    <row r="486" spans="1:21" ht="18.75">
      <c r="A486" s="238"/>
      <c r="B486" s="188"/>
      <c r="C486" s="188"/>
      <c r="D486" s="371" t="s">
        <v>196</v>
      </c>
      <c r="E486" s="188"/>
      <c r="F486" s="188"/>
      <c r="G486" s="208"/>
      <c r="H486" s="161" t="s">
        <v>46</v>
      </c>
      <c r="I486" s="54"/>
      <c r="J486" s="181">
        <f ca="1">IFERROR(__xludf.DUMMYFUNCTION("IMPORTRANGE(""https://docs.google.com/spreadsheets/d/1yhBcrRPreicbMKl9Bu_Snb2-OcQAF62RKfhTLhJ2eAA/edit?usp=sharing"",""กาฬสินธุ์!J486"")+IMPORTRANGE(""https://docs.google.com/spreadsheets/d/1aHkj4IaQMThhwWwevcOymEh837vdxeC_PycurhTbGFA/edit?usp=sharing"","&amp;"""ขอนแก่น!J486"")+IMPORTRANGE(""https://docs.google.com/spreadsheets/d/1FvTu2DsIWUjP6WCWra38Bkj_oOl_sOMf14r5Fg5srxU/edit?usp=sharing"",""ชัยภูมิ!J486"")+IMPORTRANGE(""https://docs.google.com/spreadsheets/d/1XVB7oCJ3pr-vBUdflwPQ8Z2LlzhnCvZaaYjAfP-647E/edit"&amp;"?usp=sharing"",""นครพนม!J486"")+IMPORTRANGE(""https://docs.google.com/spreadsheets/d/1Mnpb-8PYAgn85W6KOTD40hc_Xc55CaLfHoGAbrZ8tls/edit?usp=sharing"",""นครราชสีมา!J486"")+IMPORTRANGE(""https://docs.google.com/spreadsheets/d/1xoDLGBv9CYbyosIhki0kTq6IpYNj-gp"&amp;"jxfobnaDiut0/edit?usp=sharing"",""บึงกาฬ!J486"")+IMPORTRANGE(""https://docs.google.com/spreadsheets/d/1MMPq-JyI6DSgQETxuSiXkesP-P7JHuemnE6QJIa-Nlw/edit?usp=sharing"",""บุรีรัมย์!J486"")+IMPORTRANGE(""https://docs.google.com/spreadsheets/d/1l6IZ8xUPgMrESzc"&amp;"TYwhA1k_tPjeQjJPTqlm8Gd9eU5g/edit?usp=sharing"",""มหาสารคาม!J486"")+IMPORTRANGE(""https://docs.google.com/spreadsheets/d/1uB74YLqNjWX6FObjekfB2NtSYigTQyR2rq9u4Ub2Sq4/edit?usp=sharing"",""มุกดาหาร!J486"")+IMPORTRANGE(""https://docs.google.com/spreadsheets/"&amp;"d/1NexK3geCPxCTO1fzNF8dPec7yZyUx3OaWkFBC9HsQOo/edit?usp=sharing"",""ยโสธร!J486"")+IMPORTRANGE(""https://docs.google.com/spreadsheets/d/1v_cJrbBlyqmnHPReHk44g9NrMRdENNlSy_E_c5M9fIg/edit?usp=sharing"",""ร้อยเอ็ด!J486"")+IMPORTRANGE(""https://docs.google.com"&amp;"/spreadsheets/d/1Ul4RCpCX66NxYADU1QpwAPjOmBzW64SsT11s1wzXw_c/edit?usp=sharing"",""เลย!J486"")+IMPORTRANGE(""https://docs.google.com/spreadsheets/d/1bRrNKwbHDVktQG10isr5vbWRtt5spIZPpkOSWgbT5ug/edit?usp=sharing"",""ศรีสะเกษ!J486"")+IMPORTRANGE(""https://doc"&amp;"s.google.com/spreadsheets/d/17P34_Ow5kFBfdQD0qspb2UuPX5zpi6WMrQzslghyvrI/edit?usp=sharing"",""สกลนคร!J486"")+IMPORTRANGE(""https://docs.google.com/spreadsheets/d/1yswqbM3-AEpThF3ZSUa1AcmHnmRTF1vlJ1CZGcJ8YuU/edit?usp=sharing"",""สุรินทร์!J486"")+IMPORTRANG"&amp;"E(""https://docs.google.com/spreadsheets/d/13JHU_EFbsQOUQ0JSQ3dWy1VTRosIWcDq6Nc99z2qzdc/edit?usp=sharing"",""หนองคาย!J486"")+IMPORTRANGE(""https://docs.google.com/spreadsheets/d/1Hx73zIEgVdDZZaYSTc46Dqv64atFhpr3GelxLbaIN8A/edit?usp=sharing"",""หนองบัวลำภู"&amp;"!J486"")+IMPORTRANGE(""https://docs.google.com/spreadsheets/d/1lFxr3ctmjFN90yc-xV6jrQ9Ty8BKYVBWnAZ15wcNIJc/edit?usp=sharing"",""อำนาจเจริญ!J486"")+IMPORTRANGE(""https://docs.google.com/spreadsheets/d/1gF7RJpRnL-1oyjyeWxs5SFWEH7y8ahOZsQlyp2A2e-A/edit?usp=s"&amp;"haring"",""อุดรธานี!J486"")+IMPORTRANGE(""https://docs.google.com/spreadsheets/d/1kfLP0j3INXRa8bTDpcEmoWewMBV61jlFlfzczfjWIgc/edit?usp=sharing"",""อุบลราชธานี!J486"")"),0)</f>
        <v>0</v>
      </c>
      <c r="K486" s="55"/>
      <c r="L486" s="55"/>
      <c r="M486" s="55"/>
      <c r="N486" s="55"/>
      <c r="O486" s="55"/>
      <c r="P486" s="55"/>
      <c r="Q486" s="55"/>
      <c r="R486" s="55"/>
      <c r="S486" s="62"/>
      <c r="T486" s="55"/>
      <c r="U486" s="55"/>
    </row>
    <row r="487" spans="1:21" ht="18.75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181">
        <f ca="1">IFERROR(__xludf.DUMMYFUNCTION("IMPORTRANGE(""https://docs.google.com/spreadsheets/d/1yhBcrRPreicbMKl9Bu_Snb2-OcQAF62RKfhTLhJ2eAA/edit?usp=sharing"",""กาฬสินธุ์!J487"")+IMPORTRANGE(""https://docs.google.com/spreadsheets/d/1aHkj4IaQMThhwWwevcOymEh837vdxeC_PycurhTbGFA/edit?usp=sharing"","&amp;"""ขอนแก่น!J487"")+IMPORTRANGE(""https://docs.google.com/spreadsheets/d/1FvTu2DsIWUjP6WCWra38Bkj_oOl_sOMf14r5Fg5srxU/edit?usp=sharing"",""ชัยภูมิ!J487"")+IMPORTRANGE(""https://docs.google.com/spreadsheets/d/1XVB7oCJ3pr-vBUdflwPQ8Z2LlzhnCvZaaYjAfP-647E/edit"&amp;"?usp=sharing"",""นครพนม!J487"")+IMPORTRANGE(""https://docs.google.com/spreadsheets/d/1Mnpb-8PYAgn85W6KOTD40hc_Xc55CaLfHoGAbrZ8tls/edit?usp=sharing"",""นครราชสีมา!J487"")+IMPORTRANGE(""https://docs.google.com/spreadsheets/d/1xoDLGBv9CYbyosIhki0kTq6IpYNj-gp"&amp;"jxfobnaDiut0/edit?usp=sharing"",""บึงกาฬ!J487"")+IMPORTRANGE(""https://docs.google.com/spreadsheets/d/1MMPq-JyI6DSgQETxuSiXkesP-P7JHuemnE6QJIa-Nlw/edit?usp=sharing"",""บุรีรัมย์!J487"")+IMPORTRANGE(""https://docs.google.com/spreadsheets/d/1l6IZ8xUPgMrESzc"&amp;"TYwhA1k_tPjeQjJPTqlm8Gd9eU5g/edit?usp=sharing"",""มหาสารคาม!J487"")+IMPORTRANGE(""https://docs.google.com/spreadsheets/d/1uB74YLqNjWX6FObjekfB2NtSYigTQyR2rq9u4Ub2Sq4/edit?usp=sharing"",""มุกดาหาร!J487"")+IMPORTRANGE(""https://docs.google.com/spreadsheets/"&amp;"d/1NexK3geCPxCTO1fzNF8dPec7yZyUx3OaWkFBC9HsQOo/edit?usp=sharing"",""ยโสธร!J487"")+IMPORTRANGE(""https://docs.google.com/spreadsheets/d/1v_cJrbBlyqmnHPReHk44g9NrMRdENNlSy_E_c5M9fIg/edit?usp=sharing"",""ร้อยเอ็ด!J487"")+IMPORTRANGE(""https://docs.google.com"&amp;"/spreadsheets/d/1Ul4RCpCX66NxYADU1QpwAPjOmBzW64SsT11s1wzXw_c/edit?usp=sharing"",""เลย!J487"")+IMPORTRANGE(""https://docs.google.com/spreadsheets/d/1bRrNKwbHDVktQG10isr5vbWRtt5spIZPpkOSWgbT5ug/edit?usp=sharing"",""ศรีสะเกษ!J487"")+IMPORTRANGE(""https://doc"&amp;"s.google.com/spreadsheets/d/17P34_Ow5kFBfdQD0qspb2UuPX5zpi6WMrQzslghyvrI/edit?usp=sharing"",""สกลนคร!J487"")+IMPORTRANGE(""https://docs.google.com/spreadsheets/d/1yswqbM3-AEpThF3ZSUa1AcmHnmRTF1vlJ1CZGcJ8YuU/edit?usp=sharing"",""สุรินทร์!J487"")+IMPORTRANG"&amp;"E(""https://docs.google.com/spreadsheets/d/13JHU_EFbsQOUQ0JSQ3dWy1VTRosIWcDq6Nc99z2qzdc/edit?usp=sharing"",""หนองคาย!J487"")+IMPORTRANGE(""https://docs.google.com/spreadsheets/d/1Hx73zIEgVdDZZaYSTc46Dqv64atFhpr3GelxLbaIN8A/edit?usp=sharing"",""หนองบัวลำภู"&amp;"!J487"")+IMPORTRANGE(""https://docs.google.com/spreadsheets/d/1lFxr3ctmjFN90yc-xV6jrQ9Ty8BKYVBWnAZ15wcNIJc/edit?usp=sharing"",""อำนาจเจริญ!J487"")+IMPORTRANGE(""https://docs.google.com/spreadsheets/d/1gF7RJpRnL-1oyjyeWxs5SFWEH7y8ahOZsQlyp2A2e-A/edit?usp=s"&amp;"haring"",""อุดรธานี!J487"")+IMPORTRANGE(""https://docs.google.com/spreadsheets/d/1kfLP0j3INXRa8bTDpcEmoWewMBV61jlFlfzczfjWIgc/edit?usp=sharing"",""อุบลราชธานี!J487"")"),0)</f>
        <v>0</v>
      </c>
      <c r="K487" s="55"/>
      <c r="L487" s="55"/>
      <c r="M487" s="55"/>
      <c r="N487" s="55"/>
      <c r="O487" s="55"/>
      <c r="P487" s="55"/>
      <c r="Q487" s="55"/>
      <c r="R487" s="55"/>
      <c r="S487" s="62"/>
      <c r="T487" s="55"/>
      <c r="U487" s="55"/>
    </row>
    <row r="488" spans="1:21" ht="18.75">
      <c r="A488" s="238"/>
      <c r="B488" s="188"/>
      <c r="C488" s="188"/>
      <c r="D488" s="371" t="s">
        <v>197</v>
      </c>
      <c r="E488" s="188"/>
      <c r="F488" s="188"/>
      <c r="G488" s="208"/>
      <c r="H488" s="161" t="s">
        <v>46</v>
      </c>
      <c r="I488" s="54"/>
      <c r="J488" s="181">
        <f ca="1">IFERROR(__xludf.DUMMYFUNCTION("IMPORTRANGE(""https://docs.google.com/spreadsheets/d/1yhBcrRPreicbMKl9Bu_Snb2-OcQAF62RKfhTLhJ2eAA/edit?usp=sharing"",""กาฬสินธุ์!J488"")+IMPORTRANGE(""https://docs.google.com/spreadsheets/d/1aHkj4IaQMThhwWwevcOymEh837vdxeC_PycurhTbGFA/edit?usp=sharing"","&amp;"""ขอนแก่น!J488"")+IMPORTRANGE(""https://docs.google.com/spreadsheets/d/1FvTu2DsIWUjP6WCWra38Bkj_oOl_sOMf14r5Fg5srxU/edit?usp=sharing"",""ชัยภูมิ!J488"")+IMPORTRANGE(""https://docs.google.com/spreadsheets/d/1XVB7oCJ3pr-vBUdflwPQ8Z2LlzhnCvZaaYjAfP-647E/edit"&amp;"?usp=sharing"",""นครพนม!J488"")+IMPORTRANGE(""https://docs.google.com/spreadsheets/d/1Mnpb-8PYAgn85W6KOTD40hc_Xc55CaLfHoGAbrZ8tls/edit?usp=sharing"",""นครราชสีมา!J488"")+IMPORTRANGE(""https://docs.google.com/spreadsheets/d/1xoDLGBv9CYbyosIhki0kTq6IpYNj-gp"&amp;"jxfobnaDiut0/edit?usp=sharing"",""บึงกาฬ!J488"")+IMPORTRANGE(""https://docs.google.com/spreadsheets/d/1MMPq-JyI6DSgQETxuSiXkesP-P7JHuemnE6QJIa-Nlw/edit?usp=sharing"",""บุรีรัมย์!J488"")+IMPORTRANGE(""https://docs.google.com/spreadsheets/d/1l6IZ8xUPgMrESzc"&amp;"TYwhA1k_tPjeQjJPTqlm8Gd9eU5g/edit?usp=sharing"",""มหาสารคาม!J488"")+IMPORTRANGE(""https://docs.google.com/spreadsheets/d/1uB74YLqNjWX6FObjekfB2NtSYigTQyR2rq9u4Ub2Sq4/edit?usp=sharing"",""มุกดาหาร!J488"")+IMPORTRANGE(""https://docs.google.com/spreadsheets/"&amp;"d/1NexK3geCPxCTO1fzNF8dPec7yZyUx3OaWkFBC9HsQOo/edit?usp=sharing"",""ยโสธร!J488"")+IMPORTRANGE(""https://docs.google.com/spreadsheets/d/1v_cJrbBlyqmnHPReHk44g9NrMRdENNlSy_E_c5M9fIg/edit?usp=sharing"",""ร้อยเอ็ด!J488"")+IMPORTRANGE(""https://docs.google.com"&amp;"/spreadsheets/d/1Ul4RCpCX66NxYADU1QpwAPjOmBzW64SsT11s1wzXw_c/edit?usp=sharing"",""เลย!J488"")+IMPORTRANGE(""https://docs.google.com/spreadsheets/d/1bRrNKwbHDVktQG10isr5vbWRtt5spIZPpkOSWgbT5ug/edit?usp=sharing"",""ศรีสะเกษ!J488"")+IMPORTRANGE(""https://doc"&amp;"s.google.com/spreadsheets/d/17P34_Ow5kFBfdQD0qspb2UuPX5zpi6WMrQzslghyvrI/edit?usp=sharing"",""สกลนคร!J488"")+IMPORTRANGE(""https://docs.google.com/spreadsheets/d/1yswqbM3-AEpThF3ZSUa1AcmHnmRTF1vlJ1CZGcJ8YuU/edit?usp=sharing"",""สุรินทร์!J488"")+IMPORTRANG"&amp;"E(""https://docs.google.com/spreadsheets/d/13JHU_EFbsQOUQ0JSQ3dWy1VTRosIWcDq6Nc99z2qzdc/edit?usp=sharing"",""หนองคาย!J488"")+IMPORTRANGE(""https://docs.google.com/spreadsheets/d/1Hx73zIEgVdDZZaYSTc46Dqv64atFhpr3GelxLbaIN8A/edit?usp=sharing"",""หนองบัวลำภู"&amp;"!J488"")+IMPORTRANGE(""https://docs.google.com/spreadsheets/d/1lFxr3ctmjFN90yc-xV6jrQ9Ty8BKYVBWnAZ15wcNIJc/edit?usp=sharing"",""อำนาจเจริญ!J488"")+IMPORTRANGE(""https://docs.google.com/spreadsheets/d/1gF7RJpRnL-1oyjyeWxs5SFWEH7y8ahOZsQlyp2A2e-A/edit?usp=s"&amp;"haring"",""อุดรธานี!J488"")+IMPORTRANGE(""https://docs.google.com/spreadsheets/d/1kfLP0j3INXRa8bTDpcEmoWewMBV61jlFlfzczfjWIgc/edit?usp=sharing"",""อุบลราชธานี!J488"")"),0)</f>
        <v>0</v>
      </c>
      <c r="K488" s="55"/>
      <c r="L488" s="55"/>
      <c r="M488" s="55"/>
      <c r="N488" s="55"/>
      <c r="O488" s="55"/>
      <c r="P488" s="55"/>
      <c r="Q488" s="55"/>
      <c r="R488" s="55"/>
      <c r="S488" s="62"/>
      <c r="T488" s="55"/>
      <c r="U488" s="55"/>
    </row>
    <row r="489" spans="1:21" ht="18.75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181">
        <f ca="1">IFERROR(__xludf.DUMMYFUNCTION("IMPORTRANGE(""https://docs.google.com/spreadsheets/d/1yhBcrRPreicbMKl9Bu_Snb2-OcQAF62RKfhTLhJ2eAA/edit?usp=sharing"",""กาฬสินธุ์!J489"")+IMPORTRANGE(""https://docs.google.com/spreadsheets/d/1aHkj4IaQMThhwWwevcOymEh837vdxeC_PycurhTbGFA/edit?usp=sharing"","&amp;"""ขอนแก่น!J489"")+IMPORTRANGE(""https://docs.google.com/spreadsheets/d/1FvTu2DsIWUjP6WCWra38Bkj_oOl_sOMf14r5Fg5srxU/edit?usp=sharing"",""ชัยภูมิ!J489"")+IMPORTRANGE(""https://docs.google.com/spreadsheets/d/1XVB7oCJ3pr-vBUdflwPQ8Z2LlzhnCvZaaYjAfP-647E/edit"&amp;"?usp=sharing"",""นครพนม!J489"")+IMPORTRANGE(""https://docs.google.com/spreadsheets/d/1Mnpb-8PYAgn85W6KOTD40hc_Xc55CaLfHoGAbrZ8tls/edit?usp=sharing"",""นครราชสีมา!J489"")+IMPORTRANGE(""https://docs.google.com/spreadsheets/d/1xoDLGBv9CYbyosIhki0kTq6IpYNj-gp"&amp;"jxfobnaDiut0/edit?usp=sharing"",""บึงกาฬ!J489"")+IMPORTRANGE(""https://docs.google.com/spreadsheets/d/1MMPq-JyI6DSgQETxuSiXkesP-P7JHuemnE6QJIa-Nlw/edit?usp=sharing"",""บุรีรัมย์!J489"")+IMPORTRANGE(""https://docs.google.com/spreadsheets/d/1l6IZ8xUPgMrESzc"&amp;"TYwhA1k_tPjeQjJPTqlm8Gd9eU5g/edit?usp=sharing"",""มหาสารคาม!J489"")+IMPORTRANGE(""https://docs.google.com/spreadsheets/d/1uB74YLqNjWX6FObjekfB2NtSYigTQyR2rq9u4Ub2Sq4/edit?usp=sharing"",""มุกดาหาร!J489"")+IMPORTRANGE(""https://docs.google.com/spreadsheets/"&amp;"d/1NexK3geCPxCTO1fzNF8dPec7yZyUx3OaWkFBC9HsQOo/edit?usp=sharing"",""ยโสธร!J489"")+IMPORTRANGE(""https://docs.google.com/spreadsheets/d/1v_cJrbBlyqmnHPReHk44g9NrMRdENNlSy_E_c5M9fIg/edit?usp=sharing"",""ร้อยเอ็ด!J489"")+IMPORTRANGE(""https://docs.google.com"&amp;"/spreadsheets/d/1Ul4RCpCX66NxYADU1QpwAPjOmBzW64SsT11s1wzXw_c/edit?usp=sharing"",""เลย!J489"")+IMPORTRANGE(""https://docs.google.com/spreadsheets/d/1bRrNKwbHDVktQG10isr5vbWRtt5spIZPpkOSWgbT5ug/edit?usp=sharing"",""ศรีสะเกษ!J489"")+IMPORTRANGE(""https://doc"&amp;"s.google.com/spreadsheets/d/17P34_Ow5kFBfdQD0qspb2UuPX5zpi6WMrQzslghyvrI/edit?usp=sharing"",""สกลนคร!J489"")+IMPORTRANGE(""https://docs.google.com/spreadsheets/d/1yswqbM3-AEpThF3ZSUa1AcmHnmRTF1vlJ1CZGcJ8YuU/edit?usp=sharing"",""สุรินทร์!J489"")+IMPORTRANG"&amp;"E(""https://docs.google.com/spreadsheets/d/13JHU_EFbsQOUQ0JSQ3dWy1VTRosIWcDq6Nc99z2qzdc/edit?usp=sharing"",""หนองคาย!J489"")+IMPORTRANGE(""https://docs.google.com/spreadsheets/d/1Hx73zIEgVdDZZaYSTc46Dqv64atFhpr3GelxLbaIN8A/edit?usp=sharing"",""หนองบัวลำภู"&amp;"!J489"")+IMPORTRANGE(""https://docs.google.com/spreadsheets/d/1lFxr3ctmjFN90yc-xV6jrQ9Ty8BKYVBWnAZ15wcNIJc/edit?usp=sharing"",""อำนาจเจริญ!J489"")+IMPORTRANGE(""https://docs.google.com/spreadsheets/d/1gF7RJpRnL-1oyjyeWxs5SFWEH7y8ahOZsQlyp2A2e-A/edit?usp=s"&amp;"haring"",""อุดรธานี!J489"")+IMPORTRANGE(""https://docs.google.com/spreadsheets/d/1kfLP0j3INXRa8bTDpcEmoWewMBV61jlFlfzczfjWIgc/edit?usp=sharing"",""อุบลราชธานี!J489"")"),0)</f>
        <v>0</v>
      </c>
      <c r="K489" s="55"/>
      <c r="L489" s="55"/>
      <c r="M489" s="55"/>
      <c r="N489" s="55"/>
      <c r="O489" s="55"/>
      <c r="P489" s="55"/>
      <c r="Q489" s="55"/>
      <c r="R489" s="55"/>
      <c r="S489" s="62"/>
      <c r="T489" s="55"/>
      <c r="U489" s="55"/>
    </row>
    <row r="490" spans="1:21" ht="18.75">
      <c r="A490" s="238"/>
      <c r="B490" s="188"/>
      <c r="C490" s="188"/>
      <c r="D490" s="371" t="s">
        <v>198</v>
      </c>
      <c r="E490" s="188"/>
      <c r="F490" s="188"/>
      <c r="G490" s="208"/>
      <c r="H490" s="161" t="s">
        <v>46</v>
      </c>
      <c r="I490" s="54"/>
      <c r="J490" s="181">
        <f ca="1">IFERROR(__xludf.DUMMYFUNCTION("IMPORTRANGE(""https://docs.google.com/spreadsheets/d/1yhBcrRPreicbMKl9Bu_Snb2-OcQAF62RKfhTLhJ2eAA/edit?usp=sharing"",""กาฬสินธุ์!J490"")+IMPORTRANGE(""https://docs.google.com/spreadsheets/d/1aHkj4IaQMThhwWwevcOymEh837vdxeC_PycurhTbGFA/edit?usp=sharing"","&amp;"""ขอนแก่น!J490"")+IMPORTRANGE(""https://docs.google.com/spreadsheets/d/1FvTu2DsIWUjP6WCWra38Bkj_oOl_sOMf14r5Fg5srxU/edit?usp=sharing"",""ชัยภูมิ!J490"")+IMPORTRANGE(""https://docs.google.com/spreadsheets/d/1XVB7oCJ3pr-vBUdflwPQ8Z2LlzhnCvZaaYjAfP-647E/edit"&amp;"?usp=sharing"",""นครพนม!J490"")+IMPORTRANGE(""https://docs.google.com/spreadsheets/d/1Mnpb-8PYAgn85W6KOTD40hc_Xc55CaLfHoGAbrZ8tls/edit?usp=sharing"",""นครราชสีมา!J490"")+IMPORTRANGE(""https://docs.google.com/spreadsheets/d/1xoDLGBv9CYbyosIhki0kTq6IpYNj-gp"&amp;"jxfobnaDiut0/edit?usp=sharing"",""บึงกาฬ!J490"")+IMPORTRANGE(""https://docs.google.com/spreadsheets/d/1MMPq-JyI6DSgQETxuSiXkesP-P7JHuemnE6QJIa-Nlw/edit?usp=sharing"",""บุรีรัมย์!J490"")+IMPORTRANGE(""https://docs.google.com/spreadsheets/d/1l6IZ8xUPgMrESzc"&amp;"TYwhA1k_tPjeQjJPTqlm8Gd9eU5g/edit?usp=sharing"",""มหาสารคาม!J490"")+IMPORTRANGE(""https://docs.google.com/spreadsheets/d/1uB74YLqNjWX6FObjekfB2NtSYigTQyR2rq9u4Ub2Sq4/edit?usp=sharing"",""มุกดาหาร!J490"")+IMPORTRANGE(""https://docs.google.com/spreadsheets/"&amp;"d/1NexK3geCPxCTO1fzNF8dPec7yZyUx3OaWkFBC9HsQOo/edit?usp=sharing"",""ยโสธร!J490"")+IMPORTRANGE(""https://docs.google.com/spreadsheets/d/1v_cJrbBlyqmnHPReHk44g9NrMRdENNlSy_E_c5M9fIg/edit?usp=sharing"",""ร้อยเอ็ด!J490"")+IMPORTRANGE(""https://docs.google.com"&amp;"/spreadsheets/d/1Ul4RCpCX66NxYADU1QpwAPjOmBzW64SsT11s1wzXw_c/edit?usp=sharing"",""เลย!J490"")+IMPORTRANGE(""https://docs.google.com/spreadsheets/d/1bRrNKwbHDVktQG10isr5vbWRtt5spIZPpkOSWgbT5ug/edit?usp=sharing"",""ศรีสะเกษ!J490"")+IMPORTRANGE(""https://doc"&amp;"s.google.com/spreadsheets/d/17P34_Ow5kFBfdQD0qspb2UuPX5zpi6WMrQzslghyvrI/edit?usp=sharing"",""สกลนคร!J490"")+IMPORTRANGE(""https://docs.google.com/spreadsheets/d/1yswqbM3-AEpThF3ZSUa1AcmHnmRTF1vlJ1CZGcJ8YuU/edit?usp=sharing"",""สุรินทร์!J490"")+IMPORTRANG"&amp;"E(""https://docs.google.com/spreadsheets/d/13JHU_EFbsQOUQ0JSQ3dWy1VTRosIWcDq6Nc99z2qzdc/edit?usp=sharing"",""หนองคาย!J490"")+IMPORTRANGE(""https://docs.google.com/spreadsheets/d/1Hx73zIEgVdDZZaYSTc46Dqv64atFhpr3GelxLbaIN8A/edit?usp=sharing"",""หนองบัวลำภู"&amp;"!J490"")+IMPORTRANGE(""https://docs.google.com/spreadsheets/d/1lFxr3ctmjFN90yc-xV6jrQ9Ty8BKYVBWnAZ15wcNIJc/edit?usp=sharing"",""อำนาจเจริญ!J490"")+IMPORTRANGE(""https://docs.google.com/spreadsheets/d/1gF7RJpRnL-1oyjyeWxs5SFWEH7y8ahOZsQlyp2A2e-A/edit?usp=s"&amp;"haring"",""อุดรธานี!J490"")+IMPORTRANGE(""https://docs.google.com/spreadsheets/d/1kfLP0j3INXRa8bTDpcEmoWewMBV61jlFlfzczfjWIgc/edit?usp=sharing"",""อุบลราชธานี!J490"")"),0)</f>
        <v>0</v>
      </c>
      <c r="K490" s="55"/>
      <c r="L490" s="55"/>
      <c r="M490" s="55"/>
      <c r="N490" s="55"/>
      <c r="O490" s="55"/>
      <c r="P490" s="55"/>
      <c r="Q490" s="55"/>
      <c r="R490" s="55"/>
      <c r="S490" s="62"/>
      <c r="T490" s="55"/>
      <c r="U490" s="55"/>
    </row>
    <row r="491" spans="1:21" ht="18.75">
      <c r="A491" s="374"/>
      <c r="B491" s="5"/>
      <c r="C491" s="5"/>
      <c r="D491" s="5"/>
      <c r="E491" s="5"/>
      <c r="F491" s="5"/>
      <c r="G491" s="375"/>
      <c r="H491" s="376" t="s">
        <v>34</v>
      </c>
      <c r="I491" s="67"/>
      <c r="J491" s="215">
        <f ca="1">IFERROR(__xludf.DUMMYFUNCTION("IMPORTRANGE(""https://docs.google.com/spreadsheets/d/1yhBcrRPreicbMKl9Bu_Snb2-OcQAF62RKfhTLhJ2eAA/edit?usp=sharing"",""กาฬสินธุ์!J491"")+IMPORTRANGE(""https://docs.google.com/spreadsheets/d/1aHkj4IaQMThhwWwevcOymEh837vdxeC_PycurhTbGFA/edit?usp=sharing"","&amp;"""ขอนแก่น!J491"")+IMPORTRANGE(""https://docs.google.com/spreadsheets/d/1FvTu2DsIWUjP6WCWra38Bkj_oOl_sOMf14r5Fg5srxU/edit?usp=sharing"",""ชัยภูมิ!J491"")+IMPORTRANGE(""https://docs.google.com/spreadsheets/d/1XVB7oCJ3pr-vBUdflwPQ8Z2LlzhnCvZaaYjAfP-647E/edit"&amp;"?usp=sharing"",""นครพนม!J491"")+IMPORTRANGE(""https://docs.google.com/spreadsheets/d/1Mnpb-8PYAgn85W6KOTD40hc_Xc55CaLfHoGAbrZ8tls/edit?usp=sharing"",""นครราชสีมา!J491"")+IMPORTRANGE(""https://docs.google.com/spreadsheets/d/1xoDLGBv9CYbyosIhki0kTq6IpYNj-gp"&amp;"jxfobnaDiut0/edit?usp=sharing"",""บึงกาฬ!J491"")+IMPORTRANGE(""https://docs.google.com/spreadsheets/d/1MMPq-JyI6DSgQETxuSiXkesP-P7JHuemnE6QJIa-Nlw/edit?usp=sharing"",""บุรีรัมย์!J491"")+IMPORTRANGE(""https://docs.google.com/spreadsheets/d/1l6IZ8xUPgMrESzc"&amp;"TYwhA1k_tPjeQjJPTqlm8Gd9eU5g/edit?usp=sharing"",""มหาสารคาม!J491"")+IMPORTRANGE(""https://docs.google.com/spreadsheets/d/1uB74YLqNjWX6FObjekfB2NtSYigTQyR2rq9u4Ub2Sq4/edit?usp=sharing"",""มุกดาหาร!J491"")+IMPORTRANGE(""https://docs.google.com/spreadsheets/"&amp;"d/1NexK3geCPxCTO1fzNF8dPec7yZyUx3OaWkFBC9HsQOo/edit?usp=sharing"",""ยโสธร!J491"")+IMPORTRANGE(""https://docs.google.com/spreadsheets/d/1v_cJrbBlyqmnHPReHk44g9NrMRdENNlSy_E_c5M9fIg/edit?usp=sharing"",""ร้อยเอ็ด!J491"")+IMPORTRANGE(""https://docs.google.com"&amp;"/spreadsheets/d/1Ul4RCpCX66NxYADU1QpwAPjOmBzW64SsT11s1wzXw_c/edit?usp=sharing"",""เลย!J491"")+IMPORTRANGE(""https://docs.google.com/spreadsheets/d/1bRrNKwbHDVktQG10isr5vbWRtt5spIZPpkOSWgbT5ug/edit?usp=sharing"",""ศรีสะเกษ!J491"")+IMPORTRANGE(""https://doc"&amp;"s.google.com/spreadsheets/d/17P34_Ow5kFBfdQD0qspb2UuPX5zpi6WMrQzslghyvrI/edit?usp=sharing"",""สกลนคร!J491"")+IMPORTRANGE(""https://docs.google.com/spreadsheets/d/1yswqbM3-AEpThF3ZSUa1AcmHnmRTF1vlJ1CZGcJ8YuU/edit?usp=sharing"",""สุรินทร์!J491"")+IMPORTRANG"&amp;"E(""https://docs.google.com/spreadsheets/d/13JHU_EFbsQOUQ0JSQ3dWy1VTRosIWcDq6Nc99z2qzdc/edit?usp=sharing"",""หนองคาย!J491"")+IMPORTRANGE(""https://docs.google.com/spreadsheets/d/1Hx73zIEgVdDZZaYSTc46Dqv64atFhpr3GelxLbaIN8A/edit?usp=sharing"",""หนองบัวลำภู"&amp;"!J491"")+IMPORTRANGE(""https://docs.google.com/spreadsheets/d/1lFxr3ctmjFN90yc-xV6jrQ9Ty8BKYVBWnAZ15wcNIJc/edit?usp=sharing"",""อำนาจเจริญ!J491"")+IMPORTRANGE(""https://docs.google.com/spreadsheets/d/1gF7RJpRnL-1oyjyeWxs5SFWEH7y8ahOZsQlyp2A2e-A/edit?usp=s"&amp;"haring"",""อุดรธานี!J491"")+IMPORTRANGE(""https://docs.google.com/spreadsheets/d/1kfLP0j3INXRa8bTDpcEmoWewMBV61jlFlfzczfjWIgc/edit?usp=sharing"",""อุบลราชธานี!J491"")"),0)</f>
        <v>0</v>
      </c>
      <c r="K491" s="6"/>
      <c r="L491" s="6"/>
      <c r="M491" s="6"/>
      <c r="N491" s="6"/>
      <c r="O491" s="6"/>
      <c r="P491" s="6"/>
      <c r="Q491" s="6"/>
      <c r="R491" s="6"/>
      <c r="S491" s="68"/>
      <c r="T491" s="6"/>
      <c r="U491" s="6"/>
    </row>
    <row r="492" spans="1:21" ht="19.5">
      <c r="A492" s="335"/>
      <c r="B492" s="354" t="s">
        <v>199</v>
      </c>
      <c r="C492" s="337"/>
      <c r="D492" s="337"/>
      <c r="E492" s="328"/>
      <c r="F492" s="328"/>
      <c r="G492" s="329"/>
      <c r="H492" s="366" t="s">
        <v>35</v>
      </c>
      <c r="I492" s="331">
        <f t="shared" ref="I492:J492" ca="1" si="345">I503</f>
        <v>70</v>
      </c>
      <c r="J492" s="331">
        <f t="shared" ca="1" si="345"/>
        <v>0</v>
      </c>
      <c r="K492" s="332">
        <f ca="1">IF(I492&gt;0,J492*100/I492,0)</f>
        <v>0</v>
      </c>
      <c r="L492" s="333"/>
      <c r="M492" s="333"/>
      <c r="N492" s="333"/>
      <c r="O492" s="333"/>
      <c r="P492" s="333"/>
      <c r="Q492" s="333"/>
      <c r="R492" s="333"/>
      <c r="S492" s="334"/>
      <c r="T492" s="333"/>
      <c r="U492" s="333"/>
    </row>
    <row r="493" spans="1:21" ht="19.5">
      <c r="A493" s="155"/>
      <c r="B493" s="188"/>
      <c r="C493" s="205" t="s">
        <v>18</v>
      </c>
      <c r="D493" s="527" t="s">
        <v>19</v>
      </c>
      <c r="E493" s="514"/>
      <c r="F493" s="514"/>
      <c r="G493" s="52"/>
      <c r="H493" s="252" t="s">
        <v>14</v>
      </c>
      <c r="I493" s="54"/>
      <c r="J493" s="54"/>
      <c r="K493" s="55"/>
      <c r="L493" s="159">
        <f t="shared" ref="L493:N493" ca="1" si="346">L494+L495</f>
        <v>0</v>
      </c>
      <c r="M493" s="159">
        <f t="shared" ca="1" si="346"/>
        <v>0</v>
      </c>
      <c r="N493" s="159">
        <f t="shared" ca="1" si="346"/>
        <v>0</v>
      </c>
      <c r="O493" s="159">
        <f t="shared" ref="O493:O501" ca="1" si="347">IF(L493&gt;0,N493*100/L493,0)</f>
        <v>0</v>
      </c>
      <c r="P493" s="159">
        <f t="shared" ref="P493:P501" ca="1" si="348">IF(M493&gt;0,N493*100/M493,0)</f>
        <v>0</v>
      </c>
      <c r="Q493" s="159">
        <f t="shared" ref="Q493:S493" ca="1" si="349">Q494+Q495</f>
        <v>1066115</v>
      </c>
      <c r="R493" s="159">
        <f t="shared" ca="1" si="349"/>
        <v>1066115</v>
      </c>
      <c r="S493" s="160">
        <f t="shared" ca="1" si="349"/>
        <v>137368.95999999999</v>
      </c>
      <c r="T493" s="159">
        <f t="shared" ref="T493:T501" ca="1" si="350">IF(Q493&gt;0,S493*100/Q493,0)</f>
        <v>12.885003962987108</v>
      </c>
      <c r="U493" s="159">
        <f t="shared" ref="U493:U501" ca="1" si="351">IF(R493&gt;0,S493*100/R493,0)</f>
        <v>12.885003962987108</v>
      </c>
    </row>
    <row r="494" spans="1:21" ht="18.75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59">
        <f t="shared" ref="L494:N494" ca="1" si="352">L497+L500</f>
        <v>0</v>
      </c>
      <c r="M494" s="59">
        <f t="shared" ca="1" si="352"/>
        <v>0</v>
      </c>
      <c r="N494" s="59">
        <f t="shared" ca="1" si="352"/>
        <v>0</v>
      </c>
      <c r="O494" s="59">
        <f t="shared" ca="1" si="347"/>
        <v>0</v>
      </c>
      <c r="P494" s="59">
        <f t="shared" ca="1" si="348"/>
        <v>0</v>
      </c>
      <c r="Q494" s="59">
        <f t="shared" ref="Q494:S494" ca="1" si="353">Q497+Q500</f>
        <v>0</v>
      </c>
      <c r="R494" s="59">
        <f t="shared" ca="1" si="353"/>
        <v>0</v>
      </c>
      <c r="S494" s="60">
        <f t="shared" ca="1" si="353"/>
        <v>0</v>
      </c>
      <c r="T494" s="59">
        <f t="shared" ca="1" si="350"/>
        <v>0</v>
      </c>
      <c r="U494" s="59">
        <f t="shared" ca="1" si="351"/>
        <v>0</v>
      </c>
    </row>
    <row r="495" spans="1:21" ht="18.75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56">
        <f t="shared" ref="L495:N495" ca="1" si="354">L498+L501</f>
        <v>0</v>
      </c>
      <c r="M495" s="56">
        <f t="shared" ca="1" si="354"/>
        <v>0</v>
      </c>
      <c r="N495" s="56">
        <f t="shared" ca="1" si="354"/>
        <v>0</v>
      </c>
      <c r="O495" s="56">
        <f t="shared" ca="1" si="347"/>
        <v>0</v>
      </c>
      <c r="P495" s="56">
        <f t="shared" ca="1" si="348"/>
        <v>0</v>
      </c>
      <c r="Q495" s="56">
        <f t="shared" ref="Q495:S495" ca="1" si="355">Q498+Q501</f>
        <v>1066115</v>
      </c>
      <c r="R495" s="56">
        <f t="shared" ca="1" si="355"/>
        <v>1066115</v>
      </c>
      <c r="S495" s="57">
        <f t="shared" ca="1" si="355"/>
        <v>137368.95999999999</v>
      </c>
      <c r="T495" s="56">
        <f t="shared" ca="1" si="350"/>
        <v>12.885003962987108</v>
      </c>
      <c r="U495" s="56">
        <f t="shared" ca="1" si="351"/>
        <v>12.885003962987108</v>
      </c>
    </row>
    <row r="496" spans="1:21" ht="18.75">
      <c r="A496" s="155"/>
      <c r="B496" s="188"/>
      <c r="C496" s="188"/>
      <c r="D496" s="190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56">
        <f t="shared" ref="L496:N496" ca="1" si="356">L497+L498</f>
        <v>0</v>
      </c>
      <c r="M496" s="56">
        <f t="shared" ca="1" si="356"/>
        <v>0</v>
      </c>
      <c r="N496" s="56">
        <f t="shared" ca="1" si="356"/>
        <v>0</v>
      </c>
      <c r="O496" s="56">
        <f t="shared" ca="1" si="347"/>
        <v>0</v>
      </c>
      <c r="P496" s="56">
        <f t="shared" ca="1" si="348"/>
        <v>0</v>
      </c>
      <c r="Q496" s="56">
        <f t="shared" ref="Q496:S496" ca="1" si="357">Q497+Q498</f>
        <v>1066115</v>
      </c>
      <c r="R496" s="56">
        <f t="shared" ca="1" si="357"/>
        <v>1066115</v>
      </c>
      <c r="S496" s="57">
        <f t="shared" ca="1" si="357"/>
        <v>137368.95999999999</v>
      </c>
      <c r="T496" s="56">
        <f t="shared" ca="1" si="350"/>
        <v>12.885003962987108</v>
      </c>
      <c r="U496" s="56">
        <f t="shared" ca="1" si="351"/>
        <v>12.885003962987108</v>
      </c>
    </row>
    <row r="497" spans="1:21" ht="18.75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59">
        <f ca="1">IFERROR(__xludf.DUMMYFUNCTION("IMPORTRANGE(""https://docs.google.com/spreadsheets/d/1yhBcrRPreicbMKl9Bu_Snb2-OcQAF62RKfhTLhJ2eAA/edit?usp=sharing"",""กาฬสินธุ์!L497"")+IMPORTRANGE(""https://docs.google.com/spreadsheets/d/1aHkj4IaQMThhwWwevcOymEh837vdxeC_PycurhTbGFA/edit?usp=sharing"","&amp;"""ขอนแก่น!L497"")+IMPORTRANGE(""https://docs.google.com/spreadsheets/d/1FvTu2DsIWUjP6WCWra38Bkj_oOl_sOMf14r5Fg5srxU/edit?usp=sharing"",""ชัยภูมิ!L497"")+IMPORTRANGE(""https://docs.google.com/spreadsheets/d/1XVB7oCJ3pr-vBUdflwPQ8Z2LlzhnCvZaaYjAfP-647E/edit"&amp;"?usp=sharing"",""นครพนม!L497"")+IMPORTRANGE(""https://docs.google.com/spreadsheets/d/1Mnpb-8PYAgn85W6KOTD40hc_Xc55CaLfHoGAbrZ8tls/edit?usp=sharing"",""นครราชสีมา!L497"")+IMPORTRANGE(""https://docs.google.com/spreadsheets/d/1xoDLGBv9CYbyosIhki0kTq6IpYNj-gp"&amp;"jxfobnaDiut0/edit?usp=sharing"",""บึงกาฬ!L497"")+IMPORTRANGE(""https://docs.google.com/spreadsheets/d/1MMPq-JyI6DSgQETxuSiXkesP-P7JHuemnE6QJIa-Nlw/edit?usp=sharing"",""บุรีรัมย์!L497"")+IMPORTRANGE(""https://docs.google.com/spreadsheets/d/1l6IZ8xUPgMrESzc"&amp;"TYwhA1k_tPjeQjJPTqlm8Gd9eU5g/edit?usp=sharing"",""มหาสารคาม!L497"")+IMPORTRANGE(""https://docs.google.com/spreadsheets/d/1uB74YLqNjWX6FObjekfB2NtSYigTQyR2rq9u4Ub2Sq4/edit?usp=sharing"",""มุกดาหาร!L497"")+IMPORTRANGE(""https://docs.google.com/spreadsheets/"&amp;"d/1NexK3geCPxCTO1fzNF8dPec7yZyUx3OaWkFBC9HsQOo/edit?usp=sharing"",""ยโสธร!L497"")+IMPORTRANGE(""https://docs.google.com/spreadsheets/d/1v_cJrbBlyqmnHPReHk44g9NrMRdENNlSy_E_c5M9fIg/edit?usp=sharing"",""ร้อยเอ็ด!L497"")+IMPORTRANGE(""https://docs.google.com"&amp;"/spreadsheets/d/1Ul4RCpCX66NxYADU1QpwAPjOmBzW64SsT11s1wzXw_c/edit?usp=sharing"",""เลย!L497"")+IMPORTRANGE(""https://docs.google.com/spreadsheets/d/1bRrNKwbHDVktQG10isr5vbWRtt5spIZPpkOSWgbT5ug/edit?usp=sharing"",""ศรีสะเกษ!L497"")+IMPORTRANGE(""https://doc"&amp;"s.google.com/spreadsheets/d/17P34_Ow5kFBfdQD0qspb2UuPX5zpi6WMrQzslghyvrI/edit?usp=sharing"",""สกลนคร!L497"")+IMPORTRANGE(""https://docs.google.com/spreadsheets/d/1yswqbM3-AEpThF3ZSUa1AcmHnmRTF1vlJ1CZGcJ8YuU/edit?usp=sharing"",""สุรินทร์!L497"")+IMPORTRANG"&amp;"E(""https://docs.google.com/spreadsheets/d/13JHU_EFbsQOUQ0JSQ3dWy1VTRosIWcDq6Nc99z2qzdc/edit?usp=sharing"",""หนองคาย!L497"")+IMPORTRANGE(""https://docs.google.com/spreadsheets/d/1Hx73zIEgVdDZZaYSTc46Dqv64atFhpr3GelxLbaIN8A/edit?usp=sharing"",""หนองบัวลำภู"&amp;"!L497"")+IMPORTRANGE(""https://docs.google.com/spreadsheets/d/1lFxr3ctmjFN90yc-xV6jrQ9Ty8BKYVBWnAZ15wcNIJc/edit?usp=sharing"",""อำนาจเจริญ!L497"")+IMPORTRANGE(""https://docs.google.com/spreadsheets/d/1gF7RJpRnL-1oyjyeWxs5SFWEH7y8ahOZsQlyp2A2e-A/edit?usp=s"&amp;"haring"",""อุดรธานี!L497"")+IMPORTRANGE(""https://docs.google.com/spreadsheets/d/1kfLP0j3INXRa8bTDpcEmoWewMBV61jlFlfzczfjWIgc/edit?usp=sharing"",""อุบลราชธานี!L497"")"),0)</f>
        <v>0</v>
      </c>
      <c r="M497" s="59">
        <f ca="1">IFERROR(__xludf.DUMMYFUNCTION("IMPORTRANGE(""https://docs.google.com/spreadsheets/d/1yhBcrRPreicbMKl9Bu_Snb2-OcQAF62RKfhTLhJ2eAA/edit?usp=sharing"",""กาฬสินธุ์!M497"")+IMPORTRANGE(""https://docs.google.com/spreadsheets/d/1aHkj4IaQMThhwWwevcOymEh837vdxeC_PycurhTbGFA/edit?usp=sharing"","&amp;"""ขอนแก่น!M497"")+IMPORTRANGE(""https://docs.google.com/spreadsheets/d/1FvTu2DsIWUjP6WCWra38Bkj_oOl_sOMf14r5Fg5srxU/edit?usp=sharing"",""ชัยภูมิ!M497"")+IMPORTRANGE(""https://docs.google.com/spreadsheets/d/1XVB7oCJ3pr-vBUdflwPQ8Z2LlzhnCvZaaYjAfP-647E/edit"&amp;"?usp=sharing"",""นครพนม!M497"")+IMPORTRANGE(""https://docs.google.com/spreadsheets/d/1Mnpb-8PYAgn85W6KOTD40hc_Xc55CaLfHoGAbrZ8tls/edit?usp=sharing"",""นครราชสีมา!M497"")+IMPORTRANGE(""https://docs.google.com/spreadsheets/d/1xoDLGBv9CYbyosIhki0kTq6IpYNj-gp"&amp;"jxfobnaDiut0/edit?usp=sharing"",""บึงกาฬ!M497"")+IMPORTRANGE(""https://docs.google.com/spreadsheets/d/1MMPq-JyI6DSgQETxuSiXkesP-P7JHuemnE6QJIa-Nlw/edit?usp=sharing"",""บุรีรัมย์!M497"")+IMPORTRANGE(""https://docs.google.com/spreadsheets/d/1l6IZ8xUPgMrESzc"&amp;"TYwhA1k_tPjeQjJPTqlm8Gd9eU5g/edit?usp=sharing"",""มหาสารคาม!M497"")+IMPORTRANGE(""https://docs.google.com/spreadsheets/d/1uB74YLqNjWX6FObjekfB2NtSYigTQyR2rq9u4Ub2Sq4/edit?usp=sharing"",""มุกดาหาร!M497"")+IMPORTRANGE(""https://docs.google.com/spreadsheets/"&amp;"d/1NexK3geCPxCTO1fzNF8dPec7yZyUx3OaWkFBC9HsQOo/edit?usp=sharing"",""ยโสธร!M497"")+IMPORTRANGE(""https://docs.google.com/spreadsheets/d/1v_cJrbBlyqmnHPReHk44g9NrMRdENNlSy_E_c5M9fIg/edit?usp=sharing"",""ร้อยเอ็ด!M497"")+IMPORTRANGE(""https://docs.google.com"&amp;"/spreadsheets/d/1Ul4RCpCX66NxYADU1QpwAPjOmBzW64SsT11s1wzXw_c/edit?usp=sharing"",""เลย!M497"")+IMPORTRANGE(""https://docs.google.com/spreadsheets/d/1bRrNKwbHDVktQG10isr5vbWRtt5spIZPpkOSWgbT5ug/edit?usp=sharing"",""ศรีสะเกษ!M497"")+IMPORTRANGE(""https://doc"&amp;"s.google.com/spreadsheets/d/17P34_Ow5kFBfdQD0qspb2UuPX5zpi6WMrQzslghyvrI/edit?usp=sharing"",""สกลนคร!M497"")+IMPORTRANGE(""https://docs.google.com/spreadsheets/d/1yswqbM3-AEpThF3ZSUa1AcmHnmRTF1vlJ1CZGcJ8YuU/edit?usp=sharing"",""สุรินทร์!M497"")+IMPORTRANG"&amp;"E(""https://docs.google.com/spreadsheets/d/13JHU_EFbsQOUQ0JSQ3dWy1VTRosIWcDq6Nc99z2qzdc/edit?usp=sharing"",""หนองคาย!M497"")+IMPORTRANGE(""https://docs.google.com/spreadsheets/d/1Hx73zIEgVdDZZaYSTc46Dqv64atFhpr3GelxLbaIN8A/edit?usp=sharing"",""หนองบัวลำภู"&amp;"!M497"")+IMPORTRANGE(""https://docs.google.com/spreadsheets/d/1lFxr3ctmjFN90yc-xV6jrQ9Ty8BKYVBWnAZ15wcNIJc/edit?usp=sharing"",""อำนาจเจริญ!M497"")+IMPORTRANGE(""https://docs.google.com/spreadsheets/d/1gF7RJpRnL-1oyjyeWxs5SFWEH7y8ahOZsQlyp2A2e-A/edit?usp=s"&amp;"haring"",""อุดรธานี!M497"")+IMPORTRANGE(""https://docs.google.com/spreadsheets/d/1kfLP0j3INXRa8bTDpcEmoWewMBV61jlFlfzczfjWIgc/edit?usp=sharing"",""อุบลราชธานี!M497"")"),0)</f>
        <v>0</v>
      </c>
      <c r="N497" s="59">
        <f ca="1">IFERROR(__xludf.DUMMYFUNCTION("IMPORTRANGE(""https://docs.google.com/spreadsheets/d/1yhBcrRPreicbMKl9Bu_Snb2-OcQAF62RKfhTLhJ2eAA/edit?usp=sharing"",""กาฬสินธุ์!N497"")+IMPORTRANGE(""https://docs.google.com/spreadsheets/d/1aHkj4IaQMThhwWwevcOymEh837vdxeC_PycurhTbGFA/edit?usp=sharing"","&amp;"""ขอนแก่น!N497"")+IMPORTRANGE(""https://docs.google.com/spreadsheets/d/1FvTu2DsIWUjP6WCWra38Bkj_oOl_sOMf14r5Fg5srxU/edit?usp=sharing"",""ชัยภูมิ!N497"")+IMPORTRANGE(""https://docs.google.com/spreadsheets/d/1XVB7oCJ3pr-vBUdflwPQ8Z2LlzhnCvZaaYjAfP-647E/edit"&amp;"?usp=sharing"",""นครพนม!N497"")+IMPORTRANGE(""https://docs.google.com/spreadsheets/d/1Mnpb-8PYAgn85W6KOTD40hc_Xc55CaLfHoGAbrZ8tls/edit?usp=sharing"",""นครราชสีมา!N497"")+IMPORTRANGE(""https://docs.google.com/spreadsheets/d/1xoDLGBv9CYbyosIhki0kTq6IpYNj-gp"&amp;"jxfobnaDiut0/edit?usp=sharing"",""บึงกาฬ!N497"")+IMPORTRANGE(""https://docs.google.com/spreadsheets/d/1MMPq-JyI6DSgQETxuSiXkesP-P7JHuemnE6QJIa-Nlw/edit?usp=sharing"",""บุรีรัมย์!N497"")+IMPORTRANGE(""https://docs.google.com/spreadsheets/d/1l6IZ8xUPgMrESzc"&amp;"TYwhA1k_tPjeQjJPTqlm8Gd9eU5g/edit?usp=sharing"",""มหาสารคาม!N497"")+IMPORTRANGE(""https://docs.google.com/spreadsheets/d/1uB74YLqNjWX6FObjekfB2NtSYigTQyR2rq9u4Ub2Sq4/edit?usp=sharing"",""มุกดาหาร!N497"")+IMPORTRANGE(""https://docs.google.com/spreadsheets/"&amp;"d/1NexK3geCPxCTO1fzNF8dPec7yZyUx3OaWkFBC9HsQOo/edit?usp=sharing"",""ยโสธร!N497"")+IMPORTRANGE(""https://docs.google.com/spreadsheets/d/1v_cJrbBlyqmnHPReHk44g9NrMRdENNlSy_E_c5M9fIg/edit?usp=sharing"",""ร้อยเอ็ด!N497"")+IMPORTRANGE(""https://docs.google.com"&amp;"/spreadsheets/d/1Ul4RCpCX66NxYADU1QpwAPjOmBzW64SsT11s1wzXw_c/edit?usp=sharing"",""เลย!N497"")+IMPORTRANGE(""https://docs.google.com/spreadsheets/d/1bRrNKwbHDVktQG10isr5vbWRtt5spIZPpkOSWgbT5ug/edit?usp=sharing"",""ศรีสะเกษ!N497"")+IMPORTRANGE(""https://doc"&amp;"s.google.com/spreadsheets/d/17P34_Ow5kFBfdQD0qspb2UuPX5zpi6WMrQzslghyvrI/edit?usp=sharing"",""สกลนคร!N497"")+IMPORTRANGE(""https://docs.google.com/spreadsheets/d/1yswqbM3-AEpThF3ZSUa1AcmHnmRTF1vlJ1CZGcJ8YuU/edit?usp=sharing"",""สุรินทร์!N497"")+IMPORTRANG"&amp;"E(""https://docs.google.com/spreadsheets/d/13JHU_EFbsQOUQ0JSQ3dWy1VTRosIWcDq6Nc99z2qzdc/edit?usp=sharing"",""หนองคาย!N497"")+IMPORTRANGE(""https://docs.google.com/spreadsheets/d/1Hx73zIEgVdDZZaYSTc46Dqv64atFhpr3GelxLbaIN8A/edit?usp=sharing"",""หนองบัวลำภู"&amp;"!N497"")+IMPORTRANGE(""https://docs.google.com/spreadsheets/d/1lFxr3ctmjFN90yc-xV6jrQ9Ty8BKYVBWnAZ15wcNIJc/edit?usp=sharing"",""อำนาจเจริญ!N497"")+IMPORTRANGE(""https://docs.google.com/spreadsheets/d/1gF7RJpRnL-1oyjyeWxs5SFWEH7y8ahOZsQlyp2A2e-A/edit?usp=s"&amp;"haring"",""อุดรธานี!N497"")+IMPORTRANGE(""https://docs.google.com/spreadsheets/d/1kfLP0j3INXRa8bTDpcEmoWewMBV61jlFlfzczfjWIgc/edit?usp=sharing"",""อุบลราชธานี!N497"")"),0)</f>
        <v>0</v>
      </c>
      <c r="O497" s="59">
        <f t="shared" ca="1" si="347"/>
        <v>0</v>
      </c>
      <c r="P497" s="59">
        <f t="shared" ca="1" si="348"/>
        <v>0</v>
      </c>
      <c r="Q497" s="59">
        <f ca="1">IFERROR(__xludf.DUMMYFUNCTION("IMPORTRANGE(""https://docs.google.com/spreadsheets/d/1yhBcrRPreicbMKl9Bu_Snb2-OcQAF62RKfhTLhJ2eAA/edit?usp=sharing"",""กาฬสินธุ์!Q497"")+IMPORTRANGE(""https://docs.google.com/spreadsheets/d/1aHkj4IaQMThhwWwevcOymEh837vdxeC_PycurhTbGFA/edit?usp=sharing"","&amp;"""ขอนแก่น!Q497"")+IMPORTRANGE(""https://docs.google.com/spreadsheets/d/1FvTu2DsIWUjP6WCWra38Bkj_oOl_sOMf14r5Fg5srxU/edit?usp=sharing"",""ชัยภูมิ!Q497"")+IMPORTRANGE(""https://docs.google.com/spreadsheets/d/1XVB7oCJ3pr-vBUdflwPQ8Z2LlzhnCvZaaYjAfP-647E/edit"&amp;"?usp=sharing"",""นครพนม!Q497"")+IMPORTRANGE(""https://docs.google.com/spreadsheets/d/1Mnpb-8PYAgn85W6KOTD40hc_Xc55CaLfHoGAbrZ8tls/edit?usp=sharing"",""นครราชสีมา!Q497"")+IMPORTRANGE(""https://docs.google.com/spreadsheets/d/1xoDLGBv9CYbyosIhki0kTq6IpYNj-gp"&amp;"jxfobnaDiut0/edit?usp=sharing"",""บึงกาฬ!Q497"")+IMPORTRANGE(""https://docs.google.com/spreadsheets/d/1MMPq-JyI6DSgQETxuSiXkesP-P7JHuemnE6QJIa-Nlw/edit?usp=sharing"",""บุรีรัมย์!Q497"")+IMPORTRANGE(""https://docs.google.com/spreadsheets/d/1l6IZ8xUPgMrESzc"&amp;"TYwhA1k_tPjeQjJPTqlm8Gd9eU5g/edit?usp=sharing"",""มหาสารคาม!Q497"")+IMPORTRANGE(""https://docs.google.com/spreadsheets/d/1uB74YLqNjWX6FObjekfB2NtSYigTQyR2rq9u4Ub2Sq4/edit?usp=sharing"",""มุกดาหาร!Q497"")+IMPORTRANGE(""https://docs.google.com/spreadsheets/"&amp;"d/1NexK3geCPxCTO1fzNF8dPec7yZyUx3OaWkFBC9HsQOo/edit?usp=sharing"",""ยโสธร!Q497"")+IMPORTRANGE(""https://docs.google.com/spreadsheets/d/1v_cJrbBlyqmnHPReHk44g9NrMRdENNlSy_E_c5M9fIg/edit?usp=sharing"",""ร้อยเอ็ด!Q497"")+IMPORTRANGE(""https://docs.google.com"&amp;"/spreadsheets/d/1Ul4RCpCX66NxYADU1QpwAPjOmBzW64SsT11s1wzXw_c/edit?usp=sharing"",""เลย!Q497"")+IMPORTRANGE(""https://docs.google.com/spreadsheets/d/1bRrNKwbHDVktQG10isr5vbWRtt5spIZPpkOSWgbT5ug/edit?usp=sharing"",""ศรีสะเกษ!Q497"")+IMPORTRANGE(""https://doc"&amp;"s.google.com/spreadsheets/d/17P34_Ow5kFBfdQD0qspb2UuPX5zpi6WMrQzslghyvrI/edit?usp=sharing"",""สกลนคร!Q497"")+IMPORTRANGE(""https://docs.google.com/spreadsheets/d/1yswqbM3-AEpThF3ZSUa1AcmHnmRTF1vlJ1CZGcJ8YuU/edit?usp=sharing"",""สุรินทร์!Q497"")+IMPORTRANG"&amp;"E(""https://docs.google.com/spreadsheets/d/13JHU_EFbsQOUQ0JSQ3dWy1VTRosIWcDq6Nc99z2qzdc/edit?usp=sharing"",""หนองคาย!Q497"")+IMPORTRANGE(""https://docs.google.com/spreadsheets/d/1Hx73zIEgVdDZZaYSTc46Dqv64atFhpr3GelxLbaIN8A/edit?usp=sharing"",""หนองบัวลำภู"&amp;"!Q497"")+IMPORTRANGE(""https://docs.google.com/spreadsheets/d/1lFxr3ctmjFN90yc-xV6jrQ9Ty8BKYVBWnAZ15wcNIJc/edit?usp=sharing"",""อำนาจเจริญ!Q497"")+IMPORTRANGE(""https://docs.google.com/spreadsheets/d/1gF7RJpRnL-1oyjyeWxs5SFWEH7y8ahOZsQlyp2A2e-A/edit?usp=s"&amp;"haring"",""อุดรธานี!Q497"")+IMPORTRANGE(""https://docs.google.com/spreadsheets/d/1kfLP0j3INXRa8bTDpcEmoWewMBV61jlFlfzczfjWIgc/edit?usp=sharing"",""อุบลราชธานี!Q497"")"),0)</f>
        <v>0</v>
      </c>
      <c r="R497" s="59">
        <f ca="1">IFERROR(__xludf.DUMMYFUNCTION("IMPORTRANGE(""https://docs.google.com/spreadsheets/d/1yhBcrRPreicbMKl9Bu_Snb2-OcQAF62RKfhTLhJ2eAA/edit?usp=sharing"",""กาฬสินธุ์!R497"")+IMPORTRANGE(""https://docs.google.com/spreadsheets/d/1aHkj4IaQMThhwWwevcOymEh837vdxeC_PycurhTbGFA/edit?usp=sharing"","&amp;"""ขอนแก่น!R497"")+IMPORTRANGE(""https://docs.google.com/spreadsheets/d/1FvTu2DsIWUjP6WCWra38Bkj_oOl_sOMf14r5Fg5srxU/edit?usp=sharing"",""ชัยภูมิ!R497"")+IMPORTRANGE(""https://docs.google.com/spreadsheets/d/1XVB7oCJ3pr-vBUdflwPQ8Z2LlzhnCvZaaYjAfP-647E/edit"&amp;"?usp=sharing"",""นครพนม!R497"")+IMPORTRANGE(""https://docs.google.com/spreadsheets/d/1Mnpb-8PYAgn85W6KOTD40hc_Xc55CaLfHoGAbrZ8tls/edit?usp=sharing"",""นครราชสีมา!R497"")+IMPORTRANGE(""https://docs.google.com/spreadsheets/d/1xoDLGBv9CYbyosIhki0kTq6IpYNj-gp"&amp;"jxfobnaDiut0/edit?usp=sharing"",""บึงกาฬ!R497"")+IMPORTRANGE(""https://docs.google.com/spreadsheets/d/1MMPq-JyI6DSgQETxuSiXkesP-P7JHuemnE6QJIa-Nlw/edit?usp=sharing"",""บุรีรัมย์!R497"")+IMPORTRANGE(""https://docs.google.com/spreadsheets/d/1l6IZ8xUPgMrESzc"&amp;"TYwhA1k_tPjeQjJPTqlm8Gd9eU5g/edit?usp=sharing"",""มหาสารคาม!R497"")+IMPORTRANGE(""https://docs.google.com/spreadsheets/d/1uB74YLqNjWX6FObjekfB2NtSYigTQyR2rq9u4Ub2Sq4/edit?usp=sharing"",""มุกดาหาร!R497"")+IMPORTRANGE(""https://docs.google.com/spreadsheets/"&amp;"d/1NexK3geCPxCTO1fzNF8dPec7yZyUx3OaWkFBC9HsQOo/edit?usp=sharing"",""ยโสธร!R497"")+IMPORTRANGE(""https://docs.google.com/spreadsheets/d/1v_cJrbBlyqmnHPReHk44g9NrMRdENNlSy_E_c5M9fIg/edit?usp=sharing"",""ร้อยเอ็ด!R497"")+IMPORTRANGE(""https://docs.google.com"&amp;"/spreadsheets/d/1Ul4RCpCX66NxYADU1QpwAPjOmBzW64SsT11s1wzXw_c/edit?usp=sharing"",""เลย!R497"")+IMPORTRANGE(""https://docs.google.com/spreadsheets/d/1bRrNKwbHDVktQG10isr5vbWRtt5spIZPpkOSWgbT5ug/edit?usp=sharing"",""ศรีสะเกษ!R497"")+IMPORTRANGE(""https://doc"&amp;"s.google.com/spreadsheets/d/17P34_Ow5kFBfdQD0qspb2UuPX5zpi6WMrQzslghyvrI/edit?usp=sharing"",""สกลนคร!R497"")+IMPORTRANGE(""https://docs.google.com/spreadsheets/d/1yswqbM3-AEpThF3ZSUa1AcmHnmRTF1vlJ1CZGcJ8YuU/edit?usp=sharing"",""สุรินทร์!R497"")+IMPORTRANG"&amp;"E(""https://docs.google.com/spreadsheets/d/13JHU_EFbsQOUQ0JSQ3dWy1VTRosIWcDq6Nc99z2qzdc/edit?usp=sharing"",""หนองคาย!R497"")+IMPORTRANGE(""https://docs.google.com/spreadsheets/d/1Hx73zIEgVdDZZaYSTc46Dqv64atFhpr3GelxLbaIN8A/edit?usp=sharing"",""หนองบัวลำภู"&amp;"!R497"")+IMPORTRANGE(""https://docs.google.com/spreadsheets/d/1lFxr3ctmjFN90yc-xV6jrQ9Ty8BKYVBWnAZ15wcNIJc/edit?usp=sharing"",""อำนาจเจริญ!R497"")+IMPORTRANGE(""https://docs.google.com/spreadsheets/d/1gF7RJpRnL-1oyjyeWxs5SFWEH7y8ahOZsQlyp2A2e-A/edit?usp=s"&amp;"haring"",""อุดรธานี!R497"")+IMPORTRANGE(""https://docs.google.com/spreadsheets/d/1kfLP0j3INXRa8bTDpcEmoWewMBV61jlFlfzczfjWIgc/edit?usp=sharing"",""อุบลราชธานี!R497"")"),0)</f>
        <v>0</v>
      </c>
      <c r="S497" s="60">
        <f ca="1">IFERROR(__xludf.DUMMYFUNCTION("IMPORTRANGE(""https://docs.google.com/spreadsheets/d/1yhBcrRPreicbMKl9Bu_Snb2-OcQAF62RKfhTLhJ2eAA/edit?usp=sharing"",""กาฬสินธุ์!S497"")+IMPORTRANGE(""https://docs.google.com/spreadsheets/d/1aHkj4IaQMThhwWwevcOymEh837vdxeC_PycurhTbGFA/edit?usp=sharing"","&amp;"""ขอนแก่น!S497"")+IMPORTRANGE(""https://docs.google.com/spreadsheets/d/1FvTu2DsIWUjP6WCWra38Bkj_oOl_sOMf14r5Fg5srxU/edit?usp=sharing"",""ชัยภูมิ!S497"")+IMPORTRANGE(""https://docs.google.com/spreadsheets/d/1XVB7oCJ3pr-vBUdflwPQ8Z2LlzhnCvZaaYjAfP-647E/edit"&amp;"?usp=sharing"",""นครพนม!S497"")+IMPORTRANGE(""https://docs.google.com/spreadsheets/d/1Mnpb-8PYAgn85W6KOTD40hc_Xc55CaLfHoGAbrZ8tls/edit?usp=sharing"",""นครราชสีมา!S497"")+IMPORTRANGE(""https://docs.google.com/spreadsheets/d/1xoDLGBv9CYbyosIhki0kTq6IpYNj-gp"&amp;"jxfobnaDiut0/edit?usp=sharing"",""บึงกาฬ!S497"")+IMPORTRANGE(""https://docs.google.com/spreadsheets/d/1MMPq-JyI6DSgQETxuSiXkesP-P7JHuemnE6QJIa-Nlw/edit?usp=sharing"",""บุรีรัมย์!S497"")+IMPORTRANGE(""https://docs.google.com/spreadsheets/d/1l6IZ8xUPgMrESzc"&amp;"TYwhA1k_tPjeQjJPTqlm8Gd9eU5g/edit?usp=sharing"",""มหาสารคาม!S497"")+IMPORTRANGE(""https://docs.google.com/spreadsheets/d/1uB74YLqNjWX6FObjekfB2NtSYigTQyR2rq9u4Ub2Sq4/edit?usp=sharing"",""มุกดาหาร!S497"")+IMPORTRANGE(""https://docs.google.com/spreadsheets/"&amp;"d/1NexK3geCPxCTO1fzNF8dPec7yZyUx3OaWkFBC9HsQOo/edit?usp=sharing"",""ยโสธร!S497"")+IMPORTRANGE(""https://docs.google.com/spreadsheets/d/1v_cJrbBlyqmnHPReHk44g9NrMRdENNlSy_E_c5M9fIg/edit?usp=sharing"",""ร้อยเอ็ด!S497"")+IMPORTRANGE(""https://docs.google.com"&amp;"/spreadsheets/d/1Ul4RCpCX66NxYADU1QpwAPjOmBzW64SsT11s1wzXw_c/edit?usp=sharing"",""เลย!S497"")+IMPORTRANGE(""https://docs.google.com/spreadsheets/d/1bRrNKwbHDVktQG10isr5vbWRtt5spIZPpkOSWgbT5ug/edit?usp=sharing"",""ศรีสะเกษ!S497"")+IMPORTRANGE(""https://doc"&amp;"s.google.com/spreadsheets/d/17P34_Ow5kFBfdQD0qspb2UuPX5zpi6WMrQzslghyvrI/edit?usp=sharing"",""สกลนคร!S497"")+IMPORTRANGE(""https://docs.google.com/spreadsheets/d/1yswqbM3-AEpThF3ZSUa1AcmHnmRTF1vlJ1CZGcJ8YuU/edit?usp=sharing"",""สุรินทร์!S497"")+IMPORTRANG"&amp;"E(""https://docs.google.com/spreadsheets/d/13JHU_EFbsQOUQ0JSQ3dWy1VTRosIWcDq6Nc99z2qzdc/edit?usp=sharing"",""หนองคาย!S497"")+IMPORTRANGE(""https://docs.google.com/spreadsheets/d/1Hx73zIEgVdDZZaYSTc46Dqv64atFhpr3GelxLbaIN8A/edit?usp=sharing"",""หนองบัวลำภู"&amp;"!S497"")+IMPORTRANGE(""https://docs.google.com/spreadsheets/d/1lFxr3ctmjFN90yc-xV6jrQ9Ty8BKYVBWnAZ15wcNIJc/edit?usp=sharing"",""อำนาจเจริญ!S497"")+IMPORTRANGE(""https://docs.google.com/spreadsheets/d/1gF7RJpRnL-1oyjyeWxs5SFWEH7y8ahOZsQlyp2A2e-A/edit?usp=s"&amp;"haring"",""อุดรธานี!S497"")+IMPORTRANGE(""https://docs.google.com/spreadsheets/d/1kfLP0j3INXRa8bTDpcEmoWewMBV61jlFlfzczfjWIgc/edit?usp=sharing"",""อุบลราชธานี!S497"")"),0)</f>
        <v>0</v>
      </c>
      <c r="T497" s="59">
        <f t="shared" ca="1" si="350"/>
        <v>0</v>
      </c>
      <c r="U497" s="59">
        <f t="shared" ca="1" si="351"/>
        <v>0</v>
      </c>
    </row>
    <row r="498" spans="1:21" ht="18.75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56">
        <f ca="1">IFERROR(__xludf.DUMMYFUNCTION("IMPORTRANGE(""https://docs.google.com/spreadsheets/d/1yhBcrRPreicbMKl9Bu_Snb2-OcQAF62RKfhTLhJ2eAA/edit?usp=sharing"",""กาฬสินธุ์!L498"")+IMPORTRANGE(""https://docs.google.com/spreadsheets/d/1aHkj4IaQMThhwWwevcOymEh837vdxeC_PycurhTbGFA/edit?usp=sharing"","&amp;"""ขอนแก่น!L498"")+IMPORTRANGE(""https://docs.google.com/spreadsheets/d/1FvTu2DsIWUjP6WCWra38Bkj_oOl_sOMf14r5Fg5srxU/edit?usp=sharing"",""ชัยภูมิ!L498"")+IMPORTRANGE(""https://docs.google.com/spreadsheets/d/1XVB7oCJ3pr-vBUdflwPQ8Z2LlzhnCvZaaYjAfP-647E/edit"&amp;"?usp=sharing"",""นครพนม!L498"")+IMPORTRANGE(""https://docs.google.com/spreadsheets/d/1Mnpb-8PYAgn85W6KOTD40hc_Xc55CaLfHoGAbrZ8tls/edit?usp=sharing"",""นครราชสีมา!L498"")+IMPORTRANGE(""https://docs.google.com/spreadsheets/d/1xoDLGBv9CYbyosIhki0kTq6IpYNj-gp"&amp;"jxfobnaDiut0/edit?usp=sharing"",""บึงกาฬ!L498"")+IMPORTRANGE(""https://docs.google.com/spreadsheets/d/1MMPq-JyI6DSgQETxuSiXkesP-P7JHuemnE6QJIa-Nlw/edit?usp=sharing"",""บุรีรัมย์!L498"")+IMPORTRANGE(""https://docs.google.com/spreadsheets/d/1l6IZ8xUPgMrESzc"&amp;"TYwhA1k_tPjeQjJPTqlm8Gd9eU5g/edit?usp=sharing"",""มหาสารคาม!L498"")+IMPORTRANGE(""https://docs.google.com/spreadsheets/d/1uB74YLqNjWX6FObjekfB2NtSYigTQyR2rq9u4Ub2Sq4/edit?usp=sharing"",""มุกดาหาร!L498"")+IMPORTRANGE(""https://docs.google.com/spreadsheets/"&amp;"d/1NexK3geCPxCTO1fzNF8dPec7yZyUx3OaWkFBC9HsQOo/edit?usp=sharing"",""ยโสธร!L498"")+IMPORTRANGE(""https://docs.google.com/spreadsheets/d/1v_cJrbBlyqmnHPReHk44g9NrMRdENNlSy_E_c5M9fIg/edit?usp=sharing"",""ร้อยเอ็ด!L498"")+IMPORTRANGE(""https://docs.google.com"&amp;"/spreadsheets/d/1Ul4RCpCX66NxYADU1QpwAPjOmBzW64SsT11s1wzXw_c/edit?usp=sharing"",""เลย!L498"")+IMPORTRANGE(""https://docs.google.com/spreadsheets/d/1bRrNKwbHDVktQG10isr5vbWRtt5spIZPpkOSWgbT5ug/edit?usp=sharing"",""ศรีสะเกษ!L498"")+IMPORTRANGE(""https://doc"&amp;"s.google.com/spreadsheets/d/17P34_Ow5kFBfdQD0qspb2UuPX5zpi6WMrQzslghyvrI/edit?usp=sharing"",""สกลนคร!L498"")+IMPORTRANGE(""https://docs.google.com/spreadsheets/d/1yswqbM3-AEpThF3ZSUa1AcmHnmRTF1vlJ1CZGcJ8YuU/edit?usp=sharing"",""สุรินทร์!L498"")+IMPORTRANG"&amp;"E(""https://docs.google.com/spreadsheets/d/13JHU_EFbsQOUQ0JSQ3dWy1VTRosIWcDq6Nc99z2qzdc/edit?usp=sharing"",""หนองคาย!L498"")+IMPORTRANGE(""https://docs.google.com/spreadsheets/d/1Hx73zIEgVdDZZaYSTc46Dqv64atFhpr3GelxLbaIN8A/edit?usp=sharing"",""หนองบัวลำภู"&amp;"!L498"")+IMPORTRANGE(""https://docs.google.com/spreadsheets/d/1lFxr3ctmjFN90yc-xV6jrQ9Ty8BKYVBWnAZ15wcNIJc/edit?usp=sharing"",""อำนาจเจริญ!L498"")+IMPORTRANGE(""https://docs.google.com/spreadsheets/d/1gF7RJpRnL-1oyjyeWxs5SFWEH7y8ahOZsQlyp2A2e-A/edit?usp=s"&amp;"haring"",""อุดรธานี!L498"")+IMPORTRANGE(""https://docs.google.com/spreadsheets/d/1kfLP0j3INXRa8bTDpcEmoWewMBV61jlFlfzczfjWIgc/edit?usp=sharing"",""อุบลราชธานี!L498"")"),0)</f>
        <v>0</v>
      </c>
      <c r="M498" s="56">
        <f ca="1">IFERROR(__xludf.DUMMYFUNCTION("IMPORTRANGE(""https://docs.google.com/spreadsheets/d/1yhBcrRPreicbMKl9Bu_Snb2-OcQAF62RKfhTLhJ2eAA/edit?usp=sharing"",""กาฬสินธุ์!M498"")+IMPORTRANGE(""https://docs.google.com/spreadsheets/d/1aHkj4IaQMThhwWwevcOymEh837vdxeC_PycurhTbGFA/edit?usp=sharing"","&amp;"""ขอนแก่น!M498"")+IMPORTRANGE(""https://docs.google.com/spreadsheets/d/1FvTu2DsIWUjP6WCWra38Bkj_oOl_sOMf14r5Fg5srxU/edit?usp=sharing"",""ชัยภูมิ!M498"")+IMPORTRANGE(""https://docs.google.com/spreadsheets/d/1XVB7oCJ3pr-vBUdflwPQ8Z2LlzhnCvZaaYjAfP-647E/edit"&amp;"?usp=sharing"",""นครพนม!M498"")+IMPORTRANGE(""https://docs.google.com/spreadsheets/d/1Mnpb-8PYAgn85W6KOTD40hc_Xc55CaLfHoGAbrZ8tls/edit?usp=sharing"",""นครราชสีมา!M498"")+IMPORTRANGE(""https://docs.google.com/spreadsheets/d/1xoDLGBv9CYbyosIhki0kTq6IpYNj-gp"&amp;"jxfobnaDiut0/edit?usp=sharing"",""บึงกาฬ!M498"")+IMPORTRANGE(""https://docs.google.com/spreadsheets/d/1MMPq-JyI6DSgQETxuSiXkesP-P7JHuemnE6QJIa-Nlw/edit?usp=sharing"",""บุรีรัมย์!M498"")+IMPORTRANGE(""https://docs.google.com/spreadsheets/d/1l6IZ8xUPgMrESzc"&amp;"TYwhA1k_tPjeQjJPTqlm8Gd9eU5g/edit?usp=sharing"",""มหาสารคาม!M498"")+IMPORTRANGE(""https://docs.google.com/spreadsheets/d/1uB74YLqNjWX6FObjekfB2NtSYigTQyR2rq9u4Ub2Sq4/edit?usp=sharing"",""มุกดาหาร!M498"")+IMPORTRANGE(""https://docs.google.com/spreadsheets/"&amp;"d/1NexK3geCPxCTO1fzNF8dPec7yZyUx3OaWkFBC9HsQOo/edit?usp=sharing"",""ยโสธร!M498"")+IMPORTRANGE(""https://docs.google.com/spreadsheets/d/1v_cJrbBlyqmnHPReHk44g9NrMRdENNlSy_E_c5M9fIg/edit?usp=sharing"",""ร้อยเอ็ด!M498"")+IMPORTRANGE(""https://docs.google.com"&amp;"/spreadsheets/d/1Ul4RCpCX66NxYADU1QpwAPjOmBzW64SsT11s1wzXw_c/edit?usp=sharing"",""เลย!M498"")+IMPORTRANGE(""https://docs.google.com/spreadsheets/d/1bRrNKwbHDVktQG10isr5vbWRtt5spIZPpkOSWgbT5ug/edit?usp=sharing"",""ศรีสะเกษ!M498"")+IMPORTRANGE(""https://doc"&amp;"s.google.com/spreadsheets/d/17P34_Ow5kFBfdQD0qspb2UuPX5zpi6WMrQzslghyvrI/edit?usp=sharing"",""สกลนคร!M498"")+IMPORTRANGE(""https://docs.google.com/spreadsheets/d/1yswqbM3-AEpThF3ZSUa1AcmHnmRTF1vlJ1CZGcJ8YuU/edit?usp=sharing"",""สุรินทร์!M498"")+IMPORTRANG"&amp;"E(""https://docs.google.com/spreadsheets/d/13JHU_EFbsQOUQ0JSQ3dWy1VTRosIWcDq6Nc99z2qzdc/edit?usp=sharing"",""หนองคาย!M498"")+IMPORTRANGE(""https://docs.google.com/spreadsheets/d/1Hx73zIEgVdDZZaYSTc46Dqv64atFhpr3GelxLbaIN8A/edit?usp=sharing"",""หนองบัวลำภู"&amp;"!M498"")+IMPORTRANGE(""https://docs.google.com/spreadsheets/d/1lFxr3ctmjFN90yc-xV6jrQ9Ty8BKYVBWnAZ15wcNIJc/edit?usp=sharing"",""อำนาจเจริญ!M498"")+IMPORTRANGE(""https://docs.google.com/spreadsheets/d/1gF7RJpRnL-1oyjyeWxs5SFWEH7y8ahOZsQlyp2A2e-A/edit?usp=s"&amp;"haring"",""อุดรธานี!M498"")+IMPORTRANGE(""https://docs.google.com/spreadsheets/d/1kfLP0j3INXRa8bTDpcEmoWewMBV61jlFlfzczfjWIgc/edit?usp=sharing"",""อุบลราชธานี!M498"")"),0)</f>
        <v>0</v>
      </c>
      <c r="N498" s="56">
        <f ca="1">IFERROR(__xludf.DUMMYFUNCTION("IMPORTRANGE(""https://docs.google.com/spreadsheets/d/1yhBcrRPreicbMKl9Bu_Snb2-OcQAF62RKfhTLhJ2eAA/edit?usp=sharing"",""กาฬสินธุ์!N498"")+IMPORTRANGE(""https://docs.google.com/spreadsheets/d/1aHkj4IaQMThhwWwevcOymEh837vdxeC_PycurhTbGFA/edit?usp=sharing"","&amp;"""ขอนแก่น!N498"")+IMPORTRANGE(""https://docs.google.com/spreadsheets/d/1FvTu2DsIWUjP6WCWra38Bkj_oOl_sOMf14r5Fg5srxU/edit?usp=sharing"",""ชัยภูมิ!N498"")+IMPORTRANGE(""https://docs.google.com/spreadsheets/d/1XVB7oCJ3pr-vBUdflwPQ8Z2LlzhnCvZaaYjAfP-647E/edit"&amp;"?usp=sharing"",""นครพนม!N498"")+IMPORTRANGE(""https://docs.google.com/spreadsheets/d/1Mnpb-8PYAgn85W6KOTD40hc_Xc55CaLfHoGAbrZ8tls/edit?usp=sharing"",""นครราชสีมา!N498"")+IMPORTRANGE(""https://docs.google.com/spreadsheets/d/1xoDLGBv9CYbyosIhki0kTq6IpYNj-gp"&amp;"jxfobnaDiut0/edit?usp=sharing"",""บึงกาฬ!N498"")+IMPORTRANGE(""https://docs.google.com/spreadsheets/d/1MMPq-JyI6DSgQETxuSiXkesP-P7JHuemnE6QJIa-Nlw/edit?usp=sharing"",""บุรีรัมย์!N498"")+IMPORTRANGE(""https://docs.google.com/spreadsheets/d/1l6IZ8xUPgMrESzc"&amp;"TYwhA1k_tPjeQjJPTqlm8Gd9eU5g/edit?usp=sharing"",""มหาสารคาม!N498"")+IMPORTRANGE(""https://docs.google.com/spreadsheets/d/1uB74YLqNjWX6FObjekfB2NtSYigTQyR2rq9u4Ub2Sq4/edit?usp=sharing"",""มุกดาหาร!N498"")+IMPORTRANGE(""https://docs.google.com/spreadsheets/"&amp;"d/1NexK3geCPxCTO1fzNF8dPec7yZyUx3OaWkFBC9HsQOo/edit?usp=sharing"",""ยโสธร!N498"")+IMPORTRANGE(""https://docs.google.com/spreadsheets/d/1v_cJrbBlyqmnHPReHk44g9NrMRdENNlSy_E_c5M9fIg/edit?usp=sharing"",""ร้อยเอ็ด!N498"")+IMPORTRANGE(""https://docs.google.com"&amp;"/spreadsheets/d/1Ul4RCpCX66NxYADU1QpwAPjOmBzW64SsT11s1wzXw_c/edit?usp=sharing"",""เลย!N498"")+IMPORTRANGE(""https://docs.google.com/spreadsheets/d/1bRrNKwbHDVktQG10isr5vbWRtt5spIZPpkOSWgbT5ug/edit?usp=sharing"",""ศรีสะเกษ!N498"")+IMPORTRANGE(""https://doc"&amp;"s.google.com/spreadsheets/d/17P34_Ow5kFBfdQD0qspb2UuPX5zpi6WMrQzslghyvrI/edit?usp=sharing"",""สกลนคร!N498"")+IMPORTRANGE(""https://docs.google.com/spreadsheets/d/1yswqbM3-AEpThF3ZSUa1AcmHnmRTF1vlJ1CZGcJ8YuU/edit?usp=sharing"",""สุรินทร์!N498"")+IMPORTRANG"&amp;"E(""https://docs.google.com/spreadsheets/d/13JHU_EFbsQOUQ0JSQ3dWy1VTRosIWcDq6Nc99z2qzdc/edit?usp=sharing"",""หนองคาย!N498"")+IMPORTRANGE(""https://docs.google.com/spreadsheets/d/1Hx73zIEgVdDZZaYSTc46Dqv64atFhpr3GelxLbaIN8A/edit?usp=sharing"",""หนองบัวลำภู"&amp;"!N498"")+IMPORTRANGE(""https://docs.google.com/spreadsheets/d/1lFxr3ctmjFN90yc-xV6jrQ9Ty8BKYVBWnAZ15wcNIJc/edit?usp=sharing"",""อำนาจเจริญ!N498"")+IMPORTRANGE(""https://docs.google.com/spreadsheets/d/1gF7RJpRnL-1oyjyeWxs5SFWEH7y8ahOZsQlyp2A2e-A/edit?usp=s"&amp;"haring"",""อุดรธานี!N498"")+IMPORTRANGE(""https://docs.google.com/spreadsheets/d/1kfLP0j3INXRa8bTDpcEmoWewMBV61jlFlfzczfjWIgc/edit?usp=sharing"",""อุบลราชธานี!N498"")"),0)</f>
        <v>0</v>
      </c>
      <c r="O498" s="56">
        <f t="shared" ca="1" si="347"/>
        <v>0</v>
      </c>
      <c r="P498" s="56">
        <f t="shared" ca="1" si="348"/>
        <v>0</v>
      </c>
      <c r="Q498" s="56">
        <f ca="1">IFERROR(__xludf.DUMMYFUNCTION("IMPORTRANGE(""https://docs.google.com/spreadsheets/d/1yhBcrRPreicbMKl9Bu_Snb2-OcQAF62RKfhTLhJ2eAA/edit?usp=sharing"",""กาฬสินธุ์!Q498"")+IMPORTRANGE(""https://docs.google.com/spreadsheets/d/1aHkj4IaQMThhwWwevcOymEh837vdxeC_PycurhTbGFA/edit?usp=sharing"","&amp;"""ขอนแก่น!Q498"")+IMPORTRANGE(""https://docs.google.com/spreadsheets/d/1FvTu2DsIWUjP6WCWra38Bkj_oOl_sOMf14r5Fg5srxU/edit?usp=sharing"",""ชัยภูมิ!Q498"")+IMPORTRANGE(""https://docs.google.com/spreadsheets/d/1XVB7oCJ3pr-vBUdflwPQ8Z2LlzhnCvZaaYjAfP-647E/edit"&amp;"?usp=sharing"",""นครพนม!Q498"")+IMPORTRANGE(""https://docs.google.com/spreadsheets/d/1Mnpb-8PYAgn85W6KOTD40hc_Xc55CaLfHoGAbrZ8tls/edit?usp=sharing"",""นครราชสีมา!Q498"")+IMPORTRANGE(""https://docs.google.com/spreadsheets/d/1xoDLGBv9CYbyosIhki0kTq6IpYNj-gp"&amp;"jxfobnaDiut0/edit?usp=sharing"",""บึงกาฬ!Q498"")+IMPORTRANGE(""https://docs.google.com/spreadsheets/d/1MMPq-JyI6DSgQETxuSiXkesP-P7JHuemnE6QJIa-Nlw/edit?usp=sharing"",""บุรีรัมย์!Q498"")+IMPORTRANGE(""https://docs.google.com/spreadsheets/d/1l6IZ8xUPgMrESzc"&amp;"TYwhA1k_tPjeQjJPTqlm8Gd9eU5g/edit?usp=sharing"",""มหาสารคาม!Q498"")+IMPORTRANGE(""https://docs.google.com/spreadsheets/d/1uB74YLqNjWX6FObjekfB2NtSYigTQyR2rq9u4Ub2Sq4/edit?usp=sharing"",""มุกดาหาร!Q498"")+IMPORTRANGE(""https://docs.google.com/spreadsheets/"&amp;"d/1NexK3geCPxCTO1fzNF8dPec7yZyUx3OaWkFBC9HsQOo/edit?usp=sharing"",""ยโสธร!Q498"")+IMPORTRANGE(""https://docs.google.com/spreadsheets/d/1v_cJrbBlyqmnHPReHk44g9NrMRdENNlSy_E_c5M9fIg/edit?usp=sharing"",""ร้อยเอ็ด!Q498"")+IMPORTRANGE(""https://docs.google.com"&amp;"/spreadsheets/d/1Ul4RCpCX66NxYADU1QpwAPjOmBzW64SsT11s1wzXw_c/edit?usp=sharing"",""เลย!Q498"")+IMPORTRANGE(""https://docs.google.com/spreadsheets/d/1bRrNKwbHDVktQG10isr5vbWRtt5spIZPpkOSWgbT5ug/edit?usp=sharing"",""ศรีสะเกษ!Q498"")+IMPORTRANGE(""https://doc"&amp;"s.google.com/spreadsheets/d/17P34_Ow5kFBfdQD0qspb2UuPX5zpi6WMrQzslghyvrI/edit?usp=sharing"",""สกลนคร!Q498"")+IMPORTRANGE(""https://docs.google.com/spreadsheets/d/1yswqbM3-AEpThF3ZSUa1AcmHnmRTF1vlJ1CZGcJ8YuU/edit?usp=sharing"",""สุรินทร์!Q498"")+IMPORTRANG"&amp;"E(""https://docs.google.com/spreadsheets/d/13JHU_EFbsQOUQ0JSQ3dWy1VTRosIWcDq6Nc99z2qzdc/edit?usp=sharing"",""หนองคาย!Q498"")+IMPORTRANGE(""https://docs.google.com/spreadsheets/d/1Hx73zIEgVdDZZaYSTc46Dqv64atFhpr3GelxLbaIN8A/edit?usp=sharing"",""หนองบัวลำภู"&amp;"!Q498"")+IMPORTRANGE(""https://docs.google.com/spreadsheets/d/1lFxr3ctmjFN90yc-xV6jrQ9Ty8BKYVBWnAZ15wcNIJc/edit?usp=sharing"",""อำนาจเจริญ!Q498"")+IMPORTRANGE(""https://docs.google.com/spreadsheets/d/1gF7RJpRnL-1oyjyeWxs5SFWEH7y8ahOZsQlyp2A2e-A/edit?usp=s"&amp;"haring"",""อุดรธานี!Q498"")+IMPORTRANGE(""https://docs.google.com/spreadsheets/d/1kfLP0j3INXRa8bTDpcEmoWewMBV61jlFlfzczfjWIgc/edit?usp=sharing"",""อุบลราชธานี!Q498"")"),1066115)</f>
        <v>1066115</v>
      </c>
      <c r="R498" s="56">
        <f ca="1">IFERROR(__xludf.DUMMYFUNCTION("IMPORTRANGE(""https://docs.google.com/spreadsheets/d/1yhBcrRPreicbMKl9Bu_Snb2-OcQAF62RKfhTLhJ2eAA/edit?usp=sharing"",""กาฬสินธุ์!R498"")+IMPORTRANGE(""https://docs.google.com/spreadsheets/d/1aHkj4IaQMThhwWwevcOymEh837vdxeC_PycurhTbGFA/edit?usp=sharing"","&amp;"""ขอนแก่น!R498"")+IMPORTRANGE(""https://docs.google.com/spreadsheets/d/1FvTu2DsIWUjP6WCWra38Bkj_oOl_sOMf14r5Fg5srxU/edit?usp=sharing"",""ชัยภูมิ!R498"")+IMPORTRANGE(""https://docs.google.com/spreadsheets/d/1XVB7oCJ3pr-vBUdflwPQ8Z2LlzhnCvZaaYjAfP-647E/edit"&amp;"?usp=sharing"",""นครพนม!R498"")+IMPORTRANGE(""https://docs.google.com/spreadsheets/d/1Mnpb-8PYAgn85W6KOTD40hc_Xc55CaLfHoGAbrZ8tls/edit?usp=sharing"",""นครราชสีมา!R498"")+IMPORTRANGE(""https://docs.google.com/spreadsheets/d/1xoDLGBv9CYbyosIhki0kTq6IpYNj-gp"&amp;"jxfobnaDiut0/edit?usp=sharing"",""บึงกาฬ!R498"")+IMPORTRANGE(""https://docs.google.com/spreadsheets/d/1MMPq-JyI6DSgQETxuSiXkesP-P7JHuemnE6QJIa-Nlw/edit?usp=sharing"",""บุรีรัมย์!R498"")+IMPORTRANGE(""https://docs.google.com/spreadsheets/d/1l6IZ8xUPgMrESzc"&amp;"TYwhA1k_tPjeQjJPTqlm8Gd9eU5g/edit?usp=sharing"",""มหาสารคาม!R498"")+IMPORTRANGE(""https://docs.google.com/spreadsheets/d/1uB74YLqNjWX6FObjekfB2NtSYigTQyR2rq9u4Ub2Sq4/edit?usp=sharing"",""มุกดาหาร!R498"")+IMPORTRANGE(""https://docs.google.com/spreadsheets/"&amp;"d/1NexK3geCPxCTO1fzNF8dPec7yZyUx3OaWkFBC9HsQOo/edit?usp=sharing"",""ยโสธร!R498"")+IMPORTRANGE(""https://docs.google.com/spreadsheets/d/1v_cJrbBlyqmnHPReHk44g9NrMRdENNlSy_E_c5M9fIg/edit?usp=sharing"",""ร้อยเอ็ด!R498"")+IMPORTRANGE(""https://docs.google.com"&amp;"/spreadsheets/d/1Ul4RCpCX66NxYADU1QpwAPjOmBzW64SsT11s1wzXw_c/edit?usp=sharing"",""เลย!R498"")+IMPORTRANGE(""https://docs.google.com/spreadsheets/d/1bRrNKwbHDVktQG10isr5vbWRtt5spIZPpkOSWgbT5ug/edit?usp=sharing"",""ศรีสะเกษ!R498"")+IMPORTRANGE(""https://doc"&amp;"s.google.com/spreadsheets/d/17P34_Ow5kFBfdQD0qspb2UuPX5zpi6WMrQzslghyvrI/edit?usp=sharing"",""สกลนคร!R498"")+IMPORTRANGE(""https://docs.google.com/spreadsheets/d/1yswqbM3-AEpThF3ZSUa1AcmHnmRTF1vlJ1CZGcJ8YuU/edit?usp=sharing"",""สุรินทร์!R498"")+IMPORTRANG"&amp;"E(""https://docs.google.com/spreadsheets/d/13JHU_EFbsQOUQ0JSQ3dWy1VTRosIWcDq6Nc99z2qzdc/edit?usp=sharing"",""หนองคาย!R498"")+IMPORTRANGE(""https://docs.google.com/spreadsheets/d/1Hx73zIEgVdDZZaYSTc46Dqv64atFhpr3GelxLbaIN8A/edit?usp=sharing"",""หนองบัวลำภู"&amp;"!R498"")+IMPORTRANGE(""https://docs.google.com/spreadsheets/d/1lFxr3ctmjFN90yc-xV6jrQ9Ty8BKYVBWnAZ15wcNIJc/edit?usp=sharing"",""อำนาจเจริญ!R498"")+IMPORTRANGE(""https://docs.google.com/spreadsheets/d/1gF7RJpRnL-1oyjyeWxs5SFWEH7y8ahOZsQlyp2A2e-A/edit?usp=s"&amp;"haring"",""อุดรธานี!R498"")+IMPORTRANGE(""https://docs.google.com/spreadsheets/d/1kfLP0j3INXRa8bTDpcEmoWewMBV61jlFlfzczfjWIgc/edit?usp=sharing"",""อุบลราชธานี!R498"")"),1066115)</f>
        <v>1066115</v>
      </c>
      <c r="S498" s="57">
        <f ca="1">IFERROR(__xludf.DUMMYFUNCTION("IMPORTRANGE(""https://docs.google.com/spreadsheets/d/1yhBcrRPreicbMKl9Bu_Snb2-OcQAF62RKfhTLhJ2eAA/edit?usp=sharing"",""กาฬสินธุ์!S498"")+IMPORTRANGE(""https://docs.google.com/spreadsheets/d/1aHkj4IaQMThhwWwevcOymEh837vdxeC_PycurhTbGFA/edit?usp=sharing"","&amp;"""ขอนแก่น!S498"")+IMPORTRANGE(""https://docs.google.com/spreadsheets/d/1FvTu2DsIWUjP6WCWra38Bkj_oOl_sOMf14r5Fg5srxU/edit?usp=sharing"",""ชัยภูมิ!S498"")+IMPORTRANGE(""https://docs.google.com/spreadsheets/d/1XVB7oCJ3pr-vBUdflwPQ8Z2LlzhnCvZaaYjAfP-647E/edit"&amp;"?usp=sharing"",""นครพนม!S498"")+IMPORTRANGE(""https://docs.google.com/spreadsheets/d/1Mnpb-8PYAgn85W6KOTD40hc_Xc55CaLfHoGAbrZ8tls/edit?usp=sharing"",""นครราชสีมา!S498"")+IMPORTRANGE(""https://docs.google.com/spreadsheets/d/1xoDLGBv9CYbyosIhki0kTq6IpYNj-gp"&amp;"jxfobnaDiut0/edit?usp=sharing"",""บึงกาฬ!S498"")+IMPORTRANGE(""https://docs.google.com/spreadsheets/d/1MMPq-JyI6DSgQETxuSiXkesP-P7JHuemnE6QJIa-Nlw/edit?usp=sharing"",""บุรีรัมย์!S498"")+IMPORTRANGE(""https://docs.google.com/spreadsheets/d/1l6IZ8xUPgMrESzc"&amp;"TYwhA1k_tPjeQjJPTqlm8Gd9eU5g/edit?usp=sharing"",""มหาสารคาม!S498"")+IMPORTRANGE(""https://docs.google.com/spreadsheets/d/1uB74YLqNjWX6FObjekfB2NtSYigTQyR2rq9u4Ub2Sq4/edit?usp=sharing"",""มุกดาหาร!S498"")+IMPORTRANGE(""https://docs.google.com/spreadsheets/"&amp;"d/1NexK3geCPxCTO1fzNF8dPec7yZyUx3OaWkFBC9HsQOo/edit?usp=sharing"",""ยโสธร!S498"")+IMPORTRANGE(""https://docs.google.com/spreadsheets/d/1v_cJrbBlyqmnHPReHk44g9NrMRdENNlSy_E_c5M9fIg/edit?usp=sharing"",""ร้อยเอ็ด!S498"")+IMPORTRANGE(""https://docs.google.com"&amp;"/spreadsheets/d/1Ul4RCpCX66NxYADU1QpwAPjOmBzW64SsT11s1wzXw_c/edit?usp=sharing"",""เลย!S498"")+IMPORTRANGE(""https://docs.google.com/spreadsheets/d/1bRrNKwbHDVktQG10isr5vbWRtt5spIZPpkOSWgbT5ug/edit?usp=sharing"",""ศรีสะเกษ!S498"")+IMPORTRANGE(""https://doc"&amp;"s.google.com/spreadsheets/d/17P34_Ow5kFBfdQD0qspb2UuPX5zpi6WMrQzslghyvrI/edit?usp=sharing"",""สกลนคร!S498"")+IMPORTRANGE(""https://docs.google.com/spreadsheets/d/1yswqbM3-AEpThF3ZSUa1AcmHnmRTF1vlJ1CZGcJ8YuU/edit?usp=sharing"",""สุรินทร์!S498"")+IMPORTRANG"&amp;"E(""https://docs.google.com/spreadsheets/d/13JHU_EFbsQOUQ0JSQ3dWy1VTRosIWcDq6Nc99z2qzdc/edit?usp=sharing"",""หนองคาย!S498"")+IMPORTRANGE(""https://docs.google.com/spreadsheets/d/1Hx73zIEgVdDZZaYSTc46Dqv64atFhpr3GelxLbaIN8A/edit?usp=sharing"",""หนองบัวลำภู"&amp;"!S498"")+IMPORTRANGE(""https://docs.google.com/spreadsheets/d/1lFxr3ctmjFN90yc-xV6jrQ9Ty8BKYVBWnAZ15wcNIJc/edit?usp=sharing"",""อำนาจเจริญ!S498"")+IMPORTRANGE(""https://docs.google.com/spreadsheets/d/1gF7RJpRnL-1oyjyeWxs5SFWEH7y8ahOZsQlyp2A2e-A/edit?usp=s"&amp;"haring"",""อุดรธานี!S498"")+IMPORTRANGE(""https://docs.google.com/spreadsheets/d/1kfLP0j3INXRa8bTDpcEmoWewMBV61jlFlfzczfjWIgc/edit?usp=sharing"",""อุบลราชธานี!S498"")"),137368.96)</f>
        <v>137368.95999999999</v>
      </c>
      <c r="T498" s="56">
        <f t="shared" ca="1" si="350"/>
        <v>12.885003962987108</v>
      </c>
      <c r="U498" s="56">
        <f t="shared" ca="1" si="351"/>
        <v>12.885003962987108</v>
      </c>
    </row>
    <row r="499" spans="1:21" ht="18.75">
      <c r="A499" s="155"/>
      <c r="B499" s="188"/>
      <c r="C499" s="188"/>
      <c r="D499" s="190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56">
        <f t="shared" ref="L499:N499" ca="1" si="358">L500+L501</f>
        <v>0</v>
      </c>
      <c r="M499" s="56">
        <f t="shared" ca="1" si="358"/>
        <v>0</v>
      </c>
      <c r="N499" s="56">
        <f t="shared" ca="1" si="358"/>
        <v>0</v>
      </c>
      <c r="O499" s="56">
        <f t="shared" ca="1" si="347"/>
        <v>0</v>
      </c>
      <c r="P499" s="56">
        <f t="shared" ca="1" si="348"/>
        <v>0</v>
      </c>
      <c r="Q499" s="56">
        <f t="shared" ref="Q499:S499" ca="1" si="359">Q500+Q501</f>
        <v>0</v>
      </c>
      <c r="R499" s="56">
        <f t="shared" ca="1" si="359"/>
        <v>0</v>
      </c>
      <c r="S499" s="57">
        <f t="shared" ca="1" si="359"/>
        <v>0</v>
      </c>
      <c r="T499" s="56">
        <f t="shared" ca="1" si="350"/>
        <v>0</v>
      </c>
      <c r="U499" s="56">
        <f t="shared" ca="1" si="351"/>
        <v>0</v>
      </c>
    </row>
    <row r="500" spans="1:21" ht="18.75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59">
        <f ca="1">IFERROR(__xludf.DUMMYFUNCTION("IMPORTRANGE(""https://docs.google.com/spreadsheets/d/1yhBcrRPreicbMKl9Bu_Snb2-OcQAF62RKfhTLhJ2eAA/edit?usp=sharing"",""กาฬสินธุ์!L500"")+IMPORTRANGE(""https://docs.google.com/spreadsheets/d/1aHkj4IaQMThhwWwevcOymEh837vdxeC_PycurhTbGFA/edit?usp=sharing"","&amp;"""ขอนแก่น!L500"")+IMPORTRANGE(""https://docs.google.com/spreadsheets/d/1FvTu2DsIWUjP6WCWra38Bkj_oOl_sOMf14r5Fg5srxU/edit?usp=sharing"",""ชัยภูมิ!L500"")+IMPORTRANGE(""https://docs.google.com/spreadsheets/d/1XVB7oCJ3pr-vBUdflwPQ8Z2LlzhnCvZaaYjAfP-647E/edit"&amp;"?usp=sharing"",""นครพนม!L500"")+IMPORTRANGE(""https://docs.google.com/spreadsheets/d/1Mnpb-8PYAgn85W6KOTD40hc_Xc55CaLfHoGAbrZ8tls/edit?usp=sharing"",""นครราชสีมา!L500"")+IMPORTRANGE(""https://docs.google.com/spreadsheets/d/1xoDLGBv9CYbyosIhki0kTq6IpYNj-gp"&amp;"jxfobnaDiut0/edit?usp=sharing"",""บึงกาฬ!L500"")+IMPORTRANGE(""https://docs.google.com/spreadsheets/d/1MMPq-JyI6DSgQETxuSiXkesP-P7JHuemnE6QJIa-Nlw/edit?usp=sharing"",""บุรีรัมย์!L500"")+IMPORTRANGE(""https://docs.google.com/spreadsheets/d/1l6IZ8xUPgMrESzc"&amp;"TYwhA1k_tPjeQjJPTqlm8Gd9eU5g/edit?usp=sharing"",""มหาสารคาม!L500"")+IMPORTRANGE(""https://docs.google.com/spreadsheets/d/1uB74YLqNjWX6FObjekfB2NtSYigTQyR2rq9u4Ub2Sq4/edit?usp=sharing"",""มุกดาหาร!L500"")+IMPORTRANGE(""https://docs.google.com/spreadsheets/"&amp;"d/1NexK3geCPxCTO1fzNF8dPec7yZyUx3OaWkFBC9HsQOo/edit?usp=sharing"",""ยโสธร!L500"")+IMPORTRANGE(""https://docs.google.com/spreadsheets/d/1v_cJrbBlyqmnHPReHk44g9NrMRdENNlSy_E_c5M9fIg/edit?usp=sharing"",""ร้อยเอ็ด!L500"")+IMPORTRANGE(""https://docs.google.com"&amp;"/spreadsheets/d/1Ul4RCpCX66NxYADU1QpwAPjOmBzW64SsT11s1wzXw_c/edit?usp=sharing"",""เลย!L500"")+IMPORTRANGE(""https://docs.google.com/spreadsheets/d/1bRrNKwbHDVktQG10isr5vbWRtt5spIZPpkOSWgbT5ug/edit?usp=sharing"",""ศรีสะเกษ!L500"")+IMPORTRANGE(""https://doc"&amp;"s.google.com/spreadsheets/d/17P34_Ow5kFBfdQD0qspb2UuPX5zpi6WMrQzslghyvrI/edit?usp=sharing"",""สกลนคร!L500"")+IMPORTRANGE(""https://docs.google.com/spreadsheets/d/1yswqbM3-AEpThF3ZSUa1AcmHnmRTF1vlJ1CZGcJ8YuU/edit?usp=sharing"",""สุรินทร์!L500"")+IMPORTRANG"&amp;"E(""https://docs.google.com/spreadsheets/d/13JHU_EFbsQOUQ0JSQ3dWy1VTRosIWcDq6Nc99z2qzdc/edit?usp=sharing"",""หนองคาย!L500"")+IMPORTRANGE(""https://docs.google.com/spreadsheets/d/1Hx73zIEgVdDZZaYSTc46Dqv64atFhpr3GelxLbaIN8A/edit?usp=sharing"",""หนองบัวลำภู"&amp;"!L500"")+IMPORTRANGE(""https://docs.google.com/spreadsheets/d/1lFxr3ctmjFN90yc-xV6jrQ9Ty8BKYVBWnAZ15wcNIJc/edit?usp=sharing"",""อำนาจเจริญ!L500"")+IMPORTRANGE(""https://docs.google.com/spreadsheets/d/1gF7RJpRnL-1oyjyeWxs5SFWEH7y8ahOZsQlyp2A2e-A/edit?usp=s"&amp;"haring"",""อุดรธานี!L500"")+IMPORTRANGE(""https://docs.google.com/spreadsheets/d/1kfLP0j3INXRa8bTDpcEmoWewMBV61jlFlfzczfjWIgc/edit?usp=sharing"",""อุบลราชธานี!L500"")"),0)</f>
        <v>0</v>
      </c>
      <c r="M500" s="59">
        <f ca="1">IFERROR(__xludf.DUMMYFUNCTION("IMPORTRANGE(""https://docs.google.com/spreadsheets/d/1yhBcrRPreicbMKl9Bu_Snb2-OcQAF62RKfhTLhJ2eAA/edit?usp=sharing"",""กาฬสินธุ์!M500"")+IMPORTRANGE(""https://docs.google.com/spreadsheets/d/1aHkj4IaQMThhwWwevcOymEh837vdxeC_PycurhTbGFA/edit?usp=sharing"","&amp;"""ขอนแก่น!M500"")+IMPORTRANGE(""https://docs.google.com/spreadsheets/d/1FvTu2DsIWUjP6WCWra38Bkj_oOl_sOMf14r5Fg5srxU/edit?usp=sharing"",""ชัยภูมิ!M500"")+IMPORTRANGE(""https://docs.google.com/spreadsheets/d/1XVB7oCJ3pr-vBUdflwPQ8Z2LlzhnCvZaaYjAfP-647E/edit"&amp;"?usp=sharing"",""นครพนม!M500"")+IMPORTRANGE(""https://docs.google.com/spreadsheets/d/1Mnpb-8PYAgn85W6KOTD40hc_Xc55CaLfHoGAbrZ8tls/edit?usp=sharing"",""นครราชสีมา!M500"")+IMPORTRANGE(""https://docs.google.com/spreadsheets/d/1xoDLGBv9CYbyosIhki0kTq6IpYNj-gp"&amp;"jxfobnaDiut0/edit?usp=sharing"",""บึงกาฬ!M500"")+IMPORTRANGE(""https://docs.google.com/spreadsheets/d/1MMPq-JyI6DSgQETxuSiXkesP-P7JHuemnE6QJIa-Nlw/edit?usp=sharing"",""บุรีรัมย์!M500"")+IMPORTRANGE(""https://docs.google.com/spreadsheets/d/1l6IZ8xUPgMrESzc"&amp;"TYwhA1k_tPjeQjJPTqlm8Gd9eU5g/edit?usp=sharing"",""มหาสารคาม!M500"")+IMPORTRANGE(""https://docs.google.com/spreadsheets/d/1uB74YLqNjWX6FObjekfB2NtSYigTQyR2rq9u4Ub2Sq4/edit?usp=sharing"",""มุกดาหาร!M500"")+IMPORTRANGE(""https://docs.google.com/spreadsheets/"&amp;"d/1NexK3geCPxCTO1fzNF8dPec7yZyUx3OaWkFBC9HsQOo/edit?usp=sharing"",""ยโสธร!M500"")+IMPORTRANGE(""https://docs.google.com/spreadsheets/d/1v_cJrbBlyqmnHPReHk44g9NrMRdENNlSy_E_c5M9fIg/edit?usp=sharing"",""ร้อยเอ็ด!M500"")+IMPORTRANGE(""https://docs.google.com"&amp;"/spreadsheets/d/1Ul4RCpCX66NxYADU1QpwAPjOmBzW64SsT11s1wzXw_c/edit?usp=sharing"",""เลย!M500"")+IMPORTRANGE(""https://docs.google.com/spreadsheets/d/1bRrNKwbHDVktQG10isr5vbWRtt5spIZPpkOSWgbT5ug/edit?usp=sharing"",""ศรีสะเกษ!M500"")+IMPORTRANGE(""https://doc"&amp;"s.google.com/spreadsheets/d/17P34_Ow5kFBfdQD0qspb2UuPX5zpi6WMrQzslghyvrI/edit?usp=sharing"",""สกลนคร!M500"")+IMPORTRANGE(""https://docs.google.com/spreadsheets/d/1yswqbM3-AEpThF3ZSUa1AcmHnmRTF1vlJ1CZGcJ8YuU/edit?usp=sharing"",""สุรินทร์!M500"")+IMPORTRANG"&amp;"E(""https://docs.google.com/spreadsheets/d/13JHU_EFbsQOUQ0JSQ3dWy1VTRosIWcDq6Nc99z2qzdc/edit?usp=sharing"",""หนองคาย!M500"")+IMPORTRANGE(""https://docs.google.com/spreadsheets/d/1Hx73zIEgVdDZZaYSTc46Dqv64atFhpr3GelxLbaIN8A/edit?usp=sharing"",""หนองบัวลำภู"&amp;"!M500"")+IMPORTRANGE(""https://docs.google.com/spreadsheets/d/1lFxr3ctmjFN90yc-xV6jrQ9Ty8BKYVBWnAZ15wcNIJc/edit?usp=sharing"",""อำนาจเจริญ!M500"")+IMPORTRANGE(""https://docs.google.com/spreadsheets/d/1gF7RJpRnL-1oyjyeWxs5SFWEH7y8ahOZsQlyp2A2e-A/edit?usp=s"&amp;"haring"",""อุดรธานี!M500"")+IMPORTRANGE(""https://docs.google.com/spreadsheets/d/1kfLP0j3INXRa8bTDpcEmoWewMBV61jlFlfzczfjWIgc/edit?usp=sharing"",""อุบลราชธานี!M500"")"),0)</f>
        <v>0</v>
      </c>
      <c r="N500" s="59">
        <f ca="1">IFERROR(__xludf.DUMMYFUNCTION("IMPORTRANGE(""https://docs.google.com/spreadsheets/d/1yhBcrRPreicbMKl9Bu_Snb2-OcQAF62RKfhTLhJ2eAA/edit?usp=sharing"",""กาฬสินธุ์!N500"")+IMPORTRANGE(""https://docs.google.com/spreadsheets/d/1aHkj4IaQMThhwWwevcOymEh837vdxeC_PycurhTbGFA/edit?usp=sharing"","&amp;"""ขอนแก่น!N500"")+IMPORTRANGE(""https://docs.google.com/spreadsheets/d/1FvTu2DsIWUjP6WCWra38Bkj_oOl_sOMf14r5Fg5srxU/edit?usp=sharing"",""ชัยภูมิ!N500"")+IMPORTRANGE(""https://docs.google.com/spreadsheets/d/1XVB7oCJ3pr-vBUdflwPQ8Z2LlzhnCvZaaYjAfP-647E/edit"&amp;"?usp=sharing"",""นครพนม!N500"")+IMPORTRANGE(""https://docs.google.com/spreadsheets/d/1Mnpb-8PYAgn85W6KOTD40hc_Xc55CaLfHoGAbrZ8tls/edit?usp=sharing"",""นครราชสีมา!N500"")+IMPORTRANGE(""https://docs.google.com/spreadsheets/d/1xoDLGBv9CYbyosIhki0kTq6IpYNj-gp"&amp;"jxfobnaDiut0/edit?usp=sharing"",""บึงกาฬ!N500"")+IMPORTRANGE(""https://docs.google.com/spreadsheets/d/1MMPq-JyI6DSgQETxuSiXkesP-P7JHuemnE6QJIa-Nlw/edit?usp=sharing"",""บุรีรัมย์!N500"")+IMPORTRANGE(""https://docs.google.com/spreadsheets/d/1l6IZ8xUPgMrESzc"&amp;"TYwhA1k_tPjeQjJPTqlm8Gd9eU5g/edit?usp=sharing"",""มหาสารคาม!N500"")+IMPORTRANGE(""https://docs.google.com/spreadsheets/d/1uB74YLqNjWX6FObjekfB2NtSYigTQyR2rq9u4Ub2Sq4/edit?usp=sharing"",""มุกดาหาร!N500"")+IMPORTRANGE(""https://docs.google.com/spreadsheets/"&amp;"d/1NexK3geCPxCTO1fzNF8dPec7yZyUx3OaWkFBC9HsQOo/edit?usp=sharing"",""ยโสธร!N500"")+IMPORTRANGE(""https://docs.google.com/spreadsheets/d/1v_cJrbBlyqmnHPReHk44g9NrMRdENNlSy_E_c5M9fIg/edit?usp=sharing"",""ร้อยเอ็ด!N500"")+IMPORTRANGE(""https://docs.google.com"&amp;"/spreadsheets/d/1Ul4RCpCX66NxYADU1QpwAPjOmBzW64SsT11s1wzXw_c/edit?usp=sharing"",""เลย!N500"")+IMPORTRANGE(""https://docs.google.com/spreadsheets/d/1bRrNKwbHDVktQG10isr5vbWRtt5spIZPpkOSWgbT5ug/edit?usp=sharing"",""ศรีสะเกษ!N500"")+IMPORTRANGE(""https://doc"&amp;"s.google.com/spreadsheets/d/17P34_Ow5kFBfdQD0qspb2UuPX5zpi6WMrQzslghyvrI/edit?usp=sharing"",""สกลนคร!N500"")+IMPORTRANGE(""https://docs.google.com/spreadsheets/d/1yswqbM3-AEpThF3ZSUa1AcmHnmRTF1vlJ1CZGcJ8YuU/edit?usp=sharing"",""สุรินทร์!N500"")+IMPORTRANG"&amp;"E(""https://docs.google.com/spreadsheets/d/13JHU_EFbsQOUQ0JSQ3dWy1VTRosIWcDq6Nc99z2qzdc/edit?usp=sharing"",""หนองคาย!N500"")+IMPORTRANGE(""https://docs.google.com/spreadsheets/d/1Hx73zIEgVdDZZaYSTc46Dqv64atFhpr3GelxLbaIN8A/edit?usp=sharing"",""หนองบัวลำภู"&amp;"!N500"")+IMPORTRANGE(""https://docs.google.com/spreadsheets/d/1lFxr3ctmjFN90yc-xV6jrQ9Ty8BKYVBWnAZ15wcNIJc/edit?usp=sharing"",""อำนาจเจริญ!N500"")+IMPORTRANGE(""https://docs.google.com/spreadsheets/d/1gF7RJpRnL-1oyjyeWxs5SFWEH7y8ahOZsQlyp2A2e-A/edit?usp=s"&amp;"haring"",""อุดรธานี!N500"")+IMPORTRANGE(""https://docs.google.com/spreadsheets/d/1kfLP0j3INXRa8bTDpcEmoWewMBV61jlFlfzczfjWIgc/edit?usp=sharing"",""อุบลราชธานี!N500"")"),0)</f>
        <v>0</v>
      </c>
      <c r="O500" s="59">
        <f t="shared" ca="1" si="347"/>
        <v>0</v>
      </c>
      <c r="P500" s="59">
        <f t="shared" ca="1" si="348"/>
        <v>0</v>
      </c>
      <c r="Q500" s="59">
        <f ca="1">IFERROR(__xludf.DUMMYFUNCTION("IMPORTRANGE(""https://docs.google.com/spreadsheets/d/1yhBcrRPreicbMKl9Bu_Snb2-OcQAF62RKfhTLhJ2eAA/edit?usp=sharing"",""กาฬสินธุ์!Q500"")+IMPORTRANGE(""https://docs.google.com/spreadsheets/d/1aHkj4IaQMThhwWwevcOymEh837vdxeC_PycurhTbGFA/edit?usp=sharing"","&amp;"""ขอนแก่น!Q500"")+IMPORTRANGE(""https://docs.google.com/spreadsheets/d/1FvTu2DsIWUjP6WCWra38Bkj_oOl_sOMf14r5Fg5srxU/edit?usp=sharing"",""ชัยภูมิ!Q500"")+IMPORTRANGE(""https://docs.google.com/spreadsheets/d/1XVB7oCJ3pr-vBUdflwPQ8Z2LlzhnCvZaaYjAfP-647E/edit"&amp;"?usp=sharing"",""นครพนม!Q500"")+IMPORTRANGE(""https://docs.google.com/spreadsheets/d/1Mnpb-8PYAgn85W6KOTD40hc_Xc55CaLfHoGAbrZ8tls/edit?usp=sharing"",""นครราชสีมา!Q500"")+IMPORTRANGE(""https://docs.google.com/spreadsheets/d/1xoDLGBv9CYbyosIhki0kTq6IpYNj-gp"&amp;"jxfobnaDiut0/edit?usp=sharing"",""บึงกาฬ!Q500"")+IMPORTRANGE(""https://docs.google.com/spreadsheets/d/1MMPq-JyI6DSgQETxuSiXkesP-P7JHuemnE6QJIa-Nlw/edit?usp=sharing"",""บุรีรัมย์!Q500"")+IMPORTRANGE(""https://docs.google.com/spreadsheets/d/1l6IZ8xUPgMrESzc"&amp;"TYwhA1k_tPjeQjJPTqlm8Gd9eU5g/edit?usp=sharing"",""มหาสารคาม!Q500"")+IMPORTRANGE(""https://docs.google.com/spreadsheets/d/1uB74YLqNjWX6FObjekfB2NtSYigTQyR2rq9u4Ub2Sq4/edit?usp=sharing"",""มุกดาหาร!Q500"")+IMPORTRANGE(""https://docs.google.com/spreadsheets/"&amp;"d/1NexK3geCPxCTO1fzNF8dPec7yZyUx3OaWkFBC9HsQOo/edit?usp=sharing"",""ยโสธร!Q500"")+IMPORTRANGE(""https://docs.google.com/spreadsheets/d/1v_cJrbBlyqmnHPReHk44g9NrMRdENNlSy_E_c5M9fIg/edit?usp=sharing"",""ร้อยเอ็ด!Q500"")+IMPORTRANGE(""https://docs.google.com"&amp;"/spreadsheets/d/1Ul4RCpCX66NxYADU1QpwAPjOmBzW64SsT11s1wzXw_c/edit?usp=sharing"",""เลย!Q500"")+IMPORTRANGE(""https://docs.google.com/spreadsheets/d/1bRrNKwbHDVktQG10isr5vbWRtt5spIZPpkOSWgbT5ug/edit?usp=sharing"",""ศรีสะเกษ!Q500"")+IMPORTRANGE(""https://doc"&amp;"s.google.com/spreadsheets/d/17P34_Ow5kFBfdQD0qspb2UuPX5zpi6WMrQzslghyvrI/edit?usp=sharing"",""สกลนคร!Q500"")+IMPORTRANGE(""https://docs.google.com/spreadsheets/d/1yswqbM3-AEpThF3ZSUa1AcmHnmRTF1vlJ1CZGcJ8YuU/edit?usp=sharing"",""สุรินทร์!Q500"")+IMPORTRANG"&amp;"E(""https://docs.google.com/spreadsheets/d/13JHU_EFbsQOUQ0JSQ3dWy1VTRosIWcDq6Nc99z2qzdc/edit?usp=sharing"",""หนองคาย!Q500"")+IMPORTRANGE(""https://docs.google.com/spreadsheets/d/1Hx73zIEgVdDZZaYSTc46Dqv64atFhpr3GelxLbaIN8A/edit?usp=sharing"",""หนองบัวลำภู"&amp;"!Q500"")+IMPORTRANGE(""https://docs.google.com/spreadsheets/d/1lFxr3ctmjFN90yc-xV6jrQ9Ty8BKYVBWnAZ15wcNIJc/edit?usp=sharing"",""อำนาจเจริญ!Q500"")+IMPORTRANGE(""https://docs.google.com/spreadsheets/d/1gF7RJpRnL-1oyjyeWxs5SFWEH7y8ahOZsQlyp2A2e-A/edit?usp=s"&amp;"haring"",""อุดรธานี!Q500"")+IMPORTRANGE(""https://docs.google.com/spreadsheets/d/1kfLP0j3INXRa8bTDpcEmoWewMBV61jlFlfzczfjWIgc/edit?usp=sharing"",""อุบลราชธานี!Q500"")"),0)</f>
        <v>0</v>
      </c>
      <c r="R500" s="59">
        <f ca="1">IFERROR(__xludf.DUMMYFUNCTION("IMPORTRANGE(""https://docs.google.com/spreadsheets/d/1yhBcrRPreicbMKl9Bu_Snb2-OcQAF62RKfhTLhJ2eAA/edit?usp=sharing"",""กาฬสินธุ์!R500"")+IMPORTRANGE(""https://docs.google.com/spreadsheets/d/1aHkj4IaQMThhwWwevcOymEh837vdxeC_PycurhTbGFA/edit?usp=sharing"","&amp;"""ขอนแก่น!R500"")+IMPORTRANGE(""https://docs.google.com/spreadsheets/d/1FvTu2DsIWUjP6WCWra38Bkj_oOl_sOMf14r5Fg5srxU/edit?usp=sharing"",""ชัยภูมิ!R500"")+IMPORTRANGE(""https://docs.google.com/spreadsheets/d/1XVB7oCJ3pr-vBUdflwPQ8Z2LlzhnCvZaaYjAfP-647E/edit"&amp;"?usp=sharing"",""นครพนม!R500"")+IMPORTRANGE(""https://docs.google.com/spreadsheets/d/1Mnpb-8PYAgn85W6KOTD40hc_Xc55CaLfHoGAbrZ8tls/edit?usp=sharing"",""นครราชสีมา!R500"")+IMPORTRANGE(""https://docs.google.com/spreadsheets/d/1xoDLGBv9CYbyosIhki0kTq6IpYNj-gp"&amp;"jxfobnaDiut0/edit?usp=sharing"",""บึงกาฬ!R500"")+IMPORTRANGE(""https://docs.google.com/spreadsheets/d/1MMPq-JyI6DSgQETxuSiXkesP-P7JHuemnE6QJIa-Nlw/edit?usp=sharing"",""บุรีรัมย์!R500"")+IMPORTRANGE(""https://docs.google.com/spreadsheets/d/1l6IZ8xUPgMrESzc"&amp;"TYwhA1k_tPjeQjJPTqlm8Gd9eU5g/edit?usp=sharing"",""มหาสารคาม!R500"")+IMPORTRANGE(""https://docs.google.com/spreadsheets/d/1uB74YLqNjWX6FObjekfB2NtSYigTQyR2rq9u4Ub2Sq4/edit?usp=sharing"",""มุกดาหาร!R500"")+IMPORTRANGE(""https://docs.google.com/spreadsheets/"&amp;"d/1NexK3geCPxCTO1fzNF8dPec7yZyUx3OaWkFBC9HsQOo/edit?usp=sharing"",""ยโสธร!R500"")+IMPORTRANGE(""https://docs.google.com/spreadsheets/d/1v_cJrbBlyqmnHPReHk44g9NrMRdENNlSy_E_c5M9fIg/edit?usp=sharing"",""ร้อยเอ็ด!R500"")+IMPORTRANGE(""https://docs.google.com"&amp;"/spreadsheets/d/1Ul4RCpCX66NxYADU1QpwAPjOmBzW64SsT11s1wzXw_c/edit?usp=sharing"",""เลย!R500"")+IMPORTRANGE(""https://docs.google.com/spreadsheets/d/1bRrNKwbHDVktQG10isr5vbWRtt5spIZPpkOSWgbT5ug/edit?usp=sharing"",""ศรีสะเกษ!R500"")+IMPORTRANGE(""https://doc"&amp;"s.google.com/spreadsheets/d/17P34_Ow5kFBfdQD0qspb2UuPX5zpi6WMrQzslghyvrI/edit?usp=sharing"",""สกลนคร!R500"")+IMPORTRANGE(""https://docs.google.com/spreadsheets/d/1yswqbM3-AEpThF3ZSUa1AcmHnmRTF1vlJ1CZGcJ8YuU/edit?usp=sharing"",""สุรินทร์!R500"")+IMPORTRANG"&amp;"E(""https://docs.google.com/spreadsheets/d/13JHU_EFbsQOUQ0JSQ3dWy1VTRosIWcDq6Nc99z2qzdc/edit?usp=sharing"",""หนองคาย!R500"")+IMPORTRANGE(""https://docs.google.com/spreadsheets/d/1Hx73zIEgVdDZZaYSTc46Dqv64atFhpr3GelxLbaIN8A/edit?usp=sharing"",""หนองบัวลำภู"&amp;"!R500"")+IMPORTRANGE(""https://docs.google.com/spreadsheets/d/1lFxr3ctmjFN90yc-xV6jrQ9Ty8BKYVBWnAZ15wcNIJc/edit?usp=sharing"",""อำนาจเจริญ!R500"")+IMPORTRANGE(""https://docs.google.com/spreadsheets/d/1gF7RJpRnL-1oyjyeWxs5SFWEH7y8ahOZsQlyp2A2e-A/edit?usp=s"&amp;"haring"",""อุดรธานี!R500"")+IMPORTRANGE(""https://docs.google.com/spreadsheets/d/1kfLP0j3INXRa8bTDpcEmoWewMBV61jlFlfzczfjWIgc/edit?usp=sharing"",""อุบลราชธานี!R500"")"),0)</f>
        <v>0</v>
      </c>
      <c r="S500" s="60">
        <f ca="1">IFERROR(__xludf.DUMMYFUNCTION("IMPORTRANGE(""https://docs.google.com/spreadsheets/d/1yhBcrRPreicbMKl9Bu_Snb2-OcQAF62RKfhTLhJ2eAA/edit?usp=sharing"",""กาฬสินธุ์!S500"")+IMPORTRANGE(""https://docs.google.com/spreadsheets/d/1aHkj4IaQMThhwWwevcOymEh837vdxeC_PycurhTbGFA/edit?usp=sharing"","&amp;"""ขอนแก่น!S500"")+IMPORTRANGE(""https://docs.google.com/spreadsheets/d/1FvTu2DsIWUjP6WCWra38Bkj_oOl_sOMf14r5Fg5srxU/edit?usp=sharing"",""ชัยภูมิ!S500"")+IMPORTRANGE(""https://docs.google.com/spreadsheets/d/1XVB7oCJ3pr-vBUdflwPQ8Z2LlzhnCvZaaYjAfP-647E/edit"&amp;"?usp=sharing"",""นครพนม!S500"")+IMPORTRANGE(""https://docs.google.com/spreadsheets/d/1Mnpb-8PYAgn85W6KOTD40hc_Xc55CaLfHoGAbrZ8tls/edit?usp=sharing"",""นครราชสีมา!S500"")+IMPORTRANGE(""https://docs.google.com/spreadsheets/d/1xoDLGBv9CYbyosIhki0kTq6IpYNj-gp"&amp;"jxfobnaDiut0/edit?usp=sharing"",""บึงกาฬ!S500"")+IMPORTRANGE(""https://docs.google.com/spreadsheets/d/1MMPq-JyI6DSgQETxuSiXkesP-P7JHuemnE6QJIa-Nlw/edit?usp=sharing"",""บุรีรัมย์!S500"")+IMPORTRANGE(""https://docs.google.com/spreadsheets/d/1l6IZ8xUPgMrESzc"&amp;"TYwhA1k_tPjeQjJPTqlm8Gd9eU5g/edit?usp=sharing"",""มหาสารคาม!S500"")+IMPORTRANGE(""https://docs.google.com/spreadsheets/d/1uB74YLqNjWX6FObjekfB2NtSYigTQyR2rq9u4Ub2Sq4/edit?usp=sharing"",""มุกดาหาร!S500"")+IMPORTRANGE(""https://docs.google.com/spreadsheets/"&amp;"d/1NexK3geCPxCTO1fzNF8dPec7yZyUx3OaWkFBC9HsQOo/edit?usp=sharing"",""ยโสธร!S500"")+IMPORTRANGE(""https://docs.google.com/spreadsheets/d/1v_cJrbBlyqmnHPReHk44g9NrMRdENNlSy_E_c5M9fIg/edit?usp=sharing"",""ร้อยเอ็ด!S500"")+IMPORTRANGE(""https://docs.google.com"&amp;"/spreadsheets/d/1Ul4RCpCX66NxYADU1QpwAPjOmBzW64SsT11s1wzXw_c/edit?usp=sharing"",""เลย!S500"")+IMPORTRANGE(""https://docs.google.com/spreadsheets/d/1bRrNKwbHDVktQG10isr5vbWRtt5spIZPpkOSWgbT5ug/edit?usp=sharing"",""ศรีสะเกษ!S500"")+IMPORTRANGE(""https://doc"&amp;"s.google.com/spreadsheets/d/17P34_Ow5kFBfdQD0qspb2UuPX5zpi6WMrQzslghyvrI/edit?usp=sharing"",""สกลนคร!S500"")+IMPORTRANGE(""https://docs.google.com/spreadsheets/d/1yswqbM3-AEpThF3ZSUa1AcmHnmRTF1vlJ1CZGcJ8YuU/edit?usp=sharing"",""สุรินทร์!S500"")+IMPORTRANG"&amp;"E(""https://docs.google.com/spreadsheets/d/13JHU_EFbsQOUQ0JSQ3dWy1VTRosIWcDq6Nc99z2qzdc/edit?usp=sharing"",""หนองคาย!S500"")+IMPORTRANGE(""https://docs.google.com/spreadsheets/d/1Hx73zIEgVdDZZaYSTc46Dqv64atFhpr3GelxLbaIN8A/edit?usp=sharing"",""หนองบัวลำภู"&amp;"!S500"")+IMPORTRANGE(""https://docs.google.com/spreadsheets/d/1lFxr3ctmjFN90yc-xV6jrQ9Ty8BKYVBWnAZ15wcNIJc/edit?usp=sharing"",""อำนาจเจริญ!S500"")+IMPORTRANGE(""https://docs.google.com/spreadsheets/d/1gF7RJpRnL-1oyjyeWxs5SFWEH7y8ahOZsQlyp2A2e-A/edit?usp=s"&amp;"haring"",""อุดรธานี!S500"")+IMPORTRANGE(""https://docs.google.com/spreadsheets/d/1kfLP0j3INXRa8bTDpcEmoWewMBV61jlFlfzczfjWIgc/edit?usp=sharing"",""อุบลราชธานี!S500"")"),0)</f>
        <v>0</v>
      </c>
      <c r="T500" s="59">
        <f t="shared" ca="1" si="350"/>
        <v>0</v>
      </c>
      <c r="U500" s="59">
        <f t="shared" ca="1" si="351"/>
        <v>0</v>
      </c>
    </row>
    <row r="501" spans="1:21" ht="18.75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56">
        <f ca="1">IFERROR(__xludf.DUMMYFUNCTION("IMPORTRANGE(""https://docs.google.com/spreadsheets/d/1yhBcrRPreicbMKl9Bu_Snb2-OcQAF62RKfhTLhJ2eAA/edit?usp=sharing"",""กาฬสินธุ์!L501"")+IMPORTRANGE(""https://docs.google.com/spreadsheets/d/1aHkj4IaQMThhwWwevcOymEh837vdxeC_PycurhTbGFA/edit?usp=sharing"","&amp;"""ขอนแก่น!L501"")+IMPORTRANGE(""https://docs.google.com/spreadsheets/d/1FvTu2DsIWUjP6WCWra38Bkj_oOl_sOMf14r5Fg5srxU/edit?usp=sharing"",""ชัยภูมิ!L501"")+IMPORTRANGE(""https://docs.google.com/spreadsheets/d/1XVB7oCJ3pr-vBUdflwPQ8Z2LlzhnCvZaaYjAfP-647E/edit"&amp;"?usp=sharing"",""นครพนม!L501"")+IMPORTRANGE(""https://docs.google.com/spreadsheets/d/1Mnpb-8PYAgn85W6KOTD40hc_Xc55CaLfHoGAbrZ8tls/edit?usp=sharing"",""นครราชสีมา!L501"")+IMPORTRANGE(""https://docs.google.com/spreadsheets/d/1xoDLGBv9CYbyosIhki0kTq6IpYNj-gp"&amp;"jxfobnaDiut0/edit?usp=sharing"",""บึงกาฬ!L501"")+IMPORTRANGE(""https://docs.google.com/spreadsheets/d/1MMPq-JyI6DSgQETxuSiXkesP-P7JHuemnE6QJIa-Nlw/edit?usp=sharing"",""บุรีรัมย์!L501"")+IMPORTRANGE(""https://docs.google.com/spreadsheets/d/1l6IZ8xUPgMrESzc"&amp;"TYwhA1k_tPjeQjJPTqlm8Gd9eU5g/edit?usp=sharing"",""มหาสารคาม!L501"")+IMPORTRANGE(""https://docs.google.com/spreadsheets/d/1uB74YLqNjWX6FObjekfB2NtSYigTQyR2rq9u4Ub2Sq4/edit?usp=sharing"",""มุกดาหาร!L501"")+IMPORTRANGE(""https://docs.google.com/spreadsheets/"&amp;"d/1NexK3geCPxCTO1fzNF8dPec7yZyUx3OaWkFBC9HsQOo/edit?usp=sharing"",""ยโสธร!L501"")+IMPORTRANGE(""https://docs.google.com/spreadsheets/d/1v_cJrbBlyqmnHPReHk44g9NrMRdENNlSy_E_c5M9fIg/edit?usp=sharing"",""ร้อยเอ็ด!L501"")+IMPORTRANGE(""https://docs.google.com"&amp;"/spreadsheets/d/1Ul4RCpCX66NxYADU1QpwAPjOmBzW64SsT11s1wzXw_c/edit?usp=sharing"",""เลย!L501"")+IMPORTRANGE(""https://docs.google.com/spreadsheets/d/1bRrNKwbHDVktQG10isr5vbWRtt5spIZPpkOSWgbT5ug/edit?usp=sharing"",""ศรีสะเกษ!L501"")+IMPORTRANGE(""https://doc"&amp;"s.google.com/spreadsheets/d/17P34_Ow5kFBfdQD0qspb2UuPX5zpi6WMrQzslghyvrI/edit?usp=sharing"",""สกลนคร!L501"")+IMPORTRANGE(""https://docs.google.com/spreadsheets/d/1yswqbM3-AEpThF3ZSUa1AcmHnmRTF1vlJ1CZGcJ8YuU/edit?usp=sharing"",""สุรินทร์!L501"")+IMPORTRANG"&amp;"E(""https://docs.google.com/spreadsheets/d/13JHU_EFbsQOUQ0JSQ3dWy1VTRosIWcDq6Nc99z2qzdc/edit?usp=sharing"",""หนองคาย!L501"")+IMPORTRANGE(""https://docs.google.com/spreadsheets/d/1Hx73zIEgVdDZZaYSTc46Dqv64atFhpr3GelxLbaIN8A/edit?usp=sharing"",""หนองบัวลำภู"&amp;"!L501"")+IMPORTRANGE(""https://docs.google.com/spreadsheets/d/1lFxr3ctmjFN90yc-xV6jrQ9Ty8BKYVBWnAZ15wcNIJc/edit?usp=sharing"",""อำนาจเจริญ!L501"")+IMPORTRANGE(""https://docs.google.com/spreadsheets/d/1gF7RJpRnL-1oyjyeWxs5SFWEH7y8ahOZsQlyp2A2e-A/edit?usp=s"&amp;"haring"",""อุดรธานี!L501"")+IMPORTRANGE(""https://docs.google.com/spreadsheets/d/1kfLP0j3INXRa8bTDpcEmoWewMBV61jlFlfzczfjWIgc/edit?usp=sharing"",""อุบลราชธานี!L501"")"),0)</f>
        <v>0</v>
      </c>
      <c r="M501" s="56">
        <f ca="1">IFERROR(__xludf.DUMMYFUNCTION("IMPORTRANGE(""https://docs.google.com/spreadsheets/d/1yhBcrRPreicbMKl9Bu_Snb2-OcQAF62RKfhTLhJ2eAA/edit?usp=sharing"",""กาฬสินธุ์!M501"")+IMPORTRANGE(""https://docs.google.com/spreadsheets/d/1aHkj4IaQMThhwWwevcOymEh837vdxeC_PycurhTbGFA/edit?usp=sharing"","&amp;"""ขอนแก่น!M501"")+IMPORTRANGE(""https://docs.google.com/spreadsheets/d/1FvTu2DsIWUjP6WCWra38Bkj_oOl_sOMf14r5Fg5srxU/edit?usp=sharing"",""ชัยภูมิ!M501"")+IMPORTRANGE(""https://docs.google.com/spreadsheets/d/1XVB7oCJ3pr-vBUdflwPQ8Z2LlzhnCvZaaYjAfP-647E/edit"&amp;"?usp=sharing"",""นครพนม!M501"")+IMPORTRANGE(""https://docs.google.com/spreadsheets/d/1Mnpb-8PYAgn85W6KOTD40hc_Xc55CaLfHoGAbrZ8tls/edit?usp=sharing"",""นครราชสีมา!M501"")+IMPORTRANGE(""https://docs.google.com/spreadsheets/d/1xoDLGBv9CYbyosIhki0kTq6IpYNj-gp"&amp;"jxfobnaDiut0/edit?usp=sharing"",""บึงกาฬ!M501"")+IMPORTRANGE(""https://docs.google.com/spreadsheets/d/1MMPq-JyI6DSgQETxuSiXkesP-P7JHuemnE6QJIa-Nlw/edit?usp=sharing"",""บุรีรัมย์!M501"")+IMPORTRANGE(""https://docs.google.com/spreadsheets/d/1l6IZ8xUPgMrESzc"&amp;"TYwhA1k_tPjeQjJPTqlm8Gd9eU5g/edit?usp=sharing"",""มหาสารคาม!M501"")+IMPORTRANGE(""https://docs.google.com/spreadsheets/d/1uB74YLqNjWX6FObjekfB2NtSYigTQyR2rq9u4Ub2Sq4/edit?usp=sharing"",""มุกดาหาร!M501"")+IMPORTRANGE(""https://docs.google.com/spreadsheets/"&amp;"d/1NexK3geCPxCTO1fzNF8dPec7yZyUx3OaWkFBC9HsQOo/edit?usp=sharing"",""ยโสธร!M501"")+IMPORTRANGE(""https://docs.google.com/spreadsheets/d/1v_cJrbBlyqmnHPReHk44g9NrMRdENNlSy_E_c5M9fIg/edit?usp=sharing"",""ร้อยเอ็ด!M501"")+IMPORTRANGE(""https://docs.google.com"&amp;"/spreadsheets/d/1Ul4RCpCX66NxYADU1QpwAPjOmBzW64SsT11s1wzXw_c/edit?usp=sharing"",""เลย!M501"")+IMPORTRANGE(""https://docs.google.com/spreadsheets/d/1bRrNKwbHDVktQG10isr5vbWRtt5spIZPpkOSWgbT5ug/edit?usp=sharing"",""ศรีสะเกษ!M501"")+IMPORTRANGE(""https://doc"&amp;"s.google.com/spreadsheets/d/17P34_Ow5kFBfdQD0qspb2UuPX5zpi6WMrQzslghyvrI/edit?usp=sharing"",""สกลนคร!M501"")+IMPORTRANGE(""https://docs.google.com/spreadsheets/d/1yswqbM3-AEpThF3ZSUa1AcmHnmRTF1vlJ1CZGcJ8YuU/edit?usp=sharing"",""สุรินทร์!M501"")+IMPORTRANG"&amp;"E(""https://docs.google.com/spreadsheets/d/13JHU_EFbsQOUQ0JSQ3dWy1VTRosIWcDq6Nc99z2qzdc/edit?usp=sharing"",""หนองคาย!M501"")+IMPORTRANGE(""https://docs.google.com/spreadsheets/d/1Hx73zIEgVdDZZaYSTc46Dqv64atFhpr3GelxLbaIN8A/edit?usp=sharing"",""หนองบัวลำภู"&amp;"!M501"")+IMPORTRANGE(""https://docs.google.com/spreadsheets/d/1lFxr3ctmjFN90yc-xV6jrQ9Ty8BKYVBWnAZ15wcNIJc/edit?usp=sharing"",""อำนาจเจริญ!M501"")+IMPORTRANGE(""https://docs.google.com/spreadsheets/d/1gF7RJpRnL-1oyjyeWxs5SFWEH7y8ahOZsQlyp2A2e-A/edit?usp=s"&amp;"haring"",""อุดรธานี!M501"")+IMPORTRANGE(""https://docs.google.com/spreadsheets/d/1kfLP0j3INXRa8bTDpcEmoWewMBV61jlFlfzczfjWIgc/edit?usp=sharing"",""อุบลราชธานี!M501"")"),0)</f>
        <v>0</v>
      </c>
      <c r="N501" s="56">
        <f ca="1">IFERROR(__xludf.DUMMYFUNCTION("IMPORTRANGE(""https://docs.google.com/spreadsheets/d/1yhBcrRPreicbMKl9Bu_Snb2-OcQAF62RKfhTLhJ2eAA/edit?usp=sharing"",""กาฬสินธุ์!N501"")+IMPORTRANGE(""https://docs.google.com/spreadsheets/d/1aHkj4IaQMThhwWwevcOymEh837vdxeC_PycurhTbGFA/edit?usp=sharing"","&amp;"""ขอนแก่น!N501"")+IMPORTRANGE(""https://docs.google.com/spreadsheets/d/1FvTu2DsIWUjP6WCWra38Bkj_oOl_sOMf14r5Fg5srxU/edit?usp=sharing"",""ชัยภูมิ!N501"")+IMPORTRANGE(""https://docs.google.com/spreadsheets/d/1XVB7oCJ3pr-vBUdflwPQ8Z2LlzhnCvZaaYjAfP-647E/edit"&amp;"?usp=sharing"",""นครพนม!N501"")+IMPORTRANGE(""https://docs.google.com/spreadsheets/d/1Mnpb-8PYAgn85W6KOTD40hc_Xc55CaLfHoGAbrZ8tls/edit?usp=sharing"",""นครราชสีมา!N501"")+IMPORTRANGE(""https://docs.google.com/spreadsheets/d/1xoDLGBv9CYbyosIhki0kTq6IpYNj-gp"&amp;"jxfobnaDiut0/edit?usp=sharing"",""บึงกาฬ!N501"")+IMPORTRANGE(""https://docs.google.com/spreadsheets/d/1MMPq-JyI6DSgQETxuSiXkesP-P7JHuemnE6QJIa-Nlw/edit?usp=sharing"",""บุรีรัมย์!N501"")+IMPORTRANGE(""https://docs.google.com/spreadsheets/d/1l6IZ8xUPgMrESzc"&amp;"TYwhA1k_tPjeQjJPTqlm8Gd9eU5g/edit?usp=sharing"",""มหาสารคาม!N501"")+IMPORTRANGE(""https://docs.google.com/spreadsheets/d/1uB74YLqNjWX6FObjekfB2NtSYigTQyR2rq9u4Ub2Sq4/edit?usp=sharing"",""มุกดาหาร!N501"")+IMPORTRANGE(""https://docs.google.com/spreadsheets/"&amp;"d/1NexK3geCPxCTO1fzNF8dPec7yZyUx3OaWkFBC9HsQOo/edit?usp=sharing"",""ยโสธร!N501"")+IMPORTRANGE(""https://docs.google.com/spreadsheets/d/1v_cJrbBlyqmnHPReHk44g9NrMRdENNlSy_E_c5M9fIg/edit?usp=sharing"",""ร้อยเอ็ด!N501"")+IMPORTRANGE(""https://docs.google.com"&amp;"/spreadsheets/d/1Ul4RCpCX66NxYADU1QpwAPjOmBzW64SsT11s1wzXw_c/edit?usp=sharing"",""เลย!N501"")+IMPORTRANGE(""https://docs.google.com/spreadsheets/d/1bRrNKwbHDVktQG10isr5vbWRtt5spIZPpkOSWgbT5ug/edit?usp=sharing"",""ศรีสะเกษ!N501"")+IMPORTRANGE(""https://doc"&amp;"s.google.com/spreadsheets/d/17P34_Ow5kFBfdQD0qspb2UuPX5zpi6WMrQzslghyvrI/edit?usp=sharing"",""สกลนคร!N501"")+IMPORTRANGE(""https://docs.google.com/spreadsheets/d/1yswqbM3-AEpThF3ZSUa1AcmHnmRTF1vlJ1CZGcJ8YuU/edit?usp=sharing"",""สุรินทร์!N501"")+IMPORTRANG"&amp;"E(""https://docs.google.com/spreadsheets/d/13JHU_EFbsQOUQ0JSQ3dWy1VTRosIWcDq6Nc99z2qzdc/edit?usp=sharing"",""หนองคาย!N501"")+IMPORTRANGE(""https://docs.google.com/spreadsheets/d/1Hx73zIEgVdDZZaYSTc46Dqv64atFhpr3GelxLbaIN8A/edit?usp=sharing"",""หนองบัวลำภู"&amp;"!N501"")+IMPORTRANGE(""https://docs.google.com/spreadsheets/d/1lFxr3ctmjFN90yc-xV6jrQ9Ty8BKYVBWnAZ15wcNIJc/edit?usp=sharing"",""อำนาจเจริญ!N501"")+IMPORTRANGE(""https://docs.google.com/spreadsheets/d/1gF7RJpRnL-1oyjyeWxs5SFWEH7y8ahOZsQlyp2A2e-A/edit?usp=s"&amp;"haring"",""อุดรธานี!N501"")+IMPORTRANGE(""https://docs.google.com/spreadsheets/d/1kfLP0j3INXRa8bTDpcEmoWewMBV61jlFlfzczfjWIgc/edit?usp=sharing"",""อุบลราชธานี!N501"")"),0)</f>
        <v>0</v>
      </c>
      <c r="O501" s="56">
        <f t="shared" ca="1" si="347"/>
        <v>0</v>
      </c>
      <c r="P501" s="56">
        <f t="shared" ca="1" si="348"/>
        <v>0</v>
      </c>
      <c r="Q501" s="56">
        <f ca="1">IFERROR(__xludf.DUMMYFUNCTION("IMPORTRANGE(""https://docs.google.com/spreadsheets/d/1yhBcrRPreicbMKl9Bu_Snb2-OcQAF62RKfhTLhJ2eAA/edit?usp=sharing"",""กาฬสินธุ์!Q501"")+IMPORTRANGE(""https://docs.google.com/spreadsheets/d/1aHkj4IaQMThhwWwevcOymEh837vdxeC_PycurhTbGFA/edit?usp=sharing"","&amp;"""ขอนแก่น!Q501"")+IMPORTRANGE(""https://docs.google.com/spreadsheets/d/1FvTu2DsIWUjP6WCWra38Bkj_oOl_sOMf14r5Fg5srxU/edit?usp=sharing"",""ชัยภูมิ!Q501"")+IMPORTRANGE(""https://docs.google.com/spreadsheets/d/1XVB7oCJ3pr-vBUdflwPQ8Z2LlzhnCvZaaYjAfP-647E/edit"&amp;"?usp=sharing"",""นครพนม!Q501"")+IMPORTRANGE(""https://docs.google.com/spreadsheets/d/1Mnpb-8PYAgn85W6KOTD40hc_Xc55CaLfHoGAbrZ8tls/edit?usp=sharing"",""นครราชสีมา!Q501"")+IMPORTRANGE(""https://docs.google.com/spreadsheets/d/1xoDLGBv9CYbyosIhki0kTq6IpYNj-gp"&amp;"jxfobnaDiut0/edit?usp=sharing"",""บึงกาฬ!Q501"")+IMPORTRANGE(""https://docs.google.com/spreadsheets/d/1MMPq-JyI6DSgQETxuSiXkesP-P7JHuemnE6QJIa-Nlw/edit?usp=sharing"",""บุรีรัมย์!Q501"")+IMPORTRANGE(""https://docs.google.com/spreadsheets/d/1l6IZ8xUPgMrESzc"&amp;"TYwhA1k_tPjeQjJPTqlm8Gd9eU5g/edit?usp=sharing"",""มหาสารคาม!Q501"")+IMPORTRANGE(""https://docs.google.com/spreadsheets/d/1uB74YLqNjWX6FObjekfB2NtSYigTQyR2rq9u4Ub2Sq4/edit?usp=sharing"",""มุกดาหาร!Q501"")+IMPORTRANGE(""https://docs.google.com/spreadsheets/"&amp;"d/1NexK3geCPxCTO1fzNF8dPec7yZyUx3OaWkFBC9HsQOo/edit?usp=sharing"",""ยโสธร!Q501"")+IMPORTRANGE(""https://docs.google.com/spreadsheets/d/1v_cJrbBlyqmnHPReHk44g9NrMRdENNlSy_E_c5M9fIg/edit?usp=sharing"",""ร้อยเอ็ด!Q501"")+IMPORTRANGE(""https://docs.google.com"&amp;"/spreadsheets/d/1Ul4RCpCX66NxYADU1QpwAPjOmBzW64SsT11s1wzXw_c/edit?usp=sharing"",""เลย!Q501"")+IMPORTRANGE(""https://docs.google.com/spreadsheets/d/1bRrNKwbHDVktQG10isr5vbWRtt5spIZPpkOSWgbT5ug/edit?usp=sharing"",""ศรีสะเกษ!Q501"")+IMPORTRANGE(""https://doc"&amp;"s.google.com/spreadsheets/d/17P34_Ow5kFBfdQD0qspb2UuPX5zpi6WMrQzslghyvrI/edit?usp=sharing"",""สกลนคร!Q501"")+IMPORTRANGE(""https://docs.google.com/spreadsheets/d/1yswqbM3-AEpThF3ZSUa1AcmHnmRTF1vlJ1CZGcJ8YuU/edit?usp=sharing"",""สุรินทร์!Q501"")+IMPORTRANG"&amp;"E(""https://docs.google.com/spreadsheets/d/13JHU_EFbsQOUQ0JSQ3dWy1VTRosIWcDq6Nc99z2qzdc/edit?usp=sharing"",""หนองคาย!Q501"")+IMPORTRANGE(""https://docs.google.com/spreadsheets/d/1Hx73zIEgVdDZZaYSTc46Dqv64atFhpr3GelxLbaIN8A/edit?usp=sharing"",""หนองบัวลำภู"&amp;"!Q501"")+IMPORTRANGE(""https://docs.google.com/spreadsheets/d/1lFxr3ctmjFN90yc-xV6jrQ9Ty8BKYVBWnAZ15wcNIJc/edit?usp=sharing"",""อำนาจเจริญ!Q501"")+IMPORTRANGE(""https://docs.google.com/spreadsheets/d/1gF7RJpRnL-1oyjyeWxs5SFWEH7y8ahOZsQlyp2A2e-A/edit?usp=s"&amp;"haring"",""อุดรธานี!Q501"")+IMPORTRANGE(""https://docs.google.com/spreadsheets/d/1kfLP0j3INXRa8bTDpcEmoWewMBV61jlFlfzczfjWIgc/edit?usp=sharing"",""อุบลราชธานี!Q501"")"),0)</f>
        <v>0</v>
      </c>
      <c r="R501" s="56">
        <f ca="1">IFERROR(__xludf.DUMMYFUNCTION("IMPORTRANGE(""https://docs.google.com/spreadsheets/d/1yhBcrRPreicbMKl9Bu_Snb2-OcQAF62RKfhTLhJ2eAA/edit?usp=sharing"",""กาฬสินธุ์!R501"")+IMPORTRANGE(""https://docs.google.com/spreadsheets/d/1aHkj4IaQMThhwWwevcOymEh837vdxeC_PycurhTbGFA/edit?usp=sharing"","&amp;"""ขอนแก่น!R501"")+IMPORTRANGE(""https://docs.google.com/spreadsheets/d/1FvTu2DsIWUjP6WCWra38Bkj_oOl_sOMf14r5Fg5srxU/edit?usp=sharing"",""ชัยภูมิ!R501"")+IMPORTRANGE(""https://docs.google.com/spreadsheets/d/1XVB7oCJ3pr-vBUdflwPQ8Z2LlzhnCvZaaYjAfP-647E/edit"&amp;"?usp=sharing"",""นครพนม!R501"")+IMPORTRANGE(""https://docs.google.com/spreadsheets/d/1Mnpb-8PYAgn85W6KOTD40hc_Xc55CaLfHoGAbrZ8tls/edit?usp=sharing"",""นครราชสีมา!R501"")+IMPORTRANGE(""https://docs.google.com/spreadsheets/d/1xoDLGBv9CYbyosIhki0kTq6IpYNj-gp"&amp;"jxfobnaDiut0/edit?usp=sharing"",""บึงกาฬ!R501"")+IMPORTRANGE(""https://docs.google.com/spreadsheets/d/1MMPq-JyI6DSgQETxuSiXkesP-P7JHuemnE6QJIa-Nlw/edit?usp=sharing"",""บุรีรัมย์!R501"")+IMPORTRANGE(""https://docs.google.com/spreadsheets/d/1l6IZ8xUPgMrESzc"&amp;"TYwhA1k_tPjeQjJPTqlm8Gd9eU5g/edit?usp=sharing"",""มหาสารคาม!R501"")+IMPORTRANGE(""https://docs.google.com/spreadsheets/d/1uB74YLqNjWX6FObjekfB2NtSYigTQyR2rq9u4Ub2Sq4/edit?usp=sharing"",""มุกดาหาร!R501"")+IMPORTRANGE(""https://docs.google.com/spreadsheets/"&amp;"d/1NexK3geCPxCTO1fzNF8dPec7yZyUx3OaWkFBC9HsQOo/edit?usp=sharing"",""ยโสธร!R501"")+IMPORTRANGE(""https://docs.google.com/spreadsheets/d/1v_cJrbBlyqmnHPReHk44g9NrMRdENNlSy_E_c5M9fIg/edit?usp=sharing"",""ร้อยเอ็ด!R501"")+IMPORTRANGE(""https://docs.google.com"&amp;"/spreadsheets/d/1Ul4RCpCX66NxYADU1QpwAPjOmBzW64SsT11s1wzXw_c/edit?usp=sharing"",""เลย!R501"")+IMPORTRANGE(""https://docs.google.com/spreadsheets/d/1bRrNKwbHDVktQG10isr5vbWRtt5spIZPpkOSWgbT5ug/edit?usp=sharing"",""ศรีสะเกษ!R501"")+IMPORTRANGE(""https://doc"&amp;"s.google.com/spreadsheets/d/17P34_Ow5kFBfdQD0qspb2UuPX5zpi6WMrQzslghyvrI/edit?usp=sharing"",""สกลนคร!R501"")+IMPORTRANGE(""https://docs.google.com/spreadsheets/d/1yswqbM3-AEpThF3ZSUa1AcmHnmRTF1vlJ1CZGcJ8YuU/edit?usp=sharing"",""สุรินทร์!R501"")+IMPORTRANG"&amp;"E(""https://docs.google.com/spreadsheets/d/13JHU_EFbsQOUQ0JSQ3dWy1VTRosIWcDq6Nc99z2qzdc/edit?usp=sharing"",""หนองคาย!R501"")+IMPORTRANGE(""https://docs.google.com/spreadsheets/d/1Hx73zIEgVdDZZaYSTc46Dqv64atFhpr3GelxLbaIN8A/edit?usp=sharing"",""หนองบัวลำภู"&amp;"!R501"")+IMPORTRANGE(""https://docs.google.com/spreadsheets/d/1lFxr3ctmjFN90yc-xV6jrQ9Ty8BKYVBWnAZ15wcNIJc/edit?usp=sharing"",""อำนาจเจริญ!R501"")+IMPORTRANGE(""https://docs.google.com/spreadsheets/d/1gF7RJpRnL-1oyjyeWxs5SFWEH7y8ahOZsQlyp2A2e-A/edit?usp=s"&amp;"haring"",""อุดรธานี!R501"")+IMPORTRANGE(""https://docs.google.com/spreadsheets/d/1kfLP0j3INXRa8bTDpcEmoWewMBV61jlFlfzczfjWIgc/edit?usp=sharing"",""อุบลราชธานี!R501"")"),0)</f>
        <v>0</v>
      </c>
      <c r="S501" s="57">
        <f ca="1">IFERROR(__xludf.DUMMYFUNCTION("IMPORTRANGE(""https://docs.google.com/spreadsheets/d/1yhBcrRPreicbMKl9Bu_Snb2-OcQAF62RKfhTLhJ2eAA/edit?usp=sharing"",""กาฬสินธุ์!S501"")+IMPORTRANGE(""https://docs.google.com/spreadsheets/d/1aHkj4IaQMThhwWwevcOymEh837vdxeC_PycurhTbGFA/edit?usp=sharing"","&amp;"""ขอนแก่น!S501"")+IMPORTRANGE(""https://docs.google.com/spreadsheets/d/1FvTu2DsIWUjP6WCWra38Bkj_oOl_sOMf14r5Fg5srxU/edit?usp=sharing"",""ชัยภูมิ!S501"")+IMPORTRANGE(""https://docs.google.com/spreadsheets/d/1XVB7oCJ3pr-vBUdflwPQ8Z2LlzhnCvZaaYjAfP-647E/edit"&amp;"?usp=sharing"",""นครพนม!S501"")+IMPORTRANGE(""https://docs.google.com/spreadsheets/d/1Mnpb-8PYAgn85W6KOTD40hc_Xc55CaLfHoGAbrZ8tls/edit?usp=sharing"",""นครราชสีมา!S501"")+IMPORTRANGE(""https://docs.google.com/spreadsheets/d/1xoDLGBv9CYbyosIhki0kTq6IpYNj-gp"&amp;"jxfobnaDiut0/edit?usp=sharing"",""บึงกาฬ!S501"")+IMPORTRANGE(""https://docs.google.com/spreadsheets/d/1MMPq-JyI6DSgQETxuSiXkesP-P7JHuemnE6QJIa-Nlw/edit?usp=sharing"",""บุรีรัมย์!S501"")+IMPORTRANGE(""https://docs.google.com/spreadsheets/d/1l6IZ8xUPgMrESzc"&amp;"TYwhA1k_tPjeQjJPTqlm8Gd9eU5g/edit?usp=sharing"",""มหาสารคาม!S501"")+IMPORTRANGE(""https://docs.google.com/spreadsheets/d/1uB74YLqNjWX6FObjekfB2NtSYigTQyR2rq9u4Ub2Sq4/edit?usp=sharing"",""มุกดาหาร!S501"")+IMPORTRANGE(""https://docs.google.com/spreadsheets/"&amp;"d/1NexK3geCPxCTO1fzNF8dPec7yZyUx3OaWkFBC9HsQOo/edit?usp=sharing"",""ยโสธร!S501"")+IMPORTRANGE(""https://docs.google.com/spreadsheets/d/1v_cJrbBlyqmnHPReHk44g9NrMRdENNlSy_E_c5M9fIg/edit?usp=sharing"",""ร้อยเอ็ด!S501"")+IMPORTRANGE(""https://docs.google.com"&amp;"/spreadsheets/d/1Ul4RCpCX66NxYADU1QpwAPjOmBzW64SsT11s1wzXw_c/edit?usp=sharing"",""เลย!S501"")+IMPORTRANGE(""https://docs.google.com/spreadsheets/d/1bRrNKwbHDVktQG10isr5vbWRtt5spIZPpkOSWgbT5ug/edit?usp=sharing"",""ศรีสะเกษ!S501"")+IMPORTRANGE(""https://doc"&amp;"s.google.com/spreadsheets/d/17P34_Ow5kFBfdQD0qspb2UuPX5zpi6WMrQzslghyvrI/edit?usp=sharing"",""สกลนคร!S501"")+IMPORTRANGE(""https://docs.google.com/spreadsheets/d/1yswqbM3-AEpThF3ZSUa1AcmHnmRTF1vlJ1CZGcJ8YuU/edit?usp=sharing"",""สุรินทร์!S501"")+IMPORTRANG"&amp;"E(""https://docs.google.com/spreadsheets/d/13JHU_EFbsQOUQ0JSQ3dWy1VTRosIWcDq6Nc99z2qzdc/edit?usp=sharing"",""หนองคาย!S501"")+IMPORTRANGE(""https://docs.google.com/spreadsheets/d/1Hx73zIEgVdDZZaYSTc46Dqv64atFhpr3GelxLbaIN8A/edit?usp=sharing"",""หนองบัวลำภู"&amp;"!S501"")+IMPORTRANGE(""https://docs.google.com/spreadsheets/d/1lFxr3ctmjFN90yc-xV6jrQ9Ty8BKYVBWnAZ15wcNIJc/edit?usp=sharing"",""อำนาจเจริญ!S501"")+IMPORTRANGE(""https://docs.google.com/spreadsheets/d/1gF7RJpRnL-1oyjyeWxs5SFWEH7y8ahOZsQlyp2A2e-A/edit?usp=s"&amp;"haring"",""อุดรธานี!S501"")+IMPORTRANGE(""https://docs.google.com/spreadsheets/d/1kfLP0j3INXRa8bTDpcEmoWewMBV61jlFlfzczfjWIgc/edit?usp=sharing"",""อุบลราชธานี!S501"")"),0)</f>
        <v>0</v>
      </c>
      <c r="T501" s="56">
        <f t="shared" ca="1" si="350"/>
        <v>0</v>
      </c>
      <c r="U501" s="56">
        <f t="shared" ca="1" si="351"/>
        <v>0</v>
      </c>
    </row>
    <row r="502" spans="1:21" ht="19.5">
      <c r="A502" s="166"/>
      <c r="B502" s="167"/>
      <c r="C502" s="205" t="s">
        <v>18</v>
      </c>
      <c r="D502" s="357" t="s">
        <v>38</v>
      </c>
      <c r="E502" s="169"/>
      <c r="F502" s="169"/>
      <c r="G502" s="170"/>
      <c r="H502" s="206"/>
      <c r="I502" s="163"/>
      <c r="J502" s="163"/>
      <c r="K502" s="164"/>
      <c r="L502" s="164"/>
      <c r="M502" s="164"/>
      <c r="N502" s="164"/>
      <c r="O502" s="164"/>
      <c r="P502" s="164"/>
      <c r="Q502" s="164"/>
      <c r="R502" s="164"/>
      <c r="S502" s="172"/>
      <c r="T502" s="164"/>
      <c r="U502" s="164"/>
    </row>
    <row r="503" spans="1:21" ht="19.5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181">
        <f ca="1">IFERROR(__xludf.DUMMYFUNCTION("IMPORTRANGE(""https://docs.google.com/spreadsheets/d/1yhBcrRPreicbMKl9Bu_Snb2-OcQAF62RKfhTLhJ2eAA/edit?usp=sharing"",""กาฬสินธุ์!I503"")+IMPORTRANGE(""https://docs.google.com/spreadsheets/d/1aHkj4IaQMThhwWwevcOymEh837vdxeC_PycurhTbGFA/edit?usp=sharing"","&amp;"""ขอนแก่น!I503"")+IMPORTRANGE(""https://docs.google.com/spreadsheets/d/1FvTu2DsIWUjP6WCWra38Bkj_oOl_sOMf14r5Fg5srxU/edit?usp=sharing"",""ชัยภูมิ!I503"")+IMPORTRANGE(""https://docs.google.com/spreadsheets/d/1XVB7oCJ3pr-vBUdflwPQ8Z2LlzhnCvZaaYjAfP-647E/edit"&amp;"?usp=sharing"",""นครพนม!I503"")+IMPORTRANGE(""https://docs.google.com/spreadsheets/d/1Mnpb-8PYAgn85W6KOTD40hc_Xc55CaLfHoGAbrZ8tls/edit?usp=sharing"",""นครราชสีมา!I503"")+IMPORTRANGE(""https://docs.google.com/spreadsheets/d/1xoDLGBv9CYbyosIhki0kTq6IpYNj-gp"&amp;"jxfobnaDiut0/edit?usp=sharing"",""บึงกาฬ!I503"")+IMPORTRANGE(""https://docs.google.com/spreadsheets/d/1MMPq-JyI6DSgQETxuSiXkesP-P7JHuemnE6QJIa-Nlw/edit?usp=sharing"",""บุรีรัมย์!I503"")+IMPORTRANGE(""https://docs.google.com/spreadsheets/d/1l6IZ8xUPgMrESzc"&amp;"TYwhA1k_tPjeQjJPTqlm8Gd9eU5g/edit?usp=sharing"",""มหาสารคาม!I503"")+IMPORTRANGE(""https://docs.google.com/spreadsheets/d/1uB74YLqNjWX6FObjekfB2NtSYigTQyR2rq9u4Ub2Sq4/edit?usp=sharing"",""มุกดาหาร!I503"")+IMPORTRANGE(""https://docs.google.com/spreadsheets/"&amp;"d/1NexK3geCPxCTO1fzNF8dPec7yZyUx3OaWkFBC9HsQOo/edit?usp=sharing"",""ยโสธร!I503"")+IMPORTRANGE(""https://docs.google.com/spreadsheets/d/1v_cJrbBlyqmnHPReHk44g9NrMRdENNlSy_E_c5M9fIg/edit?usp=sharing"",""ร้อยเอ็ด!I503"")+IMPORTRANGE(""https://docs.google.com"&amp;"/spreadsheets/d/1Ul4RCpCX66NxYADU1QpwAPjOmBzW64SsT11s1wzXw_c/edit?usp=sharing"",""เลย!I503"")+IMPORTRANGE(""https://docs.google.com/spreadsheets/d/1bRrNKwbHDVktQG10isr5vbWRtt5spIZPpkOSWgbT5ug/edit?usp=sharing"",""ศรีสะเกษ!I503"")+IMPORTRANGE(""https://doc"&amp;"s.google.com/spreadsheets/d/17P34_Ow5kFBfdQD0qspb2UuPX5zpi6WMrQzslghyvrI/edit?usp=sharing"",""สกลนคร!I503"")+IMPORTRANGE(""https://docs.google.com/spreadsheets/d/1yswqbM3-AEpThF3ZSUa1AcmHnmRTF1vlJ1CZGcJ8YuU/edit?usp=sharing"",""สุรินทร์!I503"")+IMPORTRANG"&amp;"E(""https://docs.google.com/spreadsheets/d/13JHU_EFbsQOUQ0JSQ3dWy1VTRosIWcDq6Nc99z2qzdc/edit?usp=sharing"",""หนองคาย!I503"")+IMPORTRANGE(""https://docs.google.com/spreadsheets/d/1Hx73zIEgVdDZZaYSTc46Dqv64atFhpr3GelxLbaIN8A/edit?usp=sharing"",""หนองบัวลำภู"&amp;"!I503"")+IMPORTRANGE(""https://docs.google.com/spreadsheets/d/1lFxr3ctmjFN90yc-xV6jrQ9Ty8BKYVBWnAZ15wcNIJc/edit?usp=sharing"",""อำนาจเจริญ!I503"")+IMPORTRANGE(""https://docs.google.com/spreadsheets/d/1gF7RJpRnL-1oyjyeWxs5SFWEH7y8ahOZsQlyp2A2e-A/edit?usp=s"&amp;"haring"",""อุดรธานี!I503"")+IMPORTRANGE(""https://docs.google.com/spreadsheets/d/1kfLP0j3INXRa8bTDpcEmoWewMBV61jlFlfzczfjWIgc/edit?usp=sharing"",""อุบลราชธานี!I503"")"),70)</f>
        <v>70</v>
      </c>
      <c r="J503" s="181">
        <f ca="1">IFERROR(__xludf.DUMMYFUNCTION("IMPORTRANGE(""https://docs.google.com/spreadsheets/d/1yhBcrRPreicbMKl9Bu_Snb2-OcQAF62RKfhTLhJ2eAA/edit?usp=sharing"",""กาฬสินธุ์!J503"")+IMPORTRANGE(""https://docs.google.com/spreadsheets/d/1aHkj4IaQMThhwWwevcOymEh837vdxeC_PycurhTbGFA/edit?usp=sharing"","&amp;"""ขอนแก่น!J503"")+IMPORTRANGE(""https://docs.google.com/spreadsheets/d/1FvTu2DsIWUjP6WCWra38Bkj_oOl_sOMf14r5Fg5srxU/edit?usp=sharing"",""ชัยภูมิ!J503"")+IMPORTRANGE(""https://docs.google.com/spreadsheets/d/1XVB7oCJ3pr-vBUdflwPQ8Z2LlzhnCvZaaYjAfP-647E/edit"&amp;"?usp=sharing"",""นครพนม!J503"")+IMPORTRANGE(""https://docs.google.com/spreadsheets/d/1Mnpb-8PYAgn85W6KOTD40hc_Xc55CaLfHoGAbrZ8tls/edit?usp=sharing"",""นครราชสีมา!J503"")+IMPORTRANGE(""https://docs.google.com/spreadsheets/d/1xoDLGBv9CYbyosIhki0kTq6IpYNj-gp"&amp;"jxfobnaDiut0/edit?usp=sharing"",""บึงกาฬ!J503"")+IMPORTRANGE(""https://docs.google.com/spreadsheets/d/1MMPq-JyI6DSgQETxuSiXkesP-P7JHuemnE6QJIa-Nlw/edit?usp=sharing"",""บุรีรัมย์!J503"")+IMPORTRANGE(""https://docs.google.com/spreadsheets/d/1l6IZ8xUPgMrESzc"&amp;"TYwhA1k_tPjeQjJPTqlm8Gd9eU5g/edit?usp=sharing"",""มหาสารคาม!J503"")+IMPORTRANGE(""https://docs.google.com/spreadsheets/d/1uB74YLqNjWX6FObjekfB2NtSYigTQyR2rq9u4Ub2Sq4/edit?usp=sharing"",""มุกดาหาร!J503"")+IMPORTRANGE(""https://docs.google.com/spreadsheets/"&amp;"d/1NexK3geCPxCTO1fzNF8dPec7yZyUx3OaWkFBC9HsQOo/edit?usp=sharing"",""ยโสธร!J503"")+IMPORTRANGE(""https://docs.google.com/spreadsheets/d/1v_cJrbBlyqmnHPReHk44g9NrMRdENNlSy_E_c5M9fIg/edit?usp=sharing"",""ร้อยเอ็ด!J503"")+IMPORTRANGE(""https://docs.google.com"&amp;"/spreadsheets/d/1Ul4RCpCX66NxYADU1QpwAPjOmBzW64SsT11s1wzXw_c/edit?usp=sharing"",""เลย!J503"")+IMPORTRANGE(""https://docs.google.com/spreadsheets/d/1bRrNKwbHDVktQG10isr5vbWRtt5spIZPpkOSWgbT5ug/edit?usp=sharing"",""ศรีสะเกษ!J503"")+IMPORTRANGE(""https://doc"&amp;"s.google.com/spreadsheets/d/17P34_Ow5kFBfdQD0qspb2UuPX5zpi6WMrQzslghyvrI/edit?usp=sharing"",""สกลนคร!J503"")+IMPORTRANGE(""https://docs.google.com/spreadsheets/d/1yswqbM3-AEpThF3ZSUa1AcmHnmRTF1vlJ1CZGcJ8YuU/edit?usp=sharing"",""สุรินทร์!J503"")+IMPORTRANG"&amp;"E(""https://docs.google.com/spreadsheets/d/13JHU_EFbsQOUQ0JSQ3dWy1VTRosIWcDq6Nc99z2qzdc/edit?usp=sharing"",""หนองคาย!J503"")+IMPORTRANGE(""https://docs.google.com/spreadsheets/d/1Hx73zIEgVdDZZaYSTc46Dqv64atFhpr3GelxLbaIN8A/edit?usp=sharing"",""หนองบัวลำภู"&amp;"!J503"")+IMPORTRANGE(""https://docs.google.com/spreadsheets/d/1lFxr3ctmjFN90yc-xV6jrQ9Ty8BKYVBWnAZ15wcNIJc/edit?usp=sharing"",""อำนาจเจริญ!J503"")+IMPORTRANGE(""https://docs.google.com/spreadsheets/d/1gF7RJpRnL-1oyjyeWxs5SFWEH7y8ahOZsQlyp2A2e-A/edit?usp=s"&amp;"haring"",""อุดรธานี!J503"")+IMPORTRANGE(""https://docs.google.com/spreadsheets/d/1kfLP0j3INXRa8bTDpcEmoWewMBV61jlFlfzczfjWIgc/edit?usp=sharing"",""อุบลราชธานี!J503"")"),0)</f>
        <v>0</v>
      </c>
      <c r="K503" s="159">
        <f t="shared" ref="K503:K509" ca="1" si="360">IF(I503&gt;0,J503*100/I503,0)</f>
        <v>0</v>
      </c>
      <c r="L503" s="55"/>
      <c r="M503" s="55"/>
      <c r="N503" s="55"/>
      <c r="O503" s="55"/>
      <c r="P503" s="55"/>
      <c r="Q503" s="55"/>
      <c r="R503" s="55"/>
      <c r="S503" s="62"/>
      <c r="T503" s="55"/>
      <c r="U503" s="55"/>
    </row>
    <row r="504" spans="1:21" ht="18.75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181">
        <f ca="1">IFERROR(__xludf.DUMMYFUNCTION("IMPORTRANGE(""https://docs.google.com/spreadsheets/d/1yhBcrRPreicbMKl9Bu_Snb2-OcQAF62RKfhTLhJ2eAA/edit?usp=sharing"",""กาฬสินธุ์!I504"")+IMPORTRANGE(""https://docs.google.com/spreadsheets/d/1aHkj4IaQMThhwWwevcOymEh837vdxeC_PycurhTbGFA/edit?usp=sharing"","&amp;"""ขอนแก่น!I504"")+IMPORTRANGE(""https://docs.google.com/spreadsheets/d/1FvTu2DsIWUjP6WCWra38Bkj_oOl_sOMf14r5Fg5srxU/edit?usp=sharing"",""ชัยภูมิ!I504"")+IMPORTRANGE(""https://docs.google.com/spreadsheets/d/1XVB7oCJ3pr-vBUdflwPQ8Z2LlzhnCvZaaYjAfP-647E/edit"&amp;"?usp=sharing"",""นครพนม!I504"")+IMPORTRANGE(""https://docs.google.com/spreadsheets/d/1Mnpb-8PYAgn85W6KOTD40hc_Xc55CaLfHoGAbrZ8tls/edit?usp=sharing"",""นครราชสีมา!I504"")+IMPORTRANGE(""https://docs.google.com/spreadsheets/d/1xoDLGBv9CYbyosIhki0kTq6IpYNj-gp"&amp;"jxfobnaDiut0/edit?usp=sharing"",""บึงกาฬ!I504"")+IMPORTRANGE(""https://docs.google.com/spreadsheets/d/1MMPq-JyI6DSgQETxuSiXkesP-P7JHuemnE6QJIa-Nlw/edit?usp=sharing"",""บุรีรัมย์!I504"")+IMPORTRANGE(""https://docs.google.com/spreadsheets/d/1l6IZ8xUPgMrESzc"&amp;"TYwhA1k_tPjeQjJPTqlm8Gd9eU5g/edit?usp=sharing"",""มหาสารคาม!I504"")+IMPORTRANGE(""https://docs.google.com/spreadsheets/d/1uB74YLqNjWX6FObjekfB2NtSYigTQyR2rq9u4Ub2Sq4/edit?usp=sharing"",""มุกดาหาร!I504"")+IMPORTRANGE(""https://docs.google.com/spreadsheets/"&amp;"d/1NexK3geCPxCTO1fzNF8dPec7yZyUx3OaWkFBC9HsQOo/edit?usp=sharing"",""ยโสธร!I504"")+IMPORTRANGE(""https://docs.google.com/spreadsheets/d/1v_cJrbBlyqmnHPReHk44g9NrMRdENNlSy_E_c5M9fIg/edit?usp=sharing"",""ร้อยเอ็ด!I504"")+IMPORTRANGE(""https://docs.google.com"&amp;"/spreadsheets/d/1Ul4RCpCX66NxYADU1QpwAPjOmBzW64SsT11s1wzXw_c/edit?usp=sharing"",""เลย!I504"")+IMPORTRANGE(""https://docs.google.com/spreadsheets/d/1bRrNKwbHDVktQG10isr5vbWRtt5spIZPpkOSWgbT5ug/edit?usp=sharing"",""ศรีสะเกษ!I504"")+IMPORTRANGE(""https://doc"&amp;"s.google.com/spreadsheets/d/17P34_Ow5kFBfdQD0qspb2UuPX5zpi6WMrQzslghyvrI/edit?usp=sharing"",""สกลนคร!I504"")+IMPORTRANGE(""https://docs.google.com/spreadsheets/d/1yswqbM3-AEpThF3ZSUa1AcmHnmRTF1vlJ1CZGcJ8YuU/edit?usp=sharing"",""สุรินทร์!I504"")+IMPORTRANG"&amp;"E(""https://docs.google.com/spreadsheets/d/13JHU_EFbsQOUQ0JSQ3dWy1VTRosIWcDq6Nc99z2qzdc/edit?usp=sharing"",""หนองคาย!I504"")+IMPORTRANGE(""https://docs.google.com/spreadsheets/d/1Hx73zIEgVdDZZaYSTc46Dqv64atFhpr3GelxLbaIN8A/edit?usp=sharing"",""หนองบัวลำภู"&amp;"!I504"")+IMPORTRANGE(""https://docs.google.com/spreadsheets/d/1lFxr3ctmjFN90yc-xV6jrQ9Ty8BKYVBWnAZ15wcNIJc/edit?usp=sharing"",""อำนาจเจริญ!I504"")+IMPORTRANGE(""https://docs.google.com/spreadsheets/d/1gF7RJpRnL-1oyjyeWxs5SFWEH7y8ahOZsQlyp2A2e-A/edit?usp=s"&amp;"haring"",""อุดรธานี!I504"")+IMPORTRANGE(""https://docs.google.com/spreadsheets/d/1kfLP0j3INXRa8bTDpcEmoWewMBV61jlFlfzczfjWIgc/edit?usp=sharing"",""อุบลราชธานี!I504"")"),0)</f>
        <v>0</v>
      </c>
      <c r="J504" s="195">
        <f ca="1">IFERROR(__xludf.DUMMYFUNCTION("IMPORTRANGE(""https://docs.google.com/spreadsheets/d/1yhBcrRPreicbMKl9Bu_Snb2-OcQAF62RKfhTLhJ2eAA/edit?usp=sharing"",""กาฬสินธุ์!J504"")+IMPORTRANGE(""https://docs.google.com/spreadsheets/d/1aHkj4IaQMThhwWwevcOymEh837vdxeC_PycurhTbGFA/edit?usp=sharing"","&amp;"""ขอนแก่น!J504"")+IMPORTRANGE(""https://docs.google.com/spreadsheets/d/1FvTu2DsIWUjP6WCWra38Bkj_oOl_sOMf14r5Fg5srxU/edit?usp=sharing"",""ชัยภูมิ!J504"")+IMPORTRANGE(""https://docs.google.com/spreadsheets/d/1XVB7oCJ3pr-vBUdflwPQ8Z2LlzhnCvZaaYjAfP-647E/edit"&amp;"?usp=sharing"",""นครพนม!J504"")+IMPORTRANGE(""https://docs.google.com/spreadsheets/d/1Mnpb-8PYAgn85W6KOTD40hc_Xc55CaLfHoGAbrZ8tls/edit?usp=sharing"",""นครราชสีมา!J504"")+IMPORTRANGE(""https://docs.google.com/spreadsheets/d/1xoDLGBv9CYbyosIhki0kTq6IpYNj-gp"&amp;"jxfobnaDiut0/edit?usp=sharing"",""บึงกาฬ!J504"")+IMPORTRANGE(""https://docs.google.com/spreadsheets/d/1MMPq-JyI6DSgQETxuSiXkesP-P7JHuemnE6QJIa-Nlw/edit?usp=sharing"",""บุรีรัมย์!J504"")+IMPORTRANGE(""https://docs.google.com/spreadsheets/d/1l6IZ8xUPgMrESzc"&amp;"TYwhA1k_tPjeQjJPTqlm8Gd9eU5g/edit?usp=sharing"",""มหาสารคาม!J504"")+IMPORTRANGE(""https://docs.google.com/spreadsheets/d/1uB74YLqNjWX6FObjekfB2NtSYigTQyR2rq9u4Ub2Sq4/edit?usp=sharing"",""มุกดาหาร!J504"")+IMPORTRANGE(""https://docs.google.com/spreadsheets/"&amp;"d/1NexK3geCPxCTO1fzNF8dPec7yZyUx3OaWkFBC9HsQOo/edit?usp=sharing"",""ยโสธร!J504"")+IMPORTRANGE(""https://docs.google.com/spreadsheets/d/1v_cJrbBlyqmnHPReHk44g9NrMRdENNlSy_E_c5M9fIg/edit?usp=sharing"",""ร้อยเอ็ด!J504"")+IMPORTRANGE(""https://docs.google.com"&amp;"/spreadsheets/d/1Ul4RCpCX66NxYADU1QpwAPjOmBzW64SsT11s1wzXw_c/edit?usp=sharing"",""เลย!J504"")+IMPORTRANGE(""https://docs.google.com/spreadsheets/d/1bRrNKwbHDVktQG10isr5vbWRtt5spIZPpkOSWgbT5ug/edit?usp=sharing"",""ศรีสะเกษ!J504"")+IMPORTRANGE(""https://doc"&amp;"s.google.com/spreadsheets/d/17P34_Ow5kFBfdQD0qspb2UuPX5zpi6WMrQzslghyvrI/edit?usp=sharing"",""สกลนคร!J504"")+IMPORTRANGE(""https://docs.google.com/spreadsheets/d/1yswqbM3-AEpThF3ZSUa1AcmHnmRTF1vlJ1CZGcJ8YuU/edit?usp=sharing"",""สุรินทร์!J504"")+IMPORTRANG"&amp;"E(""https://docs.google.com/spreadsheets/d/13JHU_EFbsQOUQ0JSQ3dWy1VTRosIWcDq6Nc99z2qzdc/edit?usp=sharing"",""หนองคาย!J504"")+IMPORTRANGE(""https://docs.google.com/spreadsheets/d/1Hx73zIEgVdDZZaYSTc46Dqv64atFhpr3GelxLbaIN8A/edit?usp=sharing"",""หนองบัวลำภู"&amp;"!J504"")+IMPORTRANGE(""https://docs.google.com/spreadsheets/d/1lFxr3ctmjFN90yc-xV6jrQ9Ty8BKYVBWnAZ15wcNIJc/edit?usp=sharing"",""อำนาจเจริญ!J504"")+IMPORTRANGE(""https://docs.google.com/spreadsheets/d/1gF7RJpRnL-1oyjyeWxs5SFWEH7y8ahOZsQlyp2A2e-A/edit?usp=s"&amp;"haring"",""อุดรธานี!J504"")+IMPORTRANGE(""https://docs.google.com/spreadsheets/d/1kfLP0j3INXRa8bTDpcEmoWewMBV61jlFlfzczfjWIgc/edit?usp=sharing"",""อุบลราชธานี!J504"")"),30)</f>
        <v>30</v>
      </c>
      <c r="K504" s="56">
        <f t="shared" ca="1" si="360"/>
        <v>0</v>
      </c>
      <c r="L504" s="55"/>
      <c r="M504" s="55"/>
      <c r="N504" s="55"/>
      <c r="O504" s="55"/>
      <c r="P504" s="55"/>
      <c r="Q504" s="55"/>
      <c r="R504" s="55"/>
      <c r="S504" s="62"/>
      <c r="T504" s="55"/>
      <c r="U504" s="55"/>
    </row>
    <row r="505" spans="1:21" ht="18.75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181">
        <f ca="1">IFERROR(__xludf.DUMMYFUNCTION("IMPORTRANGE(""https://docs.google.com/spreadsheets/d/1yhBcrRPreicbMKl9Bu_Snb2-OcQAF62RKfhTLhJ2eAA/edit?usp=sharing"",""กาฬสินธุ์!I505"")+IMPORTRANGE(""https://docs.google.com/spreadsheets/d/1aHkj4IaQMThhwWwevcOymEh837vdxeC_PycurhTbGFA/edit?usp=sharing"","&amp;"""ขอนแก่น!I505"")+IMPORTRANGE(""https://docs.google.com/spreadsheets/d/1FvTu2DsIWUjP6WCWra38Bkj_oOl_sOMf14r5Fg5srxU/edit?usp=sharing"",""ชัยภูมิ!I505"")+IMPORTRANGE(""https://docs.google.com/spreadsheets/d/1XVB7oCJ3pr-vBUdflwPQ8Z2LlzhnCvZaaYjAfP-647E/edit"&amp;"?usp=sharing"",""นครพนม!I505"")+IMPORTRANGE(""https://docs.google.com/spreadsheets/d/1Mnpb-8PYAgn85W6KOTD40hc_Xc55CaLfHoGAbrZ8tls/edit?usp=sharing"",""นครราชสีมา!I505"")+IMPORTRANGE(""https://docs.google.com/spreadsheets/d/1xoDLGBv9CYbyosIhki0kTq6IpYNj-gp"&amp;"jxfobnaDiut0/edit?usp=sharing"",""บึงกาฬ!I505"")+IMPORTRANGE(""https://docs.google.com/spreadsheets/d/1MMPq-JyI6DSgQETxuSiXkesP-P7JHuemnE6QJIa-Nlw/edit?usp=sharing"",""บุรีรัมย์!I505"")+IMPORTRANGE(""https://docs.google.com/spreadsheets/d/1l6IZ8xUPgMrESzc"&amp;"TYwhA1k_tPjeQjJPTqlm8Gd9eU5g/edit?usp=sharing"",""มหาสารคาม!I505"")+IMPORTRANGE(""https://docs.google.com/spreadsheets/d/1uB74YLqNjWX6FObjekfB2NtSYigTQyR2rq9u4Ub2Sq4/edit?usp=sharing"",""มุกดาหาร!I505"")+IMPORTRANGE(""https://docs.google.com/spreadsheets/"&amp;"d/1NexK3geCPxCTO1fzNF8dPec7yZyUx3OaWkFBC9HsQOo/edit?usp=sharing"",""ยโสธร!I505"")+IMPORTRANGE(""https://docs.google.com/spreadsheets/d/1v_cJrbBlyqmnHPReHk44g9NrMRdENNlSy_E_c5M9fIg/edit?usp=sharing"",""ร้อยเอ็ด!I505"")+IMPORTRANGE(""https://docs.google.com"&amp;"/spreadsheets/d/1Ul4RCpCX66NxYADU1QpwAPjOmBzW64SsT11s1wzXw_c/edit?usp=sharing"",""เลย!I505"")+IMPORTRANGE(""https://docs.google.com/spreadsheets/d/1bRrNKwbHDVktQG10isr5vbWRtt5spIZPpkOSWgbT5ug/edit?usp=sharing"",""ศรีสะเกษ!I505"")+IMPORTRANGE(""https://doc"&amp;"s.google.com/spreadsheets/d/17P34_Ow5kFBfdQD0qspb2UuPX5zpi6WMrQzslghyvrI/edit?usp=sharing"",""สกลนคร!I505"")+IMPORTRANGE(""https://docs.google.com/spreadsheets/d/1yswqbM3-AEpThF3ZSUa1AcmHnmRTF1vlJ1CZGcJ8YuU/edit?usp=sharing"",""สุรินทร์!I505"")+IMPORTRANG"&amp;"E(""https://docs.google.com/spreadsheets/d/13JHU_EFbsQOUQ0JSQ3dWy1VTRosIWcDq6Nc99z2qzdc/edit?usp=sharing"",""หนองคาย!I505"")+IMPORTRANGE(""https://docs.google.com/spreadsheets/d/1Hx73zIEgVdDZZaYSTc46Dqv64atFhpr3GelxLbaIN8A/edit?usp=sharing"",""หนองบัวลำภู"&amp;"!I505"")+IMPORTRANGE(""https://docs.google.com/spreadsheets/d/1lFxr3ctmjFN90yc-xV6jrQ9Ty8BKYVBWnAZ15wcNIJc/edit?usp=sharing"",""อำนาจเจริญ!I505"")+IMPORTRANGE(""https://docs.google.com/spreadsheets/d/1gF7RJpRnL-1oyjyeWxs5SFWEH7y8ahOZsQlyp2A2e-A/edit?usp=s"&amp;"haring"",""อุดรธานี!I505"")+IMPORTRANGE(""https://docs.google.com/spreadsheets/d/1kfLP0j3INXRa8bTDpcEmoWewMBV61jlFlfzczfjWIgc/edit?usp=sharing"",""อุบลราชธานี!I505"")"),0)</f>
        <v>0</v>
      </c>
      <c r="J505" s="195">
        <f ca="1">IFERROR(__xludf.DUMMYFUNCTION("IMPORTRANGE(""https://docs.google.com/spreadsheets/d/1yhBcrRPreicbMKl9Bu_Snb2-OcQAF62RKfhTLhJ2eAA/edit?usp=sharing"",""กาฬสินธุ์!J505"")+IMPORTRANGE(""https://docs.google.com/spreadsheets/d/1aHkj4IaQMThhwWwevcOymEh837vdxeC_PycurhTbGFA/edit?usp=sharing"","&amp;"""ขอนแก่น!J505"")+IMPORTRANGE(""https://docs.google.com/spreadsheets/d/1FvTu2DsIWUjP6WCWra38Bkj_oOl_sOMf14r5Fg5srxU/edit?usp=sharing"",""ชัยภูมิ!J505"")+IMPORTRANGE(""https://docs.google.com/spreadsheets/d/1XVB7oCJ3pr-vBUdflwPQ8Z2LlzhnCvZaaYjAfP-647E/edit"&amp;"?usp=sharing"",""นครพนม!J505"")+IMPORTRANGE(""https://docs.google.com/spreadsheets/d/1Mnpb-8PYAgn85W6KOTD40hc_Xc55CaLfHoGAbrZ8tls/edit?usp=sharing"",""นครราชสีมา!J505"")+IMPORTRANGE(""https://docs.google.com/spreadsheets/d/1xoDLGBv9CYbyosIhki0kTq6IpYNj-gp"&amp;"jxfobnaDiut0/edit?usp=sharing"",""บึงกาฬ!J505"")+IMPORTRANGE(""https://docs.google.com/spreadsheets/d/1MMPq-JyI6DSgQETxuSiXkesP-P7JHuemnE6QJIa-Nlw/edit?usp=sharing"",""บุรีรัมย์!J505"")+IMPORTRANGE(""https://docs.google.com/spreadsheets/d/1l6IZ8xUPgMrESzc"&amp;"TYwhA1k_tPjeQjJPTqlm8Gd9eU5g/edit?usp=sharing"",""มหาสารคาม!J505"")+IMPORTRANGE(""https://docs.google.com/spreadsheets/d/1uB74YLqNjWX6FObjekfB2NtSYigTQyR2rq9u4Ub2Sq4/edit?usp=sharing"",""มุกดาหาร!J505"")+IMPORTRANGE(""https://docs.google.com/spreadsheets/"&amp;"d/1NexK3geCPxCTO1fzNF8dPec7yZyUx3OaWkFBC9HsQOo/edit?usp=sharing"",""ยโสธร!J505"")+IMPORTRANGE(""https://docs.google.com/spreadsheets/d/1v_cJrbBlyqmnHPReHk44g9NrMRdENNlSy_E_c5M9fIg/edit?usp=sharing"",""ร้อยเอ็ด!J505"")+IMPORTRANGE(""https://docs.google.com"&amp;"/spreadsheets/d/1Ul4RCpCX66NxYADU1QpwAPjOmBzW64SsT11s1wzXw_c/edit?usp=sharing"",""เลย!J505"")+IMPORTRANGE(""https://docs.google.com/spreadsheets/d/1bRrNKwbHDVktQG10isr5vbWRtt5spIZPpkOSWgbT5ug/edit?usp=sharing"",""ศรีสะเกษ!J505"")+IMPORTRANGE(""https://doc"&amp;"s.google.com/spreadsheets/d/17P34_Ow5kFBfdQD0qspb2UuPX5zpi6WMrQzslghyvrI/edit?usp=sharing"",""สกลนคร!J505"")+IMPORTRANGE(""https://docs.google.com/spreadsheets/d/1yswqbM3-AEpThF3ZSUa1AcmHnmRTF1vlJ1CZGcJ8YuU/edit?usp=sharing"",""สุรินทร์!J505"")+IMPORTRANG"&amp;"E(""https://docs.google.com/spreadsheets/d/13JHU_EFbsQOUQ0JSQ3dWy1VTRosIWcDq6Nc99z2qzdc/edit?usp=sharing"",""หนองคาย!J505"")+IMPORTRANGE(""https://docs.google.com/spreadsheets/d/1Hx73zIEgVdDZZaYSTc46Dqv64atFhpr3GelxLbaIN8A/edit?usp=sharing"",""หนองบัวลำภู"&amp;"!J505"")+IMPORTRANGE(""https://docs.google.com/spreadsheets/d/1lFxr3ctmjFN90yc-xV6jrQ9Ty8BKYVBWnAZ15wcNIJc/edit?usp=sharing"",""อำนาจเจริญ!J505"")+IMPORTRANGE(""https://docs.google.com/spreadsheets/d/1gF7RJpRnL-1oyjyeWxs5SFWEH7y8ahOZsQlyp2A2e-A/edit?usp=s"&amp;"haring"",""อุดรธานี!J505"")+IMPORTRANGE(""https://docs.google.com/spreadsheets/d/1kfLP0j3INXRa8bTDpcEmoWewMBV61jlFlfzczfjWIgc/edit?usp=sharing"",""อุบลราชธานี!J505"")"),30)</f>
        <v>30</v>
      </c>
      <c r="K505" s="56">
        <f t="shared" ca="1" si="360"/>
        <v>0</v>
      </c>
      <c r="L505" s="55"/>
      <c r="M505" s="55"/>
      <c r="N505" s="55"/>
      <c r="O505" s="55"/>
      <c r="P505" s="55"/>
      <c r="Q505" s="55"/>
      <c r="R505" s="55"/>
      <c r="S505" s="62"/>
      <c r="T505" s="55"/>
      <c r="U505" s="55"/>
    </row>
    <row r="506" spans="1:21" ht="18.75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181">
        <f ca="1">IFERROR(__xludf.DUMMYFUNCTION("IMPORTRANGE(""https://docs.google.com/spreadsheets/d/1yhBcrRPreicbMKl9Bu_Snb2-OcQAF62RKfhTLhJ2eAA/edit?usp=sharing"",""กาฬสินธุ์!I506"")+IMPORTRANGE(""https://docs.google.com/spreadsheets/d/1aHkj4IaQMThhwWwevcOymEh837vdxeC_PycurhTbGFA/edit?usp=sharing"","&amp;"""ขอนแก่น!I506"")+IMPORTRANGE(""https://docs.google.com/spreadsheets/d/1FvTu2DsIWUjP6WCWra38Bkj_oOl_sOMf14r5Fg5srxU/edit?usp=sharing"",""ชัยภูมิ!I506"")+IMPORTRANGE(""https://docs.google.com/spreadsheets/d/1XVB7oCJ3pr-vBUdflwPQ8Z2LlzhnCvZaaYjAfP-647E/edit"&amp;"?usp=sharing"",""นครพนม!I506"")+IMPORTRANGE(""https://docs.google.com/spreadsheets/d/1Mnpb-8PYAgn85W6KOTD40hc_Xc55CaLfHoGAbrZ8tls/edit?usp=sharing"",""นครราชสีมา!I506"")+IMPORTRANGE(""https://docs.google.com/spreadsheets/d/1xoDLGBv9CYbyosIhki0kTq6IpYNj-gp"&amp;"jxfobnaDiut0/edit?usp=sharing"",""บึงกาฬ!I506"")+IMPORTRANGE(""https://docs.google.com/spreadsheets/d/1MMPq-JyI6DSgQETxuSiXkesP-P7JHuemnE6QJIa-Nlw/edit?usp=sharing"",""บุรีรัมย์!I506"")+IMPORTRANGE(""https://docs.google.com/spreadsheets/d/1l6IZ8xUPgMrESzc"&amp;"TYwhA1k_tPjeQjJPTqlm8Gd9eU5g/edit?usp=sharing"",""มหาสารคาม!I506"")+IMPORTRANGE(""https://docs.google.com/spreadsheets/d/1uB74YLqNjWX6FObjekfB2NtSYigTQyR2rq9u4Ub2Sq4/edit?usp=sharing"",""มุกดาหาร!I506"")+IMPORTRANGE(""https://docs.google.com/spreadsheets/"&amp;"d/1NexK3geCPxCTO1fzNF8dPec7yZyUx3OaWkFBC9HsQOo/edit?usp=sharing"",""ยโสธร!I506"")+IMPORTRANGE(""https://docs.google.com/spreadsheets/d/1v_cJrbBlyqmnHPReHk44g9NrMRdENNlSy_E_c5M9fIg/edit?usp=sharing"",""ร้อยเอ็ด!I506"")+IMPORTRANGE(""https://docs.google.com"&amp;"/spreadsheets/d/1Ul4RCpCX66NxYADU1QpwAPjOmBzW64SsT11s1wzXw_c/edit?usp=sharing"",""เลย!I506"")+IMPORTRANGE(""https://docs.google.com/spreadsheets/d/1bRrNKwbHDVktQG10isr5vbWRtt5spIZPpkOSWgbT5ug/edit?usp=sharing"",""ศรีสะเกษ!I506"")+IMPORTRANGE(""https://doc"&amp;"s.google.com/spreadsheets/d/17P34_Ow5kFBfdQD0qspb2UuPX5zpi6WMrQzslghyvrI/edit?usp=sharing"",""สกลนคร!I506"")+IMPORTRANGE(""https://docs.google.com/spreadsheets/d/1yswqbM3-AEpThF3ZSUa1AcmHnmRTF1vlJ1CZGcJ8YuU/edit?usp=sharing"",""สุรินทร์!I506"")+IMPORTRANG"&amp;"E(""https://docs.google.com/spreadsheets/d/13JHU_EFbsQOUQ0JSQ3dWy1VTRosIWcDq6Nc99z2qzdc/edit?usp=sharing"",""หนองคาย!I506"")+IMPORTRANGE(""https://docs.google.com/spreadsheets/d/1Hx73zIEgVdDZZaYSTc46Dqv64atFhpr3GelxLbaIN8A/edit?usp=sharing"",""หนองบัวลำภู"&amp;"!I506"")+IMPORTRANGE(""https://docs.google.com/spreadsheets/d/1lFxr3ctmjFN90yc-xV6jrQ9Ty8BKYVBWnAZ15wcNIJc/edit?usp=sharing"",""อำนาจเจริญ!I506"")+IMPORTRANGE(""https://docs.google.com/spreadsheets/d/1gF7RJpRnL-1oyjyeWxs5SFWEH7y8ahOZsQlyp2A2e-A/edit?usp=s"&amp;"haring"",""อุดรธานี!I506"")+IMPORTRANGE(""https://docs.google.com/spreadsheets/d/1kfLP0j3INXRa8bTDpcEmoWewMBV61jlFlfzczfjWIgc/edit?usp=sharing"",""อุบลราชธานี!I506"")"),0)</f>
        <v>0</v>
      </c>
      <c r="J506" s="195">
        <f ca="1">IFERROR(__xludf.DUMMYFUNCTION("IMPORTRANGE(""https://docs.google.com/spreadsheets/d/1yhBcrRPreicbMKl9Bu_Snb2-OcQAF62RKfhTLhJ2eAA/edit?usp=sharing"",""กาฬสินธุ์!J506"")+IMPORTRANGE(""https://docs.google.com/spreadsheets/d/1aHkj4IaQMThhwWwevcOymEh837vdxeC_PycurhTbGFA/edit?usp=sharing"","&amp;"""ขอนแก่น!J506"")+IMPORTRANGE(""https://docs.google.com/spreadsheets/d/1FvTu2DsIWUjP6WCWra38Bkj_oOl_sOMf14r5Fg5srxU/edit?usp=sharing"",""ชัยภูมิ!J506"")+IMPORTRANGE(""https://docs.google.com/spreadsheets/d/1XVB7oCJ3pr-vBUdflwPQ8Z2LlzhnCvZaaYjAfP-647E/edit"&amp;"?usp=sharing"",""นครพนม!J506"")+IMPORTRANGE(""https://docs.google.com/spreadsheets/d/1Mnpb-8PYAgn85W6KOTD40hc_Xc55CaLfHoGAbrZ8tls/edit?usp=sharing"",""นครราชสีมา!J506"")+IMPORTRANGE(""https://docs.google.com/spreadsheets/d/1xoDLGBv9CYbyosIhki0kTq6IpYNj-gp"&amp;"jxfobnaDiut0/edit?usp=sharing"",""บึงกาฬ!J506"")+IMPORTRANGE(""https://docs.google.com/spreadsheets/d/1MMPq-JyI6DSgQETxuSiXkesP-P7JHuemnE6QJIa-Nlw/edit?usp=sharing"",""บุรีรัมย์!J506"")+IMPORTRANGE(""https://docs.google.com/spreadsheets/d/1l6IZ8xUPgMrESzc"&amp;"TYwhA1k_tPjeQjJPTqlm8Gd9eU5g/edit?usp=sharing"",""มหาสารคาม!J506"")+IMPORTRANGE(""https://docs.google.com/spreadsheets/d/1uB74YLqNjWX6FObjekfB2NtSYigTQyR2rq9u4Ub2Sq4/edit?usp=sharing"",""มุกดาหาร!J506"")+IMPORTRANGE(""https://docs.google.com/spreadsheets/"&amp;"d/1NexK3geCPxCTO1fzNF8dPec7yZyUx3OaWkFBC9HsQOo/edit?usp=sharing"",""ยโสธร!J506"")+IMPORTRANGE(""https://docs.google.com/spreadsheets/d/1v_cJrbBlyqmnHPReHk44g9NrMRdENNlSy_E_c5M9fIg/edit?usp=sharing"",""ร้อยเอ็ด!J506"")+IMPORTRANGE(""https://docs.google.com"&amp;"/spreadsheets/d/1Ul4RCpCX66NxYADU1QpwAPjOmBzW64SsT11s1wzXw_c/edit?usp=sharing"",""เลย!J506"")+IMPORTRANGE(""https://docs.google.com/spreadsheets/d/1bRrNKwbHDVktQG10isr5vbWRtt5spIZPpkOSWgbT5ug/edit?usp=sharing"",""ศรีสะเกษ!J506"")+IMPORTRANGE(""https://doc"&amp;"s.google.com/spreadsheets/d/17P34_Ow5kFBfdQD0qspb2UuPX5zpi6WMrQzslghyvrI/edit?usp=sharing"",""สกลนคร!J506"")+IMPORTRANGE(""https://docs.google.com/spreadsheets/d/1yswqbM3-AEpThF3ZSUa1AcmHnmRTF1vlJ1CZGcJ8YuU/edit?usp=sharing"",""สุรินทร์!J506"")+IMPORTRANG"&amp;"E(""https://docs.google.com/spreadsheets/d/13JHU_EFbsQOUQ0JSQ3dWy1VTRosIWcDq6Nc99z2qzdc/edit?usp=sharing"",""หนองคาย!J506"")+IMPORTRANGE(""https://docs.google.com/spreadsheets/d/1Hx73zIEgVdDZZaYSTc46Dqv64atFhpr3GelxLbaIN8A/edit?usp=sharing"",""หนองบัวลำภู"&amp;"!J506"")+IMPORTRANGE(""https://docs.google.com/spreadsheets/d/1lFxr3ctmjFN90yc-xV6jrQ9Ty8BKYVBWnAZ15wcNIJc/edit?usp=sharing"",""อำนาจเจริญ!J506"")+IMPORTRANGE(""https://docs.google.com/spreadsheets/d/1gF7RJpRnL-1oyjyeWxs5SFWEH7y8ahOZsQlyp2A2e-A/edit?usp=s"&amp;"haring"",""อุดรธานี!J506"")+IMPORTRANGE(""https://docs.google.com/spreadsheets/d/1kfLP0j3INXRa8bTDpcEmoWewMBV61jlFlfzczfjWIgc/edit?usp=sharing"",""อุบลราชธานี!J506"")"),0)</f>
        <v>0</v>
      </c>
      <c r="K506" s="56">
        <f t="shared" ca="1" si="360"/>
        <v>0</v>
      </c>
      <c r="L506" s="55"/>
      <c r="M506" s="55"/>
      <c r="N506" s="55"/>
      <c r="O506" s="55"/>
      <c r="P506" s="55"/>
      <c r="Q506" s="55"/>
      <c r="R506" s="55"/>
      <c r="S506" s="62"/>
      <c r="T506" s="55"/>
      <c r="U506" s="55"/>
    </row>
    <row r="507" spans="1:21" ht="18.75">
      <c r="A507" s="238"/>
      <c r="B507" s="188"/>
      <c r="C507" s="188"/>
      <c r="D507" s="188"/>
      <c r="E507" s="377" t="s">
        <v>204</v>
      </c>
      <c r="F507" s="50"/>
      <c r="G507" s="52"/>
      <c r="H507" s="161" t="s">
        <v>35</v>
      </c>
      <c r="I507" s="181">
        <f ca="1">IFERROR(__xludf.DUMMYFUNCTION("IMPORTRANGE(""https://docs.google.com/spreadsheets/d/1yhBcrRPreicbMKl9Bu_Snb2-OcQAF62RKfhTLhJ2eAA/edit?usp=sharing"",""กาฬสินธุ์!I507"")+IMPORTRANGE(""https://docs.google.com/spreadsheets/d/1aHkj4IaQMThhwWwevcOymEh837vdxeC_PycurhTbGFA/edit?usp=sharing"","&amp;"""ขอนแก่น!I507"")+IMPORTRANGE(""https://docs.google.com/spreadsheets/d/1FvTu2DsIWUjP6WCWra38Bkj_oOl_sOMf14r5Fg5srxU/edit?usp=sharing"",""ชัยภูมิ!I507"")+IMPORTRANGE(""https://docs.google.com/spreadsheets/d/1XVB7oCJ3pr-vBUdflwPQ8Z2LlzhnCvZaaYjAfP-647E/edit"&amp;"?usp=sharing"",""นครพนม!I507"")+IMPORTRANGE(""https://docs.google.com/spreadsheets/d/1Mnpb-8PYAgn85W6KOTD40hc_Xc55CaLfHoGAbrZ8tls/edit?usp=sharing"",""นครราชสีมา!I507"")+IMPORTRANGE(""https://docs.google.com/spreadsheets/d/1xoDLGBv9CYbyosIhki0kTq6IpYNj-gp"&amp;"jxfobnaDiut0/edit?usp=sharing"",""บึงกาฬ!I507"")+IMPORTRANGE(""https://docs.google.com/spreadsheets/d/1MMPq-JyI6DSgQETxuSiXkesP-P7JHuemnE6QJIa-Nlw/edit?usp=sharing"",""บุรีรัมย์!I507"")+IMPORTRANGE(""https://docs.google.com/spreadsheets/d/1l6IZ8xUPgMrESzc"&amp;"TYwhA1k_tPjeQjJPTqlm8Gd9eU5g/edit?usp=sharing"",""มหาสารคาม!I507"")+IMPORTRANGE(""https://docs.google.com/spreadsheets/d/1uB74YLqNjWX6FObjekfB2NtSYigTQyR2rq9u4Ub2Sq4/edit?usp=sharing"",""มุกดาหาร!I507"")+IMPORTRANGE(""https://docs.google.com/spreadsheets/"&amp;"d/1NexK3geCPxCTO1fzNF8dPec7yZyUx3OaWkFBC9HsQOo/edit?usp=sharing"",""ยโสธร!I507"")+IMPORTRANGE(""https://docs.google.com/spreadsheets/d/1v_cJrbBlyqmnHPReHk44g9NrMRdENNlSy_E_c5M9fIg/edit?usp=sharing"",""ร้อยเอ็ด!I507"")+IMPORTRANGE(""https://docs.google.com"&amp;"/spreadsheets/d/1Ul4RCpCX66NxYADU1QpwAPjOmBzW64SsT11s1wzXw_c/edit?usp=sharing"",""เลย!I507"")+IMPORTRANGE(""https://docs.google.com/spreadsheets/d/1bRrNKwbHDVktQG10isr5vbWRtt5spIZPpkOSWgbT5ug/edit?usp=sharing"",""ศรีสะเกษ!I507"")+IMPORTRANGE(""https://doc"&amp;"s.google.com/spreadsheets/d/17P34_Ow5kFBfdQD0qspb2UuPX5zpi6WMrQzslghyvrI/edit?usp=sharing"",""สกลนคร!I507"")+IMPORTRANGE(""https://docs.google.com/spreadsheets/d/1yswqbM3-AEpThF3ZSUa1AcmHnmRTF1vlJ1CZGcJ8YuU/edit?usp=sharing"",""สุรินทร์!I507"")+IMPORTRANG"&amp;"E(""https://docs.google.com/spreadsheets/d/13JHU_EFbsQOUQ0JSQ3dWy1VTRosIWcDq6Nc99z2qzdc/edit?usp=sharing"",""หนองคาย!I507"")+IMPORTRANGE(""https://docs.google.com/spreadsheets/d/1Hx73zIEgVdDZZaYSTc46Dqv64atFhpr3GelxLbaIN8A/edit?usp=sharing"",""หนองบัวลำภู"&amp;"!I507"")+IMPORTRANGE(""https://docs.google.com/spreadsheets/d/1lFxr3ctmjFN90yc-xV6jrQ9Ty8BKYVBWnAZ15wcNIJc/edit?usp=sharing"",""อำนาจเจริญ!I507"")+IMPORTRANGE(""https://docs.google.com/spreadsheets/d/1gF7RJpRnL-1oyjyeWxs5SFWEH7y8ahOZsQlyp2A2e-A/edit?usp=s"&amp;"haring"",""อุดรธานี!I507"")+IMPORTRANGE(""https://docs.google.com/spreadsheets/d/1kfLP0j3INXRa8bTDpcEmoWewMBV61jlFlfzczfjWIgc/edit?usp=sharing"",""อุบลราชธานี!I507"")"),0)</f>
        <v>0</v>
      </c>
      <c r="J507" s="195">
        <f ca="1">IFERROR(__xludf.DUMMYFUNCTION("IMPORTRANGE(""https://docs.google.com/spreadsheets/d/1yhBcrRPreicbMKl9Bu_Snb2-OcQAF62RKfhTLhJ2eAA/edit?usp=sharing"",""กาฬสินธุ์!J507"")+IMPORTRANGE(""https://docs.google.com/spreadsheets/d/1aHkj4IaQMThhwWwevcOymEh837vdxeC_PycurhTbGFA/edit?usp=sharing"","&amp;"""ขอนแก่น!J507"")+IMPORTRANGE(""https://docs.google.com/spreadsheets/d/1FvTu2DsIWUjP6WCWra38Bkj_oOl_sOMf14r5Fg5srxU/edit?usp=sharing"",""ชัยภูมิ!J507"")+IMPORTRANGE(""https://docs.google.com/spreadsheets/d/1XVB7oCJ3pr-vBUdflwPQ8Z2LlzhnCvZaaYjAfP-647E/edit"&amp;"?usp=sharing"",""นครพนม!J507"")+IMPORTRANGE(""https://docs.google.com/spreadsheets/d/1Mnpb-8PYAgn85W6KOTD40hc_Xc55CaLfHoGAbrZ8tls/edit?usp=sharing"",""นครราชสีมา!J507"")+IMPORTRANGE(""https://docs.google.com/spreadsheets/d/1xoDLGBv9CYbyosIhki0kTq6IpYNj-gp"&amp;"jxfobnaDiut0/edit?usp=sharing"",""บึงกาฬ!J507"")+IMPORTRANGE(""https://docs.google.com/spreadsheets/d/1MMPq-JyI6DSgQETxuSiXkesP-P7JHuemnE6QJIa-Nlw/edit?usp=sharing"",""บุรีรัมย์!J507"")+IMPORTRANGE(""https://docs.google.com/spreadsheets/d/1l6IZ8xUPgMrESzc"&amp;"TYwhA1k_tPjeQjJPTqlm8Gd9eU5g/edit?usp=sharing"",""มหาสารคาม!J507"")+IMPORTRANGE(""https://docs.google.com/spreadsheets/d/1uB74YLqNjWX6FObjekfB2NtSYigTQyR2rq9u4Ub2Sq4/edit?usp=sharing"",""มุกดาหาร!J507"")+IMPORTRANGE(""https://docs.google.com/spreadsheets/"&amp;"d/1NexK3geCPxCTO1fzNF8dPec7yZyUx3OaWkFBC9HsQOo/edit?usp=sharing"",""ยโสธร!J507"")+IMPORTRANGE(""https://docs.google.com/spreadsheets/d/1v_cJrbBlyqmnHPReHk44g9NrMRdENNlSy_E_c5M9fIg/edit?usp=sharing"",""ร้อยเอ็ด!J507"")+IMPORTRANGE(""https://docs.google.com"&amp;"/spreadsheets/d/1Ul4RCpCX66NxYADU1QpwAPjOmBzW64SsT11s1wzXw_c/edit?usp=sharing"",""เลย!J507"")+IMPORTRANGE(""https://docs.google.com/spreadsheets/d/1bRrNKwbHDVktQG10isr5vbWRtt5spIZPpkOSWgbT5ug/edit?usp=sharing"",""ศรีสะเกษ!J507"")+IMPORTRANGE(""https://doc"&amp;"s.google.com/spreadsheets/d/17P34_Ow5kFBfdQD0qspb2UuPX5zpi6WMrQzslghyvrI/edit?usp=sharing"",""สกลนคร!J507"")+IMPORTRANGE(""https://docs.google.com/spreadsheets/d/1yswqbM3-AEpThF3ZSUa1AcmHnmRTF1vlJ1CZGcJ8YuU/edit?usp=sharing"",""สุรินทร์!J507"")+IMPORTRANG"&amp;"E(""https://docs.google.com/spreadsheets/d/13JHU_EFbsQOUQ0JSQ3dWy1VTRosIWcDq6Nc99z2qzdc/edit?usp=sharing"",""หนองคาย!J507"")+IMPORTRANGE(""https://docs.google.com/spreadsheets/d/1Hx73zIEgVdDZZaYSTc46Dqv64atFhpr3GelxLbaIN8A/edit?usp=sharing"",""หนองบัวลำภู"&amp;"!J507"")+IMPORTRANGE(""https://docs.google.com/spreadsheets/d/1lFxr3ctmjFN90yc-xV6jrQ9Ty8BKYVBWnAZ15wcNIJc/edit?usp=sharing"",""อำนาจเจริญ!J507"")+IMPORTRANGE(""https://docs.google.com/spreadsheets/d/1gF7RJpRnL-1oyjyeWxs5SFWEH7y8ahOZsQlyp2A2e-A/edit?usp=s"&amp;"haring"",""อุดรธานี!J507"")+IMPORTRANGE(""https://docs.google.com/spreadsheets/d/1kfLP0j3INXRa8bTDpcEmoWewMBV61jlFlfzczfjWIgc/edit?usp=sharing"",""อุบลราชธานี!J507"")"),0)</f>
        <v>0</v>
      </c>
      <c r="K507" s="56">
        <f t="shared" ca="1" si="360"/>
        <v>0</v>
      </c>
      <c r="L507" s="55"/>
      <c r="M507" s="55"/>
      <c r="N507" s="55"/>
      <c r="O507" s="55"/>
      <c r="P507" s="55"/>
      <c r="Q507" s="55"/>
      <c r="R507" s="55"/>
      <c r="S507" s="62"/>
      <c r="T507" s="55"/>
      <c r="U507" s="55"/>
    </row>
    <row r="508" spans="1:21" ht="18.75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56">
        <f t="shared" si="360"/>
        <v>0</v>
      </c>
      <c r="L508" s="55"/>
      <c r="M508" s="55"/>
      <c r="N508" s="55"/>
      <c r="O508" s="55"/>
      <c r="P508" s="55"/>
      <c r="Q508" s="55"/>
      <c r="R508" s="55"/>
      <c r="S508" s="62"/>
      <c r="T508" s="55"/>
      <c r="U508" s="55"/>
    </row>
    <row r="509" spans="1:21" ht="19.5">
      <c r="A509" s="374"/>
      <c r="B509" s="5"/>
      <c r="C509" s="5"/>
      <c r="D509" s="378" t="s">
        <v>50</v>
      </c>
      <c r="E509" s="4"/>
      <c r="F509" s="4"/>
      <c r="G509" s="65"/>
      <c r="H509" s="376" t="s">
        <v>35</v>
      </c>
      <c r="I509" s="215">
        <f ca="1">IFERROR(__xludf.DUMMYFUNCTION("IMPORTRANGE(""https://docs.google.com/spreadsheets/d/1yhBcrRPreicbMKl9Bu_Snb2-OcQAF62RKfhTLhJ2eAA/edit?usp=sharing"",""กาฬสินธุ์!I509"")+IMPORTRANGE(""https://docs.google.com/spreadsheets/d/1aHkj4IaQMThhwWwevcOymEh837vdxeC_PycurhTbGFA/edit?usp=sharing"","&amp;"""ขอนแก่น!I509"")+IMPORTRANGE(""https://docs.google.com/spreadsheets/d/1FvTu2DsIWUjP6WCWra38Bkj_oOl_sOMf14r5Fg5srxU/edit?usp=sharing"",""ชัยภูมิ!I509"")+IMPORTRANGE(""https://docs.google.com/spreadsheets/d/1XVB7oCJ3pr-vBUdflwPQ8Z2LlzhnCvZaaYjAfP-647E/edit"&amp;"?usp=sharing"",""นครพนม!I509"")+IMPORTRANGE(""https://docs.google.com/spreadsheets/d/1Mnpb-8PYAgn85W6KOTD40hc_Xc55CaLfHoGAbrZ8tls/edit?usp=sharing"",""นครราชสีมา!I509"")+IMPORTRANGE(""https://docs.google.com/spreadsheets/d/1xoDLGBv9CYbyosIhki0kTq6IpYNj-gp"&amp;"jxfobnaDiut0/edit?usp=sharing"",""บึงกาฬ!I509"")+IMPORTRANGE(""https://docs.google.com/spreadsheets/d/1MMPq-JyI6DSgQETxuSiXkesP-P7JHuemnE6QJIa-Nlw/edit?usp=sharing"",""บุรีรัมย์!I509"")+IMPORTRANGE(""https://docs.google.com/spreadsheets/d/1l6IZ8xUPgMrESzc"&amp;"TYwhA1k_tPjeQjJPTqlm8Gd9eU5g/edit?usp=sharing"",""มหาสารคาม!I509"")+IMPORTRANGE(""https://docs.google.com/spreadsheets/d/1uB74YLqNjWX6FObjekfB2NtSYigTQyR2rq9u4Ub2Sq4/edit?usp=sharing"",""มุกดาหาร!I509"")+IMPORTRANGE(""https://docs.google.com/spreadsheets/"&amp;"d/1NexK3geCPxCTO1fzNF8dPec7yZyUx3OaWkFBC9HsQOo/edit?usp=sharing"",""ยโสธร!I509"")+IMPORTRANGE(""https://docs.google.com/spreadsheets/d/1v_cJrbBlyqmnHPReHk44g9NrMRdENNlSy_E_c5M9fIg/edit?usp=sharing"",""ร้อยเอ็ด!I509"")+IMPORTRANGE(""https://docs.google.com"&amp;"/spreadsheets/d/1Ul4RCpCX66NxYADU1QpwAPjOmBzW64SsT11s1wzXw_c/edit?usp=sharing"",""เลย!I509"")+IMPORTRANGE(""https://docs.google.com/spreadsheets/d/1bRrNKwbHDVktQG10isr5vbWRtt5spIZPpkOSWgbT5ug/edit?usp=sharing"",""ศรีสะเกษ!I509"")+IMPORTRANGE(""https://doc"&amp;"s.google.com/spreadsheets/d/17P34_Ow5kFBfdQD0qspb2UuPX5zpi6WMrQzslghyvrI/edit?usp=sharing"",""สกลนคร!I509"")+IMPORTRANGE(""https://docs.google.com/spreadsheets/d/1yswqbM3-AEpThF3ZSUa1AcmHnmRTF1vlJ1CZGcJ8YuU/edit?usp=sharing"",""สุรินทร์!I509"")+IMPORTRANG"&amp;"E(""https://docs.google.com/spreadsheets/d/13JHU_EFbsQOUQ0JSQ3dWy1VTRosIWcDq6Nc99z2qzdc/edit?usp=sharing"",""หนองคาย!I509"")+IMPORTRANGE(""https://docs.google.com/spreadsheets/d/1Hx73zIEgVdDZZaYSTc46Dqv64atFhpr3GelxLbaIN8A/edit?usp=sharing"",""หนองบัวลำภู"&amp;"!I509"")+IMPORTRANGE(""https://docs.google.com/spreadsheets/d/1lFxr3ctmjFN90yc-xV6jrQ9Ty8BKYVBWnAZ15wcNIJc/edit?usp=sharing"",""อำนาจเจริญ!I509"")+IMPORTRANGE(""https://docs.google.com/spreadsheets/d/1gF7RJpRnL-1oyjyeWxs5SFWEH7y8ahOZsQlyp2A2e-A/edit?usp=s"&amp;"haring"",""อุดรธานี!I509"")+IMPORTRANGE(""https://docs.google.com/spreadsheets/d/1kfLP0j3INXRa8bTDpcEmoWewMBV61jlFlfzczfjWIgc/edit?usp=sharing"",""อุบลราชธานี!I509"")"),0)</f>
        <v>0</v>
      </c>
      <c r="J509" s="379">
        <f ca="1">IFERROR(__xludf.DUMMYFUNCTION("IMPORTRANGE(""https://docs.google.com/spreadsheets/d/1yhBcrRPreicbMKl9Bu_Snb2-OcQAF62RKfhTLhJ2eAA/edit?usp=sharing"",""กาฬสินธุ์!J509"")+IMPORTRANGE(""https://docs.google.com/spreadsheets/d/1aHkj4IaQMThhwWwevcOymEh837vdxeC_PycurhTbGFA/edit?usp=sharing"","&amp;"""ขอนแก่น!J509"")+IMPORTRANGE(""https://docs.google.com/spreadsheets/d/1FvTu2DsIWUjP6WCWra38Bkj_oOl_sOMf14r5Fg5srxU/edit?usp=sharing"",""ชัยภูมิ!J509"")+IMPORTRANGE(""https://docs.google.com/spreadsheets/d/1XVB7oCJ3pr-vBUdflwPQ8Z2LlzhnCvZaaYjAfP-647E/edit"&amp;"?usp=sharing"",""นครพนม!J509"")+IMPORTRANGE(""https://docs.google.com/spreadsheets/d/1Mnpb-8PYAgn85W6KOTD40hc_Xc55CaLfHoGAbrZ8tls/edit?usp=sharing"",""นครราชสีมา!J509"")+IMPORTRANGE(""https://docs.google.com/spreadsheets/d/1xoDLGBv9CYbyosIhki0kTq6IpYNj-gp"&amp;"jxfobnaDiut0/edit?usp=sharing"",""บึงกาฬ!J509"")+IMPORTRANGE(""https://docs.google.com/spreadsheets/d/1MMPq-JyI6DSgQETxuSiXkesP-P7JHuemnE6QJIa-Nlw/edit?usp=sharing"",""บุรีรัมย์!J509"")+IMPORTRANGE(""https://docs.google.com/spreadsheets/d/1l6IZ8xUPgMrESzc"&amp;"TYwhA1k_tPjeQjJPTqlm8Gd9eU5g/edit?usp=sharing"",""มหาสารคาม!J509"")+IMPORTRANGE(""https://docs.google.com/spreadsheets/d/1uB74YLqNjWX6FObjekfB2NtSYigTQyR2rq9u4Ub2Sq4/edit?usp=sharing"",""มุกดาหาร!J509"")+IMPORTRANGE(""https://docs.google.com/spreadsheets/"&amp;"d/1NexK3geCPxCTO1fzNF8dPec7yZyUx3OaWkFBC9HsQOo/edit?usp=sharing"",""ยโสธร!J509"")+IMPORTRANGE(""https://docs.google.com/spreadsheets/d/1v_cJrbBlyqmnHPReHk44g9NrMRdENNlSy_E_c5M9fIg/edit?usp=sharing"",""ร้อยเอ็ด!J509"")+IMPORTRANGE(""https://docs.google.com"&amp;"/spreadsheets/d/1Ul4RCpCX66NxYADU1QpwAPjOmBzW64SsT11s1wzXw_c/edit?usp=sharing"",""เลย!J509"")+IMPORTRANGE(""https://docs.google.com/spreadsheets/d/1bRrNKwbHDVktQG10isr5vbWRtt5spIZPpkOSWgbT5ug/edit?usp=sharing"",""ศรีสะเกษ!J509"")+IMPORTRANGE(""https://doc"&amp;"s.google.com/spreadsheets/d/17P34_Ow5kFBfdQD0qspb2UuPX5zpi6WMrQzslghyvrI/edit?usp=sharing"",""สกลนคร!J509"")+IMPORTRANGE(""https://docs.google.com/spreadsheets/d/1yswqbM3-AEpThF3ZSUa1AcmHnmRTF1vlJ1CZGcJ8YuU/edit?usp=sharing"",""สุรินทร์!J509"")+IMPORTRANG"&amp;"E(""https://docs.google.com/spreadsheets/d/13JHU_EFbsQOUQ0JSQ3dWy1VTRosIWcDq6Nc99z2qzdc/edit?usp=sharing"",""หนองคาย!J509"")+IMPORTRANGE(""https://docs.google.com/spreadsheets/d/1Hx73zIEgVdDZZaYSTc46Dqv64atFhpr3GelxLbaIN8A/edit?usp=sharing"",""หนองบัวลำภู"&amp;"!J509"")+IMPORTRANGE(""https://docs.google.com/spreadsheets/d/1lFxr3ctmjFN90yc-xV6jrQ9Ty8BKYVBWnAZ15wcNIJc/edit?usp=sharing"",""อำนาจเจริญ!J509"")+IMPORTRANGE(""https://docs.google.com/spreadsheets/d/1gF7RJpRnL-1oyjyeWxs5SFWEH7y8ahOZsQlyp2A2e-A/edit?usp=s"&amp;"haring"",""อุดรธานี!J509"")+IMPORTRANGE(""https://docs.google.com/spreadsheets/d/1kfLP0j3INXRa8bTDpcEmoWewMBV61jlFlfzczfjWIgc/edit?usp=sharing"",""อุบลราชธานี!J509"")"),0)</f>
        <v>0</v>
      </c>
      <c r="K509" s="135">
        <f t="shared" ca="1" si="360"/>
        <v>0</v>
      </c>
      <c r="L509" s="6"/>
      <c r="M509" s="6"/>
      <c r="N509" s="6"/>
      <c r="O509" s="6"/>
      <c r="P509" s="6"/>
      <c r="Q509" s="6"/>
      <c r="R509" s="6"/>
      <c r="S509" s="68"/>
      <c r="T509" s="6"/>
      <c r="U509" s="6"/>
    </row>
    <row r="510" spans="1:21" ht="19.5">
      <c r="A510" s="380" t="s">
        <v>206</v>
      </c>
      <c r="B510" s="381"/>
      <c r="C510" s="381"/>
      <c r="D510" s="381"/>
      <c r="E510" s="382"/>
      <c r="F510" s="382"/>
      <c r="G510" s="382"/>
      <c r="H510" s="382"/>
      <c r="I510" s="383"/>
      <c r="J510" s="383"/>
      <c r="K510" s="384"/>
      <c r="L510" s="384"/>
      <c r="M510" s="384"/>
      <c r="N510" s="384"/>
      <c r="O510" s="384"/>
      <c r="P510" s="385"/>
      <c r="Q510" s="384"/>
      <c r="R510" s="384"/>
      <c r="S510" s="384"/>
      <c r="T510" s="386"/>
      <c r="U510" s="386"/>
    </row>
    <row r="511" spans="1:21" ht="19.5">
      <c r="A511" s="387" t="s">
        <v>207</v>
      </c>
      <c r="B511" s="388"/>
      <c r="C511" s="388"/>
      <c r="D511" s="389"/>
      <c r="E511" s="388"/>
      <c r="F511" s="388"/>
      <c r="G511" s="388"/>
      <c r="H511" s="390"/>
      <c r="I511" s="391"/>
      <c r="J511" s="391"/>
      <c r="K511" s="392"/>
      <c r="L511" s="392"/>
      <c r="M511" s="392"/>
      <c r="N511" s="392"/>
      <c r="O511" s="392"/>
      <c r="P511" s="392"/>
      <c r="Q511" s="392"/>
      <c r="R511" s="392"/>
      <c r="S511" s="393"/>
      <c r="T511" s="394"/>
      <c r="U511" s="394"/>
    </row>
    <row r="512" spans="1:21" ht="19.5">
      <c r="A512" s="395"/>
      <c r="B512" s="396" t="s">
        <v>208</v>
      </c>
      <c r="C512" s="397"/>
      <c r="D512" s="398"/>
      <c r="E512" s="398"/>
      <c r="F512" s="398"/>
      <c r="G512" s="399"/>
      <c r="H512" s="400" t="s">
        <v>61</v>
      </c>
      <c r="I512" s="401">
        <f t="shared" ref="I512:J512" si="361">I524</f>
        <v>0</v>
      </c>
      <c r="J512" s="401">
        <f t="shared" si="361"/>
        <v>0</v>
      </c>
      <c r="K512" s="402">
        <f>IF(I512&gt;0,J512*100/I512,0)</f>
        <v>0</v>
      </c>
      <c r="L512" s="403"/>
      <c r="M512" s="403"/>
      <c r="N512" s="403"/>
      <c r="O512" s="403"/>
      <c r="P512" s="403"/>
      <c r="Q512" s="403"/>
      <c r="R512" s="403"/>
      <c r="S512" s="404"/>
      <c r="T512" s="403"/>
      <c r="U512" s="403"/>
    </row>
    <row r="513" spans="1:21" ht="19.5">
      <c r="A513" s="155"/>
      <c r="B513" s="50"/>
      <c r="C513" s="156" t="s">
        <v>18</v>
      </c>
      <c r="D513" s="157" t="s">
        <v>19</v>
      </c>
      <c r="E513" s="50"/>
      <c r="F513" s="50"/>
      <c r="G513" s="52"/>
      <c r="H513" s="158" t="s">
        <v>14</v>
      </c>
      <c r="I513" s="54"/>
      <c r="J513" s="54"/>
      <c r="K513" s="55"/>
      <c r="L513" s="159">
        <f t="shared" ref="L513:N513" ca="1" si="362">L514+L515</f>
        <v>0</v>
      </c>
      <c r="M513" s="159">
        <f t="shared" ca="1" si="362"/>
        <v>0</v>
      </c>
      <c r="N513" s="159">
        <f t="shared" ca="1" si="362"/>
        <v>0</v>
      </c>
      <c r="O513" s="159">
        <f t="shared" ref="O513:O521" ca="1" si="363">IF(L513&gt;0,N513*100/L513,0)</f>
        <v>0</v>
      </c>
      <c r="P513" s="159">
        <f t="shared" ref="P513:P521" ca="1" si="364">IF(M513&gt;0,N513*100/M513,0)</f>
        <v>0</v>
      </c>
      <c r="Q513" s="159">
        <f t="shared" ref="Q513:S513" ca="1" si="365">Q514+Q515</f>
        <v>0</v>
      </c>
      <c r="R513" s="159">
        <f t="shared" ca="1" si="365"/>
        <v>0</v>
      </c>
      <c r="S513" s="160">
        <f t="shared" ca="1" si="365"/>
        <v>0</v>
      </c>
      <c r="T513" s="159">
        <f t="shared" ref="T513:T521" ca="1" si="366">IF(Q513&gt;0,S513*100/Q513,0)</f>
        <v>0</v>
      </c>
      <c r="U513" s="159">
        <f t="shared" ref="U513:U521" ca="1" si="367">IF(R513&gt;0,S513*100/R513,0)</f>
        <v>0</v>
      </c>
    </row>
    <row r="514" spans="1:21" ht="18.75">
      <c r="A514" s="155"/>
      <c r="B514" s="50"/>
      <c r="C514" s="50"/>
      <c r="D514" s="50"/>
      <c r="E514" s="58" t="s">
        <v>20</v>
      </c>
      <c r="F514" s="50"/>
      <c r="G514" s="52"/>
      <c r="H514" s="161" t="s">
        <v>14</v>
      </c>
      <c r="I514" s="54"/>
      <c r="J514" s="54"/>
      <c r="K514" s="55"/>
      <c r="L514" s="56">
        <f t="shared" ref="L514:N514" ca="1" si="368">L517+L520</f>
        <v>0</v>
      </c>
      <c r="M514" s="56">
        <f t="shared" ca="1" si="368"/>
        <v>0</v>
      </c>
      <c r="N514" s="56">
        <f t="shared" ca="1" si="368"/>
        <v>0</v>
      </c>
      <c r="O514" s="56">
        <f t="shared" ca="1" si="363"/>
        <v>0</v>
      </c>
      <c r="P514" s="56">
        <f t="shared" ca="1" si="364"/>
        <v>0</v>
      </c>
      <c r="Q514" s="56">
        <f t="shared" ref="Q514:S514" ca="1" si="369">Q517+Q520</f>
        <v>0</v>
      </c>
      <c r="R514" s="56">
        <f t="shared" ca="1" si="369"/>
        <v>0</v>
      </c>
      <c r="S514" s="57">
        <f t="shared" ca="1" si="369"/>
        <v>0</v>
      </c>
      <c r="T514" s="59">
        <f t="shared" ca="1" si="366"/>
        <v>0</v>
      </c>
      <c r="U514" s="59">
        <f t="shared" ca="1" si="367"/>
        <v>0</v>
      </c>
    </row>
    <row r="515" spans="1:21" ht="18.75">
      <c r="A515" s="155"/>
      <c r="B515" s="50"/>
      <c r="C515" s="50"/>
      <c r="D515" s="50"/>
      <c r="E515" s="58" t="s">
        <v>21</v>
      </c>
      <c r="F515" s="50"/>
      <c r="G515" s="52"/>
      <c r="H515" s="161" t="s">
        <v>14</v>
      </c>
      <c r="I515" s="54"/>
      <c r="J515" s="54"/>
      <c r="K515" s="55"/>
      <c r="L515" s="56">
        <f t="shared" ref="L515:N515" ca="1" si="370">L518+L521</f>
        <v>0</v>
      </c>
      <c r="M515" s="56">
        <f t="shared" ca="1" si="370"/>
        <v>0</v>
      </c>
      <c r="N515" s="56">
        <f t="shared" ca="1" si="370"/>
        <v>0</v>
      </c>
      <c r="O515" s="56">
        <f t="shared" ca="1" si="363"/>
        <v>0</v>
      </c>
      <c r="P515" s="56">
        <f t="shared" ca="1" si="364"/>
        <v>0</v>
      </c>
      <c r="Q515" s="56">
        <f t="shared" ref="Q515:S515" ca="1" si="371">Q518+Q521</f>
        <v>0</v>
      </c>
      <c r="R515" s="56">
        <f t="shared" ca="1" si="371"/>
        <v>0</v>
      </c>
      <c r="S515" s="57">
        <f t="shared" ca="1" si="371"/>
        <v>0</v>
      </c>
      <c r="T515" s="56">
        <f t="shared" ca="1" si="366"/>
        <v>0</v>
      </c>
      <c r="U515" s="56">
        <f t="shared" ca="1" si="367"/>
        <v>0</v>
      </c>
    </row>
    <row r="516" spans="1:21" ht="18.75">
      <c r="A516" s="155"/>
      <c r="B516" s="50"/>
      <c r="C516" s="50"/>
      <c r="D516" s="51" t="s">
        <v>22</v>
      </c>
      <c r="E516" s="50"/>
      <c r="F516" s="50"/>
      <c r="G516" s="52"/>
      <c r="H516" s="162" t="s">
        <v>14</v>
      </c>
      <c r="I516" s="163"/>
      <c r="J516" s="163"/>
      <c r="K516" s="164"/>
      <c r="L516" s="56">
        <f t="shared" ref="L516:N516" ca="1" si="372">L517+L518</f>
        <v>0</v>
      </c>
      <c r="M516" s="56">
        <f t="shared" ca="1" si="372"/>
        <v>0</v>
      </c>
      <c r="N516" s="56">
        <f t="shared" ca="1" si="372"/>
        <v>0</v>
      </c>
      <c r="O516" s="56">
        <f t="shared" ca="1" si="363"/>
        <v>0</v>
      </c>
      <c r="P516" s="56">
        <f t="shared" ca="1" si="364"/>
        <v>0</v>
      </c>
      <c r="Q516" s="56">
        <f t="shared" ref="Q516:S516" ca="1" si="373">Q517+Q518</f>
        <v>0</v>
      </c>
      <c r="R516" s="56">
        <f t="shared" ca="1" si="373"/>
        <v>0</v>
      </c>
      <c r="S516" s="57">
        <f t="shared" ca="1" si="373"/>
        <v>0</v>
      </c>
      <c r="T516" s="56">
        <f t="shared" ca="1" si="366"/>
        <v>0</v>
      </c>
      <c r="U516" s="56">
        <f t="shared" ca="1" si="367"/>
        <v>0</v>
      </c>
    </row>
    <row r="517" spans="1:21" ht="18.75">
      <c r="A517" s="155"/>
      <c r="B517" s="50"/>
      <c r="C517" s="50"/>
      <c r="D517" s="50"/>
      <c r="E517" s="58" t="s">
        <v>36</v>
      </c>
      <c r="F517" s="50"/>
      <c r="G517" s="52"/>
      <c r="H517" s="162" t="s">
        <v>14</v>
      </c>
      <c r="I517" s="163"/>
      <c r="J517" s="163"/>
      <c r="K517" s="164"/>
      <c r="L517" s="56">
        <f ca="1">IFERROR(__xludf.DUMMYFUNCTION("IMPORTRANGE(""https://docs.google.com/spreadsheets/d/1yhBcrRPreicbMKl9Bu_Snb2-OcQAF62RKfhTLhJ2eAA/edit?usp=sharing"",""กาฬสินธุ์!L517"")+IMPORTRANGE(""https://docs.google.com/spreadsheets/d/1aHkj4IaQMThhwWwevcOymEh837vdxeC_PycurhTbGFA/edit?usp=sharing"","&amp;"""ขอนแก่น!L517"")+IMPORTRANGE(""https://docs.google.com/spreadsheets/d/1FvTu2DsIWUjP6WCWra38Bkj_oOl_sOMf14r5Fg5srxU/edit?usp=sharing"",""ชัยภูมิ!L517"")+IMPORTRANGE(""https://docs.google.com/spreadsheets/d/1XVB7oCJ3pr-vBUdflwPQ8Z2LlzhnCvZaaYjAfP-647E/edit"&amp;"?usp=sharing"",""นครพนม!L517"")+IMPORTRANGE(""https://docs.google.com/spreadsheets/d/1Mnpb-8PYAgn85W6KOTD40hc_Xc55CaLfHoGAbrZ8tls/edit?usp=sharing"",""นครราชสีมา!L517"")+IMPORTRANGE(""https://docs.google.com/spreadsheets/d/1xoDLGBv9CYbyosIhki0kTq6IpYNj-gp"&amp;"jxfobnaDiut0/edit?usp=sharing"",""บึงกาฬ!L517"")+IMPORTRANGE(""https://docs.google.com/spreadsheets/d/1MMPq-JyI6DSgQETxuSiXkesP-P7JHuemnE6QJIa-Nlw/edit?usp=sharing"",""บุรีรัมย์!L517"")+IMPORTRANGE(""https://docs.google.com/spreadsheets/d/1l6IZ8xUPgMrESzc"&amp;"TYwhA1k_tPjeQjJPTqlm8Gd9eU5g/edit?usp=sharing"",""มหาสารคาม!L517"")+IMPORTRANGE(""https://docs.google.com/spreadsheets/d/1uB74YLqNjWX6FObjekfB2NtSYigTQyR2rq9u4Ub2Sq4/edit?usp=sharing"",""มุกดาหาร!L517"")+IMPORTRANGE(""https://docs.google.com/spreadsheets/"&amp;"d/1NexK3geCPxCTO1fzNF8dPec7yZyUx3OaWkFBC9HsQOo/edit?usp=sharing"",""ยโสธร!L517"")+IMPORTRANGE(""https://docs.google.com/spreadsheets/d/1v_cJrbBlyqmnHPReHk44g9NrMRdENNlSy_E_c5M9fIg/edit?usp=sharing"",""ร้อยเอ็ด!L517"")+IMPORTRANGE(""https://docs.google.com"&amp;"/spreadsheets/d/1Ul4RCpCX66NxYADU1QpwAPjOmBzW64SsT11s1wzXw_c/edit?usp=sharing"",""เลย!L517"")+IMPORTRANGE(""https://docs.google.com/spreadsheets/d/1bRrNKwbHDVktQG10isr5vbWRtt5spIZPpkOSWgbT5ug/edit?usp=sharing"",""ศรีสะเกษ!L517"")+IMPORTRANGE(""https://doc"&amp;"s.google.com/spreadsheets/d/17P34_Ow5kFBfdQD0qspb2UuPX5zpi6WMrQzslghyvrI/edit?usp=sharing"",""สกลนคร!L517"")+IMPORTRANGE(""https://docs.google.com/spreadsheets/d/1yswqbM3-AEpThF3ZSUa1AcmHnmRTF1vlJ1CZGcJ8YuU/edit?usp=sharing"",""สุรินทร์!L517"")+IMPORTRANG"&amp;"E(""https://docs.google.com/spreadsheets/d/13JHU_EFbsQOUQ0JSQ3dWy1VTRosIWcDq6Nc99z2qzdc/edit?usp=sharing"",""หนองคาย!L517"")+IMPORTRANGE(""https://docs.google.com/spreadsheets/d/1Hx73zIEgVdDZZaYSTc46Dqv64atFhpr3GelxLbaIN8A/edit?usp=sharing"",""หนองบัวลำภู"&amp;"!L517"")+IMPORTRANGE(""https://docs.google.com/spreadsheets/d/1lFxr3ctmjFN90yc-xV6jrQ9Ty8BKYVBWnAZ15wcNIJc/edit?usp=sharing"",""อำนาจเจริญ!L517"")+IMPORTRANGE(""https://docs.google.com/spreadsheets/d/1gF7RJpRnL-1oyjyeWxs5SFWEH7y8ahOZsQlyp2A2e-A/edit?usp=s"&amp;"haring"",""อุดรธานี!L517"")+IMPORTRANGE(""https://docs.google.com/spreadsheets/d/1kfLP0j3INXRa8bTDpcEmoWewMBV61jlFlfzczfjWIgc/edit?usp=sharing"",""อุบลราชธานี!L517"")"),0)</f>
        <v>0</v>
      </c>
      <c r="M517" s="56">
        <f ca="1">IFERROR(__xludf.DUMMYFUNCTION("IMPORTRANGE(""https://docs.google.com/spreadsheets/d/1yhBcrRPreicbMKl9Bu_Snb2-OcQAF62RKfhTLhJ2eAA/edit?usp=sharing"",""กาฬสินธุ์!M517"")+IMPORTRANGE(""https://docs.google.com/spreadsheets/d/1aHkj4IaQMThhwWwevcOymEh837vdxeC_PycurhTbGFA/edit?usp=sharing"","&amp;"""ขอนแก่น!M517"")+IMPORTRANGE(""https://docs.google.com/spreadsheets/d/1FvTu2DsIWUjP6WCWra38Bkj_oOl_sOMf14r5Fg5srxU/edit?usp=sharing"",""ชัยภูมิ!M517"")+IMPORTRANGE(""https://docs.google.com/spreadsheets/d/1XVB7oCJ3pr-vBUdflwPQ8Z2LlzhnCvZaaYjAfP-647E/edit"&amp;"?usp=sharing"",""นครพนม!M517"")+IMPORTRANGE(""https://docs.google.com/spreadsheets/d/1Mnpb-8PYAgn85W6KOTD40hc_Xc55CaLfHoGAbrZ8tls/edit?usp=sharing"",""นครราชสีมา!M517"")+IMPORTRANGE(""https://docs.google.com/spreadsheets/d/1xoDLGBv9CYbyosIhki0kTq6IpYNj-gp"&amp;"jxfobnaDiut0/edit?usp=sharing"",""บึงกาฬ!M517"")+IMPORTRANGE(""https://docs.google.com/spreadsheets/d/1MMPq-JyI6DSgQETxuSiXkesP-P7JHuemnE6QJIa-Nlw/edit?usp=sharing"",""บุรีรัมย์!M517"")+IMPORTRANGE(""https://docs.google.com/spreadsheets/d/1l6IZ8xUPgMrESzc"&amp;"TYwhA1k_tPjeQjJPTqlm8Gd9eU5g/edit?usp=sharing"",""มหาสารคาม!M517"")+IMPORTRANGE(""https://docs.google.com/spreadsheets/d/1uB74YLqNjWX6FObjekfB2NtSYigTQyR2rq9u4Ub2Sq4/edit?usp=sharing"",""มุกดาหาร!M517"")+IMPORTRANGE(""https://docs.google.com/spreadsheets/"&amp;"d/1NexK3geCPxCTO1fzNF8dPec7yZyUx3OaWkFBC9HsQOo/edit?usp=sharing"",""ยโสธร!M517"")+IMPORTRANGE(""https://docs.google.com/spreadsheets/d/1v_cJrbBlyqmnHPReHk44g9NrMRdENNlSy_E_c5M9fIg/edit?usp=sharing"",""ร้อยเอ็ด!M517"")+IMPORTRANGE(""https://docs.google.com"&amp;"/spreadsheets/d/1Ul4RCpCX66NxYADU1QpwAPjOmBzW64SsT11s1wzXw_c/edit?usp=sharing"",""เลย!M517"")+IMPORTRANGE(""https://docs.google.com/spreadsheets/d/1bRrNKwbHDVktQG10isr5vbWRtt5spIZPpkOSWgbT5ug/edit?usp=sharing"",""ศรีสะเกษ!M517"")+IMPORTRANGE(""https://doc"&amp;"s.google.com/spreadsheets/d/17P34_Ow5kFBfdQD0qspb2UuPX5zpi6WMrQzslghyvrI/edit?usp=sharing"",""สกลนคร!M517"")+IMPORTRANGE(""https://docs.google.com/spreadsheets/d/1yswqbM3-AEpThF3ZSUa1AcmHnmRTF1vlJ1CZGcJ8YuU/edit?usp=sharing"",""สุรินทร์!M517"")+IMPORTRANG"&amp;"E(""https://docs.google.com/spreadsheets/d/13JHU_EFbsQOUQ0JSQ3dWy1VTRosIWcDq6Nc99z2qzdc/edit?usp=sharing"",""หนองคาย!M517"")+IMPORTRANGE(""https://docs.google.com/spreadsheets/d/1Hx73zIEgVdDZZaYSTc46Dqv64atFhpr3GelxLbaIN8A/edit?usp=sharing"",""หนองบัวลำภู"&amp;"!M517"")+IMPORTRANGE(""https://docs.google.com/spreadsheets/d/1lFxr3ctmjFN90yc-xV6jrQ9Ty8BKYVBWnAZ15wcNIJc/edit?usp=sharing"",""อำนาจเจริญ!M517"")+IMPORTRANGE(""https://docs.google.com/spreadsheets/d/1gF7RJpRnL-1oyjyeWxs5SFWEH7y8ahOZsQlyp2A2e-A/edit?usp=s"&amp;"haring"",""อุดรธานี!M517"")+IMPORTRANGE(""https://docs.google.com/spreadsheets/d/1kfLP0j3INXRa8bTDpcEmoWewMBV61jlFlfzczfjWIgc/edit?usp=sharing"",""อุบลราชธานี!M517"")"),0)</f>
        <v>0</v>
      </c>
      <c r="N517" s="56">
        <f ca="1">IFERROR(__xludf.DUMMYFUNCTION("IMPORTRANGE(""https://docs.google.com/spreadsheets/d/1yhBcrRPreicbMKl9Bu_Snb2-OcQAF62RKfhTLhJ2eAA/edit?usp=sharing"",""กาฬสินธุ์!N517"")+IMPORTRANGE(""https://docs.google.com/spreadsheets/d/1aHkj4IaQMThhwWwevcOymEh837vdxeC_PycurhTbGFA/edit?usp=sharing"","&amp;"""ขอนแก่น!N517"")+IMPORTRANGE(""https://docs.google.com/spreadsheets/d/1FvTu2DsIWUjP6WCWra38Bkj_oOl_sOMf14r5Fg5srxU/edit?usp=sharing"",""ชัยภูมิ!N517"")+IMPORTRANGE(""https://docs.google.com/spreadsheets/d/1XVB7oCJ3pr-vBUdflwPQ8Z2LlzhnCvZaaYjAfP-647E/edit"&amp;"?usp=sharing"",""นครพนม!N517"")+IMPORTRANGE(""https://docs.google.com/spreadsheets/d/1Mnpb-8PYAgn85W6KOTD40hc_Xc55CaLfHoGAbrZ8tls/edit?usp=sharing"",""นครราชสีมา!N517"")+IMPORTRANGE(""https://docs.google.com/spreadsheets/d/1xoDLGBv9CYbyosIhki0kTq6IpYNj-gp"&amp;"jxfobnaDiut0/edit?usp=sharing"",""บึงกาฬ!N517"")+IMPORTRANGE(""https://docs.google.com/spreadsheets/d/1MMPq-JyI6DSgQETxuSiXkesP-P7JHuemnE6QJIa-Nlw/edit?usp=sharing"",""บุรีรัมย์!N517"")+IMPORTRANGE(""https://docs.google.com/spreadsheets/d/1l6IZ8xUPgMrESzc"&amp;"TYwhA1k_tPjeQjJPTqlm8Gd9eU5g/edit?usp=sharing"",""มหาสารคาม!N517"")+IMPORTRANGE(""https://docs.google.com/spreadsheets/d/1uB74YLqNjWX6FObjekfB2NtSYigTQyR2rq9u4Ub2Sq4/edit?usp=sharing"",""มุกดาหาร!N517"")+IMPORTRANGE(""https://docs.google.com/spreadsheets/"&amp;"d/1NexK3geCPxCTO1fzNF8dPec7yZyUx3OaWkFBC9HsQOo/edit?usp=sharing"",""ยโสธร!N517"")+IMPORTRANGE(""https://docs.google.com/spreadsheets/d/1v_cJrbBlyqmnHPReHk44g9NrMRdENNlSy_E_c5M9fIg/edit?usp=sharing"",""ร้อยเอ็ด!N517"")+IMPORTRANGE(""https://docs.google.com"&amp;"/spreadsheets/d/1Ul4RCpCX66NxYADU1QpwAPjOmBzW64SsT11s1wzXw_c/edit?usp=sharing"",""เลย!N517"")+IMPORTRANGE(""https://docs.google.com/spreadsheets/d/1bRrNKwbHDVktQG10isr5vbWRtt5spIZPpkOSWgbT5ug/edit?usp=sharing"",""ศรีสะเกษ!N517"")+IMPORTRANGE(""https://doc"&amp;"s.google.com/spreadsheets/d/17P34_Ow5kFBfdQD0qspb2UuPX5zpi6WMrQzslghyvrI/edit?usp=sharing"",""สกลนคร!N517"")+IMPORTRANGE(""https://docs.google.com/spreadsheets/d/1yswqbM3-AEpThF3ZSUa1AcmHnmRTF1vlJ1CZGcJ8YuU/edit?usp=sharing"",""สุรินทร์!N517"")+IMPORTRANG"&amp;"E(""https://docs.google.com/spreadsheets/d/13JHU_EFbsQOUQ0JSQ3dWy1VTRosIWcDq6Nc99z2qzdc/edit?usp=sharing"",""หนองคาย!N517"")+IMPORTRANGE(""https://docs.google.com/spreadsheets/d/1Hx73zIEgVdDZZaYSTc46Dqv64atFhpr3GelxLbaIN8A/edit?usp=sharing"",""หนองบัวลำภู"&amp;"!N517"")+IMPORTRANGE(""https://docs.google.com/spreadsheets/d/1lFxr3ctmjFN90yc-xV6jrQ9Ty8BKYVBWnAZ15wcNIJc/edit?usp=sharing"",""อำนาจเจริญ!N517"")+IMPORTRANGE(""https://docs.google.com/spreadsheets/d/1gF7RJpRnL-1oyjyeWxs5SFWEH7y8ahOZsQlyp2A2e-A/edit?usp=s"&amp;"haring"",""อุดรธานี!N517"")+IMPORTRANGE(""https://docs.google.com/spreadsheets/d/1kfLP0j3INXRa8bTDpcEmoWewMBV61jlFlfzczfjWIgc/edit?usp=sharing"",""อุบลราชธานี!N517"")"),0)</f>
        <v>0</v>
      </c>
      <c r="O517" s="56">
        <f t="shared" ca="1" si="363"/>
        <v>0</v>
      </c>
      <c r="P517" s="56">
        <f t="shared" ca="1" si="364"/>
        <v>0</v>
      </c>
      <c r="Q517" s="56">
        <f ca="1">IFERROR(__xludf.DUMMYFUNCTION("IMPORTRANGE(""https://docs.google.com/spreadsheets/d/1yhBcrRPreicbMKl9Bu_Snb2-OcQAF62RKfhTLhJ2eAA/edit?usp=sharing"",""กาฬสินธุ์!Q517"")+IMPORTRANGE(""https://docs.google.com/spreadsheets/d/1aHkj4IaQMThhwWwevcOymEh837vdxeC_PycurhTbGFA/edit?usp=sharing"","&amp;"""ขอนแก่น!Q517"")+IMPORTRANGE(""https://docs.google.com/spreadsheets/d/1FvTu2DsIWUjP6WCWra38Bkj_oOl_sOMf14r5Fg5srxU/edit?usp=sharing"",""ชัยภูมิ!Q517"")+IMPORTRANGE(""https://docs.google.com/spreadsheets/d/1XVB7oCJ3pr-vBUdflwPQ8Z2LlzhnCvZaaYjAfP-647E/edit"&amp;"?usp=sharing"",""นครพนม!Q517"")+IMPORTRANGE(""https://docs.google.com/spreadsheets/d/1Mnpb-8PYAgn85W6KOTD40hc_Xc55CaLfHoGAbrZ8tls/edit?usp=sharing"",""นครราชสีมา!Q517"")+IMPORTRANGE(""https://docs.google.com/spreadsheets/d/1xoDLGBv9CYbyosIhki0kTq6IpYNj-gp"&amp;"jxfobnaDiut0/edit?usp=sharing"",""บึงกาฬ!Q517"")+IMPORTRANGE(""https://docs.google.com/spreadsheets/d/1MMPq-JyI6DSgQETxuSiXkesP-P7JHuemnE6QJIa-Nlw/edit?usp=sharing"",""บุรีรัมย์!Q517"")+IMPORTRANGE(""https://docs.google.com/spreadsheets/d/1l6IZ8xUPgMrESzc"&amp;"TYwhA1k_tPjeQjJPTqlm8Gd9eU5g/edit?usp=sharing"",""มหาสารคาม!Q517"")+IMPORTRANGE(""https://docs.google.com/spreadsheets/d/1uB74YLqNjWX6FObjekfB2NtSYigTQyR2rq9u4Ub2Sq4/edit?usp=sharing"",""มุกดาหาร!Q517"")+IMPORTRANGE(""https://docs.google.com/spreadsheets/"&amp;"d/1NexK3geCPxCTO1fzNF8dPec7yZyUx3OaWkFBC9HsQOo/edit?usp=sharing"",""ยโสธร!Q517"")+IMPORTRANGE(""https://docs.google.com/spreadsheets/d/1v_cJrbBlyqmnHPReHk44g9NrMRdENNlSy_E_c5M9fIg/edit?usp=sharing"",""ร้อยเอ็ด!Q517"")+IMPORTRANGE(""https://docs.google.com"&amp;"/spreadsheets/d/1Ul4RCpCX66NxYADU1QpwAPjOmBzW64SsT11s1wzXw_c/edit?usp=sharing"",""เลย!Q517"")+IMPORTRANGE(""https://docs.google.com/spreadsheets/d/1bRrNKwbHDVktQG10isr5vbWRtt5spIZPpkOSWgbT5ug/edit?usp=sharing"",""ศรีสะเกษ!Q517"")+IMPORTRANGE(""https://doc"&amp;"s.google.com/spreadsheets/d/17P34_Ow5kFBfdQD0qspb2UuPX5zpi6WMrQzslghyvrI/edit?usp=sharing"",""สกลนคร!Q517"")+IMPORTRANGE(""https://docs.google.com/spreadsheets/d/1yswqbM3-AEpThF3ZSUa1AcmHnmRTF1vlJ1CZGcJ8YuU/edit?usp=sharing"",""สุรินทร์!Q517"")+IMPORTRANG"&amp;"E(""https://docs.google.com/spreadsheets/d/13JHU_EFbsQOUQ0JSQ3dWy1VTRosIWcDq6Nc99z2qzdc/edit?usp=sharing"",""หนองคาย!Q517"")+IMPORTRANGE(""https://docs.google.com/spreadsheets/d/1Hx73zIEgVdDZZaYSTc46Dqv64atFhpr3GelxLbaIN8A/edit?usp=sharing"",""หนองบัวลำภู"&amp;"!Q517"")+IMPORTRANGE(""https://docs.google.com/spreadsheets/d/1lFxr3ctmjFN90yc-xV6jrQ9Ty8BKYVBWnAZ15wcNIJc/edit?usp=sharing"",""อำนาจเจริญ!Q517"")+IMPORTRANGE(""https://docs.google.com/spreadsheets/d/1gF7RJpRnL-1oyjyeWxs5SFWEH7y8ahOZsQlyp2A2e-A/edit?usp=s"&amp;"haring"",""อุดรธานี!Q517"")+IMPORTRANGE(""https://docs.google.com/spreadsheets/d/1kfLP0j3INXRa8bTDpcEmoWewMBV61jlFlfzczfjWIgc/edit?usp=sharing"",""อุบลราชธานี!Q517"")"),0)</f>
        <v>0</v>
      </c>
      <c r="R517" s="56">
        <f ca="1">IFERROR(__xludf.DUMMYFUNCTION("IMPORTRANGE(""https://docs.google.com/spreadsheets/d/1yhBcrRPreicbMKl9Bu_Snb2-OcQAF62RKfhTLhJ2eAA/edit?usp=sharing"",""กาฬสินธุ์!R517"")+IMPORTRANGE(""https://docs.google.com/spreadsheets/d/1aHkj4IaQMThhwWwevcOymEh837vdxeC_PycurhTbGFA/edit?usp=sharing"","&amp;"""ขอนแก่น!R517"")+IMPORTRANGE(""https://docs.google.com/spreadsheets/d/1FvTu2DsIWUjP6WCWra38Bkj_oOl_sOMf14r5Fg5srxU/edit?usp=sharing"",""ชัยภูมิ!R517"")+IMPORTRANGE(""https://docs.google.com/spreadsheets/d/1XVB7oCJ3pr-vBUdflwPQ8Z2LlzhnCvZaaYjAfP-647E/edit"&amp;"?usp=sharing"",""นครพนม!R517"")+IMPORTRANGE(""https://docs.google.com/spreadsheets/d/1Mnpb-8PYAgn85W6KOTD40hc_Xc55CaLfHoGAbrZ8tls/edit?usp=sharing"",""นครราชสีมา!R517"")+IMPORTRANGE(""https://docs.google.com/spreadsheets/d/1xoDLGBv9CYbyosIhki0kTq6IpYNj-gp"&amp;"jxfobnaDiut0/edit?usp=sharing"",""บึงกาฬ!R517"")+IMPORTRANGE(""https://docs.google.com/spreadsheets/d/1MMPq-JyI6DSgQETxuSiXkesP-P7JHuemnE6QJIa-Nlw/edit?usp=sharing"",""บุรีรัมย์!R517"")+IMPORTRANGE(""https://docs.google.com/spreadsheets/d/1l6IZ8xUPgMrESzc"&amp;"TYwhA1k_tPjeQjJPTqlm8Gd9eU5g/edit?usp=sharing"",""มหาสารคาม!R517"")+IMPORTRANGE(""https://docs.google.com/spreadsheets/d/1uB74YLqNjWX6FObjekfB2NtSYigTQyR2rq9u4Ub2Sq4/edit?usp=sharing"",""มุกดาหาร!R517"")+IMPORTRANGE(""https://docs.google.com/spreadsheets/"&amp;"d/1NexK3geCPxCTO1fzNF8dPec7yZyUx3OaWkFBC9HsQOo/edit?usp=sharing"",""ยโสธร!R517"")+IMPORTRANGE(""https://docs.google.com/spreadsheets/d/1v_cJrbBlyqmnHPReHk44g9NrMRdENNlSy_E_c5M9fIg/edit?usp=sharing"",""ร้อยเอ็ด!R517"")+IMPORTRANGE(""https://docs.google.com"&amp;"/spreadsheets/d/1Ul4RCpCX66NxYADU1QpwAPjOmBzW64SsT11s1wzXw_c/edit?usp=sharing"",""เลย!R517"")+IMPORTRANGE(""https://docs.google.com/spreadsheets/d/1bRrNKwbHDVktQG10isr5vbWRtt5spIZPpkOSWgbT5ug/edit?usp=sharing"",""ศรีสะเกษ!R517"")+IMPORTRANGE(""https://doc"&amp;"s.google.com/spreadsheets/d/17P34_Ow5kFBfdQD0qspb2UuPX5zpi6WMrQzslghyvrI/edit?usp=sharing"",""สกลนคร!R517"")+IMPORTRANGE(""https://docs.google.com/spreadsheets/d/1yswqbM3-AEpThF3ZSUa1AcmHnmRTF1vlJ1CZGcJ8YuU/edit?usp=sharing"",""สุรินทร์!R517"")+IMPORTRANG"&amp;"E(""https://docs.google.com/spreadsheets/d/13JHU_EFbsQOUQ0JSQ3dWy1VTRosIWcDq6Nc99z2qzdc/edit?usp=sharing"",""หนองคาย!R517"")+IMPORTRANGE(""https://docs.google.com/spreadsheets/d/1Hx73zIEgVdDZZaYSTc46Dqv64atFhpr3GelxLbaIN8A/edit?usp=sharing"",""หนองบัวลำภู"&amp;"!R517"")+IMPORTRANGE(""https://docs.google.com/spreadsheets/d/1lFxr3ctmjFN90yc-xV6jrQ9Ty8BKYVBWnAZ15wcNIJc/edit?usp=sharing"",""อำนาจเจริญ!R517"")+IMPORTRANGE(""https://docs.google.com/spreadsheets/d/1gF7RJpRnL-1oyjyeWxs5SFWEH7y8ahOZsQlyp2A2e-A/edit?usp=s"&amp;"haring"",""อุดรธานี!R517"")+IMPORTRANGE(""https://docs.google.com/spreadsheets/d/1kfLP0j3INXRa8bTDpcEmoWewMBV61jlFlfzczfjWIgc/edit?usp=sharing"",""อุบลราชธานี!R517"")"),0)</f>
        <v>0</v>
      </c>
      <c r="S517" s="57">
        <f ca="1">IFERROR(__xludf.DUMMYFUNCTION("IMPORTRANGE(""https://docs.google.com/spreadsheets/d/1yhBcrRPreicbMKl9Bu_Snb2-OcQAF62RKfhTLhJ2eAA/edit?usp=sharing"",""กาฬสินธุ์!S517"")+IMPORTRANGE(""https://docs.google.com/spreadsheets/d/1aHkj4IaQMThhwWwevcOymEh837vdxeC_PycurhTbGFA/edit?usp=sharing"","&amp;"""ขอนแก่น!S517"")+IMPORTRANGE(""https://docs.google.com/spreadsheets/d/1FvTu2DsIWUjP6WCWra38Bkj_oOl_sOMf14r5Fg5srxU/edit?usp=sharing"",""ชัยภูมิ!S517"")+IMPORTRANGE(""https://docs.google.com/spreadsheets/d/1XVB7oCJ3pr-vBUdflwPQ8Z2LlzhnCvZaaYjAfP-647E/edit"&amp;"?usp=sharing"",""นครพนม!S517"")+IMPORTRANGE(""https://docs.google.com/spreadsheets/d/1Mnpb-8PYAgn85W6KOTD40hc_Xc55CaLfHoGAbrZ8tls/edit?usp=sharing"",""นครราชสีมา!S517"")+IMPORTRANGE(""https://docs.google.com/spreadsheets/d/1xoDLGBv9CYbyosIhki0kTq6IpYNj-gp"&amp;"jxfobnaDiut0/edit?usp=sharing"",""บึงกาฬ!S517"")+IMPORTRANGE(""https://docs.google.com/spreadsheets/d/1MMPq-JyI6DSgQETxuSiXkesP-P7JHuemnE6QJIa-Nlw/edit?usp=sharing"",""บุรีรัมย์!S517"")+IMPORTRANGE(""https://docs.google.com/spreadsheets/d/1l6IZ8xUPgMrESzc"&amp;"TYwhA1k_tPjeQjJPTqlm8Gd9eU5g/edit?usp=sharing"",""มหาสารคาม!S517"")+IMPORTRANGE(""https://docs.google.com/spreadsheets/d/1uB74YLqNjWX6FObjekfB2NtSYigTQyR2rq9u4Ub2Sq4/edit?usp=sharing"",""มุกดาหาร!S517"")+IMPORTRANGE(""https://docs.google.com/spreadsheets/"&amp;"d/1NexK3geCPxCTO1fzNF8dPec7yZyUx3OaWkFBC9HsQOo/edit?usp=sharing"",""ยโสธร!S517"")+IMPORTRANGE(""https://docs.google.com/spreadsheets/d/1v_cJrbBlyqmnHPReHk44g9NrMRdENNlSy_E_c5M9fIg/edit?usp=sharing"",""ร้อยเอ็ด!S517"")+IMPORTRANGE(""https://docs.google.com"&amp;"/spreadsheets/d/1Ul4RCpCX66NxYADU1QpwAPjOmBzW64SsT11s1wzXw_c/edit?usp=sharing"",""เลย!S517"")+IMPORTRANGE(""https://docs.google.com/spreadsheets/d/1bRrNKwbHDVktQG10isr5vbWRtt5spIZPpkOSWgbT5ug/edit?usp=sharing"",""ศรีสะเกษ!S517"")+IMPORTRANGE(""https://doc"&amp;"s.google.com/spreadsheets/d/17P34_Ow5kFBfdQD0qspb2UuPX5zpi6WMrQzslghyvrI/edit?usp=sharing"",""สกลนคร!S517"")+IMPORTRANGE(""https://docs.google.com/spreadsheets/d/1yswqbM3-AEpThF3ZSUa1AcmHnmRTF1vlJ1CZGcJ8YuU/edit?usp=sharing"",""สุรินทร์!S517"")+IMPORTRANG"&amp;"E(""https://docs.google.com/spreadsheets/d/13JHU_EFbsQOUQ0JSQ3dWy1VTRosIWcDq6Nc99z2qzdc/edit?usp=sharing"",""หนองคาย!S517"")+IMPORTRANGE(""https://docs.google.com/spreadsheets/d/1Hx73zIEgVdDZZaYSTc46Dqv64atFhpr3GelxLbaIN8A/edit?usp=sharing"",""หนองบัวลำภู"&amp;"!S517"")+IMPORTRANGE(""https://docs.google.com/spreadsheets/d/1lFxr3ctmjFN90yc-xV6jrQ9Ty8BKYVBWnAZ15wcNIJc/edit?usp=sharing"",""อำนาจเจริญ!S517"")+IMPORTRANGE(""https://docs.google.com/spreadsheets/d/1gF7RJpRnL-1oyjyeWxs5SFWEH7y8ahOZsQlyp2A2e-A/edit?usp=s"&amp;"haring"",""อุดรธานี!S517"")+IMPORTRANGE(""https://docs.google.com/spreadsheets/d/1kfLP0j3INXRa8bTDpcEmoWewMBV61jlFlfzczfjWIgc/edit?usp=sharing"",""อุบลราชธานี!S517"")"),0)</f>
        <v>0</v>
      </c>
      <c r="T517" s="59">
        <f t="shared" ca="1" si="366"/>
        <v>0</v>
      </c>
      <c r="U517" s="59">
        <f t="shared" ca="1" si="367"/>
        <v>0</v>
      </c>
    </row>
    <row r="518" spans="1:21" ht="18.75">
      <c r="A518" s="155"/>
      <c r="B518" s="50"/>
      <c r="C518" s="50"/>
      <c r="D518" s="50"/>
      <c r="E518" s="58" t="s">
        <v>37</v>
      </c>
      <c r="F518" s="50"/>
      <c r="G518" s="52"/>
      <c r="H518" s="162" t="s">
        <v>14</v>
      </c>
      <c r="I518" s="163"/>
      <c r="J518" s="163"/>
      <c r="K518" s="164"/>
      <c r="L518" s="56">
        <f ca="1">IFERROR(__xludf.DUMMYFUNCTION("IMPORTRANGE(""https://docs.google.com/spreadsheets/d/1yhBcrRPreicbMKl9Bu_Snb2-OcQAF62RKfhTLhJ2eAA/edit?usp=sharing"",""กาฬสินธุ์!L518"")+IMPORTRANGE(""https://docs.google.com/spreadsheets/d/1aHkj4IaQMThhwWwevcOymEh837vdxeC_PycurhTbGFA/edit?usp=sharing"","&amp;"""ขอนแก่น!L518"")+IMPORTRANGE(""https://docs.google.com/spreadsheets/d/1FvTu2DsIWUjP6WCWra38Bkj_oOl_sOMf14r5Fg5srxU/edit?usp=sharing"",""ชัยภูมิ!L518"")+IMPORTRANGE(""https://docs.google.com/spreadsheets/d/1XVB7oCJ3pr-vBUdflwPQ8Z2LlzhnCvZaaYjAfP-647E/edit"&amp;"?usp=sharing"",""นครพนม!L518"")+IMPORTRANGE(""https://docs.google.com/spreadsheets/d/1Mnpb-8PYAgn85W6KOTD40hc_Xc55CaLfHoGAbrZ8tls/edit?usp=sharing"",""นครราชสีมา!L518"")+IMPORTRANGE(""https://docs.google.com/spreadsheets/d/1xoDLGBv9CYbyosIhki0kTq6IpYNj-gp"&amp;"jxfobnaDiut0/edit?usp=sharing"",""บึงกาฬ!L518"")+IMPORTRANGE(""https://docs.google.com/spreadsheets/d/1MMPq-JyI6DSgQETxuSiXkesP-P7JHuemnE6QJIa-Nlw/edit?usp=sharing"",""บุรีรัมย์!L518"")+IMPORTRANGE(""https://docs.google.com/spreadsheets/d/1l6IZ8xUPgMrESzc"&amp;"TYwhA1k_tPjeQjJPTqlm8Gd9eU5g/edit?usp=sharing"",""มหาสารคาม!L518"")+IMPORTRANGE(""https://docs.google.com/spreadsheets/d/1uB74YLqNjWX6FObjekfB2NtSYigTQyR2rq9u4Ub2Sq4/edit?usp=sharing"",""มุกดาหาร!L518"")+IMPORTRANGE(""https://docs.google.com/spreadsheets/"&amp;"d/1NexK3geCPxCTO1fzNF8dPec7yZyUx3OaWkFBC9HsQOo/edit?usp=sharing"",""ยโสธร!L518"")+IMPORTRANGE(""https://docs.google.com/spreadsheets/d/1v_cJrbBlyqmnHPReHk44g9NrMRdENNlSy_E_c5M9fIg/edit?usp=sharing"",""ร้อยเอ็ด!L518"")+IMPORTRANGE(""https://docs.google.com"&amp;"/spreadsheets/d/1Ul4RCpCX66NxYADU1QpwAPjOmBzW64SsT11s1wzXw_c/edit?usp=sharing"",""เลย!L518"")+IMPORTRANGE(""https://docs.google.com/spreadsheets/d/1bRrNKwbHDVktQG10isr5vbWRtt5spIZPpkOSWgbT5ug/edit?usp=sharing"",""ศรีสะเกษ!L518"")+IMPORTRANGE(""https://doc"&amp;"s.google.com/spreadsheets/d/17P34_Ow5kFBfdQD0qspb2UuPX5zpi6WMrQzslghyvrI/edit?usp=sharing"",""สกลนคร!L518"")+IMPORTRANGE(""https://docs.google.com/spreadsheets/d/1yswqbM3-AEpThF3ZSUa1AcmHnmRTF1vlJ1CZGcJ8YuU/edit?usp=sharing"",""สุรินทร์!L518"")+IMPORTRANG"&amp;"E(""https://docs.google.com/spreadsheets/d/13JHU_EFbsQOUQ0JSQ3dWy1VTRosIWcDq6Nc99z2qzdc/edit?usp=sharing"",""หนองคาย!L518"")+IMPORTRANGE(""https://docs.google.com/spreadsheets/d/1Hx73zIEgVdDZZaYSTc46Dqv64atFhpr3GelxLbaIN8A/edit?usp=sharing"",""หนองบัวลำภู"&amp;"!L518"")+IMPORTRANGE(""https://docs.google.com/spreadsheets/d/1lFxr3ctmjFN90yc-xV6jrQ9Ty8BKYVBWnAZ15wcNIJc/edit?usp=sharing"",""อำนาจเจริญ!L518"")+IMPORTRANGE(""https://docs.google.com/spreadsheets/d/1gF7RJpRnL-1oyjyeWxs5SFWEH7y8ahOZsQlyp2A2e-A/edit?usp=s"&amp;"haring"",""อุดรธานี!L518"")+IMPORTRANGE(""https://docs.google.com/spreadsheets/d/1kfLP0j3INXRa8bTDpcEmoWewMBV61jlFlfzczfjWIgc/edit?usp=sharing"",""อุบลราชธานี!L518"")"),0)</f>
        <v>0</v>
      </c>
      <c r="M518" s="56">
        <f ca="1">IFERROR(__xludf.DUMMYFUNCTION("IMPORTRANGE(""https://docs.google.com/spreadsheets/d/1yhBcrRPreicbMKl9Bu_Snb2-OcQAF62RKfhTLhJ2eAA/edit?usp=sharing"",""กาฬสินธุ์!M518"")+IMPORTRANGE(""https://docs.google.com/spreadsheets/d/1aHkj4IaQMThhwWwevcOymEh837vdxeC_PycurhTbGFA/edit?usp=sharing"","&amp;"""ขอนแก่น!M518"")+IMPORTRANGE(""https://docs.google.com/spreadsheets/d/1FvTu2DsIWUjP6WCWra38Bkj_oOl_sOMf14r5Fg5srxU/edit?usp=sharing"",""ชัยภูมิ!M518"")+IMPORTRANGE(""https://docs.google.com/spreadsheets/d/1XVB7oCJ3pr-vBUdflwPQ8Z2LlzhnCvZaaYjAfP-647E/edit"&amp;"?usp=sharing"",""นครพนม!M518"")+IMPORTRANGE(""https://docs.google.com/spreadsheets/d/1Mnpb-8PYAgn85W6KOTD40hc_Xc55CaLfHoGAbrZ8tls/edit?usp=sharing"",""นครราชสีมา!M518"")+IMPORTRANGE(""https://docs.google.com/spreadsheets/d/1xoDLGBv9CYbyosIhki0kTq6IpYNj-gp"&amp;"jxfobnaDiut0/edit?usp=sharing"",""บึงกาฬ!M518"")+IMPORTRANGE(""https://docs.google.com/spreadsheets/d/1MMPq-JyI6DSgQETxuSiXkesP-P7JHuemnE6QJIa-Nlw/edit?usp=sharing"",""บุรีรัมย์!M518"")+IMPORTRANGE(""https://docs.google.com/spreadsheets/d/1l6IZ8xUPgMrESzc"&amp;"TYwhA1k_tPjeQjJPTqlm8Gd9eU5g/edit?usp=sharing"",""มหาสารคาม!M518"")+IMPORTRANGE(""https://docs.google.com/spreadsheets/d/1uB74YLqNjWX6FObjekfB2NtSYigTQyR2rq9u4Ub2Sq4/edit?usp=sharing"",""มุกดาหาร!M518"")+IMPORTRANGE(""https://docs.google.com/spreadsheets/"&amp;"d/1NexK3geCPxCTO1fzNF8dPec7yZyUx3OaWkFBC9HsQOo/edit?usp=sharing"",""ยโสธร!M518"")+IMPORTRANGE(""https://docs.google.com/spreadsheets/d/1v_cJrbBlyqmnHPReHk44g9NrMRdENNlSy_E_c5M9fIg/edit?usp=sharing"",""ร้อยเอ็ด!M518"")+IMPORTRANGE(""https://docs.google.com"&amp;"/spreadsheets/d/1Ul4RCpCX66NxYADU1QpwAPjOmBzW64SsT11s1wzXw_c/edit?usp=sharing"",""เลย!M518"")+IMPORTRANGE(""https://docs.google.com/spreadsheets/d/1bRrNKwbHDVktQG10isr5vbWRtt5spIZPpkOSWgbT5ug/edit?usp=sharing"",""ศรีสะเกษ!M518"")+IMPORTRANGE(""https://doc"&amp;"s.google.com/spreadsheets/d/17P34_Ow5kFBfdQD0qspb2UuPX5zpi6WMrQzslghyvrI/edit?usp=sharing"",""สกลนคร!M518"")+IMPORTRANGE(""https://docs.google.com/spreadsheets/d/1yswqbM3-AEpThF3ZSUa1AcmHnmRTF1vlJ1CZGcJ8YuU/edit?usp=sharing"",""สุรินทร์!M518"")+IMPORTRANG"&amp;"E(""https://docs.google.com/spreadsheets/d/13JHU_EFbsQOUQ0JSQ3dWy1VTRosIWcDq6Nc99z2qzdc/edit?usp=sharing"",""หนองคาย!M518"")+IMPORTRANGE(""https://docs.google.com/spreadsheets/d/1Hx73zIEgVdDZZaYSTc46Dqv64atFhpr3GelxLbaIN8A/edit?usp=sharing"",""หนองบัวลำภู"&amp;"!M518"")+IMPORTRANGE(""https://docs.google.com/spreadsheets/d/1lFxr3ctmjFN90yc-xV6jrQ9Ty8BKYVBWnAZ15wcNIJc/edit?usp=sharing"",""อำนาจเจริญ!M518"")+IMPORTRANGE(""https://docs.google.com/spreadsheets/d/1gF7RJpRnL-1oyjyeWxs5SFWEH7y8ahOZsQlyp2A2e-A/edit?usp=s"&amp;"haring"",""อุดรธานี!M518"")+IMPORTRANGE(""https://docs.google.com/spreadsheets/d/1kfLP0j3INXRa8bTDpcEmoWewMBV61jlFlfzczfjWIgc/edit?usp=sharing"",""อุบลราชธานี!M518"")"),0)</f>
        <v>0</v>
      </c>
      <c r="N518" s="56">
        <f ca="1">IFERROR(__xludf.DUMMYFUNCTION("IMPORTRANGE(""https://docs.google.com/spreadsheets/d/1yhBcrRPreicbMKl9Bu_Snb2-OcQAF62RKfhTLhJ2eAA/edit?usp=sharing"",""กาฬสินธุ์!N518"")+IMPORTRANGE(""https://docs.google.com/spreadsheets/d/1aHkj4IaQMThhwWwevcOymEh837vdxeC_PycurhTbGFA/edit?usp=sharing"","&amp;"""ขอนแก่น!N518"")+IMPORTRANGE(""https://docs.google.com/spreadsheets/d/1FvTu2DsIWUjP6WCWra38Bkj_oOl_sOMf14r5Fg5srxU/edit?usp=sharing"",""ชัยภูมิ!N518"")+IMPORTRANGE(""https://docs.google.com/spreadsheets/d/1XVB7oCJ3pr-vBUdflwPQ8Z2LlzhnCvZaaYjAfP-647E/edit"&amp;"?usp=sharing"",""นครพนม!N518"")+IMPORTRANGE(""https://docs.google.com/spreadsheets/d/1Mnpb-8PYAgn85W6KOTD40hc_Xc55CaLfHoGAbrZ8tls/edit?usp=sharing"",""นครราชสีมา!N518"")+IMPORTRANGE(""https://docs.google.com/spreadsheets/d/1xoDLGBv9CYbyosIhki0kTq6IpYNj-gp"&amp;"jxfobnaDiut0/edit?usp=sharing"",""บึงกาฬ!N518"")+IMPORTRANGE(""https://docs.google.com/spreadsheets/d/1MMPq-JyI6DSgQETxuSiXkesP-P7JHuemnE6QJIa-Nlw/edit?usp=sharing"",""บุรีรัมย์!N518"")+IMPORTRANGE(""https://docs.google.com/spreadsheets/d/1l6IZ8xUPgMrESzc"&amp;"TYwhA1k_tPjeQjJPTqlm8Gd9eU5g/edit?usp=sharing"",""มหาสารคาม!N518"")+IMPORTRANGE(""https://docs.google.com/spreadsheets/d/1uB74YLqNjWX6FObjekfB2NtSYigTQyR2rq9u4Ub2Sq4/edit?usp=sharing"",""มุกดาหาร!N518"")+IMPORTRANGE(""https://docs.google.com/spreadsheets/"&amp;"d/1NexK3geCPxCTO1fzNF8dPec7yZyUx3OaWkFBC9HsQOo/edit?usp=sharing"",""ยโสธร!N518"")+IMPORTRANGE(""https://docs.google.com/spreadsheets/d/1v_cJrbBlyqmnHPReHk44g9NrMRdENNlSy_E_c5M9fIg/edit?usp=sharing"",""ร้อยเอ็ด!N518"")+IMPORTRANGE(""https://docs.google.com"&amp;"/spreadsheets/d/1Ul4RCpCX66NxYADU1QpwAPjOmBzW64SsT11s1wzXw_c/edit?usp=sharing"",""เลย!N518"")+IMPORTRANGE(""https://docs.google.com/spreadsheets/d/1bRrNKwbHDVktQG10isr5vbWRtt5spIZPpkOSWgbT5ug/edit?usp=sharing"",""ศรีสะเกษ!N518"")+IMPORTRANGE(""https://doc"&amp;"s.google.com/spreadsheets/d/17P34_Ow5kFBfdQD0qspb2UuPX5zpi6WMrQzslghyvrI/edit?usp=sharing"",""สกลนคร!N518"")+IMPORTRANGE(""https://docs.google.com/spreadsheets/d/1yswqbM3-AEpThF3ZSUa1AcmHnmRTF1vlJ1CZGcJ8YuU/edit?usp=sharing"",""สุรินทร์!N518"")+IMPORTRANG"&amp;"E(""https://docs.google.com/spreadsheets/d/13JHU_EFbsQOUQ0JSQ3dWy1VTRosIWcDq6Nc99z2qzdc/edit?usp=sharing"",""หนองคาย!N518"")+IMPORTRANGE(""https://docs.google.com/spreadsheets/d/1Hx73zIEgVdDZZaYSTc46Dqv64atFhpr3GelxLbaIN8A/edit?usp=sharing"",""หนองบัวลำภู"&amp;"!N518"")+IMPORTRANGE(""https://docs.google.com/spreadsheets/d/1lFxr3ctmjFN90yc-xV6jrQ9Ty8BKYVBWnAZ15wcNIJc/edit?usp=sharing"",""อำนาจเจริญ!N518"")+IMPORTRANGE(""https://docs.google.com/spreadsheets/d/1gF7RJpRnL-1oyjyeWxs5SFWEH7y8ahOZsQlyp2A2e-A/edit?usp=s"&amp;"haring"",""อุดรธานี!N518"")+IMPORTRANGE(""https://docs.google.com/spreadsheets/d/1kfLP0j3INXRa8bTDpcEmoWewMBV61jlFlfzczfjWIgc/edit?usp=sharing"",""อุบลราชธานี!N518"")"),0)</f>
        <v>0</v>
      </c>
      <c r="O518" s="56">
        <f t="shared" ca="1" si="363"/>
        <v>0</v>
      </c>
      <c r="P518" s="56">
        <f t="shared" ca="1" si="364"/>
        <v>0</v>
      </c>
      <c r="Q518" s="56">
        <f ca="1">IFERROR(__xludf.DUMMYFUNCTION("IMPORTRANGE(""https://docs.google.com/spreadsheets/d/1yhBcrRPreicbMKl9Bu_Snb2-OcQAF62RKfhTLhJ2eAA/edit?usp=sharing"",""กาฬสินธุ์!Q518"")+IMPORTRANGE(""https://docs.google.com/spreadsheets/d/1aHkj4IaQMThhwWwevcOymEh837vdxeC_PycurhTbGFA/edit?usp=sharing"","&amp;"""ขอนแก่น!Q518"")+IMPORTRANGE(""https://docs.google.com/spreadsheets/d/1FvTu2DsIWUjP6WCWra38Bkj_oOl_sOMf14r5Fg5srxU/edit?usp=sharing"",""ชัยภูมิ!Q518"")+IMPORTRANGE(""https://docs.google.com/spreadsheets/d/1XVB7oCJ3pr-vBUdflwPQ8Z2LlzhnCvZaaYjAfP-647E/edit"&amp;"?usp=sharing"",""นครพนม!Q518"")+IMPORTRANGE(""https://docs.google.com/spreadsheets/d/1Mnpb-8PYAgn85W6KOTD40hc_Xc55CaLfHoGAbrZ8tls/edit?usp=sharing"",""นครราชสีมา!Q518"")+IMPORTRANGE(""https://docs.google.com/spreadsheets/d/1xoDLGBv9CYbyosIhki0kTq6IpYNj-gp"&amp;"jxfobnaDiut0/edit?usp=sharing"",""บึงกาฬ!Q518"")+IMPORTRANGE(""https://docs.google.com/spreadsheets/d/1MMPq-JyI6DSgQETxuSiXkesP-P7JHuemnE6QJIa-Nlw/edit?usp=sharing"",""บุรีรัมย์!Q518"")+IMPORTRANGE(""https://docs.google.com/spreadsheets/d/1l6IZ8xUPgMrESzc"&amp;"TYwhA1k_tPjeQjJPTqlm8Gd9eU5g/edit?usp=sharing"",""มหาสารคาม!Q518"")+IMPORTRANGE(""https://docs.google.com/spreadsheets/d/1uB74YLqNjWX6FObjekfB2NtSYigTQyR2rq9u4Ub2Sq4/edit?usp=sharing"",""มุกดาหาร!Q518"")+IMPORTRANGE(""https://docs.google.com/spreadsheets/"&amp;"d/1NexK3geCPxCTO1fzNF8dPec7yZyUx3OaWkFBC9HsQOo/edit?usp=sharing"",""ยโสธร!Q518"")+IMPORTRANGE(""https://docs.google.com/spreadsheets/d/1v_cJrbBlyqmnHPReHk44g9NrMRdENNlSy_E_c5M9fIg/edit?usp=sharing"",""ร้อยเอ็ด!Q518"")+IMPORTRANGE(""https://docs.google.com"&amp;"/spreadsheets/d/1Ul4RCpCX66NxYADU1QpwAPjOmBzW64SsT11s1wzXw_c/edit?usp=sharing"",""เลย!Q518"")+IMPORTRANGE(""https://docs.google.com/spreadsheets/d/1bRrNKwbHDVktQG10isr5vbWRtt5spIZPpkOSWgbT5ug/edit?usp=sharing"",""ศรีสะเกษ!Q518"")+IMPORTRANGE(""https://doc"&amp;"s.google.com/spreadsheets/d/17P34_Ow5kFBfdQD0qspb2UuPX5zpi6WMrQzslghyvrI/edit?usp=sharing"",""สกลนคร!Q518"")+IMPORTRANGE(""https://docs.google.com/spreadsheets/d/1yswqbM3-AEpThF3ZSUa1AcmHnmRTF1vlJ1CZGcJ8YuU/edit?usp=sharing"",""สุรินทร์!Q518"")+IMPORTRANG"&amp;"E(""https://docs.google.com/spreadsheets/d/13JHU_EFbsQOUQ0JSQ3dWy1VTRosIWcDq6Nc99z2qzdc/edit?usp=sharing"",""หนองคาย!Q518"")+IMPORTRANGE(""https://docs.google.com/spreadsheets/d/1Hx73zIEgVdDZZaYSTc46Dqv64atFhpr3GelxLbaIN8A/edit?usp=sharing"",""หนองบัวลำภู"&amp;"!Q518"")+IMPORTRANGE(""https://docs.google.com/spreadsheets/d/1lFxr3ctmjFN90yc-xV6jrQ9Ty8BKYVBWnAZ15wcNIJc/edit?usp=sharing"",""อำนาจเจริญ!Q518"")+IMPORTRANGE(""https://docs.google.com/spreadsheets/d/1gF7RJpRnL-1oyjyeWxs5SFWEH7y8ahOZsQlyp2A2e-A/edit?usp=s"&amp;"haring"",""อุดรธานี!Q518"")+IMPORTRANGE(""https://docs.google.com/spreadsheets/d/1kfLP0j3INXRa8bTDpcEmoWewMBV61jlFlfzczfjWIgc/edit?usp=sharing"",""อุบลราชธานี!Q518"")"),0)</f>
        <v>0</v>
      </c>
      <c r="R518" s="56">
        <f ca="1">IFERROR(__xludf.DUMMYFUNCTION("IMPORTRANGE(""https://docs.google.com/spreadsheets/d/1yhBcrRPreicbMKl9Bu_Snb2-OcQAF62RKfhTLhJ2eAA/edit?usp=sharing"",""กาฬสินธุ์!R518"")+IMPORTRANGE(""https://docs.google.com/spreadsheets/d/1aHkj4IaQMThhwWwevcOymEh837vdxeC_PycurhTbGFA/edit?usp=sharing"","&amp;"""ขอนแก่น!R518"")+IMPORTRANGE(""https://docs.google.com/spreadsheets/d/1FvTu2DsIWUjP6WCWra38Bkj_oOl_sOMf14r5Fg5srxU/edit?usp=sharing"",""ชัยภูมิ!R518"")+IMPORTRANGE(""https://docs.google.com/spreadsheets/d/1XVB7oCJ3pr-vBUdflwPQ8Z2LlzhnCvZaaYjAfP-647E/edit"&amp;"?usp=sharing"",""นครพนม!R518"")+IMPORTRANGE(""https://docs.google.com/spreadsheets/d/1Mnpb-8PYAgn85W6KOTD40hc_Xc55CaLfHoGAbrZ8tls/edit?usp=sharing"",""นครราชสีมา!R518"")+IMPORTRANGE(""https://docs.google.com/spreadsheets/d/1xoDLGBv9CYbyosIhki0kTq6IpYNj-gp"&amp;"jxfobnaDiut0/edit?usp=sharing"",""บึงกาฬ!R518"")+IMPORTRANGE(""https://docs.google.com/spreadsheets/d/1MMPq-JyI6DSgQETxuSiXkesP-P7JHuemnE6QJIa-Nlw/edit?usp=sharing"",""บุรีรัมย์!R518"")+IMPORTRANGE(""https://docs.google.com/spreadsheets/d/1l6IZ8xUPgMrESzc"&amp;"TYwhA1k_tPjeQjJPTqlm8Gd9eU5g/edit?usp=sharing"",""มหาสารคาม!R518"")+IMPORTRANGE(""https://docs.google.com/spreadsheets/d/1uB74YLqNjWX6FObjekfB2NtSYigTQyR2rq9u4Ub2Sq4/edit?usp=sharing"",""มุกดาหาร!R518"")+IMPORTRANGE(""https://docs.google.com/spreadsheets/"&amp;"d/1NexK3geCPxCTO1fzNF8dPec7yZyUx3OaWkFBC9HsQOo/edit?usp=sharing"",""ยโสธร!R518"")+IMPORTRANGE(""https://docs.google.com/spreadsheets/d/1v_cJrbBlyqmnHPReHk44g9NrMRdENNlSy_E_c5M9fIg/edit?usp=sharing"",""ร้อยเอ็ด!R518"")+IMPORTRANGE(""https://docs.google.com"&amp;"/spreadsheets/d/1Ul4RCpCX66NxYADU1QpwAPjOmBzW64SsT11s1wzXw_c/edit?usp=sharing"",""เลย!R518"")+IMPORTRANGE(""https://docs.google.com/spreadsheets/d/1bRrNKwbHDVktQG10isr5vbWRtt5spIZPpkOSWgbT5ug/edit?usp=sharing"",""ศรีสะเกษ!R518"")+IMPORTRANGE(""https://doc"&amp;"s.google.com/spreadsheets/d/17P34_Ow5kFBfdQD0qspb2UuPX5zpi6WMrQzslghyvrI/edit?usp=sharing"",""สกลนคร!R518"")+IMPORTRANGE(""https://docs.google.com/spreadsheets/d/1yswqbM3-AEpThF3ZSUa1AcmHnmRTF1vlJ1CZGcJ8YuU/edit?usp=sharing"",""สุรินทร์!R518"")+IMPORTRANG"&amp;"E(""https://docs.google.com/spreadsheets/d/13JHU_EFbsQOUQ0JSQ3dWy1VTRosIWcDq6Nc99z2qzdc/edit?usp=sharing"",""หนองคาย!R518"")+IMPORTRANGE(""https://docs.google.com/spreadsheets/d/1Hx73zIEgVdDZZaYSTc46Dqv64atFhpr3GelxLbaIN8A/edit?usp=sharing"",""หนองบัวลำภู"&amp;"!R518"")+IMPORTRANGE(""https://docs.google.com/spreadsheets/d/1lFxr3ctmjFN90yc-xV6jrQ9Ty8BKYVBWnAZ15wcNIJc/edit?usp=sharing"",""อำนาจเจริญ!R518"")+IMPORTRANGE(""https://docs.google.com/spreadsheets/d/1gF7RJpRnL-1oyjyeWxs5SFWEH7y8ahOZsQlyp2A2e-A/edit?usp=s"&amp;"haring"",""อุดรธานี!R518"")+IMPORTRANGE(""https://docs.google.com/spreadsheets/d/1kfLP0j3INXRa8bTDpcEmoWewMBV61jlFlfzczfjWIgc/edit?usp=sharing"",""อุบลราชธานี!R518"")"),0)</f>
        <v>0</v>
      </c>
      <c r="S518" s="57">
        <f ca="1">IFERROR(__xludf.DUMMYFUNCTION("IMPORTRANGE(""https://docs.google.com/spreadsheets/d/1yhBcrRPreicbMKl9Bu_Snb2-OcQAF62RKfhTLhJ2eAA/edit?usp=sharing"",""กาฬสินธุ์!S518"")+IMPORTRANGE(""https://docs.google.com/spreadsheets/d/1aHkj4IaQMThhwWwevcOymEh837vdxeC_PycurhTbGFA/edit?usp=sharing"","&amp;"""ขอนแก่น!S518"")+IMPORTRANGE(""https://docs.google.com/spreadsheets/d/1FvTu2DsIWUjP6WCWra38Bkj_oOl_sOMf14r5Fg5srxU/edit?usp=sharing"",""ชัยภูมิ!S518"")+IMPORTRANGE(""https://docs.google.com/spreadsheets/d/1XVB7oCJ3pr-vBUdflwPQ8Z2LlzhnCvZaaYjAfP-647E/edit"&amp;"?usp=sharing"",""นครพนม!S518"")+IMPORTRANGE(""https://docs.google.com/spreadsheets/d/1Mnpb-8PYAgn85W6KOTD40hc_Xc55CaLfHoGAbrZ8tls/edit?usp=sharing"",""นครราชสีมา!S518"")+IMPORTRANGE(""https://docs.google.com/spreadsheets/d/1xoDLGBv9CYbyosIhki0kTq6IpYNj-gp"&amp;"jxfobnaDiut0/edit?usp=sharing"",""บึงกาฬ!S518"")+IMPORTRANGE(""https://docs.google.com/spreadsheets/d/1MMPq-JyI6DSgQETxuSiXkesP-P7JHuemnE6QJIa-Nlw/edit?usp=sharing"",""บุรีรัมย์!S518"")+IMPORTRANGE(""https://docs.google.com/spreadsheets/d/1l6IZ8xUPgMrESzc"&amp;"TYwhA1k_tPjeQjJPTqlm8Gd9eU5g/edit?usp=sharing"",""มหาสารคาม!S518"")+IMPORTRANGE(""https://docs.google.com/spreadsheets/d/1uB74YLqNjWX6FObjekfB2NtSYigTQyR2rq9u4Ub2Sq4/edit?usp=sharing"",""มุกดาหาร!S518"")+IMPORTRANGE(""https://docs.google.com/spreadsheets/"&amp;"d/1NexK3geCPxCTO1fzNF8dPec7yZyUx3OaWkFBC9HsQOo/edit?usp=sharing"",""ยโสธร!S518"")+IMPORTRANGE(""https://docs.google.com/spreadsheets/d/1v_cJrbBlyqmnHPReHk44g9NrMRdENNlSy_E_c5M9fIg/edit?usp=sharing"",""ร้อยเอ็ด!S518"")+IMPORTRANGE(""https://docs.google.com"&amp;"/spreadsheets/d/1Ul4RCpCX66NxYADU1QpwAPjOmBzW64SsT11s1wzXw_c/edit?usp=sharing"",""เลย!S518"")+IMPORTRANGE(""https://docs.google.com/spreadsheets/d/1bRrNKwbHDVktQG10isr5vbWRtt5spIZPpkOSWgbT5ug/edit?usp=sharing"",""ศรีสะเกษ!S518"")+IMPORTRANGE(""https://doc"&amp;"s.google.com/spreadsheets/d/17P34_Ow5kFBfdQD0qspb2UuPX5zpi6WMrQzslghyvrI/edit?usp=sharing"",""สกลนคร!S518"")+IMPORTRANGE(""https://docs.google.com/spreadsheets/d/1yswqbM3-AEpThF3ZSUa1AcmHnmRTF1vlJ1CZGcJ8YuU/edit?usp=sharing"",""สุรินทร์!S518"")+IMPORTRANG"&amp;"E(""https://docs.google.com/spreadsheets/d/13JHU_EFbsQOUQ0JSQ3dWy1VTRosIWcDq6Nc99z2qzdc/edit?usp=sharing"",""หนองคาย!S518"")+IMPORTRANGE(""https://docs.google.com/spreadsheets/d/1Hx73zIEgVdDZZaYSTc46Dqv64atFhpr3GelxLbaIN8A/edit?usp=sharing"",""หนองบัวลำภู"&amp;"!S518"")+IMPORTRANGE(""https://docs.google.com/spreadsheets/d/1lFxr3ctmjFN90yc-xV6jrQ9Ty8BKYVBWnAZ15wcNIJc/edit?usp=sharing"",""อำนาจเจริญ!S518"")+IMPORTRANGE(""https://docs.google.com/spreadsheets/d/1gF7RJpRnL-1oyjyeWxs5SFWEH7y8ahOZsQlyp2A2e-A/edit?usp=s"&amp;"haring"",""อุดรธานี!S518"")+IMPORTRANGE(""https://docs.google.com/spreadsheets/d/1kfLP0j3INXRa8bTDpcEmoWewMBV61jlFlfzczfjWIgc/edit?usp=sharing"",""อุบลราชธานี!S518"")"),0)</f>
        <v>0</v>
      </c>
      <c r="T518" s="56">
        <f t="shared" ca="1" si="366"/>
        <v>0</v>
      </c>
      <c r="U518" s="56">
        <f t="shared" ca="1" si="367"/>
        <v>0</v>
      </c>
    </row>
    <row r="519" spans="1:21" ht="18.75">
      <c r="A519" s="155"/>
      <c r="B519" s="50"/>
      <c r="C519" s="50"/>
      <c r="D519" s="51" t="s">
        <v>23</v>
      </c>
      <c r="E519" s="50"/>
      <c r="F519" s="50"/>
      <c r="G519" s="52"/>
      <c r="H519" s="165" t="s">
        <v>14</v>
      </c>
      <c r="I519" s="163"/>
      <c r="J519" s="163"/>
      <c r="K519" s="164"/>
      <c r="L519" s="56">
        <f t="shared" ref="L519:N519" ca="1" si="374">L520+L521</f>
        <v>0</v>
      </c>
      <c r="M519" s="56">
        <f t="shared" ca="1" si="374"/>
        <v>0</v>
      </c>
      <c r="N519" s="56">
        <f t="shared" ca="1" si="374"/>
        <v>0</v>
      </c>
      <c r="O519" s="56">
        <f t="shared" ca="1" si="363"/>
        <v>0</v>
      </c>
      <c r="P519" s="56">
        <f t="shared" ca="1" si="364"/>
        <v>0</v>
      </c>
      <c r="Q519" s="56">
        <f t="shared" ref="Q519:S519" ca="1" si="375">Q520+Q521</f>
        <v>0</v>
      </c>
      <c r="R519" s="56">
        <f t="shared" ca="1" si="375"/>
        <v>0</v>
      </c>
      <c r="S519" s="57">
        <f t="shared" ca="1" si="375"/>
        <v>0</v>
      </c>
      <c r="T519" s="56">
        <f t="shared" ca="1" si="366"/>
        <v>0</v>
      </c>
      <c r="U519" s="56">
        <f t="shared" ca="1" si="367"/>
        <v>0</v>
      </c>
    </row>
    <row r="520" spans="1:21" ht="18.75">
      <c r="A520" s="155"/>
      <c r="B520" s="50"/>
      <c r="C520" s="50"/>
      <c r="D520" s="50"/>
      <c r="E520" s="58" t="s">
        <v>20</v>
      </c>
      <c r="F520" s="50"/>
      <c r="G520" s="52"/>
      <c r="H520" s="162" t="s">
        <v>14</v>
      </c>
      <c r="I520" s="163"/>
      <c r="J520" s="163"/>
      <c r="K520" s="164"/>
      <c r="L520" s="56">
        <f ca="1">IFERROR(__xludf.DUMMYFUNCTION("IMPORTRANGE(""https://docs.google.com/spreadsheets/d/1yhBcrRPreicbMKl9Bu_Snb2-OcQAF62RKfhTLhJ2eAA/edit?usp=sharing"",""กาฬสินธุ์!L520"")+IMPORTRANGE(""https://docs.google.com/spreadsheets/d/1aHkj4IaQMThhwWwevcOymEh837vdxeC_PycurhTbGFA/edit?usp=sharing"","&amp;"""ขอนแก่น!L520"")+IMPORTRANGE(""https://docs.google.com/spreadsheets/d/1FvTu2DsIWUjP6WCWra38Bkj_oOl_sOMf14r5Fg5srxU/edit?usp=sharing"",""ชัยภูมิ!L520"")+IMPORTRANGE(""https://docs.google.com/spreadsheets/d/1XVB7oCJ3pr-vBUdflwPQ8Z2LlzhnCvZaaYjAfP-647E/edit"&amp;"?usp=sharing"",""นครพนม!L520"")+IMPORTRANGE(""https://docs.google.com/spreadsheets/d/1Mnpb-8PYAgn85W6KOTD40hc_Xc55CaLfHoGAbrZ8tls/edit?usp=sharing"",""นครราชสีมา!L520"")+IMPORTRANGE(""https://docs.google.com/spreadsheets/d/1xoDLGBv9CYbyosIhki0kTq6IpYNj-gp"&amp;"jxfobnaDiut0/edit?usp=sharing"",""บึงกาฬ!L520"")+IMPORTRANGE(""https://docs.google.com/spreadsheets/d/1MMPq-JyI6DSgQETxuSiXkesP-P7JHuemnE6QJIa-Nlw/edit?usp=sharing"",""บุรีรัมย์!L520"")+IMPORTRANGE(""https://docs.google.com/spreadsheets/d/1l6IZ8xUPgMrESzc"&amp;"TYwhA1k_tPjeQjJPTqlm8Gd9eU5g/edit?usp=sharing"",""มหาสารคาม!L520"")+IMPORTRANGE(""https://docs.google.com/spreadsheets/d/1uB74YLqNjWX6FObjekfB2NtSYigTQyR2rq9u4Ub2Sq4/edit?usp=sharing"",""มุกดาหาร!L520"")+IMPORTRANGE(""https://docs.google.com/spreadsheets/"&amp;"d/1NexK3geCPxCTO1fzNF8dPec7yZyUx3OaWkFBC9HsQOo/edit?usp=sharing"",""ยโสธร!L520"")+IMPORTRANGE(""https://docs.google.com/spreadsheets/d/1v_cJrbBlyqmnHPReHk44g9NrMRdENNlSy_E_c5M9fIg/edit?usp=sharing"",""ร้อยเอ็ด!L520"")+IMPORTRANGE(""https://docs.google.com"&amp;"/spreadsheets/d/1Ul4RCpCX66NxYADU1QpwAPjOmBzW64SsT11s1wzXw_c/edit?usp=sharing"",""เลย!L520"")+IMPORTRANGE(""https://docs.google.com/spreadsheets/d/1bRrNKwbHDVktQG10isr5vbWRtt5spIZPpkOSWgbT5ug/edit?usp=sharing"",""ศรีสะเกษ!L520"")+IMPORTRANGE(""https://doc"&amp;"s.google.com/spreadsheets/d/17P34_Ow5kFBfdQD0qspb2UuPX5zpi6WMrQzslghyvrI/edit?usp=sharing"",""สกลนคร!L520"")+IMPORTRANGE(""https://docs.google.com/spreadsheets/d/1yswqbM3-AEpThF3ZSUa1AcmHnmRTF1vlJ1CZGcJ8YuU/edit?usp=sharing"",""สุรินทร์!L520"")+IMPORTRANG"&amp;"E(""https://docs.google.com/spreadsheets/d/13JHU_EFbsQOUQ0JSQ3dWy1VTRosIWcDq6Nc99z2qzdc/edit?usp=sharing"",""หนองคาย!L520"")+IMPORTRANGE(""https://docs.google.com/spreadsheets/d/1Hx73zIEgVdDZZaYSTc46Dqv64atFhpr3GelxLbaIN8A/edit?usp=sharing"",""หนองบัวลำภู"&amp;"!L520"")+IMPORTRANGE(""https://docs.google.com/spreadsheets/d/1lFxr3ctmjFN90yc-xV6jrQ9Ty8BKYVBWnAZ15wcNIJc/edit?usp=sharing"",""อำนาจเจริญ!L520"")+IMPORTRANGE(""https://docs.google.com/spreadsheets/d/1gF7RJpRnL-1oyjyeWxs5SFWEH7y8ahOZsQlyp2A2e-A/edit?usp=s"&amp;"haring"",""อุดรธานี!L520"")+IMPORTRANGE(""https://docs.google.com/spreadsheets/d/1kfLP0j3INXRa8bTDpcEmoWewMBV61jlFlfzczfjWIgc/edit?usp=sharing"",""อุบลราชธานี!L520"")"),0)</f>
        <v>0</v>
      </c>
      <c r="M520" s="56">
        <f ca="1">IFERROR(__xludf.DUMMYFUNCTION("IMPORTRANGE(""https://docs.google.com/spreadsheets/d/1yhBcrRPreicbMKl9Bu_Snb2-OcQAF62RKfhTLhJ2eAA/edit?usp=sharing"",""กาฬสินธุ์!M520"")+IMPORTRANGE(""https://docs.google.com/spreadsheets/d/1aHkj4IaQMThhwWwevcOymEh837vdxeC_PycurhTbGFA/edit?usp=sharing"","&amp;"""ขอนแก่น!M520"")+IMPORTRANGE(""https://docs.google.com/spreadsheets/d/1FvTu2DsIWUjP6WCWra38Bkj_oOl_sOMf14r5Fg5srxU/edit?usp=sharing"",""ชัยภูมิ!M520"")+IMPORTRANGE(""https://docs.google.com/spreadsheets/d/1XVB7oCJ3pr-vBUdflwPQ8Z2LlzhnCvZaaYjAfP-647E/edit"&amp;"?usp=sharing"",""นครพนม!M520"")+IMPORTRANGE(""https://docs.google.com/spreadsheets/d/1Mnpb-8PYAgn85W6KOTD40hc_Xc55CaLfHoGAbrZ8tls/edit?usp=sharing"",""นครราชสีมา!M520"")+IMPORTRANGE(""https://docs.google.com/spreadsheets/d/1xoDLGBv9CYbyosIhki0kTq6IpYNj-gp"&amp;"jxfobnaDiut0/edit?usp=sharing"",""บึงกาฬ!M520"")+IMPORTRANGE(""https://docs.google.com/spreadsheets/d/1MMPq-JyI6DSgQETxuSiXkesP-P7JHuemnE6QJIa-Nlw/edit?usp=sharing"",""บุรีรัมย์!M520"")+IMPORTRANGE(""https://docs.google.com/spreadsheets/d/1l6IZ8xUPgMrESzc"&amp;"TYwhA1k_tPjeQjJPTqlm8Gd9eU5g/edit?usp=sharing"",""มหาสารคาม!M520"")+IMPORTRANGE(""https://docs.google.com/spreadsheets/d/1uB74YLqNjWX6FObjekfB2NtSYigTQyR2rq9u4Ub2Sq4/edit?usp=sharing"",""มุกดาหาร!M520"")+IMPORTRANGE(""https://docs.google.com/spreadsheets/"&amp;"d/1NexK3geCPxCTO1fzNF8dPec7yZyUx3OaWkFBC9HsQOo/edit?usp=sharing"",""ยโสธร!M520"")+IMPORTRANGE(""https://docs.google.com/spreadsheets/d/1v_cJrbBlyqmnHPReHk44g9NrMRdENNlSy_E_c5M9fIg/edit?usp=sharing"",""ร้อยเอ็ด!M520"")+IMPORTRANGE(""https://docs.google.com"&amp;"/spreadsheets/d/1Ul4RCpCX66NxYADU1QpwAPjOmBzW64SsT11s1wzXw_c/edit?usp=sharing"",""เลย!M520"")+IMPORTRANGE(""https://docs.google.com/spreadsheets/d/1bRrNKwbHDVktQG10isr5vbWRtt5spIZPpkOSWgbT5ug/edit?usp=sharing"",""ศรีสะเกษ!M520"")+IMPORTRANGE(""https://doc"&amp;"s.google.com/spreadsheets/d/17P34_Ow5kFBfdQD0qspb2UuPX5zpi6WMrQzslghyvrI/edit?usp=sharing"",""สกลนคร!M520"")+IMPORTRANGE(""https://docs.google.com/spreadsheets/d/1yswqbM3-AEpThF3ZSUa1AcmHnmRTF1vlJ1CZGcJ8YuU/edit?usp=sharing"",""สุรินทร์!M520"")+IMPORTRANG"&amp;"E(""https://docs.google.com/spreadsheets/d/13JHU_EFbsQOUQ0JSQ3dWy1VTRosIWcDq6Nc99z2qzdc/edit?usp=sharing"",""หนองคาย!M520"")+IMPORTRANGE(""https://docs.google.com/spreadsheets/d/1Hx73zIEgVdDZZaYSTc46Dqv64atFhpr3GelxLbaIN8A/edit?usp=sharing"",""หนองบัวลำภู"&amp;"!M520"")+IMPORTRANGE(""https://docs.google.com/spreadsheets/d/1lFxr3ctmjFN90yc-xV6jrQ9Ty8BKYVBWnAZ15wcNIJc/edit?usp=sharing"",""อำนาจเจริญ!M520"")+IMPORTRANGE(""https://docs.google.com/spreadsheets/d/1gF7RJpRnL-1oyjyeWxs5SFWEH7y8ahOZsQlyp2A2e-A/edit?usp=s"&amp;"haring"",""อุดรธานี!M520"")+IMPORTRANGE(""https://docs.google.com/spreadsheets/d/1kfLP0j3INXRa8bTDpcEmoWewMBV61jlFlfzczfjWIgc/edit?usp=sharing"",""อุบลราชธานี!M520"")"),0)</f>
        <v>0</v>
      </c>
      <c r="N520" s="56">
        <f ca="1">IFERROR(__xludf.DUMMYFUNCTION("IMPORTRANGE(""https://docs.google.com/spreadsheets/d/1yhBcrRPreicbMKl9Bu_Snb2-OcQAF62RKfhTLhJ2eAA/edit?usp=sharing"",""กาฬสินธุ์!N520"")+IMPORTRANGE(""https://docs.google.com/spreadsheets/d/1aHkj4IaQMThhwWwevcOymEh837vdxeC_PycurhTbGFA/edit?usp=sharing"","&amp;"""ขอนแก่น!N520"")+IMPORTRANGE(""https://docs.google.com/spreadsheets/d/1FvTu2DsIWUjP6WCWra38Bkj_oOl_sOMf14r5Fg5srxU/edit?usp=sharing"",""ชัยภูมิ!N520"")+IMPORTRANGE(""https://docs.google.com/spreadsheets/d/1XVB7oCJ3pr-vBUdflwPQ8Z2LlzhnCvZaaYjAfP-647E/edit"&amp;"?usp=sharing"",""นครพนม!N520"")+IMPORTRANGE(""https://docs.google.com/spreadsheets/d/1Mnpb-8PYAgn85W6KOTD40hc_Xc55CaLfHoGAbrZ8tls/edit?usp=sharing"",""นครราชสีมา!N520"")+IMPORTRANGE(""https://docs.google.com/spreadsheets/d/1xoDLGBv9CYbyosIhki0kTq6IpYNj-gp"&amp;"jxfobnaDiut0/edit?usp=sharing"",""บึงกาฬ!N520"")+IMPORTRANGE(""https://docs.google.com/spreadsheets/d/1MMPq-JyI6DSgQETxuSiXkesP-P7JHuemnE6QJIa-Nlw/edit?usp=sharing"",""บุรีรัมย์!N520"")+IMPORTRANGE(""https://docs.google.com/spreadsheets/d/1l6IZ8xUPgMrESzc"&amp;"TYwhA1k_tPjeQjJPTqlm8Gd9eU5g/edit?usp=sharing"",""มหาสารคาม!N520"")+IMPORTRANGE(""https://docs.google.com/spreadsheets/d/1uB74YLqNjWX6FObjekfB2NtSYigTQyR2rq9u4Ub2Sq4/edit?usp=sharing"",""มุกดาหาร!N520"")+IMPORTRANGE(""https://docs.google.com/spreadsheets/"&amp;"d/1NexK3geCPxCTO1fzNF8dPec7yZyUx3OaWkFBC9HsQOo/edit?usp=sharing"",""ยโสธร!N520"")+IMPORTRANGE(""https://docs.google.com/spreadsheets/d/1v_cJrbBlyqmnHPReHk44g9NrMRdENNlSy_E_c5M9fIg/edit?usp=sharing"",""ร้อยเอ็ด!N520"")+IMPORTRANGE(""https://docs.google.com"&amp;"/spreadsheets/d/1Ul4RCpCX66NxYADU1QpwAPjOmBzW64SsT11s1wzXw_c/edit?usp=sharing"",""เลย!N520"")+IMPORTRANGE(""https://docs.google.com/spreadsheets/d/1bRrNKwbHDVktQG10isr5vbWRtt5spIZPpkOSWgbT5ug/edit?usp=sharing"",""ศรีสะเกษ!N520"")+IMPORTRANGE(""https://doc"&amp;"s.google.com/spreadsheets/d/17P34_Ow5kFBfdQD0qspb2UuPX5zpi6WMrQzslghyvrI/edit?usp=sharing"",""สกลนคร!N520"")+IMPORTRANGE(""https://docs.google.com/spreadsheets/d/1yswqbM3-AEpThF3ZSUa1AcmHnmRTF1vlJ1CZGcJ8YuU/edit?usp=sharing"",""สุรินทร์!N520"")+IMPORTRANG"&amp;"E(""https://docs.google.com/spreadsheets/d/13JHU_EFbsQOUQ0JSQ3dWy1VTRosIWcDq6Nc99z2qzdc/edit?usp=sharing"",""หนองคาย!N520"")+IMPORTRANGE(""https://docs.google.com/spreadsheets/d/1Hx73zIEgVdDZZaYSTc46Dqv64atFhpr3GelxLbaIN8A/edit?usp=sharing"",""หนองบัวลำภู"&amp;"!N520"")+IMPORTRANGE(""https://docs.google.com/spreadsheets/d/1lFxr3ctmjFN90yc-xV6jrQ9Ty8BKYVBWnAZ15wcNIJc/edit?usp=sharing"",""อำนาจเจริญ!N520"")+IMPORTRANGE(""https://docs.google.com/spreadsheets/d/1gF7RJpRnL-1oyjyeWxs5SFWEH7y8ahOZsQlyp2A2e-A/edit?usp=s"&amp;"haring"",""อุดรธานี!N520"")+IMPORTRANGE(""https://docs.google.com/spreadsheets/d/1kfLP0j3INXRa8bTDpcEmoWewMBV61jlFlfzczfjWIgc/edit?usp=sharing"",""อุบลราชธานี!N520"")"),0)</f>
        <v>0</v>
      </c>
      <c r="O520" s="56">
        <f t="shared" ca="1" si="363"/>
        <v>0</v>
      </c>
      <c r="P520" s="56">
        <f t="shared" ca="1" si="364"/>
        <v>0</v>
      </c>
      <c r="Q520" s="56">
        <f ca="1">IFERROR(__xludf.DUMMYFUNCTION("IMPORTRANGE(""https://docs.google.com/spreadsheets/d/1yhBcrRPreicbMKl9Bu_Snb2-OcQAF62RKfhTLhJ2eAA/edit?usp=sharing"",""กาฬสินธุ์!Q520"")+IMPORTRANGE(""https://docs.google.com/spreadsheets/d/1aHkj4IaQMThhwWwevcOymEh837vdxeC_PycurhTbGFA/edit?usp=sharing"","&amp;"""ขอนแก่น!Q520"")+IMPORTRANGE(""https://docs.google.com/spreadsheets/d/1FvTu2DsIWUjP6WCWra38Bkj_oOl_sOMf14r5Fg5srxU/edit?usp=sharing"",""ชัยภูมิ!Q520"")+IMPORTRANGE(""https://docs.google.com/spreadsheets/d/1XVB7oCJ3pr-vBUdflwPQ8Z2LlzhnCvZaaYjAfP-647E/edit"&amp;"?usp=sharing"",""นครพนม!Q520"")+IMPORTRANGE(""https://docs.google.com/spreadsheets/d/1Mnpb-8PYAgn85W6KOTD40hc_Xc55CaLfHoGAbrZ8tls/edit?usp=sharing"",""นครราชสีมา!Q520"")+IMPORTRANGE(""https://docs.google.com/spreadsheets/d/1xoDLGBv9CYbyosIhki0kTq6IpYNj-gp"&amp;"jxfobnaDiut0/edit?usp=sharing"",""บึงกาฬ!Q520"")+IMPORTRANGE(""https://docs.google.com/spreadsheets/d/1MMPq-JyI6DSgQETxuSiXkesP-P7JHuemnE6QJIa-Nlw/edit?usp=sharing"",""บุรีรัมย์!Q520"")+IMPORTRANGE(""https://docs.google.com/spreadsheets/d/1l6IZ8xUPgMrESzc"&amp;"TYwhA1k_tPjeQjJPTqlm8Gd9eU5g/edit?usp=sharing"",""มหาสารคาม!Q520"")+IMPORTRANGE(""https://docs.google.com/spreadsheets/d/1uB74YLqNjWX6FObjekfB2NtSYigTQyR2rq9u4Ub2Sq4/edit?usp=sharing"",""มุกดาหาร!Q520"")+IMPORTRANGE(""https://docs.google.com/spreadsheets/"&amp;"d/1NexK3geCPxCTO1fzNF8dPec7yZyUx3OaWkFBC9HsQOo/edit?usp=sharing"",""ยโสธร!Q520"")+IMPORTRANGE(""https://docs.google.com/spreadsheets/d/1v_cJrbBlyqmnHPReHk44g9NrMRdENNlSy_E_c5M9fIg/edit?usp=sharing"",""ร้อยเอ็ด!Q520"")+IMPORTRANGE(""https://docs.google.com"&amp;"/spreadsheets/d/1Ul4RCpCX66NxYADU1QpwAPjOmBzW64SsT11s1wzXw_c/edit?usp=sharing"",""เลย!Q520"")+IMPORTRANGE(""https://docs.google.com/spreadsheets/d/1bRrNKwbHDVktQG10isr5vbWRtt5spIZPpkOSWgbT5ug/edit?usp=sharing"",""ศรีสะเกษ!Q520"")+IMPORTRANGE(""https://doc"&amp;"s.google.com/spreadsheets/d/17P34_Ow5kFBfdQD0qspb2UuPX5zpi6WMrQzslghyvrI/edit?usp=sharing"",""สกลนคร!Q520"")+IMPORTRANGE(""https://docs.google.com/spreadsheets/d/1yswqbM3-AEpThF3ZSUa1AcmHnmRTF1vlJ1CZGcJ8YuU/edit?usp=sharing"",""สุรินทร์!Q520"")+IMPORTRANG"&amp;"E(""https://docs.google.com/spreadsheets/d/13JHU_EFbsQOUQ0JSQ3dWy1VTRosIWcDq6Nc99z2qzdc/edit?usp=sharing"",""หนองคาย!Q520"")+IMPORTRANGE(""https://docs.google.com/spreadsheets/d/1Hx73zIEgVdDZZaYSTc46Dqv64atFhpr3GelxLbaIN8A/edit?usp=sharing"",""หนองบัวลำภู"&amp;"!Q520"")+IMPORTRANGE(""https://docs.google.com/spreadsheets/d/1lFxr3ctmjFN90yc-xV6jrQ9Ty8BKYVBWnAZ15wcNIJc/edit?usp=sharing"",""อำนาจเจริญ!Q520"")+IMPORTRANGE(""https://docs.google.com/spreadsheets/d/1gF7RJpRnL-1oyjyeWxs5SFWEH7y8ahOZsQlyp2A2e-A/edit?usp=s"&amp;"haring"",""อุดรธานี!Q520"")+IMPORTRANGE(""https://docs.google.com/spreadsheets/d/1kfLP0j3INXRa8bTDpcEmoWewMBV61jlFlfzczfjWIgc/edit?usp=sharing"",""อุบลราชธานี!Q520"")"),0)</f>
        <v>0</v>
      </c>
      <c r="R520" s="56">
        <f ca="1">IFERROR(__xludf.DUMMYFUNCTION("IMPORTRANGE(""https://docs.google.com/spreadsheets/d/1yhBcrRPreicbMKl9Bu_Snb2-OcQAF62RKfhTLhJ2eAA/edit?usp=sharing"",""กาฬสินธุ์!R520"")+IMPORTRANGE(""https://docs.google.com/spreadsheets/d/1aHkj4IaQMThhwWwevcOymEh837vdxeC_PycurhTbGFA/edit?usp=sharing"","&amp;"""ขอนแก่น!R520"")+IMPORTRANGE(""https://docs.google.com/spreadsheets/d/1FvTu2DsIWUjP6WCWra38Bkj_oOl_sOMf14r5Fg5srxU/edit?usp=sharing"",""ชัยภูมิ!R520"")+IMPORTRANGE(""https://docs.google.com/spreadsheets/d/1XVB7oCJ3pr-vBUdflwPQ8Z2LlzhnCvZaaYjAfP-647E/edit"&amp;"?usp=sharing"",""นครพนม!R520"")+IMPORTRANGE(""https://docs.google.com/spreadsheets/d/1Mnpb-8PYAgn85W6KOTD40hc_Xc55CaLfHoGAbrZ8tls/edit?usp=sharing"",""นครราชสีมา!R520"")+IMPORTRANGE(""https://docs.google.com/spreadsheets/d/1xoDLGBv9CYbyosIhki0kTq6IpYNj-gp"&amp;"jxfobnaDiut0/edit?usp=sharing"",""บึงกาฬ!R520"")+IMPORTRANGE(""https://docs.google.com/spreadsheets/d/1MMPq-JyI6DSgQETxuSiXkesP-P7JHuemnE6QJIa-Nlw/edit?usp=sharing"",""บุรีรัมย์!R520"")+IMPORTRANGE(""https://docs.google.com/spreadsheets/d/1l6IZ8xUPgMrESzc"&amp;"TYwhA1k_tPjeQjJPTqlm8Gd9eU5g/edit?usp=sharing"",""มหาสารคาม!R520"")+IMPORTRANGE(""https://docs.google.com/spreadsheets/d/1uB74YLqNjWX6FObjekfB2NtSYigTQyR2rq9u4Ub2Sq4/edit?usp=sharing"",""มุกดาหาร!R520"")+IMPORTRANGE(""https://docs.google.com/spreadsheets/"&amp;"d/1NexK3geCPxCTO1fzNF8dPec7yZyUx3OaWkFBC9HsQOo/edit?usp=sharing"",""ยโสธร!R520"")+IMPORTRANGE(""https://docs.google.com/spreadsheets/d/1v_cJrbBlyqmnHPReHk44g9NrMRdENNlSy_E_c5M9fIg/edit?usp=sharing"",""ร้อยเอ็ด!R520"")+IMPORTRANGE(""https://docs.google.com"&amp;"/spreadsheets/d/1Ul4RCpCX66NxYADU1QpwAPjOmBzW64SsT11s1wzXw_c/edit?usp=sharing"",""เลย!R520"")+IMPORTRANGE(""https://docs.google.com/spreadsheets/d/1bRrNKwbHDVktQG10isr5vbWRtt5spIZPpkOSWgbT5ug/edit?usp=sharing"",""ศรีสะเกษ!R520"")+IMPORTRANGE(""https://doc"&amp;"s.google.com/spreadsheets/d/17P34_Ow5kFBfdQD0qspb2UuPX5zpi6WMrQzslghyvrI/edit?usp=sharing"",""สกลนคร!R520"")+IMPORTRANGE(""https://docs.google.com/spreadsheets/d/1yswqbM3-AEpThF3ZSUa1AcmHnmRTF1vlJ1CZGcJ8YuU/edit?usp=sharing"",""สุรินทร์!R520"")+IMPORTRANG"&amp;"E(""https://docs.google.com/spreadsheets/d/13JHU_EFbsQOUQ0JSQ3dWy1VTRosIWcDq6Nc99z2qzdc/edit?usp=sharing"",""หนองคาย!R520"")+IMPORTRANGE(""https://docs.google.com/spreadsheets/d/1Hx73zIEgVdDZZaYSTc46Dqv64atFhpr3GelxLbaIN8A/edit?usp=sharing"",""หนองบัวลำภู"&amp;"!R520"")+IMPORTRANGE(""https://docs.google.com/spreadsheets/d/1lFxr3ctmjFN90yc-xV6jrQ9Ty8BKYVBWnAZ15wcNIJc/edit?usp=sharing"",""อำนาจเจริญ!R520"")+IMPORTRANGE(""https://docs.google.com/spreadsheets/d/1gF7RJpRnL-1oyjyeWxs5SFWEH7y8ahOZsQlyp2A2e-A/edit?usp=s"&amp;"haring"",""อุดรธานี!R520"")+IMPORTRANGE(""https://docs.google.com/spreadsheets/d/1kfLP0j3INXRa8bTDpcEmoWewMBV61jlFlfzczfjWIgc/edit?usp=sharing"",""อุบลราชธานี!R520"")"),0)</f>
        <v>0</v>
      </c>
      <c r="S520" s="57">
        <f ca="1">IFERROR(__xludf.DUMMYFUNCTION("IMPORTRANGE(""https://docs.google.com/spreadsheets/d/1yhBcrRPreicbMKl9Bu_Snb2-OcQAF62RKfhTLhJ2eAA/edit?usp=sharing"",""กาฬสินธุ์!S520"")+IMPORTRANGE(""https://docs.google.com/spreadsheets/d/1aHkj4IaQMThhwWwevcOymEh837vdxeC_PycurhTbGFA/edit?usp=sharing"","&amp;"""ขอนแก่น!S520"")+IMPORTRANGE(""https://docs.google.com/spreadsheets/d/1FvTu2DsIWUjP6WCWra38Bkj_oOl_sOMf14r5Fg5srxU/edit?usp=sharing"",""ชัยภูมิ!S520"")+IMPORTRANGE(""https://docs.google.com/spreadsheets/d/1XVB7oCJ3pr-vBUdflwPQ8Z2LlzhnCvZaaYjAfP-647E/edit"&amp;"?usp=sharing"",""นครพนม!S520"")+IMPORTRANGE(""https://docs.google.com/spreadsheets/d/1Mnpb-8PYAgn85W6KOTD40hc_Xc55CaLfHoGAbrZ8tls/edit?usp=sharing"",""นครราชสีมา!S520"")+IMPORTRANGE(""https://docs.google.com/spreadsheets/d/1xoDLGBv9CYbyosIhki0kTq6IpYNj-gp"&amp;"jxfobnaDiut0/edit?usp=sharing"",""บึงกาฬ!S520"")+IMPORTRANGE(""https://docs.google.com/spreadsheets/d/1MMPq-JyI6DSgQETxuSiXkesP-P7JHuemnE6QJIa-Nlw/edit?usp=sharing"",""บุรีรัมย์!S520"")+IMPORTRANGE(""https://docs.google.com/spreadsheets/d/1l6IZ8xUPgMrESzc"&amp;"TYwhA1k_tPjeQjJPTqlm8Gd9eU5g/edit?usp=sharing"",""มหาสารคาม!S520"")+IMPORTRANGE(""https://docs.google.com/spreadsheets/d/1uB74YLqNjWX6FObjekfB2NtSYigTQyR2rq9u4Ub2Sq4/edit?usp=sharing"",""มุกดาหาร!S520"")+IMPORTRANGE(""https://docs.google.com/spreadsheets/"&amp;"d/1NexK3geCPxCTO1fzNF8dPec7yZyUx3OaWkFBC9HsQOo/edit?usp=sharing"",""ยโสธร!S520"")+IMPORTRANGE(""https://docs.google.com/spreadsheets/d/1v_cJrbBlyqmnHPReHk44g9NrMRdENNlSy_E_c5M9fIg/edit?usp=sharing"",""ร้อยเอ็ด!S520"")+IMPORTRANGE(""https://docs.google.com"&amp;"/spreadsheets/d/1Ul4RCpCX66NxYADU1QpwAPjOmBzW64SsT11s1wzXw_c/edit?usp=sharing"",""เลย!S520"")+IMPORTRANGE(""https://docs.google.com/spreadsheets/d/1bRrNKwbHDVktQG10isr5vbWRtt5spIZPpkOSWgbT5ug/edit?usp=sharing"",""ศรีสะเกษ!S520"")+IMPORTRANGE(""https://doc"&amp;"s.google.com/spreadsheets/d/17P34_Ow5kFBfdQD0qspb2UuPX5zpi6WMrQzslghyvrI/edit?usp=sharing"",""สกลนคร!S520"")+IMPORTRANGE(""https://docs.google.com/spreadsheets/d/1yswqbM3-AEpThF3ZSUa1AcmHnmRTF1vlJ1CZGcJ8YuU/edit?usp=sharing"",""สุรินทร์!S520"")+IMPORTRANG"&amp;"E(""https://docs.google.com/spreadsheets/d/13JHU_EFbsQOUQ0JSQ3dWy1VTRosIWcDq6Nc99z2qzdc/edit?usp=sharing"",""หนองคาย!S520"")+IMPORTRANGE(""https://docs.google.com/spreadsheets/d/1Hx73zIEgVdDZZaYSTc46Dqv64atFhpr3GelxLbaIN8A/edit?usp=sharing"",""หนองบัวลำภู"&amp;"!S520"")+IMPORTRANGE(""https://docs.google.com/spreadsheets/d/1lFxr3ctmjFN90yc-xV6jrQ9Ty8BKYVBWnAZ15wcNIJc/edit?usp=sharing"",""อำนาจเจริญ!S520"")+IMPORTRANGE(""https://docs.google.com/spreadsheets/d/1gF7RJpRnL-1oyjyeWxs5SFWEH7y8ahOZsQlyp2A2e-A/edit?usp=s"&amp;"haring"",""อุดรธานี!S520"")+IMPORTRANGE(""https://docs.google.com/spreadsheets/d/1kfLP0j3INXRa8bTDpcEmoWewMBV61jlFlfzczfjWIgc/edit?usp=sharing"",""อุบลราชธานี!S520"")"),0)</f>
        <v>0</v>
      </c>
      <c r="T520" s="59">
        <f t="shared" ca="1" si="366"/>
        <v>0</v>
      </c>
      <c r="U520" s="59">
        <f t="shared" ca="1" si="367"/>
        <v>0</v>
      </c>
    </row>
    <row r="521" spans="1:21" ht="18.75">
      <c r="A521" s="155"/>
      <c r="B521" s="50"/>
      <c r="C521" s="50"/>
      <c r="D521" s="50"/>
      <c r="E521" s="58" t="s">
        <v>21</v>
      </c>
      <c r="F521" s="50"/>
      <c r="G521" s="52"/>
      <c r="H521" s="165" t="s">
        <v>14</v>
      </c>
      <c r="I521" s="163"/>
      <c r="J521" s="163"/>
      <c r="K521" s="164"/>
      <c r="L521" s="56">
        <f ca="1">IFERROR(__xludf.DUMMYFUNCTION("IMPORTRANGE(""https://docs.google.com/spreadsheets/d/1yhBcrRPreicbMKl9Bu_Snb2-OcQAF62RKfhTLhJ2eAA/edit?usp=sharing"",""กาฬสินธุ์!L521"")+IMPORTRANGE(""https://docs.google.com/spreadsheets/d/1aHkj4IaQMThhwWwevcOymEh837vdxeC_PycurhTbGFA/edit?usp=sharing"","&amp;"""ขอนแก่น!L521"")+IMPORTRANGE(""https://docs.google.com/spreadsheets/d/1FvTu2DsIWUjP6WCWra38Bkj_oOl_sOMf14r5Fg5srxU/edit?usp=sharing"",""ชัยภูมิ!L521"")+IMPORTRANGE(""https://docs.google.com/spreadsheets/d/1XVB7oCJ3pr-vBUdflwPQ8Z2LlzhnCvZaaYjAfP-647E/edit"&amp;"?usp=sharing"",""นครพนม!L521"")+IMPORTRANGE(""https://docs.google.com/spreadsheets/d/1Mnpb-8PYAgn85W6KOTD40hc_Xc55CaLfHoGAbrZ8tls/edit?usp=sharing"",""นครราชสีมา!L521"")+IMPORTRANGE(""https://docs.google.com/spreadsheets/d/1xoDLGBv9CYbyosIhki0kTq6IpYNj-gp"&amp;"jxfobnaDiut0/edit?usp=sharing"",""บึงกาฬ!L521"")+IMPORTRANGE(""https://docs.google.com/spreadsheets/d/1MMPq-JyI6DSgQETxuSiXkesP-P7JHuemnE6QJIa-Nlw/edit?usp=sharing"",""บุรีรัมย์!L521"")+IMPORTRANGE(""https://docs.google.com/spreadsheets/d/1l6IZ8xUPgMrESzc"&amp;"TYwhA1k_tPjeQjJPTqlm8Gd9eU5g/edit?usp=sharing"",""มหาสารคาม!L521"")+IMPORTRANGE(""https://docs.google.com/spreadsheets/d/1uB74YLqNjWX6FObjekfB2NtSYigTQyR2rq9u4Ub2Sq4/edit?usp=sharing"",""มุกดาหาร!L521"")+IMPORTRANGE(""https://docs.google.com/spreadsheets/"&amp;"d/1NexK3geCPxCTO1fzNF8dPec7yZyUx3OaWkFBC9HsQOo/edit?usp=sharing"",""ยโสธร!L521"")+IMPORTRANGE(""https://docs.google.com/spreadsheets/d/1v_cJrbBlyqmnHPReHk44g9NrMRdENNlSy_E_c5M9fIg/edit?usp=sharing"",""ร้อยเอ็ด!L521"")+IMPORTRANGE(""https://docs.google.com"&amp;"/spreadsheets/d/1Ul4RCpCX66NxYADU1QpwAPjOmBzW64SsT11s1wzXw_c/edit?usp=sharing"",""เลย!L521"")+IMPORTRANGE(""https://docs.google.com/spreadsheets/d/1bRrNKwbHDVktQG10isr5vbWRtt5spIZPpkOSWgbT5ug/edit?usp=sharing"",""ศรีสะเกษ!L521"")+IMPORTRANGE(""https://doc"&amp;"s.google.com/spreadsheets/d/17P34_Ow5kFBfdQD0qspb2UuPX5zpi6WMrQzslghyvrI/edit?usp=sharing"",""สกลนคร!L521"")+IMPORTRANGE(""https://docs.google.com/spreadsheets/d/1yswqbM3-AEpThF3ZSUa1AcmHnmRTF1vlJ1CZGcJ8YuU/edit?usp=sharing"",""สุรินทร์!L521"")+IMPORTRANG"&amp;"E(""https://docs.google.com/spreadsheets/d/13JHU_EFbsQOUQ0JSQ3dWy1VTRosIWcDq6Nc99z2qzdc/edit?usp=sharing"",""หนองคาย!L521"")+IMPORTRANGE(""https://docs.google.com/spreadsheets/d/1Hx73zIEgVdDZZaYSTc46Dqv64atFhpr3GelxLbaIN8A/edit?usp=sharing"",""หนองบัวลำภู"&amp;"!L521"")+IMPORTRANGE(""https://docs.google.com/spreadsheets/d/1lFxr3ctmjFN90yc-xV6jrQ9Ty8BKYVBWnAZ15wcNIJc/edit?usp=sharing"",""อำนาจเจริญ!L521"")+IMPORTRANGE(""https://docs.google.com/spreadsheets/d/1gF7RJpRnL-1oyjyeWxs5SFWEH7y8ahOZsQlyp2A2e-A/edit?usp=s"&amp;"haring"",""อุดรธานี!L521"")+IMPORTRANGE(""https://docs.google.com/spreadsheets/d/1kfLP0j3INXRa8bTDpcEmoWewMBV61jlFlfzczfjWIgc/edit?usp=sharing"",""อุบลราชธานี!L521"")"),0)</f>
        <v>0</v>
      </c>
      <c r="M521" s="56">
        <f ca="1">IFERROR(__xludf.DUMMYFUNCTION("IMPORTRANGE(""https://docs.google.com/spreadsheets/d/1yhBcrRPreicbMKl9Bu_Snb2-OcQAF62RKfhTLhJ2eAA/edit?usp=sharing"",""กาฬสินธุ์!M521"")+IMPORTRANGE(""https://docs.google.com/spreadsheets/d/1aHkj4IaQMThhwWwevcOymEh837vdxeC_PycurhTbGFA/edit?usp=sharing"","&amp;"""ขอนแก่น!M521"")+IMPORTRANGE(""https://docs.google.com/spreadsheets/d/1FvTu2DsIWUjP6WCWra38Bkj_oOl_sOMf14r5Fg5srxU/edit?usp=sharing"",""ชัยภูมิ!M521"")+IMPORTRANGE(""https://docs.google.com/spreadsheets/d/1XVB7oCJ3pr-vBUdflwPQ8Z2LlzhnCvZaaYjAfP-647E/edit"&amp;"?usp=sharing"",""นครพนม!M521"")+IMPORTRANGE(""https://docs.google.com/spreadsheets/d/1Mnpb-8PYAgn85W6KOTD40hc_Xc55CaLfHoGAbrZ8tls/edit?usp=sharing"",""นครราชสีมา!M521"")+IMPORTRANGE(""https://docs.google.com/spreadsheets/d/1xoDLGBv9CYbyosIhki0kTq6IpYNj-gp"&amp;"jxfobnaDiut0/edit?usp=sharing"",""บึงกาฬ!M521"")+IMPORTRANGE(""https://docs.google.com/spreadsheets/d/1MMPq-JyI6DSgQETxuSiXkesP-P7JHuemnE6QJIa-Nlw/edit?usp=sharing"",""บุรีรัมย์!M521"")+IMPORTRANGE(""https://docs.google.com/spreadsheets/d/1l6IZ8xUPgMrESzc"&amp;"TYwhA1k_tPjeQjJPTqlm8Gd9eU5g/edit?usp=sharing"",""มหาสารคาม!M521"")+IMPORTRANGE(""https://docs.google.com/spreadsheets/d/1uB74YLqNjWX6FObjekfB2NtSYigTQyR2rq9u4Ub2Sq4/edit?usp=sharing"",""มุกดาหาร!M521"")+IMPORTRANGE(""https://docs.google.com/spreadsheets/"&amp;"d/1NexK3geCPxCTO1fzNF8dPec7yZyUx3OaWkFBC9HsQOo/edit?usp=sharing"",""ยโสธร!M521"")+IMPORTRANGE(""https://docs.google.com/spreadsheets/d/1v_cJrbBlyqmnHPReHk44g9NrMRdENNlSy_E_c5M9fIg/edit?usp=sharing"",""ร้อยเอ็ด!M521"")+IMPORTRANGE(""https://docs.google.com"&amp;"/spreadsheets/d/1Ul4RCpCX66NxYADU1QpwAPjOmBzW64SsT11s1wzXw_c/edit?usp=sharing"",""เลย!M521"")+IMPORTRANGE(""https://docs.google.com/spreadsheets/d/1bRrNKwbHDVktQG10isr5vbWRtt5spIZPpkOSWgbT5ug/edit?usp=sharing"",""ศรีสะเกษ!M521"")+IMPORTRANGE(""https://doc"&amp;"s.google.com/spreadsheets/d/17P34_Ow5kFBfdQD0qspb2UuPX5zpi6WMrQzslghyvrI/edit?usp=sharing"",""สกลนคร!M521"")+IMPORTRANGE(""https://docs.google.com/spreadsheets/d/1yswqbM3-AEpThF3ZSUa1AcmHnmRTF1vlJ1CZGcJ8YuU/edit?usp=sharing"",""สุรินทร์!M521"")+IMPORTRANG"&amp;"E(""https://docs.google.com/spreadsheets/d/13JHU_EFbsQOUQ0JSQ3dWy1VTRosIWcDq6Nc99z2qzdc/edit?usp=sharing"",""หนองคาย!M521"")+IMPORTRANGE(""https://docs.google.com/spreadsheets/d/1Hx73zIEgVdDZZaYSTc46Dqv64atFhpr3GelxLbaIN8A/edit?usp=sharing"",""หนองบัวลำภู"&amp;"!M521"")+IMPORTRANGE(""https://docs.google.com/spreadsheets/d/1lFxr3ctmjFN90yc-xV6jrQ9Ty8BKYVBWnAZ15wcNIJc/edit?usp=sharing"",""อำนาจเจริญ!M521"")+IMPORTRANGE(""https://docs.google.com/spreadsheets/d/1gF7RJpRnL-1oyjyeWxs5SFWEH7y8ahOZsQlyp2A2e-A/edit?usp=s"&amp;"haring"",""อุดรธานี!M521"")+IMPORTRANGE(""https://docs.google.com/spreadsheets/d/1kfLP0j3INXRa8bTDpcEmoWewMBV61jlFlfzczfjWIgc/edit?usp=sharing"",""อุบลราชธานี!M521"")"),0)</f>
        <v>0</v>
      </c>
      <c r="N521" s="56">
        <f ca="1">IFERROR(__xludf.DUMMYFUNCTION("IMPORTRANGE(""https://docs.google.com/spreadsheets/d/1yhBcrRPreicbMKl9Bu_Snb2-OcQAF62RKfhTLhJ2eAA/edit?usp=sharing"",""กาฬสินธุ์!N521"")+IMPORTRANGE(""https://docs.google.com/spreadsheets/d/1aHkj4IaQMThhwWwevcOymEh837vdxeC_PycurhTbGFA/edit?usp=sharing"","&amp;"""ขอนแก่น!N521"")+IMPORTRANGE(""https://docs.google.com/spreadsheets/d/1FvTu2DsIWUjP6WCWra38Bkj_oOl_sOMf14r5Fg5srxU/edit?usp=sharing"",""ชัยภูมิ!N521"")+IMPORTRANGE(""https://docs.google.com/spreadsheets/d/1XVB7oCJ3pr-vBUdflwPQ8Z2LlzhnCvZaaYjAfP-647E/edit"&amp;"?usp=sharing"",""นครพนม!N521"")+IMPORTRANGE(""https://docs.google.com/spreadsheets/d/1Mnpb-8PYAgn85W6KOTD40hc_Xc55CaLfHoGAbrZ8tls/edit?usp=sharing"",""นครราชสีมา!N521"")+IMPORTRANGE(""https://docs.google.com/spreadsheets/d/1xoDLGBv9CYbyosIhki0kTq6IpYNj-gp"&amp;"jxfobnaDiut0/edit?usp=sharing"",""บึงกาฬ!N521"")+IMPORTRANGE(""https://docs.google.com/spreadsheets/d/1MMPq-JyI6DSgQETxuSiXkesP-P7JHuemnE6QJIa-Nlw/edit?usp=sharing"",""บุรีรัมย์!N521"")+IMPORTRANGE(""https://docs.google.com/spreadsheets/d/1l6IZ8xUPgMrESzc"&amp;"TYwhA1k_tPjeQjJPTqlm8Gd9eU5g/edit?usp=sharing"",""มหาสารคาม!N521"")+IMPORTRANGE(""https://docs.google.com/spreadsheets/d/1uB74YLqNjWX6FObjekfB2NtSYigTQyR2rq9u4Ub2Sq4/edit?usp=sharing"",""มุกดาหาร!N521"")+IMPORTRANGE(""https://docs.google.com/spreadsheets/"&amp;"d/1NexK3geCPxCTO1fzNF8dPec7yZyUx3OaWkFBC9HsQOo/edit?usp=sharing"",""ยโสธร!N521"")+IMPORTRANGE(""https://docs.google.com/spreadsheets/d/1v_cJrbBlyqmnHPReHk44g9NrMRdENNlSy_E_c5M9fIg/edit?usp=sharing"",""ร้อยเอ็ด!N521"")+IMPORTRANGE(""https://docs.google.com"&amp;"/spreadsheets/d/1Ul4RCpCX66NxYADU1QpwAPjOmBzW64SsT11s1wzXw_c/edit?usp=sharing"",""เลย!N521"")+IMPORTRANGE(""https://docs.google.com/spreadsheets/d/1bRrNKwbHDVktQG10isr5vbWRtt5spIZPpkOSWgbT5ug/edit?usp=sharing"",""ศรีสะเกษ!N521"")+IMPORTRANGE(""https://doc"&amp;"s.google.com/spreadsheets/d/17P34_Ow5kFBfdQD0qspb2UuPX5zpi6WMrQzslghyvrI/edit?usp=sharing"",""สกลนคร!N521"")+IMPORTRANGE(""https://docs.google.com/spreadsheets/d/1yswqbM3-AEpThF3ZSUa1AcmHnmRTF1vlJ1CZGcJ8YuU/edit?usp=sharing"",""สุรินทร์!N521"")+IMPORTRANG"&amp;"E(""https://docs.google.com/spreadsheets/d/13JHU_EFbsQOUQ0JSQ3dWy1VTRosIWcDq6Nc99z2qzdc/edit?usp=sharing"",""หนองคาย!N521"")+IMPORTRANGE(""https://docs.google.com/spreadsheets/d/1Hx73zIEgVdDZZaYSTc46Dqv64atFhpr3GelxLbaIN8A/edit?usp=sharing"",""หนองบัวลำภู"&amp;"!N521"")+IMPORTRANGE(""https://docs.google.com/spreadsheets/d/1lFxr3ctmjFN90yc-xV6jrQ9Ty8BKYVBWnAZ15wcNIJc/edit?usp=sharing"",""อำนาจเจริญ!N521"")+IMPORTRANGE(""https://docs.google.com/spreadsheets/d/1gF7RJpRnL-1oyjyeWxs5SFWEH7y8ahOZsQlyp2A2e-A/edit?usp=s"&amp;"haring"",""อุดรธานี!N521"")+IMPORTRANGE(""https://docs.google.com/spreadsheets/d/1kfLP0j3INXRa8bTDpcEmoWewMBV61jlFlfzczfjWIgc/edit?usp=sharing"",""อุบลราชธานี!N521"")"),0)</f>
        <v>0</v>
      </c>
      <c r="O521" s="56">
        <f t="shared" ca="1" si="363"/>
        <v>0</v>
      </c>
      <c r="P521" s="56">
        <f t="shared" ca="1" si="364"/>
        <v>0</v>
      </c>
      <c r="Q521" s="56">
        <f ca="1">IFERROR(__xludf.DUMMYFUNCTION("IMPORTRANGE(""https://docs.google.com/spreadsheets/d/1yhBcrRPreicbMKl9Bu_Snb2-OcQAF62RKfhTLhJ2eAA/edit?usp=sharing"",""กาฬสินธุ์!Q521"")+IMPORTRANGE(""https://docs.google.com/spreadsheets/d/1aHkj4IaQMThhwWwevcOymEh837vdxeC_PycurhTbGFA/edit?usp=sharing"","&amp;"""ขอนแก่น!Q521"")+IMPORTRANGE(""https://docs.google.com/spreadsheets/d/1FvTu2DsIWUjP6WCWra38Bkj_oOl_sOMf14r5Fg5srxU/edit?usp=sharing"",""ชัยภูมิ!Q521"")+IMPORTRANGE(""https://docs.google.com/spreadsheets/d/1XVB7oCJ3pr-vBUdflwPQ8Z2LlzhnCvZaaYjAfP-647E/edit"&amp;"?usp=sharing"",""นครพนม!Q521"")+IMPORTRANGE(""https://docs.google.com/spreadsheets/d/1Mnpb-8PYAgn85W6KOTD40hc_Xc55CaLfHoGAbrZ8tls/edit?usp=sharing"",""นครราชสีมา!Q521"")+IMPORTRANGE(""https://docs.google.com/spreadsheets/d/1xoDLGBv9CYbyosIhki0kTq6IpYNj-gp"&amp;"jxfobnaDiut0/edit?usp=sharing"",""บึงกาฬ!Q521"")+IMPORTRANGE(""https://docs.google.com/spreadsheets/d/1MMPq-JyI6DSgQETxuSiXkesP-P7JHuemnE6QJIa-Nlw/edit?usp=sharing"",""บุรีรัมย์!Q521"")+IMPORTRANGE(""https://docs.google.com/spreadsheets/d/1l6IZ8xUPgMrESzc"&amp;"TYwhA1k_tPjeQjJPTqlm8Gd9eU5g/edit?usp=sharing"",""มหาสารคาม!Q521"")+IMPORTRANGE(""https://docs.google.com/spreadsheets/d/1uB74YLqNjWX6FObjekfB2NtSYigTQyR2rq9u4Ub2Sq4/edit?usp=sharing"",""มุกดาหาร!Q521"")+IMPORTRANGE(""https://docs.google.com/spreadsheets/"&amp;"d/1NexK3geCPxCTO1fzNF8dPec7yZyUx3OaWkFBC9HsQOo/edit?usp=sharing"",""ยโสธร!Q521"")+IMPORTRANGE(""https://docs.google.com/spreadsheets/d/1v_cJrbBlyqmnHPReHk44g9NrMRdENNlSy_E_c5M9fIg/edit?usp=sharing"",""ร้อยเอ็ด!Q521"")+IMPORTRANGE(""https://docs.google.com"&amp;"/spreadsheets/d/1Ul4RCpCX66NxYADU1QpwAPjOmBzW64SsT11s1wzXw_c/edit?usp=sharing"",""เลย!Q521"")+IMPORTRANGE(""https://docs.google.com/spreadsheets/d/1bRrNKwbHDVktQG10isr5vbWRtt5spIZPpkOSWgbT5ug/edit?usp=sharing"",""ศรีสะเกษ!Q521"")+IMPORTRANGE(""https://doc"&amp;"s.google.com/spreadsheets/d/17P34_Ow5kFBfdQD0qspb2UuPX5zpi6WMrQzslghyvrI/edit?usp=sharing"",""สกลนคร!Q521"")+IMPORTRANGE(""https://docs.google.com/spreadsheets/d/1yswqbM3-AEpThF3ZSUa1AcmHnmRTF1vlJ1CZGcJ8YuU/edit?usp=sharing"",""สุรินทร์!Q521"")+IMPORTRANG"&amp;"E(""https://docs.google.com/spreadsheets/d/13JHU_EFbsQOUQ0JSQ3dWy1VTRosIWcDq6Nc99z2qzdc/edit?usp=sharing"",""หนองคาย!Q521"")+IMPORTRANGE(""https://docs.google.com/spreadsheets/d/1Hx73zIEgVdDZZaYSTc46Dqv64atFhpr3GelxLbaIN8A/edit?usp=sharing"",""หนองบัวลำภู"&amp;"!Q521"")+IMPORTRANGE(""https://docs.google.com/spreadsheets/d/1lFxr3ctmjFN90yc-xV6jrQ9Ty8BKYVBWnAZ15wcNIJc/edit?usp=sharing"",""อำนาจเจริญ!Q521"")+IMPORTRANGE(""https://docs.google.com/spreadsheets/d/1gF7RJpRnL-1oyjyeWxs5SFWEH7y8ahOZsQlyp2A2e-A/edit?usp=s"&amp;"haring"",""อุดรธานี!Q521"")+IMPORTRANGE(""https://docs.google.com/spreadsheets/d/1kfLP0j3INXRa8bTDpcEmoWewMBV61jlFlfzczfjWIgc/edit?usp=sharing"",""อุบลราชธานี!Q521"")"),0)</f>
        <v>0</v>
      </c>
      <c r="R521" s="56">
        <f ca="1">IFERROR(__xludf.DUMMYFUNCTION("IMPORTRANGE(""https://docs.google.com/spreadsheets/d/1yhBcrRPreicbMKl9Bu_Snb2-OcQAF62RKfhTLhJ2eAA/edit?usp=sharing"",""กาฬสินธุ์!R521"")+IMPORTRANGE(""https://docs.google.com/spreadsheets/d/1aHkj4IaQMThhwWwevcOymEh837vdxeC_PycurhTbGFA/edit?usp=sharing"","&amp;"""ขอนแก่น!R521"")+IMPORTRANGE(""https://docs.google.com/spreadsheets/d/1FvTu2DsIWUjP6WCWra38Bkj_oOl_sOMf14r5Fg5srxU/edit?usp=sharing"",""ชัยภูมิ!R521"")+IMPORTRANGE(""https://docs.google.com/spreadsheets/d/1XVB7oCJ3pr-vBUdflwPQ8Z2LlzhnCvZaaYjAfP-647E/edit"&amp;"?usp=sharing"",""นครพนม!R521"")+IMPORTRANGE(""https://docs.google.com/spreadsheets/d/1Mnpb-8PYAgn85W6KOTD40hc_Xc55CaLfHoGAbrZ8tls/edit?usp=sharing"",""นครราชสีมา!R521"")+IMPORTRANGE(""https://docs.google.com/spreadsheets/d/1xoDLGBv9CYbyosIhki0kTq6IpYNj-gp"&amp;"jxfobnaDiut0/edit?usp=sharing"",""บึงกาฬ!R521"")+IMPORTRANGE(""https://docs.google.com/spreadsheets/d/1MMPq-JyI6DSgQETxuSiXkesP-P7JHuemnE6QJIa-Nlw/edit?usp=sharing"",""บุรีรัมย์!R521"")+IMPORTRANGE(""https://docs.google.com/spreadsheets/d/1l6IZ8xUPgMrESzc"&amp;"TYwhA1k_tPjeQjJPTqlm8Gd9eU5g/edit?usp=sharing"",""มหาสารคาม!R521"")+IMPORTRANGE(""https://docs.google.com/spreadsheets/d/1uB74YLqNjWX6FObjekfB2NtSYigTQyR2rq9u4Ub2Sq4/edit?usp=sharing"",""มุกดาหาร!R521"")+IMPORTRANGE(""https://docs.google.com/spreadsheets/"&amp;"d/1NexK3geCPxCTO1fzNF8dPec7yZyUx3OaWkFBC9HsQOo/edit?usp=sharing"",""ยโสธร!R521"")+IMPORTRANGE(""https://docs.google.com/spreadsheets/d/1v_cJrbBlyqmnHPReHk44g9NrMRdENNlSy_E_c5M9fIg/edit?usp=sharing"",""ร้อยเอ็ด!R521"")+IMPORTRANGE(""https://docs.google.com"&amp;"/spreadsheets/d/1Ul4RCpCX66NxYADU1QpwAPjOmBzW64SsT11s1wzXw_c/edit?usp=sharing"",""เลย!R521"")+IMPORTRANGE(""https://docs.google.com/spreadsheets/d/1bRrNKwbHDVktQG10isr5vbWRtt5spIZPpkOSWgbT5ug/edit?usp=sharing"",""ศรีสะเกษ!R521"")+IMPORTRANGE(""https://doc"&amp;"s.google.com/spreadsheets/d/17P34_Ow5kFBfdQD0qspb2UuPX5zpi6WMrQzslghyvrI/edit?usp=sharing"",""สกลนคร!R521"")+IMPORTRANGE(""https://docs.google.com/spreadsheets/d/1yswqbM3-AEpThF3ZSUa1AcmHnmRTF1vlJ1CZGcJ8YuU/edit?usp=sharing"",""สุรินทร์!R521"")+IMPORTRANG"&amp;"E(""https://docs.google.com/spreadsheets/d/13JHU_EFbsQOUQ0JSQ3dWy1VTRosIWcDq6Nc99z2qzdc/edit?usp=sharing"",""หนองคาย!R521"")+IMPORTRANGE(""https://docs.google.com/spreadsheets/d/1Hx73zIEgVdDZZaYSTc46Dqv64atFhpr3GelxLbaIN8A/edit?usp=sharing"",""หนองบัวลำภู"&amp;"!R521"")+IMPORTRANGE(""https://docs.google.com/spreadsheets/d/1lFxr3ctmjFN90yc-xV6jrQ9Ty8BKYVBWnAZ15wcNIJc/edit?usp=sharing"",""อำนาจเจริญ!R521"")+IMPORTRANGE(""https://docs.google.com/spreadsheets/d/1gF7RJpRnL-1oyjyeWxs5SFWEH7y8ahOZsQlyp2A2e-A/edit?usp=s"&amp;"haring"",""อุดรธานี!R521"")+IMPORTRANGE(""https://docs.google.com/spreadsheets/d/1kfLP0j3INXRa8bTDpcEmoWewMBV61jlFlfzczfjWIgc/edit?usp=sharing"",""อุบลราชธานี!R521"")"),0)</f>
        <v>0</v>
      </c>
      <c r="S521" s="57">
        <f ca="1">IFERROR(__xludf.DUMMYFUNCTION("IMPORTRANGE(""https://docs.google.com/spreadsheets/d/1yhBcrRPreicbMKl9Bu_Snb2-OcQAF62RKfhTLhJ2eAA/edit?usp=sharing"",""กาฬสินธุ์!S521"")+IMPORTRANGE(""https://docs.google.com/spreadsheets/d/1aHkj4IaQMThhwWwevcOymEh837vdxeC_PycurhTbGFA/edit?usp=sharing"","&amp;"""ขอนแก่น!S521"")+IMPORTRANGE(""https://docs.google.com/spreadsheets/d/1FvTu2DsIWUjP6WCWra38Bkj_oOl_sOMf14r5Fg5srxU/edit?usp=sharing"",""ชัยภูมิ!S521"")+IMPORTRANGE(""https://docs.google.com/spreadsheets/d/1XVB7oCJ3pr-vBUdflwPQ8Z2LlzhnCvZaaYjAfP-647E/edit"&amp;"?usp=sharing"",""นครพนม!S521"")+IMPORTRANGE(""https://docs.google.com/spreadsheets/d/1Mnpb-8PYAgn85W6KOTD40hc_Xc55CaLfHoGAbrZ8tls/edit?usp=sharing"",""นครราชสีมา!S521"")+IMPORTRANGE(""https://docs.google.com/spreadsheets/d/1xoDLGBv9CYbyosIhki0kTq6IpYNj-gp"&amp;"jxfobnaDiut0/edit?usp=sharing"",""บึงกาฬ!S521"")+IMPORTRANGE(""https://docs.google.com/spreadsheets/d/1MMPq-JyI6DSgQETxuSiXkesP-P7JHuemnE6QJIa-Nlw/edit?usp=sharing"",""บุรีรัมย์!S521"")+IMPORTRANGE(""https://docs.google.com/spreadsheets/d/1l6IZ8xUPgMrESzc"&amp;"TYwhA1k_tPjeQjJPTqlm8Gd9eU5g/edit?usp=sharing"",""มหาสารคาม!S521"")+IMPORTRANGE(""https://docs.google.com/spreadsheets/d/1uB74YLqNjWX6FObjekfB2NtSYigTQyR2rq9u4Ub2Sq4/edit?usp=sharing"",""มุกดาหาร!S521"")+IMPORTRANGE(""https://docs.google.com/spreadsheets/"&amp;"d/1NexK3geCPxCTO1fzNF8dPec7yZyUx3OaWkFBC9HsQOo/edit?usp=sharing"",""ยโสธร!S521"")+IMPORTRANGE(""https://docs.google.com/spreadsheets/d/1v_cJrbBlyqmnHPReHk44g9NrMRdENNlSy_E_c5M9fIg/edit?usp=sharing"",""ร้อยเอ็ด!S521"")+IMPORTRANGE(""https://docs.google.com"&amp;"/spreadsheets/d/1Ul4RCpCX66NxYADU1QpwAPjOmBzW64SsT11s1wzXw_c/edit?usp=sharing"",""เลย!S521"")+IMPORTRANGE(""https://docs.google.com/spreadsheets/d/1bRrNKwbHDVktQG10isr5vbWRtt5spIZPpkOSWgbT5ug/edit?usp=sharing"",""ศรีสะเกษ!S521"")+IMPORTRANGE(""https://doc"&amp;"s.google.com/spreadsheets/d/17P34_Ow5kFBfdQD0qspb2UuPX5zpi6WMrQzslghyvrI/edit?usp=sharing"",""สกลนคร!S521"")+IMPORTRANGE(""https://docs.google.com/spreadsheets/d/1yswqbM3-AEpThF3ZSUa1AcmHnmRTF1vlJ1CZGcJ8YuU/edit?usp=sharing"",""สุรินทร์!S521"")+IMPORTRANG"&amp;"E(""https://docs.google.com/spreadsheets/d/13JHU_EFbsQOUQ0JSQ3dWy1VTRosIWcDq6Nc99z2qzdc/edit?usp=sharing"",""หนองคาย!S521"")+IMPORTRANGE(""https://docs.google.com/spreadsheets/d/1Hx73zIEgVdDZZaYSTc46Dqv64atFhpr3GelxLbaIN8A/edit?usp=sharing"",""หนองบัวลำภู"&amp;"!S521"")+IMPORTRANGE(""https://docs.google.com/spreadsheets/d/1lFxr3ctmjFN90yc-xV6jrQ9Ty8BKYVBWnAZ15wcNIJc/edit?usp=sharing"",""อำนาจเจริญ!S521"")+IMPORTRANGE(""https://docs.google.com/spreadsheets/d/1gF7RJpRnL-1oyjyeWxs5SFWEH7y8ahOZsQlyp2A2e-A/edit?usp=s"&amp;"haring"",""อุดรธานี!S521"")+IMPORTRANGE(""https://docs.google.com/spreadsheets/d/1kfLP0j3INXRa8bTDpcEmoWewMBV61jlFlfzczfjWIgc/edit?usp=sharing"",""อุบลราชธานี!S521"")"),0)</f>
        <v>0</v>
      </c>
      <c r="T521" s="56">
        <f t="shared" ca="1" si="366"/>
        <v>0</v>
      </c>
      <c r="U521" s="56">
        <f t="shared" ca="1" si="367"/>
        <v>0</v>
      </c>
    </row>
    <row r="522" spans="1:21" ht="19.5">
      <c r="A522" s="166"/>
      <c r="B522" s="167"/>
      <c r="C522" s="156" t="s">
        <v>18</v>
      </c>
      <c r="D522" s="168" t="s">
        <v>38</v>
      </c>
      <c r="E522" s="169"/>
      <c r="F522" s="169"/>
      <c r="G522" s="170"/>
      <c r="H522" s="171"/>
      <c r="I522" s="163"/>
      <c r="J522" s="54"/>
      <c r="K522" s="55"/>
      <c r="L522" s="55"/>
      <c r="M522" s="55"/>
      <c r="N522" s="55"/>
      <c r="O522" s="164"/>
      <c r="P522" s="164"/>
      <c r="Q522" s="55"/>
      <c r="R522" s="55"/>
      <c r="S522" s="62"/>
      <c r="T522" s="164"/>
      <c r="U522" s="164"/>
    </row>
    <row r="523" spans="1:21" ht="18.75">
      <c r="A523" s="238"/>
      <c r="B523" s="50"/>
      <c r="C523" s="188"/>
      <c r="D523" s="178" t="s">
        <v>209</v>
      </c>
      <c r="E523" s="167"/>
      <c r="F523" s="50"/>
      <c r="G523" s="52"/>
      <c r="H523" s="240" t="s">
        <v>11</v>
      </c>
      <c r="I523" s="212">
        <v>0</v>
      </c>
      <c r="J523" s="212">
        <v>0</v>
      </c>
      <c r="K523" s="56">
        <f t="shared" ref="K523:K524" si="376">IF(I523&gt;0,J523*100/I523,0)</f>
        <v>0</v>
      </c>
      <c r="L523" s="55"/>
      <c r="M523" s="55"/>
      <c r="N523" s="55"/>
      <c r="O523" s="55"/>
      <c r="P523" s="55"/>
      <c r="Q523" s="55"/>
      <c r="R523" s="55"/>
      <c r="S523" s="62"/>
      <c r="T523" s="55"/>
      <c r="U523" s="55"/>
    </row>
    <row r="524" spans="1:21" ht="18.75">
      <c r="A524" s="374"/>
      <c r="B524" s="4"/>
      <c r="C524" s="5"/>
      <c r="D524" s="405" t="s">
        <v>210</v>
      </c>
      <c r="E524" s="282"/>
      <c r="F524" s="4"/>
      <c r="G524" s="65"/>
      <c r="H524" s="406" t="s">
        <v>61</v>
      </c>
      <c r="I524" s="216">
        <v>0</v>
      </c>
      <c r="J524" s="216">
        <v>0</v>
      </c>
      <c r="K524" s="135">
        <f t="shared" si="376"/>
        <v>0</v>
      </c>
      <c r="L524" s="6"/>
      <c r="M524" s="6"/>
      <c r="N524" s="6"/>
      <c r="O524" s="6"/>
      <c r="P524" s="6"/>
      <c r="Q524" s="6"/>
      <c r="R524" s="6"/>
      <c r="S524" s="68"/>
      <c r="T524" s="55"/>
      <c r="U524" s="55"/>
    </row>
    <row r="525" spans="1:21" ht="12.75">
      <c r="A525" s="258"/>
      <c r="B525" s="259"/>
      <c r="C525" s="259"/>
      <c r="D525" s="260"/>
      <c r="E525" s="260"/>
      <c r="F525" s="260"/>
      <c r="G525" s="261"/>
      <c r="H525" s="262"/>
      <c r="I525" s="263"/>
      <c r="J525" s="263"/>
      <c r="K525" s="264"/>
      <c r="L525" s="264"/>
      <c r="M525" s="264"/>
      <c r="N525" s="264"/>
      <c r="O525" s="264"/>
      <c r="P525" s="264"/>
      <c r="Q525" s="264"/>
      <c r="R525" s="264"/>
      <c r="S525" s="265"/>
      <c r="T525" s="264"/>
      <c r="U525" s="264"/>
    </row>
    <row r="526" spans="1:21" ht="12.75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4"/>
      <c r="M526" s="264"/>
      <c r="N526" s="264"/>
      <c r="O526" s="264"/>
      <c r="P526" s="264"/>
      <c r="Q526" s="264"/>
      <c r="R526" s="264"/>
      <c r="S526" s="265"/>
      <c r="T526" s="264"/>
      <c r="U526" s="264"/>
    </row>
    <row r="527" spans="1:21" ht="12.75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4"/>
      <c r="M527" s="264"/>
      <c r="N527" s="264"/>
      <c r="O527" s="264"/>
      <c r="P527" s="264"/>
      <c r="Q527" s="264"/>
      <c r="R527" s="264"/>
      <c r="S527" s="265"/>
      <c r="T527" s="264"/>
      <c r="U527" s="264"/>
    </row>
    <row r="528" spans="1:21" ht="12.75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4"/>
      <c r="M528" s="264"/>
      <c r="N528" s="264"/>
      <c r="O528" s="264"/>
      <c r="P528" s="264"/>
      <c r="Q528" s="264"/>
      <c r="R528" s="264"/>
      <c r="S528" s="265"/>
      <c r="T528" s="264"/>
      <c r="U528" s="264"/>
    </row>
    <row r="529" spans="1:21" ht="12.75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4"/>
      <c r="M529" s="264"/>
      <c r="N529" s="264"/>
      <c r="O529" s="264"/>
      <c r="P529" s="264"/>
      <c r="Q529" s="264"/>
      <c r="R529" s="264"/>
      <c r="S529" s="265"/>
      <c r="T529" s="264"/>
      <c r="U529" s="264"/>
    </row>
    <row r="530" spans="1:21" ht="12.75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4"/>
      <c r="M530" s="264"/>
      <c r="N530" s="264"/>
      <c r="O530" s="264"/>
      <c r="P530" s="264"/>
      <c r="Q530" s="264"/>
      <c r="R530" s="264"/>
      <c r="S530" s="265"/>
      <c r="T530" s="264"/>
      <c r="U530" s="264"/>
    </row>
    <row r="531" spans="1:21" ht="12.75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4"/>
      <c r="M531" s="264"/>
      <c r="N531" s="264"/>
      <c r="O531" s="264"/>
      <c r="P531" s="264"/>
      <c r="Q531" s="264"/>
      <c r="R531" s="264"/>
      <c r="S531" s="265"/>
      <c r="T531" s="264"/>
      <c r="U531" s="264"/>
    </row>
    <row r="532" spans="1:21" ht="12.75">
      <c r="A532" s="407"/>
      <c r="B532" s="360"/>
      <c r="C532" s="360"/>
      <c r="D532" s="408"/>
      <c r="E532" s="408"/>
      <c r="F532" s="408"/>
      <c r="G532" s="409"/>
      <c r="H532" s="361"/>
      <c r="I532" s="362"/>
      <c r="J532" s="362"/>
      <c r="K532" s="363"/>
      <c r="L532" s="363"/>
      <c r="M532" s="363"/>
      <c r="N532" s="363"/>
      <c r="O532" s="363"/>
      <c r="P532" s="363"/>
      <c r="Q532" s="363"/>
      <c r="R532" s="363"/>
      <c r="S532" s="364"/>
      <c r="T532" s="363"/>
      <c r="U532" s="363"/>
    </row>
    <row r="533" spans="1:21" ht="19.5">
      <c r="A533" s="395"/>
      <c r="B533" s="396" t="s">
        <v>211</v>
      </c>
      <c r="C533" s="397"/>
      <c r="D533" s="398"/>
      <c r="E533" s="398"/>
      <c r="F533" s="398"/>
      <c r="G533" s="399"/>
      <c r="H533" s="410" t="s">
        <v>61</v>
      </c>
      <c r="I533" s="401">
        <f t="shared" ref="I533:J533" si="377">I545</f>
        <v>0</v>
      </c>
      <c r="J533" s="401">
        <f t="shared" si="377"/>
        <v>0</v>
      </c>
      <c r="K533" s="402">
        <f>IF(I533&gt;0,J533*100/I533,0)</f>
        <v>0</v>
      </c>
      <c r="L533" s="403"/>
      <c r="M533" s="403"/>
      <c r="N533" s="403"/>
      <c r="O533" s="403"/>
      <c r="P533" s="403"/>
      <c r="Q533" s="403"/>
      <c r="R533" s="403"/>
      <c r="S533" s="404"/>
      <c r="T533" s="403"/>
      <c r="U533" s="403"/>
    </row>
    <row r="534" spans="1:21" ht="19.5">
      <c r="A534" s="155"/>
      <c r="B534" s="50"/>
      <c r="C534" s="156" t="s">
        <v>18</v>
      </c>
      <c r="D534" s="157" t="s">
        <v>19</v>
      </c>
      <c r="E534" s="50"/>
      <c r="F534" s="50"/>
      <c r="G534" s="52"/>
      <c r="H534" s="158" t="s">
        <v>14</v>
      </c>
      <c r="I534" s="54"/>
      <c r="J534" s="54"/>
      <c r="K534" s="55"/>
      <c r="L534" s="159">
        <f t="shared" ref="L534:N534" ca="1" si="378">L535+L536</f>
        <v>0</v>
      </c>
      <c r="M534" s="159">
        <f t="shared" ca="1" si="378"/>
        <v>0</v>
      </c>
      <c r="N534" s="159">
        <f t="shared" ca="1" si="378"/>
        <v>0</v>
      </c>
      <c r="O534" s="159">
        <f t="shared" ref="O534:O542" ca="1" si="379">IF(L534&gt;0,N534*100/L534,0)</f>
        <v>0</v>
      </c>
      <c r="P534" s="159">
        <f t="shared" ref="P534:P542" ca="1" si="380">IF(M534&gt;0,N534*100/M534,0)</f>
        <v>0</v>
      </c>
      <c r="Q534" s="159">
        <f t="shared" ref="Q534:S534" ca="1" si="381">Q535+Q536</f>
        <v>0</v>
      </c>
      <c r="R534" s="159">
        <f t="shared" ca="1" si="381"/>
        <v>0</v>
      </c>
      <c r="S534" s="160">
        <f t="shared" ca="1" si="381"/>
        <v>0</v>
      </c>
      <c r="T534" s="159">
        <f t="shared" ref="T534:T542" ca="1" si="382">IF(Q534&gt;0,S534*100/Q534,0)</f>
        <v>0</v>
      </c>
      <c r="U534" s="159">
        <f t="shared" ref="U534:U542" ca="1" si="383">IF(R534&gt;0,S534*100/R534,0)</f>
        <v>0</v>
      </c>
    </row>
    <row r="535" spans="1:21" ht="18.75">
      <c r="A535" s="155"/>
      <c r="B535" s="188"/>
      <c r="C535" s="50"/>
      <c r="D535" s="50"/>
      <c r="E535" s="186" t="s">
        <v>20</v>
      </c>
      <c r="F535" s="50"/>
      <c r="G535" s="52"/>
      <c r="H535" s="187" t="s">
        <v>14</v>
      </c>
      <c r="I535" s="54"/>
      <c r="J535" s="54"/>
      <c r="K535" s="55"/>
      <c r="L535" s="59">
        <f t="shared" ref="L535:N535" ca="1" si="384">L538+L541</f>
        <v>0</v>
      </c>
      <c r="M535" s="59">
        <f t="shared" ca="1" si="384"/>
        <v>0</v>
      </c>
      <c r="N535" s="59">
        <f t="shared" ca="1" si="384"/>
        <v>0</v>
      </c>
      <c r="O535" s="59">
        <f t="shared" ca="1" si="379"/>
        <v>0</v>
      </c>
      <c r="P535" s="59">
        <f t="shared" ca="1" si="380"/>
        <v>0</v>
      </c>
      <c r="Q535" s="59">
        <f t="shared" ref="Q535:S535" ca="1" si="385">Q538+Q541</f>
        <v>0</v>
      </c>
      <c r="R535" s="59">
        <f t="shared" ca="1" si="385"/>
        <v>0</v>
      </c>
      <c r="S535" s="60">
        <f t="shared" ca="1" si="385"/>
        <v>0</v>
      </c>
      <c r="T535" s="59">
        <f t="shared" ca="1" si="382"/>
        <v>0</v>
      </c>
      <c r="U535" s="59">
        <f t="shared" ca="1" si="383"/>
        <v>0</v>
      </c>
    </row>
    <row r="536" spans="1:21" ht="18.75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56">
        <f t="shared" ref="L536:N536" ca="1" si="386">L539+L542</f>
        <v>0</v>
      </c>
      <c r="M536" s="56">
        <f t="shared" ca="1" si="386"/>
        <v>0</v>
      </c>
      <c r="N536" s="56">
        <f t="shared" ca="1" si="386"/>
        <v>0</v>
      </c>
      <c r="O536" s="56">
        <f t="shared" ca="1" si="379"/>
        <v>0</v>
      </c>
      <c r="P536" s="56">
        <f t="shared" ca="1" si="380"/>
        <v>0</v>
      </c>
      <c r="Q536" s="56">
        <f t="shared" ref="Q536:S536" ca="1" si="387">Q539+Q542</f>
        <v>0</v>
      </c>
      <c r="R536" s="56">
        <f t="shared" ca="1" si="387"/>
        <v>0</v>
      </c>
      <c r="S536" s="57">
        <f t="shared" ca="1" si="387"/>
        <v>0</v>
      </c>
      <c r="T536" s="56">
        <f t="shared" ca="1" si="382"/>
        <v>0</v>
      </c>
      <c r="U536" s="56">
        <f t="shared" ca="1" si="383"/>
        <v>0</v>
      </c>
    </row>
    <row r="537" spans="1:21" ht="18.75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56">
        <f t="shared" ref="L537:N537" ca="1" si="388">L538+L539</f>
        <v>0</v>
      </c>
      <c r="M537" s="56">
        <f t="shared" ca="1" si="388"/>
        <v>0</v>
      </c>
      <c r="N537" s="56">
        <f t="shared" ca="1" si="388"/>
        <v>0</v>
      </c>
      <c r="O537" s="56">
        <f t="shared" ca="1" si="379"/>
        <v>0</v>
      </c>
      <c r="P537" s="56">
        <f t="shared" ca="1" si="380"/>
        <v>0</v>
      </c>
      <c r="Q537" s="56">
        <f t="shared" ref="Q537:S537" ca="1" si="389">Q538+Q539</f>
        <v>0</v>
      </c>
      <c r="R537" s="56">
        <f t="shared" ca="1" si="389"/>
        <v>0</v>
      </c>
      <c r="S537" s="57">
        <f t="shared" ca="1" si="389"/>
        <v>0</v>
      </c>
      <c r="T537" s="56">
        <f t="shared" ca="1" si="382"/>
        <v>0</v>
      </c>
      <c r="U537" s="56">
        <f t="shared" ca="1" si="383"/>
        <v>0</v>
      </c>
    </row>
    <row r="538" spans="1:21" ht="18.75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59">
        <f ca="1">IFERROR(__xludf.DUMMYFUNCTION("IMPORTRANGE(""https://docs.google.com/spreadsheets/d/1yhBcrRPreicbMKl9Bu_Snb2-OcQAF62RKfhTLhJ2eAA/edit?usp=sharing"",""กาฬสินธุ์!L538"")+IMPORTRANGE(""https://docs.google.com/spreadsheets/d/1aHkj4IaQMThhwWwevcOymEh837vdxeC_PycurhTbGFA/edit?usp=sharing"","&amp;"""ขอนแก่น!L538"")+IMPORTRANGE(""https://docs.google.com/spreadsheets/d/1FvTu2DsIWUjP6WCWra38Bkj_oOl_sOMf14r5Fg5srxU/edit?usp=sharing"",""ชัยภูมิ!L538"")+IMPORTRANGE(""https://docs.google.com/spreadsheets/d/1XVB7oCJ3pr-vBUdflwPQ8Z2LlzhnCvZaaYjAfP-647E/edit"&amp;"?usp=sharing"",""นครพนม!L538"")+IMPORTRANGE(""https://docs.google.com/spreadsheets/d/1Mnpb-8PYAgn85W6KOTD40hc_Xc55CaLfHoGAbrZ8tls/edit?usp=sharing"",""นครราชสีมา!L538"")+IMPORTRANGE(""https://docs.google.com/spreadsheets/d/1xoDLGBv9CYbyosIhki0kTq6IpYNj-gp"&amp;"jxfobnaDiut0/edit?usp=sharing"",""บึงกาฬ!L538"")+IMPORTRANGE(""https://docs.google.com/spreadsheets/d/1MMPq-JyI6DSgQETxuSiXkesP-P7JHuemnE6QJIa-Nlw/edit?usp=sharing"",""บุรีรัมย์!L538"")+IMPORTRANGE(""https://docs.google.com/spreadsheets/d/1l6IZ8xUPgMrESzc"&amp;"TYwhA1k_tPjeQjJPTqlm8Gd9eU5g/edit?usp=sharing"",""มหาสารคาม!L538"")+IMPORTRANGE(""https://docs.google.com/spreadsheets/d/1uB74YLqNjWX6FObjekfB2NtSYigTQyR2rq9u4Ub2Sq4/edit?usp=sharing"",""มุกดาหาร!L538"")+IMPORTRANGE(""https://docs.google.com/spreadsheets/"&amp;"d/1NexK3geCPxCTO1fzNF8dPec7yZyUx3OaWkFBC9HsQOo/edit?usp=sharing"",""ยโสธร!L538"")+IMPORTRANGE(""https://docs.google.com/spreadsheets/d/1v_cJrbBlyqmnHPReHk44g9NrMRdENNlSy_E_c5M9fIg/edit?usp=sharing"",""ร้อยเอ็ด!L538"")+IMPORTRANGE(""https://docs.google.com"&amp;"/spreadsheets/d/1Ul4RCpCX66NxYADU1QpwAPjOmBzW64SsT11s1wzXw_c/edit?usp=sharing"",""เลย!L538"")+IMPORTRANGE(""https://docs.google.com/spreadsheets/d/1bRrNKwbHDVktQG10isr5vbWRtt5spIZPpkOSWgbT5ug/edit?usp=sharing"",""ศรีสะเกษ!L538"")+IMPORTRANGE(""https://doc"&amp;"s.google.com/spreadsheets/d/17P34_Ow5kFBfdQD0qspb2UuPX5zpi6WMrQzslghyvrI/edit?usp=sharing"",""สกลนคร!L538"")+IMPORTRANGE(""https://docs.google.com/spreadsheets/d/1yswqbM3-AEpThF3ZSUa1AcmHnmRTF1vlJ1CZGcJ8YuU/edit?usp=sharing"",""สุรินทร์!L538"")+IMPORTRANG"&amp;"E(""https://docs.google.com/spreadsheets/d/13JHU_EFbsQOUQ0JSQ3dWy1VTRosIWcDq6Nc99z2qzdc/edit?usp=sharing"",""หนองคาย!L538"")+IMPORTRANGE(""https://docs.google.com/spreadsheets/d/1Hx73zIEgVdDZZaYSTc46Dqv64atFhpr3GelxLbaIN8A/edit?usp=sharing"",""หนองบัวลำภู"&amp;"!L538"")+IMPORTRANGE(""https://docs.google.com/spreadsheets/d/1lFxr3ctmjFN90yc-xV6jrQ9Ty8BKYVBWnAZ15wcNIJc/edit?usp=sharing"",""อำนาจเจริญ!L538"")+IMPORTRANGE(""https://docs.google.com/spreadsheets/d/1gF7RJpRnL-1oyjyeWxs5SFWEH7y8ahOZsQlyp2A2e-A/edit?usp=s"&amp;"haring"",""อุดรธานี!L538"")+IMPORTRANGE(""https://docs.google.com/spreadsheets/d/1kfLP0j3INXRa8bTDpcEmoWewMBV61jlFlfzczfjWIgc/edit?usp=sharing"",""อุบลราชธานี!L538"")"),0)</f>
        <v>0</v>
      </c>
      <c r="M538" s="59">
        <f ca="1">IFERROR(__xludf.DUMMYFUNCTION("IMPORTRANGE(""https://docs.google.com/spreadsheets/d/1yhBcrRPreicbMKl9Bu_Snb2-OcQAF62RKfhTLhJ2eAA/edit?usp=sharing"",""กาฬสินธุ์!M538"")+IMPORTRANGE(""https://docs.google.com/spreadsheets/d/1aHkj4IaQMThhwWwevcOymEh837vdxeC_PycurhTbGFA/edit?usp=sharing"","&amp;"""ขอนแก่น!M538"")+IMPORTRANGE(""https://docs.google.com/spreadsheets/d/1FvTu2DsIWUjP6WCWra38Bkj_oOl_sOMf14r5Fg5srxU/edit?usp=sharing"",""ชัยภูมิ!M538"")+IMPORTRANGE(""https://docs.google.com/spreadsheets/d/1XVB7oCJ3pr-vBUdflwPQ8Z2LlzhnCvZaaYjAfP-647E/edit"&amp;"?usp=sharing"",""นครพนม!M538"")+IMPORTRANGE(""https://docs.google.com/spreadsheets/d/1Mnpb-8PYAgn85W6KOTD40hc_Xc55CaLfHoGAbrZ8tls/edit?usp=sharing"",""นครราชสีมา!M538"")+IMPORTRANGE(""https://docs.google.com/spreadsheets/d/1xoDLGBv9CYbyosIhki0kTq6IpYNj-gp"&amp;"jxfobnaDiut0/edit?usp=sharing"",""บึงกาฬ!M538"")+IMPORTRANGE(""https://docs.google.com/spreadsheets/d/1MMPq-JyI6DSgQETxuSiXkesP-P7JHuemnE6QJIa-Nlw/edit?usp=sharing"",""บุรีรัมย์!M538"")+IMPORTRANGE(""https://docs.google.com/spreadsheets/d/1l6IZ8xUPgMrESzc"&amp;"TYwhA1k_tPjeQjJPTqlm8Gd9eU5g/edit?usp=sharing"",""มหาสารคาม!M538"")+IMPORTRANGE(""https://docs.google.com/spreadsheets/d/1uB74YLqNjWX6FObjekfB2NtSYigTQyR2rq9u4Ub2Sq4/edit?usp=sharing"",""มุกดาหาร!M538"")+IMPORTRANGE(""https://docs.google.com/spreadsheets/"&amp;"d/1NexK3geCPxCTO1fzNF8dPec7yZyUx3OaWkFBC9HsQOo/edit?usp=sharing"",""ยโสธร!M538"")+IMPORTRANGE(""https://docs.google.com/spreadsheets/d/1v_cJrbBlyqmnHPReHk44g9NrMRdENNlSy_E_c5M9fIg/edit?usp=sharing"",""ร้อยเอ็ด!M538"")+IMPORTRANGE(""https://docs.google.com"&amp;"/spreadsheets/d/1Ul4RCpCX66NxYADU1QpwAPjOmBzW64SsT11s1wzXw_c/edit?usp=sharing"",""เลย!M538"")+IMPORTRANGE(""https://docs.google.com/spreadsheets/d/1bRrNKwbHDVktQG10isr5vbWRtt5spIZPpkOSWgbT5ug/edit?usp=sharing"",""ศรีสะเกษ!M538"")+IMPORTRANGE(""https://doc"&amp;"s.google.com/spreadsheets/d/17P34_Ow5kFBfdQD0qspb2UuPX5zpi6WMrQzslghyvrI/edit?usp=sharing"",""สกลนคร!M538"")+IMPORTRANGE(""https://docs.google.com/spreadsheets/d/1yswqbM3-AEpThF3ZSUa1AcmHnmRTF1vlJ1CZGcJ8YuU/edit?usp=sharing"",""สุรินทร์!M538"")+IMPORTRANG"&amp;"E(""https://docs.google.com/spreadsheets/d/13JHU_EFbsQOUQ0JSQ3dWy1VTRosIWcDq6Nc99z2qzdc/edit?usp=sharing"",""หนองคาย!M538"")+IMPORTRANGE(""https://docs.google.com/spreadsheets/d/1Hx73zIEgVdDZZaYSTc46Dqv64atFhpr3GelxLbaIN8A/edit?usp=sharing"",""หนองบัวลำภู"&amp;"!M538"")+IMPORTRANGE(""https://docs.google.com/spreadsheets/d/1lFxr3ctmjFN90yc-xV6jrQ9Ty8BKYVBWnAZ15wcNIJc/edit?usp=sharing"",""อำนาจเจริญ!M538"")+IMPORTRANGE(""https://docs.google.com/spreadsheets/d/1gF7RJpRnL-1oyjyeWxs5SFWEH7y8ahOZsQlyp2A2e-A/edit?usp=s"&amp;"haring"",""อุดรธานี!M538"")+IMPORTRANGE(""https://docs.google.com/spreadsheets/d/1kfLP0j3INXRa8bTDpcEmoWewMBV61jlFlfzczfjWIgc/edit?usp=sharing"",""อุบลราชธานี!M538"")"),0)</f>
        <v>0</v>
      </c>
      <c r="N538" s="59">
        <f ca="1">IFERROR(__xludf.DUMMYFUNCTION("IMPORTRANGE(""https://docs.google.com/spreadsheets/d/1yhBcrRPreicbMKl9Bu_Snb2-OcQAF62RKfhTLhJ2eAA/edit?usp=sharing"",""กาฬสินธุ์!N538"")+IMPORTRANGE(""https://docs.google.com/spreadsheets/d/1aHkj4IaQMThhwWwevcOymEh837vdxeC_PycurhTbGFA/edit?usp=sharing"","&amp;"""ขอนแก่น!N538"")+IMPORTRANGE(""https://docs.google.com/spreadsheets/d/1FvTu2DsIWUjP6WCWra38Bkj_oOl_sOMf14r5Fg5srxU/edit?usp=sharing"",""ชัยภูมิ!N538"")+IMPORTRANGE(""https://docs.google.com/spreadsheets/d/1XVB7oCJ3pr-vBUdflwPQ8Z2LlzhnCvZaaYjAfP-647E/edit"&amp;"?usp=sharing"",""นครพนม!N538"")+IMPORTRANGE(""https://docs.google.com/spreadsheets/d/1Mnpb-8PYAgn85W6KOTD40hc_Xc55CaLfHoGAbrZ8tls/edit?usp=sharing"",""นครราชสีมา!N538"")+IMPORTRANGE(""https://docs.google.com/spreadsheets/d/1xoDLGBv9CYbyosIhki0kTq6IpYNj-gp"&amp;"jxfobnaDiut0/edit?usp=sharing"",""บึงกาฬ!N538"")+IMPORTRANGE(""https://docs.google.com/spreadsheets/d/1MMPq-JyI6DSgQETxuSiXkesP-P7JHuemnE6QJIa-Nlw/edit?usp=sharing"",""บุรีรัมย์!N538"")+IMPORTRANGE(""https://docs.google.com/spreadsheets/d/1l6IZ8xUPgMrESzc"&amp;"TYwhA1k_tPjeQjJPTqlm8Gd9eU5g/edit?usp=sharing"",""มหาสารคาม!N538"")+IMPORTRANGE(""https://docs.google.com/spreadsheets/d/1uB74YLqNjWX6FObjekfB2NtSYigTQyR2rq9u4Ub2Sq4/edit?usp=sharing"",""มุกดาหาร!N538"")+IMPORTRANGE(""https://docs.google.com/spreadsheets/"&amp;"d/1NexK3geCPxCTO1fzNF8dPec7yZyUx3OaWkFBC9HsQOo/edit?usp=sharing"",""ยโสธร!N538"")+IMPORTRANGE(""https://docs.google.com/spreadsheets/d/1v_cJrbBlyqmnHPReHk44g9NrMRdENNlSy_E_c5M9fIg/edit?usp=sharing"",""ร้อยเอ็ด!N538"")+IMPORTRANGE(""https://docs.google.com"&amp;"/spreadsheets/d/1Ul4RCpCX66NxYADU1QpwAPjOmBzW64SsT11s1wzXw_c/edit?usp=sharing"",""เลย!N538"")+IMPORTRANGE(""https://docs.google.com/spreadsheets/d/1bRrNKwbHDVktQG10isr5vbWRtt5spIZPpkOSWgbT5ug/edit?usp=sharing"",""ศรีสะเกษ!N538"")+IMPORTRANGE(""https://doc"&amp;"s.google.com/spreadsheets/d/17P34_Ow5kFBfdQD0qspb2UuPX5zpi6WMrQzslghyvrI/edit?usp=sharing"",""สกลนคร!N538"")+IMPORTRANGE(""https://docs.google.com/spreadsheets/d/1yswqbM3-AEpThF3ZSUa1AcmHnmRTF1vlJ1CZGcJ8YuU/edit?usp=sharing"",""สุรินทร์!N538"")+IMPORTRANG"&amp;"E(""https://docs.google.com/spreadsheets/d/13JHU_EFbsQOUQ0JSQ3dWy1VTRosIWcDq6Nc99z2qzdc/edit?usp=sharing"",""หนองคาย!N538"")+IMPORTRANGE(""https://docs.google.com/spreadsheets/d/1Hx73zIEgVdDZZaYSTc46Dqv64atFhpr3GelxLbaIN8A/edit?usp=sharing"",""หนองบัวลำภู"&amp;"!N538"")+IMPORTRANGE(""https://docs.google.com/spreadsheets/d/1lFxr3ctmjFN90yc-xV6jrQ9Ty8BKYVBWnAZ15wcNIJc/edit?usp=sharing"",""อำนาจเจริญ!N538"")+IMPORTRANGE(""https://docs.google.com/spreadsheets/d/1gF7RJpRnL-1oyjyeWxs5SFWEH7y8ahOZsQlyp2A2e-A/edit?usp=s"&amp;"haring"",""อุดรธานี!N538"")+IMPORTRANGE(""https://docs.google.com/spreadsheets/d/1kfLP0j3INXRa8bTDpcEmoWewMBV61jlFlfzczfjWIgc/edit?usp=sharing"",""อุบลราชธานี!N538"")"),0)</f>
        <v>0</v>
      </c>
      <c r="O538" s="59">
        <f t="shared" ca="1" si="379"/>
        <v>0</v>
      </c>
      <c r="P538" s="59">
        <f t="shared" ca="1" si="380"/>
        <v>0</v>
      </c>
      <c r="Q538" s="59">
        <f ca="1">IFERROR(__xludf.DUMMYFUNCTION("IMPORTRANGE(""https://docs.google.com/spreadsheets/d/1yhBcrRPreicbMKl9Bu_Snb2-OcQAF62RKfhTLhJ2eAA/edit?usp=sharing"",""กาฬสินธุ์!Q538"")+IMPORTRANGE(""https://docs.google.com/spreadsheets/d/1aHkj4IaQMThhwWwevcOymEh837vdxeC_PycurhTbGFA/edit?usp=sharing"","&amp;"""ขอนแก่น!Q538"")+IMPORTRANGE(""https://docs.google.com/spreadsheets/d/1FvTu2DsIWUjP6WCWra38Bkj_oOl_sOMf14r5Fg5srxU/edit?usp=sharing"",""ชัยภูมิ!Q538"")+IMPORTRANGE(""https://docs.google.com/spreadsheets/d/1XVB7oCJ3pr-vBUdflwPQ8Z2LlzhnCvZaaYjAfP-647E/edit"&amp;"?usp=sharing"",""นครพนม!Q538"")+IMPORTRANGE(""https://docs.google.com/spreadsheets/d/1Mnpb-8PYAgn85W6KOTD40hc_Xc55CaLfHoGAbrZ8tls/edit?usp=sharing"",""นครราชสีมา!Q538"")+IMPORTRANGE(""https://docs.google.com/spreadsheets/d/1xoDLGBv9CYbyosIhki0kTq6IpYNj-gp"&amp;"jxfobnaDiut0/edit?usp=sharing"",""บึงกาฬ!Q538"")+IMPORTRANGE(""https://docs.google.com/spreadsheets/d/1MMPq-JyI6DSgQETxuSiXkesP-P7JHuemnE6QJIa-Nlw/edit?usp=sharing"",""บุรีรัมย์!Q538"")+IMPORTRANGE(""https://docs.google.com/spreadsheets/d/1l6IZ8xUPgMrESzc"&amp;"TYwhA1k_tPjeQjJPTqlm8Gd9eU5g/edit?usp=sharing"",""มหาสารคาม!Q538"")+IMPORTRANGE(""https://docs.google.com/spreadsheets/d/1uB74YLqNjWX6FObjekfB2NtSYigTQyR2rq9u4Ub2Sq4/edit?usp=sharing"",""มุกดาหาร!Q538"")+IMPORTRANGE(""https://docs.google.com/spreadsheets/"&amp;"d/1NexK3geCPxCTO1fzNF8dPec7yZyUx3OaWkFBC9HsQOo/edit?usp=sharing"",""ยโสธร!Q538"")+IMPORTRANGE(""https://docs.google.com/spreadsheets/d/1v_cJrbBlyqmnHPReHk44g9NrMRdENNlSy_E_c5M9fIg/edit?usp=sharing"",""ร้อยเอ็ด!Q538"")+IMPORTRANGE(""https://docs.google.com"&amp;"/spreadsheets/d/1Ul4RCpCX66NxYADU1QpwAPjOmBzW64SsT11s1wzXw_c/edit?usp=sharing"",""เลย!Q538"")+IMPORTRANGE(""https://docs.google.com/spreadsheets/d/1bRrNKwbHDVktQG10isr5vbWRtt5spIZPpkOSWgbT5ug/edit?usp=sharing"",""ศรีสะเกษ!Q538"")+IMPORTRANGE(""https://doc"&amp;"s.google.com/spreadsheets/d/17P34_Ow5kFBfdQD0qspb2UuPX5zpi6WMrQzslghyvrI/edit?usp=sharing"",""สกลนคร!Q538"")+IMPORTRANGE(""https://docs.google.com/spreadsheets/d/1yswqbM3-AEpThF3ZSUa1AcmHnmRTF1vlJ1CZGcJ8YuU/edit?usp=sharing"",""สุรินทร์!Q538"")+IMPORTRANG"&amp;"E(""https://docs.google.com/spreadsheets/d/13JHU_EFbsQOUQ0JSQ3dWy1VTRosIWcDq6Nc99z2qzdc/edit?usp=sharing"",""หนองคาย!Q538"")+IMPORTRANGE(""https://docs.google.com/spreadsheets/d/1Hx73zIEgVdDZZaYSTc46Dqv64atFhpr3GelxLbaIN8A/edit?usp=sharing"",""หนองบัวลำภู"&amp;"!Q538"")+IMPORTRANGE(""https://docs.google.com/spreadsheets/d/1lFxr3ctmjFN90yc-xV6jrQ9Ty8BKYVBWnAZ15wcNIJc/edit?usp=sharing"",""อำนาจเจริญ!Q538"")+IMPORTRANGE(""https://docs.google.com/spreadsheets/d/1gF7RJpRnL-1oyjyeWxs5SFWEH7y8ahOZsQlyp2A2e-A/edit?usp=s"&amp;"haring"",""อุดรธานี!Q538"")+IMPORTRANGE(""https://docs.google.com/spreadsheets/d/1kfLP0j3INXRa8bTDpcEmoWewMBV61jlFlfzczfjWIgc/edit?usp=sharing"",""อุบลราชธานี!Q538"")"),0)</f>
        <v>0</v>
      </c>
      <c r="R538" s="59">
        <f ca="1">IFERROR(__xludf.DUMMYFUNCTION("IMPORTRANGE(""https://docs.google.com/spreadsheets/d/1yhBcrRPreicbMKl9Bu_Snb2-OcQAF62RKfhTLhJ2eAA/edit?usp=sharing"",""กาฬสินธุ์!R538"")+IMPORTRANGE(""https://docs.google.com/spreadsheets/d/1aHkj4IaQMThhwWwevcOymEh837vdxeC_PycurhTbGFA/edit?usp=sharing"","&amp;"""ขอนแก่น!R538"")+IMPORTRANGE(""https://docs.google.com/spreadsheets/d/1FvTu2DsIWUjP6WCWra38Bkj_oOl_sOMf14r5Fg5srxU/edit?usp=sharing"",""ชัยภูมิ!R538"")+IMPORTRANGE(""https://docs.google.com/spreadsheets/d/1XVB7oCJ3pr-vBUdflwPQ8Z2LlzhnCvZaaYjAfP-647E/edit"&amp;"?usp=sharing"",""นครพนม!R538"")+IMPORTRANGE(""https://docs.google.com/spreadsheets/d/1Mnpb-8PYAgn85W6KOTD40hc_Xc55CaLfHoGAbrZ8tls/edit?usp=sharing"",""นครราชสีมา!R538"")+IMPORTRANGE(""https://docs.google.com/spreadsheets/d/1xoDLGBv9CYbyosIhki0kTq6IpYNj-gp"&amp;"jxfobnaDiut0/edit?usp=sharing"",""บึงกาฬ!R538"")+IMPORTRANGE(""https://docs.google.com/spreadsheets/d/1MMPq-JyI6DSgQETxuSiXkesP-P7JHuemnE6QJIa-Nlw/edit?usp=sharing"",""บุรีรัมย์!R538"")+IMPORTRANGE(""https://docs.google.com/spreadsheets/d/1l6IZ8xUPgMrESzc"&amp;"TYwhA1k_tPjeQjJPTqlm8Gd9eU5g/edit?usp=sharing"",""มหาสารคาม!R538"")+IMPORTRANGE(""https://docs.google.com/spreadsheets/d/1uB74YLqNjWX6FObjekfB2NtSYigTQyR2rq9u4Ub2Sq4/edit?usp=sharing"",""มุกดาหาร!R538"")+IMPORTRANGE(""https://docs.google.com/spreadsheets/"&amp;"d/1NexK3geCPxCTO1fzNF8dPec7yZyUx3OaWkFBC9HsQOo/edit?usp=sharing"",""ยโสธร!R538"")+IMPORTRANGE(""https://docs.google.com/spreadsheets/d/1v_cJrbBlyqmnHPReHk44g9NrMRdENNlSy_E_c5M9fIg/edit?usp=sharing"",""ร้อยเอ็ด!R538"")+IMPORTRANGE(""https://docs.google.com"&amp;"/spreadsheets/d/1Ul4RCpCX66NxYADU1QpwAPjOmBzW64SsT11s1wzXw_c/edit?usp=sharing"",""เลย!R538"")+IMPORTRANGE(""https://docs.google.com/spreadsheets/d/1bRrNKwbHDVktQG10isr5vbWRtt5spIZPpkOSWgbT5ug/edit?usp=sharing"",""ศรีสะเกษ!R538"")+IMPORTRANGE(""https://doc"&amp;"s.google.com/spreadsheets/d/17P34_Ow5kFBfdQD0qspb2UuPX5zpi6WMrQzslghyvrI/edit?usp=sharing"",""สกลนคร!R538"")+IMPORTRANGE(""https://docs.google.com/spreadsheets/d/1yswqbM3-AEpThF3ZSUa1AcmHnmRTF1vlJ1CZGcJ8YuU/edit?usp=sharing"",""สุรินทร์!R538"")+IMPORTRANG"&amp;"E(""https://docs.google.com/spreadsheets/d/13JHU_EFbsQOUQ0JSQ3dWy1VTRosIWcDq6Nc99z2qzdc/edit?usp=sharing"",""หนองคาย!R538"")+IMPORTRANGE(""https://docs.google.com/spreadsheets/d/1Hx73zIEgVdDZZaYSTc46Dqv64atFhpr3GelxLbaIN8A/edit?usp=sharing"",""หนองบัวลำภู"&amp;"!R538"")+IMPORTRANGE(""https://docs.google.com/spreadsheets/d/1lFxr3ctmjFN90yc-xV6jrQ9Ty8BKYVBWnAZ15wcNIJc/edit?usp=sharing"",""อำนาจเจริญ!R538"")+IMPORTRANGE(""https://docs.google.com/spreadsheets/d/1gF7RJpRnL-1oyjyeWxs5SFWEH7y8ahOZsQlyp2A2e-A/edit?usp=s"&amp;"haring"",""อุดรธานี!R538"")+IMPORTRANGE(""https://docs.google.com/spreadsheets/d/1kfLP0j3INXRa8bTDpcEmoWewMBV61jlFlfzczfjWIgc/edit?usp=sharing"",""อุบลราชธานี!R538"")"),0)</f>
        <v>0</v>
      </c>
      <c r="S538" s="60">
        <f ca="1">IFERROR(__xludf.DUMMYFUNCTION("IMPORTRANGE(""https://docs.google.com/spreadsheets/d/1yhBcrRPreicbMKl9Bu_Snb2-OcQAF62RKfhTLhJ2eAA/edit?usp=sharing"",""กาฬสินธุ์!S538"")+IMPORTRANGE(""https://docs.google.com/spreadsheets/d/1aHkj4IaQMThhwWwevcOymEh837vdxeC_PycurhTbGFA/edit?usp=sharing"","&amp;"""ขอนแก่น!S538"")+IMPORTRANGE(""https://docs.google.com/spreadsheets/d/1FvTu2DsIWUjP6WCWra38Bkj_oOl_sOMf14r5Fg5srxU/edit?usp=sharing"",""ชัยภูมิ!S538"")+IMPORTRANGE(""https://docs.google.com/spreadsheets/d/1XVB7oCJ3pr-vBUdflwPQ8Z2LlzhnCvZaaYjAfP-647E/edit"&amp;"?usp=sharing"",""นครพนม!S538"")+IMPORTRANGE(""https://docs.google.com/spreadsheets/d/1Mnpb-8PYAgn85W6KOTD40hc_Xc55CaLfHoGAbrZ8tls/edit?usp=sharing"",""นครราชสีมา!S538"")+IMPORTRANGE(""https://docs.google.com/spreadsheets/d/1xoDLGBv9CYbyosIhki0kTq6IpYNj-gp"&amp;"jxfobnaDiut0/edit?usp=sharing"",""บึงกาฬ!S538"")+IMPORTRANGE(""https://docs.google.com/spreadsheets/d/1MMPq-JyI6DSgQETxuSiXkesP-P7JHuemnE6QJIa-Nlw/edit?usp=sharing"",""บุรีรัมย์!S538"")+IMPORTRANGE(""https://docs.google.com/spreadsheets/d/1l6IZ8xUPgMrESzc"&amp;"TYwhA1k_tPjeQjJPTqlm8Gd9eU5g/edit?usp=sharing"",""มหาสารคาม!S538"")+IMPORTRANGE(""https://docs.google.com/spreadsheets/d/1uB74YLqNjWX6FObjekfB2NtSYigTQyR2rq9u4Ub2Sq4/edit?usp=sharing"",""มุกดาหาร!S538"")+IMPORTRANGE(""https://docs.google.com/spreadsheets/"&amp;"d/1NexK3geCPxCTO1fzNF8dPec7yZyUx3OaWkFBC9HsQOo/edit?usp=sharing"",""ยโสธร!S538"")+IMPORTRANGE(""https://docs.google.com/spreadsheets/d/1v_cJrbBlyqmnHPReHk44g9NrMRdENNlSy_E_c5M9fIg/edit?usp=sharing"",""ร้อยเอ็ด!S538"")+IMPORTRANGE(""https://docs.google.com"&amp;"/spreadsheets/d/1Ul4RCpCX66NxYADU1QpwAPjOmBzW64SsT11s1wzXw_c/edit?usp=sharing"",""เลย!S538"")+IMPORTRANGE(""https://docs.google.com/spreadsheets/d/1bRrNKwbHDVktQG10isr5vbWRtt5spIZPpkOSWgbT5ug/edit?usp=sharing"",""ศรีสะเกษ!S538"")+IMPORTRANGE(""https://doc"&amp;"s.google.com/spreadsheets/d/17P34_Ow5kFBfdQD0qspb2UuPX5zpi6WMrQzslghyvrI/edit?usp=sharing"",""สกลนคร!S538"")+IMPORTRANGE(""https://docs.google.com/spreadsheets/d/1yswqbM3-AEpThF3ZSUa1AcmHnmRTF1vlJ1CZGcJ8YuU/edit?usp=sharing"",""สุรินทร์!S538"")+IMPORTRANG"&amp;"E(""https://docs.google.com/spreadsheets/d/13JHU_EFbsQOUQ0JSQ3dWy1VTRosIWcDq6Nc99z2qzdc/edit?usp=sharing"",""หนองคาย!S538"")+IMPORTRANGE(""https://docs.google.com/spreadsheets/d/1Hx73zIEgVdDZZaYSTc46Dqv64atFhpr3GelxLbaIN8A/edit?usp=sharing"",""หนองบัวลำภู"&amp;"!S538"")+IMPORTRANGE(""https://docs.google.com/spreadsheets/d/1lFxr3ctmjFN90yc-xV6jrQ9Ty8BKYVBWnAZ15wcNIJc/edit?usp=sharing"",""อำนาจเจริญ!S538"")+IMPORTRANGE(""https://docs.google.com/spreadsheets/d/1gF7RJpRnL-1oyjyeWxs5SFWEH7y8ahOZsQlyp2A2e-A/edit?usp=s"&amp;"haring"",""อุดรธานี!S538"")+IMPORTRANGE(""https://docs.google.com/spreadsheets/d/1kfLP0j3INXRa8bTDpcEmoWewMBV61jlFlfzczfjWIgc/edit?usp=sharing"",""อุบลราชธานี!S538"")"),0)</f>
        <v>0</v>
      </c>
      <c r="T538" s="59">
        <f t="shared" ca="1" si="382"/>
        <v>0</v>
      </c>
      <c r="U538" s="59">
        <f t="shared" ca="1" si="383"/>
        <v>0</v>
      </c>
    </row>
    <row r="539" spans="1:21" ht="18.75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56">
        <f ca="1">IFERROR(__xludf.DUMMYFUNCTION("IMPORTRANGE(""https://docs.google.com/spreadsheets/d/1yhBcrRPreicbMKl9Bu_Snb2-OcQAF62RKfhTLhJ2eAA/edit?usp=sharing"",""กาฬสินธุ์!L539"")+IMPORTRANGE(""https://docs.google.com/spreadsheets/d/1aHkj4IaQMThhwWwevcOymEh837vdxeC_PycurhTbGFA/edit?usp=sharing"","&amp;"""ขอนแก่น!L539"")+IMPORTRANGE(""https://docs.google.com/spreadsheets/d/1FvTu2DsIWUjP6WCWra38Bkj_oOl_sOMf14r5Fg5srxU/edit?usp=sharing"",""ชัยภูมิ!L539"")+IMPORTRANGE(""https://docs.google.com/spreadsheets/d/1XVB7oCJ3pr-vBUdflwPQ8Z2LlzhnCvZaaYjAfP-647E/edit"&amp;"?usp=sharing"",""นครพนม!L539"")+IMPORTRANGE(""https://docs.google.com/spreadsheets/d/1Mnpb-8PYAgn85W6KOTD40hc_Xc55CaLfHoGAbrZ8tls/edit?usp=sharing"",""นครราชสีมา!L539"")+IMPORTRANGE(""https://docs.google.com/spreadsheets/d/1xoDLGBv9CYbyosIhki0kTq6IpYNj-gp"&amp;"jxfobnaDiut0/edit?usp=sharing"",""บึงกาฬ!L539"")+IMPORTRANGE(""https://docs.google.com/spreadsheets/d/1MMPq-JyI6DSgQETxuSiXkesP-P7JHuemnE6QJIa-Nlw/edit?usp=sharing"",""บุรีรัมย์!L539"")+IMPORTRANGE(""https://docs.google.com/spreadsheets/d/1l6IZ8xUPgMrESzc"&amp;"TYwhA1k_tPjeQjJPTqlm8Gd9eU5g/edit?usp=sharing"",""มหาสารคาม!L539"")+IMPORTRANGE(""https://docs.google.com/spreadsheets/d/1uB74YLqNjWX6FObjekfB2NtSYigTQyR2rq9u4Ub2Sq4/edit?usp=sharing"",""มุกดาหาร!L539"")+IMPORTRANGE(""https://docs.google.com/spreadsheets/"&amp;"d/1NexK3geCPxCTO1fzNF8dPec7yZyUx3OaWkFBC9HsQOo/edit?usp=sharing"",""ยโสธร!L539"")+IMPORTRANGE(""https://docs.google.com/spreadsheets/d/1v_cJrbBlyqmnHPReHk44g9NrMRdENNlSy_E_c5M9fIg/edit?usp=sharing"",""ร้อยเอ็ด!L539"")+IMPORTRANGE(""https://docs.google.com"&amp;"/spreadsheets/d/1Ul4RCpCX66NxYADU1QpwAPjOmBzW64SsT11s1wzXw_c/edit?usp=sharing"",""เลย!L539"")+IMPORTRANGE(""https://docs.google.com/spreadsheets/d/1bRrNKwbHDVktQG10isr5vbWRtt5spIZPpkOSWgbT5ug/edit?usp=sharing"",""ศรีสะเกษ!L539"")+IMPORTRANGE(""https://doc"&amp;"s.google.com/spreadsheets/d/17P34_Ow5kFBfdQD0qspb2UuPX5zpi6WMrQzslghyvrI/edit?usp=sharing"",""สกลนคร!L539"")+IMPORTRANGE(""https://docs.google.com/spreadsheets/d/1yswqbM3-AEpThF3ZSUa1AcmHnmRTF1vlJ1CZGcJ8YuU/edit?usp=sharing"",""สุรินทร์!L539"")+IMPORTRANG"&amp;"E(""https://docs.google.com/spreadsheets/d/13JHU_EFbsQOUQ0JSQ3dWy1VTRosIWcDq6Nc99z2qzdc/edit?usp=sharing"",""หนองคาย!L539"")+IMPORTRANGE(""https://docs.google.com/spreadsheets/d/1Hx73zIEgVdDZZaYSTc46Dqv64atFhpr3GelxLbaIN8A/edit?usp=sharing"",""หนองบัวลำภู"&amp;"!L539"")+IMPORTRANGE(""https://docs.google.com/spreadsheets/d/1lFxr3ctmjFN90yc-xV6jrQ9Ty8BKYVBWnAZ15wcNIJc/edit?usp=sharing"",""อำนาจเจริญ!L539"")+IMPORTRANGE(""https://docs.google.com/spreadsheets/d/1gF7RJpRnL-1oyjyeWxs5SFWEH7y8ahOZsQlyp2A2e-A/edit?usp=s"&amp;"haring"",""อุดรธานี!L539"")+IMPORTRANGE(""https://docs.google.com/spreadsheets/d/1kfLP0j3INXRa8bTDpcEmoWewMBV61jlFlfzczfjWIgc/edit?usp=sharing"",""อุบลราชธานี!L539"")"),0)</f>
        <v>0</v>
      </c>
      <c r="M539" s="56">
        <f ca="1">IFERROR(__xludf.DUMMYFUNCTION("IMPORTRANGE(""https://docs.google.com/spreadsheets/d/1yhBcrRPreicbMKl9Bu_Snb2-OcQAF62RKfhTLhJ2eAA/edit?usp=sharing"",""กาฬสินธุ์!M539"")+IMPORTRANGE(""https://docs.google.com/spreadsheets/d/1aHkj4IaQMThhwWwevcOymEh837vdxeC_PycurhTbGFA/edit?usp=sharing"","&amp;"""ขอนแก่น!M539"")+IMPORTRANGE(""https://docs.google.com/spreadsheets/d/1FvTu2DsIWUjP6WCWra38Bkj_oOl_sOMf14r5Fg5srxU/edit?usp=sharing"",""ชัยภูมิ!M539"")+IMPORTRANGE(""https://docs.google.com/spreadsheets/d/1XVB7oCJ3pr-vBUdflwPQ8Z2LlzhnCvZaaYjAfP-647E/edit"&amp;"?usp=sharing"",""นครพนม!M539"")+IMPORTRANGE(""https://docs.google.com/spreadsheets/d/1Mnpb-8PYAgn85W6KOTD40hc_Xc55CaLfHoGAbrZ8tls/edit?usp=sharing"",""นครราชสีมา!M539"")+IMPORTRANGE(""https://docs.google.com/spreadsheets/d/1xoDLGBv9CYbyosIhki0kTq6IpYNj-gp"&amp;"jxfobnaDiut0/edit?usp=sharing"",""บึงกาฬ!M539"")+IMPORTRANGE(""https://docs.google.com/spreadsheets/d/1MMPq-JyI6DSgQETxuSiXkesP-P7JHuemnE6QJIa-Nlw/edit?usp=sharing"",""บุรีรัมย์!M539"")+IMPORTRANGE(""https://docs.google.com/spreadsheets/d/1l6IZ8xUPgMrESzc"&amp;"TYwhA1k_tPjeQjJPTqlm8Gd9eU5g/edit?usp=sharing"",""มหาสารคาม!M539"")+IMPORTRANGE(""https://docs.google.com/spreadsheets/d/1uB74YLqNjWX6FObjekfB2NtSYigTQyR2rq9u4Ub2Sq4/edit?usp=sharing"",""มุกดาหาร!M539"")+IMPORTRANGE(""https://docs.google.com/spreadsheets/"&amp;"d/1NexK3geCPxCTO1fzNF8dPec7yZyUx3OaWkFBC9HsQOo/edit?usp=sharing"",""ยโสธร!M539"")+IMPORTRANGE(""https://docs.google.com/spreadsheets/d/1v_cJrbBlyqmnHPReHk44g9NrMRdENNlSy_E_c5M9fIg/edit?usp=sharing"",""ร้อยเอ็ด!M539"")+IMPORTRANGE(""https://docs.google.com"&amp;"/spreadsheets/d/1Ul4RCpCX66NxYADU1QpwAPjOmBzW64SsT11s1wzXw_c/edit?usp=sharing"",""เลย!M539"")+IMPORTRANGE(""https://docs.google.com/spreadsheets/d/1bRrNKwbHDVktQG10isr5vbWRtt5spIZPpkOSWgbT5ug/edit?usp=sharing"",""ศรีสะเกษ!M539"")+IMPORTRANGE(""https://doc"&amp;"s.google.com/spreadsheets/d/17P34_Ow5kFBfdQD0qspb2UuPX5zpi6WMrQzslghyvrI/edit?usp=sharing"",""สกลนคร!M539"")+IMPORTRANGE(""https://docs.google.com/spreadsheets/d/1yswqbM3-AEpThF3ZSUa1AcmHnmRTF1vlJ1CZGcJ8YuU/edit?usp=sharing"",""สุรินทร์!M539"")+IMPORTRANG"&amp;"E(""https://docs.google.com/spreadsheets/d/13JHU_EFbsQOUQ0JSQ3dWy1VTRosIWcDq6Nc99z2qzdc/edit?usp=sharing"",""หนองคาย!M539"")+IMPORTRANGE(""https://docs.google.com/spreadsheets/d/1Hx73zIEgVdDZZaYSTc46Dqv64atFhpr3GelxLbaIN8A/edit?usp=sharing"",""หนองบัวลำภู"&amp;"!M539"")+IMPORTRANGE(""https://docs.google.com/spreadsheets/d/1lFxr3ctmjFN90yc-xV6jrQ9Ty8BKYVBWnAZ15wcNIJc/edit?usp=sharing"",""อำนาจเจริญ!M539"")+IMPORTRANGE(""https://docs.google.com/spreadsheets/d/1gF7RJpRnL-1oyjyeWxs5SFWEH7y8ahOZsQlyp2A2e-A/edit?usp=s"&amp;"haring"",""อุดรธานี!M539"")+IMPORTRANGE(""https://docs.google.com/spreadsheets/d/1kfLP0j3INXRa8bTDpcEmoWewMBV61jlFlfzczfjWIgc/edit?usp=sharing"",""อุบลราชธานี!M539"")"),0)</f>
        <v>0</v>
      </c>
      <c r="N539" s="56">
        <f ca="1">IFERROR(__xludf.DUMMYFUNCTION("IMPORTRANGE(""https://docs.google.com/spreadsheets/d/1yhBcrRPreicbMKl9Bu_Snb2-OcQAF62RKfhTLhJ2eAA/edit?usp=sharing"",""กาฬสินธุ์!N539"")+IMPORTRANGE(""https://docs.google.com/spreadsheets/d/1aHkj4IaQMThhwWwevcOymEh837vdxeC_PycurhTbGFA/edit?usp=sharing"","&amp;"""ขอนแก่น!N539"")+IMPORTRANGE(""https://docs.google.com/spreadsheets/d/1FvTu2DsIWUjP6WCWra38Bkj_oOl_sOMf14r5Fg5srxU/edit?usp=sharing"",""ชัยภูมิ!N539"")+IMPORTRANGE(""https://docs.google.com/spreadsheets/d/1XVB7oCJ3pr-vBUdflwPQ8Z2LlzhnCvZaaYjAfP-647E/edit"&amp;"?usp=sharing"",""นครพนม!N539"")+IMPORTRANGE(""https://docs.google.com/spreadsheets/d/1Mnpb-8PYAgn85W6KOTD40hc_Xc55CaLfHoGAbrZ8tls/edit?usp=sharing"",""นครราชสีมา!N539"")+IMPORTRANGE(""https://docs.google.com/spreadsheets/d/1xoDLGBv9CYbyosIhki0kTq6IpYNj-gp"&amp;"jxfobnaDiut0/edit?usp=sharing"",""บึงกาฬ!N539"")+IMPORTRANGE(""https://docs.google.com/spreadsheets/d/1MMPq-JyI6DSgQETxuSiXkesP-P7JHuemnE6QJIa-Nlw/edit?usp=sharing"",""บุรีรัมย์!N539"")+IMPORTRANGE(""https://docs.google.com/spreadsheets/d/1l6IZ8xUPgMrESzc"&amp;"TYwhA1k_tPjeQjJPTqlm8Gd9eU5g/edit?usp=sharing"",""มหาสารคาม!N539"")+IMPORTRANGE(""https://docs.google.com/spreadsheets/d/1uB74YLqNjWX6FObjekfB2NtSYigTQyR2rq9u4Ub2Sq4/edit?usp=sharing"",""มุกดาหาร!N539"")+IMPORTRANGE(""https://docs.google.com/spreadsheets/"&amp;"d/1NexK3geCPxCTO1fzNF8dPec7yZyUx3OaWkFBC9HsQOo/edit?usp=sharing"",""ยโสธร!N539"")+IMPORTRANGE(""https://docs.google.com/spreadsheets/d/1v_cJrbBlyqmnHPReHk44g9NrMRdENNlSy_E_c5M9fIg/edit?usp=sharing"",""ร้อยเอ็ด!N539"")+IMPORTRANGE(""https://docs.google.com"&amp;"/spreadsheets/d/1Ul4RCpCX66NxYADU1QpwAPjOmBzW64SsT11s1wzXw_c/edit?usp=sharing"",""เลย!N539"")+IMPORTRANGE(""https://docs.google.com/spreadsheets/d/1bRrNKwbHDVktQG10isr5vbWRtt5spIZPpkOSWgbT5ug/edit?usp=sharing"",""ศรีสะเกษ!N539"")+IMPORTRANGE(""https://doc"&amp;"s.google.com/spreadsheets/d/17P34_Ow5kFBfdQD0qspb2UuPX5zpi6WMrQzslghyvrI/edit?usp=sharing"",""สกลนคร!N539"")+IMPORTRANGE(""https://docs.google.com/spreadsheets/d/1yswqbM3-AEpThF3ZSUa1AcmHnmRTF1vlJ1CZGcJ8YuU/edit?usp=sharing"",""สุรินทร์!N539"")+IMPORTRANG"&amp;"E(""https://docs.google.com/spreadsheets/d/13JHU_EFbsQOUQ0JSQ3dWy1VTRosIWcDq6Nc99z2qzdc/edit?usp=sharing"",""หนองคาย!N539"")+IMPORTRANGE(""https://docs.google.com/spreadsheets/d/1Hx73zIEgVdDZZaYSTc46Dqv64atFhpr3GelxLbaIN8A/edit?usp=sharing"",""หนองบัวลำภู"&amp;"!N539"")+IMPORTRANGE(""https://docs.google.com/spreadsheets/d/1lFxr3ctmjFN90yc-xV6jrQ9Ty8BKYVBWnAZ15wcNIJc/edit?usp=sharing"",""อำนาจเจริญ!N539"")+IMPORTRANGE(""https://docs.google.com/spreadsheets/d/1gF7RJpRnL-1oyjyeWxs5SFWEH7y8ahOZsQlyp2A2e-A/edit?usp=s"&amp;"haring"",""อุดรธานี!N539"")+IMPORTRANGE(""https://docs.google.com/spreadsheets/d/1kfLP0j3INXRa8bTDpcEmoWewMBV61jlFlfzczfjWIgc/edit?usp=sharing"",""อุบลราชธานี!N539"")"),0)</f>
        <v>0</v>
      </c>
      <c r="O539" s="56">
        <f t="shared" ca="1" si="379"/>
        <v>0</v>
      </c>
      <c r="P539" s="56">
        <f t="shared" ca="1" si="380"/>
        <v>0</v>
      </c>
      <c r="Q539" s="56">
        <f ca="1">IFERROR(__xludf.DUMMYFUNCTION("IMPORTRANGE(""https://docs.google.com/spreadsheets/d/1yhBcrRPreicbMKl9Bu_Snb2-OcQAF62RKfhTLhJ2eAA/edit?usp=sharing"",""กาฬสินธุ์!Q539"")+IMPORTRANGE(""https://docs.google.com/spreadsheets/d/1aHkj4IaQMThhwWwevcOymEh837vdxeC_PycurhTbGFA/edit?usp=sharing"","&amp;"""ขอนแก่น!Q539"")+IMPORTRANGE(""https://docs.google.com/spreadsheets/d/1FvTu2DsIWUjP6WCWra38Bkj_oOl_sOMf14r5Fg5srxU/edit?usp=sharing"",""ชัยภูมิ!Q539"")+IMPORTRANGE(""https://docs.google.com/spreadsheets/d/1XVB7oCJ3pr-vBUdflwPQ8Z2LlzhnCvZaaYjAfP-647E/edit"&amp;"?usp=sharing"",""นครพนม!Q539"")+IMPORTRANGE(""https://docs.google.com/spreadsheets/d/1Mnpb-8PYAgn85W6KOTD40hc_Xc55CaLfHoGAbrZ8tls/edit?usp=sharing"",""นครราชสีมา!Q539"")+IMPORTRANGE(""https://docs.google.com/spreadsheets/d/1xoDLGBv9CYbyosIhki0kTq6IpYNj-gp"&amp;"jxfobnaDiut0/edit?usp=sharing"",""บึงกาฬ!Q539"")+IMPORTRANGE(""https://docs.google.com/spreadsheets/d/1MMPq-JyI6DSgQETxuSiXkesP-P7JHuemnE6QJIa-Nlw/edit?usp=sharing"",""บุรีรัมย์!Q539"")+IMPORTRANGE(""https://docs.google.com/spreadsheets/d/1l6IZ8xUPgMrESzc"&amp;"TYwhA1k_tPjeQjJPTqlm8Gd9eU5g/edit?usp=sharing"",""มหาสารคาม!Q539"")+IMPORTRANGE(""https://docs.google.com/spreadsheets/d/1uB74YLqNjWX6FObjekfB2NtSYigTQyR2rq9u4Ub2Sq4/edit?usp=sharing"",""มุกดาหาร!Q539"")+IMPORTRANGE(""https://docs.google.com/spreadsheets/"&amp;"d/1NexK3geCPxCTO1fzNF8dPec7yZyUx3OaWkFBC9HsQOo/edit?usp=sharing"",""ยโสธร!Q539"")+IMPORTRANGE(""https://docs.google.com/spreadsheets/d/1v_cJrbBlyqmnHPReHk44g9NrMRdENNlSy_E_c5M9fIg/edit?usp=sharing"",""ร้อยเอ็ด!Q539"")+IMPORTRANGE(""https://docs.google.com"&amp;"/spreadsheets/d/1Ul4RCpCX66NxYADU1QpwAPjOmBzW64SsT11s1wzXw_c/edit?usp=sharing"",""เลย!Q539"")+IMPORTRANGE(""https://docs.google.com/spreadsheets/d/1bRrNKwbHDVktQG10isr5vbWRtt5spIZPpkOSWgbT5ug/edit?usp=sharing"",""ศรีสะเกษ!Q539"")+IMPORTRANGE(""https://doc"&amp;"s.google.com/spreadsheets/d/17P34_Ow5kFBfdQD0qspb2UuPX5zpi6WMrQzslghyvrI/edit?usp=sharing"",""สกลนคร!Q539"")+IMPORTRANGE(""https://docs.google.com/spreadsheets/d/1yswqbM3-AEpThF3ZSUa1AcmHnmRTF1vlJ1CZGcJ8YuU/edit?usp=sharing"",""สุรินทร์!Q539"")+IMPORTRANG"&amp;"E(""https://docs.google.com/spreadsheets/d/13JHU_EFbsQOUQ0JSQ3dWy1VTRosIWcDq6Nc99z2qzdc/edit?usp=sharing"",""หนองคาย!Q539"")+IMPORTRANGE(""https://docs.google.com/spreadsheets/d/1Hx73zIEgVdDZZaYSTc46Dqv64atFhpr3GelxLbaIN8A/edit?usp=sharing"",""หนองบัวลำภู"&amp;"!Q539"")+IMPORTRANGE(""https://docs.google.com/spreadsheets/d/1lFxr3ctmjFN90yc-xV6jrQ9Ty8BKYVBWnAZ15wcNIJc/edit?usp=sharing"",""อำนาจเจริญ!Q539"")+IMPORTRANGE(""https://docs.google.com/spreadsheets/d/1gF7RJpRnL-1oyjyeWxs5SFWEH7y8ahOZsQlyp2A2e-A/edit?usp=s"&amp;"haring"",""อุดรธานี!Q539"")+IMPORTRANGE(""https://docs.google.com/spreadsheets/d/1kfLP0j3INXRa8bTDpcEmoWewMBV61jlFlfzczfjWIgc/edit?usp=sharing"",""อุบลราชธานี!Q539"")"),0)</f>
        <v>0</v>
      </c>
      <c r="R539" s="56">
        <f ca="1">IFERROR(__xludf.DUMMYFUNCTION("IMPORTRANGE(""https://docs.google.com/spreadsheets/d/1yhBcrRPreicbMKl9Bu_Snb2-OcQAF62RKfhTLhJ2eAA/edit?usp=sharing"",""กาฬสินธุ์!R539"")+IMPORTRANGE(""https://docs.google.com/spreadsheets/d/1aHkj4IaQMThhwWwevcOymEh837vdxeC_PycurhTbGFA/edit?usp=sharing"","&amp;"""ขอนแก่น!R539"")+IMPORTRANGE(""https://docs.google.com/spreadsheets/d/1FvTu2DsIWUjP6WCWra38Bkj_oOl_sOMf14r5Fg5srxU/edit?usp=sharing"",""ชัยภูมิ!R539"")+IMPORTRANGE(""https://docs.google.com/spreadsheets/d/1XVB7oCJ3pr-vBUdflwPQ8Z2LlzhnCvZaaYjAfP-647E/edit"&amp;"?usp=sharing"",""นครพนม!R539"")+IMPORTRANGE(""https://docs.google.com/spreadsheets/d/1Mnpb-8PYAgn85W6KOTD40hc_Xc55CaLfHoGAbrZ8tls/edit?usp=sharing"",""นครราชสีมา!R539"")+IMPORTRANGE(""https://docs.google.com/spreadsheets/d/1xoDLGBv9CYbyosIhki0kTq6IpYNj-gp"&amp;"jxfobnaDiut0/edit?usp=sharing"",""บึงกาฬ!R539"")+IMPORTRANGE(""https://docs.google.com/spreadsheets/d/1MMPq-JyI6DSgQETxuSiXkesP-P7JHuemnE6QJIa-Nlw/edit?usp=sharing"",""บุรีรัมย์!R539"")+IMPORTRANGE(""https://docs.google.com/spreadsheets/d/1l6IZ8xUPgMrESzc"&amp;"TYwhA1k_tPjeQjJPTqlm8Gd9eU5g/edit?usp=sharing"",""มหาสารคาม!R539"")+IMPORTRANGE(""https://docs.google.com/spreadsheets/d/1uB74YLqNjWX6FObjekfB2NtSYigTQyR2rq9u4Ub2Sq4/edit?usp=sharing"",""มุกดาหาร!R539"")+IMPORTRANGE(""https://docs.google.com/spreadsheets/"&amp;"d/1NexK3geCPxCTO1fzNF8dPec7yZyUx3OaWkFBC9HsQOo/edit?usp=sharing"",""ยโสธร!R539"")+IMPORTRANGE(""https://docs.google.com/spreadsheets/d/1v_cJrbBlyqmnHPReHk44g9NrMRdENNlSy_E_c5M9fIg/edit?usp=sharing"",""ร้อยเอ็ด!R539"")+IMPORTRANGE(""https://docs.google.com"&amp;"/spreadsheets/d/1Ul4RCpCX66NxYADU1QpwAPjOmBzW64SsT11s1wzXw_c/edit?usp=sharing"",""เลย!R539"")+IMPORTRANGE(""https://docs.google.com/spreadsheets/d/1bRrNKwbHDVktQG10isr5vbWRtt5spIZPpkOSWgbT5ug/edit?usp=sharing"",""ศรีสะเกษ!R539"")+IMPORTRANGE(""https://doc"&amp;"s.google.com/spreadsheets/d/17P34_Ow5kFBfdQD0qspb2UuPX5zpi6WMrQzslghyvrI/edit?usp=sharing"",""สกลนคร!R539"")+IMPORTRANGE(""https://docs.google.com/spreadsheets/d/1yswqbM3-AEpThF3ZSUa1AcmHnmRTF1vlJ1CZGcJ8YuU/edit?usp=sharing"",""สุรินทร์!R539"")+IMPORTRANG"&amp;"E(""https://docs.google.com/spreadsheets/d/13JHU_EFbsQOUQ0JSQ3dWy1VTRosIWcDq6Nc99z2qzdc/edit?usp=sharing"",""หนองคาย!R539"")+IMPORTRANGE(""https://docs.google.com/spreadsheets/d/1Hx73zIEgVdDZZaYSTc46Dqv64atFhpr3GelxLbaIN8A/edit?usp=sharing"",""หนองบัวลำภู"&amp;"!R539"")+IMPORTRANGE(""https://docs.google.com/spreadsheets/d/1lFxr3ctmjFN90yc-xV6jrQ9Ty8BKYVBWnAZ15wcNIJc/edit?usp=sharing"",""อำนาจเจริญ!R539"")+IMPORTRANGE(""https://docs.google.com/spreadsheets/d/1gF7RJpRnL-1oyjyeWxs5SFWEH7y8ahOZsQlyp2A2e-A/edit?usp=s"&amp;"haring"",""อุดรธานี!R539"")+IMPORTRANGE(""https://docs.google.com/spreadsheets/d/1kfLP0j3INXRa8bTDpcEmoWewMBV61jlFlfzczfjWIgc/edit?usp=sharing"",""อุบลราชธานี!R539"")"),0)</f>
        <v>0</v>
      </c>
      <c r="S539" s="57">
        <f ca="1">IFERROR(__xludf.DUMMYFUNCTION("IMPORTRANGE(""https://docs.google.com/spreadsheets/d/1yhBcrRPreicbMKl9Bu_Snb2-OcQAF62RKfhTLhJ2eAA/edit?usp=sharing"",""กาฬสินธุ์!S539"")+IMPORTRANGE(""https://docs.google.com/spreadsheets/d/1aHkj4IaQMThhwWwevcOymEh837vdxeC_PycurhTbGFA/edit?usp=sharing"","&amp;"""ขอนแก่น!S539"")+IMPORTRANGE(""https://docs.google.com/spreadsheets/d/1FvTu2DsIWUjP6WCWra38Bkj_oOl_sOMf14r5Fg5srxU/edit?usp=sharing"",""ชัยภูมิ!S539"")+IMPORTRANGE(""https://docs.google.com/spreadsheets/d/1XVB7oCJ3pr-vBUdflwPQ8Z2LlzhnCvZaaYjAfP-647E/edit"&amp;"?usp=sharing"",""นครพนม!S539"")+IMPORTRANGE(""https://docs.google.com/spreadsheets/d/1Mnpb-8PYAgn85W6KOTD40hc_Xc55CaLfHoGAbrZ8tls/edit?usp=sharing"",""นครราชสีมา!S539"")+IMPORTRANGE(""https://docs.google.com/spreadsheets/d/1xoDLGBv9CYbyosIhki0kTq6IpYNj-gp"&amp;"jxfobnaDiut0/edit?usp=sharing"",""บึงกาฬ!S539"")+IMPORTRANGE(""https://docs.google.com/spreadsheets/d/1MMPq-JyI6DSgQETxuSiXkesP-P7JHuemnE6QJIa-Nlw/edit?usp=sharing"",""บุรีรัมย์!S539"")+IMPORTRANGE(""https://docs.google.com/spreadsheets/d/1l6IZ8xUPgMrESzc"&amp;"TYwhA1k_tPjeQjJPTqlm8Gd9eU5g/edit?usp=sharing"",""มหาสารคาม!S539"")+IMPORTRANGE(""https://docs.google.com/spreadsheets/d/1uB74YLqNjWX6FObjekfB2NtSYigTQyR2rq9u4Ub2Sq4/edit?usp=sharing"",""มุกดาหาร!S539"")+IMPORTRANGE(""https://docs.google.com/spreadsheets/"&amp;"d/1NexK3geCPxCTO1fzNF8dPec7yZyUx3OaWkFBC9HsQOo/edit?usp=sharing"",""ยโสธร!S539"")+IMPORTRANGE(""https://docs.google.com/spreadsheets/d/1v_cJrbBlyqmnHPReHk44g9NrMRdENNlSy_E_c5M9fIg/edit?usp=sharing"",""ร้อยเอ็ด!S539"")+IMPORTRANGE(""https://docs.google.com"&amp;"/spreadsheets/d/1Ul4RCpCX66NxYADU1QpwAPjOmBzW64SsT11s1wzXw_c/edit?usp=sharing"",""เลย!S539"")+IMPORTRANGE(""https://docs.google.com/spreadsheets/d/1bRrNKwbHDVktQG10isr5vbWRtt5spIZPpkOSWgbT5ug/edit?usp=sharing"",""ศรีสะเกษ!S539"")+IMPORTRANGE(""https://doc"&amp;"s.google.com/spreadsheets/d/17P34_Ow5kFBfdQD0qspb2UuPX5zpi6WMrQzslghyvrI/edit?usp=sharing"",""สกลนคร!S539"")+IMPORTRANGE(""https://docs.google.com/spreadsheets/d/1yswqbM3-AEpThF3ZSUa1AcmHnmRTF1vlJ1CZGcJ8YuU/edit?usp=sharing"",""สุรินทร์!S539"")+IMPORTRANG"&amp;"E(""https://docs.google.com/spreadsheets/d/13JHU_EFbsQOUQ0JSQ3dWy1VTRosIWcDq6Nc99z2qzdc/edit?usp=sharing"",""หนองคาย!S539"")+IMPORTRANGE(""https://docs.google.com/spreadsheets/d/1Hx73zIEgVdDZZaYSTc46Dqv64atFhpr3GelxLbaIN8A/edit?usp=sharing"",""หนองบัวลำภู"&amp;"!S539"")+IMPORTRANGE(""https://docs.google.com/spreadsheets/d/1lFxr3ctmjFN90yc-xV6jrQ9Ty8BKYVBWnAZ15wcNIJc/edit?usp=sharing"",""อำนาจเจริญ!S539"")+IMPORTRANGE(""https://docs.google.com/spreadsheets/d/1gF7RJpRnL-1oyjyeWxs5SFWEH7y8ahOZsQlyp2A2e-A/edit?usp=s"&amp;"haring"",""อุดรธานี!S539"")+IMPORTRANGE(""https://docs.google.com/spreadsheets/d/1kfLP0j3INXRa8bTDpcEmoWewMBV61jlFlfzczfjWIgc/edit?usp=sharing"",""อุบลราชธานี!S539"")"),0)</f>
        <v>0</v>
      </c>
      <c r="T539" s="56">
        <f t="shared" ca="1" si="382"/>
        <v>0</v>
      </c>
      <c r="U539" s="56">
        <f t="shared" ca="1" si="383"/>
        <v>0</v>
      </c>
    </row>
    <row r="540" spans="1:21" ht="18.75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56">
        <f t="shared" ref="L540:N540" ca="1" si="390">L541+L542</f>
        <v>0</v>
      </c>
      <c r="M540" s="56">
        <f t="shared" ca="1" si="390"/>
        <v>0</v>
      </c>
      <c r="N540" s="56">
        <f t="shared" ca="1" si="390"/>
        <v>0</v>
      </c>
      <c r="O540" s="56">
        <f t="shared" ca="1" si="379"/>
        <v>0</v>
      </c>
      <c r="P540" s="56">
        <f t="shared" ca="1" si="380"/>
        <v>0</v>
      </c>
      <c r="Q540" s="56">
        <f t="shared" ref="Q540:S540" ca="1" si="391">Q541+Q542</f>
        <v>0</v>
      </c>
      <c r="R540" s="56">
        <f t="shared" ca="1" si="391"/>
        <v>0</v>
      </c>
      <c r="S540" s="57">
        <f t="shared" ca="1" si="391"/>
        <v>0</v>
      </c>
      <c r="T540" s="56">
        <f t="shared" ca="1" si="382"/>
        <v>0</v>
      </c>
      <c r="U540" s="56">
        <f t="shared" ca="1" si="383"/>
        <v>0</v>
      </c>
    </row>
    <row r="541" spans="1:21" ht="18.75">
      <c r="A541" s="155"/>
      <c r="B541" s="50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59">
        <f ca="1">IFERROR(__xludf.DUMMYFUNCTION("IMPORTRANGE(""https://docs.google.com/spreadsheets/d/1yhBcrRPreicbMKl9Bu_Snb2-OcQAF62RKfhTLhJ2eAA/edit?usp=sharing"",""กาฬสินธุ์!L541"")+IMPORTRANGE(""https://docs.google.com/spreadsheets/d/1aHkj4IaQMThhwWwevcOymEh837vdxeC_PycurhTbGFA/edit?usp=sharing"","&amp;"""ขอนแก่น!L541"")+IMPORTRANGE(""https://docs.google.com/spreadsheets/d/1FvTu2DsIWUjP6WCWra38Bkj_oOl_sOMf14r5Fg5srxU/edit?usp=sharing"",""ชัยภูมิ!L541"")+IMPORTRANGE(""https://docs.google.com/spreadsheets/d/1XVB7oCJ3pr-vBUdflwPQ8Z2LlzhnCvZaaYjAfP-647E/edit"&amp;"?usp=sharing"",""นครพนม!L541"")+IMPORTRANGE(""https://docs.google.com/spreadsheets/d/1Mnpb-8PYAgn85W6KOTD40hc_Xc55CaLfHoGAbrZ8tls/edit?usp=sharing"",""นครราชสีมา!L541"")+IMPORTRANGE(""https://docs.google.com/spreadsheets/d/1xoDLGBv9CYbyosIhki0kTq6IpYNj-gp"&amp;"jxfobnaDiut0/edit?usp=sharing"",""บึงกาฬ!L541"")+IMPORTRANGE(""https://docs.google.com/spreadsheets/d/1MMPq-JyI6DSgQETxuSiXkesP-P7JHuemnE6QJIa-Nlw/edit?usp=sharing"",""บุรีรัมย์!L541"")+IMPORTRANGE(""https://docs.google.com/spreadsheets/d/1l6IZ8xUPgMrESzc"&amp;"TYwhA1k_tPjeQjJPTqlm8Gd9eU5g/edit?usp=sharing"",""มหาสารคาม!L541"")+IMPORTRANGE(""https://docs.google.com/spreadsheets/d/1uB74YLqNjWX6FObjekfB2NtSYigTQyR2rq9u4Ub2Sq4/edit?usp=sharing"",""มุกดาหาร!L541"")+IMPORTRANGE(""https://docs.google.com/spreadsheets/"&amp;"d/1NexK3geCPxCTO1fzNF8dPec7yZyUx3OaWkFBC9HsQOo/edit?usp=sharing"",""ยโสธร!L541"")+IMPORTRANGE(""https://docs.google.com/spreadsheets/d/1v_cJrbBlyqmnHPReHk44g9NrMRdENNlSy_E_c5M9fIg/edit?usp=sharing"",""ร้อยเอ็ด!L541"")+IMPORTRANGE(""https://docs.google.com"&amp;"/spreadsheets/d/1Ul4RCpCX66NxYADU1QpwAPjOmBzW64SsT11s1wzXw_c/edit?usp=sharing"",""เลย!L541"")+IMPORTRANGE(""https://docs.google.com/spreadsheets/d/1bRrNKwbHDVktQG10isr5vbWRtt5spIZPpkOSWgbT5ug/edit?usp=sharing"",""ศรีสะเกษ!L541"")+IMPORTRANGE(""https://doc"&amp;"s.google.com/spreadsheets/d/17P34_Ow5kFBfdQD0qspb2UuPX5zpi6WMrQzslghyvrI/edit?usp=sharing"",""สกลนคร!L541"")+IMPORTRANGE(""https://docs.google.com/spreadsheets/d/1yswqbM3-AEpThF3ZSUa1AcmHnmRTF1vlJ1CZGcJ8YuU/edit?usp=sharing"",""สุรินทร์!L541"")+IMPORTRANG"&amp;"E(""https://docs.google.com/spreadsheets/d/13JHU_EFbsQOUQ0JSQ3dWy1VTRosIWcDq6Nc99z2qzdc/edit?usp=sharing"",""หนองคาย!L541"")+IMPORTRANGE(""https://docs.google.com/spreadsheets/d/1Hx73zIEgVdDZZaYSTc46Dqv64atFhpr3GelxLbaIN8A/edit?usp=sharing"",""หนองบัวลำภู"&amp;"!L541"")+IMPORTRANGE(""https://docs.google.com/spreadsheets/d/1lFxr3ctmjFN90yc-xV6jrQ9Ty8BKYVBWnAZ15wcNIJc/edit?usp=sharing"",""อำนาจเจริญ!L541"")+IMPORTRANGE(""https://docs.google.com/spreadsheets/d/1gF7RJpRnL-1oyjyeWxs5SFWEH7y8ahOZsQlyp2A2e-A/edit?usp=s"&amp;"haring"",""อุดรธานี!L541"")+IMPORTRANGE(""https://docs.google.com/spreadsheets/d/1kfLP0j3INXRa8bTDpcEmoWewMBV61jlFlfzczfjWIgc/edit?usp=sharing"",""อุบลราชธานี!L541"")"),0)</f>
        <v>0</v>
      </c>
      <c r="M541" s="59">
        <f ca="1">IFERROR(__xludf.DUMMYFUNCTION("IMPORTRANGE(""https://docs.google.com/spreadsheets/d/1yhBcrRPreicbMKl9Bu_Snb2-OcQAF62RKfhTLhJ2eAA/edit?usp=sharing"",""กาฬสินธุ์!M541"")+IMPORTRANGE(""https://docs.google.com/spreadsheets/d/1aHkj4IaQMThhwWwevcOymEh837vdxeC_PycurhTbGFA/edit?usp=sharing"","&amp;"""ขอนแก่น!M541"")+IMPORTRANGE(""https://docs.google.com/spreadsheets/d/1FvTu2DsIWUjP6WCWra38Bkj_oOl_sOMf14r5Fg5srxU/edit?usp=sharing"",""ชัยภูมิ!M541"")+IMPORTRANGE(""https://docs.google.com/spreadsheets/d/1XVB7oCJ3pr-vBUdflwPQ8Z2LlzhnCvZaaYjAfP-647E/edit"&amp;"?usp=sharing"",""นครพนม!M541"")+IMPORTRANGE(""https://docs.google.com/spreadsheets/d/1Mnpb-8PYAgn85W6KOTD40hc_Xc55CaLfHoGAbrZ8tls/edit?usp=sharing"",""นครราชสีมา!M541"")+IMPORTRANGE(""https://docs.google.com/spreadsheets/d/1xoDLGBv9CYbyosIhki0kTq6IpYNj-gp"&amp;"jxfobnaDiut0/edit?usp=sharing"",""บึงกาฬ!M541"")+IMPORTRANGE(""https://docs.google.com/spreadsheets/d/1MMPq-JyI6DSgQETxuSiXkesP-P7JHuemnE6QJIa-Nlw/edit?usp=sharing"",""บุรีรัมย์!M541"")+IMPORTRANGE(""https://docs.google.com/spreadsheets/d/1l6IZ8xUPgMrESzc"&amp;"TYwhA1k_tPjeQjJPTqlm8Gd9eU5g/edit?usp=sharing"",""มหาสารคาม!M541"")+IMPORTRANGE(""https://docs.google.com/spreadsheets/d/1uB74YLqNjWX6FObjekfB2NtSYigTQyR2rq9u4Ub2Sq4/edit?usp=sharing"",""มุกดาหาร!M541"")+IMPORTRANGE(""https://docs.google.com/spreadsheets/"&amp;"d/1NexK3geCPxCTO1fzNF8dPec7yZyUx3OaWkFBC9HsQOo/edit?usp=sharing"",""ยโสธร!M541"")+IMPORTRANGE(""https://docs.google.com/spreadsheets/d/1v_cJrbBlyqmnHPReHk44g9NrMRdENNlSy_E_c5M9fIg/edit?usp=sharing"",""ร้อยเอ็ด!M541"")+IMPORTRANGE(""https://docs.google.com"&amp;"/spreadsheets/d/1Ul4RCpCX66NxYADU1QpwAPjOmBzW64SsT11s1wzXw_c/edit?usp=sharing"",""เลย!M541"")+IMPORTRANGE(""https://docs.google.com/spreadsheets/d/1bRrNKwbHDVktQG10isr5vbWRtt5spIZPpkOSWgbT5ug/edit?usp=sharing"",""ศรีสะเกษ!M541"")+IMPORTRANGE(""https://doc"&amp;"s.google.com/spreadsheets/d/17P34_Ow5kFBfdQD0qspb2UuPX5zpi6WMrQzslghyvrI/edit?usp=sharing"",""สกลนคร!M541"")+IMPORTRANGE(""https://docs.google.com/spreadsheets/d/1yswqbM3-AEpThF3ZSUa1AcmHnmRTF1vlJ1CZGcJ8YuU/edit?usp=sharing"",""สุรินทร์!M541"")+IMPORTRANG"&amp;"E(""https://docs.google.com/spreadsheets/d/13JHU_EFbsQOUQ0JSQ3dWy1VTRosIWcDq6Nc99z2qzdc/edit?usp=sharing"",""หนองคาย!M541"")+IMPORTRANGE(""https://docs.google.com/spreadsheets/d/1Hx73zIEgVdDZZaYSTc46Dqv64atFhpr3GelxLbaIN8A/edit?usp=sharing"",""หนองบัวลำภู"&amp;"!M541"")+IMPORTRANGE(""https://docs.google.com/spreadsheets/d/1lFxr3ctmjFN90yc-xV6jrQ9Ty8BKYVBWnAZ15wcNIJc/edit?usp=sharing"",""อำนาจเจริญ!M541"")+IMPORTRANGE(""https://docs.google.com/spreadsheets/d/1gF7RJpRnL-1oyjyeWxs5SFWEH7y8ahOZsQlyp2A2e-A/edit?usp=s"&amp;"haring"",""อุดรธานี!M541"")+IMPORTRANGE(""https://docs.google.com/spreadsheets/d/1kfLP0j3INXRa8bTDpcEmoWewMBV61jlFlfzczfjWIgc/edit?usp=sharing"",""อุบลราชธานี!M541"")"),0)</f>
        <v>0</v>
      </c>
      <c r="N541" s="59">
        <f ca="1">IFERROR(__xludf.DUMMYFUNCTION("IMPORTRANGE(""https://docs.google.com/spreadsheets/d/1yhBcrRPreicbMKl9Bu_Snb2-OcQAF62RKfhTLhJ2eAA/edit?usp=sharing"",""กาฬสินธุ์!N541"")+IMPORTRANGE(""https://docs.google.com/spreadsheets/d/1aHkj4IaQMThhwWwevcOymEh837vdxeC_PycurhTbGFA/edit?usp=sharing"","&amp;"""ขอนแก่น!N541"")+IMPORTRANGE(""https://docs.google.com/spreadsheets/d/1FvTu2DsIWUjP6WCWra38Bkj_oOl_sOMf14r5Fg5srxU/edit?usp=sharing"",""ชัยภูมิ!N541"")+IMPORTRANGE(""https://docs.google.com/spreadsheets/d/1XVB7oCJ3pr-vBUdflwPQ8Z2LlzhnCvZaaYjAfP-647E/edit"&amp;"?usp=sharing"",""นครพนม!N541"")+IMPORTRANGE(""https://docs.google.com/spreadsheets/d/1Mnpb-8PYAgn85W6KOTD40hc_Xc55CaLfHoGAbrZ8tls/edit?usp=sharing"",""นครราชสีมา!N541"")+IMPORTRANGE(""https://docs.google.com/spreadsheets/d/1xoDLGBv9CYbyosIhki0kTq6IpYNj-gp"&amp;"jxfobnaDiut0/edit?usp=sharing"",""บึงกาฬ!N541"")+IMPORTRANGE(""https://docs.google.com/spreadsheets/d/1MMPq-JyI6DSgQETxuSiXkesP-P7JHuemnE6QJIa-Nlw/edit?usp=sharing"",""บุรีรัมย์!N541"")+IMPORTRANGE(""https://docs.google.com/spreadsheets/d/1l6IZ8xUPgMrESzc"&amp;"TYwhA1k_tPjeQjJPTqlm8Gd9eU5g/edit?usp=sharing"",""มหาสารคาม!N541"")+IMPORTRANGE(""https://docs.google.com/spreadsheets/d/1uB74YLqNjWX6FObjekfB2NtSYigTQyR2rq9u4Ub2Sq4/edit?usp=sharing"",""มุกดาหาร!N541"")+IMPORTRANGE(""https://docs.google.com/spreadsheets/"&amp;"d/1NexK3geCPxCTO1fzNF8dPec7yZyUx3OaWkFBC9HsQOo/edit?usp=sharing"",""ยโสธร!N541"")+IMPORTRANGE(""https://docs.google.com/spreadsheets/d/1v_cJrbBlyqmnHPReHk44g9NrMRdENNlSy_E_c5M9fIg/edit?usp=sharing"",""ร้อยเอ็ด!N541"")+IMPORTRANGE(""https://docs.google.com"&amp;"/spreadsheets/d/1Ul4RCpCX66NxYADU1QpwAPjOmBzW64SsT11s1wzXw_c/edit?usp=sharing"",""เลย!N541"")+IMPORTRANGE(""https://docs.google.com/spreadsheets/d/1bRrNKwbHDVktQG10isr5vbWRtt5spIZPpkOSWgbT5ug/edit?usp=sharing"",""ศรีสะเกษ!N541"")+IMPORTRANGE(""https://doc"&amp;"s.google.com/spreadsheets/d/17P34_Ow5kFBfdQD0qspb2UuPX5zpi6WMrQzslghyvrI/edit?usp=sharing"",""สกลนคร!N541"")+IMPORTRANGE(""https://docs.google.com/spreadsheets/d/1yswqbM3-AEpThF3ZSUa1AcmHnmRTF1vlJ1CZGcJ8YuU/edit?usp=sharing"",""สุรินทร์!N541"")+IMPORTRANG"&amp;"E(""https://docs.google.com/spreadsheets/d/13JHU_EFbsQOUQ0JSQ3dWy1VTRosIWcDq6Nc99z2qzdc/edit?usp=sharing"",""หนองคาย!N541"")+IMPORTRANGE(""https://docs.google.com/spreadsheets/d/1Hx73zIEgVdDZZaYSTc46Dqv64atFhpr3GelxLbaIN8A/edit?usp=sharing"",""หนองบัวลำภู"&amp;"!N541"")+IMPORTRANGE(""https://docs.google.com/spreadsheets/d/1lFxr3ctmjFN90yc-xV6jrQ9Ty8BKYVBWnAZ15wcNIJc/edit?usp=sharing"",""อำนาจเจริญ!N541"")+IMPORTRANGE(""https://docs.google.com/spreadsheets/d/1gF7RJpRnL-1oyjyeWxs5SFWEH7y8ahOZsQlyp2A2e-A/edit?usp=s"&amp;"haring"",""อุดรธานี!N541"")+IMPORTRANGE(""https://docs.google.com/spreadsheets/d/1kfLP0j3INXRa8bTDpcEmoWewMBV61jlFlfzczfjWIgc/edit?usp=sharing"",""อุบลราชธานี!N541"")"),0)</f>
        <v>0</v>
      </c>
      <c r="O541" s="59">
        <f t="shared" ca="1" si="379"/>
        <v>0</v>
      </c>
      <c r="P541" s="59">
        <f t="shared" ca="1" si="380"/>
        <v>0</v>
      </c>
      <c r="Q541" s="59">
        <f ca="1">IFERROR(__xludf.DUMMYFUNCTION("IMPORTRANGE(""https://docs.google.com/spreadsheets/d/1yhBcrRPreicbMKl9Bu_Snb2-OcQAF62RKfhTLhJ2eAA/edit?usp=sharing"",""กาฬสินธุ์!Q541"")+IMPORTRANGE(""https://docs.google.com/spreadsheets/d/1aHkj4IaQMThhwWwevcOymEh837vdxeC_PycurhTbGFA/edit?usp=sharing"","&amp;"""ขอนแก่น!Q541"")+IMPORTRANGE(""https://docs.google.com/spreadsheets/d/1FvTu2DsIWUjP6WCWra38Bkj_oOl_sOMf14r5Fg5srxU/edit?usp=sharing"",""ชัยภูมิ!Q541"")+IMPORTRANGE(""https://docs.google.com/spreadsheets/d/1XVB7oCJ3pr-vBUdflwPQ8Z2LlzhnCvZaaYjAfP-647E/edit"&amp;"?usp=sharing"",""นครพนม!Q541"")+IMPORTRANGE(""https://docs.google.com/spreadsheets/d/1Mnpb-8PYAgn85W6KOTD40hc_Xc55CaLfHoGAbrZ8tls/edit?usp=sharing"",""นครราชสีมา!Q541"")+IMPORTRANGE(""https://docs.google.com/spreadsheets/d/1xoDLGBv9CYbyosIhki0kTq6IpYNj-gp"&amp;"jxfobnaDiut0/edit?usp=sharing"",""บึงกาฬ!Q541"")+IMPORTRANGE(""https://docs.google.com/spreadsheets/d/1MMPq-JyI6DSgQETxuSiXkesP-P7JHuemnE6QJIa-Nlw/edit?usp=sharing"",""บุรีรัมย์!Q541"")+IMPORTRANGE(""https://docs.google.com/spreadsheets/d/1l6IZ8xUPgMrESzc"&amp;"TYwhA1k_tPjeQjJPTqlm8Gd9eU5g/edit?usp=sharing"",""มหาสารคาม!Q541"")+IMPORTRANGE(""https://docs.google.com/spreadsheets/d/1uB74YLqNjWX6FObjekfB2NtSYigTQyR2rq9u4Ub2Sq4/edit?usp=sharing"",""มุกดาหาร!Q541"")+IMPORTRANGE(""https://docs.google.com/spreadsheets/"&amp;"d/1NexK3geCPxCTO1fzNF8dPec7yZyUx3OaWkFBC9HsQOo/edit?usp=sharing"",""ยโสธร!Q541"")+IMPORTRANGE(""https://docs.google.com/spreadsheets/d/1v_cJrbBlyqmnHPReHk44g9NrMRdENNlSy_E_c5M9fIg/edit?usp=sharing"",""ร้อยเอ็ด!Q541"")+IMPORTRANGE(""https://docs.google.com"&amp;"/spreadsheets/d/1Ul4RCpCX66NxYADU1QpwAPjOmBzW64SsT11s1wzXw_c/edit?usp=sharing"",""เลย!Q541"")+IMPORTRANGE(""https://docs.google.com/spreadsheets/d/1bRrNKwbHDVktQG10isr5vbWRtt5spIZPpkOSWgbT5ug/edit?usp=sharing"",""ศรีสะเกษ!Q541"")+IMPORTRANGE(""https://doc"&amp;"s.google.com/spreadsheets/d/17P34_Ow5kFBfdQD0qspb2UuPX5zpi6WMrQzslghyvrI/edit?usp=sharing"",""สกลนคร!Q541"")+IMPORTRANGE(""https://docs.google.com/spreadsheets/d/1yswqbM3-AEpThF3ZSUa1AcmHnmRTF1vlJ1CZGcJ8YuU/edit?usp=sharing"",""สุรินทร์!Q541"")+IMPORTRANG"&amp;"E(""https://docs.google.com/spreadsheets/d/13JHU_EFbsQOUQ0JSQ3dWy1VTRosIWcDq6Nc99z2qzdc/edit?usp=sharing"",""หนองคาย!Q541"")+IMPORTRANGE(""https://docs.google.com/spreadsheets/d/1Hx73zIEgVdDZZaYSTc46Dqv64atFhpr3GelxLbaIN8A/edit?usp=sharing"",""หนองบัวลำภู"&amp;"!Q541"")+IMPORTRANGE(""https://docs.google.com/spreadsheets/d/1lFxr3ctmjFN90yc-xV6jrQ9Ty8BKYVBWnAZ15wcNIJc/edit?usp=sharing"",""อำนาจเจริญ!Q541"")+IMPORTRANGE(""https://docs.google.com/spreadsheets/d/1gF7RJpRnL-1oyjyeWxs5SFWEH7y8ahOZsQlyp2A2e-A/edit?usp=s"&amp;"haring"",""อุดรธานี!Q541"")+IMPORTRANGE(""https://docs.google.com/spreadsheets/d/1kfLP0j3INXRa8bTDpcEmoWewMBV61jlFlfzczfjWIgc/edit?usp=sharing"",""อุบลราชธานี!Q541"")"),0)</f>
        <v>0</v>
      </c>
      <c r="R541" s="59">
        <f ca="1">IFERROR(__xludf.DUMMYFUNCTION("IMPORTRANGE(""https://docs.google.com/spreadsheets/d/1yhBcrRPreicbMKl9Bu_Snb2-OcQAF62RKfhTLhJ2eAA/edit?usp=sharing"",""กาฬสินธุ์!R541"")+IMPORTRANGE(""https://docs.google.com/spreadsheets/d/1aHkj4IaQMThhwWwevcOymEh837vdxeC_PycurhTbGFA/edit?usp=sharing"","&amp;"""ขอนแก่น!R541"")+IMPORTRANGE(""https://docs.google.com/spreadsheets/d/1FvTu2DsIWUjP6WCWra38Bkj_oOl_sOMf14r5Fg5srxU/edit?usp=sharing"",""ชัยภูมิ!R541"")+IMPORTRANGE(""https://docs.google.com/spreadsheets/d/1XVB7oCJ3pr-vBUdflwPQ8Z2LlzhnCvZaaYjAfP-647E/edit"&amp;"?usp=sharing"",""นครพนม!R541"")+IMPORTRANGE(""https://docs.google.com/spreadsheets/d/1Mnpb-8PYAgn85W6KOTD40hc_Xc55CaLfHoGAbrZ8tls/edit?usp=sharing"",""นครราชสีมา!R541"")+IMPORTRANGE(""https://docs.google.com/spreadsheets/d/1xoDLGBv9CYbyosIhki0kTq6IpYNj-gp"&amp;"jxfobnaDiut0/edit?usp=sharing"",""บึงกาฬ!R541"")+IMPORTRANGE(""https://docs.google.com/spreadsheets/d/1MMPq-JyI6DSgQETxuSiXkesP-P7JHuemnE6QJIa-Nlw/edit?usp=sharing"",""บุรีรัมย์!R541"")+IMPORTRANGE(""https://docs.google.com/spreadsheets/d/1l6IZ8xUPgMrESzc"&amp;"TYwhA1k_tPjeQjJPTqlm8Gd9eU5g/edit?usp=sharing"",""มหาสารคาม!R541"")+IMPORTRANGE(""https://docs.google.com/spreadsheets/d/1uB74YLqNjWX6FObjekfB2NtSYigTQyR2rq9u4Ub2Sq4/edit?usp=sharing"",""มุกดาหาร!R541"")+IMPORTRANGE(""https://docs.google.com/spreadsheets/"&amp;"d/1NexK3geCPxCTO1fzNF8dPec7yZyUx3OaWkFBC9HsQOo/edit?usp=sharing"",""ยโสธร!R541"")+IMPORTRANGE(""https://docs.google.com/spreadsheets/d/1v_cJrbBlyqmnHPReHk44g9NrMRdENNlSy_E_c5M9fIg/edit?usp=sharing"",""ร้อยเอ็ด!R541"")+IMPORTRANGE(""https://docs.google.com"&amp;"/spreadsheets/d/1Ul4RCpCX66NxYADU1QpwAPjOmBzW64SsT11s1wzXw_c/edit?usp=sharing"",""เลย!R541"")+IMPORTRANGE(""https://docs.google.com/spreadsheets/d/1bRrNKwbHDVktQG10isr5vbWRtt5spIZPpkOSWgbT5ug/edit?usp=sharing"",""ศรีสะเกษ!R541"")+IMPORTRANGE(""https://doc"&amp;"s.google.com/spreadsheets/d/17P34_Ow5kFBfdQD0qspb2UuPX5zpi6WMrQzslghyvrI/edit?usp=sharing"",""สกลนคร!R541"")+IMPORTRANGE(""https://docs.google.com/spreadsheets/d/1yswqbM3-AEpThF3ZSUa1AcmHnmRTF1vlJ1CZGcJ8YuU/edit?usp=sharing"",""สุรินทร์!R541"")+IMPORTRANG"&amp;"E(""https://docs.google.com/spreadsheets/d/13JHU_EFbsQOUQ0JSQ3dWy1VTRosIWcDq6Nc99z2qzdc/edit?usp=sharing"",""หนองคาย!R541"")+IMPORTRANGE(""https://docs.google.com/spreadsheets/d/1Hx73zIEgVdDZZaYSTc46Dqv64atFhpr3GelxLbaIN8A/edit?usp=sharing"",""หนองบัวลำภู"&amp;"!R541"")+IMPORTRANGE(""https://docs.google.com/spreadsheets/d/1lFxr3ctmjFN90yc-xV6jrQ9Ty8BKYVBWnAZ15wcNIJc/edit?usp=sharing"",""อำนาจเจริญ!R541"")+IMPORTRANGE(""https://docs.google.com/spreadsheets/d/1gF7RJpRnL-1oyjyeWxs5SFWEH7y8ahOZsQlyp2A2e-A/edit?usp=s"&amp;"haring"",""อุดรธานี!R541"")+IMPORTRANGE(""https://docs.google.com/spreadsheets/d/1kfLP0j3INXRa8bTDpcEmoWewMBV61jlFlfzczfjWIgc/edit?usp=sharing"",""อุบลราชธานี!R541"")"),0)</f>
        <v>0</v>
      </c>
      <c r="S541" s="60">
        <f ca="1">IFERROR(__xludf.DUMMYFUNCTION("IMPORTRANGE(""https://docs.google.com/spreadsheets/d/1yhBcrRPreicbMKl9Bu_Snb2-OcQAF62RKfhTLhJ2eAA/edit?usp=sharing"",""กาฬสินธุ์!S541"")+IMPORTRANGE(""https://docs.google.com/spreadsheets/d/1aHkj4IaQMThhwWwevcOymEh837vdxeC_PycurhTbGFA/edit?usp=sharing"","&amp;"""ขอนแก่น!S541"")+IMPORTRANGE(""https://docs.google.com/spreadsheets/d/1FvTu2DsIWUjP6WCWra38Bkj_oOl_sOMf14r5Fg5srxU/edit?usp=sharing"",""ชัยภูมิ!S541"")+IMPORTRANGE(""https://docs.google.com/spreadsheets/d/1XVB7oCJ3pr-vBUdflwPQ8Z2LlzhnCvZaaYjAfP-647E/edit"&amp;"?usp=sharing"",""นครพนม!S541"")+IMPORTRANGE(""https://docs.google.com/spreadsheets/d/1Mnpb-8PYAgn85W6KOTD40hc_Xc55CaLfHoGAbrZ8tls/edit?usp=sharing"",""นครราชสีมา!S541"")+IMPORTRANGE(""https://docs.google.com/spreadsheets/d/1xoDLGBv9CYbyosIhki0kTq6IpYNj-gp"&amp;"jxfobnaDiut0/edit?usp=sharing"",""บึงกาฬ!S541"")+IMPORTRANGE(""https://docs.google.com/spreadsheets/d/1MMPq-JyI6DSgQETxuSiXkesP-P7JHuemnE6QJIa-Nlw/edit?usp=sharing"",""บุรีรัมย์!S541"")+IMPORTRANGE(""https://docs.google.com/spreadsheets/d/1l6IZ8xUPgMrESzc"&amp;"TYwhA1k_tPjeQjJPTqlm8Gd9eU5g/edit?usp=sharing"",""มหาสารคาม!S541"")+IMPORTRANGE(""https://docs.google.com/spreadsheets/d/1uB74YLqNjWX6FObjekfB2NtSYigTQyR2rq9u4Ub2Sq4/edit?usp=sharing"",""มุกดาหาร!S541"")+IMPORTRANGE(""https://docs.google.com/spreadsheets/"&amp;"d/1NexK3geCPxCTO1fzNF8dPec7yZyUx3OaWkFBC9HsQOo/edit?usp=sharing"",""ยโสธร!S541"")+IMPORTRANGE(""https://docs.google.com/spreadsheets/d/1v_cJrbBlyqmnHPReHk44g9NrMRdENNlSy_E_c5M9fIg/edit?usp=sharing"",""ร้อยเอ็ด!S541"")+IMPORTRANGE(""https://docs.google.com"&amp;"/spreadsheets/d/1Ul4RCpCX66NxYADU1QpwAPjOmBzW64SsT11s1wzXw_c/edit?usp=sharing"",""เลย!S541"")+IMPORTRANGE(""https://docs.google.com/spreadsheets/d/1bRrNKwbHDVktQG10isr5vbWRtt5spIZPpkOSWgbT5ug/edit?usp=sharing"",""ศรีสะเกษ!S541"")+IMPORTRANGE(""https://doc"&amp;"s.google.com/spreadsheets/d/17P34_Ow5kFBfdQD0qspb2UuPX5zpi6WMrQzslghyvrI/edit?usp=sharing"",""สกลนคร!S541"")+IMPORTRANGE(""https://docs.google.com/spreadsheets/d/1yswqbM3-AEpThF3ZSUa1AcmHnmRTF1vlJ1CZGcJ8YuU/edit?usp=sharing"",""สุรินทร์!S541"")+IMPORTRANG"&amp;"E(""https://docs.google.com/spreadsheets/d/13JHU_EFbsQOUQ0JSQ3dWy1VTRosIWcDq6Nc99z2qzdc/edit?usp=sharing"",""หนองคาย!S541"")+IMPORTRANGE(""https://docs.google.com/spreadsheets/d/1Hx73zIEgVdDZZaYSTc46Dqv64atFhpr3GelxLbaIN8A/edit?usp=sharing"",""หนองบัวลำภู"&amp;"!S541"")+IMPORTRANGE(""https://docs.google.com/spreadsheets/d/1lFxr3ctmjFN90yc-xV6jrQ9Ty8BKYVBWnAZ15wcNIJc/edit?usp=sharing"",""อำนาจเจริญ!S541"")+IMPORTRANGE(""https://docs.google.com/spreadsheets/d/1gF7RJpRnL-1oyjyeWxs5SFWEH7y8ahOZsQlyp2A2e-A/edit?usp=s"&amp;"haring"",""อุดรธานี!S541"")+IMPORTRANGE(""https://docs.google.com/spreadsheets/d/1kfLP0j3INXRa8bTDpcEmoWewMBV61jlFlfzczfjWIgc/edit?usp=sharing"",""อุบลราชธานี!S541"")"),0)</f>
        <v>0</v>
      </c>
      <c r="T541" s="59">
        <f t="shared" ca="1" si="382"/>
        <v>0</v>
      </c>
      <c r="U541" s="59">
        <f t="shared" ca="1" si="383"/>
        <v>0</v>
      </c>
    </row>
    <row r="542" spans="1:21" ht="18.75">
      <c r="A542" s="155"/>
      <c r="B542" s="50"/>
      <c r="C542" s="50"/>
      <c r="D542" s="50"/>
      <c r="E542" s="58" t="s">
        <v>21</v>
      </c>
      <c r="F542" s="50"/>
      <c r="G542" s="52"/>
      <c r="H542" s="165" t="s">
        <v>14</v>
      </c>
      <c r="I542" s="163"/>
      <c r="J542" s="163"/>
      <c r="K542" s="164"/>
      <c r="L542" s="56">
        <f ca="1">IFERROR(__xludf.DUMMYFUNCTION("IMPORTRANGE(""https://docs.google.com/spreadsheets/d/1yhBcrRPreicbMKl9Bu_Snb2-OcQAF62RKfhTLhJ2eAA/edit?usp=sharing"",""กาฬสินธุ์!L542"")+IMPORTRANGE(""https://docs.google.com/spreadsheets/d/1aHkj4IaQMThhwWwevcOymEh837vdxeC_PycurhTbGFA/edit?usp=sharing"","&amp;"""ขอนแก่น!L542"")+IMPORTRANGE(""https://docs.google.com/spreadsheets/d/1FvTu2DsIWUjP6WCWra38Bkj_oOl_sOMf14r5Fg5srxU/edit?usp=sharing"",""ชัยภูมิ!L542"")+IMPORTRANGE(""https://docs.google.com/spreadsheets/d/1XVB7oCJ3pr-vBUdflwPQ8Z2LlzhnCvZaaYjAfP-647E/edit"&amp;"?usp=sharing"",""นครพนม!L542"")+IMPORTRANGE(""https://docs.google.com/spreadsheets/d/1Mnpb-8PYAgn85W6KOTD40hc_Xc55CaLfHoGAbrZ8tls/edit?usp=sharing"",""นครราชสีมา!L542"")+IMPORTRANGE(""https://docs.google.com/spreadsheets/d/1xoDLGBv9CYbyosIhki0kTq6IpYNj-gp"&amp;"jxfobnaDiut0/edit?usp=sharing"",""บึงกาฬ!L542"")+IMPORTRANGE(""https://docs.google.com/spreadsheets/d/1MMPq-JyI6DSgQETxuSiXkesP-P7JHuemnE6QJIa-Nlw/edit?usp=sharing"",""บุรีรัมย์!L542"")+IMPORTRANGE(""https://docs.google.com/spreadsheets/d/1l6IZ8xUPgMrESzc"&amp;"TYwhA1k_tPjeQjJPTqlm8Gd9eU5g/edit?usp=sharing"",""มหาสารคาม!L542"")+IMPORTRANGE(""https://docs.google.com/spreadsheets/d/1uB74YLqNjWX6FObjekfB2NtSYigTQyR2rq9u4Ub2Sq4/edit?usp=sharing"",""มุกดาหาร!L542"")+IMPORTRANGE(""https://docs.google.com/spreadsheets/"&amp;"d/1NexK3geCPxCTO1fzNF8dPec7yZyUx3OaWkFBC9HsQOo/edit?usp=sharing"",""ยโสธร!L542"")+IMPORTRANGE(""https://docs.google.com/spreadsheets/d/1v_cJrbBlyqmnHPReHk44g9NrMRdENNlSy_E_c5M9fIg/edit?usp=sharing"",""ร้อยเอ็ด!L542"")+IMPORTRANGE(""https://docs.google.com"&amp;"/spreadsheets/d/1Ul4RCpCX66NxYADU1QpwAPjOmBzW64SsT11s1wzXw_c/edit?usp=sharing"",""เลย!L542"")+IMPORTRANGE(""https://docs.google.com/spreadsheets/d/1bRrNKwbHDVktQG10isr5vbWRtt5spIZPpkOSWgbT5ug/edit?usp=sharing"",""ศรีสะเกษ!L542"")+IMPORTRANGE(""https://doc"&amp;"s.google.com/spreadsheets/d/17P34_Ow5kFBfdQD0qspb2UuPX5zpi6WMrQzslghyvrI/edit?usp=sharing"",""สกลนคร!L542"")+IMPORTRANGE(""https://docs.google.com/spreadsheets/d/1yswqbM3-AEpThF3ZSUa1AcmHnmRTF1vlJ1CZGcJ8YuU/edit?usp=sharing"",""สุรินทร์!L542"")+IMPORTRANG"&amp;"E(""https://docs.google.com/spreadsheets/d/13JHU_EFbsQOUQ0JSQ3dWy1VTRosIWcDq6Nc99z2qzdc/edit?usp=sharing"",""หนองคาย!L542"")+IMPORTRANGE(""https://docs.google.com/spreadsheets/d/1Hx73zIEgVdDZZaYSTc46Dqv64atFhpr3GelxLbaIN8A/edit?usp=sharing"",""หนองบัวลำภู"&amp;"!L542"")+IMPORTRANGE(""https://docs.google.com/spreadsheets/d/1lFxr3ctmjFN90yc-xV6jrQ9Ty8BKYVBWnAZ15wcNIJc/edit?usp=sharing"",""อำนาจเจริญ!L542"")+IMPORTRANGE(""https://docs.google.com/spreadsheets/d/1gF7RJpRnL-1oyjyeWxs5SFWEH7y8ahOZsQlyp2A2e-A/edit?usp=s"&amp;"haring"",""อุดรธานี!L542"")+IMPORTRANGE(""https://docs.google.com/spreadsheets/d/1kfLP0j3INXRa8bTDpcEmoWewMBV61jlFlfzczfjWIgc/edit?usp=sharing"",""อุบลราชธานี!L542"")"),0)</f>
        <v>0</v>
      </c>
      <c r="M542" s="56">
        <f ca="1">IFERROR(__xludf.DUMMYFUNCTION("IMPORTRANGE(""https://docs.google.com/spreadsheets/d/1yhBcrRPreicbMKl9Bu_Snb2-OcQAF62RKfhTLhJ2eAA/edit?usp=sharing"",""กาฬสินธุ์!M542"")+IMPORTRANGE(""https://docs.google.com/spreadsheets/d/1aHkj4IaQMThhwWwevcOymEh837vdxeC_PycurhTbGFA/edit?usp=sharing"","&amp;"""ขอนแก่น!M542"")+IMPORTRANGE(""https://docs.google.com/spreadsheets/d/1FvTu2DsIWUjP6WCWra38Bkj_oOl_sOMf14r5Fg5srxU/edit?usp=sharing"",""ชัยภูมิ!M542"")+IMPORTRANGE(""https://docs.google.com/spreadsheets/d/1XVB7oCJ3pr-vBUdflwPQ8Z2LlzhnCvZaaYjAfP-647E/edit"&amp;"?usp=sharing"",""นครพนม!M542"")+IMPORTRANGE(""https://docs.google.com/spreadsheets/d/1Mnpb-8PYAgn85W6KOTD40hc_Xc55CaLfHoGAbrZ8tls/edit?usp=sharing"",""นครราชสีมา!M542"")+IMPORTRANGE(""https://docs.google.com/spreadsheets/d/1xoDLGBv9CYbyosIhki0kTq6IpYNj-gp"&amp;"jxfobnaDiut0/edit?usp=sharing"",""บึงกาฬ!M542"")+IMPORTRANGE(""https://docs.google.com/spreadsheets/d/1MMPq-JyI6DSgQETxuSiXkesP-P7JHuemnE6QJIa-Nlw/edit?usp=sharing"",""บุรีรัมย์!M542"")+IMPORTRANGE(""https://docs.google.com/spreadsheets/d/1l6IZ8xUPgMrESzc"&amp;"TYwhA1k_tPjeQjJPTqlm8Gd9eU5g/edit?usp=sharing"",""มหาสารคาม!M542"")+IMPORTRANGE(""https://docs.google.com/spreadsheets/d/1uB74YLqNjWX6FObjekfB2NtSYigTQyR2rq9u4Ub2Sq4/edit?usp=sharing"",""มุกดาหาร!M542"")+IMPORTRANGE(""https://docs.google.com/spreadsheets/"&amp;"d/1NexK3geCPxCTO1fzNF8dPec7yZyUx3OaWkFBC9HsQOo/edit?usp=sharing"",""ยโสธร!M542"")+IMPORTRANGE(""https://docs.google.com/spreadsheets/d/1v_cJrbBlyqmnHPReHk44g9NrMRdENNlSy_E_c5M9fIg/edit?usp=sharing"",""ร้อยเอ็ด!M542"")+IMPORTRANGE(""https://docs.google.com"&amp;"/spreadsheets/d/1Ul4RCpCX66NxYADU1QpwAPjOmBzW64SsT11s1wzXw_c/edit?usp=sharing"",""เลย!M542"")+IMPORTRANGE(""https://docs.google.com/spreadsheets/d/1bRrNKwbHDVktQG10isr5vbWRtt5spIZPpkOSWgbT5ug/edit?usp=sharing"",""ศรีสะเกษ!M542"")+IMPORTRANGE(""https://doc"&amp;"s.google.com/spreadsheets/d/17P34_Ow5kFBfdQD0qspb2UuPX5zpi6WMrQzslghyvrI/edit?usp=sharing"",""สกลนคร!M542"")+IMPORTRANGE(""https://docs.google.com/spreadsheets/d/1yswqbM3-AEpThF3ZSUa1AcmHnmRTF1vlJ1CZGcJ8YuU/edit?usp=sharing"",""สุรินทร์!M542"")+IMPORTRANG"&amp;"E(""https://docs.google.com/spreadsheets/d/13JHU_EFbsQOUQ0JSQ3dWy1VTRosIWcDq6Nc99z2qzdc/edit?usp=sharing"",""หนองคาย!M542"")+IMPORTRANGE(""https://docs.google.com/spreadsheets/d/1Hx73zIEgVdDZZaYSTc46Dqv64atFhpr3GelxLbaIN8A/edit?usp=sharing"",""หนองบัวลำภู"&amp;"!M542"")+IMPORTRANGE(""https://docs.google.com/spreadsheets/d/1lFxr3ctmjFN90yc-xV6jrQ9Ty8BKYVBWnAZ15wcNIJc/edit?usp=sharing"",""อำนาจเจริญ!M542"")+IMPORTRANGE(""https://docs.google.com/spreadsheets/d/1gF7RJpRnL-1oyjyeWxs5SFWEH7y8ahOZsQlyp2A2e-A/edit?usp=s"&amp;"haring"",""อุดรธานี!M542"")+IMPORTRANGE(""https://docs.google.com/spreadsheets/d/1kfLP0j3INXRa8bTDpcEmoWewMBV61jlFlfzczfjWIgc/edit?usp=sharing"",""อุบลราชธานี!M542"")"),0)</f>
        <v>0</v>
      </c>
      <c r="N542" s="56">
        <f ca="1">IFERROR(__xludf.DUMMYFUNCTION("IMPORTRANGE(""https://docs.google.com/spreadsheets/d/1yhBcrRPreicbMKl9Bu_Snb2-OcQAF62RKfhTLhJ2eAA/edit?usp=sharing"",""กาฬสินธุ์!N542"")+IMPORTRANGE(""https://docs.google.com/spreadsheets/d/1aHkj4IaQMThhwWwevcOymEh837vdxeC_PycurhTbGFA/edit?usp=sharing"","&amp;"""ขอนแก่น!N542"")+IMPORTRANGE(""https://docs.google.com/spreadsheets/d/1FvTu2DsIWUjP6WCWra38Bkj_oOl_sOMf14r5Fg5srxU/edit?usp=sharing"",""ชัยภูมิ!N542"")+IMPORTRANGE(""https://docs.google.com/spreadsheets/d/1XVB7oCJ3pr-vBUdflwPQ8Z2LlzhnCvZaaYjAfP-647E/edit"&amp;"?usp=sharing"",""นครพนม!N542"")+IMPORTRANGE(""https://docs.google.com/spreadsheets/d/1Mnpb-8PYAgn85W6KOTD40hc_Xc55CaLfHoGAbrZ8tls/edit?usp=sharing"",""นครราชสีมา!N542"")+IMPORTRANGE(""https://docs.google.com/spreadsheets/d/1xoDLGBv9CYbyosIhki0kTq6IpYNj-gp"&amp;"jxfobnaDiut0/edit?usp=sharing"",""บึงกาฬ!N542"")+IMPORTRANGE(""https://docs.google.com/spreadsheets/d/1MMPq-JyI6DSgQETxuSiXkesP-P7JHuemnE6QJIa-Nlw/edit?usp=sharing"",""บุรีรัมย์!N542"")+IMPORTRANGE(""https://docs.google.com/spreadsheets/d/1l6IZ8xUPgMrESzc"&amp;"TYwhA1k_tPjeQjJPTqlm8Gd9eU5g/edit?usp=sharing"",""มหาสารคาม!N542"")+IMPORTRANGE(""https://docs.google.com/spreadsheets/d/1uB74YLqNjWX6FObjekfB2NtSYigTQyR2rq9u4Ub2Sq4/edit?usp=sharing"",""มุกดาหาร!N542"")+IMPORTRANGE(""https://docs.google.com/spreadsheets/"&amp;"d/1NexK3geCPxCTO1fzNF8dPec7yZyUx3OaWkFBC9HsQOo/edit?usp=sharing"",""ยโสธร!N542"")+IMPORTRANGE(""https://docs.google.com/spreadsheets/d/1v_cJrbBlyqmnHPReHk44g9NrMRdENNlSy_E_c5M9fIg/edit?usp=sharing"",""ร้อยเอ็ด!N542"")+IMPORTRANGE(""https://docs.google.com"&amp;"/spreadsheets/d/1Ul4RCpCX66NxYADU1QpwAPjOmBzW64SsT11s1wzXw_c/edit?usp=sharing"",""เลย!N542"")+IMPORTRANGE(""https://docs.google.com/spreadsheets/d/1bRrNKwbHDVktQG10isr5vbWRtt5spIZPpkOSWgbT5ug/edit?usp=sharing"",""ศรีสะเกษ!N542"")+IMPORTRANGE(""https://doc"&amp;"s.google.com/spreadsheets/d/17P34_Ow5kFBfdQD0qspb2UuPX5zpi6WMrQzslghyvrI/edit?usp=sharing"",""สกลนคร!N542"")+IMPORTRANGE(""https://docs.google.com/spreadsheets/d/1yswqbM3-AEpThF3ZSUa1AcmHnmRTF1vlJ1CZGcJ8YuU/edit?usp=sharing"",""สุรินทร์!N542"")+IMPORTRANG"&amp;"E(""https://docs.google.com/spreadsheets/d/13JHU_EFbsQOUQ0JSQ3dWy1VTRosIWcDq6Nc99z2qzdc/edit?usp=sharing"",""หนองคาย!N542"")+IMPORTRANGE(""https://docs.google.com/spreadsheets/d/1Hx73zIEgVdDZZaYSTc46Dqv64atFhpr3GelxLbaIN8A/edit?usp=sharing"",""หนองบัวลำภู"&amp;"!N542"")+IMPORTRANGE(""https://docs.google.com/spreadsheets/d/1lFxr3ctmjFN90yc-xV6jrQ9Ty8BKYVBWnAZ15wcNIJc/edit?usp=sharing"",""อำนาจเจริญ!N542"")+IMPORTRANGE(""https://docs.google.com/spreadsheets/d/1gF7RJpRnL-1oyjyeWxs5SFWEH7y8ahOZsQlyp2A2e-A/edit?usp=s"&amp;"haring"",""อุดรธานี!N542"")+IMPORTRANGE(""https://docs.google.com/spreadsheets/d/1kfLP0j3INXRa8bTDpcEmoWewMBV61jlFlfzczfjWIgc/edit?usp=sharing"",""อุบลราชธานี!N542"")"),0)</f>
        <v>0</v>
      </c>
      <c r="O542" s="56">
        <f t="shared" ca="1" si="379"/>
        <v>0</v>
      </c>
      <c r="P542" s="56">
        <f t="shared" ca="1" si="380"/>
        <v>0</v>
      </c>
      <c r="Q542" s="56">
        <f ca="1">IFERROR(__xludf.DUMMYFUNCTION("IMPORTRANGE(""https://docs.google.com/spreadsheets/d/1yhBcrRPreicbMKl9Bu_Snb2-OcQAF62RKfhTLhJ2eAA/edit?usp=sharing"",""กาฬสินธุ์!Q542"")+IMPORTRANGE(""https://docs.google.com/spreadsheets/d/1aHkj4IaQMThhwWwevcOymEh837vdxeC_PycurhTbGFA/edit?usp=sharing"","&amp;"""ขอนแก่น!Q542"")+IMPORTRANGE(""https://docs.google.com/spreadsheets/d/1FvTu2DsIWUjP6WCWra38Bkj_oOl_sOMf14r5Fg5srxU/edit?usp=sharing"",""ชัยภูมิ!Q542"")+IMPORTRANGE(""https://docs.google.com/spreadsheets/d/1XVB7oCJ3pr-vBUdflwPQ8Z2LlzhnCvZaaYjAfP-647E/edit"&amp;"?usp=sharing"",""นครพนม!Q542"")+IMPORTRANGE(""https://docs.google.com/spreadsheets/d/1Mnpb-8PYAgn85W6KOTD40hc_Xc55CaLfHoGAbrZ8tls/edit?usp=sharing"",""นครราชสีมา!Q542"")+IMPORTRANGE(""https://docs.google.com/spreadsheets/d/1xoDLGBv9CYbyosIhki0kTq6IpYNj-gp"&amp;"jxfobnaDiut0/edit?usp=sharing"",""บึงกาฬ!Q542"")+IMPORTRANGE(""https://docs.google.com/spreadsheets/d/1MMPq-JyI6DSgQETxuSiXkesP-P7JHuemnE6QJIa-Nlw/edit?usp=sharing"",""บุรีรัมย์!Q542"")+IMPORTRANGE(""https://docs.google.com/spreadsheets/d/1l6IZ8xUPgMrESzc"&amp;"TYwhA1k_tPjeQjJPTqlm8Gd9eU5g/edit?usp=sharing"",""มหาสารคาม!Q542"")+IMPORTRANGE(""https://docs.google.com/spreadsheets/d/1uB74YLqNjWX6FObjekfB2NtSYigTQyR2rq9u4Ub2Sq4/edit?usp=sharing"",""มุกดาหาร!Q542"")+IMPORTRANGE(""https://docs.google.com/spreadsheets/"&amp;"d/1NexK3geCPxCTO1fzNF8dPec7yZyUx3OaWkFBC9HsQOo/edit?usp=sharing"",""ยโสธร!Q542"")+IMPORTRANGE(""https://docs.google.com/spreadsheets/d/1v_cJrbBlyqmnHPReHk44g9NrMRdENNlSy_E_c5M9fIg/edit?usp=sharing"",""ร้อยเอ็ด!Q542"")+IMPORTRANGE(""https://docs.google.com"&amp;"/spreadsheets/d/1Ul4RCpCX66NxYADU1QpwAPjOmBzW64SsT11s1wzXw_c/edit?usp=sharing"",""เลย!Q542"")+IMPORTRANGE(""https://docs.google.com/spreadsheets/d/1bRrNKwbHDVktQG10isr5vbWRtt5spIZPpkOSWgbT5ug/edit?usp=sharing"",""ศรีสะเกษ!Q542"")+IMPORTRANGE(""https://doc"&amp;"s.google.com/spreadsheets/d/17P34_Ow5kFBfdQD0qspb2UuPX5zpi6WMrQzslghyvrI/edit?usp=sharing"",""สกลนคร!Q542"")+IMPORTRANGE(""https://docs.google.com/spreadsheets/d/1yswqbM3-AEpThF3ZSUa1AcmHnmRTF1vlJ1CZGcJ8YuU/edit?usp=sharing"",""สุรินทร์!Q542"")+IMPORTRANG"&amp;"E(""https://docs.google.com/spreadsheets/d/13JHU_EFbsQOUQ0JSQ3dWy1VTRosIWcDq6Nc99z2qzdc/edit?usp=sharing"",""หนองคาย!Q542"")+IMPORTRANGE(""https://docs.google.com/spreadsheets/d/1Hx73zIEgVdDZZaYSTc46Dqv64atFhpr3GelxLbaIN8A/edit?usp=sharing"",""หนองบัวลำภู"&amp;"!Q542"")+IMPORTRANGE(""https://docs.google.com/spreadsheets/d/1lFxr3ctmjFN90yc-xV6jrQ9Ty8BKYVBWnAZ15wcNIJc/edit?usp=sharing"",""อำนาจเจริญ!Q542"")+IMPORTRANGE(""https://docs.google.com/spreadsheets/d/1gF7RJpRnL-1oyjyeWxs5SFWEH7y8ahOZsQlyp2A2e-A/edit?usp=s"&amp;"haring"",""อุดรธานี!Q542"")+IMPORTRANGE(""https://docs.google.com/spreadsheets/d/1kfLP0j3INXRa8bTDpcEmoWewMBV61jlFlfzczfjWIgc/edit?usp=sharing"",""อุบลราชธานี!Q542"")"),0)</f>
        <v>0</v>
      </c>
      <c r="R542" s="56">
        <f ca="1">IFERROR(__xludf.DUMMYFUNCTION("IMPORTRANGE(""https://docs.google.com/spreadsheets/d/1yhBcrRPreicbMKl9Bu_Snb2-OcQAF62RKfhTLhJ2eAA/edit?usp=sharing"",""กาฬสินธุ์!R542"")+IMPORTRANGE(""https://docs.google.com/spreadsheets/d/1aHkj4IaQMThhwWwevcOymEh837vdxeC_PycurhTbGFA/edit?usp=sharing"","&amp;"""ขอนแก่น!R542"")+IMPORTRANGE(""https://docs.google.com/spreadsheets/d/1FvTu2DsIWUjP6WCWra38Bkj_oOl_sOMf14r5Fg5srxU/edit?usp=sharing"",""ชัยภูมิ!R542"")+IMPORTRANGE(""https://docs.google.com/spreadsheets/d/1XVB7oCJ3pr-vBUdflwPQ8Z2LlzhnCvZaaYjAfP-647E/edit"&amp;"?usp=sharing"",""นครพนม!R542"")+IMPORTRANGE(""https://docs.google.com/spreadsheets/d/1Mnpb-8PYAgn85W6KOTD40hc_Xc55CaLfHoGAbrZ8tls/edit?usp=sharing"",""นครราชสีมา!R542"")+IMPORTRANGE(""https://docs.google.com/spreadsheets/d/1xoDLGBv9CYbyosIhki0kTq6IpYNj-gp"&amp;"jxfobnaDiut0/edit?usp=sharing"",""บึงกาฬ!R542"")+IMPORTRANGE(""https://docs.google.com/spreadsheets/d/1MMPq-JyI6DSgQETxuSiXkesP-P7JHuemnE6QJIa-Nlw/edit?usp=sharing"",""บุรีรัมย์!R542"")+IMPORTRANGE(""https://docs.google.com/spreadsheets/d/1l6IZ8xUPgMrESzc"&amp;"TYwhA1k_tPjeQjJPTqlm8Gd9eU5g/edit?usp=sharing"",""มหาสารคาม!R542"")+IMPORTRANGE(""https://docs.google.com/spreadsheets/d/1uB74YLqNjWX6FObjekfB2NtSYigTQyR2rq9u4Ub2Sq4/edit?usp=sharing"",""มุกดาหาร!R542"")+IMPORTRANGE(""https://docs.google.com/spreadsheets/"&amp;"d/1NexK3geCPxCTO1fzNF8dPec7yZyUx3OaWkFBC9HsQOo/edit?usp=sharing"",""ยโสธร!R542"")+IMPORTRANGE(""https://docs.google.com/spreadsheets/d/1v_cJrbBlyqmnHPReHk44g9NrMRdENNlSy_E_c5M9fIg/edit?usp=sharing"",""ร้อยเอ็ด!R542"")+IMPORTRANGE(""https://docs.google.com"&amp;"/spreadsheets/d/1Ul4RCpCX66NxYADU1QpwAPjOmBzW64SsT11s1wzXw_c/edit?usp=sharing"",""เลย!R542"")+IMPORTRANGE(""https://docs.google.com/spreadsheets/d/1bRrNKwbHDVktQG10isr5vbWRtt5spIZPpkOSWgbT5ug/edit?usp=sharing"",""ศรีสะเกษ!R542"")+IMPORTRANGE(""https://doc"&amp;"s.google.com/spreadsheets/d/17P34_Ow5kFBfdQD0qspb2UuPX5zpi6WMrQzslghyvrI/edit?usp=sharing"",""สกลนคร!R542"")+IMPORTRANGE(""https://docs.google.com/spreadsheets/d/1yswqbM3-AEpThF3ZSUa1AcmHnmRTF1vlJ1CZGcJ8YuU/edit?usp=sharing"",""สุรินทร์!R542"")+IMPORTRANG"&amp;"E(""https://docs.google.com/spreadsheets/d/13JHU_EFbsQOUQ0JSQ3dWy1VTRosIWcDq6Nc99z2qzdc/edit?usp=sharing"",""หนองคาย!R542"")+IMPORTRANGE(""https://docs.google.com/spreadsheets/d/1Hx73zIEgVdDZZaYSTc46Dqv64atFhpr3GelxLbaIN8A/edit?usp=sharing"",""หนองบัวลำภู"&amp;"!R542"")+IMPORTRANGE(""https://docs.google.com/spreadsheets/d/1lFxr3ctmjFN90yc-xV6jrQ9Ty8BKYVBWnAZ15wcNIJc/edit?usp=sharing"",""อำนาจเจริญ!R542"")+IMPORTRANGE(""https://docs.google.com/spreadsheets/d/1gF7RJpRnL-1oyjyeWxs5SFWEH7y8ahOZsQlyp2A2e-A/edit?usp=s"&amp;"haring"",""อุดรธานี!R542"")+IMPORTRANGE(""https://docs.google.com/spreadsheets/d/1kfLP0j3INXRa8bTDpcEmoWewMBV61jlFlfzczfjWIgc/edit?usp=sharing"",""อุบลราชธานี!R542"")"),0)</f>
        <v>0</v>
      </c>
      <c r="S542" s="57">
        <f ca="1">IFERROR(__xludf.DUMMYFUNCTION("IMPORTRANGE(""https://docs.google.com/spreadsheets/d/1yhBcrRPreicbMKl9Bu_Snb2-OcQAF62RKfhTLhJ2eAA/edit?usp=sharing"",""กาฬสินธุ์!S542"")+IMPORTRANGE(""https://docs.google.com/spreadsheets/d/1aHkj4IaQMThhwWwevcOymEh837vdxeC_PycurhTbGFA/edit?usp=sharing"","&amp;"""ขอนแก่น!S542"")+IMPORTRANGE(""https://docs.google.com/spreadsheets/d/1FvTu2DsIWUjP6WCWra38Bkj_oOl_sOMf14r5Fg5srxU/edit?usp=sharing"",""ชัยภูมิ!S542"")+IMPORTRANGE(""https://docs.google.com/spreadsheets/d/1XVB7oCJ3pr-vBUdflwPQ8Z2LlzhnCvZaaYjAfP-647E/edit"&amp;"?usp=sharing"",""นครพนม!S542"")+IMPORTRANGE(""https://docs.google.com/spreadsheets/d/1Mnpb-8PYAgn85W6KOTD40hc_Xc55CaLfHoGAbrZ8tls/edit?usp=sharing"",""นครราชสีมา!S542"")+IMPORTRANGE(""https://docs.google.com/spreadsheets/d/1xoDLGBv9CYbyosIhki0kTq6IpYNj-gp"&amp;"jxfobnaDiut0/edit?usp=sharing"",""บึงกาฬ!S542"")+IMPORTRANGE(""https://docs.google.com/spreadsheets/d/1MMPq-JyI6DSgQETxuSiXkesP-P7JHuemnE6QJIa-Nlw/edit?usp=sharing"",""บุรีรัมย์!S542"")+IMPORTRANGE(""https://docs.google.com/spreadsheets/d/1l6IZ8xUPgMrESzc"&amp;"TYwhA1k_tPjeQjJPTqlm8Gd9eU5g/edit?usp=sharing"",""มหาสารคาม!S542"")+IMPORTRANGE(""https://docs.google.com/spreadsheets/d/1uB74YLqNjWX6FObjekfB2NtSYigTQyR2rq9u4Ub2Sq4/edit?usp=sharing"",""มุกดาหาร!S542"")+IMPORTRANGE(""https://docs.google.com/spreadsheets/"&amp;"d/1NexK3geCPxCTO1fzNF8dPec7yZyUx3OaWkFBC9HsQOo/edit?usp=sharing"",""ยโสธร!S542"")+IMPORTRANGE(""https://docs.google.com/spreadsheets/d/1v_cJrbBlyqmnHPReHk44g9NrMRdENNlSy_E_c5M9fIg/edit?usp=sharing"",""ร้อยเอ็ด!S542"")+IMPORTRANGE(""https://docs.google.com"&amp;"/spreadsheets/d/1Ul4RCpCX66NxYADU1QpwAPjOmBzW64SsT11s1wzXw_c/edit?usp=sharing"",""เลย!S542"")+IMPORTRANGE(""https://docs.google.com/spreadsheets/d/1bRrNKwbHDVktQG10isr5vbWRtt5spIZPpkOSWgbT5ug/edit?usp=sharing"",""ศรีสะเกษ!S542"")+IMPORTRANGE(""https://doc"&amp;"s.google.com/spreadsheets/d/17P34_Ow5kFBfdQD0qspb2UuPX5zpi6WMrQzslghyvrI/edit?usp=sharing"",""สกลนคร!S542"")+IMPORTRANGE(""https://docs.google.com/spreadsheets/d/1yswqbM3-AEpThF3ZSUa1AcmHnmRTF1vlJ1CZGcJ8YuU/edit?usp=sharing"",""สุรินทร์!S542"")+IMPORTRANG"&amp;"E(""https://docs.google.com/spreadsheets/d/13JHU_EFbsQOUQ0JSQ3dWy1VTRosIWcDq6Nc99z2qzdc/edit?usp=sharing"",""หนองคาย!S542"")+IMPORTRANGE(""https://docs.google.com/spreadsheets/d/1Hx73zIEgVdDZZaYSTc46Dqv64atFhpr3GelxLbaIN8A/edit?usp=sharing"",""หนองบัวลำภู"&amp;"!S542"")+IMPORTRANGE(""https://docs.google.com/spreadsheets/d/1lFxr3ctmjFN90yc-xV6jrQ9Ty8BKYVBWnAZ15wcNIJc/edit?usp=sharing"",""อำนาจเจริญ!S542"")+IMPORTRANGE(""https://docs.google.com/spreadsheets/d/1gF7RJpRnL-1oyjyeWxs5SFWEH7y8ahOZsQlyp2A2e-A/edit?usp=s"&amp;"haring"",""อุดรธานี!S542"")+IMPORTRANGE(""https://docs.google.com/spreadsheets/d/1kfLP0j3INXRa8bTDpcEmoWewMBV61jlFlfzczfjWIgc/edit?usp=sharing"",""อุบลราชธานี!S542"")"),0)</f>
        <v>0</v>
      </c>
      <c r="T542" s="56">
        <f t="shared" ca="1" si="382"/>
        <v>0</v>
      </c>
      <c r="U542" s="56">
        <f t="shared" ca="1" si="383"/>
        <v>0</v>
      </c>
    </row>
    <row r="543" spans="1:21" ht="19.5">
      <c r="A543" s="166"/>
      <c r="B543" s="167"/>
      <c r="C543" s="411" t="s">
        <v>18</v>
      </c>
      <c r="D543" s="168" t="s">
        <v>38</v>
      </c>
      <c r="E543" s="169"/>
      <c r="F543" s="169"/>
      <c r="G543" s="170"/>
      <c r="H543" s="171"/>
      <c r="I543" s="163"/>
      <c r="J543" s="54"/>
      <c r="K543" s="55"/>
      <c r="L543" s="55"/>
      <c r="M543" s="55"/>
      <c r="N543" s="55"/>
      <c r="O543" s="164"/>
      <c r="P543" s="164"/>
      <c r="Q543" s="55"/>
      <c r="R543" s="55"/>
      <c r="S543" s="62"/>
      <c r="T543" s="164"/>
      <c r="U543" s="164"/>
    </row>
    <row r="544" spans="1:21" ht="12.75">
      <c r="A544" s="258"/>
      <c r="B544" s="260"/>
      <c r="C544" s="259"/>
      <c r="D544" s="260"/>
      <c r="E544" s="259"/>
      <c r="F544" s="260"/>
      <c r="G544" s="261"/>
      <c r="H544" s="261"/>
      <c r="I544" s="263"/>
      <c r="J544" s="263"/>
      <c r="K544" s="264"/>
      <c r="L544" s="264"/>
      <c r="M544" s="264"/>
      <c r="N544" s="264"/>
      <c r="O544" s="264"/>
      <c r="P544" s="264"/>
      <c r="Q544" s="264"/>
      <c r="R544" s="264"/>
      <c r="S544" s="265"/>
      <c r="T544" s="264"/>
      <c r="U544" s="264"/>
    </row>
    <row r="545" spans="1:21" ht="12.75">
      <c r="A545" s="258"/>
      <c r="B545" s="260"/>
      <c r="C545" s="259"/>
      <c r="D545" s="260"/>
      <c r="E545" s="259"/>
      <c r="F545" s="260"/>
      <c r="G545" s="261"/>
      <c r="H545" s="261"/>
      <c r="I545" s="263"/>
      <c r="J545" s="263"/>
      <c r="K545" s="264"/>
      <c r="L545" s="264"/>
      <c r="M545" s="264"/>
      <c r="N545" s="264"/>
      <c r="O545" s="264"/>
      <c r="P545" s="264"/>
      <c r="Q545" s="264"/>
      <c r="R545" s="264"/>
      <c r="S545" s="265"/>
      <c r="T545" s="264"/>
      <c r="U545" s="264"/>
    </row>
    <row r="546" spans="1:21" ht="12.75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4"/>
      <c r="M546" s="264"/>
      <c r="N546" s="264"/>
      <c r="O546" s="264"/>
      <c r="P546" s="264"/>
      <c r="Q546" s="264"/>
      <c r="R546" s="264"/>
      <c r="S546" s="265"/>
      <c r="T546" s="264"/>
      <c r="U546" s="264"/>
    </row>
    <row r="547" spans="1:21" ht="12.75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4"/>
      <c r="M547" s="264"/>
      <c r="N547" s="264"/>
      <c r="O547" s="264"/>
      <c r="P547" s="264"/>
      <c r="Q547" s="264"/>
      <c r="R547" s="264"/>
      <c r="S547" s="265"/>
      <c r="T547" s="264"/>
      <c r="U547" s="264"/>
    </row>
    <row r="548" spans="1:21" ht="12.75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4"/>
      <c r="M548" s="264"/>
      <c r="N548" s="264"/>
      <c r="O548" s="264"/>
      <c r="P548" s="264"/>
      <c r="Q548" s="264"/>
      <c r="R548" s="264"/>
      <c r="S548" s="265"/>
      <c r="T548" s="264"/>
      <c r="U548" s="264"/>
    </row>
    <row r="549" spans="1:21" ht="12.75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4"/>
      <c r="M549" s="264"/>
      <c r="N549" s="264"/>
      <c r="O549" s="264"/>
      <c r="P549" s="264"/>
      <c r="Q549" s="264"/>
      <c r="R549" s="264"/>
      <c r="S549" s="265"/>
      <c r="T549" s="264"/>
      <c r="U549" s="264"/>
    </row>
    <row r="550" spans="1:21" ht="12.75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4"/>
      <c r="M550" s="264"/>
      <c r="N550" s="264"/>
      <c r="O550" s="264"/>
      <c r="P550" s="264"/>
      <c r="Q550" s="264"/>
      <c r="R550" s="264"/>
      <c r="S550" s="265"/>
      <c r="T550" s="264"/>
      <c r="U550" s="264"/>
    </row>
    <row r="551" spans="1:21" ht="12.75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4"/>
      <c r="M551" s="264"/>
      <c r="N551" s="264"/>
      <c r="O551" s="264"/>
      <c r="P551" s="264"/>
      <c r="Q551" s="264"/>
      <c r="R551" s="264"/>
      <c r="S551" s="265"/>
      <c r="T551" s="264"/>
      <c r="U551" s="264"/>
    </row>
    <row r="552" spans="1:21" ht="12.75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4"/>
      <c r="M552" s="264"/>
      <c r="N552" s="264"/>
      <c r="O552" s="264"/>
      <c r="P552" s="264"/>
      <c r="Q552" s="264"/>
      <c r="R552" s="264"/>
      <c r="S552" s="265"/>
      <c r="T552" s="264"/>
      <c r="U552" s="264"/>
    </row>
    <row r="553" spans="1:21" ht="12.75">
      <c r="A553" s="407"/>
      <c r="B553" s="360"/>
      <c r="C553" s="360"/>
      <c r="D553" s="408"/>
      <c r="E553" s="408"/>
      <c r="F553" s="408"/>
      <c r="G553" s="409"/>
      <c r="H553" s="361"/>
      <c r="I553" s="362"/>
      <c r="J553" s="362"/>
      <c r="K553" s="363"/>
      <c r="L553" s="363"/>
      <c r="M553" s="363"/>
      <c r="N553" s="363"/>
      <c r="O553" s="363"/>
      <c r="P553" s="363"/>
      <c r="Q553" s="363"/>
      <c r="R553" s="363"/>
      <c r="S553" s="364"/>
      <c r="T553" s="363"/>
      <c r="U553" s="363"/>
    </row>
    <row r="554" spans="1:21" ht="19.5">
      <c r="A554" s="395"/>
      <c r="B554" s="396" t="s">
        <v>212</v>
      </c>
      <c r="C554" s="397"/>
      <c r="D554" s="398"/>
      <c r="E554" s="398"/>
      <c r="F554" s="398"/>
      <c r="G554" s="399"/>
      <c r="H554" s="410" t="s">
        <v>61</v>
      </c>
      <c r="I554" s="401">
        <f t="shared" ref="I554:J554" si="392">I566</f>
        <v>0</v>
      </c>
      <c r="J554" s="401">
        <f t="shared" si="392"/>
        <v>0</v>
      </c>
      <c r="K554" s="402">
        <f>IF(I554&gt;0,J554*100/I554,0)</f>
        <v>0</v>
      </c>
      <c r="L554" s="403"/>
      <c r="M554" s="403"/>
      <c r="N554" s="403"/>
      <c r="O554" s="403"/>
      <c r="P554" s="403"/>
      <c r="Q554" s="403"/>
      <c r="R554" s="403"/>
      <c r="S554" s="404"/>
      <c r="T554" s="403"/>
      <c r="U554" s="403"/>
    </row>
    <row r="555" spans="1:21" ht="19.5">
      <c r="A555" s="155"/>
      <c r="B555" s="50"/>
      <c r="C555" s="156" t="s">
        <v>18</v>
      </c>
      <c r="D555" s="157" t="s">
        <v>19</v>
      </c>
      <c r="E555" s="50"/>
      <c r="F555" s="50"/>
      <c r="G555" s="52"/>
      <c r="H555" s="158" t="s">
        <v>14</v>
      </c>
      <c r="I555" s="54"/>
      <c r="J555" s="54"/>
      <c r="K555" s="55"/>
      <c r="L555" s="159">
        <f t="shared" ref="L555:N555" ca="1" si="393">L556+L557</f>
        <v>0</v>
      </c>
      <c r="M555" s="159">
        <f t="shared" ca="1" si="393"/>
        <v>0</v>
      </c>
      <c r="N555" s="159">
        <f t="shared" ca="1" si="393"/>
        <v>0</v>
      </c>
      <c r="O555" s="159">
        <f t="shared" ref="O555:O563" ca="1" si="394">IF(L555&gt;0,N555*100/L555,0)</f>
        <v>0</v>
      </c>
      <c r="P555" s="159">
        <f t="shared" ref="P555:P563" ca="1" si="395">IF(M555&gt;0,N555*100/M555,0)</f>
        <v>0</v>
      </c>
      <c r="Q555" s="159">
        <f t="shared" ref="Q555:S555" ca="1" si="396">Q556+Q557</f>
        <v>0</v>
      </c>
      <c r="R555" s="159">
        <f t="shared" ca="1" si="396"/>
        <v>0</v>
      </c>
      <c r="S555" s="160">
        <f t="shared" ca="1" si="396"/>
        <v>0</v>
      </c>
      <c r="T555" s="159">
        <f t="shared" ref="T555:T563" ca="1" si="397">IF(Q555&gt;0,S555*100/Q555,0)</f>
        <v>0</v>
      </c>
      <c r="U555" s="159">
        <f t="shared" ref="U555:U563" ca="1" si="398">IF(R555&gt;0,S555*100/R555,0)</f>
        <v>0</v>
      </c>
    </row>
    <row r="556" spans="1:21" ht="18.75">
      <c r="A556" s="155"/>
      <c r="B556" s="188"/>
      <c r="C556" s="50"/>
      <c r="D556" s="50"/>
      <c r="E556" s="186" t="s">
        <v>20</v>
      </c>
      <c r="F556" s="50"/>
      <c r="G556" s="52"/>
      <c r="H556" s="187" t="s">
        <v>14</v>
      </c>
      <c r="I556" s="54"/>
      <c r="J556" s="54"/>
      <c r="K556" s="55"/>
      <c r="L556" s="59">
        <f t="shared" ref="L556:N556" ca="1" si="399">L559+L562</f>
        <v>0</v>
      </c>
      <c r="M556" s="59">
        <f t="shared" ca="1" si="399"/>
        <v>0</v>
      </c>
      <c r="N556" s="59">
        <f t="shared" ca="1" si="399"/>
        <v>0</v>
      </c>
      <c r="O556" s="59">
        <f t="shared" ca="1" si="394"/>
        <v>0</v>
      </c>
      <c r="P556" s="59">
        <f t="shared" ca="1" si="395"/>
        <v>0</v>
      </c>
      <c r="Q556" s="59">
        <f t="shared" ref="Q556:S556" ca="1" si="400">Q559+Q562</f>
        <v>0</v>
      </c>
      <c r="R556" s="59">
        <f t="shared" ca="1" si="400"/>
        <v>0</v>
      </c>
      <c r="S556" s="60">
        <f t="shared" ca="1" si="400"/>
        <v>0</v>
      </c>
      <c r="T556" s="59">
        <f t="shared" ca="1" si="397"/>
        <v>0</v>
      </c>
      <c r="U556" s="59">
        <f t="shared" ca="1" si="398"/>
        <v>0</v>
      </c>
    </row>
    <row r="557" spans="1:21" ht="18.75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56">
        <f t="shared" ref="L557:N557" ca="1" si="401">L560+L563</f>
        <v>0</v>
      </c>
      <c r="M557" s="56">
        <f t="shared" ca="1" si="401"/>
        <v>0</v>
      </c>
      <c r="N557" s="56">
        <f t="shared" ca="1" si="401"/>
        <v>0</v>
      </c>
      <c r="O557" s="56">
        <f t="shared" ca="1" si="394"/>
        <v>0</v>
      </c>
      <c r="P557" s="56">
        <f t="shared" ca="1" si="395"/>
        <v>0</v>
      </c>
      <c r="Q557" s="56">
        <f t="shared" ref="Q557:S557" ca="1" si="402">Q560+Q563</f>
        <v>0</v>
      </c>
      <c r="R557" s="56">
        <f t="shared" ca="1" si="402"/>
        <v>0</v>
      </c>
      <c r="S557" s="57">
        <f t="shared" ca="1" si="402"/>
        <v>0</v>
      </c>
      <c r="T557" s="56">
        <f t="shared" ca="1" si="397"/>
        <v>0</v>
      </c>
      <c r="U557" s="56">
        <f t="shared" ca="1" si="398"/>
        <v>0</v>
      </c>
    </row>
    <row r="558" spans="1:21" ht="18.75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56">
        <f t="shared" ref="L558:N558" ca="1" si="403">L559+L560</f>
        <v>0</v>
      </c>
      <c r="M558" s="56">
        <f t="shared" ca="1" si="403"/>
        <v>0</v>
      </c>
      <c r="N558" s="56">
        <f t="shared" ca="1" si="403"/>
        <v>0</v>
      </c>
      <c r="O558" s="56">
        <f t="shared" ca="1" si="394"/>
        <v>0</v>
      </c>
      <c r="P558" s="56">
        <f t="shared" ca="1" si="395"/>
        <v>0</v>
      </c>
      <c r="Q558" s="56">
        <f t="shared" ref="Q558:S558" ca="1" si="404">Q559+Q560</f>
        <v>0</v>
      </c>
      <c r="R558" s="56">
        <f t="shared" ca="1" si="404"/>
        <v>0</v>
      </c>
      <c r="S558" s="57">
        <f t="shared" ca="1" si="404"/>
        <v>0</v>
      </c>
      <c r="T558" s="56">
        <f t="shared" ca="1" si="397"/>
        <v>0</v>
      </c>
      <c r="U558" s="56">
        <f t="shared" ca="1" si="398"/>
        <v>0</v>
      </c>
    </row>
    <row r="559" spans="1:21" ht="18.75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59">
        <f ca="1">IFERROR(__xludf.DUMMYFUNCTION("IMPORTRANGE(""https://docs.google.com/spreadsheets/d/1yhBcrRPreicbMKl9Bu_Snb2-OcQAF62RKfhTLhJ2eAA/edit?usp=sharing"",""กาฬสินธุ์!L559"")+IMPORTRANGE(""https://docs.google.com/spreadsheets/d/1aHkj4IaQMThhwWwevcOymEh837vdxeC_PycurhTbGFA/edit?usp=sharing"","&amp;"""ขอนแก่น!L559"")+IMPORTRANGE(""https://docs.google.com/spreadsheets/d/1FvTu2DsIWUjP6WCWra38Bkj_oOl_sOMf14r5Fg5srxU/edit?usp=sharing"",""ชัยภูมิ!L559"")+IMPORTRANGE(""https://docs.google.com/spreadsheets/d/1XVB7oCJ3pr-vBUdflwPQ8Z2LlzhnCvZaaYjAfP-647E/edit"&amp;"?usp=sharing"",""นครพนม!L559"")+IMPORTRANGE(""https://docs.google.com/spreadsheets/d/1Mnpb-8PYAgn85W6KOTD40hc_Xc55CaLfHoGAbrZ8tls/edit?usp=sharing"",""นครราชสีมา!L559"")+IMPORTRANGE(""https://docs.google.com/spreadsheets/d/1xoDLGBv9CYbyosIhki0kTq6IpYNj-gp"&amp;"jxfobnaDiut0/edit?usp=sharing"",""บึงกาฬ!L559"")+IMPORTRANGE(""https://docs.google.com/spreadsheets/d/1MMPq-JyI6DSgQETxuSiXkesP-P7JHuemnE6QJIa-Nlw/edit?usp=sharing"",""บุรีรัมย์!L559"")+IMPORTRANGE(""https://docs.google.com/spreadsheets/d/1l6IZ8xUPgMrESzc"&amp;"TYwhA1k_tPjeQjJPTqlm8Gd9eU5g/edit?usp=sharing"",""มหาสารคาม!L559"")+IMPORTRANGE(""https://docs.google.com/spreadsheets/d/1uB74YLqNjWX6FObjekfB2NtSYigTQyR2rq9u4Ub2Sq4/edit?usp=sharing"",""มุกดาหาร!L559"")+IMPORTRANGE(""https://docs.google.com/spreadsheets/"&amp;"d/1NexK3geCPxCTO1fzNF8dPec7yZyUx3OaWkFBC9HsQOo/edit?usp=sharing"",""ยโสธร!L559"")+IMPORTRANGE(""https://docs.google.com/spreadsheets/d/1v_cJrbBlyqmnHPReHk44g9NrMRdENNlSy_E_c5M9fIg/edit?usp=sharing"",""ร้อยเอ็ด!L559"")+IMPORTRANGE(""https://docs.google.com"&amp;"/spreadsheets/d/1Ul4RCpCX66NxYADU1QpwAPjOmBzW64SsT11s1wzXw_c/edit?usp=sharing"",""เลย!L559"")+IMPORTRANGE(""https://docs.google.com/spreadsheets/d/1bRrNKwbHDVktQG10isr5vbWRtt5spIZPpkOSWgbT5ug/edit?usp=sharing"",""ศรีสะเกษ!L559"")+IMPORTRANGE(""https://doc"&amp;"s.google.com/spreadsheets/d/17P34_Ow5kFBfdQD0qspb2UuPX5zpi6WMrQzslghyvrI/edit?usp=sharing"",""สกลนคร!L559"")+IMPORTRANGE(""https://docs.google.com/spreadsheets/d/1yswqbM3-AEpThF3ZSUa1AcmHnmRTF1vlJ1CZGcJ8YuU/edit?usp=sharing"",""สุรินทร์!L559"")+IMPORTRANG"&amp;"E(""https://docs.google.com/spreadsheets/d/13JHU_EFbsQOUQ0JSQ3dWy1VTRosIWcDq6Nc99z2qzdc/edit?usp=sharing"",""หนองคาย!L559"")+IMPORTRANGE(""https://docs.google.com/spreadsheets/d/1Hx73zIEgVdDZZaYSTc46Dqv64atFhpr3GelxLbaIN8A/edit?usp=sharing"",""หนองบัวลำภู"&amp;"!L559"")+IMPORTRANGE(""https://docs.google.com/spreadsheets/d/1lFxr3ctmjFN90yc-xV6jrQ9Ty8BKYVBWnAZ15wcNIJc/edit?usp=sharing"",""อำนาจเจริญ!L559"")+IMPORTRANGE(""https://docs.google.com/spreadsheets/d/1gF7RJpRnL-1oyjyeWxs5SFWEH7y8ahOZsQlyp2A2e-A/edit?usp=s"&amp;"haring"",""อุดรธานี!L559"")+IMPORTRANGE(""https://docs.google.com/spreadsheets/d/1kfLP0j3INXRa8bTDpcEmoWewMBV61jlFlfzczfjWIgc/edit?usp=sharing"",""อุบลราชธานี!L559"")"),0)</f>
        <v>0</v>
      </c>
      <c r="M559" s="59">
        <f ca="1">IFERROR(__xludf.DUMMYFUNCTION("IMPORTRANGE(""https://docs.google.com/spreadsheets/d/1yhBcrRPreicbMKl9Bu_Snb2-OcQAF62RKfhTLhJ2eAA/edit?usp=sharing"",""กาฬสินธุ์!M559"")+IMPORTRANGE(""https://docs.google.com/spreadsheets/d/1aHkj4IaQMThhwWwevcOymEh837vdxeC_PycurhTbGFA/edit?usp=sharing"","&amp;"""ขอนแก่น!M559"")+IMPORTRANGE(""https://docs.google.com/spreadsheets/d/1FvTu2DsIWUjP6WCWra38Bkj_oOl_sOMf14r5Fg5srxU/edit?usp=sharing"",""ชัยภูมิ!M559"")+IMPORTRANGE(""https://docs.google.com/spreadsheets/d/1XVB7oCJ3pr-vBUdflwPQ8Z2LlzhnCvZaaYjAfP-647E/edit"&amp;"?usp=sharing"",""นครพนม!M559"")+IMPORTRANGE(""https://docs.google.com/spreadsheets/d/1Mnpb-8PYAgn85W6KOTD40hc_Xc55CaLfHoGAbrZ8tls/edit?usp=sharing"",""นครราชสีมา!M559"")+IMPORTRANGE(""https://docs.google.com/spreadsheets/d/1xoDLGBv9CYbyosIhki0kTq6IpYNj-gp"&amp;"jxfobnaDiut0/edit?usp=sharing"",""บึงกาฬ!M559"")+IMPORTRANGE(""https://docs.google.com/spreadsheets/d/1MMPq-JyI6DSgQETxuSiXkesP-P7JHuemnE6QJIa-Nlw/edit?usp=sharing"",""บุรีรัมย์!M559"")+IMPORTRANGE(""https://docs.google.com/spreadsheets/d/1l6IZ8xUPgMrESzc"&amp;"TYwhA1k_tPjeQjJPTqlm8Gd9eU5g/edit?usp=sharing"",""มหาสารคาม!M559"")+IMPORTRANGE(""https://docs.google.com/spreadsheets/d/1uB74YLqNjWX6FObjekfB2NtSYigTQyR2rq9u4Ub2Sq4/edit?usp=sharing"",""มุกดาหาร!M559"")+IMPORTRANGE(""https://docs.google.com/spreadsheets/"&amp;"d/1NexK3geCPxCTO1fzNF8dPec7yZyUx3OaWkFBC9HsQOo/edit?usp=sharing"",""ยโสธร!M559"")+IMPORTRANGE(""https://docs.google.com/spreadsheets/d/1v_cJrbBlyqmnHPReHk44g9NrMRdENNlSy_E_c5M9fIg/edit?usp=sharing"",""ร้อยเอ็ด!M559"")+IMPORTRANGE(""https://docs.google.com"&amp;"/spreadsheets/d/1Ul4RCpCX66NxYADU1QpwAPjOmBzW64SsT11s1wzXw_c/edit?usp=sharing"",""เลย!M559"")+IMPORTRANGE(""https://docs.google.com/spreadsheets/d/1bRrNKwbHDVktQG10isr5vbWRtt5spIZPpkOSWgbT5ug/edit?usp=sharing"",""ศรีสะเกษ!M559"")+IMPORTRANGE(""https://doc"&amp;"s.google.com/spreadsheets/d/17P34_Ow5kFBfdQD0qspb2UuPX5zpi6WMrQzslghyvrI/edit?usp=sharing"",""สกลนคร!M559"")+IMPORTRANGE(""https://docs.google.com/spreadsheets/d/1yswqbM3-AEpThF3ZSUa1AcmHnmRTF1vlJ1CZGcJ8YuU/edit?usp=sharing"",""สุรินทร์!M559"")+IMPORTRANG"&amp;"E(""https://docs.google.com/spreadsheets/d/13JHU_EFbsQOUQ0JSQ3dWy1VTRosIWcDq6Nc99z2qzdc/edit?usp=sharing"",""หนองคาย!M559"")+IMPORTRANGE(""https://docs.google.com/spreadsheets/d/1Hx73zIEgVdDZZaYSTc46Dqv64atFhpr3GelxLbaIN8A/edit?usp=sharing"",""หนองบัวลำภู"&amp;"!M559"")+IMPORTRANGE(""https://docs.google.com/spreadsheets/d/1lFxr3ctmjFN90yc-xV6jrQ9Ty8BKYVBWnAZ15wcNIJc/edit?usp=sharing"",""อำนาจเจริญ!M559"")+IMPORTRANGE(""https://docs.google.com/spreadsheets/d/1gF7RJpRnL-1oyjyeWxs5SFWEH7y8ahOZsQlyp2A2e-A/edit?usp=s"&amp;"haring"",""อุดรธานี!M559"")+IMPORTRANGE(""https://docs.google.com/spreadsheets/d/1kfLP0j3INXRa8bTDpcEmoWewMBV61jlFlfzczfjWIgc/edit?usp=sharing"",""อุบลราชธานี!M559"")"),0)</f>
        <v>0</v>
      </c>
      <c r="N559" s="59">
        <f ca="1">IFERROR(__xludf.DUMMYFUNCTION("IMPORTRANGE(""https://docs.google.com/spreadsheets/d/1yhBcrRPreicbMKl9Bu_Snb2-OcQAF62RKfhTLhJ2eAA/edit?usp=sharing"",""กาฬสินธุ์!N559"")+IMPORTRANGE(""https://docs.google.com/spreadsheets/d/1aHkj4IaQMThhwWwevcOymEh837vdxeC_PycurhTbGFA/edit?usp=sharing"","&amp;"""ขอนแก่น!N559"")+IMPORTRANGE(""https://docs.google.com/spreadsheets/d/1FvTu2DsIWUjP6WCWra38Bkj_oOl_sOMf14r5Fg5srxU/edit?usp=sharing"",""ชัยภูมิ!N559"")+IMPORTRANGE(""https://docs.google.com/spreadsheets/d/1XVB7oCJ3pr-vBUdflwPQ8Z2LlzhnCvZaaYjAfP-647E/edit"&amp;"?usp=sharing"",""นครพนม!N559"")+IMPORTRANGE(""https://docs.google.com/spreadsheets/d/1Mnpb-8PYAgn85W6KOTD40hc_Xc55CaLfHoGAbrZ8tls/edit?usp=sharing"",""นครราชสีมา!N559"")+IMPORTRANGE(""https://docs.google.com/spreadsheets/d/1xoDLGBv9CYbyosIhki0kTq6IpYNj-gp"&amp;"jxfobnaDiut0/edit?usp=sharing"",""บึงกาฬ!N559"")+IMPORTRANGE(""https://docs.google.com/spreadsheets/d/1MMPq-JyI6DSgQETxuSiXkesP-P7JHuemnE6QJIa-Nlw/edit?usp=sharing"",""บุรีรัมย์!N559"")+IMPORTRANGE(""https://docs.google.com/spreadsheets/d/1l6IZ8xUPgMrESzc"&amp;"TYwhA1k_tPjeQjJPTqlm8Gd9eU5g/edit?usp=sharing"",""มหาสารคาม!N559"")+IMPORTRANGE(""https://docs.google.com/spreadsheets/d/1uB74YLqNjWX6FObjekfB2NtSYigTQyR2rq9u4Ub2Sq4/edit?usp=sharing"",""มุกดาหาร!N559"")+IMPORTRANGE(""https://docs.google.com/spreadsheets/"&amp;"d/1NexK3geCPxCTO1fzNF8dPec7yZyUx3OaWkFBC9HsQOo/edit?usp=sharing"",""ยโสธร!N559"")+IMPORTRANGE(""https://docs.google.com/spreadsheets/d/1v_cJrbBlyqmnHPReHk44g9NrMRdENNlSy_E_c5M9fIg/edit?usp=sharing"",""ร้อยเอ็ด!N559"")+IMPORTRANGE(""https://docs.google.com"&amp;"/spreadsheets/d/1Ul4RCpCX66NxYADU1QpwAPjOmBzW64SsT11s1wzXw_c/edit?usp=sharing"",""เลย!N559"")+IMPORTRANGE(""https://docs.google.com/spreadsheets/d/1bRrNKwbHDVktQG10isr5vbWRtt5spIZPpkOSWgbT5ug/edit?usp=sharing"",""ศรีสะเกษ!N559"")+IMPORTRANGE(""https://doc"&amp;"s.google.com/spreadsheets/d/17P34_Ow5kFBfdQD0qspb2UuPX5zpi6WMrQzslghyvrI/edit?usp=sharing"",""สกลนคร!N559"")+IMPORTRANGE(""https://docs.google.com/spreadsheets/d/1yswqbM3-AEpThF3ZSUa1AcmHnmRTF1vlJ1CZGcJ8YuU/edit?usp=sharing"",""สุรินทร์!N559"")+IMPORTRANG"&amp;"E(""https://docs.google.com/spreadsheets/d/13JHU_EFbsQOUQ0JSQ3dWy1VTRosIWcDq6Nc99z2qzdc/edit?usp=sharing"",""หนองคาย!N559"")+IMPORTRANGE(""https://docs.google.com/spreadsheets/d/1Hx73zIEgVdDZZaYSTc46Dqv64atFhpr3GelxLbaIN8A/edit?usp=sharing"",""หนองบัวลำภู"&amp;"!N559"")+IMPORTRANGE(""https://docs.google.com/spreadsheets/d/1lFxr3ctmjFN90yc-xV6jrQ9Ty8BKYVBWnAZ15wcNIJc/edit?usp=sharing"",""อำนาจเจริญ!N559"")+IMPORTRANGE(""https://docs.google.com/spreadsheets/d/1gF7RJpRnL-1oyjyeWxs5SFWEH7y8ahOZsQlyp2A2e-A/edit?usp=s"&amp;"haring"",""อุดรธานี!N559"")+IMPORTRANGE(""https://docs.google.com/spreadsheets/d/1kfLP0j3INXRa8bTDpcEmoWewMBV61jlFlfzczfjWIgc/edit?usp=sharing"",""อุบลราชธานี!N559"")"),0)</f>
        <v>0</v>
      </c>
      <c r="O559" s="59">
        <f t="shared" ca="1" si="394"/>
        <v>0</v>
      </c>
      <c r="P559" s="59">
        <f t="shared" ca="1" si="395"/>
        <v>0</v>
      </c>
      <c r="Q559" s="59">
        <f ca="1">IFERROR(__xludf.DUMMYFUNCTION("IMPORTRANGE(""https://docs.google.com/spreadsheets/d/1yhBcrRPreicbMKl9Bu_Snb2-OcQAF62RKfhTLhJ2eAA/edit?usp=sharing"",""กาฬสินธุ์!Q559"")+IMPORTRANGE(""https://docs.google.com/spreadsheets/d/1aHkj4IaQMThhwWwevcOymEh837vdxeC_PycurhTbGFA/edit?usp=sharing"","&amp;"""ขอนแก่น!Q559"")+IMPORTRANGE(""https://docs.google.com/spreadsheets/d/1FvTu2DsIWUjP6WCWra38Bkj_oOl_sOMf14r5Fg5srxU/edit?usp=sharing"",""ชัยภูมิ!Q559"")+IMPORTRANGE(""https://docs.google.com/spreadsheets/d/1XVB7oCJ3pr-vBUdflwPQ8Z2LlzhnCvZaaYjAfP-647E/edit"&amp;"?usp=sharing"",""นครพนม!Q559"")+IMPORTRANGE(""https://docs.google.com/spreadsheets/d/1Mnpb-8PYAgn85W6KOTD40hc_Xc55CaLfHoGAbrZ8tls/edit?usp=sharing"",""นครราชสีมา!Q559"")+IMPORTRANGE(""https://docs.google.com/spreadsheets/d/1xoDLGBv9CYbyosIhki0kTq6IpYNj-gp"&amp;"jxfobnaDiut0/edit?usp=sharing"",""บึงกาฬ!Q559"")+IMPORTRANGE(""https://docs.google.com/spreadsheets/d/1MMPq-JyI6DSgQETxuSiXkesP-P7JHuemnE6QJIa-Nlw/edit?usp=sharing"",""บุรีรัมย์!Q559"")+IMPORTRANGE(""https://docs.google.com/spreadsheets/d/1l6IZ8xUPgMrESzc"&amp;"TYwhA1k_tPjeQjJPTqlm8Gd9eU5g/edit?usp=sharing"",""มหาสารคาม!Q559"")+IMPORTRANGE(""https://docs.google.com/spreadsheets/d/1uB74YLqNjWX6FObjekfB2NtSYigTQyR2rq9u4Ub2Sq4/edit?usp=sharing"",""มุกดาหาร!Q559"")+IMPORTRANGE(""https://docs.google.com/spreadsheets/"&amp;"d/1NexK3geCPxCTO1fzNF8dPec7yZyUx3OaWkFBC9HsQOo/edit?usp=sharing"",""ยโสธร!Q559"")+IMPORTRANGE(""https://docs.google.com/spreadsheets/d/1v_cJrbBlyqmnHPReHk44g9NrMRdENNlSy_E_c5M9fIg/edit?usp=sharing"",""ร้อยเอ็ด!Q559"")+IMPORTRANGE(""https://docs.google.com"&amp;"/spreadsheets/d/1Ul4RCpCX66NxYADU1QpwAPjOmBzW64SsT11s1wzXw_c/edit?usp=sharing"",""เลย!Q559"")+IMPORTRANGE(""https://docs.google.com/spreadsheets/d/1bRrNKwbHDVktQG10isr5vbWRtt5spIZPpkOSWgbT5ug/edit?usp=sharing"",""ศรีสะเกษ!Q559"")+IMPORTRANGE(""https://doc"&amp;"s.google.com/spreadsheets/d/17P34_Ow5kFBfdQD0qspb2UuPX5zpi6WMrQzslghyvrI/edit?usp=sharing"",""สกลนคร!Q559"")+IMPORTRANGE(""https://docs.google.com/spreadsheets/d/1yswqbM3-AEpThF3ZSUa1AcmHnmRTF1vlJ1CZGcJ8YuU/edit?usp=sharing"",""สุรินทร์!Q559"")+IMPORTRANG"&amp;"E(""https://docs.google.com/spreadsheets/d/13JHU_EFbsQOUQ0JSQ3dWy1VTRosIWcDq6Nc99z2qzdc/edit?usp=sharing"",""หนองคาย!Q559"")+IMPORTRANGE(""https://docs.google.com/spreadsheets/d/1Hx73zIEgVdDZZaYSTc46Dqv64atFhpr3GelxLbaIN8A/edit?usp=sharing"",""หนองบัวลำภู"&amp;"!Q559"")+IMPORTRANGE(""https://docs.google.com/spreadsheets/d/1lFxr3ctmjFN90yc-xV6jrQ9Ty8BKYVBWnAZ15wcNIJc/edit?usp=sharing"",""อำนาจเจริญ!Q559"")+IMPORTRANGE(""https://docs.google.com/spreadsheets/d/1gF7RJpRnL-1oyjyeWxs5SFWEH7y8ahOZsQlyp2A2e-A/edit?usp=s"&amp;"haring"",""อุดรธานี!Q559"")+IMPORTRANGE(""https://docs.google.com/spreadsheets/d/1kfLP0j3INXRa8bTDpcEmoWewMBV61jlFlfzczfjWIgc/edit?usp=sharing"",""อุบลราชธานี!Q559"")"),0)</f>
        <v>0</v>
      </c>
      <c r="R559" s="59">
        <f ca="1">IFERROR(__xludf.DUMMYFUNCTION("IMPORTRANGE(""https://docs.google.com/spreadsheets/d/1yhBcrRPreicbMKl9Bu_Snb2-OcQAF62RKfhTLhJ2eAA/edit?usp=sharing"",""กาฬสินธุ์!R559"")+IMPORTRANGE(""https://docs.google.com/spreadsheets/d/1aHkj4IaQMThhwWwevcOymEh837vdxeC_PycurhTbGFA/edit?usp=sharing"","&amp;"""ขอนแก่น!R559"")+IMPORTRANGE(""https://docs.google.com/spreadsheets/d/1FvTu2DsIWUjP6WCWra38Bkj_oOl_sOMf14r5Fg5srxU/edit?usp=sharing"",""ชัยภูมิ!R559"")+IMPORTRANGE(""https://docs.google.com/spreadsheets/d/1XVB7oCJ3pr-vBUdflwPQ8Z2LlzhnCvZaaYjAfP-647E/edit"&amp;"?usp=sharing"",""นครพนม!R559"")+IMPORTRANGE(""https://docs.google.com/spreadsheets/d/1Mnpb-8PYAgn85W6KOTD40hc_Xc55CaLfHoGAbrZ8tls/edit?usp=sharing"",""นครราชสีมา!R559"")+IMPORTRANGE(""https://docs.google.com/spreadsheets/d/1xoDLGBv9CYbyosIhki0kTq6IpYNj-gp"&amp;"jxfobnaDiut0/edit?usp=sharing"",""บึงกาฬ!R559"")+IMPORTRANGE(""https://docs.google.com/spreadsheets/d/1MMPq-JyI6DSgQETxuSiXkesP-P7JHuemnE6QJIa-Nlw/edit?usp=sharing"",""บุรีรัมย์!R559"")+IMPORTRANGE(""https://docs.google.com/spreadsheets/d/1l6IZ8xUPgMrESzc"&amp;"TYwhA1k_tPjeQjJPTqlm8Gd9eU5g/edit?usp=sharing"",""มหาสารคาม!R559"")+IMPORTRANGE(""https://docs.google.com/spreadsheets/d/1uB74YLqNjWX6FObjekfB2NtSYigTQyR2rq9u4Ub2Sq4/edit?usp=sharing"",""มุกดาหาร!R559"")+IMPORTRANGE(""https://docs.google.com/spreadsheets/"&amp;"d/1NexK3geCPxCTO1fzNF8dPec7yZyUx3OaWkFBC9HsQOo/edit?usp=sharing"",""ยโสธร!R559"")+IMPORTRANGE(""https://docs.google.com/spreadsheets/d/1v_cJrbBlyqmnHPReHk44g9NrMRdENNlSy_E_c5M9fIg/edit?usp=sharing"",""ร้อยเอ็ด!R559"")+IMPORTRANGE(""https://docs.google.com"&amp;"/spreadsheets/d/1Ul4RCpCX66NxYADU1QpwAPjOmBzW64SsT11s1wzXw_c/edit?usp=sharing"",""เลย!R559"")+IMPORTRANGE(""https://docs.google.com/spreadsheets/d/1bRrNKwbHDVktQG10isr5vbWRtt5spIZPpkOSWgbT5ug/edit?usp=sharing"",""ศรีสะเกษ!R559"")+IMPORTRANGE(""https://doc"&amp;"s.google.com/spreadsheets/d/17P34_Ow5kFBfdQD0qspb2UuPX5zpi6WMrQzslghyvrI/edit?usp=sharing"",""สกลนคร!R559"")+IMPORTRANGE(""https://docs.google.com/spreadsheets/d/1yswqbM3-AEpThF3ZSUa1AcmHnmRTF1vlJ1CZGcJ8YuU/edit?usp=sharing"",""สุรินทร์!R559"")+IMPORTRANG"&amp;"E(""https://docs.google.com/spreadsheets/d/13JHU_EFbsQOUQ0JSQ3dWy1VTRosIWcDq6Nc99z2qzdc/edit?usp=sharing"",""หนองคาย!R559"")+IMPORTRANGE(""https://docs.google.com/spreadsheets/d/1Hx73zIEgVdDZZaYSTc46Dqv64atFhpr3GelxLbaIN8A/edit?usp=sharing"",""หนองบัวลำภู"&amp;"!R559"")+IMPORTRANGE(""https://docs.google.com/spreadsheets/d/1lFxr3ctmjFN90yc-xV6jrQ9Ty8BKYVBWnAZ15wcNIJc/edit?usp=sharing"",""อำนาจเจริญ!R559"")+IMPORTRANGE(""https://docs.google.com/spreadsheets/d/1gF7RJpRnL-1oyjyeWxs5SFWEH7y8ahOZsQlyp2A2e-A/edit?usp=s"&amp;"haring"",""อุดรธานี!R559"")+IMPORTRANGE(""https://docs.google.com/spreadsheets/d/1kfLP0j3INXRa8bTDpcEmoWewMBV61jlFlfzczfjWIgc/edit?usp=sharing"",""อุบลราชธานี!R559"")"),0)</f>
        <v>0</v>
      </c>
      <c r="S559" s="60">
        <f ca="1">IFERROR(__xludf.DUMMYFUNCTION("IMPORTRANGE(""https://docs.google.com/spreadsheets/d/1yhBcrRPreicbMKl9Bu_Snb2-OcQAF62RKfhTLhJ2eAA/edit?usp=sharing"",""กาฬสินธุ์!S559"")+IMPORTRANGE(""https://docs.google.com/spreadsheets/d/1aHkj4IaQMThhwWwevcOymEh837vdxeC_PycurhTbGFA/edit?usp=sharing"","&amp;"""ขอนแก่น!S559"")+IMPORTRANGE(""https://docs.google.com/spreadsheets/d/1FvTu2DsIWUjP6WCWra38Bkj_oOl_sOMf14r5Fg5srxU/edit?usp=sharing"",""ชัยภูมิ!S559"")+IMPORTRANGE(""https://docs.google.com/spreadsheets/d/1XVB7oCJ3pr-vBUdflwPQ8Z2LlzhnCvZaaYjAfP-647E/edit"&amp;"?usp=sharing"",""นครพนม!S559"")+IMPORTRANGE(""https://docs.google.com/spreadsheets/d/1Mnpb-8PYAgn85W6KOTD40hc_Xc55CaLfHoGAbrZ8tls/edit?usp=sharing"",""นครราชสีมา!S559"")+IMPORTRANGE(""https://docs.google.com/spreadsheets/d/1xoDLGBv9CYbyosIhki0kTq6IpYNj-gp"&amp;"jxfobnaDiut0/edit?usp=sharing"",""บึงกาฬ!S559"")+IMPORTRANGE(""https://docs.google.com/spreadsheets/d/1MMPq-JyI6DSgQETxuSiXkesP-P7JHuemnE6QJIa-Nlw/edit?usp=sharing"",""บุรีรัมย์!S559"")+IMPORTRANGE(""https://docs.google.com/spreadsheets/d/1l6IZ8xUPgMrESzc"&amp;"TYwhA1k_tPjeQjJPTqlm8Gd9eU5g/edit?usp=sharing"",""มหาสารคาม!S559"")+IMPORTRANGE(""https://docs.google.com/spreadsheets/d/1uB74YLqNjWX6FObjekfB2NtSYigTQyR2rq9u4Ub2Sq4/edit?usp=sharing"",""มุกดาหาร!S559"")+IMPORTRANGE(""https://docs.google.com/spreadsheets/"&amp;"d/1NexK3geCPxCTO1fzNF8dPec7yZyUx3OaWkFBC9HsQOo/edit?usp=sharing"",""ยโสธร!S559"")+IMPORTRANGE(""https://docs.google.com/spreadsheets/d/1v_cJrbBlyqmnHPReHk44g9NrMRdENNlSy_E_c5M9fIg/edit?usp=sharing"",""ร้อยเอ็ด!S559"")+IMPORTRANGE(""https://docs.google.com"&amp;"/spreadsheets/d/1Ul4RCpCX66NxYADU1QpwAPjOmBzW64SsT11s1wzXw_c/edit?usp=sharing"",""เลย!S559"")+IMPORTRANGE(""https://docs.google.com/spreadsheets/d/1bRrNKwbHDVktQG10isr5vbWRtt5spIZPpkOSWgbT5ug/edit?usp=sharing"",""ศรีสะเกษ!S559"")+IMPORTRANGE(""https://doc"&amp;"s.google.com/spreadsheets/d/17P34_Ow5kFBfdQD0qspb2UuPX5zpi6WMrQzslghyvrI/edit?usp=sharing"",""สกลนคร!S559"")+IMPORTRANGE(""https://docs.google.com/spreadsheets/d/1yswqbM3-AEpThF3ZSUa1AcmHnmRTF1vlJ1CZGcJ8YuU/edit?usp=sharing"",""สุรินทร์!S559"")+IMPORTRANG"&amp;"E(""https://docs.google.com/spreadsheets/d/13JHU_EFbsQOUQ0JSQ3dWy1VTRosIWcDq6Nc99z2qzdc/edit?usp=sharing"",""หนองคาย!S559"")+IMPORTRANGE(""https://docs.google.com/spreadsheets/d/1Hx73zIEgVdDZZaYSTc46Dqv64atFhpr3GelxLbaIN8A/edit?usp=sharing"",""หนองบัวลำภู"&amp;"!S559"")+IMPORTRANGE(""https://docs.google.com/spreadsheets/d/1lFxr3ctmjFN90yc-xV6jrQ9Ty8BKYVBWnAZ15wcNIJc/edit?usp=sharing"",""อำนาจเจริญ!S559"")+IMPORTRANGE(""https://docs.google.com/spreadsheets/d/1gF7RJpRnL-1oyjyeWxs5SFWEH7y8ahOZsQlyp2A2e-A/edit?usp=s"&amp;"haring"",""อุดรธานี!S559"")+IMPORTRANGE(""https://docs.google.com/spreadsheets/d/1kfLP0j3INXRa8bTDpcEmoWewMBV61jlFlfzczfjWIgc/edit?usp=sharing"",""อุบลราชธานี!S559"")"),0)</f>
        <v>0</v>
      </c>
      <c r="T559" s="59">
        <f t="shared" ca="1" si="397"/>
        <v>0</v>
      </c>
      <c r="U559" s="59">
        <f t="shared" ca="1" si="398"/>
        <v>0</v>
      </c>
    </row>
    <row r="560" spans="1:21" ht="18.75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56">
        <f ca="1">IFERROR(__xludf.DUMMYFUNCTION("IMPORTRANGE(""https://docs.google.com/spreadsheets/d/1yhBcrRPreicbMKl9Bu_Snb2-OcQAF62RKfhTLhJ2eAA/edit?usp=sharing"",""กาฬสินธุ์!L560"")+IMPORTRANGE(""https://docs.google.com/spreadsheets/d/1aHkj4IaQMThhwWwevcOymEh837vdxeC_PycurhTbGFA/edit?usp=sharing"","&amp;"""ขอนแก่น!L560"")+IMPORTRANGE(""https://docs.google.com/spreadsheets/d/1FvTu2DsIWUjP6WCWra38Bkj_oOl_sOMf14r5Fg5srxU/edit?usp=sharing"",""ชัยภูมิ!L560"")+IMPORTRANGE(""https://docs.google.com/spreadsheets/d/1XVB7oCJ3pr-vBUdflwPQ8Z2LlzhnCvZaaYjAfP-647E/edit"&amp;"?usp=sharing"",""นครพนม!L560"")+IMPORTRANGE(""https://docs.google.com/spreadsheets/d/1Mnpb-8PYAgn85W6KOTD40hc_Xc55CaLfHoGAbrZ8tls/edit?usp=sharing"",""นครราชสีมา!L560"")+IMPORTRANGE(""https://docs.google.com/spreadsheets/d/1xoDLGBv9CYbyosIhki0kTq6IpYNj-gp"&amp;"jxfobnaDiut0/edit?usp=sharing"",""บึงกาฬ!L560"")+IMPORTRANGE(""https://docs.google.com/spreadsheets/d/1MMPq-JyI6DSgQETxuSiXkesP-P7JHuemnE6QJIa-Nlw/edit?usp=sharing"",""บุรีรัมย์!L560"")+IMPORTRANGE(""https://docs.google.com/spreadsheets/d/1l6IZ8xUPgMrESzc"&amp;"TYwhA1k_tPjeQjJPTqlm8Gd9eU5g/edit?usp=sharing"",""มหาสารคาม!L560"")+IMPORTRANGE(""https://docs.google.com/spreadsheets/d/1uB74YLqNjWX6FObjekfB2NtSYigTQyR2rq9u4Ub2Sq4/edit?usp=sharing"",""มุกดาหาร!L560"")+IMPORTRANGE(""https://docs.google.com/spreadsheets/"&amp;"d/1NexK3geCPxCTO1fzNF8dPec7yZyUx3OaWkFBC9HsQOo/edit?usp=sharing"",""ยโสธร!L560"")+IMPORTRANGE(""https://docs.google.com/spreadsheets/d/1v_cJrbBlyqmnHPReHk44g9NrMRdENNlSy_E_c5M9fIg/edit?usp=sharing"",""ร้อยเอ็ด!L560"")+IMPORTRANGE(""https://docs.google.com"&amp;"/spreadsheets/d/1Ul4RCpCX66NxYADU1QpwAPjOmBzW64SsT11s1wzXw_c/edit?usp=sharing"",""เลย!L560"")+IMPORTRANGE(""https://docs.google.com/spreadsheets/d/1bRrNKwbHDVktQG10isr5vbWRtt5spIZPpkOSWgbT5ug/edit?usp=sharing"",""ศรีสะเกษ!L560"")+IMPORTRANGE(""https://doc"&amp;"s.google.com/spreadsheets/d/17P34_Ow5kFBfdQD0qspb2UuPX5zpi6WMrQzslghyvrI/edit?usp=sharing"",""สกลนคร!L560"")+IMPORTRANGE(""https://docs.google.com/spreadsheets/d/1yswqbM3-AEpThF3ZSUa1AcmHnmRTF1vlJ1CZGcJ8YuU/edit?usp=sharing"",""สุรินทร์!L560"")+IMPORTRANG"&amp;"E(""https://docs.google.com/spreadsheets/d/13JHU_EFbsQOUQ0JSQ3dWy1VTRosIWcDq6Nc99z2qzdc/edit?usp=sharing"",""หนองคาย!L560"")+IMPORTRANGE(""https://docs.google.com/spreadsheets/d/1Hx73zIEgVdDZZaYSTc46Dqv64atFhpr3GelxLbaIN8A/edit?usp=sharing"",""หนองบัวลำภู"&amp;"!L560"")+IMPORTRANGE(""https://docs.google.com/spreadsheets/d/1lFxr3ctmjFN90yc-xV6jrQ9Ty8BKYVBWnAZ15wcNIJc/edit?usp=sharing"",""อำนาจเจริญ!L560"")+IMPORTRANGE(""https://docs.google.com/spreadsheets/d/1gF7RJpRnL-1oyjyeWxs5SFWEH7y8ahOZsQlyp2A2e-A/edit?usp=s"&amp;"haring"",""อุดรธานี!L560"")+IMPORTRANGE(""https://docs.google.com/spreadsheets/d/1kfLP0j3INXRa8bTDpcEmoWewMBV61jlFlfzczfjWIgc/edit?usp=sharing"",""อุบลราชธานี!L560"")"),0)</f>
        <v>0</v>
      </c>
      <c r="M560" s="56">
        <f ca="1">IFERROR(__xludf.DUMMYFUNCTION("IMPORTRANGE(""https://docs.google.com/spreadsheets/d/1yhBcrRPreicbMKl9Bu_Snb2-OcQAF62RKfhTLhJ2eAA/edit?usp=sharing"",""กาฬสินธุ์!M560"")+IMPORTRANGE(""https://docs.google.com/spreadsheets/d/1aHkj4IaQMThhwWwevcOymEh837vdxeC_PycurhTbGFA/edit?usp=sharing"","&amp;"""ขอนแก่น!M560"")+IMPORTRANGE(""https://docs.google.com/spreadsheets/d/1FvTu2DsIWUjP6WCWra38Bkj_oOl_sOMf14r5Fg5srxU/edit?usp=sharing"",""ชัยภูมิ!M560"")+IMPORTRANGE(""https://docs.google.com/spreadsheets/d/1XVB7oCJ3pr-vBUdflwPQ8Z2LlzhnCvZaaYjAfP-647E/edit"&amp;"?usp=sharing"",""นครพนม!M560"")+IMPORTRANGE(""https://docs.google.com/spreadsheets/d/1Mnpb-8PYAgn85W6KOTD40hc_Xc55CaLfHoGAbrZ8tls/edit?usp=sharing"",""นครราชสีมา!M560"")+IMPORTRANGE(""https://docs.google.com/spreadsheets/d/1xoDLGBv9CYbyosIhki0kTq6IpYNj-gp"&amp;"jxfobnaDiut0/edit?usp=sharing"",""บึงกาฬ!M560"")+IMPORTRANGE(""https://docs.google.com/spreadsheets/d/1MMPq-JyI6DSgQETxuSiXkesP-P7JHuemnE6QJIa-Nlw/edit?usp=sharing"",""บุรีรัมย์!M560"")+IMPORTRANGE(""https://docs.google.com/spreadsheets/d/1l6IZ8xUPgMrESzc"&amp;"TYwhA1k_tPjeQjJPTqlm8Gd9eU5g/edit?usp=sharing"",""มหาสารคาม!M560"")+IMPORTRANGE(""https://docs.google.com/spreadsheets/d/1uB74YLqNjWX6FObjekfB2NtSYigTQyR2rq9u4Ub2Sq4/edit?usp=sharing"",""มุกดาหาร!M560"")+IMPORTRANGE(""https://docs.google.com/spreadsheets/"&amp;"d/1NexK3geCPxCTO1fzNF8dPec7yZyUx3OaWkFBC9HsQOo/edit?usp=sharing"",""ยโสธร!M560"")+IMPORTRANGE(""https://docs.google.com/spreadsheets/d/1v_cJrbBlyqmnHPReHk44g9NrMRdENNlSy_E_c5M9fIg/edit?usp=sharing"",""ร้อยเอ็ด!M560"")+IMPORTRANGE(""https://docs.google.com"&amp;"/spreadsheets/d/1Ul4RCpCX66NxYADU1QpwAPjOmBzW64SsT11s1wzXw_c/edit?usp=sharing"",""เลย!M560"")+IMPORTRANGE(""https://docs.google.com/spreadsheets/d/1bRrNKwbHDVktQG10isr5vbWRtt5spIZPpkOSWgbT5ug/edit?usp=sharing"",""ศรีสะเกษ!M560"")+IMPORTRANGE(""https://doc"&amp;"s.google.com/spreadsheets/d/17P34_Ow5kFBfdQD0qspb2UuPX5zpi6WMrQzslghyvrI/edit?usp=sharing"",""สกลนคร!M560"")+IMPORTRANGE(""https://docs.google.com/spreadsheets/d/1yswqbM3-AEpThF3ZSUa1AcmHnmRTF1vlJ1CZGcJ8YuU/edit?usp=sharing"",""สุรินทร์!M560"")+IMPORTRANG"&amp;"E(""https://docs.google.com/spreadsheets/d/13JHU_EFbsQOUQ0JSQ3dWy1VTRosIWcDq6Nc99z2qzdc/edit?usp=sharing"",""หนองคาย!M560"")+IMPORTRANGE(""https://docs.google.com/spreadsheets/d/1Hx73zIEgVdDZZaYSTc46Dqv64atFhpr3GelxLbaIN8A/edit?usp=sharing"",""หนองบัวลำภู"&amp;"!M560"")+IMPORTRANGE(""https://docs.google.com/spreadsheets/d/1lFxr3ctmjFN90yc-xV6jrQ9Ty8BKYVBWnAZ15wcNIJc/edit?usp=sharing"",""อำนาจเจริญ!M560"")+IMPORTRANGE(""https://docs.google.com/spreadsheets/d/1gF7RJpRnL-1oyjyeWxs5SFWEH7y8ahOZsQlyp2A2e-A/edit?usp=s"&amp;"haring"",""อุดรธานี!M560"")+IMPORTRANGE(""https://docs.google.com/spreadsheets/d/1kfLP0j3INXRa8bTDpcEmoWewMBV61jlFlfzczfjWIgc/edit?usp=sharing"",""อุบลราชธานี!M560"")"),0)</f>
        <v>0</v>
      </c>
      <c r="N560" s="56">
        <f ca="1">IFERROR(__xludf.DUMMYFUNCTION("IMPORTRANGE(""https://docs.google.com/spreadsheets/d/1yhBcrRPreicbMKl9Bu_Snb2-OcQAF62RKfhTLhJ2eAA/edit?usp=sharing"",""กาฬสินธุ์!N560"")+IMPORTRANGE(""https://docs.google.com/spreadsheets/d/1aHkj4IaQMThhwWwevcOymEh837vdxeC_PycurhTbGFA/edit?usp=sharing"","&amp;"""ขอนแก่น!N560"")+IMPORTRANGE(""https://docs.google.com/spreadsheets/d/1FvTu2DsIWUjP6WCWra38Bkj_oOl_sOMf14r5Fg5srxU/edit?usp=sharing"",""ชัยภูมิ!N560"")+IMPORTRANGE(""https://docs.google.com/spreadsheets/d/1XVB7oCJ3pr-vBUdflwPQ8Z2LlzhnCvZaaYjAfP-647E/edit"&amp;"?usp=sharing"",""นครพนม!N560"")+IMPORTRANGE(""https://docs.google.com/spreadsheets/d/1Mnpb-8PYAgn85W6KOTD40hc_Xc55CaLfHoGAbrZ8tls/edit?usp=sharing"",""นครราชสีมา!N560"")+IMPORTRANGE(""https://docs.google.com/spreadsheets/d/1xoDLGBv9CYbyosIhki0kTq6IpYNj-gp"&amp;"jxfobnaDiut0/edit?usp=sharing"",""บึงกาฬ!N560"")+IMPORTRANGE(""https://docs.google.com/spreadsheets/d/1MMPq-JyI6DSgQETxuSiXkesP-P7JHuemnE6QJIa-Nlw/edit?usp=sharing"",""บุรีรัมย์!N560"")+IMPORTRANGE(""https://docs.google.com/spreadsheets/d/1l6IZ8xUPgMrESzc"&amp;"TYwhA1k_tPjeQjJPTqlm8Gd9eU5g/edit?usp=sharing"",""มหาสารคาม!N560"")+IMPORTRANGE(""https://docs.google.com/spreadsheets/d/1uB74YLqNjWX6FObjekfB2NtSYigTQyR2rq9u4Ub2Sq4/edit?usp=sharing"",""มุกดาหาร!N560"")+IMPORTRANGE(""https://docs.google.com/spreadsheets/"&amp;"d/1NexK3geCPxCTO1fzNF8dPec7yZyUx3OaWkFBC9HsQOo/edit?usp=sharing"",""ยโสธร!N560"")+IMPORTRANGE(""https://docs.google.com/spreadsheets/d/1v_cJrbBlyqmnHPReHk44g9NrMRdENNlSy_E_c5M9fIg/edit?usp=sharing"",""ร้อยเอ็ด!N560"")+IMPORTRANGE(""https://docs.google.com"&amp;"/spreadsheets/d/1Ul4RCpCX66NxYADU1QpwAPjOmBzW64SsT11s1wzXw_c/edit?usp=sharing"",""เลย!N560"")+IMPORTRANGE(""https://docs.google.com/spreadsheets/d/1bRrNKwbHDVktQG10isr5vbWRtt5spIZPpkOSWgbT5ug/edit?usp=sharing"",""ศรีสะเกษ!N560"")+IMPORTRANGE(""https://doc"&amp;"s.google.com/spreadsheets/d/17P34_Ow5kFBfdQD0qspb2UuPX5zpi6WMrQzslghyvrI/edit?usp=sharing"",""สกลนคร!N560"")+IMPORTRANGE(""https://docs.google.com/spreadsheets/d/1yswqbM3-AEpThF3ZSUa1AcmHnmRTF1vlJ1CZGcJ8YuU/edit?usp=sharing"",""สุรินทร์!N560"")+IMPORTRANG"&amp;"E(""https://docs.google.com/spreadsheets/d/13JHU_EFbsQOUQ0JSQ3dWy1VTRosIWcDq6Nc99z2qzdc/edit?usp=sharing"",""หนองคาย!N560"")+IMPORTRANGE(""https://docs.google.com/spreadsheets/d/1Hx73zIEgVdDZZaYSTc46Dqv64atFhpr3GelxLbaIN8A/edit?usp=sharing"",""หนองบัวลำภู"&amp;"!N560"")+IMPORTRANGE(""https://docs.google.com/spreadsheets/d/1lFxr3ctmjFN90yc-xV6jrQ9Ty8BKYVBWnAZ15wcNIJc/edit?usp=sharing"",""อำนาจเจริญ!N560"")+IMPORTRANGE(""https://docs.google.com/spreadsheets/d/1gF7RJpRnL-1oyjyeWxs5SFWEH7y8ahOZsQlyp2A2e-A/edit?usp=s"&amp;"haring"",""อุดรธานี!N560"")+IMPORTRANGE(""https://docs.google.com/spreadsheets/d/1kfLP0j3INXRa8bTDpcEmoWewMBV61jlFlfzczfjWIgc/edit?usp=sharing"",""อุบลราชธานี!N560"")"),0)</f>
        <v>0</v>
      </c>
      <c r="O560" s="56">
        <f t="shared" ca="1" si="394"/>
        <v>0</v>
      </c>
      <c r="P560" s="56">
        <f t="shared" ca="1" si="395"/>
        <v>0</v>
      </c>
      <c r="Q560" s="56">
        <f ca="1">IFERROR(__xludf.DUMMYFUNCTION("IMPORTRANGE(""https://docs.google.com/spreadsheets/d/1yhBcrRPreicbMKl9Bu_Snb2-OcQAF62RKfhTLhJ2eAA/edit?usp=sharing"",""กาฬสินธุ์!Q560"")+IMPORTRANGE(""https://docs.google.com/spreadsheets/d/1aHkj4IaQMThhwWwevcOymEh837vdxeC_PycurhTbGFA/edit?usp=sharing"","&amp;"""ขอนแก่น!Q560"")+IMPORTRANGE(""https://docs.google.com/spreadsheets/d/1FvTu2DsIWUjP6WCWra38Bkj_oOl_sOMf14r5Fg5srxU/edit?usp=sharing"",""ชัยภูมิ!Q560"")+IMPORTRANGE(""https://docs.google.com/spreadsheets/d/1XVB7oCJ3pr-vBUdflwPQ8Z2LlzhnCvZaaYjAfP-647E/edit"&amp;"?usp=sharing"",""นครพนม!Q560"")+IMPORTRANGE(""https://docs.google.com/spreadsheets/d/1Mnpb-8PYAgn85W6KOTD40hc_Xc55CaLfHoGAbrZ8tls/edit?usp=sharing"",""นครราชสีมา!Q560"")+IMPORTRANGE(""https://docs.google.com/spreadsheets/d/1xoDLGBv9CYbyosIhki0kTq6IpYNj-gp"&amp;"jxfobnaDiut0/edit?usp=sharing"",""บึงกาฬ!Q560"")+IMPORTRANGE(""https://docs.google.com/spreadsheets/d/1MMPq-JyI6DSgQETxuSiXkesP-P7JHuemnE6QJIa-Nlw/edit?usp=sharing"",""บุรีรัมย์!Q560"")+IMPORTRANGE(""https://docs.google.com/spreadsheets/d/1l6IZ8xUPgMrESzc"&amp;"TYwhA1k_tPjeQjJPTqlm8Gd9eU5g/edit?usp=sharing"",""มหาสารคาม!Q560"")+IMPORTRANGE(""https://docs.google.com/spreadsheets/d/1uB74YLqNjWX6FObjekfB2NtSYigTQyR2rq9u4Ub2Sq4/edit?usp=sharing"",""มุกดาหาร!Q560"")+IMPORTRANGE(""https://docs.google.com/spreadsheets/"&amp;"d/1NexK3geCPxCTO1fzNF8dPec7yZyUx3OaWkFBC9HsQOo/edit?usp=sharing"",""ยโสธร!Q560"")+IMPORTRANGE(""https://docs.google.com/spreadsheets/d/1v_cJrbBlyqmnHPReHk44g9NrMRdENNlSy_E_c5M9fIg/edit?usp=sharing"",""ร้อยเอ็ด!Q560"")+IMPORTRANGE(""https://docs.google.com"&amp;"/spreadsheets/d/1Ul4RCpCX66NxYADU1QpwAPjOmBzW64SsT11s1wzXw_c/edit?usp=sharing"",""เลย!Q560"")+IMPORTRANGE(""https://docs.google.com/spreadsheets/d/1bRrNKwbHDVktQG10isr5vbWRtt5spIZPpkOSWgbT5ug/edit?usp=sharing"",""ศรีสะเกษ!Q560"")+IMPORTRANGE(""https://doc"&amp;"s.google.com/spreadsheets/d/17P34_Ow5kFBfdQD0qspb2UuPX5zpi6WMrQzslghyvrI/edit?usp=sharing"",""สกลนคร!Q560"")+IMPORTRANGE(""https://docs.google.com/spreadsheets/d/1yswqbM3-AEpThF3ZSUa1AcmHnmRTF1vlJ1CZGcJ8YuU/edit?usp=sharing"",""สุรินทร์!Q560"")+IMPORTRANG"&amp;"E(""https://docs.google.com/spreadsheets/d/13JHU_EFbsQOUQ0JSQ3dWy1VTRosIWcDq6Nc99z2qzdc/edit?usp=sharing"",""หนองคาย!Q560"")+IMPORTRANGE(""https://docs.google.com/spreadsheets/d/1Hx73zIEgVdDZZaYSTc46Dqv64atFhpr3GelxLbaIN8A/edit?usp=sharing"",""หนองบัวลำภู"&amp;"!Q560"")+IMPORTRANGE(""https://docs.google.com/spreadsheets/d/1lFxr3ctmjFN90yc-xV6jrQ9Ty8BKYVBWnAZ15wcNIJc/edit?usp=sharing"",""อำนาจเจริญ!Q560"")+IMPORTRANGE(""https://docs.google.com/spreadsheets/d/1gF7RJpRnL-1oyjyeWxs5SFWEH7y8ahOZsQlyp2A2e-A/edit?usp=s"&amp;"haring"",""อุดรธานี!Q560"")+IMPORTRANGE(""https://docs.google.com/spreadsheets/d/1kfLP0j3INXRa8bTDpcEmoWewMBV61jlFlfzczfjWIgc/edit?usp=sharing"",""อุบลราชธานี!Q560"")"),0)</f>
        <v>0</v>
      </c>
      <c r="R560" s="56">
        <f ca="1">IFERROR(__xludf.DUMMYFUNCTION("IMPORTRANGE(""https://docs.google.com/spreadsheets/d/1yhBcrRPreicbMKl9Bu_Snb2-OcQAF62RKfhTLhJ2eAA/edit?usp=sharing"",""กาฬสินธุ์!R560"")+IMPORTRANGE(""https://docs.google.com/spreadsheets/d/1aHkj4IaQMThhwWwevcOymEh837vdxeC_PycurhTbGFA/edit?usp=sharing"","&amp;"""ขอนแก่น!R560"")+IMPORTRANGE(""https://docs.google.com/spreadsheets/d/1FvTu2DsIWUjP6WCWra38Bkj_oOl_sOMf14r5Fg5srxU/edit?usp=sharing"",""ชัยภูมิ!R560"")+IMPORTRANGE(""https://docs.google.com/spreadsheets/d/1XVB7oCJ3pr-vBUdflwPQ8Z2LlzhnCvZaaYjAfP-647E/edit"&amp;"?usp=sharing"",""นครพนม!R560"")+IMPORTRANGE(""https://docs.google.com/spreadsheets/d/1Mnpb-8PYAgn85W6KOTD40hc_Xc55CaLfHoGAbrZ8tls/edit?usp=sharing"",""นครราชสีมา!R560"")+IMPORTRANGE(""https://docs.google.com/spreadsheets/d/1xoDLGBv9CYbyosIhki0kTq6IpYNj-gp"&amp;"jxfobnaDiut0/edit?usp=sharing"",""บึงกาฬ!R560"")+IMPORTRANGE(""https://docs.google.com/spreadsheets/d/1MMPq-JyI6DSgQETxuSiXkesP-P7JHuemnE6QJIa-Nlw/edit?usp=sharing"",""บุรีรัมย์!R560"")+IMPORTRANGE(""https://docs.google.com/spreadsheets/d/1l6IZ8xUPgMrESzc"&amp;"TYwhA1k_tPjeQjJPTqlm8Gd9eU5g/edit?usp=sharing"",""มหาสารคาม!R560"")+IMPORTRANGE(""https://docs.google.com/spreadsheets/d/1uB74YLqNjWX6FObjekfB2NtSYigTQyR2rq9u4Ub2Sq4/edit?usp=sharing"",""มุกดาหาร!R560"")+IMPORTRANGE(""https://docs.google.com/spreadsheets/"&amp;"d/1NexK3geCPxCTO1fzNF8dPec7yZyUx3OaWkFBC9HsQOo/edit?usp=sharing"",""ยโสธร!R560"")+IMPORTRANGE(""https://docs.google.com/spreadsheets/d/1v_cJrbBlyqmnHPReHk44g9NrMRdENNlSy_E_c5M9fIg/edit?usp=sharing"",""ร้อยเอ็ด!R560"")+IMPORTRANGE(""https://docs.google.com"&amp;"/spreadsheets/d/1Ul4RCpCX66NxYADU1QpwAPjOmBzW64SsT11s1wzXw_c/edit?usp=sharing"",""เลย!R560"")+IMPORTRANGE(""https://docs.google.com/spreadsheets/d/1bRrNKwbHDVktQG10isr5vbWRtt5spIZPpkOSWgbT5ug/edit?usp=sharing"",""ศรีสะเกษ!R560"")+IMPORTRANGE(""https://doc"&amp;"s.google.com/spreadsheets/d/17P34_Ow5kFBfdQD0qspb2UuPX5zpi6WMrQzslghyvrI/edit?usp=sharing"",""สกลนคร!R560"")+IMPORTRANGE(""https://docs.google.com/spreadsheets/d/1yswqbM3-AEpThF3ZSUa1AcmHnmRTF1vlJ1CZGcJ8YuU/edit?usp=sharing"",""สุรินทร์!R560"")+IMPORTRANG"&amp;"E(""https://docs.google.com/spreadsheets/d/13JHU_EFbsQOUQ0JSQ3dWy1VTRosIWcDq6Nc99z2qzdc/edit?usp=sharing"",""หนองคาย!R560"")+IMPORTRANGE(""https://docs.google.com/spreadsheets/d/1Hx73zIEgVdDZZaYSTc46Dqv64atFhpr3GelxLbaIN8A/edit?usp=sharing"",""หนองบัวลำภู"&amp;"!R560"")+IMPORTRANGE(""https://docs.google.com/spreadsheets/d/1lFxr3ctmjFN90yc-xV6jrQ9Ty8BKYVBWnAZ15wcNIJc/edit?usp=sharing"",""อำนาจเจริญ!R560"")+IMPORTRANGE(""https://docs.google.com/spreadsheets/d/1gF7RJpRnL-1oyjyeWxs5SFWEH7y8ahOZsQlyp2A2e-A/edit?usp=s"&amp;"haring"",""อุดรธานี!R560"")+IMPORTRANGE(""https://docs.google.com/spreadsheets/d/1kfLP0j3INXRa8bTDpcEmoWewMBV61jlFlfzczfjWIgc/edit?usp=sharing"",""อุบลราชธานี!R560"")"),0)</f>
        <v>0</v>
      </c>
      <c r="S560" s="57">
        <f ca="1">IFERROR(__xludf.DUMMYFUNCTION("IMPORTRANGE(""https://docs.google.com/spreadsheets/d/1yhBcrRPreicbMKl9Bu_Snb2-OcQAF62RKfhTLhJ2eAA/edit?usp=sharing"",""กาฬสินธุ์!S560"")+IMPORTRANGE(""https://docs.google.com/spreadsheets/d/1aHkj4IaQMThhwWwevcOymEh837vdxeC_PycurhTbGFA/edit?usp=sharing"","&amp;"""ขอนแก่น!S560"")+IMPORTRANGE(""https://docs.google.com/spreadsheets/d/1FvTu2DsIWUjP6WCWra38Bkj_oOl_sOMf14r5Fg5srxU/edit?usp=sharing"",""ชัยภูมิ!S560"")+IMPORTRANGE(""https://docs.google.com/spreadsheets/d/1XVB7oCJ3pr-vBUdflwPQ8Z2LlzhnCvZaaYjAfP-647E/edit"&amp;"?usp=sharing"",""นครพนม!S560"")+IMPORTRANGE(""https://docs.google.com/spreadsheets/d/1Mnpb-8PYAgn85W6KOTD40hc_Xc55CaLfHoGAbrZ8tls/edit?usp=sharing"",""นครราชสีมา!S560"")+IMPORTRANGE(""https://docs.google.com/spreadsheets/d/1xoDLGBv9CYbyosIhki0kTq6IpYNj-gp"&amp;"jxfobnaDiut0/edit?usp=sharing"",""บึงกาฬ!S560"")+IMPORTRANGE(""https://docs.google.com/spreadsheets/d/1MMPq-JyI6DSgQETxuSiXkesP-P7JHuemnE6QJIa-Nlw/edit?usp=sharing"",""บุรีรัมย์!S560"")+IMPORTRANGE(""https://docs.google.com/spreadsheets/d/1l6IZ8xUPgMrESzc"&amp;"TYwhA1k_tPjeQjJPTqlm8Gd9eU5g/edit?usp=sharing"",""มหาสารคาม!S560"")+IMPORTRANGE(""https://docs.google.com/spreadsheets/d/1uB74YLqNjWX6FObjekfB2NtSYigTQyR2rq9u4Ub2Sq4/edit?usp=sharing"",""มุกดาหาร!S560"")+IMPORTRANGE(""https://docs.google.com/spreadsheets/"&amp;"d/1NexK3geCPxCTO1fzNF8dPec7yZyUx3OaWkFBC9HsQOo/edit?usp=sharing"",""ยโสธร!S560"")+IMPORTRANGE(""https://docs.google.com/spreadsheets/d/1v_cJrbBlyqmnHPReHk44g9NrMRdENNlSy_E_c5M9fIg/edit?usp=sharing"",""ร้อยเอ็ด!S560"")+IMPORTRANGE(""https://docs.google.com"&amp;"/spreadsheets/d/1Ul4RCpCX66NxYADU1QpwAPjOmBzW64SsT11s1wzXw_c/edit?usp=sharing"",""เลย!S560"")+IMPORTRANGE(""https://docs.google.com/spreadsheets/d/1bRrNKwbHDVktQG10isr5vbWRtt5spIZPpkOSWgbT5ug/edit?usp=sharing"",""ศรีสะเกษ!S560"")+IMPORTRANGE(""https://doc"&amp;"s.google.com/spreadsheets/d/17P34_Ow5kFBfdQD0qspb2UuPX5zpi6WMrQzslghyvrI/edit?usp=sharing"",""สกลนคร!S560"")+IMPORTRANGE(""https://docs.google.com/spreadsheets/d/1yswqbM3-AEpThF3ZSUa1AcmHnmRTF1vlJ1CZGcJ8YuU/edit?usp=sharing"",""สุรินทร์!S560"")+IMPORTRANG"&amp;"E(""https://docs.google.com/spreadsheets/d/13JHU_EFbsQOUQ0JSQ3dWy1VTRosIWcDq6Nc99z2qzdc/edit?usp=sharing"",""หนองคาย!S560"")+IMPORTRANGE(""https://docs.google.com/spreadsheets/d/1Hx73zIEgVdDZZaYSTc46Dqv64atFhpr3GelxLbaIN8A/edit?usp=sharing"",""หนองบัวลำภู"&amp;"!S560"")+IMPORTRANGE(""https://docs.google.com/spreadsheets/d/1lFxr3ctmjFN90yc-xV6jrQ9Ty8BKYVBWnAZ15wcNIJc/edit?usp=sharing"",""อำนาจเจริญ!S560"")+IMPORTRANGE(""https://docs.google.com/spreadsheets/d/1gF7RJpRnL-1oyjyeWxs5SFWEH7y8ahOZsQlyp2A2e-A/edit?usp=s"&amp;"haring"",""อุดรธานี!S560"")+IMPORTRANGE(""https://docs.google.com/spreadsheets/d/1kfLP0j3INXRa8bTDpcEmoWewMBV61jlFlfzczfjWIgc/edit?usp=sharing"",""อุบลราชธานี!S560"")"),0)</f>
        <v>0</v>
      </c>
      <c r="T560" s="56">
        <f t="shared" ca="1" si="397"/>
        <v>0</v>
      </c>
      <c r="U560" s="56">
        <f t="shared" ca="1" si="398"/>
        <v>0</v>
      </c>
    </row>
    <row r="561" spans="1:21" ht="18.75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56">
        <f t="shared" ref="L561:N561" ca="1" si="405">L562+L563</f>
        <v>0</v>
      </c>
      <c r="M561" s="56">
        <f t="shared" ca="1" si="405"/>
        <v>0</v>
      </c>
      <c r="N561" s="56">
        <f t="shared" ca="1" si="405"/>
        <v>0</v>
      </c>
      <c r="O561" s="56">
        <f t="shared" ca="1" si="394"/>
        <v>0</v>
      </c>
      <c r="P561" s="56">
        <f t="shared" ca="1" si="395"/>
        <v>0</v>
      </c>
      <c r="Q561" s="56">
        <f t="shared" ref="Q561:S561" ca="1" si="406">Q562+Q563</f>
        <v>0</v>
      </c>
      <c r="R561" s="56">
        <f t="shared" ca="1" si="406"/>
        <v>0</v>
      </c>
      <c r="S561" s="57">
        <f t="shared" ca="1" si="406"/>
        <v>0</v>
      </c>
      <c r="T561" s="56">
        <f t="shared" ca="1" si="397"/>
        <v>0</v>
      </c>
      <c r="U561" s="56">
        <f t="shared" ca="1" si="398"/>
        <v>0</v>
      </c>
    </row>
    <row r="562" spans="1:21" ht="18.75">
      <c r="A562" s="155"/>
      <c r="B562" s="50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59">
        <f ca="1">IFERROR(__xludf.DUMMYFUNCTION("IMPORTRANGE(""https://docs.google.com/spreadsheets/d/1yhBcrRPreicbMKl9Bu_Snb2-OcQAF62RKfhTLhJ2eAA/edit?usp=sharing"",""กาฬสินธุ์!L562"")+IMPORTRANGE(""https://docs.google.com/spreadsheets/d/1aHkj4IaQMThhwWwevcOymEh837vdxeC_PycurhTbGFA/edit?usp=sharing"","&amp;"""ขอนแก่น!L562"")+IMPORTRANGE(""https://docs.google.com/spreadsheets/d/1FvTu2DsIWUjP6WCWra38Bkj_oOl_sOMf14r5Fg5srxU/edit?usp=sharing"",""ชัยภูมิ!L562"")+IMPORTRANGE(""https://docs.google.com/spreadsheets/d/1XVB7oCJ3pr-vBUdflwPQ8Z2LlzhnCvZaaYjAfP-647E/edit"&amp;"?usp=sharing"",""นครพนม!L562"")+IMPORTRANGE(""https://docs.google.com/spreadsheets/d/1Mnpb-8PYAgn85W6KOTD40hc_Xc55CaLfHoGAbrZ8tls/edit?usp=sharing"",""นครราชสีมา!L562"")+IMPORTRANGE(""https://docs.google.com/spreadsheets/d/1xoDLGBv9CYbyosIhki0kTq6IpYNj-gp"&amp;"jxfobnaDiut0/edit?usp=sharing"",""บึงกาฬ!L562"")+IMPORTRANGE(""https://docs.google.com/spreadsheets/d/1MMPq-JyI6DSgQETxuSiXkesP-P7JHuemnE6QJIa-Nlw/edit?usp=sharing"",""บุรีรัมย์!L562"")+IMPORTRANGE(""https://docs.google.com/spreadsheets/d/1l6IZ8xUPgMrESzc"&amp;"TYwhA1k_tPjeQjJPTqlm8Gd9eU5g/edit?usp=sharing"",""มหาสารคาม!L562"")+IMPORTRANGE(""https://docs.google.com/spreadsheets/d/1uB74YLqNjWX6FObjekfB2NtSYigTQyR2rq9u4Ub2Sq4/edit?usp=sharing"",""มุกดาหาร!L562"")+IMPORTRANGE(""https://docs.google.com/spreadsheets/"&amp;"d/1NexK3geCPxCTO1fzNF8dPec7yZyUx3OaWkFBC9HsQOo/edit?usp=sharing"",""ยโสธร!L562"")+IMPORTRANGE(""https://docs.google.com/spreadsheets/d/1v_cJrbBlyqmnHPReHk44g9NrMRdENNlSy_E_c5M9fIg/edit?usp=sharing"",""ร้อยเอ็ด!L562"")+IMPORTRANGE(""https://docs.google.com"&amp;"/spreadsheets/d/1Ul4RCpCX66NxYADU1QpwAPjOmBzW64SsT11s1wzXw_c/edit?usp=sharing"",""เลย!L562"")+IMPORTRANGE(""https://docs.google.com/spreadsheets/d/1bRrNKwbHDVktQG10isr5vbWRtt5spIZPpkOSWgbT5ug/edit?usp=sharing"",""ศรีสะเกษ!L562"")+IMPORTRANGE(""https://doc"&amp;"s.google.com/spreadsheets/d/17P34_Ow5kFBfdQD0qspb2UuPX5zpi6WMrQzslghyvrI/edit?usp=sharing"",""สกลนคร!L562"")+IMPORTRANGE(""https://docs.google.com/spreadsheets/d/1yswqbM3-AEpThF3ZSUa1AcmHnmRTF1vlJ1CZGcJ8YuU/edit?usp=sharing"",""สุรินทร์!L562"")+IMPORTRANG"&amp;"E(""https://docs.google.com/spreadsheets/d/13JHU_EFbsQOUQ0JSQ3dWy1VTRosIWcDq6Nc99z2qzdc/edit?usp=sharing"",""หนองคาย!L562"")+IMPORTRANGE(""https://docs.google.com/spreadsheets/d/1Hx73zIEgVdDZZaYSTc46Dqv64atFhpr3GelxLbaIN8A/edit?usp=sharing"",""หนองบัวลำภู"&amp;"!L562"")+IMPORTRANGE(""https://docs.google.com/spreadsheets/d/1lFxr3ctmjFN90yc-xV6jrQ9Ty8BKYVBWnAZ15wcNIJc/edit?usp=sharing"",""อำนาจเจริญ!L562"")+IMPORTRANGE(""https://docs.google.com/spreadsheets/d/1gF7RJpRnL-1oyjyeWxs5SFWEH7y8ahOZsQlyp2A2e-A/edit?usp=s"&amp;"haring"",""อุดรธานี!L562"")+IMPORTRANGE(""https://docs.google.com/spreadsheets/d/1kfLP0j3INXRa8bTDpcEmoWewMBV61jlFlfzczfjWIgc/edit?usp=sharing"",""อุบลราชธานี!L562"")"),0)</f>
        <v>0</v>
      </c>
      <c r="M562" s="59">
        <f ca="1">IFERROR(__xludf.DUMMYFUNCTION("IMPORTRANGE(""https://docs.google.com/spreadsheets/d/1yhBcrRPreicbMKl9Bu_Snb2-OcQAF62RKfhTLhJ2eAA/edit?usp=sharing"",""กาฬสินธุ์!M562"")+IMPORTRANGE(""https://docs.google.com/spreadsheets/d/1aHkj4IaQMThhwWwevcOymEh837vdxeC_PycurhTbGFA/edit?usp=sharing"","&amp;"""ขอนแก่น!M562"")+IMPORTRANGE(""https://docs.google.com/spreadsheets/d/1FvTu2DsIWUjP6WCWra38Bkj_oOl_sOMf14r5Fg5srxU/edit?usp=sharing"",""ชัยภูมิ!M562"")+IMPORTRANGE(""https://docs.google.com/spreadsheets/d/1XVB7oCJ3pr-vBUdflwPQ8Z2LlzhnCvZaaYjAfP-647E/edit"&amp;"?usp=sharing"",""นครพนม!M562"")+IMPORTRANGE(""https://docs.google.com/spreadsheets/d/1Mnpb-8PYAgn85W6KOTD40hc_Xc55CaLfHoGAbrZ8tls/edit?usp=sharing"",""นครราชสีมา!M562"")+IMPORTRANGE(""https://docs.google.com/spreadsheets/d/1xoDLGBv9CYbyosIhki0kTq6IpYNj-gp"&amp;"jxfobnaDiut0/edit?usp=sharing"",""บึงกาฬ!M562"")+IMPORTRANGE(""https://docs.google.com/spreadsheets/d/1MMPq-JyI6DSgQETxuSiXkesP-P7JHuemnE6QJIa-Nlw/edit?usp=sharing"",""บุรีรัมย์!M562"")+IMPORTRANGE(""https://docs.google.com/spreadsheets/d/1l6IZ8xUPgMrESzc"&amp;"TYwhA1k_tPjeQjJPTqlm8Gd9eU5g/edit?usp=sharing"",""มหาสารคาม!M562"")+IMPORTRANGE(""https://docs.google.com/spreadsheets/d/1uB74YLqNjWX6FObjekfB2NtSYigTQyR2rq9u4Ub2Sq4/edit?usp=sharing"",""มุกดาหาร!M562"")+IMPORTRANGE(""https://docs.google.com/spreadsheets/"&amp;"d/1NexK3geCPxCTO1fzNF8dPec7yZyUx3OaWkFBC9HsQOo/edit?usp=sharing"",""ยโสธร!M562"")+IMPORTRANGE(""https://docs.google.com/spreadsheets/d/1v_cJrbBlyqmnHPReHk44g9NrMRdENNlSy_E_c5M9fIg/edit?usp=sharing"",""ร้อยเอ็ด!M562"")+IMPORTRANGE(""https://docs.google.com"&amp;"/spreadsheets/d/1Ul4RCpCX66NxYADU1QpwAPjOmBzW64SsT11s1wzXw_c/edit?usp=sharing"",""เลย!M562"")+IMPORTRANGE(""https://docs.google.com/spreadsheets/d/1bRrNKwbHDVktQG10isr5vbWRtt5spIZPpkOSWgbT5ug/edit?usp=sharing"",""ศรีสะเกษ!M562"")+IMPORTRANGE(""https://doc"&amp;"s.google.com/spreadsheets/d/17P34_Ow5kFBfdQD0qspb2UuPX5zpi6WMrQzslghyvrI/edit?usp=sharing"",""สกลนคร!M562"")+IMPORTRANGE(""https://docs.google.com/spreadsheets/d/1yswqbM3-AEpThF3ZSUa1AcmHnmRTF1vlJ1CZGcJ8YuU/edit?usp=sharing"",""สุรินทร์!M562"")+IMPORTRANG"&amp;"E(""https://docs.google.com/spreadsheets/d/13JHU_EFbsQOUQ0JSQ3dWy1VTRosIWcDq6Nc99z2qzdc/edit?usp=sharing"",""หนองคาย!M562"")+IMPORTRANGE(""https://docs.google.com/spreadsheets/d/1Hx73zIEgVdDZZaYSTc46Dqv64atFhpr3GelxLbaIN8A/edit?usp=sharing"",""หนองบัวลำภู"&amp;"!M562"")+IMPORTRANGE(""https://docs.google.com/spreadsheets/d/1lFxr3ctmjFN90yc-xV6jrQ9Ty8BKYVBWnAZ15wcNIJc/edit?usp=sharing"",""อำนาจเจริญ!M562"")+IMPORTRANGE(""https://docs.google.com/spreadsheets/d/1gF7RJpRnL-1oyjyeWxs5SFWEH7y8ahOZsQlyp2A2e-A/edit?usp=s"&amp;"haring"",""อุดรธานี!M562"")+IMPORTRANGE(""https://docs.google.com/spreadsheets/d/1kfLP0j3INXRa8bTDpcEmoWewMBV61jlFlfzczfjWIgc/edit?usp=sharing"",""อุบลราชธานี!M562"")"),0)</f>
        <v>0</v>
      </c>
      <c r="N562" s="59">
        <f ca="1">IFERROR(__xludf.DUMMYFUNCTION("IMPORTRANGE(""https://docs.google.com/spreadsheets/d/1yhBcrRPreicbMKl9Bu_Snb2-OcQAF62RKfhTLhJ2eAA/edit?usp=sharing"",""กาฬสินธุ์!N562"")+IMPORTRANGE(""https://docs.google.com/spreadsheets/d/1aHkj4IaQMThhwWwevcOymEh837vdxeC_PycurhTbGFA/edit?usp=sharing"","&amp;"""ขอนแก่น!N562"")+IMPORTRANGE(""https://docs.google.com/spreadsheets/d/1FvTu2DsIWUjP6WCWra38Bkj_oOl_sOMf14r5Fg5srxU/edit?usp=sharing"",""ชัยภูมิ!N562"")+IMPORTRANGE(""https://docs.google.com/spreadsheets/d/1XVB7oCJ3pr-vBUdflwPQ8Z2LlzhnCvZaaYjAfP-647E/edit"&amp;"?usp=sharing"",""นครพนม!N562"")+IMPORTRANGE(""https://docs.google.com/spreadsheets/d/1Mnpb-8PYAgn85W6KOTD40hc_Xc55CaLfHoGAbrZ8tls/edit?usp=sharing"",""นครราชสีมา!N562"")+IMPORTRANGE(""https://docs.google.com/spreadsheets/d/1xoDLGBv9CYbyosIhki0kTq6IpYNj-gp"&amp;"jxfobnaDiut0/edit?usp=sharing"",""บึงกาฬ!N562"")+IMPORTRANGE(""https://docs.google.com/spreadsheets/d/1MMPq-JyI6DSgQETxuSiXkesP-P7JHuemnE6QJIa-Nlw/edit?usp=sharing"",""บุรีรัมย์!N562"")+IMPORTRANGE(""https://docs.google.com/spreadsheets/d/1l6IZ8xUPgMrESzc"&amp;"TYwhA1k_tPjeQjJPTqlm8Gd9eU5g/edit?usp=sharing"",""มหาสารคาม!N562"")+IMPORTRANGE(""https://docs.google.com/spreadsheets/d/1uB74YLqNjWX6FObjekfB2NtSYigTQyR2rq9u4Ub2Sq4/edit?usp=sharing"",""มุกดาหาร!N562"")+IMPORTRANGE(""https://docs.google.com/spreadsheets/"&amp;"d/1NexK3geCPxCTO1fzNF8dPec7yZyUx3OaWkFBC9HsQOo/edit?usp=sharing"",""ยโสธร!N562"")+IMPORTRANGE(""https://docs.google.com/spreadsheets/d/1v_cJrbBlyqmnHPReHk44g9NrMRdENNlSy_E_c5M9fIg/edit?usp=sharing"",""ร้อยเอ็ด!N562"")+IMPORTRANGE(""https://docs.google.com"&amp;"/spreadsheets/d/1Ul4RCpCX66NxYADU1QpwAPjOmBzW64SsT11s1wzXw_c/edit?usp=sharing"",""เลย!N562"")+IMPORTRANGE(""https://docs.google.com/spreadsheets/d/1bRrNKwbHDVktQG10isr5vbWRtt5spIZPpkOSWgbT5ug/edit?usp=sharing"",""ศรีสะเกษ!N562"")+IMPORTRANGE(""https://doc"&amp;"s.google.com/spreadsheets/d/17P34_Ow5kFBfdQD0qspb2UuPX5zpi6WMrQzslghyvrI/edit?usp=sharing"",""สกลนคร!N562"")+IMPORTRANGE(""https://docs.google.com/spreadsheets/d/1yswqbM3-AEpThF3ZSUa1AcmHnmRTF1vlJ1CZGcJ8YuU/edit?usp=sharing"",""สุรินทร์!N562"")+IMPORTRANG"&amp;"E(""https://docs.google.com/spreadsheets/d/13JHU_EFbsQOUQ0JSQ3dWy1VTRosIWcDq6Nc99z2qzdc/edit?usp=sharing"",""หนองคาย!N562"")+IMPORTRANGE(""https://docs.google.com/spreadsheets/d/1Hx73zIEgVdDZZaYSTc46Dqv64atFhpr3GelxLbaIN8A/edit?usp=sharing"",""หนองบัวลำภู"&amp;"!N562"")+IMPORTRANGE(""https://docs.google.com/spreadsheets/d/1lFxr3ctmjFN90yc-xV6jrQ9Ty8BKYVBWnAZ15wcNIJc/edit?usp=sharing"",""อำนาจเจริญ!N562"")+IMPORTRANGE(""https://docs.google.com/spreadsheets/d/1gF7RJpRnL-1oyjyeWxs5SFWEH7y8ahOZsQlyp2A2e-A/edit?usp=s"&amp;"haring"",""อุดรธานี!N562"")+IMPORTRANGE(""https://docs.google.com/spreadsheets/d/1kfLP0j3INXRa8bTDpcEmoWewMBV61jlFlfzczfjWIgc/edit?usp=sharing"",""อุบลราชธานี!N562"")"),0)</f>
        <v>0</v>
      </c>
      <c r="O562" s="59">
        <f t="shared" ca="1" si="394"/>
        <v>0</v>
      </c>
      <c r="P562" s="59">
        <f t="shared" ca="1" si="395"/>
        <v>0</v>
      </c>
      <c r="Q562" s="59">
        <f ca="1">IFERROR(__xludf.DUMMYFUNCTION("IMPORTRANGE(""https://docs.google.com/spreadsheets/d/1yhBcrRPreicbMKl9Bu_Snb2-OcQAF62RKfhTLhJ2eAA/edit?usp=sharing"",""กาฬสินธุ์!Q562"")+IMPORTRANGE(""https://docs.google.com/spreadsheets/d/1aHkj4IaQMThhwWwevcOymEh837vdxeC_PycurhTbGFA/edit?usp=sharing"","&amp;"""ขอนแก่น!Q562"")+IMPORTRANGE(""https://docs.google.com/spreadsheets/d/1FvTu2DsIWUjP6WCWra38Bkj_oOl_sOMf14r5Fg5srxU/edit?usp=sharing"",""ชัยภูมิ!Q562"")+IMPORTRANGE(""https://docs.google.com/spreadsheets/d/1XVB7oCJ3pr-vBUdflwPQ8Z2LlzhnCvZaaYjAfP-647E/edit"&amp;"?usp=sharing"",""นครพนม!Q562"")+IMPORTRANGE(""https://docs.google.com/spreadsheets/d/1Mnpb-8PYAgn85W6KOTD40hc_Xc55CaLfHoGAbrZ8tls/edit?usp=sharing"",""นครราชสีมา!Q562"")+IMPORTRANGE(""https://docs.google.com/spreadsheets/d/1xoDLGBv9CYbyosIhki0kTq6IpYNj-gp"&amp;"jxfobnaDiut0/edit?usp=sharing"",""บึงกาฬ!Q562"")+IMPORTRANGE(""https://docs.google.com/spreadsheets/d/1MMPq-JyI6DSgQETxuSiXkesP-P7JHuemnE6QJIa-Nlw/edit?usp=sharing"",""บุรีรัมย์!Q562"")+IMPORTRANGE(""https://docs.google.com/spreadsheets/d/1l6IZ8xUPgMrESzc"&amp;"TYwhA1k_tPjeQjJPTqlm8Gd9eU5g/edit?usp=sharing"",""มหาสารคาม!Q562"")+IMPORTRANGE(""https://docs.google.com/spreadsheets/d/1uB74YLqNjWX6FObjekfB2NtSYigTQyR2rq9u4Ub2Sq4/edit?usp=sharing"",""มุกดาหาร!Q562"")+IMPORTRANGE(""https://docs.google.com/spreadsheets/"&amp;"d/1NexK3geCPxCTO1fzNF8dPec7yZyUx3OaWkFBC9HsQOo/edit?usp=sharing"",""ยโสธร!Q562"")+IMPORTRANGE(""https://docs.google.com/spreadsheets/d/1v_cJrbBlyqmnHPReHk44g9NrMRdENNlSy_E_c5M9fIg/edit?usp=sharing"",""ร้อยเอ็ด!Q562"")+IMPORTRANGE(""https://docs.google.com"&amp;"/spreadsheets/d/1Ul4RCpCX66NxYADU1QpwAPjOmBzW64SsT11s1wzXw_c/edit?usp=sharing"",""เลย!Q562"")+IMPORTRANGE(""https://docs.google.com/spreadsheets/d/1bRrNKwbHDVktQG10isr5vbWRtt5spIZPpkOSWgbT5ug/edit?usp=sharing"",""ศรีสะเกษ!Q562"")+IMPORTRANGE(""https://doc"&amp;"s.google.com/spreadsheets/d/17P34_Ow5kFBfdQD0qspb2UuPX5zpi6WMrQzslghyvrI/edit?usp=sharing"",""สกลนคร!Q562"")+IMPORTRANGE(""https://docs.google.com/spreadsheets/d/1yswqbM3-AEpThF3ZSUa1AcmHnmRTF1vlJ1CZGcJ8YuU/edit?usp=sharing"",""สุรินทร์!Q562"")+IMPORTRANG"&amp;"E(""https://docs.google.com/spreadsheets/d/13JHU_EFbsQOUQ0JSQ3dWy1VTRosIWcDq6Nc99z2qzdc/edit?usp=sharing"",""หนองคาย!Q562"")+IMPORTRANGE(""https://docs.google.com/spreadsheets/d/1Hx73zIEgVdDZZaYSTc46Dqv64atFhpr3GelxLbaIN8A/edit?usp=sharing"",""หนองบัวลำภู"&amp;"!Q562"")+IMPORTRANGE(""https://docs.google.com/spreadsheets/d/1lFxr3ctmjFN90yc-xV6jrQ9Ty8BKYVBWnAZ15wcNIJc/edit?usp=sharing"",""อำนาจเจริญ!Q562"")+IMPORTRANGE(""https://docs.google.com/spreadsheets/d/1gF7RJpRnL-1oyjyeWxs5SFWEH7y8ahOZsQlyp2A2e-A/edit?usp=s"&amp;"haring"",""อุดรธานี!Q562"")+IMPORTRANGE(""https://docs.google.com/spreadsheets/d/1kfLP0j3INXRa8bTDpcEmoWewMBV61jlFlfzczfjWIgc/edit?usp=sharing"",""อุบลราชธานี!Q562"")"),0)</f>
        <v>0</v>
      </c>
      <c r="R562" s="59">
        <f ca="1">IFERROR(__xludf.DUMMYFUNCTION("IMPORTRANGE(""https://docs.google.com/spreadsheets/d/1yhBcrRPreicbMKl9Bu_Snb2-OcQAF62RKfhTLhJ2eAA/edit?usp=sharing"",""กาฬสินธุ์!R562"")+IMPORTRANGE(""https://docs.google.com/spreadsheets/d/1aHkj4IaQMThhwWwevcOymEh837vdxeC_PycurhTbGFA/edit?usp=sharing"","&amp;"""ขอนแก่น!R562"")+IMPORTRANGE(""https://docs.google.com/spreadsheets/d/1FvTu2DsIWUjP6WCWra38Bkj_oOl_sOMf14r5Fg5srxU/edit?usp=sharing"",""ชัยภูมิ!R562"")+IMPORTRANGE(""https://docs.google.com/spreadsheets/d/1XVB7oCJ3pr-vBUdflwPQ8Z2LlzhnCvZaaYjAfP-647E/edit"&amp;"?usp=sharing"",""นครพนม!R562"")+IMPORTRANGE(""https://docs.google.com/spreadsheets/d/1Mnpb-8PYAgn85W6KOTD40hc_Xc55CaLfHoGAbrZ8tls/edit?usp=sharing"",""นครราชสีมา!R562"")+IMPORTRANGE(""https://docs.google.com/spreadsheets/d/1xoDLGBv9CYbyosIhki0kTq6IpYNj-gp"&amp;"jxfobnaDiut0/edit?usp=sharing"",""บึงกาฬ!R562"")+IMPORTRANGE(""https://docs.google.com/spreadsheets/d/1MMPq-JyI6DSgQETxuSiXkesP-P7JHuemnE6QJIa-Nlw/edit?usp=sharing"",""บุรีรัมย์!R562"")+IMPORTRANGE(""https://docs.google.com/spreadsheets/d/1l6IZ8xUPgMrESzc"&amp;"TYwhA1k_tPjeQjJPTqlm8Gd9eU5g/edit?usp=sharing"",""มหาสารคาม!R562"")+IMPORTRANGE(""https://docs.google.com/spreadsheets/d/1uB74YLqNjWX6FObjekfB2NtSYigTQyR2rq9u4Ub2Sq4/edit?usp=sharing"",""มุกดาหาร!R562"")+IMPORTRANGE(""https://docs.google.com/spreadsheets/"&amp;"d/1NexK3geCPxCTO1fzNF8dPec7yZyUx3OaWkFBC9HsQOo/edit?usp=sharing"",""ยโสธร!R562"")+IMPORTRANGE(""https://docs.google.com/spreadsheets/d/1v_cJrbBlyqmnHPReHk44g9NrMRdENNlSy_E_c5M9fIg/edit?usp=sharing"",""ร้อยเอ็ด!R562"")+IMPORTRANGE(""https://docs.google.com"&amp;"/spreadsheets/d/1Ul4RCpCX66NxYADU1QpwAPjOmBzW64SsT11s1wzXw_c/edit?usp=sharing"",""เลย!R562"")+IMPORTRANGE(""https://docs.google.com/spreadsheets/d/1bRrNKwbHDVktQG10isr5vbWRtt5spIZPpkOSWgbT5ug/edit?usp=sharing"",""ศรีสะเกษ!R562"")+IMPORTRANGE(""https://doc"&amp;"s.google.com/spreadsheets/d/17P34_Ow5kFBfdQD0qspb2UuPX5zpi6WMrQzslghyvrI/edit?usp=sharing"",""สกลนคร!R562"")+IMPORTRANGE(""https://docs.google.com/spreadsheets/d/1yswqbM3-AEpThF3ZSUa1AcmHnmRTF1vlJ1CZGcJ8YuU/edit?usp=sharing"",""สุรินทร์!R562"")+IMPORTRANG"&amp;"E(""https://docs.google.com/spreadsheets/d/13JHU_EFbsQOUQ0JSQ3dWy1VTRosIWcDq6Nc99z2qzdc/edit?usp=sharing"",""หนองคาย!R562"")+IMPORTRANGE(""https://docs.google.com/spreadsheets/d/1Hx73zIEgVdDZZaYSTc46Dqv64atFhpr3GelxLbaIN8A/edit?usp=sharing"",""หนองบัวลำภู"&amp;"!R562"")+IMPORTRANGE(""https://docs.google.com/spreadsheets/d/1lFxr3ctmjFN90yc-xV6jrQ9Ty8BKYVBWnAZ15wcNIJc/edit?usp=sharing"",""อำนาจเจริญ!R562"")+IMPORTRANGE(""https://docs.google.com/spreadsheets/d/1gF7RJpRnL-1oyjyeWxs5SFWEH7y8ahOZsQlyp2A2e-A/edit?usp=s"&amp;"haring"",""อุดรธานี!R562"")+IMPORTRANGE(""https://docs.google.com/spreadsheets/d/1kfLP0j3INXRa8bTDpcEmoWewMBV61jlFlfzczfjWIgc/edit?usp=sharing"",""อุบลราชธานี!R562"")"),0)</f>
        <v>0</v>
      </c>
      <c r="S562" s="60">
        <f ca="1">IFERROR(__xludf.DUMMYFUNCTION("IMPORTRANGE(""https://docs.google.com/spreadsheets/d/1yhBcrRPreicbMKl9Bu_Snb2-OcQAF62RKfhTLhJ2eAA/edit?usp=sharing"",""กาฬสินธุ์!S562"")+IMPORTRANGE(""https://docs.google.com/spreadsheets/d/1aHkj4IaQMThhwWwevcOymEh837vdxeC_PycurhTbGFA/edit?usp=sharing"","&amp;"""ขอนแก่น!S562"")+IMPORTRANGE(""https://docs.google.com/spreadsheets/d/1FvTu2DsIWUjP6WCWra38Bkj_oOl_sOMf14r5Fg5srxU/edit?usp=sharing"",""ชัยภูมิ!S562"")+IMPORTRANGE(""https://docs.google.com/spreadsheets/d/1XVB7oCJ3pr-vBUdflwPQ8Z2LlzhnCvZaaYjAfP-647E/edit"&amp;"?usp=sharing"",""นครพนม!S562"")+IMPORTRANGE(""https://docs.google.com/spreadsheets/d/1Mnpb-8PYAgn85W6KOTD40hc_Xc55CaLfHoGAbrZ8tls/edit?usp=sharing"",""นครราชสีมา!S562"")+IMPORTRANGE(""https://docs.google.com/spreadsheets/d/1xoDLGBv9CYbyosIhki0kTq6IpYNj-gp"&amp;"jxfobnaDiut0/edit?usp=sharing"",""บึงกาฬ!S562"")+IMPORTRANGE(""https://docs.google.com/spreadsheets/d/1MMPq-JyI6DSgQETxuSiXkesP-P7JHuemnE6QJIa-Nlw/edit?usp=sharing"",""บุรีรัมย์!S562"")+IMPORTRANGE(""https://docs.google.com/spreadsheets/d/1l6IZ8xUPgMrESzc"&amp;"TYwhA1k_tPjeQjJPTqlm8Gd9eU5g/edit?usp=sharing"",""มหาสารคาม!S562"")+IMPORTRANGE(""https://docs.google.com/spreadsheets/d/1uB74YLqNjWX6FObjekfB2NtSYigTQyR2rq9u4Ub2Sq4/edit?usp=sharing"",""มุกดาหาร!S562"")+IMPORTRANGE(""https://docs.google.com/spreadsheets/"&amp;"d/1NexK3geCPxCTO1fzNF8dPec7yZyUx3OaWkFBC9HsQOo/edit?usp=sharing"",""ยโสธร!S562"")+IMPORTRANGE(""https://docs.google.com/spreadsheets/d/1v_cJrbBlyqmnHPReHk44g9NrMRdENNlSy_E_c5M9fIg/edit?usp=sharing"",""ร้อยเอ็ด!S562"")+IMPORTRANGE(""https://docs.google.com"&amp;"/spreadsheets/d/1Ul4RCpCX66NxYADU1QpwAPjOmBzW64SsT11s1wzXw_c/edit?usp=sharing"",""เลย!S562"")+IMPORTRANGE(""https://docs.google.com/spreadsheets/d/1bRrNKwbHDVktQG10isr5vbWRtt5spIZPpkOSWgbT5ug/edit?usp=sharing"",""ศรีสะเกษ!S562"")+IMPORTRANGE(""https://doc"&amp;"s.google.com/spreadsheets/d/17P34_Ow5kFBfdQD0qspb2UuPX5zpi6WMrQzslghyvrI/edit?usp=sharing"",""สกลนคร!S562"")+IMPORTRANGE(""https://docs.google.com/spreadsheets/d/1yswqbM3-AEpThF3ZSUa1AcmHnmRTF1vlJ1CZGcJ8YuU/edit?usp=sharing"",""สุรินทร์!S562"")+IMPORTRANG"&amp;"E(""https://docs.google.com/spreadsheets/d/13JHU_EFbsQOUQ0JSQ3dWy1VTRosIWcDq6Nc99z2qzdc/edit?usp=sharing"",""หนองคาย!S562"")+IMPORTRANGE(""https://docs.google.com/spreadsheets/d/1Hx73zIEgVdDZZaYSTc46Dqv64atFhpr3GelxLbaIN8A/edit?usp=sharing"",""หนองบัวลำภู"&amp;"!S562"")+IMPORTRANGE(""https://docs.google.com/spreadsheets/d/1lFxr3ctmjFN90yc-xV6jrQ9Ty8BKYVBWnAZ15wcNIJc/edit?usp=sharing"",""อำนาจเจริญ!S562"")+IMPORTRANGE(""https://docs.google.com/spreadsheets/d/1gF7RJpRnL-1oyjyeWxs5SFWEH7y8ahOZsQlyp2A2e-A/edit?usp=s"&amp;"haring"",""อุดรธานี!S562"")+IMPORTRANGE(""https://docs.google.com/spreadsheets/d/1kfLP0j3INXRa8bTDpcEmoWewMBV61jlFlfzczfjWIgc/edit?usp=sharing"",""อุบลราชธานี!S562"")"),0)</f>
        <v>0</v>
      </c>
      <c r="T562" s="59">
        <f t="shared" ca="1" si="397"/>
        <v>0</v>
      </c>
      <c r="U562" s="59">
        <f t="shared" ca="1" si="398"/>
        <v>0</v>
      </c>
    </row>
    <row r="563" spans="1:21" ht="18.75">
      <c r="A563" s="155"/>
      <c r="B563" s="50"/>
      <c r="C563" s="50"/>
      <c r="D563" s="50"/>
      <c r="E563" s="58" t="s">
        <v>21</v>
      </c>
      <c r="F563" s="50"/>
      <c r="G563" s="52"/>
      <c r="H563" s="165" t="s">
        <v>14</v>
      </c>
      <c r="I563" s="163"/>
      <c r="J563" s="163"/>
      <c r="K563" s="164"/>
      <c r="L563" s="56">
        <f ca="1">IFERROR(__xludf.DUMMYFUNCTION("IMPORTRANGE(""https://docs.google.com/spreadsheets/d/1yhBcrRPreicbMKl9Bu_Snb2-OcQAF62RKfhTLhJ2eAA/edit?usp=sharing"",""กาฬสินธุ์!L563"")+IMPORTRANGE(""https://docs.google.com/spreadsheets/d/1aHkj4IaQMThhwWwevcOymEh837vdxeC_PycurhTbGFA/edit?usp=sharing"","&amp;"""ขอนแก่น!L563"")+IMPORTRANGE(""https://docs.google.com/spreadsheets/d/1FvTu2DsIWUjP6WCWra38Bkj_oOl_sOMf14r5Fg5srxU/edit?usp=sharing"",""ชัยภูมิ!L563"")+IMPORTRANGE(""https://docs.google.com/spreadsheets/d/1XVB7oCJ3pr-vBUdflwPQ8Z2LlzhnCvZaaYjAfP-647E/edit"&amp;"?usp=sharing"",""นครพนม!L563"")+IMPORTRANGE(""https://docs.google.com/spreadsheets/d/1Mnpb-8PYAgn85W6KOTD40hc_Xc55CaLfHoGAbrZ8tls/edit?usp=sharing"",""นครราชสีมา!L563"")+IMPORTRANGE(""https://docs.google.com/spreadsheets/d/1xoDLGBv9CYbyosIhki0kTq6IpYNj-gp"&amp;"jxfobnaDiut0/edit?usp=sharing"",""บึงกาฬ!L563"")+IMPORTRANGE(""https://docs.google.com/spreadsheets/d/1MMPq-JyI6DSgQETxuSiXkesP-P7JHuemnE6QJIa-Nlw/edit?usp=sharing"",""บุรีรัมย์!L563"")+IMPORTRANGE(""https://docs.google.com/spreadsheets/d/1l6IZ8xUPgMrESzc"&amp;"TYwhA1k_tPjeQjJPTqlm8Gd9eU5g/edit?usp=sharing"",""มหาสารคาม!L563"")+IMPORTRANGE(""https://docs.google.com/spreadsheets/d/1uB74YLqNjWX6FObjekfB2NtSYigTQyR2rq9u4Ub2Sq4/edit?usp=sharing"",""มุกดาหาร!L563"")+IMPORTRANGE(""https://docs.google.com/spreadsheets/"&amp;"d/1NexK3geCPxCTO1fzNF8dPec7yZyUx3OaWkFBC9HsQOo/edit?usp=sharing"",""ยโสธร!L563"")+IMPORTRANGE(""https://docs.google.com/spreadsheets/d/1v_cJrbBlyqmnHPReHk44g9NrMRdENNlSy_E_c5M9fIg/edit?usp=sharing"",""ร้อยเอ็ด!L563"")+IMPORTRANGE(""https://docs.google.com"&amp;"/spreadsheets/d/1Ul4RCpCX66NxYADU1QpwAPjOmBzW64SsT11s1wzXw_c/edit?usp=sharing"",""เลย!L563"")+IMPORTRANGE(""https://docs.google.com/spreadsheets/d/1bRrNKwbHDVktQG10isr5vbWRtt5spIZPpkOSWgbT5ug/edit?usp=sharing"",""ศรีสะเกษ!L563"")+IMPORTRANGE(""https://doc"&amp;"s.google.com/spreadsheets/d/17P34_Ow5kFBfdQD0qspb2UuPX5zpi6WMrQzslghyvrI/edit?usp=sharing"",""สกลนคร!L563"")+IMPORTRANGE(""https://docs.google.com/spreadsheets/d/1yswqbM3-AEpThF3ZSUa1AcmHnmRTF1vlJ1CZGcJ8YuU/edit?usp=sharing"",""สุรินทร์!L563"")+IMPORTRANG"&amp;"E(""https://docs.google.com/spreadsheets/d/13JHU_EFbsQOUQ0JSQ3dWy1VTRosIWcDq6Nc99z2qzdc/edit?usp=sharing"",""หนองคาย!L563"")+IMPORTRANGE(""https://docs.google.com/spreadsheets/d/1Hx73zIEgVdDZZaYSTc46Dqv64atFhpr3GelxLbaIN8A/edit?usp=sharing"",""หนองบัวลำภู"&amp;"!L563"")+IMPORTRANGE(""https://docs.google.com/spreadsheets/d/1lFxr3ctmjFN90yc-xV6jrQ9Ty8BKYVBWnAZ15wcNIJc/edit?usp=sharing"",""อำนาจเจริญ!L563"")+IMPORTRANGE(""https://docs.google.com/spreadsheets/d/1gF7RJpRnL-1oyjyeWxs5SFWEH7y8ahOZsQlyp2A2e-A/edit?usp=s"&amp;"haring"",""อุดรธานี!L563"")+IMPORTRANGE(""https://docs.google.com/spreadsheets/d/1kfLP0j3INXRa8bTDpcEmoWewMBV61jlFlfzczfjWIgc/edit?usp=sharing"",""อุบลราชธานี!L563"")"),0)</f>
        <v>0</v>
      </c>
      <c r="M563" s="56">
        <f ca="1">IFERROR(__xludf.DUMMYFUNCTION("IMPORTRANGE(""https://docs.google.com/spreadsheets/d/1yhBcrRPreicbMKl9Bu_Snb2-OcQAF62RKfhTLhJ2eAA/edit?usp=sharing"",""กาฬสินธุ์!M563"")+IMPORTRANGE(""https://docs.google.com/spreadsheets/d/1aHkj4IaQMThhwWwevcOymEh837vdxeC_PycurhTbGFA/edit?usp=sharing"","&amp;"""ขอนแก่น!M563"")+IMPORTRANGE(""https://docs.google.com/spreadsheets/d/1FvTu2DsIWUjP6WCWra38Bkj_oOl_sOMf14r5Fg5srxU/edit?usp=sharing"",""ชัยภูมิ!M563"")+IMPORTRANGE(""https://docs.google.com/spreadsheets/d/1XVB7oCJ3pr-vBUdflwPQ8Z2LlzhnCvZaaYjAfP-647E/edit"&amp;"?usp=sharing"",""นครพนม!M563"")+IMPORTRANGE(""https://docs.google.com/spreadsheets/d/1Mnpb-8PYAgn85W6KOTD40hc_Xc55CaLfHoGAbrZ8tls/edit?usp=sharing"",""นครราชสีมา!M563"")+IMPORTRANGE(""https://docs.google.com/spreadsheets/d/1xoDLGBv9CYbyosIhki0kTq6IpYNj-gp"&amp;"jxfobnaDiut0/edit?usp=sharing"",""บึงกาฬ!M563"")+IMPORTRANGE(""https://docs.google.com/spreadsheets/d/1MMPq-JyI6DSgQETxuSiXkesP-P7JHuemnE6QJIa-Nlw/edit?usp=sharing"",""บุรีรัมย์!M563"")+IMPORTRANGE(""https://docs.google.com/spreadsheets/d/1l6IZ8xUPgMrESzc"&amp;"TYwhA1k_tPjeQjJPTqlm8Gd9eU5g/edit?usp=sharing"",""มหาสารคาม!M563"")+IMPORTRANGE(""https://docs.google.com/spreadsheets/d/1uB74YLqNjWX6FObjekfB2NtSYigTQyR2rq9u4Ub2Sq4/edit?usp=sharing"",""มุกดาหาร!M563"")+IMPORTRANGE(""https://docs.google.com/spreadsheets/"&amp;"d/1NexK3geCPxCTO1fzNF8dPec7yZyUx3OaWkFBC9HsQOo/edit?usp=sharing"",""ยโสธร!M563"")+IMPORTRANGE(""https://docs.google.com/spreadsheets/d/1v_cJrbBlyqmnHPReHk44g9NrMRdENNlSy_E_c5M9fIg/edit?usp=sharing"",""ร้อยเอ็ด!M563"")+IMPORTRANGE(""https://docs.google.com"&amp;"/spreadsheets/d/1Ul4RCpCX66NxYADU1QpwAPjOmBzW64SsT11s1wzXw_c/edit?usp=sharing"",""เลย!M563"")+IMPORTRANGE(""https://docs.google.com/spreadsheets/d/1bRrNKwbHDVktQG10isr5vbWRtt5spIZPpkOSWgbT5ug/edit?usp=sharing"",""ศรีสะเกษ!M563"")+IMPORTRANGE(""https://doc"&amp;"s.google.com/spreadsheets/d/17P34_Ow5kFBfdQD0qspb2UuPX5zpi6WMrQzslghyvrI/edit?usp=sharing"",""สกลนคร!M563"")+IMPORTRANGE(""https://docs.google.com/spreadsheets/d/1yswqbM3-AEpThF3ZSUa1AcmHnmRTF1vlJ1CZGcJ8YuU/edit?usp=sharing"",""สุรินทร์!M563"")+IMPORTRANG"&amp;"E(""https://docs.google.com/spreadsheets/d/13JHU_EFbsQOUQ0JSQ3dWy1VTRosIWcDq6Nc99z2qzdc/edit?usp=sharing"",""หนองคาย!M563"")+IMPORTRANGE(""https://docs.google.com/spreadsheets/d/1Hx73zIEgVdDZZaYSTc46Dqv64atFhpr3GelxLbaIN8A/edit?usp=sharing"",""หนองบัวลำภู"&amp;"!M563"")+IMPORTRANGE(""https://docs.google.com/spreadsheets/d/1lFxr3ctmjFN90yc-xV6jrQ9Ty8BKYVBWnAZ15wcNIJc/edit?usp=sharing"",""อำนาจเจริญ!M563"")+IMPORTRANGE(""https://docs.google.com/spreadsheets/d/1gF7RJpRnL-1oyjyeWxs5SFWEH7y8ahOZsQlyp2A2e-A/edit?usp=s"&amp;"haring"",""อุดรธานี!M563"")+IMPORTRANGE(""https://docs.google.com/spreadsheets/d/1kfLP0j3INXRa8bTDpcEmoWewMBV61jlFlfzczfjWIgc/edit?usp=sharing"",""อุบลราชธานี!M563"")"),0)</f>
        <v>0</v>
      </c>
      <c r="N563" s="56">
        <f ca="1">IFERROR(__xludf.DUMMYFUNCTION("IMPORTRANGE(""https://docs.google.com/spreadsheets/d/1yhBcrRPreicbMKl9Bu_Snb2-OcQAF62RKfhTLhJ2eAA/edit?usp=sharing"",""กาฬสินธุ์!N563"")+IMPORTRANGE(""https://docs.google.com/spreadsheets/d/1aHkj4IaQMThhwWwevcOymEh837vdxeC_PycurhTbGFA/edit?usp=sharing"","&amp;"""ขอนแก่น!N563"")+IMPORTRANGE(""https://docs.google.com/spreadsheets/d/1FvTu2DsIWUjP6WCWra38Bkj_oOl_sOMf14r5Fg5srxU/edit?usp=sharing"",""ชัยภูมิ!N563"")+IMPORTRANGE(""https://docs.google.com/spreadsheets/d/1XVB7oCJ3pr-vBUdflwPQ8Z2LlzhnCvZaaYjAfP-647E/edit"&amp;"?usp=sharing"",""นครพนม!N563"")+IMPORTRANGE(""https://docs.google.com/spreadsheets/d/1Mnpb-8PYAgn85W6KOTD40hc_Xc55CaLfHoGAbrZ8tls/edit?usp=sharing"",""นครราชสีมา!N563"")+IMPORTRANGE(""https://docs.google.com/spreadsheets/d/1xoDLGBv9CYbyosIhki0kTq6IpYNj-gp"&amp;"jxfobnaDiut0/edit?usp=sharing"",""บึงกาฬ!N563"")+IMPORTRANGE(""https://docs.google.com/spreadsheets/d/1MMPq-JyI6DSgQETxuSiXkesP-P7JHuemnE6QJIa-Nlw/edit?usp=sharing"",""บุรีรัมย์!N563"")+IMPORTRANGE(""https://docs.google.com/spreadsheets/d/1l6IZ8xUPgMrESzc"&amp;"TYwhA1k_tPjeQjJPTqlm8Gd9eU5g/edit?usp=sharing"",""มหาสารคาม!N563"")+IMPORTRANGE(""https://docs.google.com/spreadsheets/d/1uB74YLqNjWX6FObjekfB2NtSYigTQyR2rq9u4Ub2Sq4/edit?usp=sharing"",""มุกดาหาร!N563"")+IMPORTRANGE(""https://docs.google.com/spreadsheets/"&amp;"d/1NexK3geCPxCTO1fzNF8dPec7yZyUx3OaWkFBC9HsQOo/edit?usp=sharing"",""ยโสธร!N563"")+IMPORTRANGE(""https://docs.google.com/spreadsheets/d/1v_cJrbBlyqmnHPReHk44g9NrMRdENNlSy_E_c5M9fIg/edit?usp=sharing"",""ร้อยเอ็ด!N563"")+IMPORTRANGE(""https://docs.google.com"&amp;"/spreadsheets/d/1Ul4RCpCX66NxYADU1QpwAPjOmBzW64SsT11s1wzXw_c/edit?usp=sharing"",""เลย!N563"")+IMPORTRANGE(""https://docs.google.com/spreadsheets/d/1bRrNKwbHDVktQG10isr5vbWRtt5spIZPpkOSWgbT5ug/edit?usp=sharing"",""ศรีสะเกษ!N563"")+IMPORTRANGE(""https://doc"&amp;"s.google.com/spreadsheets/d/17P34_Ow5kFBfdQD0qspb2UuPX5zpi6WMrQzslghyvrI/edit?usp=sharing"",""สกลนคร!N563"")+IMPORTRANGE(""https://docs.google.com/spreadsheets/d/1yswqbM3-AEpThF3ZSUa1AcmHnmRTF1vlJ1CZGcJ8YuU/edit?usp=sharing"",""สุรินทร์!N563"")+IMPORTRANG"&amp;"E(""https://docs.google.com/spreadsheets/d/13JHU_EFbsQOUQ0JSQ3dWy1VTRosIWcDq6Nc99z2qzdc/edit?usp=sharing"",""หนองคาย!N563"")+IMPORTRANGE(""https://docs.google.com/spreadsheets/d/1Hx73zIEgVdDZZaYSTc46Dqv64atFhpr3GelxLbaIN8A/edit?usp=sharing"",""หนองบัวลำภู"&amp;"!N563"")+IMPORTRANGE(""https://docs.google.com/spreadsheets/d/1lFxr3ctmjFN90yc-xV6jrQ9Ty8BKYVBWnAZ15wcNIJc/edit?usp=sharing"",""อำนาจเจริญ!N563"")+IMPORTRANGE(""https://docs.google.com/spreadsheets/d/1gF7RJpRnL-1oyjyeWxs5SFWEH7y8ahOZsQlyp2A2e-A/edit?usp=s"&amp;"haring"",""อุดรธานี!N563"")+IMPORTRANGE(""https://docs.google.com/spreadsheets/d/1kfLP0j3INXRa8bTDpcEmoWewMBV61jlFlfzczfjWIgc/edit?usp=sharing"",""อุบลราชธานี!N563"")"),0)</f>
        <v>0</v>
      </c>
      <c r="O563" s="56">
        <f t="shared" ca="1" si="394"/>
        <v>0</v>
      </c>
      <c r="P563" s="56">
        <f t="shared" ca="1" si="395"/>
        <v>0</v>
      </c>
      <c r="Q563" s="56">
        <f ca="1">IFERROR(__xludf.DUMMYFUNCTION("IMPORTRANGE(""https://docs.google.com/spreadsheets/d/1yhBcrRPreicbMKl9Bu_Snb2-OcQAF62RKfhTLhJ2eAA/edit?usp=sharing"",""กาฬสินธุ์!Q563"")+IMPORTRANGE(""https://docs.google.com/spreadsheets/d/1aHkj4IaQMThhwWwevcOymEh837vdxeC_PycurhTbGFA/edit?usp=sharing"","&amp;"""ขอนแก่น!Q563"")+IMPORTRANGE(""https://docs.google.com/spreadsheets/d/1FvTu2DsIWUjP6WCWra38Bkj_oOl_sOMf14r5Fg5srxU/edit?usp=sharing"",""ชัยภูมิ!Q563"")+IMPORTRANGE(""https://docs.google.com/spreadsheets/d/1XVB7oCJ3pr-vBUdflwPQ8Z2LlzhnCvZaaYjAfP-647E/edit"&amp;"?usp=sharing"",""นครพนม!Q563"")+IMPORTRANGE(""https://docs.google.com/spreadsheets/d/1Mnpb-8PYAgn85W6KOTD40hc_Xc55CaLfHoGAbrZ8tls/edit?usp=sharing"",""นครราชสีมา!Q563"")+IMPORTRANGE(""https://docs.google.com/spreadsheets/d/1xoDLGBv9CYbyosIhki0kTq6IpYNj-gp"&amp;"jxfobnaDiut0/edit?usp=sharing"",""บึงกาฬ!Q563"")+IMPORTRANGE(""https://docs.google.com/spreadsheets/d/1MMPq-JyI6DSgQETxuSiXkesP-P7JHuemnE6QJIa-Nlw/edit?usp=sharing"",""บุรีรัมย์!Q563"")+IMPORTRANGE(""https://docs.google.com/spreadsheets/d/1l6IZ8xUPgMrESzc"&amp;"TYwhA1k_tPjeQjJPTqlm8Gd9eU5g/edit?usp=sharing"",""มหาสารคาม!Q563"")+IMPORTRANGE(""https://docs.google.com/spreadsheets/d/1uB74YLqNjWX6FObjekfB2NtSYigTQyR2rq9u4Ub2Sq4/edit?usp=sharing"",""มุกดาหาร!Q563"")+IMPORTRANGE(""https://docs.google.com/spreadsheets/"&amp;"d/1NexK3geCPxCTO1fzNF8dPec7yZyUx3OaWkFBC9HsQOo/edit?usp=sharing"",""ยโสธร!Q563"")+IMPORTRANGE(""https://docs.google.com/spreadsheets/d/1v_cJrbBlyqmnHPReHk44g9NrMRdENNlSy_E_c5M9fIg/edit?usp=sharing"",""ร้อยเอ็ด!Q563"")+IMPORTRANGE(""https://docs.google.com"&amp;"/spreadsheets/d/1Ul4RCpCX66NxYADU1QpwAPjOmBzW64SsT11s1wzXw_c/edit?usp=sharing"",""เลย!Q563"")+IMPORTRANGE(""https://docs.google.com/spreadsheets/d/1bRrNKwbHDVktQG10isr5vbWRtt5spIZPpkOSWgbT5ug/edit?usp=sharing"",""ศรีสะเกษ!Q563"")+IMPORTRANGE(""https://doc"&amp;"s.google.com/spreadsheets/d/17P34_Ow5kFBfdQD0qspb2UuPX5zpi6WMrQzslghyvrI/edit?usp=sharing"",""สกลนคร!Q563"")+IMPORTRANGE(""https://docs.google.com/spreadsheets/d/1yswqbM3-AEpThF3ZSUa1AcmHnmRTF1vlJ1CZGcJ8YuU/edit?usp=sharing"",""สุรินทร์!Q563"")+IMPORTRANG"&amp;"E(""https://docs.google.com/spreadsheets/d/13JHU_EFbsQOUQ0JSQ3dWy1VTRosIWcDq6Nc99z2qzdc/edit?usp=sharing"",""หนองคาย!Q563"")+IMPORTRANGE(""https://docs.google.com/spreadsheets/d/1Hx73zIEgVdDZZaYSTc46Dqv64atFhpr3GelxLbaIN8A/edit?usp=sharing"",""หนองบัวลำภู"&amp;"!Q563"")+IMPORTRANGE(""https://docs.google.com/spreadsheets/d/1lFxr3ctmjFN90yc-xV6jrQ9Ty8BKYVBWnAZ15wcNIJc/edit?usp=sharing"",""อำนาจเจริญ!Q563"")+IMPORTRANGE(""https://docs.google.com/spreadsheets/d/1gF7RJpRnL-1oyjyeWxs5SFWEH7y8ahOZsQlyp2A2e-A/edit?usp=s"&amp;"haring"",""อุดรธานี!Q563"")+IMPORTRANGE(""https://docs.google.com/spreadsheets/d/1kfLP0j3INXRa8bTDpcEmoWewMBV61jlFlfzczfjWIgc/edit?usp=sharing"",""อุบลราชธานี!Q563"")"),0)</f>
        <v>0</v>
      </c>
      <c r="R563" s="56">
        <f ca="1">IFERROR(__xludf.DUMMYFUNCTION("IMPORTRANGE(""https://docs.google.com/spreadsheets/d/1yhBcrRPreicbMKl9Bu_Snb2-OcQAF62RKfhTLhJ2eAA/edit?usp=sharing"",""กาฬสินธุ์!R563"")+IMPORTRANGE(""https://docs.google.com/spreadsheets/d/1aHkj4IaQMThhwWwevcOymEh837vdxeC_PycurhTbGFA/edit?usp=sharing"","&amp;"""ขอนแก่น!R563"")+IMPORTRANGE(""https://docs.google.com/spreadsheets/d/1FvTu2DsIWUjP6WCWra38Bkj_oOl_sOMf14r5Fg5srxU/edit?usp=sharing"",""ชัยภูมิ!R563"")+IMPORTRANGE(""https://docs.google.com/spreadsheets/d/1XVB7oCJ3pr-vBUdflwPQ8Z2LlzhnCvZaaYjAfP-647E/edit"&amp;"?usp=sharing"",""นครพนม!R563"")+IMPORTRANGE(""https://docs.google.com/spreadsheets/d/1Mnpb-8PYAgn85W6KOTD40hc_Xc55CaLfHoGAbrZ8tls/edit?usp=sharing"",""นครราชสีมา!R563"")+IMPORTRANGE(""https://docs.google.com/spreadsheets/d/1xoDLGBv9CYbyosIhki0kTq6IpYNj-gp"&amp;"jxfobnaDiut0/edit?usp=sharing"",""บึงกาฬ!R563"")+IMPORTRANGE(""https://docs.google.com/spreadsheets/d/1MMPq-JyI6DSgQETxuSiXkesP-P7JHuemnE6QJIa-Nlw/edit?usp=sharing"",""บุรีรัมย์!R563"")+IMPORTRANGE(""https://docs.google.com/spreadsheets/d/1l6IZ8xUPgMrESzc"&amp;"TYwhA1k_tPjeQjJPTqlm8Gd9eU5g/edit?usp=sharing"",""มหาสารคาม!R563"")+IMPORTRANGE(""https://docs.google.com/spreadsheets/d/1uB74YLqNjWX6FObjekfB2NtSYigTQyR2rq9u4Ub2Sq4/edit?usp=sharing"",""มุกดาหาร!R563"")+IMPORTRANGE(""https://docs.google.com/spreadsheets/"&amp;"d/1NexK3geCPxCTO1fzNF8dPec7yZyUx3OaWkFBC9HsQOo/edit?usp=sharing"",""ยโสธร!R563"")+IMPORTRANGE(""https://docs.google.com/spreadsheets/d/1v_cJrbBlyqmnHPReHk44g9NrMRdENNlSy_E_c5M9fIg/edit?usp=sharing"",""ร้อยเอ็ด!R563"")+IMPORTRANGE(""https://docs.google.com"&amp;"/spreadsheets/d/1Ul4RCpCX66NxYADU1QpwAPjOmBzW64SsT11s1wzXw_c/edit?usp=sharing"",""เลย!R563"")+IMPORTRANGE(""https://docs.google.com/spreadsheets/d/1bRrNKwbHDVktQG10isr5vbWRtt5spIZPpkOSWgbT5ug/edit?usp=sharing"",""ศรีสะเกษ!R563"")+IMPORTRANGE(""https://doc"&amp;"s.google.com/spreadsheets/d/17P34_Ow5kFBfdQD0qspb2UuPX5zpi6WMrQzslghyvrI/edit?usp=sharing"",""สกลนคร!R563"")+IMPORTRANGE(""https://docs.google.com/spreadsheets/d/1yswqbM3-AEpThF3ZSUa1AcmHnmRTF1vlJ1CZGcJ8YuU/edit?usp=sharing"",""สุรินทร์!R563"")+IMPORTRANG"&amp;"E(""https://docs.google.com/spreadsheets/d/13JHU_EFbsQOUQ0JSQ3dWy1VTRosIWcDq6Nc99z2qzdc/edit?usp=sharing"",""หนองคาย!R563"")+IMPORTRANGE(""https://docs.google.com/spreadsheets/d/1Hx73zIEgVdDZZaYSTc46Dqv64atFhpr3GelxLbaIN8A/edit?usp=sharing"",""หนองบัวลำภู"&amp;"!R563"")+IMPORTRANGE(""https://docs.google.com/spreadsheets/d/1lFxr3ctmjFN90yc-xV6jrQ9Ty8BKYVBWnAZ15wcNIJc/edit?usp=sharing"",""อำนาจเจริญ!R563"")+IMPORTRANGE(""https://docs.google.com/spreadsheets/d/1gF7RJpRnL-1oyjyeWxs5SFWEH7y8ahOZsQlyp2A2e-A/edit?usp=s"&amp;"haring"",""อุดรธานี!R563"")+IMPORTRANGE(""https://docs.google.com/spreadsheets/d/1kfLP0j3INXRa8bTDpcEmoWewMBV61jlFlfzczfjWIgc/edit?usp=sharing"",""อุบลราชธานี!R563"")"),0)</f>
        <v>0</v>
      </c>
      <c r="S563" s="57">
        <f ca="1">IFERROR(__xludf.DUMMYFUNCTION("IMPORTRANGE(""https://docs.google.com/spreadsheets/d/1yhBcrRPreicbMKl9Bu_Snb2-OcQAF62RKfhTLhJ2eAA/edit?usp=sharing"",""กาฬสินธุ์!S563"")+IMPORTRANGE(""https://docs.google.com/spreadsheets/d/1aHkj4IaQMThhwWwevcOymEh837vdxeC_PycurhTbGFA/edit?usp=sharing"","&amp;"""ขอนแก่น!S563"")+IMPORTRANGE(""https://docs.google.com/spreadsheets/d/1FvTu2DsIWUjP6WCWra38Bkj_oOl_sOMf14r5Fg5srxU/edit?usp=sharing"",""ชัยภูมิ!S563"")+IMPORTRANGE(""https://docs.google.com/spreadsheets/d/1XVB7oCJ3pr-vBUdflwPQ8Z2LlzhnCvZaaYjAfP-647E/edit"&amp;"?usp=sharing"",""นครพนม!S563"")+IMPORTRANGE(""https://docs.google.com/spreadsheets/d/1Mnpb-8PYAgn85W6KOTD40hc_Xc55CaLfHoGAbrZ8tls/edit?usp=sharing"",""นครราชสีมา!S563"")+IMPORTRANGE(""https://docs.google.com/spreadsheets/d/1xoDLGBv9CYbyosIhki0kTq6IpYNj-gp"&amp;"jxfobnaDiut0/edit?usp=sharing"",""บึงกาฬ!S563"")+IMPORTRANGE(""https://docs.google.com/spreadsheets/d/1MMPq-JyI6DSgQETxuSiXkesP-P7JHuemnE6QJIa-Nlw/edit?usp=sharing"",""บุรีรัมย์!S563"")+IMPORTRANGE(""https://docs.google.com/spreadsheets/d/1l6IZ8xUPgMrESzc"&amp;"TYwhA1k_tPjeQjJPTqlm8Gd9eU5g/edit?usp=sharing"",""มหาสารคาม!S563"")+IMPORTRANGE(""https://docs.google.com/spreadsheets/d/1uB74YLqNjWX6FObjekfB2NtSYigTQyR2rq9u4Ub2Sq4/edit?usp=sharing"",""มุกดาหาร!S563"")+IMPORTRANGE(""https://docs.google.com/spreadsheets/"&amp;"d/1NexK3geCPxCTO1fzNF8dPec7yZyUx3OaWkFBC9HsQOo/edit?usp=sharing"",""ยโสธร!S563"")+IMPORTRANGE(""https://docs.google.com/spreadsheets/d/1v_cJrbBlyqmnHPReHk44g9NrMRdENNlSy_E_c5M9fIg/edit?usp=sharing"",""ร้อยเอ็ด!S563"")+IMPORTRANGE(""https://docs.google.com"&amp;"/spreadsheets/d/1Ul4RCpCX66NxYADU1QpwAPjOmBzW64SsT11s1wzXw_c/edit?usp=sharing"",""เลย!S563"")+IMPORTRANGE(""https://docs.google.com/spreadsheets/d/1bRrNKwbHDVktQG10isr5vbWRtt5spIZPpkOSWgbT5ug/edit?usp=sharing"",""ศรีสะเกษ!S563"")+IMPORTRANGE(""https://doc"&amp;"s.google.com/spreadsheets/d/17P34_Ow5kFBfdQD0qspb2UuPX5zpi6WMrQzslghyvrI/edit?usp=sharing"",""สกลนคร!S563"")+IMPORTRANGE(""https://docs.google.com/spreadsheets/d/1yswqbM3-AEpThF3ZSUa1AcmHnmRTF1vlJ1CZGcJ8YuU/edit?usp=sharing"",""สุรินทร์!S563"")+IMPORTRANG"&amp;"E(""https://docs.google.com/spreadsheets/d/13JHU_EFbsQOUQ0JSQ3dWy1VTRosIWcDq6Nc99z2qzdc/edit?usp=sharing"",""หนองคาย!S563"")+IMPORTRANGE(""https://docs.google.com/spreadsheets/d/1Hx73zIEgVdDZZaYSTc46Dqv64atFhpr3GelxLbaIN8A/edit?usp=sharing"",""หนองบัวลำภู"&amp;"!S563"")+IMPORTRANGE(""https://docs.google.com/spreadsheets/d/1lFxr3ctmjFN90yc-xV6jrQ9Ty8BKYVBWnAZ15wcNIJc/edit?usp=sharing"",""อำนาจเจริญ!S563"")+IMPORTRANGE(""https://docs.google.com/spreadsheets/d/1gF7RJpRnL-1oyjyeWxs5SFWEH7y8ahOZsQlyp2A2e-A/edit?usp=s"&amp;"haring"",""อุดรธานี!S563"")+IMPORTRANGE(""https://docs.google.com/spreadsheets/d/1kfLP0j3INXRa8bTDpcEmoWewMBV61jlFlfzczfjWIgc/edit?usp=sharing"",""อุบลราชธานี!S563"")"),0)</f>
        <v>0</v>
      </c>
      <c r="T563" s="56">
        <f t="shared" ca="1" si="397"/>
        <v>0</v>
      </c>
      <c r="U563" s="56">
        <f t="shared" ca="1" si="398"/>
        <v>0</v>
      </c>
    </row>
    <row r="564" spans="1:21" ht="19.5">
      <c r="A564" s="166"/>
      <c r="B564" s="167"/>
      <c r="C564" s="411" t="s">
        <v>18</v>
      </c>
      <c r="D564" s="168" t="s">
        <v>38</v>
      </c>
      <c r="E564" s="169"/>
      <c r="F564" s="169"/>
      <c r="G564" s="170"/>
      <c r="H564" s="171"/>
      <c r="I564" s="163"/>
      <c r="J564" s="54"/>
      <c r="K564" s="55"/>
      <c r="L564" s="55"/>
      <c r="M564" s="55"/>
      <c r="N564" s="55"/>
      <c r="O564" s="164"/>
      <c r="P564" s="164"/>
      <c r="Q564" s="55"/>
      <c r="R564" s="55"/>
      <c r="S564" s="62"/>
      <c r="T564" s="164"/>
      <c r="U564" s="164"/>
    </row>
    <row r="565" spans="1:21" ht="12.75">
      <c r="A565" s="258"/>
      <c r="B565" s="260"/>
      <c r="C565" s="259"/>
      <c r="D565" s="260"/>
      <c r="E565" s="259"/>
      <c r="F565" s="260"/>
      <c r="G565" s="261"/>
      <c r="H565" s="261"/>
      <c r="I565" s="263"/>
      <c r="J565" s="263"/>
      <c r="K565" s="264"/>
      <c r="L565" s="264"/>
      <c r="M565" s="264"/>
      <c r="N565" s="264"/>
      <c r="O565" s="264"/>
      <c r="P565" s="264"/>
      <c r="Q565" s="264"/>
      <c r="R565" s="264"/>
      <c r="S565" s="265"/>
      <c r="T565" s="264"/>
      <c r="U565" s="264"/>
    </row>
    <row r="566" spans="1:21" ht="12.75">
      <c r="A566" s="258"/>
      <c r="B566" s="260"/>
      <c r="C566" s="259"/>
      <c r="D566" s="260"/>
      <c r="E566" s="259"/>
      <c r="F566" s="260"/>
      <c r="G566" s="261"/>
      <c r="H566" s="261"/>
      <c r="I566" s="263"/>
      <c r="J566" s="263"/>
      <c r="K566" s="264"/>
      <c r="L566" s="264"/>
      <c r="M566" s="264"/>
      <c r="N566" s="264"/>
      <c r="O566" s="264"/>
      <c r="P566" s="264"/>
      <c r="Q566" s="264"/>
      <c r="R566" s="264"/>
      <c r="S566" s="265"/>
      <c r="T566" s="264"/>
      <c r="U566" s="264"/>
    </row>
    <row r="567" spans="1:21" ht="12.75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4"/>
      <c r="M567" s="264"/>
      <c r="N567" s="264"/>
      <c r="O567" s="264"/>
      <c r="P567" s="264"/>
      <c r="Q567" s="264"/>
      <c r="R567" s="264"/>
      <c r="S567" s="265"/>
      <c r="T567" s="264"/>
      <c r="U567" s="264"/>
    </row>
    <row r="568" spans="1:21" ht="12.75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4"/>
      <c r="M568" s="264"/>
      <c r="N568" s="264"/>
      <c r="O568" s="264"/>
      <c r="P568" s="264"/>
      <c r="Q568" s="264"/>
      <c r="R568" s="264"/>
      <c r="S568" s="265"/>
      <c r="T568" s="264"/>
      <c r="U568" s="264"/>
    </row>
    <row r="569" spans="1:21" ht="12.75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4"/>
      <c r="M569" s="264"/>
      <c r="N569" s="264"/>
      <c r="O569" s="264"/>
      <c r="P569" s="264"/>
      <c r="Q569" s="264"/>
      <c r="R569" s="264"/>
      <c r="S569" s="265"/>
      <c r="T569" s="264"/>
      <c r="U569" s="264"/>
    </row>
    <row r="570" spans="1:21" ht="12.75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4"/>
      <c r="M570" s="264"/>
      <c r="N570" s="264"/>
      <c r="O570" s="264"/>
      <c r="P570" s="264"/>
      <c r="Q570" s="264"/>
      <c r="R570" s="264"/>
      <c r="S570" s="265"/>
      <c r="T570" s="264"/>
      <c r="U570" s="264"/>
    </row>
    <row r="571" spans="1:21" ht="12.75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4"/>
      <c r="M571" s="264"/>
      <c r="N571" s="264"/>
      <c r="O571" s="264"/>
      <c r="P571" s="264"/>
      <c r="Q571" s="264"/>
      <c r="R571" s="264"/>
      <c r="S571" s="265"/>
      <c r="T571" s="264"/>
      <c r="U571" s="264"/>
    </row>
    <row r="572" spans="1:21" ht="12.75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4"/>
      <c r="M572" s="264"/>
      <c r="N572" s="264"/>
      <c r="O572" s="264"/>
      <c r="P572" s="264"/>
      <c r="Q572" s="264"/>
      <c r="R572" s="264"/>
      <c r="S572" s="265"/>
      <c r="T572" s="264"/>
      <c r="U572" s="264"/>
    </row>
    <row r="573" spans="1:21" ht="12.75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4"/>
      <c r="M573" s="264"/>
      <c r="N573" s="264"/>
      <c r="O573" s="264"/>
      <c r="P573" s="264"/>
      <c r="Q573" s="264"/>
      <c r="R573" s="264"/>
      <c r="S573" s="265"/>
      <c r="T573" s="264"/>
      <c r="U573" s="264"/>
    </row>
    <row r="574" spans="1:21" ht="12.75">
      <c r="A574" s="407"/>
      <c r="B574" s="360"/>
      <c r="C574" s="360"/>
      <c r="D574" s="408"/>
      <c r="E574" s="408"/>
      <c r="F574" s="408"/>
      <c r="G574" s="409"/>
      <c r="H574" s="361"/>
      <c r="I574" s="362"/>
      <c r="J574" s="362"/>
      <c r="K574" s="363"/>
      <c r="L574" s="363"/>
      <c r="M574" s="363"/>
      <c r="N574" s="363"/>
      <c r="O574" s="363"/>
      <c r="P574" s="363"/>
      <c r="Q574" s="363"/>
      <c r="R574" s="363"/>
      <c r="S574" s="364"/>
      <c r="T574" s="363"/>
      <c r="U574" s="363"/>
    </row>
    <row r="575" spans="1:21" ht="19.5">
      <c r="A575" s="395"/>
      <c r="B575" s="396" t="s">
        <v>213</v>
      </c>
      <c r="C575" s="397"/>
      <c r="D575" s="398"/>
      <c r="E575" s="398"/>
      <c r="F575" s="398"/>
      <c r="G575" s="399"/>
      <c r="H575" s="410" t="s">
        <v>61</v>
      </c>
      <c r="I575" s="401">
        <f t="shared" ref="I575:J575" si="407">I587</f>
        <v>0</v>
      </c>
      <c r="J575" s="401">
        <f t="shared" si="407"/>
        <v>0</v>
      </c>
      <c r="K575" s="402">
        <f>IF(I575&gt;0,J575*100/I575,0)</f>
        <v>0</v>
      </c>
      <c r="L575" s="403"/>
      <c r="M575" s="403"/>
      <c r="N575" s="403"/>
      <c r="O575" s="403"/>
      <c r="P575" s="403"/>
      <c r="Q575" s="403"/>
      <c r="R575" s="403"/>
      <c r="S575" s="404"/>
      <c r="T575" s="403"/>
      <c r="U575" s="403"/>
    </row>
    <row r="576" spans="1:21" ht="19.5">
      <c r="A576" s="155"/>
      <c r="B576" s="50"/>
      <c r="C576" s="156" t="s">
        <v>18</v>
      </c>
      <c r="D576" s="157" t="s">
        <v>19</v>
      </c>
      <c r="E576" s="50"/>
      <c r="F576" s="50"/>
      <c r="G576" s="52"/>
      <c r="H576" s="158" t="s">
        <v>14</v>
      </c>
      <c r="I576" s="54"/>
      <c r="J576" s="54"/>
      <c r="K576" s="55"/>
      <c r="L576" s="159">
        <f t="shared" ref="L576:N576" ca="1" si="408">L577+L578</f>
        <v>0</v>
      </c>
      <c r="M576" s="159">
        <f t="shared" ca="1" si="408"/>
        <v>0</v>
      </c>
      <c r="N576" s="159">
        <f t="shared" ca="1" si="408"/>
        <v>0</v>
      </c>
      <c r="O576" s="159">
        <f t="shared" ref="O576:O584" ca="1" si="409">IF(L576&gt;0,N576*100/L576,0)</f>
        <v>0</v>
      </c>
      <c r="P576" s="159">
        <f t="shared" ref="P576:P584" ca="1" si="410">IF(M576&gt;0,N576*100/M576,0)</f>
        <v>0</v>
      </c>
      <c r="Q576" s="159">
        <f t="shared" ref="Q576:S576" ca="1" si="411">Q577+Q578</f>
        <v>0</v>
      </c>
      <c r="R576" s="159">
        <f t="shared" ca="1" si="411"/>
        <v>0</v>
      </c>
      <c r="S576" s="160">
        <f t="shared" ca="1" si="411"/>
        <v>0</v>
      </c>
      <c r="T576" s="159">
        <f t="shared" ref="T576:T584" ca="1" si="412">IF(Q576&gt;0,S576*100/Q576,0)</f>
        <v>0</v>
      </c>
      <c r="U576" s="159">
        <f t="shared" ref="U576:U584" ca="1" si="413">IF(R576&gt;0,S576*100/R576,0)</f>
        <v>0</v>
      </c>
    </row>
    <row r="577" spans="1:21" ht="18.75">
      <c r="A577" s="155"/>
      <c r="B577" s="188"/>
      <c r="C577" s="50"/>
      <c r="D577" s="50"/>
      <c r="E577" s="186" t="s">
        <v>20</v>
      </c>
      <c r="F577" s="50"/>
      <c r="G577" s="52"/>
      <c r="H577" s="187" t="s">
        <v>14</v>
      </c>
      <c r="I577" s="54"/>
      <c r="J577" s="54"/>
      <c r="K577" s="55"/>
      <c r="L577" s="59">
        <f t="shared" ref="L577:N577" ca="1" si="414">L580+L583</f>
        <v>0</v>
      </c>
      <c r="M577" s="59">
        <f t="shared" ca="1" si="414"/>
        <v>0</v>
      </c>
      <c r="N577" s="59">
        <f t="shared" ca="1" si="414"/>
        <v>0</v>
      </c>
      <c r="O577" s="59">
        <f t="shared" ca="1" si="409"/>
        <v>0</v>
      </c>
      <c r="P577" s="59">
        <f t="shared" ca="1" si="410"/>
        <v>0</v>
      </c>
      <c r="Q577" s="59">
        <f t="shared" ref="Q577:S577" ca="1" si="415">Q580+Q583</f>
        <v>0</v>
      </c>
      <c r="R577" s="59">
        <f t="shared" ca="1" si="415"/>
        <v>0</v>
      </c>
      <c r="S577" s="60">
        <f t="shared" ca="1" si="415"/>
        <v>0</v>
      </c>
      <c r="T577" s="59">
        <f t="shared" ca="1" si="412"/>
        <v>0</v>
      </c>
      <c r="U577" s="59">
        <f t="shared" ca="1" si="413"/>
        <v>0</v>
      </c>
    </row>
    <row r="578" spans="1:21" ht="18.75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56">
        <f t="shared" ref="L578:N578" ca="1" si="416">L581+L584</f>
        <v>0</v>
      </c>
      <c r="M578" s="56">
        <f t="shared" ca="1" si="416"/>
        <v>0</v>
      </c>
      <c r="N578" s="56">
        <f t="shared" ca="1" si="416"/>
        <v>0</v>
      </c>
      <c r="O578" s="56">
        <f t="shared" ca="1" si="409"/>
        <v>0</v>
      </c>
      <c r="P578" s="56">
        <f t="shared" ca="1" si="410"/>
        <v>0</v>
      </c>
      <c r="Q578" s="56">
        <f t="shared" ref="Q578:S578" ca="1" si="417">Q581+Q584</f>
        <v>0</v>
      </c>
      <c r="R578" s="56">
        <f t="shared" ca="1" si="417"/>
        <v>0</v>
      </c>
      <c r="S578" s="57">
        <f t="shared" ca="1" si="417"/>
        <v>0</v>
      </c>
      <c r="T578" s="56">
        <f t="shared" ca="1" si="412"/>
        <v>0</v>
      </c>
      <c r="U578" s="56">
        <f t="shared" ca="1" si="413"/>
        <v>0</v>
      </c>
    </row>
    <row r="579" spans="1:21" ht="18.75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56">
        <f t="shared" ref="L579:N579" ca="1" si="418">L580+L581</f>
        <v>0</v>
      </c>
      <c r="M579" s="56">
        <f t="shared" ca="1" si="418"/>
        <v>0</v>
      </c>
      <c r="N579" s="56">
        <f t="shared" ca="1" si="418"/>
        <v>0</v>
      </c>
      <c r="O579" s="56">
        <f t="shared" ca="1" si="409"/>
        <v>0</v>
      </c>
      <c r="P579" s="56">
        <f t="shared" ca="1" si="410"/>
        <v>0</v>
      </c>
      <c r="Q579" s="56">
        <f t="shared" ref="Q579:S579" ca="1" si="419">Q580+Q581</f>
        <v>0</v>
      </c>
      <c r="R579" s="56">
        <f t="shared" ca="1" si="419"/>
        <v>0</v>
      </c>
      <c r="S579" s="57">
        <f t="shared" ca="1" si="419"/>
        <v>0</v>
      </c>
      <c r="T579" s="56">
        <f t="shared" ca="1" si="412"/>
        <v>0</v>
      </c>
      <c r="U579" s="56">
        <f t="shared" ca="1" si="413"/>
        <v>0</v>
      </c>
    </row>
    <row r="580" spans="1:21" ht="18.75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59">
        <f ca="1">IFERROR(__xludf.DUMMYFUNCTION("IMPORTRANGE(""https://docs.google.com/spreadsheets/d/1yhBcrRPreicbMKl9Bu_Snb2-OcQAF62RKfhTLhJ2eAA/edit?usp=sharing"",""กาฬสินธุ์!L580"")+IMPORTRANGE(""https://docs.google.com/spreadsheets/d/1aHkj4IaQMThhwWwevcOymEh837vdxeC_PycurhTbGFA/edit?usp=sharing"","&amp;"""ขอนแก่น!L580"")+IMPORTRANGE(""https://docs.google.com/spreadsheets/d/1FvTu2DsIWUjP6WCWra38Bkj_oOl_sOMf14r5Fg5srxU/edit?usp=sharing"",""ชัยภูมิ!L580"")+IMPORTRANGE(""https://docs.google.com/spreadsheets/d/1XVB7oCJ3pr-vBUdflwPQ8Z2LlzhnCvZaaYjAfP-647E/edit"&amp;"?usp=sharing"",""นครพนม!L580"")+IMPORTRANGE(""https://docs.google.com/spreadsheets/d/1Mnpb-8PYAgn85W6KOTD40hc_Xc55CaLfHoGAbrZ8tls/edit?usp=sharing"",""นครราชสีมา!L580"")+IMPORTRANGE(""https://docs.google.com/spreadsheets/d/1xoDLGBv9CYbyosIhki0kTq6IpYNj-gp"&amp;"jxfobnaDiut0/edit?usp=sharing"",""บึงกาฬ!L580"")+IMPORTRANGE(""https://docs.google.com/spreadsheets/d/1MMPq-JyI6DSgQETxuSiXkesP-P7JHuemnE6QJIa-Nlw/edit?usp=sharing"",""บุรีรัมย์!L580"")+IMPORTRANGE(""https://docs.google.com/spreadsheets/d/1l6IZ8xUPgMrESzc"&amp;"TYwhA1k_tPjeQjJPTqlm8Gd9eU5g/edit?usp=sharing"",""มหาสารคาม!L580"")+IMPORTRANGE(""https://docs.google.com/spreadsheets/d/1uB74YLqNjWX6FObjekfB2NtSYigTQyR2rq9u4Ub2Sq4/edit?usp=sharing"",""มุกดาหาร!L580"")+IMPORTRANGE(""https://docs.google.com/spreadsheets/"&amp;"d/1NexK3geCPxCTO1fzNF8dPec7yZyUx3OaWkFBC9HsQOo/edit?usp=sharing"",""ยโสธร!L580"")+IMPORTRANGE(""https://docs.google.com/spreadsheets/d/1v_cJrbBlyqmnHPReHk44g9NrMRdENNlSy_E_c5M9fIg/edit?usp=sharing"",""ร้อยเอ็ด!L580"")+IMPORTRANGE(""https://docs.google.com"&amp;"/spreadsheets/d/1Ul4RCpCX66NxYADU1QpwAPjOmBzW64SsT11s1wzXw_c/edit?usp=sharing"",""เลย!L580"")+IMPORTRANGE(""https://docs.google.com/spreadsheets/d/1bRrNKwbHDVktQG10isr5vbWRtt5spIZPpkOSWgbT5ug/edit?usp=sharing"",""ศรีสะเกษ!L580"")+IMPORTRANGE(""https://doc"&amp;"s.google.com/spreadsheets/d/17P34_Ow5kFBfdQD0qspb2UuPX5zpi6WMrQzslghyvrI/edit?usp=sharing"",""สกลนคร!L580"")+IMPORTRANGE(""https://docs.google.com/spreadsheets/d/1yswqbM3-AEpThF3ZSUa1AcmHnmRTF1vlJ1CZGcJ8YuU/edit?usp=sharing"",""สุรินทร์!L580"")+IMPORTRANG"&amp;"E(""https://docs.google.com/spreadsheets/d/13JHU_EFbsQOUQ0JSQ3dWy1VTRosIWcDq6Nc99z2qzdc/edit?usp=sharing"",""หนองคาย!L580"")+IMPORTRANGE(""https://docs.google.com/spreadsheets/d/1Hx73zIEgVdDZZaYSTc46Dqv64atFhpr3GelxLbaIN8A/edit?usp=sharing"",""หนองบัวลำภู"&amp;"!L580"")+IMPORTRANGE(""https://docs.google.com/spreadsheets/d/1lFxr3ctmjFN90yc-xV6jrQ9Ty8BKYVBWnAZ15wcNIJc/edit?usp=sharing"",""อำนาจเจริญ!L580"")+IMPORTRANGE(""https://docs.google.com/spreadsheets/d/1gF7RJpRnL-1oyjyeWxs5SFWEH7y8ahOZsQlyp2A2e-A/edit?usp=s"&amp;"haring"",""อุดรธานี!L580"")+IMPORTRANGE(""https://docs.google.com/spreadsheets/d/1kfLP0j3INXRa8bTDpcEmoWewMBV61jlFlfzczfjWIgc/edit?usp=sharing"",""อุบลราชธานี!L580"")"),0)</f>
        <v>0</v>
      </c>
      <c r="M580" s="59">
        <f ca="1">IFERROR(__xludf.DUMMYFUNCTION("IMPORTRANGE(""https://docs.google.com/spreadsheets/d/1yhBcrRPreicbMKl9Bu_Snb2-OcQAF62RKfhTLhJ2eAA/edit?usp=sharing"",""กาฬสินธุ์!M580"")+IMPORTRANGE(""https://docs.google.com/spreadsheets/d/1aHkj4IaQMThhwWwevcOymEh837vdxeC_PycurhTbGFA/edit?usp=sharing"","&amp;"""ขอนแก่น!M580"")+IMPORTRANGE(""https://docs.google.com/spreadsheets/d/1FvTu2DsIWUjP6WCWra38Bkj_oOl_sOMf14r5Fg5srxU/edit?usp=sharing"",""ชัยภูมิ!M580"")+IMPORTRANGE(""https://docs.google.com/spreadsheets/d/1XVB7oCJ3pr-vBUdflwPQ8Z2LlzhnCvZaaYjAfP-647E/edit"&amp;"?usp=sharing"",""นครพนม!M580"")+IMPORTRANGE(""https://docs.google.com/spreadsheets/d/1Mnpb-8PYAgn85W6KOTD40hc_Xc55CaLfHoGAbrZ8tls/edit?usp=sharing"",""นครราชสีมา!M580"")+IMPORTRANGE(""https://docs.google.com/spreadsheets/d/1xoDLGBv9CYbyosIhki0kTq6IpYNj-gp"&amp;"jxfobnaDiut0/edit?usp=sharing"",""บึงกาฬ!M580"")+IMPORTRANGE(""https://docs.google.com/spreadsheets/d/1MMPq-JyI6DSgQETxuSiXkesP-P7JHuemnE6QJIa-Nlw/edit?usp=sharing"",""บุรีรัมย์!M580"")+IMPORTRANGE(""https://docs.google.com/spreadsheets/d/1l6IZ8xUPgMrESzc"&amp;"TYwhA1k_tPjeQjJPTqlm8Gd9eU5g/edit?usp=sharing"",""มหาสารคาม!M580"")+IMPORTRANGE(""https://docs.google.com/spreadsheets/d/1uB74YLqNjWX6FObjekfB2NtSYigTQyR2rq9u4Ub2Sq4/edit?usp=sharing"",""มุกดาหาร!M580"")+IMPORTRANGE(""https://docs.google.com/spreadsheets/"&amp;"d/1NexK3geCPxCTO1fzNF8dPec7yZyUx3OaWkFBC9HsQOo/edit?usp=sharing"",""ยโสธร!M580"")+IMPORTRANGE(""https://docs.google.com/spreadsheets/d/1v_cJrbBlyqmnHPReHk44g9NrMRdENNlSy_E_c5M9fIg/edit?usp=sharing"",""ร้อยเอ็ด!M580"")+IMPORTRANGE(""https://docs.google.com"&amp;"/spreadsheets/d/1Ul4RCpCX66NxYADU1QpwAPjOmBzW64SsT11s1wzXw_c/edit?usp=sharing"",""เลย!M580"")+IMPORTRANGE(""https://docs.google.com/spreadsheets/d/1bRrNKwbHDVktQG10isr5vbWRtt5spIZPpkOSWgbT5ug/edit?usp=sharing"",""ศรีสะเกษ!M580"")+IMPORTRANGE(""https://doc"&amp;"s.google.com/spreadsheets/d/17P34_Ow5kFBfdQD0qspb2UuPX5zpi6WMrQzslghyvrI/edit?usp=sharing"",""สกลนคร!M580"")+IMPORTRANGE(""https://docs.google.com/spreadsheets/d/1yswqbM3-AEpThF3ZSUa1AcmHnmRTF1vlJ1CZGcJ8YuU/edit?usp=sharing"",""สุรินทร์!M580"")+IMPORTRANG"&amp;"E(""https://docs.google.com/spreadsheets/d/13JHU_EFbsQOUQ0JSQ3dWy1VTRosIWcDq6Nc99z2qzdc/edit?usp=sharing"",""หนองคาย!M580"")+IMPORTRANGE(""https://docs.google.com/spreadsheets/d/1Hx73zIEgVdDZZaYSTc46Dqv64atFhpr3GelxLbaIN8A/edit?usp=sharing"",""หนองบัวลำภู"&amp;"!M580"")+IMPORTRANGE(""https://docs.google.com/spreadsheets/d/1lFxr3ctmjFN90yc-xV6jrQ9Ty8BKYVBWnAZ15wcNIJc/edit?usp=sharing"",""อำนาจเจริญ!M580"")+IMPORTRANGE(""https://docs.google.com/spreadsheets/d/1gF7RJpRnL-1oyjyeWxs5SFWEH7y8ahOZsQlyp2A2e-A/edit?usp=s"&amp;"haring"",""อุดรธานี!M580"")+IMPORTRANGE(""https://docs.google.com/spreadsheets/d/1kfLP0j3INXRa8bTDpcEmoWewMBV61jlFlfzczfjWIgc/edit?usp=sharing"",""อุบลราชธานี!M580"")"),0)</f>
        <v>0</v>
      </c>
      <c r="N580" s="59">
        <f ca="1">IFERROR(__xludf.DUMMYFUNCTION("IMPORTRANGE(""https://docs.google.com/spreadsheets/d/1yhBcrRPreicbMKl9Bu_Snb2-OcQAF62RKfhTLhJ2eAA/edit?usp=sharing"",""กาฬสินธุ์!N580"")+IMPORTRANGE(""https://docs.google.com/spreadsheets/d/1aHkj4IaQMThhwWwevcOymEh837vdxeC_PycurhTbGFA/edit?usp=sharing"","&amp;"""ขอนแก่น!N580"")+IMPORTRANGE(""https://docs.google.com/spreadsheets/d/1FvTu2DsIWUjP6WCWra38Bkj_oOl_sOMf14r5Fg5srxU/edit?usp=sharing"",""ชัยภูมิ!N580"")+IMPORTRANGE(""https://docs.google.com/spreadsheets/d/1XVB7oCJ3pr-vBUdflwPQ8Z2LlzhnCvZaaYjAfP-647E/edit"&amp;"?usp=sharing"",""นครพนม!N580"")+IMPORTRANGE(""https://docs.google.com/spreadsheets/d/1Mnpb-8PYAgn85W6KOTD40hc_Xc55CaLfHoGAbrZ8tls/edit?usp=sharing"",""นครราชสีมา!N580"")+IMPORTRANGE(""https://docs.google.com/spreadsheets/d/1xoDLGBv9CYbyosIhki0kTq6IpYNj-gp"&amp;"jxfobnaDiut0/edit?usp=sharing"",""บึงกาฬ!N580"")+IMPORTRANGE(""https://docs.google.com/spreadsheets/d/1MMPq-JyI6DSgQETxuSiXkesP-P7JHuemnE6QJIa-Nlw/edit?usp=sharing"",""บุรีรัมย์!N580"")+IMPORTRANGE(""https://docs.google.com/spreadsheets/d/1l6IZ8xUPgMrESzc"&amp;"TYwhA1k_tPjeQjJPTqlm8Gd9eU5g/edit?usp=sharing"",""มหาสารคาม!N580"")+IMPORTRANGE(""https://docs.google.com/spreadsheets/d/1uB74YLqNjWX6FObjekfB2NtSYigTQyR2rq9u4Ub2Sq4/edit?usp=sharing"",""มุกดาหาร!N580"")+IMPORTRANGE(""https://docs.google.com/spreadsheets/"&amp;"d/1NexK3geCPxCTO1fzNF8dPec7yZyUx3OaWkFBC9HsQOo/edit?usp=sharing"",""ยโสธร!N580"")+IMPORTRANGE(""https://docs.google.com/spreadsheets/d/1v_cJrbBlyqmnHPReHk44g9NrMRdENNlSy_E_c5M9fIg/edit?usp=sharing"",""ร้อยเอ็ด!N580"")+IMPORTRANGE(""https://docs.google.com"&amp;"/spreadsheets/d/1Ul4RCpCX66NxYADU1QpwAPjOmBzW64SsT11s1wzXw_c/edit?usp=sharing"",""เลย!N580"")+IMPORTRANGE(""https://docs.google.com/spreadsheets/d/1bRrNKwbHDVktQG10isr5vbWRtt5spIZPpkOSWgbT5ug/edit?usp=sharing"",""ศรีสะเกษ!N580"")+IMPORTRANGE(""https://doc"&amp;"s.google.com/spreadsheets/d/17P34_Ow5kFBfdQD0qspb2UuPX5zpi6WMrQzslghyvrI/edit?usp=sharing"",""สกลนคร!N580"")+IMPORTRANGE(""https://docs.google.com/spreadsheets/d/1yswqbM3-AEpThF3ZSUa1AcmHnmRTF1vlJ1CZGcJ8YuU/edit?usp=sharing"",""สุรินทร์!N580"")+IMPORTRANG"&amp;"E(""https://docs.google.com/spreadsheets/d/13JHU_EFbsQOUQ0JSQ3dWy1VTRosIWcDq6Nc99z2qzdc/edit?usp=sharing"",""หนองคาย!N580"")+IMPORTRANGE(""https://docs.google.com/spreadsheets/d/1Hx73zIEgVdDZZaYSTc46Dqv64atFhpr3GelxLbaIN8A/edit?usp=sharing"",""หนองบัวลำภู"&amp;"!N580"")+IMPORTRANGE(""https://docs.google.com/spreadsheets/d/1lFxr3ctmjFN90yc-xV6jrQ9Ty8BKYVBWnAZ15wcNIJc/edit?usp=sharing"",""อำนาจเจริญ!N580"")+IMPORTRANGE(""https://docs.google.com/spreadsheets/d/1gF7RJpRnL-1oyjyeWxs5SFWEH7y8ahOZsQlyp2A2e-A/edit?usp=s"&amp;"haring"",""อุดรธานี!N580"")+IMPORTRANGE(""https://docs.google.com/spreadsheets/d/1kfLP0j3INXRa8bTDpcEmoWewMBV61jlFlfzczfjWIgc/edit?usp=sharing"",""อุบลราชธานี!N580"")"),0)</f>
        <v>0</v>
      </c>
      <c r="O580" s="59">
        <f t="shared" ca="1" si="409"/>
        <v>0</v>
      </c>
      <c r="P580" s="59">
        <f t="shared" ca="1" si="410"/>
        <v>0</v>
      </c>
      <c r="Q580" s="59">
        <f ca="1">IFERROR(__xludf.DUMMYFUNCTION("IMPORTRANGE(""https://docs.google.com/spreadsheets/d/1yhBcrRPreicbMKl9Bu_Snb2-OcQAF62RKfhTLhJ2eAA/edit?usp=sharing"",""กาฬสินธุ์!Q580"")+IMPORTRANGE(""https://docs.google.com/spreadsheets/d/1aHkj4IaQMThhwWwevcOymEh837vdxeC_PycurhTbGFA/edit?usp=sharing"","&amp;"""ขอนแก่น!Q580"")+IMPORTRANGE(""https://docs.google.com/spreadsheets/d/1FvTu2DsIWUjP6WCWra38Bkj_oOl_sOMf14r5Fg5srxU/edit?usp=sharing"",""ชัยภูมิ!Q580"")+IMPORTRANGE(""https://docs.google.com/spreadsheets/d/1XVB7oCJ3pr-vBUdflwPQ8Z2LlzhnCvZaaYjAfP-647E/edit"&amp;"?usp=sharing"",""นครพนม!Q580"")+IMPORTRANGE(""https://docs.google.com/spreadsheets/d/1Mnpb-8PYAgn85W6KOTD40hc_Xc55CaLfHoGAbrZ8tls/edit?usp=sharing"",""นครราชสีมา!Q580"")+IMPORTRANGE(""https://docs.google.com/spreadsheets/d/1xoDLGBv9CYbyosIhki0kTq6IpYNj-gp"&amp;"jxfobnaDiut0/edit?usp=sharing"",""บึงกาฬ!Q580"")+IMPORTRANGE(""https://docs.google.com/spreadsheets/d/1MMPq-JyI6DSgQETxuSiXkesP-P7JHuemnE6QJIa-Nlw/edit?usp=sharing"",""บุรีรัมย์!Q580"")+IMPORTRANGE(""https://docs.google.com/spreadsheets/d/1l6IZ8xUPgMrESzc"&amp;"TYwhA1k_tPjeQjJPTqlm8Gd9eU5g/edit?usp=sharing"",""มหาสารคาม!Q580"")+IMPORTRANGE(""https://docs.google.com/spreadsheets/d/1uB74YLqNjWX6FObjekfB2NtSYigTQyR2rq9u4Ub2Sq4/edit?usp=sharing"",""มุกดาหาร!Q580"")+IMPORTRANGE(""https://docs.google.com/spreadsheets/"&amp;"d/1NexK3geCPxCTO1fzNF8dPec7yZyUx3OaWkFBC9HsQOo/edit?usp=sharing"",""ยโสธร!Q580"")+IMPORTRANGE(""https://docs.google.com/spreadsheets/d/1v_cJrbBlyqmnHPReHk44g9NrMRdENNlSy_E_c5M9fIg/edit?usp=sharing"",""ร้อยเอ็ด!Q580"")+IMPORTRANGE(""https://docs.google.com"&amp;"/spreadsheets/d/1Ul4RCpCX66NxYADU1QpwAPjOmBzW64SsT11s1wzXw_c/edit?usp=sharing"",""เลย!Q580"")+IMPORTRANGE(""https://docs.google.com/spreadsheets/d/1bRrNKwbHDVktQG10isr5vbWRtt5spIZPpkOSWgbT5ug/edit?usp=sharing"",""ศรีสะเกษ!Q580"")+IMPORTRANGE(""https://doc"&amp;"s.google.com/spreadsheets/d/17P34_Ow5kFBfdQD0qspb2UuPX5zpi6WMrQzslghyvrI/edit?usp=sharing"",""สกลนคร!Q580"")+IMPORTRANGE(""https://docs.google.com/spreadsheets/d/1yswqbM3-AEpThF3ZSUa1AcmHnmRTF1vlJ1CZGcJ8YuU/edit?usp=sharing"",""สุรินทร์!Q580"")+IMPORTRANG"&amp;"E(""https://docs.google.com/spreadsheets/d/13JHU_EFbsQOUQ0JSQ3dWy1VTRosIWcDq6Nc99z2qzdc/edit?usp=sharing"",""หนองคาย!Q580"")+IMPORTRANGE(""https://docs.google.com/spreadsheets/d/1Hx73zIEgVdDZZaYSTc46Dqv64atFhpr3GelxLbaIN8A/edit?usp=sharing"",""หนองบัวลำภู"&amp;"!Q580"")+IMPORTRANGE(""https://docs.google.com/spreadsheets/d/1lFxr3ctmjFN90yc-xV6jrQ9Ty8BKYVBWnAZ15wcNIJc/edit?usp=sharing"",""อำนาจเจริญ!Q580"")+IMPORTRANGE(""https://docs.google.com/spreadsheets/d/1gF7RJpRnL-1oyjyeWxs5SFWEH7y8ahOZsQlyp2A2e-A/edit?usp=s"&amp;"haring"",""อุดรธานี!Q580"")+IMPORTRANGE(""https://docs.google.com/spreadsheets/d/1kfLP0j3INXRa8bTDpcEmoWewMBV61jlFlfzczfjWIgc/edit?usp=sharing"",""อุบลราชธานี!Q580"")"),0)</f>
        <v>0</v>
      </c>
      <c r="R580" s="59">
        <f ca="1">IFERROR(__xludf.DUMMYFUNCTION("IMPORTRANGE(""https://docs.google.com/spreadsheets/d/1yhBcrRPreicbMKl9Bu_Snb2-OcQAF62RKfhTLhJ2eAA/edit?usp=sharing"",""กาฬสินธุ์!R580"")+IMPORTRANGE(""https://docs.google.com/spreadsheets/d/1aHkj4IaQMThhwWwevcOymEh837vdxeC_PycurhTbGFA/edit?usp=sharing"","&amp;"""ขอนแก่น!R580"")+IMPORTRANGE(""https://docs.google.com/spreadsheets/d/1FvTu2DsIWUjP6WCWra38Bkj_oOl_sOMf14r5Fg5srxU/edit?usp=sharing"",""ชัยภูมิ!R580"")+IMPORTRANGE(""https://docs.google.com/spreadsheets/d/1XVB7oCJ3pr-vBUdflwPQ8Z2LlzhnCvZaaYjAfP-647E/edit"&amp;"?usp=sharing"",""นครพนม!R580"")+IMPORTRANGE(""https://docs.google.com/spreadsheets/d/1Mnpb-8PYAgn85W6KOTD40hc_Xc55CaLfHoGAbrZ8tls/edit?usp=sharing"",""นครราชสีมา!R580"")+IMPORTRANGE(""https://docs.google.com/spreadsheets/d/1xoDLGBv9CYbyosIhki0kTq6IpYNj-gp"&amp;"jxfobnaDiut0/edit?usp=sharing"",""บึงกาฬ!R580"")+IMPORTRANGE(""https://docs.google.com/spreadsheets/d/1MMPq-JyI6DSgQETxuSiXkesP-P7JHuemnE6QJIa-Nlw/edit?usp=sharing"",""บุรีรัมย์!R580"")+IMPORTRANGE(""https://docs.google.com/spreadsheets/d/1l6IZ8xUPgMrESzc"&amp;"TYwhA1k_tPjeQjJPTqlm8Gd9eU5g/edit?usp=sharing"",""มหาสารคาม!R580"")+IMPORTRANGE(""https://docs.google.com/spreadsheets/d/1uB74YLqNjWX6FObjekfB2NtSYigTQyR2rq9u4Ub2Sq4/edit?usp=sharing"",""มุกดาหาร!R580"")+IMPORTRANGE(""https://docs.google.com/spreadsheets/"&amp;"d/1NexK3geCPxCTO1fzNF8dPec7yZyUx3OaWkFBC9HsQOo/edit?usp=sharing"",""ยโสธร!R580"")+IMPORTRANGE(""https://docs.google.com/spreadsheets/d/1v_cJrbBlyqmnHPReHk44g9NrMRdENNlSy_E_c5M9fIg/edit?usp=sharing"",""ร้อยเอ็ด!R580"")+IMPORTRANGE(""https://docs.google.com"&amp;"/spreadsheets/d/1Ul4RCpCX66NxYADU1QpwAPjOmBzW64SsT11s1wzXw_c/edit?usp=sharing"",""เลย!R580"")+IMPORTRANGE(""https://docs.google.com/spreadsheets/d/1bRrNKwbHDVktQG10isr5vbWRtt5spIZPpkOSWgbT5ug/edit?usp=sharing"",""ศรีสะเกษ!R580"")+IMPORTRANGE(""https://doc"&amp;"s.google.com/spreadsheets/d/17P34_Ow5kFBfdQD0qspb2UuPX5zpi6WMrQzslghyvrI/edit?usp=sharing"",""สกลนคร!R580"")+IMPORTRANGE(""https://docs.google.com/spreadsheets/d/1yswqbM3-AEpThF3ZSUa1AcmHnmRTF1vlJ1CZGcJ8YuU/edit?usp=sharing"",""สุรินทร์!R580"")+IMPORTRANG"&amp;"E(""https://docs.google.com/spreadsheets/d/13JHU_EFbsQOUQ0JSQ3dWy1VTRosIWcDq6Nc99z2qzdc/edit?usp=sharing"",""หนองคาย!R580"")+IMPORTRANGE(""https://docs.google.com/spreadsheets/d/1Hx73zIEgVdDZZaYSTc46Dqv64atFhpr3GelxLbaIN8A/edit?usp=sharing"",""หนองบัวลำภู"&amp;"!R580"")+IMPORTRANGE(""https://docs.google.com/spreadsheets/d/1lFxr3ctmjFN90yc-xV6jrQ9Ty8BKYVBWnAZ15wcNIJc/edit?usp=sharing"",""อำนาจเจริญ!R580"")+IMPORTRANGE(""https://docs.google.com/spreadsheets/d/1gF7RJpRnL-1oyjyeWxs5SFWEH7y8ahOZsQlyp2A2e-A/edit?usp=s"&amp;"haring"",""อุดรธานี!R580"")+IMPORTRANGE(""https://docs.google.com/spreadsheets/d/1kfLP0j3INXRa8bTDpcEmoWewMBV61jlFlfzczfjWIgc/edit?usp=sharing"",""อุบลราชธานี!R580"")"),0)</f>
        <v>0</v>
      </c>
      <c r="S580" s="60">
        <f ca="1">IFERROR(__xludf.DUMMYFUNCTION("IMPORTRANGE(""https://docs.google.com/spreadsheets/d/1yhBcrRPreicbMKl9Bu_Snb2-OcQAF62RKfhTLhJ2eAA/edit?usp=sharing"",""กาฬสินธุ์!S580"")+IMPORTRANGE(""https://docs.google.com/spreadsheets/d/1aHkj4IaQMThhwWwevcOymEh837vdxeC_PycurhTbGFA/edit?usp=sharing"","&amp;"""ขอนแก่น!S580"")+IMPORTRANGE(""https://docs.google.com/spreadsheets/d/1FvTu2DsIWUjP6WCWra38Bkj_oOl_sOMf14r5Fg5srxU/edit?usp=sharing"",""ชัยภูมิ!S580"")+IMPORTRANGE(""https://docs.google.com/spreadsheets/d/1XVB7oCJ3pr-vBUdflwPQ8Z2LlzhnCvZaaYjAfP-647E/edit"&amp;"?usp=sharing"",""นครพนม!S580"")+IMPORTRANGE(""https://docs.google.com/spreadsheets/d/1Mnpb-8PYAgn85W6KOTD40hc_Xc55CaLfHoGAbrZ8tls/edit?usp=sharing"",""นครราชสีมา!S580"")+IMPORTRANGE(""https://docs.google.com/spreadsheets/d/1xoDLGBv9CYbyosIhki0kTq6IpYNj-gp"&amp;"jxfobnaDiut0/edit?usp=sharing"",""บึงกาฬ!S580"")+IMPORTRANGE(""https://docs.google.com/spreadsheets/d/1MMPq-JyI6DSgQETxuSiXkesP-P7JHuemnE6QJIa-Nlw/edit?usp=sharing"",""บุรีรัมย์!S580"")+IMPORTRANGE(""https://docs.google.com/spreadsheets/d/1l6IZ8xUPgMrESzc"&amp;"TYwhA1k_tPjeQjJPTqlm8Gd9eU5g/edit?usp=sharing"",""มหาสารคาม!S580"")+IMPORTRANGE(""https://docs.google.com/spreadsheets/d/1uB74YLqNjWX6FObjekfB2NtSYigTQyR2rq9u4Ub2Sq4/edit?usp=sharing"",""มุกดาหาร!S580"")+IMPORTRANGE(""https://docs.google.com/spreadsheets/"&amp;"d/1NexK3geCPxCTO1fzNF8dPec7yZyUx3OaWkFBC9HsQOo/edit?usp=sharing"",""ยโสธร!S580"")+IMPORTRANGE(""https://docs.google.com/spreadsheets/d/1v_cJrbBlyqmnHPReHk44g9NrMRdENNlSy_E_c5M9fIg/edit?usp=sharing"",""ร้อยเอ็ด!S580"")+IMPORTRANGE(""https://docs.google.com"&amp;"/spreadsheets/d/1Ul4RCpCX66NxYADU1QpwAPjOmBzW64SsT11s1wzXw_c/edit?usp=sharing"",""เลย!S580"")+IMPORTRANGE(""https://docs.google.com/spreadsheets/d/1bRrNKwbHDVktQG10isr5vbWRtt5spIZPpkOSWgbT5ug/edit?usp=sharing"",""ศรีสะเกษ!S580"")+IMPORTRANGE(""https://doc"&amp;"s.google.com/spreadsheets/d/17P34_Ow5kFBfdQD0qspb2UuPX5zpi6WMrQzslghyvrI/edit?usp=sharing"",""สกลนคร!S580"")+IMPORTRANGE(""https://docs.google.com/spreadsheets/d/1yswqbM3-AEpThF3ZSUa1AcmHnmRTF1vlJ1CZGcJ8YuU/edit?usp=sharing"",""สุรินทร์!S580"")+IMPORTRANG"&amp;"E(""https://docs.google.com/spreadsheets/d/13JHU_EFbsQOUQ0JSQ3dWy1VTRosIWcDq6Nc99z2qzdc/edit?usp=sharing"",""หนองคาย!S580"")+IMPORTRANGE(""https://docs.google.com/spreadsheets/d/1Hx73zIEgVdDZZaYSTc46Dqv64atFhpr3GelxLbaIN8A/edit?usp=sharing"",""หนองบัวลำภู"&amp;"!S580"")+IMPORTRANGE(""https://docs.google.com/spreadsheets/d/1lFxr3ctmjFN90yc-xV6jrQ9Ty8BKYVBWnAZ15wcNIJc/edit?usp=sharing"",""อำนาจเจริญ!S580"")+IMPORTRANGE(""https://docs.google.com/spreadsheets/d/1gF7RJpRnL-1oyjyeWxs5SFWEH7y8ahOZsQlyp2A2e-A/edit?usp=s"&amp;"haring"",""อุดรธานี!S580"")+IMPORTRANGE(""https://docs.google.com/spreadsheets/d/1kfLP0j3INXRa8bTDpcEmoWewMBV61jlFlfzczfjWIgc/edit?usp=sharing"",""อุบลราชธานี!S580"")"),0)</f>
        <v>0</v>
      </c>
      <c r="T580" s="59">
        <f t="shared" ca="1" si="412"/>
        <v>0</v>
      </c>
      <c r="U580" s="59">
        <f t="shared" ca="1" si="413"/>
        <v>0</v>
      </c>
    </row>
    <row r="581" spans="1:21" ht="18.75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56">
        <f ca="1">IFERROR(__xludf.DUMMYFUNCTION("IMPORTRANGE(""https://docs.google.com/spreadsheets/d/1yhBcrRPreicbMKl9Bu_Snb2-OcQAF62RKfhTLhJ2eAA/edit?usp=sharing"",""กาฬสินธุ์!L581"")+IMPORTRANGE(""https://docs.google.com/spreadsheets/d/1aHkj4IaQMThhwWwevcOymEh837vdxeC_PycurhTbGFA/edit?usp=sharing"","&amp;"""ขอนแก่น!L581"")+IMPORTRANGE(""https://docs.google.com/spreadsheets/d/1FvTu2DsIWUjP6WCWra38Bkj_oOl_sOMf14r5Fg5srxU/edit?usp=sharing"",""ชัยภูมิ!L581"")+IMPORTRANGE(""https://docs.google.com/spreadsheets/d/1XVB7oCJ3pr-vBUdflwPQ8Z2LlzhnCvZaaYjAfP-647E/edit"&amp;"?usp=sharing"",""นครพนม!L581"")+IMPORTRANGE(""https://docs.google.com/spreadsheets/d/1Mnpb-8PYAgn85W6KOTD40hc_Xc55CaLfHoGAbrZ8tls/edit?usp=sharing"",""นครราชสีมา!L581"")+IMPORTRANGE(""https://docs.google.com/spreadsheets/d/1xoDLGBv9CYbyosIhki0kTq6IpYNj-gp"&amp;"jxfobnaDiut0/edit?usp=sharing"",""บึงกาฬ!L581"")+IMPORTRANGE(""https://docs.google.com/spreadsheets/d/1MMPq-JyI6DSgQETxuSiXkesP-P7JHuemnE6QJIa-Nlw/edit?usp=sharing"",""บุรีรัมย์!L581"")+IMPORTRANGE(""https://docs.google.com/spreadsheets/d/1l6IZ8xUPgMrESzc"&amp;"TYwhA1k_tPjeQjJPTqlm8Gd9eU5g/edit?usp=sharing"",""มหาสารคาม!L581"")+IMPORTRANGE(""https://docs.google.com/spreadsheets/d/1uB74YLqNjWX6FObjekfB2NtSYigTQyR2rq9u4Ub2Sq4/edit?usp=sharing"",""มุกดาหาร!L581"")+IMPORTRANGE(""https://docs.google.com/spreadsheets/"&amp;"d/1NexK3geCPxCTO1fzNF8dPec7yZyUx3OaWkFBC9HsQOo/edit?usp=sharing"",""ยโสธร!L581"")+IMPORTRANGE(""https://docs.google.com/spreadsheets/d/1v_cJrbBlyqmnHPReHk44g9NrMRdENNlSy_E_c5M9fIg/edit?usp=sharing"",""ร้อยเอ็ด!L581"")+IMPORTRANGE(""https://docs.google.com"&amp;"/spreadsheets/d/1Ul4RCpCX66NxYADU1QpwAPjOmBzW64SsT11s1wzXw_c/edit?usp=sharing"",""เลย!L581"")+IMPORTRANGE(""https://docs.google.com/spreadsheets/d/1bRrNKwbHDVktQG10isr5vbWRtt5spIZPpkOSWgbT5ug/edit?usp=sharing"",""ศรีสะเกษ!L581"")+IMPORTRANGE(""https://doc"&amp;"s.google.com/spreadsheets/d/17P34_Ow5kFBfdQD0qspb2UuPX5zpi6WMrQzslghyvrI/edit?usp=sharing"",""สกลนคร!L581"")+IMPORTRANGE(""https://docs.google.com/spreadsheets/d/1yswqbM3-AEpThF3ZSUa1AcmHnmRTF1vlJ1CZGcJ8YuU/edit?usp=sharing"",""สุรินทร์!L581"")+IMPORTRANG"&amp;"E(""https://docs.google.com/spreadsheets/d/13JHU_EFbsQOUQ0JSQ3dWy1VTRosIWcDq6Nc99z2qzdc/edit?usp=sharing"",""หนองคาย!L581"")+IMPORTRANGE(""https://docs.google.com/spreadsheets/d/1Hx73zIEgVdDZZaYSTc46Dqv64atFhpr3GelxLbaIN8A/edit?usp=sharing"",""หนองบัวลำภู"&amp;"!L581"")+IMPORTRANGE(""https://docs.google.com/spreadsheets/d/1lFxr3ctmjFN90yc-xV6jrQ9Ty8BKYVBWnAZ15wcNIJc/edit?usp=sharing"",""อำนาจเจริญ!L581"")+IMPORTRANGE(""https://docs.google.com/spreadsheets/d/1gF7RJpRnL-1oyjyeWxs5SFWEH7y8ahOZsQlyp2A2e-A/edit?usp=s"&amp;"haring"",""อุดรธานี!L581"")+IMPORTRANGE(""https://docs.google.com/spreadsheets/d/1kfLP0j3INXRa8bTDpcEmoWewMBV61jlFlfzczfjWIgc/edit?usp=sharing"",""อุบลราชธานี!L581"")"),0)</f>
        <v>0</v>
      </c>
      <c r="M581" s="56">
        <f ca="1">IFERROR(__xludf.DUMMYFUNCTION("IMPORTRANGE(""https://docs.google.com/spreadsheets/d/1yhBcrRPreicbMKl9Bu_Snb2-OcQAF62RKfhTLhJ2eAA/edit?usp=sharing"",""กาฬสินธุ์!M581"")+IMPORTRANGE(""https://docs.google.com/spreadsheets/d/1aHkj4IaQMThhwWwevcOymEh837vdxeC_PycurhTbGFA/edit?usp=sharing"","&amp;"""ขอนแก่น!M581"")+IMPORTRANGE(""https://docs.google.com/spreadsheets/d/1FvTu2DsIWUjP6WCWra38Bkj_oOl_sOMf14r5Fg5srxU/edit?usp=sharing"",""ชัยภูมิ!M581"")+IMPORTRANGE(""https://docs.google.com/spreadsheets/d/1XVB7oCJ3pr-vBUdflwPQ8Z2LlzhnCvZaaYjAfP-647E/edit"&amp;"?usp=sharing"",""นครพนม!M581"")+IMPORTRANGE(""https://docs.google.com/spreadsheets/d/1Mnpb-8PYAgn85W6KOTD40hc_Xc55CaLfHoGAbrZ8tls/edit?usp=sharing"",""นครราชสีมา!M581"")+IMPORTRANGE(""https://docs.google.com/spreadsheets/d/1xoDLGBv9CYbyosIhki0kTq6IpYNj-gp"&amp;"jxfobnaDiut0/edit?usp=sharing"",""บึงกาฬ!M581"")+IMPORTRANGE(""https://docs.google.com/spreadsheets/d/1MMPq-JyI6DSgQETxuSiXkesP-P7JHuemnE6QJIa-Nlw/edit?usp=sharing"",""บุรีรัมย์!M581"")+IMPORTRANGE(""https://docs.google.com/spreadsheets/d/1l6IZ8xUPgMrESzc"&amp;"TYwhA1k_tPjeQjJPTqlm8Gd9eU5g/edit?usp=sharing"",""มหาสารคาม!M581"")+IMPORTRANGE(""https://docs.google.com/spreadsheets/d/1uB74YLqNjWX6FObjekfB2NtSYigTQyR2rq9u4Ub2Sq4/edit?usp=sharing"",""มุกดาหาร!M581"")+IMPORTRANGE(""https://docs.google.com/spreadsheets/"&amp;"d/1NexK3geCPxCTO1fzNF8dPec7yZyUx3OaWkFBC9HsQOo/edit?usp=sharing"",""ยโสธร!M581"")+IMPORTRANGE(""https://docs.google.com/spreadsheets/d/1v_cJrbBlyqmnHPReHk44g9NrMRdENNlSy_E_c5M9fIg/edit?usp=sharing"",""ร้อยเอ็ด!M581"")+IMPORTRANGE(""https://docs.google.com"&amp;"/spreadsheets/d/1Ul4RCpCX66NxYADU1QpwAPjOmBzW64SsT11s1wzXw_c/edit?usp=sharing"",""เลย!M581"")+IMPORTRANGE(""https://docs.google.com/spreadsheets/d/1bRrNKwbHDVktQG10isr5vbWRtt5spIZPpkOSWgbT5ug/edit?usp=sharing"",""ศรีสะเกษ!M581"")+IMPORTRANGE(""https://doc"&amp;"s.google.com/spreadsheets/d/17P34_Ow5kFBfdQD0qspb2UuPX5zpi6WMrQzslghyvrI/edit?usp=sharing"",""สกลนคร!M581"")+IMPORTRANGE(""https://docs.google.com/spreadsheets/d/1yswqbM3-AEpThF3ZSUa1AcmHnmRTF1vlJ1CZGcJ8YuU/edit?usp=sharing"",""สุรินทร์!M581"")+IMPORTRANG"&amp;"E(""https://docs.google.com/spreadsheets/d/13JHU_EFbsQOUQ0JSQ3dWy1VTRosIWcDq6Nc99z2qzdc/edit?usp=sharing"",""หนองคาย!M581"")+IMPORTRANGE(""https://docs.google.com/spreadsheets/d/1Hx73zIEgVdDZZaYSTc46Dqv64atFhpr3GelxLbaIN8A/edit?usp=sharing"",""หนองบัวลำภู"&amp;"!M581"")+IMPORTRANGE(""https://docs.google.com/spreadsheets/d/1lFxr3ctmjFN90yc-xV6jrQ9Ty8BKYVBWnAZ15wcNIJc/edit?usp=sharing"",""อำนาจเจริญ!M581"")+IMPORTRANGE(""https://docs.google.com/spreadsheets/d/1gF7RJpRnL-1oyjyeWxs5SFWEH7y8ahOZsQlyp2A2e-A/edit?usp=s"&amp;"haring"",""อุดรธานี!M581"")+IMPORTRANGE(""https://docs.google.com/spreadsheets/d/1kfLP0j3INXRa8bTDpcEmoWewMBV61jlFlfzczfjWIgc/edit?usp=sharing"",""อุบลราชธานี!M581"")"),0)</f>
        <v>0</v>
      </c>
      <c r="N581" s="56">
        <f ca="1">IFERROR(__xludf.DUMMYFUNCTION("IMPORTRANGE(""https://docs.google.com/spreadsheets/d/1yhBcrRPreicbMKl9Bu_Snb2-OcQAF62RKfhTLhJ2eAA/edit?usp=sharing"",""กาฬสินธุ์!N581"")+IMPORTRANGE(""https://docs.google.com/spreadsheets/d/1aHkj4IaQMThhwWwevcOymEh837vdxeC_PycurhTbGFA/edit?usp=sharing"","&amp;"""ขอนแก่น!N581"")+IMPORTRANGE(""https://docs.google.com/spreadsheets/d/1FvTu2DsIWUjP6WCWra38Bkj_oOl_sOMf14r5Fg5srxU/edit?usp=sharing"",""ชัยภูมิ!N581"")+IMPORTRANGE(""https://docs.google.com/spreadsheets/d/1XVB7oCJ3pr-vBUdflwPQ8Z2LlzhnCvZaaYjAfP-647E/edit"&amp;"?usp=sharing"",""นครพนม!N581"")+IMPORTRANGE(""https://docs.google.com/spreadsheets/d/1Mnpb-8PYAgn85W6KOTD40hc_Xc55CaLfHoGAbrZ8tls/edit?usp=sharing"",""นครราชสีมา!N581"")+IMPORTRANGE(""https://docs.google.com/spreadsheets/d/1xoDLGBv9CYbyosIhki0kTq6IpYNj-gp"&amp;"jxfobnaDiut0/edit?usp=sharing"",""บึงกาฬ!N581"")+IMPORTRANGE(""https://docs.google.com/spreadsheets/d/1MMPq-JyI6DSgQETxuSiXkesP-P7JHuemnE6QJIa-Nlw/edit?usp=sharing"",""บุรีรัมย์!N581"")+IMPORTRANGE(""https://docs.google.com/spreadsheets/d/1l6IZ8xUPgMrESzc"&amp;"TYwhA1k_tPjeQjJPTqlm8Gd9eU5g/edit?usp=sharing"",""มหาสารคาม!N581"")+IMPORTRANGE(""https://docs.google.com/spreadsheets/d/1uB74YLqNjWX6FObjekfB2NtSYigTQyR2rq9u4Ub2Sq4/edit?usp=sharing"",""มุกดาหาร!N581"")+IMPORTRANGE(""https://docs.google.com/spreadsheets/"&amp;"d/1NexK3geCPxCTO1fzNF8dPec7yZyUx3OaWkFBC9HsQOo/edit?usp=sharing"",""ยโสธร!N581"")+IMPORTRANGE(""https://docs.google.com/spreadsheets/d/1v_cJrbBlyqmnHPReHk44g9NrMRdENNlSy_E_c5M9fIg/edit?usp=sharing"",""ร้อยเอ็ด!N581"")+IMPORTRANGE(""https://docs.google.com"&amp;"/spreadsheets/d/1Ul4RCpCX66NxYADU1QpwAPjOmBzW64SsT11s1wzXw_c/edit?usp=sharing"",""เลย!N581"")+IMPORTRANGE(""https://docs.google.com/spreadsheets/d/1bRrNKwbHDVktQG10isr5vbWRtt5spIZPpkOSWgbT5ug/edit?usp=sharing"",""ศรีสะเกษ!N581"")+IMPORTRANGE(""https://doc"&amp;"s.google.com/spreadsheets/d/17P34_Ow5kFBfdQD0qspb2UuPX5zpi6WMrQzslghyvrI/edit?usp=sharing"",""สกลนคร!N581"")+IMPORTRANGE(""https://docs.google.com/spreadsheets/d/1yswqbM3-AEpThF3ZSUa1AcmHnmRTF1vlJ1CZGcJ8YuU/edit?usp=sharing"",""สุรินทร์!N581"")+IMPORTRANG"&amp;"E(""https://docs.google.com/spreadsheets/d/13JHU_EFbsQOUQ0JSQ3dWy1VTRosIWcDq6Nc99z2qzdc/edit?usp=sharing"",""หนองคาย!N581"")+IMPORTRANGE(""https://docs.google.com/spreadsheets/d/1Hx73zIEgVdDZZaYSTc46Dqv64atFhpr3GelxLbaIN8A/edit?usp=sharing"",""หนองบัวลำภู"&amp;"!N581"")+IMPORTRANGE(""https://docs.google.com/spreadsheets/d/1lFxr3ctmjFN90yc-xV6jrQ9Ty8BKYVBWnAZ15wcNIJc/edit?usp=sharing"",""อำนาจเจริญ!N581"")+IMPORTRANGE(""https://docs.google.com/spreadsheets/d/1gF7RJpRnL-1oyjyeWxs5SFWEH7y8ahOZsQlyp2A2e-A/edit?usp=s"&amp;"haring"",""อุดรธานี!N581"")+IMPORTRANGE(""https://docs.google.com/spreadsheets/d/1kfLP0j3INXRa8bTDpcEmoWewMBV61jlFlfzczfjWIgc/edit?usp=sharing"",""อุบลราชธานี!N581"")"),0)</f>
        <v>0</v>
      </c>
      <c r="O581" s="56">
        <f t="shared" ca="1" si="409"/>
        <v>0</v>
      </c>
      <c r="P581" s="56">
        <f t="shared" ca="1" si="410"/>
        <v>0</v>
      </c>
      <c r="Q581" s="56">
        <f ca="1">IFERROR(__xludf.DUMMYFUNCTION("IMPORTRANGE(""https://docs.google.com/spreadsheets/d/1yhBcrRPreicbMKl9Bu_Snb2-OcQAF62RKfhTLhJ2eAA/edit?usp=sharing"",""กาฬสินธุ์!Q581"")+IMPORTRANGE(""https://docs.google.com/spreadsheets/d/1aHkj4IaQMThhwWwevcOymEh837vdxeC_PycurhTbGFA/edit?usp=sharing"","&amp;"""ขอนแก่น!Q581"")+IMPORTRANGE(""https://docs.google.com/spreadsheets/d/1FvTu2DsIWUjP6WCWra38Bkj_oOl_sOMf14r5Fg5srxU/edit?usp=sharing"",""ชัยภูมิ!Q581"")+IMPORTRANGE(""https://docs.google.com/spreadsheets/d/1XVB7oCJ3pr-vBUdflwPQ8Z2LlzhnCvZaaYjAfP-647E/edit"&amp;"?usp=sharing"",""นครพนม!Q581"")+IMPORTRANGE(""https://docs.google.com/spreadsheets/d/1Mnpb-8PYAgn85W6KOTD40hc_Xc55CaLfHoGAbrZ8tls/edit?usp=sharing"",""นครราชสีมา!Q581"")+IMPORTRANGE(""https://docs.google.com/spreadsheets/d/1xoDLGBv9CYbyosIhki0kTq6IpYNj-gp"&amp;"jxfobnaDiut0/edit?usp=sharing"",""บึงกาฬ!Q581"")+IMPORTRANGE(""https://docs.google.com/spreadsheets/d/1MMPq-JyI6DSgQETxuSiXkesP-P7JHuemnE6QJIa-Nlw/edit?usp=sharing"",""บุรีรัมย์!Q581"")+IMPORTRANGE(""https://docs.google.com/spreadsheets/d/1l6IZ8xUPgMrESzc"&amp;"TYwhA1k_tPjeQjJPTqlm8Gd9eU5g/edit?usp=sharing"",""มหาสารคาม!Q581"")+IMPORTRANGE(""https://docs.google.com/spreadsheets/d/1uB74YLqNjWX6FObjekfB2NtSYigTQyR2rq9u4Ub2Sq4/edit?usp=sharing"",""มุกดาหาร!Q581"")+IMPORTRANGE(""https://docs.google.com/spreadsheets/"&amp;"d/1NexK3geCPxCTO1fzNF8dPec7yZyUx3OaWkFBC9HsQOo/edit?usp=sharing"",""ยโสธร!Q581"")+IMPORTRANGE(""https://docs.google.com/spreadsheets/d/1v_cJrbBlyqmnHPReHk44g9NrMRdENNlSy_E_c5M9fIg/edit?usp=sharing"",""ร้อยเอ็ด!Q581"")+IMPORTRANGE(""https://docs.google.com"&amp;"/spreadsheets/d/1Ul4RCpCX66NxYADU1QpwAPjOmBzW64SsT11s1wzXw_c/edit?usp=sharing"",""เลย!Q581"")+IMPORTRANGE(""https://docs.google.com/spreadsheets/d/1bRrNKwbHDVktQG10isr5vbWRtt5spIZPpkOSWgbT5ug/edit?usp=sharing"",""ศรีสะเกษ!Q581"")+IMPORTRANGE(""https://doc"&amp;"s.google.com/spreadsheets/d/17P34_Ow5kFBfdQD0qspb2UuPX5zpi6WMrQzslghyvrI/edit?usp=sharing"",""สกลนคร!Q581"")+IMPORTRANGE(""https://docs.google.com/spreadsheets/d/1yswqbM3-AEpThF3ZSUa1AcmHnmRTF1vlJ1CZGcJ8YuU/edit?usp=sharing"",""สุรินทร์!Q581"")+IMPORTRANG"&amp;"E(""https://docs.google.com/spreadsheets/d/13JHU_EFbsQOUQ0JSQ3dWy1VTRosIWcDq6Nc99z2qzdc/edit?usp=sharing"",""หนองคาย!Q581"")+IMPORTRANGE(""https://docs.google.com/spreadsheets/d/1Hx73zIEgVdDZZaYSTc46Dqv64atFhpr3GelxLbaIN8A/edit?usp=sharing"",""หนองบัวลำภู"&amp;"!Q581"")+IMPORTRANGE(""https://docs.google.com/spreadsheets/d/1lFxr3ctmjFN90yc-xV6jrQ9Ty8BKYVBWnAZ15wcNIJc/edit?usp=sharing"",""อำนาจเจริญ!Q581"")+IMPORTRANGE(""https://docs.google.com/spreadsheets/d/1gF7RJpRnL-1oyjyeWxs5SFWEH7y8ahOZsQlyp2A2e-A/edit?usp=s"&amp;"haring"",""อุดรธานี!Q581"")+IMPORTRANGE(""https://docs.google.com/spreadsheets/d/1kfLP0j3INXRa8bTDpcEmoWewMBV61jlFlfzczfjWIgc/edit?usp=sharing"",""อุบลราชธานี!Q581"")"),0)</f>
        <v>0</v>
      </c>
      <c r="R581" s="56">
        <f ca="1">IFERROR(__xludf.DUMMYFUNCTION("IMPORTRANGE(""https://docs.google.com/spreadsheets/d/1yhBcrRPreicbMKl9Bu_Snb2-OcQAF62RKfhTLhJ2eAA/edit?usp=sharing"",""กาฬสินธุ์!R581"")+IMPORTRANGE(""https://docs.google.com/spreadsheets/d/1aHkj4IaQMThhwWwevcOymEh837vdxeC_PycurhTbGFA/edit?usp=sharing"","&amp;"""ขอนแก่น!R581"")+IMPORTRANGE(""https://docs.google.com/spreadsheets/d/1FvTu2DsIWUjP6WCWra38Bkj_oOl_sOMf14r5Fg5srxU/edit?usp=sharing"",""ชัยภูมิ!R581"")+IMPORTRANGE(""https://docs.google.com/spreadsheets/d/1XVB7oCJ3pr-vBUdflwPQ8Z2LlzhnCvZaaYjAfP-647E/edit"&amp;"?usp=sharing"",""นครพนม!R581"")+IMPORTRANGE(""https://docs.google.com/spreadsheets/d/1Mnpb-8PYAgn85W6KOTD40hc_Xc55CaLfHoGAbrZ8tls/edit?usp=sharing"",""นครราชสีมา!R581"")+IMPORTRANGE(""https://docs.google.com/spreadsheets/d/1xoDLGBv9CYbyosIhki0kTq6IpYNj-gp"&amp;"jxfobnaDiut0/edit?usp=sharing"",""บึงกาฬ!R581"")+IMPORTRANGE(""https://docs.google.com/spreadsheets/d/1MMPq-JyI6DSgQETxuSiXkesP-P7JHuemnE6QJIa-Nlw/edit?usp=sharing"",""บุรีรัมย์!R581"")+IMPORTRANGE(""https://docs.google.com/spreadsheets/d/1l6IZ8xUPgMrESzc"&amp;"TYwhA1k_tPjeQjJPTqlm8Gd9eU5g/edit?usp=sharing"",""มหาสารคาม!R581"")+IMPORTRANGE(""https://docs.google.com/spreadsheets/d/1uB74YLqNjWX6FObjekfB2NtSYigTQyR2rq9u4Ub2Sq4/edit?usp=sharing"",""มุกดาหาร!R581"")+IMPORTRANGE(""https://docs.google.com/spreadsheets/"&amp;"d/1NexK3geCPxCTO1fzNF8dPec7yZyUx3OaWkFBC9HsQOo/edit?usp=sharing"",""ยโสธร!R581"")+IMPORTRANGE(""https://docs.google.com/spreadsheets/d/1v_cJrbBlyqmnHPReHk44g9NrMRdENNlSy_E_c5M9fIg/edit?usp=sharing"",""ร้อยเอ็ด!R581"")+IMPORTRANGE(""https://docs.google.com"&amp;"/spreadsheets/d/1Ul4RCpCX66NxYADU1QpwAPjOmBzW64SsT11s1wzXw_c/edit?usp=sharing"",""เลย!R581"")+IMPORTRANGE(""https://docs.google.com/spreadsheets/d/1bRrNKwbHDVktQG10isr5vbWRtt5spIZPpkOSWgbT5ug/edit?usp=sharing"",""ศรีสะเกษ!R581"")+IMPORTRANGE(""https://doc"&amp;"s.google.com/spreadsheets/d/17P34_Ow5kFBfdQD0qspb2UuPX5zpi6WMrQzslghyvrI/edit?usp=sharing"",""สกลนคร!R581"")+IMPORTRANGE(""https://docs.google.com/spreadsheets/d/1yswqbM3-AEpThF3ZSUa1AcmHnmRTF1vlJ1CZGcJ8YuU/edit?usp=sharing"",""สุรินทร์!R581"")+IMPORTRANG"&amp;"E(""https://docs.google.com/spreadsheets/d/13JHU_EFbsQOUQ0JSQ3dWy1VTRosIWcDq6Nc99z2qzdc/edit?usp=sharing"",""หนองคาย!R581"")+IMPORTRANGE(""https://docs.google.com/spreadsheets/d/1Hx73zIEgVdDZZaYSTc46Dqv64atFhpr3GelxLbaIN8A/edit?usp=sharing"",""หนองบัวลำภู"&amp;"!R581"")+IMPORTRANGE(""https://docs.google.com/spreadsheets/d/1lFxr3ctmjFN90yc-xV6jrQ9Ty8BKYVBWnAZ15wcNIJc/edit?usp=sharing"",""อำนาจเจริญ!R581"")+IMPORTRANGE(""https://docs.google.com/spreadsheets/d/1gF7RJpRnL-1oyjyeWxs5SFWEH7y8ahOZsQlyp2A2e-A/edit?usp=s"&amp;"haring"",""อุดรธานี!R581"")+IMPORTRANGE(""https://docs.google.com/spreadsheets/d/1kfLP0j3INXRa8bTDpcEmoWewMBV61jlFlfzczfjWIgc/edit?usp=sharing"",""อุบลราชธานี!R581"")"),0)</f>
        <v>0</v>
      </c>
      <c r="S581" s="57">
        <f ca="1">IFERROR(__xludf.DUMMYFUNCTION("IMPORTRANGE(""https://docs.google.com/spreadsheets/d/1yhBcrRPreicbMKl9Bu_Snb2-OcQAF62RKfhTLhJ2eAA/edit?usp=sharing"",""กาฬสินธุ์!S581"")+IMPORTRANGE(""https://docs.google.com/spreadsheets/d/1aHkj4IaQMThhwWwevcOymEh837vdxeC_PycurhTbGFA/edit?usp=sharing"","&amp;"""ขอนแก่น!S581"")+IMPORTRANGE(""https://docs.google.com/spreadsheets/d/1FvTu2DsIWUjP6WCWra38Bkj_oOl_sOMf14r5Fg5srxU/edit?usp=sharing"",""ชัยภูมิ!S581"")+IMPORTRANGE(""https://docs.google.com/spreadsheets/d/1XVB7oCJ3pr-vBUdflwPQ8Z2LlzhnCvZaaYjAfP-647E/edit"&amp;"?usp=sharing"",""นครพนม!S581"")+IMPORTRANGE(""https://docs.google.com/spreadsheets/d/1Mnpb-8PYAgn85W6KOTD40hc_Xc55CaLfHoGAbrZ8tls/edit?usp=sharing"",""นครราชสีมา!S581"")+IMPORTRANGE(""https://docs.google.com/spreadsheets/d/1xoDLGBv9CYbyosIhki0kTq6IpYNj-gp"&amp;"jxfobnaDiut0/edit?usp=sharing"",""บึงกาฬ!S581"")+IMPORTRANGE(""https://docs.google.com/spreadsheets/d/1MMPq-JyI6DSgQETxuSiXkesP-P7JHuemnE6QJIa-Nlw/edit?usp=sharing"",""บุรีรัมย์!S581"")+IMPORTRANGE(""https://docs.google.com/spreadsheets/d/1l6IZ8xUPgMrESzc"&amp;"TYwhA1k_tPjeQjJPTqlm8Gd9eU5g/edit?usp=sharing"",""มหาสารคาม!S581"")+IMPORTRANGE(""https://docs.google.com/spreadsheets/d/1uB74YLqNjWX6FObjekfB2NtSYigTQyR2rq9u4Ub2Sq4/edit?usp=sharing"",""มุกดาหาร!S581"")+IMPORTRANGE(""https://docs.google.com/spreadsheets/"&amp;"d/1NexK3geCPxCTO1fzNF8dPec7yZyUx3OaWkFBC9HsQOo/edit?usp=sharing"",""ยโสธร!S581"")+IMPORTRANGE(""https://docs.google.com/spreadsheets/d/1v_cJrbBlyqmnHPReHk44g9NrMRdENNlSy_E_c5M9fIg/edit?usp=sharing"",""ร้อยเอ็ด!S581"")+IMPORTRANGE(""https://docs.google.com"&amp;"/spreadsheets/d/1Ul4RCpCX66NxYADU1QpwAPjOmBzW64SsT11s1wzXw_c/edit?usp=sharing"",""เลย!S581"")+IMPORTRANGE(""https://docs.google.com/spreadsheets/d/1bRrNKwbHDVktQG10isr5vbWRtt5spIZPpkOSWgbT5ug/edit?usp=sharing"",""ศรีสะเกษ!S581"")+IMPORTRANGE(""https://doc"&amp;"s.google.com/spreadsheets/d/17P34_Ow5kFBfdQD0qspb2UuPX5zpi6WMrQzslghyvrI/edit?usp=sharing"",""สกลนคร!S581"")+IMPORTRANGE(""https://docs.google.com/spreadsheets/d/1yswqbM3-AEpThF3ZSUa1AcmHnmRTF1vlJ1CZGcJ8YuU/edit?usp=sharing"",""สุรินทร์!S581"")+IMPORTRANG"&amp;"E(""https://docs.google.com/spreadsheets/d/13JHU_EFbsQOUQ0JSQ3dWy1VTRosIWcDq6Nc99z2qzdc/edit?usp=sharing"",""หนองคาย!S581"")+IMPORTRANGE(""https://docs.google.com/spreadsheets/d/1Hx73zIEgVdDZZaYSTc46Dqv64atFhpr3GelxLbaIN8A/edit?usp=sharing"",""หนองบัวลำภู"&amp;"!S581"")+IMPORTRANGE(""https://docs.google.com/spreadsheets/d/1lFxr3ctmjFN90yc-xV6jrQ9Ty8BKYVBWnAZ15wcNIJc/edit?usp=sharing"",""อำนาจเจริญ!S581"")+IMPORTRANGE(""https://docs.google.com/spreadsheets/d/1gF7RJpRnL-1oyjyeWxs5SFWEH7y8ahOZsQlyp2A2e-A/edit?usp=s"&amp;"haring"",""อุดรธานี!S581"")+IMPORTRANGE(""https://docs.google.com/spreadsheets/d/1kfLP0j3INXRa8bTDpcEmoWewMBV61jlFlfzczfjWIgc/edit?usp=sharing"",""อุบลราชธานี!S581"")"),0)</f>
        <v>0</v>
      </c>
      <c r="T581" s="56">
        <f t="shared" ca="1" si="412"/>
        <v>0</v>
      </c>
      <c r="U581" s="56">
        <f t="shared" ca="1" si="413"/>
        <v>0</v>
      </c>
    </row>
    <row r="582" spans="1:21" ht="18.75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56">
        <f t="shared" ref="L582:N582" ca="1" si="420">L583+L584</f>
        <v>0</v>
      </c>
      <c r="M582" s="56">
        <f t="shared" ca="1" si="420"/>
        <v>0</v>
      </c>
      <c r="N582" s="56">
        <f t="shared" ca="1" si="420"/>
        <v>0</v>
      </c>
      <c r="O582" s="56">
        <f t="shared" ca="1" si="409"/>
        <v>0</v>
      </c>
      <c r="P582" s="56">
        <f t="shared" ca="1" si="410"/>
        <v>0</v>
      </c>
      <c r="Q582" s="56">
        <f t="shared" ref="Q582:S582" ca="1" si="421">Q583+Q584</f>
        <v>0</v>
      </c>
      <c r="R582" s="56">
        <f t="shared" ca="1" si="421"/>
        <v>0</v>
      </c>
      <c r="S582" s="57">
        <f t="shared" ca="1" si="421"/>
        <v>0</v>
      </c>
      <c r="T582" s="56">
        <f t="shared" ca="1" si="412"/>
        <v>0</v>
      </c>
      <c r="U582" s="56">
        <f t="shared" ca="1" si="413"/>
        <v>0</v>
      </c>
    </row>
    <row r="583" spans="1:21" ht="18.75">
      <c r="A583" s="155"/>
      <c r="B583" s="50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59">
        <f ca="1">IFERROR(__xludf.DUMMYFUNCTION("IMPORTRANGE(""https://docs.google.com/spreadsheets/d/1yhBcrRPreicbMKl9Bu_Snb2-OcQAF62RKfhTLhJ2eAA/edit?usp=sharing"",""กาฬสินธุ์!L583"")+IMPORTRANGE(""https://docs.google.com/spreadsheets/d/1aHkj4IaQMThhwWwevcOymEh837vdxeC_PycurhTbGFA/edit?usp=sharing"","&amp;"""ขอนแก่น!L583"")+IMPORTRANGE(""https://docs.google.com/spreadsheets/d/1FvTu2DsIWUjP6WCWra38Bkj_oOl_sOMf14r5Fg5srxU/edit?usp=sharing"",""ชัยภูมิ!L583"")+IMPORTRANGE(""https://docs.google.com/spreadsheets/d/1XVB7oCJ3pr-vBUdflwPQ8Z2LlzhnCvZaaYjAfP-647E/edit"&amp;"?usp=sharing"",""นครพนม!L583"")+IMPORTRANGE(""https://docs.google.com/spreadsheets/d/1Mnpb-8PYAgn85W6KOTD40hc_Xc55CaLfHoGAbrZ8tls/edit?usp=sharing"",""นครราชสีมา!L583"")+IMPORTRANGE(""https://docs.google.com/spreadsheets/d/1xoDLGBv9CYbyosIhki0kTq6IpYNj-gp"&amp;"jxfobnaDiut0/edit?usp=sharing"",""บึงกาฬ!L583"")+IMPORTRANGE(""https://docs.google.com/spreadsheets/d/1MMPq-JyI6DSgQETxuSiXkesP-P7JHuemnE6QJIa-Nlw/edit?usp=sharing"",""บุรีรัมย์!L583"")+IMPORTRANGE(""https://docs.google.com/spreadsheets/d/1l6IZ8xUPgMrESzc"&amp;"TYwhA1k_tPjeQjJPTqlm8Gd9eU5g/edit?usp=sharing"",""มหาสารคาม!L583"")+IMPORTRANGE(""https://docs.google.com/spreadsheets/d/1uB74YLqNjWX6FObjekfB2NtSYigTQyR2rq9u4Ub2Sq4/edit?usp=sharing"",""มุกดาหาร!L583"")+IMPORTRANGE(""https://docs.google.com/spreadsheets/"&amp;"d/1NexK3geCPxCTO1fzNF8dPec7yZyUx3OaWkFBC9HsQOo/edit?usp=sharing"",""ยโสธร!L583"")+IMPORTRANGE(""https://docs.google.com/spreadsheets/d/1v_cJrbBlyqmnHPReHk44g9NrMRdENNlSy_E_c5M9fIg/edit?usp=sharing"",""ร้อยเอ็ด!L583"")+IMPORTRANGE(""https://docs.google.com"&amp;"/spreadsheets/d/1Ul4RCpCX66NxYADU1QpwAPjOmBzW64SsT11s1wzXw_c/edit?usp=sharing"",""เลย!L583"")+IMPORTRANGE(""https://docs.google.com/spreadsheets/d/1bRrNKwbHDVktQG10isr5vbWRtt5spIZPpkOSWgbT5ug/edit?usp=sharing"",""ศรีสะเกษ!L583"")+IMPORTRANGE(""https://doc"&amp;"s.google.com/spreadsheets/d/17P34_Ow5kFBfdQD0qspb2UuPX5zpi6WMrQzslghyvrI/edit?usp=sharing"",""สกลนคร!L583"")+IMPORTRANGE(""https://docs.google.com/spreadsheets/d/1yswqbM3-AEpThF3ZSUa1AcmHnmRTF1vlJ1CZGcJ8YuU/edit?usp=sharing"",""สุรินทร์!L583"")+IMPORTRANG"&amp;"E(""https://docs.google.com/spreadsheets/d/13JHU_EFbsQOUQ0JSQ3dWy1VTRosIWcDq6Nc99z2qzdc/edit?usp=sharing"",""หนองคาย!L583"")+IMPORTRANGE(""https://docs.google.com/spreadsheets/d/1Hx73zIEgVdDZZaYSTc46Dqv64atFhpr3GelxLbaIN8A/edit?usp=sharing"",""หนองบัวลำภู"&amp;"!L583"")+IMPORTRANGE(""https://docs.google.com/spreadsheets/d/1lFxr3ctmjFN90yc-xV6jrQ9Ty8BKYVBWnAZ15wcNIJc/edit?usp=sharing"",""อำนาจเจริญ!L583"")+IMPORTRANGE(""https://docs.google.com/spreadsheets/d/1gF7RJpRnL-1oyjyeWxs5SFWEH7y8ahOZsQlyp2A2e-A/edit?usp=s"&amp;"haring"",""อุดรธานี!L583"")+IMPORTRANGE(""https://docs.google.com/spreadsheets/d/1kfLP0j3INXRa8bTDpcEmoWewMBV61jlFlfzczfjWIgc/edit?usp=sharing"",""อุบลราชธานี!L583"")"),0)</f>
        <v>0</v>
      </c>
      <c r="M583" s="59">
        <f ca="1">IFERROR(__xludf.DUMMYFUNCTION("IMPORTRANGE(""https://docs.google.com/spreadsheets/d/1yhBcrRPreicbMKl9Bu_Snb2-OcQAF62RKfhTLhJ2eAA/edit?usp=sharing"",""กาฬสินธุ์!M583"")+IMPORTRANGE(""https://docs.google.com/spreadsheets/d/1aHkj4IaQMThhwWwevcOymEh837vdxeC_PycurhTbGFA/edit?usp=sharing"","&amp;"""ขอนแก่น!M583"")+IMPORTRANGE(""https://docs.google.com/spreadsheets/d/1FvTu2DsIWUjP6WCWra38Bkj_oOl_sOMf14r5Fg5srxU/edit?usp=sharing"",""ชัยภูมิ!M583"")+IMPORTRANGE(""https://docs.google.com/spreadsheets/d/1XVB7oCJ3pr-vBUdflwPQ8Z2LlzhnCvZaaYjAfP-647E/edit"&amp;"?usp=sharing"",""นครพนม!M583"")+IMPORTRANGE(""https://docs.google.com/spreadsheets/d/1Mnpb-8PYAgn85W6KOTD40hc_Xc55CaLfHoGAbrZ8tls/edit?usp=sharing"",""นครราชสีมา!M583"")+IMPORTRANGE(""https://docs.google.com/spreadsheets/d/1xoDLGBv9CYbyosIhki0kTq6IpYNj-gp"&amp;"jxfobnaDiut0/edit?usp=sharing"",""บึงกาฬ!M583"")+IMPORTRANGE(""https://docs.google.com/spreadsheets/d/1MMPq-JyI6DSgQETxuSiXkesP-P7JHuemnE6QJIa-Nlw/edit?usp=sharing"",""บุรีรัมย์!M583"")+IMPORTRANGE(""https://docs.google.com/spreadsheets/d/1l6IZ8xUPgMrESzc"&amp;"TYwhA1k_tPjeQjJPTqlm8Gd9eU5g/edit?usp=sharing"",""มหาสารคาม!M583"")+IMPORTRANGE(""https://docs.google.com/spreadsheets/d/1uB74YLqNjWX6FObjekfB2NtSYigTQyR2rq9u4Ub2Sq4/edit?usp=sharing"",""มุกดาหาร!M583"")+IMPORTRANGE(""https://docs.google.com/spreadsheets/"&amp;"d/1NexK3geCPxCTO1fzNF8dPec7yZyUx3OaWkFBC9HsQOo/edit?usp=sharing"",""ยโสธร!M583"")+IMPORTRANGE(""https://docs.google.com/spreadsheets/d/1v_cJrbBlyqmnHPReHk44g9NrMRdENNlSy_E_c5M9fIg/edit?usp=sharing"",""ร้อยเอ็ด!M583"")+IMPORTRANGE(""https://docs.google.com"&amp;"/spreadsheets/d/1Ul4RCpCX66NxYADU1QpwAPjOmBzW64SsT11s1wzXw_c/edit?usp=sharing"",""เลย!M583"")+IMPORTRANGE(""https://docs.google.com/spreadsheets/d/1bRrNKwbHDVktQG10isr5vbWRtt5spIZPpkOSWgbT5ug/edit?usp=sharing"",""ศรีสะเกษ!M583"")+IMPORTRANGE(""https://doc"&amp;"s.google.com/spreadsheets/d/17P34_Ow5kFBfdQD0qspb2UuPX5zpi6WMrQzslghyvrI/edit?usp=sharing"",""สกลนคร!M583"")+IMPORTRANGE(""https://docs.google.com/spreadsheets/d/1yswqbM3-AEpThF3ZSUa1AcmHnmRTF1vlJ1CZGcJ8YuU/edit?usp=sharing"",""สุรินทร์!M583"")+IMPORTRANG"&amp;"E(""https://docs.google.com/spreadsheets/d/13JHU_EFbsQOUQ0JSQ3dWy1VTRosIWcDq6Nc99z2qzdc/edit?usp=sharing"",""หนองคาย!M583"")+IMPORTRANGE(""https://docs.google.com/spreadsheets/d/1Hx73zIEgVdDZZaYSTc46Dqv64atFhpr3GelxLbaIN8A/edit?usp=sharing"",""หนองบัวลำภู"&amp;"!M583"")+IMPORTRANGE(""https://docs.google.com/spreadsheets/d/1lFxr3ctmjFN90yc-xV6jrQ9Ty8BKYVBWnAZ15wcNIJc/edit?usp=sharing"",""อำนาจเจริญ!M583"")+IMPORTRANGE(""https://docs.google.com/spreadsheets/d/1gF7RJpRnL-1oyjyeWxs5SFWEH7y8ahOZsQlyp2A2e-A/edit?usp=s"&amp;"haring"",""อุดรธานี!M583"")+IMPORTRANGE(""https://docs.google.com/spreadsheets/d/1kfLP0j3INXRa8bTDpcEmoWewMBV61jlFlfzczfjWIgc/edit?usp=sharing"",""อุบลราชธานี!M583"")"),0)</f>
        <v>0</v>
      </c>
      <c r="N583" s="59">
        <f ca="1">IFERROR(__xludf.DUMMYFUNCTION("IMPORTRANGE(""https://docs.google.com/spreadsheets/d/1yhBcrRPreicbMKl9Bu_Snb2-OcQAF62RKfhTLhJ2eAA/edit?usp=sharing"",""กาฬสินธุ์!N583"")+IMPORTRANGE(""https://docs.google.com/spreadsheets/d/1aHkj4IaQMThhwWwevcOymEh837vdxeC_PycurhTbGFA/edit?usp=sharing"","&amp;"""ขอนแก่น!N583"")+IMPORTRANGE(""https://docs.google.com/spreadsheets/d/1FvTu2DsIWUjP6WCWra38Bkj_oOl_sOMf14r5Fg5srxU/edit?usp=sharing"",""ชัยภูมิ!N583"")+IMPORTRANGE(""https://docs.google.com/spreadsheets/d/1XVB7oCJ3pr-vBUdflwPQ8Z2LlzhnCvZaaYjAfP-647E/edit"&amp;"?usp=sharing"",""นครพนม!N583"")+IMPORTRANGE(""https://docs.google.com/spreadsheets/d/1Mnpb-8PYAgn85W6KOTD40hc_Xc55CaLfHoGAbrZ8tls/edit?usp=sharing"",""นครราชสีมา!N583"")+IMPORTRANGE(""https://docs.google.com/spreadsheets/d/1xoDLGBv9CYbyosIhki0kTq6IpYNj-gp"&amp;"jxfobnaDiut0/edit?usp=sharing"",""บึงกาฬ!N583"")+IMPORTRANGE(""https://docs.google.com/spreadsheets/d/1MMPq-JyI6DSgQETxuSiXkesP-P7JHuemnE6QJIa-Nlw/edit?usp=sharing"",""บุรีรัมย์!N583"")+IMPORTRANGE(""https://docs.google.com/spreadsheets/d/1l6IZ8xUPgMrESzc"&amp;"TYwhA1k_tPjeQjJPTqlm8Gd9eU5g/edit?usp=sharing"",""มหาสารคาม!N583"")+IMPORTRANGE(""https://docs.google.com/spreadsheets/d/1uB74YLqNjWX6FObjekfB2NtSYigTQyR2rq9u4Ub2Sq4/edit?usp=sharing"",""มุกดาหาร!N583"")+IMPORTRANGE(""https://docs.google.com/spreadsheets/"&amp;"d/1NexK3geCPxCTO1fzNF8dPec7yZyUx3OaWkFBC9HsQOo/edit?usp=sharing"",""ยโสธร!N583"")+IMPORTRANGE(""https://docs.google.com/spreadsheets/d/1v_cJrbBlyqmnHPReHk44g9NrMRdENNlSy_E_c5M9fIg/edit?usp=sharing"",""ร้อยเอ็ด!N583"")+IMPORTRANGE(""https://docs.google.com"&amp;"/spreadsheets/d/1Ul4RCpCX66NxYADU1QpwAPjOmBzW64SsT11s1wzXw_c/edit?usp=sharing"",""เลย!N583"")+IMPORTRANGE(""https://docs.google.com/spreadsheets/d/1bRrNKwbHDVktQG10isr5vbWRtt5spIZPpkOSWgbT5ug/edit?usp=sharing"",""ศรีสะเกษ!N583"")+IMPORTRANGE(""https://doc"&amp;"s.google.com/spreadsheets/d/17P34_Ow5kFBfdQD0qspb2UuPX5zpi6WMrQzslghyvrI/edit?usp=sharing"",""สกลนคร!N583"")+IMPORTRANGE(""https://docs.google.com/spreadsheets/d/1yswqbM3-AEpThF3ZSUa1AcmHnmRTF1vlJ1CZGcJ8YuU/edit?usp=sharing"",""สุรินทร์!N583"")+IMPORTRANG"&amp;"E(""https://docs.google.com/spreadsheets/d/13JHU_EFbsQOUQ0JSQ3dWy1VTRosIWcDq6Nc99z2qzdc/edit?usp=sharing"",""หนองคาย!N583"")+IMPORTRANGE(""https://docs.google.com/spreadsheets/d/1Hx73zIEgVdDZZaYSTc46Dqv64atFhpr3GelxLbaIN8A/edit?usp=sharing"",""หนองบัวลำภู"&amp;"!N583"")+IMPORTRANGE(""https://docs.google.com/spreadsheets/d/1lFxr3ctmjFN90yc-xV6jrQ9Ty8BKYVBWnAZ15wcNIJc/edit?usp=sharing"",""อำนาจเจริญ!N583"")+IMPORTRANGE(""https://docs.google.com/spreadsheets/d/1gF7RJpRnL-1oyjyeWxs5SFWEH7y8ahOZsQlyp2A2e-A/edit?usp=s"&amp;"haring"",""อุดรธานี!N583"")+IMPORTRANGE(""https://docs.google.com/spreadsheets/d/1kfLP0j3INXRa8bTDpcEmoWewMBV61jlFlfzczfjWIgc/edit?usp=sharing"",""อุบลราชธานี!N583"")"),0)</f>
        <v>0</v>
      </c>
      <c r="O583" s="59">
        <f t="shared" ca="1" si="409"/>
        <v>0</v>
      </c>
      <c r="P583" s="59">
        <f t="shared" ca="1" si="410"/>
        <v>0</v>
      </c>
      <c r="Q583" s="59">
        <f ca="1">IFERROR(__xludf.DUMMYFUNCTION("IMPORTRANGE(""https://docs.google.com/spreadsheets/d/1yhBcrRPreicbMKl9Bu_Snb2-OcQAF62RKfhTLhJ2eAA/edit?usp=sharing"",""กาฬสินธุ์!Q583"")+IMPORTRANGE(""https://docs.google.com/spreadsheets/d/1aHkj4IaQMThhwWwevcOymEh837vdxeC_PycurhTbGFA/edit?usp=sharing"","&amp;"""ขอนแก่น!Q583"")+IMPORTRANGE(""https://docs.google.com/spreadsheets/d/1FvTu2DsIWUjP6WCWra38Bkj_oOl_sOMf14r5Fg5srxU/edit?usp=sharing"",""ชัยภูมิ!Q583"")+IMPORTRANGE(""https://docs.google.com/spreadsheets/d/1XVB7oCJ3pr-vBUdflwPQ8Z2LlzhnCvZaaYjAfP-647E/edit"&amp;"?usp=sharing"",""นครพนม!Q583"")+IMPORTRANGE(""https://docs.google.com/spreadsheets/d/1Mnpb-8PYAgn85W6KOTD40hc_Xc55CaLfHoGAbrZ8tls/edit?usp=sharing"",""นครราชสีมา!Q583"")+IMPORTRANGE(""https://docs.google.com/spreadsheets/d/1xoDLGBv9CYbyosIhki0kTq6IpYNj-gp"&amp;"jxfobnaDiut0/edit?usp=sharing"",""บึงกาฬ!Q583"")+IMPORTRANGE(""https://docs.google.com/spreadsheets/d/1MMPq-JyI6DSgQETxuSiXkesP-P7JHuemnE6QJIa-Nlw/edit?usp=sharing"",""บุรีรัมย์!Q583"")+IMPORTRANGE(""https://docs.google.com/spreadsheets/d/1l6IZ8xUPgMrESzc"&amp;"TYwhA1k_tPjeQjJPTqlm8Gd9eU5g/edit?usp=sharing"",""มหาสารคาม!Q583"")+IMPORTRANGE(""https://docs.google.com/spreadsheets/d/1uB74YLqNjWX6FObjekfB2NtSYigTQyR2rq9u4Ub2Sq4/edit?usp=sharing"",""มุกดาหาร!Q583"")+IMPORTRANGE(""https://docs.google.com/spreadsheets/"&amp;"d/1NexK3geCPxCTO1fzNF8dPec7yZyUx3OaWkFBC9HsQOo/edit?usp=sharing"",""ยโสธร!Q583"")+IMPORTRANGE(""https://docs.google.com/spreadsheets/d/1v_cJrbBlyqmnHPReHk44g9NrMRdENNlSy_E_c5M9fIg/edit?usp=sharing"",""ร้อยเอ็ด!Q583"")+IMPORTRANGE(""https://docs.google.com"&amp;"/spreadsheets/d/1Ul4RCpCX66NxYADU1QpwAPjOmBzW64SsT11s1wzXw_c/edit?usp=sharing"",""เลย!Q583"")+IMPORTRANGE(""https://docs.google.com/spreadsheets/d/1bRrNKwbHDVktQG10isr5vbWRtt5spIZPpkOSWgbT5ug/edit?usp=sharing"",""ศรีสะเกษ!Q583"")+IMPORTRANGE(""https://doc"&amp;"s.google.com/spreadsheets/d/17P34_Ow5kFBfdQD0qspb2UuPX5zpi6WMrQzslghyvrI/edit?usp=sharing"",""สกลนคร!Q583"")+IMPORTRANGE(""https://docs.google.com/spreadsheets/d/1yswqbM3-AEpThF3ZSUa1AcmHnmRTF1vlJ1CZGcJ8YuU/edit?usp=sharing"",""สุรินทร์!Q583"")+IMPORTRANG"&amp;"E(""https://docs.google.com/spreadsheets/d/13JHU_EFbsQOUQ0JSQ3dWy1VTRosIWcDq6Nc99z2qzdc/edit?usp=sharing"",""หนองคาย!Q583"")+IMPORTRANGE(""https://docs.google.com/spreadsheets/d/1Hx73zIEgVdDZZaYSTc46Dqv64atFhpr3GelxLbaIN8A/edit?usp=sharing"",""หนองบัวลำภู"&amp;"!Q583"")+IMPORTRANGE(""https://docs.google.com/spreadsheets/d/1lFxr3ctmjFN90yc-xV6jrQ9Ty8BKYVBWnAZ15wcNIJc/edit?usp=sharing"",""อำนาจเจริญ!Q583"")+IMPORTRANGE(""https://docs.google.com/spreadsheets/d/1gF7RJpRnL-1oyjyeWxs5SFWEH7y8ahOZsQlyp2A2e-A/edit?usp=s"&amp;"haring"",""อุดรธานี!Q583"")+IMPORTRANGE(""https://docs.google.com/spreadsheets/d/1kfLP0j3INXRa8bTDpcEmoWewMBV61jlFlfzczfjWIgc/edit?usp=sharing"",""อุบลราชธานี!Q583"")"),0)</f>
        <v>0</v>
      </c>
      <c r="R583" s="59">
        <f ca="1">IFERROR(__xludf.DUMMYFUNCTION("IMPORTRANGE(""https://docs.google.com/spreadsheets/d/1yhBcrRPreicbMKl9Bu_Snb2-OcQAF62RKfhTLhJ2eAA/edit?usp=sharing"",""กาฬสินธุ์!R583"")+IMPORTRANGE(""https://docs.google.com/spreadsheets/d/1aHkj4IaQMThhwWwevcOymEh837vdxeC_PycurhTbGFA/edit?usp=sharing"","&amp;"""ขอนแก่น!R583"")+IMPORTRANGE(""https://docs.google.com/spreadsheets/d/1FvTu2DsIWUjP6WCWra38Bkj_oOl_sOMf14r5Fg5srxU/edit?usp=sharing"",""ชัยภูมิ!R583"")+IMPORTRANGE(""https://docs.google.com/spreadsheets/d/1XVB7oCJ3pr-vBUdflwPQ8Z2LlzhnCvZaaYjAfP-647E/edit"&amp;"?usp=sharing"",""นครพนม!R583"")+IMPORTRANGE(""https://docs.google.com/spreadsheets/d/1Mnpb-8PYAgn85W6KOTD40hc_Xc55CaLfHoGAbrZ8tls/edit?usp=sharing"",""นครราชสีมา!R583"")+IMPORTRANGE(""https://docs.google.com/spreadsheets/d/1xoDLGBv9CYbyosIhki0kTq6IpYNj-gp"&amp;"jxfobnaDiut0/edit?usp=sharing"",""บึงกาฬ!R583"")+IMPORTRANGE(""https://docs.google.com/spreadsheets/d/1MMPq-JyI6DSgQETxuSiXkesP-P7JHuemnE6QJIa-Nlw/edit?usp=sharing"",""บุรีรัมย์!R583"")+IMPORTRANGE(""https://docs.google.com/spreadsheets/d/1l6IZ8xUPgMrESzc"&amp;"TYwhA1k_tPjeQjJPTqlm8Gd9eU5g/edit?usp=sharing"",""มหาสารคาม!R583"")+IMPORTRANGE(""https://docs.google.com/spreadsheets/d/1uB74YLqNjWX6FObjekfB2NtSYigTQyR2rq9u4Ub2Sq4/edit?usp=sharing"",""มุกดาหาร!R583"")+IMPORTRANGE(""https://docs.google.com/spreadsheets/"&amp;"d/1NexK3geCPxCTO1fzNF8dPec7yZyUx3OaWkFBC9HsQOo/edit?usp=sharing"",""ยโสธร!R583"")+IMPORTRANGE(""https://docs.google.com/spreadsheets/d/1v_cJrbBlyqmnHPReHk44g9NrMRdENNlSy_E_c5M9fIg/edit?usp=sharing"",""ร้อยเอ็ด!R583"")+IMPORTRANGE(""https://docs.google.com"&amp;"/spreadsheets/d/1Ul4RCpCX66NxYADU1QpwAPjOmBzW64SsT11s1wzXw_c/edit?usp=sharing"",""เลย!R583"")+IMPORTRANGE(""https://docs.google.com/spreadsheets/d/1bRrNKwbHDVktQG10isr5vbWRtt5spIZPpkOSWgbT5ug/edit?usp=sharing"",""ศรีสะเกษ!R583"")+IMPORTRANGE(""https://doc"&amp;"s.google.com/spreadsheets/d/17P34_Ow5kFBfdQD0qspb2UuPX5zpi6WMrQzslghyvrI/edit?usp=sharing"",""สกลนคร!R583"")+IMPORTRANGE(""https://docs.google.com/spreadsheets/d/1yswqbM3-AEpThF3ZSUa1AcmHnmRTF1vlJ1CZGcJ8YuU/edit?usp=sharing"",""สุรินทร์!R583"")+IMPORTRANG"&amp;"E(""https://docs.google.com/spreadsheets/d/13JHU_EFbsQOUQ0JSQ3dWy1VTRosIWcDq6Nc99z2qzdc/edit?usp=sharing"",""หนองคาย!R583"")+IMPORTRANGE(""https://docs.google.com/spreadsheets/d/1Hx73zIEgVdDZZaYSTc46Dqv64atFhpr3GelxLbaIN8A/edit?usp=sharing"",""หนองบัวลำภู"&amp;"!R583"")+IMPORTRANGE(""https://docs.google.com/spreadsheets/d/1lFxr3ctmjFN90yc-xV6jrQ9Ty8BKYVBWnAZ15wcNIJc/edit?usp=sharing"",""อำนาจเจริญ!R583"")+IMPORTRANGE(""https://docs.google.com/spreadsheets/d/1gF7RJpRnL-1oyjyeWxs5SFWEH7y8ahOZsQlyp2A2e-A/edit?usp=s"&amp;"haring"",""อุดรธานี!R583"")+IMPORTRANGE(""https://docs.google.com/spreadsheets/d/1kfLP0j3INXRa8bTDpcEmoWewMBV61jlFlfzczfjWIgc/edit?usp=sharing"",""อุบลราชธานี!R583"")"),0)</f>
        <v>0</v>
      </c>
      <c r="S583" s="60">
        <f ca="1">IFERROR(__xludf.DUMMYFUNCTION("IMPORTRANGE(""https://docs.google.com/spreadsheets/d/1yhBcrRPreicbMKl9Bu_Snb2-OcQAF62RKfhTLhJ2eAA/edit?usp=sharing"",""กาฬสินธุ์!S583"")+IMPORTRANGE(""https://docs.google.com/spreadsheets/d/1aHkj4IaQMThhwWwevcOymEh837vdxeC_PycurhTbGFA/edit?usp=sharing"","&amp;"""ขอนแก่น!S583"")+IMPORTRANGE(""https://docs.google.com/spreadsheets/d/1FvTu2DsIWUjP6WCWra38Bkj_oOl_sOMf14r5Fg5srxU/edit?usp=sharing"",""ชัยภูมิ!S583"")+IMPORTRANGE(""https://docs.google.com/spreadsheets/d/1XVB7oCJ3pr-vBUdflwPQ8Z2LlzhnCvZaaYjAfP-647E/edit"&amp;"?usp=sharing"",""นครพนม!S583"")+IMPORTRANGE(""https://docs.google.com/spreadsheets/d/1Mnpb-8PYAgn85W6KOTD40hc_Xc55CaLfHoGAbrZ8tls/edit?usp=sharing"",""นครราชสีมา!S583"")+IMPORTRANGE(""https://docs.google.com/spreadsheets/d/1xoDLGBv9CYbyosIhki0kTq6IpYNj-gp"&amp;"jxfobnaDiut0/edit?usp=sharing"",""บึงกาฬ!S583"")+IMPORTRANGE(""https://docs.google.com/spreadsheets/d/1MMPq-JyI6DSgQETxuSiXkesP-P7JHuemnE6QJIa-Nlw/edit?usp=sharing"",""บุรีรัมย์!S583"")+IMPORTRANGE(""https://docs.google.com/spreadsheets/d/1l6IZ8xUPgMrESzc"&amp;"TYwhA1k_tPjeQjJPTqlm8Gd9eU5g/edit?usp=sharing"",""มหาสารคาม!S583"")+IMPORTRANGE(""https://docs.google.com/spreadsheets/d/1uB74YLqNjWX6FObjekfB2NtSYigTQyR2rq9u4Ub2Sq4/edit?usp=sharing"",""มุกดาหาร!S583"")+IMPORTRANGE(""https://docs.google.com/spreadsheets/"&amp;"d/1NexK3geCPxCTO1fzNF8dPec7yZyUx3OaWkFBC9HsQOo/edit?usp=sharing"",""ยโสธร!S583"")+IMPORTRANGE(""https://docs.google.com/spreadsheets/d/1v_cJrbBlyqmnHPReHk44g9NrMRdENNlSy_E_c5M9fIg/edit?usp=sharing"",""ร้อยเอ็ด!S583"")+IMPORTRANGE(""https://docs.google.com"&amp;"/spreadsheets/d/1Ul4RCpCX66NxYADU1QpwAPjOmBzW64SsT11s1wzXw_c/edit?usp=sharing"",""เลย!S583"")+IMPORTRANGE(""https://docs.google.com/spreadsheets/d/1bRrNKwbHDVktQG10isr5vbWRtt5spIZPpkOSWgbT5ug/edit?usp=sharing"",""ศรีสะเกษ!S583"")+IMPORTRANGE(""https://doc"&amp;"s.google.com/spreadsheets/d/17P34_Ow5kFBfdQD0qspb2UuPX5zpi6WMrQzslghyvrI/edit?usp=sharing"",""สกลนคร!S583"")+IMPORTRANGE(""https://docs.google.com/spreadsheets/d/1yswqbM3-AEpThF3ZSUa1AcmHnmRTF1vlJ1CZGcJ8YuU/edit?usp=sharing"",""สุรินทร์!S583"")+IMPORTRANG"&amp;"E(""https://docs.google.com/spreadsheets/d/13JHU_EFbsQOUQ0JSQ3dWy1VTRosIWcDq6Nc99z2qzdc/edit?usp=sharing"",""หนองคาย!S583"")+IMPORTRANGE(""https://docs.google.com/spreadsheets/d/1Hx73zIEgVdDZZaYSTc46Dqv64atFhpr3GelxLbaIN8A/edit?usp=sharing"",""หนองบัวลำภู"&amp;"!S583"")+IMPORTRANGE(""https://docs.google.com/spreadsheets/d/1lFxr3ctmjFN90yc-xV6jrQ9Ty8BKYVBWnAZ15wcNIJc/edit?usp=sharing"",""อำนาจเจริญ!S583"")+IMPORTRANGE(""https://docs.google.com/spreadsheets/d/1gF7RJpRnL-1oyjyeWxs5SFWEH7y8ahOZsQlyp2A2e-A/edit?usp=s"&amp;"haring"",""อุดรธานี!S583"")+IMPORTRANGE(""https://docs.google.com/spreadsheets/d/1kfLP0j3INXRa8bTDpcEmoWewMBV61jlFlfzczfjWIgc/edit?usp=sharing"",""อุบลราชธานี!S583"")"),0)</f>
        <v>0</v>
      </c>
      <c r="T583" s="59">
        <f t="shared" ca="1" si="412"/>
        <v>0</v>
      </c>
      <c r="U583" s="59">
        <f t="shared" ca="1" si="413"/>
        <v>0</v>
      </c>
    </row>
    <row r="584" spans="1:21" ht="18.75">
      <c r="A584" s="155"/>
      <c r="B584" s="50"/>
      <c r="C584" s="50"/>
      <c r="D584" s="50"/>
      <c r="E584" s="58" t="s">
        <v>21</v>
      </c>
      <c r="F584" s="50"/>
      <c r="G584" s="52"/>
      <c r="H584" s="165" t="s">
        <v>14</v>
      </c>
      <c r="I584" s="163"/>
      <c r="J584" s="163"/>
      <c r="K584" s="164"/>
      <c r="L584" s="56">
        <f ca="1">IFERROR(__xludf.DUMMYFUNCTION("IMPORTRANGE(""https://docs.google.com/spreadsheets/d/1yhBcrRPreicbMKl9Bu_Snb2-OcQAF62RKfhTLhJ2eAA/edit?usp=sharing"",""กาฬสินธุ์!L584"")+IMPORTRANGE(""https://docs.google.com/spreadsheets/d/1aHkj4IaQMThhwWwevcOymEh837vdxeC_PycurhTbGFA/edit?usp=sharing"","&amp;"""ขอนแก่น!L584"")+IMPORTRANGE(""https://docs.google.com/spreadsheets/d/1FvTu2DsIWUjP6WCWra38Bkj_oOl_sOMf14r5Fg5srxU/edit?usp=sharing"",""ชัยภูมิ!L584"")+IMPORTRANGE(""https://docs.google.com/spreadsheets/d/1XVB7oCJ3pr-vBUdflwPQ8Z2LlzhnCvZaaYjAfP-647E/edit"&amp;"?usp=sharing"",""นครพนม!L584"")+IMPORTRANGE(""https://docs.google.com/spreadsheets/d/1Mnpb-8PYAgn85W6KOTD40hc_Xc55CaLfHoGAbrZ8tls/edit?usp=sharing"",""นครราชสีมา!L584"")+IMPORTRANGE(""https://docs.google.com/spreadsheets/d/1xoDLGBv9CYbyosIhki0kTq6IpYNj-gp"&amp;"jxfobnaDiut0/edit?usp=sharing"",""บึงกาฬ!L584"")+IMPORTRANGE(""https://docs.google.com/spreadsheets/d/1MMPq-JyI6DSgQETxuSiXkesP-P7JHuemnE6QJIa-Nlw/edit?usp=sharing"",""บุรีรัมย์!L584"")+IMPORTRANGE(""https://docs.google.com/spreadsheets/d/1l6IZ8xUPgMrESzc"&amp;"TYwhA1k_tPjeQjJPTqlm8Gd9eU5g/edit?usp=sharing"",""มหาสารคาม!L584"")+IMPORTRANGE(""https://docs.google.com/spreadsheets/d/1uB74YLqNjWX6FObjekfB2NtSYigTQyR2rq9u4Ub2Sq4/edit?usp=sharing"",""มุกดาหาร!L584"")+IMPORTRANGE(""https://docs.google.com/spreadsheets/"&amp;"d/1NexK3geCPxCTO1fzNF8dPec7yZyUx3OaWkFBC9HsQOo/edit?usp=sharing"",""ยโสธร!L584"")+IMPORTRANGE(""https://docs.google.com/spreadsheets/d/1v_cJrbBlyqmnHPReHk44g9NrMRdENNlSy_E_c5M9fIg/edit?usp=sharing"",""ร้อยเอ็ด!L584"")+IMPORTRANGE(""https://docs.google.com"&amp;"/spreadsheets/d/1Ul4RCpCX66NxYADU1QpwAPjOmBzW64SsT11s1wzXw_c/edit?usp=sharing"",""เลย!L584"")+IMPORTRANGE(""https://docs.google.com/spreadsheets/d/1bRrNKwbHDVktQG10isr5vbWRtt5spIZPpkOSWgbT5ug/edit?usp=sharing"",""ศรีสะเกษ!L584"")+IMPORTRANGE(""https://doc"&amp;"s.google.com/spreadsheets/d/17P34_Ow5kFBfdQD0qspb2UuPX5zpi6WMrQzslghyvrI/edit?usp=sharing"",""สกลนคร!L584"")+IMPORTRANGE(""https://docs.google.com/spreadsheets/d/1yswqbM3-AEpThF3ZSUa1AcmHnmRTF1vlJ1CZGcJ8YuU/edit?usp=sharing"",""สุรินทร์!L584"")+IMPORTRANG"&amp;"E(""https://docs.google.com/spreadsheets/d/13JHU_EFbsQOUQ0JSQ3dWy1VTRosIWcDq6Nc99z2qzdc/edit?usp=sharing"",""หนองคาย!L584"")+IMPORTRANGE(""https://docs.google.com/spreadsheets/d/1Hx73zIEgVdDZZaYSTc46Dqv64atFhpr3GelxLbaIN8A/edit?usp=sharing"",""หนองบัวลำภู"&amp;"!L584"")+IMPORTRANGE(""https://docs.google.com/spreadsheets/d/1lFxr3ctmjFN90yc-xV6jrQ9Ty8BKYVBWnAZ15wcNIJc/edit?usp=sharing"",""อำนาจเจริญ!L584"")+IMPORTRANGE(""https://docs.google.com/spreadsheets/d/1gF7RJpRnL-1oyjyeWxs5SFWEH7y8ahOZsQlyp2A2e-A/edit?usp=s"&amp;"haring"",""อุดรธานี!L584"")+IMPORTRANGE(""https://docs.google.com/spreadsheets/d/1kfLP0j3INXRa8bTDpcEmoWewMBV61jlFlfzczfjWIgc/edit?usp=sharing"",""อุบลราชธานี!L584"")"),0)</f>
        <v>0</v>
      </c>
      <c r="M584" s="56">
        <f ca="1">IFERROR(__xludf.DUMMYFUNCTION("IMPORTRANGE(""https://docs.google.com/spreadsheets/d/1yhBcrRPreicbMKl9Bu_Snb2-OcQAF62RKfhTLhJ2eAA/edit?usp=sharing"",""กาฬสินธุ์!M584"")+IMPORTRANGE(""https://docs.google.com/spreadsheets/d/1aHkj4IaQMThhwWwevcOymEh837vdxeC_PycurhTbGFA/edit?usp=sharing"","&amp;"""ขอนแก่น!M584"")+IMPORTRANGE(""https://docs.google.com/spreadsheets/d/1FvTu2DsIWUjP6WCWra38Bkj_oOl_sOMf14r5Fg5srxU/edit?usp=sharing"",""ชัยภูมิ!M584"")+IMPORTRANGE(""https://docs.google.com/spreadsheets/d/1XVB7oCJ3pr-vBUdflwPQ8Z2LlzhnCvZaaYjAfP-647E/edit"&amp;"?usp=sharing"",""นครพนม!M584"")+IMPORTRANGE(""https://docs.google.com/spreadsheets/d/1Mnpb-8PYAgn85W6KOTD40hc_Xc55CaLfHoGAbrZ8tls/edit?usp=sharing"",""นครราชสีมา!M584"")+IMPORTRANGE(""https://docs.google.com/spreadsheets/d/1xoDLGBv9CYbyosIhki0kTq6IpYNj-gp"&amp;"jxfobnaDiut0/edit?usp=sharing"",""บึงกาฬ!M584"")+IMPORTRANGE(""https://docs.google.com/spreadsheets/d/1MMPq-JyI6DSgQETxuSiXkesP-P7JHuemnE6QJIa-Nlw/edit?usp=sharing"",""บุรีรัมย์!M584"")+IMPORTRANGE(""https://docs.google.com/spreadsheets/d/1l6IZ8xUPgMrESzc"&amp;"TYwhA1k_tPjeQjJPTqlm8Gd9eU5g/edit?usp=sharing"",""มหาสารคาม!M584"")+IMPORTRANGE(""https://docs.google.com/spreadsheets/d/1uB74YLqNjWX6FObjekfB2NtSYigTQyR2rq9u4Ub2Sq4/edit?usp=sharing"",""มุกดาหาร!M584"")+IMPORTRANGE(""https://docs.google.com/spreadsheets/"&amp;"d/1NexK3geCPxCTO1fzNF8dPec7yZyUx3OaWkFBC9HsQOo/edit?usp=sharing"",""ยโสธร!M584"")+IMPORTRANGE(""https://docs.google.com/spreadsheets/d/1v_cJrbBlyqmnHPReHk44g9NrMRdENNlSy_E_c5M9fIg/edit?usp=sharing"",""ร้อยเอ็ด!M584"")+IMPORTRANGE(""https://docs.google.com"&amp;"/spreadsheets/d/1Ul4RCpCX66NxYADU1QpwAPjOmBzW64SsT11s1wzXw_c/edit?usp=sharing"",""เลย!M584"")+IMPORTRANGE(""https://docs.google.com/spreadsheets/d/1bRrNKwbHDVktQG10isr5vbWRtt5spIZPpkOSWgbT5ug/edit?usp=sharing"",""ศรีสะเกษ!M584"")+IMPORTRANGE(""https://doc"&amp;"s.google.com/spreadsheets/d/17P34_Ow5kFBfdQD0qspb2UuPX5zpi6WMrQzslghyvrI/edit?usp=sharing"",""สกลนคร!M584"")+IMPORTRANGE(""https://docs.google.com/spreadsheets/d/1yswqbM3-AEpThF3ZSUa1AcmHnmRTF1vlJ1CZGcJ8YuU/edit?usp=sharing"",""สุรินทร์!M584"")+IMPORTRANG"&amp;"E(""https://docs.google.com/spreadsheets/d/13JHU_EFbsQOUQ0JSQ3dWy1VTRosIWcDq6Nc99z2qzdc/edit?usp=sharing"",""หนองคาย!M584"")+IMPORTRANGE(""https://docs.google.com/spreadsheets/d/1Hx73zIEgVdDZZaYSTc46Dqv64atFhpr3GelxLbaIN8A/edit?usp=sharing"",""หนองบัวลำภู"&amp;"!M584"")+IMPORTRANGE(""https://docs.google.com/spreadsheets/d/1lFxr3ctmjFN90yc-xV6jrQ9Ty8BKYVBWnAZ15wcNIJc/edit?usp=sharing"",""อำนาจเจริญ!M584"")+IMPORTRANGE(""https://docs.google.com/spreadsheets/d/1gF7RJpRnL-1oyjyeWxs5SFWEH7y8ahOZsQlyp2A2e-A/edit?usp=s"&amp;"haring"",""อุดรธานี!M584"")+IMPORTRANGE(""https://docs.google.com/spreadsheets/d/1kfLP0j3INXRa8bTDpcEmoWewMBV61jlFlfzczfjWIgc/edit?usp=sharing"",""อุบลราชธานี!M584"")"),0)</f>
        <v>0</v>
      </c>
      <c r="N584" s="56">
        <f ca="1">IFERROR(__xludf.DUMMYFUNCTION("IMPORTRANGE(""https://docs.google.com/spreadsheets/d/1yhBcrRPreicbMKl9Bu_Snb2-OcQAF62RKfhTLhJ2eAA/edit?usp=sharing"",""กาฬสินธุ์!N584"")+IMPORTRANGE(""https://docs.google.com/spreadsheets/d/1aHkj4IaQMThhwWwevcOymEh837vdxeC_PycurhTbGFA/edit?usp=sharing"","&amp;"""ขอนแก่น!N584"")+IMPORTRANGE(""https://docs.google.com/spreadsheets/d/1FvTu2DsIWUjP6WCWra38Bkj_oOl_sOMf14r5Fg5srxU/edit?usp=sharing"",""ชัยภูมิ!N584"")+IMPORTRANGE(""https://docs.google.com/spreadsheets/d/1XVB7oCJ3pr-vBUdflwPQ8Z2LlzhnCvZaaYjAfP-647E/edit"&amp;"?usp=sharing"",""นครพนม!N584"")+IMPORTRANGE(""https://docs.google.com/spreadsheets/d/1Mnpb-8PYAgn85W6KOTD40hc_Xc55CaLfHoGAbrZ8tls/edit?usp=sharing"",""นครราชสีมา!N584"")+IMPORTRANGE(""https://docs.google.com/spreadsheets/d/1xoDLGBv9CYbyosIhki0kTq6IpYNj-gp"&amp;"jxfobnaDiut0/edit?usp=sharing"",""บึงกาฬ!N584"")+IMPORTRANGE(""https://docs.google.com/spreadsheets/d/1MMPq-JyI6DSgQETxuSiXkesP-P7JHuemnE6QJIa-Nlw/edit?usp=sharing"",""บุรีรัมย์!N584"")+IMPORTRANGE(""https://docs.google.com/spreadsheets/d/1l6IZ8xUPgMrESzc"&amp;"TYwhA1k_tPjeQjJPTqlm8Gd9eU5g/edit?usp=sharing"",""มหาสารคาม!N584"")+IMPORTRANGE(""https://docs.google.com/spreadsheets/d/1uB74YLqNjWX6FObjekfB2NtSYigTQyR2rq9u4Ub2Sq4/edit?usp=sharing"",""มุกดาหาร!N584"")+IMPORTRANGE(""https://docs.google.com/spreadsheets/"&amp;"d/1NexK3geCPxCTO1fzNF8dPec7yZyUx3OaWkFBC9HsQOo/edit?usp=sharing"",""ยโสธร!N584"")+IMPORTRANGE(""https://docs.google.com/spreadsheets/d/1v_cJrbBlyqmnHPReHk44g9NrMRdENNlSy_E_c5M9fIg/edit?usp=sharing"",""ร้อยเอ็ด!N584"")+IMPORTRANGE(""https://docs.google.com"&amp;"/spreadsheets/d/1Ul4RCpCX66NxYADU1QpwAPjOmBzW64SsT11s1wzXw_c/edit?usp=sharing"",""เลย!N584"")+IMPORTRANGE(""https://docs.google.com/spreadsheets/d/1bRrNKwbHDVktQG10isr5vbWRtt5spIZPpkOSWgbT5ug/edit?usp=sharing"",""ศรีสะเกษ!N584"")+IMPORTRANGE(""https://doc"&amp;"s.google.com/spreadsheets/d/17P34_Ow5kFBfdQD0qspb2UuPX5zpi6WMrQzslghyvrI/edit?usp=sharing"",""สกลนคร!N584"")+IMPORTRANGE(""https://docs.google.com/spreadsheets/d/1yswqbM3-AEpThF3ZSUa1AcmHnmRTF1vlJ1CZGcJ8YuU/edit?usp=sharing"",""สุรินทร์!N584"")+IMPORTRANG"&amp;"E(""https://docs.google.com/spreadsheets/d/13JHU_EFbsQOUQ0JSQ3dWy1VTRosIWcDq6Nc99z2qzdc/edit?usp=sharing"",""หนองคาย!N584"")+IMPORTRANGE(""https://docs.google.com/spreadsheets/d/1Hx73zIEgVdDZZaYSTc46Dqv64atFhpr3GelxLbaIN8A/edit?usp=sharing"",""หนองบัวลำภู"&amp;"!N584"")+IMPORTRANGE(""https://docs.google.com/spreadsheets/d/1lFxr3ctmjFN90yc-xV6jrQ9Ty8BKYVBWnAZ15wcNIJc/edit?usp=sharing"",""อำนาจเจริญ!N584"")+IMPORTRANGE(""https://docs.google.com/spreadsheets/d/1gF7RJpRnL-1oyjyeWxs5SFWEH7y8ahOZsQlyp2A2e-A/edit?usp=s"&amp;"haring"",""อุดรธานี!N584"")+IMPORTRANGE(""https://docs.google.com/spreadsheets/d/1kfLP0j3INXRa8bTDpcEmoWewMBV61jlFlfzczfjWIgc/edit?usp=sharing"",""อุบลราชธานี!N584"")"),0)</f>
        <v>0</v>
      </c>
      <c r="O584" s="56">
        <f t="shared" ca="1" si="409"/>
        <v>0</v>
      </c>
      <c r="P584" s="56">
        <f t="shared" ca="1" si="410"/>
        <v>0</v>
      </c>
      <c r="Q584" s="56">
        <f ca="1">IFERROR(__xludf.DUMMYFUNCTION("IMPORTRANGE(""https://docs.google.com/spreadsheets/d/1yhBcrRPreicbMKl9Bu_Snb2-OcQAF62RKfhTLhJ2eAA/edit?usp=sharing"",""กาฬสินธุ์!Q584"")+IMPORTRANGE(""https://docs.google.com/spreadsheets/d/1aHkj4IaQMThhwWwevcOymEh837vdxeC_PycurhTbGFA/edit?usp=sharing"","&amp;"""ขอนแก่น!Q584"")+IMPORTRANGE(""https://docs.google.com/spreadsheets/d/1FvTu2DsIWUjP6WCWra38Bkj_oOl_sOMf14r5Fg5srxU/edit?usp=sharing"",""ชัยภูมิ!Q584"")+IMPORTRANGE(""https://docs.google.com/spreadsheets/d/1XVB7oCJ3pr-vBUdflwPQ8Z2LlzhnCvZaaYjAfP-647E/edit"&amp;"?usp=sharing"",""นครพนม!Q584"")+IMPORTRANGE(""https://docs.google.com/spreadsheets/d/1Mnpb-8PYAgn85W6KOTD40hc_Xc55CaLfHoGAbrZ8tls/edit?usp=sharing"",""นครราชสีมา!Q584"")+IMPORTRANGE(""https://docs.google.com/spreadsheets/d/1xoDLGBv9CYbyosIhki0kTq6IpYNj-gp"&amp;"jxfobnaDiut0/edit?usp=sharing"",""บึงกาฬ!Q584"")+IMPORTRANGE(""https://docs.google.com/spreadsheets/d/1MMPq-JyI6DSgQETxuSiXkesP-P7JHuemnE6QJIa-Nlw/edit?usp=sharing"",""บุรีรัมย์!Q584"")+IMPORTRANGE(""https://docs.google.com/spreadsheets/d/1l6IZ8xUPgMrESzc"&amp;"TYwhA1k_tPjeQjJPTqlm8Gd9eU5g/edit?usp=sharing"",""มหาสารคาม!Q584"")+IMPORTRANGE(""https://docs.google.com/spreadsheets/d/1uB74YLqNjWX6FObjekfB2NtSYigTQyR2rq9u4Ub2Sq4/edit?usp=sharing"",""มุกดาหาร!Q584"")+IMPORTRANGE(""https://docs.google.com/spreadsheets/"&amp;"d/1NexK3geCPxCTO1fzNF8dPec7yZyUx3OaWkFBC9HsQOo/edit?usp=sharing"",""ยโสธร!Q584"")+IMPORTRANGE(""https://docs.google.com/spreadsheets/d/1v_cJrbBlyqmnHPReHk44g9NrMRdENNlSy_E_c5M9fIg/edit?usp=sharing"",""ร้อยเอ็ด!Q584"")+IMPORTRANGE(""https://docs.google.com"&amp;"/spreadsheets/d/1Ul4RCpCX66NxYADU1QpwAPjOmBzW64SsT11s1wzXw_c/edit?usp=sharing"",""เลย!Q584"")+IMPORTRANGE(""https://docs.google.com/spreadsheets/d/1bRrNKwbHDVktQG10isr5vbWRtt5spIZPpkOSWgbT5ug/edit?usp=sharing"",""ศรีสะเกษ!Q584"")+IMPORTRANGE(""https://doc"&amp;"s.google.com/spreadsheets/d/17P34_Ow5kFBfdQD0qspb2UuPX5zpi6WMrQzslghyvrI/edit?usp=sharing"",""สกลนคร!Q584"")+IMPORTRANGE(""https://docs.google.com/spreadsheets/d/1yswqbM3-AEpThF3ZSUa1AcmHnmRTF1vlJ1CZGcJ8YuU/edit?usp=sharing"",""สุรินทร์!Q584"")+IMPORTRANG"&amp;"E(""https://docs.google.com/spreadsheets/d/13JHU_EFbsQOUQ0JSQ3dWy1VTRosIWcDq6Nc99z2qzdc/edit?usp=sharing"",""หนองคาย!Q584"")+IMPORTRANGE(""https://docs.google.com/spreadsheets/d/1Hx73zIEgVdDZZaYSTc46Dqv64atFhpr3GelxLbaIN8A/edit?usp=sharing"",""หนองบัวลำภู"&amp;"!Q584"")+IMPORTRANGE(""https://docs.google.com/spreadsheets/d/1lFxr3ctmjFN90yc-xV6jrQ9Ty8BKYVBWnAZ15wcNIJc/edit?usp=sharing"",""อำนาจเจริญ!Q584"")+IMPORTRANGE(""https://docs.google.com/spreadsheets/d/1gF7RJpRnL-1oyjyeWxs5SFWEH7y8ahOZsQlyp2A2e-A/edit?usp=s"&amp;"haring"",""อุดรธานี!Q584"")+IMPORTRANGE(""https://docs.google.com/spreadsheets/d/1kfLP0j3INXRa8bTDpcEmoWewMBV61jlFlfzczfjWIgc/edit?usp=sharing"",""อุบลราชธานี!Q584"")"),0)</f>
        <v>0</v>
      </c>
      <c r="R584" s="56">
        <f ca="1">IFERROR(__xludf.DUMMYFUNCTION("IMPORTRANGE(""https://docs.google.com/spreadsheets/d/1yhBcrRPreicbMKl9Bu_Snb2-OcQAF62RKfhTLhJ2eAA/edit?usp=sharing"",""กาฬสินธุ์!R584"")+IMPORTRANGE(""https://docs.google.com/spreadsheets/d/1aHkj4IaQMThhwWwevcOymEh837vdxeC_PycurhTbGFA/edit?usp=sharing"","&amp;"""ขอนแก่น!R584"")+IMPORTRANGE(""https://docs.google.com/spreadsheets/d/1FvTu2DsIWUjP6WCWra38Bkj_oOl_sOMf14r5Fg5srxU/edit?usp=sharing"",""ชัยภูมิ!R584"")+IMPORTRANGE(""https://docs.google.com/spreadsheets/d/1XVB7oCJ3pr-vBUdflwPQ8Z2LlzhnCvZaaYjAfP-647E/edit"&amp;"?usp=sharing"",""นครพนม!R584"")+IMPORTRANGE(""https://docs.google.com/spreadsheets/d/1Mnpb-8PYAgn85W6KOTD40hc_Xc55CaLfHoGAbrZ8tls/edit?usp=sharing"",""นครราชสีมา!R584"")+IMPORTRANGE(""https://docs.google.com/spreadsheets/d/1xoDLGBv9CYbyosIhki0kTq6IpYNj-gp"&amp;"jxfobnaDiut0/edit?usp=sharing"",""บึงกาฬ!R584"")+IMPORTRANGE(""https://docs.google.com/spreadsheets/d/1MMPq-JyI6DSgQETxuSiXkesP-P7JHuemnE6QJIa-Nlw/edit?usp=sharing"",""บุรีรัมย์!R584"")+IMPORTRANGE(""https://docs.google.com/spreadsheets/d/1l6IZ8xUPgMrESzc"&amp;"TYwhA1k_tPjeQjJPTqlm8Gd9eU5g/edit?usp=sharing"",""มหาสารคาม!R584"")+IMPORTRANGE(""https://docs.google.com/spreadsheets/d/1uB74YLqNjWX6FObjekfB2NtSYigTQyR2rq9u4Ub2Sq4/edit?usp=sharing"",""มุกดาหาร!R584"")+IMPORTRANGE(""https://docs.google.com/spreadsheets/"&amp;"d/1NexK3geCPxCTO1fzNF8dPec7yZyUx3OaWkFBC9HsQOo/edit?usp=sharing"",""ยโสธร!R584"")+IMPORTRANGE(""https://docs.google.com/spreadsheets/d/1v_cJrbBlyqmnHPReHk44g9NrMRdENNlSy_E_c5M9fIg/edit?usp=sharing"",""ร้อยเอ็ด!R584"")+IMPORTRANGE(""https://docs.google.com"&amp;"/spreadsheets/d/1Ul4RCpCX66NxYADU1QpwAPjOmBzW64SsT11s1wzXw_c/edit?usp=sharing"",""เลย!R584"")+IMPORTRANGE(""https://docs.google.com/spreadsheets/d/1bRrNKwbHDVktQG10isr5vbWRtt5spIZPpkOSWgbT5ug/edit?usp=sharing"",""ศรีสะเกษ!R584"")+IMPORTRANGE(""https://doc"&amp;"s.google.com/spreadsheets/d/17P34_Ow5kFBfdQD0qspb2UuPX5zpi6WMrQzslghyvrI/edit?usp=sharing"",""สกลนคร!R584"")+IMPORTRANGE(""https://docs.google.com/spreadsheets/d/1yswqbM3-AEpThF3ZSUa1AcmHnmRTF1vlJ1CZGcJ8YuU/edit?usp=sharing"",""สุรินทร์!R584"")+IMPORTRANG"&amp;"E(""https://docs.google.com/spreadsheets/d/13JHU_EFbsQOUQ0JSQ3dWy1VTRosIWcDq6Nc99z2qzdc/edit?usp=sharing"",""หนองคาย!R584"")+IMPORTRANGE(""https://docs.google.com/spreadsheets/d/1Hx73zIEgVdDZZaYSTc46Dqv64atFhpr3GelxLbaIN8A/edit?usp=sharing"",""หนองบัวลำภู"&amp;"!R584"")+IMPORTRANGE(""https://docs.google.com/spreadsheets/d/1lFxr3ctmjFN90yc-xV6jrQ9Ty8BKYVBWnAZ15wcNIJc/edit?usp=sharing"",""อำนาจเจริญ!R584"")+IMPORTRANGE(""https://docs.google.com/spreadsheets/d/1gF7RJpRnL-1oyjyeWxs5SFWEH7y8ahOZsQlyp2A2e-A/edit?usp=s"&amp;"haring"",""อุดรธานี!R584"")+IMPORTRANGE(""https://docs.google.com/spreadsheets/d/1kfLP0j3INXRa8bTDpcEmoWewMBV61jlFlfzczfjWIgc/edit?usp=sharing"",""อุบลราชธานี!R584"")"),0)</f>
        <v>0</v>
      </c>
      <c r="S584" s="57">
        <f ca="1">IFERROR(__xludf.DUMMYFUNCTION("IMPORTRANGE(""https://docs.google.com/spreadsheets/d/1yhBcrRPreicbMKl9Bu_Snb2-OcQAF62RKfhTLhJ2eAA/edit?usp=sharing"",""กาฬสินธุ์!S584"")+IMPORTRANGE(""https://docs.google.com/spreadsheets/d/1aHkj4IaQMThhwWwevcOymEh837vdxeC_PycurhTbGFA/edit?usp=sharing"","&amp;"""ขอนแก่น!S584"")+IMPORTRANGE(""https://docs.google.com/spreadsheets/d/1FvTu2DsIWUjP6WCWra38Bkj_oOl_sOMf14r5Fg5srxU/edit?usp=sharing"",""ชัยภูมิ!S584"")+IMPORTRANGE(""https://docs.google.com/spreadsheets/d/1XVB7oCJ3pr-vBUdflwPQ8Z2LlzhnCvZaaYjAfP-647E/edit"&amp;"?usp=sharing"",""นครพนม!S584"")+IMPORTRANGE(""https://docs.google.com/spreadsheets/d/1Mnpb-8PYAgn85W6KOTD40hc_Xc55CaLfHoGAbrZ8tls/edit?usp=sharing"",""นครราชสีมา!S584"")+IMPORTRANGE(""https://docs.google.com/spreadsheets/d/1xoDLGBv9CYbyosIhki0kTq6IpYNj-gp"&amp;"jxfobnaDiut0/edit?usp=sharing"",""บึงกาฬ!S584"")+IMPORTRANGE(""https://docs.google.com/spreadsheets/d/1MMPq-JyI6DSgQETxuSiXkesP-P7JHuemnE6QJIa-Nlw/edit?usp=sharing"",""บุรีรัมย์!S584"")+IMPORTRANGE(""https://docs.google.com/spreadsheets/d/1l6IZ8xUPgMrESzc"&amp;"TYwhA1k_tPjeQjJPTqlm8Gd9eU5g/edit?usp=sharing"",""มหาสารคาม!S584"")+IMPORTRANGE(""https://docs.google.com/spreadsheets/d/1uB74YLqNjWX6FObjekfB2NtSYigTQyR2rq9u4Ub2Sq4/edit?usp=sharing"",""มุกดาหาร!S584"")+IMPORTRANGE(""https://docs.google.com/spreadsheets/"&amp;"d/1NexK3geCPxCTO1fzNF8dPec7yZyUx3OaWkFBC9HsQOo/edit?usp=sharing"",""ยโสธร!S584"")+IMPORTRANGE(""https://docs.google.com/spreadsheets/d/1v_cJrbBlyqmnHPReHk44g9NrMRdENNlSy_E_c5M9fIg/edit?usp=sharing"",""ร้อยเอ็ด!S584"")+IMPORTRANGE(""https://docs.google.com"&amp;"/spreadsheets/d/1Ul4RCpCX66NxYADU1QpwAPjOmBzW64SsT11s1wzXw_c/edit?usp=sharing"",""เลย!S584"")+IMPORTRANGE(""https://docs.google.com/spreadsheets/d/1bRrNKwbHDVktQG10isr5vbWRtt5spIZPpkOSWgbT5ug/edit?usp=sharing"",""ศรีสะเกษ!S584"")+IMPORTRANGE(""https://doc"&amp;"s.google.com/spreadsheets/d/17P34_Ow5kFBfdQD0qspb2UuPX5zpi6WMrQzslghyvrI/edit?usp=sharing"",""สกลนคร!S584"")+IMPORTRANGE(""https://docs.google.com/spreadsheets/d/1yswqbM3-AEpThF3ZSUa1AcmHnmRTF1vlJ1CZGcJ8YuU/edit?usp=sharing"",""สุรินทร์!S584"")+IMPORTRANG"&amp;"E(""https://docs.google.com/spreadsheets/d/13JHU_EFbsQOUQ0JSQ3dWy1VTRosIWcDq6Nc99z2qzdc/edit?usp=sharing"",""หนองคาย!S584"")+IMPORTRANGE(""https://docs.google.com/spreadsheets/d/1Hx73zIEgVdDZZaYSTc46Dqv64atFhpr3GelxLbaIN8A/edit?usp=sharing"",""หนองบัวลำภู"&amp;"!S584"")+IMPORTRANGE(""https://docs.google.com/spreadsheets/d/1lFxr3ctmjFN90yc-xV6jrQ9Ty8BKYVBWnAZ15wcNIJc/edit?usp=sharing"",""อำนาจเจริญ!S584"")+IMPORTRANGE(""https://docs.google.com/spreadsheets/d/1gF7RJpRnL-1oyjyeWxs5SFWEH7y8ahOZsQlyp2A2e-A/edit?usp=s"&amp;"haring"",""อุดรธานี!S584"")+IMPORTRANGE(""https://docs.google.com/spreadsheets/d/1kfLP0j3INXRa8bTDpcEmoWewMBV61jlFlfzczfjWIgc/edit?usp=sharing"",""อุบลราชธานี!S584"")"),0)</f>
        <v>0</v>
      </c>
      <c r="T584" s="56">
        <f t="shared" ca="1" si="412"/>
        <v>0</v>
      </c>
      <c r="U584" s="56">
        <f t="shared" ca="1" si="413"/>
        <v>0</v>
      </c>
    </row>
    <row r="585" spans="1:21" ht="19.5">
      <c r="A585" s="166"/>
      <c r="B585" s="167"/>
      <c r="C585" s="411" t="s">
        <v>18</v>
      </c>
      <c r="D585" s="168" t="s">
        <v>38</v>
      </c>
      <c r="E585" s="169"/>
      <c r="F585" s="169"/>
      <c r="G585" s="170"/>
      <c r="H585" s="171"/>
      <c r="I585" s="163"/>
      <c r="J585" s="54"/>
      <c r="K585" s="55"/>
      <c r="L585" s="55"/>
      <c r="M585" s="55"/>
      <c r="N585" s="55"/>
      <c r="O585" s="164"/>
      <c r="P585" s="164"/>
      <c r="Q585" s="55"/>
      <c r="R585" s="55"/>
      <c r="S585" s="62"/>
      <c r="T585" s="164"/>
      <c r="U585" s="164"/>
    </row>
    <row r="586" spans="1:21" ht="12.75">
      <c r="A586" s="258"/>
      <c r="B586" s="260"/>
      <c r="C586" s="259"/>
      <c r="D586" s="260"/>
      <c r="E586" s="259"/>
      <c r="F586" s="260"/>
      <c r="G586" s="261"/>
      <c r="H586" s="261"/>
      <c r="I586" s="263"/>
      <c r="J586" s="263"/>
      <c r="K586" s="264"/>
      <c r="L586" s="264"/>
      <c r="M586" s="264"/>
      <c r="N586" s="264"/>
      <c r="O586" s="264"/>
      <c r="P586" s="264"/>
      <c r="Q586" s="264"/>
      <c r="R586" s="264"/>
      <c r="S586" s="265"/>
      <c r="T586" s="264"/>
      <c r="U586" s="264"/>
    </row>
    <row r="587" spans="1:21" ht="12.75">
      <c r="A587" s="258"/>
      <c r="B587" s="260"/>
      <c r="C587" s="259"/>
      <c r="D587" s="260"/>
      <c r="E587" s="259"/>
      <c r="F587" s="260"/>
      <c r="G587" s="261"/>
      <c r="H587" s="261"/>
      <c r="I587" s="263"/>
      <c r="J587" s="263"/>
      <c r="K587" s="264"/>
      <c r="L587" s="264"/>
      <c r="M587" s="264"/>
      <c r="N587" s="264"/>
      <c r="O587" s="264"/>
      <c r="P587" s="264"/>
      <c r="Q587" s="264"/>
      <c r="R587" s="264"/>
      <c r="S587" s="265"/>
      <c r="T587" s="264"/>
      <c r="U587" s="264"/>
    </row>
    <row r="588" spans="1:21" ht="12.75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4"/>
      <c r="M588" s="264"/>
      <c r="N588" s="264"/>
      <c r="O588" s="264"/>
      <c r="P588" s="264"/>
      <c r="Q588" s="264"/>
      <c r="R588" s="264"/>
      <c r="S588" s="265"/>
      <c r="T588" s="264"/>
      <c r="U588" s="264"/>
    </row>
    <row r="589" spans="1:21" ht="12.75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4"/>
      <c r="M589" s="264"/>
      <c r="N589" s="264"/>
      <c r="O589" s="264"/>
      <c r="P589" s="264"/>
      <c r="Q589" s="264"/>
      <c r="R589" s="264"/>
      <c r="S589" s="265"/>
      <c r="T589" s="264"/>
      <c r="U589" s="264"/>
    </row>
    <row r="590" spans="1:21" ht="12.75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4"/>
      <c r="M590" s="264"/>
      <c r="N590" s="264"/>
      <c r="O590" s="264"/>
      <c r="P590" s="264"/>
      <c r="Q590" s="264"/>
      <c r="R590" s="264"/>
      <c r="S590" s="265"/>
      <c r="T590" s="264"/>
      <c r="U590" s="264"/>
    </row>
    <row r="591" spans="1:21" ht="12.75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4"/>
      <c r="M591" s="264"/>
      <c r="N591" s="264"/>
      <c r="O591" s="264"/>
      <c r="P591" s="264"/>
      <c r="Q591" s="264"/>
      <c r="R591" s="264"/>
      <c r="S591" s="265"/>
      <c r="T591" s="264"/>
      <c r="U591" s="264"/>
    </row>
    <row r="592" spans="1:21" ht="12.75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4"/>
      <c r="M592" s="264"/>
      <c r="N592" s="264"/>
      <c r="O592" s="264"/>
      <c r="P592" s="264"/>
      <c r="Q592" s="264"/>
      <c r="R592" s="264"/>
      <c r="S592" s="265"/>
      <c r="T592" s="264"/>
      <c r="U592" s="264"/>
    </row>
    <row r="593" spans="1:21" ht="12.75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4"/>
      <c r="M593" s="264"/>
      <c r="N593" s="264"/>
      <c r="O593" s="264"/>
      <c r="P593" s="264"/>
      <c r="Q593" s="264"/>
      <c r="R593" s="264"/>
      <c r="S593" s="265"/>
      <c r="T593" s="264"/>
      <c r="U593" s="264"/>
    </row>
    <row r="594" spans="1:21" ht="12.75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4"/>
      <c r="M594" s="264"/>
      <c r="N594" s="264"/>
      <c r="O594" s="264"/>
      <c r="P594" s="264"/>
      <c r="Q594" s="264"/>
      <c r="R594" s="264"/>
      <c r="S594" s="265"/>
      <c r="T594" s="264"/>
      <c r="U594" s="264"/>
    </row>
    <row r="595" spans="1:21" ht="12.75">
      <c r="A595" s="407"/>
      <c r="B595" s="360"/>
      <c r="C595" s="360"/>
      <c r="D595" s="408"/>
      <c r="E595" s="408"/>
      <c r="F595" s="408"/>
      <c r="G595" s="409"/>
      <c r="H595" s="361"/>
      <c r="I595" s="362"/>
      <c r="J595" s="362"/>
      <c r="K595" s="363"/>
      <c r="L595" s="363"/>
      <c r="M595" s="363"/>
      <c r="N595" s="363"/>
      <c r="O595" s="363"/>
      <c r="P595" s="363"/>
      <c r="Q595" s="363"/>
      <c r="R595" s="363"/>
      <c r="S595" s="364"/>
      <c r="T595" s="363"/>
      <c r="U595" s="363"/>
    </row>
    <row r="596" spans="1:21" ht="19.5">
      <c r="A596" s="412" t="s">
        <v>214</v>
      </c>
      <c r="B596" s="144"/>
      <c r="C596" s="196"/>
      <c r="D596" s="144"/>
      <c r="E596" s="144"/>
      <c r="F596" s="144"/>
      <c r="G596" s="144"/>
      <c r="H596" s="145"/>
      <c r="I596" s="197"/>
      <c r="J596" s="197"/>
      <c r="K596" s="19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8"/>
    </row>
    <row r="597" spans="1:21" ht="19.5">
      <c r="A597" s="150"/>
      <c r="B597" s="413" t="s">
        <v>215</v>
      </c>
      <c r="C597" s="200"/>
      <c r="D597" s="151"/>
      <c r="E597" s="34"/>
      <c r="F597" s="34"/>
      <c r="G597" s="34"/>
      <c r="H597" s="414" t="s">
        <v>99</v>
      </c>
      <c r="I597" s="210"/>
      <c r="J597" s="39"/>
      <c r="K597" s="40"/>
      <c r="L597" s="40"/>
      <c r="M597" s="40"/>
      <c r="N597" s="40"/>
      <c r="O597" s="40"/>
      <c r="P597" s="40"/>
      <c r="Q597" s="40"/>
      <c r="R597" s="40"/>
      <c r="S597" s="154"/>
      <c r="T597" s="40"/>
      <c r="U597" s="40"/>
    </row>
    <row r="598" spans="1:21" ht="19.5">
      <c r="A598" s="415"/>
      <c r="B598" s="416" t="s">
        <v>216</v>
      </c>
      <c r="C598" s="151"/>
      <c r="D598" s="34"/>
      <c r="E598" s="34"/>
      <c r="F598" s="34"/>
      <c r="G598" s="37"/>
      <c r="H598" s="417" t="s">
        <v>35</v>
      </c>
      <c r="I598" s="39"/>
      <c r="J598" s="39"/>
      <c r="K598" s="40"/>
      <c r="L598" s="40"/>
      <c r="M598" s="40"/>
      <c r="N598" s="40"/>
      <c r="O598" s="40"/>
      <c r="P598" s="40"/>
      <c r="Q598" s="40"/>
      <c r="R598" s="40"/>
      <c r="S598" s="154"/>
      <c r="T598" s="40"/>
      <c r="U598" s="40"/>
    </row>
    <row r="599" spans="1:21" ht="19.5">
      <c r="A599" s="155"/>
      <c r="B599" s="188"/>
      <c r="C599" s="205" t="s">
        <v>18</v>
      </c>
      <c r="D599" s="528" t="s">
        <v>19</v>
      </c>
      <c r="E599" s="529"/>
      <c r="F599" s="529"/>
      <c r="G599" s="530"/>
      <c r="H599" s="418" t="s">
        <v>14</v>
      </c>
      <c r="I599" s="54"/>
      <c r="J599" s="54"/>
      <c r="K599" s="55"/>
      <c r="L599" s="159">
        <f t="shared" ref="L599:N599" ca="1" si="422">L600+L601</f>
        <v>0</v>
      </c>
      <c r="M599" s="159">
        <f t="shared" ca="1" si="422"/>
        <v>0</v>
      </c>
      <c r="N599" s="159">
        <f t="shared" ca="1" si="422"/>
        <v>0</v>
      </c>
      <c r="O599" s="159">
        <f t="shared" ref="O599:O607" ca="1" si="423">IF(L599&gt;0,N599*100/L599,0)</f>
        <v>0</v>
      </c>
      <c r="P599" s="159">
        <f t="shared" ref="P599:P607" ca="1" si="424">IF(M599&gt;0,N599*100/M599,0)</f>
        <v>0</v>
      </c>
      <c r="Q599" s="159">
        <f t="shared" ref="Q599:S599" ca="1" si="425">Q600+Q601</f>
        <v>0</v>
      </c>
      <c r="R599" s="159">
        <f t="shared" ca="1" si="425"/>
        <v>0</v>
      </c>
      <c r="S599" s="160">
        <f t="shared" ca="1" si="425"/>
        <v>0</v>
      </c>
      <c r="T599" s="159">
        <f t="shared" ref="T599:T607" ca="1" si="426">IF(Q599&gt;0,S599*100/Q599,0)</f>
        <v>0</v>
      </c>
      <c r="U599" s="159">
        <f t="shared" ref="U599:U607" ca="1" si="427">IF(R599&gt;0,S599*100/R599,0)</f>
        <v>0</v>
      </c>
    </row>
    <row r="600" spans="1:21" ht="18.75">
      <c r="A600" s="155"/>
      <c r="B600" s="188"/>
      <c r="C600" s="188"/>
      <c r="D600" s="174"/>
      <c r="E600" s="186" t="s">
        <v>159</v>
      </c>
      <c r="F600" s="50"/>
      <c r="G600" s="52"/>
      <c r="H600" s="189" t="s">
        <v>14</v>
      </c>
      <c r="I600" s="54"/>
      <c r="J600" s="54"/>
      <c r="K600" s="55"/>
      <c r="L600" s="59">
        <f t="shared" ref="L600:N600" ca="1" si="428">L603+L606</f>
        <v>0</v>
      </c>
      <c r="M600" s="59">
        <f t="shared" ca="1" si="428"/>
        <v>0</v>
      </c>
      <c r="N600" s="59">
        <f t="shared" ca="1" si="428"/>
        <v>0</v>
      </c>
      <c r="O600" s="59">
        <f t="shared" ca="1" si="423"/>
        <v>0</v>
      </c>
      <c r="P600" s="59">
        <f t="shared" ca="1" si="424"/>
        <v>0</v>
      </c>
      <c r="Q600" s="59">
        <f t="shared" ref="Q600:S600" ca="1" si="429">Q603+Q606</f>
        <v>0</v>
      </c>
      <c r="R600" s="59">
        <f t="shared" ca="1" si="429"/>
        <v>0</v>
      </c>
      <c r="S600" s="60">
        <f t="shared" ca="1" si="429"/>
        <v>0</v>
      </c>
      <c r="T600" s="59">
        <f t="shared" ca="1" si="426"/>
        <v>0</v>
      </c>
      <c r="U600" s="59">
        <f t="shared" ca="1" si="427"/>
        <v>0</v>
      </c>
    </row>
    <row r="601" spans="1:21" ht="18.75">
      <c r="A601" s="155"/>
      <c r="B601" s="188"/>
      <c r="C601" s="188"/>
      <c r="D601" s="174"/>
      <c r="E601" s="186" t="s">
        <v>160</v>
      </c>
      <c r="F601" s="50"/>
      <c r="G601" s="52"/>
      <c r="H601" s="189" t="s">
        <v>14</v>
      </c>
      <c r="I601" s="54"/>
      <c r="J601" s="54"/>
      <c r="K601" s="55"/>
      <c r="L601" s="56">
        <f t="shared" ref="L601:N601" ca="1" si="430">L604+L607</f>
        <v>0</v>
      </c>
      <c r="M601" s="56">
        <f t="shared" ca="1" si="430"/>
        <v>0</v>
      </c>
      <c r="N601" s="56">
        <f t="shared" ca="1" si="430"/>
        <v>0</v>
      </c>
      <c r="O601" s="56">
        <f t="shared" ca="1" si="423"/>
        <v>0</v>
      </c>
      <c r="P601" s="56">
        <f t="shared" ca="1" si="424"/>
        <v>0</v>
      </c>
      <c r="Q601" s="56">
        <f t="shared" ref="Q601:S601" ca="1" si="431">Q604+Q607</f>
        <v>0</v>
      </c>
      <c r="R601" s="56">
        <f t="shared" ca="1" si="431"/>
        <v>0</v>
      </c>
      <c r="S601" s="57">
        <f t="shared" ca="1" si="431"/>
        <v>0</v>
      </c>
      <c r="T601" s="56">
        <f t="shared" ca="1" si="426"/>
        <v>0</v>
      </c>
      <c r="U601" s="56">
        <f t="shared" ca="1" si="427"/>
        <v>0</v>
      </c>
    </row>
    <row r="602" spans="1:21" ht="19.5">
      <c r="A602" s="155"/>
      <c r="B602" s="188"/>
      <c r="C602" s="188"/>
      <c r="D602" s="419" t="s">
        <v>22</v>
      </c>
      <c r="E602" s="50"/>
      <c r="F602" s="50"/>
      <c r="G602" s="52"/>
      <c r="H602" s="418" t="s">
        <v>14</v>
      </c>
      <c r="I602" s="163"/>
      <c r="J602" s="163"/>
      <c r="K602" s="164"/>
      <c r="L602" s="56">
        <f t="shared" ref="L602:N602" ca="1" si="432">L603+L604</f>
        <v>0</v>
      </c>
      <c r="M602" s="56">
        <f t="shared" ca="1" si="432"/>
        <v>0</v>
      </c>
      <c r="N602" s="56">
        <f t="shared" ca="1" si="432"/>
        <v>0</v>
      </c>
      <c r="O602" s="56">
        <f t="shared" ca="1" si="423"/>
        <v>0</v>
      </c>
      <c r="P602" s="56">
        <f t="shared" ca="1" si="424"/>
        <v>0</v>
      </c>
      <c r="Q602" s="56">
        <f t="shared" ref="Q602:S602" ca="1" si="433">Q603+Q604</f>
        <v>0</v>
      </c>
      <c r="R602" s="56">
        <f t="shared" ca="1" si="433"/>
        <v>0</v>
      </c>
      <c r="S602" s="57">
        <f t="shared" ca="1" si="433"/>
        <v>0</v>
      </c>
      <c r="T602" s="56">
        <f t="shared" ca="1" si="426"/>
        <v>0</v>
      </c>
      <c r="U602" s="56">
        <f t="shared" ca="1" si="427"/>
        <v>0</v>
      </c>
    </row>
    <row r="603" spans="1:21" ht="18.75">
      <c r="A603" s="155"/>
      <c r="B603" s="188"/>
      <c r="C603" s="188"/>
      <c r="D603" s="174"/>
      <c r="E603" s="186" t="s">
        <v>159</v>
      </c>
      <c r="F603" s="50"/>
      <c r="G603" s="52"/>
      <c r="H603" s="189" t="s">
        <v>14</v>
      </c>
      <c r="I603" s="54"/>
      <c r="J603" s="54"/>
      <c r="K603" s="55"/>
      <c r="L603" s="59">
        <f ca="1">IFERROR(__xludf.DUMMYFUNCTION("IMPORTRANGE(""https://docs.google.com/spreadsheets/d/1yhBcrRPreicbMKl9Bu_Snb2-OcQAF62RKfhTLhJ2eAA/edit?usp=sharing"",""กาฬสินธุ์!L603"")+IMPORTRANGE(""https://docs.google.com/spreadsheets/d/1aHkj4IaQMThhwWwevcOymEh837vdxeC_PycurhTbGFA/edit?usp=sharing"","&amp;"""ขอนแก่น!L603"")+IMPORTRANGE(""https://docs.google.com/spreadsheets/d/1FvTu2DsIWUjP6WCWra38Bkj_oOl_sOMf14r5Fg5srxU/edit?usp=sharing"",""ชัยภูมิ!L603"")+IMPORTRANGE(""https://docs.google.com/spreadsheets/d/1XVB7oCJ3pr-vBUdflwPQ8Z2LlzhnCvZaaYjAfP-647E/edit"&amp;"?usp=sharing"",""นครพนม!L603"")+IMPORTRANGE(""https://docs.google.com/spreadsheets/d/1Mnpb-8PYAgn85W6KOTD40hc_Xc55CaLfHoGAbrZ8tls/edit?usp=sharing"",""นครราชสีมา!L603"")+IMPORTRANGE(""https://docs.google.com/spreadsheets/d/1xoDLGBv9CYbyosIhki0kTq6IpYNj-gp"&amp;"jxfobnaDiut0/edit?usp=sharing"",""บึงกาฬ!L603"")+IMPORTRANGE(""https://docs.google.com/spreadsheets/d/1MMPq-JyI6DSgQETxuSiXkesP-P7JHuemnE6QJIa-Nlw/edit?usp=sharing"",""บุรีรัมย์!L603"")+IMPORTRANGE(""https://docs.google.com/spreadsheets/d/1l6IZ8xUPgMrESzc"&amp;"TYwhA1k_tPjeQjJPTqlm8Gd9eU5g/edit?usp=sharing"",""มหาสารคาม!L603"")+IMPORTRANGE(""https://docs.google.com/spreadsheets/d/1uB74YLqNjWX6FObjekfB2NtSYigTQyR2rq9u4Ub2Sq4/edit?usp=sharing"",""มุกดาหาร!L603"")+IMPORTRANGE(""https://docs.google.com/spreadsheets/"&amp;"d/1NexK3geCPxCTO1fzNF8dPec7yZyUx3OaWkFBC9HsQOo/edit?usp=sharing"",""ยโสธร!L603"")+IMPORTRANGE(""https://docs.google.com/spreadsheets/d/1v_cJrbBlyqmnHPReHk44g9NrMRdENNlSy_E_c5M9fIg/edit?usp=sharing"",""ร้อยเอ็ด!L603"")+IMPORTRANGE(""https://docs.google.com"&amp;"/spreadsheets/d/1Ul4RCpCX66NxYADU1QpwAPjOmBzW64SsT11s1wzXw_c/edit?usp=sharing"",""เลย!L603"")+IMPORTRANGE(""https://docs.google.com/spreadsheets/d/1bRrNKwbHDVktQG10isr5vbWRtt5spIZPpkOSWgbT5ug/edit?usp=sharing"",""ศรีสะเกษ!L603"")+IMPORTRANGE(""https://doc"&amp;"s.google.com/spreadsheets/d/17P34_Ow5kFBfdQD0qspb2UuPX5zpi6WMrQzslghyvrI/edit?usp=sharing"",""สกลนคร!L603"")+IMPORTRANGE(""https://docs.google.com/spreadsheets/d/1yswqbM3-AEpThF3ZSUa1AcmHnmRTF1vlJ1CZGcJ8YuU/edit?usp=sharing"",""สุรินทร์!L603"")+IMPORTRANG"&amp;"E(""https://docs.google.com/spreadsheets/d/13JHU_EFbsQOUQ0JSQ3dWy1VTRosIWcDq6Nc99z2qzdc/edit?usp=sharing"",""หนองคาย!L603"")+IMPORTRANGE(""https://docs.google.com/spreadsheets/d/1Hx73zIEgVdDZZaYSTc46Dqv64atFhpr3GelxLbaIN8A/edit?usp=sharing"",""หนองบัวลำภู"&amp;"!L603"")+IMPORTRANGE(""https://docs.google.com/spreadsheets/d/1lFxr3ctmjFN90yc-xV6jrQ9Ty8BKYVBWnAZ15wcNIJc/edit?usp=sharing"",""อำนาจเจริญ!L603"")+IMPORTRANGE(""https://docs.google.com/spreadsheets/d/1gF7RJpRnL-1oyjyeWxs5SFWEH7y8ahOZsQlyp2A2e-A/edit?usp=s"&amp;"haring"",""อุดรธานี!L603"")+IMPORTRANGE(""https://docs.google.com/spreadsheets/d/1kfLP0j3INXRa8bTDpcEmoWewMBV61jlFlfzczfjWIgc/edit?usp=sharing"",""อุบลราชธานี!L603"")"),0)</f>
        <v>0</v>
      </c>
      <c r="M603" s="59">
        <f ca="1">IFERROR(__xludf.DUMMYFUNCTION("IMPORTRANGE(""https://docs.google.com/spreadsheets/d/1yhBcrRPreicbMKl9Bu_Snb2-OcQAF62RKfhTLhJ2eAA/edit?usp=sharing"",""กาฬสินธุ์!M603"")+IMPORTRANGE(""https://docs.google.com/spreadsheets/d/1aHkj4IaQMThhwWwevcOymEh837vdxeC_PycurhTbGFA/edit?usp=sharing"","&amp;"""ขอนแก่น!M603"")+IMPORTRANGE(""https://docs.google.com/spreadsheets/d/1FvTu2DsIWUjP6WCWra38Bkj_oOl_sOMf14r5Fg5srxU/edit?usp=sharing"",""ชัยภูมิ!M603"")+IMPORTRANGE(""https://docs.google.com/spreadsheets/d/1XVB7oCJ3pr-vBUdflwPQ8Z2LlzhnCvZaaYjAfP-647E/edit"&amp;"?usp=sharing"",""นครพนม!M603"")+IMPORTRANGE(""https://docs.google.com/spreadsheets/d/1Mnpb-8PYAgn85W6KOTD40hc_Xc55CaLfHoGAbrZ8tls/edit?usp=sharing"",""นครราชสีมา!M603"")+IMPORTRANGE(""https://docs.google.com/spreadsheets/d/1xoDLGBv9CYbyosIhki0kTq6IpYNj-gp"&amp;"jxfobnaDiut0/edit?usp=sharing"",""บึงกาฬ!M603"")+IMPORTRANGE(""https://docs.google.com/spreadsheets/d/1MMPq-JyI6DSgQETxuSiXkesP-P7JHuemnE6QJIa-Nlw/edit?usp=sharing"",""บุรีรัมย์!M603"")+IMPORTRANGE(""https://docs.google.com/spreadsheets/d/1l6IZ8xUPgMrESzc"&amp;"TYwhA1k_tPjeQjJPTqlm8Gd9eU5g/edit?usp=sharing"",""มหาสารคาม!M603"")+IMPORTRANGE(""https://docs.google.com/spreadsheets/d/1uB74YLqNjWX6FObjekfB2NtSYigTQyR2rq9u4Ub2Sq4/edit?usp=sharing"",""มุกดาหาร!M603"")+IMPORTRANGE(""https://docs.google.com/spreadsheets/"&amp;"d/1NexK3geCPxCTO1fzNF8dPec7yZyUx3OaWkFBC9HsQOo/edit?usp=sharing"",""ยโสธร!M603"")+IMPORTRANGE(""https://docs.google.com/spreadsheets/d/1v_cJrbBlyqmnHPReHk44g9NrMRdENNlSy_E_c5M9fIg/edit?usp=sharing"",""ร้อยเอ็ด!M603"")+IMPORTRANGE(""https://docs.google.com"&amp;"/spreadsheets/d/1Ul4RCpCX66NxYADU1QpwAPjOmBzW64SsT11s1wzXw_c/edit?usp=sharing"",""เลย!M603"")+IMPORTRANGE(""https://docs.google.com/spreadsheets/d/1bRrNKwbHDVktQG10isr5vbWRtt5spIZPpkOSWgbT5ug/edit?usp=sharing"",""ศรีสะเกษ!M603"")+IMPORTRANGE(""https://doc"&amp;"s.google.com/spreadsheets/d/17P34_Ow5kFBfdQD0qspb2UuPX5zpi6WMrQzslghyvrI/edit?usp=sharing"",""สกลนคร!M603"")+IMPORTRANGE(""https://docs.google.com/spreadsheets/d/1yswqbM3-AEpThF3ZSUa1AcmHnmRTF1vlJ1CZGcJ8YuU/edit?usp=sharing"",""สุรินทร์!M603"")+IMPORTRANG"&amp;"E(""https://docs.google.com/spreadsheets/d/13JHU_EFbsQOUQ0JSQ3dWy1VTRosIWcDq6Nc99z2qzdc/edit?usp=sharing"",""หนองคาย!M603"")+IMPORTRANGE(""https://docs.google.com/spreadsheets/d/1Hx73zIEgVdDZZaYSTc46Dqv64atFhpr3GelxLbaIN8A/edit?usp=sharing"",""หนองบัวลำภู"&amp;"!M603"")+IMPORTRANGE(""https://docs.google.com/spreadsheets/d/1lFxr3ctmjFN90yc-xV6jrQ9Ty8BKYVBWnAZ15wcNIJc/edit?usp=sharing"",""อำนาจเจริญ!M603"")+IMPORTRANGE(""https://docs.google.com/spreadsheets/d/1gF7RJpRnL-1oyjyeWxs5SFWEH7y8ahOZsQlyp2A2e-A/edit?usp=s"&amp;"haring"",""อุดรธานี!M603"")+IMPORTRANGE(""https://docs.google.com/spreadsheets/d/1kfLP0j3INXRa8bTDpcEmoWewMBV61jlFlfzczfjWIgc/edit?usp=sharing"",""อุบลราชธานี!M603"")"),0)</f>
        <v>0</v>
      </c>
      <c r="N603" s="59">
        <f ca="1">IFERROR(__xludf.DUMMYFUNCTION("IMPORTRANGE(""https://docs.google.com/spreadsheets/d/1yhBcrRPreicbMKl9Bu_Snb2-OcQAF62RKfhTLhJ2eAA/edit?usp=sharing"",""กาฬสินธุ์!N603"")+IMPORTRANGE(""https://docs.google.com/spreadsheets/d/1aHkj4IaQMThhwWwevcOymEh837vdxeC_PycurhTbGFA/edit?usp=sharing"","&amp;"""ขอนแก่น!N603"")+IMPORTRANGE(""https://docs.google.com/spreadsheets/d/1FvTu2DsIWUjP6WCWra38Bkj_oOl_sOMf14r5Fg5srxU/edit?usp=sharing"",""ชัยภูมิ!N603"")+IMPORTRANGE(""https://docs.google.com/spreadsheets/d/1XVB7oCJ3pr-vBUdflwPQ8Z2LlzhnCvZaaYjAfP-647E/edit"&amp;"?usp=sharing"",""นครพนม!N603"")+IMPORTRANGE(""https://docs.google.com/spreadsheets/d/1Mnpb-8PYAgn85W6KOTD40hc_Xc55CaLfHoGAbrZ8tls/edit?usp=sharing"",""นครราชสีมา!N603"")+IMPORTRANGE(""https://docs.google.com/spreadsheets/d/1xoDLGBv9CYbyosIhki0kTq6IpYNj-gp"&amp;"jxfobnaDiut0/edit?usp=sharing"",""บึงกาฬ!N603"")+IMPORTRANGE(""https://docs.google.com/spreadsheets/d/1MMPq-JyI6DSgQETxuSiXkesP-P7JHuemnE6QJIa-Nlw/edit?usp=sharing"",""บุรีรัมย์!N603"")+IMPORTRANGE(""https://docs.google.com/spreadsheets/d/1l6IZ8xUPgMrESzc"&amp;"TYwhA1k_tPjeQjJPTqlm8Gd9eU5g/edit?usp=sharing"",""มหาสารคาม!N603"")+IMPORTRANGE(""https://docs.google.com/spreadsheets/d/1uB74YLqNjWX6FObjekfB2NtSYigTQyR2rq9u4Ub2Sq4/edit?usp=sharing"",""มุกดาหาร!N603"")+IMPORTRANGE(""https://docs.google.com/spreadsheets/"&amp;"d/1NexK3geCPxCTO1fzNF8dPec7yZyUx3OaWkFBC9HsQOo/edit?usp=sharing"",""ยโสธร!N603"")+IMPORTRANGE(""https://docs.google.com/spreadsheets/d/1v_cJrbBlyqmnHPReHk44g9NrMRdENNlSy_E_c5M9fIg/edit?usp=sharing"",""ร้อยเอ็ด!N603"")+IMPORTRANGE(""https://docs.google.com"&amp;"/spreadsheets/d/1Ul4RCpCX66NxYADU1QpwAPjOmBzW64SsT11s1wzXw_c/edit?usp=sharing"",""เลย!N603"")+IMPORTRANGE(""https://docs.google.com/spreadsheets/d/1bRrNKwbHDVktQG10isr5vbWRtt5spIZPpkOSWgbT5ug/edit?usp=sharing"",""ศรีสะเกษ!N603"")+IMPORTRANGE(""https://doc"&amp;"s.google.com/spreadsheets/d/17P34_Ow5kFBfdQD0qspb2UuPX5zpi6WMrQzslghyvrI/edit?usp=sharing"",""สกลนคร!N603"")+IMPORTRANGE(""https://docs.google.com/spreadsheets/d/1yswqbM3-AEpThF3ZSUa1AcmHnmRTF1vlJ1CZGcJ8YuU/edit?usp=sharing"",""สุรินทร์!N603"")+IMPORTRANG"&amp;"E(""https://docs.google.com/spreadsheets/d/13JHU_EFbsQOUQ0JSQ3dWy1VTRosIWcDq6Nc99z2qzdc/edit?usp=sharing"",""หนองคาย!N603"")+IMPORTRANGE(""https://docs.google.com/spreadsheets/d/1Hx73zIEgVdDZZaYSTc46Dqv64atFhpr3GelxLbaIN8A/edit?usp=sharing"",""หนองบัวลำภู"&amp;"!N603"")+IMPORTRANGE(""https://docs.google.com/spreadsheets/d/1lFxr3ctmjFN90yc-xV6jrQ9Ty8BKYVBWnAZ15wcNIJc/edit?usp=sharing"",""อำนาจเจริญ!N603"")+IMPORTRANGE(""https://docs.google.com/spreadsheets/d/1gF7RJpRnL-1oyjyeWxs5SFWEH7y8ahOZsQlyp2A2e-A/edit?usp=s"&amp;"haring"",""อุดรธานี!N603"")+IMPORTRANGE(""https://docs.google.com/spreadsheets/d/1kfLP0j3INXRa8bTDpcEmoWewMBV61jlFlfzczfjWIgc/edit?usp=sharing"",""อุบลราชธานี!N603"")"),0)</f>
        <v>0</v>
      </c>
      <c r="O603" s="59">
        <f t="shared" ca="1" si="423"/>
        <v>0</v>
      </c>
      <c r="P603" s="59">
        <f t="shared" ca="1" si="424"/>
        <v>0</v>
      </c>
      <c r="Q603" s="59">
        <f ca="1">IFERROR(__xludf.DUMMYFUNCTION("IMPORTRANGE(""https://docs.google.com/spreadsheets/d/1yhBcrRPreicbMKl9Bu_Snb2-OcQAF62RKfhTLhJ2eAA/edit?usp=sharing"",""กาฬสินธุ์!Q603"")+IMPORTRANGE(""https://docs.google.com/spreadsheets/d/1aHkj4IaQMThhwWwevcOymEh837vdxeC_PycurhTbGFA/edit?usp=sharing"","&amp;"""ขอนแก่น!Q603"")+IMPORTRANGE(""https://docs.google.com/spreadsheets/d/1FvTu2DsIWUjP6WCWra38Bkj_oOl_sOMf14r5Fg5srxU/edit?usp=sharing"",""ชัยภูมิ!Q603"")+IMPORTRANGE(""https://docs.google.com/spreadsheets/d/1XVB7oCJ3pr-vBUdflwPQ8Z2LlzhnCvZaaYjAfP-647E/edit"&amp;"?usp=sharing"",""นครพนม!Q603"")+IMPORTRANGE(""https://docs.google.com/spreadsheets/d/1Mnpb-8PYAgn85W6KOTD40hc_Xc55CaLfHoGAbrZ8tls/edit?usp=sharing"",""นครราชสีมา!Q603"")+IMPORTRANGE(""https://docs.google.com/spreadsheets/d/1xoDLGBv9CYbyosIhki0kTq6IpYNj-gp"&amp;"jxfobnaDiut0/edit?usp=sharing"",""บึงกาฬ!Q603"")+IMPORTRANGE(""https://docs.google.com/spreadsheets/d/1MMPq-JyI6DSgQETxuSiXkesP-P7JHuemnE6QJIa-Nlw/edit?usp=sharing"",""บุรีรัมย์!Q603"")+IMPORTRANGE(""https://docs.google.com/spreadsheets/d/1l6IZ8xUPgMrESzc"&amp;"TYwhA1k_tPjeQjJPTqlm8Gd9eU5g/edit?usp=sharing"",""มหาสารคาม!Q603"")+IMPORTRANGE(""https://docs.google.com/spreadsheets/d/1uB74YLqNjWX6FObjekfB2NtSYigTQyR2rq9u4Ub2Sq4/edit?usp=sharing"",""มุกดาหาร!Q603"")+IMPORTRANGE(""https://docs.google.com/spreadsheets/"&amp;"d/1NexK3geCPxCTO1fzNF8dPec7yZyUx3OaWkFBC9HsQOo/edit?usp=sharing"",""ยโสธร!Q603"")+IMPORTRANGE(""https://docs.google.com/spreadsheets/d/1v_cJrbBlyqmnHPReHk44g9NrMRdENNlSy_E_c5M9fIg/edit?usp=sharing"",""ร้อยเอ็ด!Q603"")+IMPORTRANGE(""https://docs.google.com"&amp;"/spreadsheets/d/1Ul4RCpCX66NxYADU1QpwAPjOmBzW64SsT11s1wzXw_c/edit?usp=sharing"",""เลย!Q603"")+IMPORTRANGE(""https://docs.google.com/spreadsheets/d/1bRrNKwbHDVktQG10isr5vbWRtt5spIZPpkOSWgbT5ug/edit?usp=sharing"",""ศรีสะเกษ!Q603"")+IMPORTRANGE(""https://doc"&amp;"s.google.com/spreadsheets/d/17P34_Ow5kFBfdQD0qspb2UuPX5zpi6WMrQzslghyvrI/edit?usp=sharing"",""สกลนคร!Q603"")+IMPORTRANGE(""https://docs.google.com/spreadsheets/d/1yswqbM3-AEpThF3ZSUa1AcmHnmRTF1vlJ1CZGcJ8YuU/edit?usp=sharing"",""สุรินทร์!Q603"")+IMPORTRANG"&amp;"E(""https://docs.google.com/spreadsheets/d/13JHU_EFbsQOUQ0JSQ3dWy1VTRosIWcDq6Nc99z2qzdc/edit?usp=sharing"",""หนองคาย!Q603"")+IMPORTRANGE(""https://docs.google.com/spreadsheets/d/1Hx73zIEgVdDZZaYSTc46Dqv64atFhpr3GelxLbaIN8A/edit?usp=sharing"",""หนองบัวลำภู"&amp;"!Q603"")+IMPORTRANGE(""https://docs.google.com/spreadsheets/d/1lFxr3ctmjFN90yc-xV6jrQ9Ty8BKYVBWnAZ15wcNIJc/edit?usp=sharing"",""อำนาจเจริญ!Q603"")+IMPORTRANGE(""https://docs.google.com/spreadsheets/d/1gF7RJpRnL-1oyjyeWxs5SFWEH7y8ahOZsQlyp2A2e-A/edit?usp=s"&amp;"haring"",""อุดรธานี!Q603"")+IMPORTRANGE(""https://docs.google.com/spreadsheets/d/1kfLP0j3INXRa8bTDpcEmoWewMBV61jlFlfzczfjWIgc/edit?usp=sharing"",""อุบลราชธานี!Q603"")"),0)</f>
        <v>0</v>
      </c>
      <c r="R603" s="59">
        <f ca="1">IFERROR(__xludf.DUMMYFUNCTION("IMPORTRANGE(""https://docs.google.com/spreadsheets/d/1yhBcrRPreicbMKl9Bu_Snb2-OcQAF62RKfhTLhJ2eAA/edit?usp=sharing"",""กาฬสินธุ์!R603"")+IMPORTRANGE(""https://docs.google.com/spreadsheets/d/1aHkj4IaQMThhwWwevcOymEh837vdxeC_PycurhTbGFA/edit?usp=sharing"","&amp;"""ขอนแก่น!R603"")+IMPORTRANGE(""https://docs.google.com/spreadsheets/d/1FvTu2DsIWUjP6WCWra38Bkj_oOl_sOMf14r5Fg5srxU/edit?usp=sharing"",""ชัยภูมิ!R603"")+IMPORTRANGE(""https://docs.google.com/spreadsheets/d/1XVB7oCJ3pr-vBUdflwPQ8Z2LlzhnCvZaaYjAfP-647E/edit"&amp;"?usp=sharing"",""นครพนม!R603"")+IMPORTRANGE(""https://docs.google.com/spreadsheets/d/1Mnpb-8PYAgn85W6KOTD40hc_Xc55CaLfHoGAbrZ8tls/edit?usp=sharing"",""นครราชสีมา!R603"")+IMPORTRANGE(""https://docs.google.com/spreadsheets/d/1xoDLGBv9CYbyosIhki0kTq6IpYNj-gp"&amp;"jxfobnaDiut0/edit?usp=sharing"",""บึงกาฬ!R603"")+IMPORTRANGE(""https://docs.google.com/spreadsheets/d/1MMPq-JyI6DSgQETxuSiXkesP-P7JHuemnE6QJIa-Nlw/edit?usp=sharing"",""บุรีรัมย์!R603"")+IMPORTRANGE(""https://docs.google.com/spreadsheets/d/1l6IZ8xUPgMrESzc"&amp;"TYwhA1k_tPjeQjJPTqlm8Gd9eU5g/edit?usp=sharing"",""มหาสารคาม!R603"")+IMPORTRANGE(""https://docs.google.com/spreadsheets/d/1uB74YLqNjWX6FObjekfB2NtSYigTQyR2rq9u4Ub2Sq4/edit?usp=sharing"",""มุกดาหาร!R603"")+IMPORTRANGE(""https://docs.google.com/spreadsheets/"&amp;"d/1NexK3geCPxCTO1fzNF8dPec7yZyUx3OaWkFBC9HsQOo/edit?usp=sharing"",""ยโสธร!R603"")+IMPORTRANGE(""https://docs.google.com/spreadsheets/d/1v_cJrbBlyqmnHPReHk44g9NrMRdENNlSy_E_c5M9fIg/edit?usp=sharing"",""ร้อยเอ็ด!R603"")+IMPORTRANGE(""https://docs.google.com"&amp;"/spreadsheets/d/1Ul4RCpCX66NxYADU1QpwAPjOmBzW64SsT11s1wzXw_c/edit?usp=sharing"",""เลย!R603"")+IMPORTRANGE(""https://docs.google.com/spreadsheets/d/1bRrNKwbHDVktQG10isr5vbWRtt5spIZPpkOSWgbT5ug/edit?usp=sharing"",""ศรีสะเกษ!R603"")+IMPORTRANGE(""https://doc"&amp;"s.google.com/spreadsheets/d/17P34_Ow5kFBfdQD0qspb2UuPX5zpi6WMrQzslghyvrI/edit?usp=sharing"",""สกลนคร!R603"")+IMPORTRANGE(""https://docs.google.com/spreadsheets/d/1yswqbM3-AEpThF3ZSUa1AcmHnmRTF1vlJ1CZGcJ8YuU/edit?usp=sharing"",""สุรินทร์!R603"")+IMPORTRANG"&amp;"E(""https://docs.google.com/spreadsheets/d/13JHU_EFbsQOUQ0JSQ3dWy1VTRosIWcDq6Nc99z2qzdc/edit?usp=sharing"",""หนองคาย!R603"")+IMPORTRANGE(""https://docs.google.com/spreadsheets/d/1Hx73zIEgVdDZZaYSTc46Dqv64atFhpr3GelxLbaIN8A/edit?usp=sharing"",""หนองบัวลำภู"&amp;"!R603"")+IMPORTRANGE(""https://docs.google.com/spreadsheets/d/1lFxr3ctmjFN90yc-xV6jrQ9Ty8BKYVBWnAZ15wcNIJc/edit?usp=sharing"",""อำนาจเจริญ!R603"")+IMPORTRANGE(""https://docs.google.com/spreadsheets/d/1gF7RJpRnL-1oyjyeWxs5SFWEH7y8ahOZsQlyp2A2e-A/edit?usp=s"&amp;"haring"",""อุดรธานี!R603"")+IMPORTRANGE(""https://docs.google.com/spreadsheets/d/1kfLP0j3INXRa8bTDpcEmoWewMBV61jlFlfzczfjWIgc/edit?usp=sharing"",""อุบลราชธานี!R603"")"),0)</f>
        <v>0</v>
      </c>
      <c r="S603" s="60">
        <f ca="1">IFERROR(__xludf.DUMMYFUNCTION("IMPORTRANGE(""https://docs.google.com/spreadsheets/d/1yhBcrRPreicbMKl9Bu_Snb2-OcQAF62RKfhTLhJ2eAA/edit?usp=sharing"",""กาฬสินธุ์!S603"")+IMPORTRANGE(""https://docs.google.com/spreadsheets/d/1aHkj4IaQMThhwWwevcOymEh837vdxeC_PycurhTbGFA/edit?usp=sharing"","&amp;"""ขอนแก่น!S603"")+IMPORTRANGE(""https://docs.google.com/spreadsheets/d/1FvTu2DsIWUjP6WCWra38Bkj_oOl_sOMf14r5Fg5srxU/edit?usp=sharing"",""ชัยภูมิ!S603"")+IMPORTRANGE(""https://docs.google.com/spreadsheets/d/1XVB7oCJ3pr-vBUdflwPQ8Z2LlzhnCvZaaYjAfP-647E/edit"&amp;"?usp=sharing"",""นครพนม!S603"")+IMPORTRANGE(""https://docs.google.com/spreadsheets/d/1Mnpb-8PYAgn85W6KOTD40hc_Xc55CaLfHoGAbrZ8tls/edit?usp=sharing"",""นครราชสีมา!S603"")+IMPORTRANGE(""https://docs.google.com/spreadsheets/d/1xoDLGBv9CYbyosIhki0kTq6IpYNj-gp"&amp;"jxfobnaDiut0/edit?usp=sharing"",""บึงกาฬ!S603"")+IMPORTRANGE(""https://docs.google.com/spreadsheets/d/1MMPq-JyI6DSgQETxuSiXkesP-P7JHuemnE6QJIa-Nlw/edit?usp=sharing"",""บุรีรัมย์!S603"")+IMPORTRANGE(""https://docs.google.com/spreadsheets/d/1l6IZ8xUPgMrESzc"&amp;"TYwhA1k_tPjeQjJPTqlm8Gd9eU5g/edit?usp=sharing"",""มหาสารคาม!S603"")+IMPORTRANGE(""https://docs.google.com/spreadsheets/d/1uB74YLqNjWX6FObjekfB2NtSYigTQyR2rq9u4Ub2Sq4/edit?usp=sharing"",""มุกดาหาร!S603"")+IMPORTRANGE(""https://docs.google.com/spreadsheets/"&amp;"d/1NexK3geCPxCTO1fzNF8dPec7yZyUx3OaWkFBC9HsQOo/edit?usp=sharing"",""ยโสธร!S603"")+IMPORTRANGE(""https://docs.google.com/spreadsheets/d/1v_cJrbBlyqmnHPReHk44g9NrMRdENNlSy_E_c5M9fIg/edit?usp=sharing"",""ร้อยเอ็ด!S603"")+IMPORTRANGE(""https://docs.google.com"&amp;"/spreadsheets/d/1Ul4RCpCX66NxYADU1QpwAPjOmBzW64SsT11s1wzXw_c/edit?usp=sharing"",""เลย!S603"")+IMPORTRANGE(""https://docs.google.com/spreadsheets/d/1bRrNKwbHDVktQG10isr5vbWRtt5spIZPpkOSWgbT5ug/edit?usp=sharing"",""ศรีสะเกษ!S603"")+IMPORTRANGE(""https://doc"&amp;"s.google.com/spreadsheets/d/17P34_Ow5kFBfdQD0qspb2UuPX5zpi6WMrQzslghyvrI/edit?usp=sharing"",""สกลนคร!S603"")+IMPORTRANGE(""https://docs.google.com/spreadsheets/d/1yswqbM3-AEpThF3ZSUa1AcmHnmRTF1vlJ1CZGcJ8YuU/edit?usp=sharing"",""สุรินทร์!S603"")+IMPORTRANG"&amp;"E(""https://docs.google.com/spreadsheets/d/13JHU_EFbsQOUQ0JSQ3dWy1VTRosIWcDq6Nc99z2qzdc/edit?usp=sharing"",""หนองคาย!S603"")+IMPORTRANGE(""https://docs.google.com/spreadsheets/d/1Hx73zIEgVdDZZaYSTc46Dqv64atFhpr3GelxLbaIN8A/edit?usp=sharing"",""หนองบัวลำภู"&amp;"!S603"")+IMPORTRANGE(""https://docs.google.com/spreadsheets/d/1lFxr3ctmjFN90yc-xV6jrQ9Ty8BKYVBWnAZ15wcNIJc/edit?usp=sharing"",""อำนาจเจริญ!S603"")+IMPORTRANGE(""https://docs.google.com/spreadsheets/d/1gF7RJpRnL-1oyjyeWxs5SFWEH7y8ahOZsQlyp2A2e-A/edit?usp=s"&amp;"haring"",""อุดรธานี!S603"")+IMPORTRANGE(""https://docs.google.com/spreadsheets/d/1kfLP0j3INXRa8bTDpcEmoWewMBV61jlFlfzczfjWIgc/edit?usp=sharing"",""อุบลราชธานี!S603"")"),0)</f>
        <v>0</v>
      </c>
      <c r="T603" s="59">
        <f t="shared" ca="1" si="426"/>
        <v>0</v>
      </c>
      <c r="U603" s="59">
        <f t="shared" ca="1" si="427"/>
        <v>0</v>
      </c>
    </row>
    <row r="604" spans="1:21" ht="18.75">
      <c r="A604" s="155"/>
      <c r="B604" s="188"/>
      <c r="C604" s="188"/>
      <c r="D604" s="174"/>
      <c r="E604" s="186" t="s">
        <v>160</v>
      </c>
      <c r="F604" s="50"/>
      <c r="G604" s="52"/>
      <c r="H604" s="189" t="s">
        <v>14</v>
      </c>
      <c r="I604" s="54"/>
      <c r="J604" s="54"/>
      <c r="K604" s="55"/>
      <c r="L604" s="56">
        <f ca="1">IFERROR(__xludf.DUMMYFUNCTION("IMPORTRANGE(""https://docs.google.com/spreadsheets/d/1yhBcrRPreicbMKl9Bu_Snb2-OcQAF62RKfhTLhJ2eAA/edit?usp=sharing"",""กาฬสินธุ์!L604"")+IMPORTRANGE(""https://docs.google.com/spreadsheets/d/1aHkj4IaQMThhwWwevcOymEh837vdxeC_PycurhTbGFA/edit?usp=sharing"","&amp;"""ขอนแก่น!L604"")+IMPORTRANGE(""https://docs.google.com/spreadsheets/d/1FvTu2DsIWUjP6WCWra38Bkj_oOl_sOMf14r5Fg5srxU/edit?usp=sharing"",""ชัยภูมิ!L604"")+IMPORTRANGE(""https://docs.google.com/spreadsheets/d/1XVB7oCJ3pr-vBUdflwPQ8Z2LlzhnCvZaaYjAfP-647E/edit"&amp;"?usp=sharing"",""นครพนม!L604"")+IMPORTRANGE(""https://docs.google.com/spreadsheets/d/1Mnpb-8PYAgn85W6KOTD40hc_Xc55CaLfHoGAbrZ8tls/edit?usp=sharing"",""นครราชสีมา!L604"")+IMPORTRANGE(""https://docs.google.com/spreadsheets/d/1xoDLGBv9CYbyosIhki0kTq6IpYNj-gp"&amp;"jxfobnaDiut0/edit?usp=sharing"",""บึงกาฬ!L604"")+IMPORTRANGE(""https://docs.google.com/spreadsheets/d/1MMPq-JyI6DSgQETxuSiXkesP-P7JHuemnE6QJIa-Nlw/edit?usp=sharing"",""บุรีรัมย์!L604"")+IMPORTRANGE(""https://docs.google.com/spreadsheets/d/1l6IZ8xUPgMrESzc"&amp;"TYwhA1k_tPjeQjJPTqlm8Gd9eU5g/edit?usp=sharing"",""มหาสารคาม!L604"")+IMPORTRANGE(""https://docs.google.com/spreadsheets/d/1uB74YLqNjWX6FObjekfB2NtSYigTQyR2rq9u4Ub2Sq4/edit?usp=sharing"",""มุกดาหาร!L604"")+IMPORTRANGE(""https://docs.google.com/spreadsheets/"&amp;"d/1NexK3geCPxCTO1fzNF8dPec7yZyUx3OaWkFBC9HsQOo/edit?usp=sharing"",""ยโสธร!L604"")+IMPORTRANGE(""https://docs.google.com/spreadsheets/d/1v_cJrbBlyqmnHPReHk44g9NrMRdENNlSy_E_c5M9fIg/edit?usp=sharing"",""ร้อยเอ็ด!L604"")+IMPORTRANGE(""https://docs.google.com"&amp;"/spreadsheets/d/1Ul4RCpCX66NxYADU1QpwAPjOmBzW64SsT11s1wzXw_c/edit?usp=sharing"",""เลย!L604"")+IMPORTRANGE(""https://docs.google.com/spreadsheets/d/1bRrNKwbHDVktQG10isr5vbWRtt5spIZPpkOSWgbT5ug/edit?usp=sharing"",""ศรีสะเกษ!L604"")+IMPORTRANGE(""https://doc"&amp;"s.google.com/spreadsheets/d/17P34_Ow5kFBfdQD0qspb2UuPX5zpi6WMrQzslghyvrI/edit?usp=sharing"",""สกลนคร!L604"")+IMPORTRANGE(""https://docs.google.com/spreadsheets/d/1yswqbM3-AEpThF3ZSUa1AcmHnmRTF1vlJ1CZGcJ8YuU/edit?usp=sharing"",""สุรินทร์!L604"")+IMPORTRANG"&amp;"E(""https://docs.google.com/spreadsheets/d/13JHU_EFbsQOUQ0JSQ3dWy1VTRosIWcDq6Nc99z2qzdc/edit?usp=sharing"",""หนองคาย!L604"")+IMPORTRANGE(""https://docs.google.com/spreadsheets/d/1Hx73zIEgVdDZZaYSTc46Dqv64atFhpr3GelxLbaIN8A/edit?usp=sharing"",""หนองบัวลำภู"&amp;"!L604"")+IMPORTRANGE(""https://docs.google.com/spreadsheets/d/1lFxr3ctmjFN90yc-xV6jrQ9Ty8BKYVBWnAZ15wcNIJc/edit?usp=sharing"",""อำนาจเจริญ!L604"")+IMPORTRANGE(""https://docs.google.com/spreadsheets/d/1gF7RJpRnL-1oyjyeWxs5SFWEH7y8ahOZsQlyp2A2e-A/edit?usp=s"&amp;"haring"",""อุดรธานี!L604"")+IMPORTRANGE(""https://docs.google.com/spreadsheets/d/1kfLP0j3INXRa8bTDpcEmoWewMBV61jlFlfzczfjWIgc/edit?usp=sharing"",""อุบลราชธานี!L604"")"),0)</f>
        <v>0</v>
      </c>
      <c r="M604" s="56">
        <f ca="1">IFERROR(__xludf.DUMMYFUNCTION("IMPORTRANGE(""https://docs.google.com/spreadsheets/d/1yhBcrRPreicbMKl9Bu_Snb2-OcQAF62RKfhTLhJ2eAA/edit?usp=sharing"",""กาฬสินธุ์!M604"")+IMPORTRANGE(""https://docs.google.com/spreadsheets/d/1aHkj4IaQMThhwWwevcOymEh837vdxeC_PycurhTbGFA/edit?usp=sharing"","&amp;"""ขอนแก่น!M604"")+IMPORTRANGE(""https://docs.google.com/spreadsheets/d/1FvTu2DsIWUjP6WCWra38Bkj_oOl_sOMf14r5Fg5srxU/edit?usp=sharing"",""ชัยภูมิ!M604"")+IMPORTRANGE(""https://docs.google.com/spreadsheets/d/1XVB7oCJ3pr-vBUdflwPQ8Z2LlzhnCvZaaYjAfP-647E/edit"&amp;"?usp=sharing"",""นครพนม!M604"")+IMPORTRANGE(""https://docs.google.com/spreadsheets/d/1Mnpb-8PYAgn85W6KOTD40hc_Xc55CaLfHoGAbrZ8tls/edit?usp=sharing"",""นครราชสีมา!M604"")+IMPORTRANGE(""https://docs.google.com/spreadsheets/d/1xoDLGBv9CYbyosIhki0kTq6IpYNj-gp"&amp;"jxfobnaDiut0/edit?usp=sharing"",""บึงกาฬ!M604"")+IMPORTRANGE(""https://docs.google.com/spreadsheets/d/1MMPq-JyI6DSgQETxuSiXkesP-P7JHuemnE6QJIa-Nlw/edit?usp=sharing"",""บุรีรัมย์!M604"")+IMPORTRANGE(""https://docs.google.com/spreadsheets/d/1l6IZ8xUPgMrESzc"&amp;"TYwhA1k_tPjeQjJPTqlm8Gd9eU5g/edit?usp=sharing"",""มหาสารคาม!M604"")+IMPORTRANGE(""https://docs.google.com/spreadsheets/d/1uB74YLqNjWX6FObjekfB2NtSYigTQyR2rq9u4Ub2Sq4/edit?usp=sharing"",""มุกดาหาร!M604"")+IMPORTRANGE(""https://docs.google.com/spreadsheets/"&amp;"d/1NexK3geCPxCTO1fzNF8dPec7yZyUx3OaWkFBC9HsQOo/edit?usp=sharing"",""ยโสธร!M604"")+IMPORTRANGE(""https://docs.google.com/spreadsheets/d/1v_cJrbBlyqmnHPReHk44g9NrMRdENNlSy_E_c5M9fIg/edit?usp=sharing"",""ร้อยเอ็ด!M604"")+IMPORTRANGE(""https://docs.google.com"&amp;"/spreadsheets/d/1Ul4RCpCX66NxYADU1QpwAPjOmBzW64SsT11s1wzXw_c/edit?usp=sharing"",""เลย!M604"")+IMPORTRANGE(""https://docs.google.com/spreadsheets/d/1bRrNKwbHDVktQG10isr5vbWRtt5spIZPpkOSWgbT5ug/edit?usp=sharing"",""ศรีสะเกษ!M604"")+IMPORTRANGE(""https://doc"&amp;"s.google.com/spreadsheets/d/17P34_Ow5kFBfdQD0qspb2UuPX5zpi6WMrQzslghyvrI/edit?usp=sharing"",""สกลนคร!M604"")+IMPORTRANGE(""https://docs.google.com/spreadsheets/d/1yswqbM3-AEpThF3ZSUa1AcmHnmRTF1vlJ1CZGcJ8YuU/edit?usp=sharing"",""สุรินทร์!M604"")+IMPORTRANG"&amp;"E(""https://docs.google.com/spreadsheets/d/13JHU_EFbsQOUQ0JSQ3dWy1VTRosIWcDq6Nc99z2qzdc/edit?usp=sharing"",""หนองคาย!M604"")+IMPORTRANGE(""https://docs.google.com/spreadsheets/d/1Hx73zIEgVdDZZaYSTc46Dqv64atFhpr3GelxLbaIN8A/edit?usp=sharing"",""หนองบัวลำภู"&amp;"!M604"")+IMPORTRANGE(""https://docs.google.com/spreadsheets/d/1lFxr3ctmjFN90yc-xV6jrQ9Ty8BKYVBWnAZ15wcNIJc/edit?usp=sharing"",""อำนาจเจริญ!M604"")+IMPORTRANGE(""https://docs.google.com/spreadsheets/d/1gF7RJpRnL-1oyjyeWxs5SFWEH7y8ahOZsQlyp2A2e-A/edit?usp=s"&amp;"haring"",""อุดรธานี!M604"")+IMPORTRANGE(""https://docs.google.com/spreadsheets/d/1kfLP0j3INXRa8bTDpcEmoWewMBV61jlFlfzczfjWIgc/edit?usp=sharing"",""อุบลราชธานี!M604"")"),0)</f>
        <v>0</v>
      </c>
      <c r="N604" s="56">
        <f ca="1">IFERROR(__xludf.DUMMYFUNCTION("IMPORTRANGE(""https://docs.google.com/spreadsheets/d/1yhBcrRPreicbMKl9Bu_Snb2-OcQAF62RKfhTLhJ2eAA/edit?usp=sharing"",""กาฬสินธุ์!N604"")+IMPORTRANGE(""https://docs.google.com/spreadsheets/d/1aHkj4IaQMThhwWwevcOymEh837vdxeC_PycurhTbGFA/edit?usp=sharing"","&amp;"""ขอนแก่น!N604"")+IMPORTRANGE(""https://docs.google.com/spreadsheets/d/1FvTu2DsIWUjP6WCWra38Bkj_oOl_sOMf14r5Fg5srxU/edit?usp=sharing"",""ชัยภูมิ!N604"")+IMPORTRANGE(""https://docs.google.com/spreadsheets/d/1XVB7oCJ3pr-vBUdflwPQ8Z2LlzhnCvZaaYjAfP-647E/edit"&amp;"?usp=sharing"",""นครพนม!N604"")+IMPORTRANGE(""https://docs.google.com/spreadsheets/d/1Mnpb-8PYAgn85W6KOTD40hc_Xc55CaLfHoGAbrZ8tls/edit?usp=sharing"",""นครราชสีมา!N604"")+IMPORTRANGE(""https://docs.google.com/spreadsheets/d/1xoDLGBv9CYbyosIhki0kTq6IpYNj-gp"&amp;"jxfobnaDiut0/edit?usp=sharing"",""บึงกาฬ!N604"")+IMPORTRANGE(""https://docs.google.com/spreadsheets/d/1MMPq-JyI6DSgQETxuSiXkesP-P7JHuemnE6QJIa-Nlw/edit?usp=sharing"",""บุรีรัมย์!N604"")+IMPORTRANGE(""https://docs.google.com/spreadsheets/d/1l6IZ8xUPgMrESzc"&amp;"TYwhA1k_tPjeQjJPTqlm8Gd9eU5g/edit?usp=sharing"",""มหาสารคาม!N604"")+IMPORTRANGE(""https://docs.google.com/spreadsheets/d/1uB74YLqNjWX6FObjekfB2NtSYigTQyR2rq9u4Ub2Sq4/edit?usp=sharing"",""มุกดาหาร!N604"")+IMPORTRANGE(""https://docs.google.com/spreadsheets/"&amp;"d/1NexK3geCPxCTO1fzNF8dPec7yZyUx3OaWkFBC9HsQOo/edit?usp=sharing"",""ยโสธร!N604"")+IMPORTRANGE(""https://docs.google.com/spreadsheets/d/1v_cJrbBlyqmnHPReHk44g9NrMRdENNlSy_E_c5M9fIg/edit?usp=sharing"",""ร้อยเอ็ด!N604"")+IMPORTRANGE(""https://docs.google.com"&amp;"/spreadsheets/d/1Ul4RCpCX66NxYADU1QpwAPjOmBzW64SsT11s1wzXw_c/edit?usp=sharing"",""เลย!N604"")+IMPORTRANGE(""https://docs.google.com/spreadsheets/d/1bRrNKwbHDVktQG10isr5vbWRtt5spIZPpkOSWgbT5ug/edit?usp=sharing"",""ศรีสะเกษ!N604"")+IMPORTRANGE(""https://doc"&amp;"s.google.com/spreadsheets/d/17P34_Ow5kFBfdQD0qspb2UuPX5zpi6WMrQzslghyvrI/edit?usp=sharing"",""สกลนคร!N604"")+IMPORTRANGE(""https://docs.google.com/spreadsheets/d/1yswqbM3-AEpThF3ZSUa1AcmHnmRTF1vlJ1CZGcJ8YuU/edit?usp=sharing"",""สุรินทร์!N604"")+IMPORTRANG"&amp;"E(""https://docs.google.com/spreadsheets/d/13JHU_EFbsQOUQ0JSQ3dWy1VTRosIWcDq6Nc99z2qzdc/edit?usp=sharing"",""หนองคาย!N604"")+IMPORTRANGE(""https://docs.google.com/spreadsheets/d/1Hx73zIEgVdDZZaYSTc46Dqv64atFhpr3GelxLbaIN8A/edit?usp=sharing"",""หนองบัวลำภู"&amp;"!N604"")+IMPORTRANGE(""https://docs.google.com/spreadsheets/d/1lFxr3ctmjFN90yc-xV6jrQ9Ty8BKYVBWnAZ15wcNIJc/edit?usp=sharing"",""อำนาจเจริญ!N604"")+IMPORTRANGE(""https://docs.google.com/spreadsheets/d/1gF7RJpRnL-1oyjyeWxs5SFWEH7y8ahOZsQlyp2A2e-A/edit?usp=s"&amp;"haring"",""อุดรธานี!N604"")+IMPORTRANGE(""https://docs.google.com/spreadsheets/d/1kfLP0j3INXRa8bTDpcEmoWewMBV61jlFlfzczfjWIgc/edit?usp=sharing"",""อุบลราชธานี!N604"")"),0)</f>
        <v>0</v>
      </c>
      <c r="O604" s="56">
        <f t="shared" ca="1" si="423"/>
        <v>0</v>
      </c>
      <c r="P604" s="56">
        <f t="shared" ca="1" si="424"/>
        <v>0</v>
      </c>
      <c r="Q604" s="56">
        <f ca="1">IFERROR(__xludf.DUMMYFUNCTION("IMPORTRANGE(""https://docs.google.com/spreadsheets/d/1yhBcrRPreicbMKl9Bu_Snb2-OcQAF62RKfhTLhJ2eAA/edit?usp=sharing"",""กาฬสินธุ์!Q604"")+IMPORTRANGE(""https://docs.google.com/spreadsheets/d/1aHkj4IaQMThhwWwevcOymEh837vdxeC_PycurhTbGFA/edit?usp=sharing"","&amp;"""ขอนแก่น!Q604"")+IMPORTRANGE(""https://docs.google.com/spreadsheets/d/1FvTu2DsIWUjP6WCWra38Bkj_oOl_sOMf14r5Fg5srxU/edit?usp=sharing"",""ชัยภูมิ!Q604"")+IMPORTRANGE(""https://docs.google.com/spreadsheets/d/1XVB7oCJ3pr-vBUdflwPQ8Z2LlzhnCvZaaYjAfP-647E/edit"&amp;"?usp=sharing"",""นครพนม!Q604"")+IMPORTRANGE(""https://docs.google.com/spreadsheets/d/1Mnpb-8PYAgn85W6KOTD40hc_Xc55CaLfHoGAbrZ8tls/edit?usp=sharing"",""นครราชสีมา!Q604"")+IMPORTRANGE(""https://docs.google.com/spreadsheets/d/1xoDLGBv9CYbyosIhki0kTq6IpYNj-gp"&amp;"jxfobnaDiut0/edit?usp=sharing"",""บึงกาฬ!Q604"")+IMPORTRANGE(""https://docs.google.com/spreadsheets/d/1MMPq-JyI6DSgQETxuSiXkesP-P7JHuemnE6QJIa-Nlw/edit?usp=sharing"",""บุรีรัมย์!Q604"")+IMPORTRANGE(""https://docs.google.com/spreadsheets/d/1l6IZ8xUPgMrESzc"&amp;"TYwhA1k_tPjeQjJPTqlm8Gd9eU5g/edit?usp=sharing"",""มหาสารคาม!Q604"")+IMPORTRANGE(""https://docs.google.com/spreadsheets/d/1uB74YLqNjWX6FObjekfB2NtSYigTQyR2rq9u4Ub2Sq4/edit?usp=sharing"",""มุกดาหาร!Q604"")+IMPORTRANGE(""https://docs.google.com/spreadsheets/"&amp;"d/1NexK3geCPxCTO1fzNF8dPec7yZyUx3OaWkFBC9HsQOo/edit?usp=sharing"",""ยโสธร!Q604"")+IMPORTRANGE(""https://docs.google.com/spreadsheets/d/1v_cJrbBlyqmnHPReHk44g9NrMRdENNlSy_E_c5M9fIg/edit?usp=sharing"",""ร้อยเอ็ด!Q604"")+IMPORTRANGE(""https://docs.google.com"&amp;"/spreadsheets/d/1Ul4RCpCX66NxYADU1QpwAPjOmBzW64SsT11s1wzXw_c/edit?usp=sharing"",""เลย!Q604"")+IMPORTRANGE(""https://docs.google.com/spreadsheets/d/1bRrNKwbHDVktQG10isr5vbWRtt5spIZPpkOSWgbT5ug/edit?usp=sharing"",""ศรีสะเกษ!Q604"")+IMPORTRANGE(""https://doc"&amp;"s.google.com/spreadsheets/d/17P34_Ow5kFBfdQD0qspb2UuPX5zpi6WMrQzslghyvrI/edit?usp=sharing"",""สกลนคร!Q604"")+IMPORTRANGE(""https://docs.google.com/spreadsheets/d/1yswqbM3-AEpThF3ZSUa1AcmHnmRTF1vlJ1CZGcJ8YuU/edit?usp=sharing"",""สุรินทร์!Q604"")+IMPORTRANG"&amp;"E(""https://docs.google.com/spreadsheets/d/13JHU_EFbsQOUQ0JSQ3dWy1VTRosIWcDq6Nc99z2qzdc/edit?usp=sharing"",""หนองคาย!Q604"")+IMPORTRANGE(""https://docs.google.com/spreadsheets/d/1Hx73zIEgVdDZZaYSTc46Dqv64atFhpr3GelxLbaIN8A/edit?usp=sharing"",""หนองบัวลำภู"&amp;"!Q604"")+IMPORTRANGE(""https://docs.google.com/spreadsheets/d/1lFxr3ctmjFN90yc-xV6jrQ9Ty8BKYVBWnAZ15wcNIJc/edit?usp=sharing"",""อำนาจเจริญ!Q604"")+IMPORTRANGE(""https://docs.google.com/spreadsheets/d/1gF7RJpRnL-1oyjyeWxs5SFWEH7y8ahOZsQlyp2A2e-A/edit?usp=s"&amp;"haring"",""อุดรธานี!Q604"")+IMPORTRANGE(""https://docs.google.com/spreadsheets/d/1kfLP0j3INXRa8bTDpcEmoWewMBV61jlFlfzczfjWIgc/edit?usp=sharing"",""อุบลราชธานี!Q604"")"),0)</f>
        <v>0</v>
      </c>
      <c r="R604" s="56">
        <f ca="1">IFERROR(__xludf.DUMMYFUNCTION("IMPORTRANGE(""https://docs.google.com/spreadsheets/d/1yhBcrRPreicbMKl9Bu_Snb2-OcQAF62RKfhTLhJ2eAA/edit?usp=sharing"",""กาฬสินธุ์!R604"")+IMPORTRANGE(""https://docs.google.com/spreadsheets/d/1aHkj4IaQMThhwWwevcOymEh837vdxeC_PycurhTbGFA/edit?usp=sharing"","&amp;"""ขอนแก่น!R604"")+IMPORTRANGE(""https://docs.google.com/spreadsheets/d/1FvTu2DsIWUjP6WCWra38Bkj_oOl_sOMf14r5Fg5srxU/edit?usp=sharing"",""ชัยภูมิ!R604"")+IMPORTRANGE(""https://docs.google.com/spreadsheets/d/1XVB7oCJ3pr-vBUdflwPQ8Z2LlzhnCvZaaYjAfP-647E/edit"&amp;"?usp=sharing"",""นครพนม!R604"")+IMPORTRANGE(""https://docs.google.com/spreadsheets/d/1Mnpb-8PYAgn85W6KOTD40hc_Xc55CaLfHoGAbrZ8tls/edit?usp=sharing"",""นครราชสีมา!R604"")+IMPORTRANGE(""https://docs.google.com/spreadsheets/d/1xoDLGBv9CYbyosIhki0kTq6IpYNj-gp"&amp;"jxfobnaDiut0/edit?usp=sharing"",""บึงกาฬ!R604"")+IMPORTRANGE(""https://docs.google.com/spreadsheets/d/1MMPq-JyI6DSgQETxuSiXkesP-P7JHuemnE6QJIa-Nlw/edit?usp=sharing"",""บุรีรัมย์!R604"")+IMPORTRANGE(""https://docs.google.com/spreadsheets/d/1l6IZ8xUPgMrESzc"&amp;"TYwhA1k_tPjeQjJPTqlm8Gd9eU5g/edit?usp=sharing"",""มหาสารคาม!R604"")+IMPORTRANGE(""https://docs.google.com/spreadsheets/d/1uB74YLqNjWX6FObjekfB2NtSYigTQyR2rq9u4Ub2Sq4/edit?usp=sharing"",""มุกดาหาร!R604"")+IMPORTRANGE(""https://docs.google.com/spreadsheets/"&amp;"d/1NexK3geCPxCTO1fzNF8dPec7yZyUx3OaWkFBC9HsQOo/edit?usp=sharing"",""ยโสธร!R604"")+IMPORTRANGE(""https://docs.google.com/spreadsheets/d/1v_cJrbBlyqmnHPReHk44g9NrMRdENNlSy_E_c5M9fIg/edit?usp=sharing"",""ร้อยเอ็ด!R604"")+IMPORTRANGE(""https://docs.google.com"&amp;"/spreadsheets/d/1Ul4RCpCX66NxYADU1QpwAPjOmBzW64SsT11s1wzXw_c/edit?usp=sharing"",""เลย!R604"")+IMPORTRANGE(""https://docs.google.com/spreadsheets/d/1bRrNKwbHDVktQG10isr5vbWRtt5spIZPpkOSWgbT5ug/edit?usp=sharing"",""ศรีสะเกษ!R604"")+IMPORTRANGE(""https://doc"&amp;"s.google.com/spreadsheets/d/17P34_Ow5kFBfdQD0qspb2UuPX5zpi6WMrQzslghyvrI/edit?usp=sharing"",""สกลนคร!R604"")+IMPORTRANGE(""https://docs.google.com/spreadsheets/d/1yswqbM3-AEpThF3ZSUa1AcmHnmRTF1vlJ1CZGcJ8YuU/edit?usp=sharing"",""สุรินทร์!R604"")+IMPORTRANG"&amp;"E(""https://docs.google.com/spreadsheets/d/13JHU_EFbsQOUQ0JSQ3dWy1VTRosIWcDq6Nc99z2qzdc/edit?usp=sharing"",""หนองคาย!R604"")+IMPORTRANGE(""https://docs.google.com/spreadsheets/d/1Hx73zIEgVdDZZaYSTc46Dqv64atFhpr3GelxLbaIN8A/edit?usp=sharing"",""หนองบัวลำภู"&amp;"!R604"")+IMPORTRANGE(""https://docs.google.com/spreadsheets/d/1lFxr3ctmjFN90yc-xV6jrQ9Ty8BKYVBWnAZ15wcNIJc/edit?usp=sharing"",""อำนาจเจริญ!R604"")+IMPORTRANGE(""https://docs.google.com/spreadsheets/d/1gF7RJpRnL-1oyjyeWxs5SFWEH7y8ahOZsQlyp2A2e-A/edit?usp=s"&amp;"haring"",""อุดรธานี!R604"")+IMPORTRANGE(""https://docs.google.com/spreadsheets/d/1kfLP0j3INXRa8bTDpcEmoWewMBV61jlFlfzczfjWIgc/edit?usp=sharing"",""อุบลราชธานี!R604"")"),0)</f>
        <v>0</v>
      </c>
      <c r="S604" s="57">
        <f ca="1">IFERROR(__xludf.DUMMYFUNCTION("IMPORTRANGE(""https://docs.google.com/spreadsheets/d/1yhBcrRPreicbMKl9Bu_Snb2-OcQAF62RKfhTLhJ2eAA/edit?usp=sharing"",""กาฬสินธุ์!S604"")+IMPORTRANGE(""https://docs.google.com/spreadsheets/d/1aHkj4IaQMThhwWwevcOymEh837vdxeC_PycurhTbGFA/edit?usp=sharing"","&amp;"""ขอนแก่น!S604"")+IMPORTRANGE(""https://docs.google.com/spreadsheets/d/1FvTu2DsIWUjP6WCWra38Bkj_oOl_sOMf14r5Fg5srxU/edit?usp=sharing"",""ชัยภูมิ!S604"")+IMPORTRANGE(""https://docs.google.com/spreadsheets/d/1XVB7oCJ3pr-vBUdflwPQ8Z2LlzhnCvZaaYjAfP-647E/edit"&amp;"?usp=sharing"",""นครพนม!S604"")+IMPORTRANGE(""https://docs.google.com/spreadsheets/d/1Mnpb-8PYAgn85W6KOTD40hc_Xc55CaLfHoGAbrZ8tls/edit?usp=sharing"",""นครราชสีมา!S604"")+IMPORTRANGE(""https://docs.google.com/spreadsheets/d/1xoDLGBv9CYbyosIhki0kTq6IpYNj-gp"&amp;"jxfobnaDiut0/edit?usp=sharing"",""บึงกาฬ!S604"")+IMPORTRANGE(""https://docs.google.com/spreadsheets/d/1MMPq-JyI6DSgQETxuSiXkesP-P7JHuemnE6QJIa-Nlw/edit?usp=sharing"",""บุรีรัมย์!S604"")+IMPORTRANGE(""https://docs.google.com/spreadsheets/d/1l6IZ8xUPgMrESzc"&amp;"TYwhA1k_tPjeQjJPTqlm8Gd9eU5g/edit?usp=sharing"",""มหาสารคาม!S604"")+IMPORTRANGE(""https://docs.google.com/spreadsheets/d/1uB74YLqNjWX6FObjekfB2NtSYigTQyR2rq9u4Ub2Sq4/edit?usp=sharing"",""มุกดาหาร!S604"")+IMPORTRANGE(""https://docs.google.com/spreadsheets/"&amp;"d/1NexK3geCPxCTO1fzNF8dPec7yZyUx3OaWkFBC9HsQOo/edit?usp=sharing"",""ยโสธร!S604"")+IMPORTRANGE(""https://docs.google.com/spreadsheets/d/1v_cJrbBlyqmnHPReHk44g9NrMRdENNlSy_E_c5M9fIg/edit?usp=sharing"",""ร้อยเอ็ด!S604"")+IMPORTRANGE(""https://docs.google.com"&amp;"/spreadsheets/d/1Ul4RCpCX66NxYADU1QpwAPjOmBzW64SsT11s1wzXw_c/edit?usp=sharing"",""เลย!S604"")+IMPORTRANGE(""https://docs.google.com/spreadsheets/d/1bRrNKwbHDVktQG10isr5vbWRtt5spIZPpkOSWgbT5ug/edit?usp=sharing"",""ศรีสะเกษ!S604"")+IMPORTRANGE(""https://doc"&amp;"s.google.com/spreadsheets/d/17P34_Ow5kFBfdQD0qspb2UuPX5zpi6WMrQzslghyvrI/edit?usp=sharing"",""สกลนคร!S604"")+IMPORTRANGE(""https://docs.google.com/spreadsheets/d/1yswqbM3-AEpThF3ZSUa1AcmHnmRTF1vlJ1CZGcJ8YuU/edit?usp=sharing"",""สุรินทร์!S604"")+IMPORTRANG"&amp;"E(""https://docs.google.com/spreadsheets/d/13JHU_EFbsQOUQ0JSQ3dWy1VTRosIWcDq6Nc99z2qzdc/edit?usp=sharing"",""หนองคาย!S604"")+IMPORTRANGE(""https://docs.google.com/spreadsheets/d/1Hx73zIEgVdDZZaYSTc46Dqv64atFhpr3GelxLbaIN8A/edit?usp=sharing"",""หนองบัวลำภู"&amp;"!S604"")+IMPORTRANGE(""https://docs.google.com/spreadsheets/d/1lFxr3ctmjFN90yc-xV6jrQ9Ty8BKYVBWnAZ15wcNIJc/edit?usp=sharing"",""อำนาจเจริญ!S604"")+IMPORTRANGE(""https://docs.google.com/spreadsheets/d/1gF7RJpRnL-1oyjyeWxs5SFWEH7y8ahOZsQlyp2A2e-A/edit?usp=s"&amp;"haring"",""อุดรธานี!S604"")+IMPORTRANGE(""https://docs.google.com/spreadsheets/d/1kfLP0j3INXRa8bTDpcEmoWewMBV61jlFlfzczfjWIgc/edit?usp=sharing"",""อุบลราชธานี!S604"")"),0)</f>
        <v>0</v>
      </c>
      <c r="T604" s="56">
        <f t="shared" ca="1" si="426"/>
        <v>0</v>
      </c>
      <c r="U604" s="56">
        <f t="shared" ca="1" si="427"/>
        <v>0</v>
      </c>
    </row>
    <row r="605" spans="1:21" ht="19.5">
      <c r="A605" s="155"/>
      <c r="B605" s="188"/>
      <c r="C605" s="188"/>
      <c r="D605" s="419" t="s">
        <v>23</v>
      </c>
      <c r="E605" s="188"/>
      <c r="F605" s="50"/>
      <c r="G605" s="52"/>
      <c r="H605" s="420" t="s">
        <v>14</v>
      </c>
      <c r="I605" s="163"/>
      <c r="J605" s="163"/>
      <c r="K605" s="164"/>
      <c r="L605" s="56">
        <f t="shared" ref="L605:N605" ca="1" si="434">L606+L607</f>
        <v>0</v>
      </c>
      <c r="M605" s="56">
        <f t="shared" ca="1" si="434"/>
        <v>0</v>
      </c>
      <c r="N605" s="56">
        <f t="shared" ca="1" si="434"/>
        <v>0</v>
      </c>
      <c r="O605" s="56">
        <f t="shared" ca="1" si="423"/>
        <v>0</v>
      </c>
      <c r="P605" s="56">
        <f t="shared" ca="1" si="424"/>
        <v>0</v>
      </c>
      <c r="Q605" s="56">
        <f t="shared" ref="Q605:S605" ca="1" si="435">Q606+Q607</f>
        <v>0</v>
      </c>
      <c r="R605" s="56">
        <f t="shared" ca="1" si="435"/>
        <v>0</v>
      </c>
      <c r="S605" s="57">
        <f t="shared" ca="1" si="435"/>
        <v>0</v>
      </c>
      <c r="T605" s="56">
        <f t="shared" ca="1" si="426"/>
        <v>0</v>
      </c>
      <c r="U605" s="56">
        <f t="shared" ca="1" si="427"/>
        <v>0</v>
      </c>
    </row>
    <row r="606" spans="1:21" ht="18.75">
      <c r="A606" s="155"/>
      <c r="B606" s="188"/>
      <c r="C606" s="188"/>
      <c r="D606" s="188"/>
      <c r="E606" s="358" t="s">
        <v>20</v>
      </c>
      <c r="F606" s="50"/>
      <c r="G606" s="52"/>
      <c r="H606" s="189" t="s">
        <v>14</v>
      </c>
      <c r="I606" s="163"/>
      <c r="J606" s="163"/>
      <c r="K606" s="164"/>
      <c r="L606" s="59">
        <f ca="1">IFERROR(__xludf.DUMMYFUNCTION("IMPORTRANGE(""https://docs.google.com/spreadsheets/d/1yhBcrRPreicbMKl9Bu_Snb2-OcQAF62RKfhTLhJ2eAA/edit?usp=sharing"",""กาฬสินธุ์!L606"")+IMPORTRANGE(""https://docs.google.com/spreadsheets/d/1aHkj4IaQMThhwWwevcOymEh837vdxeC_PycurhTbGFA/edit?usp=sharing"","&amp;"""ขอนแก่น!L606"")+IMPORTRANGE(""https://docs.google.com/spreadsheets/d/1FvTu2DsIWUjP6WCWra38Bkj_oOl_sOMf14r5Fg5srxU/edit?usp=sharing"",""ชัยภูมิ!L606"")+IMPORTRANGE(""https://docs.google.com/spreadsheets/d/1XVB7oCJ3pr-vBUdflwPQ8Z2LlzhnCvZaaYjAfP-647E/edit"&amp;"?usp=sharing"",""นครพนม!L606"")+IMPORTRANGE(""https://docs.google.com/spreadsheets/d/1Mnpb-8PYAgn85W6KOTD40hc_Xc55CaLfHoGAbrZ8tls/edit?usp=sharing"",""นครราชสีมา!L606"")+IMPORTRANGE(""https://docs.google.com/spreadsheets/d/1xoDLGBv9CYbyosIhki0kTq6IpYNj-gp"&amp;"jxfobnaDiut0/edit?usp=sharing"",""บึงกาฬ!L606"")+IMPORTRANGE(""https://docs.google.com/spreadsheets/d/1MMPq-JyI6DSgQETxuSiXkesP-P7JHuemnE6QJIa-Nlw/edit?usp=sharing"",""บุรีรัมย์!L606"")+IMPORTRANGE(""https://docs.google.com/spreadsheets/d/1l6IZ8xUPgMrESzc"&amp;"TYwhA1k_tPjeQjJPTqlm8Gd9eU5g/edit?usp=sharing"",""มหาสารคาม!L606"")+IMPORTRANGE(""https://docs.google.com/spreadsheets/d/1uB74YLqNjWX6FObjekfB2NtSYigTQyR2rq9u4Ub2Sq4/edit?usp=sharing"",""มุกดาหาร!L606"")+IMPORTRANGE(""https://docs.google.com/spreadsheets/"&amp;"d/1NexK3geCPxCTO1fzNF8dPec7yZyUx3OaWkFBC9HsQOo/edit?usp=sharing"",""ยโสธร!L606"")+IMPORTRANGE(""https://docs.google.com/spreadsheets/d/1v_cJrbBlyqmnHPReHk44g9NrMRdENNlSy_E_c5M9fIg/edit?usp=sharing"",""ร้อยเอ็ด!L606"")+IMPORTRANGE(""https://docs.google.com"&amp;"/spreadsheets/d/1Ul4RCpCX66NxYADU1QpwAPjOmBzW64SsT11s1wzXw_c/edit?usp=sharing"",""เลย!L606"")+IMPORTRANGE(""https://docs.google.com/spreadsheets/d/1bRrNKwbHDVktQG10isr5vbWRtt5spIZPpkOSWgbT5ug/edit?usp=sharing"",""ศรีสะเกษ!L606"")+IMPORTRANGE(""https://doc"&amp;"s.google.com/spreadsheets/d/17P34_Ow5kFBfdQD0qspb2UuPX5zpi6WMrQzslghyvrI/edit?usp=sharing"",""สกลนคร!L606"")+IMPORTRANGE(""https://docs.google.com/spreadsheets/d/1yswqbM3-AEpThF3ZSUa1AcmHnmRTF1vlJ1CZGcJ8YuU/edit?usp=sharing"",""สุรินทร์!L606"")+IMPORTRANG"&amp;"E(""https://docs.google.com/spreadsheets/d/13JHU_EFbsQOUQ0JSQ3dWy1VTRosIWcDq6Nc99z2qzdc/edit?usp=sharing"",""หนองคาย!L606"")+IMPORTRANGE(""https://docs.google.com/spreadsheets/d/1Hx73zIEgVdDZZaYSTc46Dqv64atFhpr3GelxLbaIN8A/edit?usp=sharing"",""หนองบัวลำภู"&amp;"!L606"")+IMPORTRANGE(""https://docs.google.com/spreadsheets/d/1lFxr3ctmjFN90yc-xV6jrQ9Ty8BKYVBWnAZ15wcNIJc/edit?usp=sharing"",""อำนาจเจริญ!L606"")+IMPORTRANGE(""https://docs.google.com/spreadsheets/d/1gF7RJpRnL-1oyjyeWxs5SFWEH7y8ahOZsQlyp2A2e-A/edit?usp=s"&amp;"haring"",""อุดรธานี!L606"")+IMPORTRANGE(""https://docs.google.com/spreadsheets/d/1kfLP0j3INXRa8bTDpcEmoWewMBV61jlFlfzczfjWIgc/edit?usp=sharing"",""อุบลราชธานี!L606"")"),0)</f>
        <v>0</v>
      </c>
      <c r="M606" s="59">
        <f ca="1">IFERROR(__xludf.DUMMYFUNCTION("IMPORTRANGE(""https://docs.google.com/spreadsheets/d/1yhBcrRPreicbMKl9Bu_Snb2-OcQAF62RKfhTLhJ2eAA/edit?usp=sharing"",""กาฬสินธุ์!M606"")+IMPORTRANGE(""https://docs.google.com/spreadsheets/d/1aHkj4IaQMThhwWwevcOymEh837vdxeC_PycurhTbGFA/edit?usp=sharing"","&amp;"""ขอนแก่น!M606"")+IMPORTRANGE(""https://docs.google.com/spreadsheets/d/1FvTu2DsIWUjP6WCWra38Bkj_oOl_sOMf14r5Fg5srxU/edit?usp=sharing"",""ชัยภูมิ!M606"")+IMPORTRANGE(""https://docs.google.com/spreadsheets/d/1XVB7oCJ3pr-vBUdflwPQ8Z2LlzhnCvZaaYjAfP-647E/edit"&amp;"?usp=sharing"",""นครพนม!M606"")+IMPORTRANGE(""https://docs.google.com/spreadsheets/d/1Mnpb-8PYAgn85W6KOTD40hc_Xc55CaLfHoGAbrZ8tls/edit?usp=sharing"",""นครราชสีมา!M606"")+IMPORTRANGE(""https://docs.google.com/spreadsheets/d/1xoDLGBv9CYbyosIhki0kTq6IpYNj-gp"&amp;"jxfobnaDiut0/edit?usp=sharing"",""บึงกาฬ!M606"")+IMPORTRANGE(""https://docs.google.com/spreadsheets/d/1MMPq-JyI6DSgQETxuSiXkesP-P7JHuemnE6QJIa-Nlw/edit?usp=sharing"",""บุรีรัมย์!M606"")+IMPORTRANGE(""https://docs.google.com/spreadsheets/d/1l6IZ8xUPgMrESzc"&amp;"TYwhA1k_tPjeQjJPTqlm8Gd9eU5g/edit?usp=sharing"",""มหาสารคาม!M606"")+IMPORTRANGE(""https://docs.google.com/spreadsheets/d/1uB74YLqNjWX6FObjekfB2NtSYigTQyR2rq9u4Ub2Sq4/edit?usp=sharing"",""มุกดาหาร!M606"")+IMPORTRANGE(""https://docs.google.com/spreadsheets/"&amp;"d/1NexK3geCPxCTO1fzNF8dPec7yZyUx3OaWkFBC9HsQOo/edit?usp=sharing"",""ยโสธร!M606"")+IMPORTRANGE(""https://docs.google.com/spreadsheets/d/1v_cJrbBlyqmnHPReHk44g9NrMRdENNlSy_E_c5M9fIg/edit?usp=sharing"",""ร้อยเอ็ด!M606"")+IMPORTRANGE(""https://docs.google.com"&amp;"/spreadsheets/d/1Ul4RCpCX66NxYADU1QpwAPjOmBzW64SsT11s1wzXw_c/edit?usp=sharing"",""เลย!M606"")+IMPORTRANGE(""https://docs.google.com/spreadsheets/d/1bRrNKwbHDVktQG10isr5vbWRtt5spIZPpkOSWgbT5ug/edit?usp=sharing"",""ศรีสะเกษ!M606"")+IMPORTRANGE(""https://doc"&amp;"s.google.com/spreadsheets/d/17P34_Ow5kFBfdQD0qspb2UuPX5zpi6WMrQzslghyvrI/edit?usp=sharing"",""สกลนคร!M606"")+IMPORTRANGE(""https://docs.google.com/spreadsheets/d/1yswqbM3-AEpThF3ZSUa1AcmHnmRTF1vlJ1CZGcJ8YuU/edit?usp=sharing"",""สุรินทร์!M606"")+IMPORTRANG"&amp;"E(""https://docs.google.com/spreadsheets/d/13JHU_EFbsQOUQ0JSQ3dWy1VTRosIWcDq6Nc99z2qzdc/edit?usp=sharing"",""หนองคาย!M606"")+IMPORTRANGE(""https://docs.google.com/spreadsheets/d/1Hx73zIEgVdDZZaYSTc46Dqv64atFhpr3GelxLbaIN8A/edit?usp=sharing"",""หนองบัวลำภู"&amp;"!M606"")+IMPORTRANGE(""https://docs.google.com/spreadsheets/d/1lFxr3ctmjFN90yc-xV6jrQ9Ty8BKYVBWnAZ15wcNIJc/edit?usp=sharing"",""อำนาจเจริญ!M606"")+IMPORTRANGE(""https://docs.google.com/spreadsheets/d/1gF7RJpRnL-1oyjyeWxs5SFWEH7y8ahOZsQlyp2A2e-A/edit?usp=s"&amp;"haring"",""อุดรธานี!M606"")+IMPORTRANGE(""https://docs.google.com/spreadsheets/d/1kfLP0j3INXRa8bTDpcEmoWewMBV61jlFlfzczfjWIgc/edit?usp=sharing"",""อุบลราชธานี!M606"")"),0)</f>
        <v>0</v>
      </c>
      <c r="N606" s="59">
        <f ca="1">IFERROR(__xludf.DUMMYFUNCTION("IMPORTRANGE(""https://docs.google.com/spreadsheets/d/1yhBcrRPreicbMKl9Bu_Snb2-OcQAF62RKfhTLhJ2eAA/edit?usp=sharing"",""กาฬสินธุ์!N606"")+IMPORTRANGE(""https://docs.google.com/spreadsheets/d/1aHkj4IaQMThhwWwevcOymEh837vdxeC_PycurhTbGFA/edit?usp=sharing"","&amp;"""ขอนแก่น!N606"")+IMPORTRANGE(""https://docs.google.com/spreadsheets/d/1FvTu2DsIWUjP6WCWra38Bkj_oOl_sOMf14r5Fg5srxU/edit?usp=sharing"",""ชัยภูมิ!N606"")+IMPORTRANGE(""https://docs.google.com/spreadsheets/d/1XVB7oCJ3pr-vBUdflwPQ8Z2LlzhnCvZaaYjAfP-647E/edit"&amp;"?usp=sharing"",""นครพนม!N606"")+IMPORTRANGE(""https://docs.google.com/spreadsheets/d/1Mnpb-8PYAgn85W6KOTD40hc_Xc55CaLfHoGAbrZ8tls/edit?usp=sharing"",""นครราชสีมา!N606"")+IMPORTRANGE(""https://docs.google.com/spreadsheets/d/1xoDLGBv9CYbyosIhki0kTq6IpYNj-gp"&amp;"jxfobnaDiut0/edit?usp=sharing"",""บึงกาฬ!N606"")+IMPORTRANGE(""https://docs.google.com/spreadsheets/d/1MMPq-JyI6DSgQETxuSiXkesP-P7JHuemnE6QJIa-Nlw/edit?usp=sharing"",""บุรีรัมย์!N606"")+IMPORTRANGE(""https://docs.google.com/spreadsheets/d/1l6IZ8xUPgMrESzc"&amp;"TYwhA1k_tPjeQjJPTqlm8Gd9eU5g/edit?usp=sharing"",""มหาสารคาม!N606"")+IMPORTRANGE(""https://docs.google.com/spreadsheets/d/1uB74YLqNjWX6FObjekfB2NtSYigTQyR2rq9u4Ub2Sq4/edit?usp=sharing"",""มุกดาหาร!N606"")+IMPORTRANGE(""https://docs.google.com/spreadsheets/"&amp;"d/1NexK3geCPxCTO1fzNF8dPec7yZyUx3OaWkFBC9HsQOo/edit?usp=sharing"",""ยโสธร!N606"")+IMPORTRANGE(""https://docs.google.com/spreadsheets/d/1v_cJrbBlyqmnHPReHk44g9NrMRdENNlSy_E_c5M9fIg/edit?usp=sharing"",""ร้อยเอ็ด!N606"")+IMPORTRANGE(""https://docs.google.com"&amp;"/spreadsheets/d/1Ul4RCpCX66NxYADU1QpwAPjOmBzW64SsT11s1wzXw_c/edit?usp=sharing"",""เลย!N606"")+IMPORTRANGE(""https://docs.google.com/spreadsheets/d/1bRrNKwbHDVktQG10isr5vbWRtt5spIZPpkOSWgbT5ug/edit?usp=sharing"",""ศรีสะเกษ!N606"")+IMPORTRANGE(""https://doc"&amp;"s.google.com/spreadsheets/d/17P34_Ow5kFBfdQD0qspb2UuPX5zpi6WMrQzslghyvrI/edit?usp=sharing"",""สกลนคร!N606"")+IMPORTRANGE(""https://docs.google.com/spreadsheets/d/1yswqbM3-AEpThF3ZSUa1AcmHnmRTF1vlJ1CZGcJ8YuU/edit?usp=sharing"",""สุรินทร์!N606"")+IMPORTRANG"&amp;"E(""https://docs.google.com/spreadsheets/d/13JHU_EFbsQOUQ0JSQ3dWy1VTRosIWcDq6Nc99z2qzdc/edit?usp=sharing"",""หนองคาย!N606"")+IMPORTRANGE(""https://docs.google.com/spreadsheets/d/1Hx73zIEgVdDZZaYSTc46Dqv64atFhpr3GelxLbaIN8A/edit?usp=sharing"",""หนองบัวลำภู"&amp;"!N606"")+IMPORTRANGE(""https://docs.google.com/spreadsheets/d/1lFxr3ctmjFN90yc-xV6jrQ9Ty8BKYVBWnAZ15wcNIJc/edit?usp=sharing"",""อำนาจเจริญ!N606"")+IMPORTRANGE(""https://docs.google.com/spreadsheets/d/1gF7RJpRnL-1oyjyeWxs5SFWEH7y8ahOZsQlyp2A2e-A/edit?usp=s"&amp;"haring"",""อุดรธานี!N606"")+IMPORTRANGE(""https://docs.google.com/spreadsheets/d/1kfLP0j3INXRa8bTDpcEmoWewMBV61jlFlfzczfjWIgc/edit?usp=sharing"",""อุบลราชธานี!N606"")"),0)</f>
        <v>0</v>
      </c>
      <c r="O606" s="59">
        <f t="shared" ca="1" si="423"/>
        <v>0</v>
      </c>
      <c r="P606" s="59">
        <f t="shared" ca="1" si="424"/>
        <v>0</v>
      </c>
      <c r="Q606" s="59">
        <f ca="1">IFERROR(__xludf.DUMMYFUNCTION("IMPORTRANGE(""https://docs.google.com/spreadsheets/d/1yhBcrRPreicbMKl9Bu_Snb2-OcQAF62RKfhTLhJ2eAA/edit?usp=sharing"",""กาฬสินธุ์!Q606"")+IMPORTRANGE(""https://docs.google.com/spreadsheets/d/1aHkj4IaQMThhwWwevcOymEh837vdxeC_PycurhTbGFA/edit?usp=sharing"","&amp;"""ขอนแก่น!Q606"")+IMPORTRANGE(""https://docs.google.com/spreadsheets/d/1FvTu2DsIWUjP6WCWra38Bkj_oOl_sOMf14r5Fg5srxU/edit?usp=sharing"",""ชัยภูมิ!Q606"")+IMPORTRANGE(""https://docs.google.com/spreadsheets/d/1XVB7oCJ3pr-vBUdflwPQ8Z2LlzhnCvZaaYjAfP-647E/edit"&amp;"?usp=sharing"",""นครพนม!Q606"")+IMPORTRANGE(""https://docs.google.com/spreadsheets/d/1Mnpb-8PYAgn85W6KOTD40hc_Xc55CaLfHoGAbrZ8tls/edit?usp=sharing"",""นครราชสีมา!Q606"")+IMPORTRANGE(""https://docs.google.com/spreadsheets/d/1xoDLGBv9CYbyosIhki0kTq6IpYNj-gp"&amp;"jxfobnaDiut0/edit?usp=sharing"",""บึงกาฬ!Q606"")+IMPORTRANGE(""https://docs.google.com/spreadsheets/d/1MMPq-JyI6DSgQETxuSiXkesP-P7JHuemnE6QJIa-Nlw/edit?usp=sharing"",""บุรีรัมย์!Q606"")+IMPORTRANGE(""https://docs.google.com/spreadsheets/d/1l6IZ8xUPgMrESzc"&amp;"TYwhA1k_tPjeQjJPTqlm8Gd9eU5g/edit?usp=sharing"",""มหาสารคาม!Q606"")+IMPORTRANGE(""https://docs.google.com/spreadsheets/d/1uB74YLqNjWX6FObjekfB2NtSYigTQyR2rq9u4Ub2Sq4/edit?usp=sharing"",""มุกดาหาร!Q606"")+IMPORTRANGE(""https://docs.google.com/spreadsheets/"&amp;"d/1NexK3geCPxCTO1fzNF8dPec7yZyUx3OaWkFBC9HsQOo/edit?usp=sharing"",""ยโสธร!Q606"")+IMPORTRANGE(""https://docs.google.com/spreadsheets/d/1v_cJrbBlyqmnHPReHk44g9NrMRdENNlSy_E_c5M9fIg/edit?usp=sharing"",""ร้อยเอ็ด!Q606"")+IMPORTRANGE(""https://docs.google.com"&amp;"/spreadsheets/d/1Ul4RCpCX66NxYADU1QpwAPjOmBzW64SsT11s1wzXw_c/edit?usp=sharing"",""เลย!Q606"")+IMPORTRANGE(""https://docs.google.com/spreadsheets/d/1bRrNKwbHDVktQG10isr5vbWRtt5spIZPpkOSWgbT5ug/edit?usp=sharing"",""ศรีสะเกษ!Q606"")+IMPORTRANGE(""https://doc"&amp;"s.google.com/spreadsheets/d/17P34_Ow5kFBfdQD0qspb2UuPX5zpi6WMrQzslghyvrI/edit?usp=sharing"",""สกลนคร!Q606"")+IMPORTRANGE(""https://docs.google.com/spreadsheets/d/1yswqbM3-AEpThF3ZSUa1AcmHnmRTF1vlJ1CZGcJ8YuU/edit?usp=sharing"",""สุรินทร์!Q606"")+IMPORTRANG"&amp;"E(""https://docs.google.com/spreadsheets/d/13JHU_EFbsQOUQ0JSQ3dWy1VTRosIWcDq6Nc99z2qzdc/edit?usp=sharing"",""หนองคาย!Q606"")+IMPORTRANGE(""https://docs.google.com/spreadsheets/d/1Hx73zIEgVdDZZaYSTc46Dqv64atFhpr3GelxLbaIN8A/edit?usp=sharing"",""หนองบัวลำภู"&amp;"!Q606"")+IMPORTRANGE(""https://docs.google.com/spreadsheets/d/1lFxr3ctmjFN90yc-xV6jrQ9Ty8BKYVBWnAZ15wcNIJc/edit?usp=sharing"",""อำนาจเจริญ!Q606"")+IMPORTRANGE(""https://docs.google.com/spreadsheets/d/1gF7RJpRnL-1oyjyeWxs5SFWEH7y8ahOZsQlyp2A2e-A/edit?usp=s"&amp;"haring"",""อุดรธานี!Q606"")+IMPORTRANGE(""https://docs.google.com/spreadsheets/d/1kfLP0j3INXRa8bTDpcEmoWewMBV61jlFlfzczfjWIgc/edit?usp=sharing"",""อุบลราชธานี!Q606"")"),0)</f>
        <v>0</v>
      </c>
      <c r="R606" s="59">
        <f ca="1">IFERROR(__xludf.DUMMYFUNCTION("IMPORTRANGE(""https://docs.google.com/spreadsheets/d/1yhBcrRPreicbMKl9Bu_Snb2-OcQAF62RKfhTLhJ2eAA/edit?usp=sharing"",""กาฬสินธุ์!R606"")+IMPORTRANGE(""https://docs.google.com/spreadsheets/d/1aHkj4IaQMThhwWwevcOymEh837vdxeC_PycurhTbGFA/edit?usp=sharing"","&amp;"""ขอนแก่น!R606"")+IMPORTRANGE(""https://docs.google.com/spreadsheets/d/1FvTu2DsIWUjP6WCWra38Bkj_oOl_sOMf14r5Fg5srxU/edit?usp=sharing"",""ชัยภูมิ!R606"")+IMPORTRANGE(""https://docs.google.com/spreadsheets/d/1XVB7oCJ3pr-vBUdflwPQ8Z2LlzhnCvZaaYjAfP-647E/edit"&amp;"?usp=sharing"",""นครพนม!R606"")+IMPORTRANGE(""https://docs.google.com/spreadsheets/d/1Mnpb-8PYAgn85W6KOTD40hc_Xc55CaLfHoGAbrZ8tls/edit?usp=sharing"",""นครราชสีมา!R606"")+IMPORTRANGE(""https://docs.google.com/spreadsheets/d/1xoDLGBv9CYbyosIhki0kTq6IpYNj-gp"&amp;"jxfobnaDiut0/edit?usp=sharing"",""บึงกาฬ!R606"")+IMPORTRANGE(""https://docs.google.com/spreadsheets/d/1MMPq-JyI6DSgQETxuSiXkesP-P7JHuemnE6QJIa-Nlw/edit?usp=sharing"",""บุรีรัมย์!R606"")+IMPORTRANGE(""https://docs.google.com/spreadsheets/d/1l6IZ8xUPgMrESzc"&amp;"TYwhA1k_tPjeQjJPTqlm8Gd9eU5g/edit?usp=sharing"",""มหาสารคาม!R606"")+IMPORTRANGE(""https://docs.google.com/spreadsheets/d/1uB74YLqNjWX6FObjekfB2NtSYigTQyR2rq9u4Ub2Sq4/edit?usp=sharing"",""มุกดาหาร!R606"")+IMPORTRANGE(""https://docs.google.com/spreadsheets/"&amp;"d/1NexK3geCPxCTO1fzNF8dPec7yZyUx3OaWkFBC9HsQOo/edit?usp=sharing"",""ยโสธร!R606"")+IMPORTRANGE(""https://docs.google.com/spreadsheets/d/1v_cJrbBlyqmnHPReHk44g9NrMRdENNlSy_E_c5M9fIg/edit?usp=sharing"",""ร้อยเอ็ด!R606"")+IMPORTRANGE(""https://docs.google.com"&amp;"/spreadsheets/d/1Ul4RCpCX66NxYADU1QpwAPjOmBzW64SsT11s1wzXw_c/edit?usp=sharing"",""เลย!R606"")+IMPORTRANGE(""https://docs.google.com/spreadsheets/d/1bRrNKwbHDVktQG10isr5vbWRtt5spIZPpkOSWgbT5ug/edit?usp=sharing"",""ศรีสะเกษ!R606"")+IMPORTRANGE(""https://doc"&amp;"s.google.com/spreadsheets/d/17P34_Ow5kFBfdQD0qspb2UuPX5zpi6WMrQzslghyvrI/edit?usp=sharing"",""สกลนคร!R606"")+IMPORTRANGE(""https://docs.google.com/spreadsheets/d/1yswqbM3-AEpThF3ZSUa1AcmHnmRTF1vlJ1CZGcJ8YuU/edit?usp=sharing"",""สุรินทร์!R606"")+IMPORTRANG"&amp;"E(""https://docs.google.com/spreadsheets/d/13JHU_EFbsQOUQ0JSQ3dWy1VTRosIWcDq6Nc99z2qzdc/edit?usp=sharing"",""หนองคาย!R606"")+IMPORTRANGE(""https://docs.google.com/spreadsheets/d/1Hx73zIEgVdDZZaYSTc46Dqv64atFhpr3GelxLbaIN8A/edit?usp=sharing"",""หนองบัวลำภู"&amp;"!R606"")+IMPORTRANGE(""https://docs.google.com/spreadsheets/d/1lFxr3ctmjFN90yc-xV6jrQ9Ty8BKYVBWnAZ15wcNIJc/edit?usp=sharing"",""อำนาจเจริญ!R606"")+IMPORTRANGE(""https://docs.google.com/spreadsheets/d/1gF7RJpRnL-1oyjyeWxs5SFWEH7y8ahOZsQlyp2A2e-A/edit?usp=s"&amp;"haring"",""อุดรธานี!R606"")+IMPORTRANGE(""https://docs.google.com/spreadsheets/d/1kfLP0j3INXRa8bTDpcEmoWewMBV61jlFlfzczfjWIgc/edit?usp=sharing"",""อุบลราชธานี!R606"")"),0)</f>
        <v>0</v>
      </c>
      <c r="S606" s="60">
        <f ca="1">IFERROR(__xludf.DUMMYFUNCTION("IMPORTRANGE(""https://docs.google.com/spreadsheets/d/1yhBcrRPreicbMKl9Bu_Snb2-OcQAF62RKfhTLhJ2eAA/edit?usp=sharing"",""กาฬสินธุ์!S606"")+IMPORTRANGE(""https://docs.google.com/spreadsheets/d/1aHkj4IaQMThhwWwevcOymEh837vdxeC_PycurhTbGFA/edit?usp=sharing"","&amp;"""ขอนแก่น!S606"")+IMPORTRANGE(""https://docs.google.com/spreadsheets/d/1FvTu2DsIWUjP6WCWra38Bkj_oOl_sOMf14r5Fg5srxU/edit?usp=sharing"",""ชัยภูมิ!S606"")+IMPORTRANGE(""https://docs.google.com/spreadsheets/d/1XVB7oCJ3pr-vBUdflwPQ8Z2LlzhnCvZaaYjAfP-647E/edit"&amp;"?usp=sharing"",""นครพนม!S606"")+IMPORTRANGE(""https://docs.google.com/spreadsheets/d/1Mnpb-8PYAgn85W6KOTD40hc_Xc55CaLfHoGAbrZ8tls/edit?usp=sharing"",""นครราชสีมา!S606"")+IMPORTRANGE(""https://docs.google.com/spreadsheets/d/1xoDLGBv9CYbyosIhki0kTq6IpYNj-gp"&amp;"jxfobnaDiut0/edit?usp=sharing"",""บึงกาฬ!S606"")+IMPORTRANGE(""https://docs.google.com/spreadsheets/d/1MMPq-JyI6DSgQETxuSiXkesP-P7JHuemnE6QJIa-Nlw/edit?usp=sharing"",""บุรีรัมย์!S606"")+IMPORTRANGE(""https://docs.google.com/spreadsheets/d/1l6IZ8xUPgMrESzc"&amp;"TYwhA1k_tPjeQjJPTqlm8Gd9eU5g/edit?usp=sharing"",""มหาสารคาม!S606"")+IMPORTRANGE(""https://docs.google.com/spreadsheets/d/1uB74YLqNjWX6FObjekfB2NtSYigTQyR2rq9u4Ub2Sq4/edit?usp=sharing"",""มุกดาหาร!S606"")+IMPORTRANGE(""https://docs.google.com/spreadsheets/"&amp;"d/1NexK3geCPxCTO1fzNF8dPec7yZyUx3OaWkFBC9HsQOo/edit?usp=sharing"",""ยโสธร!S606"")+IMPORTRANGE(""https://docs.google.com/spreadsheets/d/1v_cJrbBlyqmnHPReHk44g9NrMRdENNlSy_E_c5M9fIg/edit?usp=sharing"",""ร้อยเอ็ด!S606"")+IMPORTRANGE(""https://docs.google.com"&amp;"/spreadsheets/d/1Ul4RCpCX66NxYADU1QpwAPjOmBzW64SsT11s1wzXw_c/edit?usp=sharing"",""เลย!S606"")+IMPORTRANGE(""https://docs.google.com/spreadsheets/d/1bRrNKwbHDVktQG10isr5vbWRtt5spIZPpkOSWgbT5ug/edit?usp=sharing"",""ศรีสะเกษ!S606"")+IMPORTRANGE(""https://doc"&amp;"s.google.com/spreadsheets/d/17P34_Ow5kFBfdQD0qspb2UuPX5zpi6WMrQzslghyvrI/edit?usp=sharing"",""สกลนคร!S606"")+IMPORTRANGE(""https://docs.google.com/spreadsheets/d/1yswqbM3-AEpThF3ZSUa1AcmHnmRTF1vlJ1CZGcJ8YuU/edit?usp=sharing"",""สุรินทร์!S606"")+IMPORTRANG"&amp;"E(""https://docs.google.com/spreadsheets/d/13JHU_EFbsQOUQ0JSQ3dWy1VTRosIWcDq6Nc99z2qzdc/edit?usp=sharing"",""หนองคาย!S606"")+IMPORTRANGE(""https://docs.google.com/spreadsheets/d/1Hx73zIEgVdDZZaYSTc46Dqv64atFhpr3GelxLbaIN8A/edit?usp=sharing"",""หนองบัวลำภู"&amp;"!S606"")+IMPORTRANGE(""https://docs.google.com/spreadsheets/d/1lFxr3ctmjFN90yc-xV6jrQ9Ty8BKYVBWnAZ15wcNIJc/edit?usp=sharing"",""อำนาจเจริญ!S606"")+IMPORTRANGE(""https://docs.google.com/spreadsheets/d/1gF7RJpRnL-1oyjyeWxs5SFWEH7y8ahOZsQlyp2A2e-A/edit?usp=s"&amp;"haring"",""อุดรธานี!S606"")+IMPORTRANGE(""https://docs.google.com/spreadsheets/d/1kfLP0j3INXRa8bTDpcEmoWewMBV61jlFlfzczfjWIgc/edit?usp=sharing"",""อุบลราชธานี!S606"")"),0)</f>
        <v>0</v>
      </c>
      <c r="T606" s="59">
        <f t="shared" ca="1" si="426"/>
        <v>0</v>
      </c>
      <c r="U606" s="59">
        <f t="shared" ca="1" si="427"/>
        <v>0</v>
      </c>
    </row>
    <row r="607" spans="1:21" ht="18.75">
      <c r="A607" s="155"/>
      <c r="B607" s="188"/>
      <c r="C607" s="188"/>
      <c r="D607" s="50"/>
      <c r="E607" s="358" t="s">
        <v>21</v>
      </c>
      <c r="F607" s="50"/>
      <c r="G607" s="52"/>
      <c r="H607" s="421" t="s">
        <v>14</v>
      </c>
      <c r="I607" s="163"/>
      <c r="J607" s="163"/>
      <c r="K607" s="164"/>
      <c r="L607" s="56">
        <f ca="1">IFERROR(__xludf.DUMMYFUNCTION("IMPORTRANGE(""https://docs.google.com/spreadsheets/d/1yhBcrRPreicbMKl9Bu_Snb2-OcQAF62RKfhTLhJ2eAA/edit?usp=sharing"",""กาฬสินธุ์!L607"")+IMPORTRANGE(""https://docs.google.com/spreadsheets/d/1aHkj4IaQMThhwWwevcOymEh837vdxeC_PycurhTbGFA/edit?usp=sharing"","&amp;"""ขอนแก่น!L607"")+IMPORTRANGE(""https://docs.google.com/spreadsheets/d/1FvTu2DsIWUjP6WCWra38Bkj_oOl_sOMf14r5Fg5srxU/edit?usp=sharing"",""ชัยภูมิ!L607"")+IMPORTRANGE(""https://docs.google.com/spreadsheets/d/1XVB7oCJ3pr-vBUdflwPQ8Z2LlzhnCvZaaYjAfP-647E/edit"&amp;"?usp=sharing"",""นครพนม!L607"")+IMPORTRANGE(""https://docs.google.com/spreadsheets/d/1Mnpb-8PYAgn85W6KOTD40hc_Xc55CaLfHoGAbrZ8tls/edit?usp=sharing"",""นครราชสีมา!L607"")+IMPORTRANGE(""https://docs.google.com/spreadsheets/d/1xoDLGBv9CYbyosIhki0kTq6IpYNj-gp"&amp;"jxfobnaDiut0/edit?usp=sharing"",""บึงกาฬ!L607"")+IMPORTRANGE(""https://docs.google.com/spreadsheets/d/1MMPq-JyI6DSgQETxuSiXkesP-P7JHuemnE6QJIa-Nlw/edit?usp=sharing"",""บุรีรัมย์!L607"")+IMPORTRANGE(""https://docs.google.com/spreadsheets/d/1l6IZ8xUPgMrESzc"&amp;"TYwhA1k_tPjeQjJPTqlm8Gd9eU5g/edit?usp=sharing"",""มหาสารคาม!L607"")+IMPORTRANGE(""https://docs.google.com/spreadsheets/d/1uB74YLqNjWX6FObjekfB2NtSYigTQyR2rq9u4Ub2Sq4/edit?usp=sharing"",""มุกดาหาร!L607"")+IMPORTRANGE(""https://docs.google.com/spreadsheets/"&amp;"d/1NexK3geCPxCTO1fzNF8dPec7yZyUx3OaWkFBC9HsQOo/edit?usp=sharing"",""ยโสธร!L607"")+IMPORTRANGE(""https://docs.google.com/spreadsheets/d/1v_cJrbBlyqmnHPReHk44g9NrMRdENNlSy_E_c5M9fIg/edit?usp=sharing"",""ร้อยเอ็ด!L607"")+IMPORTRANGE(""https://docs.google.com"&amp;"/spreadsheets/d/1Ul4RCpCX66NxYADU1QpwAPjOmBzW64SsT11s1wzXw_c/edit?usp=sharing"",""เลย!L607"")+IMPORTRANGE(""https://docs.google.com/spreadsheets/d/1bRrNKwbHDVktQG10isr5vbWRtt5spIZPpkOSWgbT5ug/edit?usp=sharing"",""ศรีสะเกษ!L607"")+IMPORTRANGE(""https://doc"&amp;"s.google.com/spreadsheets/d/17P34_Ow5kFBfdQD0qspb2UuPX5zpi6WMrQzslghyvrI/edit?usp=sharing"",""สกลนคร!L607"")+IMPORTRANGE(""https://docs.google.com/spreadsheets/d/1yswqbM3-AEpThF3ZSUa1AcmHnmRTF1vlJ1CZGcJ8YuU/edit?usp=sharing"",""สุรินทร์!L607"")+IMPORTRANG"&amp;"E(""https://docs.google.com/spreadsheets/d/13JHU_EFbsQOUQ0JSQ3dWy1VTRosIWcDq6Nc99z2qzdc/edit?usp=sharing"",""หนองคาย!L607"")+IMPORTRANGE(""https://docs.google.com/spreadsheets/d/1Hx73zIEgVdDZZaYSTc46Dqv64atFhpr3GelxLbaIN8A/edit?usp=sharing"",""หนองบัวลำภู"&amp;"!L607"")+IMPORTRANGE(""https://docs.google.com/spreadsheets/d/1lFxr3ctmjFN90yc-xV6jrQ9Ty8BKYVBWnAZ15wcNIJc/edit?usp=sharing"",""อำนาจเจริญ!L607"")+IMPORTRANGE(""https://docs.google.com/spreadsheets/d/1gF7RJpRnL-1oyjyeWxs5SFWEH7y8ahOZsQlyp2A2e-A/edit?usp=s"&amp;"haring"",""อุดรธานี!L607"")+IMPORTRANGE(""https://docs.google.com/spreadsheets/d/1kfLP0j3INXRa8bTDpcEmoWewMBV61jlFlfzczfjWIgc/edit?usp=sharing"",""อุบลราชธานี!L607"")"),0)</f>
        <v>0</v>
      </c>
      <c r="M607" s="56">
        <f ca="1">IFERROR(__xludf.DUMMYFUNCTION("IMPORTRANGE(""https://docs.google.com/spreadsheets/d/1yhBcrRPreicbMKl9Bu_Snb2-OcQAF62RKfhTLhJ2eAA/edit?usp=sharing"",""กาฬสินธุ์!M607"")+IMPORTRANGE(""https://docs.google.com/spreadsheets/d/1aHkj4IaQMThhwWwevcOymEh837vdxeC_PycurhTbGFA/edit?usp=sharing"","&amp;"""ขอนแก่น!M607"")+IMPORTRANGE(""https://docs.google.com/spreadsheets/d/1FvTu2DsIWUjP6WCWra38Bkj_oOl_sOMf14r5Fg5srxU/edit?usp=sharing"",""ชัยภูมิ!M607"")+IMPORTRANGE(""https://docs.google.com/spreadsheets/d/1XVB7oCJ3pr-vBUdflwPQ8Z2LlzhnCvZaaYjAfP-647E/edit"&amp;"?usp=sharing"",""นครพนม!M607"")+IMPORTRANGE(""https://docs.google.com/spreadsheets/d/1Mnpb-8PYAgn85W6KOTD40hc_Xc55CaLfHoGAbrZ8tls/edit?usp=sharing"",""นครราชสีมา!M607"")+IMPORTRANGE(""https://docs.google.com/spreadsheets/d/1xoDLGBv9CYbyosIhki0kTq6IpYNj-gp"&amp;"jxfobnaDiut0/edit?usp=sharing"",""บึงกาฬ!M607"")+IMPORTRANGE(""https://docs.google.com/spreadsheets/d/1MMPq-JyI6DSgQETxuSiXkesP-P7JHuemnE6QJIa-Nlw/edit?usp=sharing"",""บุรีรัมย์!M607"")+IMPORTRANGE(""https://docs.google.com/spreadsheets/d/1l6IZ8xUPgMrESzc"&amp;"TYwhA1k_tPjeQjJPTqlm8Gd9eU5g/edit?usp=sharing"",""มหาสารคาม!M607"")+IMPORTRANGE(""https://docs.google.com/spreadsheets/d/1uB74YLqNjWX6FObjekfB2NtSYigTQyR2rq9u4Ub2Sq4/edit?usp=sharing"",""มุกดาหาร!M607"")+IMPORTRANGE(""https://docs.google.com/spreadsheets/"&amp;"d/1NexK3geCPxCTO1fzNF8dPec7yZyUx3OaWkFBC9HsQOo/edit?usp=sharing"",""ยโสธร!M607"")+IMPORTRANGE(""https://docs.google.com/spreadsheets/d/1v_cJrbBlyqmnHPReHk44g9NrMRdENNlSy_E_c5M9fIg/edit?usp=sharing"",""ร้อยเอ็ด!M607"")+IMPORTRANGE(""https://docs.google.com"&amp;"/spreadsheets/d/1Ul4RCpCX66NxYADU1QpwAPjOmBzW64SsT11s1wzXw_c/edit?usp=sharing"",""เลย!M607"")+IMPORTRANGE(""https://docs.google.com/spreadsheets/d/1bRrNKwbHDVktQG10isr5vbWRtt5spIZPpkOSWgbT5ug/edit?usp=sharing"",""ศรีสะเกษ!M607"")+IMPORTRANGE(""https://doc"&amp;"s.google.com/spreadsheets/d/17P34_Ow5kFBfdQD0qspb2UuPX5zpi6WMrQzslghyvrI/edit?usp=sharing"",""สกลนคร!M607"")+IMPORTRANGE(""https://docs.google.com/spreadsheets/d/1yswqbM3-AEpThF3ZSUa1AcmHnmRTF1vlJ1CZGcJ8YuU/edit?usp=sharing"",""สุรินทร์!M607"")+IMPORTRANG"&amp;"E(""https://docs.google.com/spreadsheets/d/13JHU_EFbsQOUQ0JSQ3dWy1VTRosIWcDq6Nc99z2qzdc/edit?usp=sharing"",""หนองคาย!M607"")+IMPORTRANGE(""https://docs.google.com/spreadsheets/d/1Hx73zIEgVdDZZaYSTc46Dqv64atFhpr3GelxLbaIN8A/edit?usp=sharing"",""หนองบัวลำภู"&amp;"!M607"")+IMPORTRANGE(""https://docs.google.com/spreadsheets/d/1lFxr3ctmjFN90yc-xV6jrQ9Ty8BKYVBWnAZ15wcNIJc/edit?usp=sharing"",""อำนาจเจริญ!M607"")+IMPORTRANGE(""https://docs.google.com/spreadsheets/d/1gF7RJpRnL-1oyjyeWxs5SFWEH7y8ahOZsQlyp2A2e-A/edit?usp=s"&amp;"haring"",""อุดรธานี!M607"")+IMPORTRANGE(""https://docs.google.com/spreadsheets/d/1kfLP0j3INXRa8bTDpcEmoWewMBV61jlFlfzczfjWIgc/edit?usp=sharing"",""อุบลราชธานี!M607"")"),0)</f>
        <v>0</v>
      </c>
      <c r="N607" s="56">
        <f ca="1">IFERROR(__xludf.DUMMYFUNCTION("IMPORTRANGE(""https://docs.google.com/spreadsheets/d/1yhBcrRPreicbMKl9Bu_Snb2-OcQAF62RKfhTLhJ2eAA/edit?usp=sharing"",""กาฬสินธุ์!N607"")+IMPORTRANGE(""https://docs.google.com/spreadsheets/d/1aHkj4IaQMThhwWwevcOymEh837vdxeC_PycurhTbGFA/edit?usp=sharing"","&amp;"""ขอนแก่น!N607"")+IMPORTRANGE(""https://docs.google.com/spreadsheets/d/1FvTu2DsIWUjP6WCWra38Bkj_oOl_sOMf14r5Fg5srxU/edit?usp=sharing"",""ชัยภูมิ!N607"")+IMPORTRANGE(""https://docs.google.com/spreadsheets/d/1XVB7oCJ3pr-vBUdflwPQ8Z2LlzhnCvZaaYjAfP-647E/edit"&amp;"?usp=sharing"",""นครพนม!N607"")+IMPORTRANGE(""https://docs.google.com/spreadsheets/d/1Mnpb-8PYAgn85W6KOTD40hc_Xc55CaLfHoGAbrZ8tls/edit?usp=sharing"",""นครราชสีมา!N607"")+IMPORTRANGE(""https://docs.google.com/spreadsheets/d/1xoDLGBv9CYbyosIhki0kTq6IpYNj-gp"&amp;"jxfobnaDiut0/edit?usp=sharing"",""บึงกาฬ!N607"")+IMPORTRANGE(""https://docs.google.com/spreadsheets/d/1MMPq-JyI6DSgQETxuSiXkesP-P7JHuemnE6QJIa-Nlw/edit?usp=sharing"",""บุรีรัมย์!N607"")+IMPORTRANGE(""https://docs.google.com/spreadsheets/d/1l6IZ8xUPgMrESzc"&amp;"TYwhA1k_tPjeQjJPTqlm8Gd9eU5g/edit?usp=sharing"",""มหาสารคาม!N607"")+IMPORTRANGE(""https://docs.google.com/spreadsheets/d/1uB74YLqNjWX6FObjekfB2NtSYigTQyR2rq9u4Ub2Sq4/edit?usp=sharing"",""มุกดาหาร!N607"")+IMPORTRANGE(""https://docs.google.com/spreadsheets/"&amp;"d/1NexK3geCPxCTO1fzNF8dPec7yZyUx3OaWkFBC9HsQOo/edit?usp=sharing"",""ยโสธร!N607"")+IMPORTRANGE(""https://docs.google.com/spreadsheets/d/1v_cJrbBlyqmnHPReHk44g9NrMRdENNlSy_E_c5M9fIg/edit?usp=sharing"",""ร้อยเอ็ด!N607"")+IMPORTRANGE(""https://docs.google.com"&amp;"/spreadsheets/d/1Ul4RCpCX66NxYADU1QpwAPjOmBzW64SsT11s1wzXw_c/edit?usp=sharing"",""เลย!N607"")+IMPORTRANGE(""https://docs.google.com/spreadsheets/d/1bRrNKwbHDVktQG10isr5vbWRtt5spIZPpkOSWgbT5ug/edit?usp=sharing"",""ศรีสะเกษ!N607"")+IMPORTRANGE(""https://doc"&amp;"s.google.com/spreadsheets/d/17P34_Ow5kFBfdQD0qspb2UuPX5zpi6WMrQzslghyvrI/edit?usp=sharing"",""สกลนคร!N607"")+IMPORTRANGE(""https://docs.google.com/spreadsheets/d/1yswqbM3-AEpThF3ZSUa1AcmHnmRTF1vlJ1CZGcJ8YuU/edit?usp=sharing"",""สุรินทร์!N607"")+IMPORTRANG"&amp;"E(""https://docs.google.com/spreadsheets/d/13JHU_EFbsQOUQ0JSQ3dWy1VTRosIWcDq6Nc99z2qzdc/edit?usp=sharing"",""หนองคาย!N607"")+IMPORTRANGE(""https://docs.google.com/spreadsheets/d/1Hx73zIEgVdDZZaYSTc46Dqv64atFhpr3GelxLbaIN8A/edit?usp=sharing"",""หนองบัวลำภู"&amp;"!N607"")+IMPORTRANGE(""https://docs.google.com/spreadsheets/d/1lFxr3ctmjFN90yc-xV6jrQ9Ty8BKYVBWnAZ15wcNIJc/edit?usp=sharing"",""อำนาจเจริญ!N607"")+IMPORTRANGE(""https://docs.google.com/spreadsheets/d/1gF7RJpRnL-1oyjyeWxs5SFWEH7y8ahOZsQlyp2A2e-A/edit?usp=s"&amp;"haring"",""อุดรธานี!N607"")+IMPORTRANGE(""https://docs.google.com/spreadsheets/d/1kfLP0j3INXRa8bTDpcEmoWewMBV61jlFlfzczfjWIgc/edit?usp=sharing"",""อุบลราชธานี!N607"")"),0)</f>
        <v>0</v>
      </c>
      <c r="O607" s="56">
        <f t="shared" ca="1" si="423"/>
        <v>0</v>
      </c>
      <c r="P607" s="56">
        <f t="shared" ca="1" si="424"/>
        <v>0</v>
      </c>
      <c r="Q607" s="56">
        <f ca="1">IFERROR(__xludf.DUMMYFUNCTION("IMPORTRANGE(""https://docs.google.com/spreadsheets/d/1yhBcrRPreicbMKl9Bu_Snb2-OcQAF62RKfhTLhJ2eAA/edit?usp=sharing"",""กาฬสินธุ์!Q607"")+IMPORTRANGE(""https://docs.google.com/spreadsheets/d/1aHkj4IaQMThhwWwevcOymEh837vdxeC_PycurhTbGFA/edit?usp=sharing"","&amp;"""ขอนแก่น!Q607"")+IMPORTRANGE(""https://docs.google.com/spreadsheets/d/1FvTu2DsIWUjP6WCWra38Bkj_oOl_sOMf14r5Fg5srxU/edit?usp=sharing"",""ชัยภูมิ!Q607"")+IMPORTRANGE(""https://docs.google.com/spreadsheets/d/1XVB7oCJ3pr-vBUdflwPQ8Z2LlzhnCvZaaYjAfP-647E/edit"&amp;"?usp=sharing"",""นครพนม!Q607"")+IMPORTRANGE(""https://docs.google.com/spreadsheets/d/1Mnpb-8PYAgn85W6KOTD40hc_Xc55CaLfHoGAbrZ8tls/edit?usp=sharing"",""นครราชสีมา!Q607"")+IMPORTRANGE(""https://docs.google.com/spreadsheets/d/1xoDLGBv9CYbyosIhki0kTq6IpYNj-gp"&amp;"jxfobnaDiut0/edit?usp=sharing"",""บึงกาฬ!Q607"")+IMPORTRANGE(""https://docs.google.com/spreadsheets/d/1MMPq-JyI6DSgQETxuSiXkesP-P7JHuemnE6QJIa-Nlw/edit?usp=sharing"",""บุรีรัมย์!Q607"")+IMPORTRANGE(""https://docs.google.com/spreadsheets/d/1l6IZ8xUPgMrESzc"&amp;"TYwhA1k_tPjeQjJPTqlm8Gd9eU5g/edit?usp=sharing"",""มหาสารคาม!Q607"")+IMPORTRANGE(""https://docs.google.com/spreadsheets/d/1uB74YLqNjWX6FObjekfB2NtSYigTQyR2rq9u4Ub2Sq4/edit?usp=sharing"",""มุกดาหาร!Q607"")+IMPORTRANGE(""https://docs.google.com/spreadsheets/"&amp;"d/1NexK3geCPxCTO1fzNF8dPec7yZyUx3OaWkFBC9HsQOo/edit?usp=sharing"",""ยโสธร!Q607"")+IMPORTRANGE(""https://docs.google.com/spreadsheets/d/1v_cJrbBlyqmnHPReHk44g9NrMRdENNlSy_E_c5M9fIg/edit?usp=sharing"",""ร้อยเอ็ด!Q607"")+IMPORTRANGE(""https://docs.google.com"&amp;"/spreadsheets/d/1Ul4RCpCX66NxYADU1QpwAPjOmBzW64SsT11s1wzXw_c/edit?usp=sharing"",""เลย!Q607"")+IMPORTRANGE(""https://docs.google.com/spreadsheets/d/1bRrNKwbHDVktQG10isr5vbWRtt5spIZPpkOSWgbT5ug/edit?usp=sharing"",""ศรีสะเกษ!Q607"")+IMPORTRANGE(""https://doc"&amp;"s.google.com/spreadsheets/d/17P34_Ow5kFBfdQD0qspb2UuPX5zpi6WMrQzslghyvrI/edit?usp=sharing"",""สกลนคร!Q607"")+IMPORTRANGE(""https://docs.google.com/spreadsheets/d/1yswqbM3-AEpThF3ZSUa1AcmHnmRTF1vlJ1CZGcJ8YuU/edit?usp=sharing"",""สุรินทร์!Q607"")+IMPORTRANG"&amp;"E(""https://docs.google.com/spreadsheets/d/13JHU_EFbsQOUQ0JSQ3dWy1VTRosIWcDq6Nc99z2qzdc/edit?usp=sharing"",""หนองคาย!Q607"")+IMPORTRANGE(""https://docs.google.com/spreadsheets/d/1Hx73zIEgVdDZZaYSTc46Dqv64atFhpr3GelxLbaIN8A/edit?usp=sharing"",""หนองบัวลำภู"&amp;"!Q607"")+IMPORTRANGE(""https://docs.google.com/spreadsheets/d/1lFxr3ctmjFN90yc-xV6jrQ9Ty8BKYVBWnAZ15wcNIJc/edit?usp=sharing"",""อำนาจเจริญ!Q607"")+IMPORTRANGE(""https://docs.google.com/spreadsheets/d/1gF7RJpRnL-1oyjyeWxs5SFWEH7y8ahOZsQlyp2A2e-A/edit?usp=s"&amp;"haring"",""อุดรธานี!Q607"")+IMPORTRANGE(""https://docs.google.com/spreadsheets/d/1kfLP0j3INXRa8bTDpcEmoWewMBV61jlFlfzczfjWIgc/edit?usp=sharing"",""อุบลราชธานี!Q607"")"),0)</f>
        <v>0</v>
      </c>
      <c r="R607" s="56">
        <f ca="1">IFERROR(__xludf.DUMMYFUNCTION("IMPORTRANGE(""https://docs.google.com/spreadsheets/d/1yhBcrRPreicbMKl9Bu_Snb2-OcQAF62RKfhTLhJ2eAA/edit?usp=sharing"",""กาฬสินธุ์!R607"")+IMPORTRANGE(""https://docs.google.com/spreadsheets/d/1aHkj4IaQMThhwWwevcOymEh837vdxeC_PycurhTbGFA/edit?usp=sharing"","&amp;"""ขอนแก่น!R607"")+IMPORTRANGE(""https://docs.google.com/spreadsheets/d/1FvTu2DsIWUjP6WCWra38Bkj_oOl_sOMf14r5Fg5srxU/edit?usp=sharing"",""ชัยภูมิ!R607"")+IMPORTRANGE(""https://docs.google.com/spreadsheets/d/1XVB7oCJ3pr-vBUdflwPQ8Z2LlzhnCvZaaYjAfP-647E/edit"&amp;"?usp=sharing"",""นครพนม!R607"")+IMPORTRANGE(""https://docs.google.com/spreadsheets/d/1Mnpb-8PYAgn85W6KOTD40hc_Xc55CaLfHoGAbrZ8tls/edit?usp=sharing"",""นครราชสีมา!R607"")+IMPORTRANGE(""https://docs.google.com/spreadsheets/d/1xoDLGBv9CYbyosIhki0kTq6IpYNj-gp"&amp;"jxfobnaDiut0/edit?usp=sharing"",""บึงกาฬ!R607"")+IMPORTRANGE(""https://docs.google.com/spreadsheets/d/1MMPq-JyI6DSgQETxuSiXkesP-P7JHuemnE6QJIa-Nlw/edit?usp=sharing"",""บุรีรัมย์!R607"")+IMPORTRANGE(""https://docs.google.com/spreadsheets/d/1l6IZ8xUPgMrESzc"&amp;"TYwhA1k_tPjeQjJPTqlm8Gd9eU5g/edit?usp=sharing"",""มหาสารคาม!R607"")+IMPORTRANGE(""https://docs.google.com/spreadsheets/d/1uB74YLqNjWX6FObjekfB2NtSYigTQyR2rq9u4Ub2Sq4/edit?usp=sharing"",""มุกดาหาร!R607"")+IMPORTRANGE(""https://docs.google.com/spreadsheets/"&amp;"d/1NexK3geCPxCTO1fzNF8dPec7yZyUx3OaWkFBC9HsQOo/edit?usp=sharing"",""ยโสธร!R607"")+IMPORTRANGE(""https://docs.google.com/spreadsheets/d/1v_cJrbBlyqmnHPReHk44g9NrMRdENNlSy_E_c5M9fIg/edit?usp=sharing"",""ร้อยเอ็ด!R607"")+IMPORTRANGE(""https://docs.google.com"&amp;"/spreadsheets/d/1Ul4RCpCX66NxYADU1QpwAPjOmBzW64SsT11s1wzXw_c/edit?usp=sharing"",""เลย!R607"")+IMPORTRANGE(""https://docs.google.com/spreadsheets/d/1bRrNKwbHDVktQG10isr5vbWRtt5spIZPpkOSWgbT5ug/edit?usp=sharing"",""ศรีสะเกษ!R607"")+IMPORTRANGE(""https://doc"&amp;"s.google.com/spreadsheets/d/17P34_Ow5kFBfdQD0qspb2UuPX5zpi6WMrQzslghyvrI/edit?usp=sharing"",""สกลนคร!R607"")+IMPORTRANGE(""https://docs.google.com/spreadsheets/d/1yswqbM3-AEpThF3ZSUa1AcmHnmRTF1vlJ1CZGcJ8YuU/edit?usp=sharing"",""สุรินทร์!R607"")+IMPORTRANG"&amp;"E(""https://docs.google.com/spreadsheets/d/13JHU_EFbsQOUQ0JSQ3dWy1VTRosIWcDq6Nc99z2qzdc/edit?usp=sharing"",""หนองคาย!R607"")+IMPORTRANGE(""https://docs.google.com/spreadsheets/d/1Hx73zIEgVdDZZaYSTc46Dqv64atFhpr3GelxLbaIN8A/edit?usp=sharing"",""หนองบัวลำภู"&amp;"!R607"")+IMPORTRANGE(""https://docs.google.com/spreadsheets/d/1lFxr3ctmjFN90yc-xV6jrQ9Ty8BKYVBWnAZ15wcNIJc/edit?usp=sharing"",""อำนาจเจริญ!R607"")+IMPORTRANGE(""https://docs.google.com/spreadsheets/d/1gF7RJpRnL-1oyjyeWxs5SFWEH7y8ahOZsQlyp2A2e-A/edit?usp=s"&amp;"haring"",""อุดรธานี!R607"")+IMPORTRANGE(""https://docs.google.com/spreadsheets/d/1kfLP0j3INXRa8bTDpcEmoWewMBV61jlFlfzczfjWIgc/edit?usp=sharing"",""อุบลราชธานี!R607"")"),0)</f>
        <v>0</v>
      </c>
      <c r="S607" s="57">
        <f ca="1">IFERROR(__xludf.DUMMYFUNCTION("IMPORTRANGE(""https://docs.google.com/spreadsheets/d/1yhBcrRPreicbMKl9Bu_Snb2-OcQAF62RKfhTLhJ2eAA/edit?usp=sharing"",""กาฬสินธุ์!S607"")+IMPORTRANGE(""https://docs.google.com/spreadsheets/d/1aHkj4IaQMThhwWwevcOymEh837vdxeC_PycurhTbGFA/edit?usp=sharing"","&amp;"""ขอนแก่น!S607"")+IMPORTRANGE(""https://docs.google.com/spreadsheets/d/1FvTu2DsIWUjP6WCWra38Bkj_oOl_sOMf14r5Fg5srxU/edit?usp=sharing"",""ชัยภูมิ!S607"")+IMPORTRANGE(""https://docs.google.com/spreadsheets/d/1XVB7oCJ3pr-vBUdflwPQ8Z2LlzhnCvZaaYjAfP-647E/edit"&amp;"?usp=sharing"",""นครพนม!S607"")+IMPORTRANGE(""https://docs.google.com/spreadsheets/d/1Mnpb-8PYAgn85W6KOTD40hc_Xc55CaLfHoGAbrZ8tls/edit?usp=sharing"",""นครราชสีมา!S607"")+IMPORTRANGE(""https://docs.google.com/spreadsheets/d/1xoDLGBv9CYbyosIhki0kTq6IpYNj-gp"&amp;"jxfobnaDiut0/edit?usp=sharing"",""บึงกาฬ!S607"")+IMPORTRANGE(""https://docs.google.com/spreadsheets/d/1MMPq-JyI6DSgQETxuSiXkesP-P7JHuemnE6QJIa-Nlw/edit?usp=sharing"",""บุรีรัมย์!S607"")+IMPORTRANGE(""https://docs.google.com/spreadsheets/d/1l6IZ8xUPgMrESzc"&amp;"TYwhA1k_tPjeQjJPTqlm8Gd9eU5g/edit?usp=sharing"",""มหาสารคาม!S607"")+IMPORTRANGE(""https://docs.google.com/spreadsheets/d/1uB74YLqNjWX6FObjekfB2NtSYigTQyR2rq9u4Ub2Sq4/edit?usp=sharing"",""มุกดาหาร!S607"")+IMPORTRANGE(""https://docs.google.com/spreadsheets/"&amp;"d/1NexK3geCPxCTO1fzNF8dPec7yZyUx3OaWkFBC9HsQOo/edit?usp=sharing"",""ยโสธร!S607"")+IMPORTRANGE(""https://docs.google.com/spreadsheets/d/1v_cJrbBlyqmnHPReHk44g9NrMRdENNlSy_E_c5M9fIg/edit?usp=sharing"",""ร้อยเอ็ด!S607"")+IMPORTRANGE(""https://docs.google.com"&amp;"/spreadsheets/d/1Ul4RCpCX66NxYADU1QpwAPjOmBzW64SsT11s1wzXw_c/edit?usp=sharing"",""เลย!S607"")+IMPORTRANGE(""https://docs.google.com/spreadsheets/d/1bRrNKwbHDVktQG10isr5vbWRtt5spIZPpkOSWgbT5ug/edit?usp=sharing"",""ศรีสะเกษ!S607"")+IMPORTRANGE(""https://doc"&amp;"s.google.com/spreadsheets/d/17P34_Ow5kFBfdQD0qspb2UuPX5zpi6WMrQzslghyvrI/edit?usp=sharing"",""สกลนคร!S607"")+IMPORTRANGE(""https://docs.google.com/spreadsheets/d/1yswqbM3-AEpThF3ZSUa1AcmHnmRTF1vlJ1CZGcJ8YuU/edit?usp=sharing"",""สุรินทร์!S607"")+IMPORTRANG"&amp;"E(""https://docs.google.com/spreadsheets/d/13JHU_EFbsQOUQ0JSQ3dWy1VTRosIWcDq6Nc99z2qzdc/edit?usp=sharing"",""หนองคาย!S607"")+IMPORTRANGE(""https://docs.google.com/spreadsheets/d/1Hx73zIEgVdDZZaYSTc46Dqv64atFhpr3GelxLbaIN8A/edit?usp=sharing"",""หนองบัวลำภู"&amp;"!S607"")+IMPORTRANGE(""https://docs.google.com/spreadsheets/d/1lFxr3ctmjFN90yc-xV6jrQ9Ty8BKYVBWnAZ15wcNIJc/edit?usp=sharing"",""อำนาจเจริญ!S607"")+IMPORTRANGE(""https://docs.google.com/spreadsheets/d/1gF7RJpRnL-1oyjyeWxs5SFWEH7y8ahOZsQlyp2A2e-A/edit?usp=s"&amp;"haring"",""อุดรธานี!S607"")+IMPORTRANGE(""https://docs.google.com/spreadsheets/d/1kfLP0j3INXRa8bTDpcEmoWewMBV61jlFlfzczfjWIgc/edit?usp=sharing"",""อุบลราชธานี!S607"")"),0)</f>
        <v>0</v>
      </c>
      <c r="T607" s="56">
        <f t="shared" ca="1" si="426"/>
        <v>0</v>
      </c>
      <c r="U607" s="56">
        <f t="shared" ca="1" si="427"/>
        <v>0</v>
      </c>
    </row>
    <row r="608" spans="1:21" ht="19.5">
      <c r="A608" s="166"/>
      <c r="B608" s="167"/>
      <c r="C608" s="205" t="s">
        <v>18</v>
      </c>
      <c r="D608" s="422" t="s">
        <v>38</v>
      </c>
      <c r="E608" s="169"/>
      <c r="F608" s="169"/>
      <c r="G608" s="170"/>
      <c r="H608" s="206"/>
      <c r="I608" s="163"/>
      <c r="J608" s="163"/>
      <c r="K608" s="164"/>
      <c r="L608" s="55"/>
      <c r="M608" s="55"/>
      <c r="N608" s="55"/>
      <c r="O608" s="55"/>
      <c r="P608" s="55"/>
      <c r="Q608" s="55"/>
      <c r="R608" s="55"/>
      <c r="S608" s="62"/>
      <c r="T608" s="55"/>
      <c r="U608" s="55"/>
    </row>
    <row r="609" spans="1:21" ht="18.75">
      <c r="A609" s="166"/>
      <c r="B609" s="167"/>
      <c r="C609" s="167"/>
      <c r="D609" s="423" t="s">
        <v>217</v>
      </c>
      <c r="E609" s="174"/>
      <c r="F609" s="174"/>
      <c r="G609" s="171"/>
      <c r="H609" s="189" t="s">
        <v>99</v>
      </c>
      <c r="I609" s="54"/>
      <c r="J609" s="54"/>
      <c r="K609" s="164"/>
      <c r="L609" s="55"/>
      <c r="M609" s="55"/>
      <c r="N609" s="55"/>
      <c r="O609" s="55"/>
      <c r="P609" s="55"/>
      <c r="Q609" s="55"/>
      <c r="R609" s="55"/>
      <c r="S609" s="62"/>
      <c r="T609" s="55"/>
      <c r="U609" s="55"/>
    </row>
    <row r="610" spans="1:21" ht="19.5">
      <c r="A610" s="166"/>
      <c r="B610" s="167"/>
      <c r="C610" s="167"/>
      <c r="D610" s="423" t="s">
        <v>218</v>
      </c>
      <c r="E610" s="174"/>
      <c r="F610" s="174"/>
      <c r="G610" s="171"/>
      <c r="H610" s="418" t="s">
        <v>35</v>
      </c>
      <c r="I610" s="54"/>
      <c r="J610" s="54"/>
      <c r="K610" s="164"/>
      <c r="L610" s="55"/>
      <c r="M610" s="55"/>
      <c r="N610" s="55"/>
      <c r="O610" s="55"/>
      <c r="P610" s="55"/>
      <c r="Q610" s="55"/>
      <c r="R610" s="55"/>
      <c r="S610" s="62"/>
      <c r="T610" s="55"/>
      <c r="U610" s="55"/>
    </row>
    <row r="611" spans="1:21" ht="18.75">
      <c r="A611" s="166"/>
      <c r="B611" s="167"/>
      <c r="C611" s="167"/>
      <c r="D611" s="167"/>
      <c r="E611" s="423" t="s">
        <v>219</v>
      </c>
      <c r="F611" s="174"/>
      <c r="G611" s="171"/>
      <c r="H611" s="421" t="s">
        <v>35</v>
      </c>
      <c r="I611" s="54"/>
      <c r="J611" s="54"/>
      <c r="K611" s="164"/>
      <c r="L611" s="55"/>
      <c r="M611" s="55"/>
      <c r="N611" s="55"/>
      <c r="O611" s="55"/>
      <c r="P611" s="55"/>
      <c r="Q611" s="55"/>
      <c r="R611" s="55"/>
      <c r="S611" s="62"/>
      <c r="T611" s="55"/>
      <c r="U611" s="55"/>
    </row>
    <row r="612" spans="1:21" ht="18.75">
      <c r="A612" s="424"/>
      <c r="B612" s="425"/>
      <c r="C612" s="425"/>
      <c r="D612" s="425"/>
      <c r="E612" s="426" t="s">
        <v>220</v>
      </c>
      <c r="F612" s="427"/>
      <c r="G612" s="428"/>
      <c r="H612" s="429" t="s">
        <v>35</v>
      </c>
      <c r="I612" s="430"/>
      <c r="J612" s="430"/>
      <c r="K612" s="431"/>
      <c r="L612" s="432"/>
      <c r="M612" s="432"/>
      <c r="N612" s="432"/>
      <c r="O612" s="432"/>
      <c r="P612" s="432"/>
      <c r="Q612" s="432"/>
      <c r="R612" s="432"/>
      <c r="S612" s="433"/>
      <c r="T612" s="432"/>
      <c r="U612" s="432"/>
    </row>
    <row r="613" spans="1:21" ht="19.5">
      <c r="A613" s="434" t="s">
        <v>221</v>
      </c>
      <c r="B613" s="435"/>
      <c r="C613" s="435"/>
      <c r="D613" s="436"/>
      <c r="E613" s="436"/>
      <c r="F613" s="436"/>
      <c r="G613" s="437"/>
      <c r="H613" s="438"/>
      <c r="I613" s="439"/>
      <c r="J613" s="439"/>
      <c r="K613" s="440"/>
      <c r="L613" s="440"/>
      <c r="M613" s="440"/>
      <c r="N613" s="440"/>
      <c r="O613" s="440"/>
      <c r="P613" s="440"/>
      <c r="Q613" s="440"/>
      <c r="R613" s="440"/>
      <c r="S613" s="441"/>
      <c r="T613" s="440"/>
      <c r="U613" s="440"/>
    </row>
    <row r="614" spans="1:21" ht="19.5">
      <c r="A614" s="442"/>
      <c r="B614" s="443" t="s">
        <v>222</v>
      </c>
      <c r="C614" s="442"/>
      <c r="D614" s="444"/>
      <c r="E614" s="444"/>
      <c r="F614" s="444"/>
      <c r="G614" s="445"/>
      <c r="H614" s="446"/>
      <c r="I614" s="447"/>
      <c r="J614" s="447"/>
      <c r="K614" s="448"/>
      <c r="L614" s="448"/>
      <c r="M614" s="448"/>
      <c r="N614" s="448"/>
      <c r="O614" s="448"/>
      <c r="P614" s="448"/>
      <c r="Q614" s="448"/>
      <c r="R614" s="448"/>
      <c r="S614" s="449"/>
      <c r="T614" s="448"/>
      <c r="U614" s="448"/>
    </row>
    <row r="615" spans="1:21" ht="19.5">
      <c r="A615" s="450"/>
      <c r="B615" s="451" t="s">
        <v>223</v>
      </c>
      <c r="C615" s="450"/>
      <c r="D615" s="452"/>
      <c r="E615" s="452"/>
      <c r="F615" s="452"/>
      <c r="G615" s="453"/>
      <c r="H615" s="454" t="s">
        <v>46</v>
      </c>
      <c r="I615" s="455">
        <f t="shared" ref="I615:J615" ca="1" si="436">I626</f>
        <v>1300</v>
      </c>
      <c r="J615" s="455">
        <f t="shared" ca="1" si="436"/>
        <v>0</v>
      </c>
      <c r="K615" s="456">
        <f ca="1">IF(I615&gt;0,J615*100/I615,0)</f>
        <v>0</v>
      </c>
      <c r="L615" s="457"/>
      <c r="M615" s="457"/>
      <c r="N615" s="457"/>
      <c r="O615" s="457"/>
      <c r="P615" s="457"/>
      <c r="Q615" s="457"/>
      <c r="R615" s="457"/>
      <c r="S615" s="458"/>
      <c r="T615" s="457"/>
      <c r="U615" s="457"/>
    </row>
    <row r="616" spans="1:21" ht="19.5">
      <c r="A616" s="155"/>
      <c r="B616" s="188"/>
      <c r="C616" s="205" t="s">
        <v>18</v>
      </c>
      <c r="D616" s="531" t="s">
        <v>19</v>
      </c>
      <c r="E616" s="529"/>
      <c r="F616" s="529"/>
      <c r="G616" s="530"/>
      <c r="H616" s="252" t="s">
        <v>14</v>
      </c>
      <c r="I616" s="54"/>
      <c r="J616" s="54"/>
      <c r="K616" s="55"/>
      <c r="L616" s="159">
        <f t="shared" ref="L616:N616" ca="1" si="437">L617+L618</f>
        <v>0</v>
      </c>
      <c r="M616" s="159">
        <f t="shared" ca="1" si="437"/>
        <v>0</v>
      </c>
      <c r="N616" s="159">
        <f t="shared" ca="1" si="437"/>
        <v>0</v>
      </c>
      <c r="O616" s="159">
        <f t="shared" ref="O616:O624" ca="1" si="438">IF(L616&gt;0,N616*100/L616,0)</f>
        <v>0</v>
      </c>
      <c r="P616" s="159">
        <f t="shared" ref="P616:P624" ca="1" si="439">IF(M616&gt;0,N616*100/M616,0)</f>
        <v>0</v>
      </c>
      <c r="Q616" s="159">
        <f t="shared" ref="Q616:S616" ca="1" si="440">Q617+Q618</f>
        <v>170750</v>
      </c>
      <c r="R616" s="159">
        <f t="shared" ca="1" si="440"/>
        <v>170750</v>
      </c>
      <c r="S616" s="160">
        <f t="shared" ca="1" si="440"/>
        <v>6700</v>
      </c>
      <c r="T616" s="159">
        <f t="shared" ref="T616:T624" ca="1" si="441">IF(Q616&gt;0,S616*100/Q616,0)</f>
        <v>3.9238653001464128</v>
      </c>
      <c r="U616" s="159">
        <f t="shared" ref="U616:U624" ca="1" si="442">IF(R616&gt;0,S616*100/R616,0)</f>
        <v>3.9238653001464128</v>
      </c>
    </row>
    <row r="617" spans="1:21" ht="18.75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59">
        <f t="shared" ref="L617:N617" ca="1" si="443">L620+L623</f>
        <v>0</v>
      </c>
      <c r="M617" s="59">
        <f t="shared" ca="1" si="443"/>
        <v>0</v>
      </c>
      <c r="N617" s="59">
        <f t="shared" ca="1" si="443"/>
        <v>0</v>
      </c>
      <c r="O617" s="59">
        <f t="shared" ca="1" si="438"/>
        <v>0</v>
      </c>
      <c r="P617" s="59">
        <f t="shared" ca="1" si="439"/>
        <v>0</v>
      </c>
      <c r="Q617" s="59">
        <f t="shared" ref="Q617:S617" ca="1" si="444">Q620+Q623</f>
        <v>0</v>
      </c>
      <c r="R617" s="59">
        <f t="shared" ca="1" si="444"/>
        <v>0</v>
      </c>
      <c r="S617" s="60">
        <f t="shared" ca="1" si="444"/>
        <v>0</v>
      </c>
      <c r="T617" s="59">
        <f t="shared" ca="1" si="441"/>
        <v>0</v>
      </c>
      <c r="U617" s="59">
        <f t="shared" ca="1" si="442"/>
        <v>0</v>
      </c>
    </row>
    <row r="618" spans="1:21" ht="18.75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56">
        <f t="shared" ref="L618:N618" ca="1" si="445">L621+L624</f>
        <v>0</v>
      </c>
      <c r="M618" s="56">
        <f t="shared" ca="1" si="445"/>
        <v>0</v>
      </c>
      <c r="N618" s="56">
        <f t="shared" ca="1" si="445"/>
        <v>0</v>
      </c>
      <c r="O618" s="56">
        <f t="shared" ca="1" si="438"/>
        <v>0</v>
      </c>
      <c r="P618" s="56">
        <f t="shared" ca="1" si="439"/>
        <v>0</v>
      </c>
      <c r="Q618" s="56">
        <f t="shared" ref="Q618:S618" ca="1" si="446">Q621+Q624</f>
        <v>170750</v>
      </c>
      <c r="R618" s="56">
        <f t="shared" ca="1" si="446"/>
        <v>170750</v>
      </c>
      <c r="S618" s="57">
        <f t="shared" ca="1" si="446"/>
        <v>6700</v>
      </c>
      <c r="T618" s="56">
        <f t="shared" ca="1" si="441"/>
        <v>3.9238653001464128</v>
      </c>
      <c r="U618" s="56">
        <f t="shared" ca="1" si="442"/>
        <v>3.9238653001464128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56">
        <f t="shared" ref="L619:N619" ca="1" si="447">L620+L621</f>
        <v>0</v>
      </c>
      <c r="M619" s="56">
        <f t="shared" ca="1" si="447"/>
        <v>0</v>
      </c>
      <c r="N619" s="56">
        <f t="shared" ca="1" si="447"/>
        <v>0</v>
      </c>
      <c r="O619" s="56">
        <f t="shared" ca="1" si="438"/>
        <v>0</v>
      </c>
      <c r="P619" s="56">
        <f t="shared" ca="1" si="439"/>
        <v>0</v>
      </c>
      <c r="Q619" s="56">
        <f t="shared" ref="Q619:S619" ca="1" si="448">Q620+Q621</f>
        <v>170750</v>
      </c>
      <c r="R619" s="56">
        <f t="shared" ca="1" si="448"/>
        <v>170750</v>
      </c>
      <c r="S619" s="57">
        <f t="shared" ca="1" si="448"/>
        <v>6700</v>
      </c>
      <c r="T619" s="56">
        <f t="shared" ca="1" si="441"/>
        <v>3.9238653001464128</v>
      </c>
      <c r="U619" s="56">
        <f t="shared" ca="1" si="442"/>
        <v>3.9238653001464128</v>
      </c>
    </row>
    <row r="620" spans="1:21" ht="18.75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59">
        <f ca="1">IFERROR(__xludf.DUMMYFUNCTION("IMPORTRANGE(""https://docs.google.com/spreadsheets/d/1yhBcrRPreicbMKl9Bu_Snb2-OcQAF62RKfhTLhJ2eAA/edit?usp=sharing"",""กาฬสินธุ์!L620"")+IMPORTRANGE(""https://docs.google.com/spreadsheets/d/1aHkj4IaQMThhwWwevcOymEh837vdxeC_PycurhTbGFA/edit?usp=sharing"","&amp;"""ขอนแก่น!L620"")+IMPORTRANGE(""https://docs.google.com/spreadsheets/d/1FvTu2DsIWUjP6WCWra38Bkj_oOl_sOMf14r5Fg5srxU/edit?usp=sharing"",""ชัยภูมิ!L620"")+IMPORTRANGE(""https://docs.google.com/spreadsheets/d/1XVB7oCJ3pr-vBUdflwPQ8Z2LlzhnCvZaaYjAfP-647E/edit"&amp;"?usp=sharing"",""นครพนม!L620"")+IMPORTRANGE(""https://docs.google.com/spreadsheets/d/1Mnpb-8PYAgn85W6KOTD40hc_Xc55CaLfHoGAbrZ8tls/edit?usp=sharing"",""นครราชสีมา!L620"")+IMPORTRANGE(""https://docs.google.com/spreadsheets/d/1xoDLGBv9CYbyosIhki0kTq6IpYNj-gp"&amp;"jxfobnaDiut0/edit?usp=sharing"",""บึงกาฬ!L620"")+IMPORTRANGE(""https://docs.google.com/spreadsheets/d/1MMPq-JyI6DSgQETxuSiXkesP-P7JHuemnE6QJIa-Nlw/edit?usp=sharing"",""บุรีรัมย์!L620"")+IMPORTRANGE(""https://docs.google.com/spreadsheets/d/1l6IZ8xUPgMrESzc"&amp;"TYwhA1k_tPjeQjJPTqlm8Gd9eU5g/edit?usp=sharing"",""มหาสารคาม!L620"")+IMPORTRANGE(""https://docs.google.com/spreadsheets/d/1uB74YLqNjWX6FObjekfB2NtSYigTQyR2rq9u4Ub2Sq4/edit?usp=sharing"",""มุกดาหาร!L620"")+IMPORTRANGE(""https://docs.google.com/spreadsheets/"&amp;"d/1NexK3geCPxCTO1fzNF8dPec7yZyUx3OaWkFBC9HsQOo/edit?usp=sharing"",""ยโสธร!L620"")+IMPORTRANGE(""https://docs.google.com/spreadsheets/d/1v_cJrbBlyqmnHPReHk44g9NrMRdENNlSy_E_c5M9fIg/edit?usp=sharing"",""ร้อยเอ็ด!L620"")+IMPORTRANGE(""https://docs.google.com"&amp;"/spreadsheets/d/1Ul4RCpCX66NxYADU1QpwAPjOmBzW64SsT11s1wzXw_c/edit?usp=sharing"",""เลย!L620"")+IMPORTRANGE(""https://docs.google.com/spreadsheets/d/1bRrNKwbHDVktQG10isr5vbWRtt5spIZPpkOSWgbT5ug/edit?usp=sharing"",""ศรีสะเกษ!L620"")+IMPORTRANGE(""https://doc"&amp;"s.google.com/spreadsheets/d/17P34_Ow5kFBfdQD0qspb2UuPX5zpi6WMrQzslghyvrI/edit?usp=sharing"",""สกลนคร!L620"")+IMPORTRANGE(""https://docs.google.com/spreadsheets/d/1yswqbM3-AEpThF3ZSUa1AcmHnmRTF1vlJ1CZGcJ8YuU/edit?usp=sharing"",""สุรินทร์!L620"")+IMPORTRANG"&amp;"E(""https://docs.google.com/spreadsheets/d/13JHU_EFbsQOUQ0JSQ3dWy1VTRosIWcDq6Nc99z2qzdc/edit?usp=sharing"",""หนองคาย!L620"")+IMPORTRANGE(""https://docs.google.com/spreadsheets/d/1Hx73zIEgVdDZZaYSTc46Dqv64atFhpr3GelxLbaIN8A/edit?usp=sharing"",""หนองบัวลำภู"&amp;"!L620"")+IMPORTRANGE(""https://docs.google.com/spreadsheets/d/1lFxr3ctmjFN90yc-xV6jrQ9Ty8BKYVBWnAZ15wcNIJc/edit?usp=sharing"",""อำนาจเจริญ!L620"")+IMPORTRANGE(""https://docs.google.com/spreadsheets/d/1gF7RJpRnL-1oyjyeWxs5SFWEH7y8ahOZsQlyp2A2e-A/edit?usp=s"&amp;"haring"",""อุดรธานี!L620"")+IMPORTRANGE(""https://docs.google.com/spreadsheets/d/1kfLP0j3INXRa8bTDpcEmoWewMBV61jlFlfzczfjWIgc/edit?usp=sharing"",""อุบลราชธานี!L620"")"),0)</f>
        <v>0</v>
      </c>
      <c r="M620" s="59">
        <f ca="1">IFERROR(__xludf.DUMMYFUNCTION("IMPORTRANGE(""https://docs.google.com/spreadsheets/d/1yhBcrRPreicbMKl9Bu_Snb2-OcQAF62RKfhTLhJ2eAA/edit?usp=sharing"",""กาฬสินธุ์!M620"")+IMPORTRANGE(""https://docs.google.com/spreadsheets/d/1aHkj4IaQMThhwWwevcOymEh837vdxeC_PycurhTbGFA/edit?usp=sharing"","&amp;"""ขอนแก่น!M620"")+IMPORTRANGE(""https://docs.google.com/spreadsheets/d/1FvTu2DsIWUjP6WCWra38Bkj_oOl_sOMf14r5Fg5srxU/edit?usp=sharing"",""ชัยภูมิ!M620"")+IMPORTRANGE(""https://docs.google.com/spreadsheets/d/1XVB7oCJ3pr-vBUdflwPQ8Z2LlzhnCvZaaYjAfP-647E/edit"&amp;"?usp=sharing"",""นครพนม!M620"")+IMPORTRANGE(""https://docs.google.com/spreadsheets/d/1Mnpb-8PYAgn85W6KOTD40hc_Xc55CaLfHoGAbrZ8tls/edit?usp=sharing"",""นครราชสีมา!M620"")+IMPORTRANGE(""https://docs.google.com/spreadsheets/d/1xoDLGBv9CYbyosIhki0kTq6IpYNj-gp"&amp;"jxfobnaDiut0/edit?usp=sharing"",""บึงกาฬ!M620"")+IMPORTRANGE(""https://docs.google.com/spreadsheets/d/1MMPq-JyI6DSgQETxuSiXkesP-P7JHuemnE6QJIa-Nlw/edit?usp=sharing"",""บุรีรัมย์!M620"")+IMPORTRANGE(""https://docs.google.com/spreadsheets/d/1l6IZ8xUPgMrESzc"&amp;"TYwhA1k_tPjeQjJPTqlm8Gd9eU5g/edit?usp=sharing"",""มหาสารคาม!M620"")+IMPORTRANGE(""https://docs.google.com/spreadsheets/d/1uB74YLqNjWX6FObjekfB2NtSYigTQyR2rq9u4Ub2Sq4/edit?usp=sharing"",""มุกดาหาร!M620"")+IMPORTRANGE(""https://docs.google.com/spreadsheets/"&amp;"d/1NexK3geCPxCTO1fzNF8dPec7yZyUx3OaWkFBC9HsQOo/edit?usp=sharing"",""ยโสธร!M620"")+IMPORTRANGE(""https://docs.google.com/spreadsheets/d/1v_cJrbBlyqmnHPReHk44g9NrMRdENNlSy_E_c5M9fIg/edit?usp=sharing"",""ร้อยเอ็ด!M620"")+IMPORTRANGE(""https://docs.google.com"&amp;"/spreadsheets/d/1Ul4RCpCX66NxYADU1QpwAPjOmBzW64SsT11s1wzXw_c/edit?usp=sharing"",""เลย!M620"")+IMPORTRANGE(""https://docs.google.com/spreadsheets/d/1bRrNKwbHDVktQG10isr5vbWRtt5spIZPpkOSWgbT5ug/edit?usp=sharing"",""ศรีสะเกษ!M620"")+IMPORTRANGE(""https://doc"&amp;"s.google.com/spreadsheets/d/17P34_Ow5kFBfdQD0qspb2UuPX5zpi6WMrQzslghyvrI/edit?usp=sharing"",""สกลนคร!M620"")+IMPORTRANGE(""https://docs.google.com/spreadsheets/d/1yswqbM3-AEpThF3ZSUa1AcmHnmRTF1vlJ1CZGcJ8YuU/edit?usp=sharing"",""สุรินทร์!M620"")+IMPORTRANG"&amp;"E(""https://docs.google.com/spreadsheets/d/13JHU_EFbsQOUQ0JSQ3dWy1VTRosIWcDq6Nc99z2qzdc/edit?usp=sharing"",""หนองคาย!M620"")+IMPORTRANGE(""https://docs.google.com/spreadsheets/d/1Hx73zIEgVdDZZaYSTc46Dqv64atFhpr3GelxLbaIN8A/edit?usp=sharing"",""หนองบัวลำภู"&amp;"!M620"")+IMPORTRANGE(""https://docs.google.com/spreadsheets/d/1lFxr3ctmjFN90yc-xV6jrQ9Ty8BKYVBWnAZ15wcNIJc/edit?usp=sharing"",""อำนาจเจริญ!M620"")+IMPORTRANGE(""https://docs.google.com/spreadsheets/d/1gF7RJpRnL-1oyjyeWxs5SFWEH7y8ahOZsQlyp2A2e-A/edit?usp=s"&amp;"haring"",""อุดรธานี!M620"")+IMPORTRANGE(""https://docs.google.com/spreadsheets/d/1kfLP0j3INXRa8bTDpcEmoWewMBV61jlFlfzczfjWIgc/edit?usp=sharing"",""อุบลราชธานี!M620"")"),0)</f>
        <v>0</v>
      </c>
      <c r="N620" s="59">
        <f ca="1">IFERROR(__xludf.DUMMYFUNCTION("IMPORTRANGE(""https://docs.google.com/spreadsheets/d/1yhBcrRPreicbMKl9Bu_Snb2-OcQAF62RKfhTLhJ2eAA/edit?usp=sharing"",""กาฬสินธุ์!N620"")+IMPORTRANGE(""https://docs.google.com/spreadsheets/d/1aHkj4IaQMThhwWwevcOymEh837vdxeC_PycurhTbGFA/edit?usp=sharing"","&amp;"""ขอนแก่น!N620"")+IMPORTRANGE(""https://docs.google.com/spreadsheets/d/1FvTu2DsIWUjP6WCWra38Bkj_oOl_sOMf14r5Fg5srxU/edit?usp=sharing"",""ชัยภูมิ!N620"")+IMPORTRANGE(""https://docs.google.com/spreadsheets/d/1XVB7oCJ3pr-vBUdflwPQ8Z2LlzhnCvZaaYjAfP-647E/edit"&amp;"?usp=sharing"",""นครพนม!N620"")+IMPORTRANGE(""https://docs.google.com/spreadsheets/d/1Mnpb-8PYAgn85W6KOTD40hc_Xc55CaLfHoGAbrZ8tls/edit?usp=sharing"",""นครราชสีมา!N620"")+IMPORTRANGE(""https://docs.google.com/spreadsheets/d/1xoDLGBv9CYbyosIhki0kTq6IpYNj-gp"&amp;"jxfobnaDiut0/edit?usp=sharing"",""บึงกาฬ!N620"")+IMPORTRANGE(""https://docs.google.com/spreadsheets/d/1MMPq-JyI6DSgQETxuSiXkesP-P7JHuemnE6QJIa-Nlw/edit?usp=sharing"",""บุรีรัมย์!N620"")+IMPORTRANGE(""https://docs.google.com/spreadsheets/d/1l6IZ8xUPgMrESzc"&amp;"TYwhA1k_tPjeQjJPTqlm8Gd9eU5g/edit?usp=sharing"",""มหาสารคาม!N620"")+IMPORTRANGE(""https://docs.google.com/spreadsheets/d/1uB74YLqNjWX6FObjekfB2NtSYigTQyR2rq9u4Ub2Sq4/edit?usp=sharing"",""มุกดาหาร!N620"")+IMPORTRANGE(""https://docs.google.com/spreadsheets/"&amp;"d/1NexK3geCPxCTO1fzNF8dPec7yZyUx3OaWkFBC9HsQOo/edit?usp=sharing"",""ยโสธร!N620"")+IMPORTRANGE(""https://docs.google.com/spreadsheets/d/1v_cJrbBlyqmnHPReHk44g9NrMRdENNlSy_E_c5M9fIg/edit?usp=sharing"",""ร้อยเอ็ด!N620"")+IMPORTRANGE(""https://docs.google.com"&amp;"/spreadsheets/d/1Ul4RCpCX66NxYADU1QpwAPjOmBzW64SsT11s1wzXw_c/edit?usp=sharing"",""เลย!N620"")+IMPORTRANGE(""https://docs.google.com/spreadsheets/d/1bRrNKwbHDVktQG10isr5vbWRtt5spIZPpkOSWgbT5ug/edit?usp=sharing"",""ศรีสะเกษ!N620"")+IMPORTRANGE(""https://doc"&amp;"s.google.com/spreadsheets/d/17P34_Ow5kFBfdQD0qspb2UuPX5zpi6WMrQzslghyvrI/edit?usp=sharing"",""สกลนคร!N620"")+IMPORTRANGE(""https://docs.google.com/spreadsheets/d/1yswqbM3-AEpThF3ZSUa1AcmHnmRTF1vlJ1CZGcJ8YuU/edit?usp=sharing"",""สุรินทร์!N620"")+IMPORTRANG"&amp;"E(""https://docs.google.com/spreadsheets/d/13JHU_EFbsQOUQ0JSQ3dWy1VTRosIWcDq6Nc99z2qzdc/edit?usp=sharing"",""หนองคาย!N620"")+IMPORTRANGE(""https://docs.google.com/spreadsheets/d/1Hx73zIEgVdDZZaYSTc46Dqv64atFhpr3GelxLbaIN8A/edit?usp=sharing"",""หนองบัวลำภู"&amp;"!N620"")+IMPORTRANGE(""https://docs.google.com/spreadsheets/d/1lFxr3ctmjFN90yc-xV6jrQ9Ty8BKYVBWnAZ15wcNIJc/edit?usp=sharing"",""อำนาจเจริญ!N620"")+IMPORTRANGE(""https://docs.google.com/spreadsheets/d/1gF7RJpRnL-1oyjyeWxs5SFWEH7y8ahOZsQlyp2A2e-A/edit?usp=s"&amp;"haring"",""อุดรธานี!N620"")+IMPORTRANGE(""https://docs.google.com/spreadsheets/d/1kfLP0j3INXRa8bTDpcEmoWewMBV61jlFlfzczfjWIgc/edit?usp=sharing"",""อุบลราชธานี!N620"")"),0)</f>
        <v>0</v>
      </c>
      <c r="O620" s="59">
        <f t="shared" ca="1" si="438"/>
        <v>0</v>
      </c>
      <c r="P620" s="59">
        <f t="shared" ca="1" si="439"/>
        <v>0</v>
      </c>
      <c r="Q620" s="59">
        <f ca="1">IFERROR(__xludf.DUMMYFUNCTION("IMPORTRANGE(""https://docs.google.com/spreadsheets/d/1yhBcrRPreicbMKl9Bu_Snb2-OcQAF62RKfhTLhJ2eAA/edit?usp=sharing"",""กาฬสินธุ์!Q620"")+IMPORTRANGE(""https://docs.google.com/spreadsheets/d/1aHkj4IaQMThhwWwevcOymEh837vdxeC_PycurhTbGFA/edit?usp=sharing"","&amp;"""ขอนแก่น!Q620"")+IMPORTRANGE(""https://docs.google.com/spreadsheets/d/1FvTu2DsIWUjP6WCWra38Bkj_oOl_sOMf14r5Fg5srxU/edit?usp=sharing"",""ชัยภูมิ!Q620"")+IMPORTRANGE(""https://docs.google.com/spreadsheets/d/1XVB7oCJ3pr-vBUdflwPQ8Z2LlzhnCvZaaYjAfP-647E/edit"&amp;"?usp=sharing"",""นครพนม!Q620"")+IMPORTRANGE(""https://docs.google.com/spreadsheets/d/1Mnpb-8PYAgn85W6KOTD40hc_Xc55CaLfHoGAbrZ8tls/edit?usp=sharing"",""นครราชสีมา!Q620"")+IMPORTRANGE(""https://docs.google.com/spreadsheets/d/1xoDLGBv9CYbyosIhki0kTq6IpYNj-gp"&amp;"jxfobnaDiut0/edit?usp=sharing"",""บึงกาฬ!Q620"")+IMPORTRANGE(""https://docs.google.com/spreadsheets/d/1MMPq-JyI6DSgQETxuSiXkesP-P7JHuemnE6QJIa-Nlw/edit?usp=sharing"",""บุรีรัมย์!Q620"")+IMPORTRANGE(""https://docs.google.com/spreadsheets/d/1l6IZ8xUPgMrESzc"&amp;"TYwhA1k_tPjeQjJPTqlm8Gd9eU5g/edit?usp=sharing"",""มหาสารคาม!Q620"")+IMPORTRANGE(""https://docs.google.com/spreadsheets/d/1uB74YLqNjWX6FObjekfB2NtSYigTQyR2rq9u4Ub2Sq4/edit?usp=sharing"",""มุกดาหาร!Q620"")+IMPORTRANGE(""https://docs.google.com/spreadsheets/"&amp;"d/1NexK3geCPxCTO1fzNF8dPec7yZyUx3OaWkFBC9HsQOo/edit?usp=sharing"",""ยโสธร!Q620"")+IMPORTRANGE(""https://docs.google.com/spreadsheets/d/1v_cJrbBlyqmnHPReHk44g9NrMRdENNlSy_E_c5M9fIg/edit?usp=sharing"",""ร้อยเอ็ด!Q620"")+IMPORTRANGE(""https://docs.google.com"&amp;"/spreadsheets/d/1Ul4RCpCX66NxYADU1QpwAPjOmBzW64SsT11s1wzXw_c/edit?usp=sharing"",""เลย!Q620"")+IMPORTRANGE(""https://docs.google.com/spreadsheets/d/1bRrNKwbHDVktQG10isr5vbWRtt5spIZPpkOSWgbT5ug/edit?usp=sharing"",""ศรีสะเกษ!Q620"")+IMPORTRANGE(""https://doc"&amp;"s.google.com/spreadsheets/d/17P34_Ow5kFBfdQD0qspb2UuPX5zpi6WMrQzslghyvrI/edit?usp=sharing"",""สกลนคร!Q620"")+IMPORTRANGE(""https://docs.google.com/spreadsheets/d/1yswqbM3-AEpThF3ZSUa1AcmHnmRTF1vlJ1CZGcJ8YuU/edit?usp=sharing"",""สุรินทร์!Q620"")+IMPORTRANG"&amp;"E(""https://docs.google.com/spreadsheets/d/13JHU_EFbsQOUQ0JSQ3dWy1VTRosIWcDq6Nc99z2qzdc/edit?usp=sharing"",""หนองคาย!Q620"")+IMPORTRANGE(""https://docs.google.com/spreadsheets/d/1Hx73zIEgVdDZZaYSTc46Dqv64atFhpr3GelxLbaIN8A/edit?usp=sharing"",""หนองบัวลำภู"&amp;"!Q620"")+IMPORTRANGE(""https://docs.google.com/spreadsheets/d/1lFxr3ctmjFN90yc-xV6jrQ9Ty8BKYVBWnAZ15wcNIJc/edit?usp=sharing"",""อำนาจเจริญ!Q620"")+IMPORTRANGE(""https://docs.google.com/spreadsheets/d/1gF7RJpRnL-1oyjyeWxs5SFWEH7y8ahOZsQlyp2A2e-A/edit?usp=s"&amp;"haring"",""อุดรธานี!Q620"")+IMPORTRANGE(""https://docs.google.com/spreadsheets/d/1kfLP0j3INXRa8bTDpcEmoWewMBV61jlFlfzczfjWIgc/edit?usp=sharing"",""อุบลราชธานี!Q620"")"),0)</f>
        <v>0</v>
      </c>
      <c r="R620" s="59">
        <f ca="1">IFERROR(__xludf.DUMMYFUNCTION("IMPORTRANGE(""https://docs.google.com/spreadsheets/d/1yhBcrRPreicbMKl9Bu_Snb2-OcQAF62RKfhTLhJ2eAA/edit?usp=sharing"",""กาฬสินธุ์!R620"")+IMPORTRANGE(""https://docs.google.com/spreadsheets/d/1aHkj4IaQMThhwWwevcOymEh837vdxeC_PycurhTbGFA/edit?usp=sharing"","&amp;"""ขอนแก่น!R620"")+IMPORTRANGE(""https://docs.google.com/spreadsheets/d/1FvTu2DsIWUjP6WCWra38Bkj_oOl_sOMf14r5Fg5srxU/edit?usp=sharing"",""ชัยภูมิ!R620"")+IMPORTRANGE(""https://docs.google.com/spreadsheets/d/1XVB7oCJ3pr-vBUdflwPQ8Z2LlzhnCvZaaYjAfP-647E/edit"&amp;"?usp=sharing"",""นครพนม!R620"")+IMPORTRANGE(""https://docs.google.com/spreadsheets/d/1Mnpb-8PYAgn85W6KOTD40hc_Xc55CaLfHoGAbrZ8tls/edit?usp=sharing"",""นครราชสีมา!R620"")+IMPORTRANGE(""https://docs.google.com/spreadsheets/d/1xoDLGBv9CYbyosIhki0kTq6IpYNj-gp"&amp;"jxfobnaDiut0/edit?usp=sharing"",""บึงกาฬ!R620"")+IMPORTRANGE(""https://docs.google.com/spreadsheets/d/1MMPq-JyI6DSgQETxuSiXkesP-P7JHuemnE6QJIa-Nlw/edit?usp=sharing"",""บุรีรัมย์!R620"")+IMPORTRANGE(""https://docs.google.com/spreadsheets/d/1l6IZ8xUPgMrESzc"&amp;"TYwhA1k_tPjeQjJPTqlm8Gd9eU5g/edit?usp=sharing"",""มหาสารคาม!R620"")+IMPORTRANGE(""https://docs.google.com/spreadsheets/d/1uB74YLqNjWX6FObjekfB2NtSYigTQyR2rq9u4Ub2Sq4/edit?usp=sharing"",""มุกดาหาร!R620"")+IMPORTRANGE(""https://docs.google.com/spreadsheets/"&amp;"d/1NexK3geCPxCTO1fzNF8dPec7yZyUx3OaWkFBC9HsQOo/edit?usp=sharing"",""ยโสธร!R620"")+IMPORTRANGE(""https://docs.google.com/spreadsheets/d/1v_cJrbBlyqmnHPReHk44g9NrMRdENNlSy_E_c5M9fIg/edit?usp=sharing"",""ร้อยเอ็ด!R620"")+IMPORTRANGE(""https://docs.google.com"&amp;"/spreadsheets/d/1Ul4RCpCX66NxYADU1QpwAPjOmBzW64SsT11s1wzXw_c/edit?usp=sharing"",""เลย!R620"")+IMPORTRANGE(""https://docs.google.com/spreadsheets/d/1bRrNKwbHDVktQG10isr5vbWRtt5spIZPpkOSWgbT5ug/edit?usp=sharing"",""ศรีสะเกษ!R620"")+IMPORTRANGE(""https://doc"&amp;"s.google.com/spreadsheets/d/17P34_Ow5kFBfdQD0qspb2UuPX5zpi6WMrQzslghyvrI/edit?usp=sharing"",""สกลนคร!R620"")+IMPORTRANGE(""https://docs.google.com/spreadsheets/d/1yswqbM3-AEpThF3ZSUa1AcmHnmRTF1vlJ1CZGcJ8YuU/edit?usp=sharing"",""สุรินทร์!R620"")+IMPORTRANG"&amp;"E(""https://docs.google.com/spreadsheets/d/13JHU_EFbsQOUQ0JSQ3dWy1VTRosIWcDq6Nc99z2qzdc/edit?usp=sharing"",""หนองคาย!R620"")+IMPORTRANGE(""https://docs.google.com/spreadsheets/d/1Hx73zIEgVdDZZaYSTc46Dqv64atFhpr3GelxLbaIN8A/edit?usp=sharing"",""หนองบัวลำภู"&amp;"!R620"")+IMPORTRANGE(""https://docs.google.com/spreadsheets/d/1lFxr3ctmjFN90yc-xV6jrQ9Ty8BKYVBWnAZ15wcNIJc/edit?usp=sharing"",""อำนาจเจริญ!R620"")+IMPORTRANGE(""https://docs.google.com/spreadsheets/d/1gF7RJpRnL-1oyjyeWxs5SFWEH7y8ahOZsQlyp2A2e-A/edit?usp=s"&amp;"haring"",""อุดรธานี!R620"")+IMPORTRANGE(""https://docs.google.com/spreadsheets/d/1kfLP0j3INXRa8bTDpcEmoWewMBV61jlFlfzczfjWIgc/edit?usp=sharing"",""อุบลราชธานี!R620"")"),0)</f>
        <v>0</v>
      </c>
      <c r="S620" s="60">
        <f ca="1">IFERROR(__xludf.DUMMYFUNCTION("IMPORTRANGE(""https://docs.google.com/spreadsheets/d/1yhBcrRPreicbMKl9Bu_Snb2-OcQAF62RKfhTLhJ2eAA/edit?usp=sharing"",""กาฬสินธุ์!S620"")+IMPORTRANGE(""https://docs.google.com/spreadsheets/d/1aHkj4IaQMThhwWwevcOymEh837vdxeC_PycurhTbGFA/edit?usp=sharing"","&amp;"""ขอนแก่น!S620"")+IMPORTRANGE(""https://docs.google.com/spreadsheets/d/1FvTu2DsIWUjP6WCWra38Bkj_oOl_sOMf14r5Fg5srxU/edit?usp=sharing"",""ชัยภูมิ!S620"")+IMPORTRANGE(""https://docs.google.com/spreadsheets/d/1XVB7oCJ3pr-vBUdflwPQ8Z2LlzhnCvZaaYjAfP-647E/edit"&amp;"?usp=sharing"",""นครพนม!S620"")+IMPORTRANGE(""https://docs.google.com/spreadsheets/d/1Mnpb-8PYAgn85W6KOTD40hc_Xc55CaLfHoGAbrZ8tls/edit?usp=sharing"",""นครราชสีมา!S620"")+IMPORTRANGE(""https://docs.google.com/spreadsheets/d/1xoDLGBv9CYbyosIhki0kTq6IpYNj-gp"&amp;"jxfobnaDiut0/edit?usp=sharing"",""บึงกาฬ!S620"")+IMPORTRANGE(""https://docs.google.com/spreadsheets/d/1MMPq-JyI6DSgQETxuSiXkesP-P7JHuemnE6QJIa-Nlw/edit?usp=sharing"",""บุรีรัมย์!S620"")+IMPORTRANGE(""https://docs.google.com/spreadsheets/d/1l6IZ8xUPgMrESzc"&amp;"TYwhA1k_tPjeQjJPTqlm8Gd9eU5g/edit?usp=sharing"",""มหาสารคาม!S620"")+IMPORTRANGE(""https://docs.google.com/spreadsheets/d/1uB74YLqNjWX6FObjekfB2NtSYigTQyR2rq9u4Ub2Sq4/edit?usp=sharing"",""มุกดาหาร!S620"")+IMPORTRANGE(""https://docs.google.com/spreadsheets/"&amp;"d/1NexK3geCPxCTO1fzNF8dPec7yZyUx3OaWkFBC9HsQOo/edit?usp=sharing"",""ยโสธร!S620"")+IMPORTRANGE(""https://docs.google.com/spreadsheets/d/1v_cJrbBlyqmnHPReHk44g9NrMRdENNlSy_E_c5M9fIg/edit?usp=sharing"",""ร้อยเอ็ด!S620"")+IMPORTRANGE(""https://docs.google.com"&amp;"/spreadsheets/d/1Ul4RCpCX66NxYADU1QpwAPjOmBzW64SsT11s1wzXw_c/edit?usp=sharing"",""เลย!S620"")+IMPORTRANGE(""https://docs.google.com/spreadsheets/d/1bRrNKwbHDVktQG10isr5vbWRtt5spIZPpkOSWgbT5ug/edit?usp=sharing"",""ศรีสะเกษ!S620"")+IMPORTRANGE(""https://doc"&amp;"s.google.com/spreadsheets/d/17P34_Ow5kFBfdQD0qspb2UuPX5zpi6WMrQzslghyvrI/edit?usp=sharing"",""สกลนคร!S620"")+IMPORTRANGE(""https://docs.google.com/spreadsheets/d/1yswqbM3-AEpThF3ZSUa1AcmHnmRTF1vlJ1CZGcJ8YuU/edit?usp=sharing"",""สุรินทร์!S620"")+IMPORTRANG"&amp;"E(""https://docs.google.com/spreadsheets/d/13JHU_EFbsQOUQ0JSQ3dWy1VTRosIWcDq6Nc99z2qzdc/edit?usp=sharing"",""หนองคาย!S620"")+IMPORTRANGE(""https://docs.google.com/spreadsheets/d/1Hx73zIEgVdDZZaYSTc46Dqv64atFhpr3GelxLbaIN8A/edit?usp=sharing"",""หนองบัวลำภู"&amp;"!S620"")+IMPORTRANGE(""https://docs.google.com/spreadsheets/d/1lFxr3ctmjFN90yc-xV6jrQ9Ty8BKYVBWnAZ15wcNIJc/edit?usp=sharing"",""อำนาจเจริญ!S620"")+IMPORTRANGE(""https://docs.google.com/spreadsheets/d/1gF7RJpRnL-1oyjyeWxs5SFWEH7y8ahOZsQlyp2A2e-A/edit?usp=s"&amp;"haring"",""อุดรธานี!S620"")+IMPORTRANGE(""https://docs.google.com/spreadsheets/d/1kfLP0j3INXRa8bTDpcEmoWewMBV61jlFlfzczfjWIgc/edit?usp=sharing"",""อุบลราชธานี!S620"")"),0)</f>
        <v>0</v>
      </c>
      <c r="T620" s="59">
        <f t="shared" ca="1" si="441"/>
        <v>0</v>
      </c>
      <c r="U620" s="59">
        <f t="shared" ca="1" si="442"/>
        <v>0</v>
      </c>
    </row>
    <row r="621" spans="1:21" ht="18.75">
      <c r="A621" s="155"/>
      <c r="B621" s="188"/>
      <c r="C621" s="188"/>
      <c r="D621" s="174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56">
        <f ca="1">IFERROR(__xludf.DUMMYFUNCTION("IMPORTRANGE(""https://docs.google.com/spreadsheets/d/1yhBcrRPreicbMKl9Bu_Snb2-OcQAF62RKfhTLhJ2eAA/edit?usp=sharing"",""กาฬสินธุ์!L621"")+IMPORTRANGE(""https://docs.google.com/spreadsheets/d/1aHkj4IaQMThhwWwevcOymEh837vdxeC_PycurhTbGFA/edit?usp=sharing"","&amp;"""ขอนแก่น!L621"")+IMPORTRANGE(""https://docs.google.com/spreadsheets/d/1FvTu2DsIWUjP6WCWra38Bkj_oOl_sOMf14r5Fg5srxU/edit?usp=sharing"",""ชัยภูมิ!L621"")+IMPORTRANGE(""https://docs.google.com/spreadsheets/d/1XVB7oCJ3pr-vBUdflwPQ8Z2LlzhnCvZaaYjAfP-647E/edit"&amp;"?usp=sharing"",""นครพนม!L621"")+IMPORTRANGE(""https://docs.google.com/spreadsheets/d/1Mnpb-8PYAgn85W6KOTD40hc_Xc55CaLfHoGAbrZ8tls/edit?usp=sharing"",""นครราชสีมา!L621"")+IMPORTRANGE(""https://docs.google.com/spreadsheets/d/1xoDLGBv9CYbyosIhki0kTq6IpYNj-gp"&amp;"jxfobnaDiut0/edit?usp=sharing"",""บึงกาฬ!L621"")+IMPORTRANGE(""https://docs.google.com/spreadsheets/d/1MMPq-JyI6DSgQETxuSiXkesP-P7JHuemnE6QJIa-Nlw/edit?usp=sharing"",""บุรีรัมย์!L621"")+IMPORTRANGE(""https://docs.google.com/spreadsheets/d/1l6IZ8xUPgMrESzc"&amp;"TYwhA1k_tPjeQjJPTqlm8Gd9eU5g/edit?usp=sharing"",""มหาสารคาม!L621"")+IMPORTRANGE(""https://docs.google.com/spreadsheets/d/1uB74YLqNjWX6FObjekfB2NtSYigTQyR2rq9u4Ub2Sq4/edit?usp=sharing"",""มุกดาหาร!L621"")+IMPORTRANGE(""https://docs.google.com/spreadsheets/"&amp;"d/1NexK3geCPxCTO1fzNF8dPec7yZyUx3OaWkFBC9HsQOo/edit?usp=sharing"",""ยโสธร!L621"")+IMPORTRANGE(""https://docs.google.com/spreadsheets/d/1v_cJrbBlyqmnHPReHk44g9NrMRdENNlSy_E_c5M9fIg/edit?usp=sharing"",""ร้อยเอ็ด!L621"")+IMPORTRANGE(""https://docs.google.com"&amp;"/spreadsheets/d/1Ul4RCpCX66NxYADU1QpwAPjOmBzW64SsT11s1wzXw_c/edit?usp=sharing"",""เลย!L621"")+IMPORTRANGE(""https://docs.google.com/spreadsheets/d/1bRrNKwbHDVktQG10isr5vbWRtt5spIZPpkOSWgbT5ug/edit?usp=sharing"",""ศรีสะเกษ!L621"")+IMPORTRANGE(""https://doc"&amp;"s.google.com/spreadsheets/d/17P34_Ow5kFBfdQD0qspb2UuPX5zpi6WMrQzslghyvrI/edit?usp=sharing"",""สกลนคร!L621"")+IMPORTRANGE(""https://docs.google.com/spreadsheets/d/1yswqbM3-AEpThF3ZSUa1AcmHnmRTF1vlJ1CZGcJ8YuU/edit?usp=sharing"",""สุรินทร์!L621"")+IMPORTRANG"&amp;"E(""https://docs.google.com/spreadsheets/d/13JHU_EFbsQOUQ0JSQ3dWy1VTRosIWcDq6Nc99z2qzdc/edit?usp=sharing"",""หนองคาย!L621"")+IMPORTRANGE(""https://docs.google.com/spreadsheets/d/1Hx73zIEgVdDZZaYSTc46Dqv64atFhpr3GelxLbaIN8A/edit?usp=sharing"",""หนองบัวลำภู"&amp;"!L621"")+IMPORTRANGE(""https://docs.google.com/spreadsheets/d/1lFxr3ctmjFN90yc-xV6jrQ9Ty8BKYVBWnAZ15wcNIJc/edit?usp=sharing"",""อำนาจเจริญ!L621"")+IMPORTRANGE(""https://docs.google.com/spreadsheets/d/1gF7RJpRnL-1oyjyeWxs5SFWEH7y8ahOZsQlyp2A2e-A/edit?usp=s"&amp;"haring"",""อุดรธานี!L621"")+IMPORTRANGE(""https://docs.google.com/spreadsheets/d/1kfLP0j3INXRa8bTDpcEmoWewMBV61jlFlfzczfjWIgc/edit?usp=sharing"",""อุบลราชธานี!L621"")"),0)</f>
        <v>0</v>
      </c>
      <c r="M621" s="56">
        <f ca="1">IFERROR(__xludf.DUMMYFUNCTION("IMPORTRANGE(""https://docs.google.com/spreadsheets/d/1yhBcrRPreicbMKl9Bu_Snb2-OcQAF62RKfhTLhJ2eAA/edit?usp=sharing"",""กาฬสินธุ์!M621"")+IMPORTRANGE(""https://docs.google.com/spreadsheets/d/1aHkj4IaQMThhwWwevcOymEh837vdxeC_PycurhTbGFA/edit?usp=sharing"","&amp;"""ขอนแก่น!M621"")+IMPORTRANGE(""https://docs.google.com/spreadsheets/d/1FvTu2DsIWUjP6WCWra38Bkj_oOl_sOMf14r5Fg5srxU/edit?usp=sharing"",""ชัยภูมิ!M621"")+IMPORTRANGE(""https://docs.google.com/spreadsheets/d/1XVB7oCJ3pr-vBUdflwPQ8Z2LlzhnCvZaaYjAfP-647E/edit"&amp;"?usp=sharing"",""นครพนม!M621"")+IMPORTRANGE(""https://docs.google.com/spreadsheets/d/1Mnpb-8PYAgn85W6KOTD40hc_Xc55CaLfHoGAbrZ8tls/edit?usp=sharing"",""นครราชสีมา!M621"")+IMPORTRANGE(""https://docs.google.com/spreadsheets/d/1xoDLGBv9CYbyosIhki0kTq6IpYNj-gp"&amp;"jxfobnaDiut0/edit?usp=sharing"",""บึงกาฬ!M621"")+IMPORTRANGE(""https://docs.google.com/spreadsheets/d/1MMPq-JyI6DSgQETxuSiXkesP-P7JHuemnE6QJIa-Nlw/edit?usp=sharing"",""บุรีรัมย์!M621"")+IMPORTRANGE(""https://docs.google.com/spreadsheets/d/1l6IZ8xUPgMrESzc"&amp;"TYwhA1k_tPjeQjJPTqlm8Gd9eU5g/edit?usp=sharing"",""มหาสารคาม!M621"")+IMPORTRANGE(""https://docs.google.com/spreadsheets/d/1uB74YLqNjWX6FObjekfB2NtSYigTQyR2rq9u4Ub2Sq4/edit?usp=sharing"",""มุกดาหาร!M621"")+IMPORTRANGE(""https://docs.google.com/spreadsheets/"&amp;"d/1NexK3geCPxCTO1fzNF8dPec7yZyUx3OaWkFBC9HsQOo/edit?usp=sharing"",""ยโสธร!M621"")+IMPORTRANGE(""https://docs.google.com/spreadsheets/d/1v_cJrbBlyqmnHPReHk44g9NrMRdENNlSy_E_c5M9fIg/edit?usp=sharing"",""ร้อยเอ็ด!M621"")+IMPORTRANGE(""https://docs.google.com"&amp;"/spreadsheets/d/1Ul4RCpCX66NxYADU1QpwAPjOmBzW64SsT11s1wzXw_c/edit?usp=sharing"",""เลย!M621"")+IMPORTRANGE(""https://docs.google.com/spreadsheets/d/1bRrNKwbHDVktQG10isr5vbWRtt5spIZPpkOSWgbT5ug/edit?usp=sharing"",""ศรีสะเกษ!M621"")+IMPORTRANGE(""https://doc"&amp;"s.google.com/spreadsheets/d/17P34_Ow5kFBfdQD0qspb2UuPX5zpi6WMrQzslghyvrI/edit?usp=sharing"",""สกลนคร!M621"")+IMPORTRANGE(""https://docs.google.com/spreadsheets/d/1yswqbM3-AEpThF3ZSUa1AcmHnmRTF1vlJ1CZGcJ8YuU/edit?usp=sharing"",""สุรินทร์!M621"")+IMPORTRANG"&amp;"E(""https://docs.google.com/spreadsheets/d/13JHU_EFbsQOUQ0JSQ3dWy1VTRosIWcDq6Nc99z2qzdc/edit?usp=sharing"",""หนองคาย!M621"")+IMPORTRANGE(""https://docs.google.com/spreadsheets/d/1Hx73zIEgVdDZZaYSTc46Dqv64atFhpr3GelxLbaIN8A/edit?usp=sharing"",""หนองบัวลำภู"&amp;"!M621"")+IMPORTRANGE(""https://docs.google.com/spreadsheets/d/1lFxr3ctmjFN90yc-xV6jrQ9Ty8BKYVBWnAZ15wcNIJc/edit?usp=sharing"",""อำนาจเจริญ!M621"")+IMPORTRANGE(""https://docs.google.com/spreadsheets/d/1gF7RJpRnL-1oyjyeWxs5SFWEH7y8ahOZsQlyp2A2e-A/edit?usp=s"&amp;"haring"",""อุดรธานี!M621"")+IMPORTRANGE(""https://docs.google.com/spreadsheets/d/1kfLP0j3INXRa8bTDpcEmoWewMBV61jlFlfzczfjWIgc/edit?usp=sharing"",""อุบลราชธานี!M621"")"),0)</f>
        <v>0</v>
      </c>
      <c r="N621" s="56">
        <f ca="1">IFERROR(__xludf.DUMMYFUNCTION("IMPORTRANGE(""https://docs.google.com/spreadsheets/d/1yhBcrRPreicbMKl9Bu_Snb2-OcQAF62RKfhTLhJ2eAA/edit?usp=sharing"",""กาฬสินธุ์!N621"")+IMPORTRANGE(""https://docs.google.com/spreadsheets/d/1aHkj4IaQMThhwWwevcOymEh837vdxeC_PycurhTbGFA/edit?usp=sharing"","&amp;"""ขอนแก่น!N621"")+IMPORTRANGE(""https://docs.google.com/spreadsheets/d/1FvTu2DsIWUjP6WCWra38Bkj_oOl_sOMf14r5Fg5srxU/edit?usp=sharing"",""ชัยภูมิ!N621"")+IMPORTRANGE(""https://docs.google.com/spreadsheets/d/1XVB7oCJ3pr-vBUdflwPQ8Z2LlzhnCvZaaYjAfP-647E/edit"&amp;"?usp=sharing"",""นครพนม!N621"")+IMPORTRANGE(""https://docs.google.com/spreadsheets/d/1Mnpb-8PYAgn85W6KOTD40hc_Xc55CaLfHoGAbrZ8tls/edit?usp=sharing"",""นครราชสีมา!N621"")+IMPORTRANGE(""https://docs.google.com/spreadsheets/d/1xoDLGBv9CYbyosIhki0kTq6IpYNj-gp"&amp;"jxfobnaDiut0/edit?usp=sharing"",""บึงกาฬ!N621"")+IMPORTRANGE(""https://docs.google.com/spreadsheets/d/1MMPq-JyI6DSgQETxuSiXkesP-P7JHuemnE6QJIa-Nlw/edit?usp=sharing"",""บุรีรัมย์!N621"")+IMPORTRANGE(""https://docs.google.com/spreadsheets/d/1l6IZ8xUPgMrESzc"&amp;"TYwhA1k_tPjeQjJPTqlm8Gd9eU5g/edit?usp=sharing"",""มหาสารคาม!N621"")+IMPORTRANGE(""https://docs.google.com/spreadsheets/d/1uB74YLqNjWX6FObjekfB2NtSYigTQyR2rq9u4Ub2Sq4/edit?usp=sharing"",""มุกดาหาร!N621"")+IMPORTRANGE(""https://docs.google.com/spreadsheets/"&amp;"d/1NexK3geCPxCTO1fzNF8dPec7yZyUx3OaWkFBC9HsQOo/edit?usp=sharing"",""ยโสธร!N621"")+IMPORTRANGE(""https://docs.google.com/spreadsheets/d/1v_cJrbBlyqmnHPReHk44g9NrMRdENNlSy_E_c5M9fIg/edit?usp=sharing"",""ร้อยเอ็ด!N621"")+IMPORTRANGE(""https://docs.google.com"&amp;"/spreadsheets/d/1Ul4RCpCX66NxYADU1QpwAPjOmBzW64SsT11s1wzXw_c/edit?usp=sharing"",""เลย!N621"")+IMPORTRANGE(""https://docs.google.com/spreadsheets/d/1bRrNKwbHDVktQG10isr5vbWRtt5spIZPpkOSWgbT5ug/edit?usp=sharing"",""ศรีสะเกษ!N621"")+IMPORTRANGE(""https://doc"&amp;"s.google.com/spreadsheets/d/17P34_Ow5kFBfdQD0qspb2UuPX5zpi6WMrQzslghyvrI/edit?usp=sharing"",""สกลนคร!N621"")+IMPORTRANGE(""https://docs.google.com/spreadsheets/d/1yswqbM3-AEpThF3ZSUa1AcmHnmRTF1vlJ1CZGcJ8YuU/edit?usp=sharing"",""สุรินทร์!N621"")+IMPORTRANG"&amp;"E(""https://docs.google.com/spreadsheets/d/13JHU_EFbsQOUQ0JSQ3dWy1VTRosIWcDq6Nc99z2qzdc/edit?usp=sharing"",""หนองคาย!N621"")+IMPORTRANGE(""https://docs.google.com/spreadsheets/d/1Hx73zIEgVdDZZaYSTc46Dqv64atFhpr3GelxLbaIN8A/edit?usp=sharing"",""หนองบัวลำภู"&amp;"!N621"")+IMPORTRANGE(""https://docs.google.com/spreadsheets/d/1lFxr3ctmjFN90yc-xV6jrQ9Ty8BKYVBWnAZ15wcNIJc/edit?usp=sharing"",""อำนาจเจริญ!N621"")+IMPORTRANGE(""https://docs.google.com/spreadsheets/d/1gF7RJpRnL-1oyjyeWxs5SFWEH7y8ahOZsQlyp2A2e-A/edit?usp=s"&amp;"haring"",""อุดรธานี!N621"")+IMPORTRANGE(""https://docs.google.com/spreadsheets/d/1kfLP0j3INXRa8bTDpcEmoWewMBV61jlFlfzczfjWIgc/edit?usp=sharing"",""อุบลราชธานี!N621"")"),0)</f>
        <v>0</v>
      </c>
      <c r="O621" s="56">
        <f t="shared" ca="1" si="438"/>
        <v>0</v>
      </c>
      <c r="P621" s="56">
        <f t="shared" ca="1" si="439"/>
        <v>0</v>
      </c>
      <c r="Q621" s="56">
        <f ca="1">IFERROR(__xludf.DUMMYFUNCTION("IMPORTRANGE(""https://docs.google.com/spreadsheets/d/1yhBcrRPreicbMKl9Bu_Snb2-OcQAF62RKfhTLhJ2eAA/edit?usp=sharing"",""กาฬสินธุ์!Q621"")+IMPORTRANGE(""https://docs.google.com/spreadsheets/d/1aHkj4IaQMThhwWwevcOymEh837vdxeC_PycurhTbGFA/edit?usp=sharing"","&amp;"""ขอนแก่น!Q621"")+IMPORTRANGE(""https://docs.google.com/spreadsheets/d/1FvTu2DsIWUjP6WCWra38Bkj_oOl_sOMf14r5Fg5srxU/edit?usp=sharing"",""ชัยภูมิ!Q621"")+IMPORTRANGE(""https://docs.google.com/spreadsheets/d/1XVB7oCJ3pr-vBUdflwPQ8Z2LlzhnCvZaaYjAfP-647E/edit"&amp;"?usp=sharing"",""นครพนม!Q621"")+IMPORTRANGE(""https://docs.google.com/spreadsheets/d/1Mnpb-8PYAgn85W6KOTD40hc_Xc55CaLfHoGAbrZ8tls/edit?usp=sharing"",""นครราชสีมา!Q621"")+IMPORTRANGE(""https://docs.google.com/spreadsheets/d/1xoDLGBv9CYbyosIhki0kTq6IpYNj-gp"&amp;"jxfobnaDiut0/edit?usp=sharing"",""บึงกาฬ!Q621"")+IMPORTRANGE(""https://docs.google.com/spreadsheets/d/1MMPq-JyI6DSgQETxuSiXkesP-P7JHuemnE6QJIa-Nlw/edit?usp=sharing"",""บุรีรัมย์!Q621"")+IMPORTRANGE(""https://docs.google.com/spreadsheets/d/1l6IZ8xUPgMrESzc"&amp;"TYwhA1k_tPjeQjJPTqlm8Gd9eU5g/edit?usp=sharing"",""มหาสารคาม!Q621"")+IMPORTRANGE(""https://docs.google.com/spreadsheets/d/1uB74YLqNjWX6FObjekfB2NtSYigTQyR2rq9u4Ub2Sq4/edit?usp=sharing"",""มุกดาหาร!Q621"")+IMPORTRANGE(""https://docs.google.com/spreadsheets/"&amp;"d/1NexK3geCPxCTO1fzNF8dPec7yZyUx3OaWkFBC9HsQOo/edit?usp=sharing"",""ยโสธร!Q621"")+IMPORTRANGE(""https://docs.google.com/spreadsheets/d/1v_cJrbBlyqmnHPReHk44g9NrMRdENNlSy_E_c5M9fIg/edit?usp=sharing"",""ร้อยเอ็ด!Q621"")+IMPORTRANGE(""https://docs.google.com"&amp;"/spreadsheets/d/1Ul4RCpCX66NxYADU1QpwAPjOmBzW64SsT11s1wzXw_c/edit?usp=sharing"",""เลย!Q621"")+IMPORTRANGE(""https://docs.google.com/spreadsheets/d/1bRrNKwbHDVktQG10isr5vbWRtt5spIZPpkOSWgbT5ug/edit?usp=sharing"",""ศรีสะเกษ!Q621"")+IMPORTRANGE(""https://doc"&amp;"s.google.com/spreadsheets/d/17P34_Ow5kFBfdQD0qspb2UuPX5zpi6WMrQzslghyvrI/edit?usp=sharing"",""สกลนคร!Q621"")+IMPORTRANGE(""https://docs.google.com/spreadsheets/d/1yswqbM3-AEpThF3ZSUa1AcmHnmRTF1vlJ1CZGcJ8YuU/edit?usp=sharing"",""สุรินทร์!Q621"")+IMPORTRANG"&amp;"E(""https://docs.google.com/spreadsheets/d/13JHU_EFbsQOUQ0JSQ3dWy1VTRosIWcDq6Nc99z2qzdc/edit?usp=sharing"",""หนองคาย!Q621"")+IMPORTRANGE(""https://docs.google.com/spreadsheets/d/1Hx73zIEgVdDZZaYSTc46Dqv64atFhpr3GelxLbaIN8A/edit?usp=sharing"",""หนองบัวลำภู"&amp;"!Q621"")+IMPORTRANGE(""https://docs.google.com/spreadsheets/d/1lFxr3ctmjFN90yc-xV6jrQ9Ty8BKYVBWnAZ15wcNIJc/edit?usp=sharing"",""อำนาจเจริญ!Q621"")+IMPORTRANGE(""https://docs.google.com/spreadsheets/d/1gF7RJpRnL-1oyjyeWxs5SFWEH7y8ahOZsQlyp2A2e-A/edit?usp=s"&amp;"haring"",""อุดรธานี!Q621"")+IMPORTRANGE(""https://docs.google.com/spreadsheets/d/1kfLP0j3INXRa8bTDpcEmoWewMBV61jlFlfzczfjWIgc/edit?usp=sharing"",""อุบลราชธานี!Q621"")"),170750)</f>
        <v>170750</v>
      </c>
      <c r="R621" s="56">
        <f ca="1">IFERROR(__xludf.DUMMYFUNCTION("IMPORTRANGE(""https://docs.google.com/spreadsheets/d/1yhBcrRPreicbMKl9Bu_Snb2-OcQAF62RKfhTLhJ2eAA/edit?usp=sharing"",""กาฬสินธุ์!R621"")+IMPORTRANGE(""https://docs.google.com/spreadsheets/d/1aHkj4IaQMThhwWwevcOymEh837vdxeC_PycurhTbGFA/edit?usp=sharing"","&amp;"""ขอนแก่น!R621"")+IMPORTRANGE(""https://docs.google.com/spreadsheets/d/1FvTu2DsIWUjP6WCWra38Bkj_oOl_sOMf14r5Fg5srxU/edit?usp=sharing"",""ชัยภูมิ!R621"")+IMPORTRANGE(""https://docs.google.com/spreadsheets/d/1XVB7oCJ3pr-vBUdflwPQ8Z2LlzhnCvZaaYjAfP-647E/edit"&amp;"?usp=sharing"",""นครพนม!R621"")+IMPORTRANGE(""https://docs.google.com/spreadsheets/d/1Mnpb-8PYAgn85W6KOTD40hc_Xc55CaLfHoGAbrZ8tls/edit?usp=sharing"",""นครราชสีมา!R621"")+IMPORTRANGE(""https://docs.google.com/spreadsheets/d/1xoDLGBv9CYbyosIhki0kTq6IpYNj-gp"&amp;"jxfobnaDiut0/edit?usp=sharing"",""บึงกาฬ!R621"")+IMPORTRANGE(""https://docs.google.com/spreadsheets/d/1MMPq-JyI6DSgQETxuSiXkesP-P7JHuemnE6QJIa-Nlw/edit?usp=sharing"",""บุรีรัมย์!R621"")+IMPORTRANGE(""https://docs.google.com/spreadsheets/d/1l6IZ8xUPgMrESzc"&amp;"TYwhA1k_tPjeQjJPTqlm8Gd9eU5g/edit?usp=sharing"",""มหาสารคาม!R621"")+IMPORTRANGE(""https://docs.google.com/spreadsheets/d/1uB74YLqNjWX6FObjekfB2NtSYigTQyR2rq9u4Ub2Sq4/edit?usp=sharing"",""มุกดาหาร!R621"")+IMPORTRANGE(""https://docs.google.com/spreadsheets/"&amp;"d/1NexK3geCPxCTO1fzNF8dPec7yZyUx3OaWkFBC9HsQOo/edit?usp=sharing"",""ยโสธร!R621"")+IMPORTRANGE(""https://docs.google.com/spreadsheets/d/1v_cJrbBlyqmnHPReHk44g9NrMRdENNlSy_E_c5M9fIg/edit?usp=sharing"",""ร้อยเอ็ด!R621"")+IMPORTRANGE(""https://docs.google.com"&amp;"/spreadsheets/d/1Ul4RCpCX66NxYADU1QpwAPjOmBzW64SsT11s1wzXw_c/edit?usp=sharing"",""เลย!R621"")+IMPORTRANGE(""https://docs.google.com/spreadsheets/d/1bRrNKwbHDVktQG10isr5vbWRtt5spIZPpkOSWgbT5ug/edit?usp=sharing"",""ศรีสะเกษ!R621"")+IMPORTRANGE(""https://doc"&amp;"s.google.com/spreadsheets/d/17P34_Ow5kFBfdQD0qspb2UuPX5zpi6WMrQzslghyvrI/edit?usp=sharing"",""สกลนคร!R621"")+IMPORTRANGE(""https://docs.google.com/spreadsheets/d/1yswqbM3-AEpThF3ZSUa1AcmHnmRTF1vlJ1CZGcJ8YuU/edit?usp=sharing"",""สุรินทร์!R621"")+IMPORTRANG"&amp;"E(""https://docs.google.com/spreadsheets/d/13JHU_EFbsQOUQ0JSQ3dWy1VTRosIWcDq6Nc99z2qzdc/edit?usp=sharing"",""หนองคาย!R621"")+IMPORTRANGE(""https://docs.google.com/spreadsheets/d/1Hx73zIEgVdDZZaYSTc46Dqv64atFhpr3GelxLbaIN8A/edit?usp=sharing"",""หนองบัวลำภู"&amp;"!R621"")+IMPORTRANGE(""https://docs.google.com/spreadsheets/d/1lFxr3ctmjFN90yc-xV6jrQ9Ty8BKYVBWnAZ15wcNIJc/edit?usp=sharing"",""อำนาจเจริญ!R621"")+IMPORTRANGE(""https://docs.google.com/spreadsheets/d/1gF7RJpRnL-1oyjyeWxs5SFWEH7y8ahOZsQlyp2A2e-A/edit?usp=s"&amp;"haring"",""อุดรธานี!R621"")+IMPORTRANGE(""https://docs.google.com/spreadsheets/d/1kfLP0j3INXRa8bTDpcEmoWewMBV61jlFlfzczfjWIgc/edit?usp=sharing"",""อุบลราชธานี!R621"")"),170750)</f>
        <v>170750</v>
      </c>
      <c r="S621" s="57">
        <f ca="1">IFERROR(__xludf.DUMMYFUNCTION("IMPORTRANGE(""https://docs.google.com/spreadsheets/d/1yhBcrRPreicbMKl9Bu_Snb2-OcQAF62RKfhTLhJ2eAA/edit?usp=sharing"",""กาฬสินธุ์!S621"")+IMPORTRANGE(""https://docs.google.com/spreadsheets/d/1aHkj4IaQMThhwWwevcOymEh837vdxeC_PycurhTbGFA/edit?usp=sharing"","&amp;"""ขอนแก่น!S621"")+IMPORTRANGE(""https://docs.google.com/spreadsheets/d/1FvTu2DsIWUjP6WCWra38Bkj_oOl_sOMf14r5Fg5srxU/edit?usp=sharing"",""ชัยภูมิ!S621"")+IMPORTRANGE(""https://docs.google.com/spreadsheets/d/1XVB7oCJ3pr-vBUdflwPQ8Z2LlzhnCvZaaYjAfP-647E/edit"&amp;"?usp=sharing"",""นครพนม!S621"")+IMPORTRANGE(""https://docs.google.com/spreadsheets/d/1Mnpb-8PYAgn85W6KOTD40hc_Xc55CaLfHoGAbrZ8tls/edit?usp=sharing"",""นครราชสีมา!S621"")+IMPORTRANGE(""https://docs.google.com/spreadsheets/d/1xoDLGBv9CYbyosIhki0kTq6IpYNj-gp"&amp;"jxfobnaDiut0/edit?usp=sharing"",""บึงกาฬ!S621"")+IMPORTRANGE(""https://docs.google.com/spreadsheets/d/1MMPq-JyI6DSgQETxuSiXkesP-P7JHuemnE6QJIa-Nlw/edit?usp=sharing"",""บุรีรัมย์!S621"")+IMPORTRANGE(""https://docs.google.com/spreadsheets/d/1l6IZ8xUPgMrESzc"&amp;"TYwhA1k_tPjeQjJPTqlm8Gd9eU5g/edit?usp=sharing"",""มหาสารคาม!S621"")+IMPORTRANGE(""https://docs.google.com/spreadsheets/d/1uB74YLqNjWX6FObjekfB2NtSYigTQyR2rq9u4Ub2Sq4/edit?usp=sharing"",""มุกดาหาร!S621"")+IMPORTRANGE(""https://docs.google.com/spreadsheets/"&amp;"d/1NexK3geCPxCTO1fzNF8dPec7yZyUx3OaWkFBC9HsQOo/edit?usp=sharing"",""ยโสธร!S621"")+IMPORTRANGE(""https://docs.google.com/spreadsheets/d/1v_cJrbBlyqmnHPReHk44g9NrMRdENNlSy_E_c5M9fIg/edit?usp=sharing"",""ร้อยเอ็ด!S621"")+IMPORTRANGE(""https://docs.google.com"&amp;"/spreadsheets/d/1Ul4RCpCX66NxYADU1QpwAPjOmBzW64SsT11s1wzXw_c/edit?usp=sharing"",""เลย!S621"")+IMPORTRANGE(""https://docs.google.com/spreadsheets/d/1bRrNKwbHDVktQG10isr5vbWRtt5spIZPpkOSWgbT5ug/edit?usp=sharing"",""ศรีสะเกษ!S621"")+IMPORTRANGE(""https://doc"&amp;"s.google.com/spreadsheets/d/17P34_Ow5kFBfdQD0qspb2UuPX5zpi6WMrQzslghyvrI/edit?usp=sharing"",""สกลนคร!S621"")+IMPORTRANGE(""https://docs.google.com/spreadsheets/d/1yswqbM3-AEpThF3ZSUa1AcmHnmRTF1vlJ1CZGcJ8YuU/edit?usp=sharing"",""สุรินทร์!S621"")+IMPORTRANG"&amp;"E(""https://docs.google.com/spreadsheets/d/13JHU_EFbsQOUQ0JSQ3dWy1VTRosIWcDq6Nc99z2qzdc/edit?usp=sharing"",""หนองคาย!S621"")+IMPORTRANGE(""https://docs.google.com/spreadsheets/d/1Hx73zIEgVdDZZaYSTc46Dqv64atFhpr3GelxLbaIN8A/edit?usp=sharing"",""หนองบัวลำภู"&amp;"!S621"")+IMPORTRANGE(""https://docs.google.com/spreadsheets/d/1lFxr3ctmjFN90yc-xV6jrQ9Ty8BKYVBWnAZ15wcNIJc/edit?usp=sharing"",""อำนาจเจริญ!S621"")+IMPORTRANGE(""https://docs.google.com/spreadsheets/d/1gF7RJpRnL-1oyjyeWxs5SFWEH7y8ahOZsQlyp2A2e-A/edit?usp=s"&amp;"haring"",""อุดรธานี!S621"")+IMPORTRANGE(""https://docs.google.com/spreadsheets/d/1kfLP0j3INXRa8bTDpcEmoWewMBV61jlFlfzczfjWIgc/edit?usp=sharing"",""อุบลราชธานี!S621"")"),6700)</f>
        <v>6700</v>
      </c>
      <c r="T621" s="56">
        <f t="shared" ca="1" si="441"/>
        <v>3.9238653001464128</v>
      </c>
      <c r="U621" s="56">
        <f t="shared" ca="1" si="442"/>
        <v>3.9238653001464128</v>
      </c>
    </row>
    <row r="622" spans="1:21" ht="18.75">
      <c r="A622" s="155"/>
      <c r="B622" s="188"/>
      <c r="C622" s="188"/>
      <c r="D622" s="51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56">
        <f t="shared" ref="L622:N622" ca="1" si="449">L623+L624</f>
        <v>0</v>
      </c>
      <c r="M622" s="56">
        <f t="shared" ca="1" si="449"/>
        <v>0</v>
      </c>
      <c r="N622" s="56">
        <f t="shared" ca="1" si="449"/>
        <v>0</v>
      </c>
      <c r="O622" s="56">
        <f t="shared" ca="1" si="438"/>
        <v>0</v>
      </c>
      <c r="P622" s="56">
        <f t="shared" ca="1" si="439"/>
        <v>0</v>
      </c>
      <c r="Q622" s="56">
        <f t="shared" ref="Q622:S622" ca="1" si="450">Q623+Q624</f>
        <v>0</v>
      </c>
      <c r="R622" s="56">
        <f t="shared" ca="1" si="450"/>
        <v>0</v>
      </c>
      <c r="S622" s="57">
        <f t="shared" ca="1" si="450"/>
        <v>0</v>
      </c>
      <c r="T622" s="56">
        <f t="shared" ca="1" si="441"/>
        <v>0</v>
      </c>
      <c r="U622" s="56">
        <f t="shared" ca="1" si="442"/>
        <v>0</v>
      </c>
    </row>
    <row r="623" spans="1:21" ht="18.75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59">
        <f ca="1">IFERROR(__xludf.DUMMYFUNCTION("IMPORTRANGE(""https://docs.google.com/spreadsheets/d/1yhBcrRPreicbMKl9Bu_Snb2-OcQAF62RKfhTLhJ2eAA/edit?usp=sharing"",""กาฬสินธุ์!L623"")+IMPORTRANGE(""https://docs.google.com/spreadsheets/d/1aHkj4IaQMThhwWwevcOymEh837vdxeC_PycurhTbGFA/edit?usp=sharing"","&amp;"""ขอนแก่น!L623"")+IMPORTRANGE(""https://docs.google.com/spreadsheets/d/1FvTu2DsIWUjP6WCWra38Bkj_oOl_sOMf14r5Fg5srxU/edit?usp=sharing"",""ชัยภูมิ!L623"")+IMPORTRANGE(""https://docs.google.com/spreadsheets/d/1XVB7oCJ3pr-vBUdflwPQ8Z2LlzhnCvZaaYjAfP-647E/edit"&amp;"?usp=sharing"",""นครพนม!L623"")+IMPORTRANGE(""https://docs.google.com/spreadsheets/d/1Mnpb-8PYAgn85W6KOTD40hc_Xc55CaLfHoGAbrZ8tls/edit?usp=sharing"",""นครราชสีมา!L623"")+IMPORTRANGE(""https://docs.google.com/spreadsheets/d/1xoDLGBv9CYbyosIhki0kTq6IpYNj-gp"&amp;"jxfobnaDiut0/edit?usp=sharing"",""บึงกาฬ!L623"")+IMPORTRANGE(""https://docs.google.com/spreadsheets/d/1MMPq-JyI6DSgQETxuSiXkesP-P7JHuemnE6QJIa-Nlw/edit?usp=sharing"",""บุรีรัมย์!L623"")+IMPORTRANGE(""https://docs.google.com/spreadsheets/d/1l6IZ8xUPgMrESzc"&amp;"TYwhA1k_tPjeQjJPTqlm8Gd9eU5g/edit?usp=sharing"",""มหาสารคาม!L623"")+IMPORTRANGE(""https://docs.google.com/spreadsheets/d/1uB74YLqNjWX6FObjekfB2NtSYigTQyR2rq9u4Ub2Sq4/edit?usp=sharing"",""มุกดาหาร!L623"")+IMPORTRANGE(""https://docs.google.com/spreadsheets/"&amp;"d/1NexK3geCPxCTO1fzNF8dPec7yZyUx3OaWkFBC9HsQOo/edit?usp=sharing"",""ยโสธร!L623"")+IMPORTRANGE(""https://docs.google.com/spreadsheets/d/1v_cJrbBlyqmnHPReHk44g9NrMRdENNlSy_E_c5M9fIg/edit?usp=sharing"",""ร้อยเอ็ด!L623"")+IMPORTRANGE(""https://docs.google.com"&amp;"/spreadsheets/d/1Ul4RCpCX66NxYADU1QpwAPjOmBzW64SsT11s1wzXw_c/edit?usp=sharing"",""เลย!L623"")+IMPORTRANGE(""https://docs.google.com/spreadsheets/d/1bRrNKwbHDVktQG10isr5vbWRtt5spIZPpkOSWgbT5ug/edit?usp=sharing"",""ศรีสะเกษ!L623"")+IMPORTRANGE(""https://doc"&amp;"s.google.com/spreadsheets/d/17P34_Ow5kFBfdQD0qspb2UuPX5zpi6WMrQzslghyvrI/edit?usp=sharing"",""สกลนคร!L623"")+IMPORTRANGE(""https://docs.google.com/spreadsheets/d/1yswqbM3-AEpThF3ZSUa1AcmHnmRTF1vlJ1CZGcJ8YuU/edit?usp=sharing"",""สุรินทร์!L623"")+IMPORTRANG"&amp;"E(""https://docs.google.com/spreadsheets/d/13JHU_EFbsQOUQ0JSQ3dWy1VTRosIWcDq6Nc99z2qzdc/edit?usp=sharing"",""หนองคาย!L623"")+IMPORTRANGE(""https://docs.google.com/spreadsheets/d/1Hx73zIEgVdDZZaYSTc46Dqv64atFhpr3GelxLbaIN8A/edit?usp=sharing"",""หนองบัวลำภู"&amp;"!L623"")+IMPORTRANGE(""https://docs.google.com/spreadsheets/d/1lFxr3ctmjFN90yc-xV6jrQ9Ty8BKYVBWnAZ15wcNIJc/edit?usp=sharing"",""อำนาจเจริญ!L623"")+IMPORTRANGE(""https://docs.google.com/spreadsheets/d/1gF7RJpRnL-1oyjyeWxs5SFWEH7y8ahOZsQlyp2A2e-A/edit?usp=s"&amp;"haring"",""อุดรธานี!L623"")+IMPORTRANGE(""https://docs.google.com/spreadsheets/d/1kfLP0j3INXRa8bTDpcEmoWewMBV61jlFlfzczfjWIgc/edit?usp=sharing"",""อุบลราชธานี!L623"")"),0)</f>
        <v>0</v>
      </c>
      <c r="M623" s="59">
        <f ca="1">IFERROR(__xludf.DUMMYFUNCTION("IMPORTRANGE(""https://docs.google.com/spreadsheets/d/1yhBcrRPreicbMKl9Bu_Snb2-OcQAF62RKfhTLhJ2eAA/edit?usp=sharing"",""กาฬสินธุ์!M623"")+IMPORTRANGE(""https://docs.google.com/spreadsheets/d/1aHkj4IaQMThhwWwevcOymEh837vdxeC_PycurhTbGFA/edit?usp=sharing"","&amp;"""ขอนแก่น!M623"")+IMPORTRANGE(""https://docs.google.com/spreadsheets/d/1FvTu2DsIWUjP6WCWra38Bkj_oOl_sOMf14r5Fg5srxU/edit?usp=sharing"",""ชัยภูมิ!M623"")+IMPORTRANGE(""https://docs.google.com/spreadsheets/d/1XVB7oCJ3pr-vBUdflwPQ8Z2LlzhnCvZaaYjAfP-647E/edit"&amp;"?usp=sharing"",""นครพนม!M623"")+IMPORTRANGE(""https://docs.google.com/spreadsheets/d/1Mnpb-8PYAgn85W6KOTD40hc_Xc55CaLfHoGAbrZ8tls/edit?usp=sharing"",""นครราชสีมา!M623"")+IMPORTRANGE(""https://docs.google.com/spreadsheets/d/1xoDLGBv9CYbyosIhki0kTq6IpYNj-gp"&amp;"jxfobnaDiut0/edit?usp=sharing"",""บึงกาฬ!M623"")+IMPORTRANGE(""https://docs.google.com/spreadsheets/d/1MMPq-JyI6DSgQETxuSiXkesP-P7JHuemnE6QJIa-Nlw/edit?usp=sharing"",""บุรีรัมย์!M623"")+IMPORTRANGE(""https://docs.google.com/spreadsheets/d/1l6IZ8xUPgMrESzc"&amp;"TYwhA1k_tPjeQjJPTqlm8Gd9eU5g/edit?usp=sharing"",""มหาสารคาม!M623"")+IMPORTRANGE(""https://docs.google.com/spreadsheets/d/1uB74YLqNjWX6FObjekfB2NtSYigTQyR2rq9u4Ub2Sq4/edit?usp=sharing"",""มุกดาหาร!M623"")+IMPORTRANGE(""https://docs.google.com/spreadsheets/"&amp;"d/1NexK3geCPxCTO1fzNF8dPec7yZyUx3OaWkFBC9HsQOo/edit?usp=sharing"",""ยโสธร!M623"")+IMPORTRANGE(""https://docs.google.com/spreadsheets/d/1v_cJrbBlyqmnHPReHk44g9NrMRdENNlSy_E_c5M9fIg/edit?usp=sharing"",""ร้อยเอ็ด!M623"")+IMPORTRANGE(""https://docs.google.com"&amp;"/spreadsheets/d/1Ul4RCpCX66NxYADU1QpwAPjOmBzW64SsT11s1wzXw_c/edit?usp=sharing"",""เลย!M623"")+IMPORTRANGE(""https://docs.google.com/spreadsheets/d/1bRrNKwbHDVktQG10isr5vbWRtt5spIZPpkOSWgbT5ug/edit?usp=sharing"",""ศรีสะเกษ!M623"")+IMPORTRANGE(""https://doc"&amp;"s.google.com/spreadsheets/d/17P34_Ow5kFBfdQD0qspb2UuPX5zpi6WMrQzslghyvrI/edit?usp=sharing"",""สกลนคร!M623"")+IMPORTRANGE(""https://docs.google.com/spreadsheets/d/1yswqbM3-AEpThF3ZSUa1AcmHnmRTF1vlJ1CZGcJ8YuU/edit?usp=sharing"",""สุรินทร์!M623"")+IMPORTRANG"&amp;"E(""https://docs.google.com/spreadsheets/d/13JHU_EFbsQOUQ0JSQ3dWy1VTRosIWcDq6Nc99z2qzdc/edit?usp=sharing"",""หนองคาย!M623"")+IMPORTRANGE(""https://docs.google.com/spreadsheets/d/1Hx73zIEgVdDZZaYSTc46Dqv64atFhpr3GelxLbaIN8A/edit?usp=sharing"",""หนองบัวลำภู"&amp;"!M623"")+IMPORTRANGE(""https://docs.google.com/spreadsheets/d/1lFxr3ctmjFN90yc-xV6jrQ9Ty8BKYVBWnAZ15wcNIJc/edit?usp=sharing"",""อำนาจเจริญ!M623"")+IMPORTRANGE(""https://docs.google.com/spreadsheets/d/1gF7RJpRnL-1oyjyeWxs5SFWEH7y8ahOZsQlyp2A2e-A/edit?usp=s"&amp;"haring"",""อุดรธานี!M623"")+IMPORTRANGE(""https://docs.google.com/spreadsheets/d/1kfLP0j3INXRa8bTDpcEmoWewMBV61jlFlfzczfjWIgc/edit?usp=sharing"",""อุบลราชธานี!M623"")"),0)</f>
        <v>0</v>
      </c>
      <c r="N623" s="59">
        <f ca="1">IFERROR(__xludf.DUMMYFUNCTION("IMPORTRANGE(""https://docs.google.com/spreadsheets/d/1yhBcrRPreicbMKl9Bu_Snb2-OcQAF62RKfhTLhJ2eAA/edit?usp=sharing"",""กาฬสินธุ์!N623"")+IMPORTRANGE(""https://docs.google.com/spreadsheets/d/1aHkj4IaQMThhwWwevcOymEh837vdxeC_PycurhTbGFA/edit?usp=sharing"","&amp;"""ขอนแก่น!N623"")+IMPORTRANGE(""https://docs.google.com/spreadsheets/d/1FvTu2DsIWUjP6WCWra38Bkj_oOl_sOMf14r5Fg5srxU/edit?usp=sharing"",""ชัยภูมิ!N623"")+IMPORTRANGE(""https://docs.google.com/spreadsheets/d/1XVB7oCJ3pr-vBUdflwPQ8Z2LlzhnCvZaaYjAfP-647E/edit"&amp;"?usp=sharing"",""นครพนม!N623"")+IMPORTRANGE(""https://docs.google.com/spreadsheets/d/1Mnpb-8PYAgn85W6KOTD40hc_Xc55CaLfHoGAbrZ8tls/edit?usp=sharing"",""นครราชสีมา!N623"")+IMPORTRANGE(""https://docs.google.com/spreadsheets/d/1xoDLGBv9CYbyosIhki0kTq6IpYNj-gp"&amp;"jxfobnaDiut0/edit?usp=sharing"",""บึงกาฬ!N623"")+IMPORTRANGE(""https://docs.google.com/spreadsheets/d/1MMPq-JyI6DSgQETxuSiXkesP-P7JHuemnE6QJIa-Nlw/edit?usp=sharing"",""บุรีรัมย์!N623"")+IMPORTRANGE(""https://docs.google.com/spreadsheets/d/1l6IZ8xUPgMrESzc"&amp;"TYwhA1k_tPjeQjJPTqlm8Gd9eU5g/edit?usp=sharing"",""มหาสารคาม!N623"")+IMPORTRANGE(""https://docs.google.com/spreadsheets/d/1uB74YLqNjWX6FObjekfB2NtSYigTQyR2rq9u4Ub2Sq4/edit?usp=sharing"",""มุกดาหาร!N623"")+IMPORTRANGE(""https://docs.google.com/spreadsheets/"&amp;"d/1NexK3geCPxCTO1fzNF8dPec7yZyUx3OaWkFBC9HsQOo/edit?usp=sharing"",""ยโสธร!N623"")+IMPORTRANGE(""https://docs.google.com/spreadsheets/d/1v_cJrbBlyqmnHPReHk44g9NrMRdENNlSy_E_c5M9fIg/edit?usp=sharing"",""ร้อยเอ็ด!N623"")+IMPORTRANGE(""https://docs.google.com"&amp;"/spreadsheets/d/1Ul4RCpCX66NxYADU1QpwAPjOmBzW64SsT11s1wzXw_c/edit?usp=sharing"",""เลย!N623"")+IMPORTRANGE(""https://docs.google.com/spreadsheets/d/1bRrNKwbHDVktQG10isr5vbWRtt5spIZPpkOSWgbT5ug/edit?usp=sharing"",""ศรีสะเกษ!N623"")+IMPORTRANGE(""https://doc"&amp;"s.google.com/spreadsheets/d/17P34_Ow5kFBfdQD0qspb2UuPX5zpi6WMrQzslghyvrI/edit?usp=sharing"",""สกลนคร!N623"")+IMPORTRANGE(""https://docs.google.com/spreadsheets/d/1yswqbM3-AEpThF3ZSUa1AcmHnmRTF1vlJ1CZGcJ8YuU/edit?usp=sharing"",""สุรินทร์!N623"")+IMPORTRANG"&amp;"E(""https://docs.google.com/spreadsheets/d/13JHU_EFbsQOUQ0JSQ3dWy1VTRosIWcDq6Nc99z2qzdc/edit?usp=sharing"",""หนองคาย!N623"")+IMPORTRANGE(""https://docs.google.com/spreadsheets/d/1Hx73zIEgVdDZZaYSTc46Dqv64atFhpr3GelxLbaIN8A/edit?usp=sharing"",""หนองบัวลำภู"&amp;"!N623"")+IMPORTRANGE(""https://docs.google.com/spreadsheets/d/1lFxr3ctmjFN90yc-xV6jrQ9Ty8BKYVBWnAZ15wcNIJc/edit?usp=sharing"",""อำนาจเจริญ!N623"")+IMPORTRANGE(""https://docs.google.com/spreadsheets/d/1gF7RJpRnL-1oyjyeWxs5SFWEH7y8ahOZsQlyp2A2e-A/edit?usp=s"&amp;"haring"",""อุดรธานี!N623"")+IMPORTRANGE(""https://docs.google.com/spreadsheets/d/1kfLP0j3INXRa8bTDpcEmoWewMBV61jlFlfzczfjWIgc/edit?usp=sharing"",""อุบลราชธานี!N623"")"),0)</f>
        <v>0</v>
      </c>
      <c r="O623" s="59">
        <f t="shared" ca="1" si="438"/>
        <v>0</v>
      </c>
      <c r="P623" s="59">
        <f t="shared" ca="1" si="439"/>
        <v>0</v>
      </c>
      <c r="Q623" s="59">
        <f ca="1">IFERROR(__xludf.DUMMYFUNCTION("IMPORTRANGE(""https://docs.google.com/spreadsheets/d/1yhBcrRPreicbMKl9Bu_Snb2-OcQAF62RKfhTLhJ2eAA/edit?usp=sharing"",""กาฬสินธุ์!Q623"")+IMPORTRANGE(""https://docs.google.com/spreadsheets/d/1aHkj4IaQMThhwWwevcOymEh837vdxeC_PycurhTbGFA/edit?usp=sharing"","&amp;"""ขอนแก่น!Q623"")+IMPORTRANGE(""https://docs.google.com/spreadsheets/d/1FvTu2DsIWUjP6WCWra38Bkj_oOl_sOMf14r5Fg5srxU/edit?usp=sharing"",""ชัยภูมิ!Q623"")+IMPORTRANGE(""https://docs.google.com/spreadsheets/d/1XVB7oCJ3pr-vBUdflwPQ8Z2LlzhnCvZaaYjAfP-647E/edit"&amp;"?usp=sharing"",""นครพนม!Q623"")+IMPORTRANGE(""https://docs.google.com/spreadsheets/d/1Mnpb-8PYAgn85W6KOTD40hc_Xc55CaLfHoGAbrZ8tls/edit?usp=sharing"",""นครราชสีมา!Q623"")+IMPORTRANGE(""https://docs.google.com/spreadsheets/d/1xoDLGBv9CYbyosIhki0kTq6IpYNj-gp"&amp;"jxfobnaDiut0/edit?usp=sharing"",""บึงกาฬ!Q623"")+IMPORTRANGE(""https://docs.google.com/spreadsheets/d/1MMPq-JyI6DSgQETxuSiXkesP-P7JHuemnE6QJIa-Nlw/edit?usp=sharing"",""บุรีรัมย์!Q623"")+IMPORTRANGE(""https://docs.google.com/spreadsheets/d/1l6IZ8xUPgMrESzc"&amp;"TYwhA1k_tPjeQjJPTqlm8Gd9eU5g/edit?usp=sharing"",""มหาสารคาม!Q623"")+IMPORTRANGE(""https://docs.google.com/spreadsheets/d/1uB74YLqNjWX6FObjekfB2NtSYigTQyR2rq9u4Ub2Sq4/edit?usp=sharing"",""มุกดาหาร!Q623"")+IMPORTRANGE(""https://docs.google.com/spreadsheets/"&amp;"d/1NexK3geCPxCTO1fzNF8dPec7yZyUx3OaWkFBC9HsQOo/edit?usp=sharing"",""ยโสธร!Q623"")+IMPORTRANGE(""https://docs.google.com/spreadsheets/d/1v_cJrbBlyqmnHPReHk44g9NrMRdENNlSy_E_c5M9fIg/edit?usp=sharing"",""ร้อยเอ็ด!Q623"")+IMPORTRANGE(""https://docs.google.com"&amp;"/spreadsheets/d/1Ul4RCpCX66NxYADU1QpwAPjOmBzW64SsT11s1wzXw_c/edit?usp=sharing"",""เลย!Q623"")+IMPORTRANGE(""https://docs.google.com/spreadsheets/d/1bRrNKwbHDVktQG10isr5vbWRtt5spIZPpkOSWgbT5ug/edit?usp=sharing"",""ศรีสะเกษ!Q623"")+IMPORTRANGE(""https://doc"&amp;"s.google.com/spreadsheets/d/17P34_Ow5kFBfdQD0qspb2UuPX5zpi6WMrQzslghyvrI/edit?usp=sharing"",""สกลนคร!Q623"")+IMPORTRANGE(""https://docs.google.com/spreadsheets/d/1yswqbM3-AEpThF3ZSUa1AcmHnmRTF1vlJ1CZGcJ8YuU/edit?usp=sharing"",""สุรินทร์!Q623"")+IMPORTRANG"&amp;"E(""https://docs.google.com/spreadsheets/d/13JHU_EFbsQOUQ0JSQ3dWy1VTRosIWcDq6Nc99z2qzdc/edit?usp=sharing"",""หนองคาย!Q623"")+IMPORTRANGE(""https://docs.google.com/spreadsheets/d/1Hx73zIEgVdDZZaYSTc46Dqv64atFhpr3GelxLbaIN8A/edit?usp=sharing"",""หนองบัวลำภู"&amp;"!Q623"")+IMPORTRANGE(""https://docs.google.com/spreadsheets/d/1lFxr3ctmjFN90yc-xV6jrQ9Ty8BKYVBWnAZ15wcNIJc/edit?usp=sharing"",""อำนาจเจริญ!Q623"")+IMPORTRANGE(""https://docs.google.com/spreadsheets/d/1gF7RJpRnL-1oyjyeWxs5SFWEH7y8ahOZsQlyp2A2e-A/edit?usp=s"&amp;"haring"",""อุดรธานี!Q623"")+IMPORTRANGE(""https://docs.google.com/spreadsheets/d/1kfLP0j3INXRa8bTDpcEmoWewMBV61jlFlfzczfjWIgc/edit?usp=sharing"",""อุบลราชธานี!Q623"")"),0)</f>
        <v>0</v>
      </c>
      <c r="R623" s="59">
        <f ca="1">IFERROR(__xludf.DUMMYFUNCTION("IMPORTRANGE(""https://docs.google.com/spreadsheets/d/1yhBcrRPreicbMKl9Bu_Snb2-OcQAF62RKfhTLhJ2eAA/edit?usp=sharing"",""กาฬสินธุ์!R623"")+IMPORTRANGE(""https://docs.google.com/spreadsheets/d/1aHkj4IaQMThhwWwevcOymEh837vdxeC_PycurhTbGFA/edit?usp=sharing"","&amp;"""ขอนแก่น!R623"")+IMPORTRANGE(""https://docs.google.com/spreadsheets/d/1FvTu2DsIWUjP6WCWra38Bkj_oOl_sOMf14r5Fg5srxU/edit?usp=sharing"",""ชัยภูมิ!R623"")+IMPORTRANGE(""https://docs.google.com/spreadsheets/d/1XVB7oCJ3pr-vBUdflwPQ8Z2LlzhnCvZaaYjAfP-647E/edit"&amp;"?usp=sharing"",""นครพนม!R623"")+IMPORTRANGE(""https://docs.google.com/spreadsheets/d/1Mnpb-8PYAgn85W6KOTD40hc_Xc55CaLfHoGAbrZ8tls/edit?usp=sharing"",""นครราชสีมา!R623"")+IMPORTRANGE(""https://docs.google.com/spreadsheets/d/1xoDLGBv9CYbyosIhki0kTq6IpYNj-gp"&amp;"jxfobnaDiut0/edit?usp=sharing"",""บึงกาฬ!R623"")+IMPORTRANGE(""https://docs.google.com/spreadsheets/d/1MMPq-JyI6DSgQETxuSiXkesP-P7JHuemnE6QJIa-Nlw/edit?usp=sharing"",""บุรีรัมย์!R623"")+IMPORTRANGE(""https://docs.google.com/spreadsheets/d/1l6IZ8xUPgMrESzc"&amp;"TYwhA1k_tPjeQjJPTqlm8Gd9eU5g/edit?usp=sharing"",""มหาสารคาม!R623"")+IMPORTRANGE(""https://docs.google.com/spreadsheets/d/1uB74YLqNjWX6FObjekfB2NtSYigTQyR2rq9u4Ub2Sq4/edit?usp=sharing"",""มุกดาหาร!R623"")+IMPORTRANGE(""https://docs.google.com/spreadsheets/"&amp;"d/1NexK3geCPxCTO1fzNF8dPec7yZyUx3OaWkFBC9HsQOo/edit?usp=sharing"",""ยโสธร!R623"")+IMPORTRANGE(""https://docs.google.com/spreadsheets/d/1v_cJrbBlyqmnHPReHk44g9NrMRdENNlSy_E_c5M9fIg/edit?usp=sharing"",""ร้อยเอ็ด!R623"")+IMPORTRANGE(""https://docs.google.com"&amp;"/spreadsheets/d/1Ul4RCpCX66NxYADU1QpwAPjOmBzW64SsT11s1wzXw_c/edit?usp=sharing"",""เลย!R623"")+IMPORTRANGE(""https://docs.google.com/spreadsheets/d/1bRrNKwbHDVktQG10isr5vbWRtt5spIZPpkOSWgbT5ug/edit?usp=sharing"",""ศรีสะเกษ!R623"")+IMPORTRANGE(""https://doc"&amp;"s.google.com/spreadsheets/d/17P34_Ow5kFBfdQD0qspb2UuPX5zpi6WMrQzslghyvrI/edit?usp=sharing"",""สกลนคร!R623"")+IMPORTRANGE(""https://docs.google.com/spreadsheets/d/1yswqbM3-AEpThF3ZSUa1AcmHnmRTF1vlJ1CZGcJ8YuU/edit?usp=sharing"",""สุรินทร์!R623"")+IMPORTRANG"&amp;"E(""https://docs.google.com/spreadsheets/d/13JHU_EFbsQOUQ0JSQ3dWy1VTRosIWcDq6Nc99z2qzdc/edit?usp=sharing"",""หนองคาย!R623"")+IMPORTRANGE(""https://docs.google.com/spreadsheets/d/1Hx73zIEgVdDZZaYSTc46Dqv64atFhpr3GelxLbaIN8A/edit?usp=sharing"",""หนองบัวลำภู"&amp;"!R623"")+IMPORTRANGE(""https://docs.google.com/spreadsheets/d/1lFxr3ctmjFN90yc-xV6jrQ9Ty8BKYVBWnAZ15wcNIJc/edit?usp=sharing"",""อำนาจเจริญ!R623"")+IMPORTRANGE(""https://docs.google.com/spreadsheets/d/1gF7RJpRnL-1oyjyeWxs5SFWEH7y8ahOZsQlyp2A2e-A/edit?usp=s"&amp;"haring"",""อุดรธานี!R623"")+IMPORTRANGE(""https://docs.google.com/spreadsheets/d/1kfLP0j3INXRa8bTDpcEmoWewMBV61jlFlfzczfjWIgc/edit?usp=sharing"",""อุบลราชธานี!R623"")"),0)</f>
        <v>0</v>
      </c>
      <c r="S623" s="60">
        <f ca="1">IFERROR(__xludf.DUMMYFUNCTION("IMPORTRANGE(""https://docs.google.com/spreadsheets/d/1yhBcrRPreicbMKl9Bu_Snb2-OcQAF62RKfhTLhJ2eAA/edit?usp=sharing"",""กาฬสินธุ์!S623"")+IMPORTRANGE(""https://docs.google.com/spreadsheets/d/1aHkj4IaQMThhwWwevcOymEh837vdxeC_PycurhTbGFA/edit?usp=sharing"","&amp;"""ขอนแก่น!S623"")+IMPORTRANGE(""https://docs.google.com/spreadsheets/d/1FvTu2DsIWUjP6WCWra38Bkj_oOl_sOMf14r5Fg5srxU/edit?usp=sharing"",""ชัยภูมิ!S623"")+IMPORTRANGE(""https://docs.google.com/spreadsheets/d/1XVB7oCJ3pr-vBUdflwPQ8Z2LlzhnCvZaaYjAfP-647E/edit"&amp;"?usp=sharing"",""นครพนม!S623"")+IMPORTRANGE(""https://docs.google.com/spreadsheets/d/1Mnpb-8PYAgn85W6KOTD40hc_Xc55CaLfHoGAbrZ8tls/edit?usp=sharing"",""นครราชสีมา!S623"")+IMPORTRANGE(""https://docs.google.com/spreadsheets/d/1xoDLGBv9CYbyosIhki0kTq6IpYNj-gp"&amp;"jxfobnaDiut0/edit?usp=sharing"",""บึงกาฬ!S623"")+IMPORTRANGE(""https://docs.google.com/spreadsheets/d/1MMPq-JyI6DSgQETxuSiXkesP-P7JHuemnE6QJIa-Nlw/edit?usp=sharing"",""บุรีรัมย์!S623"")+IMPORTRANGE(""https://docs.google.com/spreadsheets/d/1l6IZ8xUPgMrESzc"&amp;"TYwhA1k_tPjeQjJPTqlm8Gd9eU5g/edit?usp=sharing"",""มหาสารคาม!S623"")+IMPORTRANGE(""https://docs.google.com/spreadsheets/d/1uB74YLqNjWX6FObjekfB2NtSYigTQyR2rq9u4Ub2Sq4/edit?usp=sharing"",""มุกดาหาร!S623"")+IMPORTRANGE(""https://docs.google.com/spreadsheets/"&amp;"d/1NexK3geCPxCTO1fzNF8dPec7yZyUx3OaWkFBC9HsQOo/edit?usp=sharing"",""ยโสธร!S623"")+IMPORTRANGE(""https://docs.google.com/spreadsheets/d/1v_cJrbBlyqmnHPReHk44g9NrMRdENNlSy_E_c5M9fIg/edit?usp=sharing"",""ร้อยเอ็ด!S623"")+IMPORTRANGE(""https://docs.google.com"&amp;"/spreadsheets/d/1Ul4RCpCX66NxYADU1QpwAPjOmBzW64SsT11s1wzXw_c/edit?usp=sharing"",""เลย!S623"")+IMPORTRANGE(""https://docs.google.com/spreadsheets/d/1bRrNKwbHDVktQG10isr5vbWRtt5spIZPpkOSWgbT5ug/edit?usp=sharing"",""ศรีสะเกษ!S623"")+IMPORTRANGE(""https://doc"&amp;"s.google.com/spreadsheets/d/17P34_Ow5kFBfdQD0qspb2UuPX5zpi6WMrQzslghyvrI/edit?usp=sharing"",""สกลนคร!S623"")+IMPORTRANGE(""https://docs.google.com/spreadsheets/d/1yswqbM3-AEpThF3ZSUa1AcmHnmRTF1vlJ1CZGcJ8YuU/edit?usp=sharing"",""สุรินทร์!S623"")+IMPORTRANG"&amp;"E(""https://docs.google.com/spreadsheets/d/13JHU_EFbsQOUQ0JSQ3dWy1VTRosIWcDq6Nc99z2qzdc/edit?usp=sharing"",""หนองคาย!S623"")+IMPORTRANGE(""https://docs.google.com/spreadsheets/d/1Hx73zIEgVdDZZaYSTc46Dqv64atFhpr3GelxLbaIN8A/edit?usp=sharing"",""หนองบัวลำภู"&amp;"!S623"")+IMPORTRANGE(""https://docs.google.com/spreadsheets/d/1lFxr3ctmjFN90yc-xV6jrQ9Ty8BKYVBWnAZ15wcNIJc/edit?usp=sharing"",""อำนาจเจริญ!S623"")+IMPORTRANGE(""https://docs.google.com/spreadsheets/d/1gF7RJpRnL-1oyjyeWxs5SFWEH7y8ahOZsQlyp2A2e-A/edit?usp=s"&amp;"haring"",""อุดรธานี!S623"")+IMPORTRANGE(""https://docs.google.com/spreadsheets/d/1kfLP0j3INXRa8bTDpcEmoWewMBV61jlFlfzczfjWIgc/edit?usp=sharing"",""อุบลราชธานี!S623"")"),0)</f>
        <v>0</v>
      </c>
      <c r="T623" s="59">
        <f t="shared" ca="1" si="441"/>
        <v>0</v>
      </c>
      <c r="U623" s="59">
        <f t="shared" ca="1" si="442"/>
        <v>0</v>
      </c>
    </row>
    <row r="624" spans="1:21" ht="18.75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56">
        <f ca="1">IFERROR(__xludf.DUMMYFUNCTION("IMPORTRANGE(""https://docs.google.com/spreadsheets/d/1yhBcrRPreicbMKl9Bu_Snb2-OcQAF62RKfhTLhJ2eAA/edit?usp=sharing"",""กาฬสินธุ์!L624"")+IMPORTRANGE(""https://docs.google.com/spreadsheets/d/1aHkj4IaQMThhwWwevcOymEh837vdxeC_PycurhTbGFA/edit?usp=sharing"","&amp;"""ขอนแก่น!L624"")+IMPORTRANGE(""https://docs.google.com/spreadsheets/d/1FvTu2DsIWUjP6WCWra38Bkj_oOl_sOMf14r5Fg5srxU/edit?usp=sharing"",""ชัยภูมิ!L624"")+IMPORTRANGE(""https://docs.google.com/spreadsheets/d/1XVB7oCJ3pr-vBUdflwPQ8Z2LlzhnCvZaaYjAfP-647E/edit"&amp;"?usp=sharing"",""นครพนม!L624"")+IMPORTRANGE(""https://docs.google.com/spreadsheets/d/1Mnpb-8PYAgn85W6KOTD40hc_Xc55CaLfHoGAbrZ8tls/edit?usp=sharing"",""นครราชสีมา!L624"")+IMPORTRANGE(""https://docs.google.com/spreadsheets/d/1xoDLGBv9CYbyosIhki0kTq6IpYNj-gp"&amp;"jxfobnaDiut0/edit?usp=sharing"",""บึงกาฬ!L624"")+IMPORTRANGE(""https://docs.google.com/spreadsheets/d/1MMPq-JyI6DSgQETxuSiXkesP-P7JHuemnE6QJIa-Nlw/edit?usp=sharing"",""บุรีรัมย์!L624"")+IMPORTRANGE(""https://docs.google.com/spreadsheets/d/1l6IZ8xUPgMrESzc"&amp;"TYwhA1k_tPjeQjJPTqlm8Gd9eU5g/edit?usp=sharing"",""มหาสารคาม!L624"")+IMPORTRANGE(""https://docs.google.com/spreadsheets/d/1uB74YLqNjWX6FObjekfB2NtSYigTQyR2rq9u4Ub2Sq4/edit?usp=sharing"",""มุกดาหาร!L624"")+IMPORTRANGE(""https://docs.google.com/spreadsheets/"&amp;"d/1NexK3geCPxCTO1fzNF8dPec7yZyUx3OaWkFBC9HsQOo/edit?usp=sharing"",""ยโสธร!L624"")+IMPORTRANGE(""https://docs.google.com/spreadsheets/d/1v_cJrbBlyqmnHPReHk44g9NrMRdENNlSy_E_c5M9fIg/edit?usp=sharing"",""ร้อยเอ็ด!L624"")+IMPORTRANGE(""https://docs.google.com"&amp;"/spreadsheets/d/1Ul4RCpCX66NxYADU1QpwAPjOmBzW64SsT11s1wzXw_c/edit?usp=sharing"",""เลย!L624"")+IMPORTRANGE(""https://docs.google.com/spreadsheets/d/1bRrNKwbHDVktQG10isr5vbWRtt5spIZPpkOSWgbT5ug/edit?usp=sharing"",""ศรีสะเกษ!L624"")+IMPORTRANGE(""https://doc"&amp;"s.google.com/spreadsheets/d/17P34_Ow5kFBfdQD0qspb2UuPX5zpi6WMrQzslghyvrI/edit?usp=sharing"",""สกลนคร!L624"")+IMPORTRANGE(""https://docs.google.com/spreadsheets/d/1yswqbM3-AEpThF3ZSUa1AcmHnmRTF1vlJ1CZGcJ8YuU/edit?usp=sharing"",""สุรินทร์!L624"")+IMPORTRANG"&amp;"E(""https://docs.google.com/spreadsheets/d/13JHU_EFbsQOUQ0JSQ3dWy1VTRosIWcDq6Nc99z2qzdc/edit?usp=sharing"",""หนองคาย!L624"")+IMPORTRANGE(""https://docs.google.com/spreadsheets/d/1Hx73zIEgVdDZZaYSTc46Dqv64atFhpr3GelxLbaIN8A/edit?usp=sharing"",""หนองบัวลำภู"&amp;"!L624"")+IMPORTRANGE(""https://docs.google.com/spreadsheets/d/1lFxr3ctmjFN90yc-xV6jrQ9Ty8BKYVBWnAZ15wcNIJc/edit?usp=sharing"",""อำนาจเจริญ!L624"")+IMPORTRANGE(""https://docs.google.com/spreadsheets/d/1gF7RJpRnL-1oyjyeWxs5SFWEH7y8ahOZsQlyp2A2e-A/edit?usp=s"&amp;"haring"",""อุดรธานี!L624"")+IMPORTRANGE(""https://docs.google.com/spreadsheets/d/1kfLP0j3INXRa8bTDpcEmoWewMBV61jlFlfzczfjWIgc/edit?usp=sharing"",""อุบลราชธานี!L624"")"),0)</f>
        <v>0</v>
      </c>
      <c r="M624" s="56">
        <f ca="1">IFERROR(__xludf.DUMMYFUNCTION("IMPORTRANGE(""https://docs.google.com/spreadsheets/d/1yhBcrRPreicbMKl9Bu_Snb2-OcQAF62RKfhTLhJ2eAA/edit?usp=sharing"",""กาฬสินธุ์!M624"")+IMPORTRANGE(""https://docs.google.com/spreadsheets/d/1aHkj4IaQMThhwWwevcOymEh837vdxeC_PycurhTbGFA/edit?usp=sharing"","&amp;"""ขอนแก่น!M624"")+IMPORTRANGE(""https://docs.google.com/spreadsheets/d/1FvTu2DsIWUjP6WCWra38Bkj_oOl_sOMf14r5Fg5srxU/edit?usp=sharing"",""ชัยภูมิ!M624"")+IMPORTRANGE(""https://docs.google.com/spreadsheets/d/1XVB7oCJ3pr-vBUdflwPQ8Z2LlzhnCvZaaYjAfP-647E/edit"&amp;"?usp=sharing"",""นครพนม!M624"")+IMPORTRANGE(""https://docs.google.com/spreadsheets/d/1Mnpb-8PYAgn85W6KOTD40hc_Xc55CaLfHoGAbrZ8tls/edit?usp=sharing"",""นครราชสีมา!M624"")+IMPORTRANGE(""https://docs.google.com/spreadsheets/d/1xoDLGBv9CYbyosIhki0kTq6IpYNj-gp"&amp;"jxfobnaDiut0/edit?usp=sharing"",""บึงกาฬ!M624"")+IMPORTRANGE(""https://docs.google.com/spreadsheets/d/1MMPq-JyI6DSgQETxuSiXkesP-P7JHuemnE6QJIa-Nlw/edit?usp=sharing"",""บุรีรัมย์!M624"")+IMPORTRANGE(""https://docs.google.com/spreadsheets/d/1l6IZ8xUPgMrESzc"&amp;"TYwhA1k_tPjeQjJPTqlm8Gd9eU5g/edit?usp=sharing"",""มหาสารคาม!M624"")+IMPORTRANGE(""https://docs.google.com/spreadsheets/d/1uB74YLqNjWX6FObjekfB2NtSYigTQyR2rq9u4Ub2Sq4/edit?usp=sharing"",""มุกดาหาร!M624"")+IMPORTRANGE(""https://docs.google.com/spreadsheets/"&amp;"d/1NexK3geCPxCTO1fzNF8dPec7yZyUx3OaWkFBC9HsQOo/edit?usp=sharing"",""ยโสธร!M624"")+IMPORTRANGE(""https://docs.google.com/spreadsheets/d/1v_cJrbBlyqmnHPReHk44g9NrMRdENNlSy_E_c5M9fIg/edit?usp=sharing"",""ร้อยเอ็ด!M624"")+IMPORTRANGE(""https://docs.google.com"&amp;"/spreadsheets/d/1Ul4RCpCX66NxYADU1QpwAPjOmBzW64SsT11s1wzXw_c/edit?usp=sharing"",""เลย!M624"")+IMPORTRANGE(""https://docs.google.com/spreadsheets/d/1bRrNKwbHDVktQG10isr5vbWRtt5spIZPpkOSWgbT5ug/edit?usp=sharing"",""ศรีสะเกษ!M624"")+IMPORTRANGE(""https://doc"&amp;"s.google.com/spreadsheets/d/17P34_Ow5kFBfdQD0qspb2UuPX5zpi6WMrQzslghyvrI/edit?usp=sharing"",""สกลนคร!M624"")+IMPORTRANGE(""https://docs.google.com/spreadsheets/d/1yswqbM3-AEpThF3ZSUa1AcmHnmRTF1vlJ1CZGcJ8YuU/edit?usp=sharing"",""สุรินทร์!M624"")+IMPORTRANG"&amp;"E(""https://docs.google.com/spreadsheets/d/13JHU_EFbsQOUQ0JSQ3dWy1VTRosIWcDq6Nc99z2qzdc/edit?usp=sharing"",""หนองคาย!M624"")+IMPORTRANGE(""https://docs.google.com/spreadsheets/d/1Hx73zIEgVdDZZaYSTc46Dqv64atFhpr3GelxLbaIN8A/edit?usp=sharing"",""หนองบัวลำภู"&amp;"!M624"")+IMPORTRANGE(""https://docs.google.com/spreadsheets/d/1lFxr3ctmjFN90yc-xV6jrQ9Ty8BKYVBWnAZ15wcNIJc/edit?usp=sharing"",""อำนาจเจริญ!M624"")+IMPORTRANGE(""https://docs.google.com/spreadsheets/d/1gF7RJpRnL-1oyjyeWxs5SFWEH7y8ahOZsQlyp2A2e-A/edit?usp=s"&amp;"haring"",""อุดรธานี!M624"")+IMPORTRANGE(""https://docs.google.com/spreadsheets/d/1kfLP0j3INXRa8bTDpcEmoWewMBV61jlFlfzczfjWIgc/edit?usp=sharing"",""อุบลราชธานี!M624"")"),0)</f>
        <v>0</v>
      </c>
      <c r="N624" s="56">
        <f ca="1">IFERROR(__xludf.DUMMYFUNCTION("IMPORTRANGE(""https://docs.google.com/spreadsheets/d/1yhBcrRPreicbMKl9Bu_Snb2-OcQAF62RKfhTLhJ2eAA/edit?usp=sharing"",""กาฬสินธุ์!N624"")+IMPORTRANGE(""https://docs.google.com/spreadsheets/d/1aHkj4IaQMThhwWwevcOymEh837vdxeC_PycurhTbGFA/edit?usp=sharing"","&amp;"""ขอนแก่น!N624"")+IMPORTRANGE(""https://docs.google.com/spreadsheets/d/1FvTu2DsIWUjP6WCWra38Bkj_oOl_sOMf14r5Fg5srxU/edit?usp=sharing"",""ชัยภูมิ!N624"")+IMPORTRANGE(""https://docs.google.com/spreadsheets/d/1XVB7oCJ3pr-vBUdflwPQ8Z2LlzhnCvZaaYjAfP-647E/edit"&amp;"?usp=sharing"",""นครพนม!N624"")+IMPORTRANGE(""https://docs.google.com/spreadsheets/d/1Mnpb-8PYAgn85W6KOTD40hc_Xc55CaLfHoGAbrZ8tls/edit?usp=sharing"",""นครราชสีมา!N624"")+IMPORTRANGE(""https://docs.google.com/spreadsheets/d/1xoDLGBv9CYbyosIhki0kTq6IpYNj-gp"&amp;"jxfobnaDiut0/edit?usp=sharing"",""บึงกาฬ!N624"")+IMPORTRANGE(""https://docs.google.com/spreadsheets/d/1MMPq-JyI6DSgQETxuSiXkesP-P7JHuemnE6QJIa-Nlw/edit?usp=sharing"",""บุรีรัมย์!N624"")+IMPORTRANGE(""https://docs.google.com/spreadsheets/d/1l6IZ8xUPgMrESzc"&amp;"TYwhA1k_tPjeQjJPTqlm8Gd9eU5g/edit?usp=sharing"",""มหาสารคาม!N624"")+IMPORTRANGE(""https://docs.google.com/spreadsheets/d/1uB74YLqNjWX6FObjekfB2NtSYigTQyR2rq9u4Ub2Sq4/edit?usp=sharing"",""มุกดาหาร!N624"")+IMPORTRANGE(""https://docs.google.com/spreadsheets/"&amp;"d/1NexK3geCPxCTO1fzNF8dPec7yZyUx3OaWkFBC9HsQOo/edit?usp=sharing"",""ยโสธร!N624"")+IMPORTRANGE(""https://docs.google.com/spreadsheets/d/1v_cJrbBlyqmnHPReHk44g9NrMRdENNlSy_E_c5M9fIg/edit?usp=sharing"",""ร้อยเอ็ด!N624"")+IMPORTRANGE(""https://docs.google.com"&amp;"/spreadsheets/d/1Ul4RCpCX66NxYADU1QpwAPjOmBzW64SsT11s1wzXw_c/edit?usp=sharing"",""เลย!N624"")+IMPORTRANGE(""https://docs.google.com/spreadsheets/d/1bRrNKwbHDVktQG10isr5vbWRtt5spIZPpkOSWgbT5ug/edit?usp=sharing"",""ศรีสะเกษ!N624"")+IMPORTRANGE(""https://doc"&amp;"s.google.com/spreadsheets/d/17P34_Ow5kFBfdQD0qspb2UuPX5zpi6WMrQzslghyvrI/edit?usp=sharing"",""สกลนคร!N624"")+IMPORTRANGE(""https://docs.google.com/spreadsheets/d/1yswqbM3-AEpThF3ZSUa1AcmHnmRTF1vlJ1CZGcJ8YuU/edit?usp=sharing"",""สุรินทร์!N624"")+IMPORTRANG"&amp;"E(""https://docs.google.com/spreadsheets/d/13JHU_EFbsQOUQ0JSQ3dWy1VTRosIWcDq6Nc99z2qzdc/edit?usp=sharing"",""หนองคาย!N624"")+IMPORTRANGE(""https://docs.google.com/spreadsheets/d/1Hx73zIEgVdDZZaYSTc46Dqv64atFhpr3GelxLbaIN8A/edit?usp=sharing"",""หนองบัวลำภู"&amp;"!N624"")+IMPORTRANGE(""https://docs.google.com/spreadsheets/d/1lFxr3ctmjFN90yc-xV6jrQ9Ty8BKYVBWnAZ15wcNIJc/edit?usp=sharing"",""อำนาจเจริญ!N624"")+IMPORTRANGE(""https://docs.google.com/spreadsheets/d/1gF7RJpRnL-1oyjyeWxs5SFWEH7y8ahOZsQlyp2A2e-A/edit?usp=s"&amp;"haring"",""อุดรธานี!N624"")+IMPORTRANGE(""https://docs.google.com/spreadsheets/d/1kfLP0j3INXRa8bTDpcEmoWewMBV61jlFlfzczfjWIgc/edit?usp=sharing"",""อุบลราชธานี!N624"")"),0)</f>
        <v>0</v>
      </c>
      <c r="O624" s="56">
        <f t="shared" ca="1" si="438"/>
        <v>0</v>
      </c>
      <c r="P624" s="56">
        <f t="shared" ca="1" si="439"/>
        <v>0</v>
      </c>
      <c r="Q624" s="56">
        <f ca="1">IFERROR(__xludf.DUMMYFUNCTION("IMPORTRANGE(""https://docs.google.com/spreadsheets/d/1yhBcrRPreicbMKl9Bu_Snb2-OcQAF62RKfhTLhJ2eAA/edit?usp=sharing"",""กาฬสินธุ์!Q624"")+IMPORTRANGE(""https://docs.google.com/spreadsheets/d/1aHkj4IaQMThhwWwevcOymEh837vdxeC_PycurhTbGFA/edit?usp=sharing"","&amp;"""ขอนแก่น!Q624"")+IMPORTRANGE(""https://docs.google.com/spreadsheets/d/1FvTu2DsIWUjP6WCWra38Bkj_oOl_sOMf14r5Fg5srxU/edit?usp=sharing"",""ชัยภูมิ!Q624"")+IMPORTRANGE(""https://docs.google.com/spreadsheets/d/1XVB7oCJ3pr-vBUdflwPQ8Z2LlzhnCvZaaYjAfP-647E/edit"&amp;"?usp=sharing"",""นครพนม!Q624"")+IMPORTRANGE(""https://docs.google.com/spreadsheets/d/1Mnpb-8PYAgn85W6KOTD40hc_Xc55CaLfHoGAbrZ8tls/edit?usp=sharing"",""นครราชสีมา!Q624"")+IMPORTRANGE(""https://docs.google.com/spreadsheets/d/1xoDLGBv9CYbyosIhki0kTq6IpYNj-gp"&amp;"jxfobnaDiut0/edit?usp=sharing"",""บึงกาฬ!Q624"")+IMPORTRANGE(""https://docs.google.com/spreadsheets/d/1MMPq-JyI6DSgQETxuSiXkesP-P7JHuemnE6QJIa-Nlw/edit?usp=sharing"",""บุรีรัมย์!Q624"")+IMPORTRANGE(""https://docs.google.com/spreadsheets/d/1l6IZ8xUPgMrESzc"&amp;"TYwhA1k_tPjeQjJPTqlm8Gd9eU5g/edit?usp=sharing"",""มหาสารคาม!Q624"")+IMPORTRANGE(""https://docs.google.com/spreadsheets/d/1uB74YLqNjWX6FObjekfB2NtSYigTQyR2rq9u4Ub2Sq4/edit?usp=sharing"",""มุกดาหาร!Q624"")+IMPORTRANGE(""https://docs.google.com/spreadsheets/"&amp;"d/1NexK3geCPxCTO1fzNF8dPec7yZyUx3OaWkFBC9HsQOo/edit?usp=sharing"",""ยโสธร!Q624"")+IMPORTRANGE(""https://docs.google.com/spreadsheets/d/1v_cJrbBlyqmnHPReHk44g9NrMRdENNlSy_E_c5M9fIg/edit?usp=sharing"",""ร้อยเอ็ด!Q624"")+IMPORTRANGE(""https://docs.google.com"&amp;"/spreadsheets/d/1Ul4RCpCX66NxYADU1QpwAPjOmBzW64SsT11s1wzXw_c/edit?usp=sharing"",""เลย!Q624"")+IMPORTRANGE(""https://docs.google.com/spreadsheets/d/1bRrNKwbHDVktQG10isr5vbWRtt5spIZPpkOSWgbT5ug/edit?usp=sharing"",""ศรีสะเกษ!Q624"")+IMPORTRANGE(""https://doc"&amp;"s.google.com/spreadsheets/d/17P34_Ow5kFBfdQD0qspb2UuPX5zpi6WMrQzslghyvrI/edit?usp=sharing"",""สกลนคร!Q624"")+IMPORTRANGE(""https://docs.google.com/spreadsheets/d/1yswqbM3-AEpThF3ZSUa1AcmHnmRTF1vlJ1CZGcJ8YuU/edit?usp=sharing"",""สุรินทร์!Q624"")+IMPORTRANG"&amp;"E(""https://docs.google.com/spreadsheets/d/13JHU_EFbsQOUQ0JSQ3dWy1VTRosIWcDq6Nc99z2qzdc/edit?usp=sharing"",""หนองคาย!Q624"")+IMPORTRANGE(""https://docs.google.com/spreadsheets/d/1Hx73zIEgVdDZZaYSTc46Dqv64atFhpr3GelxLbaIN8A/edit?usp=sharing"",""หนองบัวลำภู"&amp;"!Q624"")+IMPORTRANGE(""https://docs.google.com/spreadsheets/d/1lFxr3ctmjFN90yc-xV6jrQ9Ty8BKYVBWnAZ15wcNIJc/edit?usp=sharing"",""อำนาจเจริญ!Q624"")+IMPORTRANGE(""https://docs.google.com/spreadsheets/d/1gF7RJpRnL-1oyjyeWxs5SFWEH7y8ahOZsQlyp2A2e-A/edit?usp=s"&amp;"haring"",""อุดรธานี!Q624"")+IMPORTRANGE(""https://docs.google.com/spreadsheets/d/1kfLP0j3INXRa8bTDpcEmoWewMBV61jlFlfzczfjWIgc/edit?usp=sharing"",""อุบลราชธานี!Q624"")"),0)</f>
        <v>0</v>
      </c>
      <c r="R624" s="56">
        <f ca="1">IFERROR(__xludf.DUMMYFUNCTION("IMPORTRANGE(""https://docs.google.com/spreadsheets/d/1yhBcrRPreicbMKl9Bu_Snb2-OcQAF62RKfhTLhJ2eAA/edit?usp=sharing"",""กาฬสินธุ์!R624"")+IMPORTRANGE(""https://docs.google.com/spreadsheets/d/1aHkj4IaQMThhwWwevcOymEh837vdxeC_PycurhTbGFA/edit?usp=sharing"","&amp;"""ขอนแก่น!R624"")+IMPORTRANGE(""https://docs.google.com/spreadsheets/d/1FvTu2DsIWUjP6WCWra38Bkj_oOl_sOMf14r5Fg5srxU/edit?usp=sharing"",""ชัยภูมิ!R624"")+IMPORTRANGE(""https://docs.google.com/spreadsheets/d/1XVB7oCJ3pr-vBUdflwPQ8Z2LlzhnCvZaaYjAfP-647E/edit"&amp;"?usp=sharing"",""นครพนม!R624"")+IMPORTRANGE(""https://docs.google.com/spreadsheets/d/1Mnpb-8PYAgn85W6KOTD40hc_Xc55CaLfHoGAbrZ8tls/edit?usp=sharing"",""นครราชสีมา!R624"")+IMPORTRANGE(""https://docs.google.com/spreadsheets/d/1xoDLGBv9CYbyosIhki0kTq6IpYNj-gp"&amp;"jxfobnaDiut0/edit?usp=sharing"",""บึงกาฬ!R624"")+IMPORTRANGE(""https://docs.google.com/spreadsheets/d/1MMPq-JyI6DSgQETxuSiXkesP-P7JHuemnE6QJIa-Nlw/edit?usp=sharing"",""บุรีรัมย์!R624"")+IMPORTRANGE(""https://docs.google.com/spreadsheets/d/1l6IZ8xUPgMrESzc"&amp;"TYwhA1k_tPjeQjJPTqlm8Gd9eU5g/edit?usp=sharing"",""มหาสารคาม!R624"")+IMPORTRANGE(""https://docs.google.com/spreadsheets/d/1uB74YLqNjWX6FObjekfB2NtSYigTQyR2rq9u4Ub2Sq4/edit?usp=sharing"",""มุกดาหาร!R624"")+IMPORTRANGE(""https://docs.google.com/spreadsheets/"&amp;"d/1NexK3geCPxCTO1fzNF8dPec7yZyUx3OaWkFBC9HsQOo/edit?usp=sharing"",""ยโสธร!R624"")+IMPORTRANGE(""https://docs.google.com/spreadsheets/d/1v_cJrbBlyqmnHPReHk44g9NrMRdENNlSy_E_c5M9fIg/edit?usp=sharing"",""ร้อยเอ็ด!R624"")+IMPORTRANGE(""https://docs.google.com"&amp;"/spreadsheets/d/1Ul4RCpCX66NxYADU1QpwAPjOmBzW64SsT11s1wzXw_c/edit?usp=sharing"",""เลย!R624"")+IMPORTRANGE(""https://docs.google.com/spreadsheets/d/1bRrNKwbHDVktQG10isr5vbWRtt5spIZPpkOSWgbT5ug/edit?usp=sharing"",""ศรีสะเกษ!R624"")+IMPORTRANGE(""https://doc"&amp;"s.google.com/spreadsheets/d/17P34_Ow5kFBfdQD0qspb2UuPX5zpi6WMrQzslghyvrI/edit?usp=sharing"",""สกลนคร!R624"")+IMPORTRANGE(""https://docs.google.com/spreadsheets/d/1yswqbM3-AEpThF3ZSUa1AcmHnmRTF1vlJ1CZGcJ8YuU/edit?usp=sharing"",""สุรินทร์!R624"")+IMPORTRANG"&amp;"E(""https://docs.google.com/spreadsheets/d/13JHU_EFbsQOUQ0JSQ3dWy1VTRosIWcDq6Nc99z2qzdc/edit?usp=sharing"",""หนองคาย!R624"")+IMPORTRANGE(""https://docs.google.com/spreadsheets/d/1Hx73zIEgVdDZZaYSTc46Dqv64atFhpr3GelxLbaIN8A/edit?usp=sharing"",""หนองบัวลำภู"&amp;"!R624"")+IMPORTRANGE(""https://docs.google.com/spreadsheets/d/1lFxr3ctmjFN90yc-xV6jrQ9Ty8BKYVBWnAZ15wcNIJc/edit?usp=sharing"",""อำนาจเจริญ!R624"")+IMPORTRANGE(""https://docs.google.com/spreadsheets/d/1gF7RJpRnL-1oyjyeWxs5SFWEH7y8ahOZsQlyp2A2e-A/edit?usp=s"&amp;"haring"",""อุดรธานี!R624"")+IMPORTRANGE(""https://docs.google.com/spreadsheets/d/1kfLP0j3INXRa8bTDpcEmoWewMBV61jlFlfzczfjWIgc/edit?usp=sharing"",""อุบลราชธานี!R624"")"),0)</f>
        <v>0</v>
      </c>
      <c r="S624" s="57">
        <f ca="1">IFERROR(__xludf.DUMMYFUNCTION("IMPORTRANGE(""https://docs.google.com/spreadsheets/d/1yhBcrRPreicbMKl9Bu_Snb2-OcQAF62RKfhTLhJ2eAA/edit?usp=sharing"",""กาฬสินธุ์!S624"")+IMPORTRANGE(""https://docs.google.com/spreadsheets/d/1aHkj4IaQMThhwWwevcOymEh837vdxeC_PycurhTbGFA/edit?usp=sharing"","&amp;"""ขอนแก่น!S624"")+IMPORTRANGE(""https://docs.google.com/spreadsheets/d/1FvTu2DsIWUjP6WCWra38Bkj_oOl_sOMf14r5Fg5srxU/edit?usp=sharing"",""ชัยภูมิ!S624"")+IMPORTRANGE(""https://docs.google.com/spreadsheets/d/1XVB7oCJ3pr-vBUdflwPQ8Z2LlzhnCvZaaYjAfP-647E/edit"&amp;"?usp=sharing"",""นครพนม!S624"")+IMPORTRANGE(""https://docs.google.com/spreadsheets/d/1Mnpb-8PYAgn85W6KOTD40hc_Xc55CaLfHoGAbrZ8tls/edit?usp=sharing"",""นครราชสีมา!S624"")+IMPORTRANGE(""https://docs.google.com/spreadsheets/d/1xoDLGBv9CYbyosIhki0kTq6IpYNj-gp"&amp;"jxfobnaDiut0/edit?usp=sharing"",""บึงกาฬ!S624"")+IMPORTRANGE(""https://docs.google.com/spreadsheets/d/1MMPq-JyI6DSgQETxuSiXkesP-P7JHuemnE6QJIa-Nlw/edit?usp=sharing"",""บุรีรัมย์!S624"")+IMPORTRANGE(""https://docs.google.com/spreadsheets/d/1l6IZ8xUPgMrESzc"&amp;"TYwhA1k_tPjeQjJPTqlm8Gd9eU5g/edit?usp=sharing"",""มหาสารคาม!S624"")+IMPORTRANGE(""https://docs.google.com/spreadsheets/d/1uB74YLqNjWX6FObjekfB2NtSYigTQyR2rq9u4Ub2Sq4/edit?usp=sharing"",""มุกดาหาร!S624"")+IMPORTRANGE(""https://docs.google.com/spreadsheets/"&amp;"d/1NexK3geCPxCTO1fzNF8dPec7yZyUx3OaWkFBC9HsQOo/edit?usp=sharing"",""ยโสธร!S624"")+IMPORTRANGE(""https://docs.google.com/spreadsheets/d/1v_cJrbBlyqmnHPReHk44g9NrMRdENNlSy_E_c5M9fIg/edit?usp=sharing"",""ร้อยเอ็ด!S624"")+IMPORTRANGE(""https://docs.google.com"&amp;"/spreadsheets/d/1Ul4RCpCX66NxYADU1QpwAPjOmBzW64SsT11s1wzXw_c/edit?usp=sharing"",""เลย!S624"")+IMPORTRANGE(""https://docs.google.com/spreadsheets/d/1bRrNKwbHDVktQG10isr5vbWRtt5spIZPpkOSWgbT5ug/edit?usp=sharing"",""ศรีสะเกษ!S624"")+IMPORTRANGE(""https://doc"&amp;"s.google.com/spreadsheets/d/17P34_Ow5kFBfdQD0qspb2UuPX5zpi6WMrQzslghyvrI/edit?usp=sharing"",""สกลนคร!S624"")+IMPORTRANGE(""https://docs.google.com/spreadsheets/d/1yswqbM3-AEpThF3ZSUa1AcmHnmRTF1vlJ1CZGcJ8YuU/edit?usp=sharing"",""สุรินทร์!S624"")+IMPORTRANG"&amp;"E(""https://docs.google.com/spreadsheets/d/13JHU_EFbsQOUQ0JSQ3dWy1VTRosIWcDq6Nc99z2qzdc/edit?usp=sharing"",""หนองคาย!S624"")+IMPORTRANGE(""https://docs.google.com/spreadsheets/d/1Hx73zIEgVdDZZaYSTc46Dqv64atFhpr3GelxLbaIN8A/edit?usp=sharing"",""หนองบัวลำภู"&amp;"!S624"")+IMPORTRANGE(""https://docs.google.com/spreadsheets/d/1lFxr3ctmjFN90yc-xV6jrQ9Ty8BKYVBWnAZ15wcNIJc/edit?usp=sharing"",""อำนาจเจริญ!S624"")+IMPORTRANGE(""https://docs.google.com/spreadsheets/d/1gF7RJpRnL-1oyjyeWxs5SFWEH7y8ahOZsQlyp2A2e-A/edit?usp=s"&amp;"haring"",""อุดรธานี!S624"")+IMPORTRANGE(""https://docs.google.com/spreadsheets/d/1kfLP0j3INXRa8bTDpcEmoWewMBV61jlFlfzczfjWIgc/edit?usp=sharing"",""อุบลราชธานี!S624"")"),0)</f>
        <v>0</v>
      </c>
      <c r="T624" s="56">
        <f t="shared" ca="1" si="441"/>
        <v>0</v>
      </c>
      <c r="U624" s="56">
        <f t="shared" ca="1" si="442"/>
        <v>0</v>
      </c>
    </row>
    <row r="625" spans="1:21" ht="19.5">
      <c r="A625" s="166"/>
      <c r="B625" s="167"/>
      <c r="C625" s="205" t="s">
        <v>18</v>
      </c>
      <c r="D625" s="459" t="s">
        <v>38</v>
      </c>
      <c r="E625" s="169"/>
      <c r="F625" s="169"/>
      <c r="G625" s="170"/>
      <c r="H625" s="206"/>
      <c r="I625" s="163"/>
      <c r="J625" s="163"/>
      <c r="K625" s="164"/>
      <c r="L625" s="164"/>
      <c r="M625" s="164"/>
      <c r="N625" s="164"/>
      <c r="O625" s="164"/>
      <c r="P625" s="164"/>
      <c r="Q625" s="164"/>
      <c r="R625" s="164"/>
      <c r="S625" s="172"/>
      <c r="T625" s="164"/>
      <c r="U625" s="164"/>
    </row>
    <row r="626" spans="1:21" ht="19.5">
      <c r="A626" s="166"/>
      <c r="B626" s="167"/>
      <c r="C626" s="167"/>
      <c r="D626" s="460" t="s">
        <v>224</v>
      </c>
      <c r="E626" s="174"/>
      <c r="F626" s="174"/>
      <c r="G626" s="171"/>
      <c r="H626" s="461" t="s">
        <v>46</v>
      </c>
      <c r="I626" s="176">
        <f ca="1">IFERROR(__xludf.DUMMYFUNCTION("IMPORTRANGE(""https://docs.google.com/spreadsheets/d/1yhBcrRPreicbMKl9Bu_Snb2-OcQAF62RKfhTLhJ2eAA/edit?usp=sharing"",""กาฬสินธุ์!I626"")+IMPORTRANGE(""https://docs.google.com/spreadsheets/d/1aHkj4IaQMThhwWwevcOymEh837vdxeC_PycurhTbGFA/edit?usp=sharing"","&amp;"""ขอนแก่น!I626"")+IMPORTRANGE(""https://docs.google.com/spreadsheets/d/1FvTu2DsIWUjP6WCWra38Bkj_oOl_sOMf14r5Fg5srxU/edit?usp=sharing"",""ชัยภูมิ!I626"")+IMPORTRANGE(""https://docs.google.com/spreadsheets/d/1XVB7oCJ3pr-vBUdflwPQ8Z2LlzhnCvZaaYjAfP-647E/edit"&amp;"?usp=sharing"",""นครพนม!I626"")+IMPORTRANGE(""https://docs.google.com/spreadsheets/d/1Mnpb-8PYAgn85W6KOTD40hc_Xc55CaLfHoGAbrZ8tls/edit?usp=sharing"",""นครราชสีมา!I626"")+IMPORTRANGE(""https://docs.google.com/spreadsheets/d/1xoDLGBv9CYbyosIhki0kTq6IpYNj-gp"&amp;"jxfobnaDiut0/edit?usp=sharing"",""บึงกาฬ!I626"")+IMPORTRANGE(""https://docs.google.com/spreadsheets/d/1MMPq-JyI6DSgQETxuSiXkesP-P7JHuemnE6QJIa-Nlw/edit?usp=sharing"",""บุรีรัมย์!I626"")+IMPORTRANGE(""https://docs.google.com/spreadsheets/d/1l6IZ8xUPgMrESzc"&amp;"TYwhA1k_tPjeQjJPTqlm8Gd9eU5g/edit?usp=sharing"",""มหาสารคาม!I626"")+IMPORTRANGE(""https://docs.google.com/spreadsheets/d/1uB74YLqNjWX6FObjekfB2NtSYigTQyR2rq9u4Ub2Sq4/edit?usp=sharing"",""มุกดาหาร!I626"")+IMPORTRANGE(""https://docs.google.com/spreadsheets/"&amp;"d/1NexK3geCPxCTO1fzNF8dPec7yZyUx3OaWkFBC9HsQOo/edit?usp=sharing"",""ยโสธร!I626"")+IMPORTRANGE(""https://docs.google.com/spreadsheets/d/1v_cJrbBlyqmnHPReHk44g9NrMRdENNlSy_E_c5M9fIg/edit?usp=sharing"",""ร้อยเอ็ด!I626"")+IMPORTRANGE(""https://docs.google.com"&amp;"/spreadsheets/d/1Ul4RCpCX66NxYADU1QpwAPjOmBzW64SsT11s1wzXw_c/edit?usp=sharing"",""เลย!I626"")+IMPORTRANGE(""https://docs.google.com/spreadsheets/d/1bRrNKwbHDVktQG10isr5vbWRtt5spIZPpkOSWgbT5ug/edit?usp=sharing"",""ศรีสะเกษ!I626"")+IMPORTRANGE(""https://doc"&amp;"s.google.com/spreadsheets/d/17P34_Ow5kFBfdQD0qspb2UuPX5zpi6WMrQzslghyvrI/edit?usp=sharing"",""สกลนคร!I626"")+IMPORTRANGE(""https://docs.google.com/spreadsheets/d/1yswqbM3-AEpThF3ZSUa1AcmHnmRTF1vlJ1CZGcJ8YuU/edit?usp=sharing"",""สุรินทร์!I626"")+IMPORTRANG"&amp;"E(""https://docs.google.com/spreadsheets/d/13JHU_EFbsQOUQ0JSQ3dWy1VTRosIWcDq6Nc99z2qzdc/edit?usp=sharing"",""หนองคาย!I626"")+IMPORTRANGE(""https://docs.google.com/spreadsheets/d/1Hx73zIEgVdDZZaYSTc46Dqv64atFhpr3GelxLbaIN8A/edit?usp=sharing"",""หนองบัวลำภู"&amp;"!I626"")+IMPORTRANGE(""https://docs.google.com/spreadsheets/d/1lFxr3ctmjFN90yc-xV6jrQ9Ty8BKYVBWnAZ15wcNIJc/edit?usp=sharing"",""อำนาจเจริญ!I626"")+IMPORTRANGE(""https://docs.google.com/spreadsheets/d/1gF7RJpRnL-1oyjyeWxs5SFWEH7y8ahOZsQlyp2A2e-A/edit?usp=s"&amp;"haring"",""อุดรธานี!I626"")+IMPORTRANGE(""https://docs.google.com/spreadsheets/d/1kfLP0j3INXRa8bTDpcEmoWewMBV61jlFlfzczfjWIgc/edit?usp=sharing"",""อุบลราชธานี!I626"")"),1300)</f>
        <v>1300</v>
      </c>
      <c r="J626" s="176">
        <f ca="1">J632</f>
        <v>0</v>
      </c>
      <c r="K626" s="159">
        <f ca="1">IF(I626&gt;0,J626*100/I626,0)</f>
        <v>0</v>
      </c>
      <c r="L626" s="164"/>
      <c r="M626" s="164"/>
      <c r="N626" s="164"/>
      <c r="O626" s="164"/>
      <c r="P626" s="164"/>
      <c r="Q626" s="164"/>
      <c r="R626" s="164"/>
      <c r="S626" s="172"/>
      <c r="T626" s="164"/>
      <c r="U626" s="164"/>
    </row>
    <row r="627" spans="1:21" ht="18.75">
      <c r="A627" s="166"/>
      <c r="B627" s="167"/>
      <c r="C627" s="167"/>
      <c r="D627" s="167"/>
      <c r="E627" s="178" t="s">
        <v>225</v>
      </c>
      <c r="F627" s="174"/>
      <c r="G627" s="171"/>
      <c r="H627" s="165" t="s">
        <v>61</v>
      </c>
      <c r="I627" s="181">
        <f ca="1">IFERROR(__xludf.DUMMYFUNCTION("IMPORTRANGE(""https://docs.google.com/spreadsheets/d/1yhBcrRPreicbMKl9Bu_Snb2-OcQAF62RKfhTLhJ2eAA/edit?usp=sharing"",""กาฬสินธุ์!I627"")+IMPORTRANGE(""https://docs.google.com/spreadsheets/d/1aHkj4IaQMThhwWwevcOymEh837vdxeC_PycurhTbGFA/edit?usp=sharing"","&amp;"""ขอนแก่น!I627"")+IMPORTRANGE(""https://docs.google.com/spreadsheets/d/1FvTu2DsIWUjP6WCWra38Bkj_oOl_sOMf14r5Fg5srxU/edit?usp=sharing"",""ชัยภูมิ!I627"")+IMPORTRANGE(""https://docs.google.com/spreadsheets/d/1XVB7oCJ3pr-vBUdflwPQ8Z2LlzhnCvZaaYjAfP-647E/edit"&amp;"?usp=sharing"",""นครพนม!I627"")+IMPORTRANGE(""https://docs.google.com/spreadsheets/d/1Mnpb-8PYAgn85W6KOTD40hc_Xc55CaLfHoGAbrZ8tls/edit?usp=sharing"",""นครราชสีมา!I627"")+IMPORTRANGE(""https://docs.google.com/spreadsheets/d/1xoDLGBv9CYbyosIhki0kTq6IpYNj-gp"&amp;"jxfobnaDiut0/edit?usp=sharing"",""บึงกาฬ!I627"")+IMPORTRANGE(""https://docs.google.com/spreadsheets/d/1MMPq-JyI6DSgQETxuSiXkesP-P7JHuemnE6QJIa-Nlw/edit?usp=sharing"",""บุรีรัมย์!I627"")+IMPORTRANGE(""https://docs.google.com/spreadsheets/d/1l6IZ8xUPgMrESzc"&amp;"TYwhA1k_tPjeQjJPTqlm8Gd9eU5g/edit?usp=sharing"",""มหาสารคาม!I627"")+IMPORTRANGE(""https://docs.google.com/spreadsheets/d/1uB74YLqNjWX6FObjekfB2NtSYigTQyR2rq9u4Ub2Sq4/edit?usp=sharing"",""มุกดาหาร!I627"")+IMPORTRANGE(""https://docs.google.com/spreadsheets/"&amp;"d/1NexK3geCPxCTO1fzNF8dPec7yZyUx3OaWkFBC9HsQOo/edit?usp=sharing"",""ยโสธร!I627"")+IMPORTRANGE(""https://docs.google.com/spreadsheets/d/1v_cJrbBlyqmnHPReHk44g9NrMRdENNlSy_E_c5M9fIg/edit?usp=sharing"",""ร้อยเอ็ด!I627"")+IMPORTRANGE(""https://docs.google.com"&amp;"/spreadsheets/d/1Ul4RCpCX66NxYADU1QpwAPjOmBzW64SsT11s1wzXw_c/edit?usp=sharing"",""เลย!I627"")+IMPORTRANGE(""https://docs.google.com/spreadsheets/d/1bRrNKwbHDVktQG10isr5vbWRtt5spIZPpkOSWgbT5ug/edit?usp=sharing"",""ศรีสะเกษ!I627"")+IMPORTRANGE(""https://doc"&amp;"s.google.com/spreadsheets/d/17P34_Ow5kFBfdQD0qspb2UuPX5zpi6WMrQzslghyvrI/edit?usp=sharing"",""สกลนคร!I627"")+IMPORTRANGE(""https://docs.google.com/spreadsheets/d/1yswqbM3-AEpThF3ZSUa1AcmHnmRTF1vlJ1CZGcJ8YuU/edit?usp=sharing"",""สุรินทร์!I627"")+IMPORTRANG"&amp;"E(""https://docs.google.com/spreadsheets/d/13JHU_EFbsQOUQ0JSQ3dWy1VTRosIWcDq6Nc99z2qzdc/edit?usp=sharing"",""หนองคาย!I627"")+IMPORTRANGE(""https://docs.google.com/spreadsheets/d/1Hx73zIEgVdDZZaYSTc46Dqv64atFhpr3GelxLbaIN8A/edit?usp=sharing"",""หนองบัวลำภู"&amp;"!I627"")+IMPORTRANGE(""https://docs.google.com/spreadsheets/d/1lFxr3ctmjFN90yc-xV6jrQ9Ty8BKYVBWnAZ15wcNIJc/edit?usp=sharing"",""อำนาจเจริญ!I627"")+IMPORTRANGE(""https://docs.google.com/spreadsheets/d/1gF7RJpRnL-1oyjyeWxs5SFWEH7y8ahOZsQlyp2A2e-A/edit?usp=s"&amp;"haring"",""อุดรธานี!I627"")+IMPORTRANGE(""https://docs.google.com/spreadsheets/d/1kfLP0j3INXRa8bTDpcEmoWewMBV61jlFlfzczfjWIgc/edit?usp=sharing"",""อุบลราชธานี!I627"")"),7)</f>
        <v>7</v>
      </c>
      <c r="J627" s="195">
        <f ca="1">IFERROR(__xludf.DUMMYFUNCTION("IMPORTRANGE(""https://docs.google.com/spreadsheets/d/1yhBcrRPreicbMKl9Bu_Snb2-OcQAF62RKfhTLhJ2eAA/edit?usp=sharing"",""กาฬสินธุ์!J627"")+IMPORTRANGE(""https://docs.google.com/spreadsheets/d/1aHkj4IaQMThhwWwevcOymEh837vdxeC_PycurhTbGFA/edit?usp=sharing"","&amp;"""ขอนแก่น!J627"")+IMPORTRANGE(""https://docs.google.com/spreadsheets/d/1FvTu2DsIWUjP6WCWra38Bkj_oOl_sOMf14r5Fg5srxU/edit?usp=sharing"",""ชัยภูมิ!J627"")+IMPORTRANGE(""https://docs.google.com/spreadsheets/d/1XVB7oCJ3pr-vBUdflwPQ8Z2LlzhnCvZaaYjAfP-647E/edit"&amp;"?usp=sharing"",""นครพนม!J627"")+IMPORTRANGE(""https://docs.google.com/spreadsheets/d/1Mnpb-8PYAgn85W6KOTD40hc_Xc55CaLfHoGAbrZ8tls/edit?usp=sharing"",""นครราชสีมา!J627"")+IMPORTRANGE(""https://docs.google.com/spreadsheets/d/1xoDLGBv9CYbyosIhki0kTq6IpYNj-gp"&amp;"jxfobnaDiut0/edit?usp=sharing"",""บึงกาฬ!J627"")+IMPORTRANGE(""https://docs.google.com/spreadsheets/d/1MMPq-JyI6DSgQETxuSiXkesP-P7JHuemnE6QJIa-Nlw/edit?usp=sharing"",""บุรีรัมย์!J627"")+IMPORTRANGE(""https://docs.google.com/spreadsheets/d/1l6IZ8xUPgMrESzc"&amp;"TYwhA1k_tPjeQjJPTqlm8Gd9eU5g/edit?usp=sharing"",""มหาสารคาม!J627"")+IMPORTRANGE(""https://docs.google.com/spreadsheets/d/1uB74YLqNjWX6FObjekfB2NtSYigTQyR2rq9u4Ub2Sq4/edit?usp=sharing"",""มุกดาหาร!J627"")+IMPORTRANGE(""https://docs.google.com/spreadsheets/"&amp;"d/1NexK3geCPxCTO1fzNF8dPec7yZyUx3OaWkFBC9HsQOo/edit?usp=sharing"",""ยโสธร!J627"")+IMPORTRANGE(""https://docs.google.com/spreadsheets/d/1v_cJrbBlyqmnHPReHk44g9NrMRdENNlSy_E_c5M9fIg/edit?usp=sharing"",""ร้อยเอ็ด!J627"")+IMPORTRANGE(""https://docs.google.com"&amp;"/spreadsheets/d/1Ul4RCpCX66NxYADU1QpwAPjOmBzW64SsT11s1wzXw_c/edit?usp=sharing"",""เลย!J627"")+IMPORTRANGE(""https://docs.google.com/spreadsheets/d/1bRrNKwbHDVktQG10isr5vbWRtt5spIZPpkOSWgbT5ug/edit?usp=sharing"",""ศรีสะเกษ!J627"")+IMPORTRANGE(""https://doc"&amp;"s.google.com/spreadsheets/d/17P34_Ow5kFBfdQD0qspb2UuPX5zpi6WMrQzslghyvrI/edit?usp=sharing"",""สกลนคร!J627"")+IMPORTRANGE(""https://docs.google.com/spreadsheets/d/1yswqbM3-AEpThF3ZSUa1AcmHnmRTF1vlJ1CZGcJ8YuU/edit?usp=sharing"",""สุรินทร์!J627"")+IMPORTRANG"&amp;"E(""https://docs.google.com/spreadsheets/d/13JHU_EFbsQOUQ0JSQ3dWy1VTRosIWcDq6Nc99z2qzdc/edit?usp=sharing"",""หนองคาย!J627"")+IMPORTRANGE(""https://docs.google.com/spreadsheets/d/1Hx73zIEgVdDZZaYSTc46Dqv64atFhpr3GelxLbaIN8A/edit?usp=sharing"",""หนองบัวลำภู"&amp;"!J627"")+IMPORTRANGE(""https://docs.google.com/spreadsheets/d/1lFxr3ctmjFN90yc-xV6jrQ9Ty8BKYVBWnAZ15wcNIJc/edit?usp=sharing"",""อำนาจเจริญ!J627"")+IMPORTRANGE(""https://docs.google.com/spreadsheets/d/1gF7RJpRnL-1oyjyeWxs5SFWEH7y8ahOZsQlyp2A2e-A/edit?usp=s"&amp;"haring"",""อุดรธานี!J627"")+IMPORTRANGE(""https://docs.google.com/spreadsheets/d/1kfLP0j3INXRa8bTDpcEmoWewMBV61jlFlfzczfjWIgc/edit?usp=sharing"",""อุบลราชธานี!J627"")"),7)</f>
        <v>7</v>
      </c>
      <c r="K627" s="56">
        <f t="shared" ref="K627:K628" ca="1" si="451">IF(I627&gt;0,(J627*100)/I627,0)</f>
        <v>100</v>
      </c>
      <c r="L627" s="164"/>
      <c r="M627" s="164"/>
      <c r="N627" s="164"/>
      <c r="O627" s="164"/>
      <c r="P627" s="164"/>
      <c r="Q627" s="164"/>
      <c r="R627" s="164"/>
      <c r="S627" s="172"/>
      <c r="T627" s="164"/>
      <c r="U627" s="164"/>
    </row>
    <row r="628" spans="1:21" ht="18.75">
      <c r="A628" s="166"/>
      <c r="B628" s="167"/>
      <c r="C628" s="167"/>
      <c r="D628" s="167"/>
      <c r="E628" s="178" t="s">
        <v>226</v>
      </c>
      <c r="F628" s="174"/>
      <c r="G628" s="171"/>
      <c r="H628" s="165" t="s">
        <v>61</v>
      </c>
      <c r="I628" s="181">
        <f ca="1">IFERROR(__xludf.DUMMYFUNCTION("IMPORTRANGE(""https://docs.google.com/spreadsheets/d/1yhBcrRPreicbMKl9Bu_Snb2-OcQAF62RKfhTLhJ2eAA/edit?usp=sharing"",""กาฬสินธุ์!I628"")+IMPORTRANGE(""https://docs.google.com/spreadsheets/d/1aHkj4IaQMThhwWwevcOymEh837vdxeC_PycurhTbGFA/edit?usp=sharing"","&amp;"""ขอนแก่น!I628"")+IMPORTRANGE(""https://docs.google.com/spreadsheets/d/1FvTu2DsIWUjP6WCWra38Bkj_oOl_sOMf14r5Fg5srxU/edit?usp=sharing"",""ชัยภูมิ!I628"")+IMPORTRANGE(""https://docs.google.com/spreadsheets/d/1XVB7oCJ3pr-vBUdflwPQ8Z2LlzhnCvZaaYjAfP-647E/edit"&amp;"?usp=sharing"",""นครพนม!I628"")+IMPORTRANGE(""https://docs.google.com/spreadsheets/d/1Mnpb-8PYAgn85W6KOTD40hc_Xc55CaLfHoGAbrZ8tls/edit?usp=sharing"",""นครราชสีมา!I628"")+IMPORTRANGE(""https://docs.google.com/spreadsheets/d/1xoDLGBv9CYbyosIhki0kTq6IpYNj-gp"&amp;"jxfobnaDiut0/edit?usp=sharing"",""บึงกาฬ!I628"")+IMPORTRANGE(""https://docs.google.com/spreadsheets/d/1MMPq-JyI6DSgQETxuSiXkesP-P7JHuemnE6QJIa-Nlw/edit?usp=sharing"",""บุรีรัมย์!I628"")+IMPORTRANGE(""https://docs.google.com/spreadsheets/d/1l6IZ8xUPgMrESzc"&amp;"TYwhA1k_tPjeQjJPTqlm8Gd9eU5g/edit?usp=sharing"",""มหาสารคาม!I628"")+IMPORTRANGE(""https://docs.google.com/spreadsheets/d/1uB74YLqNjWX6FObjekfB2NtSYigTQyR2rq9u4Ub2Sq4/edit?usp=sharing"",""มุกดาหาร!I628"")+IMPORTRANGE(""https://docs.google.com/spreadsheets/"&amp;"d/1NexK3geCPxCTO1fzNF8dPec7yZyUx3OaWkFBC9HsQOo/edit?usp=sharing"",""ยโสธร!I628"")+IMPORTRANGE(""https://docs.google.com/spreadsheets/d/1v_cJrbBlyqmnHPReHk44g9NrMRdENNlSy_E_c5M9fIg/edit?usp=sharing"",""ร้อยเอ็ด!I628"")+IMPORTRANGE(""https://docs.google.com"&amp;"/spreadsheets/d/1Ul4RCpCX66NxYADU1QpwAPjOmBzW64SsT11s1wzXw_c/edit?usp=sharing"",""เลย!I628"")+IMPORTRANGE(""https://docs.google.com/spreadsheets/d/1bRrNKwbHDVktQG10isr5vbWRtt5spIZPpkOSWgbT5ug/edit?usp=sharing"",""ศรีสะเกษ!I628"")+IMPORTRANGE(""https://doc"&amp;"s.google.com/spreadsheets/d/17P34_Ow5kFBfdQD0qspb2UuPX5zpi6WMrQzslghyvrI/edit?usp=sharing"",""สกลนคร!I628"")+IMPORTRANGE(""https://docs.google.com/spreadsheets/d/1yswqbM3-AEpThF3ZSUa1AcmHnmRTF1vlJ1CZGcJ8YuU/edit?usp=sharing"",""สุรินทร์!I628"")+IMPORTRANG"&amp;"E(""https://docs.google.com/spreadsheets/d/13JHU_EFbsQOUQ0JSQ3dWy1VTRosIWcDq6Nc99z2qzdc/edit?usp=sharing"",""หนองคาย!I628"")+IMPORTRANGE(""https://docs.google.com/spreadsheets/d/1Hx73zIEgVdDZZaYSTc46Dqv64atFhpr3GelxLbaIN8A/edit?usp=sharing"",""หนองบัวลำภู"&amp;"!I628"")+IMPORTRANGE(""https://docs.google.com/spreadsheets/d/1lFxr3ctmjFN90yc-xV6jrQ9Ty8BKYVBWnAZ15wcNIJc/edit?usp=sharing"",""อำนาจเจริญ!I628"")+IMPORTRANGE(""https://docs.google.com/spreadsheets/d/1gF7RJpRnL-1oyjyeWxs5SFWEH7y8ahOZsQlyp2A2e-A/edit?usp=s"&amp;"haring"",""อุดรธานี!I628"")+IMPORTRANGE(""https://docs.google.com/spreadsheets/d/1kfLP0j3INXRa8bTDpcEmoWewMBV61jlFlfzczfjWIgc/edit?usp=sharing"",""อุบลราชธานี!I628"")"),7)</f>
        <v>7</v>
      </c>
      <c r="J628" s="195">
        <f ca="1">IFERROR(__xludf.DUMMYFUNCTION("IMPORTRANGE(""https://docs.google.com/spreadsheets/d/1yhBcrRPreicbMKl9Bu_Snb2-OcQAF62RKfhTLhJ2eAA/edit?usp=sharing"",""กาฬสินธุ์!J628"")+IMPORTRANGE(""https://docs.google.com/spreadsheets/d/1aHkj4IaQMThhwWwevcOymEh837vdxeC_PycurhTbGFA/edit?usp=sharing"","&amp;"""ขอนแก่น!J628"")+IMPORTRANGE(""https://docs.google.com/spreadsheets/d/1FvTu2DsIWUjP6WCWra38Bkj_oOl_sOMf14r5Fg5srxU/edit?usp=sharing"",""ชัยภูมิ!J628"")+IMPORTRANGE(""https://docs.google.com/spreadsheets/d/1XVB7oCJ3pr-vBUdflwPQ8Z2LlzhnCvZaaYjAfP-647E/edit"&amp;"?usp=sharing"",""นครพนม!J628"")+IMPORTRANGE(""https://docs.google.com/spreadsheets/d/1Mnpb-8PYAgn85W6KOTD40hc_Xc55CaLfHoGAbrZ8tls/edit?usp=sharing"",""นครราชสีมา!J628"")+IMPORTRANGE(""https://docs.google.com/spreadsheets/d/1xoDLGBv9CYbyosIhki0kTq6IpYNj-gp"&amp;"jxfobnaDiut0/edit?usp=sharing"",""บึงกาฬ!J628"")+IMPORTRANGE(""https://docs.google.com/spreadsheets/d/1MMPq-JyI6DSgQETxuSiXkesP-P7JHuemnE6QJIa-Nlw/edit?usp=sharing"",""บุรีรัมย์!J628"")+IMPORTRANGE(""https://docs.google.com/spreadsheets/d/1l6IZ8xUPgMrESzc"&amp;"TYwhA1k_tPjeQjJPTqlm8Gd9eU5g/edit?usp=sharing"",""มหาสารคาม!J628"")+IMPORTRANGE(""https://docs.google.com/spreadsheets/d/1uB74YLqNjWX6FObjekfB2NtSYigTQyR2rq9u4Ub2Sq4/edit?usp=sharing"",""มุกดาหาร!J628"")+IMPORTRANGE(""https://docs.google.com/spreadsheets/"&amp;"d/1NexK3geCPxCTO1fzNF8dPec7yZyUx3OaWkFBC9HsQOo/edit?usp=sharing"",""ยโสธร!J628"")+IMPORTRANGE(""https://docs.google.com/spreadsheets/d/1v_cJrbBlyqmnHPReHk44g9NrMRdENNlSy_E_c5M9fIg/edit?usp=sharing"",""ร้อยเอ็ด!J628"")+IMPORTRANGE(""https://docs.google.com"&amp;"/spreadsheets/d/1Ul4RCpCX66NxYADU1QpwAPjOmBzW64SsT11s1wzXw_c/edit?usp=sharing"",""เลย!J628"")+IMPORTRANGE(""https://docs.google.com/spreadsheets/d/1bRrNKwbHDVktQG10isr5vbWRtt5spIZPpkOSWgbT5ug/edit?usp=sharing"",""ศรีสะเกษ!J628"")+IMPORTRANGE(""https://doc"&amp;"s.google.com/spreadsheets/d/17P34_Ow5kFBfdQD0qspb2UuPX5zpi6WMrQzslghyvrI/edit?usp=sharing"",""สกลนคร!J628"")+IMPORTRANGE(""https://docs.google.com/spreadsheets/d/1yswqbM3-AEpThF3ZSUa1AcmHnmRTF1vlJ1CZGcJ8YuU/edit?usp=sharing"",""สุรินทร์!J628"")+IMPORTRANG"&amp;"E(""https://docs.google.com/spreadsheets/d/13JHU_EFbsQOUQ0JSQ3dWy1VTRosIWcDq6Nc99z2qzdc/edit?usp=sharing"",""หนองคาย!J628"")+IMPORTRANGE(""https://docs.google.com/spreadsheets/d/1Hx73zIEgVdDZZaYSTc46Dqv64atFhpr3GelxLbaIN8A/edit?usp=sharing"",""หนองบัวลำภู"&amp;"!J628"")+IMPORTRANGE(""https://docs.google.com/spreadsheets/d/1lFxr3ctmjFN90yc-xV6jrQ9Ty8BKYVBWnAZ15wcNIJc/edit?usp=sharing"",""อำนาจเจริญ!J628"")+IMPORTRANGE(""https://docs.google.com/spreadsheets/d/1gF7RJpRnL-1oyjyeWxs5SFWEH7y8ahOZsQlyp2A2e-A/edit?usp=s"&amp;"haring"",""อุดรธานี!J628"")+IMPORTRANGE(""https://docs.google.com/spreadsheets/d/1kfLP0j3INXRa8bTDpcEmoWewMBV61jlFlfzczfjWIgc/edit?usp=sharing"",""อุบลราชธานี!J628"")"),46)</f>
        <v>46</v>
      </c>
      <c r="K628" s="56">
        <f t="shared" ca="1" si="451"/>
        <v>657.14285714285711</v>
      </c>
      <c r="L628" s="164"/>
      <c r="M628" s="164"/>
      <c r="N628" s="164"/>
      <c r="O628" s="164"/>
      <c r="P628" s="164"/>
      <c r="Q628" s="164"/>
      <c r="R628" s="164"/>
      <c r="S628" s="172"/>
      <c r="T628" s="164"/>
      <c r="U628" s="164"/>
    </row>
    <row r="629" spans="1:21" ht="18.75">
      <c r="A629" s="166"/>
      <c r="B629" s="167"/>
      <c r="C629" s="167"/>
      <c r="D629" s="167"/>
      <c r="E629" s="178" t="s">
        <v>227</v>
      </c>
      <c r="F629" s="174"/>
      <c r="G629" s="171"/>
      <c r="H629" s="165" t="s">
        <v>46</v>
      </c>
      <c r="I629" s="54"/>
      <c r="J629" s="195">
        <f ca="1">IFERROR(__xludf.DUMMYFUNCTION("IMPORTRANGE(""https://docs.google.com/spreadsheets/d/1yhBcrRPreicbMKl9Bu_Snb2-OcQAF62RKfhTLhJ2eAA/edit?usp=sharing"",""กาฬสินธุ์!J629"")+IMPORTRANGE(""https://docs.google.com/spreadsheets/d/1aHkj4IaQMThhwWwevcOymEh837vdxeC_PycurhTbGFA/edit?usp=sharing"","&amp;"""ขอนแก่น!J629"")+IMPORTRANGE(""https://docs.google.com/spreadsheets/d/1FvTu2DsIWUjP6WCWra38Bkj_oOl_sOMf14r5Fg5srxU/edit?usp=sharing"",""ชัยภูมิ!J629"")+IMPORTRANGE(""https://docs.google.com/spreadsheets/d/1XVB7oCJ3pr-vBUdflwPQ8Z2LlzhnCvZaaYjAfP-647E/edit"&amp;"?usp=sharing"",""นครพนม!J629"")+IMPORTRANGE(""https://docs.google.com/spreadsheets/d/1Mnpb-8PYAgn85W6KOTD40hc_Xc55CaLfHoGAbrZ8tls/edit?usp=sharing"",""นครราชสีมา!J629"")+IMPORTRANGE(""https://docs.google.com/spreadsheets/d/1xoDLGBv9CYbyosIhki0kTq6IpYNj-gp"&amp;"jxfobnaDiut0/edit?usp=sharing"",""บึงกาฬ!J629"")+IMPORTRANGE(""https://docs.google.com/spreadsheets/d/1MMPq-JyI6DSgQETxuSiXkesP-P7JHuemnE6QJIa-Nlw/edit?usp=sharing"",""บุรีรัมย์!J629"")+IMPORTRANGE(""https://docs.google.com/spreadsheets/d/1l6IZ8xUPgMrESzc"&amp;"TYwhA1k_tPjeQjJPTqlm8Gd9eU5g/edit?usp=sharing"",""มหาสารคาม!J629"")+IMPORTRANGE(""https://docs.google.com/spreadsheets/d/1uB74YLqNjWX6FObjekfB2NtSYigTQyR2rq9u4Ub2Sq4/edit?usp=sharing"",""มุกดาหาร!J629"")+IMPORTRANGE(""https://docs.google.com/spreadsheets/"&amp;"d/1NexK3geCPxCTO1fzNF8dPec7yZyUx3OaWkFBC9HsQOo/edit?usp=sharing"",""ยโสธร!J629"")+IMPORTRANGE(""https://docs.google.com/spreadsheets/d/1v_cJrbBlyqmnHPReHk44g9NrMRdENNlSy_E_c5M9fIg/edit?usp=sharing"",""ร้อยเอ็ด!J629"")+IMPORTRANGE(""https://docs.google.com"&amp;"/spreadsheets/d/1Ul4RCpCX66NxYADU1QpwAPjOmBzW64SsT11s1wzXw_c/edit?usp=sharing"",""เลย!J629"")+IMPORTRANGE(""https://docs.google.com/spreadsheets/d/1bRrNKwbHDVktQG10isr5vbWRtt5spIZPpkOSWgbT5ug/edit?usp=sharing"",""ศรีสะเกษ!J629"")+IMPORTRANGE(""https://doc"&amp;"s.google.com/spreadsheets/d/17P34_Ow5kFBfdQD0qspb2UuPX5zpi6WMrQzslghyvrI/edit?usp=sharing"",""สกลนคร!J629"")+IMPORTRANGE(""https://docs.google.com/spreadsheets/d/1yswqbM3-AEpThF3ZSUa1AcmHnmRTF1vlJ1CZGcJ8YuU/edit?usp=sharing"",""สุรินทร์!J629"")+IMPORTRANG"&amp;"E(""https://docs.google.com/spreadsheets/d/13JHU_EFbsQOUQ0JSQ3dWy1VTRosIWcDq6Nc99z2qzdc/edit?usp=sharing"",""หนองคาย!J629"")+IMPORTRANGE(""https://docs.google.com/spreadsheets/d/1Hx73zIEgVdDZZaYSTc46Dqv64atFhpr3GelxLbaIN8A/edit?usp=sharing"",""หนองบัวลำภู"&amp;"!J629"")+IMPORTRANGE(""https://docs.google.com/spreadsheets/d/1lFxr3ctmjFN90yc-xV6jrQ9Ty8BKYVBWnAZ15wcNIJc/edit?usp=sharing"",""อำนาจเจริญ!J629"")+IMPORTRANGE(""https://docs.google.com/spreadsheets/d/1gF7RJpRnL-1oyjyeWxs5SFWEH7y8ahOZsQlyp2A2e-A/edit?usp=s"&amp;"haring"",""อุดรธานี!J629"")+IMPORTRANGE(""https://docs.google.com/spreadsheets/d/1kfLP0j3INXRa8bTDpcEmoWewMBV61jlFlfzczfjWIgc/edit?usp=sharing"",""อุบลราชธานี!J629"")"),417)</f>
        <v>417</v>
      </c>
      <c r="K629" s="56">
        <f t="shared" ref="K629:K631" ca="1" si="452">IF(I$626&gt;0,J629*100/I$626,0)</f>
        <v>32.07692307692308</v>
      </c>
      <c r="L629" s="164"/>
      <c r="M629" s="164"/>
      <c r="N629" s="164"/>
      <c r="O629" s="164"/>
      <c r="P629" s="164"/>
      <c r="Q629" s="164"/>
      <c r="R629" s="164"/>
      <c r="S629" s="172"/>
      <c r="T629" s="164"/>
      <c r="U629" s="164"/>
    </row>
    <row r="630" spans="1:21" ht="18.75">
      <c r="A630" s="166"/>
      <c r="B630" s="167"/>
      <c r="C630" s="167"/>
      <c r="D630" s="167"/>
      <c r="E630" s="178" t="s">
        <v>228</v>
      </c>
      <c r="F630" s="174"/>
      <c r="G630" s="171"/>
      <c r="H630" s="165" t="s">
        <v>46</v>
      </c>
      <c r="I630" s="54"/>
      <c r="J630" s="195">
        <f ca="1">IFERROR(__xludf.DUMMYFUNCTION("IMPORTRANGE(""https://docs.google.com/spreadsheets/d/1yhBcrRPreicbMKl9Bu_Snb2-OcQAF62RKfhTLhJ2eAA/edit?usp=sharing"",""กาฬสินธุ์!J630"")+IMPORTRANGE(""https://docs.google.com/spreadsheets/d/1aHkj4IaQMThhwWwevcOymEh837vdxeC_PycurhTbGFA/edit?usp=sharing"","&amp;"""ขอนแก่น!J630"")+IMPORTRANGE(""https://docs.google.com/spreadsheets/d/1FvTu2DsIWUjP6WCWra38Bkj_oOl_sOMf14r5Fg5srxU/edit?usp=sharing"",""ชัยภูมิ!J630"")+IMPORTRANGE(""https://docs.google.com/spreadsheets/d/1XVB7oCJ3pr-vBUdflwPQ8Z2LlzhnCvZaaYjAfP-647E/edit"&amp;"?usp=sharing"",""นครพนม!J630"")+IMPORTRANGE(""https://docs.google.com/spreadsheets/d/1Mnpb-8PYAgn85W6KOTD40hc_Xc55CaLfHoGAbrZ8tls/edit?usp=sharing"",""นครราชสีมา!J630"")+IMPORTRANGE(""https://docs.google.com/spreadsheets/d/1xoDLGBv9CYbyosIhki0kTq6IpYNj-gp"&amp;"jxfobnaDiut0/edit?usp=sharing"",""บึงกาฬ!J630"")+IMPORTRANGE(""https://docs.google.com/spreadsheets/d/1MMPq-JyI6DSgQETxuSiXkesP-P7JHuemnE6QJIa-Nlw/edit?usp=sharing"",""บุรีรัมย์!J630"")+IMPORTRANGE(""https://docs.google.com/spreadsheets/d/1l6IZ8xUPgMrESzc"&amp;"TYwhA1k_tPjeQjJPTqlm8Gd9eU5g/edit?usp=sharing"",""มหาสารคาม!J630"")+IMPORTRANGE(""https://docs.google.com/spreadsheets/d/1uB74YLqNjWX6FObjekfB2NtSYigTQyR2rq9u4Ub2Sq4/edit?usp=sharing"",""มุกดาหาร!J630"")+IMPORTRANGE(""https://docs.google.com/spreadsheets/"&amp;"d/1NexK3geCPxCTO1fzNF8dPec7yZyUx3OaWkFBC9HsQOo/edit?usp=sharing"",""ยโสธร!J630"")+IMPORTRANGE(""https://docs.google.com/spreadsheets/d/1v_cJrbBlyqmnHPReHk44g9NrMRdENNlSy_E_c5M9fIg/edit?usp=sharing"",""ร้อยเอ็ด!J630"")+IMPORTRANGE(""https://docs.google.com"&amp;"/spreadsheets/d/1Ul4RCpCX66NxYADU1QpwAPjOmBzW64SsT11s1wzXw_c/edit?usp=sharing"",""เลย!J630"")+IMPORTRANGE(""https://docs.google.com/spreadsheets/d/1bRrNKwbHDVktQG10isr5vbWRtt5spIZPpkOSWgbT5ug/edit?usp=sharing"",""ศรีสะเกษ!J630"")+IMPORTRANGE(""https://doc"&amp;"s.google.com/spreadsheets/d/17P34_Ow5kFBfdQD0qspb2UuPX5zpi6WMrQzslghyvrI/edit?usp=sharing"",""สกลนคร!J630"")+IMPORTRANGE(""https://docs.google.com/spreadsheets/d/1yswqbM3-AEpThF3ZSUa1AcmHnmRTF1vlJ1CZGcJ8YuU/edit?usp=sharing"",""สุรินทร์!J630"")+IMPORTRANG"&amp;"E(""https://docs.google.com/spreadsheets/d/13JHU_EFbsQOUQ0JSQ3dWy1VTRosIWcDq6Nc99z2qzdc/edit?usp=sharing"",""หนองคาย!J630"")+IMPORTRANGE(""https://docs.google.com/spreadsheets/d/1Hx73zIEgVdDZZaYSTc46Dqv64atFhpr3GelxLbaIN8A/edit?usp=sharing"",""หนองบัวลำภู"&amp;"!J630"")+IMPORTRANGE(""https://docs.google.com/spreadsheets/d/1lFxr3ctmjFN90yc-xV6jrQ9Ty8BKYVBWnAZ15wcNIJc/edit?usp=sharing"",""อำนาจเจริญ!J630"")+IMPORTRANGE(""https://docs.google.com/spreadsheets/d/1gF7RJpRnL-1oyjyeWxs5SFWEH7y8ahOZsQlyp2A2e-A/edit?usp=s"&amp;"haring"",""อุดรธานี!J630"")+IMPORTRANGE(""https://docs.google.com/spreadsheets/d/1kfLP0j3INXRa8bTDpcEmoWewMBV61jlFlfzczfjWIgc/edit?usp=sharing"",""อุบลราชธานี!J630"")"),0)</f>
        <v>0</v>
      </c>
      <c r="K630" s="56">
        <f t="shared" ca="1" si="452"/>
        <v>0</v>
      </c>
      <c r="L630" s="164"/>
      <c r="M630" s="164"/>
      <c r="N630" s="164"/>
      <c r="O630" s="164"/>
      <c r="P630" s="164"/>
      <c r="Q630" s="164"/>
      <c r="R630" s="164"/>
      <c r="S630" s="172"/>
      <c r="T630" s="164"/>
      <c r="U630" s="164"/>
    </row>
    <row r="631" spans="1:21" ht="18.75">
      <c r="A631" s="166"/>
      <c r="B631" s="167"/>
      <c r="C631" s="167"/>
      <c r="D631" s="167"/>
      <c r="E631" s="178" t="s">
        <v>229</v>
      </c>
      <c r="F631" s="174"/>
      <c r="G631" s="171"/>
      <c r="H631" s="165" t="s">
        <v>46</v>
      </c>
      <c r="I631" s="54"/>
      <c r="J631" s="195">
        <f ca="1">IFERROR(__xludf.DUMMYFUNCTION("IMPORTRANGE(""https://docs.google.com/spreadsheets/d/1yhBcrRPreicbMKl9Bu_Snb2-OcQAF62RKfhTLhJ2eAA/edit?usp=sharing"",""กาฬสินธุ์!J631"")+IMPORTRANGE(""https://docs.google.com/spreadsheets/d/1aHkj4IaQMThhwWwevcOymEh837vdxeC_PycurhTbGFA/edit?usp=sharing"","&amp;"""ขอนแก่น!J631"")+IMPORTRANGE(""https://docs.google.com/spreadsheets/d/1FvTu2DsIWUjP6WCWra38Bkj_oOl_sOMf14r5Fg5srxU/edit?usp=sharing"",""ชัยภูมิ!J631"")+IMPORTRANGE(""https://docs.google.com/spreadsheets/d/1XVB7oCJ3pr-vBUdflwPQ8Z2LlzhnCvZaaYjAfP-647E/edit"&amp;"?usp=sharing"",""นครพนม!J631"")+IMPORTRANGE(""https://docs.google.com/spreadsheets/d/1Mnpb-8PYAgn85W6KOTD40hc_Xc55CaLfHoGAbrZ8tls/edit?usp=sharing"",""นครราชสีมา!J631"")+IMPORTRANGE(""https://docs.google.com/spreadsheets/d/1xoDLGBv9CYbyosIhki0kTq6IpYNj-gp"&amp;"jxfobnaDiut0/edit?usp=sharing"",""บึงกาฬ!J631"")+IMPORTRANGE(""https://docs.google.com/spreadsheets/d/1MMPq-JyI6DSgQETxuSiXkesP-P7JHuemnE6QJIa-Nlw/edit?usp=sharing"",""บุรีรัมย์!J631"")+IMPORTRANGE(""https://docs.google.com/spreadsheets/d/1l6IZ8xUPgMrESzc"&amp;"TYwhA1k_tPjeQjJPTqlm8Gd9eU5g/edit?usp=sharing"",""มหาสารคาม!J631"")+IMPORTRANGE(""https://docs.google.com/spreadsheets/d/1uB74YLqNjWX6FObjekfB2NtSYigTQyR2rq9u4Ub2Sq4/edit?usp=sharing"",""มุกดาหาร!J631"")+IMPORTRANGE(""https://docs.google.com/spreadsheets/"&amp;"d/1NexK3geCPxCTO1fzNF8dPec7yZyUx3OaWkFBC9HsQOo/edit?usp=sharing"",""ยโสธร!J631"")+IMPORTRANGE(""https://docs.google.com/spreadsheets/d/1v_cJrbBlyqmnHPReHk44g9NrMRdENNlSy_E_c5M9fIg/edit?usp=sharing"",""ร้อยเอ็ด!J631"")+IMPORTRANGE(""https://docs.google.com"&amp;"/spreadsheets/d/1Ul4RCpCX66NxYADU1QpwAPjOmBzW64SsT11s1wzXw_c/edit?usp=sharing"",""เลย!J631"")+IMPORTRANGE(""https://docs.google.com/spreadsheets/d/1bRrNKwbHDVktQG10isr5vbWRtt5spIZPpkOSWgbT5ug/edit?usp=sharing"",""ศรีสะเกษ!J631"")+IMPORTRANGE(""https://doc"&amp;"s.google.com/spreadsheets/d/17P34_Ow5kFBfdQD0qspb2UuPX5zpi6WMrQzslghyvrI/edit?usp=sharing"",""สกลนคร!J631"")+IMPORTRANGE(""https://docs.google.com/spreadsheets/d/1yswqbM3-AEpThF3ZSUa1AcmHnmRTF1vlJ1CZGcJ8YuU/edit?usp=sharing"",""สุรินทร์!J631"")+IMPORTRANG"&amp;"E(""https://docs.google.com/spreadsheets/d/13JHU_EFbsQOUQ0JSQ3dWy1VTRosIWcDq6Nc99z2qzdc/edit?usp=sharing"",""หนองคาย!J631"")+IMPORTRANGE(""https://docs.google.com/spreadsheets/d/1Hx73zIEgVdDZZaYSTc46Dqv64atFhpr3GelxLbaIN8A/edit?usp=sharing"",""หนองบัวลำภู"&amp;"!J631"")+IMPORTRANGE(""https://docs.google.com/spreadsheets/d/1lFxr3ctmjFN90yc-xV6jrQ9Ty8BKYVBWnAZ15wcNIJc/edit?usp=sharing"",""อำนาจเจริญ!J631"")+IMPORTRANGE(""https://docs.google.com/spreadsheets/d/1gF7RJpRnL-1oyjyeWxs5SFWEH7y8ahOZsQlyp2A2e-A/edit?usp=s"&amp;"haring"",""อุดรธานี!J631"")+IMPORTRANGE(""https://docs.google.com/spreadsheets/d/1kfLP0j3INXRa8bTDpcEmoWewMBV61jlFlfzczfjWIgc/edit?usp=sharing"",""อุบลราชธานี!J631"")"),0)</f>
        <v>0</v>
      </c>
      <c r="K631" s="56">
        <f t="shared" ca="1" si="452"/>
        <v>0</v>
      </c>
      <c r="L631" s="164"/>
      <c r="M631" s="164"/>
      <c r="N631" s="164"/>
      <c r="O631" s="164"/>
      <c r="P631" s="164"/>
      <c r="Q631" s="164"/>
      <c r="R631" s="164"/>
      <c r="S631" s="172"/>
      <c r="T631" s="164"/>
      <c r="U631" s="164"/>
    </row>
    <row r="632" spans="1:21" ht="19.5">
      <c r="A632" s="166"/>
      <c r="B632" s="167"/>
      <c r="C632" s="167"/>
      <c r="D632" s="167"/>
      <c r="E632" s="178" t="s">
        <v>230</v>
      </c>
      <c r="F632" s="174"/>
      <c r="G632" s="171"/>
      <c r="H632" s="165" t="s">
        <v>46</v>
      </c>
      <c r="I632" s="54"/>
      <c r="J632" s="176">
        <f ca="1">J633+J634</f>
        <v>0</v>
      </c>
      <c r="K632" s="159">
        <f ca="1">IF(I626&gt;0,J632*100/I626,0)</f>
        <v>0</v>
      </c>
      <c r="L632" s="164"/>
      <c r="M632" s="164"/>
      <c r="N632" s="164"/>
      <c r="O632" s="164"/>
      <c r="P632" s="164"/>
      <c r="Q632" s="164"/>
      <c r="R632" s="164"/>
      <c r="S632" s="172"/>
      <c r="T632" s="164"/>
      <c r="U632" s="164"/>
    </row>
    <row r="633" spans="1:21" ht="18.75">
      <c r="A633" s="166"/>
      <c r="B633" s="167"/>
      <c r="C633" s="167"/>
      <c r="D633" s="167"/>
      <c r="E633" s="174"/>
      <c r="F633" s="178" t="s">
        <v>231</v>
      </c>
      <c r="G633" s="171"/>
      <c r="H633" s="165" t="s">
        <v>46</v>
      </c>
      <c r="I633" s="54"/>
      <c r="J633" s="195">
        <f ca="1">IFERROR(__xludf.DUMMYFUNCTION("IMPORTRANGE(""https://docs.google.com/spreadsheets/d/1yhBcrRPreicbMKl9Bu_Snb2-OcQAF62RKfhTLhJ2eAA/edit?usp=sharing"",""กาฬสินธุ์!J633"")+IMPORTRANGE(""https://docs.google.com/spreadsheets/d/1aHkj4IaQMThhwWwevcOymEh837vdxeC_PycurhTbGFA/edit?usp=sharing"","&amp;"""ขอนแก่น!J633"")+IMPORTRANGE(""https://docs.google.com/spreadsheets/d/1FvTu2DsIWUjP6WCWra38Bkj_oOl_sOMf14r5Fg5srxU/edit?usp=sharing"",""ชัยภูมิ!J633"")+IMPORTRANGE(""https://docs.google.com/spreadsheets/d/1XVB7oCJ3pr-vBUdflwPQ8Z2LlzhnCvZaaYjAfP-647E/edit"&amp;"?usp=sharing"",""นครพนม!J633"")+IMPORTRANGE(""https://docs.google.com/spreadsheets/d/1Mnpb-8PYAgn85W6KOTD40hc_Xc55CaLfHoGAbrZ8tls/edit?usp=sharing"",""นครราชสีมา!J633"")+IMPORTRANGE(""https://docs.google.com/spreadsheets/d/1xoDLGBv9CYbyosIhki0kTq6IpYNj-gp"&amp;"jxfobnaDiut0/edit?usp=sharing"",""บึงกาฬ!J633"")+IMPORTRANGE(""https://docs.google.com/spreadsheets/d/1MMPq-JyI6DSgQETxuSiXkesP-P7JHuemnE6QJIa-Nlw/edit?usp=sharing"",""บุรีรัมย์!J633"")+IMPORTRANGE(""https://docs.google.com/spreadsheets/d/1l6IZ8xUPgMrESzc"&amp;"TYwhA1k_tPjeQjJPTqlm8Gd9eU5g/edit?usp=sharing"",""มหาสารคาม!J633"")+IMPORTRANGE(""https://docs.google.com/spreadsheets/d/1uB74YLqNjWX6FObjekfB2NtSYigTQyR2rq9u4Ub2Sq4/edit?usp=sharing"",""มุกดาหาร!J633"")+IMPORTRANGE(""https://docs.google.com/spreadsheets/"&amp;"d/1NexK3geCPxCTO1fzNF8dPec7yZyUx3OaWkFBC9HsQOo/edit?usp=sharing"",""ยโสธร!J633"")+IMPORTRANGE(""https://docs.google.com/spreadsheets/d/1v_cJrbBlyqmnHPReHk44g9NrMRdENNlSy_E_c5M9fIg/edit?usp=sharing"",""ร้อยเอ็ด!J633"")+IMPORTRANGE(""https://docs.google.com"&amp;"/spreadsheets/d/1Ul4RCpCX66NxYADU1QpwAPjOmBzW64SsT11s1wzXw_c/edit?usp=sharing"",""เลย!J633"")+IMPORTRANGE(""https://docs.google.com/spreadsheets/d/1bRrNKwbHDVktQG10isr5vbWRtt5spIZPpkOSWgbT5ug/edit?usp=sharing"",""ศรีสะเกษ!J633"")+IMPORTRANGE(""https://doc"&amp;"s.google.com/spreadsheets/d/17P34_Ow5kFBfdQD0qspb2UuPX5zpi6WMrQzslghyvrI/edit?usp=sharing"",""สกลนคร!J633"")+IMPORTRANGE(""https://docs.google.com/spreadsheets/d/1yswqbM3-AEpThF3ZSUa1AcmHnmRTF1vlJ1CZGcJ8YuU/edit?usp=sharing"",""สุรินทร์!J633"")+IMPORTRANG"&amp;"E(""https://docs.google.com/spreadsheets/d/13JHU_EFbsQOUQ0JSQ3dWy1VTRosIWcDq6Nc99z2qzdc/edit?usp=sharing"",""หนองคาย!J633"")+IMPORTRANGE(""https://docs.google.com/spreadsheets/d/1Hx73zIEgVdDZZaYSTc46Dqv64atFhpr3GelxLbaIN8A/edit?usp=sharing"",""หนองบัวลำภู"&amp;"!J633"")+IMPORTRANGE(""https://docs.google.com/spreadsheets/d/1lFxr3ctmjFN90yc-xV6jrQ9Ty8BKYVBWnAZ15wcNIJc/edit?usp=sharing"",""อำนาจเจริญ!J633"")+IMPORTRANGE(""https://docs.google.com/spreadsheets/d/1gF7RJpRnL-1oyjyeWxs5SFWEH7y8ahOZsQlyp2A2e-A/edit?usp=s"&amp;"haring"",""อุดรธานี!J633"")+IMPORTRANGE(""https://docs.google.com/spreadsheets/d/1kfLP0j3INXRa8bTDpcEmoWewMBV61jlFlfzczfjWIgc/edit?usp=sharing"",""อุบลราชธานี!J633"")"),0)</f>
        <v>0</v>
      </c>
      <c r="K633" s="55"/>
      <c r="L633" s="164"/>
      <c r="M633" s="164"/>
      <c r="N633" s="164"/>
      <c r="O633" s="164"/>
      <c r="P633" s="164"/>
      <c r="Q633" s="164"/>
      <c r="R633" s="164"/>
      <c r="S633" s="172"/>
      <c r="T633" s="164"/>
      <c r="U633" s="164"/>
    </row>
    <row r="634" spans="1:21" ht="18.75">
      <c r="A634" s="166"/>
      <c r="B634" s="167"/>
      <c r="C634" s="167"/>
      <c r="D634" s="167"/>
      <c r="E634" s="174"/>
      <c r="F634" s="178" t="s">
        <v>232</v>
      </c>
      <c r="G634" s="171"/>
      <c r="H634" s="165" t="s">
        <v>46</v>
      </c>
      <c r="I634" s="54"/>
      <c r="J634" s="195">
        <f ca="1">IFERROR(__xludf.DUMMYFUNCTION("IMPORTRANGE(""https://docs.google.com/spreadsheets/d/1yhBcrRPreicbMKl9Bu_Snb2-OcQAF62RKfhTLhJ2eAA/edit?usp=sharing"",""กาฬสินธุ์!J634"")+IMPORTRANGE(""https://docs.google.com/spreadsheets/d/1aHkj4IaQMThhwWwevcOymEh837vdxeC_PycurhTbGFA/edit?usp=sharing"","&amp;"""ขอนแก่น!J634"")+IMPORTRANGE(""https://docs.google.com/spreadsheets/d/1FvTu2DsIWUjP6WCWra38Bkj_oOl_sOMf14r5Fg5srxU/edit?usp=sharing"",""ชัยภูมิ!J634"")+IMPORTRANGE(""https://docs.google.com/spreadsheets/d/1XVB7oCJ3pr-vBUdflwPQ8Z2LlzhnCvZaaYjAfP-647E/edit"&amp;"?usp=sharing"",""นครพนม!J634"")+IMPORTRANGE(""https://docs.google.com/spreadsheets/d/1Mnpb-8PYAgn85W6KOTD40hc_Xc55CaLfHoGAbrZ8tls/edit?usp=sharing"",""นครราชสีมา!J634"")+IMPORTRANGE(""https://docs.google.com/spreadsheets/d/1xoDLGBv9CYbyosIhki0kTq6IpYNj-gp"&amp;"jxfobnaDiut0/edit?usp=sharing"",""บึงกาฬ!J634"")+IMPORTRANGE(""https://docs.google.com/spreadsheets/d/1MMPq-JyI6DSgQETxuSiXkesP-P7JHuemnE6QJIa-Nlw/edit?usp=sharing"",""บุรีรัมย์!J634"")+IMPORTRANGE(""https://docs.google.com/spreadsheets/d/1l6IZ8xUPgMrESzc"&amp;"TYwhA1k_tPjeQjJPTqlm8Gd9eU5g/edit?usp=sharing"",""มหาสารคาม!J634"")+IMPORTRANGE(""https://docs.google.com/spreadsheets/d/1uB74YLqNjWX6FObjekfB2NtSYigTQyR2rq9u4Ub2Sq4/edit?usp=sharing"",""มุกดาหาร!J634"")+IMPORTRANGE(""https://docs.google.com/spreadsheets/"&amp;"d/1NexK3geCPxCTO1fzNF8dPec7yZyUx3OaWkFBC9HsQOo/edit?usp=sharing"",""ยโสธร!J634"")+IMPORTRANGE(""https://docs.google.com/spreadsheets/d/1v_cJrbBlyqmnHPReHk44g9NrMRdENNlSy_E_c5M9fIg/edit?usp=sharing"",""ร้อยเอ็ด!J634"")+IMPORTRANGE(""https://docs.google.com"&amp;"/spreadsheets/d/1Ul4RCpCX66NxYADU1QpwAPjOmBzW64SsT11s1wzXw_c/edit?usp=sharing"",""เลย!J634"")+IMPORTRANGE(""https://docs.google.com/spreadsheets/d/1bRrNKwbHDVktQG10isr5vbWRtt5spIZPpkOSWgbT5ug/edit?usp=sharing"",""ศรีสะเกษ!J634"")+IMPORTRANGE(""https://doc"&amp;"s.google.com/spreadsheets/d/17P34_Ow5kFBfdQD0qspb2UuPX5zpi6WMrQzslghyvrI/edit?usp=sharing"",""สกลนคร!J634"")+IMPORTRANGE(""https://docs.google.com/spreadsheets/d/1yswqbM3-AEpThF3ZSUa1AcmHnmRTF1vlJ1CZGcJ8YuU/edit?usp=sharing"",""สุรินทร์!J634"")+IMPORTRANG"&amp;"E(""https://docs.google.com/spreadsheets/d/13JHU_EFbsQOUQ0JSQ3dWy1VTRosIWcDq6Nc99z2qzdc/edit?usp=sharing"",""หนองคาย!J634"")+IMPORTRANGE(""https://docs.google.com/spreadsheets/d/1Hx73zIEgVdDZZaYSTc46Dqv64atFhpr3GelxLbaIN8A/edit?usp=sharing"",""หนองบัวลำภู"&amp;"!J634"")+IMPORTRANGE(""https://docs.google.com/spreadsheets/d/1lFxr3ctmjFN90yc-xV6jrQ9Ty8BKYVBWnAZ15wcNIJc/edit?usp=sharing"",""อำนาจเจริญ!J634"")+IMPORTRANGE(""https://docs.google.com/spreadsheets/d/1gF7RJpRnL-1oyjyeWxs5SFWEH7y8ahOZsQlyp2A2e-A/edit?usp=s"&amp;"haring"",""อุดรธานี!J634"")+IMPORTRANGE(""https://docs.google.com/spreadsheets/d/1kfLP0j3INXRa8bTDpcEmoWewMBV61jlFlfzczfjWIgc/edit?usp=sharing"",""อุบลราชธานี!J634"")"),0)</f>
        <v>0</v>
      </c>
      <c r="K634" s="55"/>
      <c r="L634" s="164"/>
      <c r="M634" s="164"/>
      <c r="N634" s="164"/>
      <c r="O634" s="164"/>
      <c r="P634" s="164"/>
      <c r="Q634" s="164"/>
      <c r="R634" s="164"/>
      <c r="S634" s="172"/>
      <c r="T634" s="164"/>
      <c r="U634" s="164"/>
    </row>
    <row r="635" spans="1:21" ht="19.5">
      <c r="A635" s="166"/>
      <c r="B635" s="167"/>
      <c r="C635" s="167"/>
      <c r="D635" s="460" t="s">
        <v>233</v>
      </c>
      <c r="E635" s="174"/>
      <c r="F635" s="174"/>
      <c r="G635" s="171"/>
      <c r="H635" s="165" t="s">
        <v>46</v>
      </c>
      <c r="I635" s="176">
        <f ca="1">IFERROR(__xludf.DUMMYFUNCTION("IMPORTRANGE(""https://docs.google.com/spreadsheets/d/1yhBcrRPreicbMKl9Bu_Snb2-OcQAF62RKfhTLhJ2eAA/edit?usp=sharing"",""กาฬสินธุ์!I635"")+IMPORTRANGE(""https://docs.google.com/spreadsheets/d/1aHkj4IaQMThhwWwevcOymEh837vdxeC_PycurhTbGFA/edit?usp=sharing"","&amp;"""ขอนแก่น!I635"")+IMPORTRANGE(""https://docs.google.com/spreadsheets/d/1FvTu2DsIWUjP6WCWra38Bkj_oOl_sOMf14r5Fg5srxU/edit?usp=sharing"",""ชัยภูมิ!I635"")+IMPORTRANGE(""https://docs.google.com/spreadsheets/d/1XVB7oCJ3pr-vBUdflwPQ8Z2LlzhnCvZaaYjAfP-647E/edit"&amp;"?usp=sharing"",""นครพนม!I635"")+IMPORTRANGE(""https://docs.google.com/spreadsheets/d/1Mnpb-8PYAgn85W6KOTD40hc_Xc55CaLfHoGAbrZ8tls/edit?usp=sharing"",""นครราชสีมา!I635"")+IMPORTRANGE(""https://docs.google.com/spreadsheets/d/1xoDLGBv9CYbyosIhki0kTq6IpYNj-gp"&amp;"jxfobnaDiut0/edit?usp=sharing"",""บึงกาฬ!I635"")+IMPORTRANGE(""https://docs.google.com/spreadsheets/d/1MMPq-JyI6DSgQETxuSiXkesP-P7JHuemnE6QJIa-Nlw/edit?usp=sharing"",""บุรีรัมย์!I635"")+IMPORTRANGE(""https://docs.google.com/spreadsheets/d/1l6IZ8xUPgMrESzc"&amp;"TYwhA1k_tPjeQjJPTqlm8Gd9eU5g/edit?usp=sharing"",""มหาสารคาม!I635"")+IMPORTRANGE(""https://docs.google.com/spreadsheets/d/1uB74YLqNjWX6FObjekfB2NtSYigTQyR2rq9u4Ub2Sq4/edit?usp=sharing"",""มุกดาหาร!I635"")+IMPORTRANGE(""https://docs.google.com/spreadsheets/"&amp;"d/1NexK3geCPxCTO1fzNF8dPec7yZyUx3OaWkFBC9HsQOo/edit?usp=sharing"",""ยโสธร!I635"")+IMPORTRANGE(""https://docs.google.com/spreadsheets/d/1v_cJrbBlyqmnHPReHk44g9NrMRdENNlSy_E_c5M9fIg/edit?usp=sharing"",""ร้อยเอ็ด!I635"")+IMPORTRANGE(""https://docs.google.com"&amp;"/spreadsheets/d/1Ul4RCpCX66NxYADU1QpwAPjOmBzW64SsT11s1wzXw_c/edit?usp=sharing"",""เลย!I635"")+IMPORTRANGE(""https://docs.google.com/spreadsheets/d/1bRrNKwbHDVktQG10isr5vbWRtt5spIZPpkOSWgbT5ug/edit?usp=sharing"",""ศรีสะเกษ!I635"")+IMPORTRANGE(""https://doc"&amp;"s.google.com/spreadsheets/d/17P34_Ow5kFBfdQD0qspb2UuPX5zpi6WMrQzslghyvrI/edit?usp=sharing"",""สกลนคร!I635"")+IMPORTRANGE(""https://docs.google.com/spreadsheets/d/1yswqbM3-AEpThF3ZSUa1AcmHnmRTF1vlJ1CZGcJ8YuU/edit?usp=sharing"",""สุรินทร์!I635"")+IMPORTRANG"&amp;"E(""https://docs.google.com/spreadsheets/d/13JHU_EFbsQOUQ0JSQ3dWy1VTRosIWcDq6Nc99z2qzdc/edit?usp=sharing"",""หนองคาย!I635"")+IMPORTRANGE(""https://docs.google.com/spreadsheets/d/1Hx73zIEgVdDZZaYSTc46Dqv64atFhpr3GelxLbaIN8A/edit?usp=sharing"",""หนองบัวลำภู"&amp;"!I635"")+IMPORTRANGE(""https://docs.google.com/spreadsheets/d/1lFxr3ctmjFN90yc-xV6jrQ9Ty8BKYVBWnAZ15wcNIJc/edit?usp=sharing"",""อำนาจเจริญ!I635"")+IMPORTRANGE(""https://docs.google.com/spreadsheets/d/1gF7RJpRnL-1oyjyeWxs5SFWEH7y8ahOZsQlyp2A2e-A/edit?usp=s"&amp;"haring"",""อุดรธานี!I635"")+IMPORTRANGE(""https://docs.google.com/spreadsheets/d/1kfLP0j3INXRa8bTDpcEmoWewMBV61jlFlfzczfjWIgc/edit?usp=sharing"",""อุบลราชธานี!I635"")"),0)</f>
        <v>0</v>
      </c>
      <c r="J635" s="176">
        <f ca="1">J636</f>
        <v>179</v>
      </c>
      <c r="K635" s="159">
        <f ca="1">IF(I635&gt;0,J635*100/I635,0)</f>
        <v>0</v>
      </c>
      <c r="L635" s="164"/>
      <c r="M635" s="164"/>
      <c r="N635" s="164"/>
      <c r="O635" s="164"/>
      <c r="P635" s="164"/>
      <c r="Q635" s="164"/>
      <c r="R635" s="164"/>
      <c r="S635" s="172"/>
      <c r="T635" s="164"/>
      <c r="U635" s="164"/>
    </row>
    <row r="636" spans="1:21" ht="18.75">
      <c r="A636" s="166"/>
      <c r="B636" s="167"/>
      <c r="C636" s="167"/>
      <c r="D636" s="167"/>
      <c r="E636" s="178" t="s">
        <v>234</v>
      </c>
      <c r="F636" s="174"/>
      <c r="G636" s="171"/>
      <c r="H636" s="165" t="s">
        <v>46</v>
      </c>
      <c r="I636" s="54"/>
      <c r="J636" s="181">
        <f ca="1">J637+J638</f>
        <v>179</v>
      </c>
      <c r="K636" s="55"/>
      <c r="L636" s="164"/>
      <c r="M636" s="164"/>
      <c r="N636" s="164"/>
      <c r="O636" s="164"/>
      <c r="P636" s="164"/>
      <c r="Q636" s="164"/>
      <c r="R636" s="164"/>
      <c r="S636" s="172"/>
      <c r="T636" s="164"/>
      <c r="U636" s="164"/>
    </row>
    <row r="637" spans="1:21" ht="18.75">
      <c r="A637" s="166"/>
      <c r="B637" s="167"/>
      <c r="C637" s="167"/>
      <c r="D637" s="167"/>
      <c r="E637" s="174"/>
      <c r="F637" s="178" t="s">
        <v>231</v>
      </c>
      <c r="G637" s="171"/>
      <c r="H637" s="165" t="s">
        <v>46</v>
      </c>
      <c r="I637" s="54"/>
      <c r="J637" s="195">
        <f ca="1">IFERROR(__xludf.DUMMYFUNCTION("IMPORTRANGE(""https://docs.google.com/spreadsheets/d/1yhBcrRPreicbMKl9Bu_Snb2-OcQAF62RKfhTLhJ2eAA/edit?usp=sharing"",""กาฬสินธุ์!J637"")+IMPORTRANGE(""https://docs.google.com/spreadsheets/d/1aHkj4IaQMThhwWwevcOymEh837vdxeC_PycurhTbGFA/edit?usp=sharing"","&amp;"""ขอนแก่น!J637"")+IMPORTRANGE(""https://docs.google.com/spreadsheets/d/1FvTu2DsIWUjP6WCWra38Bkj_oOl_sOMf14r5Fg5srxU/edit?usp=sharing"",""ชัยภูมิ!J637"")+IMPORTRANGE(""https://docs.google.com/spreadsheets/d/1XVB7oCJ3pr-vBUdflwPQ8Z2LlzhnCvZaaYjAfP-647E/edit"&amp;"?usp=sharing"",""นครพนม!J637"")+IMPORTRANGE(""https://docs.google.com/spreadsheets/d/1Mnpb-8PYAgn85W6KOTD40hc_Xc55CaLfHoGAbrZ8tls/edit?usp=sharing"",""นครราชสีมา!J637"")+IMPORTRANGE(""https://docs.google.com/spreadsheets/d/1xoDLGBv9CYbyosIhki0kTq6IpYNj-gp"&amp;"jxfobnaDiut0/edit?usp=sharing"",""บึงกาฬ!J637"")+IMPORTRANGE(""https://docs.google.com/spreadsheets/d/1MMPq-JyI6DSgQETxuSiXkesP-P7JHuemnE6QJIa-Nlw/edit?usp=sharing"",""บุรีรัมย์!J637"")+IMPORTRANGE(""https://docs.google.com/spreadsheets/d/1l6IZ8xUPgMrESzc"&amp;"TYwhA1k_tPjeQjJPTqlm8Gd9eU5g/edit?usp=sharing"",""มหาสารคาม!J637"")+IMPORTRANGE(""https://docs.google.com/spreadsheets/d/1uB74YLqNjWX6FObjekfB2NtSYigTQyR2rq9u4Ub2Sq4/edit?usp=sharing"",""มุกดาหาร!J637"")+IMPORTRANGE(""https://docs.google.com/spreadsheets/"&amp;"d/1NexK3geCPxCTO1fzNF8dPec7yZyUx3OaWkFBC9HsQOo/edit?usp=sharing"",""ยโสธร!J637"")+IMPORTRANGE(""https://docs.google.com/spreadsheets/d/1v_cJrbBlyqmnHPReHk44g9NrMRdENNlSy_E_c5M9fIg/edit?usp=sharing"",""ร้อยเอ็ด!J637"")+IMPORTRANGE(""https://docs.google.com"&amp;"/spreadsheets/d/1Ul4RCpCX66NxYADU1QpwAPjOmBzW64SsT11s1wzXw_c/edit?usp=sharing"",""เลย!J637"")+IMPORTRANGE(""https://docs.google.com/spreadsheets/d/1bRrNKwbHDVktQG10isr5vbWRtt5spIZPpkOSWgbT5ug/edit?usp=sharing"",""ศรีสะเกษ!J637"")+IMPORTRANGE(""https://doc"&amp;"s.google.com/spreadsheets/d/17P34_Ow5kFBfdQD0qspb2UuPX5zpi6WMrQzslghyvrI/edit?usp=sharing"",""สกลนคร!J637"")+IMPORTRANGE(""https://docs.google.com/spreadsheets/d/1yswqbM3-AEpThF3ZSUa1AcmHnmRTF1vlJ1CZGcJ8YuU/edit?usp=sharing"",""สุรินทร์!J637"")+IMPORTRANG"&amp;"E(""https://docs.google.com/spreadsheets/d/13JHU_EFbsQOUQ0JSQ3dWy1VTRosIWcDq6Nc99z2qzdc/edit?usp=sharing"",""หนองคาย!J637"")+IMPORTRANGE(""https://docs.google.com/spreadsheets/d/1Hx73zIEgVdDZZaYSTc46Dqv64atFhpr3GelxLbaIN8A/edit?usp=sharing"",""หนองบัวลำภู"&amp;"!J637"")+IMPORTRANGE(""https://docs.google.com/spreadsheets/d/1lFxr3ctmjFN90yc-xV6jrQ9Ty8BKYVBWnAZ15wcNIJc/edit?usp=sharing"",""อำนาจเจริญ!J637"")+IMPORTRANGE(""https://docs.google.com/spreadsheets/d/1gF7RJpRnL-1oyjyeWxs5SFWEH7y8ahOZsQlyp2A2e-A/edit?usp=s"&amp;"haring"",""อุดรธานี!J637"")+IMPORTRANGE(""https://docs.google.com/spreadsheets/d/1kfLP0j3INXRa8bTDpcEmoWewMBV61jlFlfzczfjWIgc/edit?usp=sharing"",""อุบลราชธานี!J637"")"),0)</f>
        <v>0</v>
      </c>
      <c r="K637" s="55"/>
      <c r="L637" s="164"/>
      <c r="M637" s="164"/>
      <c r="N637" s="164"/>
      <c r="O637" s="164"/>
      <c r="P637" s="164"/>
      <c r="Q637" s="164"/>
      <c r="R637" s="164"/>
      <c r="S637" s="172"/>
      <c r="T637" s="164"/>
      <c r="U637" s="164"/>
    </row>
    <row r="638" spans="1:21" ht="18.75">
      <c r="A638" s="166"/>
      <c r="B638" s="167"/>
      <c r="C638" s="167"/>
      <c r="D638" s="167"/>
      <c r="E638" s="174"/>
      <c r="F638" s="178" t="s">
        <v>232</v>
      </c>
      <c r="G638" s="171"/>
      <c r="H638" s="165" t="s">
        <v>46</v>
      </c>
      <c r="I638" s="54"/>
      <c r="J638" s="195">
        <f ca="1">IFERROR(__xludf.DUMMYFUNCTION("IMPORTRANGE(""https://docs.google.com/spreadsheets/d/1yhBcrRPreicbMKl9Bu_Snb2-OcQAF62RKfhTLhJ2eAA/edit?usp=sharing"",""กาฬสินธุ์!J638"")+IMPORTRANGE(""https://docs.google.com/spreadsheets/d/1aHkj4IaQMThhwWwevcOymEh837vdxeC_PycurhTbGFA/edit?usp=sharing"","&amp;"""ขอนแก่น!J638"")+IMPORTRANGE(""https://docs.google.com/spreadsheets/d/1FvTu2DsIWUjP6WCWra38Bkj_oOl_sOMf14r5Fg5srxU/edit?usp=sharing"",""ชัยภูมิ!J638"")+IMPORTRANGE(""https://docs.google.com/spreadsheets/d/1XVB7oCJ3pr-vBUdflwPQ8Z2LlzhnCvZaaYjAfP-647E/edit"&amp;"?usp=sharing"",""นครพนม!J638"")+IMPORTRANGE(""https://docs.google.com/spreadsheets/d/1Mnpb-8PYAgn85W6KOTD40hc_Xc55CaLfHoGAbrZ8tls/edit?usp=sharing"",""นครราชสีมา!J638"")+IMPORTRANGE(""https://docs.google.com/spreadsheets/d/1xoDLGBv9CYbyosIhki0kTq6IpYNj-gp"&amp;"jxfobnaDiut0/edit?usp=sharing"",""บึงกาฬ!J638"")+IMPORTRANGE(""https://docs.google.com/spreadsheets/d/1MMPq-JyI6DSgQETxuSiXkesP-P7JHuemnE6QJIa-Nlw/edit?usp=sharing"",""บุรีรัมย์!J638"")+IMPORTRANGE(""https://docs.google.com/spreadsheets/d/1l6IZ8xUPgMrESzc"&amp;"TYwhA1k_tPjeQjJPTqlm8Gd9eU5g/edit?usp=sharing"",""มหาสารคาม!J638"")+IMPORTRANGE(""https://docs.google.com/spreadsheets/d/1uB74YLqNjWX6FObjekfB2NtSYigTQyR2rq9u4Ub2Sq4/edit?usp=sharing"",""มุกดาหาร!J638"")+IMPORTRANGE(""https://docs.google.com/spreadsheets/"&amp;"d/1NexK3geCPxCTO1fzNF8dPec7yZyUx3OaWkFBC9HsQOo/edit?usp=sharing"",""ยโสธร!J638"")+IMPORTRANGE(""https://docs.google.com/spreadsheets/d/1v_cJrbBlyqmnHPReHk44g9NrMRdENNlSy_E_c5M9fIg/edit?usp=sharing"",""ร้อยเอ็ด!J638"")+IMPORTRANGE(""https://docs.google.com"&amp;"/spreadsheets/d/1Ul4RCpCX66NxYADU1QpwAPjOmBzW64SsT11s1wzXw_c/edit?usp=sharing"",""เลย!J638"")+IMPORTRANGE(""https://docs.google.com/spreadsheets/d/1bRrNKwbHDVktQG10isr5vbWRtt5spIZPpkOSWgbT5ug/edit?usp=sharing"",""ศรีสะเกษ!J638"")+IMPORTRANGE(""https://doc"&amp;"s.google.com/spreadsheets/d/17P34_Ow5kFBfdQD0qspb2UuPX5zpi6WMrQzslghyvrI/edit?usp=sharing"",""สกลนคร!J638"")+IMPORTRANGE(""https://docs.google.com/spreadsheets/d/1yswqbM3-AEpThF3ZSUa1AcmHnmRTF1vlJ1CZGcJ8YuU/edit?usp=sharing"",""สุรินทร์!J638"")+IMPORTRANG"&amp;"E(""https://docs.google.com/spreadsheets/d/13JHU_EFbsQOUQ0JSQ3dWy1VTRosIWcDq6Nc99z2qzdc/edit?usp=sharing"",""หนองคาย!J638"")+IMPORTRANGE(""https://docs.google.com/spreadsheets/d/1Hx73zIEgVdDZZaYSTc46Dqv64atFhpr3GelxLbaIN8A/edit?usp=sharing"",""หนองบัวลำภู"&amp;"!J638"")+IMPORTRANGE(""https://docs.google.com/spreadsheets/d/1lFxr3ctmjFN90yc-xV6jrQ9Ty8BKYVBWnAZ15wcNIJc/edit?usp=sharing"",""อำนาจเจริญ!J638"")+IMPORTRANGE(""https://docs.google.com/spreadsheets/d/1gF7RJpRnL-1oyjyeWxs5SFWEH7y8ahOZsQlyp2A2e-A/edit?usp=s"&amp;"haring"",""อุดรธานี!J638"")+IMPORTRANGE(""https://docs.google.com/spreadsheets/d/1kfLP0j3INXRa8bTDpcEmoWewMBV61jlFlfzczfjWIgc/edit?usp=sharing"",""อุบลราชธานี!J638"")"),179)</f>
        <v>179</v>
      </c>
      <c r="K638" s="55"/>
      <c r="L638" s="164"/>
      <c r="M638" s="164"/>
      <c r="N638" s="164"/>
      <c r="O638" s="164"/>
      <c r="P638" s="164"/>
      <c r="Q638" s="164"/>
      <c r="R638" s="164"/>
      <c r="S638" s="172"/>
      <c r="T638" s="164"/>
      <c r="U638" s="164"/>
    </row>
    <row r="639" spans="1:21" ht="18.75">
      <c r="A639" s="166"/>
      <c r="B639" s="167"/>
      <c r="C639" s="167"/>
      <c r="D639" s="167"/>
      <c r="E639" s="178" t="s">
        <v>235</v>
      </c>
      <c r="F639" s="174"/>
      <c r="G639" s="171"/>
      <c r="H639" s="165" t="s">
        <v>46</v>
      </c>
      <c r="I639" s="54"/>
      <c r="J639" s="195">
        <f ca="1">IFERROR(__xludf.DUMMYFUNCTION("IMPORTRANGE(""https://docs.google.com/spreadsheets/d/1yhBcrRPreicbMKl9Bu_Snb2-OcQAF62RKfhTLhJ2eAA/edit?usp=sharing"",""กาฬสินธุ์!J639"")+IMPORTRANGE(""https://docs.google.com/spreadsheets/d/1aHkj4IaQMThhwWwevcOymEh837vdxeC_PycurhTbGFA/edit?usp=sharing"","&amp;"""ขอนแก่น!J639"")+IMPORTRANGE(""https://docs.google.com/spreadsheets/d/1FvTu2DsIWUjP6WCWra38Bkj_oOl_sOMf14r5Fg5srxU/edit?usp=sharing"",""ชัยภูมิ!J639"")+IMPORTRANGE(""https://docs.google.com/spreadsheets/d/1XVB7oCJ3pr-vBUdflwPQ8Z2LlzhnCvZaaYjAfP-647E/edit"&amp;"?usp=sharing"",""นครพนม!J639"")+IMPORTRANGE(""https://docs.google.com/spreadsheets/d/1Mnpb-8PYAgn85W6KOTD40hc_Xc55CaLfHoGAbrZ8tls/edit?usp=sharing"",""นครราชสีมา!J639"")+IMPORTRANGE(""https://docs.google.com/spreadsheets/d/1xoDLGBv9CYbyosIhki0kTq6IpYNj-gp"&amp;"jxfobnaDiut0/edit?usp=sharing"",""บึงกาฬ!J639"")+IMPORTRANGE(""https://docs.google.com/spreadsheets/d/1MMPq-JyI6DSgQETxuSiXkesP-P7JHuemnE6QJIa-Nlw/edit?usp=sharing"",""บุรีรัมย์!J639"")+IMPORTRANGE(""https://docs.google.com/spreadsheets/d/1l6IZ8xUPgMrESzc"&amp;"TYwhA1k_tPjeQjJPTqlm8Gd9eU5g/edit?usp=sharing"",""มหาสารคาม!J639"")+IMPORTRANGE(""https://docs.google.com/spreadsheets/d/1uB74YLqNjWX6FObjekfB2NtSYigTQyR2rq9u4Ub2Sq4/edit?usp=sharing"",""มุกดาหาร!J639"")+IMPORTRANGE(""https://docs.google.com/spreadsheets/"&amp;"d/1NexK3geCPxCTO1fzNF8dPec7yZyUx3OaWkFBC9HsQOo/edit?usp=sharing"",""ยโสธร!J639"")+IMPORTRANGE(""https://docs.google.com/spreadsheets/d/1v_cJrbBlyqmnHPReHk44g9NrMRdENNlSy_E_c5M9fIg/edit?usp=sharing"",""ร้อยเอ็ด!J639"")+IMPORTRANGE(""https://docs.google.com"&amp;"/spreadsheets/d/1Ul4RCpCX66NxYADU1QpwAPjOmBzW64SsT11s1wzXw_c/edit?usp=sharing"",""เลย!J639"")+IMPORTRANGE(""https://docs.google.com/spreadsheets/d/1bRrNKwbHDVktQG10isr5vbWRtt5spIZPpkOSWgbT5ug/edit?usp=sharing"",""ศรีสะเกษ!J639"")+IMPORTRANGE(""https://doc"&amp;"s.google.com/spreadsheets/d/17P34_Ow5kFBfdQD0qspb2UuPX5zpi6WMrQzslghyvrI/edit?usp=sharing"",""สกลนคร!J639"")+IMPORTRANGE(""https://docs.google.com/spreadsheets/d/1yswqbM3-AEpThF3ZSUa1AcmHnmRTF1vlJ1CZGcJ8YuU/edit?usp=sharing"",""สุรินทร์!J639"")+IMPORTRANG"&amp;"E(""https://docs.google.com/spreadsheets/d/13JHU_EFbsQOUQ0JSQ3dWy1VTRosIWcDq6Nc99z2qzdc/edit?usp=sharing"",""หนองคาย!J639"")+IMPORTRANGE(""https://docs.google.com/spreadsheets/d/1Hx73zIEgVdDZZaYSTc46Dqv64atFhpr3GelxLbaIN8A/edit?usp=sharing"",""หนองบัวลำภู"&amp;"!J639"")+IMPORTRANGE(""https://docs.google.com/spreadsheets/d/1lFxr3ctmjFN90yc-xV6jrQ9Ty8BKYVBWnAZ15wcNIJc/edit?usp=sharing"",""อำนาจเจริญ!J639"")+IMPORTRANGE(""https://docs.google.com/spreadsheets/d/1gF7RJpRnL-1oyjyeWxs5SFWEH7y8ahOZsQlyp2A2e-A/edit?usp=s"&amp;"haring"",""อุดรธานี!J639"")+IMPORTRANGE(""https://docs.google.com/spreadsheets/d/1kfLP0j3INXRa8bTDpcEmoWewMBV61jlFlfzczfjWIgc/edit?usp=sharing"",""อุบลราชธานี!J639"")"),0)</f>
        <v>0</v>
      </c>
      <c r="K639" s="55"/>
      <c r="L639" s="164"/>
      <c r="M639" s="164"/>
      <c r="N639" s="164"/>
      <c r="O639" s="164"/>
      <c r="P639" s="164"/>
      <c r="Q639" s="164"/>
      <c r="R639" s="164"/>
      <c r="S639" s="172"/>
      <c r="T639" s="164"/>
      <c r="U639" s="164"/>
    </row>
    <row r="640" spans="1:21" ht="18.75">
      <c r="A640" s="166"/>
      <c r="B640" s="167"/>
      <c r="C640" s="167"/>
      <c r="D640" s="167"/>
      <c r="E640" s="174"/>
      <c r="F640" s="178" t="s">
        <v>236</v>
      </c>
      <c r="G640" s="171"/>
      <c r="H640" s="165" t="s">
        <v>46</v>
      </c>
      <c r="I640" s="54"/>
      <c r="J640" s="195">
        <f ca="1">IFERROR(__xludf.DUMMYFUNCTION("IMPORTRANGE(""https://docs.google.com/spreadsheets/d/1yhBcrRPreicbMKl9Bu_Snb2-OcQAF62RKfhTLhJ2eAA/edit?usp=sharing"",""กาฬสินธุ์!J640"")+IMPORTRANGE(""https://docs.google.com/spreadsheets/d/1aHkj4IaQMThhwWwevcOymEh837vdxeC_PycurhTbGFA/edit?usp=sharing"","&amp;"""ขอนแก่น!J640"")+IMPORTRANGE(""https://docs.google.com/spreadsheets/d/1FvTu2DsIWUjP6WCWra38Bkj_oOl_sOMf14r5Fg5srxU/edit?usp=sharing"",""ชัยภูมิ!J640"")+IMPORTRANGE(""https://docs.google.com/spreadsheets/d/1XVB7oCJ3pr-vBUdflwPQ8Z2LlzhnCvZaaYjAfP-647E/edit"&amp;"?usp=sharing"",""นครพนม!J640"")+IMPORTRANGE(""https://docs.google.com/spreadsheets/d/1Mnpb-8PYAgn85W6KOTD40hc_Xc55CaLfHoGAbrZ8tls/edit?usp=sharing"",""นครราชสีมา!J640"")+IMPORTRANGE(""https://docs.google.com/spreadsheets/d/1xoDLGBv9CYbyosIhki0kTq6IpYNj-gp"&amp;"jxfobnaDiut0/edit?usp=sharing"",""บึงกาฬ!J640"")+IMPORTRANGE(""https://docs.google.com/spreadsheets/d/1MMPq-JyI6DSgQETxuSiXkesP-P7JHuemnE6QJIa-Nlw/edit?usp=sharing"",""บุรีรัมย์!J640"")+IMPORTRANGE(""https://docs.google.com/spreadsheets/d/1l6IZ8xUPgMrESzc"&amp;"TYwhA1k_tPjeQjJPTqlm8Gd9eU5g/edit?usp=sharing"",""มหาสารคาม!J640"")+IMPORTRANGE(""https://docs.google.com/spreadsheets/d/1uB74YLqNjWX6FObjekfB2NtSYigTQyR2rq9u4Ub2Sq4/edit?usp=sharing"",""มุกดาหาร!J640"")+IMPORTRANGE(""https://docs.google.com/spreadsheets/"&amp;"d/1NexK3geCPxCTO1fzNF8dPec7yZyUx3OaWkFBC9HsQOo/edit?usp=sharing"",""ยโสธร!J640"")+IMPORTRANGE(""https://docs.google.com/spreadsheets/d/1v_cJrbBlyqmnHPReHk44g9NrMRdENNlSy_E_c5M9fIg/edit?usp=sharing"",""ร้อยเอ็ด!J640"")+IMPORTRANGE(""https://docs.google.com"&amp;"/spreadsheets/d/1Ul4RCpCX66NxYADU1QpwAPjOmBzW64SsT11s1wzXw_c/edit?usp=sharing"",""เลย!J640"")+IMPORTRANGE(""https://docs.google.com/spreadsheets/d/1bRrNKwbHDVktQG10isr5vbWRtt5spIZPpkOSWgbT5ug/edit?usp=sharing"",""ศรีสะเกษ!J640"")+IMPORTRANGE(""https://doc"&amp;"s.google.com/spreadsheets/d/17P34_Ow5kFBfdQD0qspb2UuPX5zpi6WMrQzslghyvrI/edit?usp=sharing"",""สกลนคร!J640"")+IMPORTRANGE(""https://docs.google.com/spreadsheets/d/1yswqbM3-AEpThF3ZSUa1AcmHnmRTF1vlJ1CZGcJ8YuU/edit?usp=sharing"",""สุรินทร์!J640"")+IMPORTRANG"&amp;"E(""https://docs.google.com/spreadsheets/d/13JHU_EFbsQOUQ0JSQ3dWy1VTRosIWcDq6Nc99z2qzdc/edit?usp=sharing"",""หนองคาย!J640"")+IMPORTRANGE(""https://docs.google.com/spreadsheets/d/1Hx73zIEgVdDZZaYSTc46Dqv64atFhpr3GelxLbaIN8A/edit?usp=sharing"",""หนองบัวลำภู"&amp;"!J640"")+IMPORTRANGE(""https://docs.google.com/spreadsheets/d/1lFxr3ctmjFN90yc-xV6jrQ9Ty8BKYVBWnAZ15wcNIJc/edit?usp=sharing"",""อำนาจเจริญ!J640"")+IMPORTRANGE(""https://docs.google.com/spreadsheets/d/1gF7RJpRnL-1oyjyeWxs5SFWEH7y8ahOZsQlyp2A2e-A/edit?usp=s"&amp;"haring"",""อุดรธานี!J640"")+IMPORTRANGE(""https://docs.google.com/spreadsheets/d/1kfLP0j3INXRa8bTDpcEmoWewMBV61jlFlfzczfjWIgc/edit?usp=sharing"",""อุบลราชธานี!J640"")"),0)</f>
        <v>0</v>
      </c>
      <c r="K640" s="55"/>
      <c r="L640" s="164"/>
      <c r="M640" s="164"/>
      <c r="N640" s="164"/>
      <c r="O640" s="164"/>
      <c r="P640" s="164"/>
      <c r="Q640" s="164"/>
      <c r="R640" s="164"/>
      <c r="S640" s="172"/>
      <c r="T640" s="164"/>
      <c r="U640" s="164"/>
    </row>
    <row r="641" spans="1:21" ht="19.5">
      <c r="A641" s="450"/>
      <c r="B641" s="451" t="s">
        <v>237</v>
      </c>
      <c r="C641" s="450"/>
      <c r="D641" s="452"/>
      <c r="E641" s="452"/>
      <c r="F641" s="452"/>
      <c r="G641" s="453"/>
      <c r="H641" s="462"/>
      <c r="I641" s="463"/>
      <c r="J641" s="463"/>
      <c r="K641" s="457"/>
      <c r="L641" s="457"/>
      <c r="M641" s="457"/>
      <c r="N641" s="457"/>
      <c r="O641" s="457"/>
      <c r="P641" s="457"/>
      <c r="Q641" s="457"/>
      <c r="R641" s="457"/>
      <c r="S641" s="458"/>
      <c r="T641" s="457"/>
      <c r="U641" s="457"/>
    </row>
    <row r="642" spans="1:21" ht="19.5">
      <c r="A642" s="155"/>
      <c r="B642" s="188"/>
      <c r="C642" s="239" t="s">
        <v>18</v>
      </c>
      <c r="D642" s="531" t="s">
        <v>19</v>
      </c>
      <c r="E642" s="529"/>
      <c r="F642" s="529"/>
      <c r="G642" s="530"/>
      <c r="H642" s="252" t="s">
        <v>14</v>
      </c>
      <c r="I642" s="54"/>
      <c r="J642" s="54"/>
      <c r="K642" s="55"/>
      <c r="L642" s="159">
        <f t="shared" ref="L642:N642" ca="1" si="453">L643+L644</f>
        <v>0</v>
      </c>
      <c r="M642" s="159">
        <f t="shared" ca="1" si="453"/>
        <v>0</v>
      </c>
      <c r="N642" s="159">
        <f t="shared" ca="1" si="453"/>
        <v>0</v>
      </c>
      <c r="O642" s="159">
        <f t="shared" ref="O642:O650" ca="1" si="454">IF(L642&gt;0,N642*100/L642,0)</f>
        <v>0</v>
      </c>
      <c r="P642" s="159">
        <f t="shared" ref="P642:P650" ca="1" si="455">IF(M642&gt;0,N642*100/M642,0)</f>
        <v>0</v>
      </c>
      <c r="Q642" s="159">
        <f t="shared" ref="Q642:S642" ca="1" si="456">Q643+Q644</f>
        <v>173560</v>
      </c>
      <c r="R642" s="159">
        <f t="shared" ca="1" si="456"/>
        <v>173560</v>
      </c>
      <c r="S642" s="160">
        <f t="shared" ca="1" si="456"/>
        <v>1220</v>
      </c>
      <c r="T642" s="159">
        <f t="shared" ref="T642:T650" ca="1" si="457">IF(Q642&gt;0,S642*100/Q642,0)</f>
        <v>0.70292694169163406</v>
      </c>
      <c r="U642" s="159">
        <f t="shared" ref="U642:U650" ca="1" si="458">IF(R642&gt;0,S642*100/R642,0)</f>
        <v>0.70292694169163406</v>
      </c>
    </row>
    <row r="643" spans="1:21" ht="18.75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59">
        <f t="shared" ref="L643:N643" ca="1" si="459">L646+L649</f>
        <v>0</v>
      </c>
      <c r="M643" s="59">
        <f t="shared" ca="1" si="459"/>
        <v>0</v>
      </c>
      <c r="N643" s="59">
        <f t="shared" ca="1" si="459"/>
        <v>0</v>
      </c>
      <c r="O643" s="59">
        <f t="shared" ca="1" si="454"/>
        <v>0</v>
      </c>
      <c r="P643" s="59">
        <f t="shared" ca="1" si="455"/>
        <v>0</v>
      </c>
      <c r="Q643" s="59">
        <f t="shared" ref="Q643:S643" ca="1" si="460">Q646+Q649</f>
        <v>0</v>
      </c>
      <c r="R643" s="59">
        <f t="shared" ca="1" si="460"/>
        <v>0</v>
      </c>
      <c r="S643" s="60">
        <f t="shared" ca="1" si="460"/>
        <v>0</v>
      </c>
      <c r="T643" s="59">
        <f t="shared" ca="1" si="457"/>
        <v>0</v>
      </c>
      <c r="U643" s="59">
        <f t="shared" ca="1" si="458"/>
        <v>0</v>
      </c>
    </row>
    <row r="644" spans="1:21" ht="18.75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56">
        <f t="shared" ref="L644:N644" ca="1" si="461">L647+L650</f>
        <v>0</v>
      </c>
      <c r="M644" s="56">
        <f t="shared" ca="1" si="461"/>
        <v>0</v>
      </c>
      <c r="N644" s="56">
        <f t="shared" ca="1" si="461"/>
        <v>0</v>
      </c>
      <c r="O644" s="56">
        <f t="shared" ca="1" si="454"/>
        <v>0</v>
      </c>
      <c r="P644" s="56">
        <f t="shared" ca="1" si="455"/>
        <v>0</v>
      </c>
      <c r="Q644" s="56">
        <f t="shared" ref="Q644:S644" ca="1" si="462">Q647+Q650</f>
        <v>173560</v>
      </c>
      <c r="R644" s="56">
        <f t="shared" ca="1" si="462"/>
        <v>173560</v>
      </c>
      <c r="S644" s="57">
        <f t="shared" ca="1" si="462"/>
        <v>1220</v>
      </c>
      <c r="T644" s="56">
        <f t="shared" ca="1" si="457"/>
        <v>0.70292694169163406</v>
      </c>
      <c r="U644" s="56">
        <f t="shared" ca="1" si="458"/>
        <v>0.70292694169163406</v>
      </c>
    </row>
    <row r="645" spans="1:21" ht="18.75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56">
        <f t="shared" ref="L645:N645" ca="1" si="463">L646+L647</f>
        <v>0</v>
      </c>
      <c r="M645" s="56">
        <f t="shared" ca="1" si="463"/>
        <v>0</v>
      </c>
      <c r="N645" s="56">
        <f t="shared" ca="1" si="463"/>
        <v>0</v>
      </c>
      <c r="O645" s="56">
        <f t="shared" ca="1" si="454"/>
        <v>0</v>
      </c>
      <c r="P645" s="56">
        <f t="shared" ca="1" si="455"/>
        <v>0</v>
      </c>
      <c r="Q645" s="56">
        <f t="shared" ref="Q645:S645" ca="1" si="464">Q646+Q647</f>
        <v>173560</v>
      </c>
      <c r="R645" s="56">
        <f t="shared" ca="1" si="464"/>
        <v>173560</v>
      </c>
      <c r="S645" s="57">
        <f t="shared" ca="1" si="464"/>
        <v>1220</v>
      </c>
      <c r="T645" s="56">
        <f t="shared" ca="1" si="457"/>
        <v>0.70292694169163406</v>
      </c>
      <c r="U645" s="56">
        <f t="shared" ca="1" si="458"/>
        <v>0.70292694169163406</v>
      </c>
    </row>
    <row r="646" spans="1:21" ht="18.75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59">
        <f ca="1">IFERROR(__xludf.DUMMYFUNCTION("IMPORTRANGE(""https://docs.google.com/spreadsheets/d/1yhBcrRPreicbMKl9Bu_Snb2-OcQAF62RKfhTLhJ2eAA/edit?usp=sharing"",""กาฬสินธุ์!L646"")+IMPORTRANGE(""https://docs.google.com/spreadsheets/d/1aHkj4IaQMThhwWwevcOymEh837vdxeC_PycurhTbGFA/edit?usp=sharing"","&amp;"""ขอนแก่น!L646"")+IMPORTRANGE(""https://docs.google.com/spreadsheets/d/1FvTu2DsIWUjP6WCWra38Bkj_oOl_sOMf14r5Fg5srxU/edit?usp=sharing"",""ชัยภูมิ!L646"")+IMPORTRANGE(""https://docs.google.com/spreadsheets/d/1XVB7oCJ3pr-vBUdflwPQ8Z2LlzhnCvZaaYjAfP-647E/edit"&amp;"?usp=sharing"",""นครพนม!L646"")+IMPORTRANGE(""https://docs.google.com/spreadsheets/d/1Mnpb-8PYAgn85W6KOTD40hc_Xc55CaLfHoGAbrZ8tls/edit?usp=sharing"",""นครราชสีมา!L646"")+IMPORTRANGE(""https://docs.google.com/spreadsheets/d/1xoDLGBv9CYbyosIhki0kTq6IpYNj-gp"&amp;"jxfobnaDiut0/edit?usp=sharing"",""บึงกาฬ!L646"")+IMPORTRANGE(""https://docs.google.com/spreadsheets/d/1MMPq-JyI6DSgQETxuSiXkesP-P7JHuemnE6QJIa-Nlw/edit?usp=sharing"",""บุรีรัมย์!L646"")+IMPORTRANGE(""https://docs.google.com/spreadsheets/d/1l6IZ8xUPgMrESzc"&amp;"TYwhA1k_tPjeQjJPTqlm8Gd9eU5g/edit?usp=sharing"",""มหาสารคาม!L646"")+IMPORTRANGE(""https://docs.google.com/spreadsheets/d/1uB74YLqNjWX6FObjekfB2NtSYigTQyR2rq9u4Ub2Sq4/edit?usp=sharing"",""มุกดาหาร!L646"")+IMPORTRANGE(""https://docs.google.com/spreadsheets/"&amp;"d/1NexK3geCPxCTO1fzNF8dPec7yZyUx3OaWkFBC9HsQOo/edit?usp=sharing"",""ยโสธร!L646"")+IMPORTRANGE(""https://docs.google.com/spreadsheets/d/1v_cJrbBlyqmnHPReHk44g9NrMRdENNlSy_E_c5M9fIg/edit?usp=sharing"",""ร้อยเอ็ด!L646"")+IMPORTRANGE(""https://docs.google.com"&amp;"/spreadsheets/d/1Ul4RCpCX66NxYADU1QpwAPjOmBzW64SsT11s1wzXw_c/edit?usp=sharing"",""เลย!L646"")+IMPORTRANGE(""https://docs.google.com/spreadsheets/d/1bRrNKwbHDVktQG10isr5vbWRtt5spIZPpkOSWgbT5ug/edit?usp=sharing"",""ศรีสะเกษ!L646"")+IMPORTRANGE(""https://doc"&amp;"s.google.com/spreadsheets/d/17P34_Ow5kFBfdQD0qspb2UuPX5zpi6WMrQzslghyvrI/edit?usp=sharing"",""สกลนคร!L646"")+IMPORTRANGE(""https://docs.google.com/spreadsheets/d/1yswqbM3-AEpThF3ZSUa1AcmHnmRTF1vlJ1CZGcJ8YuU/edit?usp=sharing"",""สุรินทร์!L646"")+IMPORTRANG"&amp;"E(""https://docs.google.com/spreadsheets/d/13JHU_EFbsQOUQ0JSQ3dWy1VTRosIWcDq6Nc99z2qzdc/edit?usp=sharing"",""หนองคาย!L646"")+IMPORTRANGE(""https://docs.google.com/spreadsheets/d/1Hx73zIEgVdDZZaYSTc46Dqv64atFhpr3GelxLbaIN8A/edit?usp=sharing"",""หนองบัวลำภู"&amp;"!L646"")+IMPORTRANGE(""https://docs.google.com/spreadsheets/d/1lFxr3ctmjFN90yc-xV6jrQ9Ty8BKYVBWnAZ15wcNIJc/edit?usp=sharing"",""อำนาจเจริญ!L646"")+IMPORTRANGE(""https://docs.google.com/spreadsheets/d/1gF7RJpRnL-1oyjyeWxs5SFWEH7y8ahOZsQlyp2A2e-A/edit?usp=s"&amp;"haring"",""อุดรธานี!L646"")+IMPORTRANGE(""https://docs.google.com/spreadsheets/d/1kfLP0j3INXRa8bTDpcEmoWewMBV61jlFlfzczfjWIgc/edit?usp=sharing"",""อุบลราชธานี!L646"")"),0)</f>
        <v>0</v>
      </c>
      <c r="M646" s="59">
        <f ca="1">IFERROR(__xludf.DUMMYFUNCTION("IMPORTRANGE(""https://docs.google.com/spreadsheets/d/1yhBcrRPreicbMKl9Bu_Snb2-OcQAF62RKfhTLhJ2eAA/edit?usp=sharing"",""กาฬสินธุ์!M646"")+IMPORTRANGE(""https://docs.google.com/spreadsheets/d/1aHkj4IaQMThhwWwevcOymEh837vdxeC_PycurhTbGFA/edit?usp=sharing"","&amp;"""ขอนแก่น!M646"")+IMPORTRANGE(""https://docs.google.com/spreadsheets/d/1FvTu2DsIWUjP6WCWra38Bkj_oOl_sOMf14r5Fg5srxU/edit?usp=sharing"",""ชัยภูมิ!M646"")+IMPORTRANGE(""https://docs.google.com/spreadsheets/d/1XVB7oCJ3pr-vBUdflwPQ8Z2LlzhnCvZaaYjAfP-647E/edit"&amp;"?usp=sharing"",""นครพนม!M646"")+IMPORTRANGE(""https://docs.google.com/spreadsheets/d/1Mnpb-8PYAgn85W6KOTD40hc_Xc55CaLfHoGAbrZ8tls/edit?usp=sharing"",""นครราชสีมา!M646"")+IMPORTRANGE(""https://docs.google.com/spreadsheets/d/1xoDLGBv9CYbyosIhki0kTq6IpYNj-gp"&amp;"jxfobnaDiut0/edit?usp=sharing"",""บึงกาฬ!M646"")+IMPORTRANGE(""https://docs.google.com/spreadsheets/d/1MMPq-JyI6DSgQETxuSiXkesP-P7JHuemnE6QJIa-Nlw/edit?usp=sharing"",""บุรีรัมย์!M646"")+IMPORTRANGE(""https://docs.google.com/spreadsheets/d/1l6IZ8xUPgMrESzc"&amp;"TYwhA1k_tPjeQjJPTqlm8Gd9eU5g/edit?usp=sharing"",""มหาสารคาม!M646"")+IMPORTRANGE(""https://docs.google.com/spreadsheets/d/1uB74YLqNjWX6FObjekfB2NtSYigTQyR2rq9u4Ub2Sq4/edit?usp=sharing"",""มุกดาหาร!M646"")+IMPORTRANGE(""https://docs.google.com/spreadsheets/"&amp;"d/1NexK3geCPxCTO1fzNF8dPec7yZyUx3OaWkFBC9HsQOo/edit?usp=sharing"",""ยโสธร!M646"")+IMPORTRANGE(""https://docs.google.com/spreadsheets/d/1v_cJrbBlyqmnHPReHk44g9NrMRdENNlSy_E_c5M9fIg/edit?usp=sharing"",""ร้อยเอ็ด!M646"")+IMPORTRANGE(""https://docs.google.com"&amp;"/spreadsheets/d/1Ul4RCpCX66NxYADU1QpwAPjOmBzW64SsT11s1wzXw_c/edit?usp=sharing"",""เลย!M646"")+IMPORTRANGE(""https://docs.google.com/spreadsheets/d/1bRrNKwbHDVktQG10isr5vbWRtt5spIZPpkOSWgbT5ug/edit?usp=sharing"",""ศรีสะเกษ!M646"")+IMPORTRANGE(""https://doc"&amp;"s.google.com/spreadsheets/d/17P34_Ow5kFBfdQD0qspb2UuPX5zpi6WMrQzslghyvrI/edit?usp=sharing"",""สกลนคร!M646"")+IMPORTRANGE(""https://docs.google.com/spreadsheets/d/1yswqbM3-AEpThF3ZSUa1AcmHnmRTF1vlJ1CZGcJ8YuU/edit?usp=sharing"",""สุรินทร์!M646"")+IMPORTRANG"&amp;"E(""https://docs.google.com/spreadsheets/d/13JHU_EFbsQOUQ0JSQ3dWy1VTRosIWcDq6Nc99z2qzdc/edit?usp=sharing"",""หนองคาย!M646"")+IMPORTRANGE(""https://docs.google.com/spreadsheets/d/1Hx73zIEgVdDZZaYSTc46Dqv64atFhpr3GelxLbaIN8A/edit?usp=sharing"",""หนองบัวลำภู"&amp;"!M646"")+IMPORTRANGE(""https://docs.google.com/spreadsheets/d/1lFxr3ctmjFN90yc-xV6jrQ9Ty8BKYVBWnAZ15wcNIJc/edit?usp=sharing"",""อำนาจเจริญ!M646"")+IMPORTRANGE(""https://docs.google.com/spreadsheets/d/1gF7RJpRnL-1oyjyeWxs5SFWEH7y8ahOZsQlyp2A2e-A/edit?usp=s"&amp;"haring"",""อุดรธานี!M646"")+IMPORTRANGE(""https://docs.google.com/spreadsheets/d/1kfLP0j3INXRa8bTDpcEmoWewMBV61jlFlfzczfjWIgc/edit?usp=sharing"",""อุบลราชธานี!M646"")"),0)</f>
        <v>0</v>
      </c>
      <c r="N646" s="59">
        <f ca="1">IFERROR(__xludf.DUMMYFUNCTION("IMPORTRANGE(""https://docs.google.com/spreadsheets/d/1yhBcrRPreicbMKl9Bu_Snb2-OcQAF62RKfhTLhJ2eAA/edit?usp=sharing"",""กาฬสินธุ์!N646"")+IMPORTRANGE(""https://docs.google.com/spreadsheets/d/1aHkj4IaQMThhwWwevcOymEh837vdxeC_PycurhTbGFA/edit?usp=sharing"","&amp;"""ขอนแก่น!N646"")+IMPORTRANGE(""https://docs.google.com/spreadsheets/d/1FvTu2DsIWUjP6WCWra38Bkj_oOl_sOMf14r5Fg5srxU/edit?usp=sharing"",""ชัยภูมิ!N646"")+IMPORTRANGE(""https://docs.google.com/spreadsheets/d/1XVB7oCJ3pr-vBUdflwPQ8Z2LlzhnCvZaaYjAfP-647E/edit"&amp;"?usp=sharing"",""นครพนม!N646"")+IMPORTRANGE(""https://docs.google.com/spreadsheets/d/1Mnpb-8PYAgn85W6KOTD40hc_Xc55CaLfHoGAbrZ8tls/edit?usp=sharing"",""นครราชสีมา!N646"")+IMPORTRANGE(""https://docs.google.com/spreadsheets/d/1xoDLGBv9CYbyosIhki0kTq6IpYNj-gp"&amp;"jxfobnaDiut0/edit?usp=sharing"",""บึงกาฬ!N646"")+IMPORTRANGE(""https://docs.google.com/spreadsheets/d/1MMPq-JyI6DSgQETxuSiXkesP-P7JHuemnE6QJIa-Nlw/edit?usp=sharing"",""บุรีรัมย์!N646"")+IMPORTRANGE(""https://docs.google.com/spreadsheets/d/1l6IZ8xUPgMrESzc"&amp;"TYwhA1k_tPjeQjJPTqlm8Gd9eU5g/edit?usp=sharing"",""มหาสารคาม!N646"")+IMPORTRANGE(""https://docs.google.com/spreadsheets/d/1uB74YLqNjWX6FObjekfB2NtSYigTQyR2rq9u4Ub2Sq4/edit?usp=sharing"",""มุกดาหาร!N646"")+IMPORTRANGE(""https://docs.google.com/spreadsheets/"&amp;"d/1NexK3geCPxCTO1fzNF8dPec7yZyUx3OaWkFBC9HsQOo/edit?usp=sharing"",""ยโสธร!N646"")+IMPORTRANGE(""https://docs.google.com/spreadsheets/d/1v_cJrbBlyqmnHPReHk44g9NrMRdENNlSy_E_c5M9fIg/edit?usp=sharing"",""ร้อยเอ็ด!N646"")+IMPORTRANGE(""https://docs.google.com"&amp;"/spreadsheets/d/1Ul4RCpCX66NxYADU1QpwAPjOmBzW64SsT11s1wzXw_c/edit?usp=sharing"",""เลย!N646"")+IMPORTRANGE(""https://docs.google.com/spreadsheets/d/1bRrNKwbHDVktQG10isr5vbWRtt5spIZPpkOSWgbT5ug/edit?usp=sharing"",""ศรีสะเกษ!N646"")+IMPORTRANGE(""https://doc"&amp;"s.google.com/spreadsheets/d/17P34_Ow5kFBfdQD0qspb2UuPX5zpi6WMrQzslghyvrI/edit?usp=sharing"",""สกลนคร!N646"")+IMPORTRANGE(""https://docs.google.com/spreadsheets/d/1yswqbM3-AEpThF3ZSUa1AcmHnmRTF1vlJ1CZGcJ8YuU/edit?usp=sharing"",""สุรินทร์!N646"")+IMPORTRANG"&amp;"E(""https://docs.google.com/spreadsheets/d/13JHU_EFbsQOUQ0JSQ3dWy1VTRosIWcDq6Nc99z2qzdc/edit?usp=sharing"",""หนองคาย!N646"")+IMPORTRANGE(""https://docs.google.com/spreadsheets/d/1Hx73zIEgVdDZZaYSTc46Dqv64atFhpr3GelxLbaIN8A/edit?usp=sharing"",""หนองบัวลำภู"&amp;"!N646"")+IMPORTRANGE(""https://docs.google.com/spreadsheets/d/1lFxr3ctmjFN90yc-xV6jrQ9Ty8BKYVBWnAZ15wcNIJc/edit?usp=sharing"",""อำนาจเจริญ!N646"")+IMPORTRANGE(""https://docs.google.com/spreadsheets/d/1gF7RJpRnL-1oyjyeWxs5SFWEH7y8ahOZsQlyp2A2e-A/edit?usp=s"&amp;"haring"",""อุดรธานี!N646"")+IMPORTRANGE(""https://docs.google.com/spreadsheets/d/1kfLP0j3INXRa8bTDpcEmoWewMBV61jlFlfzczfjWIgc/edit?usp=sharing"",""อุบลราชธานี!N646"")"),0)</f>
        <v>0</v>
      </c>
      <c r="O646" s="59">
        <f t="shared" ca="1" si="454"/>
        <v>0</v>
      </c>
      <c r="P646" s="59">
        <f t="shared" ca="1" si="455"/>
        <v>0</v>
      </c>
      <c r="Q646" s="59">
        <f ca="1">IFERROR(__xludf.DUMMYFUNCTION("IMPORTRANGE(""https://docs.google.com/spreadsheets/d/1yhBcrRPreicbMKl9Bu_Snb2-OcQAF62RKfhTLhJ2eAA/edit?usp=sharing"",""กาฬสินธุ์!Q646"")+IMPORTRANGE(""https://docs.google.com/spreadsheets/d/1aHkj4IaQMThhwWwevcOymEh837vdxeC_PycurhTbGFA/edit?usp=sharing"","&amp;"""ขอนแก่น!Q646"")+IMPORTRANGE(""https://docs.google.com/spreadsheets/d/1FvTu2DsIWUjP6WCWra38Bkj_oOl_sOMf14r5Fg5srxU/edit?usp=sharing"",""ชัยภูมิ!Q646"")+IMPORTRANGE(""https://docs.google.com/spreadsheets/d/1XVB7oCJ3pr-vBUdflwPQ8Z2LlzhnCvZaaYjAfP-647E/edit"&amp;"?usp=sharing"",""นครพนม!Q646"")+IMPORTRANGE(""https://docs.google.com/spreadsheets/d/1Mnpb-8PYAgn85W6KOTD40hc_Xc55CaLfHoGAbrZ8tls/edit?usp=sharing"",""นครราชสีมา!Q646"")+IMPORTRANGE(""https://docs.google.com/spreadsheets/d/1xoDLGBv9CYbyosIhki0kTq6IpYNj-gp"&amp;"jxfobnaDiut0/edit?usp=sharing"",""บึงกาฬ!Q646"")+IMPORTRANGE(""https://docs.google.com/spreadsheets/d/1MMPq-JyI6DSgQETxuSiXkesP-P7JHuemnE6QJIa-Nlw/edit?usp=sharing"",""บุรีรัมย์!Q646"")+IMPORTRANGE(""https://docs.google.com/spreadsheets/d/1l6IZ8xUPgMrESzc"&amp;"TYwhA1k_tPjeQjJPTqlm8Gd9eU5g/edit?usp=sharing"",""มหาสารคาม!Q646"")+IMPORTRANGE(""https://docs.google.com/spreadsheets/d/1uB74YLqNjWX6FObjekfB2NtSYigTQyR2rq9u4Ub2Sq4/edit?usp=sharing"",""มุกดาหาร!Q646"")+IMPORTRANGE(""https://docs.google.com/spreadsheets/"&amp;"d/1NexK3geCPxCTO1fzNF8dPec7yZyUx3OaWkFBC9HsQOo/edit?usp=sharing"",""ยโสธร!Q646"")+IMPORTRANGE(""https://docs.google.com/spreadsheets/d/1v_cJrbBlyqmnHPReHk44g9NrMRdENNlSy_E_c5M9fIg/edit?usp=sharing"",""ร้อยเอ็ด!Q646"")+IMPORTRANGE(""https://docs.google.com"&amp;"/spreadsheets/d/1Ul4RCpCX66NxYADU1QpwAPjOmBzW64SsT11s1wzXw_c/edit?usp=sharing"",""เลย!Q646"")+IMPORTRANGE(""https://docs.google.com/spreadsheets/d/1bRrNKwbHDVktQG10isr5vbWRtt5spIZPpkOSWgbT5ug/edit?usp=sharing"",""ศรีสะเกษ!Q646"")+IMPORTRANGE(""https://doc"&amp;"s.google.com/spreadsheets/d/17P34_Ow5kFBfdQD0qspb2UuPX5zpi6WMrQzslghyvrI/edit?usp=sharing"",""สกลนคร!Q646"")+IMPORTRANGE(""https://docs.google.com/spreadsheets/d/1yswqbM3-AEpThF3ZSUa1AcmHnmRTF1vlJ1CZGcJ8YuU/edit?usp=sharing"",""สุรินทร์!Q646"")+IMPORTRANG"&amp;"E(""https://docs.google.com/spreadsheets/d/13JHU_EFbsQOUQ0JSQ3dWy1VTRosIWcDq6Nc99z2qzdc/edit?usp=sharing"",""หนองคาย!Q646"")+IMPORTRANGE(""https://docs.google.com/spreadsheets/d/1Hx73zIEgVdDZZaYSTc46Dqv64atFhpr3GelxLbaIN8A/edit?usp=sharing"",""หนองบัวลำภู"&amp;"!Q646"")+IMPORTRANGE(""https://docs.google.com/spreadsheets/d/1lFxr3ctmjFN90yc-xV6jrQ9Ty8BKYVBWnAZ15wcNIJc/edit?usp=sharing"",""อำนาจเจริญ!Q646"")+IMPORTRANGE(""https://docs.google.com/spreadsheets/d/1gF7RJpRnL-1oyjyeWxs5SFWEH7y8ahOZsQlyp2A2e-A/edit?usp=s"&amp;"haring"",""อุดรธานี!Q646"")+IMPORTRANGE(""https://docs.google.com/spreadsheets/d/1kfLP0j3INXRa8bTDpcEmoWewMBV61jlFlfzczfjWIgc/edit?usp=sharing"",""อุบลราชธานี!Q646"")"),0)</f>
        <v>0</v>
      </c>
      <c r="R646" s="59">
        <f ca="1">IFERROR(__xludf.DUMMYFUNCTION("IMPORTRANGE(""https://docs.google.com/spreadsheets/d/1yhBcrRPreicbMKl9Bu_Snb2-OcQAF62RKfhTLhJ2eAA/edit?usp=sharing"",""กาฬสินธุ์!R646"")+IMPORTRANGE(""https://docs.google.com/spreadsheets/d/1aHkj4IaQMThhwWwevcOymEh837vdxeC_PycurhTbGFA/edit?usp=sharing"","&amp;"""ขอนแก่น!R646"")+IMPORTRANGE(""https://docs.google.com/spreadsheets/d/1FvTu2DsIWUjP6WCWra38Bkj_oOl_sOMf14r5Fg5srxU/edit?usp=sharing"",""ชัยภูมิ!R646"")+IMPORTRANGE(""https://docs.google.com/spreadsheets/d/1XVB7oCJ3pr-vBUdflwPQ8Z2LlzhnCvZaaYjAfP-647E/edit"&amp;"?usp=sharing"",""นครพนม!R646"")+IMPORTRANGE(""https://docs.google.com/spreadsheets/d/1Mnpb-8PYAgn85W6KOTD40hc_Xc55CaLfHoGAbrZ8tls/edit?usp=sharing"",""นครราชสีมา!R646"")+IMPORTRANGE(""https://docs.google.com/spreadsheets/d/1xoDLGBv9CYbyosIhki0kTq6IpYNj-gp"&amp;"jxfobnaDiut0/edit?usp=sharing"",""บึงกาฬ!R646"")+IMPORTRANGE(""https://docs.google.com/spreadsheets/d/1MMPq-JyI6DSgQETxuSiXkesP-P7JHuemnE6QJIa-Nlw/edit?usp=sharing"",""บุรีรัมย์!R646"")+IMPORTRANGE(""https://docs.google.com/spreadsheets/d/1l6IZ8xUPgMrESzc"&amp;"TYwhA1k_tPjeQjJPTqlm8Gd9eU5g/edit?usp=sharing"",""มหาสารคาม!R646"")+IMPORTRANGE(""https://docs.google.com/spreadsheets/d/1uB74YLqNjWX6FObjekfB2NtSYigTQyR2rq9u4Ub2Sq4/edit?usp=sharing"",""มุกดาหาร!R646"")+IMPORTRANGE(""https://docs.google.com/spreadsheets/"&amp;"d/1NexK3geCPxCTO1fzNF8dPec7yZyUx3OaWkFBC9HsQOo/edit?usp=sharing"",""ยโสธร!R646"")+IMPORTRANGE(""https://docs.google.com/spreadsheets/d/1v_cJrbBlyqmnHPReHk44g9NrMRdENNlSy_E_c5M9fIg/edit?usp=sharing"",""ร้อยเอ็ด!R646"")+IMPORTRANGE(""https://docs.google.com"&amp;"/spreadsheets/d/1Ul4RCpCX66NxYADU1QpwAPjOmBzW64SsT11s1wzXw_c/edit?usp=sharing"",""เลย!R646"")+IMPORTRANGE(""https://docs.google.com/spreadsheets/d/1bRrNKwbHDVktQG10isr5vbWRtt5spIZPpkOSWgbT5ug/edit?usp=sharing"",""ศรีสะเกษ!R646"")+IMPORTRANGE(""https://doc"&amp;"s.google.com/spreadsheets/d/17P34_Ow5kFBfdQD0qspb2UuPX5zpi6WMrQzslghyvrI/edit?usp=sharing"",""สกลนคร!R646"")+IMPORTRANGE(""https://docs.google.com/spreadsheets/d/1yswqbM3-AEpThF3ZSUa1AcmHnmRTF1vlJ1CZGcJ8YuU/edit?usp=sharing"",""สุรินทร์!R646"")+IMPORTRANG"&amp;"E(""https://docs.google.com/spreadsheets/d/13JHU_EFbsQOUQ0JSQ3dWy1VTRosIWcDq6Nc99z2qzdc/edit?usp=sharing"",""หนองคาย!R646"")+IMPORTRANGE(""https://docs.google.com/spreadsheets/d/1Hx73zIEgVdDZZaYSTc46Dqv64atFhpr3GelxLbaIN8A/edit?usp=sharing"",""หนองบัวลำภู"&amp;"!R646"")+IMPORTRANGE(""https://docs.google.com/spreadsheets/d/1lFxr3ctmjFN90yc-xV6jrQ9Ty8BKYVBWnAZ15wcNIJc/edit?usp=sharing"",""อำนาจเจริญ!R646"")+IMPORTRANGE(""https://docs.google.com/spreadsheets/d/1gF7RJpRnL-1oyjyeWxs5SFWEH7y8ahOZsQlyp2A2e-A/edit?usp=s"&amp;"haring"",""อุดรธานี!R646"")+IMPORTRANGE(""https://docs.google.com/spreadsheets/d/1kfLP0j3INXRa8bTDpcEmoWewMBV61jlFlfzczfjWIgc/edit?usp=sharing"",""อุบลราชธานี!R646"")"),0)</f>
        <v>0</v>
      </c>
      <c r="S646" s="60">
        <f ca="1">IFERROR(__xludf.DUMMYFUNCTION("IMPORTRANGE(""https://docs.google.com/spreadsheets/d/1yhBcrRPreicbMKl9Bu_Snb2-OcQAF62RKfhTLhJ2eAA/edit?usp=sharing"",""กาฬสินธุ์!S646"")+IMPORTRANGE(""https://docs.google.com/spreadsheets/d/1aHkj4IaQMThhwWwevcOymEh837vdxeC_PycurhTbGFA/edit?usp=sharing"","&amp;"""ขอนแก่น!S646"")+IMPORTRANGE(""https://docs.google.com/spreadsheets/d/1FvTu2DsIWUjP6WCWra38Bkj_oOl_sOMf14r5Fg5srxU/edit?usp=sharing"",""ชัยภูมิ!S646"")+IMPORTRANGE(""https://docs.google.com/spreadsheets/d/1XVB7oCJ3pr-vBUdflwPQ8Z2LlzhnCvZaaYjAfP-647E/edit"&amp;"?usp=sharing"",""นครพนม!S646"")+IMPORTRANGE(""https://docs.google.com/spreadsheets/d/1Mnpb-8PYAgn85W6KOTD40hc_Xc55CaLfHoGAbrZ8tls/edit?usp=sharing"",""นครราชสีมา!S646"")+IMPORTRANGE(""https://docs.google.com/spreadsheets/d/1xoDLGBv9CYbyosIhki0kTq6IpYNj-gp"&amp;"jxfobnaDiut0/edit?usp=sharing"",""บึงกาฬ!S646"")+IMPORTRANGE(""https://docs.google.com/spreadsheets/d/1MMPq-JyI6DSgQETxuSiXkesP-P7JHuemnE6QJIa-Nlw/edit?usp=sharing"",""บุรีรัมย์!S646"")+IMPORTRANGE(""https://docs.google.com/spreadsheets/d/1l6IZ8xUPgMrESzc"&amp;"TYwhA1k_tPjeQjJPTqlm8Gd9eU5g/edit?usp=sharing"",""มหาสารคาม!S646"")+IMPORTRANGE(""https://docs.google.com/spreadsheets/d/1uB74YLqNjWX6FObjekfB2NtSYigTQyR2rq9u4Ub2Sq4/edit?usp=sharing"",""มุกดาหาร!S646"")+IMPORTRANGE(""https://docs.google.com/spreadsheets/"&amp;"d/1NexK3geCPxCTO1fzNF8dPec7yZyUx3OaWkFBC9HsQOo/edit?usp=sharing"",""ยโสธร!S646"")+IMPORTRANGE(""https://docs.google.com/spreadsheets/d/1v_cJrbBlyqmnHPReHk44g9NrMRdENNlSy_E_c5M9fIg/edit?usp=sharing"",""ร้อยเอ็ด!S646"")+IMPORTRANGE(""https://docs.google.com"&amp;"/spreadsheets/d/1Ul4RCpCX66NxYADU1QpwAPjOmBzW64SsT11s1wzXw_c/edit?usp=sharing"",""เลย!S646"")+IMPORTRANGE(""https://docs.google.com/spreadsheets/d/1bRrNKwbHDVktQG10isr5vbWRtt5spIZPpkOSWgbT5ug/edit?usp=sharing"",""ศรีสะเกษ!S646"")+IMPORTRANGE(""https://doc"&amp;"s.google.com/spreadsheets/d/17P34_Ow5kFBfdQD0qspb2UuPX5zpi6WMrQzslghyvrI/edit?usp=sharing"",""สกลนคร!S646"")+IMPORTRANGE(""https://docs.google.com/spreadsheets/d/1yswqbM3-AEpThF3ZSUa1AcmHnmRTF1vlJ1CZGcJ8YuU/edit?usp=sharing"",""สุรินทร์!S646"")+IMPORTRANG"&amp;"E(""https://docs.google.com/spreadsheets/d/13JHU_EFbsQOUQ0JSQ3dWy1VTRosIWcDq6Nc99z2qzdc/edit?usp=sharing"",""หนองคาย!S646"")+IMPORTRANGE(""https://docs.google.com/spreadsheets/d/1Hx73zIEgVdDZZaYSTc46Dqv64atFhpr3GelxLbaIN8A/edit?usp=sharing"",""หนองบัวลำภู"&amp;"!S646"")+IMPORTRANGE(""https://docs.google.com/spreadsheets/d/1lFxr3ctmjFN90yc-xV6jrQ9Ty8BKYVBWnAZ15wcNIJc/edit?usp=sharing"",""อำนาจเจริญ!S646"")+IMPORTRANGE(""https://docs.google.com/spreadsheets/d/1gF7RJpRnL-1oyjyeWxs5SFWEH7y8ahOZsQlyp2A2e-A/edit?usp=s"&amp;"haring"",""อุดรธานี!S646"")+IMPORTRANGE(""https://docs.google.com/spreadsheets/d/1kfLP0j3INXRa8bTDpcEmoWewMBV61jlFlfzczfjWIgc/edit?usp=sharing"",""อุบลราชธานี!S646"")"),0)</f>
        <v>0</v>
      </c>
      <c r="T646" s="59">
        <f t="shared" ca="1" si="457"/>
        <v>0</v>
      </c>
      <c r="U646" s="59">
        <f t="shared" ca="1" si="458"/>
        <v>0</v>
      </c>
    </row>
    <row r="647" spans="1:21" ht="18.75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56">
        <f ca="1">IFERROR(__xludf.DUMMYFUNCTION("IMPORTRANGE(""https://docs.google.com/spreadsheets/d/1yhBcrRPreicbMKl9Bu_Snb2-OcQAF62RKfhTLhJ2eAA/edit?usp=sharing"",""กาฬสินธุ์!L647"")+IMPORTRANGE(""https://docs.google.com/spreadsheets/d/1aHkj4IaQMThhwWwevcOymEh837vdxeC_PycurhTbGFA/edit?usp=sharing"","&amp;"""ขอนแก่น!L647"")+IMPORTRANGE(""https://docs.google.com/spreadsheets/d/1FvTu2DsIWUjP6WCWra38Bkj_oOl_sOMf14r5Fg5srxU/edit?usp=sharing"",""ชัยภูมิ!L647"")+IMPORTRANGE(""https://docs.google.com/spreadsheets/d/1XVB7oCJ3pr-vBUdflwPQ8Z2LlzhnCvZaaYjAfP-647E/edit"&amp;"?usp=sharing"",""นครพนม!L647"")+IMPORTRANGE(""https://docs.google.com/spreadsheets/d/1Mnpb-8PYAgn85W6KOTD40hc_Xc55CaLfHoGAbrZ8tls/edit?usp=sharing"",""นครราชสีมา!L647"")+IMPORTRANGE(""https://docs.google.com/spreadsheets/d/1xoDLGBv9CYbyosIhki0kTq6IpYNj-gp"&amp;"jxfobnaDiut0/edit?usp=sharing"",""บึงกาฬ!L647"")+IMPORTRANGE(""https://docs.google.com/spreadsheets/d/1MMPq-JyI6DSgQETxuSiXkesP-P7JHuemnE6QJIa-Nlw/edit?usp=sharing"",""บุรีรัมย์!L647"")+IMPORTRANGE(""https://docs.google.com/spreadsheets/d/1l6IZ8xUPgMrESzc"&amp;"TYwhA1k_tPjeQjJPTqlm8Gd9eU5g/edit?usp=sharing"",""มหาสารคาม!L647"")+IMPORTRANGE(""https://docs.google.com/spreadsheets/d/1uB74YLqNjWX6FObjekfB2NtSYigTQyR2rq9u4Ub2Sq4/edit?usp=sharing"",""มุกดาหาร!L647"")+IMPORTRANGE(""https://docs.google.com/spreadsheets/"&amp;"d/1NexK3geCPxCTO1fzNF8dPec7yZyUx3OaWkFBC9HsQOo/edit?usp=sharing"",""ยโสธร!L647"")+IMPORTRANGE(""https://docs.google.com/spreadsheets/d/1v_cJrbBlyqmnHPReHk44g9NrMRdENNlSy_E_c5M9fIg/edit?usp=sharing"",""ร้อยเอ็ด!L647"")+IMPORTRANGE(""https://docs.google.com"&amp;"/spreadsheets/d/1Ul4RCpCX66NxYADU1QpwAPjOmBzW64SsT11s1wzXw_c/edit?usp=sharing"",""เลย!L647"")+IMPORTRANGE(""https://docs.google.com/spreadsheets/d/1bRrNKwbHDVktQG10isr5vbWRtt5spIZPpkOSWgbT5ug/edit?usp=sharing"",""ศรีสะเกษ!L647"")+IMPORTRANGE(""https://doc"&amp;"s.google.com/spreadsheets/d/17P34_Ow5kFBfdQD0qspb2UuPX5zpi6WMrQzslghyvrI/edit?usp=sharing"",""สกลนคร!L647"")+IMPORTRANGE(""https://docs.google.com/spreadsheets/d/1yswqbM3-AEpThF3ZSUa1AcmHnmRTF1vlJ1CZGcJ8YuU/edit?usp=sharing"",""สุรินทร์!L647"")+IMPORTRANG"&amp;"E(""https://docs.google.com/spreadsheets/d/13JHU_EFbsQOUQ0JSQ3dWy1VTRosIWcDq6Nc99z2qzdc/edit?usp=sharing"",""หนองคาย!L647"")+IMPORTRANGE(""https://docs.google.com/spreadsheets/d/1Hx73zIEgVdDZZaYSTc46Dqv64atFhpr3GelxLbaIN8A/edit?usp=sharing"",""หนองบัวลำภู"&amp;"!L647"")+IMPORTRANGE(""https://docs.google.com/spreadsheets/d/1lFxr3ctmjFN90yc-xV6jrQ9Ty8BKYVBWnAZ15wcNIJc/edit?usp=sharing"",""อำนาจเจริญ!L647"")+IMPORTRANGE(""https://docs.google.com/spreadsheets/d/1gF7RJpRnL-1oyjyeWxs5SFWEH7y8ahOZsQlyp2A2e-A/edit?usp=s"&amp;"haring"",""อุดรธานี!L647"")+IMPORTRANGE(""https://docs.google.com/spreadsheets/d/1kfLP0j3INXRa8bTDpcEmoWewMBV61jlFlfzczfjWIgc/edit?usp=sharing"",""อุบลราชธานี!L647"")"),0)</f>
        <v>0</v>
      </c>
      <c r="M647" s="56">
        <f ca="1">IFERROR(__xludf.DUMMYFUNCTION("IMPORTRANGE(""https://docs.google.com/spreadsheets/d/1yhBcrRPreicbMKl9Bu_Snb2-OcQAF62RKfhTLhJ2eAA/edit?usp=sharing"",""กาฬสินธุ์!M647"")+IMPORTRANGE(""https://docs.google.com/spreadsheets/d/1aHkj4IaQMThhwWwevcOymEh837vdxeC_PycurhTbGFA/edit?usp=sharing"","&amp;"""ขอนแก่น!M647"")+IMPORTRANGE(""https://docs.google.com/spreadsheets/d/1FvTu2DsIWUjP6WCWra38Bkj_oOl_sOMf14r5Fg5srxU/edit?usp=sharing"",""ชัยภูมิ!M647"")+IMPORTRANGE(""https://docs.google.com/spreadsheets/d/1XVB7oCJ3pr-vBUdflwPQ8Z2LlzhnCvZaaYjAfP-647E/edit"&amp;"?usp=sharing"",""นครพนม!M647"")+IMPORTRANGE(""https://docs.google.com/spreadsheets/d/1Mnpb-8PYAgn85W6KOTD40hc_Xc55CaLfHoGAbrZ8tls/edit?usp=sharing"",""นครราชสีมา!M647"")+IMPORTRANGE(""https://docs.google.com/spreadsheets/d/1xoDLGBv9CYbyosIhki0kTq6IpYNj-gp"&amp;"jxfobnaDiut0/edit?usp=sharing"",""บึงกาฬ!M647"")+IMPORTRANGE(""https://docs.google.com/spreadsheets/d/1MMPq-JyI6DSgQETxuSiXkesP-P7JHuemnE6QJIa-Nlw/edit?usp=sharing"",""บุรีรัมย์!M647"")+IMPORTRANGE(""https://docs.google.com/spreadsheets/d/1l6IZ8xUPgMrESzc"&amp;"TYwhA1k_tPjeQjJPTqlm8Gd9eU5g/edit?usp=sharing"",""มหาสารคาม!M647"")+IMPORTRANGE(""https://docs.google.com/spreadsheets/d/1uB74YLqNjWX6FObjekfB2NtSYigTQyR2rq9u4Ub2Sq4/edit?usp=sharing"",""มุกดาหาร!M647"")+IMPORTRANGE(""https://docs.google.com/spreadsheets/"&amp;"d/1NexK3geCPxCTO1fzNF8dPec7yZyUx3OaWkFBC9HsQOo/edit?usp=sharing"",""ยโสธร!M647"")+IMPORTRANGE(""https://docs.google.com/spreadsheets/d/1v_cJrbBlyqmnHPReHk44g9NrMRdENNlSy_E_c5M9fIg/edit?usp=sharing"",""ร้อยเอ็ด!M647"")+IMPORTRANGE(""https://docs.google.com"&amp;"/spreadsheets/d/1Ul4RCpCX66NxYADU1QpwAPjOmBzW64SsT11s1wzXw_c/edit?usp=sharing"",""เลย!M647"")+IMPORTRANGE(""https://docs.google.com/spreadsheets/d/1bRrNKwbHDVktQG10isr5vbWRtt5spIZPpkOSWgbT5ug/edit?usp=sharing"",""ศรีสะเกษ!M647"")+IMPORTRANGE(""https://doc"&amp;"s.google.com/spreadsheets/d/17P34_Ow5kFBfdQD0qspb2UuPX5zpi6WMrQzslghyvrI/edit?usp=sharing"",""สกลนคร!M647"")+IMPORTRANGE(""https://docs.google.com/spreadsheets/d/1yswqbM3-AEpThF3ZSUa1AcmHnmRTF1vlJ1CZGcJ8YuU/edit?usp=sharing"",""สุรินทร์!M647"")+IMPORTRANG"&amp;"E(""https://docs.google.com/spreadsheets/d/13JHU_EFbsQOUQ0JSQ3dWy1VTRosIWcDq6Nc99z2qzdc/edit?usp=sharing"",""หนองคาย!M647"")+IMPORTRANGE(""https://docs.google.com/spreadsheets/d/1Hx73zIEgVdDZZaYSTc46Dqv64atFhpr3GelxLbaIN8A/edit?usp=sharing"",""หนองบัวลำภู"&amp;"!M647"")+IMPORTRANGE(""https://docs.google.com/spreadsheets/d/1lFxr3ctmjFN90yc-xV6jrQ9Ty8BKYVBWnAZ15wcNIJc/edit?usp=sharing"",""อำนาจเจริญ!M647"")+IMPORTRANGE(""https://docs.google.com/spreadsheets/d/1gF7RJpRnL-1oyjyeWxs5SFWEH7y8ahOZsQlyp2A2e-A/edit?usp=s"&amp;"haring"",""อุดรธานี!M647"")+IMPORTRANGE(""https://docs.google.com/spreadsheets/d/1kfLP0j3INXRa8bTDpcEmoWewMBV61jlFlfzczfjWIgc/edit?usp=sharing"",""อุบลราชธานี!M647"")"),0)</f>
        <v>0</v>
      </c>
      <c r="N647" s="56">
        <f ca="1">IFERROR(__xludf.DUMMYFUNCTION("IMPORTRANGE(""https://docs.google.com/spreadsheets/d/1yhBcrRPreicbMKl9Bu_Snb2-OcQAF62RKfhTLhJ2eAA/edit?usp=sharing"",""กาฬสินธุ์!N647"")+IMPORTRANGE(""https://docs.google.com/spreadsheets/d/1aHkj4IaQMThhwWwevcOymEh837vdxeC_PycurhTbGFA/edit?usp=sharing"","&amp;"""ขอนแก่น!N647"")+IMPORTRANGE(""https://docs.google.com/spreadsheets/d/1FvTu2DsIWUjP6WCWra38Bkj_oOl_sOMf14r5Fg5srxU/edit?usp=sharing"",""ชัยภูมิ!N647"")+IMPORTRANGE(""https://docs.google.com/spreadsheets/d/1XVB7oCJ3pr-vBUdflwPQ8Z2LlzhnCvZaaYjAfP-647E/edit"&amp;"?usp=sharing"",""นครพนม!N647"")+IMPORTRANGE(""https://docs.google.com/spreadsheets/d/1Mnpb-8PYAgn85W6KOTD40hc_Xc55CaLfHoGAbrZ8tls/edit?usp=sharing"",""นครราชสีมา!N647"")+IMPORTRANGE(""https://docs.google.com/spreadsheets/d/1xoDLGBv9CYbyosIhki0kTq6IpYNj-gp"&amp;"jxfobnaDiut0/edit?usp=sharing"",""บึงกาฬ!N647"")+IMPORTRANGE(""https://docs.google.com/spreadsheets/d/1MMPq-JyI6DSgQETxuSiXkesP-P7JHuemnE6QJIa-Nlw/edit?usp=sharing"",""บุรีรัมย์!N647"")+IMPORTRANGE(""https://docs.google.com/spreadsheets/d/1l6IZ8xUPgMrESzc"&amp;"TYwhA1k_tPjeQjJPTqlm8Gd9eU5g/edit?usp=sharing"",""มหาสารคาม!N647"")+IMPORTRANGE(""https://docs.google.com/spreadsheets/d/1uB74YLqNjWX6FObjekfB2NtSYigTQyR2rq9u4Ub2Sq4/edit?usp=sharing"",""มุกดาหาร!N647"")+IMPORTRANGE(""https://docs.google.com/spreadsheets/"&amp;"d/1NexK3geCPxCTO1fzNF8dPec7yZyUx3OaWkFBC9HsQOo/edit?usp=sharing"",""ยโสธร!N647"")+IMPORTRANGE(""https://docs.google.com/spreadsheets/d/1v_cJrbBlyqmnHPReHk44g9NrMRdENNlSy_E_c5M9fIg/edit?usp=sharing"",""ร้อยเอ็ด!N647"")+IMPORTRANGE(""https://docs.google.com"&amp;"/spreadsheets/d/1Ul4RCpCX66NxYADU1QpwAPjOmBzW64SsT11s1wzXw_c/edit?usp=sharing"",""เลย!N647"")+IMPORTRANGE(""https://docs.google.com/spreadsheets/d/1bRrNKwbHDVktQG10isr5vbWRtt5spIZPpkOSWgbT5ug/edit?usp=sharing"",""ศรีสะเกษ!N647"")+IMPORTRANGE(""https://doc"&amp;"s.google.com/spreadsheets/d/17P34_Ow5kFBfdQD0qspb2UuPX5zpi6WMrQzslghyvrI/edit?usp=sharing"",""สกลนคร!N647"")+IMPORTRANGE(""https://docs.google.com/spreadsheets/d/1yswqbM3-AEpThF3ZSUa1AcmHnmRTF1vlJ1CZGcJ8YuU/edit?usp=sharing"",""สุรินทร์!N647"")+IMPORTRANG"&amp;"E(""https://docs.google.com/spreadsheets/d/13JHU_EFbsQOUQ0JSQ3dWy1VTRosIWcDq6Nc99z2qzdc/edit?usp=sharing"",""หนองคาย!N647"")+IMPORTRANGE(""https://docs.google.com/spreadsheets/d/1Hx73zIEgVdDZZaYSTc46Dqv64atFhpr3GelxLbaIN8A/edit?usp=sharing"",""หนองบัวลำภู"&amp;"!N647"")+IMPORTRANGE(""https://docs.google.com/spreadsheets/d/1lFxr3ctmjFN90yc-xV6jrQ9Ty8BKYVBWnAZ15wcNIJc/edit?usp=sharing"",""อำนาจเจริญ!N647"")+IMPORTRANGE(""https://docs.google.com/spreadsheets/d/1gF7RJpRnL-1oyjyeWxs5SFWEH7y8ahOZsQlyp2A2e-A/edit?usp=s"&amp;"haring"",""อุดรธานี!N647"")+IMPORTRANGE(""https://docs.google.com/spreadsheets/d/1kfLP0j3INXRa8bTDpcEmoWewMBV61jlFlfzczfjWIgc/edit?usp=sharing"",""อุบลราชธานี!N647"")"),0)</f>
        <v>0</v>
      </c>
      <c r="O647" s="56">
        <f t="shared" ca="1" si="454"/>
        <v>0</v>
      </c>
      <c r="P647" s="56">
        <f t="shared" ca="1" si="455"/>
        <v>0</v>
      </c>
      <c r="Q647" s="56">
        <f ca="1">IFERROR(__xludf.DUMMYFUNCTION("IMPORTRANGE(""https://docs.google.com/spreadsheets/d/1yhBcrRPreicbMKl9Bu_Snb2-OcQAF62RKfhTLhJ2eAA/edit?usp=sharing"",""กาฬสินธุ์!Q647"")+IMPORTRANGE(""https://docs.google.com/spreadsheets/d/1aHkj4IaQMThhwWwevcOymEh837vdxeC_PycurhTbGFA/edit?usp=sharing"","&amp;"""ขอนแก่น!Q647"")+IMPORTRANGE(""https://docs.google.com/spreadsheets/d/1FvTu2DsIWUjP6WCWra38Bkj_oOl_sOMf14r5Fg5srxU/edit?usp=sharing"",""ชัยภูมิ!Q647"")+IMPORTRANGE(""https://docs.google.com/spreadsheets/d/1XVB7oCJ3pr-vBUdflwPQ8Z2LlzhnCvZaaYjAfP-647E/edit"&amp;"?usp=sharing"",""นครพนม!Q647"")+IMPORTRANGE(""https://docs.google.com/spreadsheets/d/1Mnpb-8PYAgn85W6KOTD40hc_Xc55CaLfHoGAbrZ8tls/edit?usp=sharing"",""นครราชสีมา!Q647"")+IMPORTRANGE(""https://docs.google.com/spreadsheets/d/1xoDLGBv9CYbyosIhki0kTq6IpYNj-gp"&amp;"jxfobnaDiut0/edit?usp=sharing"",""บึงกาฬ!Q647"")+IMPORTRANGE(""https://docs.google.com/spreadsheets/d/1MMPq-JyI6DSgQETxuSiXkesP-P7JHuemnE6QJIa-Nlw/edit?usp=sharing"",""บุรีรัมย์!Q647"")+IMPORTRANGE(""https://docs.google.com/spreadsheets/d/1l6IZ8xUPgMrESzc"&amp;"TYwhA1k_tPjeQjJPTqlm8Gd9eU5g/edit?usp=sharing"",""มหาสารคาม!Q647"")+IMPORTRANGE(""https://docs.google.com/spreadsheets/d/1uB74YLqNjWX6FObjekfB2NtSYigTQyR2rq9u4Ub2Sq4/edit?usp=sharing"",""มุกดาหาร!Q647"")+IMPORTRANGE(""https://docs.google.com/spreadsheets/"&amp;"d/1NexK3geCPxCTO1fzNF8dPec7yZyUx3OaWkFBC9HsQOo/edit?usp=sharing"",""ยโสธร!Q647"")+IMPORTRANGE(""https://docs.google.com/spreadsheets/d/1v_cJrbBlyqmnHPReHk44g9NrMRdENNlSy_E_c5M9fIg/edit?usp=sharing"",""ร้อยเอ็ด!Q647"")+IMPORTRANGE(""https://docs.google.com"&amp;"/spreadsheets/d/1Ul4RCpCX66NxYADU1QpwAPjOmBzW64SsT11s1wzXw_c/edit?usp=sharing"",""เลย!Q647"")+IMPORTRANGE(""https://docs.google.com/spreadsheets/d/1bRrNKwbHDVktQG10isr5vbWRtt5spIZPpkOSWgbT5ug/edit?usp=sharing"",""ศรีสะเกษ!Q647"")+IMPORTRANGE(""https://doc"&amp;"s.google.com/spreadsheets/d/17P34_Ow5kFBfdQD0qspb2UuPX5zpi6WMrQzslghyvrI/edit?usp=sharing"",""สกลนคร!Q647"")+IMPORTRANGE(""https://docs.google.com/spreadsheets/d/1yswqbM3-AEpThF3ZSUa1AcmHnmRTF1vlJ1CZGcJ8YuU/edit?usp=sharing"",""สุรินทร์!Q647"")+IMPORTRANG"&amp;"E(""https://docs.google.com/spreadsheets/d/13JHU_EFbsQOUQ0JSQ3dWy1VTRosIWcDq6Nc99z2qzdc/edit?usp=sharing"",""หนองคาย!Q647"")+IMPORTRANGE(""https://docs.google.com/spreadsheets/d/1Hx73zIEgVdDZZaYSTc46Dqv64atFhpr3GelxLbaIN8A/edit?usp=sharing"",""หนองบัวลำภู"&amp;"!Q647"")+IMPORTRANGE(""https://docs.google.com/spreadsheets/d/1lFxr3ctmjFN90yc-xV6jrQ9Ty8BKYVBWnAZ15wcNIJc/edit?usp=sharing"",""อำนาจเจริญ!Q647"")+IMPORTRANGE(""https://docs.google.com/spreadsheets/d/1gF7RJpRnL-1oyjyeWxs5SFWEH7y8ahOZsQlyp2A2e-A/edit?usp=s"&amp;"haring"",""อุดรธานี!Q647"")+IMPORTRANGE(""https://docs.google.com/spreadsheets/d/1kfLP0j3INXRa8bTDpcEmoWewMBV61jlFlfzczfjWIgc/edit?usp=sharing"",""อุบลราชธานี!Q647"")"),173560)</f>
        <v>173560</v>
      </c>
      <c r="R647" s="56">
        <f ca="1">IFERROR(__xludf.DUMMYFUNCTION("IMPORTRANGE(""https://docs.google.com/spreadsheets/d/1yhBcrRPreicbMKl9Bu_Snb2-OcQAF62RKfhTLhJ2eAA/edit?usp=sharing"",""กาฬสินธุ์!R647"")+IMPORTRANGE(""https://docs.google.com/spreadsheets/d/1aHkj4IaQMThhwWwevcOymEh837vdxeC_PycurhTbGFA/edit?usp=sharing"","&amp;"""ขอนแก่น!R647"")+IMPORTRANGE(""https://docs.google.com/spreadsheets/d/1FvTu2DsIWUjP6WCWra38Bkj_oOl_sOMf14r5Fg5srxU/edit?usp=sharing"",""ชัยภูมิ!R647"")+IMPORTRANGE(""https://docs.google.com/spreadsheets/d/1XVB7oCJ3pr-vBUdflwPQ8Z2LlzhnCvZaaYjAfP-647E/edit"&amp;"?usp=sharing"",""นครพนม!R647"")+IMPORTRANGE(""https://docs.google.com/spreadsheets/d/1Mnpb-8PYAgn85W6KOTD40hc_Xc55CaLfHoGAbrZ8tls/edit?usp=sharing"",""นครราชสีมา!R647"")+IMPORTRANGE(""https://docs.google.com/spreadsheets/d/1xoDLGBv9CYbyosIhki0kTq6IpYNj-gp"&amp;"jxfobnaDiut0/edit?usp=sharing"",""บึงกาฬ!R647"")+IMPORTRANGE(""https://docs.google.com/spreadsheets/d/1MMPq-JyI6DSgQETxuSiXkesP-P7JHuemnE6QJIa-Nlw/edit?usp=sharing"",""บุรีรัมย์!R647"")+IMPORTRANGE(""https://docs.google.com/spreadsheets/d/1l6IZ8xUPgMrESzc"&amp;"TYwhA1k_tPjeQjJPTqlm8Gd9eU5g/edit?usp=sharing"",""มหาสารคาม!R647"")+IMPORTRANGE(""https://docs.google.com/spreadsheets/d/1uB74YLqNjWX6FObjekfB2NtSYigTQyR2rq9u4Ub2Sq4/edit?usp=sharing"",""มุกดาหาร!R647"")+IMPORTRANGE(""https://docs.google.com/spreadsheets/"&amp;"d/1NexK3geCPxCTO1fzNF8dPec7yZyUx3OaWkFBC9HsQOo/edit?usp=sharing"",""ยโสธร!R647"")+IMPORTRANGE(""https://docs.google.com/spreadsheets/d/1v_cJrbBlyqmnHPReHk44g9NrMRdENNlSy_E_c5M9fIg/edit?usp=sharing"",""ร้อยเอ็ด!R647"")+IMPORTRANGE(""https://docs.google.com"&amp;"/spreadsheets/d/1Ul4RCpCX66NxYADU1QpwAPjOmBzW64SsT11s1wzXw_c/edit?usp=sharing"",""เลย!R647"")+IMPORTRANGE(""https://docs.google.com/spreadsheets/d/1bRrNKwbHDVktQG10isr5vbWRtt5spIZPpkOSWgbT5ug/edit?usp=sharing"",""ศรีสะเกษ!R647"")+IMPORTRANGE(""https://doc"&amp;"s.google.com/spreadsheets/d/17P34_Ow5kFBfdQD0qspb2UuPX5zpi6WMrQzslghyvrI/edit?usp=sharing"",""สกลนคร!R647"")+IMPORTRANGE(""https://docs.google.com/spreadsheets/d/1yswqbM3-AEpThF3ZSUa1AcmHnmRTF1vlJ1CZGcJ8YuU/edit?usp=sharing"",""สุรินทร์!R647"")+IMPORTRANG"&amp;"E(""https://docs.google.com/spreadsheets/d/13JHU_EFbsQOUQ0JSQ3dWy1VTRosIWcDq6Nc99z2qzdc/edit?usp=sharing"",""หนองคาย!R647"")+IMPORTRANGE(""https://docs.google.com/spreadsheets/d/1Hx73zIEgVdDZZaYSTc46Dqv64atFhpr3GelxLbaIN8A/edit?usp=sharing"",""หนองบัวลำภู"&amp;"!R647"")+IMPORTRANGE(""https://docs.google.com/spreadsheets/d/1lFxr3ctmjFN90yc-xV6jrQ9Ty8BKYVBWnAZ15wcNIJc/edit?usp=sharing"",""อำนาจเจริญ!R647"")+IMPORTRANGE(""https://docs.google.com/spreadsheets/d/1gF7RJpRnL-1oyjyeWxs5SFWEH7y8ahOZsQlyp2A2e-A/edit?usp=s"&amp;"haring"",""อุดรธานี!R647"")+IMPORTRANGE(""https://docs.google.com/spreadsheets/d/1kfLP0j3INXRa8bTDpcEmoWewMBV61jlFlfzczfjWIgc/edit?usp=sharing"",""อุบลราชธานี!R647"")"),173560)</f>
        <v>173560</v>
      </c>
      <c r="S647" s="57">
        <f ca="1">IFERROR(__xludf.DUMMYFUNCTION("IMPORTRANGE(""https://docs.google.com/spreadsheets/d/1yhBcrRPreicbMKl9Bu_Snb2-OcQAF62RKfhTLhJ2eAA/edit?usp=sharing"",""กาฬสินธุ์!S647"")+IMPORTRANGE(""https://docs.google.com/spreadsheets/d/1aHkj4IaQMThhwWwevcOymEh837vdxeC_PycurhTbGFA/edit?usp=sharing"","&amp;"""ขอนแก่น!S647"")+IMPORTRANGE(""https://docs.google.com/spreadsheets/d/1FvTu2DsIWUjP6WCWra38Bkj_oOl_sOMf14r5Fg5srxU/edit?usp=sharing"",""ชัยภูมิ!S647"")+IMPORTRANGE(""https://docs.google.com/spreadsheets/d/1XVB7oCJ3pr-vBUdflwPQ8Z2LlzhnCvZaaYjAfP-647E/edit"&amp;"?usp=sharing"",""นครพนม!S647"")+IMPORTRANGE(""https://docs.google.com/spreadsheets/d/1Mnpb-8PYAgn85W6KOTD40hc_Xc55CaLfHoGAbrZ8tls/edit?usp=sharing"",""นครราชสีมา!S647"")+IMPORTRANGE(""https://docs.google.com/spreadsheets/d/1xoDLGBv9CYbyosIhki0kTq6IpYNj-gp"&amp;"jxfobnaDiut0/edit?usp=sharing"",""บึงกาฬ!S647"")+IMPORTRANGE(""https://docs.google.com/spreadsheets/d/1MMPq-JyI6DSgQETxuSiXkesP-P7JHuemnE6QJIa-Nlw/edit?usp=sharing"",""บุรีรัมย์!S647"")+IMPORTRANGE(""https://docs.google.com/spreadsheets/d/1l6IZ8xUPgMrESzc"&amp;"TYwhA1k_tPjeQjJPTqlm8Gd9eU5g/edit?usp=sharing"",""มหาสารคาม!S647"")+IMPORTRANGE(""https://docs.google.com/spreadsheets/d/1uB74YLqNjWX6FObjekfB2NtSYigTQyR2rq9u4Ub2Sq4/edit?usp=sharing"",""มุกดาหาร!S647"")+IMPORTRANGE(""https://docs.google.com/spreadsheets/"&amp;"d/1NexK3geCPxCTO1fzNF8dPec7yZyUx3OaWkFBC9HsQOo/edit?usp=sharing"",""ยโสธร!S647"")+IMPORTRANGE(""https://docs.google.com/spreadsheets/d/1v_cJrbBlyqmnHPReHk44g9NrMRdENNlSy_E_c5M9fIg/edit?usp=sharing"",""ร้อยเอ็ด!S647"")+IMPORTRANGE(""https://docs.google.com"&amp;"/spreadsheets/d/1Ul4RCpCX66NxYADU1QpwAPjOmBzW64SsT11s1wzXw_c/edit?usp=sharing"",""เลย!S647"")+IMPORTRANGE(""https://docs.google.com/spreadsheets/d/1bRrNKwbHDVktQG10isr5vbWRtt5spIZPpkOSWgbT5ug/edit?usp=sharing"",""ศรีสะเกษ!S647"")+IMPORTRANGE(""https://doc"&amp;"s.google.com/spreadsheets/d/17P34_Ow5kFBfdQD0qspb2UuPX5zpi6WMrQzslghyvrI/edit?usp=sharing"",""สกลนคร!S647"")+IMPORTRANGE(""https://docs.google.com/spreadsheets/d/1yswqbM3-AEpThF3ZSUa1AcmHnmRTF1vlJ1CZGcJ8YuU/edit?usp=sharing"",""สุรินทร์!S647"")+IMPORTRANG"&amp;"E(""https://docs.google.com/spreadsheets/d/13JHU_EFbsQOUQ0JSQ3dWy1VTRosIWcDq6Nc99z2qzdc/edit?usp=sharing"",""หนองคาย!S647"")+IMPORTRANGE(""https://docs.google.com/spreadsheets/d/1Hx73zIEgVdDZZaYSTc46Dqv64atFhpr3GelxLbaIN8A/edit?usp=sharing"",""หนองบัวลำภู"&amp;"!S647"")+IMPORTRANGE(""https://docs.google.com/spreadsheets/d/1lFxr3ctmjFN90yc-xV6jrQ9Ty8BKYVBWnAZ15wcNIJc/edit?usp=sharing"",""อำนาจเจริญ!S647"")+IMPORTRANGE(""https://docs.google.com/spreadsheets/d/1gF7RJpRnL-1oyjyeWxs5SFWEH7y8ahOZsQlyp2A2e-A/edit?usp=s"&amp;"haring"",""อุดรธานี!S647"")+IMPORTRANGE(""https://docs.google.com/spreadsheets/d/1kfLP0j3INXRa8bTDpcEmoWewMBV61jlFlfzczfjWIgc/edit?usp=sharing"",""อุบลราชธานี!S647"")"),1220)</f>
        <v>1220</v>
      </c>
      <c r="T647" s="56">
        <f t="shared" ca="1" si="457"/>
        <v>0.70292694169163406</v>
      </c>
      <c r="U647" s="56">
        <f t="shared" ca="1" si="458"/>
        <v>0.70292694169163406</v>
      </c>
    </row>
    <row r="648" spans="1:21" ht="18.75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56">
        <f t="shared" ref="L648:N648" ca="1" si="465">L649+L650</f>
        <v>0</v>
      </c>
      <c r="M648" s="56">
        <f t="shared" ca="1" si="465"/>
        <v>0</v>
      </c>
      <c r="N648" s="56">
        <f t="shared" ca="1" si="465"/>
        <v>0</v>
      </c>
      <c r="O648" s="56">
        <f t="shared" ca="1" si="454"/>
        <v>0</v>
      </c>
      <c r="P648" s="56">
        <f t="shared" ca="1" si="455"/>
        <v>0</v>
      </c>
      <c r="Q648" s="56">
        <f t="shared" ref="Q648:S648" ca="1" si="466">Q649+Q650</f>
        <v>0</v>
      </c>
      <c r="R648" s="56">
        <f t="shared" ca="1" si="466"/>
        <v>0</v>
      </c>
      <c r="S648" s="57">
        <f t="shared" ca="1" si="466"/>
        <v>0</v>
      </c>
      <c r="T648" s="56">
        <f t="shared" ca="1" si="457"/>
        <v>0</v>
      </c>
      <c r="U648" s="56">
        <f t="shared" ca="1" si="458"/>
        <v>0</v>
      </c>
    </row>
    <row r="649" spans="1:21" ht="18.75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59">
        <f ca="1">IFERROR(__xludf.DUMMYFUNCTION("IMPORTRANGE(""https://docs.google.com/spreadsheets/d/1yhBcrRPreicbMKl9Bu_Snb2-OcQAF62RKfhTLhJ2eAA/edit?usp=sharing"",""กาฬสินธุ์!L649"")+IMPORTRANGE(""https://docs.google.com/spreadsheets/d/1aHkj4IaQMThhwWwevcOymEh837vdxeC_PycurhTbGFA/edit?usp=sharing"","&amp;"""ขอนแก่น!L649"")+IMPORTRANGE(""https://docs.google.com/spreadsheets/d/1FvTu2DsIWUjP6WCWra38Bkj_oOl_sOMf14r5Fg5srxU/edit?usp=sharing"",""ชัยภูมิ!L649"")+IMPORTRANGE(""https://docs.google.com/spreadsheets/d/1XVB7oCJ3pr-vBUdflwPQ8Z2LlzhnCvZaaYjAfP-647E/edit"&amp;"?usp=sharing"",""นครพนม!L649"")+IMPORTRANGE(""https://docs.google.com/spreadsheets/d/1Mnpb-8PYAgn85W6KOTD40hc_Xc55CaLfHoGAbrZ8tls/edit?usp=sharing"",""นครราชสีมา!L649"")+IMPORTRANGE(""https://docs.google.com/spreadsheets/d/1xoDLGBv9CYbyosIhki0kTq6IpYNj-gp"&amp;"jxfobnaDiut0/edit?usp=sharing"",""บึงกาฬ!L649"")+IMPORTRANGE(""https://docs.google.com/spreadsheets/d/1MMPq-JyI6DSgQETxuSiXkesP-P7JHuemnE6QJIa-Nlw/edit?usp=sharing"",""บุรีรัมย์!L649"")+IMPORTRANGE(""https://docs.google.com/spreadsheets/d/1l6IZ8xUPgMrESzc"&amp;"TYwhA1k_tPjeQjJPTqlm8Gd9eU5g/edit?usp=sharing"",""มหาสารคาม!L649"")+IMPORTRANGE(""https://docs.google.com/spreadsheets/d/1uB74YLqNjWX6FObjekfB2NtSYigTQyR2rq9u4Ub2Sq4/edit?usp=sharing"",""มุกดาหาร!L649"")+IMPORTRANGE(""https://docs.google.com/spreadsheets/"&amp;"d/1NexK3geCPxCTO1fzNF8dPec7yZyUx3OaWkFBC9HsQOo/edit?usp=sharing"",""ยโสธร!L649"")+IMPORTRANGE(""https://docs.google.com/spreadsheets/d/1v_cJrbBlyqmnHPReHk44g9NrMRdENNlSy_E_c5M9fIg/edit?usp=sharing"",""ร้อยเอ็ด!L649"")+IMPORTRANGE(""https://docs.google.com"&amp;"/spreadsheets/d/1Ul4RCpCX66NxYADU1QpwAPjOmBzW64SsT11s1wzXw_c/edit?usp=sharing"",""เลย!L649"")+IMPORTRANGE(""https://docs.google.com/spreadsheets/d/1bRrNKwbHDVktQG10isr5vbWRtt5spIZPpkOSWgbT5ug/edit?usp=sharing"",""ศรีสะเกษ!L649"")+IMPORTRANGE(""https://doc"&amp;"s.google.com/spreadsheets/d/17P34_Ow5kFBfdQD0qspb2UuPX5zpi6WMrQzslghyvrI/edit?usp=sharing"",""สกลนคร!L649"")+IMPORTRANGE(""https://docs.google.com/spreadsheets/d/1yswqbM3-AEpThF3ZSUa1AcmHnmRTF1vlJ1CZGcJ8YuU/edit?usp=sharing"",""สุรินทร์!L649"")+IMPORTRANG"&amp;"E(""https://docs.google.com/spreadsheets/d/13JHU_EFbsQOUQ0JSQ3dWy1VTRosIWcDq6Nc99z2qzdc/edit?usp=sharing"",""หนองคาย!L649"")+IMPORTRANGE(""https://docs.google.com/spreadsheets/d/1Hx73zIEgVdDZZaYSTc46Dqv64atFhpr3GelxLbaIN8A/edit?usp=sharing"",""หนองบัวลำภู"&amp;"!L649"")+IMPORTRANGE(""https://docs.google.com/spreadsheets/d/1lFxr3ctmjFN90yc-xV6jrQ9Ty8BKYVBWnAZ15wcNIJc/edit?usp=sharing"",""อำนาจเจริญ!L649"")+IMPORTRANGE(""https://docs.google.com/spreadsheets/d/1gF7RJpRnL-1oyjyeWxs5SFWEH7y8ahOZsQlyp2A2e-A/edit?usp=s"&amp;"haring"",""อุดรธานี!L649"")+IMPORTRANGE(""https://docs.google.com/spreadsheets/d/1kfLP0j3INXRa8bTDpcEmoWewMBV61jlFlfzczfjWIgc/edit?usp=sharing"",""อุบลราชธานี!L649"")"),0)</f>
        <v>0</v>
      </c>
      <c r="M649" s="59">
        <f ca="1">IFERROR(__xludf.DUMMYFUNCTION("IMPORTRANGE(""https://docs.google.com/spreadsheets/d/1yhBcrRPreicbMKl9Bu_Snb2-OcQAF62RKfhTLhJ2eAA/edit?usp=sharing"",""กาฬสินธุ์!M649"")+IMPORTRANGE(""https://docs.google.com/spreadsheets/d/1aHkj4IaQMThhwWwevcOymEh837vdxeC_PycurhTbGFA/edit?usp=sharing"","&amp;"""ขอนแก่น!M649"")+IMPORTRANGE(""https://docs.google.com/spreadsheets/d/1FvTu2DsIWUjP6WCWra38Bkj_oOl_sOMf14r5Fg5srxU/edit?usp=sharing"",""ชัยภูมิ!M649"")+IMPORTRANGE(""https://docs.google.com/spreadsheets/d/1XVB7oCJ3pr-vBUdflwPQ8Z2LlzhnCvZaaYjAfP-647E/edit"&amp;"?usp=sharing"",""นครพนม!M649"")+IMPORTRANGE(""https://docs.google.com/spreadsheets/d/1Mnpb-8PYAgn85W6KOTD40hc_Xc55CaLfHoGAbrZ8tls/edit?usp=sharing"",""นครราชสีมา!M649"")+IMPORTRANGE(""https://docs.google.com/spreadsheets/d/1xoDLGBv9CYbyosIhki0kTq6IpYNj-gp"&amp;"jxfobnaDiut0/edit?usp=sharing"",""บึงกาฬ!M649"")+IMPORTRANGE(""https://docs.google.com/spreadsheets/d/1MMPq-JyI6DSgQETxuSiXkesP-P7JHuemnE6QJIa-Nlw/edit?usp=sharing"",""บุรีรัมย์!M649"")+IMPORTRANGE(""https://docs.google.com/spreadsheets/d/1l6IZ8xUPgMrESzc"&amp;"TYwhA1k_tPjeQjJPTqlm8Gd9eU5g/edit?usp=sharing"",""มหาสารคาม!M649"")+IMPORTRANGE(""https://docs.google.com/spreadsheets/d/1uB74YLqNjWX6FObjekfB2NtSYigTQyR2rq9u4Ub2Sq4/edit?usp=sharing"",""มุกดาหาร!M649"")+IMPORTRANGE(""https://docs.google.com/spreadsheets/"&amp;"d/1NexK3geCPxCTO1fzNF8dPec7yZyUx3OaWkFBC9HsQOo/edit?usp=sharing"",""ยโสธร!M649"")+IMPORTRANGE(""https://docs.google.com/spreadsheets/d/1v_cJrbBlyqmnHPReHk44g9NrMRdENNlSy_E_c5M9fIg/edit?usp=sharing"",""ร้อยเอ็ด!M649"")+IMPORTRANGE(""https://docs.google.com"&amp;"/spreadsheets/d/1Ul4RCpCX66NxYADU1QpwAPjOmBzW64SsT11s1wzXw_c/edit?usp=sharing"",""เลย!M649"")+IMPORTRANGE(""https://docs.google.com/spreadsheets/d/1bRrNKwbHDVktQG10isr5vbWRtt5spIZPpkOSWgbT5ug/edit?usp=sharing"",""ศรีสะเกษ!M649"")+IMPORTRANGE(""https://doc"&amp;"s.google.com/spreadsheets/d/17P34_Ow5kFBfdQD0qspb2UuPX5zpi6WMrQzslghyvrI/edit?usp=sharing"",""สกลนคร!M649"")+IMPORTRANGE(""https://docs.google.com/spreadsheets/d/1yswqbM3-AEpThF3ZSUa1AcmHnmRTF1vlJ1CZGcJ8YuU/edit?usp=sharing"",""สุรินทร์!M649"")+IMPORTRANG"&amp;"E(""https://docs.google.com/spreadsheets/d/13JHU_EFbsQOUQ0JSQ3dWy1VTRosIWcDq6Nc99z2qzdc/edit?usp=sharing"",""หนองคาย!M649"")+IMPORTRANGE(""https://docs.google.com/spreadsheets/d/1Hx73zIEgVdDZZaYSTc46Dqv64atFhpr3GelxLbaIN8A/edit?usp=sharing"",""หนองบัวลำภู"&amp;"!M649"")+IMPORTRANGE(""https://docs.google.com/spreadsheets/d/1lFxr3ctmjFN90yc-xV6jrQ9Ty8BKYVBWnAZ15wcNIJc/edit?usp=sharing"",""อำนาจเจริญ!M649"")+IMPORTRANGE(""https://docs.google.com/spreadsheets/d/1gF7RJpRnL-1oyjyeWxs5SFWEH7y8ahOZsQlyp2A2e-A/edit?usp=s"&amp;"haring"",""อุดรธานี!M649"")+IMPORTRANGE(""https://docs.google.com/spreadsheets/d/1kfLP0j3INXRa8bTDpcEmoWewMBV61jlFlfzczfjWIgc/edit?usp=sharing"",""อุบลราชธานี!M649"")"),0)</f>
        <v>0</v>
      </c>
      <c r="N649" s="59">
        <f ca="1">IFERROR(__xludf.DUMMYFUNCTION("IMPORTRANGE(""https://docs.google.com/spreadsheets/d/1yhBcrRPreicbMKl9Bu_Snb2-OcQAF62RKfhTLhJ2eAA/edit?usp=sharing"",""กาฬสินธุ์!N649"")+IMPORTRANGE(""https://docs.google.com/spreadsheets/d/1aHkj4IaQMThhwWwevcOymEh837vdxeC_PycurhTbGFA/edit?usp=sharing"","&amp;"""ขอนแก่น!N649"")+IMPORTRANGE(""https://docs.google.com/spreadsheets/d/1FvTu2DsIWUjP6WCWra38Bkj_oOl_sOMf14r5Fg5srxU/edit?usp=sharing"",""ชัยภูมิ!N649"")+IMPORTRANGE(""https://docs.google.com/spreadsheets/d/1XVB7oCJ3pr-vBUdflwPQ8Z2LlzhnCvZaaYjAfP-647E/edit"&amp;"?usp=sharing"",""นครพนม!N649"")+IMPORTRANGE(""https://docs.google.com/spreadsheets/d/1Mnpb-8PYAgn85W6KOTD40hc_Xc55CaLfHoGAbrZ8tls/edit?usp=sharing"",""นครราชสีมา!N649"")+IMPORTRANGE(""https://docs.google.com/spreadsheets/d/1xoDLGBv9CYbyosIhki0kTq6IpYNj-gp"&amp;"jxfobnaDiut0/edit?usp=sharing"",""บึงกาฬ!N649"")+IMPORTRANGE(""https://docs.google.com/spreadsheets/d/1MMPq-JyI6DSgQETxuSiXkesP-P7JHuemnE6QJIa-Nlw/edit?usp=sharing"",""บุรีรัมย์!N649"")+IMPORTRANGE(""https://docs.google.com/spreadsheets/d/1l6IZ8xUPgMrESzc"&amp;"TYwhA1k_tPjeQjJPTqlm8Gd9eU5g/edit?usp=sharing"",""มหาสารคาม!N649"")+IMPORTRANGE(""https://docs.google.com/spreadsheets/d/1uB74YLqNjWX6FObjekfB2NtSYigTQyR2rq9u4Ub2Sq4/edit?usp=sharing"",""มุกดาหาร!N649"")+IMPORTRANGE(""https://docs.google.com/spreadsheets/"&amp;"d/1NexK3geCPxCTO1fzNF8dPec7yZyUx3OaWkFBC9HsQOo/edit?usp=sharing"",""ยโสธร!N649"")+IMPORTRANGE(""https://docs.google.com/spreadsheets/d/1v_cJrbBlyqmnHPReHk44g9NrMRdENNlSy_E_c5M9fIg/edit?usp=sharing"",""ร้อยเอ็ด!N649"")+IMPORTRANGE(""https://docs.google.com"&amp;"/spreadsheets/d/1Ul4RCpCX66NxYADU1QpwAPjOmBzW64SsT11s1wzXw_c/edit?usp=sharing"",""เลย!N649"")+IMPORTRANGE(""https://docs.google.com/spreadsheets/d/1bRrNKwbHDVktQG10isr5vbWRtt5spIZPpkOSWgbT5ug/edit?usp=sharing"",""ศรีสะเกษ!N649"")+IMPORTRANGE(""https://doc"&amp;"s.google.com/spreadsheets/d/17P34_Ow5kFBfdQD0qspb2UuPX5zpi6WMrQzslghyvrI/edit?usp=sharing"",""สกลนคร!N649"")+IMPORTRANGE(""https://docs.google.com/spreadsheets/d/1yswqbM3-AEpThF3ZSUa1AcmHnmRTF1vlJ1CZGcJ8YuU/edit?usp=sharing"",""สุรินทร์!N649"")+IMPORTRANG"&amp;"E(""https://docs.google.com/spreadsheets/d/13JHU_EFbsQOUQ0JSQ3dWy1VTRosIWcDq6Nc99z2qzdc/edit?usp=sharing"",""หนองคาย!N649"")+IMPORTRANGE(""https://docs.google.com/spreadsheets/d/1Hx73zIEgVdDZZaYSTc46Dqv64atFhpr3GelxLbaIN8A/edit?usp=sharing"",""หนองบัวลำภู"&amp;"!N649"")+IMPORTRANGE(""https://docs.google.com/spreadsheets/d/1lFxr3ctmjFN90yc-xV6jrQ9Ty8BKYVBWnAZ15wcNIJc/edit?usp=sharing"",""อำนาจเจริญ!N649"")+IMPORTRANGE(""https://docs.google.com/spreadsheets/d/1gF7RJpRnL-1oyjyeWxs5SFWEH7y8ahOZsQlyp2A2e-A/edit?usp=s"&amp;"haring"",""อุดรธานี!N649"")+IMPORTRANGE(""https://docs.google.com/spreadsheets/d/1kfLP0j3INXRa8bTDpcEmoWewMBV61jlFlfzczfjWIgc/edit?usp=sharing"",""อุบลราชธานี!N649"")"),0)</f>
        <v>0</v>
      </c>
      <c r="O649" s="59">
        <f t="shared" ca="1" si="454"/>
        <v>0</v>
      </c>
      <c r="P649" s="59">
        <f t="shared" ca="1" si="455"/>
        <v>0</v>
      </c>
      <c r="Q649" s="59">
        <f ca="1">IFERROR(__xludf.DUMMYFUNCTION("IMPORTRANGE(""https://docs.google.com/spreadsheets/d/1yhBcrRPreicbMKl9Bu_Snb2-OcQAF62RKfhTLhJ2eAA/edit?usp=sharing"",""กาฬสินธุ์!Q649"")+IMPORTRANGE(""https://docs.google.com/spreadsheets/d/1aHkj4IaQMThhwWwevcOymEh837vdxeC_PycurhTbGFA/edit?usp=sharing"","&amp;"""ขอนแก่น!Q649"")+IMPORTRANGE(""https://docs.google.com/spreadsheets/d/1FvTu2DsIWUjP6WCWra38Bkj_oOl_sOMf14r5Fg5srxU/edit?usp=sharing"",""ชัยภูมิ!Q649"")+IMPORTRANGE(""https://docs.google.com/spreadsheets/d/1XVB7oCJ3pr-vBUdflwPQ8Z2LlzhnCvZaaYjAfP-647E/edit"&amp;"?usp=sharing"",""นครพนม!Q649"")+IMPORTRANGE(""https://docs.google.com/spreadsheets/d/1Mnpb-8PYAgn85W6KOTD40hc_Xc55CaLfHoGAbrZ8tls/edit?usp=sharing"",""นครราชสีมา!Q649"")+IMPORTRANGE(""https://docs.google.com/spreadsheets/d/1xoDLGBv9CYbyosIhki0kTq6IpYNj-gp"&amp;"jxfobnaDiut0/edit?usp=sharing"",""บึงกาฬ!Q649"")+IMPORTRANGE(""https://docs.google.com/spreadsheets/d/1MMPq-JyI6DSgQETxuSiXkesP-P7JHuemnE6QJIa-Nlw/edit?usp=sharing"",""บุรีรัมย์!Q649"")+IMPORTRANGE(""https://docs.google.com/spreadsheets/d/1l6IZ8xUPgMrESzc"&amp;"TYwhA1k_tPjeQjJPTqlm8Gd9eU5g/edit?usp=sharing"",""มหาสารคาม!Q649"")+IMPORTRANGE(""https://docs.google.com/spreadsheets/d/1uB74YLqNjWX6FObjekfB2NtSYigTQyR2rq9u4Ub2Sq4/edit?usp=sharing"",""มุกดาหาร!Q649"")+IMPORTRANGE(""https://docs.google.com/spreadsheets/"&amp;"d/1NexK3geCPxCTO1fzNF8dPec7yZyUx3OaWkFBC9HsQOo/edit?usp=sharing"",""ยโสธร!Q649"")+IMPORTRANGE(""https://docs.google.com/spreadsheets/d/1v_cJrbBlyqmnHPReHk44g9NrMRdENNlSy_E_c5M9fIg/edit?usp=sharing"",""ร้อยเอ็ด!Q649"")+IMPORTRANGE(""https://docs.google.com"&amp;"/spreadsheets/d/1Ul4RCpCX66NxYADU1QpwAPjOmBzW64SsT11s1wzXw_c/edit?usp=sharing"",""เลย!Q649"")+IMPORTRANGE(""https://docs.google.com/spreadsheets/d/1bRrNKwbHDVktQG10isr5vbWRtt5spIZPpkOSWgbT5ug/edit?usp=sharing"",""ศรีสะเกษ!Q649"")+IMPORTRANGE(""https://doc"&amp;"s.google.com/spreadsheets/d/17P34_Ow5kFBfdQD0qspb2UuPX5zpi6WMrQzslghyvrI/edit?usp=sharing"",""สกลนคร!Q649"")+IMPORTRANGE(""https://docs.google.com/spreadsheets/d/1yswqbM3-AEpThF3ZSUa1AcmHnmRTF1vlJ1CZGcJ8YuU/edit?usp=sharing"",""สุรินทร์!Q649"")+IMPORTRANG"&amp;"E(""https://docs.google.com/spreadsheets/d/13JHU_EFbsQOUQ0JSQ3dWy1VTRosIWcDq6Nc99z2qzdc/edit?usp=sharing"",""หนองคาย!Q649"")+IMPORTRANGE(""https://docs.google.com/spreadsheets/d/1Hx73zIEgVdDZZaYSTc46Dqv64atFhpr3GelxLbaIN8A/edit?usp=sharing"",""หนองบัวลำภู"&amp;"!Q649"")+IMPORTRANGE(""https://docs.google.com/spreadsheets/d/1lFxr3ctmjFN90yc-xV6jrQ9Ty8BKYVBWnAZ15wcNIJc/edit?usp=sharing"",""อำนาจเจริญ!Q649"")+IMPORTRANGE(""https://docs.google.com/spreadsheets/d/1gF7RJpRnL-1oyjyeWxs5SFWEH7y8ahOZsQlyp2A2e-A/edit?usp=s"&amp;"haring"",""อุดรธานี!Q649"")+IMPORTRANGE(""https://docs.google.com/spreadsheets/d/1kfLP0j3INXRa8bTDpcEmoWewMBV61jlFlfzczfjWIgc/edit?usp=sharing"",""อุบลราชธานี!Q649"")"),0)</f>
        <v>0</v>
      </c>
      <c r="R649" s="59">
        <f ca="1">IFERROR(__xludf.DUMMYFUNCTION("IMPORTRANGE(""https://docs.google.com/spreadsheets/d/1yhBcrRPreicbMKl9Bu_Snb2-OcQAF62RKfhTLhJ2eAA/edit?usp=sharing"",""กาฬสินธุ์!R649"")+IMPORTRANGE(""https://docs.google.com/spreadsheets/d/1aHkj4IaQMThhwWwevcOymEh837vdxeC_PycurhTbGFA/edit?usp=sharing"","&amp;"""ขอนแก่น!R649"")+IMPORTRANGE(""https://docs.google.com/spreadsheets/d/1FvTu2DsIWUjP6WCWra38Bkj_oOl_sOMf14r5Fg5srxU/edit?usp=sharing"",""ชัยภูมิ!R649"")+IMPORTRANGE(""https://docs.google.com/spreadsheets/d/1XVB7oCJ3pr-vBUdflwPQ8Z2LlzhnCvZaaYjAfP-647E/edit"&amp;"?usp=sharing"",""นครพนม!R649"")+IMPORTRANGE(""https://docs.google.com/spreadsheets/d/1Mnpb-8PYAgn85W6KOTD40hc_Xc55CaLfHoGAbrZ8tls/edit?usp=sharing"",""นครราชสีมา!R649"")+IMPORTRANGE(""https://docs.google.com/spreadsheets/d/1xoDLGBv9CYbyosIhki0kTq6IpYNj-gp"&amp;"jxfobnaDiut0/edit?usp=sharing"",""บึงกาฬ!R649"")+IMPORTRANGE(""https://docs.google.com/spreadsheets/d/1MMPq-JyI6DSgQETxuSiXkesP-P7JHuemnE6QJIa-Nlw/edit?usp=sharing"",""บุรีรัมย์!R649"")+IMPORTRANGE(""https://docs.google.com/spreadsheets/d/1l6IZ8xUPgMrESzc"&amp;"TYwhA1k_tPjeQjJPTqlm8Gd9eU5g/edit?usp=sharing"",""มหาสารคาม!R649"")+IMPORTRANGE(""https://docs.google.com/spreadsheets/d/1uB74YLqNjWX6FObjekfB2NtSYigTQyR2rq9u4Ub2Sq4/edit?usp=sharing"",""มุกดาหาร!R649"")+IMPORTRANGE(""https://docs.google.com/spreadsheets/"&amp;"d/1NexK3geCPxCTO1fzNF8dPec7yZyUx3OaWkFBC9HsQOo/edit?usp=sharing"",""ยโสธร!R649"")+IMPORTRANGE(""https://docs.google.com/spreadsheets/d/1v_cJrbBlyqmnHPReHk44g9NrMRdENNlSy_E_c5M9fIg/edit?usp=sharing"",""ร้อยเอ็ด!R649"")+IMPORTRANGE(""https://docs.google.com"&amp;"/spreadsheets/d/1Ul4RCpCX66NxYADU1QpwAPjOmBzW64SsT11s1wzXw_c/edit?usp=sharing"",""เลย!R649"")+IMPORTRANGE(""https://docs.google.com/spreadsheets/d/1bRrNKwbHDVktQG10isr5vbWRtt5spIZPpkOSWgbT5ug/edit?usp=sharing"",""ศรีสะเกษ!R649"")+IMPORTRANGE(""https://doc"&amp;"s.google.com/spreadsheets/d/17P34_Ow5kFBfdQD0qspb2UuPX5zpi6WMrQzslghyvrI/edit?usp=sharing"",""สกลนคร!R649"")+IMPORTRANGE(""https://docs.google.com/spreadsheets/d/1yswqbM3-AEpThF3ZSUa1AcmHnmRTF1vlJ1CZGcJ8YuU/edit?usp=sharing"",""สุรินทร์!R649"")+IMPORTRANG"&amp;"E(""https://docs.google.com/spreadsheets/d/13JHU_EFbsQOUQ0JSQ3dWy1VTRosIWcDq6Nc99z2qzdc/edit?usp=sharing"",""หนองคาย!R649"")+IMPORTRANGE(""https://docs.google.com/spreadsheets/d/1Hx73zIEgVdDZZaYSTc46Dqv64atFhpr3GelxLbaIN8A/edit?usp=sharing"",""หนองบัวลำภู"&amp;"!R649"")+IMPORTRANGE(""https://docs.google.com/spreadsheets/d/1lFxr3ctmjFN90yc-xV6jrQ9Ty8BKYVBWnAZ15wcNIJc/edit?usp=sharing"",""อำนาจเจริญ!R649"")+IMPORTRANGE(""https://docs.google.com/spreadsheets/d/1gF7RJpRnL-1oyjyeWxs5SFWEH7y8ahOZsQlyp2A2e-A/edit?usp=s"&amp;"haring"",""อุดรธานี!R649"")+IMPORTRANGE(""https://docs.google.com/spreadsheets/d/1kfLP0j3INXRa8bTDpcEmoWewMBV61jlFlfzczfjWIgc/edit?usp=sharing"",""อุบลราชธานี!R649"")"),0)</f>
        <v>0</v>
      </c>
      <c r="S649" s="60">
        <f ca="1">IFERROR(__xludf.DUMMYFUNCTION("IMPORTRANGE(""https://docs.google.com/spreadsheets/d/1yhBcrRPreicbMKl9Bu_Snb2-OcQAF62RKfhTLhJ2eAA/edit?usp=sharing"",""กาฬสินธุ์!S649"")+IMPORTRANGE(""https://docs.google.com/spreadsheets/d/1aHkj4IaQMThhwWwevcOymEh837vdxeC_PycurhTbGFA/edit?usp=sharing"","&amp;"""ขอนแก่น!S649"")+IMPORTRANGE(""https://docs.google.com/spreadsheets/d/1FvTu2DsIWUjP6WCWra38Bkj_oOl_sOMf14r5Fg5srxU/edit?usp=sharing"",""ชัยภูมิ!S649"")+IMPORTRANGE(""https://docs.google.com/spreadsheets/d/1XVB7oCJ3pr-vBUdflwPQ8Z2LlzhnCvZaaYjAfP-647E/edit"&amp;"?usp=sharing"",""นครพนม!S649"")+IMPORTRANGE(""https://docs.google.com/spreadsheets/d/1Mnpb-8PYAgn85W6KOTD40hc_Xc55CaLfHoGAbrZ8tls/edit?usp=sharing"",""นครราชสีมา!S649"")+IMPORTRANGE(""https://docs.google.com/spreadsheets/d/1xoDLGBv9CYbyosIhki0kTq6IpYNj-gp"&amp;"jxfobnaDiut0/edit?usp=sharing"",""บึงกาฬ!S649"")+IMPORTRANGE(""https://docs.google.com/spreadsheets/d/1MMPq-JyI6DSgQETxuSiXkesP-P7JHuemnE6QJIa-Nlw/edit?usp=sharing"",""บุรีรัมย์!S649"")+IMPORTRANGE(""https://docs.google.com/spreadsheets/d/1l6IZ8xUPgMrESzc"&amp;"TYwhA1k_tPjeQjJPTqlm8Gd9eU5g/edit?usp=sharing"",""มหาสารคาม!S649"")+IMPORTRANGE(""https://docs.google.com/spreadsheets/d/1uB74YLqNjWX6FObjekfB2NtSYigTQyR2rq9u4Ub2Sq4/edit?usp=sharing"",""มุกดาหาร!S649"")+IMPORTRANGE(""https://docs.google.com/spreadsheets/"&amp;"d/1NexK3geCPxCTO1fzNF8dPec7yZyUx3OaWkFBC9HsQOo/edit?usp=sharing"",""ยโสธร!S649"")+IMPORTRANGE(""https://docs.google.com/spreadsheets/d/1v_cJrbBlyqmnHPReHk44g9NrMRdENNlSy_E_c5M9fIg/edit?usp=sharing"",""ร้อยเอ็ด!S649"")+IMPORTRANGE(""https://docs.google.com"&amp;"/spreadsheets/d/1Ul4RCpCX66NxYADU1QpwAPjOmBzW64SsT11s1wzXw_c/edit?usp=sharing"",""เลย!S649"")+IMPORTRANGE(""https://docs.google.com/spreadsheets/d/1bRrNKwbHDVktQG10isr5vbWRtt5spIZPpkOSWgbT5ug/edit?usp=sharing"",""ศรีสะเกษ!S649"")+IMPORTRANGE(""https://doc"&amp;"s.google.com/spreadsheets/d/17P34_Ow5kFBfdQD0qspb2UuPX5zpi6WMrQzslghyvrI/edit?usp=sharing"",""สกลนคร!S649"")+IMPORTRANGE(""https://docs.google.com/spreadsheets/d/1yswqbM3-AEpThF3ZSUa1AcmHnmRTF1vlJ1CZGcJ8YuU/edit?usp=sharing"",""สุรินทร์!S649"")+IMPORTRANG"&amp;"E(""https://docs.google.com/spreadsheets/d/13JHU_EFbsQOUQ0JSQ3dWy1VTRosIWcDq6Nc99z2qzdc/edit?usp=sharing"",""หนองคาย!S649"")+IMPORTRANGE(""https://docs.google.com/spreadsheets/d/1Hx73zIEgVdDZZaYSTc46Dqv64atFhpr3GelxLbaIN8A/edit?usp=sharing"",""หนองบัวลำภู"&amp;"!S649"")+IMPORTRANGE(""https://docs.google.com/spreadsheets/d/1lFxr3ctmjFN90yc-xV6jrQ9Ty8BKYVBWnAZ15wcNIJc/edit?usp=sharing"",""อำนาจเจริญ!S649"")+IMPORTRANGE(""https://docs.google.com/spreadsheets/d/1gF7RJpRnL-1oyjyeWxs5SFWEH7y8ahOZsQlyp2A2e-A/edit?usp=s"&amp;"haring"",""อุดรธานี!S649"")+IMPORTRANGE(""https://docs.google.com/spreadsheets/d/1kfLP0j3INXRa8bTDpcEmoWewMBV61jlFlfzczfjWIgc/edit?usp=sharing"",""อุบลราชธานี!S649"")"),0)</f>
        <v>0</v>
      </c>
      <c r="T649" s="59">
        <f t="shared" ca="1" si="457"/>
        <v>0</v>
      </c>
      <c r="U649" s="59">
        <f t="shared" ca="1" si="458"/>
        <v>0</v>
      </c>
    </row>
    <row r="650" spans="1:21" ht="18.75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56">
        <f ca="1">IFERROR(__xludf.DUMMYFUNCTION("IMPORTRANGE(""https://docs.google.com/spreadsheets/d/1yhBcrRPreicbMKl9Bu_Snb2-OcQAF62RKfhTLhJ2eAA/edit?usp=sharing"",""กาฬสินธุ์!L650"")+IMPORTRANGE(""https://docs.google.com/spreadsheets/d/1aHkj4IaQMThhwWwevcOymEh837vdxeC_PycurhTbGFA/edit?usp=sharing"","&amp;"""ขอนแก่น!L650"")+IMPORTRANGE(""https://docs.google.com/spreadsheets/d/1FvTu2DsIWUjP6WCWra38Bkj_oOl_sOMf14r5Fg5srxU/edit?usp=sharing"",""ชัยภูมิ!L650"")+IMPORTRANGE(""https://docs.google.com/spreadsheets/d/1XVB7oCJ3pr-vBUdflwPQ8Z2LlzhnCvZaaYjAfP-647E/edit"&amp;"?usp=sharing"",""นครพนม!L650"")+IMPORTRANGE(""https://docs.google.com/spreadsheets/d/1Mnpb-8PYAgn85W6KOTD40hc_Xc55CaLfHoGAbrZ8tls/edit?usp=sharing"",""นครราชสีมา!L650"")+IMPORTRANGE(""https://docs.google.com/spreadsheets/d/1xoDLGBv9CYbyosIhki0kTq6IpYNj-gp"&amp;"jxfobnaDiut0/edit?usp=sharing"",""บึงกาฬ!L650"")+IMPORTRANGE(""https://docs.google.com/spreadsheets/d/1MMPq-JyI6DSgQETxuSiXkesP-P7JHuemnE6QJIa-Nlw/edit?usp=sharing"",""บุรีรัมย์!L650"")+IMPORTRANGE(""https://docs.google.com/spreadsheets/d/1l6IZ8xUPgMrESzc"&amp;"TYwhA1k_tPjeQjJPTqlm8Gd9eU5g/edit?usp=sharing"",""มหาสารคาม!L650"")+IMPORTRANGE(""https://docs.google.com/spreadsheets/d/1uB74YLqNjWX6FObjekfB2NtSYigTQyR2rq9u4Ub2Sq4/edit?usp=sharing"",""มุกดาหาร!L650"")+IMPORTRANGE(""https://docs.google.com/spreadsheets/"&amp;"d/1NexK3geCPxCTO1fzNF8dPec7yZyUx3OaWkFBC9HsQOo/edit?usp=sharing"",""ยโสธร!L650"")+IMPORTRANGE(""https://docs.google.com/spreadsheets/d/1v_cJrbBlyqmnHPReHk44g9NrMRdENNlSy_E_c5M9fIg/edit?usp=sharing"",""ร้อยเอ็ด!L650"")+IMPORTRANGE(""https://docs.google.com"&amp;"/spreadsheets/d/1Ul4RCpCX66NxYADU1QpwAPjOmBzW64SsT11s1wzXw_c/edit?usp=sharing"",""เลย!L650"")+IMPORTRANGE(""https://docs.google.com/spreadsheets/d/1bRrNKwbHDVktQG10isr5vbWRtt5spIZPpkOSWgbT5ug/edit?usp=sharing"",""ศรีสะเกษ!L650"")+IMPORTRANGE(""https://doc"&amp;"s.google.com/spreadsheets/d/17P34_Ow5kFBfdQD0qspb2UuPX5zpi6WMrQzslghyvrI/edit?usp=sharing"",""สกลนคร!L650"")+IMPORTRANGE(""https://docs.google.com/spreadsheets/d/1yswqbM3-AEpThF3ZSUa1AcmHnmRTF1vlJ1CZGcJ8YuU/edit?usp=sharing"",""สุรินทร์!L650"")+IMPORTRANG"&amp;"E(""https://docs.google.com/spreadsheets/d/13JHU_EFbsQOUQ0JSQ3dWy1VTRosIWcDq6Nc99z2qzdc/edit?usp=sharing"",""หนองคาย!L650"")+IMPORTRANGE(""https://docs.google.com/spreadsheets/d/1Hx73zIEgVdDZZaYSTc46Dqv64atFhpr3GelxLbaIN8A/edit?usp=sharing"",""หนองบัวลำภู"&amp;"!L650"")+IMPORTRANGE(""https://docs.google.com/spreadsheets/d/1lFxr3ctmjFN90yc-xV6jrQ9Ty8BKYVBWnAZ15wcNIJc/edit?usp=sharing"",""อำนาจเจริญ!L650"")+IMPORTRANGE(""https://docs.google.com/spreadsheets/d/1gF7RJpRnL-1oyjyeWxs5SFWEH7y8ahOZsQlyp2A2e-A/edit?usp=s"&amp;"haring"",""อุดรธานี!L650"")+IMPORTRANGE(""https://docs.google.com/spreadsheets/d/1kfLP0j3INXRa8bTDpcEmoWewMBV61jlFlfzczfjWIgc/edit?usp=sharing"",""อุบลราชธานี!L650"")"),0)</f>
        <v>0</v>
      </c>
      <c r="M650" s="56">
        <f ca="1">IFERROR(__xludf.DUMMYFUNCTION("IMPORTRANGE(""https://docs.google.com/spreadsheets/d/1yhBcrRPreicbMKl9Bu_Snb2-OcQAF62RKfhTLhJ2eAA/edit?usp=sharing"",""กาฬสินธุ์!M650"")+IMPORTRANGE(""https://docs.google.com/spreadsheets/d/1aHkj4IaQMThhwWwevcOymEh837vdxeC_PycurhTbGFA/edit?usp=sharing"","&amp;"""ขอนแก่น!M650"")+IMPORTRANGE(""https://docs.google.com/spreadsheets/d/1FvTu2DsIWUjP6WCWra38Bkj_oOl_sOMf14r5Fg5srxU/edit?usp=sharing"",""ชัยภูมิ!M650"")+IMPORTRANGE(""https://docs.google.com/spreadsheets/d/1XVB7oCJ3pr-vBUdflwPQ8Z2LlzhnCvZaaYjAfP-647E/edit"&amp;"?usp=sharing"",""นครพนม!M650"")+IMPORTRANGE(""https://docs.google.com/spreadsheets/d/1Mnpb-8PYAgn85W6KOTD40hc_Xc55CaLfHoGAbrZ8tls/edit?usp=sharing"",""นครราชสีมา!M650"")+IMPORTRANGE(""https://docs.google.com/spreadsheets/d/1xoDLGBv9CYbyosIhki0kTq6IpYNj-gp"&amp;"jxfobnaDiut0/edit?usp=sharing"",""บึงกาฬ!M650"")+IMPORTRANGE(""https://docs.google.com/spreadsheets/d/1MMPq-JyI6DSgQETxuSiXkesP-P7JHuemnE6QJIa-Nlw/edit?usp=sharing"",""บุรีรัมย์!M650"")+IMPORTRANGE(""https://docs.google.com/spreadsheets/d/1l6IZ8xUPgMrESzc"&amp;"TYwhA1k_tPjeQjJPTqlm8Gd9eU5g/edit?usp=sharing"",""มหาสารคาม!M650"")+IMPORTRANGE(""https://docs.google.com/spreadsheets/d/1uB74YLqNjWX6FObjekfB2NtSYigTQyR2rq9u4Ub2Sq4/edit?usp=sharing"",""มุกดาหาร!M650"")+IMPORTRANGE(""https://docs.google.com/spreadsheets/"&amp;"d/1NexK3geCPxCTO1fzNF8dPec7yZyUx3OaWkFBC9HsQOo/edit?usp=sharing"",""ยโสธร!M650"")+IMPORTRANGE(""https://docs.google.com/spreadsheets/d/1v_cJrbBlyqmnHPReHk44g9NrMRdENNlSy_E_c5M9fIg/edit?usp=sharing"",""ร้อยเอ็ด!M650"")+IMPORTRANGE(""https://docs.google.com"&amp;"/spreadsheets/d/1Ul4RCpCX66NxYADU1QpwAPjOmBzW64SsT11s1wzXw_c/edit?usp=sharing"",""เลย!M650"")+IMPORTRANGE(""https://docs.google.com/spreadsheets/d/1bRrNKwbHDVktQG10isr5vbWRtt5spIZPpkOSWgbT5ug/edit?usp=sharing"",""ศรีสะเกษ!M650"")+IMPORTRANGE(""https://doc"&amp;"s.google.com/spreadsheets/d/17P34_Ow5kFBfdQD0qspb2UuPX5zpi6WMrQzslghyvrI/edit?usp=sharing"",""สกลนคร!M650"")+IMPORTRANGE(""https://docs.google.com/spreadsheets/d/1yswqbM3-AEpThF3ZSUa1AcmHnmRTF1vlJ1CZGcJ8YuU/edit?usp=sharing"",""สุรินทร์!M650"")+IMPORTRANG"&amp;"E(""https://docs.google.com/spreadsheets/d/13JHU_EFbsQOUQ0JSQ3dWy1VTRosIWcDq6Nc99z2qzdc/edit?usp=sharing"",""หนองคาย!M650"")+IMPORTRANGE(""https://docs.google.com/spreadsheets/d/1Hx73zIEgVdDZZaYSTc46Dqv64atFhpr3GelxLbaIN8A/edit?usp=sharing"",""หนองบัวลำภู"&amp;"!M650"")+IMPORTRANGE(""https://docs.google.com/spreadsheets/d/1lFxr3ctmjFN90yc-xV6jrQ9Ty8BKYVBWnAZ15wcNIJc/edit?usp=sharing"",""อำนาจเจริญ!M650"")+IMPORTRANGE(""https://docs.google.com/spreadsheets/d/1gF7RJpRnL-1oyjyeWxs5SFWEH7y8ahOZsQlyp2A2e-A/edit?usp=s"&amp;"haring"",""อุดรธานี!M650"")+IMPORTRANGE(""https://docs.google.com/spreadsheets/d/1kfLP0j3INXRa8bTDpcEmoWewMBV61jlFlfzczfjWIgc/edit?usp=sharing"",""อุบลราชธานี!M650"")"),0)</f>
        <v>0</v>
      </c>
      <c r="N650" s="56">
        <f ca="1">IFERROR(__xludf.DUMMYFUNCTION("IMPORTRANGE(""https://docs.google.com/spreadsheets/d/1yhBcrRPreicbMKl9Bu_Snb2-OcQAF62RKfhTLhJ2eAA/edit?usp=sharing"",""กาฬสินธุ์!N650"")+IMPORTRANGE(""https://docs.google.com/spreadsheets/d/1aHkj4IaQMThhwWwevcOymEh837vdxeC_PycurhTbGFA/edit?usp=sharing"","&amp;"""ขอนแก่น!N650"")+IMPORTRANGE(""https://docs.google.com/spreadsheets/d/1FvTu2DsIWUjP6WCWra38Bkj_oOl_sOMf14r5Fg5srxU/edit?usp=sharing"",""ชัยภูมิ!N650"")+IMPORTRANGE(""https://docs.google.com/spreadsheets/d/1XVB7oCJ3pr-vBUdflwPQ8Z2LlzhnCvZaaYjAfP-647E/edit"&amp;"?usp=sharing"",""นครพนม!N650"")+IMPORTRANGE(""https://docs.google.com/spreadsheets/d/1Mnpb-8PYAgn85W6KOTD40hc_Xc55CaLfHoGAbrZ8tls/edit?usp=sharing"",""นครราชสีมา!N650"")+IMPORTRANGE(""https://docs.google.com/spreadsheets/d/1xoDLGBv9CYbyosIhki0kTq6IpYNj-gp"&amp;"jxfobnaDiut0/edit?usp=sharing"",""บึงกาฬ!N650"")+IMPORTRANGE(""https://docs.google.com/spreadsheets/d/1MMPq-JyI6DSgQETxuSiXkesP-P7JHuemnE6QJIa-Nlw/edit?usp=sharing"",""บุรีรัมย์!N650"")+IMPORTRANGE(""https://docs.google.com/spreadsheets/d/1l6IZ8xUPgMrESzc"&amp;"TYwhA1k_tPjeQjJPTqlm8Gd9eU5g/edit?usp=sharing"",""มหาสารคาม!N650"")+IMPORTRANGE(""https://docs.google.com/spreadsheets/d/1uB74YLqNjWX6FObjekfB2NtSYigTQyR2rq9u4Ub2Sq4/edit?usp=sharing"",""มุกดาหาร!N650"")+IMPORTRANGE(""https://docs.google.com/spreadsheets/"&amp;"d/1NexK3geCPxCTO1fzNF8dPec7yZyUx3OaWkFBC9HsQOo/edit?usp=sharing"",""ยโสธร!N650"")+IMPORTRANGE(""https://docs.google.com/spreadsheets/d/1v_cJrbBlyqmnHPReHk44g9NrMRdENNlSy_E_c5M9fIg/edit?usp=sharing"",""ร้อยเอ็ด!N650"")+IMPORTRANGE(""https://docs.google.com"&amp;"/spreadsheets/d/1Ul4RCpCX66NxYADU1QpwAPjOmBzW64SsT11s1wzXw_c/edit?usp=sharing"",""เลย!N650"")+IMPORTRANGE(""https://docs.google.com/spreadsheets/d/1bRrNKwbHDVktQG10isr5vbWRtt5spIZPpkOSWgbT5ug/edit?usp=sharing"",""ศรีสะเกษ!N650"")+IMPORTRANGE(""https://doc"&amp;"s.google.com/spreadsheets/d/17P34_Ow5kFBfdQD0qspb2UuPX5zpi6WMrQzslghyvrI/edit?usp=sharing"",""สกลนคร!N650"")+IMPORTRANGE(""https://docs.google.com/spreadsheets/d/1yswqbM3-AEpThF3ZSUa1AcmHnmRTF1vlJ1CZGcJ8YuU/edit?usp=sharing"",""สุรินทร์!N650"")+IMPORTRANG"&amp;"E(""https://docs.google.com/spreadsheets/d/13JHU_EFbsQOUQ0JSQ3dWy1VTRosIWcDq6Nc99z2qzdc/edit?usp=sharing"",""หนองคาย!N650"")+IMPORTRANGE(""https://docs.google.com/spreadsheets/d/1Hx73zIEgVdDZZaYSTc46Dqv64atFhpr3GelxLbaIN8A/edit?usp=sharing"",""หนองบัวลำภู"&amp;"!N650"")+IMPORTRANGE(""https://docs.google.com/spreadsheets/d/1lFxr3ctmjFN90yc-xV6jrQ9Ty8BKYVBWnAZ15wcNIJc/edit?usp=sharing"",""อำนาจเจริญ!N650"")+IMPORTRANGE(""https://docs.google.com/spreadsheets/d/1gF7RJpRnL-1oyjyeWxs5SFWEH7y8ahOZsQlyp2A2e-A/edit?usp=s"&amp;"haring"",""อุดรธานี!N650"")+IMPORTRANGE(""https://docs.google.com/spreadsheets/d/1kfLP0j3INXRa8bTDpcEmoWewMBV61jlFlfzczfjWIgc/edit?usp=sharing"",""อุบลราชธานี!N650"")"),0)</f>
        <v>0</v>
      </c>
      <c r="O650" s="56">
        <f t="shared" ca="1" si="454"/>
        <v>0</v>
      </c>
      <c r="P650" s="56">
        <f t="shared" ca="1" si="455"/>
        <v>0</v>
      </c>
      <c r="Q650" s="56">
        <f ca="1">IFERROR(__xludf.DUMMYFUNCTION("IMPORTRANGE(""https://docs.google.com/spreadsheets/d/1yhBcrRPreicbMKl9Bu_Snb2-OcQAF62RKfhTLhJ2eAA/edit?usp=sharing"",""กาฬสินธุ์!Q650"")+IMPORTRANGE(""https://docs.google.com/spreadsheets/d/1aHkj4IaQMThhwWwevcOymEh837vdxeC_PycurhTbGFA/edit?usp=sharing"","&amp;"""ขอนแก่น!Q650"")+IMPORTRANGE(""https://docs.google.com/spreadsheets/d/1FvTu2DsIWUjP6WCWra38Bkj_oOl_sOMf14r5Fg5srxU/edit?usp=sharing"",""ชัยภูมิ!Q650"")+IMPORTRANGE(""https://docs.google.com/spreadsheets/d/1XVB7oCJ3pr-vBUdflwPQ8Z2LlzhnCvZaaYjAfP-647E/edit"&amp;"?usp=sharing"",""นครพนม!Q650"")+IMPORTRANGE(""https://docs.google.com/spreadsheets/d/1Mnpb-8PYAgn85W6KOTD40hc_Xc55CaLfHoGAbrZ8tls/edit?usp=sharing"",""นครราชสีมา!Q650"")+IMPORTRANGE(""https://docs.google.com/spreadsheets/d/1xoDLGBv9CYbyosIhki0kTq6IpYNj-gp"&amp;"jxfobnaDiut0/edit?usp=sharing"",""บึงกาฬ!Q650"")+IMPORTRANGE(""https://docs.google.com/spreadsheets/d/1MMPq-JyI6DSgQETxuSiXkesP-P7JHuemnE6QJIa-Nlw/edit?usp=sharing"",""บุรีรัมย์!Q650"")+IMPORTRANGE(""https://docs.google.com/spreadsheets/d/1l6IZ8xUPgMrESzc"&amp;"TYwhA1k_tPjeQjJPTqlm8Gd9eU5g/edit?usp=sharing"",""มหาสารคาม!Q650"")+IMPORTRANGE(""https://docs.google.com/spreadsheets/d/1uB74YLqNjWX6FObjekfB2NtSYigTQyR2rq9u4Ub2Sq4/edit?usp=sharing"",""มุกดาหาร!Q650"")+IMPORTRANGE(""https://docs.google.com/spreadsheets/"&amp;"d/1NexK3geCPxCTO1fzNF8dPec7yZyUx3OaWkFBC9HsQOo/edit?usp=sharing"",""ยโสธร!Q650"")+IMPORTRANGE(""https://docs.google.com/spreadsheets/d/1v_cJrbBlyqmnHPReHk44g9NrMRdENNlSy_E_c5M9fIg/edit?usp=sharing"",""ร้อยเอ็ด!Q650"")+IMPORTRANGE(""https://docs.google.com"&amp;"/spreadsheets/d/1Ul4RCpCX66NxYADU1QpwAPjOmBzW64SsT11s1wzXw_c/edit?usp=sharing"",""เลย!Q650"")+IMPORTRANGE(""https://docs.google.com/spreadsheets/d/1bRrNKwbHDVktQG10isr5vbWRtt5spIZPpkOSWgbT5ug/edit?usp=sharing"",""ศรีสะเกษ!Q650"")+IMPORTRANGE(""https://doc"&amp;"s.google.com/spreadsheets/d/17P34_Ow5kFBfdQD0qspb2UuPX5zpi6WMrQzslghyvrI/edit?usp=sharing"",""สกลนคร!Q650"")+IMPORTRANGE(""https://docs.google.com/spreadsheets/d/1yswqbM3-AEpThF3ZSUa1AcmHnmRTF1vlJ1CZGcJ8YuU/edit?usp=sharing"",""สุรินทร์!Q650"")+IMPORTRANG"&amp;"E(""https://docs.google.com/spreadsheets/d/13JHU_EFbsQOUQ0JSQ3dWy1VTRosIWcDq6Nc99z2qzdc/edit?usp=sharing"",""หนองคาย!Q650"")+IMPORTRANGE(""https://docs.google.com/spreadsheets/d/1Hx73zIEgVdDZZaYSTc46Dqv64atFhpr3GelxLbaIN8A/edit?usp=sharing"",""หนองบัวลำภู"&amp;"!Q650"")+IMPORTRANGE(""https://docs.google.com/spreadsheets/d/1lFxr3ctmjFN90yc-xV6jrQ9Ty8BKYVBWnAZ15wcNIJc/edit?usp=sharing"",""อำนาจเจริญ!Q650"")+IMPORTRANGE(""https://docs.google.com/spreadsheets/d/1gF7RJpRnL-1oyjyeWxs5SFWEH7y8ahOZsQlyp2A2e-A/edit?usp=s"&amp;"haring"",""อุดรธานี!Q650"")+IMPORTRANGE(""https://docs.google.com/spreadsheets/d/1kfLP0j3INXRa8bTDpcEmoWewMBV61jlFlfzczfjWIgc/edit?usp=sharing"",""อุบลราชธานี!Q650"")"),0)</f>
        <v>0</v>
      </c>
      <c r="R650" s="56">
        <f ca="1">IFERROR(__xludf.DUMMYFUNCTION("IMPORTRANGE(""https://docs.google.com/spreadsheets/d/1yhBcrRPreicbMKl9Bu_Snb2-OcQAF62RKfhTLhJ2eAA/edit?usp=sharing"",""กาฬสินธุ์!R650"")+IMPORTRANGE(""https://docs.google.com/spreadsheets/d/1aHkj4IaQMThhwWwevcOymEh837vdxeC_PycurhTbGFA/edit?usp=sharing"","&amp;"""ขอนแก่น!R650"")+IMPORTRANGE(""https://docs.google.com/spreadsheets/d/1FvTu2DsIWUjP6WCWra38Bkj_oOl_sOMf14r5Fg5srxU/edit?usp=sharing"",""ชัยภูมิ!R650"")+IMPORTRANGE(""https://docs.google.com/spreadsheets/d/1XVB7oCJ3pr-vBUdflwPQ8Z2LlzhnCvZaaYjAfP-647E/edit"&amp;"?usp=sharing"",""นครพนม!R650"")+IMPORTRANGE(""https://docs.google.com/spreadsheets/d/1Mnpb-8PYAgn85W6KOTD40hc_Xc55CaLfHoGAbrZ8tls/edit?usp=sharing"",""นครราชสีมา!R650"")+IMPORTRANGE(""https://docs.google.com/spreadsheets/d/1xoDLGBv9CYbyosIhki0kTq6IpYNj-gp"&amp;"jxfobnaDiut0/edit?usp=sharing"",""บึงกาฬ!R650"")+IMPORTRANGE(""https://docs.google.com/spreadsheets/d/1MMPq-JyI6DSgQETxuSiXkesP-P7JHuemnE6QJIa-Nlw/edit?usp=sharing"",""บุรีรัมย์!R650"")+IMPORTRANGE(""https://docs.google.com/spreadsheets/d/1l6IZ8xUPgMrESzc"&amp;"TYwhA1k_tPjeQjJPTqlm8Gd9eU5g/edit?usp=sharing"",""มหาสารคาม!R650"")+IMPORTRANGE(""https://docs.google.com/spreadsheets/d/1uB74YLqNjWX6FObjekfB2NtSYigTQyR2rq9u4Ub2Sq4/edit?usp=sharing"",""มุกดาหาร!R650"")+IMPORTRANGE(""https://docs.google.com/spreadsheets/"&amp;"d/1NexK3geCPxCTO1fzNF8dPec7yZyUx3OaWkFBC9HsQOo/edit?usp=sharing"",""ยโสธร!R650"")+IMPORTRANGE(""https://docs.google.com/spreadsheets/d/1v_cJrbBlyqmnHPReHk44g9NrMRdENNlSy_E_c5M9fIg/edit?usp=sharing"",""ร้อยเอ็ด!R650"")+IMPORTRANGE(""https://docs.google.com"&amp;"/spreadsheets/d/1Ul4RCpCX66NxYADU1QpwAPjOmBzW64SsT11s1wzXw_c/edit?usp=sharing"",""เลย!R650"")+IMPORTRANGE(""https://docs.google.com/spreadsheets/d/1bRrNKwbHDVktQG10isr5vbWRtt5spIZPpkOSWgbT5ug/edit?usp=sharing"",""ศรีสะเกษ!R650"")+IMPORTRANGE(""https://doc"&amp;"s.google.com/spreadsheets/d/17P34_Ow5kFBfdQD0qspb2UuPX5zpi6WMrQzslghyvrI/edit?usp=sharing"",""สกลนคร!R650"")+IMPORTRANGE(""https://docs.google.com/spreadsheets/d/1yswqbM3-AEpThF3ZSUa1AcmHnmRTF1vlJ1CZGcJ8YuU/edit?usp=sharing"",""สุรินทร์!R650"")+IMPORTRANG"&amp;"E(""https://docs.google.com/spreadsheets/d/13JHU_EFbsQOUQ0JSQ3dWy1VTRosIWcDq6Nc99z2qzdc/edit?usp=sharing"",""หนองคาย!R650"")+IMPORTRANGE(""https://docs.google.com/spreadsheets/d/1Hx73zIEgVdDZZaYSTc46Dqv64atFhpr3GelxLbaIN8A/edit?usp=sharing"",""หนองบัวลำภู"&amp;"!R650"")+IMPORTRANGE(""https://docs.google.com/spreadsheets/d/1lFxr3ctmjFN90yc-xV6jrQ9Ty8BKYVBWnAZ15wcNIJc/edit?usp=sharing"",""อำนาจเจริญ!R650"")+IMPORTRANGE(""https://docs.google.com/spreadsheets/d/1gF7RJpRnL-1oyjyeWxs5SFWEH7y8ahOZsQlyp2A2e-A/edit?usp=s"&amp;"haring"",""อุดรธานี!R650"")+IMPORTRANGE(""https://docs.google.com/spreadsheets/d/1kfLP0j3INXRa8bTDpcEmoWewMBV61jlFlfzczfjWIgc/edit?usp=sharing"",""อุบลราชธานี!R650"")"),0)</f>
        <v>0</v>
      </c>
      <c r="S650" s="57">
        <f ca="1">IFERROR(__xludf.DUMMYFUNCTION("IMPORTRANGE(""https://docs.google.com/spreadsheets/d/1yhBcrRPreicbMKl9Bu_Snb2-OcQAF62RKfhTLhJ2eAA/edit?usp=sharing"",""กาฬสินธุ์!S650"")+IMPORTRANGE(""https://docs.google.com/spreadsheets/d/1aHkj4IaQMThhwWwevcOymEh837vdxeC_PycurhTbGFA/edit?usp=sharing"","&amp;"""ขอนแก่น!S650"")+IMPORTRANGE(""https://docs.google.com/spreadsheets/d/1FvTu2DsIWUjP6WCWra38Bkj_oOl_sOMf14r5Fg5srxU/edit?usp=sharing"",""ชัยภูมิ!S650"")+IMPORTRANGE(""https://docs.google.com/spreadsheets/d/1XVB7oCJ3pr-vBUdflwPQ8Z2LlzhnCvZaaYjAfP-647E/edit"&amp;"?usp=sharing"",""นครพนม!S650"")+IMPORTRANGE(""https://docs.google.com/spreadsheets/d/1Mnpb-8PYAgn85W6KOTD40hc_Xc55CaLfHoGAbrZ8tls/edit?usp=sharing"",""นครราชสีมา!S650"")+IMPORTRANGE(""https://docs.google.com/spreadsheets/d/1xoDLGBv9CYbyosIhki0kTq6IpYNj-gp"&amp;"jxfobnaDiut0/edit?usp=sharing"",""บึงกาฬ!S650"")+IMPORTRANGE(""https://docs.google.com/spreadsheets/d/1MMPq-JyI6DSgQETxuSiXkesP-P7JHuemnE6QJIa-Nlw/edit?usp=sharing"",""บุรีรัมย์!S650"")+IMPORTRANGE(""https://docs.google.com/spreadsheets/d/1l6IZ8xUPgMrESzc"&amp;"TYwhA1k_tPjeQjJPTqlm8Gd9eU5g/edit?usp=sharing"",""มหาสารคาม!S650"")+IMPORTRANGE(""https://docs.google.com/spreadsheets/d/1uB74YLqNjWX6FObjekfB2NtSYigTQyR2rq9u4Ub2Sq4/edit?usp=sharing"",""มุกดาหาร!S650"")+IMPORTRANGE(""https://docs.google.com/spreadsheets/"&amp;"d/1NexK3geCPxCTO1fzNF8dPec7yZyUx3OaWkFBC9HsQOo/edit?usp=sharing"",""ยโสธร!S650"")+IMPORTRANGE(""https://docs.google.com/spreadsheets/d/1v_cJrbBlyqmnHPReHk44g9NrMRdENNlSy_E_c5M9fIg/edit?usp=sharing"",""ร้อยเอ็ด!S650"")+IMPORTRANGE(""https://docs.google.com"&amp;"/spreadsheets/d/1Ul4RCpCX66NxYADU1QpwAPjOmBzW64SsT11s1wzXw_c/edit?usp=sharing"",""เลย!S650"")+IMPORTRANGE(""https://docs.google.com/spreadsheets/d/1bRrNKwbHDVktQG10isr5vbWRtt5spIZPpkOSWgbT5ug/edit?usp=sharing"",""ศรีสะเกษ!S650"")+IMPORTRANGE(""https://doc"&amp;"s.google.com/spreadsheets/d/17P34_Ow5kFBfdQD0qspb2UuPX5zpi6WMrQzslghyvrI/edit?usp=sharing"",""สกลนคร!S650"")+IMPORTRANGE(""https://docs.google.com/spreadsheets/d/1yswqbM3-AEpThF3ZSUa1AcmHnmRTF1vlJ1CZGcJ8YuU/edit?usp=sharing"",""สุรินทร์!S650"")+IMPORTRANG"&amp;"E(""https://docs.google.com/spreadsheets/d/13JHU_EFbsQOUQ0JSQ3dWy1VTRosIWcDq6Nc99z2qzdc/edit?usp=sharing"",""หนองคาย!S650"")+IMPORTRANGE(""https://docs.google.com/spreadsheets/d/1Hx73zIEgVdDZZaYSTc46Dqv64atFhpr3GelxLbaIN8A/edit?usp=sharing"",""หนองบัวลำภู"&amp;"!S650"")+IMPORTRANGE(""https://docs.google.com/spreadsheets/d/1lFxr3ctmjFN90yc-xV6jrQ9Ty8BKYVBWnAZ15wcNIJc/edit?usp=sharing"",""อำนาจเจริญ!S650"")+IMPORTRANGE(""https://docs.google.com/spreadsheets/d/1gF7RJpRnL-1oyjyeWxs5SFWEH7y8ahOZsQlyp2A2e-A/edit?usp=s"&amp;"haring"",""อุดรธานี!S650"")+IMPORTRANGE(""https://docs.google.com/spreadsheets/d/1kfLP0j3INXRa8bTDpcEmoWewMBV61jlFlfzczfjWIgc/edit?usp=sharing"",""อุบลราชธานี!S650"")"),0)</f>
        <v>0</v>
      </c>
      <c r="T650" s="56">
        <f t="shared" ca="1" si="457"/>
        <v>0</v>
      </c>
      <c r="U650" s="56">
        <f t="shared" ca="1" si="458"/>
        <v>0</v>
      </c>
    </row>
    <row r="651" spans="1:21" ht="19.5">
      <c r="A651" s="166"/>
      <c r="B651" s="167"/>
      <c r="C651" s="239" t="s">
        <v>18</v>
      </c>
      <c r="D651" s="464" t="s">
        <v>38</v>
      </c>
      <c r="E651" s="169"/>
      <c r="F651" s="169"/>
      <c r="G651" s="170"/>
      <c r="H651" s="206"/>
      <c r="I651" s="163"/>
      <c r="J651" s="163"/>
      <c r="K651" s="164"/>
      <c r="L651" s="164"/>
      <c r="M651" s="164"/>
      <c r="N651" s="164"/>
      <c r="O651" s="164"/>
      <c r="P651" s="164"/>
      <c r="Q651" s="164"/>
      <c r="R651" s="164"/>
      <c r="S651" s="172"/>
      <c r="T651" s="164"/>
      <c r="U651" s="164"/>
    </row>
    <row r="652" spans="1:21" ht="18.75">
      <c r="A652" s="238"/>
      <c r="B652" s="188"/>
      <c r="C652" s="188"/>
      <c r="D652" s="58" t="s">
        <v>238</v>
      </c>
      <c r="E652" s="50"/>
      <c r="F652" s="50"/>
      <c r="G652" s="52"/>
      <c r="H652" s="165" t="s">
        <v>46</v>
      </c>
      <c r="I652" s="465">
        <f ca="1">IFERROR(__xludf.DUMMYFUNCTION("IMPORTRANGE(""https://docs.google.com/spreadsheets/d/1yhBcrRPreicbMKl9Bu_Snb2-OcQAF62RKfhTLhJ2eAA/edit?usp=sharing"",""กาฬสินธุ์!I652"")+IMPORTRANGE(""https://docs.google.com/spreadsheets/d/1aHkj4IaQMThhwWwevcOymEh837vdxeC_PycurhTbGFA/edit?usp=sharing"","&amp;"""ขอนแก่น!I652"")+IMPORTRANGE(""https://docs.google.com/spreadsheets/d/1FvTu2DsIWUjP6WCWra38Bkj_oOl_sOMf14r5Fg5srxU/edit?usp=sharing"",""ชัยภูมิ!I652"")+IMPORTRANGE(""https://docs.google.com/spreadsheets/d/1XVB7oCJ3pr-vBUdflwPQ8Z2LlzhnCvZaaYjAfP-647E/edit"&amp;"?usp=sharing"",""นครพนม!I652"")+IMPORTRANGE(""https://docs.google.com/spreadsheets/d/1Mnpb-8PYAgn85W6KOTD40hc_Xc55CaLfHoGAbrZ8tls/edit?usp=sharing"",""นครราชสีมา!I652"")+IMPORTRANGE(""https://docs.google.com/spreadsheets/d/1xoDLGBv9CYbyosIhki0kTq6IpYNj-gp"&amp;"jxfobnaDiut0/edit?usp=sharing"",""บึงกาฬ!I652"")+IMPORTRANGE(""https://docs.google.com/spreadsheets/d/1MMPq-JyI6DSgQETxuSiXkesP-P7JHuemnE6QJIa-Nlw/edit?usp=sharing"",""บุรีรัมย์!I652"")+IMPORTRANGE(""https://docs.google.com/spreadsheets/d/1l6IZ8xUPgMrESzc"&amp;"TYwhA1k_tPjeQjJPTqlm8Gd9eU5g/edit?usp=sharing"",""มหาสารคาม!I652"")+IMPORTRANGE(""https://docs.google.com/spreadsheets/d/1uB74YLqNjWX6FObjekfB2NtSYigTQyR2rq9u4Ub2Sq4/edit?usp=sharing"",""มุกดาหาร!I652"")+IMPORTRANGE(""https://docs.google.com/spreadsheets/"&amp;"d/1NexK3geCPxCTO1fzNF8dPec7yZyUx3OaWkFBC9HsQOo/edit?usp=sharing"",""ยโสธร!I652"")+IMPORTRANGE(""https://docs.google.com/spreadsheets/d/1v_cJrbBlyqmnHPReHk44g9NrMRdENNlSy_E_c5M9fIg/edit?usp=sharing"",""ร้อยเอ็ด!I652"")+IMPORTRANGE(""https://docs.google.com"&amp;"/spreadsheets/d/1Ul4RCpCX66NxYADU1QpwAPjOmBzW64SsT11s1wzXw_c/edit?usp=sharing"",""เลย!I652"")+IMPORTRANGE(""https://docs.google.com/spreadsheets/d/1bRrNKwbHDVktQG10isr5vbWRtt5spIZPpkOSWgbT5ug/edit?usp=sharing"",""ศรีสะเกษ!I652"")+IMPORTRANGE(""https://doc"&amp;"s.google.com/spreadsheets/d/17P34_Ow5kFBfdQD0qspb2UuPX5zpi6WMrQzslghyvrI/edit?usp=sharing"",""สกลนคร!I652"")+IMPORTRANGE(""https://docs.google.com/spreadsheets/d/1yswqbM3-AEpThF3ZSUa1AcmHnmRTF1vlJ1CZGcJ8YuU/edit?usp=sharing"",""สุรินทร์!I652"")+IMPORTRANG"&amp;"E(""https://docs.google.com/spreadsheets/d/13JHU_EFbsQOUQ0JSQ3dWy1VTRosIWcDq6Nc99z2qzdc/edit?usp=sharing"",""หนองคาย!I652"")+IMPORTRANGE(""https://docs.google.com/spreadsheets/d/1Hx73zIEgVdDZZaYSTc46Dqv64atFhpr3GelxLbaIN8A/edit?usp=sharing"",""หนองบัวลำภู"&amp;"!I652"")+IMPORTRANGE(""https://docs.google.com/spreadsheets/d/1lFxr3ctmjFN90yc-xV6jrQ9Ty8BKYVBWnAZ15wcNIJc/edit?usp=sharing"",""อำนาจเจริญ!I652"")+IMPORTRANGE(""https://docs.google.com/spreadsheets/d/1gF7RJpRnL-1oyjyeWxs5SFWEH7y8ahOZsQlyp2A2e-A/edit?usp=s"&amp;"haring"",""อุดรธานี!I652"")+IMPORTRANGE(""https://docs.google.com/spreadsheets/d/1kfLP0j3INXRa8bTDpcEmoWewMBV61jlFlfzczfjWIgc/edit?usp=sharing"",""อุบลราชธานี!I652"")"),460)</f>
        <v>460</v>
      </c>
      <c r="J652" s="465">
        <f ca="1">IFERROR(__xludf.DUMMYFUNCTION("IMPORTRANGE(""https://docs.google.com/spreadsheets/d/1yhBcrRPreicbMKl9Bu_Snb2-OcQAF62RKfhTLhJ2eAA/edit?usp=sharing"",""กาฬสินธุ์!J652"")+IMPORTRANGE(""https://docs.google.com/spreadsheets/d/1aHkj4IaQMThhwWwevcOymEh837vdxeC_PycurhTbGFA/edit?usp=sharing"","&amp;"""ขอนแก่น!J652"")+IMPORTRANGE(""https://docs.google.com/spreadsheets/d/1FvTu2DsIWUjP6WCWra38Bkj_oOl_sOMf14r5Fg5srxU/edit?usp=sharing"",""ชัยภูมิ!J652"")+IMPORTRANGE(""https://docs.google.com/spreadsheets/d/1XVB7oCJ3pr-vBUdflwPQ8Z2LlzhnCvZaaYjAfP-647E/edit"&amp;"?usp=sharing"",""นครพนม!J652"")+IMPORTRANGE(""https://docs.google.com/spreadsheets/d/1Mnpb-8PYAgn85W6KOTD40hc_Xc55CaLfHoGAbrZ8tls/edit?usp=sharing"",""นครราชสีมา!J652"")+IMPORTRANGE(""https://docs.google.com/spreadsheets/d/1xoDLGBv9CYbyosIhki0kTq6IpYNj-gp"&amp;"jxfobnaDiut0/edit?usp=sharing"",""บึงกาฬ!J652"")+IMPORTRANGE(""https://docs.google.com/spreadsheets/d/1MMPq-JyI6DSgQETxuSiXkesP-P7JHuemnE6QJIa-Nlw/edit?usp=sharing"",""บุรีรัมย์!J652"")+IMPORTRANGE(""https://docs.google.com/spreadsheets/d/1l6IZ8xUPgMrESzc"&amp;"TYwhA1k_tPjeQjJPTqlm8Gd9eU5g/edit?usp=sharing"",""มหาสารคาม!J652"")+IMPORTRANGE(""https://docs.google.com/spreadsheets/d/1uB74YLqNjWX6FObjekfB2NtSYigTQyR2rq9u4Ub2Sq4/edit?usp=sharing"",""มุกดาหาร!J652"")+IMPORTRANGE(""https://docs.google.com/spreadsheets/"&amp;"d/1NexK3geCPxCTO1fzNF8dPec7yZyUx3OaWkFBC9HsQOo/edit?usp=sharing"",""ยโสธร!J652"")+IMPORTRANGE(""https://docs.google.com/spreadsheets/d/1v_cJrbBlyqmnHPReHk44g9NrMRdENNlSy_E_c5M9fIg/edit?usp=sharing"",""ร้อยเอ็ด!J652"")+IMPORTRANGE(""https://docs.google.com"&amp;"/spreadsheets/d/1Ul4RCpCX66NxYADU1QpwAPjOmBzW64SsT11s1wzXw_c/edit?usp=sharing"",""เลย!J652"")+IMPORTRANGE(""https://docs.google.com/spreadsheets/d/1bRrNKwbHDVktQG10isr5vbWRtt5spIZPpkOSWgbT5ug/edit?usp=sharing"",""ศรีสะเกษ!J652"")+IMPORTRANGE(""https://doc"&amp;"s.google.com/spreadsheets/d/17P34_Ow5kFBfdQD0qspb2UuPX5zpi6WMrQzslghyvrI/edit?usp=sharing"",""สกลนคร!J652"")+IMPORTRANGE(""https://docs.google.com/spreadsheets/d/1yswqbM3-AEpThF3ZSUa1AcmHnmRTF1vlJ1CZGcJ8YuU/edit?usp=sharing"",""สุรินทร์!J652"")+IMPORTRANG"&amp;"E(""https://docs.google.com/spreadsheets/d/13JHU_EFbsQOUQ0JSQ3dWy1VTRosIWcDq6Nc99z2qzdc/edit?usp=sharing"",""หนองคาย!J652"")+IMPORTRANGE(""https://docs.google.com/spreadsheets/d/1Hx73zIEgVdDZZaYSTc46Dqv64atFhpr3GelxLbaIN8A/edit?usp=sharing"",""หนองบัวลำภู"&amp;"!J652"")+IMPORTRANGE(""https://docs.google.com/spreadsheets/d/1lFxr3ctmjFN90yc-xV6jrQ9Ty8BKYVBWnAZ15wcNIJc/edit?usp=sharing"",""อำนาจเจริญ!J652"")+IMPORTRANGE(""https://docs.google.com/spreadsheets/d/1gF7RJpRnL-1oyjyeWxs5SFWEH7y8ahOZsQlyp2A2e-A/edit?usp=s"&amp;"haring"",""อุดรธานี!J652"")+IMPORTRANGE(""https://docs.google.com/spreadsheets/d/1kfLP0j3INXRa8bTDpcEmoWewMBV61jlFlfzczfjWIgc/edit?usp=sharing"",""อุบลราชธานี!J652"")"),259.86)</f>
        <v>259.86</v>
      </c>
      <c r="K652" s="56">
        <f t="shared" ref="K652:K654" ca="1" si="467">IF(I652&gt;0,J652*100/I652,0)</f>
        <v>56.491304347826087</v>
      </c>
      <c r="L652" s="55"/>
      <c r="M652" s="55"/>
      <c r="N652" s="55"/>
      <c r="O652" s="55"/>
      <c r="P652" s="55"/>
      <c r="Q652" s="55"/>
      <c r="R652" s="55"/>
      <c r="S652" s="62"/>
      <c r="T652" s="55"/>
      <c r="U652" s="55"/>
    </row>
    <row r="653" spans="1:21" ht="18.75">
      <c r="A653" s="238"/>
      <c r="B653" s="188"/>
      <c r="C653" s="188"/>
      <c r="D653" s="58" t="s">
        <v>239</v>
      </c>
      <c r="E653" s="50"/>
      <c r="F653" s="50"/>
      <c r="G653" s="52"/>
      <c r="H653" s="165" t="s">
        <v>35</v>
      </c>
      <c r="I653" s="465">
        <f ca="1">IFERROR(__xludf.DUMMYFUNCTION("IMPORTRANGE(""https://docs.google.com/spreadsheets/d/1yhBcrRPreicbMKl9Bu_Snb2-OcQAF62RKfhTLhJ2eAA/edit?usp=sharing"",""กาฬสินธุ์!I653"")+IMPORTRANGE(""https://docs.google.com/spreadsheets/d/1aHkj4IaQMThhwWwevcOymEh837vdxeC_PycurhTbGFA/edit?usp=sharing"","&amp;"""ขอนแก่น!I653"")+IMPORTRANGE(""https://docs.google.com/spreadsheets/d/1FvTu2DsIWUjP6WCWra38Bkj_oOl_sOMf14r5Fg5srxU/edit?usp=sharing"",""ชัยภูมิ!I653"")+IMPORTRANGE(""https://docs.google.com/spreadsheets/d/1XVB7oCJ3pr-vBUdflwPQ8Z2LlzhnCvZaaYjAfP-647E/edit"&amp;"?usp=sharing"",""นครพนม!I653"")+IMPORTRANGE(""https://docs.google.com/spreadsheets/d/1Mnpb-8PYAgn85W6KOTD40hc_Xc55CaLfHoGAbrZ8tls/edit?usp=sharing"",""นครราชสีมา!I653"")+IMPORTRANGE(""https://docs.google.com/spreadsheets/d/1xoDLGBv9CYbyosIhki0kTq6IpYNj-gp"&amp;"jxfobnaDiut0/edit?usp=sharing"",""บึงกาฬ!I653"")+IMPORTRANGE(""https://docs.google.com/spreadsheets/d/1MMPq-JyI6DSgQETxuSiXkesP-P7JHuemnE6QJIa-Nlw/edit?usp=sharing"",""บุรีรัมย์!I653"")+IMPORTRANGE(""https://docs.google.com/spreadsheets/d/1l6IZ8xUPgMrESzc"&amp;"TYwhA1k_tPjeQjJPTqlm8Gd9eU5g/edit?usp=sharing"",""มหาสารคาม!I653"")+IMPORTRANGE(""https://docs.google.com/spreadsheets/d/1uB74YLqNjWX6FObjekfB2NtSYigTQyR2rq9u4Ub2Sq4/edit?usp=sharing"",""มุกดาหาร!I653"")+IMPORTRANGE(""https://docs.google.com/spreadsheets/"&amp;"d/1NexK3geCPxCTO1fzNF8dPec7yZyUx3OaWkFBC9HsQOo/edit?usp=sharing"",""ยโสธร!I653"")+IMPORTRANGE(""https://docs.google.com/spreadsheets/d/1v_cJrbBlyqmnHPReHk44g9NrMRdENNlSy_E_c5M9fIg/edit?usp=sharing"",""ร้อยเอ็ด!I653"")+IMPORTRANGE(""https://docs.google.com"&amp;"/spreadsheets/d/1Ul4RCpCX66NxYADU1QpwAPjOmBzW64SsT11s1wzXw_c/edit?usp=sharing"",""เลย!I653"")+IMPORTRANGE(""https://docs.google.com/spreadsheets/d/1bRrNKwbHDVktQG10isr5vbWRtt5spIZPpkOSWgbT5ug/edit?usp=sharing"",""ศรีสะเกษ!I653"")+IMPORTRANGE(""https://doc"&amp;"s.google.com/spreadsheets/d/17P34_Ow5kFBfdQD0qspb2UuPX5zpi6WMrQzslghyvrI/edit?usp=sharing"",""สกลนคร!I653"")+IMPORTRANGE(""https://docs.google.com/spreadsheets/d/1yswqbM3-AEpThF3ZSUa1AcmHnmRTF1vlJ1CZGcJ8YuU/edit?usp=sharing"",""สุรินทร์!I653"")+IMPORTRANG"&amp;"E(""https://docs.google.com/spreadsheets/d/13JHU_EFbsQOUQ0JSQ3dWy1VTRosIWcDq6Nc99z2qzdc/edit?usp=sharing"",""หนองคาย!I653"")+IMPORTRANGE(""https://docs.google.com/spreadsheets/d/1Hx73zIEgVdDZZaYSTc46Dqv64atFhpr3GelxLbaIN8A/edit?usp=sharing"",""หนองบัวลำภู"&amp;"!I653"")+IMPORTRANGE(""https://docs.google.com/spreadsheets/d/1lFxr3ctmjFN90yc-xV6jrQ9Ty8BKYVBWnAZ15wcNIJc/edit?usp=sharing"",""อำนาจเจริญ!I653"")+IMPORTRANGE(""https://docs.google.com/spreadsheets/d/1gF7RJpRnL-1oyjyeWxs5SFWEH7y8ahOZsQlyp2A2e-A/edit?usp=s"&amp;"haring"",""อุดรธานี!I653"")+IMPORTRANGE(""https://docs.google.com/spreadsheets/d/1kfLP0j3INXRa8bTDpcEmoWewMBV61jlFlfzczfjWIgc/edit?usp=sharing"",""อุบลราชธานี!I653"")"),54)</f>
        <v>54</v>
      </c>
      <c r="J653" s="465">
        <f ca="1">IFERROR(__xludf.DUMMYFUNCTION("IMPORTRANGE(""https://docs.google.com/spreadsheets/d/1yhBcrRPreicbMKl9Bu_Snb2-OcQAF62RKfhTLhJ2eAA/edit?usp=sharing"",""กาฬสินธุ์!J653"")+IMPORTRANGE(""https://docs.google.com/spreadsheets/d/1aHkj4IaQMThhwWwevcOymEh837vdxeC_PycurhTbGFA/edit?usp=sharing"","&amp;"""ขอนแก่น!J653"")+IMPORTRANGE(""https://docs.google.com/spreadsheets/d/1FvTu2DsIWUjP6WCWra38Bkj_oOl_sOMf14r5Fg5srxU/edit?usp=sharing"",""ชัยภูมิ!J653"")+IMPORTRANGE(""https://docs.google.com/spreadsheets/d/1XVB7oCJ3pr-vBUdflwPQ8Z2LlzhnCvZaaYjAfP-647E/edit"&amp;"?usp=sharing"",""นครพนม!J653"")+IMPORTRANGE(""https://docs.google.com/spreadsheets/d/1Mnpb-8PYAgn85W6KOTD40hc_Xc55CaLfHoGAbrZ8tls/edit?usp=sharing"",""นครราชสีมา!J653"")+IMPORTRANGE(""https://docs.google.com/spreadsheets/d/1xoDLGBv9CYbyosIhki0kTq6IpYNj-gp"&amp;"jxfobnaDiut0/edit?usp=sharing"",""บึงกาฬ!J653"")+IMPORTRANGE(""https://docs.google.com/spreadsheets/d/1MMPq-JyI6DSgQETxuSiXkesP-P7JHuemnE6QJIa-Nlw/edit?usp=sharing"",""บุรีรัมย์!J653"")+IMPORTRANGE(""https://docs.google.com/spreadsheets/d/1l6IZ8xUPgMrESzc"&amp;"TYwhA1k_tPjeQjJPTqlm8Gd9eU5g/edit?usp=sharing"",""มหาสารคาม!J653"")+IMPORTRANGE(""https://docs.google.com/spreadsheets/d/1uB74YLqNjWX6FObjekfB2NtSYigTQyR2rq9u4Ub2Sq4/edit?usp=sharing"",""มุกดาหาร!J653"")+IMPORTRANGE(""https://docs.google.com/spreadsheets/"&amp;"d/1NexK3geCPxCTO1fzNF8dPec7yZyUx3OaWkFBC9HsQOo/edit?usp=sharing"",""ยโสธร!J653"")+IMPORTRANGE(""https://docs.google.com/spreadsheets/d/1v_cJrbBlyqmnHPReHk44g9NrMRdENNlSy_E_c5M9fIg/edit?usp=sharing"",""ร้อยเอ็ด!J653"")+IMPORTRANGE(""https://docs.google.com"&amp;"/spreadsheets/d/1Ul4RCpCX66NxYADU1QpwAPjOmBzW64SsT11s1wzXw_c/edit?usp=sharing"",""เลย!J653"")+IMPORTRANGE(""https://docs.google.com/spreadsheets/d/1bRrNKwbHDVktQG10isr5vbWRtt5spIZPpkOSWgbT5ug/edit?usp=sharing"",""ศรีสะเกษ!J653"")+IMPORTRANGE(""https://doc"&amp;"s.google.com/spreadsheets/d/17P34_Ow5kFBfdQD0qspb2UuPX5zpi6WMrQzslghyvrI/edit?usp=sharing"",""สกลนคร!J653"")+IMPORTRANGE(""https://docs.google.com/spreadsheets/d/1yswqbM3-AEpThF3ZSUa1AcmHnmRTF1vlJ1CZGcJ8YuU/edit?usp=sharing"",""สุรินทร์!J653"")+IMPORTRANG"&amp;"E(""https://docs.google.com/spreadsheets/d/13JHU_EFbsQOUQ0JSQ3dWy1VTRosIWcDq6Nc99z2qzdc/edit?usp=sharing"",""หนองคาย!J653"")+IMPORTRANGE(""https://docs.google.com/spreadsheets/d/1Hx73zIEgVdDZZaYSTc46Dqv64atFhpr3GelxLbaIN8A/edit?usp=sharing"",""หนองบัวลำภู"&amp;"!J653"")+IMPORTRANGE(""https://docs.google.com/spreadsheets/d/1lFxr3ctmjFN90yc-xV6jrQ9Ty8BKYVBWnAZ15wcNIJc/edit?usp=sharing"",""อำนาจเจริญ!J653"")+IMPORTRANGE(""https://docs.google.com/spreadsheets/d/1gF7RJpRnL-1oyjyeWxs5SFWEH7y8ahOZsQlyp2A2e-A/edit?usp=s"&amp;"haring"",""อุดรธานี!J653"")+IMPORTRANGE(""https://docs.google.com/spreadsheets/d/1kfLP0j3INXRa8bTDpcEmoWewMBV61jlFlfzczfjWIgc/edit?usp=sharing"",""อุบลราชธานี!J653"")"),18)</f>
        <v>18</v>
      </c>
      <c r="K653" s="56">
        <f t="shared" ca="1" si="467"/>
        <v>33.333333333333336</v>
      </c>
      <c r="L653" s="55"/>
      <c r="M653" s="55"/>
      <c r="N653" s="55"/>
      <c r="O653" s="55"/>
      <c r="P653" s="55"/>
      <c r="Q653" s="55"/>
      <c r="R653" s="55"/>
      <c r="S653" s="62"/>
      <c r="T653" s="55"/>
      <c r="U653" s="55"/>
    </row>
    <row r="654" spans="1:21" ht="19.5">
      <c r="A654" s="238"/>
      <c r="B654" s="188"/>
      <c r="C654" s="188"/>
      <c r="D654" s="58" t="s">
        <v>240</v>
      </c>
      <c r="E654" s="50"/>
      <c r="F654" s="50"/>
      <c r="G654" s="52"/>
      <c r="H654" s="461" t="s">
        <v>46</v>
      </c>
      <c r="I654" s="466">
        <f ca="1">IFERROR(__xludf.DUMMYFUNCTION("IMPORTRANGE(""https://docs.google.com/spreadsheets/d/1yhBcrRPreicbMKl9Bu_Snb2-OcQAF62RKfhTLhJ2eAA/edit?usp=sharing"",""กาฬสินธุ์!I654"")+IMPORTRANGE(""https://docs.google.com/spreadsheets/d/1aHkj4IaQMThhwWwevcOymEh837vdxeC_PycurhTbGFA/edit?usp=sharing"","&amp;"""ขอนแก่น!I654"")+IMPORTRANGE(""https://docs.google.com/spreadsheets/d/1FvTu2DsIWUjP6WCWra38Bkj_oOl_sOMf14r5Fg5srxU/edit?usp=sharing"",""ชัยภูมิ!I654"")+IMPORTRANGE(""https://docs.google.com/spreadsheets/d/1XVB7oCJ3pr-vBUdflwPQ8Z2LlzhnCvZaaYjAfP-647E/edit"&amp;"?usp=sharing"",""นครพนม!I654"")+IMPORTRANGE(""https://docs.google.com/spreadsheets/d/1Mnpb-8PYAgn85W6KOTD40hc_Xc55CaLfHoGAbrZ8tls/edit?usp=sharing"",""นครราชสีมา!I654"")+IMPORTRANGE(""https://docs.google.com/spreadsheets/d/1xoDLGBv9CYbyosIhki0kTq6IpYNj-gp"&amp;"jxfobnaDiut0/edit?usp=sharing"",""บึงกาฬ!I654"")+IMPORTRANGE(""https://docs.google.com/spreadsheets/d/1MMPq-JyI6DSgQETxuSiXkesP-P7JHuemnE6QJIa-Nlw/edit?usp=sharing"",""บุรีรัมย์!I654"")+IMPORTRANGE(""https://docs.google.com/spreadsheets/d/1l6IZ8xUPgMrESzc"&amp;"TYwhA1k_tPjeQjJPTqlm8Gd9eU5g/edit?usp=sharing"",""มหาสารคาม!I654"")+IMPORTRANGE(""https://docs.google.com/spreadsheets/d/1uB74YLqNjWX6FObjekfB2NtSYigTQyR2rq9u4Ub2Sq4/edit?usp=sharing"",""มุกดาหาร!I654"")+IMPORTRANGE(""https://docs.google.com/spreadsheets/"&amp;"d/1NexK3geCPxCTO1fzNF8dPec7yZyUx3OaWkFBC9HsQOo/edit?usp=sharing"",""ยโสธร!I654"")+IMPORTRANGE(""https://docs.google.com/spreadsheets/d/1v_cJrbBlyqmnHPReHk44g9NrMRdENNlSy_E_c5M9fIg/edit?usp=sharing"",""ร้อยเอ็ด!I654"")+IMPORTRANGE(""https://docs.google.com"&amp;"/spreadsheets/d/1Ul4RCpCX66NxYADU1QpwAPjOmBzW64SsT11s1wzXw_c/edit?usp=sharing"",""เลย!I654"")+IMPORTRANGE(""https://docs.google.com/spreadsheets/d/1bRrNKwbHDVktQG10isr5vbWRtt5spIZPpkOSWgbT5ug/edit?usp=sharing"",""ศรีสะเกษ!I654"")+IMPORTRANGE(""https://doc"&amp;"s.google.com/spreadsheets/d/17P34_Ow5kFBfdQD0qspb2UuPX5zpi6WMrQzslghyvrI/edit?usp=sharing"",""สกลนคร!I654"")+IMPORTRANGE(""https://docs.google.com/spreadsheets/d/1yswqbM3-AEpThF3ZSUa1AcmHnmRTF1vlJ1CZGcJ8YuU/edit?usp=sharing"",""สุรินทร์!I654"")+IMPORTRANG"&amp;"E(""https://docs.google.com/spreadsheets/d/13JHU_EFbsQOUQ0JSQ3dWy1VTRosIWcDq6Nc99z2qzdc/edit?usp=sharing"",""หนองคาย!I654"")+IMPORTRANGE(""https://docs.google.com/spreadsheets/d/1Hx73zIEgVdDZZaYSTc46Dqv64atFhpr3GelxLbaIN8A/edit?usp=sharing"",""หนองบัวลำภู"&amp;"!I654"")+IMPORTRANGE(""https://docs.google.com/spreadsheets/d/1lFxr3ctmjFN90yc-xV6jrQ9Ty8BKYVBWnAZ15wcNIJc/edit?usp=sharing"",""อำนาจเจริญ!I654"")+IMPORTRANGE(""https://docs.google.com/spreadsheets/d/1gF7RJpRnL-1oyjyeWxs5SFWEH7y8ahOZsQlyp2A2e-A/edit?usp=s"&amp;"haring"",""อุดรธานี!I654"")+IMPORTRANGE(""https://docs.google.com/spreadsheets/d/1kfLP0j3INXRa8bTDpcEmoWewMBV61jlFlfzczfjWIgc/edit?usp=sharing"",""อุบลราชธานี!I654"")"),361)</f>
        <v>361</v>
      </c>
      <c r="J654" s="176">
        <f ca="1">J657+J660</f>
        <v>207.18</v>
      </c>
      <c r="K654" s="159">
        <f t="shared" ca="1" si="467"/>
        <v>57.390581717451525</v>
      </c>
      <c r="L654" s="55"/>
      <c r="M654" s="55"/>
      <c r="N654" s="55"/>
      <c r="O654" s="55"/>
      <c r="P654" s="55"/>
      <c r="Q654" s="55"/>
      <c r="R654" s="55"/>
      <c r="S654" s="62"/>
      <c r="T654" s="55"/>
      <c r="U654" s="55"/>
    </row>
    <row r="655" spans="1:21" ht="18.75">
      <c r="A655" s="238"/>
      <c r="B655" s="188"/>
      <c r="C655" s="188"/>
      <c r="D655" s="50"/>
      <c r="E655" s="58" t="s">
        <v>241</v>
      </c>
      <c r="F655" s="50"/>
      <c r="G655" s="52"/>
      <c r="H655" s="165" t="s">
        <v>35</v>
      </c>
      <c r="I655" s="208"/>
      <c r="J655" s="467">
        <f ca="1">IFERROR(__xludf.DUMMYFUNCTION("IMPORTRANGE(""https://docs.google.com/spreadsheets/d/1yhBcrRPreicbMKl9Bu_Snb2-OcQAF62RKfhTLhJ2eAA/edit?usp=sharing"",""กาฬสินธุ์!J655"")+IMPORTRANGE(""https://docs.google.com/spreadsheets/d/1aHkj4IaQMThhwWwevcOymEh837vdxeC_PycurhTbGFA/edit?usp=sharing"","&amp;"""ขอนแก่น!J655"")+IMPORTRANGE(""https://docs.google.com/spreadsheets/d/1FvTu2DsIWUjP6WCWra38Bkj_oOl_sOMf14r5Fg5srxU/edit?usp=sharing"",""ชัยภูมิ!J655"")+IMPORTRANGE(""https://docs.google.com/spreadsheets/d/1XVB7oCJ3pr-vBUdflwPQ8Z2LlzhnCvZaaYjAfP-647E/edit"&amp;"?usp=sharing"",""นครพนม!J655"")+IMPORTRANGE(""https://docs.google.com/spreadsheets/d/1Mnpb-8PYAgn85W6KOTD40hc_Xc55CaLfHoGAbrZ8tls/edit?usp=sharing"",""นครราชสีมา!J655"")+IMPORTRANGE(""https://docs.google.com/spreadsheets/d/1xoDLGBv9CYbyosIhki0kTq6IpYNj-gp"&amp;"jxfobnaDiut0/edit?usp=sharing"",""บึงกาฬ!J655"")+IMPORTRANGE(""https://docs.google.com/spreadsheets/d/1MMPq-JyI6DSgQETxuSiXkesP-P7JHuemnE6QJIa-Nlw/edit?usp=sharing"",""บุรีรัมย์!J655"")+IMPORTRANGE(""https://docs.google.com/spreadsheets/d/1l6IZ8xUPgMrESzc"&amp;"TYwhA1k_tPjeQjJPTqlm8Gd9eU5g/edit?usp=sharing"",""มหาสารคาม!J655"")+IMPORTRANGE(""https://docs.google.com/spreadsheets/d/1uB74YLqNjWX6FObjekfB2NtSYigTQyR2rq9u4Ub2Sq4/edit?usp=sharing"",""มุกดาหาร!J655"")+IMPORTRANGE(""https://docs.google.com/spreadsheets/"&amp;"d/1NexK3geCPxCTO1fzNF8dPec7yZyUx3OaWkFBC9HsQOo/edit?usp=sharing"",""ยโสธร!J655"")+IMPORTRANGE(""https://docs.google.com/spreadsheets/d/1v_cJrbBlyqmnHPReHk44g9NrMRdENNlSy_E_c5M9fIg/edit?usp=sharing"",""ร้อยเอ็ด!J655"")+IMPORTRANGE(""https://docs.google.com"&amp;"/spreadsheets/d/1Ul4RCpCX66NxYADU1QpwAPjOmBzW64SsT11s1wzXw_c/edit?usp=sharing"",""เลย!J655"")+IMPORTRANGE(""https://docs.google.com/spreadsheets/d/1bRrNKwbHDVktQG10isr5vbWRtt5spIZPpkOSWgbT5ug/edit?usp=sharing"",""ศรีสะเกษ!J655"")+IMPORTRANGE(""https://doc"&amp;"s.google.com/spreadsheets/d/17P34_Ow5kFBfdQD0qspb2UuPX5zpi6WMrQzslghyvrI/edit?usp=sharing"",""สกลนคร!J655"")+IMPORTRANGE(""https://docs.google.com/spreadsheets/d/1yswqbM3-AEpThF3ZSUa1AcmHnmRTF1vlJ1CZGcJ8YuU/edit?usp=sharing"",""สุรินทร์!J655"")+IMPORTRANG"&amp;"E(""https://docs.google.com/spreadsheets/d/13JHU_EFbsQOUQ0JSQ3dWy1VTRosIWcDq6Nc99z2qzdc/edit?usp=sharing"",""หนองคาย!J655"")+IMPORTRANGE(""https://docs.google.com/spreadsheets/d/1Hx73zIEgVdDZZaYSTc46Dqv64atFhpr3GelxLbaIN8A/edit?usp=sharing"",""หนองบัวลำภู"&amp;"!J655"")+IMPORTRANGE(""https://docs.google.com/spreadsheets/d/1lFxr3ctmjFN90yc-xV6jrQ9Ty8BKYVBWnAZ15wcNIJc/edit?usp=sharing"",""อำนาจเจริญ!J655"")+IMPORTRANGE(""https://docs.google.com/spreadsheets/d/1gF7RJpRnL-1oyjyeWxs5SFWEH7y8ahOZsQlyp2A2e-A/edit?usp=s"&amp;"haring"",""อุดรธานี!J655"")+IMPORTRANGE(""https://docs.google.com/spreadsheets/d/1kfLP0j3INXRa8bTDpcEmoWewMBV61jlFlfzczfjWIgc/edit?usp=sharing"",""อุบลราชธานี!J655"")"),22)</f>
        <v>22</v>
      </c>
      <c r="K655" s="55"/>
      <c r="L655" s="55"/>
      <c r="M655" s="55"/>
      <c r="N655" s="55"/>
      <c r="O655" s="55"/>
      <c r="P655" s="55"/>
      <c r="Q655" s="55"/>
      <c r="R655" s="55"/>
      <c r="S655" s="62"/>
      <c r="T655" s="55"/>
      <c r="U655" s="55"/>
    </row>
    <row r="656" spans="1:21" ht="18.75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67">
        <f ca="1">IFERROR(__xludf.DUMMYFUNCTION("IMPORTRANGE(""https://docs.google.com/spreadsheets/d/1yhBcrRPreicbMKl9Bu_Snb2-OcQAF62RKfhTLhJ2eAA/edit?usp=sharing"",""กาฬสินธุ์!J656"")+IMPORTRANGE(""https://docs.google.com/spreadsheets/d/1aHkj4IaQMThhwWwevcOymEh837vdxeC_PycurhTbGFA/edit?usp=sharing"","&amp;"""ขอนแก่น!J656"")+IMPORTRANGE(""https://docs.google.com/spreadsheets/d/1FvTu2DsIWUjP6WCWra38Bkj_oOl_sOMf14r5Fg5srxU/edit?usp=sharing"",""ชัยภูมิ!J656"")+IMPORTRANGE(""https://docs.google.com/spreadsheets/d/1XVB7oCJ3pr-vBUdflwPQ8Z2LlzhnCvZaaYjAfP-647E/edit"&amp;"?usp=sharing"",""นครพนม!J656"")+IMPORTRANGE(""https://docs.google.com/spreadsheets/d/1Mnpb-8PYAgn85W6KOTD40hc_Xc55CaLfHoGAbrZ8tls/edit?usp=sharing"",""นครราชสีมา!J656"")+IMPORTRANGE(""https://docs.google.com/spreadsheets/d/1xoDLGBv9CYbyosIhki0kTq6IpYNj-gp"&amp;"jxfobnaDiut0/edit?usp=sharing"",""บึงกาฬ!J656"")+IMPORTRANGE(""https://docs.google.com/spreadsheets/d/1MMPq-JyI6DSgQETxuSiXkesP-P7JHuemnE6QJIa-Nlw/edit?usp=sharing"",""บุรีรัมย์!J656"")+IMPORTRANGE(""https://docs.google.com/spreadsheets/d/1l6IZ8xUPgMrESzc"&amp;"TYwhA1k_tPjeQjJPTqlm8Gd9eU5g/edit?usp=sharing"",""มหาสารคาม!J656"")+IMPORTRANGE(""https://docs.google.com/spreadsheets/d/1uB74YLqNjWX6FObjekfB2NtSYigTQyR2rq9u4Ub2Sq4/edit?usp=sharing"",""มุกดาหาร!J656"")+IMPORTRANGE(""https://docs.google.com/spreadsheets/"&amp;"d/1NexK3geCPxCTO1fzNF8dPec7yZyUx3OaWkFBC9HsQOo/edit?usp=sharing"",""ยโสธร!J656"")+IMPORTRANGE(""https://docs.google.com/spreadsheets/d/1v_cJrbBlyqmnHPReHk44g9NrMRdENNlSy_E_c5M9fIg/edit?usp=sharing"",""ร้อยเอ็ด!J656"")+IMPORTRANGE(""https://docs.google.com"&amp;"/spreadsheets/d/1Ul4RCpCX66NxYADU1QpwAPjOmBzW64SsT11s1wzXw_c/edit?usp=sharing"",""เลย!J656"")+IMPORTRANGE(""https://docs.google.com/spreadsheets/d/1bRrNKwbHDVktQG10isr5vbWRtt5spIZPpkOSWgbT5ug/edit?usp=sharing"",""ศรีสะเกษ!J656"")+IMPORTRANGE(""https://doc"&amp;"s.google.com/spreadsheets/d/17P34_Ow5kFBfdQD0qspb2UuPX5zpi6WMrQzslghyvrI/edit?usp=sharing"",""สกลนคร!J656"")+IMPORTRANGE(""https://docs.google.com/spreadsheets/d/1yswqbM3-AEpThF3ZSUa1AcmHnmRTF1vlJ1CZGcJ8YuU/edit?usp=sharing"",""สุรินทร์!J656"")+IMPORTRANG"&amp;"E(""https://docs.google.com/spreadsheets/d/13JHU_EFbsQOUQ0JSQ3dWy1VTRosIWcDq6Nc99z2qzdc/edit?usp=sharing"",""หนองคาย!J656"")+IMPORTRANGE(""https://docs.google.com/spreadsheets/d/1Hx73zIEgVdDZZaYSTc46Dqv64atFhpr3GelxLbaIN8A/edit?usp=sharing"",""หนองบัวลำภู"&amp;"!J656"")+IMPORTRANGE(""https://docs.google.com/spreadsheets/d/1lFxr3ctmjFN90yc-xV6jrQ9Ty8BKYVBWnAZ15wcNIJc/edit?usp=sharing"",""อำนาจเจริญ!J656"")+IMPORTRANGE(""https://docs.google.com/spreadsheets/d/1gF7RJpRnL-1oyjyeWxs5SFWEH7y8ahOZsQlyp2A2e-A/edit?usp=s"&amp;"haring"",""อุดรธานี!J656"")+IMPORTRANGE(""https://docs.google.com/spreadsheets/d/1kfLP0j3INXRa8bTDpcEmoWewMBV61jlFlfzczfjWIgc/edit?usp=sharing"",""อุบลราชธานี!J656"")"),32)</f>
        <v>32</v>
      </c>
      <c r="K656" s="55"/>
      <c r="L656" s="55"/>
      <c r="M656" s="55"/>
      <c r="N656" s="55"/>
      <c r="O656" s="55"/>
      <c r="P656" s="55"/>
      <c r="Q656" s="55"/>
      <c r="R656" s="55"/>
      <c r="S656" s="62"/>
      <c r="T656" s="55"/>
      <c r="U656" s="55"/>
    </row>
    <row r="657" spans="1:21" ht="18.75">
      <c r="A657" s="238"/>
      <c r="B657" s="188"/>
      <c r="C657" s="188"/>
      <c r="D657" s="50"/>
      <c r="E657" s="50"/>
      <c r="F657" s="50"/>
      <c r="G657" s="52"/>
      <c r="H657" s="165" t="s">
        <v>46</v>
      </c>
      <c r="I657" s="465">
        <f ca="1">IFERROR(__xludf.DUMMYFUNCTION("IMPORTRANGE(""https://docs.google.com/spreadsheets/d/1yhBcrRPreicbMKl9Bu_Snb2-OcQAF62RKfhTLhJ2eAA/edit?usp=sharing"",""กาฬสินธุ์!I657"")+IMPORTRANGE(""https://docs.google.com/spreadsheets/d/1aHkj4IaQMThhwWwevcOymEh837vdxeC_PycurhTbGFA/edit?usp=sharing"","&amp;"""ขอนแก่น!I657"")+IMPORTRANGE(""https://docs.google.com/spreadsheets/d/1FvTu2DsIWUjP6WCWra38Bkj_oOl_sOMf14r5Fg5srxU/edit?usp=sharing"",""ชัยภูมิ!I657"")+IMPORTRANGE(""https://docs.google.com/spreadsheets/d/1XVB7oCJ3pr-vBUdflwPQ8Z2LlzhnCvZaaYjAfP-647E/edit"&amp;"?usp=sharing"",""นครพนม!I657"")+IMPORTRANGE(""https://docs.google.com/spreadsheets/d/1Mnpb-8PYAgn85W6KOTD40hc_Xc55CaLfHoGAbrZ8tls/edit?usp=sharing"",""นครราชสีมา!I657"")+IMPORTRANGE(""https://docs.google.com/spreadsheets/d/1xoDLGBv9CYbyosIhki0kTq6IpYNj-gp"&amp;"jxfobnaDiut0/edit?usp=sharing"",""บึงกาฬ!I657"")+IMPORTRANGE(""https://docs.google.com/spreadsheets/d/1MMPq-JyI6DSgQETxuSiXkesP-P7JHuemnE6QJIa-Nlw/edit?usp=sharing"",""บุรีรัมย์!I657"")+IMPORTRANGE(""https://docs.google.com/spreadsheets/d/1l6IZ8xUPgMrESzc"&amp;"TYwhA1k_tPjeQjJPTqlm8Gd9eU5g/edit?usp=sharing"",""มหาสารคาม!I657"")+IMPORTRANGE(""https://docs.google.com/spreadsheets/d/1uB74YLqNjWX6FObjekfB2NtSYigTQyR2rq9u4Ub2Sq4/edit?usp=sharing"",""มุกดาหาร!I657"")+IMPORTRANGE(""https://docs.google.com/spreadsheets/"&amp;"d/1NexK3geCPxCTO1fzNF8dPec7yZyUx3OaWkFBC9HsQOo/edit?usp=sharing"",""ยโสธร!I657"")+IMPORTRANGE(""https://docs.google.com/spreadsheets/d/1v_cJrbBlyqmnHPReHk44g9NrMRdENNlSy_E_c5M9fIg/edit?usp=sharing"",""ร้อยเอ็ด!I657"")+IMPORTRANGE(""https://docs.google.com"&amp;"/spreadsheets/d/1Ul4RCpCX66NxYADU1QpwAPjOmBzW64SsT11s1wzXw_c/edit?usp=sharing"",""เลย!I657"")+IMPORTRANGE(""https://docs.google.com/spreadsheets/d/1bRrNKwbHDVktQG10isr5vbWRtt5spIZPpkOSWgbT5ug/edit?usp=sharing"",""ศรีสะเกษ!I657"")+IMPORTRANGE(""https://doc"&amp;"s.google.com/spreadsheets/d/17P34_Ow5kFBfdQD0qspb2UuPX5zpi6WMrQzslghyvrI/edit?usp=sharing"",""สกลนคร!I657"")+IMPORTRANGE(""https://docs.google.com/spreadsheets/d/1yswqbM3-AEpThF3ZSUa1AcmHnmRTF1vlJ1CZGcJ8YuU/edit?usp=sharing"",""สุรินทร์!I657"")+IMPORTRANG"&amp;"E(""https://docs.google.com/spreadsheets/d/13JHU_EFbsQOUQ0JSQ3dWy1VTRosIWcDq6Nc99z2qzdc/edit?usp=sharing"",""หนองคาย!I657"")+IMPORTRANGE(""https://docs.google.com/spreadsheets/d/1Hx73zIEgVdDZZaYSTc46Dqv64atFhpr3GelxLbaIN8A/edit?usp=sharing"",""หนองบัวลำภู"&amp;"!I657"")+IMPORTRANGE(""https://docs.google.com/spreadsheets/d/1lFxr3ctmjFN90yc-xV6jrQ9Ty8BKYVBWnAZ15wcNIJc/edit?usp=sharing"",""อำนาจเจริญ!I657"")+IMPORTRANGE(""https://docs.google.com/spreadsheets/d/1gF7RJpRnL-1oyjyeWxs5SFWEH7y8ahOZsQlyp2A2e-A/edit?usp=s"&amp;"haring"",""อุดรธานี!I657"")+IMPORTRANGE(""https://docs.google.com/spreadsheets/d/1kfLP0j3INXRa8bTDpcEmoWewMBV61jlFlfzczfjWIgc/edit?usp=sharing"",""อุบลราชธานี!I657"")"),211)</f>
        <v>211</v>
      </c>
      <c r="J657" s="467">
        <f ca="1">IFERROR(__xludf.DUMMYFUNCTION("IMPORTRANGE(""https://docs.google.com/spreadsheets/d/1yhBcrRPreicbMKl9Bu_Snb2-OcQAF62RKfhTLhJ2eAA/edit?usp=sharing"",""กาฬสินธุ์!J657"")+IMPORTRANGE(""https://docs.google.com/spreadsheets/d/1aHkj4IaQMThhwWwevcOymEh837vdxeC_PycurhTbGFA/edit?usp=sharing"","&amp;"""ขอนแก่น!J657"")+IMPORTRANGE(""https://docs.google.com/spreadsheets/d/1FvTu2DsIWUjP6WCWra38Bkj_oOl_sOMf14r5Fg5srxU/edit?usp=sharing"",""ชัยภูมิ!J657"")+IMPORTRANGE(""https://docs.google.com/spreadsheets/d/1XVB7oCJ3pr-vBUdflwPQ8Z2LlzhnCvZaaYjAfP-647E/edit"&amp;"?usp=sharing"",""นครพนม!J657"")+IMPORTRANGE(""https://docs.google.com/spreadsheets/d/1Mnpb-8PYAgn85W6KOTD40hc_Xc55CaLfHoGAbrZ8tls/edit?usp=sharing"",""นครราชสีมา!J657"")+IMPORTRANGE(""https://docs.google.com/spreadsheets/d/1xoDLGBv9CYbyosIhki0kTq6IpYNj-gp"&amp;"jxfobnaDiut0/edit?usp=sharing"",""บึงกาฬ!J657"")+IMPORTRANGE(""https://docs.google.com/spreadsheets/d/1MMPq-JyI6DSgQETxuSiXkesP-P7JHuemnE6QJIa-Nlw/edit?usp=sharing"",""บุรีรัมย์!J657"")+IMPORTRANGE(""https://docs.google.com/spreadsheets/d/1l6IZ8xUPgMrESzc"&amp;"TYwhA1k_tPjeQjJPTqlm8Gd9eU5g/edit?usp=sharing"",""มหาสารคาม!J657"")+IMPORTRANGE(""https://docs.google.com/spreadsheets/d/1uB74YLqNjWX6FObjekfB2NtSYigTQyR2rq9u4Ub2Sq4/edit?usp=sharing"",""มุกดาหาร!J657"")+IMPORTRANGE(""https://docs.google.com/spreadsheets/"&amp;"d/1NexK3geCPxCTO1fzNF8dPec7yZyUx3OaWkFBC9HsQOo/edit?usp=sharing"",""ยโสธร!J657"")+IMPORTRANGE(""https://docs.google.com/spreadsheets/d/1v_cJrbBlyqmnHPReHk44g9NrMRdENNlSy_E_c5M9fIg/edit?usp=sharing"",""ร้อยเอ็ด!J657"")+IMPORTRANGE(""https://docs.google.com"&amp;"/spreadsheets/d/1Ul4RCpCX66NxYADU1QpwAPjOmBzW64SsT11s1wzXw_c/edit?usp=sharing"",""เลย!J657"")+IMPORTRANGE(""https://docs.google.com/spreadsheets/d/1bRrNKwbHDVktQG10isr5vbWRtt5spIZPpkOSWgbT5ug/edit?usp=sharing"",""ศรีสะเกษ!J657"")+IMPORTRANGE(""https://doc"&amp;"s.google.com/spreadsheets/d/17P34_Ow5kFBfdQD0qspb2UuPX5zpi6WMrQzslghyvrI/edit?usp=sharing"",""สกลนคร!J657"")+IMPORTRANGE(""https://docs.google.com/spreadsheets/d/1yswqbM3-AEpThF3ZSUa1AcmHnmRTF1vlJ1CZGcJ8YuU/edit?usp=sharing"",""สุรินทร์!J657"")+IMPORTRANG"&amp;"E(""https://docs.google.com/spreadsheets/d/13JHU_EFbsQOUQ0JSQ3dWy1VTRosIWcDq6Nc99z2qzdc/edit?usp=sharing"",""หนองคาย!J657"")+IMPORTRANGE(""https://docs.google.com/spreadsheets/d/1Hx73zIEgVdDZZaYSTc46Dqv64atFhpr3GelxLbaIN8A/edit?usp=sharing"",""หนองบัวลำภู"&amp;"!J657"")+IMPORTRANGE(""https://docs.google.com/spreadsheets/d/1lFxr3ctmjFN90yc-xV6jrQ9Ty8BKYVBWnAZ15wcNIJc/edit?usp=sharing"",""อำนาจเจริญ!J657"")+IMPORTRANGE(""https://docs.google.com/spreadsheets/d/1gF7RJpRnL-1oyjyeWxs5SFWEH7y8ahOZsQlyp2A2e-A/edit?usp=s"&amp;"haring"",""อุดรธานี!J657"")+IMPORTRANGE(""https://docs.google.com/spreadsheets/d/1kfLP0j3INXRa8bTDpcEmoWewMBV61jlFlfzczfjWIgc/edit?usp=sharing"",""อุบลราชธานี!J657"")"),183.18)</f>
        <v>183.18</v>
      </c>
      <c r="K657" s="55"/>
      <c r="L657" s="55"/>
      <c r="M657" s="55"/>
      <c r="N657" s="55"/>
      <c r="O657" s="55"/>
      <c r="P657" s="55"/>
      <c r="Q657" s="55"/>
      <c r="R657" s="55"/>
      <c r="S657" s="62"/>
      <c r="T657" s="55"/>
      <c r="U657" s="55"/>
    </row>
    <row r="658" spans="1:21" ht="18.75">
      <c r="A658" s="238"/>
      <c r="B658" s="188"/>
      <c r="C658" s="188"/>
      <c r="D658" s="50"/>
      <c r="E658" s="58" t="s">
        <v>242</v>
      </c>
      <c r="F658" s="50"/>
      <c r="G658" s="52"/>
      <c r="H658" s="165" t="s">
        <v>35</v>
      </c>
      <c r="I658" s="208"/>
      <c r="J658" s="467">
        <f ca="1">IFERROR(__xludf.DUMMYFUNCTION("IMPORTRANGE(""https://docs.google.com/spreadsheets/d/1yhBcrRPreicbMKl9Bu_Snb2-OcQAF62RKfhTLhJ2eAA/edit?usp=sharing"",""กาฬสินธุ์!J658"")+IMPORTRANGE(""https://docs.google.com/spreadsheets/d/1aHkj4IaQMThhwWwevcOymEh837vdxeC_PycurhTbGFA/edit?usp=sharing"","&amp;"""ขอนแก่น!J658"")+IMPORTRANGE(""https://docs.google.com/spreadsheets/d/1FvTu2DsIWUjP6WCWra38Bkj_oOl_sOMf14r5Fg5srxU/edit?usp=sharing"",""ชัยภูมิ!J658"")+IMPORTRANGE(""https://docs.google.com/spreadsheets/d/1XVB7oCJ3pr-vBUdflwPQ8Z2LlzhnCvZaaYjAfP-647E/edit"&amp;"?usp=sharing"",""นครพนม!J658"")+IMPORTRANGE(""https://docs.google.com/spreadsheets/d/1Mnpb-8PYAgn85W6KOTD40hc_Xc55CaLfHoGAbrZ8tls/edit?usp=sharing"",""นครราชสีมา!J658"")+IMPORTRANGE(""https://docs.google.com/spreadsheets/d/1xoDLGBv9CYbyosIhki0kTq6IpYNj-gp"&amp;"jxfobnaDiut0/edit?usp=sharing"",""บึงกาฬ!J658"")+IMPORTRANGE(""https://docs.google.com/spreadsheets/d/1MMPq-JyI6DSgQETxuSiXkesP-P7JHuemnE6QJIa-Nlw/edit?usp=sharing"",""บุรีรัมย์!J658"")+IMPORTRANGE(""https://docs.google.com/spreadsheets/d/1l6IZ8xUPgMrESzc"&amp;"TYwhA1k_tPjeQjJPTqlm8Gd9eU5g/edit?usp=sharing"",""มหาสารคาม!J658"")+IMPORTRANGE(""https://docs.google.com/spreadsheets/d/1uB74YLqNjWX6FObjekfB2NtSYigTQyR2rq9u4Ub2Sq4/edit?usp=sharing"",""มุกดาหาร!J658"")+IMPORTRANGE(""https://docs.google.com/spreadsheets/"&amp;"d/1NexK3geCPxCTO1fzNF8dPec7yZyUx3OaWkFBC9HsQOo/edit?usp=sharing"",""ยโสธร!J658"")+IMPORTRANGE(""https://docs.google.com/spreadsheets/d/1v_cJrbBlyqmnHPReHk44g9NrMRdENNlSy_E_c5M9fIg/edit?usp=sharing"",""ร้อยเอ็ด!J658"")+IMPORTRANGE(""https://docs.google.com"&amp;"/spreadsheets/d/1Ul4RCpCX66NxYADU1QpwAPjOmBzW64SsT11s1wzXw_c/edit?usp=sharing"",""เลย!J658"")+IMPORTRANGE(""https://docs.google.com/spreadsheets/d/1bRrNKwbHDVktQG10isr5vbWRtt5spIZPpkOSWgbT5ug/edit?usp=sharing"",""ศรีสะเกษ!J658"")+IMPORTRANGE(""https://doc"&amp;"s.google.com/spreadsheets/d/17P34_Ow5kFBfdQD0qspb2UuPX5zpi6WMrQzslghyvrI/edit?usp=sharing"",""สกลนคร!J658"")+IMPORTRANGE(""https://docs.google.com/spreadsheets/d/1yswqbM3-AEpThF3ZSUa1AcmHnmRTF1vlJ1CZGcJ8YuU/edit?usp=sharing"",""สุรินทร์!J658"")+IMPORTRANG"&amp;"E(""https://docs.google.com/spreadsheets/d/13JHU_EFbsQOUQ0JSQ3dWy1VTRosIWcDq6Nc99z2qzdc/edit?usp=sharing"",""หนองคาย!J658"")+IMPORTRANGE(""https://docs.google.com/spreadsheets/d/1Hx73zIEgVdDZZaYSTc46Dqv64atFhpr3GelxLbaIN8A/edit?usp=sharing"",""หนองบัวลำภู"&amp;"!J658"")+IMPORTRANGE(""https://docs.google.com/spreadsheets/d/1lFxr3ctmjFN90yc-xV6jrQ9Ty8BKYVBWnAZ15wcNIJc/edit?usp=sharing"",""อำนาจเจริญ!J658"")+IMPORTRANGE(""https://docs.google.com/spreadsheets/d/1gF7RJpRnL-1oyjyeWxs5SFWEH7y8ahOZsQlyp2A2e-A/edit?usp=s"&amp;"haring"",""อุดรธานี!J658"")+IMPORTRANGE(""https://docs.google.com/spreadsheets/d/1kfLP0j3INXRa8bTDpcEmoWewMBV61jlFlfzczfjWIgc/edit?usp=sharing"",""อุบลราชธานี!J658"")"),2)</f>
        <v>2</v>
      </c>
      <c r="K658" s="55"/>
      <c r="L658" s="55"/>
      <c r="M658" s="55"/>
      <c r="N658" s="55"/>
      <c r="O658" s="55"/>
      <c r="P658" s="55"/>
      <c r="Q658" s="55"/>
      <c r="R658" s="55"/>
      <c r="S658" s="62"/>
      <c r="T658" s="55"/>
      <c r="U658" s="55"/>
    </row>
    <row r="659" spans="1:21" ht="18.75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67">
        <f ca="1">IFERROR(__xludf.DUMMYFUNCTION("IMPORTRANGE(""https://docs.google.com/spreadsheets/d/1yhBcrRPreicbMKl9Bu_Snb2-OcQAF62RKfhTLhJ2eAA/edit?usp=sharing"",""กาฬสินธุ์!J659"")+IMPORTRANGE(""https://docs.google.com/spreadsheets/d/1aHkj4IaQMThhwWwevcOymEh837vdxeC_PycurhTbGFA/edit?usp=sharing"","&amp;"""ขอนแก่น!J659"")+IMPORTRANGE(""https://docs.google.com/spreadsheets/d/1FvTu2DsIWUjP6WCWra38Bkj_oOl_sOMf14r5Fg5srxU/edit?usp=sharing"",""ชัยภูมิ!J659"")+IMPORTRANGE(""https://docs.google.com/spreadsheets/d/1XVB7oCJ3pr-vBUdflwPQ8Z2LlzhnCvZaaYjAfP-647E/edit"&amp;"?usp=sharing"",""นครพนม!J659"")+IMPORTRANGE(""https://docs.google.com/spreadsheets/d/1Mnpb-8PYAgn85W6KOTD40hc_Xc55CaLfHoGAbrZ8tls/edit?usp=sharing"",""นครราชสีมา!J659"")+IMPORTRANGE(""https://docs.google.com/spreadsheets/d/1xoDLGBv9CYbyosIhki0kTq6IpYNj-gp"&amp;"jxfobnaDiut0/edit?usp=sharing"",""บึงกาฬ!J659"")+IMPORTRANGE(""https://docs.google.com/spreadsheets/d/1MMPq-JyI6DSgQETxuSiXkesP-P7JHuemnE6QJIa-Nlw/edit?usp=sharing"",""บุรีรัมย์!J659"")+IMPORTRANGE(""https://docs.google.com/spreadsheets/d/1l6IZ8xUPgMrESzc"&amp;"TYwhA1k_tPjeQjJPTqlm8Gd9eU5g/edit?usp=sharing"",""มหาสารคาม!J659"")+IMPORTRANGE(""https://docs.google.com/spreadsheets/d/1uB74YLqNjWX6FObjekfB2NtSYigTQyR2rq9u4Ub2Sq4/edit?usp=sharing"",""มุกดาหาร!J659"")+IMPORTRANGE(""https://docs.google.com/spreadsheets/"&amp;"d/1NexK3geCPxCTO1fzNF8dPec7yZyUx3OaWkFBC9HsQOo/edit?usp=sharing"",""ยโสธร!J659"")+IMPORTRANGE(""https://docs.google.com/spreadsheets/d/1v_cJrbBlyqmnHPReHk44g9NrMRdENNlSy_E_c5M9fIg/edit?usp=sharing"",""ร้อยเอ็ด!J659"")+IMPORTRANGE(""https://docs.google.com"&amp;"/spreadsheets/d/1Ul4RCpCX66NxYADU1QpwAPjOmBzW64SsT11s1wzXw_c/edit?usp=sharing"",""เลย!J659"")+IMPORTRANGE(""https://docs.google.com/spreadsheets/d/1bRrNKwbHDVktQG10isr5vbWRtt5spIZPpkOSWgbT5ug/edit?usp=sharing"",""ศรีสะเกษ!J659"")+IMPORTRANGE(""https://doc"&amp;"s.google.com/spreadsheets/d/17P34_Ow5kFBfdQD0qspb2UuPX5zpi6WMrQzslghyvrI/edit?usp=sharing"",""สกลนคร!J659"")+IMPORTRANGE(""https://docs.google.com/spreadsheets/d/1yswqbM3-AEpThF3ZSUa1AcmHnmRTF1vlJ1CZGcJ8YuU/edit?usp=sharing"",""สุรินทร์!J659"")+IMPORTRANG"&amp;"E(""https://docs.google.com/spreadsheets/d/13JHU_EFbsQOUQ0JSQ3dWy1VTRosIWcDq6Nc99z2qzdc/edit?usp=sharing"",""หนองคาย!J659"")+IMPORTRANGE(""https://docs.google.com/spreadsheets/d/1Hx73zIEgVdDZZaYSTc46Dqv64atFhpr3GelxLbaIN8A/edit?usp=sharing"",""หนองบัวลำภู"&amp;"!J659"")+IMPORTRANGE(""https://docs.google.com/spreadsheets/d/1lFxr3ctmjFN90yc-xV6jrQ9Ty8BKYVBWnAZ15wcNIJc/edit?usp=sharing"",""อำนาจเจริญ!J659"")+IMPORTRANGE(""https://docs.google.com/spreadsheets/d/1gF7RJpRnL-1oyjyeWxs5SFWEH7y8ahOZsQlyp2A2e-A/edit?usp=s"&amp;"haring"",""อุดรธานี!J659"")+IMPORTRANGE(""https://docs.google.com/spreadsheets/d/1kfLP0j3INXRa8bTDpcEmoWewMBV61jlFlfzczfjWIgc/edit?usp=sharing"",""อุบลราชธานี!J659"")"),2)</f>
        <v>2</v>
      </c>
      <c r="K659" s="55"/>
      <c r="L659" s="55"/>
      <c r="M659" s="55"/>
      <c r="N659" s="55"/>
      <c r="O659" s="55"/>
      <c r="P659" s="55"/>
      <c r="Q659" s="55"/>
      <c r="R659" s="55"/>
      <c r="S659" s="62"/>
      <c r="T659" s="55"/>
      <c r="U659" s="55"/>
    </row>
    <row r="660" spans="1:21" ht="18.75">
      <c r="A660" s="238"/>
      <c r="B660" s="188"/>
      <c r="C660" s="188"/>
      <c r="D660" s="50"/>
      <c r="E660" s="50"/>
      <c r="F660" s="50"/>
      <c r="G660" s="52"/>
      <c r="H660" s="165" t="s">
        <v>46</v>
      </c>
      <c r="I660" s="465">
        <f ca="1">IFERROR(__xludf.DUMMYFUNCTION("IMPORTRANGE(""https://docs.google.com/spreadsheets/d/1yhBcrRPreicbMKl9Bu_Snb2-OcQAF62RKfhTLhJ2eAA/edit?usp=sharing"",""กาฬสินธุ์!I660"")+IMPORTRANGE(""https://docs.google.com/spreadsheets/d/1aHkj4IaQMThhwWwevcOymEh837vdxeC_PycurhTbGFA/edit?usp=sharing"","&amp;"""ขอนแก่น!I660"")+IMPORTRANGE(""https://docs.google.com/spreadsheets/d/1FvTu2DsIWUjP6WCWra38Bkj_oOl_sOMf14r5Fg5srxU/edit?usp=sharing"",""ชัยภูมิ!I660"")+IMPORTRANGE(""https://docs.google.com/spreadsheets/d/1XVB7oCJ3pr-vBUdflwPQ8Z2LlzhnCvZaaYjAfP-647E/edit"&amp;"?usp=sharing"",""นครพนม!I660"")+IMPORTRANGE(""https://docs.google.com/spreadsheets/d/1Mnpb-8PYAgn85W6KOTD40hc_Xc55CaLfHoGAbrZ8tls/edit?usp=sharing"",""นครราชสีมา!I660"")+IMPORTRANGE(""https://docs.google.com/spreadsheets/d/1xoDLGBv9CYbyosIhki0kTq6IpYNj-gp"&amp;"jxfobnaDiut0/edit?usp=sharing"",""บึงกาฬ!I660"")+IMPORTRANGE(""https://docs.google.com/spreadsheets/d/1MMPq-JyI6DSgQETxuSiXkesP-P7JHuemnE6QJIa-Nlw/edit?usp=sharing"",""บุรีรัมย์!I660"")+IMPORTRANGE(""https://docs.google.com/spreadsheets/d/1l6IZ8xUPgMrESzc"&amp;"TYwhA1k_tPjeQjJPTqlm8Gd9eU5g/edit?usp=sharing"",""มหาสารคาม!I660"")+IMPORTRANGE(""https://docs.google.com/spreadsheets/d/1uB74YLqNjWX6FObjekfB2NtSYigTQyR2rq9u4Ub2Sq4/edit?usp=sharing"",""มุกดาหาร!I660"")+IMPORTRANGE(""https://docs.google.com/spreadsheets/"&amp;"d/1NexK3geCPxCTO1fzNF8dPec7yZyUx3OaWkFBC9HsQOo/edit?usp=sharing"",""ยโสธร!I660"")+IMPORTRANGE(""https://docs.google.com/spreadsheets/d/1v_cJrbBlyqmnHPReHk44g9NrMRdENNlSy_E_c5M9fIg/edit?usp=sharing"",""ร้อยเอ็ด!I660"")+IMPORTRANGE(""https://docs.google.com"&amp;"/spreadsheets/d/1Ul4RCpCX66NxYADU1QpwAPjOmBzW64SsT11s1wzXw_c/edit?usp=sharing"",""เลย!I660"")+IMPORTRANGE(""https://docs.google.com/spreadsheets/d/1bRrNKwbHDVktQG10isr5vbWRtt5spIZPpkOSWgbT5ug/edit?usp=sharing"",""ศรีสะเกษ!I660"")+IMPORTRANGE(""https://doc"&amp;"s.google.com/spreadsheets/d/17P34_Ow5kFBfdQD0qspb2UuPX5zpi6WMrQzslghyvrI/edit?usp=sharing"",""สกลนคร!I660"")+IMPORTRANGE(""https://docs.google.com/spreadsheets/d/1yswqbM3-AEpThF3ZSUa1AcmHnmRTF1vlJ1CZGcJ8YuU/edit?usp=sharing"",""สุรินทร์!I660"")+IMPORTRANG"&amp;"E(""https://docs.google.com/spreadsheets/d/13JHU_EFbsQOUQ0JSQ3dWy1VTRosIWcDq6Nc99z2qzdc/edit?usp=sharing"",""หนองคาย!I660"")+IMPORTRANGE(""https://docs.google.com/spreadsheets/d/1Hx73zIEgVdDZZaYSTc46Dqv64atFhpr3GelxLbaIN8A/edit?usp=sharing"",""หนองบัวลำภู"&amp;"!I660"")+IMPORTRANGE(""https://docs.google.com/spreadsheets/d/1lFxr3ctmjFN90yc-xV6jrQ9Ty8BKYVBWnAZ15wcNIJc/edit?usp=sharing"",""อำนาจเจริญ!I660"")+IMPORTRANGE(""https://docs.google.com/spreadsheets/d/1gF7RJpRnL-1oyjyeWxs5SFWEH7y8ahOZsQlyp2A2e-A/edit?usp=s"&amp;"haring"",""อุดรธานี!I660"")+IMPORTRANGE(""https://docs.google.com/spreadsheets/d/1kfLP0j3INXRa8bTDpcEmoWewMBV61jlFlfzczfjWIgc/edit?usp=sharing"",""อุบลราชธานี!I660"")"),150)</f>
        <v>150</v>
      </c>
      <c r="J660" s="467">
        <f ca="1">IFERROR(__xludf.DUMMYFUNCTION("IMPORTRANGE(""https://docs.google.com/spreadsheets/d/1yhBcrRPreicbMKl9Bu_Snb2-OcQAF62RKfhTLhJ2eAA/edit?usp=sharing"",""กาฬสินธุ์!J660"")+IMPORTRANGE(""https://docs.google.com/spreadsheets/d/1aHkj4IaQMThhwWwevcOymEh837vdxeC_PycurhTbGFA/edit?usp=sharing"","&amp;"""ขอนแก่น!J660"")+IMPORTRANGE(""https://docs.google.com/spreadsheets/d/1FvTu2DsIWUjP6WCWra38Bkj_oOl_sOMf14r5Fg5srxU/edit?usp=sharing"",""ชัยภูมิ!J660"")+IMPORTRANGE(""https://docs.google.com/spreadsheets/d/1XVB7oCJ3pr-vBUdflwPQ8Z2LlzhnCvZaaYjAfP-647E/edit"&amp;"?usp=sharing"",""นครพนม!J660"")+IMPORTRANGE(""https://docs.google.com/spreadsheets/d/1Mnpb-8PYAgn85W6KOTD40hc_Xc55CaLfHoGAbrZ8tls/edit?usp=sharing"",""นครราชสีมา!J660"")+IMPORTRANGE(""https://docs.google.com/spreadsheets/d/1xoDLGBv9CYbyosIhki0kTq6IpYNj-gp"&amp;"jxfobnaDiut0/edit?usp=sharing"",""บึงกาฬ!J660"")+IMPORTRANGE(""https://docs.google.com/spreadsheets/d/1MMPq-JyI6DSgQETxuSiXkesP-P7JHuemnE6QJIa-Nlw/edit?usp=sharing"",""บุรีรัมย์!J660"")+IMPORTRANGE(""https://docs.google.com/spreadsheets/d/1l6IZ8xUPgMrESzc"&amp;"TYwhA1k_tPjeQjJPTqlm8Gd9eU5g/edit?usp=sharing"",""มหาสารคาม!J660"")+IMPORTRANGE(""https://docs.google.com/spreadsheets/d/1uB74YLqNjWX6FObjekfB2NtSYigTQyR2rq9u4Ub2Sq4/edit?usp=sharing"",""มุกดาหาร!J660"")+IMPORTRANGE(""https://docs.google.com/spreadsheets/"&amp;"d/1NexK3geCPxCTO1fzNF8dPec7yZyUx3OaWkFBC9HsQOo/edit?usp=sharing"",""ยโสธร!J660"")+IMPORTRANGE(""https://docs.google.com/spreadsheets/d/1v_cJrbBlyqmnHPReHk44g9NrMRdENNlSy_E_c5M9fIg/edit?usp=sharing"",""ร้อยเอ็ด!J660"")+IMPORTRANGE(""https://docs.google.com"&amp;"/spreadsheets/d/1Ul4RCpCX66NxYADU1QpwAPjOmBzW64SsT11s1wzXw_c/edit?usp=sharing"",""เลย!J660"")+IMPORTRANGE(""https://docs.google.com/spreadsheets/d/1bRrNKwbHDVktQG10isr5vbWRtt5spIZPpkOSWgbT5ug/edit?usp=sharing"",""ศรีสะเกษ!J660"")+IMPORTRANGE(""https://doc"&amp;"s.google.com/spreadsheets/d/17P34_Ow5kFBfdQD0qspb2UuPX5zpi6WMrQzslghyvrI/edit?usp=sharing"",""สกลนคร!J660"")+IMPORTRANGE(""https://docs.google.com/spreadsheets/d/1yswqbM3-AEpThF3ZSUa1AcmHnmRTF1vlJ1CZGcJ8YuU/edit?usp=sharing"",""สุรินทร์!J660"")+IMPORTRANG"&amp;"E(""https://docs.google.com/spreadsheets/d/13JHU_EFbsQOUQ0JSQ3dWy1VTRosIWcDq6Nc99z2qzdc/edit?usp=sharing"",""หนองคาย!J660"")+IMPORTRANGE(""https://docs.google.com/spreadsheets/d/1Hx73zIEgVdDZZaYSTc46Dqv64atFhpr3GelxLbaIN8A/edit?usp=sharing"",""หนองบัวลำภู"&amp;"!J660"")+IMPORTRANGE(""https://docs.google.com/spreadsheets/d/1lFxr3ctmjFN90yc-xV6jrQ9Ty8BKYVBWnAZ15wcNIJc/edit?usp=sharing"",""อำนาจเจริญ!J660"")+IMPORTRANGE(""https://docs.google.com/spreadsheets/d/1gF7RJpRnL-1oyjyeWxs5SFWEH7y8ahOZsQlyp2A2e-A/edit?usp=s"&amp;"haring"",""อุดรธานี!J660"")+IMPORTRANGE(""https://docs.google.com/spreadsheets/d/1kfLP0j3INXRa8bTDpcEmoWewMBV61jlFlfzczfjWIgc/edit?usp=sharing"",""อุบลราชธานี!J660"")"),24)</f>
        <v>24</v>
      </c>
      <c r="K660" s="55"/>
      <c r="L660" s="55"/>
      <c r="M660" s="55"/>
      <c r="N660" s="55"/>
      <c r="O660" s="55"/>
      <c r="P660" s="55"/>
      <c r="Q660" s="55"/>
      <c r="R660" s="55"/>
      <c r="S660" s="62"/>
      <c r="T660" s="55"/>
      <c r="U660" s="55"/>
    </row>
    <row r="661" spans="1:21" ht="19.5">
      <c r="A661" s="238"/>
      <c r="B661" s="188"/>
      <c r="C661" s="188"/>
      <c r="D661" s="377" t="s">
        <v>243</v>
      </c>
      <c r="E661" s="50"/>
      <c r="F661" s="50"/>
      <c r="G661" s="52"/>
      <c r="H661" s="461" t="s">
        <v>46</v>
      </c>
      <c r="I661" s="466">
        <f ca="1">IFERROR(__xludf.DUMMYFUNCTION("IMPORTRANGE(""https://docs.google.com/spreadsheets/d/1yhBcrRPreicbMKl9Bu_Snb2-OcQAF62RKfhTLhJ2eAA/edit?usp=sharing"",""กาฬสินธุ์!I661"")+IMPORTRANGE(""https://docs.google.com/spreadsheets/d/1aHkj4IaQMThhwWwevcOymEh837vdxeC_PycurhTbGFA/edit?usp=sharing"","&amp;"""ขอนแก่น!I661"")+IMPORTRANGE(""https://docs.google.com/spreadsheets/d/1FvTu2DsIWUjP6WCWra38Bkj_oOl_sOMf14r5Fg5srxU/edit?usp=sharing"",""ชัยภูมิ!I661"")+IMPORTRANGE(""https://docs.google.com/spreadsheets/d/1XVB7oCJ3pr-vBUdflwPQ8Z2LlzhnCvZaaYjAfP-647E/edit"&amp;"?usp=sharing"",""นครพนม!I661"")+IMPORTRANGE(""https://docs.google.com/spreadsheets/d/1Mnpb-8PYAgn85W6KOTD40hc_Xc55CaLfHoGAbrZ8tls/edit?usp=sharing"",""นครราชสีมา!I661"")+IMPORTRANGE(""https://docs.google.com/spreadsheets/d/1xoDLGBv9CYbyosIhki0kTq6IpYNj-gp"&amp;"jxfobnaDiut0/edit?usp=sharing"",""บึงกาฬ!I661"")+IMPORTRANGE(""https://docs.google.com/spreadsheets/d/1MMPq-JyI6DSgQETxuSiXkesP-P7JHuemnE6QJIa-Nlw/edit?usp=sharing"",""บุรีรัมย์!I661"")+IMPORTRANGE(""https://docs.google.com/spreadsheets/d/1l6IZ8xUPgMrESzc"&amp;"TYwhA1k_tPjeQjJPTqlm8Gd9eU5g/edit?usp=sharing"",""มหาสารคาม!I661"")+IMPORTRANGE(""https://docs.google.com/spreadsheets/d/1uB74YLqNjWX6FObjekfB2NtSYigTQyR2rq9u4Ub2Sq4/edit?usp=sharing"",""มุกดาหาร!I661"")+IMPORTRANGE(""https://docs.google.com/spreadsheets/"&amp;"d/1NexK3geCPxCTO1fzNF8dPec7yZyUx3OaWkFBC9HsQOo/edit?usp=sharing"",""ยโสธร!I661"")+IMPORTRANGE(""https://docs.google.com/spreadsheets/d/1v_cJrbBlyqmnHPReHk44g9NrMRdENNlSy_E_c5M9fIg/edit?usp=sharing"",""ร้อยเอ็ด!I661"")+IMPORTRANGE(""https://docs.google.com"&amp;"/spreadsheets/d/1Ul4RCpCX66NxYADU1QpwAPjOmBzW64SsT11s1wzXw_c/edit?usp=sharing"",""เลย!I661"")+IMPORTRANGE(""https://docs.google.com/spreadsheets/d/1bRrNKwbHDVktQG10isr5vbWRtt5spIZPpkOSWgbT5ug/edit?usp=sharing"",""ศรีสะเกษ!I661"")+IMPORTRANGE(""https://doc"&amp;"s.google.com/spreadsheets/d/17P34_Ow5kFBfdQD0qspb2UuPX5zpi6WMrQzslghyvrI/edit?usp=sharing"",""สกลนคร!I661"")+IMPORTRANGE(""https://docs.google.com/spreadsheets/d/1yswqbM3-AEpThF3ZSUa1AcmHnmRTF1vlJ1CZGcJ8YuU/edit?usp=sharing"",""สุรินทร์!I661"")+IMPORTRANG"&amp;"E(""https://docs.google.com/spreadsheets/d/13JHU_EFbsQOUQ0JSQ3dWy1VTRosIWcDq6Nc99z2qzdc/edit?usp=sharing"",""หนองคาย!I661"")+IMPORTRANGE(""https://docs.google.com/spreadsheets/d/1Hx73zIEgVdDZZaYSTc46Dqv64atFhpr3GelxLbaIN8A/edit?usp=sharing"",""หนองบัวลำภู"&amp;"!I661"")+IMPORTRANGE(""https://docs.google.com/spreadsheets/d/1lFxr3ctmjFN90yc-xV6jrQ9Ty8BKYVBWnAZ15wcNIJc/edit?usp=sharing"",""อำนาจเจริญ!I661"")+IMPORTRANGE(""https://docs.google.com/spreadsheets/d/1gF7RJpRnL-1oyjyeWxs5SFWEH7y8ahOZsQlyp2A2e-A/edit?usp=s"&amp;"haring"",""อุดรธานี!I661"")+IMPORTRANGE(""https://docs.google.com/spreadsheets/d/1kfLP0j3INXRa8bTDpcEmoWewMBV61jlFlfzczfjWIgc/edit?usp=sharing"",""อุบลราชธานี!I661"")"),555)</f>
        <v>555</v>
      </c>
      <c r="J661" s="176">
        <f ca="1">J667+J670</f>
        <v>0</v>
      </c>
      <c r="K661" s="159">
        <f ca="1">IF(I661&gt;0,J661*100/I661,0)</f>
        <v>0</v>
      </c>
      <c r="L661" s="55"/>
      <c r="M661" s="55"/>
      <c r="N661" s="55"/>
      <c r="O661" s="55"/>
      <c r="P661" s="55"/>
      <c r="Q661" s="55"/>
      <c r="R661" s="55"/>
      <c r="S661" s="62"/>
      <c r="T661" s="55"/>
      <c r="U661" s="55"/>
    </row>
    <row r="662" spans="1:21" ht="18.75">
      <c r="A662" s="238"/>
      <c r="B662" s="188"/>
      <c r="C662" s="188"/>
      <c r="D662" s="50"/>
      <c r="E662" s="58" t="s">
        <v>244</v>
      </c>
      <c r="F662" s="50"/>
      <c r="G662" s="52"/>
      <c r="H662" s="165" t="s">
        <v>34</v>
      </c>
      <c r="I662" s="208"/>
      <c r="J662" s="467">
        <f ca="1">IFERROR(__xludf.DUMMYFUNCTION("IMPORTRANGE(""https://docs.google.com/spreadsheets/d/1yhBcrRPreicbMKl9Bu_Snb2-OcQAF62RKfhTLhJ2eAA/edit?usp=sharing"",""กาฬสินธุ์!J662"")+IMPORTRANGE(""https://docs.google.com/spreadsheets/d/1aHkj4IaQMThhwWwevcOymEh837vdxeC_PycurhTbGFA/edit?usp=sharing"","&amp;"""ขอนแก่น!J662"")+IMPORTRANGE(""https://docs.google.com/spreadsheets/d/1FvTu2DsIWUjP6WCWra38Bkj_oOl_sOMf14r5Fg5srxU/edit?usp=sharing"",""ชัยภูมิ!J662"")+IMPORTRANGE(""https://docs.google.com/spreadsheets/d/1XVB7oCJ3pr-vBUdflwPQ8Z2LlzhnCvZaaYjAfP-647E/edit"&amp;"?usp=sharing"",""นครพนม!J662"")+IMPORTRANGE(""https://docs.google.com/spreadsheets/d/1Mnpb-8PYAgn85W6KOTD40hc_Xc55CaLfHoGAbrZ8tls/edit?usp=sharing"",""นครราชสีมา!J662"")+IMPORTRANGE(""https://docs.google.com/spreadsheets/d/1xoDLGBv9CYbyosIhki0kTq6IpYNj-gp"&amp;"jxfobnaDiut0/edit?usp=sharing"",""บึงกาฬ!J662"")+IMPORTRANGE(""https://docs.google.com/spreadsheets/d/1MMPq-JyI6DSgQETxuSiXkesP-P7JHuemnE6QJIa-Nlw/edit?usp=sharing"",""บุรีรัมย์!J662"")+IMPORTRANGE(""https://docs.google.com/spreadsheets/d/1l6IZ8xUPgMrESzc"&amp;"TYwhA1k_tPjeQjJPTqlm8Gd9eU5g/edit?usp=sharing"",""มหาสารคาม!J662"")+IMPORTRANGE(""https://docs.google.com/spreadsheets/d/1uB74YLqNjWX6FObjekfB2NtSYigTQyR2rq9u4Ub2Sq4/edit?usp=sharing"",""มุกดาหาร!J662"")+IMPORTRANGE(""https://docs.google.com/spreadsheets/"&amp;"d/1NexK3geCPxCTO1fzNF8dPec7yZyUx3OaWkFBC9HsQOo/edit?usp=sharing"",""ยโสธร!J662"")+IMPORTRANGE(""https://docs.google.com/spreadsheets/d/1v_cJrbBlyqmnHPReHk44g9NrMRdENNlSy_E_c5M9fIg/edit?usp=sharing"",""ร้อยเอ็ด!J662"")+IMPORTRANGE(""https://docs.google.com"&amp;"/spreadsheets/d/1Ul4RCpCX66NxYADU1QpwAPjOmBzW64SsT11s1wzXw_c/edit?usp=sharing"",""เลย!J662"")+IMPORTRANGE(""https://docs.google.com/spreadsheets/d/1bRrNKwbHDVktQG10isr5vbWRtt5spIZPpkOSWgbT5ug/edit?usp=sharing"",""ศรีสะเกษ!J662"")+IMPORTRANGE(""https://doc"&amp;"s.google.com/spreadsheets/d/17P34_Ow5kFBfdQD0qspb2UuPX5zpi6WMrQzslghyvrI/edit?usp=sharing"",""สกลนคร!J662"")+IMPORTRANGE(""https://docs.google.com/spreadsheets/d/1yswqbM3-AEpThF3ZSUa1AcmHnmRTF1vlJ1CZGcJ8YuU/edit?usp=sharing"",""สุรินทร์!J662"")+IMPORTRANG"&amp;"E(""https://docs.google.com/spreadsheets/d/13JHU_EFbsQOUQ0JSQ3dWy1VTRosIWcDq6Nc99z2qzdc/edit?usp=sharing"",""หนองคาย!J662"")+IMPORTRANGE(""https://docs.google.com/spreadsheets/d/1Hx73zIEgVdDZZaYSTc46Dqv64atFhpr3GelxLbaIN8A/edit?usp=sharing"",""หนองบัวลำภู"&amp;"!J662"")+IMPORTRANGE(""https://docs.google.com/spreadsheets/d/1lFxr3ctmjFN90yc-xV6jrQ9Ty8BKYVBWnAZ15wcNIJc/edit?usp=sharing"",""อำนาจเจริญ!J662"")+IMPORTRANGE(""https://docs.google.com/spreadsheets/d/1gF7RJpRnL-1oyjyeWxs5SFWEH7y8ahOZsQlyp2A2e-A/edit?usp=s"&amp;"haring"",""อุดรธานี!J662"")+IMPORTRANGE(""https://docs.google.com/spreadsheets/d/1kfLP0j3INXRa8bTDpcEmoWewMBV61jlFlfzczfjWIgc/edit?usp=sharing"",""อุบลราชธานี!J662"")"),0)</f>
        <v>0</v>
      </c>
      <c r="K662" s="55"/>
      <c r="L662" s="468"/>
      <c r="M662" s="468"/>
      <c r="N662" s="468"/>
      <c r="O662" s="55"/>
      <c r="P662" s="55"/>
      <c r="Q662" s="468"/>
      <c r="R662" s="468"/>
      <c r="S662" s="469"/>
      <c r="T662" s="55"/>
      <c r="U662" s="55"/>
    </row>
    <row r="663" spans="1:21" ht="18.75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67">
        <f ca="1">IFERROR(__xludf.DUMMYFUNCTION("IMPORTRANGE(""https://docs.google.com/spreadsheets/d/1yhBcrRPreicbMKl9Bu_Snb2-OcQAF62RKfhTLhJ2eAA/edit?usp=sharing"",""กาฬสินธุ์!J663"")+IMPORTRANGE(""https://docs.google.com/spreadsheets/d/1aHkj4IaQMThhwWwevcOymEh837vdxeC_PycurhTbGFA/edit?usp=sharing"","&amp;"""ขอนแก่น!J663"")+IMPORTRANGE(""https://docs.google.com/spreadsheets/d/1FvTu2DsIWUjP6WCWra38Bkj_oOl_sOMf14r5Fg5srxU/edit?usp=sharing"",""ชัยภูมิ!J663"")+IMPORTRANGE(""https://docs.google.com/spreadsheets/d/1XVB7oCJ3pr-vBUdflwPQ8Z2LlzhnCvZaaYjAfP-647E/edit"&amp;"?usp=sharing"",""นครพนม!J663"")+IMPORTRANGE(""https://docs.google.com/spreadsheets/d/1Mnpb-8PYAgn85W6KOTD40hc_Xc55CaLfHoGAbrZ8tls/edit?usp=sharing"",""นครราชสีมา!J663"")+IMPORTRANGE(""https://docs.google.com/spreadsheets/d/1xoDLGBv9CYbyosIhki0kTq6IpYNj-gp"&amp;"jxfobnaDiut0/edit?usp=sharing"",""บึงกาฬ!J663"")+IMPORTRANGE(""https://docs.google.com/spreadsheets/d/1MMPq-JyI6DSgQETxuSiXkesP-P7JHuemnE6QJIa-Nlw/edit?usp=sharing"",""บุรีรัมย์!J663"")+IMPORTRANGE(""https://docs.google.com/spreadsheets/d/1l6IZ8xUPgMrESzc"&amp;"TYwhA1k_tPjeQjJPTqlm8Gd9eU5g/edit?usp=sharing"",""มหาสารคาม!J663"")+IMPORTRANGE(""https://docs.google.com/spreadsheets/d/1uB74YLqNjWX6FObjekfB2NtSYigTQyR2rq9u4Ub2Sq4/edit?usp=sharing"",""มุกดาหาร!J663"")+IMPORTRANGE(""https://docs.google.com/spreadsheets/"&amp;"d/1NexK3geCPxCTO1fzNF8dPec7yZyUx3OaWkFBC9HsQOo/edit?usp=sharing"",""ยโสธร!J663"")+IMPORTRANGE(""https://docs.google.com/spreadsheets/d/1v_cJrbBlyqmnHPReHk44g9NrMRdENNlSy_E_c5M9fIg/edit?usp=sharing"",""ร้อยเอ็ด!J663"")+IMPORTRANGE(""https://docs.google.com"&amp;"/spreadsheets/d/1Ul4RCpCX66NxYADU1QpwAPjOmBzW64SsT11s1wzXw_c/edit?usp=sharing"",""เลย!J663"")+IMPORTRANGE(""https://docs.google.com/spreadsheets/d/1bRrNKwbHDVktQG10isr5vbWRtt5spIZPpkOSWgbT5ug/edit?usp=sharing"",""ศรีสะเกษ!J663"")+IMPORTRANGE(""https://doc"&amp;"s.google.com/spreadsheets/d/17P34_Ow5kFBfdQD0qspb2UuPX5zpi6WMrQzslghyvrI/edit?usp=sharing"",""สกลนคร!J663"")+IMPORTRANGE(""https://docs.google.com/spreadsheets/d/1yswqbM3-AEpThF3ZSUa1AcmHnmRTF1vlJ1CZGcJ8YuU/edit?usp=sharing"",""สุรินทร์!J663"")+IMPORTRANG"&amp;"E(""https://docs.google.com/spreadsheets/d/13JHU_EFbsQOUQ0JSQ3dWy1VTRosIWcDq6Nc99z2qzdc/edit?usp=sharing"",""หนองคาย!J663"")+IMPORTRANGE(""https://docs.google.com/spreadsheets/d/1Hx73zIEgVdDZZaYSTc46Dqv64atFhpr3GelxLbaIN8A/edit?usp=sharing"",""หนองบัวลำภู"&amp;"!J663"")+IMPORTRANGE(""https://docs.google.com/spreadsheets/d/1lFxr3ctmjFN90yc-xV6jrQ9Ty8BKYVBWnAZ15wcNIJc/edit?usp=sharing"",""อำนาจเจริญ!J663"")+IMPORTRANGE(""https://docs.google.com/spreadsheets/d/1gF7RJpRnL-1oyjyeWxs5SFWEH7y8ahOZsQlyp2A2e-A/edit?usp=s"&amp;"haring"",""อุดรธานี!J663"")+IMPORTRANGE(""https://docs.google.com/spreadsheets/d/1kfLP0j3INXRa8bTDpcEmoWewMBV61jlFlfzczfjWIgc/edit?usp=sharing"",""อุบลราชธานี!J663"")"),0)</f>
        <v>0</v>
      </c>
      <c r="K663" s="55"/>
      <c r="L663" s="468"/>
      <c r="M663" s="468"/>
      <c r="N663" s="468"/>
      <c r="O663" s="55"/>
      <c r="P663" s="55"/>
      <c r="Q663" s="468"/>
      <c r="R663" s="468"/>
      <c r="S663" s="469"/>
      <c r="T663" s="55"/>
      <c r="U663" s="55"/>
    </row>
    <row r="664" spans="1:21" ht="18.75">
      <c r="A664" s="238"/>
      <c r="B664" s="188"/>
      <c r="C664" s="188"/>
      <c r="D664" s="50"/>
      <c r="E664" s="58" t="s">
        <v>245</v>
      </c>
      <c r="F664" s="50"/>
      <c r="G664" s="52"/>
      <c r="H664" s="206"/>
      <c r="I664" s="208"/>
      <c r="J664" s="54"/>
      <c r="K664" s="55"/>
      <c r="L664" s="468"/>
      <c r="M664" s="468"/>
      <c r="N664" s="468"/>
      <c r="O664" s="55"/>
      <c r="P664" s="55"/>
      <c r="Q664" s="468"/>
      <c r="R664" s="468"/>
      <c r="S664" s="469"/>
      <c r="T664" s="55"/>
      <c r="U664" s="55"/>
    </row>
    <row r="665" spans="1:21" ht="18.75">
      <c r="A665" s="238"/>
      <c r="B665" s="188"/>
      <c r="C665" s="188"/>
      <c r="D665" s="50"/>
      <c r="E665" s="50"/>
      <c r="F665" s="58" t="s">
        <v>246</v>
      </c>
      <c r="G665" s="52"/>
      <c r="H665" s="165" t="s">
        <v>35</v>
      </c>
      <c r="I665" s="208"/>
      <c r="J665" s="467">
        <f ca="1">IFERROR(__xludf.DUMMYFUNCTION("IMPORTRANGE(""https://docs.google.com/spreadsheets/d/1yhBcrRPreicbMKl9Bu_Snb2-OcQAF62RKfhTLhJ2eAA/edit?usp=sharing"",""กาฬสินธุ์!J665"")+IMPORTRANGE(""https://docs.google.com/spreadsheets/d/1aHkj4IaQMThhwWwevcOymEh837vdxeC_PycurhTbGFA/edit?usp=sharing"","&amp;"""ขอนแก่น!J665"")+IMPORTRANGE(""https://docs.google.com/spreadsheets/d/1FvTu2DsIWUjP6WCWra38Bkj_oOl_sOMf14r5Fg5srxU/edit?usp=sharing"",""ชัยภูมิ!J665"")+IMPORTRANGE(""https://docs.google.com/spreadsheets/d/1XVB7oCJ3pr-vBUdflwPQ8Z2LlzhnCvZaaYjAfP-647E/edit"&amp;"?usp=sharing"",""นครพนม!J665"")+IMPORTRANGE(""https://docs.google.com/spreadsheets/d/1Mnpb-8PYAgn85W6KOTD40hc_Xc55CaLfHoGAbrZ8tls/edit?usp=sharing"",""นครราชสีมา!J665"")+IMPORTRANGE(""https://docs.google.com/spreadsheets/d/1xoDLGBv9CYbyosIhki0kTq6IpYNj-gp"&amp;"jxfobnaDiut0/edit?usp=sharing"",""บึงกาฬ!J665"")+IMPORTRANGE(""https://docs.google.com/spreadsheets/d/1MMPq-JyI6DSgQETxuSiXkesP-P7JHuemnE6QJIa-Nlw/edit?usp=sharing"",""บุรีรัมย์!J665"")+IMPORTRANGE(""https://docs.google.com/spreadsheets/d/1l6IZ8xUPgMrESzc"&amp;"TYwhA1k_tPjeQjJPTqlm8Gd9eU5g/edit?usp=sharing"",""มหาสารคาม!J665"")+IMPORTRANGE(""https://docs.google.com/spreadsheets/d/1uB74YLqNjWX6FObjekfB2NtSYigTQyR2rq9u4Ub2Sq4/edit?usp=sharing"",""มุกดาหาร!J665"")+IMPORTRANGE(""https://docs.google.com/spreadsheets/"&amp;"d/1NexK3geCPxCTO1fzNF8dPec7yZyUx3OaWkFBC9HsQOo/edit?usp=sharing"",""ยโสธร!J665"")+IMPORTRANGE(""https://docs.google.com/spreadsheets/d/1v_cJrbBlyqmnHPReHk44g9NrMRdENNlSy_E_c5M9fIg/edit?usp=sharing"",""ร้อยเอ็ด!J665"")+IMPORTRANGE(""https://docs.google.com"&amp;"/spreadsheets/d/1Ul4RCpCX66NxYADU1QpwAPjOmBzW64SsT11s1wzXw_c/edit?usp=sharing"",""เลย!J665"")+IMPORTRANGE(""https://docs.google.com/spreadsheets/d/1bRrNKwbHDVktQG10isr5vbWRtt5spIZPpkOSWgbT5ug/edit?usp=sharing"",""ศรีสะเกษ!J665"")+IMPORTRANGE(""https://doc"&amp;"s.google.com/spreadsheets/d/17P34_Ow5kFBfdQD0qspb2UuPX5zpi6WMrQzslghyvrI/edit?usp=sharing"",""สกลนคร!J665"")+IMPORTRANGE(""https://docs.google.com/spreadsheets/d/1yswqbM3-AEpThF3ZSUa1AcmHnmRTF1vlJ1CZGcJ8YuU/edit?usp=sharing"",""สุรินทร์!J665"")+IMPORTRANG"&amp;"E(""https://docs.google.com/spreadsheets/d/13JHU_EFbsQOUQ0JSQ3dWy1VTRosIWcDq6Nc99z2qzdc/edit?usp=sharing"",""หนองคาย!J665"")+IMPORTRANGE(""https://docs.google.com/spreadsheets/d/1Hx73zIEgVdDZZaYSTc46Dqv64atFhpr3GelxLbaIN8A/edit?usp=sharing"",""หนองบัวลำภู"&amp;"!J665"")+IMPORTRANGE(""https://docs.google.com/spreadsheets/d/1lFxr3ctmjFN90yc-xV6jrQ9Ty8BKYVBWnAZ15wcNIJc/edit?usp=sharing"",""อำนาจเจริญ!J665"")+IMPORTRANGE(""https://docs.google.com/spreadsheets/d/1gF7RJpRnL-1oyjyeWxs5SFWEH7y8ahOZsQlyp2A2e-A/edit?usp=s"&amp;"haring"",""อุดรธานี!J665"")+IMPORTRANGE(""https://docs.google.com/spreadsheets/d/1kfLP0j3INXRa8bTDpcEmoWewMBV61jlFlfzczfjWIgc/edit?usp=sharing"",""อุบลราชธานี!J665"")"),0)</f>
        <v>0</v>
      </c>
      <c r="K665" s="55"/>
      <c r="L665" s="468"/>
      <c r="M665" s="468"/>
      <c r="N665" s="468"/>
      <c r="O665" s="55"/>
      <c r="P665" s="55"/>
      <c r="Q665" s="468"/>
      <c r="R665" s="468"/>
      <c r="S665" s="469"/>
      <c r="T665" s="55"/>
      <c r="U665" s="55"/>
    </row>
    <row r="666" spans="1:21" ht="18.75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67">
        <f ca="1">IFERROR(__xludf.DUMMYFUNCTION("IMPORTRANGE(""https://docs.google.com/spreadsheets/d/1yhBcrRPreicbMKl9Bu_Snb2-OcQAF62RKfhTLhJ2eAA/edit?usp=sharing"",""กาฬสินธุ์!J666"")+IMPORTRANGE(""https://docs.google.com/spreadsheets/d/1aHkj4IaQMThhwWwevcOymEh837vdxeC_PycurhTbGFA/edit?usp=sharing"","&amp;"""ขอนแก่น!J666"")+IMPORTRANGE(""https://docs.google.com/spreadsheets/d/1FvTu2DsIWUjP6WCWra38Bkj_oOl_sOMf14r5Fg5srxU/edit?usp=sharing"",""ชัยภูมิ!J666"")+IMPORTRANGE(""https://docs.google.com/spreadsheets/d/1XVB7oCJ3pr-vBUdflwPQ8Z2LlzhnCvZaaYjAfP-647E/edit"&amp;"?usp=sharing"",""นครพนม!J666"")+IMPORTRANGE(""https://docs.google.com/spreadsheets/d/1Mnpb-8PYAgn85W6KOTD40hc_Xc55CaLfHoGAbrZ8tls/edit?usp=sharing"",""นครราชสีมา!J666"")+IMPORTRANGE(""https://docs.google.com/spreadsheets/d/1xoDLGBv9CYbyosIhki0kTq6IpYNj-gp"&amp;"jxfobnaDiut0/edit?usp=sharing"",""บึงกาฬ!J666"")+IMPORTRANGE(""https://docs.google.com/spreadsheets/d/1MMPq-JyI6DSgQETxuSiXkesP-P7JHuemnE6QJIa-Nlw/edit?usp=sharing"",""บุรีรัมย์!J666"")+IMPORTRANGE(""https://docs.google.com/spreadsheets/d/1l6IZ8xUPgMrESzc"&amp;"TYwhA1k_tPjeQjJPTqlm8Gd9eU5g/edit?usp=sharing"",""มหาสารคาม!J666"")+IMPORTRANGE(""https://docs.google.com/spreadsheets/d/1uB74YLqNjWX6FObjekfB2NtSYigTQyR2rq9u4Ub2Sq4/edit?usp=sharing"",""มุกดาหาร!J666"")+IMPORTRANGE(""https://docs.google.com/spreadsheets/"&amp;"d/1NexK3geCPxCTO1fzNF8dPec7yZyUx3OaWkFBC9HsQOo/edit?usp=sharing"",""ยโสธร!J666"")+IMPORTRANGE(""https://docs.google.com/spreadsheets/d/1v_cJrbBlyqmnHPReHk44g9NrMRdENNlSy_E_c5M9fIg/edit?usp=sharing"",""ร้อยเอ็ด!J666"")+IMPORTRANGE(""https://docs.google.com"&amp;"/spreadsheets/d/1Ul4RCpCX66NxYADU1QpwAPjOmBzW64SsT11s1wzXw_c/edit?usp=sharing"",""เลย!J666"")+IMPORTRANGE(""https://docs.google.com/spreadsheets/d/1bRrNKwbHDVktQG10isr5vbWRtt5spIZPpkOSWgbT5ug/edit?usp=sharing"",""ศรีสะเกษ!J666"")+IMPORTRANGE(""https://doc"&amp;"s.google.com/spreadsheets/d/17P34_Ow5kFBfdQD0qspb2UuPX5zpi6WMrQzslghyvrI/edit?usp=sharing"",""สกลนคร!J666"")+IMPORTRANGE(""https://docs.google.com/spreadsheets/d/1yswqbM3-AEpThF3ZSUa1AcmHnmRTF1vlJ1CZGcJ8YuU/edit?usp=sharing"",""สุรินทร์!J666"")+IMPORTRANG"&amp;"E(""https://docs.google.com/spreadsheets/d/13JHU_EFbsQOUQ0JSQ3dWy1VTRosIWcDq6Nc99z2qzdc/edit?usp=sharing"",""หนองคาย!J666"")+IMPORTRANGE(""https://docs.google.com/spreadsheets/d/1Hx73zIEgVdDZZaYSTc46Dqv64atFhpr3GelxLbaIN8A/edit?usp=sharing"",""หนองบัวลำภู"&amp;"!J666"")+IMPORTRANGE(""https://docs.google.com/spreadsheets/d/1lFxr3ctmjFN90yc-xV6jrQ9Ty8BKYVBWnAZ15wcNIJc/edit?usp=sharing"",""อำนาจเจริญ!J666"")+IMPORTRANGE(""https://docs.google.com/spreadsheets/d/1gF7RJpRnL-1oyjyeWxs5SFWEH7y8ahOZsQlyp2A2e-A/edit?usp=s"&amp;"haring"",""อุดรธานี!J666"")+IMPORTRANGE(""https://docs.google.com/spreadsheets/d/1kfLP0j3INXRa8bTDpcEmoWewMBV61jlFlfzczfjWIgc/edit?usp=sharing"",""อุบลราชธานี!J666"")"),0)</f>
        <v>0</v>
      </c>
      <c r="K666" s="55"/>
      <c r="L666" s="468"/>
      <c r="M666" s="468"/>
      <c r="N666" s="468"/>
      <c r="O666" s="55"/>
      <c r="P666" s="55"/>
      <c r="Q666" s="468"/>
      <c r="R666" s="468"/>
      <c r="S666" s="469"/>
      <c r="T666" s="55"/>
      <c r="U666" s="55"/>
    </row>
    <row r="667" spans="1:21" ht="18.75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67">
        <f ca="1">IFERROR(__xludf.DUMMYFUNCTION("IMPORTRANGE(""https://docs.google.com/spreadsheets/d/1yhBcrRPreicbMKl9Bu_Snb2-OcQAF62RKfhTLhJ2eAA/edit?usp=sharing"",""กาฬสินธุ์!J667"")+IMPORTRANGE(""https://docs.google.com/spreadsheets/d/1aHkj4IaQMThhwWwevcOymEh837vdxeC_PycurhTbGFA/edit?usp=sharing"","&amp;"""ขอนแก่น!J667"")+IMPORTRANGE(""https://docs.google.com/spreadsheets/d/1FvTu2DsIWUjP6WCWra38Bkj_oOl_sOMf14r5Fg5srxU/edit?usp=sharing"",""ชัยภูมิ!J667"")+IMPORTRANGE(""https://docs.google.com/spreadsheets/d/1XVB7oCJ3pr-vBUdflwPQ8Z2LlzhnCvZaaYjAfP-647E/edit"&amp;"?usp=sharing"",""นครพนม!J667"")+IMPORTRANGE(""https://docs.google.com/spreadsheets/d/1Mnpb-8PYAgn85W6KOTD40hc_Xc55CaLfHoGAbrZ8tls/edit?usp=sharing"",""นครราชสีมา!J667"")+IMPORTRANGE(""https://docs.google.com/spreadsheets/d/1xoDLGBv9CYbyosIhki0kTq6IpYNj-gp"&amp;"jxfobnaDiut0/edit?usp=sharing"",""บึงกาฬ!J667"")+IMPORTRANGE(""https://docs.google.com/spreadsheets/d/1MMPq-JyI6DSgQETxuSiXkesP-P7JHuemnE6QJIa-Nlw/edit?usp=sharing"",""บุรีรัมย์!J667"")+IMPORTRANGE(""https://docs.google.com/spreadsheets/d/1l6IZ8xUPgMrESzc"&amp;"TYwhA1k_tPjeQjJPTqlm8Gd9eU5g/edit?usp=sharing"",""มหาสารคาม!J667"")+IMPORTRANGE(""https://docs.google.com/spreadsheets/d/1uB74YLqNjWX6FObjekfB2NtSYigTQyR2rq9u4Ub2Sq4/edit?usp=sharing"",""มุกดาหาร!J667"")+IMPORTRANGE(""https://docs.google.com/spreadsheets/"&amp;"d/1NexK3geCPxCTO1fzNF8dPec7yZyUx3OaWkFBC9HsQOo/edit?usp=sharing"",""ยโสธร!J667"")+IMPORTRANGE(""https://docs.google.com/spreadsheets/d/1v_cJrbBlyqmnHPReHk44g9NrMRdENNlSy_E_c5M9fIg/edit?usp=sharing"",""ร้อยเอ็ด!J667"")+IMPORTRANGE(""https://docs.google.com"&amp;"/spreadsheets/d/1Ul4RCpCX66NxYADU1QpwAPjOmBzW64SsT11s1wzXw_c/edit?usp=sharing"",""เลย!J667"")+IMPORTRANGE(""https://docs.google.com/spreadsheets/d/1bRrNKwbHDVktQG10isr5vbWRtt5spIZPpkOSWgbT5ug/edit?usp=sharing"",""ศรีสะเกษ!J667"")+IMPORTRANGE(""https://doc"&amp;"s.google.com/spreadsheets/d/17P34_Ow5kFBfdQD0qspb2UuPX5zpi6WMrQzslghyvrI/edit?usp=sharing"",""สกลนคร!J667"")+IMPORTRANGE(""https://docs.google.com/spreadsheets/d/1yswqbM3-AEpThF3ZSUa1AcmHnmRTF1vlJ1CZGcJ8YuU/edit?usp=sharing"",""สุรินทร์!J667"")+IMPORTRANG"&amp;"E(""https://docs.google.com/spreadsheets/d/13JHU_EFbsQOUQ0JSQ3dWy1VTRosIWcDq6Nc99z2qzdc/edit?usp=sharing"",""หนองคาย!J667"")+IMPORTRANGE(""https://docs.google.com/spreadsheets/d/1Hx73zIEgVdDZZaYSTc46Dqv64atFhpr3GelxLbaIN8A/edit?usp=sharing"",""หนองบัวลำภู"&amp;"!J667"")+IMPORTRANGE(""https://docs.google.com/spreadsheets/d/1lFxr3ctmjFN90yc-xV6jrQ9Ty8BKYVBWnAZ15wcNIJc/edit?usp=sharing"",""อำนาจเจริญ!J667"")+IMPORTRANGE(""https://docs.google.com/spreadsheets/d/1gF7RJpRnL-1oyjyeWxs5SFWEH7y8ahOZsQlyp2A2e-A/edit?usp=s"&amp;"haring"",""อุดรธานี!J667"")+IMPORTRANGE(""https://docs.google.com/spreadsheets/d/1kfLP0j3INXRa8bTDpcEmoWewMBV61jlFlfzczfjWIgc/edit?usp=sharing"",""อุบลราชธานี!J667"")"),0)</f>
        <v>0</v>
      </c>
      <c r="K667" s="55"/>
      <c r="L667" s="468"/>
      <c r="M667" s="468"/>
      <c r="N667" s="468"/>
      <c r="O667" s="55"/>
      <c r="P667" s="55"/>
      <c r="Q667" s="468"/>
      <c r="R667" s="468"/>
      <c r="S667" s="469"/>
      <c r="T667" s="55"/>
      <c r="U667" s="55"/>
    </row>
    <row r="668" spans="1:21" ht="18.75">
      <c r="A668" s="238"/>
      <c r="B668" s="188"/>
      <c r="C668" s="188"/>
      <c r="D668" s="50"/>
      <c r="E668" s="50"/>
      <c r="F668" s="58" t="s">
        <v>247</v>
      </c>
      <c r="G668" s="52"/>
      <c r="H668" s="165" t="s">
        <v>35</v>
      </c>
      <c r="I668" s="208"/>
      <c r="J668" s="467">
        <f ca="1">IFERROR(__xludf.DUMMYFUNCTION("IMPORTRANGE(""https://docs.google.com/spreadsheets/d/1yhBcrRPreicbMKl9Bu_Snb2-OcQAF62RKfhTLhJ2eAA/edit?usp=sharing"",""กาฬสินธุ์!J668"")+IMPORTRANGE(""https://docs.google.com/spreadsheets/d/1aHkj4IaQMThhwWwevcOymEh837vdxeC_PycurhTbGFA/edit?usp=sharing"","&amp;"""ขอนแก่น!J668"")+IMPORTRANGE(""https://docs.google.com/spreadsheets/d/1FvTu2DsIWUjP6WCWra38Bkj_oOl_sOMf14r5Fg5srxU/edit?usp=sharing"",""ชัยภูมิ!J668"")+IMPORTRANGE(""https://docs.google.com/spreadsheets/d/1XVB7oCJ3pr-vBUdflwPQ8Z2LlzhnCvZaaYjAfP-647E/edit"&amp;"?usp=sharing"",""นครพนม!J668"")+IMPORTRANGE(""https://docs.google.com/spreadsheets/d/1Mnpb-8PYAgn85W6KOTD40hc_Xc55CaLfHoGAbrZ8tls/edit?usp=sharing"",""นครราชสีมา!J668"")+IMPORTRANGE(""https://docs.google.com/spreadsheets/d/1xoDLGBv9CYbyosIhki0kTq6IpYNj-gp"&amp;"jxfobnaDiut0/edit?usp=sharing"",""บึงกาฬ!J668"")+IMPORTRANGE(""https://docs.google.com/spreadsheets/d/1MMPq-JyI6DSgQETxuSiXkesP-P7JHuemnE6QJIa-Nlw/edit?usp=sharing"",""บุรีรัมย์!J668"")+IMPORTRANGE(""https://docs.google.com/spreadsheets/d/1l6IZ8xUPgMrESzc"&amp;"TYwhA1k_tPjeQjJPTqlm8Gd9eU5g/edit?usp=sharing"",""มหาสารคาม!J668"")+IMPORTRANGE(""https://docs.google.com/spreadsheets/d/1uB74YLqNjWX6FObjekfB2NtSYigTQyR2rq9u4Ub2Sq4/edit?usp=sharing"",""มุกดาหาร!J668"")+IMPORTRANGE(""https://docs.google.com/spreadsheets/"&amp;"d/1NexK3geCPxCTO1fzNF8dPec7yZyUx3OaWkFBC9HsQOo/edit?usp=sharing"",""ยโสธร!J668"")+IMPORTRANGE(""https://docs.google.com/spreadsheets/d/1v_cJrbBlyqmnHPReHk44g9NrMRdENNlSy_E_c5M9fIg/edit?usp=sharing"",""ร้อยเอ็ด!J668"")+IMPORTRANGE(""https://docs.google.com"&amp;"/spreadsheets/d/1Ul4RCpCX66NxYADU1QpwAPjOmBzW64SsT11s1wzXw_c/edit?usp=sharing"",""เลย!J668"")+IMPORTRANGE(""https://docs.google.com/spreadsheets/d/1bRrNKwbHDVktQG10isr5vbWRtt5spIZPpkOSWgbT5ug/edit?usp=sharing"",""ศรีสะเกษ!J668"")+IMPORTRANGE(""https://doc"&amp;"s.google.com/spreadsheets/d/17P34_Ow5kFBfdQD0qspb2UuPX5zpi6WMrQzslghyvrI/edit?usp=sharing"",""สกลนคร!J668"")+IMPORTRANGE(""https://docs.google.com/spreadsheets/d/1yswqbM3-AEpThF3ZSUa1AcmHnmRTF1vlJ1CZGcJ8YuU/edit?usp=sharing"",""สุรินทร์!J668"")+IMPORTRANG"&amp;"E(""https://docs.google.com/spreadsheets/d/13JHU_EFbsQOUQ0JSQ3dWy1VTRosIWcDq6Nc99z2qzdc/edit?usp=sharing"",""หนองคาย!J668"")+IMPORTRANGE(""https://docs.google.com/spreadsheets/d/1Hx73zIEgVdDZZaYSTc46Dqv64atFhpr3GelxLbaIN8A/edit?usp=sharing"",""หนองบัวลำภู"&amp;"!J668"")+IMPORTRANGE(""https://docs.google.com/spreadsheets/d/1lFxr3ctmjFN90yc-xV6jrQ9Ty8BKYVBWnAZ15wcNIJc/edit?usp=sharing"",""อำนาจเจริญ!J668"")+IMPORTRANGE(""https://docs.google.com/spreadsheets/d/1gF7RJpRnL-1oyjyeWxs5SFWEH7y8ahOZsQlyp2A2e-A/edit?usp=s"&amp;"haring"",""อุดรธานี!J668"")+IMPORTRANGE(""https://docs.google.com/spreadsheets/d/1kfLP0j3INXRa8bTDpcEmoWewMBV61jlFlfzczfjWIgc/edit?usp=sharing"",""อุบลราชธานี!J668"")"),0)</f>
        <v>0</v>
      </c>
      <c r="K668" s="55"/>
      <c r="L668" s="468"/>
      <c r="M668" s="468"/>
      <c r="N668" s="468"/>
      <c r="O668" s="55"/>
      <c r="P668" s="55"/>
      <c r="Q668" s="468"/>
      <c r="R668" s="468"/>
      <c r="S668" s="469"/>
      <c r="T668" s="55"/>
      <c r="U668" s="55"/>
    </row>
    <row r="669" spans="1:21" ht="18.75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67">
        <f ca="1">IFERROR(__xludf.DUMMYFUNCTION("IMPORTRANGE(""https://docs.google.com/spreadsheets/d/1yhBcrRPreicbMKl9Bu_Snb2-OcQAF62RKfhTLhJ2eAA/edit?usp=sharing"",""กาฬสินธุ์!J669"")+IMPORTRANGE(""https://docs.google.com/spreadsheets/d/1aHkj4IaQMThhwWwevcOymEh837vdxeC_PycurhTbGFA/edit?usp=sharing"","&amp;"""ขอนแก่น!J669"")+IMPORTRANGE(""https://docs.google.com/spreadsheets/d/1FvTu2DsIWUjP6WCWra38Bkj_oOl_sOMf14r5Fg5srxU/edit?usp=sharing"",""ชัยภูมิ!J669"")+IMPORTRANGE(""https://docs.google.com/spreadsheets/d/1XVB7oCJ3pr-vBUdflwPQ8Z2LlzhnCvZaaYjAfP-647E/edit"&amp;"?usp=sharing"",""นครพนม!J669"")+IMPORTRANGE(""https://docs.google.com/spreadsheets/d/1Mnpb-8PYAgn85W6KOTD40hc_Xc55CaLfHoGAbrZ8tls/edit?usp=sharing"",""นครราชสีมา!J669"")+IMPORTRANGE(""https://docs.google.com/spreadsheets/d/1xoDLGBv9CYbyosIhki0kTq6IpYNj-gp"&amp;"jxfobnaDiut0/edit?usp=sharing"",""บึงกาฬ!J669"")+IMPORTRANGE(""https://docs.google.com/spreadsheets/d/1MMPq-JyI6DSgQETxuSiXkesP-P7JHuemnE6QJIa-Nlw/edit?usp=sharing"",""บุรีรัมย์!J669"")+IMPORTRANGE(""https://docs.google.com/spreadsheets/d/1l6IZ8xUPgMrESzc"&amp;"TYwhA1k_tPjeQjJPTqlm8Gd9eU5g/edit?usp=sharing"",""มหาสารคาม!J669"")+IMPORTRANGE(""https://docs.google.com/spreadsheets/d/1uB74YLqNjWX6FObjekfB2NtSYigTQyR2rq9u4Ub2Sq4/edit?usp=sharing"",""มุกดาหาร!J669"")+IMPORTRANGE(""https://docs.google.com/spreadsheets/"&amp;"d/1NexK3geCPxCTO1fzNF8dPec7yZyUx3OaWkFBC9HsQOo/edit?usp=sharing"",""ยโสธร!J669"")+IMPORTRANGE(""https://docs.google.com/spreadsheets/d/1v_cJrbBlyqmnHPReHk44g9NrMRdENNlSy_E_c5M9fIg/edit?usp=sharing"",""ร้อยเอ็ด!J669"")+IMPORTRANGE(""https://docs.google.com"&amp;"/spreadsheets/d/1Ul4RCpCX66NxYADU1QpwAPjOmBzW64SsT11s1wzXw_c/edit?usp=sharing"",""เลย!J669"")+IMPORTRANGE(""https://docs.google.com/spreadsheets/d/1bRrNKwbHDVktQG10isr5vbWRtt5spIZPpkOSWgbT5ug/edit?usp=sharing"",""ศรีสะเกษ!J669"")+IMPORTRANGE(""https://doc"&amp;"s.google.com/spreadsheets/d/17P34_Ow5kFBfdQD0qspb2UuPX5zpi6WMrQzslghyvrI/edit?usp=sharing"",""สกลนคร!J669"")+IMPORTRANGE(""https://docs.google.com/spreadsheets/d/1yswqbM3-AEpThF3ZSUa1AcmHnmRTF1vlJ1CZGcJ8YuU/edit?usp=sharing"",""สุรินทร์!J669"")+IMPORTRANG"&amp;"E(""https://docs.google.com/spreadsheets/d/13JHU_EFbsQOUQ0JSQ3dWy1VTRosIWcDq6Nc99z2qzdc/edit?usp=sharing"",""หนองคาย!J669"")+IMPORTRANGE(""https://docs.google.com/spreadsheets/d/1Hx73zIEgVdDZZaYSTc46Dqv64atFhpr3GelxLbaIN8A/edit?usp=sharing"",""หนองบัวลำภู"&amp;"!J669"")+IMPORTRANGE(""https://docs.google.com/spreadsheets/d/1lFxr3ctmjFN90yc-xV6jrQ9Ty8BKYVBWnAZ15wcNIJc/edit?usp=sharing"",""อำนาจเจริญ!J669"")+IMPORTRANGE(""https://docs.google.com/spreadsheets/d/1gF7RJpRnL-1oyjyeWxs5SFWEH7y8ahOZsQlyp2A2e-A/edit?usp=s"&amp;"haring"",""อุดรธานี!J669"")+IMPORTRANGE(""https://docs.google.com/spreadsheets/d/1kfLP0j3INXRa8bTDpcEmoWewMBV61jlFlfzczfjWIgc/edit?usp=sharing"",""อุบลราชธานี!J669"")"),0)</f>
        <v>0</v>
      </c>
      <c r="K669" s="55"/>
      <c r="L669" s="468"/>
      <c r="M669" s="468"/>
      <c r="N669" s="468"/>
      <c r="O669" s="55"/>
      <c r="P669" s="55"/>
      <c r="Q669" s="468"/>
      <c r="R669" s="468"/>
      <c r="S669" s="469"/>
      <c r="T669" s="55"/>
      <c r="U669" s="55"/>
    </row>
    <row r="670" spans="1:21" ht="18.75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67">
        <f ca="1">IFERROR(__xludf.DUMMYFUNCTION("IMPORTRANGE(""https://docs.google.com/spreadsheets/d/1yhBcrRPreicbMKl9Bu_Snb2-OcQAF62RKfhTLhJ2eAA/edit?usp=sharing"",""กาฬสินธุ์!J670"")+IMPORTRANGE(""https://docs.google.com/spreadsheets/d/1aHkj4IaQMThhwWwevcOymEh837vdxeC_PycurhTbGFA/edit?usp=sharing"","&amp;"""ขอนแก่น!J670"")+IMPORTRANGE(""https://docs.google.com/spreadsheets/d/1FvTu2DsIWUjP6WCWra38Bkj_oOl_sOMf14r5Fg5srxU/edit?usp=sharing"",""ชัยภูมิ!J670"")+IMPORTRANGE(""https://docs.google.com/spreadsheets/d/1XVB7oCJ3pr-vBUdflwPQ8Z2LlzhnCvZaaYjAfP-647E/edit"&amp;"?usp=sharing"",""นครพนม!J670"")+IMPORTRANGE(""https://docs.google.com/spreadsheets/d/1Mnpb-8PYAgn85W6KOTD40hc_Xc55CaLfHoGAbrZ8tls/edit?usp=sharing"",""นครราชสีมา!J670"")+IMPORTRANGE(""https://docs.google.com/spreadsheets/d/1xoDLGBv9CYbyosIhki0kTq6IpYNj-gp"&amp;"jxfobnaDiut0/edit?usp=sharing"",""บึงกาฬ!J670"")+IMPORTRANGE(""https://docs.google.com/spreadsheets/d/1MMPq-JyI6DSgQETxuSiXkesP-P7JHuemnE6QJIa-Nlw/edit?usp=sharing"",""บุรีรัมย์!J670"")+IMPORTRANGE(""https://docs.google.com/spreadsheets/d/1l6IZ8xUPgMrESzc"&amp;"TYwhA1k_tPjeQjJPTqlm8Gd9eU5g/edit?usp=sharing"",""มหาสารคาม!J670"")+IMPORTRANGE(""https://docs.google.com/spreadsheets/d/1uB74YLqNjWX6FObjekfB2NtSYigTQyR2rq9u4Ub2Sq4/edit?usp=sharing"",""มุกดาหาร!J670"")+IMPORTRANGE(""https://docs.google.com/spreadsheets/"&amp;"d/1NexK3geCPxCTO1fzNF8dPec7yZyUx3OaWkFBC9HsQOo/edit?usp=sharing"",""ยโสธร!J670"")+IMPORTRANGE(""https://docs.google.com/spreadsheets/d/1v_cJrbBlyqmnHPReHk44g9NrMRdENNlSy_E_c5M9fIg/edit?usp=sharing"",""ร้อยเอ็ด!J670"")+IMPORTRANGE(""https://docs.google.com"&amp;"/spreadsheets/d/1Ul4RCpCX66NxYADU1QpwAPjOmBzW64SsT11s1wzXw_c/edit?usp=sharing"",""เลย!J670"")+IMPORTRANGE(""https://docs.google.com/spreadsheets/d/1bRrNKwbHDVktQG10isr5vbWRtt5spIZPpkOSWgbT5ug/edit?usp=sharing"",""ศรีสะเกษ!J670"")+IMPORTRANGE(""https://doc"&amp;"s.google.com/spreadsheets/d/17P34_Ow5kFBfdQD0qspb2UuPX5zpi6WMrQzslghyvrI/edit?usp=sharing"",""สกลนคร!J670"")+IMPORTRANGE(""https://docs.google.com/spreadsheets/d/1yswqbM3-AEpThF3ZSUa1AcmHnmRTF1vlJ1CZGcJ8YuU/edit?usp=sharing"",""สุรินทร์!J670"")+IMPORTRANG"&amp;"E(""https://docs.google.com/spreadsheets/d/13JHU_EFbsQOUQ0JSQ3dWy1VTRosIWcDq6Nc99z2qzdc/edit?usp=sharing"",""หนองคาย!J670"")+IMPORTRANGE(""https://docs.google.com/spreadsheets/d/1Hx73zIEgVdDZZaYSTc46Dqv64atFhpr3GelxLbaIN8A/edit?usp=sharing"",""หนองบัวลำภู"&amp;"!J670"")+IMPORTRANGE(""https://docs.google.com/spreadsheets/d/1lFxr3ctmjFN90yc-xV6jrQ9Ty8BKYVBWnAZ15wcNIJc/edit?usp=sharing"",""อำนาจเจริญ!J670"")+IMPORTRANGE(""https://docs.google.com/spreadsheets/d/1gF7RJpRnL-1oyjyeWxs5SFWEH7y8ahOZsQlyp2A2e-A/edit?usp=s"&amp;"haring"",""อุดรธานี!J670"")+IMPORTRANGE(""https://docs.google.com/spreadsheets/d/1kfLP0j3INXRa8bTDpcEmoWewMBV61jlFlfzczfjWIgc/edit?usp=sharing"",""อุบลราชธานี!J670"")"),0)</f>
        <v>0</v>
      </c>
      <c r="K670" s="55"/>
      <c r="L670" s="468"/>
      <c r="M670" s="468"/>
      <c r="N670" s="468"/>
      <c r="O670" s="55"/>
      <c r="P670" s="55"/>
      <c r="Q670" s="468"/>
      <c r="R670" s="468"/>
      <c r="S670" s="469"/>
      <c r="T670" s="55"/>
      <c r="U670" s="55"/>
    </row>
    <row r="671" spans="1:21" ht="18.75">
      <c r="A671" s="238"/>
      <c r="B671" s="188"/>
      <c r="C671" s="188"/>
      <c r="D671" s="58" t="s">
        <v>248</v>
      </c>
      <c r="E671" s="50"/>
      <c r="F671" s="50"/>
      <c r="G671" s="52"/>
      <c r="H671" s="165" t="s">
        <v>35</v>
      </c>
      <c r="I671" s="208"/>
      <c r="J671" s="181">
        <f ca="1">IFERROR(__xludf.DUMMYFUNCTION("IMPORTRANGE(""https://docs.google.com/spreadsheets/d/1yhBcrRPreicbMKl9Bu_Snb2-OcQAF62RKfhTLhJ2eAA/edit?usp=sharing"",""กาฬสินธุ์!J671"")+IMPORTRANGE(""https://docs.google.com/spreadsheets/d/1aHkj4IaQMThhwWwevcOymEh837vdxeC_PycurhTbGFA/edit?usp=sharing"","&amp;"""ขอนแก่น!J671"")+IMPORTRANGE(""https://docs.google.com/spreadsheets/d/1FvTu2DsIWUjP6WCWra38Bkj_oOl_sOMf14r5Fg5srxU/edit?usp=sharing"",""ชัยภูมิ!J671"")+IMPORTRANGE(""https://docs.google.com/spreadsheets/d/1XVB7oCJ3pr-vBUdflwPQ8Z2LlzhnCvZaaYjAfP-647E/edit"&amp;"?usp=sharing"",""นครพนม!J671"")+IMPORTRANGE(""https://docs.google.com/spreadsheets/d/1Mnpb-8PYAgn85W6KOTD40hc_Xc55CaLfHoGAbrZ8tls/edit?usp=sharing"",""นครราชสีมา!J671"")+IMPORTRANGE(""https://docs.google.com/spreadsheets/d/1xoDLGBv9CYbyosIhki0kTq6IpYNj-gp"&amp;"jxfobnaDiut0/edit?usp=sharing"",""บึงกาฬ!J671"")+IMPORTRANGE(""https://docs.google.com/spreadsheets/d/1MMPq-JyI6DSgQETxuSiXkesP-P7JHuemnE6QJIa-Nlw/edit?usp=sharing"",""บุรีรัมย์!J671"")+IMPORTRANGE(""https://docs.google.com/spreadsheets/d/1l6IZ8xUPgMrESzc"&amp;"TYwhA1k_tPjeQjJPTqlm8Gd9eU5g/edit?usp=sharing"",""มหาสารคาม!J671"")+IMPORTRANGE(""https://docs.google.com/spreadsheets/d/1uB74YLqNjWX6FObjekfB2NtSYigTQyR2rq9u4Ub2Sq4/edit?usp=sharing"",""มุกดาหาร!J671"")+IMPORTRANGE(""https://docs.google.com/spreadsheets/"&amp;"d/1NexK3geCPxCTO1fzNF8dPec7yZyUx3OaWkFBC9HsQOo/edit?usp=sharing"",""ยโสธร!J671"")+IMPORTRANGE(""https://docs.google.com/spreadsheets/d/1v_cJrbBlyqmnHPReHk44g9NrMRdENNlSy_E_c5M9fIg/edit?usp=sharing"",""ร้อยเอ็ด!J671"")+IMPORTRANGE(""https://docs.google.com"&amp;"/spreadsheets/d/1Ul4RCpCX66NxYADU1QpwAPjOmBzW64SsT11s1wzXw_c/edit?usp=sharing"",""เลย!J671"")+IMPORTRANGE(""https://docs.google.com/spreadsheets/d/1bRrNKwbHDVktQG10isr5vbWRtt5spIZPpkOSWgbT5ug/edit?usp=sharing"",""ศรีสะเกษ!J671"")+IMPORTRANGE(""https://doc"&amp;"s.google.com/spreadsheets/d/17P34_Ow5kFBfdQD0qspb2UuPX5zpi6WMrQzslghyvrI/edit?usp=sharing"",""สกลนคร!J671"")+IMPORTRANGE(""https://docs.google.com/spreadsheets/d/1yswqbM3-AEpThF3ZSUa1AcmHnmRTF1vlJ1CZGcJ8YuU/edit?usp=sharing"",""สุรินทร์!J671"")+IMPORTRANG"&amp;"E(""https://docs.google.com/spreadsheets/d/13JHU_EFbsQOUQ0JSQ3dWy1VTRosIWcDq6Nc99z2qzdc/edit?usp=sharing"",""หนองคาย!J671"")+IMPORTRANGE(""https://docs.google.com/spreadsheets/d/1Hx73zIEgVdDZZaYSTc46Dqv64atFhpr3GelxLbaIN8A/edit?usp=sharing"",""หนองบัวลำภู"&amp;"!J671"")+IMPORTRANGE(""https://docs.google.com/spreadsheets/d/1lFxr3ctmjFN90yc-xV6jrQ9Ty8BKYVBWnAZ15wcNIJc/edit?usp=sharing"",""อำนาจเจริญ!J671"")+IMPORTRANGE(""https://docs.google.com/spreadsheets/d/1gF7RJpRnL-1oyjyeWxs5SFWEH7y8ahOZsQlyp2A2e-A/edit?usp=s"&amp;"haring"",""อุดรธานี!J671"")+IMPORTRANGE(""https://docs.google.com/spreadsheets/d/1kfLP0j3INXRa8bTDpcEmoWewMBV61jlFlfzczfjWIgc/edit?usp=sharing"",""อุบลราชธานี!J671"")"),5)</f>
        <v>5</v>
      </c>
      <c r="K671" s="55"/>
      <c r="L671" s="55"/>
      <c r="M671" s="55"/>
      <c r="N671" s="55"/>
      <c r="O671" s="55"/>
      <c r="P671" s="55"/>
      <c r="Q671" s="55"/>
      <c r="R671" s="55"/>
      <c r="S671" s="62"/>
      <c r="T671" s="55"/>
      <c r="U671" s="55"/>
    </row>
    <row r="672" spans="1:21" ht="18.75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181">
        <f ca="1">IFERROR(__xludf.DUMMYFUNCTION("IMPORTRANGE(""https://docs.google.com/spreadsheets/d/1yhBcrRPreicbMKl9Bu_Snb2-OcQAF62RKfhTLhJ2eAA/edit?usp=sharing"",""กาฬสินธุ์!J672"")+IMPORTRANGE(""https://docs.google.com/spreadsheets/d/1aHkj4IaQMThhwWwevcOymEh837vdxeC_PycurhTbGFA/edit?usp=sharing"","&amp;"""ขอนแก่น!J672"")+IMPORTRANGE(""https://docs.google.com/spreadsheets/d/1FvTu2DsIWUjP6WCWra38Bkj_oOl_sOMf14r5Fg5srxU/edit?usp=sharing"",""ชัยภูมิ!J672"")+IMPORTRANGE(""https://docs.google.com/spreadsheets/d/1XVB7oCJ3pr-vBUdflwPQ8Z2LlzhnCvZaaYjAfP-647E/edit"&amp;"?usp=sharing"",""นครพนม!J672"")+IMPORTRANGE(""https://docs.google.com/spreadsheets/d/1Mnpb-8PYAgn85W6KOTD40hc_Xc55CaLfHoGAbrZ8tls/edit?usp=sharing"",""นครราชสีมา!J672"")+IMPORTRANGE(""https://docs.google.com/spreadsheets/d/1xoDLGBv9CYbyosIhki0kTq6IpYNj-gp"&amp;"jxfobnaDiut0/edit?usp=sharing"",""บึงกาฬ!J672"")+IMPORTRANGE(""https://docs.google.com/spreadsheets/d/1MMPq-JyI6DSgQETxuSiXkesP-P7JHuemnE6QJIa-Nlw/edit?usp=sharing"",""บุรีรัมย์!J672"")+IMPORTRANGE(""https://docs.google.com/spreadsheets/d/1l6IZ8xUPgMrESzc"&amp;"TYwhA1k_tPjeQjJPTqlm8Gd9eU5g/edit?usp=sharing"",""มหาสารคาม!J672"")+IMPORTRANGE(""https://docs.google.com/spreadsheets/d/1uB74YLqNjWX6FObjekfB2NtSYigTQyR2rq9u4Ub2Sq4/edit?usp=sharing"",""มุกดาหาร!J672"")+IMPORTRANGE(""https://docs.google.com/spreadsheets/"&amp;"d/1NexK3geCPxCTO1fzNF8dPec7yZyUx3OaWkFBC9HsQOo/edit?usp=sharing"",""ยโสธร!J672"")+IMPORTRANGE(""https://docs.google.com/spreadsheets/d/1v_cJrbBlyqmnHPReHk44g9NrMRdENNlSy_E_c5M9fIg/edit?usp=sharing"",""ร้อยเอ็ด!J672"")+IMPORTRANGE(""https://docs.google.com"&amp;"/spreadsheets/d/1Ul4RCpCX66NxYADU1QpwAPjOmBzW64SsT11s1wzXw_c/edit?usp=sharing"",""เลย!J672"")+IMPORTRANGE(""https://docs.google.com/spreadsheets/d/1bRrNKwbHDVktQG10isr5vbWRtt5spIZPpkOSWgbT5ug/edit?usp=sharing"",""ศรีสะเกษ!J672"")+IMPORTRANGE(""https://doc"&amp;"s.google.com/spreadsheets/d/17P34_Ow5kFBfdQD0qspb2UuPX5zpi6WMrQzslghyvrI/edit?usp=sharing"",""สกลนคร!J672"")+IMPORTRANGE(""https://docs.google.com/spreadsheets/d/1yswqbM3-AEpThF3ZSUa1AcmHnmRTF1vlJ1CZGcJ8YuU/edit?usp=sharing"",""สุรินทร์!J672"")+IMPORTRANG"&amp;"E(""https://docs.google.com/spreadsheets/d/13JHU_EFbsQOUQ0JSQ3dWy1VTRosIWcDq6Nc99z2qzdc/edit?usp=sharing"",""หนองคาย!J672"")+IMPORTRANGE(""https://docs.google.com/spreadsheets/d/1Hx73zIEgVdDZZaYSTc46Dqv64atFhpr3GelxLbaIN8A/edit?usp=sharing"",""หนองบัวลำภู"&amp;"!J672"")+IMPORTRANGE(""https://docs.google.com/spreadsheets/d/1lFxr3ctmjFN90yc-xV6jrQ9Ty8BKYVBWnAZ15wcNIJc/edit?usp=sharing"",""อำนาจเจริญ!J672"")+IMPORTRANGE(""https://docs.google.com/spreadsheets/d/1gF7RJpRnL-1oyjyeWxs5SFWEH7y8ahOZsQlyp2A2e-A/edit?usp=s"&amp;"haring"",""อุดรธานี!J672"")+IMPORTRANGE(""https://docs.google.com/spreadsheets/d/1kfLP0j3INXRa8bTDpcEmoWewMBV61jlFlfzczfjWIgc/edit?usp=sharing"",""อุบลราชธานี!J672"")"),5)</f>
        <v>5</v>
      </c>
      <c r="K672" s="55"/>
      <c r="L672" s="468"/>
      <c r="M672" s="468"/>
      <c r="N672" s="468"/>
      <c r="O672" s="55"/>
      <c r="P672" s="55"/>
      <c r="Q672" s="468"/>
      <c r="R672" s="468"/>
      <c r="S672" s="469"/>
      <c r="T672" s="55"/>
      <c r="U672" s="55"/>
    </row>
    <row r="673" spans="1:21" ht="18.75">
      <c r="A673" s="238"/>
      <c r="B673" s="188"/>
      <c r="C673" s="188"/>
      <c r="D673" s="50"/>
      <c r="E673" s="50"/>
      <c r="F673" s="50"/>
      <c r="G673" s="52"/>
      <c r="H673" s="165" t="s">
        <v>46</v>
      </c>
      <c r="I673" s="465">
        <f ca="1">IFERROR(__xludf.DUMMYFUNCTION("IMPORTRANGE(""https://docs.google.com/spreadsheets/d/1yhBcrRPreicbMKl9Bu_Snb2-OcQAF62RKfhTLhJ2eAA/edit?usp=sharing"",""กาฬสินธุ์!I673"")+IMPORTRANGE(""https://docs.google.com/spreadsheets/d/1aHkj4IaQMThhwWwevcOymEh837vdxeC_PycurhTbGFA/edit?usp=sharing"","&amp;"""ขอนแก่น!I673"")+IMPORTRANGE(""https://docs.google.com/spreadsheets/d/1FvTu2DsIWUjP6WCWra38Bkj_oOl_sOMf14r5Fg5srxU/edit?usp=sharing"",""ชัยภูมิ!I673"")+IMPORTRANGE(""https://docs.google.com/spreadsheets/d/1XVB7oCJ3pr-vBUdflwPQ8Z2LlzhnCvZaaYjAfP-647E/edit"&amp;"?usp=sharing"",""นครพนม!I673"")+IMPORTRANGE(""https://docs.google.com/spreadsheets/d/1Mnpb-8PYAgn85W6KOTD40hc_Xc55CaLfHoGAbrZ8tls/edit?usp=sharing"",""นครราชสีมา!I673"")+IMPORTRANGE(""https://docs.google.com/spreadsheets/d/1xoDLGBv9CYbyosIhki0kTq6IpYNj-gp"&amp;"jxfobnaDiut0/edit?usp=sharing"",""บึงกาฬ!I673"")+IMPORTRANGE(""https://docs.google.com/spreadsheets/d/1MMPq-JyI6DSgQETxuSiXkesP-P7JHuemnE6QJIa-Nlw/edit?usp=sharing"",""บุรีรัมย์!I673"")+IMPORTRANGE(""https://docs.google.com/spreadsheets/d/1l6IZ8xUPgMrESzc"&amp;"TYwhA1k_tPjeQjJPTqlm8Gd9eU5g/edit?usp=sharing"",""มหาสารคาม!I673"")+IMPORTRANGE(""https://docs.google.com/spreadsheets/d/1uB74YLqNjWX6FObjekfB2NtSYigTQyR2rq9u4Ub2Sq4/edit?usp=sharing"",""มุกดาหาร!I673"")+IMPORTRANGE(""https://docs.google.com/spreadsheets/"&amp;"d/1NexK3geCPxCTO1fzNF8dPec7yZyUx3OaWkFBC9HsQOo/edit?usp=sharing"",""ยโสธร!I673"")+IMPORTRANGE(""https://docs.google.com/spreadsheets/d/1v_cJrbBlyqmnHPReHk44g9NrMRdENNlSy_E_c5M9fIg/edit?usp=sharing"",""ร้อยเอ็ด!I673"")+IMPORTRANGE(""https://docs.google.com"&amp;"/spreadsheets/d/1Ul4RCpCX66NxYADU1QpwAPjOmBzW64SsT11s1wzXw_c/edit?usp=sharing"",""เลย!I673"")+IMPORTRANGE(""https://docs.google.com/spreadsheets/d/1bRrNKwbHDVktQG10isr5vbWRtt5spIZPpkOSWgbT5ug/edit?usp=sharing"",""ศรีสะเกษ!I673"")+IMPORTRANGE(""https://doc"&amp;"s.google.com/spreadsheets/d/17P34_Ow5kFBfdQD0qspb2UuPX5zpi6WMrQzslghyvrI/edit?usp=sharing"",""สกลนคร!I673"")+IMPORTRANGE(""https://docs.google.com/spreadsheets/d/1yswqbM3-AEpThF3ZSUa1AcmHnmRTF1vlJ1CZGcJ8YuU/edit?usp=sharing"",""สุรินทร์!I673"")+IMPORTRANG"&amp;"E(""https://docs.google.com/spreadsheets/d/13JHU_EFbsQOUQ0JSQ3dWy1VTRosIWcDq6Nc99z2qzdc/edit?usp=sharing"",""หนองคาย!I673"")+IMPORTRANGE(""https://docs.google.com/spreadsheets/d/1Hx73zIEgVdDZZaYSTc46Dqv64atFhpr3GelxLbaIN8A/edit?usp=sharing"",""หนองบัวลำภู"&amp;"!I673"")+IMPORTRANGE(""https://docs.google.com/spreadsheets/d/1lFxr3ctmjFN90yc-xV6jrQ9Ty8BKYVBWnAZ15wcNIJc/edit?usp=sharing"",""อำนาจเจริญ!I673"")+IMPORTRANGE(""https://docs.google.com/spreadsheets/d/1gF7RJpRnL-1oyjyeWxs5SFWEH7y8ahOZsQlyp2A2e-A/edit?usp=s"&amp;"haring"",""อุดรธานี!I673"")+IMPORTRANGE(""https://docs.google.com/spreadsheets/d/1kfLP0j3INXRa8bTDpcEmoWewMBV61jlFlfzczfjWIgc/edit?usp=sharing"",""อุบลราชธานี!I673"")"),441)</f>
        <v>441</v>
      </c>
      <c r="J673" s="465">
        <f ca="1">IFERROR(__xludf.DUMMYFUNCTION("IMPORTRANGE(""https://docs.google.com/spreadsheets/d/1yhBcrRPreicbMKl9Bu_Snb2-OcQAF62RKfhTLhJ2eAA/edit?usp=sharing"",""กาฬสินธุ์!J673"")+IMPORTRANGE(""https://docs.google.com/spreadsheets/d/1aHkj4IaQMThhwWwevcOymEh837vdxeC_PycurhTbGFA/edit?usp=sharing"","&amp;"""ขอนแก่น!J673"")+IMPORTRANGE(""https://docs.google.com/spreadsheets/d/1FvTu2DsIWUjP6WCWra38Bkj_oOl_sOMf14r5Fg5srxU/edit?usp=sharing"",""ชัยภูมิ!J673"")+IMPORTRANGE(""https://docs.google.com/spreadsheets/d/1XVB7oCJ3pr-vBUdflwPQ8Z2LlzhnCvZaaYjAfP-647E/edit"&amp;"?usp=sharing"",""นครพนม!J673"")+IMPORTRANGE(""https://docs.google.com/spreadsheets/d/1Mnpb-8PYAgn85W6KOTD40hc_Xc55CaLfHoGAbrZ8tls/edit?usp=sharing"",""นครราชสีมา!J673"")+IMPORTRANGE(""https://docs.google.com/spreadsheets/d/1xoDLGBv9CYbyosIhki0kTq6IpYNj-gp"&amp;"jxfobnaDiut0/edit?usp=sharing"",""บึงกาฬ!J673"")+IMPORTRANGE(""https://docs.google.com/spreadsheets/d/1MMPq-JyI6DSgQETxuSiXkesP-P7JHuemnE6QJIa-Nlw/edit?usp=sharing"",""บุรีรัมย์!J673"")+IMPORTRANGE(""https://docs.google.com/spreadsheets/d/1l6IZ8xUPgMrESzc"&amp;"TYwhA1k_tPjeQjJPTqlm8Gd9eU5g/edit?usp=sharing"",""มหาสารคาม!J673"")+IMPORTRANGE(""https://docs.google.com/spreadsheets/d/1uB74YLqNjWX6FObjekfB2NtSYigTQyR2rq9u4Ub2Sq4/edit?usp=sharing"",""มุกดาหาร!J673"")+IMPORTRANGE(""https://docs.google.com/spreadsheets/"&amp;"d/1NexK3geCPxCTO1fzNF8dPec7yZyUx3OaWkFBC9HsQOo/edit?usp=sharing"",""ยโสธร!J673"")+IMPORTRANGE(""https://docs.google.com/spreadsheets/d/1v_cJrbBlyqmnHPReHk44g9NrMRdENNlSy_E_c5M9fIg/edit?usp=sharing"",""ร้อยเอ็ด!J673"")+IMPORTRANGE(""https://docs.google.com"&amp;"/spreadsheets/d/1Ul4RCpCX66NxYADU1QpwAPjOmBzW64SsT11s1wzXw_c/edit?usp=sharing"",""เลย!J673"")+IMPORTRANGE(""https://docs.google.com/spreadsheets/d/1bRrNKwbHDVktQG10isr5vbWRtt5spIZPpkOSWgbT5ug/edit?usp=sharing"",""ศรีสะเกษ!J673"")+IMPORTRANGE(""https://doc"&amp;"s.google.com/spreadsheets/d/17P34_Ow5kFBfdQD0qspb2UuPX5zpi6WMrQzslghyvrI/edit?usp=sharing"",""สกลนคร!J673"")+IMPORTRANGE(""https://docs.google.com/spreadsheets/d/1yswqbM3-AEpThF3ZSUa1AcmHnmRTF1vlJ1CZGcJ8YuU/edit?usp=sharing"",""สุรินทร์!J673"")+IMPORTRANG"&amp;"E(""https://docs.google.com/spreadsheets/d/13JHU_EFbsQOUQ0JSQ3dWy1VTRosIWcDq6Nc99z2qzdc/edit?usp=sharing"",""หนองคาย!J673"")+IMPORTRANGE(""https://docs.google.com/spreadsheets/d/1Hx73zIEgVdDZZaYSTc46Dqv64atFhpr3GelxLbaIN8A/edit?usp=sharing"",""หนองบัวลำภู"&amp;"!J673"")+IMPORTRANGE(""https://docs.google.com/spreadsheets/d/1lFxr3ctmjFN90yc-xV6jrQ9Ty8BKYVBWnAZ15wcNIJc/edit?usp=sharing"",""อำนาจเจริญ!J673"")+IMPORTRANGE(""https://docs.google.com/spreadsheets/d/1gF7RJpRnL-1oyjyeWxs5SFWEH7y8ahOZsQlyp2A2e-A/edit?usp=s"&amp;"haring"",""อุดรธานี!J673"")+IMPORTRANGE(""https://docs.google.com/spreadsheets/d/1kfLP0j3INXRa8bTDpcEmoWewMBV61jlFlfzczfjWIgc/edit?usp=sharing"",""อุบลราชธานี!J673"")"),59)</f>
        <v>59</v>
      </c>
      <c r="K673" s="56">
        <f t="shared" ref="K673:K676" ca="1" si="468">IF(I673&gt;0,J673*100/I673,0)</f>
        <v>13.378684807256235</v>
      </c>
      <c r="L673" s="468"/>
      <c r="M673" s="468"/>
      <c r="N673" s="468"/>
      <c r="O673" s="55"/>
      <c r="P673" s="55"/>
      <c r="Q673" s="468"/>
      <c r="R673" s="468"/>
      <c r="S673" s="469"/>
      <c r="T673" s="55"/>
      <c r="U673" s="55"/>
    </row>
    <row r="674" spans="1:21" ht="19.5">
      <c r="A674" s="238"/>
      <c r="B674" s="188"/>
      <c r="C674" s="188"/>
      <c r="D674" s="58" t="s">
        <v>249</v>
      </c>
      <c r="E674" s="50"/>
      <c r="F674" s="50"/>
      <c r="G674" s="52"/>
      <c r="H674" s="461" t="s">
        <v>35</v>
      </c>
      <c r="I674" s="466">
        <f ca="1">IFERROR(__xludf.DUMMYFUNCTION("IMPORTRANGE(""https://docs.google.com/spreadsheets/d/1yhBcrRPreicbMKl9Bu_Snb2-OcQAF62RKfhTLhJ2eAA/edit?usp=sharing"",""กาฬสินธุ์!I674"")+IMPORTRANGE(""https://docs.google.com/spreadsheets/d/1aHkj4IaQMThhwWwevcOymEh837vdxeC_PycurhTbGFA/edit?usp=sharing"","&amp;"""ขอนแก่น!I674"")+IMPORTRANGE(""https://docs.google.com/spreadsheets/d/1FvTu2DsIWUjP6WCWra38Bkj_oOl_sOMf14r5Fg5srxU/edit?usp=sharing"",""ชัยภูมิ!I674"")+IMPORTRANGE(""https://docs.google.com/spreadsheets/d/1XVB7oCJ3pr-vBUdflwPQ8Z2LlzhnCvZaaYjAfP-647E/edit"&amp;"?usp=sharing"",""นครพนม!I674"")+IMPORTRANGE(""https://docs.google.com/spreadsheets/d/1Mnpb-8PYAgn85W6KOTD40hc_Xc55CaLfHoGAbrZ8tls/edit?usp=sharing"",""นครราชสีมา!I674"")+IMPORTRANGE(""https://docs.google.com/spreadsheets/d/1xoDLGBv9CYbyosIhki0kTq6IpYNj-gp"&amp;"jxfobnaDiut0/edit?usp=sharing"",""บึงกาฬ!I674"")+IMPORTRANGE(""https://docs.google.com/spreadsheets/d/1MMPq-JyI6DSgQETxuSiXkesP-P7JHuemnE6QJIa-Nlw/edit?usp=sharing"",""บุรีรัมย์!I674"")+IMPORTRANGE(""https://docs.google.com/spreadsheets/d/1l6IZ8xUPgMrESzc"&amp;"TYwhA1k_tPjeQjJPTqlm8Gd9eU5g/edit?usp=sharing"",""มหาสารคาม!I674"")+IMPORTRANGE(""https://docs.google.com/spreadsheets/d/1uB74YLqNjWX6FObjekfB2NtSYigTQyR2rq9u4Ub2Sq4/edit?usp=sharing"",""มุกดาหาร!I674"")+IMPORTRANGE(""https://docs.google.com/spreadsheets/"&amp;"d/1NexK3geCPxCTO1fzNF8dPec7yZyUx3OaWkFBC9HsQOo/edit?usp=sharing"",""ยโสธร!I674"")+IMPORTRANGE(""https://docs.google.com/spreadsheets/d/1v_cJrbBlyqmnHPReHk44g9NrMRdENNlSy_E_c5M9fIg/edit?usp=sharing"",""ร้อยเอ็ด!I674"")+IMPORTRANGE(""https://docs.google.com"&amp;"/spreadsheets/d/1Ul4RCpCX66NxYADU1QpwAPjOmBzW64SsT11s1wzXw_c/edit?usp=sharing"",""เลย!I674"")+IMPORTRANGE(""https://docs.google.com/spreadsheets/d/1bRrNKwbHDVktQG10isr5vbWRtt5spIZPpkOSWgbT5ug/edit?usp=sharing"",""ศรีสะเกษ!I674"")+IMPORTRANGE(""https://doc"&amp;"s.google.com/spreadsheets/d/17P34_Ow5kFBfdQD0qspb2UuPX5zpi6WMrQzslghyvrI/edit?usp=sharing"",""สกลนคร!I674"")+IMPORTRANGE(""https://docs.google.com/spreadsheets/d/1yswqbM3-AEpThF3ZSUa1AcmHnmRTF1vlJ1CZGcJ8YuU/edit?usp=sharing"",""สุรินทร์!I674"")+IMPORTRANG"&amp;"E(""https://docs.google.com/spreadsheets/d/13JHU_EFbsQOUQ0JSQ3dWy1VTRosIWcDq6Nc99z2qzdc/edit?usp=sharing"",""หนองคาย!I674"")+IMPORTRANGE(""https://docs.google.com/spreadsheets/d/1Hx73zIEgVdDZZaYSTc46Dqv64atFhpr3GelxLbaIN8A/edit?usp=sharing"",""หนองบัวลำภู"&amp;"!I674"")+IMPORTRANGE(""https://docs.google.com/spreadsheets/d/1lFxr3ctmjFN90yc-xV6jrQ9Ty8BKYVBWnAZ15wcNIJc/edit?usp=sharing"",""อำนาจเจริญ!I674"")+IMPORTRANGE(""https://docs.google.com/spreadsheets/d/1gF7RJpRnL-1oyjyeWxs5SFWEH7y8ahOZsQlyp2A2e-A/edit?usp=s"&amp;"haring"",""อุดรธานี!I674"")+IMPORTRANGE(""https://docs.google.com/spreadsheets/d/1kfLP0j3INXRa8bTDpcEmoWewMBV61jlFlfzczfjWIgc/edit?usp=sharing"",""อุบลราชธานี!I674"")"),35)</f>
        <v>35</v>
      </c>
      <c r="J674" s="176">
        <f ca="1">J676+J679</f>
        <v>10</v>
      </c>
      <c r="K674" s="159">
        <f t="shared" ca="1" si="468"/>
        <v>28.571428571428573</v>
      </c>
      <c r="L674" s="468"/>
      <c r="M674" s="468"/>
      <c r="N674" s="468"/>
      <c r="O674" s="55"/>
      <c r="P674" s="55"/>
      <c r="Q674" s="468"/>
      <c r="R674" s="468"/>
      <c r="S674" s="469"/>
      <c r="T674" s="55"/>
      <c r="U674" s="55"/>
    </row>
    <row r="675" spans="1:21" ht="19.5">
      <c r="A675" s="238"/>
      <c r="B675" s="188"/>
      <c r="C675" s="188"/>
      <c r="D675" s="50"/>
      <c r="E675" s="50"/>
      <c r="F675" s="50"/>
      <c r="G675" s="52"/>
      <c r="H675" s="461" t="s">
        <v>46</v>
      </c>
      <c r="I675" s="466">
        <f ca="1">IFERROR(__xludf.DUMMYFUNCTION("IMPORTRANGE(""https://docs.google.com/spreadsheets/d/1yhBcrRPreicbMKl9Bu_Snb2-OcQAF62RKfhTLhJ2eAA/edit?usp=sharing"",""กาฬสินธุ์!I675"")+IMPORTRANGE(""https://docs.google.com/spreadsheets/d/1aHkj4IaQMThhwWwevcOymEh837vdxeC_PycurhTbGFA/edit?usp=sharing"","&amp;"""ขอนแก่น!I675"")+IMPORTRANGE(""https://docs.google.com/spreadsheets/d/1FvTu2DsIWUjP6WCWra38Bkj_oOl_sOMf14r5Fg5srxU/edit?usp=sharing"",""ชัยภูมิ!I675"")+IMPORTRANGE(""https://docs.google.com/spreadsheets/d/1XVB7oCJ3pr-vBUdflwPQ8Z2LlzhnCvZaaYjAfP-647E/edit"&amp;"?usp=sharing"",""นครพนม!I675"")+IMPORTRANGE(""https://docs.google.com/spreadsheets/d/1Mnpb-8PYAgn85W6KOTD40hc_Xc55CaLfHoGAbrZ8tls/edit?usp=sharing"",""นครราชสีมา!I675"")+IMPORTRANGE(""https://docs.google.com/spreadsheets/d/1xoDLGBv9CYbyosIhki0kTq6IpYNj-gp"&amp;"jxfobnaDiut0/edit?usp=sharing"",""บึงกาฬ!I675"")+IMPORTRANGE(""https://docs.google.com/spreadsheets/d/1MMPq-JyI6DSgQETxuSiXkesP-P7JHuemnE6QJIa-Nlw/edit?usp=sharing"",""บุรีรัมย์!I675"")+IMPORTRANGE(""https://docs.google.com/spreadsheets/d/1l6IZ8xUPgMrESzc"&amp;"TYwhA1k_tPjeQjJPTqlm8Gd9eU5g/edit?usp=sharing"",""มหาสารคาม!I675"")+IMPORTRANGE(""https://docs.google.com/spreadsheets/d/1uB74YLqNjWX6FObjekfB2NtSYigTQyR2rq9u4Ub2Sq4/edit?usp=sharing"",""มุกดาหาร!I675"")+IMPORTRANGE(""https://docs.google.com/spreadsheets/"&amp;"d/1NexK3geCPxCTO1fzNF8dPec7yZyUx3OaWkFBC9HsQOo/edit?usp=sharing"",""ยโสธร!I675"")+IMPORTRANGE(""https://docs.google.com/spreadsheets/d/1v_cJrbBlyqmnHPReHk44g9NrMRdENNlSy_E_c5M9fIg/edit?usp=sharing"",""ร้อยเอ็ด!I675"")+IMPORTRANGE(""https://docs.google.com"&amp;"/spreadsheets/d/1Ul4RCpCX66NxYADU1QpwAPjOmBzW64SsT11s1wzXw_c/edit?usp=sharing"",""เลย!I675"")+IMPORTRANGE(""https://docs.google.com/spreadsheets/d/1bRrNKwbHDVktQG10isr5vbWRtt5spIZPpkOSWgbT5ug/edit?usp=sharing"",""ศรีสะเกษ!I675"")+IMPORTRANGE(""https://doc"&amp;"s.google.com/spreadsheets/d/17P34_Ow5kFBfdQD0qspb2UuPX5zpi6WMrQzslghyvrI/edit?usp=sharing"",""สกลนคร!I675"")+IMPORTRANGE(""https://docs.google.com/spreadsheets/d/1yswqbM3-AEpThF3ZSUa1AcmHnmRTF1vlJ1CZGcJ8YuU/edit?usp=sharing"",""สุรินทร์!I675"")+IMPORTRANG"&amp;"E(""https://docs.google.com/spreadsheets/d/13JHU_EFbsQOUQ0JSQ3dWy1VTRosIWcDq6Nc99z2qzdc/edit?usp=sharing"",""หนองคาย!I675"")+IMPORTRANGE(""https://docs.google.com/spreadsheets/d/1Hx73zIEgVdDZZaYSTc46Dqv64atFhpr3GelxLbaIN8A/edit?usp=sharing"",""หนองบัวลำภู"&amp;"!I675"")+IMPORTRANGE(""https://docs.google.com/spreadsheets/d/1lFxr3ctmjFN90yc-xV6jrQ9Ty8BKYVBWnAZ15wcNIJc/edit?usp=sharing"",""อำนาจเจริญ!I675"")+IMPORTRANGE(""https://docs.google.com/spreadsheets/d/1gF7RJpRnL-1oyjyeWxs5SFWEH7y8ahOZsQlyp2A2e-A/edit?usp=s"&amp;"haring"",""อุดรธานี!I675"")+IMPORTRANGE(""https://docs.google.com/spreadsheets/d/1kfLP0j3INXRa8bTDpcEmoWewMBV61jlFlfzczfjWIgc/edit?usp=sharing"",""อุบลราชธานี!I675"")"),274)</f>
        <v>274</v>
      </c>
      <c r="J675" s="176">
        <f ca="1">J678+J681</f>
        <v>96.54</v>
      </c>
      <c r="K675" s="159">
        <f t="shared" ca="1" si="468"/>
        <v>35.23357664233577</v>
      </c>
      <c r="L675" s="55"/>
      <c r="M675" s="55"/>
      <c r="N675" s="55"/>
      <c r="O675" s="55"/>
      <c r="P675" s="55"/>
      <c r="Q675" s="55"/>
      <c r="R675" s="55"/>
      <c r="S675" s="62"/>
      <c r="T675" s="55"/>
      <c r="U675" s="55"/>
    </row>
    <row r="676" spans="1:21" ht="18.75">
      <c r="A676" s="238"/>
      <c r="B676" s="188"/>
      <c r="C676" s="188"/>
      <c r="D676" s="50"/>
      <c r="E676" s="58" t="s">
        <v>250</v>
      </c>
      <c r="F676" s="50"/>
      <c r="G676" s="52"/>
      <c r="H676" s="165" t="s">
        <v>35</v>
      </c>
      <c r="I676" s="465">
        <f ca="1">IFERROR(__xludf.DUMMYFUNCTION("IMPORTRANGE(""https://docs.google.com/spreadsheets/d/1yhBcrRPreicbMKl9Bu_Snb2-OcQAF62RKfhTLhJ2eAA/edit?usp=sharing"",""กาฬสินธุ์!I676"")+IMPORTRANGE(""https://docs.google.com/spreadsheets/d/1aHkj4IaQMThhwWwevcOymEh837vdxeC_PycurhTbGFA/edit?usp=sharing"","&amp;"""ขอนแก่น!I676"")+IMPORTRANGE(""https://docs.google.com/spreadsheets/d/1FvTu2DsIWUjP6WCWra38Bkj_oOl_sOMf14r5Fg5srxU/edit?usp=sharing"",""ชัยภูมิ!I676"")+IMPORTRANGE(""https://docs.google.com/spreadsheets/d/1XVB7oCJ3pr-vBUdflwPQ8Z2LlzhnCvZaaYjAfP-647E/edit"&amp;"?usp=sharing"",""นครพนม!I676"")+IMPORTRANGE(""https://docs.google.com/spreadsheets/d/1Mnpb-8PYAgn85W6KOTD40hc_Xc55CaLfHoGAbrZ8tls/edit?usp=sharing"",""นครราชสีมา!I676"")+IMPORTRANGE(""https://docs.google.com/spreadsheets/d/1xoDLGBv9CYbyosIhki0kTq6IpYNj-gp"&amp;"jxfobnaDiut0/edit?usp=sharing"",""บึงกาฬ!I676"")+IMPORTRANGE(""https://docs.google.com/spreadsheets/d/1MMPq-JyI6DSgQETxuSiXkesP-P7JHuemnE6QJIa-Nlw/edit?usp=sharing"",""บุรีรัมย์!I676"")+IMPORTRANGE(""https://docs.google.com/spreadsheets/d/1l6IZ8xUPgMrESzc"&amp;"TYwhA1k_tPjeQjJPTqlm8Gd9eU5g/edit?usp=sharing"",""มหาสารคาม!I676"")+IMPORTRANGE(""https://docs.google.com/spreadsheets/d/1uB74YLqNjWX6FObjekfB2NtSYigTQyR2rq9u4Ub2Sq4/edit?usp=sharing"",""มุกดาหาร!I676"")+IMPORTRANGE(""https://docs.google.com/spreadsheets/"&amp;"d/1NexK3geCPxCTO1fzNF8dPec7yZyUx3OaWkFBC9HsQOo/edit?usp=sharing"",""ยโสธร!I676"")+IMPORTRANGE(""https://docs.google.com/spreadsheets/d/1v_cJrbBlyqmnHPReHk44g9NrMRdENNlSy_E_c5M9fIg/edit?usp=sharing"",""ร้อยเอ็ด!I676"")+IMPORTRANGE(""https://docs.google.com"&amp;"/spreadsheets/d/1Ul4RCpCX66NxYADU1QpwAPjOmBzW64SsT11s1wzXw_c/edit?usp=sharing"",""เลย!I676"")+IMPORTRANGE(""https://docs.google.com/spreadsheets/d/1bRrNKwbHDVktQG10isr5vbWRtt5spIZPpkOSWgbT5ug/edit?usp=sharing"",""ศรีสะเกษ!I676"")+IMPORTRANGE(""https://doc"&amp;"s.google.com/spreadsheets/d/17P34_Ow5kFBfdQD0qspb2UuPX5zpi6WMrQzslghyvrI/edit?usp=sharing"",""สกลนคร!I676"")+IMPORTRANGE(""https://docs.google.com/spreadsheets/d/1yswqbM3-AEpThF3ZSUa1AcmHnmRTF1vlJ1CZGcJ8YuU/edit?usp=sharing"",""สุรินทร์!I676"")+IMPORTRANG"&amp;"E(""https://docs.google.com/spreadsheets/d/13JHU_EFbsQOUQ0JSQ3dWy1VTRosIWcDq6Nc99z2qzdc/edit?usp=sharing"",""หนองคาย!I676"")+IMPORTRANGE(""https://docs.google.com/spreadsheets/d/1Hx73zIEgVdDZZaYSTc46Dqv64atFhpr3GelxLbaIN8A/edit?usp=sharing"",""หนองบัวลำภู"&amp;"!I676"")+IMPORTRANGE(""https://docs.google.com/spreadsheets/d/1lFxr3ctmjFN90yc-xV6jrQ9Ty8BKYVBWnAZ15wcNIJc/edit?usp=sharing"",""อำนาจเจริญ!I676"")+IMPORTRANGE(""https://docs.google.com/spreadsheets/d/1gF7RJpRnL-1oyjyeWxs5SFWEH7y8ahOZsQlyp2A2e-A/edit?usp=s"&amp;"haring"",""อุดรธานี!I676"")+IMPORTRANGE(""https://docs.google.com/spreadsheets/d/1kfLP0j3INXRa8bTDpcEmoWewMBV61jlFlfzczfjWIgc/edit?usp=sharing"",""อุบลราชธานี!I676"")"),35)</f>
        <v>35</v>
      </c>
      <c r="J676" s="465">
        <f ca="1">IFERROR(__xludf.DUMMYFUNCTION("IMPORTRANGE(""https://docs.google.com/spreadsheets/d/1yhBcrRPreicbMKl9Bu_Snb2-OcQAF62RKfhTLhJ2eAA/edit?usp=sharing"",""กาฬสินธุ์!J676"")+IMPORTRANGE(""https://docs.google.com/spreadsheets/d/1aHkj4IaQMThhwWwevcOymEh837vdxeC_PycurhTbGFA/edit?usp=sharing"","&amp;"""ขอนแก่น!J676"")+IMPORTRANGE(""https://docs.google.com/spreadsheets/d/1FvTu2DsIWUjP6WCWra38Bkj_oOl_sOMf14r5Fg5srxU/edit?usp=sharing"",""ชัยภูมิ!J676"")+IMPORTRANGE(""https://docs.google.com/spreadsheets/d/1XVB7oCJ3pr-vBUdflwPQ8Z2LlzhnCvZaaYjAfP-647E/edit"&amp;"?usp=sharing"",""นครพนม!J676"")+IMPORTRANGE(""https://docs.google.com/spreadsheets/d/1Mnpb-8PYAgn85W6KOTD40hc_Xc55CaLfHoGAbrZ8tls/edit?usp=sharing"",""นครราชสีมา!J676"")+IMPORTRANGE(""https://docs.google.com/spreadsheets/d/1xoDLGBv9CYbyosIhki0kTq6IpYNj-gp"&amp;"jxfobnaDiut0/edit?usp=sharing"",""บึงกาฬ!J676"")+IMPORTRANGE(""https://docs.google.com/spreadsheets/d/1MMPq-JyI6DSgQETxuSiXkesP-P7JHuemnE6QJIa-Nlw/edit?usp=sharing"",""บุรีรัมย์!J676"")+IMPORTRANGE(""https://docs.google.com/spreadsheets/d/1l6IZ8xUPgMrESzc"&amp;"TYwhA1k_tPjeQjJPTqlm8Gd9eU5g/edit?usp=sharing"",""มหาสารคาม!J676"")+IMPORTRANGE(""https://docs.google.com/spreadsheets/d/1uB74YLqNjWX6FObjekfB2NtSYigTQyR2rq9u4Ub2Sq4/edit?usp=sharing"",""มุกดาหาร!J676"")+IMPORTRANGE(""https://docs.google.com/spreadsheets/"&amp;"d/1NexK3geCPxCTO1fzNF8dPec7yZyUx3OaWkFBC9HsQOo/edit?usp=sharing"",""ยโสธร!J676"")+IMPORTRANGE(""https://docs.google.com/spreadsheets/d/1v_cJrbBlyqmnHPReHk44g9NrMRdENNlSy_E_c5M9fIg/edit?usp=sharing"",""ร้อยเอ็ด!J676"")+IMPORTRANGE(""https://docs.google.com"&amp;"/spreadsheets/d/1Ul4RCpCX66NxYADU1QpwAPjOmBzW64SsT11s1wzXw_c/edit?usp=sharing"",""เลย!J676"")+IMPORTRANGE(""https://docs.google.com/spreadsheets/d/1bRrNKwbHDVktQG10isr5vbWRtt5spIZPpkOSWgbT5ug/edit?usp=sharing"",""ศรีสะเกษ!J676"")+IMPORTRANGE(""https://doc"&amp;"s.google.com/spreadsheets/d/17P34_Ow5kFBfdQD0qspb2UuPX5zpi6WMrQzslghyvrI/edit?usp=sharing"",""สกลนคร!J676"")+IMPORTRANGE(""https://docs.google.com/spreadsheets/d/1yswqbM3-AEpThF3ZSUa1AcmHnmRTF1vlJ1CZGcJ8YuU/edit?usp=sharing"",""สุรินทร์!J676"")+IMPORTRANG"&amp;"E(""https://docs.google.com/spreadsheets/d/13JHU_EFbsQOUQ0JSQ3dWy1VTRosIWcDq6Nc99z2qzdc/edit?usp=sharing"",""หนองคาย!J676"")+IMPORTRANGE(""https://docs.google.com/spreadsheets/d/1Hx73zIEgVdDZZaYSTc46Dqv64atFhpr3GelxLbaIN8A/edit?usp=sharing"",""หนองบัวลำภู"&amp;"!J676"")+IMPORTRANGE(""https://docs.google.com/spreadsheets/d/1lFxr3ctmjFN90yc-xV6jrQ9Ty8BKYVBWnAZ15wcNIJc/edit?usp=sharing"",""อำนาจเจริญ!J676"")+IMPORTRANGE(""https://docs.google.com/spreadsheets/d/1gF7RJpRnL-1oyjyeWxs5SFWEH7y8ahOZsQlyp2A2e-A/edit?usp=s"&amp;"haring"",""อุดรธานี!J676"")+IMPORTRANGE(""https://docs.google.com/spreadsheets/d/1kfLP0j3INXRa8bTDpcEmoWewMBV61jlFlfzczfjWIgc/edit?usp=sharing"",""อุบลราชธานี!J676"")"),10)</f>
        <v>10</v>
      </c>
      <c r="K676" s="56">
        <f t="shared" ca="1" si="468"/>
        <v>28.571428571428573</v>
      </c>
      <c r="L676" s="55"/>
      <c r="M676" s="55"/>
      <c r="N676" s="55"/>
      <c r="O676" s="55"/>
      <c r="P676" s="55"/>
      <c r="Q676" s="55"/>
      <c r="R676" s="55"/>
      <c r="S676" s="62"/>
      <c r="T676" s="55"/>
      <c r="U676" s="55"/>
    </row>
    <row r="677" spans="1:21" ht="18.75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181">
        <f ca="1">IFERROR(__xludf.DUMMYFUNCTION("IMPORTRANGE(""https://docs.google.com/spreadsheets/d/1yhBcrRPreicbMKl9Bu_Snb2-OcQAF62RKfhTLhJ2eAA/edit?usp=sharing"",""กาฬสินธุ์!J677"")+IMPORTRANGE(""https://docs.google.com/spreadsheets/d/1aHkj4IaQMThhwWwevcOymEh837vdxeC_PycurhTbGFA/edit?usp=sharing"","&amp;"""ขอนแก่น!J677"")+IMPORTRANGE(""https://docs.google.com/spreadsheets/d/1FvTu2DsIWUjP6WCWra38Bkj_oOl_sOMf14r5Fg5srxU/edit?usp=sharing"",""ชัยภูมิ!J677"")+IMPORTRANGE(""https://docs.google.com/spreadsheets/d/1XVB7oCJ3pr-vBUdflwPQ8Z2LlzhnCvZaaYjAfP-647E/edit"&amp;"?usp=sharing"",""นครพนม!J677"")+IMPORTRANGE(""https://docs.google.com/spreadsheets/d/1Mnpb-8PYAgn85W6KOTD40hc_Xc55CaLfHoGAbrZ8tls/edit?usp=sharing"",""นครราชสีมา!J677"")+IMPORTRANGE(""https://docs.google.com/spreadsheets/d/1xoDLGBv9CYbyosIhki0kTq6IpYNj-gp"&amp;"jxfobnaDiut0/edit?usp=sharing"",""บึงกาฬ!J677"")+IMPORTRANGE(""https://docs.google.com/spreadsheets/d/1MMPq-JyI6DSgQETxuSiXkesP-P7JHuemnE6QJIa-Nlw/edit?usp=sharing"",""บุรีรัมย์!J677"")+IMPORTRANGE(""https://docs.google.com/spreadsheets/d/1l6IZ8xUPgMrESzc"&amp;"TYwhA1k_tPjeQjJPTqlm8Gd9eU5g/edit?usp=sharing"",""มหาสารคาม!J677"")+IMPORTRANGE(""https://docs.google.com/spreadsheets/d/1uB74YLqNjWX6FObjekfB2NtSYigTQyR2rq9u4Ub2Sq4/edit?usp=sharing"",""มุกดาหาร!J677"")+IMPORTRANGE(""https://docs.google.com/spreadsheets/"&amp;"d/1NexK3geCPxCTO1fzNF8dPec7yZyUx3OaWkFBC9HsQOo/edit?usp=sharing"",""ยโสธร!J677"")+IMPORTRANGE(""https://docs.google.com/spreadsheets/d/1v_cJrbBlyqmnHPReHk44g9NrMRdENNlSy_E_c5M9fIg/edit?usp=sharing"",""ร้อยเอ็ด!J677"")+IMPORTRANGE(""https://docs.google.com"&amp;"/spreadsheets/d/1Ul4RCpCX66NxYADU1QpwAPjOmBzW64SsT11s1wzXw_c/edit?usp=sharing"",""เลย!J677"")+IMPORTRANGE(""https://docs.google.com/spreadsheets/d/1bRrNKwbHDVktQG10isr5vbWRtt5spIZPpkOSWgbT5ug/edit?usp=sharing"",""ศรีสะเกษ!J677"")+IMPORTRANGE(""https://doc"&amp;"s.google.com/spreadsheets/d/17P34_Ow5kFBfdQD0qspb2UuPX5zpi6WMrQzslghyvrI/edit?usp=sharing"",""สกลนคร!J677"")+IMPORTRANGE(""https://docs.google.com/spreadsheets/d/1yswqbM3-AEpThF3ZSUa1AcmHnmRTF1vlJ1CZGcJ8YuU/edit?usp=sharing"",""สุรินทร์!J677"")+IMPORTRANG"&amp;"E(""https://docs.google.com/spreadsheets/d/13JHU_EFbsQOUQ0JSQ3dWy1VTRosIWcDq6Nc99z2qzdc/edit?usp=sharing"",""หนองคาย!J677"")+IMPORTRANGE(""https://docs.google.com/spreadsheets/d/1Hx73zIEgVdDZZaYSTc46Dqv64atFhpr3GelxLbaIN8A/edit?usp=sharing"",""หนองบัวลำภู"&amp;"!J677"")+IMPORTRANGE(""https://docs.google.com/spreadsheets/d/1lFxr3ctmjFN90yc-xV6jrQ9Ty8BKYVBWnAZ15wcNIJc/edit?usp=sharing"",""อำนาจเจริญ!J677"")+IMPORTRANGE(""https://docs.google.com/spreadsheets/d/1gF7RJpRnL-1oyjyeWxs5SFWEH7y8ahOZsQlyp2A2e-A/edit?usp=s"&amp;"haring"",""อุดรธานี!J677"")+IMPORTRANGE(""https://docs.google.com/spreadsheets/d/1kfLP0j3INXRa8bTDpcEmoWewMBV61jlFlfzczfjWIgc/edit?usp=sharing"",""อุบลราชธานี!J677"")"),10)</f>
        <v>10</v>
      </c>
      <c r="K677" s="55"/>
      <c r="L677" s="468"/>
      <c r="M677" s="468"/>
      <c r="N677" s="468"/>
      <c r="O677" s="55"/>
      <c r="P677" s="55"/>
      <c r="Q677" s="468"/>
      <c r="R677" s="468"/>
      <c r="S677" s="469"/>
      <c r="T677" s="55"/>
      <c r="U677" s="55"/>
    </row>
    <row r="678" spans="1:21" ht="18.75">
      <c r="A678" s="238"/>
      <c r="B678" s="188"/>
      <c r="C678" s="188"/>
      <c r="D678" s="50"/>
      <c r="E678" s="50"/>
      <c r="F678" s="50"/>
      <c r="G678" s="52"/>
      <c r="H678" s="165" t="s">
        <v>46</v>
      </c>
      <c r="I678" s="465">
        <f ca="1">IFERROR(__xludf.DUMMYFUNCTION("IMPORTRANGE(""https://docs.google.com/spreadsheets/d/1yhBcrRPreicbMKl9Bu_Snb2-OcQAF62RKfhTLhJ2eAA/edit?usp=sharing"",""กาฬสินธุ์!I678"")+IMPORTRANGE(""https://docs.google.com/spreadsheets/d/1aHkj4IaQMThhwWwevcOymEh837vdxeC_PycurhTbGFA/edit?usp=sharing"","&amp;"""ขอนแก่น!I678"")+IMPORTRANGE(""https://docs.google.com/spreadsheets/d/1FvTu2DsIWUjP6WCWra38Bkj_oOl_sOMf14r5Fg5srxU/edit?usp=sharing"",""ชัยภูมิ!I678"")+IMPORTRANGE(""https://docs.google.com/spreadsheets/d/1XVB7oCJ3pr-vBUdflwPQ8Z2LlzhnCvZaaYjAfP-647E/edit"&amp;"?usp=sharing"",""นครพนม!I678"")+IMPORTRANGE(""https://docs.google.com/spreadsheets/d/1Mnpb-8PYAgn85W6KOTD40hc_Xc55CaLfHoGAbrZ8tls/edit?usp=sharing"",""นครราชสีมา!I678"")+IMPORTRANGE(""https://docs.google.com/spreadsheets/d/1xoDLGBv9CYbyosIhki0kTq6IpYNj-gp"&amp;"jxfobnaDiut0/edit?usp=sharing"",""บึงกาฬ!I678"")+IMPORTRANGE(""https://docs.google.com/spreadsheets/d/1MMPq-JyI6DSgQETxuSiXkesP-P7JHuemnE6QJIa-Nlw/edit?usp=sharing"",""บุรีรัมย์!I678"")+IMPORTRANGE(""https://docs.google.com/spreadsheets/d/1l6IZ8xUPgMrESzc"&amp;"TYwhA1k_tPjeQjJPTqlm8Gd9eU5g/edit?usp=sharing"",""มหาสารคาม!I678"")+IMPORTRANGE(""https://docs.google.com/spreadsheets/d/1uB74YLqNjWX6FObjekfB2NtSYigTQyR2rq9u4Ub2Sq4/edit?usp=sharing"",""มุกดาหาร!I678"")+IMPORTRANGE(""https://docs.google.com/spreadsheets/"&amp;"d/1NexK3geCPxCTO1fzNF8dPec7yZyUx3OaWkFBC9HsQOo/edit?usp=sharing"",""ยโสธร!I678"")+IMPORTRANGE(""https://docs.google.com/spreadsheets/d/1v_cJrbBlyqmnHPReHk44g9NrMRdENNlSy_E_c5M9fIg/edit?usp=sharing"",""ร้อยเอ็ด!I678"")+IMPORTRANGE(""https://docs.google.com"&amp;"/spreadsheets/d/1Ul4RCpCX66NxYADU1QpwAPjOmBzW64SsT11s1wzXw_c/edit?usp=sharing"",""เลย!I678"")+IMPORTRANGE(""https://docs.google.com/spreadsheets/d/1bRrNKwbHDVktQG10isr5vbWRtt5spIZPpkOSWgbT5ug/edit?usp=sharing"",""ศรีสะเกษ!I678"")+IMPORTRANGE(""https://doc"&amp;"s.google.com/spreadsheets/d/17P34_Ow5kFBfdQD0qspb2UuPX5zpi6WMrQzslghyvrI/edit?usp=sharing"",""สกลนคร!I678"")+IMPORTRANGE(""https://docs.google.com/spreadsheets/d/1yswqbM3-AEpThF3ZSUa1AcmHnmRTF1vlJ1CZGcJ8YuU/edit?usp=sharing"",""สุรินทร์!I678"")+IMPORTRANG"&amp;"E(""https://docs.google.com/spreadsheets/d/13JHU_EFbsQOUQ0JSQ3dWy1VTRosIWcDq6Nc99z2qzdc/edit?usp=sharing"",""หนองคาย!I678"")+IMPORTRANGE(""https://docs.google.com/spreadsheets/d/1Hx73zIEgVdDZZaYSTc46Dqv64atFhpr3GelxLbaIN8A/edit?usp=sharing"",""หนองบัวลำภู"&amp;"!I678"")+IMPORTRANGE(""https://docs.google.com/spreadsheets/d/1lFxr3ctmjFN90yc-xV6jrQ9Ty8BKYVBWnAZ15wcNIJc/edit?usp=sharing"",""อำนาจเจริญ!I678"")+IMPORTRANGE(""https://docs.google.com/spreadsheets/d/1gF7RJpRnL-1oyjyeWxs5SFWEH7y8ahOZsQlyp2A2e-A/edit?usp=s"&amp;"haring"",""อุดรธานี!I678"")+IMPORTRANGE(""https://docs.google.com/spreadsheets/d/1kfLP0j3INXRa8bTDpcEmoWewMBV61jlFlfzczfjWIgc/edit?usp=sharing"",""อุบลราชธานี!I678"")"),274)</f>
        <v>274</v>
      </c>
      <c r="J678" s="465">
        <f ca="1">IFERROR(__xludf.DUMMYFUNCTION("IMPORTRANGE(""https://docs.google.com/spreadsheets/d/1yhBcrRPreicbMKl9Bu_Snb2-OcQAF62RKfhTLhJ2eAA/edit?usp=sharing"",""กาฬสินธุ์!J678"")+IMPORTRANGE(""https://docs.google.com/spreadsheets/d/1aHkj4IaQMThhwWwevcOymEh837vdxeC_PycurhTbGFA/edit?usp=sharing"","&amp;"""ขอนแก่น!J678"")+IMPORTRANGE(""https://docs.google.com/spreadsheets/d/1FvTu2DsIWUjP6WCWra38Bkj_oOl_sOMf14r5Fg5srxU/edit?usp=sharing"",""ชัยภูมิ!J678"")+IMPORTRANGE(""https://docs.google.com/spreadsheets/d/1XVB7oCJ3pr-vBUdflwPQ8Z2LlzhnCvZaaYjAfP-647E/edit"&amp;"?usp=sharing"",""นครพนม!J678"")+IMPORTRANGE(""https://docs.google.com/spreadsheets/d/1Mnpb-8PYAgn85W6KOTD40hc_Xc55CaLfHoGAbrZ8tls/edit?usp=sharing"",""นครราชสีมา!J678"")+IMPORTRANGE(""https://docs.google.com/spreadsheets/d/1xoDLGBv9CYbyosIhki0kTq6IpYNj-gp"&amp;"jxfobnaDiut0/edit?usp=sharing"",""บึงกาฬ!J678"")+IMPORTRANGE(""https://docs.google.com/spreadsheets/d/1MMPq-JyI6DSgQETxuSiXkesP-P7JHuemnE6QJIa-Nlw/edit?usp=sharing"",""บุรีรัมย์!J678"")+IMPORTRANGE(""https://docs.google.com/spreadsheets/d/1l6IZ8xUPgMrESzc"&amp;"TYwhA1k_tPjeQjJPTqlm8Gd9eU5g/edit?usp=sharing"",""มหาสารคาม!J678"")+IMPORTRANGE(""https://docs.google.com/spreadsheets/d/1uB74YLqNjWX6FObjekfB2NtSYigTQyR2rq9u4Ub2Sq4/edit?usp=sharing"",""มุกดาหาร!J678"")+IMPORTRANGE(""https://docs.google.com/spreadsheets/"&amp;"d/1NexK3geCPxCTO1fzNF8dPec7yZyUx3OaWkFBC9HsQOo/edit?usp=sharing"",""ยโสธร!J678"")+IMPORTRANGE(""https://docs.google.com/spreadsheets/d/1v_cJrbBlyqmnHPReHk44g9NrMRdENNlSy_E_c5M9fIg/edit?usp=sharing"",""ร้อยเอ็ด!J678"")+IMPORTRANGE(""https://docs.google.com"&amp;"/spreadsheets/d/1Ul4RCpCX66NxYADU1QpwAPjOmBzW64SsT11s1wzXw_c/edit?usp=sharing"",""เลย!J678"")+IMPORTRANGE(""https://docs.google.com/spreadsheets/d/1bRrNKwbHDVktQG10isr5vbWRtt5spIZPpkOSWgbT5ug/edit?usp=sharing"",""ศรีสะเกษ!J678"")+IMPORTRANGE(""https://doc"&amp;"s.google.com/spreadsheets/d/17P34_Ow5kFBfdQD0qspb2UuPX5zpi6WMrQzslghyvrI/edit?usp=sharing"",""สกลนคร!J678"")+IMPORTRANGE(""https://docs.google.com/spreadsheets/d/1yswqbM3-AEpThF3ZSUa1AcmHnmRTF1vlJ1CZGcJ8YuU/edit?usp=sharing"",""สุรินทร์!J678"")+IMPORTRANG"&amp;"E(""https://docs.google.com/spreadsheets/d/13JHU_EFbsQOUQ0JSQ3dWy1VTRosIWcDq6Nc99z2qzdc/edit?usp=sharing"",""หนองคาย!J678"")+IMPORTRANGE(""https://docs.google.com/spreadsheets/d/1Hx73zIEgVdDZZaYSTc46Dqv64atFhpr3GelxLbaIN8A/edit?usp=sharing"",""หนองบัวลำภู"&amp;"!J678"")+IMPORTRANGE(""https://docs.google.com/spreadsheets/d/1lFxr3ctmjFN90yc-xV6jrQ9Ty8BKYVBWnAZ15wcNIJc/edit?usp=sharing"",""อำนาจเจริญ!J678"")+IMPORTRANGE(""https://docs.google.com/spreadsheets/d/1gF7RJpRnL-1oyjyeWxs5SFWEH7y8ahOZsQlyp2A2e-A/edit?usp=s"&amp;"haring"",""อุดรธานี!J678"")+IMPORTRANGE(""https://docs.google.com/spreadsheets/d/1kfLP0j3INXRa8bTDpcEmoWewMBV61jlFlfzczfjWIgc/edit?usp=sharing"",""อุบลราชธานี!J678"")"),96.54)</f>
        <v>96.54</v>
      </c>
      <c r="K678" s="56">
        <f t="shared" ref="K678:K679" ca="1" si="469">IF(I678&gt;0,J678*100/I678,0)</f>
        <v>35.23357664233577</v>
      </c>
      <c r="L678" s="468"/>
      <c r="M678" s="468"/>
      <c r="N678" s="468"/>
      <c r="O678" s="55"/>
      <c r="P678" s="55"/>
      <c r="Q678" s="468"/>
      <c r="R678" s="468"/>
      <c r="S678" s="469"/>
      <c r="T678" s="55"/>
      <c r="U678" s="55"/>
    </row>
    <row r="679" spans="1:21" ht="18.75">
      <c r="A679" s="238"/>
      <c r="B679" s="188"/>
      <c r="C679" s="188"/>
      <c r="D679" s="50"/>
      <c r="E679" s="58" t="s">
        <v>251</v>
      </c>
      <c r="F679" s="50"/>
      <c r="G679" s="52"/>
      <c r="H679" s="165" t="s">
        <v>35</v>
      </c>
      <c r="I679" s="465">
        <f ca="1">IFERROR(__xludf.DUMMYFUNCTION("IMPORTRANGE(""https://docs.google.com/spreadsheets/d/1yhBcrRPreicbMKl9Bu_Snb2-OcQAF62RKfhTLhJ2eAA/edit?usp=sharing"",""กาฬสินธุ์!I679"")+IMPORTRANGE(""https://docs.google.com/spreadsheets/d/1aHkj4IaQMThhwWwevcOymEh837vdxeC_PycurhTbGFA/edit?usp=sharing"","&amp;"""ขอนแก่น!I679"")+IMPORTRANGE(""https://docs.google.com/spreadsheets/d/1FvTu2DsIWUjP6WCWra38Bkj_oOl_sOMf14r5Fg5srxU/edit?usp=sharing"",""ชัยภูมิ!I679"")+IMPORTRANGE(""https://docs.google.com/spreadsheets/d/1XVB7oCJ3pr-vBUdflwPQ8Z2LlzhnCvZaaYjAfP-647E/edit"&amp;"?usp=sharing"",""นครพนม!I679"")+IMPORTRANGE(""https://docs.google.com/spreadsheets/d/1Mnpb-8PYAgn85W6KOTD40hc_Xc55CaLfHoGAbrZ8tls/edit?usp=sharing"",""นครราชสีมา!I679"")+IMPORTRANGE(""https://docs.google.com/spreadsheets/d/1xoDLGBv9CYbyosIhki0kTq6IpYNj-gp"&amp;"jxfobnaDiut0/edit?usp=sharing"",""บึงกาฬ!I679"")+IMPORTRANGE(""https://docs.google.com/spreadsheets/d/1MMPq-JyI6DSgQETxuSiXkesP-P7JHuemnE6QJIa-Nlw/edit?usp=sharing"",""บุรีรัมย์!I679"")+IMPORTRANGE(""https://docs.google.com/spreadsheets/d/1l6IZ8xUPgMrESzc"&amp;"TYwhA1k_tPjeQjJPTqlm8Gd9eU5g/edit?usp=sharing"",""มหาสารคาม!I679"")+IMPORTRANGE(""https://docs.google.com/spreadsheets/d/1uB74YLqNjWX6FObjekfB2NtSYigTQyR2rq9u4Ub2Sq4/edit?usp=sharing"",""มุกดาหาร!I679"")+IMPORTRANGE(""https://docs.google.com/spreadsheets/"&amp;"d/1NexK3geCPxCTO1fzNF8dPec7yZyUx3OaWkFBC9HsQOo/edit?usp=sharing"",""ยโสธร!I679"")+IMPORTRANGE(""https://docs.google.com/spreadsheets/d/1v_cJrbBlyqmnHPReHk44g9NrMRdENNlSy_E_c5M9fIg/edit?usp=sharing"",""ร้อยเอ็ด!I679"")+IMPORTRANGE(""https://docs.google.com"&amp;"/spreadsheets/d/1Ul4RCpCX66NxYADU1QpwAPjOmBzW64SsT11s1wzXw_c/edit?usp=sharing"",""เลย!I679"")+IMPORTRANGE(""https://docs.google.com/spreadsheets/d/1bRrNKwbHDVktQG10isr5vbWRtt5spIZPpkOSWgbT5ug/edit?usp=sharing"",""ศรีสะเกษ!I679"")+IMPORTRANGE(""https://doc"&amp;"s.google.com/spreadsheets/d/17P34_Ow5kFBfdQD0qspb2UuPX5zpi6WMrQzslghyvrI/edit?usp=sharing"",""สกลนคร!I679"")+IMPORTRANGE(""https://docs.google.com/spreadsheets/d/1yswqbM3-AEpThF3ZSUa1AcmHnmRTF1vlJ1CZGcJ8YuU/edit?usp=sharing"",""สุรินทร์!I679"")+IMPORTRANG"&amp;"E(""https://docs.google.com/spreadsheets/d/13JHU_EFbsQOUQ0JSQ3dWy1VTRosIWcDq6Nc99z2qzdc/edit?usp=sharing"",""หนองคาย!I679"")+IMPORTRANGE(""https://docs.google.com/spreadsheets/d/1Hx73zIEgVdDZZaYSTc46Dqv64atFhpr3GelxLbaIN8A/edit?usp=sharing"",""หนองบัวลำภู"&amp;"!I679"")+IMPORTRANGE(""https://docs.google.com/spreadsheets/d/1lFxr3ctmjFN90yc-xV6jrQ9Ty8BKYVBWnAZ15wcNIJc/edit?usp=sharing"",""อำนาจเจริญ!I679"")+IMPORTRANGE(""https://docs.google.com/spreadsheets/d/1gF7RJpRnL-1oyjyeWxs5SFWEH7y8ahOZsQlyp2A2e-A/edit?usp=s"&amp;"haring"",""อุดรธานี!I679"")+IMPORTRANGE(""https://docs.google.com/spreadsheets/d/1kfLP0j3INXRa8bTDpcEmoWewMBV61jlFlfzczfjWIgc/edit?usp=sharing"",""อุบลราชธานี!I679"")"),0)</f>
        <v>0</v>
      </c>
      <c r="J679" s="465">
        <f ca="1">IFERROR(__xludf.DUMMYFUNCTION("IMPORTRANGE(""https://docs.google.com/spreadsheets/d/1yhBcrRPreicbMKl9Bu_Snb2-OcQAF62RKfhTLhJ2eAA/edit?usp=sharing"",""กาฬสินธุ์!J679"")+IMPORTRANGE(""https://docs.google.com/spreadsheets/d/1aHkj4IaQMThhwWwevcOymEh837vdxeC_PycurhTbGFA/edit?usp=sharing"","&amp;"""ขอนแก่น!J679"")+IMPORTRANGE(""https://docs.google.com/spreadsheets/d/1FvTu2DsIWUjP6WCWra38Bkj_oOl_sOMf14r5Fg5srxU/edit?usp=sharing"",""ชัยภูมิ!J679"")+IMPORTRANGE(""https://docs.google.com/spreadsheets/d/1XVB7oCJ3pr-vBUdflwPQ8Z2LlzhnCvZaaYjAfP-647E/edit"&amp;"?usp=sharing"",""นครพนม!J679"")+IMPORTRANGE(""https://docs.google.com/spreadsheets/d/1Mnpb-8PYAgn85W6KOTD40hc_Xc55CaLfHoGAbrZ8tls/edit?usp=sharing"",""นครราชสีมา!J679"")+IMPORTRANGE(""https://docs.google.com/spreadsheets/d/1xoDLGBv9CYbyosIhki0kTq6IpYNj-gp"&amp;"jxfobnaDiut0/edit?usp=sharing"",""บึงกาฬ!J679"")+IMPORTRANGE(""https://docs.google.com/spreadsheets/d/1MMPq-JyI6DSgQETxuSiXkesP-P7JHuemnE6QJIa-Nlw/edit?usp=sharing"",""บุรีรัมย์!J679"")+IMPORTRANGE(""https://docs.google.com/spreadsheets/d/1l6IZ8xUPgMrESzc"&amp;"TYwhA1k_tPjeQjJPTqlm8Gd9eU5g/edit?usp=sharing"",""มหาสารคาม!J679"")+IMPORTRANGE(""https://docs.google.com/spreadsheets/d/1uB74YLqNjWX6FObjekfB2NtSYigTQyR2rq9u4Ub2Sq4/edit?usp=sharing"",""มุกดาหาร!J679"")+IMPORTRANGE(""https://docs.google.com/spreadsheets/"&amp;"d/1NexK3geCPxCTO1fzNF8dPec7yZyUx3OaWkFBC9HsQOo/edit?usp=sharing"",""ยโสธร!J679"")+IMPORTRANGE(""https://docs.google.com/spreadsheets/d/1v_cJrbBlyqmnHPReHk44g9NrMRdENNlSy_E_c5M9fIg/edit?usp=sharing"",""ร้อยเอ็ด!J679"")+IMPORTRANGE(""https://docs.google.com"&amp;"/spreadsheets/d/1Ul4RCpCX66NxYADU1QpwAPjOmBzW64SsT11s1wzXw_c/edit?usp=sharing"",""เลย!J679"")+IMPORTRANGE(""https://docs.google.com/spreadsheets/d/1bRrNKwbHDVktQG10isr5vbWRtt5spIZPpkOSWgbT5ug/edit?usp=sharing"",""ศรีสะเกษ!J679"")+IMPORTRANGE(""https://doc"&amp;"s.google.com/spreadsheets/d/17P34_Ow5kFBfdQD0qspb2UuPX5zpi6WMrQzslghyvrI/edit?usp=sharing"",""สกลนคร!J679"")+IMPORTRANGE(""https://docs.google.com/spreadsheets/d/1yswqbM3-AEpThF3ZSUa1AcmHnmRTF1vlJ1CZGcJ8YuU/edit?usp=sharing"",""สุรินทร์!J679"")+IMPORTRANG"&amp;"E(""https://docs.google.com/spreadsheets/d/13JHU_EFbsQOUQ0JSQ3dWy1VTRosIWcDq6Nc99z2qzdc/edit?usp=sharing"",""หนองคาย!J679"")+IMPORTRANGE(""https://docs.google.com/spreadsheets/d/1Hx73zIEgVdDZZaYSTc46Dqv64atFhpr3GelxLbaIN8A/edit?usp=sharing"",""หนองบัวลำภู"&amp;"!J679"")+IMPORTRANGE(""https://docs.google.com/spreadsheets/d/1lFxr3ctmjFN90yc-xV6jrQ9Ty8BKYVBWnAZ15wcNIJc/edit?usp=sharing"",""อำนาจเจริญ!J679"")+IMPORTRANGE(""https://docs.google.com/spreadsheets/d/1gF7RJpRnL-1oyjyeWxs5SFWEH7y8ahOZsQlyp2A2e-A/edit?usp=s"&amp;"haring"",""อุดรธานี!J679"")+IMPORTRANGE(""https://docs.google.com/spreadsheets/d/1kfLP0j3INXRa8bTDpcEmoWewMBV61jlFlfzczfjWIgc/edit?usp=sharing"",""อุบลราชธานี!J679"")"),0)</f>
        <v>0</v>
      </c>
      <c r="K679" s="56">
        <f t="shared" ca="1" si="469"/>
        <v>0</v>
      </c>
      <c r="L679" s="55"/>
      <c r="M679" s="55"/>
      <c r="N679" s="55"/>
      <c r="O679" s="55"/>
      <c r="P679" s="55"/>
      <c r="Q679" s="55"/>
      <c r="R679" s="55"/>
      <c r="S679" s="62"/>
      <c r="T679" s="55"/>
      <c r="U679" s="55"/>
    </row>
    <row r="680" spans="1:21" ht="18.75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181">
        <f ca="1">IFERROR(__xludf.DUMMYFUNCTION("IMPORTRANGE(""https://docs.google.com/spreadsheets/d/1yhBcrRPreicbMKl9Bu_Snb2-OcQAF62RKfhTLhJ2eAA/edit?usp=sharing"",""กาฬสินธุ์!J680"")+IMPORTRANGE(""https://docs.google.com/spreadsheets/d/1aHkj4IaQMThhwWwevcOymEh837vdxeC_PycurhTbGFA/edit?usp=sharing"","&amp;"""ขอนแก่น!J680"")+IMPORTRANGE(""https://docs.google.com/spreadsheets/d/1FvTu2DsIWUjP6WCWra38Bkj_oOl_sOMf14r5Fg5srxU/edit?usp=sharing"",""ชัยภูมิ!J680"")+IMPORTRANGE(""https://docs.google.com/spreadsheets/d/1XVB7oCJ3pr-vBUdflwPQ8Z2LlzhnCvZaaYjAfP-647E/edit"&amp;"?usp=sharing"",""นครพนม!J680"")+IMPORTRANGE(""https://docs.google.com/spreadsheets/d/1Mnpb-8PYAgn85W6KOTD40hc_Xc55CaLfHoGAbrZ8tls/edit?usp=sharing"",""นครราชสีมา!J680"")+IMPORTRANGE(""https://docs.google.com/spreadsheets/d/1xoDLGBv9CYbyosIhki0kTq6IpYNj-gp"&amp;"jxfobnaDiut0/edit?usp=sharing"",""บึงกาฬ!J680"")+IMPORTRANGE(""https://docs.google.com/spreadsheets/d/1MMPq-JyI6DSgQETxuSiXkesP-P7JHuemnE6QJIa-Nlw/edit?usp=sharing"",""บุรีรัมย์!J680"")+IMPORTRANGE(""https://docs.google.com/spreadsheets/d/1l6IZ8xUPgMrESzc"&amp;"TYwhA1k_tPjeQjJPTqlm8Gd9eU5g/edit?usp=sharing"",""มหาสารคาม!J680"")+IMPORTRANGE(""https://docs.google.com/spreadsheets/d/1uB74YLqNjWX6FObjekfB2NtSYigTQyR2rq9u4Ub2Sq4/edit?usp=sharing"",""มุกดาหาร!J680"")+IMPORTRANGE(""https://docs.google.com/spreadsheets/"&amp;"d/1NexK3geCPxCTO1fzNF8dPec7yZyUx3OaWkFBC9HsQOo/edit?usp=sharing"",""ยโสธร!J680"")+IMPORTRANGE(""https://docs.google.com/spreadsheets/d/1v_cJrbBlyqmnHPReHk44g9NrMRdENNlSy_E_c5M9fIg/edit?usp=sharing"",""ร้อยเอ็ด!J680"")+IMPORTRANGE(""https://docs.google.com"&amp;"/spreadsheets/d/1Ul4RCpCX66NxYADU1QpwAPjOmBzW64SsT11s1wzXw_c/edit?usp=sharing"",""เลย!J680"")+IMPORTRANGE(""https://docs.google.com/spreadsheets/d/1bRrNKwbHDVktQG10isr5vbWRtt5spIZPpkOSWgbT5ug/edit?usp=sharing"",""ศรีสะเกษ!J680"")+IMPORTRANGE(""https://doc"&amp;"s.google.com/spreadsheets/d/17P34_Ow5kFBfdQD0qspb2UuPX5zpi6WMrQzslghyvrI/edit?usp=sharing"",""สกลนคร!J680"")+IMPORTRANGE(""https://docs.google.com/spreadsheets/d/1yswqbM3-AEpThF3ZSUa1AcmHnmRTF1vlJ1CZGcJ8YuU/edit?usp=sharing"",""สุรินทร์!J680"")+IMPORTRANG"&amp;"E(""https://docs.google.com/spreadsheets/d/13JHU_EFbsQOUQ0JSQ3dWy1VTRosIWcDq6Nc99z2qzdc/edit?usp=sharing"",""หนองคาย!J680"")+IMPORTRANGE(""https://docs.google.com/spreadsheets/d/1Hx73zIEgVdDZZaYSTc46Dqv64atFhpr3GelxLbaIN8A/edit?usp=sharing"",""หนองบัวลำภู"&amp;"!J680"")+IMPORTRANGE(""https://docs.google.com/spreadsheets/d/1lFxr3ctmjFN90yc-xV6jrQ9Ty8BKYVBWnAZ15wcNIJc/edit?usp=sharing"",""อำนาจเจริญ!J680"")+IMPORTRANGE(""https://docs.google.com/spreadsheets/d/1gF7RJpRnL-1oyjyeWxs5SFWEH7y8ahOZsQlyp2A2e-A/edit?usp=s"&amp;"haring"",""อุดรธานี!J680"")+IMPORTRANGE(""https://docs.google.com/spreadsheets/d/1kfLP0j3INXRa8bTDpcEmoWewMBV61jlFlfzczfjWIgc/edit?usp=sharing"",""อุบลราชธานี!J680"")"),0)</f>
        <v>0</v>
      </c>
      <c r="K680" s="55"/>
      <c r="L680" s="468"/>
      <c r="M680" s="468"/>
      <c r="N680" s="468"/>
      <c r="O680" s="55"/>
      <c r="P680" s="55"/>
      <c r="Q680" s="468"/>
      <c r="R680" s="468"/>
      <c r="S680" s="469"/>
      <c r="T680" s="55"/>
      <c r="U680" s="55"/>
    </row>
    <row r="681" spans="1:21" ht="18.75">
      <c r="A681" s="238"/>
      <c r="B681" s="188"/>
      <c r="C681" s="188"/>
      <c r="D681" s="50"/>
      <c r="E681" s="50"/>
      <c r="F681" s="50"/>
      <c r="G681" s="52"/>
      <c r="H681" s="165" t="s">
        <v>46</v>
      </c>
      <c r="I681" s="465">
        <f ca="1">IFERROR(__xludf.DUMMYFUNCTION("IMPORTRANGE(""https://docs.google.com/spreadsheets/d/1yhBcrRPreicbMKl9Bu_Snb2-OcQAF62RKfhTLhJ2eAA/edit?usp=sharing"",""กาฬสินธุ์!I681"")+IMPORTRANGE(""https://docs.google.com/spreadsheets/d/1aHkj4IaQMThhwWwevcOymEh837vdxeC_PycurhTbGFA/edit?usp=sharing"","&amp;"""ขอนแก่น!I681"")+IMPORTRANGE(""https://docs.google.com/spreadsheets/d/1FvTu2DsIWUjP6WCWra38Bkj_oOl_sOMf14r5Fg5srxU/edit?usp=sharing"",""ชัยภูมิ!I681"")+IMPORTRANGE(""https://docs.google.com/spreadsheets/d/1XVB7oCJ3pr-vBUdflwPQ8Z2LlzhnCvZaaYjAfP-647E/edit"&amp;"?usp=sharing"",""นครพนม!I681"")+IMPORTRANGE(""https://docs.google.com/spreadsheets/d/1Mnpb-8PYAgn85W6KOTD40hc_Xc55CaLfHoGAbrZ8tls/edit?usp=sharing"",""นครราชสีมา!I681"")+IMPORTRANGE(""https://docs.google.com/spreadsheets/d/1xoDLGBv9CYbyosIhki0kTq6IpYNj-gp"&amp;"jxfobnaDiut0/edit?usp=sharing"",""บึงกาฬ!I681"")+IMPORTRANGE(""https://docs.google.com/spreadsheets/d/1MMPq-JyI6DSgQETxuSiXkesP-P7JHuemnE6QJIa-Nlw/edit?usp=sharing"",""บุรีรัมย์!I681"")+IMPORTRANGE(""https://docs.google.com/spreadsheets/d/1l6IZ8xUPgMrESzc"&amp;"TYwhA1k_tPjeQjJPTqlm8Gd9eU5g/edit?usp=sharing"",""มหาสารคาม!I681"")+IMPORTRANGE(""https://docs.google.com/spreadsheets/d/1uB74YLqNjWX6FObjekfB2NtSYigTQyR2rq9u4Ub2Sq4/edit?usp=sharing"",""มุกดาหาร!I681"")+IMPORTRANGE(""https://docs.google.com/spreadsheets/"&amp;"d/1NexK3geCPxCTO1fzNF8dPec7yZyUx3OaWkFBC9HsQOo/edit?usp=sharing"",""ยโสธร!I681"")+IMPORTRANGE(""https://docs.google.com/spreadsheets/d/1v_cJrbBlyqmnHPReHk44g9NrMRdENNlSy_E_c5M9fIg/edit?usp=sharing"",""ร้อยเอ็ด!I681"")+IMPORTRANGE(""https://docs.google.com"&amp;"/spreadsheets/d/1Ul4RCpCX66NxYADU1QpwAPjOmBzW64SsT11s1wzXw_c/edit?usp=sharing"",""เลย!I681"")+IMPORTRANGE(""https://docs.google.com/spreadsheets/d/1bRrNKwbHDVktQG10isr5vbWRtt5spIZPpkOSWgbT5ug/edit?usp=sharing"",""ศรีสะเกษ!I681"")+IMPORTRANGE(""https://doc"&amp;"s.google.com/spreadsheets/d/17P34_Ow5kFBfdQD0qspb2UuPX5zpi6WMrQzslghyvrI/edit?usp=sharing"",""สกลนคร!I681"")+IMPORTRANGE(""https://docs.google.com/spreadsheets/d/1yswqbM3-AEpThF3ZSUa1AcmHnmRTF1vlJ1CZGcJ8YuU/edit?usp=sharing"",""สุรินทร์!I681"")+IMPORTRANG"&amp;"E(""https://docs.google.com/spreadsheets/d/13JHU_EFbsQOUQ0JSQ3dWy1VTRosIWcDq6Nc99z2qzdc/edit?usp=sharing"",""หนองคาย!I681"")+IMPORTRANGE(""https://docs.google.com/spreadsheets/d/1Hx73zIEgVdDZZaYSTc46Dqv64atFhpr3GelxLbaIN8A/edit?usp=sharing"",""หนองบัวลำภู"&amp;"!I681"")+IMPORTRANGE(""https://docs.google.com/spreadsheets/d/1lFxr3ctmjFN90yc-xV6jrQ9Ty8BKYVBWnAZ15wcNIJc/edit?usp=sharing"",""อำนาจเจริญ!I681"")+IMPORTRANGE(""https://docs.google.com/spreadsheets/d/1gF7RJpRnL-1oyjyeWxs5SFWEH7y8ahOZsQlyp2A2e-A/edit?usp=s"&amp;"haring"",""อุดรธานี!I681"")+IMPORTRANGE(""https://docs.google.com/spreadsheets/d/1kfLP0j3INXRa8bTDpcEmoWewMBV61jlFlfzczfjWIgc/edit?usp=sharing"",""อุบลราชธานี!I681"")"),0)</f>
        <v>0</v>
      </c>
      <c r="J681" s="465">
        <f ca="1">IFERROR(__xludf.DUMMYFUNCTION("IMPORTRANGE(""https://docs.google.com/spreadsheets/d/1yhBcrRPreicbMKl9Bu_Snb2-OcQAF62RKfhTLhJ2eAA/edit?usp=sharing"",""กาฬสินธุ์!J681"")+IMPORTRANGE(""https://docs.google.com/spreadsheets/d/1aHkj4IaQMThhwWwevcOymEh837vdxeC_PycurhTbGFA/edit?usp=sharing"","&amp;"""ขอนแก่น!J681"")+IMPORTRANGE(""https://docs.google.com/spreadsheets/d/1FvTu2DsIWUjP6WCWra38Bkj_oOl_sOMf14r5Fg5srxU/edit?usp=sharing"",""ชัยภูมิ!J681"")+IMPORTRANGE(""https://docs.google.com/spreadsheets/d/1XVB7oCJ3pr-vBUdflwPQ8Z2LlzhnCvZaaYjAfP-647E/edit"&amp;"?usp=sharing"",""นครพนม!J681"")+IMPORTRANGE(""https://docs.google.com/spreadsheets/d/1Mnpb-8PYAgn85W6KOTD40hc_Xc55CaLfHoGAbrZ8tls/edit?usp=sharing"",""นครราชสีมา!J681"")+IMPORTRANGE(""https://docs.google.com/spreadsheets/d/1xoDLGBv9CYbyosIhki0kTq6IpYNj-gp"&amp;"jxfobnaDiut0/edit?usp=sharing"",""บึงกาฬ!J681"")+IMPORTRANGE(""https://docs.google.com/spreadsheets/d/1MMPq-JyI6DSgQETxuSiXkesP-P7JHuemnE6QJIa-Nlw/edit?usp=sharing"",""บุรีรัมย์!J681"")+IMPORTRANGE(""https://docs.google.com/spreadsheets/d/1l6IZ8xUPgMrESzc"&amp;"TYwhA1k_tPjeQjJPTqlm8Gd9eU5g/edit?usp=sharing"",""มหาสารคาม!J681"")+IMPORTRANGE(""https://docs.google.com/spreadsheets/d/1uB74YLqNjWX6FObjekfB2NtSYigTQyR2rq9u4Ub2Sq4/edit?usp=sharing"",""มุกดาหาร!J681"")+IMPORTRANGE(""https://docs.google.com/spreadsheets/"&amp;"d/1NexK3geCPxCTO1fzNF8dPec7yZyUx3OaWkFBC9HsQOo/edit?usp=sharing"",""ยโสธร!J681"")+IMPORTRANGE(""https://docs.google.com/spreadsheets/d/1v_cJrbBlyqmnHPReHk44g9NrMRdENNlSy_E_c5M9fIg/edit?usp=sharing"",""ร้อยเอ็ด!J681"")+IMPORTRANGE(""https://docs.google.com"&amp;"/spreadsheets/d/1Ul4RCpCX66NxYADU1QpwAPjOmBzW64SsT11s1wzXw_c/edit?usp=sharing"",""เลย!J681"")+IMPORTRANGE(""https://docs.google.com/spreadsheets/d/1bRrNKwbHDVktQG10isr5vbWRtt5spIZPpkOSWgbT5ug/edit?usp=sharing"",""ศรีสะเกษ!J681"")+IMPORTRANGE(""https://doc"&amp;"s.google.com/spreadsheets/d/17P34_Ow5kFBfdQD0qspb2UuPX5zpi6WMrQzslghyvrI/edit?usp=sharing"",""สกลนคร!J681"")+IMPORTRANGE(""https://docs.google.com/spreadsheets/d/1yswqbM3-AEpThF3ZSUa1AcmHnmRTF1vlJ1CZGcJ8YuU/edit?usp=sharing"",""สุรินทร์!J681"")+IMPORTRANG"&amp;"E(""https://docs.google.com/spreadsheets/d/13JHU_EFbsQOUQ0JSQ3dWy1VTRosIWcDq6Nc99z2qzdc/edit?usp=sharing"",""หนองคาย!J681"")+IMPORTRANGE(""https://docs.google.com/spreadsheets/d/1Hx73zIEgVdDZZaYSTc46Dqv64atFhpr3GelxLbaIN8A/edit?usp=sharing"",""หนองบัวลำภู"&amp;"!J681"")+IMPORTRANGE(""https://docs.google.com/spreadsheets/d/1lFxr3ctmjFN90yc-xV6jrQ9Ty8BKYVBWnAZ15wcNIJc/edit?usp=sharing"",""อำนาจเจริญ!J681"")+IMPORTRANGE(""https://docs.google.com/spreadsheets/d/1gF7RJpRnL-1oyjyeWxs5SFWEH7y8ahOZsQlyp2A2e-A/edit?usp=s"&amp;"haring"",""อุดรธานี!J681"")+IMPORTRANGE(""https://docs.google.com/spreadsheets/d/1kfLP0j3INXRa8bTDpcEmoWewMBV61jlFlfzczfjWIgc/edit?usp=sharing"",""อุบลราชธานี!J681"")"),0)</f>
        <v>0</v>
      </c>
      <c r="K681" s="56">
        <f t="shared" ref="K681:K682" ca="1" si="470">IF(I681&gt;0,J681*100/I681,0)</f>
        <v>0</v>
      </c>
      <c r="L681" s="468"/>
      <c r="M681" s="468"/>
      <c r="N681" s="468"/>
      <c r="O681" s="55"/>
      <c r="P681" s="55"/>
      <c r="Q681" s="468"/>
      <c r="R681" s="468"/>
      <c r="S681" s="469"/>
      <c r="T681" s="55"/>
      <c r="U681" s="55"/>
    </row>
    <row r="682" spans="1:21" ht="19.5">
      <c r="A682" s="238"/>
      <c r="B682" s="188"/>
      <c r="C682" s="188"/>
      <c r="D682" s="58" t="s">
        <v>252</v>
      </c>
      <c r="E682" s="50"/>
      <c r="F682" s="50"/>
      <c r="G682" s="52"/>
      <c r="H682" s="461" t="s">
        <v>46</v>
      </c>
      <c r="I682" s="466">
        <f ca="1">IFERROR(__xludf.DUMMYFUNCTION("IMPORTRANGE(""https://docs.google.com/spreadsheets/d/1yhBcrRPreicbMKl9Bu_Snb2-OcQAF62RKfhTLhJ2eAA/edit?usp=sharing"",""กาฬสินธุ์!I682"")+IMPORTRANGE(""https://docs.google.com/spreadsheets/d/1aHkj4IaQMThhwWwevcOymEh837vdxeC_PycurhTbGFA/edit?usp=sharing"","&amp;"""ขอนแก่น!I682"")+IMPORTRANGE(""https://docs.google.com/spreadsheets/d/1FvTu2DsIWUjP6WCWra38Bkj_oOl_sOMf14r5Fg5srxU/edit?usp=sharing"",""ชัยภูมิ!I682"")+IMPORTRANGE(""https://docs.google.com/spreadsheets/d/1XVB7oCJ3pr-vBUdflwPQ8Z2LlzhnCvZaaYjAfP-647E/edit"&amp;"?usp=sharing"",""นครพนม!I682"")+IMPORTRANGE(""https://docs.google.com/spreadsheets/d/1Mnpb-8PYAgn85W6KOTD40hc_Xc55CaLfHoGAbrZ8tls/edit?usp=sharing"",""นครราชสีมา!I682"")+IMPORTRANGE(""https://docs.google.com/spreadsheets/d/1xoDLGBv9CYbyosIhki0kTq6IpYNj-gp"&amp;"jxfobnaDiut0/edit?usp=sharing"",""บึงกาฬ!I682"")+IMPORTRANGE(""https://docs.google.com/spreadsheets/d/1MMPq-JyI6DSgQETxuSiXkesP-P7JHuemnE6QJIa-Nlw/edit?usp=sharing"",""บุรีรัมย์!I682"")+IMPORTRANGE(""https://docs.google.com/spreadsheets/d/1l6IZ8xUPgMrESzc"&amp;"TYwhA1k_tPjeQjJPTqlm8Gd9eU5g/edit?usp=sharing"",""มหาสารคาม!I682"")+IMPORTRANGE(""https://docs.google.com/spreadsheets/d/1uB74YLqNjWX6FObjekfB2NtSYigTQyR2rq9u4Ub2Sq4/edit?usp=sharing"",""มุกดาหาร!I682"")+IMPORTRANGE(""https://docs.google.com/spreadsheets/"&amp;"d/1NexK3geCPxCTO1fzNF8dPec7yZyUx3OaWkFBC9HsQOo/edit?usp=sharing"",""ยโสธร!I682"")+IMPORTRANGE(""https://docs.google.com/spreadsheets/d/1v_cJrbBlyqmnHPReHk44g9NrMRdENNlSy_E_c5M9fIg/edit?usp=sharing"",""ร้อยเอ็ด!I682"")+IMPORTRANGE(""https://docs.google.com"&amp;"/spreadsheets/d/1Ul4RCpCX66NxYADU1QpwAPjOmBzW64SsT11s1wzXw_c/edit?usp=sharing"",""เลย!I682"")+IMPORTRANGE(""https://docs.google.com/spreadsheets/d/1bRrNKwbHDVktQG10isr5vbWRtt5spIZPpkOSWgbT5ug/edit?usp=sharing"",""ศรีสะเกษ!I682"")+IMPORTRANGE(""https://doc"&amp;"s.google.com/spreadsheets/d/17P34_Ow5kFBfdQD0qspb2UuPX5zpi6WMrQzslghyvrI/edit?usp=sharing"",""สกลนคร!I682"")+IMPORTRANGE(""https://docs.google.com/spreadsheets/d/1yswqbM3-AEpThF3ZSUa1AcmHnmRTF1vlJ1CZGcJ8YuU/edit?usp=sharing"",""สุรินทร์!I682"")+IMPORTRANG"&amp;"E(""https://docs.google.com/spreadsheets/d/13JHU_EFbsQOUQ0JSQ3dWy1VTRosIWcDq6Nc99z2qzdc/edit?usp=sharing"",""หนองคาย!I682"")+IMPORTRANGE(""https://docs.google.com/spreadsheets/d/1Hx73zIEgVdDZZaYSTc46Dqv64atFhpr3GelxLbaIN8A/edit?usp=sharing"",""หนองบัวลำภู"&amp;"!I682"")+IMPORTRANGE(""https://docs.google.com/spreadsheets/d/1lFxr3ctmjFN90yc-xV6jrQ9Ty8BKYVBWnAZ15wcNIJc/edit?usp=sharing"",""อำนาจเจริญ!I682"")+IMPORTRANGE(""https://docs.google.com/spreadsheets/d/1gF7RJpRnL-1oyjyeWxs5SFWEH7y8ahOZsQlyp2A2e-A/edit?usp=s"&amp;"haring"",""อุดรธานี!I682"")+IMPORTRANGE(""https://docs.google.com/spreadsheets/d/1kfLP0j3INXRa8bTDpcEmoWewMBV61jlFlfzczfjWIgc/edit?usp=sharing"",""อุบลราชธานี!I682"")"),500)</f>
        <v>500</v>
      </c>
      <c r="J682" s="176">
        <f ca="1">J685+J688</f>
        <v>281</v>
      </c>
      <c r="K682" s="159">
        <f t="shared" ca="1" si="470"/>
        <v>56.2</v>
      </c>
      <c r="L682" s="55"/>
      <c r="M682" s="55"/>
      <c r="N682" s="55"/>
      <c r="O682" s="55"/>
      <c r="P682" s="55"/>
      <c r="Q682" s="55"/>
      <c r="R682" s="55"/>
      <c r="S682" s="62"/>
      <c r="T682" s="55"/>
      <c r="U682" s="55"/>
    </row>
    <row r="683" spans="1:21" ht="18.75">
      <c r="A683" s="238"/>
      <c r="B683" s="188"/>
      <c r="C683" s="188"/>
      <c r="D683" s="50"/>
      <c r="E683" s="58" t="s">
        <v>253</v>
      </c>
      <c r="F683" s="50"/>
      <c r="G683" s="52"/>
      <c r="H683" s="165" t="s">
        <v>35</v>
      </c>
      <c r="I683" s="208"/>
      <c r="J683" s="195">
        <f ca="1">IFERROR(__xludf.DUMMYFUNCTION("IMPORTRANGE(""https://docs.google.com/spreadsheets/d/1yhBcrRPreicbMKl9Bu_Snb2-OcQAF62RKfhTLhJ2eAA/edit?usp=sharing"",""กาฬสินธุ์!J683"")+IMPORTRANGE(""https://docs.google.com/spreadsheets/d/1aHkj4IaQMThhwWwevcOymEh837vdxeC_PycurhTbGFA/edit?usp=sharing"","&amp;"""ขอนแก่น!J683"")+IMPORTRANGE(""https://docs.google.com/spreadsheets/d/1FvTu2DsIWUjP6WCWra38Bkj_oOl_sOMf14r5Fg5srxU/edit?usp=sharing"",""ชัยภูมิ!J683"")+IMPORTRANGE(""https://docs.google.com/spreadsheets/d/1XVB7oCJ3pr-vBUdflwPQ8Z2LlzhnCvZaaYjAfP-647E/edit"&amp;"?usp=sharing"",""นครพนม!J683"")+IMPORTRANGE(""https://docs.google.com/spreadsheets/d/1Mnpb-8PYAgn85W6KOTD40hc_Xc55CaLfHoGAbrZ8tls/edit?usp=sharing"",""นครราชสีมา!J683"")+IMPORTRANGE(""https://docs.google.com/spreadsheets/d/1xoDLGBv9CYbyosIhki0kTq6IpYNj-gp"&amp;"jxfobnaDiut0/edit?usp=sharing"",""บึงกาฬ!J683"")+IMPORTRANGE(""https://docs.google.com/spreadsheets/d/1MMPq-JyI6DSgQETxuSiXkesP-P7JHuemnE6QJIa-Nlw/edit?usp=sharing"",""บุรีรัมย์!J683"")+IMPORTRANGE(""https://docs.google.com/spreadsheets/d/1l6IZ8xUPgMrESzc"&amp;"TYwhA1k_tPjeQjJPTqlm8Gd9eU5g/edit?usp=sharing"",""มหาสารคาม!J683"")+IMPORTRANGE(""https://docs.google.com/spreadsheets/d/1uB74YLqNjWX6FObjekfB2NtSYigTQyR2rq9u4Ub2Sq4/edit?usp=sharing"",""มุกดาหาร!J683"")+IMPORTRANGE(""https://docs.google.com/spreadsheets/"&amp;"d/1NexK3geCPxCTO1fzNF8dPec7yZyUx3OaWkFBC9HsQOo/edit?usp=sharing"",""ยโสธร!J683"")+IMPORTRANGE(""https://docs.google.com/spreadsheets/d/1v_cJrbBlyqmnHPReHk44g9NrMRdENNlSy_E_c5M9fIg/edit?usp=sharing"",""ร้อยเอ็ด!J683"")+IMPORTRANGE(""https://docs.google.com"&amp;"/spreadsheets/d/1Ul4RCpCX66NxYADU1QpwAPjOmBzW64SsT11s1wzXw_c/edit?usp=sharing"",""เลย!J683"")+IMPORTRANGE(""https://docs.google.com/spreadsheets/d/1bRrNKwbHDVktQG10isr5vbWRtt5spIZPpkOSWgbT5ug/edit?usp=sharing"",""ศรีสะเกษ!J683"")+IMPORTRANGE(""https://doc"&amp;"s.google.com/spreadsheets/d/17P34_Ow5kFBfdQD0qspb2UuPX5zpi6WMrQzslghyvrI/edit?usp=sharing"",""สกลนคร!J683"")+IMPORTRANGE(""https://docs.google.com/spreadsheets/d/1yswqbM3-AEpThF3ZSUa1AcmHnmRTF1vlJ1CZGcJ8YuU/edit?usp=sharing"",""สุรินทร์!J683"")+IMPORTRANG"&amp;"E(""https://docs.google.com/spreadsheets/d/13JHU_EFbsQOUQ0JSQ3dWy1VTRosIWcDq6Nc99z2qzdc/edit?usp=sharing"",""หนองคาย!J683"")+IMPORTRANGE(""https://docs.google.com/spreadsheets/d/1Hx73zIEgVdDZZaYSTc46Dqv64atFhpr3GelxLbaIN8A/edit?usp=sharing"",""หนองบัวลำภู"&amp;"!J683"")+IMPORTRANGE(""https://docs.google.com/spreadsheets/d/1lFxr3ctmjFN90yc-xV6jrQ9Ty8BKYVBWnAZ15wcNIJc/edit?usp=sharing"",""อำนาจเจริญ!J683"")+IMPORTRANGE(""https://docs.google.com/spreadsheets/d/1gF7RJpRnL-1oyjyeWxs5SFWEH7y8ahOZsQlyp2A2e-A/edit?usp=s"&amp;"haring"",""อุดรธานี!J683"")+IMPORTRANGE(""https://docs.google.com/spreadsheets/d/1kfLP0j3INXRa8bTDpcEmoWewMBV61jlFlfzczfjWIgc/edit?usp=sharing"",""อุบลราชธานี!J683"")"),0)</f>
        <v>0</v>
      </c>
      <c r="K683" s="55"/>
      <c r="L683" s="468"/>
      <c r="M683" s="468"/>
      <c r="N683" s="468"/>
      <c r="O683" s="55"/>
      <c r="P683" s="55"/>
      <c r="Q683" s="468"/>
      <c r="R683" s="468"/>
      <c r="S683" s="469"/>
      <c r="T683" s="55"/>
      <c r="U683" s="55"/>
    </row>
    <row r="684" spans="1:21" ht="18.75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195">
        <f ca="1">IFERROR(__xludf.DUMMYFUNCTION("IMPORTRANGE(""https://docs.google.com/spreadsheets/d/1yhBcrRPreicbMKl9Bu_Snb2-OcQAF62RKfhTLhJ2eAA/edit?usp=sharing"",""กาฬสินธุ์!J684"")+IMPORTRANGE(""https://docs.google.com/spreadsheets/d/1aHkj4IaQMThhwWwevcOymEh837vdxeC_PycurhTbGFA/edit?usp=sharing"","&amp;"""ขอนแก่น!J684"")+IMPORTRANGE(""https://docs.google.com/spreadsheets/d/1FvTu2DsIWUjP6WCWra38Bkj_oOl_sOMf14r5Fg5srxU/edit?usp=sharing"",""ชัยภูมิ!J684"")+IMPORTRANGE(""https://docs.google.com/spreadsheets/d/1XVB7oCJ3pr-vBUdflwPQ8Z2LlzhnCvZaaYjAfP-647E/edit"&amp;"?usp=sharing"",""นครพนม!J684"")+IMPORTRANGE(""https://docs.google.com/spreadsheets/d/1Mnpb-8PYAgn85W6KOTD40hc_Xc55CaLfHoGAbrZ8tls/edit?usp=sharing"",""นครราชสีมา!J684"")+IMPORTRANGE(""https://docs.google.com/spreadsheets/d/1xoDLGBv9CYbyosIhki0kTq6IpYNj-gp"&amp;"jxfobnaDiut0/edit?usp=sharing"",""บึงกาฬ!J684"")+IMPORTRANGE(""https://docs.google.com/spreadsheets/d/1MMPq-JyI6DSgQETxuSiXkesP-P7JHuemnE6QJIa-Nlw/edit?usp=sharing"",""บุรีรัมย์!J684"")+IMPORTRANGE(""https://docs.google.com/spreadsheets/d/1l6IZ8xUPgMrESzc"&amp;"TYwhA1k_tPjeQjJPTqlm8Gd9eU5g/edit?usp=sharing"",""มหาสารคาม!J684"")+IMPORTRANGE(""https://docs.google.com/spreadsheets/d/1uB74YLqNjWX6FObjekfB2NtSYigTQyR2rq9u4Ub2Sq4/edit?usp=sharing"",""มุกดาหาร!J684"")+IMPORTRANGE(""https://docs.google.com/spreadsheets/"&amp;"d/1NexK3geCPxCTO1fzNF8dPec7yZyUx3OaWkFBC9HsQOo/edit?usp=sharing"",""ยโสธร!J684"")+IMPORTRANGE(""https://docs.google.com/spreadsheets/d/1v_cJrbBlyqmnHPReHk44g9NrMRdENNlSy_E_c5M9fIg/edit?usp=sharing"",""ร้อยเอ็ด!J684"")+IMPORTRANGE(""https://docs.google.com"&amp;"/spreadsheets/d/1Ul4RCpCX66NxYADU1QpwAPjOmBzW64SsT11s1wzXw_c/edit?usp=sharing"",""เลย!J684"")+IMPORTRANGE(""https://docs.google.com/spreadsheets/d/1bRrNKwbHDVktQG10isr5vbWRtt5spIZPpkOSWgbT5ug/edit?usp=sharing"",""ศรีสะเกษ!J684"")+IMPORTRANGE(""https://doc"&amp;"s.google.com/spreadsheets/d/17P34_Ow5kFBfdQD0qspb2UuPX5zpi6WMrQzslghyvrI/edit?usp=sharing"",""สกลนคร!J684"")+IMPORTRANGE(""https://docs.google.com/spreadsheets/d/1yswqbM3-AEpThF3ZSUa1AcmHnmRTF1vlJ1CZGcJ8YuU/edit?usp=sharing"",""สุรินทร์!J684"")+IMPORTRANG"&amp;"E(""https://docs.google.com/spreadsheets/d/13JHU_EFbsQOUQ0JSQ3dWy1VTRosIWcDq6Nc99z2qzdc/edit?usp=sharing"",""หนองคาย!J684"")+IMPORTRANGE(""https://docs.google.com/spreadsheets/d/1Hx73zIEgVdDZZaYSTc46Dqv64atFhpr3GelxLbaIN8A/edit?usp=sharing"",""หนองบัวลำภู"&amp;"!J684"")+IMPORTRANGE(""https://docs.google.com/spreadsheets/d/1lFxr3ctmjFN90yc-xV6jrQ9Ty8BKYVBWnAZ15wcNIJc/edit?usp=sharing"",""อำนาจเจริญ!J684"")+IMPORTRANGE(""https://docs.google.com/spreadsheets/d/1gF7RJpRnL-1oyjyeWxs5SFWEH7y8ahOZsQlyp2A2e-A/edit?usp=s"&amp;"haring"",""อุดรธานี!J684"")+IMPORTRANGE(""https://docs.google.com/spreadsheets/d/1kfLP0j3INXRa8bTDpcEmoWewMBV61jlFlfzczfjWIgc/edit?usp=sharing"",""อุบลราชธานี!J684"")"),0)</f>
        <v>0</v>
      </c>
      <c r="K684" s="55"/>
      <c r="L684" s="468"/>
      <c r="M684" s="468"/>
      <c r="N684" s="468"/>
      <c r="O684" s="55"/>
      <c r="P684" s="55"/>
      <c r="Q684" s="468"/>
      <c r="R684" s="468"/>
      <c r="S684" s="469"/>
      <c r="T684" s="55"/>
      <c r="U684" s="55"/>
    </row>
    <row r="685" spans="1:21" ht="18.75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195">
        <f ca="1">IFERROR(__xludf.DUMMYFUNCTION("IMPORTRANGE(""https://docs.google.com/spreadsheets/d/1yhBcrRPreicbMKl9Bu_Snb2-OcQAF62RKfhTLhJ2eAA/edit?usp=sharing"",""กาฬสินธุ์!J685"")+IMPORTRANGE(""https://docs.google.com/spreadsheets/d/1aHkj4IaQMThhwWwevcOymEh837vdxeC_PycurhTbGFA/edit?usp=sharing"","&amp;"""ขอนแก่น!J685"")+IMPORTRANGE(""https://docs.google.com/spreadsheets/d/1FvTu2DsIWUjP6WCWra38Bkj_oOl_sOMf14r5Fg5srxU/edit?usp=sharing"",""ชัยภูมิ!J685"")+IMPORTRANGE(""https://docs.google.com/spreadsheets/d/1XVB7oCJ3pr-vBUdflwPQ8Z2LlzhnCvZaaYjAfP-647E/edit"&amp;"?usp=sharing"",""นครพนม!J685"")+IMPORTRANGE(""https://docs.google.com/spreadsheets/d/1Mnpb-8PYAgn85W6KOTD40hc_Xc55CaLfHoGAbrZ8tls/edit?usp=sharing"",""นครราชสีมา!J685"")+IMPORTRANGE(""https://docs.google.com/spreadsheets/d/1xoDLGBv9CYbyosIhki0kTq6IpYNj-gp"&amp;"jxfobnaDiut0/edit?usp=sharing"",""บึงกาฬ!J685"")+IMPORTRANGE(""https://docs.google.com/spreadsheets/d/1MMPq-JyI6DSgQETxuSiXkesP-P7JHuemnE6QJIa-Nlw/edit?usp=sharing"",""บุรีรัมย์!J685"")+IMPORTRANGE(""https://docs.google.com/spreadsheets/d/1l6IZ8xUPgMrESzc"&amp;"TYwhA1k_tPjeQjJPTqlm8Gd9eU5g/edit?usp=sharing"",""มหาสารคาม!J685"")+IMPORTRANGE(""https://docs.google.com/spreadsheets/d/1uB74YLqNjWX6FObjekfB2NtSYigTQyR2rq9u4Ub2Sq4/edit?usp=sharing"",""มุกดาหาร!J685"")+IMPORTRANGE(""https://docs.google.com/spreadsheets/"&amp;"d/1NexK3geCPxCTO1fzNF8dPec7yZyUx3OaWkFBC9HsQOo/edit?usp=sharing"",""ยโสธร!J685"")+IMPORTRANGE(""https://docs.google.com/spreadsheets/d/1v_cJrbBlyqmnHPReHk44g9NrMRdENNlSy_E_c5M9fIg/edit?usp=sharing"",""ร้อยเอ็ด!J685"")+IMPORTRANGE(""https://docs.google.com"&amp;"/spreadsheets/d/1Ul4RCpCX66NxYADU1QpwAPjOmBzW64SsT11s1wzXw_c/edit?usp=sharing"",""เลย!J685"")+IMPORTRANGE(""https://docs.google.com/spreadsheets/d/1bRrNKwbHDVktQG10isr5vbWRtt5spIZPpkOSWgbT5ug/edit?usp=sharing"",""ศรีสะเกษ!J685"")+IMPORTRANGE(""https://doc"&amp;"s.google.com/spreadsheets/d/17P34_Ow5kFBfdQD0qspb2UuPX5zpi6WMrQzslghyvrI/edit?usp=sharing"",""สกลนคร!J685"")+IMPORTRANGE(""https://docs.google.com/spreadsheets/d/1yswqbM3-AEpThF3ZSUa1AcmHnmRTF1vlJ1CZGcJ8YuU/edit?usp=sharing"",""สุรินทร์!J685"")+IMPORTRANG"&amp;"E(""https://docs.google.com/spreadsheets/d/13JHU_EFbsQOUQ0JSQ3dWy1VTRosIWcDq6Nc99z2qzdc/edit?usp=sharing"",""หนองคาย!J685"")+IMPORTRANGE(""https://docs.google.com/spreadsheets/d/1Hx73zIEgVdDZZaYSTc46Dqv64atFhpr3GelxLbaIN8A/edit?usp=sharing"",""หนองบัวลำภู"&amp;"!J685"")+IMPORTRANGE(""https://docs.google.com/spreadsheets/d/1lFxr3ctmjFN90yc-xV6jrQ9Ty8BKYVBWnAZ15wcNIJc/edit?usp=sharing"",""อำนาจเจริญ!J685"")+IMPORTRANGE(""https://docs.google.com/spreadsheets/d/1gF7RJpRnL-1oyjyeWxs5SFWEH7y8ahOZsQlyp2A2e-A/edit?usp=s"&amp;"haring"",""อุดรธานี!J685"")+IMPORTRANGE(""https://docs.google.com/spreadsheets/d/1kfLP0j3INXRa8bTDpcEmoWewMBV61jlFlfzczfjWIgc/edit?usp=sharing"",""อุบลราชธานี!J685"")"),0)</f>
        <v>0</v>
      </c>
      <c r="K685" s="55"/>
      <c r="L685" s="468"/>
      <c r="M685" s="468"/>
      <c r="N685" s="468"/>
      <c r="O685" s="55"/>
      <c r="P685" s="55"/>
      <c r="Q685" s="468"/>
      <c r="R685" s="468"/>
      <c r="S685" s="469"/>
      <c r="T685" s="55"/>
      <c r="U685" s="55"/>
    </row>
    <row r="686" spans="1:21" ht="18.75">
      <c r="A686" s="238"/>
      <c r="B686" s="188"/>
      <c r="C686" s="188"/>
      <c r="D686" s="50"/>
      <c r="E686" s="58" t="s">
        <v>254</v>
      </c>
      <c r="F686" s="50"/>
      <c r="G686" s="52"/>
      <c r="H686" s="165" t="s">
        <v>35</v>
      </c>
      <c r="I686" s="208"/>
      <c r="J686" s="195">
        <f ca="1">IFERROR(__xludf.DUMMYFUNCTION("IMPORTRANGE(""https://docs.google.com/spreadsheets/d/1yhBcrRPreicbMKl9Bu_Snb2-OcQAF62RKfhTLhJ2eAA/edit?usp=sharing"",""กาฬสินธุ์!J686"")+IMPORTRANGE(""https://docs.google.com/spreadsheets/d/1aHkj4IaQMThhwWwevcOymEh837vdxeC_PycurhTbGFA/edit?usp=sharing"","&amp;"""ขอนแก่น!J686"")+IMPORTRANGE(""https://docs.google.com/spreadsheets/d/1FvTu2DsIWUjP6WCWra38Bkj_oOl_sOMf14r5Fg5srxU/edit?usp=sharing"",""ชัยภูมิ!J686"")+IMPORTRANGE(""https://docs.google.com/spreadsheets/d/1XVB7oCJ3pr-vBUdflwPQ8Z2LlzhnCvZaaYjAfP-647E/edit"&amp;"?usp=sharing"",""นครพนม!J686"")+IMPORTRANGE(""https://docs.google.com/spreadsheets/d/1Mnpb-8PYAgn85W6KOTD40hc_Xc55CaLfHoGAbrZ8tls/edit?usp=sharing"",""นครราชสีมา!J686"")+IMPORTRANGE(""https://docs.google.com/spreadsheets/d/1xoDLGBv9CYbyosIhki0kTq6IpYNj-gp"&amp;"jxfobnaDiut0/edit?usp=sharing"",""บึงกาฬ!J686"")+IMPORTRANGE(""https://docs.google.com/spreadsheets/d/1MMPq-JyI6DSgQETxuSiXkesP-P7JHuemnE6QJIa-Nlw/edit?usp=sharing"",""บุรีรัมย์!J686"")+IMPORTRANGE(""https://docs.google.com/spreadsheets/d/1l6IZ8xUPgMrESzc"&amp;"TYwhA1k_tPjeQjJPTqlm8Gd9eU5g/edit?usp=sharing"",""มหาสารคาม!J686"")+IMPORTRANGE(""https://docs.google.com/spreadsheets/d/1uB74YLqNjWX6FObjekfB2NtSYigTQyR2rq9u4Ub2Sq4/edit?usp=sharing"",""มุกดาหาร!J686"")+IMPORTRANGE(""https://docs.google.com/spreadsheets/"&amp;"d/1NexK3geCPxCTO1fzNF8dPec7yZyUx3OaWkFBC9HsQOo/edit?usp=sharing"",""ยโสธร!J686"")+IMPORTRANGE(""https://docs.google.com/spreadsheets/d/1v_cJrbBlyqmnHPReHk44g9NrMRdENNlSy_E_c5M9fIg/edit?usp=sharing"",""ร้อยเอ็ด!J686"")+IMPORTRANGE(""https://docs.google.com"&amp;"/spreadsheets/d/1Ul4RCpCX66NxYADU1QpwAPjOmBzW64SsT11s1wzXw_c/edit?usp=sharing"",""เลย!J686"")+IMPORTRANGE(""https://docs.google.com/spreadsheets/d/1bRrNKwbHDVktQG10isr5vbWRtt5spIZPpkOSWgbT5ug/edit?usp=sharing"",""ศรีสะเกษ!J686"")+IMPORTRANGE(""https://doc"&amp;"s.google.com/spreadsheets/d/17P34_Ow5kFBfdQD0qspb2UuPX5zpi6WMrQzslghyvrI/edit?usp=sharing"",""สกลนคร!J686"")+IMPORTRANGE(""https://docs.google.com/spreadsheets/d/1yswqbM3-AEpThF3ZSUa1AcmHnmRTF1vlJ1CZGcJ8YuU/edit?usp=sharing"",""สุรินทร์!J686"")+IMPORTRANG"&amp;"E(""https://docs.google.com/spreadsheets/d/13JHU_EFbsQOUQ0JSQ3dWy1VTRosIWcDq6Nc99z2qzdc/edit?usp=sharing"",""หนองคาย!J686"")+IMPORTRANGE(""https://docs.google.com/spreadsheets/d/1Hx73zIEgVdDZZaYSTc46Dqv64atFhpr3GelxLbaIN8A/edit?usp=sharing"",""หนองบัวลำภู"&amp;"!J686"")+IMPORTRANGE(""https://docs.google.com/spreadsheets/d/1lFxr3ctmjFN90yc-xV6jrQ9Ty8BKYVBWnAZ15wcNIJc/edit?usp=sharing"",""อำนาจเจริญ!J686"")+IMPORTRANGE(""https://docs.google.com/spreadsheets/d/1gF7RJpRnL-1oyjyeWxs5SFWEH7y8ahOZsQlyp2A2e-A/edit?usp=s"&amp;"haring"",""อุดรธานี!J686"")+IMPORTRANGE(""https://docs.google.com/spreadsheets/d/1kfLP0j3INXRa8bTDpcEmoWewMBV61jlFlfzczfjWIgc/edit?usp=sharing"",""อุบลราชธานี!J686"")"),25)</f>
        <v>25</v>
      </c>
      <c r="K686" s="55"/>
      <c r="L686" s="468"/>
      <c r="M686" s="468"/>
      <c r="N686" s="468"/>
      <c r="O686" s="55"/>
      <c r="P686" s="55"/>
      <c r="Q686" s="468"/>
      <c r="R686" s="468"/>
      <c r="S686" s="469"/>
      <c r="T686" s="55"/>
      <c r="U686" s="55"/>
    </row>
    <row r="687" spans="1:21" ht="18.75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195">
        <f ca="1">IFERROR(__xludf.DUMMYFUNCTION("IMPORTRANGE(""https://docs.google.com/spreadsheets/d/1yhBcrRPreicbMKl9Bu_Snb2-OcQAF62RKfhTLhJ2eAA/edit?usp=sharing"",""กาฬสินธุ์!J687"")+IMPORTRANGE(""https://docs.google.com/spreadsheets/d/1aHkj4IaQMThhwWwevcOymEh837vdxeC_PycurhTbGFA/edit?usp=sharing"","&amp;"""ขอนแก่น!J687"")+IMPORTRANGE(""https://docs.google.com/spreadsheets/d/1FvTu2DsIWUjP6WCWra38Bkj_oOl_sOMf14r5Fg5srxU/edit?usp=sharing"",""ชัยภูมิ!J687"")+IMPORTRANGE(""https://docs.google.com/spreadsheets/d/1XVB7oCJ3pr-vBUdflwPQ8Z2LlzhnCvZaaYjAfP-647E/edit"&amp;"?usp=sharing"",""นครพนม!J687"")+IMPORTRANGE(""https://docs.google.com/spreadsheets/d/1Mnpb-8PYAgn85W6KOTD40hc_Xc55CaLfHoGAbrZ8tls/edit?usp=sharing"",""นครราชสีมา!J687"")+IMPORTRANGE(""https://docs.google.com/spreadsheets/d/1xoDLGBv9CYbyosIhki0kTq6IpYNj-gp"&amp;"jxfobnaDiut0/edit?usp=sharing"",""บึงกาฬ!J687"")+IMPORTRANGE(""https://docs.google.com/spreadsheets/d/1MMPq-JyI6DSgQETxuSiXkesP-P7JHuemnE6QJIa-Nlw/edit?usp=sharing"",""บุรีรัมย์!J687"")+IMPORTRANGE(""https://docs.google.com/spreadsheets/d/1l6IZ8xUPgMrESzc"&amp;"TYwhA1k_tPjeQjJPTqlm8Gd9eU5g/edit?usp=sharing"",""มหาสารคาม!J687"")+IMPORTRANGE(""https://docs.google.com/spreadsheets/d/1uB74YLqNjWX6FObjekfB2NtSYigTQyR2rq9u4Ub2Sq4/edit?usp=sharing"",""มุกดาหาร!J687"")+IMPORTRANGE(""https://docs.google.com/spreadsheets/"&amp;"d/1NexK3geCPxCTO1fzNF8dPec7yZyUx3OaWkFBC9HsQOo/edit?usp=sharing"",""ยโสธร!J687"")+IMPORTRANGE(""https://docs.google.com/spreadsheets/d/1v_cJrbBlyqmnHPReHk44g9NrMRdENNlSy_E_c5M9fIg/edit?usp=sharing"",""ร้อยเอ็ด!J687"")+IMPORTRANGE(""https://docs.google.com"&amp;"/spreadsheets/d/1Ul4RCpCX66NxYADU1QpwAPjOmBzW64SsT11s1wzXw_c/edit?usp=sharing"",""เลย!J687"")+IMPORTRANGE(""https://docs.google.com/spreadsheets/d/1bRrNKwbHDVktQG10isr5vbWRtt5spIZPpkOSWgbT5ug/edit?usp=sharing"",""ศรีสะเกษ!J687"")+IMPORTRANGE(""https://doc"&amp;"s.google.com/spreadsheets/d/17P34_Ow5kFBfdQD0qspb2UuPX5zpi6WMrQzslghyvrI/edit?usp=sharing"",""สกลนคร!J687"")+IMPORTRANGE(""https://docs.google.com/spreadsheets/d/1yswqbM3-AEpThF3ZSUa1AcmHnmRTF1vlJ1CZGcJ8YuU/edit?usp=sharing"",""สุรินทร์!J687"")+IMPORTRANG"&amp;"E(""https://docs.google.com/spreadsheets/d/13JHU_EFbsQOUQ0JSQ3dWy1VTRosIWcDq6Nc99z2qzdc/edit?usp=sharing"",""หนองคาย!J687"")+IMPORTRANGE(""https://docs.google.com/spreadsheets/d/1Hx73zIEgVdDZZaYSTc46Dqv64atFhpr3GelxLbaIN8A/edit?usp=sharing"",""หนองบัวลำภู"&amp;"!J687"")+IMPORTRANGE(""https://docs.google.com/spreadsheets/d/1lFxr3ctmjFN90yc-xV6jrQ9Ty8BKYVBWnAZ15wcNIJc/edit?usp=sharing"",""อำนาจเจริญ!J687"")+IMPORTRANGE(""https://docs.google.com/spreadsheets/d/1gF7RJpRnL-1oyjyeWxs5SFWEH7y8ahOZsQlyp2A2e-A/edit?usp=s"&amp;"haring"",""อุดรธานี!J687"")+IMPORTRANGE(""https://docs.google.com/spreadsheets/d/1kfLP0j3INXRa8bTDpcEmoWewMBV61jlFlfzczfjWIgc/edit?usp=sharing"",""อุบลราชธานี!J687"")"),25)</f>
        <v>25</v>
      </c>
      <c r="K687" s="55"/>
      <c r="L687" s="468"/>
      <c r="M687" s="468"/>
      <c r="N687" s="468"/>
      <c r="O687" s="55"/>
      <c r="P687" s="55"/>
      <c r="Q687" s="468"/>
      <c r="R687" s="468"/>
      <c r="S687" s="469"/>
      <c r="T687" s="55"/>
      <c r="U687" s="55"/>
    </row>
    <row r="688" spans="1:21" ht="19.5">
      <c r="A688" s="281"/>
      <c r="B688" s="470" t="s">
        <v>255</v>
      </c>
      <c r="C688" s="282"/>
      <c r="D688" s="2"/>
      <c r="E688" s="2"/>
      <c r="F688" s="2"/>
      <c r="G688" s="284"/>
      <c r="H688" s="214" t="s">
        <v>46</v>
      </c>
      <c r="I688" s="375"/>
      <c r="J688" s="379">
        <f ca="1">IFERROR(__xludf.DUMMYFUNCTION("IMPORTRANGE(""https://docs.google.com/spreadsheets/d/1yhBcrRPreicbMKl9Bu_Snb2-OcQAF62RKfhTLhJ2eAA/edit?usp=sharing"",""กาฬสินธุ์!J688"")+IMPORTRANGE(""https://docs.google.com/spreadsheets/d/1aHkj4IaQMThhwWwevcOymEh837vdxeC_PycurhTbGFA/edit?usp=sharing"","&amp;"""ขอนแก่น!J688"")+IMPORTRANGE(""https://docs.google.com/spreadsheets/d/1FvTu2DsIWUjP6WCWra38Bkj_oOl_sOMf14r5Fg5srxU/edit?usp=sharing"",""ชัยภูมิ!J688"")+IMPORTRANGE(""https://docs.google.com/spreadsheets/d/1XVB7oCJ3pr-vBUdflwPQ8Z2LlzhnCvZaaYjAfP-647E/edit"&amp;"?usp=sharing"",""นครพนม!J688"")+IMPORTRANGE(""https://docs.google.com/spreadsheets/d/1Mnpb-8PYAgn85W6KOTD40hc_Xc55CaLfHoGAbrZ8tls/edit?usp=sharing"",""นครราชสีมา!J688"")+IMPORTRANGE(""https://docs.google.com/spreadsheets/d/1xoDLGBv9CYbyosIhki0kTq6IpYNj-gp"&amp;"jxfobnaDiut0/edit?usp=sharing"",""บึงกาฬ!J688"")+IMPORTRANGE(""https://docs.google.com/spreadsheets/d/1MMPq-JyI6DSgQETxuSiXkesP-P7JHuemnE6QJIa-Nlw/edit?usp=sharing"",""บุรีรัมย์!J688"")+IMPORTRANGE(""https://docs.google.com/spreadsheets/d/1l6IZ8xUPgMrESzc"&amp;"TYwhA1k_tPjeQjJPTqlm8Gd9eU5g/edit?usp=sharing"",""มหาสารคาม!J688"")+IMPORTRANGE(""https://docs.google.com/spreadsheets/d/1uB74YLqNjWX6FObjekfB2NtSYigTQyR2rq9u4Ub2Sq4/edit?usp=sharing"",""มุกดาหาร!J688"")+IMPORTRANGE(""https://docs.google.com/spreadsheets/"&amp;"d/1NexK3geCPxCTO1fzNF8dPec7yZyUx3OaWkFBC9HsQOo/edit?usp=sharing"",""ยโสธร!J688"")+IMPORTRANGE(""https://docs.google.com/spreadsheets/d/1v_cJrbBlyqmnHPReHk44g9NrMRdENNlSy_E_c5M9fIg/edit?usp=sharing"",""ร้อยเอ็ด!J688"")+IMPORTRANGE(""https://docs.google.com"&amp;"/spreadsheets/d/1Ul4RCpCX66NxYADU1QpwAPjOmBzW64SsT11s1wzXw_c/edit?usp=sharing"",""เลย!J688"")+IMPORTRANGE(""https://docs.google.com/spreadsheets/d/1bRrNKwbHDVktQG10isr5vbWRtt5spIZPpkOSWgbT5ug/edit?usp=sharing"",""ศรีสะเกษ!J688"")+IMPORTRANGE(""https://doc"&amp;"s.google.com/spreadsheets/d/17P34_Ow5kFBfdQD0qspb2UuPX5zpi6WMrQzslghyvrI/edit?usp=sharing"",""สกลนคร!J688"")+IMPORTRANGE(""https://docs.google.com/spreadsheets/d/1yswqbM3-AEpThF3ZSUa1AcmHnmRTF1vlJ1CZGcJ8YuU/edit?usp=sharing"",""สุรินทร์!J688"")+IMPORTRANG"&amp;"E(""https://docs.google.com/spreadsheets/d/13JHU_EFbsQOUQ0JSQ3dWy1VTRosIWcDq6Nc99z2qzdc/edit?usp=sharing"",""หนองคาย!J688"")+IMPORTRANGE(""https://docs.google.com/spreadsheets/d/1Hx73zIEgVdDZZaYSTc46Dqv64atFhpr3GelxLbaIN8A/edit?usp=sharing"",""หนองบัวลำภู"&amp;"!J688"")+IMPORTRANGE(""https://docs.google.com/spreadsheets/d/1lFxr3ctmjFN90yc-xV6jrQ9Ty8BKYVBWnAZ15wcNIJc/edit?usp=sharing"",""อำนาจเจริญ!J688"")+IMPORTRANGE(""https://docs.google.com/spreadsheets/d/1gF7RJpRnL-1oyjyeWxs5SFWEH7y8ahOZsQlyp2A2e-A/edit?usp=s"&amp;"haring"",""อุดรธานี!J688"")+IMPORTRANGE(""https://docs.google.com/spreadsheets/d/1kfLP0j3INXRa8bTDpcEmoWewMBV61jlFlfzczfjWIgc/edit?usp=sharing"",""อุบลราชธานี!J688"")"),281)</f>
        <v>281</v>
      </c>
      <c r="K688" s="6"/>
      <c r="L688" s="471"/>
      <c r="M688" s="471"/>
      <c r="N688" s="471"/>
      <c r="O688" s="6"/>
      <c r="P688" s="6"/>
      <c r="Q688" s="471"/>
      <c r="R688" s="471"/>
      <c r="S688" s="472"/>
      <c r="T688" s="6"/>
      <c r="U688" s="6"/>
    </row>
    <row r="689" spans="1:21" ht="19.5">
      <c r="A689" s="442"/>
      <c r="B689" s="443" t="s">
        <v>256</v>
      </c>
      <c r="C689" s="442"/>
      <c r="D689" s="444"/>
      <c r="E689" s="444"/>
      <c r="F689" s="444"/>
      <c r="G689" s="445"/>
      <c r="H689" s="473" t="s">
        <v>35</v>
      </c>
      <c r="I689" s="474">
        <f t="shared" ref="I689:J689" ca="1" si="471">I707</f>
        <v>5101</v>
      </c>
      <c r="J689" s="474">
        <f t="shared" ca="1" si="471"/>
        <v>120</v>
      </c>
      <c r="K689" s="475">
        <f ca="1">IF(I689&gt;0,J689*100/I689,0)</f>
        <v>2.3524799059008039</v>
      </c>
      <c r="L689" s="448"/>
      <c r="M689" s="448"/>
      <c r="N689" s="448"/>
      <c r="O689" s="448"/>
      <c r="P689" s="448"/>
      <c r="Q689" s="448"/>
      <c r="R689" s="448"/>
      <c r="S689" s="449"/>
      <c r="T689" s="448"/>
      <c r="U689" s="448"/>
    </row>
    <row r="690" spans="1:21" ht="19.5">
      <c r="A690" s="155"/>
      <c r="B690" s="188"/>
      <c r="C690" s="205" t="s">
        <v>18</v>
      </c>
      <c r="D690" s="531" t="s">
        <v>19</v>
      </c>
      <c r="E690" s="529"/>
      <c r="F690" s="529"/>
      <c r="G690" s="530"/>
      <c r="H690" s="252" t="s">
        <v>14</v>
      </c>
      <c r="I690" s="54"/>
      <c r="J690" s="54"/>
      <c r="K690" s="55"/>
      <c r="L690" s="159">
        <f t="shared" ref="L690:N690" ca="1" si="472">L691+L692</f>
        <v>0</v>
      </c>
      <c r="M690" s="159">
        <f t="shared" ca="1" si="472"/>
        <v>0</v>
      </c>
      <c r="N690" s="159">
        <f t="shared" ca="1" si="472"/>
        <v>0</v>
      </c>
      <c r="O690" s="159">
        <f t="shared" ref="O690:O698" ca="1" si="473">IF(L690&gt;0,N690*100/L690,0)</f>
        <v>0</v>
      </c>
      <c r="P690" s="159">
        <f t="shared" ref="P690:P698" ca="1" si="474">IF(M690&gt;0,N690*100/M690,0)</f>
        <v>0</v>
      </c>
      <c r="Q690" s="159">
        <f t="shared" ref="Q690:S690" ca="1" si="475">Q691+Q692</f>
        <v>7251790</v>
      </c>
      <c r="R690" s="159">
        <f t="shared" ca="1" si="475"/>
        <v>7251790</v>
      </c>
      <c r="S690" s="160">
        <f t="shared" ca="1" si="475"/>
        <v>1912015.5699999901</v>
      </c>
      <c r="T690" s="159">
        <f t="shared" ref="T690:T698" ca="1" si="476">IF(Q690&gt;0,S690*100/Q690,0)</f>
        <v>26.366118847898107</v>
      </c>
      <c r="U690" s="159">
        <f t="shared" ref="U690:U698" ca="1" si="477">IF(R690&gt;0,S690*100/R690,0)</f>
        <v>26.366118847898107</v>
      </c>
    </row>
    <row r="691" spans="1:21" ht="18.75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59">
        <f t="shared" ref="L691:N691" ca="1" si="478">L694+L697</f>
        <v>0</v>
      </c>
      <c r="M691" s="59">
        <f t="shared" ca="1" si="478"/>
        <v>0</v>
      </c>
      <c r="N691" s="59">
        <f t="shared" ca="1" si="478"/>
        <v>0</v>
      </c>
      <c r="O691" s="59">
        <f t="shared" ca="1" si="473"/>
        <v>0</v>
      </c>
      <c r="P691" s="59">
        <f t="shared" ca="1" si="474"/>
        <v>0</v>
      </c>
      <c r="Q691" s="59">
        <f t="shared" ref="Q691:S691" ca="1" si="479">Q694+Q697</f>
        <v>0</v>
      </c>
      <c r="R691" s="59">
        <f t="shared" ca="1" si="479"/>
        <v>0</v>
      </c>
      <c r="S691" s="60">
        <f t="shared" ca="1" si="479"/>
        <v>0</v>
      </c>
      <c r="T691" s="59">
        <f t="shared" ca="1" si="476"/>
        <v>0</v>
      </c>
      <c r="U691" s="59">
        <f t="shared" ca="1" si="477"/>
        <v>0</v>
      </c>
    </row>
    <row r="692" spans="1:21" ht="18.75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56">
        <f t="shared" ref="L692:N692" ca="1" si="480">L695+L698</f>
        <v>0</v>
      </c>
      <c r="M692" s="56">
        <f t="shared" ca="1" si="480"/>
        <v>0</v>
      </c>
      <c r="N692" s="56">
        <f t="shared" ca="1" si="480"/>
        <v>0</v>
      </c>
      <c r="O692" s="56">
        <f t="shared" ca="1" si="473"/>
        <v>0</v>
      </c>
      <c r="P692" s="56">
        <f t="shared" ca="1" si="474"/>
        <v>0</v>
      </c>
      <c r="Q692" s="56">
        <f t="shared" ref="Q692:S692" ca="1" si="481">Q695+Q698</f>
        <v>7251790</v>
      </c>
      <c r="R692" s="56">
        <f t="shared" ca="1" si="481"/>
        <v>7251790</v>
      </c>
      <c r="S692" s="57">
        <f t="shared" ca="1" si="481"/>
        <v>1912015.5699999901</v>
      </c>
      <c r="T692" s="56">
        <f t="shared" ca="1" si="476"/>
        <v>26.366118847898107</v>
      </c>
      <c r="U692" s="56">
        <f t="shared" ca="1" si="477"/>
        <v>26.366118847898107</v>
      </c>
    </row>
    <row r="693" spans="1:21" ht="18.75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56">
        <f t="shared" ref="L693:N693" ca="1" si="482">L694+L695</f>
        <v>0</v>
      </c>
      <c r="M693" s="56">
        <f t="shared" ca="1" si="482"/>
        <v>0</v>
      </c>
      <c r="N693" s="56">
        <f t="shared" ca="1" si="482"/>
        <v>0</v>
      </c>
      <c r="O693" s="56">
        <f t="shared" ca="1" si="473"/>
        <v>0</v>
      </c>
      <c r="P693" s="56">
        <f t="shared" ca="1" si="474"/>
        <v>0</v>
      </c>
      <c r="Q693" s="56">
        <f t="shared" ref="Q693:S693" ca="1" si="483">Q694+Q695</f>
        <v>7251790</v>
      </c>
      <c r="R693" s="56">
        <f t="shared" ca="1" si="483"/>
        <v>7251790</v>
      </c>
      <c r="S693" s="57">
        <f t="shared" ca="1" si="483"/>
        <v>1912015.5699999901</v>
      </c>
      <c r="T693" s="56">
        <f t="shared" ca="1" si="476"/>
        <v>26.366118847898107</v>
      </c>
      <c r="U693" s="56">
        <f t="shared" ca="1" si="477"/>
        <v>26.366118847898107</v>
      </c>
    </row>
    <row r="694" spans="1:21" ht="18.75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59">
        <f ca="1">IFERROR(__xludf.DUMMYFUNCTION("IMPORTRANGE(""https://docs.google.com/spreadsheets/d/1yhBcrRPreicbMKl9Bu_Snb2-OcQAF62RKfhTLhJ2eAA/edit?usp=sharing"",""กาฬสินธุ์!L694"")+IMPORTRANGE(""https://docs.google.com/spreadsheets/d/1aHkj4IaQMThhwWwevcOymEh837vdxeC_PycurhTbGFA/edit?usp=sharing"","&amp;"""ขอนแก่น!L694"")+IMPORTRANGE(""https://docs.google.com/spreadsheets/d/1FvTu2DsIWUjP6WCWra38Bkj_oOl_sOMf14r5Fg5srxU/edit?usp=sharing"",""ชัยภูมิ!L694"")+IMPORTRANGE(""https://docs.google.com/spreadsheets/d/1XVB7oCJ3pr-vBUdflwPQ8Z2LlzhnCvZaaYjAfP-647E/edit"&amp;"?usp=sharing"",""นครพนม!L694"")+IMPORTRANGE(""https://docs.google.com/spreadsheets/d/1Mnpb-8PYAgn85W6KOTD40hc_Xc55CaLfHoGAbrZ8tls/edit?usp=sharing"",""นครราชสีมา!L694"")+IMPORTRANGE(""https://docs.google.com/spreadsheets/d/1xoDLGBv9CYbyosIhki0kTq6IpYNj-gp"&amp;"jxfobnaDiut0/edit?usp=sharing"",""บึงกาฬ!L694"")+IMPORTRANGE(""https://docs.google.com/spreadsheets/d/1MMPq-JyI6DSgQETxuSiXkesP-P7JHuemnE6QJIa-Nlw/edit?usp=sharing"",""บุรีรัมย์!L694"")+IMPORTRANGE(""https://docs.google.com/spreadsheets/d/1l6IZ8xUPgMrESzc"&amp;"TYwhA1k_tPjeQjJPTqlm8Gd9eU5g/edit?usp=sharing"",""มหาสารคาม!L694"")+IMPORTRANGE(""https://docs.google.com/spreadsheets/d/1uB74YLqNjWX6FObjekfB2NtSYigTQyR2rq9u4Ub2Sq4/edit?usp=sharing"",""มุกดาหาร!L694"")+IMPORTRANGE(""https://docs.google.com/spreadsheets/"&amp;"d/1NexK3geCPxCTO1fzNF8dPec7yZyUx3OaWkFBC9HsQOo/edit?usp=sharing"",""ยโสธร!L694"")+IMPORTRANGE(""https://docs.google.com/spreadsheets/d/1v_cJrbBlyqmnHPReHk44g9NrMRdENNlSy_E_c5M9fIg/edit?usp=sharing"",""ร้อยเอ็ด!L694"")+IMPORTRANGE(""https://docs.google.com"&amp;"/spreadsheets/d/1Ul4RCpCX66NxYADU1QpwAPjOmBzW64SsT11s1wzXw_c/edit?usp=sharing"",""เลย!L694"")+IMPORTRANGE(""https://docs.google.com/spreadsheets/d/1bRrNKwbHDVktQG10isr5vbWRtt5spIZPpkOSWgbT5ug/edit?usp=sharing"",""ศรีสะเกษ!L694"")+IMPORTRANGE(""https://doc"&amp;"s.google.com/spreadsheets/d/17P34_Ow5kFBfdQD0qspb2UuPX5zpi6WMrQzslghyvrI/edit?usp=sharing"",""สกลนคร!L694"")+IMPORTRANGE(""https://docs.google.com/spreadsheets/d/1yswqbM3-AEpThF3ZSUa1AcmHnmRTF1vlJ1CZGcJ8YuU/edit?usp=sharing"",""สุรินทร์!L694"")+IMPORTRANG"&amp;"E(""https://docs.google.com/spreadsheets/d/13JHU_EFbsQOUQ0JSQ3dWy1VTRosIWcDq6Nc99z2qzdc/edit?usp=sharing"",""หนองคาย!L694"")+IMPORTRANGE(""https://docs.google.com/spreadsheets/d/1Hx73zIEgVdDZZaYSTc46Dqv64atFhpr3GelxLbaIN8A/edit?usp=sharing"",""หนองบัวลำภู"&amp;"!L694"")+IMPORTRANGE(""https://docs.google.com/spreadsheets/d/1lFxr3ctmjFN90yc-xV6jrQ9Ty8BKYVBWnAZ15wcNIJc/edit?usp=sharing"",""อำนาจเจริญ!L694"")+IMPORTRANGE(""https://docs.google.com/spreadsheets/d/1gF7RJpRnL-1oyjyeWxs5SFWEH7y8ahOZsQlyp2A2e-A/edit?usp=s"&amp;"haring"",""อุดรธานี!L694"")+IMPORTRANGE(""https://docs.google.com/spreadsheets/d/1kfLP0j3INXRa8bTDpcEmoWewMBV61jlFlfzczfjWIgc/edit?usp=sharing"",""อุบลราชธานี!L694"")"),0)</f>
        <v>0</v>
      </c>
      <c r="M694" s="59">
        <f ca="1">IFERROR(__xludf.DUMMYFUNCTION("IMPORTRANGE(""https://docs.google.com/spreadsheets/d/1yhBcrRPreicbMKl9Bu_Snb2-OcQAF62RKfhTLhJ2eAA/edit?usp=sharing"",""กาฬสินธุ์!M694"")+IMPORTRANGE(""https://docs.google.com/spreadsheets/d/1aHkj4IaQMThhwWwevcOymEh837vdxeC_PycurhTbGFA/edit?usp=sharing"","&amp;"""ขอนแก่น!M694"")+IMPORTRANGE(""https://docs.google.com/spreadsheets/d/1FvTu2DsIWUjP6WCWra38Bkj_oOl_sOMf14r5Fg5srxU/edit?usp=sharing"",""ชัยภูมิ!M694"")+IMPORTRANGE(""https://docs.google.com/spreadsheets/d/1XVB7oCJ3pr-vBUdflwPQ8Z2LlzhnCvZaaYjAfP-647E/edit"&amp;"?usp=sharing"",""นครพนม!M694"")+IMPORTRANGE(""https://docs.google.com/spreadsheets/d/1Mnpb-8PYAgn85W6KOTD40hc_Xc55CaLfHoGAbrZ8tls/edit?usp=sharing"",""นครราชสีมา!M694"")+IMPORTRANGE(""https://docs.google.com/spreadsheets/d/1xoDLGBv9CYbyosIhki0kTq6IpYNj-gp"&amp;"jxfobnaDiut0/edit?usp=sharing"",""บึงกาฬ!M694"")+IMPORTRANGE(""https://docs.google.com/spreadsheets/d/1MMPq-JyI6DSgQETxuSiXkesP-P7JHuemnE6QJIa-Nlw/edit?usp=sharing"",""บุรีรัมย์!M694"")+IMPORTRANGE(""https://docs.google.com/spreadsheets/d/1l6IZ8xUPgMrESzc"&amp;"TYwhA1k_tPjeQjJPTqlm8Gd9eU5g/edit?usp=sharing"",""มหาสารคาม!M694"")+IMPORTRANGE(""https://docs.google.com/spreadsheets/d/1uB74YLqNjWX6FObjekfB2NtSYigTQyR2rq9u4Ub2Sq4/edit?usp=sharing"",""มุกดาหาร!M694"")+IMPORTRANGE(""https://docs.google.com/spreadsheets/"&amp;"d/1NexK3geCPxCTO1fzNF8dPec7yZyUx3OaWkFBC9HsQOo/edit?usp=sharing"",""ยโสธร!M694"")+IMPORTRANGE(""https://docs.google.com/spreadsheets/d/1v_cJrbBlyqmnHPReHk44g9NrMRdENNlSy_E_c5M9fIg/edit?usp=sharing"",""ร้อยเอ็ด!M694"")+IMPORTRANGE(""https://docs.google.com"&amp;"/spreadsheets/d/1Ul4RCpCX66NxYADU1QpwAPjOmBzW64SsT11s1wzXw_c/edit?usp=sharing"",""เลย!M694"")+IMPORTRANGE(""https://docs.google.com/spreadsheets/d/1bRrNKwbHDVktQG10isr5vbWRtt5spIZPpkOSWgbT5ug/edit?usp=sharing"",""ศรีสะเกษ!M694"")+IMPORTRANGE(""https://doc"&amp;"s.google.com/spreadsheets/d/17P34_Ow5kFBfdQD0qspb2UuPX5zpi6WMrQzslghyvrI/edit?usp=sharing"",""สกลนคร!M694"")+IMPORTRANGE(""https://docs.google.com/spreadsheets/d/1yswqbM3-AEpThF3ZSUa1AcmHnmRTF1vlJ1CZGcJ8YuU/edit?usp=sharing"",""สุรินทร์!M694"")+IMPORTRANG"&amp;"E(""https://docs.google.com/spreadsheets/d/13JHU_EFbsQOUQ0JSQ3dWy1VTRosIWcDq6Nc99z2qzdc/edit?usp=sharing"",""หนองคาย!M694"")+IMPORTRANGE(""https://docs.google.com/spreadsheets/d/1Hx73zIEgVdDZZaYSTc46Dqv64atFhpr3GelxLbaIN8A/edit?usp=sharing"",""หนองบัวลำภู"&amp;"!M694"")+IMPORTRANGE(""https://docs.google.com/spreadsheets/d/1lFxr3ctmjFN90yc-xV6jrQ9Ty8BKYVBWnAZ15wcNIJc/edit?usp=sharing"",""อำนาจเจริญ!M694"")+IMPORTRANGE(""https://docs.google.com/spreadsheets/d/1gF7RJpRnL-1oyjyeWxs5SFWEH7y8ahOZsQlyp2A2e-A/edit?usp=s"&amp;"haring"",""อุดรธานี!M694"")+IMPORTRANGE(""https://docs.google.com/spreadsheets/d/1kfLP0j3INXRa8bTDpcEmoWewMBV61jlFlfzczfjWIgc/edit?usp=sharing"",""อุบลราชธานี!M694"")"),0)</f>
        <v>0</v>
      </c>
      <c r="N694" s="59">
        <f ca="1">IFERROR(__xludf.DUMMYFUNCTION("IMPORTRANGE(""https://docs.google.com/spreadsheets/d/1yhBcrRPreicbMKl9Bu_Snb2-OcQAF62RKfhTLhJ2eAA/edit?usp=sharing"",""กาฬสินธุ์!N694"")+IMPORTRANGE(""https://docs.google.com/spreadsheets/d/1aHkj4IaQMThhwWwevcOymEh837vdxeC_PycurhTbGFA/edit?usp=sharing"","&amp;"""ขอนแก่น!N694"")+IMPORTRANGE(""https://docs.google.com/spreadsheets/d/1FvTu2DsIWUjP6WCWra38Bkj_oOl_sOMf14r5Fg5srxU/edit?usp=sharing"",""ชัยภูมิ!N694"")+IMPORTRANGE(""https://docs.google.com/spreadsheets/d/1XVB7oCJ3pr-vBUdflwPQ8Z2LlzhnCvZaaYjAfP-647E/edit"&amp;"?usp=sharing"",""นครพนม!N694"")+IMPORTRANGE(""https://docs.google.com/spreadsheets/d/1Mnpb-8PYAgn85W6KOTD40hc_Xc55CaLfHoGAbrZ8tls/edit?usp=sharing"",""นครราชสีมา!N694"")+IMPORTRANGE(""https://docs.google.com/spreadsheets/d/1xoDLGBv9CYbyosIhki0kTq6IpYNj-gp"&amp;"jxfobnaDiut0/edit?usp=sharing"",""บึงกาฬ!N694"")+IMPORTRANGE(""https://docs.google.com/spreadsheets/d/1MMPq-JyI6DSgQETxuSiXkesP-P7JHuemnE6QJIa-Nlw/edit?usp=sharing"",""บุรีรัมย์!N694"")+IMPORTRANGE(""https://docs.google.com/spreadsheets/d/1l6IZ8xUPgMrESzc"&amp;"TYwhA1k_tPjeQjJPTqlm8Gd9eU5g/edit?usp=sharing"",""มหาสารคาม!N694"")+IMPORTRANGE(""https://docs.google.com/spreadsheets/d/1uB74YLqNjWX6FObjekfB2NtSYigTQyR2rq9u4Ub2Sq4/edit?usp=sharing"",""มุกดาหาร!N694"")+IMPORTRANGE(""https://docs.google.com/spreadsheets/"&amp;"d/1NexK3geCPxCTO1fzNF8dPec7yZyUx3OaWkFBC9HsQOo/edit?usp=sharing"",""ยโสธร!N694"")+IMPORTRANGE(""https://docs.google.com/spreadsheets/d/1v_cJrbBlyqmnHPReHk44g9NrMRdENNlSy_E_c5M9fIg/edit?usp=sharing"",""ร้อยเอ็ด!N694"")+IMPORTRANGE(""https://docs.google.com"&amp;"/spreadsheets/d/1Ul4RCpCX66NxYADU1QpwAPjOmBzW64SsT11s1wzXw_c/edit?usp=sharing"",""เลย!N694"")+IMPORTRANGE(""https://docs.google.com/spreadsheets/d/1bRrNKwbHDVktQG10isr5vbWRtt5spIZPpkOSWgbT5ug/edit?usp=sharing"",""ศรีสะเกษ!N694"")+IMPORTRANGE(""https://doc"&amp;"s.google.com/spreadsheets/d/17P34_Ow5kFBfdQD0qspb2UuPX5zpi6WMrQzslghyvrI/edit?usp=sharing"",""สกลนคร!N694"")+IMPORTRANGE(""https://docs.google.com/spreadsheets/d/1yswqbM3-AEpThF3ZSUa1AcmHnmRTF1vlJ1CZGcJ8YuU/edit?usp=sharing"",""สุรินทร์!N694"")+IMPORTRANG"&amp;"E(""https://docs.google.com/spreadsheets/d/13JHU_EFbsQOUQ0JSQ3dWy1VTRosIWcDq6Nc99z2qzdc/edit?usp=sharing"",""หนองคาย!N694"")+IMPORTRANGE(""https://docs.google.com/spreadsheets/d/1Hx73zIEgVdDZZaYSTc46Dqv64atFhpr3GelxLbaIN8A/edit?usp=sharing"",""หนองบัวลำภู"&amp;"!N694"")+IMPORTRANGE(""https://docs.google.com/spreadsheets/d/1lFxr3ctmjFN90yc-xV6jrQ9Ty8BKYVBWnAZ15wcNIJc/edit?usp=sharing"",""อำนาจเจริญ!N694"")+IMPORTRANGE(""https://docs.google.com/spreadsheets/d/1gF7RJpRnL-1oyjyeWxs5SFWEH7y8ahOZsQlyp2A2e-A/edit?usp=s"&amp;"haring"",""อุดรธานี!N694"")+IMPORTRANGE(""https://docs.google.com/spreadsheets/d/1kfLP0j3INXRa8bTDpcEmoWewMBV61jlFlfzczfjWIgc/edit?usp=sharing"",""อุบลราชธานี!N694"")"),0)</f>
        <v>0</v>
      </c>
      <c r="O694" s="59">
        <f t="shared" ca="1" si="473"/>
        <v>0</v>
      </c>
      <c r="P694" s="59">
        <f t="shared" ca="1" si="474"/>
        <v>0</v>
      </c>
      <c r="Q694" s="59">
        <f ca="1">IFERROR(__xludf.DUMMYFUNCTION("IMPORTRANGE(""https://docs.google.com/spreadsheets/d/1yhBcrRPreicbMKl9Bu_Snb2-OcQAF62RKfhTLhJ2eAA/edit?usp=sharing"",""กาฬสินธุ์!Q694"")+IMPORTRANGE(""https://docs.google.com/spreadsheets/d/1aHkj4IaQMThhwWwevcOymEh837vdxeC_PycurhTbGFA/edit?usp=sharing"","&amp;"""ขอนแก่น!Q694"")+IMPORTRANGE(""https://docs.google.com/spreadsheets/d/1FvTu2DsIWUjP6WCWra38Bkj_oOl_sOMf14r5Fg5srxU/edit?usp=sharing"",""ชัยภูมิ!Q694"")+IMPORTRANGE(""https://docs.google.com/spreadsheets/d/1XVB7oCJ3pr-vBUdflwPQ8Z2LlzhnCvZaaYjAfP-647E/edit"&amp;"?usp=sharing"",""นครพนม!Q694"")+IMPORTRANGE(""https://docs.google.com/spreadsheets/d/1Mnpb-8PYAgn85W6KOTD40hc_Xc55CaLfHoGAbrZ8tls/edit?usp=sharing"",""นครราชสีมา!Q694"")+IMPORTRANGE(""https://docs.google.com/spreadsheets/d/1xoDLGBv9CYbyosIhki0kTq6IpYNj-gp"&amp;"jxfobnaDiut0/edit?usp=sharing"",""บึงกาฬ!Q694"")+IMPORTRANGE(""https://docs.google.com/spreadsheets/d/1MMPq-JyI6DSgQETxuSiXkesP-P7JHuemnE6QJIa-Nlw/edit?usp=sharing"",""บุรีรัมย์!Q694"")+IMPORTRANGE(""https://docs.google.com/spreadsheets/d/1l6IZ8xUPgMrESzc"&amp;"TYwhA1k_tPjeQjJPTqlm8Gd9eU5g/edit?usp=sharing"",""มหาสารคาม!Q694"")+IMPORTRANGE(""https://docs.google.com/spreadsheets/d/1uB74YLqNjWX6FObjekfB2NtSYigTQyR2rq9u4Ub2Sq4/edit?usp=sharing"",""มุกดาหาร!Q694"")+IMPORTRANGE(""https://docs.google.com/spreadsheets/"&amp;"d/1NexK3geCPxCTO1fzNF8dPec7yZyUx3OaWkFBC9HsQOo/edit?usp=sharing"",""ยโสธร!Q694"")+IMPORTRANGE(""https://docs.google.com/spreadsheets/d/1v_cJrbBlyqmnHPReHk44g9NrMRdENNlSy_E_c5M9fIg/edit?usp=sharing"",""ร้อยเอ็ด!Q694"")+IMPORTRANGE(""https://docs.google.com"&amp;"/spreadsheets/d/1Ul4RCpCX66NxYADU1QpwAPjOmBzW64SsT11s1wzXw_c/edit?usp=sharing"",""เลย!Q694"")+IMPORTRANGE(""https://docs.google.com/spreadsheets/d/1bRrNKwbHDVktQG10isr5vbWRtt5spIZPpkOSWgbT5ug/edit?usp=sharing"",""ศรีสะเกษ!Q694"")+IMPORTRANGE(""https://doc"&amp;"s.google.com/spreadsheets/d/17P34_Ow5kFBfdQD0qspb2UuPX5zpi6WMrQzslghyvrI/edit?usp=sharing"",""สกลนคร!Q694"")+IMPORTRANGE(""https://docs.google.com/spreadsheets/d/1yswqbM3-AEpThF3ZSUa1AcmHnmRTF1vlJ1CZGcJ8YuU/edit?usp=sharing"",""สุรินทร์!Q694"")+IMPORTRANG"&amp;"E(""https://docs.google.com/spreadsheets/d/13JHU_EFbsQOUQ0JSQ3dWy1VTRosIWcDq6Nc99z2qzdc/edit?usp=sharing"",""หนองคาย!Q694"")+IMPORTRANGE(""https://docs.google.com/spreadsheets/d/1Hx73zIEgVdDZZaYSTc46Dqv64atFhpr3GelxLbaIN8A/edit?usp=sharing"",""หนองบัวลำภู"&amp;"!Q694"")+IMPORTRANGE(""https://docs.google.com/spreadsheets/d/1lFxr3ctmjFN90yc-xV6jrQ9Ty8BKYVBWnAZ15wcNIJc/edit?usp=sharing"",""อำนาจเจริญ!Q694"")+IMPORTRANGE(""https://docs.google.com/spreadsheets/d/1gF7RJpRnL-1oyjyeWxs5SFWEH7y8ahOZsQlyp2A2e-A/edit?usp=s"&amp;"haring"",""อุดรธานี!Q694"")+IMPORTRANGE(""https://docs.google.com/spreadsheets/d/1kfLP0j3INXRa8bTDpcEmoWewMBV61jlFlfzczfjWIgc/edit?usp=sharing"",""อุบลราชธานี!Q694"")"),0)</f>
        <v>0</v>
      </c>
      <c r="R694" s="59">
        <f ca="1">IFERROR(__xludf.DUMMYFUNCTION("IMPORTRANGE(""https://docs.google.com/spreadsheets/d/1yhBcrRPreicbMKl9Bu_Snb2-OcQAF62RKfhTLhJ2eAA/edit?usp=sharing"",""กาฬสินธุ์!R694"")+IMPORTRANGE(""https://docs.google.com/spreadsheets/d/1aHkj4IaQMThhwWwevcOymEh837vdxeC_PycurhTbGFA/edit?usp=sharing"","&amp;"""ขอนแก่น!R694"")+IMPORTRANGE(""https://docs.google.com/spreadsheets/d/1FvTu2DsIWUjP6WCWra38Bkj_oOl_sOMf14r5Fg5srxU/edit?usp=sharing"",""ชัยภูมิ!R694"")+IMPORTRANGE(""https://docs.google.com/spreadsheets/d/1XVB7oCJ3pr-vBUdflwPQ8Z2LlzhnCvZaaYjAfP-647E/edit"&amp;"?usp=sharing"",""นครพนม!R694"")+IMPORTRANGE(""https://docs.google.com/spreadsheets/d/1Mnpb-8PYAgn85W6KOTD40hc_Xc55CaLfHoGAbrZ8tls/edit?usp=sharing"",""นครราชสีมา!R694"")+IMPORTRANGE(""https://docs.google.com/spreadsheets/d/1xoDLGBv9CYbyosIhki0kTq6IpYNj-gp"&amp;"jxfobnaDiut0/edit?usp=sharing"",""บึงกาฬ!R694"")+IMPORTRANGE(""https://docs.google.com/spreadsheets/d/1MMPq-JyI6DSgQETxuSiXkesP-P7JHuemnE6QJIa-Nlw/edit?usp=sharing"",""บุรีรัมย์!R694"")+IMPORTRANGE(""https://docs.google.com/spreadsheets/d/1l6IZ8xUPgMrESzc"&amp;"TYwhA1k_tPjeQjJPTqlm8Gd9eU5g/edit?usp=sharing"",""มหาสารคาม!R694"")+IMPORTRANGE(""https://docs.google.com/spreadsheets/d/1uB74YLqNjWX6FObjekfB2NtSYigTQyR2rq9u4Ub2Sq4/edit?usp=sharing"",""มุกดาหาร!R694"")+IMPORTRANGE(""https://docs.google.com/spreadsheets/"&amp;"d/1NexK3geCPxCTO1fzNF8dPec7yZyUx3OaWkFBC9HsQOo/edit?usp=sharing"",""ยโสธร!R694"")+IMPORTRANGE(""https://docs.google.com/spreadsheets/d/1v_cJrbBlyqmnHPReHk44g9NrMRdENNlSy_E_c5M9fIg/edit?usp=sharing"",""ร้อยเอ็ด!R694"")+IMPORTRANGE(""https://docs.google.com"&amp;"/spreadsheets/d/1Ul4RCpCX66NxYADU1QpwAPjOmBzW64SsT11s1wzXw_c/edit?usp=sharing"",""เลย!R694"")+IMPORTRANGE(""https://docs.google.com/spreadsheets/d/1bRrNKwbHDVktQG10isr5vbWRtt5spIZPpkOSWgbT5ug/edit?usp=sharing"",""ศรีสะเกษ!R694"")+IMPORTRANGE(""https://doc"&amp;"s.google.com/spreadsheets/d/17P34_Ow5kFBfdQD0qspb2UuPX5zpi6WMrQzslghyvrI/edit?usp=sharing"",""สกลนคร!R694"")+IMPORTRANGE(""https://docs.google.com/spreadsheets/d/1yswqbM3-AEpThF3ZSUa1AcmHnmRTF1vlJ1CZGcJ8YuU/edit?usp=sharing"",""สุรินทร์!R694"")+IMPORTRANG"&amp;"E(""https://docs.google.com/spreadsheets/d/13JHU_EFbsQOUQ0JSQ3dWy1VTRosIWcDq6Nc99z2qzdc/edit?usp=sharing"",""หนองคาย!R694"")+IMPORTRANGE(""https://docs.google.com/spreadsheets/d/1Hx73zIEgVdDZZaYSTc46Dqv64atFhpr3GelxLbaIN8A/edit?usp=sharing"",""หนองบัวลำภู"&amp;"!R694"")+IMPORTRANGE(""https://docs.google.com/spreadsheets/d/1lFxr3ctmjFN90yc-xV6jrQ9Ty8BKYVBWnAZ15wcNIJc/edit?usp=sharing"",""อำนาจเจริญ!R694"")+IMPORTRANGE(""https://docs.google.com/spreadsheets/d/1gF7RJpRnL-1oyjyeWxs5SFWEH7y8ahOZsQlyp2A2e-A/edit?usp=s"&amp;"haring"",""อุดรธานี!R694"")+IMPORTRANGE(""https://docs.google.com/spreadsheets/d/1kfLP0j3INXRa8bTDpcEmoWewMBV61jlFlfzczfjWIgc/edit?usp=sharing"",""อุบลราชธานี!R694"")"),0)</f>
        <v>0</v>
      </c>
      <c r="S694" s="60">
        <f ca="1">IFERROR(__xludf.DUMMYFUNCTION("IMPORTRANGE(""https://docs.google.com/spreadsheets/d/1yhBcrRPreicbMKl9Bu_Snb2-OcQAF62RKfhTLhJ2eAA/edit?usp=sharing"",""กาฬสินธุ์!S694"")+IMPORTRANGE(""https://docs.google.com/spreadsheets/d/1aHkj4IaQMThhwWwevcOymEh837vdxeC_PycurhTbGFA/edit?usp=sharing"","&amp;"""ขอนแก่น!S694"")+IMPORTRANGE(""https://docs.google.com/spreadsheets/d/1FvTu2DsIWUjP6WCWra38Bkj_oOl_sOMf14r5Fg5srxU/edit?usp=sharing"",""ชัยภูมิ!S694"")+IMPORTRANGE(""https://docs.google.com/spreadsheets/d/1XVB7oCJ3pr-vBUdflwPQ8Z2LlzhnCvZaaYjAfP-647E/edit"&amp;"?usp=sharing"",""นครพนม!S694"")+IMPORTRANGE(""https://docs.google.com/spreadsheets/d/1Mnpb-8PYAgn85W6KOTD40hc_Xc55CaLfHoGAbrZ8tls/edit?usp=sharing"",""นครราชสีมา!S694"")+IMPORTRANGE(""https://docs.google.com/spreadsheets/d/1xoDLGBv9CYbyosIhki0kTq6IpYNj-gp"&amp;"jxfobnaDiut0/edit?usp=sharing"",""บึงกาฬ!S694"")+IMPORTRANGE(""https://docs.google.com/spreadsheets/d/1MMPq-JyI6DSgQETxuSiXkesP-P7JHuemnE6QJIa-Nlw/edit?usp=sharing"",""บุรีรัมย์!S694"")+IMPORTRANGE(""https://docs.google.com/spreadsheets/d/1l6IZ8xUPgMrESzc"&amp;"TYwhA1k_tPjeQjJPTqlm8Gd9eU5g/edit?usp=sharing"",""มหาสารคาม!S694"")+IMPORTRANGE(""https://docs.google.com/spreadsheets/d/1uB74YLqNjWX6FObjekfB2NtSYigTQyR2rq9u4Ub2Sq4/edit?usp=sharing"",""มุกดาหาร!S694"")+IMPORTRANGE(""https://docs.google.com/spreadsheets/"&amp;"d/1NexK3geCPxCTO1fzNF8dPec7yZyUx3OaWkFBC9HsQOo/edit?usp=sharing"",""ยโสธร!S694"")+IMPORTRANGE(""https://docs.google.com/spreadsheets/d/1v_cJrbBlyqmnHPReHk44g9NrMRdENNlSy_E_c5M9fIg/edit?usp=sharing"",""ร้อยเอ็ด!S694"")+IMPORTRANGE(""https://docs.google.com"&amp;"/spreadsheets/d/1Ul4RCpCX66NxYADU1QpwAPjOmBzW64SsT11s1wzXw_c/edit?usp=sharing"",""เลย!S694"")+IMPORTRANGE(""https://docs.google.com/spreadsheets/d/1bRrNKwbHDVktQG10isr5vbWRtt5spIZPpkOSWgbT5ug/edit?usp=sharing"",""ศรีสะเกษ!S694"")+IMPORTRANGE(""https://doc"&amp;"s.google.com/spreadsheets/d/17P34_Ow5kFBfdQD0qspb2UuPX5zpi6WMrQzslghyvrI/edit?usp=sharing"",""สกลนคร!S694"")+IMPORTRANGE(""https://docs.google.com/spreadsheets/d/1yswqbM3-AEpThF3ZSUa1AcmHnmRTF1vlJ1CZGcJ8YuU/edit?usp=sharing"",""สุรินทร์!S694"")+IMPORTRANG"&amp;"E(""https://docs.google.com/spreadsheets/d/13JHU_EFbsQOUQ0JSQ3dWy1VTRosIWcDq6Nc99z2qzdc/edit?usp=sharing"",""หนองคาย!S694"")+IMPORTRANGE(""https://docs.google.com/spreadsheets/d/1Hx73zIEgVdDZZaYSTc46Dqv64atFhpr3GelxLbaIN8A/edit?usp=sharing"",""หนองบัวลำภู"&amp;"!S694"")+IMPORTRANGE(""https://docs.google.com/spreadsheets/d/1lFxr3ctmjFN90yc-xV6jrQ9Ty8BKYVBWnAZ15wcNIJc/edit?usp=sharing"",""อำนาจเจริญ!S694"")+IMPORTRANGE(""https://docs.google.com/spreadsheets/d/1gF7RJpRnL-1oyjyeWxs5SFWEH7y8ahOZsQlyp2A2e-A/edit?usp=s"&amp;"haring"",""อุดรธานี!S694"")+IMPORTRANGE(""https://docs.google.com/spreadsheets/d/1kfLP0j3INXRa8bTDpcEmoWewMBV61jlFlfzczfjWIgc/edit?usp=sharing"",""อุบลราชธานี!S694"")"),0)</f>
        <v>0</v>
      </c>
      <c r="T694" s="59">
        <f t="shared" ca="1" si="476"/>
        <v>0</v>
      </c>
      <c r="U694" s="59">
        <f t="shared" ca="1" si="477"/>
        <v>0</v>
      </c>
    </row>
    <row r="695" spans="1:21" ht="18.75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56">
        <f ca="1">IFERROR(__xludf.DUMMYFUNCTION("IMPORTRANGE(""https://docs.google.com/spreadsheets/d/1yhBcrRPreicbMKl9Bu_Snb2-OcQAF62RKfhTLhJ2eAA/edit?usp=sharing"",""กาฬสินธุ์!L695"")+IMPORTRANGE(""https://docs.google.com/spreadsheets/d/1aHkj4IaQMThhwWwevcOymEh837vdxeC_PycurhTbGFA/edit?usp=sharing"","&amp;"""ขอนแก่น!L695"")+IMPORTRANGE(""https://docs.google.com/spreadsheets/d/1FvTu2DsIWUjP6WCWra38Bkj_oOl_sOMf14r5Fg5srxU/edit?usp=sharing"",""ชัยภูมิ!L695"")+IMPORTRANGE(""https://docs.google.com/spreadsheets/d/1XVB7oCJ3pr-vBUdflwPQ8Z2LlzhnCvZaaYjAfP-647E/edit"&amp;"?usp=sharing"",""นครพนม!L695"")+IMPORTRANGE(""https://docs.google.com/spreadsheets/d/1Mnpb-8PYAgn85W6KOTD40hc_Xc55CaLfHoGAbrZ8tls/edit?usp=sharing"",""นครราชสีมา!L695"")+IMPORTRANGE(""https://docs.google.com/spreadsheets/d/1xoDLGBv9CYbyosIhki0kTq6IpYNj-gp"&amp;"jxfobnaDiut0/edit?usp=sharing"",""บึงกาฬ!L695"")+IMPORTRANGE(""https://docs.google.com/spreadsheets/d/1MMPq-JyI6DSgQETxuSiXkesP-P7JHuemnE6QJIa-Nlw/edit?usp=sharing"",""บุรีรัมย์!L695"")+IMPORTRANGE(""https://docs.google.com/spreadsheets/d/1l6IZ8xUPgMrESzc"&amp;"TYwhA1k_tPjeQjJPTqlm8Gd9eU5g/edit?usp=sharing"",""มหาสารคาม!L695"")+IMPORTRANGE(""https://docs.google.com/spreadsheets/d/1uB74YLqNjWX6FObjekfB2NtSYigTQyR2rq9u4Ub2Sq4/edit?usp=sharing"",""มุกดาหาร!L695"")+IMPORTRANGE(""https://docs.google.com/spreadsheets/"&amp;"d/1NexK3geCPxCTO1fzNF8dPec7yZyUx3OaWkFBC9HsQOo/edit?usp=sharing"",""ยโสธร!L695"")+IMPORTRANGE(""https://docs.google.com/spreadsheets/d/1v_cJrbBlyqmnHPReHk44g9NrMRdENNlSy_E_c5M9fIg/edit?usp=sharing"",""ร้อยเอ็ด!L695"")+IMPORTRANGE(""https://docs.google.com"&amp;"/spreadsheets/d/1Ul4RCpCX66NxYADU1QpwAPjOmBzW64SsT11s1wzXw_c/edit?usp=sharing"",""เลย!L695"")+IMPORTRANGE(""https://docs.google.com/spreadsheets/d/1bRrNKwbHDVktQG10isr5vbWRtt5spIZPpkOSWgbT5ug/edit?usp=sharing"",""ศรีสะเกษ!L695"")+IMPORTRANGE(""https://doc"&amp;"s.google.com/spreadsheets/d/17P34_Ow5kFBfdQD0qspb2UuPX5zpi6WMrQzslghyvrI/edit?usp=sharing"",""สกลนคร!L695"")+IMPORTRANGE(""https://docs.google.com/spreadsheets/d/1yswqbM3-AEpThF3ZSUa1AcmHnmRTF1vlJ1CZGcJ8YuU/edit?usp=sharing"",""สุรินทร์!L695"")+IMPORTRANG"&amp;"E(""https://docs.google.com/spreadsheets/d/13JHU_EFbsQOUQ0JSQ3dWy1VTRosIWcDq6Nc99z2qzdc/edit?usp=sharing"",""หนองคาย!L695"")+IMPORTRANGE(""https://docs.google.com/spreadsheets/d/1Hx73zIEgVdDZZaYSTc46Dqv64atFhpr3GelxLbaIN8A/edit?usp=sharing"",""หนองบัวลำภู"&amp;"!L695"")+IMPORTRANGE(""https://docs.google.com/spreadsheets/d/1lFxr3ctmjFN90yc-xV6jrQ9Ty8BKYVBWnAZ15wcNIJc/edit?usp=sharing"",""อำนาจเจริญ!L695"")+IMPORTRANGE(""https://docs.google.com/spreadsheets/d/1gF7RJpRnL-1oyjyeWxs5SFWEH7y8ahOZsQlyp2A2e-A/edit?usp=s"&amp;"haring"",""อุดรธานี!L695"")+IMPORTRANGE(""https://docs.google.com/spreadsheets/d/1kfLP0j3INXRa8bTDpcEmoWewMBV61jlFlfzczfjWIgc/edit?usp=sharing"",""อุบลราชธานี!L695"")"),0)</f>
        <v>0</v>
      </c>
      <c r="M695" s="56">
        <f ca="1">IFERROR(__xludf.DUMMYFUNCTION("IMPORTRANGE(""https://docs.google.com/spreadsheets/d/1yhBcrRPreicbMKl9Bu_Snb2-OcQAF62RKfhTLhJ2eAA/edit?usp=sharing"",""กาฬสินธุ์!M695"")+IMPORTRANGE(""https://docs.google.com/spreadsheets/d/1aHkj4IaQMThhwWwevcOymEh837vdxeC_PycurhTbGFA/edit?usp=sharing"","&amp;"""ขอนแก่น!M695"")+IMPORTRANGE(""https://docs.google.com/spreadsheets/d/1FvTu2DsIWUjP6WCWra38Bkj_oOl_sOMf14r5Fg5srxU/edit?usp=sharing"",""ชัยภูมิ!M695"")+IMPORTRANGE(""https://docs.google.com/spreadsheets/d/1XVB7oCJ3pr-vBUdflwPQ8Z2LlzhnCvZaaYjAfP-647E/edit"&amp;"?usp=sharing"",""นครพนม!M695"")+IMPORTRANGE(""https://docs.google.com/spreadsheets/d/1Mnpb-8PYAgn85W6KOTD40hc_Xc55CaLfHoGAbrZ8tls/edit?usp=sharing"",""นครราชสีมา!M695"")+IMPORTRANGE(""https://docs.google.com/spreadsheets/d/1xoDLGBv9CYbyosIhki0kTq6IpYNj-gp"&amp;"jxfobnaDiut0/edit?usp=sharing"",""บึงกาฬ!M695"")+IMPORTRANGE(""https://docs.google.com/spreadsheets/d/1MMPq-JyI6DSgQETxuSiXkesP-P7JHuemnE6QJIa-Nlw/edit?usp=sharing"",""บุรีรัมย์!M695"")+IMPORTRANGE(""https://docs.google.com/spreadsheets/d/1l6IZ8xUPgMrESzc"&amp;"TYwhA1k_tPjeQjJPTqlm8Gd9eU5g/edit?usp=sharing"",""มหาสารคาม!M695"")+IMPORTRANGE(""https://docs.google.com/spreadsheets/d/1uB74YLqNjWX6FObjekfB2NtSYigTQyR2rq9u4Ub2Sq4/edit?usp=sharing"",""มุกดาหาร!M695"")+IMPORTRANGE(""https://docs.google.com/spreadsheets/"&amp;"d/1NexK3geCPxCTO1fzNF8dPec7yZyUx3OaWkFBC9HsQOo/edit?usp=sharing"",""ยโสธร!M695"")+IMPORTRANGE(""https://docs.google.com/spreadsheets/d/1v_cJrbBlyqmnHPReHk44g9NrMRdENNlSy_E_c5M9fIg/edit?usp=sharing"",""ร้อยเอ็ด!M695"")+IMPORTRANGE(""https://docs.google.com"&amp;"/spreadsheets/d/1Ul4RCpCX66NxYADU1QpwAPjOmBzW64SsT11s1wzXw_c/edit?usp=sharing"",""เลย!M695"")+IMPORTRANGE(""https://docs.google.com/spreadsheets/d/1bRrNKwbHDVktQG10isr5vbWRtt5spIZPpkOSWgbT5ug/edit?usp=sharing"",""ศรีสะเกษ!M695"")+IMPORTRANGE(""https://doc"&amp;"s.google.com/spreadsheets/d/17P34_Ow5kFBfdQD0qspb2UuPX5zpi6WMrQzslghyvrI/edit?usp=sharing"",""สกลนคร!M695"")+IMPORTRANGE(""https://docs.google.com/spreadsheets/d/1yswqbM3-AEpThF3ZSUa1AcmHnmRTF1vlJ1CZGcJ8YuU/edit?usp=sharing"",""สุรินทร์!M695"")+IMPORTRANG"&amp;"E(""https://docs.google.com/spreadsheets/d/13JHU_EFbsQOUQ0JSQ3dWy1VTRosIWcDq6Nc99z2qzdc/edit?usp=sharing"",""หนองคาย!M695"")+IMPORTRANGE(""https://docs.google.com/spreadsheets/d/1Hx73zIEgVdDZZaYSTc46Dqv64atFhpr3GelxLbaIN8A/edit?usp=sharing"",""หนองบัวลำภู"&amp;"!M695"")+IMPORTRANGE(""https://docs.google.com/spreadsheets/d/1lFxr3ctmjFN90yc-xV6jrQ9Ty8BKYVBWnAZ15wcNIJc/edit?usp=sharing"",""อำนาจเจริญ!M695"")+IMPORTRANGE(""https://docs.google.com/spreadsheets/d/1gF7RJpRnL-1oyjyeWxs5SFWEH7y8ahOZsQlyp2A2e-A/edit?usp=s"&amp;"haring"",""อุดรธานี!M695"")+IMPORTRANGE(""https://docs.google.com/spreadsheets/d/1kfLP0j3INXRa8bTDpcEmoWewMBV61jlFlfzczfjWIgc/edit?usp=sharing"",""อุบลราชธานี!M695"")"),0)</f>
        <v>0</v>
      </c>
      <c r="N695" s="56">
        <f ca="1">IFERROR(__xludf.DUMMYFUNCTION("IMPORTRANGE(""https://docs.google.com/spreadsheets/d/1yhBcrRPreicbMKl9Bu_Snb2-OcQAF62RKfhTLhJ2eAA/edit?usp=sharing"",""กาฬสินธุ์!N695"")+IMPORTRANGE(""https://docs.google.com/spreadsheets/d/1aHkj4IaQMThhwWwevcOymEh837vdxeC_PycurhTbGFA/edit?usp=sharing"","&amp;"""ขอนแก่น!N695"")+IMPORTRANGE(""https://docs.google.com/spreadsheets/d/1FvTu2DsIWUjP6WCWra38Bkj_oOl_sOMf14r5Fg5srxU/edit?usp=sharing"",""ชัยภูมิ!N695"")+IMPORTRANGE(""https://docs.google.com/spreadsheets/d/1XVB7oCJ3pr-vBUdflwPQ8Z2LlzhnCvZaaYjAfP-647E/edit"&amp;"?usp=sharing"",""นครพนม!N695"")+IMPORTRANGE(""https://docs.google.com/spreadsheets/d/1Mnpb-8PYAgn85W6KOTD40hc_Xc55CaLfHoGAbrZ8tls/edit?usp=sharing"",""นครราชสีมา!N695"")+IMPORTRANGE(""https://docs.google.com/spreadsheets/d/1xoDLGBv9CYbyosIhki0kTq6IpYNj-gp"&amp;"jxfobnaDiut0/edit?usp=sharing"",""บึงกาฬ!N695"")+IMPORTRANGE(""https://docs.google.com/spreadsheets/d/1MMPq-JyI6DSgQETxuSiXkesP-P7JHuemnE6QJIa-Nlw/edit?usp=sharing"",""บุรีรัมย์!N695"")+IMPORTRANGE(""https://docs.google.com/spreadsheets/d/1l6IZ8xUPgMrESzc"&amp;"TYwhA1k_tPjeQjJPTqlm8Gd9eU5g/edit?usp=sharing"",""มหาสารคาม!N695"")+IMPORTRANGE(""https://docs.google.com/spreadsheets/d/1uB74YLqNjWX6FObjekfB2NtSYigTQyR2rq9u4Ub2Sq4/edit?usp=sharing"",""มุกดาหาร!N695"")+IMPORTRANGE(""https://docs.google.com/spreadsheets/"&amp;"d/1NexK3geCPxCTO1fzNF8dPec7yZyUx3OaWkFBC9HsQOo/edit?usp=sharing"",""ยโสธร!N695"")+IMPORTRANGE(""https://docs.google.com/spreadsheets/d/1v_cJrbBlyqmnHPReHk44g9NrMRdENNlSy_E_c5M9fIg/edit?usp=sharing"",""ร้อยเอ็ด!N695"")+IMPORTRANGE(""https://docs.google.com"&amp;"/spreadsheets/d/1Ul4RCpCX66NxYADU1QpwAPjOmBzW64SsT11s1wzXw_c/edit?usp=sharing"",""เลย!N695"")+IMPORTRANGE(""https://docs.google.com/spreadsheets/d/1bRrNKwbHDVktQG10isr5vbWRtt5spIZPpkOSWgbT5ug/edit?usp=sharing"",""ศรีสะเกษ!N695"")+IMPORTRANGE(""https://doc"&amp;"s.google.com/spreadsheets/d/17P34_Ow5kFBfdQD0qspb2UuPX5zpi6WMrQzslghyvrI/edit?usp=sharing"",""สกลนคร!N695"")+IMPORTRANGE(""https://docs.google.com/spreadsheets/d/1yswqbM3-AEpThF3ZSUa1AcmHnmRTF1vlJ1CZGcJ8YuU/edit?usp=sharing"",""สุรินทร์!N695"")+IMPORTRANG"&amp;"E(""https://docs.google.com/spreadsheets/d/13JHU_EFbsQOUQ0JSQ3dWy1VTRosIWcDq6Nc99z2qzdc/edit?usp=sharing"",""หนองคาย!N695"")+IMPORTRANGE(""https://docs.google.com/spreadsheets/d/1Hx73zIEgVdDZZaYSTc46Dqv64atFhpr3GelxLbaIN8A/edit?usp=sharing"",""หนองบัวลำภู"&amp;"!N695"")+IMPORTRANGE(""https://docs.google.com/spreadsheets/d/1lFxr3ctmjFN90yc-xV6jrQ9Ty8BKYVBWnAZ15wcNIJc/edit?usp=sharing"",""อำนาจเจริญ!N695"")+IMPORTRANGE(""https://docs.google.com/spreadsheets/d/1gF7RJpRnL-1oyjyeWxs5SFWEH7y8ahOZsQlyp2A2e-A/edit?usp=s"&amp;"haring"",""อุดรธานี!N695"")+IMPORTRANGE(""https://docs.google.com/spreadsheets/d/1kfLP0j3INXRa8bTDpcEmoWewMBV61jlFlfzczfjWIgc/edit?usp=sharing"",""อุบลราชธานี!N695"")"),0)</f>
        <v>0</v>
      </c>
      <c r="O695" s="56">
        <f t="shared" ca="1" si="473"/>
        <v>0</v>
      </c>
      <c r="P695" s="56">
        <f t="shared" ca="1" si="474"/>
        <v>0</v>
      </c>
      <c r="Q695" s="56">
        <f ca="1">IFERROR(__xludf.DUMMYFUNCTION("IMPORTRANGE(""https://docs.google.com/spreadsheets/d/1yhBcrRPreicbMKl9Bu_Snb2-OcQAF62RKfhTLhJ2eAA/edit?usp=sharing"",""กาฬสินธุ์!Q695"")+IMPORTRANGE(""https://docs.google.com/spreadsheets/d/1aHkj4IaQMThhwWwevcOymEh837vdxeC_PycurhTbGFA/edit?usp=sharing"","&amp;"""ขอนแก่น!Q695"")+IMPORTRANGE(""https://docs.google.com/spreadsheets/d/1FvTu2DsIWUjP6WCWra38Bkj_oOl_sOMf14r5Fg5srxU/edit?usp=sharing"",""ชัยภูมิ!Q695"")+IMPORTRANGE(""https://docs.google.com/spreadsheets/d/1XVB7oCJ3pr-vBUdflwPQ8Z2LlzhnCvZaaYjAfP-647E/edit"&amp;"?usp=sharing"",""นครพนม!Q695"")+IMPORTRANGE(""https://docs.google.com/spreadsheets/d/1Mnpb-8PYAgn85W6KOTD40hc_Xc55CaLfHoGAbrZ8tls/edit?usp=sharing"",""นครราชสีมา!Q695"")+IMPORTRANGE(""https://docs.google.com/spreadsheets/d/1xoDLGBv9CYbyosIhki0kTq6IpYNj-gp"&amp;"jxfobnaDiut0/edit?usp=sharing"",""บึงกาฬ!Q695"")+IMPORTRANGE(""https://docs.google.com/spreadsheets/d/1MMPq-JyI6DSgQETxuSiXkesP-P7JHuemnE6QJIa-Nlw/edit?usp=sharing"",""บุรีรัมย์!Q695"")+IMPORTRANGE(""https://docs.google.com/spreadsheets/d/1l6IZ8xUPgMrESzc"&amp;"TYwhA1k_tPjeQjJPTqlm8Gd9eU5g/edit?usp=sharing"",""มหาสารคาม!Q695"")+IMPORTRANGE(""https://docs.google.com/spreadsheets/d/1uB74YLqNjWX6FObjekfB2NtSYigTQyR2rq9u4Ub2Sq4/edit?usp=sharing"",""มุกดาหาร!Q695"")+IMPORTRANGE(""https://docs.google.com/spreadsheets/"&amp;"d/1NexK3geCPxCTO1fzNF8dPec7yZyUx3OaWkFBC9HsQOo/edit?usp=sharing"",""ยโสธร!Q695"")+IMPORTRANGE(""https://docs.google.com/spreadsheets/d/1v_cJrbBlyqmnHPReHk44g9NrMRdENNlSy_E_c5M9fIg/edit?usp=sharing"",""ร้อยเอ็ด!Q695"")+IMPORTRANGE(""https://docs.google.com"&amp;"/spreadsheets/d/1Ul4RCpCX66NxYADU1QpwAPjOmBzW64SsT11s1wzXw_c/edit?usp=sharing"",""เลย!Q695"")+IMPORTRANGE(""https://docs.google.com/spreadsheets/d/1bRrNKwbHDVktQG10isr5vbWRtt5spIZPpkOSWgbT5ug/edit?usp=sharing"",""ศรีสะเกษ!Q695"")+IMPORTRANGE(""https://doc"&amp;"s.google.com/spreadsheets/d/17P34_Ow5kFBfdQD0qspb2UuPX5zpi6WMrQzslghyvrI/edit?usp=sharing"",""สกลนคร!Q695"")+IMPORTRANGE(""https://docs.google.com/spreadsheets/d/1yswqbM3-AEpThF3ZSUa1AcmHnmRTF1vlJ1CZGcJ8YuU/edit?usp=sharing"",""สุรินทร์!Q695"")+IMPORTRANG"&amp;"E(""https://docs.google.com/spreadsheets/d/13JHU_EFbsQOUQ0JSQ3dWy1VTRosIWcDq6Nc99z2qzdc/edit?usp=sharing"",""หนองคาย!Q695"")+IMPORTRANGE(""https://docs.google.com/spreadsheets/d/1Hx73zIEgVdDZZaYSTc46Dqv64atFhpr3GelxLbaIN8A/edit?usp=sharing"",""หนองบัวลำภู"&amp;"!Q695"")+IMPORTRANGE(""https://docs.google.com/spreadsheets/d/1lFxr3ctmjFN90yc-xV6jrQ9Ty8BKYVBWnAZ15wcNIJc/edit?usp=sharing"",""อำนาจเจริญ!Q695"")+IMPORTRANGE(""https://docs.google.com/spreadsheets/d/1gF7RJpRnL-1oyjyeWxs5SFWEH7y8ahOZsQlyp2A2e-A/edit?usp=s"&amp;"haring"",""อุดรธานี!Q695"")+IMPORTRANGE(""https://docs.google.com/spreadsheets/d/1kfLP0j3INXRa8bTDpcEmoWewMBV61jlFlfzczfjWIgc/edit?usp=sharing"",""อุบลราชธานี!Q695"")"),7251790)</f>
        <v>7251790</v>
      </c>
      <c r="R695" s="56">
        <f ca="1">IFERROR(__xludf.DUMMYFUNCTION("IMPORTRANGE(""https://docs.google.com/spreadsheets/d/1yhBcrRPreicbMKl9Bu_Snb2-OcQAF62RKfhTLhJ2eAA/edit?usp=sharing"",""กาฬสินธุ์!R695"")+IMPORTRANGE(""https://docs.google.com/spreadsheets/d/1aHkj4IaQMThhwWwevcOymEh837vdxeC_PycurhTbGFA/edit?usp=sharing"","&amp;"""ขอนแก่น!R695"")+IMPORTRANGE(""https://docs.google.com/spreadsheets/d/1FvTu2DsIWUjP6WCWra38Bkj_oOl_sOMf14r5Fg5srxU/edit?usp=sharing"",""ชัยภูมิ!R695"")+IMPORTRANGE(""https://docs.google.com/spreadsheets/d/1XVB7oCJ3pr-vBUdflwPQ8Z2LlzhnCvZaaYjAfP-647E/edit"&amp;"?usp=sharing"",""นครพนม!R695"")+IMPORTRANGE(""https://docs.google.com/spreadsheets/d/1Mnpb-8PYAgn85W6KOTD40hc_Xc55CaLfHoGAbrZ8tls/edit?usp=sharing"",""นครราชสีมา!R695"")+IMPORTRANGE(""https://docs.google.com/spreadsheets/d/1xoDLGBv9CYbyosIhki0kTq6IpYNj-gp"&amp;"jxfobnaDiut0/edit?usp=sharing"",""บึงกาฬ!R695"")+IMPORTRANGE(""https://docs.google.com/spreadsheets/d/1MMPq-JyI6DSgQETxuSiXkesP-P7JHuemnE6QJIa-Nlw/edit?usp=sharing"",""บุรีรัมย์!R695"")+IMPORTRANGE(""https://docs.google.com/spreadsheets/d/1l6IZ8xUPgMrESzc"&amp;"TYwhA1k_tPjeQjJPTqlm8Gd9eU5g/edit?usp=sharing"",""มหาสารคาม!R695"")+IMPORTRANGE(""https://docs.google.com/spreadsheets/d/1uB74YLqNjWX6FObjekfB2NtSYigTQyR2rq9u4Ub2Sq4/edit?usp=sharing"",""มุกดาหาร!R695"")+IMPORTRANGE(""https://docs.google.com/spreadsheets/"&amp;"d/1NexK3geCPxCTO1fzNF8dPec7yZyUx3OaWkFBC9HsQOo/edit?usp=sharing"",""ยโสธร!R695"")+IMPORTRANGE(""https://docs.google.com/spreadsheets/d/1v_cJrbBlyqmnHPReHk44g9NrMRdENNlSy_E_c5M9fIg/edit?usp=sharing"",""ร้อยเอ็ด!R695"")+IMPORTRANGE(""https://docs.google.com"&amp;"/spreadsheets/d/1Ul4RCpCX66NxYADU1QpwAPjOmBzW64SsT11s1wzXw_c/edit?usp=sharing"",""เลย!R695"")+IMPORTRANGE(""https://docs.google.com/spreadsheets/d/1bRrNKwbHDVktQG10isr5vbWRtt5spIZPpkOSWgbT5ug/edit?usp=sharing"",""ศรีสะเกษ!R695"")+IMPORTRANGE(""https://doc"&amp;"s.google.com/spreadsheets/d/17P34_Ow5kFBfdQD0qspb2UuPX5zpi6WMrQzslghyvrI/edit?usp=sharing"",""สกลนคร!R695"")+IMPORTRANGE(""https://docs.google.com/spreadsheets/d/1yswqbM3-AEpThF3ZSUa1AcmHnmRTF1vlJ1CZGcJ8YuU/edit?usp=sharing"",""สุรินทร์!R695"")+IMPORTRANG"&amp;"E(""https://docs.google.com/spreadsheets/d/13JHU_EFbsQOUQ0JSQ3dWy1VTRosIWcDq6Nc99z2qzdc/edit?usp=sharing"",""หนองคาย!R695"")+IMPORTRANGE(""https://docs.google.com/spreadsheets/d/1Hx73zIEgVdDZZaYSTc46Dqv64atFhpr3GelxLbaIN8A/edit?usp=sharing"",""หนองบัวลำภู"&amp;"!R695"")+IMPORTRANGE(""https://docs.google.com/spreadsheets/d/1lFxr3ctmjFN90yc-xV6jrQ9Ty8BKYVBWnAZ15wcNIJc/edit?usp=sharing"",""อำนาจเจริญ!R695"")+IMPORTRANGE(""https://docs.google.com/spreadsheets/d/1gF7RJpRnL-1oyjyeWxs5SFWEH7y8ahOZsQlyp2A2e-A/edit?usp=s"&amp;"haring"",""อุดรธานี!R695"")+IMPORTRANGE(""https://docs.google.com/spreadsheets/d/1kfLP0j3INXRa8bTDpcEmoWewMBV61jlFlfzczfjWIgc/edit?usp=sharing"",""อุบลราชธานี!R695"")"),7251790)</f>
        <v>7251790</v>
      </c>
      <c r="S695" s="57">
        <f ca="1">IFERROR(__xludf.DUMMYFUNCTION("IMPORTRANGE(""https://docs.google.com/spreadsheets/d/1yhBcrRPreicbMKl9Bu_Snb2-OcQAF62RKfhTLhJ2eAA/edit?usp=sharing"",""กาฬสินธุ์!S695"")+IMPORTRANGE(""https://docs.google.com/spreadsheets/d/1aHkj4IaQMThhwWwevcOymEh837vdxeC_PycurhTbGFA/edit?usp=sharing"","&amp;"""ขอนแก่น!S695"")+IMPORTRANGE(""https://docs.google.com/spreadsheets/d/1FvTu2DsIWUjP6WCWra38Bkj_oOl_sOMf14r5Fg5srxU/edit?usp=sharing"",""ชัยภูมิ!S695"")+IMPORTRANGE(""https://docs.google.com/spreadsheets/d/1XVB7oCJ3pr-vBUdflwPQ8Z2LlzhnCvZaaYjAfP-647E/edit"&amp;"?usp=sharing"",""นครพนม!S695"")+IMPORTRANGE(""https://docs.google.com/spreadsheets/d/1Mnpb-8PYAgn85W6KOTD40hc_Xc55CaLfHoGAbrZ8tls/edit?usp=sharing"",""นครราชสีมา!S695"")+IMPORTRANGE(""https://docs.google.com/spreadsheets/d/1xoDLGBv9CYbyosIhki0kTq6IpYNj-gp"&amp;"jxfobnaDiut0/edit?usp=sharing"",""บึงกาฬ!S695"")+IMPORTRANGE(""https://docs.google.com/spreadsheets/d/1MMPq-JyI6DSgQETxuSiXkesP-P7JHuemnE6QJIa-Nlw/edit?usp=sharing"",""บุรีรัมย์!S695"")+IMPORTRANGE(""https://docs.google.com/spreadsheets/d/1l6IZ8xUPgMrESzc"&amp;"TYwhA1k_tPjeQjJPTqlm8Gd9eU5g/edit?usp=sharing"",""มหาสารคาม!S695"")+IMPORTRANGE(""https://docs.google.com/spreadsheets/d/1uB74YLqNjWX6FObjekfB2NtSYigTQyR2rq9u4Ub2Sq4/edit?usp=sharing"",""มุกดาหาร!S695"")+IMPORTRANGE(""https://docs.google.com/spreadsheets/"&amp;"d/1NexK3geCPxCTO1fzNF8dPec7yZyUx3OaWkFBC9HsQOo/edit?usp=sharing"",""ยโสธร!S695"")+IMPORTRANGE(""https://docs.google.com/spreadsheets/d/1v_cJrbBlyqmnHPReHk44g9NrMRdENNlSy_E_c5M9fIg/edit?usp=sharing"",""ร้อยเอ็ด!S695"")+IMPORTRANGE(""https://docs.google.com"&amp;"/spreadsheets/d/1Ul4RCpCX66NxYADU1QpwAPjOmBzW64SsT11s1wzXw_c/edit?usp=sharing"",""เลย!S695"")+IMPORTRANGE(""https://docs.google.com/spreadsheets/d/1bRrNKwbHDVktQG10isr5vbWRtt5spIZPpkOSWgbT5ug/edit?usp=sharing"",""ศรีสะเกษ!S695"")+IMPORTRANGE(""https://doc"&amp;"s.google.com/spreadsheets/d/17P34_Ow5kFBfdQD0qspb2UuPX5zpi6WMrQzslghyvrI/edit?usp=sharing"",""สกลนคร!S695"")+IMPORTRANGE(""https://docs.google.com/spreadsheets/d/1yswqbM3-AEpThF3ZSUa1AcmHnmRTF1vlJ1CZGcJ8YuU/edit?usp=sharing"",""สุรินทร์!S695"")+IMPORTRANG"&amp;"E(""https://docs.google.com/spreadsheets/d/13JHU_EFbsQOUQ0JSQ3dWy1VTRosIWcDq6Nc99z2qzdc/edit?usp=sharing"",""หนองคาย!S695"")+IMPORTRANGE(""https://docs.google.com/spreadsheets/d/1Hx73zIEgVdDZZaYSTc46Dqv64atFhpr3GelxLbaIN8A/edit?usp=sharing"",""หนองบัวลำภู"&amp;"!S695"")+IMPORTRANGE(""https://docs.google.com/spreadsheets/d/1lFxr3ctmjFN90yc-xV6jrQ9Ty8BKYVBWnAZ15wcNIJc/edit?usp=sharing"",""อำนาจเจริญ!S695"")+IMPORTRANGE(""https://docs.google.com/spreadsheets/d/1gF7RJpRnL-1oyjyeWxs5SFWEH7y8ahOZsQlyp2A2e-A/edit?usp=s"&amp;"haring"",""อุดรธานี!S695"")+IMPORTRANGE(""https://docs.google.com/spreadsheets/d/1kfLP0j3INXRa8bTDpcEmoWewMBV61jlFlfzczfjWIgc/edit?usp=sharing"",""อุบลราชธานี!S695"")"),1912015.56999999)</f>
        <v>1912015.5699999901</v>
      </c>
      <c r="T695" s="56">
        <f t="shared" ca="1" si="476"/>
        <v>26.366118847898107</v>
      </c>
      <c r="U695" s="56">
        <f t="shared" ca="1" si="477"/>
        <v>26.366118847898107</v>
      </c>
    </row>
    <row r="696" spans="1:21" ht="18.75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56">
        <f t="shared" ref="L696:N696" ca="1" si="484">L697+L698</f>
        <v>0</v>
      </c>
      <c r="M696" s="56">
        <f t="shared" ca="1" si="484"/>
        <v>0</v>
      </c>
      <c r="N696" s="56">
        <f t="shared" ca="1" si="484"/>
        <v>0</v>
      </c>
      <c r="O696" s="56">
        <f t="shared" ca="1" si="473"/>
        <v>0</v>
      </c>
      <c r="P696" s="56">
        <f t="shared" ca="1" si="474"/>
        <v>0</v>
      </c>
      <c r="Q696" s="56">
        <f t="shared" ref="Q696:S696" ca="1" si="485">Q697+Q698</f>
        <v>0</v>
      </c>
      <c r="R696" s="56">
        <f t="shared" ca="1" si="485"/>
        <v>0</v>
      </c>
      <c r="S696" s="57">
        <f t="shared" ca="1" si="485"/>
        <v>0</v>
      </c>
      <c r="T696" s="56">
        <f t="shared" ca="1" si="476"/>
        <v>0</v>
      </c>
      <c r="U696" s="56">
        <f t="shared" ca="1" si="477"/>
        <v>0</v>
      </c>
    </row>
    <row r="697" spans="1:21" ht="18.75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59">
        <f ca="1">IFERROR(__xludf.DUMMYFUNCTION("IMPORTRANGE(""https://docs.google.com/spreadsheets/d/1yhBcrRPreicbMKl9Bu_Snb2-OcQAF62RKfhTLhJ2eAA/edit?usp=sharing"",""กาฬสินธุ์!L697"")+IMPORTRANGE(""https://docs.google.com/spreadsheets/d/1aHkj4IaQMThhwWwevcOymEh837vdxeC_PycurhTbGFA/edit?usp=sharing"","&amp;"""ขอนแก่น!L697"")+IMPORTRANGE(""https://docs.google.com/spreadsheets/d/1FvTu2DsIWUjP6WCWra38Bkj_oOl_sOMf14r5Fg5srxU/edit?usp=sharing"",""ชัยภูมิ!L697"")+IMPORTRANGE(""https://docs.google.com/spreadsheets/d/1XVB7oCJ3pr-vBUdflwPQ8Z2LlzhnCvZaaYjAfP-647E/edit"&amp;"?usp=sharing"",""นครพนม!L697"")+IMPORTRANGE(""https://docs.google.com/spreadsheets/d/1Mnpb-8PYAgn85W6KOTD40hc_Xc55CaLfHoGAbrZ8tls/edit?usp=sharing"",""นครราชสีมา!L697"")+IMPORTRANGE(""https://docs.google.com/spreadsheets/d/1xoDLGBv9CYbyosIhki0kTq6IpYNj-gp"&amp;"jxfobnaDiut0/edit?usp=sharing"",""บึงกาฬ!L697"")+IMPORTRANGE(""https://docs.google.com/spreadsheets/d/1MMPq-JyI6DSgQETxuSiXkesP-P7JHuemnE6QJIa-Nlw/edit?usp=sharing"",""บุรีรัมย์!L697"")+IMPORTRANGE(""https://docs.google.com/spreadsheets/d/1l6IZ8xUPgMrESzc"&amp;"TYwhA1k_tPjeQjJPTqlm8Gd9eU5g/edit?usp=sharing"",""มหาสารคาม!L697"")+IMPORTRANGE(""https://docs.google.com/spreadsheets/d/1uB74YLqNjWX6FObjekfB2NtSYigTQyR2rq9u4Ub2Sq4/edit?usp=sharing"",""มุกดาหาร!L697"")+IMPORTRANGE(""https://docs.google.com/spreadsheets/"&amp;"d/1NexK3geCPxCTO1fzNF8dPec7yZyUx3OaWkFBC9HsQOo/edit?usp=sharing"",""ยโสธร!L697"")+IMPORTRANGE(""https://docs.google.com/spreadsheets/d/1v_cJrbBlyqmnHPReHk44g9NrMRdENNlSy_E_c5M9fIg/edit?usp=sharing"",""ร้อยเอ็ด!L697"")+IMPORTRANGE(""https://docs.google.com"&amp;"/spreadsheets/d/1Ul4RCpCX66NxYADU1QpwAPjOmBzW64SsT11s1wzXw_c/edit?usp=sharing"",""เลย!L697"")+IMPORTRANGE(""https://docs.google.com/spreadsheets/d/1bRrNKwbHDVktQG10isr5vbWRtt5spIZPpkOSWgbT5ug/edit?usp=sharing"",""ศรีสะเกษ!L697"")+IMPORTRANGE(""https://doc"&amp;"s.google.com/spreadsheets/d/17P34_Ow5kFBfdQD0qspb2UuPX5zpi6WMrQzslghyvrI/edit?usp=sharing"",""สกลนคร!L697"")+IMPORTRANGE(""https://docs.google.com/spreadsheets/d/1yswqbM3-AEpThF3ZSUa1AcmHnmRTF1vlJ1CZGcJ8YuU/edit?usp=sharing"",""สุรินทร์!L697"")+IMPORTRANG"&amp;"E(""https://docs.google.com/spreadsheets/d/13JHU_EFbsQOUQ0JSQ3dWy1VTRosIWcDq6Nc99z2qzdc/edit?usp=sharing"",""หนองคาย!L697"")+IMPORTRANGE(""https://docs.google.com/spreadsheets/d/1Hx73zIEgVdDZZaYSTc46Dqv64atFhpr3GelxLbaIN8A/edit?usp=sharing"",""หนองบัวลำภู"&amp;"!L697"")+IMPORTRANGE(""https://docs.google.com/spreadsheets/d/1lFxr3ctmjFN90yc-xV6jrQ9Ty8BKYVBWnAZ15wcNIJc/edit?usp=sharing"",""อำนาจเจริญ!L697"")+IMPORTRANGE(""https://docs.google.com/spreadsheets/d/1gF7RJpRnL-1oyjyeWxs5SFWEH7y8ahOZsQlyp2A2e-A/edit?usp=s"&amp;"haring"",""อุดรธานี!L697"")+IMPORTRANGE(""https://docs.google.com/spreadsheets/d/1kfLP0j3INXRa8bTDpcEmoWewMBV61jlFlfzczfjWIgc/edit?usp=sharing"",""อุบลราชธานี!L697"")"),0)</f>
        <v>0</v>
      </c>
      <c r="M697" s="59">
        <f ca="1">IFERROR(__xludf.DUMMYFUNCTION("IMPORTRANGE(""https://docs.google.com/spreadsheets/d/1yhBcrRPreicbMKl9Bu_Snb2-OcQAF62RKfhTLhJ2eAA/edit?usp=sharing"",""กาฬสินธุ์!M697"")+IMPORTRANGE(""https://docs.google.com/spreadsheets/d/1aHkj4IaQMThhwWwevcOymEh837vdxeC_PycurhTbGFA/edit?usp=sharing"","&amp;"""ขอนแก่น!M697"")+IMPORTRANGE(""https://docs.google.com/spreadsheets/d/1FvTu2DsIWUjP6WCWra38Bkj_oOl_sOMf14r5Fg5srxU/edit?usp=sharing"",""ชัยภูมิ!M697"")+IMPORTRANGE(""https://docs.google.com/spreadsheets/d/1XVB7oCJ3pr-vBUdflwPQ8Z2LlzhnCvZaaYjAfP-647E/edit"&amp;"?usp=sharing"",""นครพนม!M697"")+IMPORTRANGE(""https://docs.google.com/spreadsheets/d/1Mnpb-8PYAgn85W6KOTD40hc_Xc55CaLfHoGAbrZ8tls/edit?usp=sharing"",""นครราชสีมา!M697"")+IMPORTRANGE(""https://docs.google.com/spreadsheets/d/1xoDLGBv9CYbyosIhki0kTq6IpYNj-gp"&amp;"jxfobnaDiut0/edit?usp=sharing"",""บึงกาฬ!M697"")+IMPORTRANGE(""https://docs.google.com/spreadsheets/d/1MMPq-JyI6DSgQETxuSiXkesP-P7JHuemnE6QJIa-Nlw/edit?usp=sharing"",""บุรีรัมย์!M697"")+IMPORTRANGE(""https://docs.google.com/spreadsheets/d/1l6IZ8xUPgMrESzc"&amp;"TYwhA1k_tPjeQjJPTqlm8Gd9eU5g/edit?usp=sharing"",""มหาสารคาม!M697"")+IMPORTRANGE(""https://docs.google.com/spreadsheets/d/1uB74YLqNjWX6FObjekfB2NtSYigTQyR2rq9u4Ub2Sq4/edit?usp=sharing"",""มุกดาหาร!M697"")+IMPORTRANGE(""https://docs.google.com/spreadsheets/"&amp;"d/1NexK3geCPxCTO1fzNF8dPec7yZyUx3OaWkFBC9HsQOo/edit?usp=sharing"",""ยโสธร!M697"")+IMPORTRANGE(""https://docs.google.com/spreadsheets/d/1v_cJrbBlyqmnHPReHk44g9NrMRdENNlSy_E_c5M9fIg/edit?usp=sharing"",""ร้อยเอ็ด!M697"")+IMPORTRANGE(""https://docs.google.com"&amp;"/spreadsheets/d/1Ul4RCpCX66NxYADU1QpwAPjOmBzW64SsT11s1wzXw_c/edit?usp=sharing"",""เลย!M697"")+IMPORTRANGE(""https://docs.google.com/spreadsheets/d/1bRrNKwbHDVktQG10isr5vbWRtt5spIZPpkOSWgbT5ug/edit?usp=sharing"",""ศรีสะเกษ!M697"")+IMPORTRANGE(""https://doc"&amp;"s.google.com/spreadsheets/d/17P34_Ow5kFBfdQD0qspb2UuPX5zpi6WMrQzslghyvrI/edit?usp=sharing"",""สกลนคร!M697"")+IMPORTRANGE(""https://docs.google.com/spreadsheets/d/1yswqbM3-AEpThF3ZSUa1AcmHnmRTF1vlJ1CZGcJ8YuU/edit?usp=sharing"",""สุรินทร์!M697"")+IMPORTRANG"&amp;"E(""https://docs.google.com/spreadsheets/d/13JHU_EFbsQOUQ0JSQ3dWy1VTRosIWcDq6Nc99z2qzdc/edit?usp=sharing"",""หนองคาย!M697"")+IMPORTRANGE(""https://docs.google.com/spreadsheets/d/1Hx73zIEgVdDZZaYSTc46Dqv64atFhpr3GelxLbaIN8A/edit?usp=sharing"",""หนองบัวลำภู"&amp;"!M697"")+IMPORTRANGE(""https://docs.google.com/spreadsheets/d/1lFxr3ctmjFN90yc-xV6jrQ9Ty8BKYVBWnAZ15wcNIJc/edit?usp=sharing"",""อำนาจเจริญ!M697"")+IMPORTRANGE(""https://docs.google.com/spreadsheets/d/1gF7RJpRnL-1oyjyeWxs5SFWEH7y8ahOZsQlyp2A2e-A/edit?usp=s"&amp;"haring"",""อุดรธานี!M697"")+IMPORTRANGE(""https://docs.google.com/spreadsheets/d/1kfLP0j3INXRa8bTDpcEmoWewMBV61jlFlfzczfjWIgc/edit?usp=sharing"",""อุบลราชธานี!M697"")"),0)</f>
        <v>0</v>
      </c>
      <c r="N697" s="59">
        <f ca="1">IFERROR(__xludf.DUMMYFUNCTION("IMPORTRANGE(""https://docs.google.com/spreadsheets/d/1yhBcrRPreicbMKl9Bu_Snb2-OcQAF62RKfhTLhJ2eAA/edit?usp=sharing"",""กาฬสินธุ์!N697"")+IMPORTRANGE(""https://docs.google.com/spreadsheets/d/1aHkj4IaQMThhwWwevcOymEh837vdxeC_PycurhTbGFA/edit?usp=sharing"","&amp;"""ขอนแก่น!N697"")+IMPORTRANGE(""https://docs.google.com/spreadsheets/d/1FvTu2DsIWUjP6WCWra38Bkj_oOl_sOMf14r5Fg5srxU/edit?usp=sharing"",""ชัยภูมิ!N697"")+IMPORTRANGE(""https://docs.google.com/spreadsheets/d/1XVB7oCJ3pr-vBUdflwPQ8Z2LlzhnCvZaaYjAfP-647E/edit"&amp;"?usp=sharing"",""นครพนม!N697"")+IMPORTRANGE(""https://docs.google.com/spreadsheets/d/1Mnpb-8PYAgn85W6KOTD40hc_Xc55CaLfHoGAbrZ8tls/edit?usp=sharing"",""นครราชสีมา!N697"")+IMPORTRANGE(""https://docs.google.com/spreadsheets/d/1xoDLGBv9CYbyosIhki0kTq6IpYNj-gp"&amp;"jxfobnaDiut0/edit?usp=sharing"",""บึงกาฬ!N697"")+IMPORTRANGE(""https://docs.google.com/spreadsheets/d/1MMPq-JyI6DSgQETxuSiXkesP-P7JHuemnE6QJIa-Nlw/edit?usp=sharing"",""บุรีรัมย์!N697"")+IMPORTRANGE(""https://docs.google.com/spreadsheets/d/1l6IZ8xUPgMrESzc"&amp;"TYwhA1k_tPjeQjJPTqlm8Gd9eU5g/edit?usp=sharing"",""มหาสารคาม!N697"")+IMPORTRANGE(""https://docs.google.com/spreadsheets/d/1uB74YLqNjWX6FObjekfB2NtSYigTQyR2rq9u4Ub2Sq4/edit?usp=sharing"",""มุกดาหาร!N697"")+IMPORTRANGE(""https://docs.google.com/spreadsheets/"&amp;"d/1NexK3geCPxCTO1fzNF8dPec7yZyUx3OaWkFBC9HsQOo/edit?usp=sharing"",""ยโสธร!N697"")+IMPORTRANGE(""https://docs.google.com/spreadsheets/d/1v_cJrbBlyqmnHPReHk44g9NrMRdENNlSy_E_c5M9fIg/edit?usp=sharing"",""ร้อยเอ็ด!N697"")+IMPORTRANGE(""https://docs.google.com"&amp;"/spreadsheets/d/1Ul4RCpCX66NxYADU1QpwAPjOmBzW64SsT11s1wzXw_c/edit?usp=sharing"",""เลย!N697"")+IMPORTRANGE(""https://docs.google.com/spreadsheets/d/1bRrNKwbHDVktQG10isr5vbWRtt5spIZPpkOSWgbT5ug/edit?usp=sharing"",""ศรีสะเกษ!N697"")+IMPORTRANGE(""https://doc"&amp;"s.google.com/spreadsheets/d/17P34_Ow5kFBfdQD0qspb2UuPX5zpi6WMrQzslghyvrI/edit?usp=sharing"",""สกลนคร!N697"")+IMPORTRANGE(""https://docs.google.com/spreadsheets/d/1yswqbM3-AEpThF3ZSUa1AcmHnmRTF1vlJ1CZGcJ8YuU/edit?usp=sharing"",""สุรินทร์!N697"")+IMPORTRANG"&amp;"E(""https://docs.google.com/spreadsheets/d/13JHU_EFbsQOUQ0JSQ3dWy1VTRosIWcDq6Nc99z2qzdc/edit?usp=sharing"",""หนองคาย!N697"")+IMPORTRANGE(""https://docs.google.com/spreadsheets/d/1Hx73zIEgVdDZZaYSTc46Dqv64atFhpr3GelxLbaIN8A/edit?usp=sharing"",""หนองบัวลำภู"&amp;"!N697"")+IMPORTRANGE(""https://docs.google.com/spreadsheets/d/1lFxr3ctmjFN90yc-xV6jrQ9Ty8BKYVBWnAZ15wcNIJc/edit?usp=sharing"",""อำนาจเจริญ!N697"")+IMPORTRANGE(""https://docs.google.com/spreadsheets/d/1gF7RJpRnL-1oyjyeWxs5SFWEH7y8ahOZsQlyp2A2e-A/edit?usp=s"&amp;"haring"",""อุดรธานี!N697"")+IMPORTRANGE(""https://docs.google.com/spreadsheets/d/1kfLP0j3INXRa8bTDpcEmoWewMBV61jlFlfzczfjWIgc/edit?usp=sharing"",""อุบลราชธานี!N697"")"),0)</f>
        <v>0</v>
      </c>
      <c r="O697" s="59">
        <f t="shared" ca="1" si="473"/>
        <v>0</v>
      </c>
      <c r="P697" s="59">
        <f t="shared" ca="1" si="474"/>
        <v>0</v>
      </c>
      <c r="Q697" s="59">
        <f ca="1">IFERROR(__xludf.DUMMYFUNCTION("IMPORTRANGE(""https://docs.google.com/spreadsheets/d/1yhBcrRPreicbMKl9Bu_Snb2-OcQAF62RKfhTLhJ2eAA/edit?usp=sharing"",""กาฬสินธุ์!Q697"")+IMPORTRANGE(""https://docs.google.com/spreadsheets/d/1aHkj4IaQMThhwWwevcOymEh837vdxeC_PycurhTbGFA/edit?usp=sharing"","&amp;"""ขอนแก่น!Q697"")+IMPORTRANGE(""https://docs.google.com/spreadsheets/d/1FvTu2DsIWUjP6WCWra38Bkj_oOl_sOMf14r5Fg5srxU/edit?usp=sharing"",""ชัยภูมิ!Q697"")+IMPORTRANGE(""https://docs.google.com/spreadsheets/d/1XVB7oCJ3pr-vBUdflwPQ8Z2LlzhnCvZaaYjAfP-647E/edit"&amp;"?usp=sharing"",""นครพนม!Q697"")+IMPORTRANGE(""https://docs.google.com/spreadsheets/d/1Mnpb-8PYAgn85W6KOTD40hc_Xc55CaLfHoGAbrZ8tls/edit?usp=sharing"",""นครราชสีมา!Q697"")+IMPORTRANGE(""https://docs.google.com/spreadsheets/d/1xoDLGBv9CYbyosIhki0kTq6IpYNj-gp"&amp;"jxfobnaDiut0/edit?usp=sharing"",""บึงกาฬ!Q697"")+IMPORTRANGE(""https://docs.google.com/spreadsheets/d/1MMPq-JyI6DSgQETxuSiXkesP-P7JHuemnE6QJIa-Nlw/edit?usp=sharing"",""บุรีรัมย์!Q697"")+IMPORTRANGE(""https://docs.google.com/spreadsheets/d/1l6IZ8xUPgMrESzc"&amp;"TYwhA1k_tPjeQjJPTqlm8Gd9eU5g/edit?usp=sharing"",""มหาสารคาม!Q697"")+IMPORTRANGE(""https://docs.google.com/spreadsheets/d/1uB74YLqNjWX6FObjekfB2NtSYigTQyR2rq9u4Ub2Sq4/edit?usp=sharing"",""มุกดาหาร!Q697"")+IMPORTRANGE(""https://docs.google.com/spreadsheets/"&amp;"d/1NexK3geCPxCTO1fzNF8dPec7yZyUx3OaWkFBC9HsQOo/edit?usp=sharing"",""ยโสธร!Q697"")+IMPORTRANGE(""https://docs.google.com/spreadsheets/d/1v_cJrbBlyqmnHPReHk44g9NrMRdENNlSy_E_c5M9fIg/edit?usp=sharing"",""ร้อยเอ็ด!Q697"")+IMPORTRANGE(""https://docs.google.com"&amp;"/spreadsheets/d/1Ul4RCpCX66NxYADU1QpwAPjOmBzW64SsT11s1wzXw_c/edit?usp=sharing"",""เลย!Q697"")+IMPORTRANGE(""https://docs.google.com/spreadsheets/d/1bRrNKwbHDVktQG10isr5vbWRtt5spIZPpkOSWgbT5ug/edit?usp=sharing"",""ศรีสะเกษ!Q697"")+IMPORTRANGE(""https://doc"&amp;"s.google.com/spreadsheets/d/17P34_Ow5kFBfdQD0qspb2UuPX5zpi6WMrQzslghyvrI/edit?usp=sharing"",""สกลนคร!Q697"")+IMPORTRANGE(""https://docs.google.com/spreadsheets/d/1yswqbM3-AEpThF3ZSUa1AcmHnmRTF1vlJ1CZGcJ8YuU/edit?usp=sharing"",""สุรินทร์!Q697"")+IMPORTRANG"&amp;"E(""https://docs.google.com/spreadsheets/d/13JHU_EFbsQOUQ0JSQ3dWy1VTRosIWcDq6Nc99z2qzdc/edit?usp=sharing"",""หนองคาย!Q697"")+IMPORTRANGE(""https://docs.google.com/spreadsheets/d/1Hx73zIEgVdDZZaYSTc46Dqv64atFhpr3GelxLbaIN8A/edit?usp=sharing"",""หนองบัวลำภู"&amp;"!Q697"")+IMPORTRANGE(""https://docs.google.com/spreadsheets/d/1lFxr3ctmjFN90yc-xV6jrQ9Ty8BKYVBWnAZ15wcNIJc/edit?usp=sharing"",""อำนาจเจริญ!Q697"")+IMPORTRANGE(""https://docs.google.com/spreadsheets/d/1gF7RJpRnL-1oyjyeWxs5SFWEH7y8ahOZsQlyp2A2e-A/edit?usp=s"&amp;"haring"",""อุดรธานี!Q697"")+IMPORTRANGE(""https://docs.google.com/spreadsheets/d/1kfLP0j3INXRa8bTDpcEmoWewMBV61jlFlfzczfjWIgc/edit?usp=sharing"",""อุบลราชธานี!Q697"")"),0)</f>
        <v>0</v>
      </c>
      <c r="R697" s="59">
        <f ca="1">IFERROR(__xludf.DUMMYFUNCTION("IMPORTRANGE(""https://docs.google.com/spreadsheets/d/1yhBcrRPreicbMKl9Bu_Snb2-OcQAF62RKfhTLhJ2eAA/edit?usp=sharing"",""กาฬสินธุ์!R697"")+IMPORTRANGE(""https://docs.google.com/spreadsheets/d/1aHkj4IaQMThhwWwevcOymEh837vdxeC_PycurhTbGFA/edit?usp=sharing"","&amp;"""ขอนแก่น!R697"")+IMPORTRANGE(""https://docs.google.com/spreadsheets/d/1FvTu2DsIWUjP6WCWra38Bkj_oOl_sOMf14r5Fg5srxU/edit?usp=sharing"",""ชัยภูมิ!R697"")+IMPORTRANGE(""https://docs.google.com/spreadsheets/d/1XVB7oCJ3pr-vBUdflwPQ8Z2LlzhnCvZaaYjAfP-647E/edit"&amp;"?usp=sharing"",""นครพนม!R697"")+IMPORTRANGE(""https://docs.google.com/spreadsheets/d/1Mnpb-8PYAgn85W6KOTD40hc_Xc55CaLfHoGAbrZ8tls/edit?usp=sharing"",""นครราชสีมา!R697"")+IMPORTRANGE(""https://docs.google.com/spreadsheets/d/1xoDLGBv9CYbyosIhki0kTq6IpYNj-gp"&amp;"jxfobnaDiut0/edit?usp=sharing"",""บึงกาฬ!R697"")+IMPORTRANGE(""https://docs.google.com/spreadsheets/d/1MMPq-JyI6DSgQETxuSiXkesP-P7JHuemnE6QJIa-Nlw/edit?usp=sharing"",""บุรีรัมย์!R697"")+IMPORTRANGE(""https://docs.google.com/spreadsheets/d/1l6IZ8xUPgMrESzc"&amp;"TYwhA1k_tPjeQjJPTqlm8Gd9eU5g/edit?usp=sharing"",""มหาสารคาม!R697"")+IMPORTRANGE(""https://docs.google.com/spreadsheets/d/1uB74YLqNjWX6FObjekfB2NtSYigTQyR2rq9u4Ub2Sq4/edit?usp=sharing"",""มุกดาหาร!R697"")+IMPORTRANGE(""https://docs.google.com/spreadsheets/"&amp;"d/1NexK3geCPxCTO1fzNF8dPec7yZyUx3OaWkFBC9HsQOo/edit?usp=sharing"",""ยโสธร!R697"")+IMPORTRANGE(""https://docs.google.com/spreadsheets/d/1v_cJrbBlyqmnHPReHk44g9NrMRdENNlSy_E_c5M9fIg/edit?usp=sharing"",""ร้อยเอ็ด!R697"")+IMPORTRANGE(""https://docs.google.com"&amp;"/spreadsheets/d/1Ul4RCpCX66NxYADU1QpwAPjOmBzW64SsT11s1wzXw_c/edit?usp=sharing"",""เลย!R697"")+IMPORTRANGE(""https://docs.google.com/spreadsheets/d/1bRrNKwbHDVktQG10isr5vbWRtt5spIZPpkOSWgbT5ug/edit?usp=sharing"",""ศรีสะเกษ!R697"")+IMPORTRANGE(""https://doc"&amp;"s.google.com/spreadsheets/d/17P34_Ow5kFBfdQD0qspb2UuPX5zpi6WMrQzslghyvrI/edit?usp=sharing"",""สกลนคร!R697"")+IMPORTRANGE(""https://docs.google.com/spreadsheets/d/1yswqbM3-AEpThF3ZSUa1AcmHnmRTF1vlJ1CZGcJ8YuU/edit?usp=sharing"",""สุรินทร์!R697"")+IMPORTRANG"&amp;"E(""https://docs.google.com/spreadsheets/d/13JHU_EFbsQOUQ0JSQ3dWy1VTRosIWcDq6Nc99z2qzdc/edit?usp=sharing"",""หนองคาย!R697"")+IMPORTRANGE(""https://docs.google.com/spreadsheets/d/1Hx73zIEgVdDZZaYSTc46Dqv64atFhpr3GelxLbaIN8A/edit?usp=sharing"",""หนองบัวลำภู"&amp;"!R697"")+IMPORTRANGE(""https://docs.google.com/spreadsheets/d/1lFxr3ctmjFN90yc-xV6jrQ9Ty8BKYVBWnAZ15wcNIJc/edit?usp=sharing"",""อำนาจเจริญ!R697"")+IMPORTRANGE(""https://docs.google.com/spreadsheets/d/1gF7RJpRnL-1oyjyeWxs5SFWEH7y8ahOZsQlyp2A2e-A/edit?usp=s"&amp;"haring"",""อุดรธานี!R697"")+IMPORTRANGE(""https://docs.google.com/spreadsheets/d/1kfLP0j3INXRa8bTDpcEmoWewMBV61jlFlfzczfjWIgc/edit?usp=sharing"",""อุบลราชธานี!R697"")"),0)</f>
        <v>0</v>
      </c>
      <c r="S697" s="60">
        <f ca="1">IFERROR(__xludf.DUMMYFUNCTION("IMPORTRANGE(""https://docs.google.com/spreadsheets/d/1yhBcrRPreicbMKl9Bu_Snb2-OcQAF62RKfhTLhJ2eAA/edit?usp=sharing"",""กาฬสินธุ์!S697"")+IMPORTRANGE(""https://docs.google.com/spreadsheets/d/1aHkj4IaQMThhwWwevcOymEh837vdxeC_PycurhTbGFA/edit?usp=sharing"","&amp;"""ขอนแก่น!S697"")+IMPORTRANGE(""https://docs.google.com/spreadsheets/d/1FvTu2DsIWUjP6WCWra38Bkj_oOl_sOMf14r5Fg5srxU/edit?usp=sharing"",""ชัยภูมิ!S697"")+IMPORTRANGE(""https://docs.google.com/spreadsheets/d/1XVB7oCJ3pr-vBUdflwPQ8Z2LlzhnCvZaaYjAfP-647E/edit"&amp;"?usp=sharing"",""นครพนม!S697"")+IMPORTRANGE(""https://docs.google.com/spreadsheets/d/1Mnpb-8PYAgn85W6KOTD40hc_Xc55CaLfHoGAbrZ8tls/edit?usp=sharing"",""นครราชสีมา!S697"")+IMPORTRANGE(""https://docs.google.com/spreadsheets/d/1xoDLGBv9CYbyosIhki0kTq6IpYNj-gp"&amp;"jxfobnaDiut0/edit?usp=sharing"",""บึงกาฬ!S697"")+IMPORTRANGE(""https://docs.google.com/spreadsheets/d/1MMPq-JyI6DSgQETxuSiXkesP-P7JHuemnE6QJIa-Nlw/edit?usp=sharing"",""บุรีรัมย์!S697"")+IMPORTRANGE(""https://docs.google.com/spreadsheets/d/1l6IZ8xUPgMrESzc"&amp;"TYwhA1k_tPjeQjJPTqlm8Gd9eU5g/edit?usp=sharing"",""มหาสารคาม!S697"")+IMPORTRANGE(""https://docs.google.com/spreadsheets/d/1uB74YLqNjWX6FObjekfB2NtSYigTQyR2rq9u4Ub2Sq4/edit?usp=sharing"",""มุกดาหาร!S697"")+IMPORTRANGE(""https://docs.google.com/spreadsheets/"&amp;"d/1NexK3geCPxCTO1fzNF8dPec7yZyUx3OaWkFBC9HsQOo/edit?usp=sharing"",""ยโสธร!S697"")+IMPORTRANGE(""https://docs.google.com/spreadsheets/d/1v_cJrbBlyqmnHPReHk44g9NrMRdENNlSy_E_c5M9fIg/edit?usp=sharing"",""ร้อยเอ็ด!S697"")+IMPORTRANGE(""https://docs.google.com"&amp;"/spreadsheets/d/1Ul4RCpCX66NxYADU1QpwAPjOmBzW64SsT11s1wzXw_c/edit?usp=sharing"",""เลย!S697"")+IMPORTRANGE(""https://docs.google.com/spreadsheets/d/1bRrNKwbHDVktQG10isr5vbWRtt5spIZPpkOSWgbT5ug/edit?usp=sharing"",""ศรีสะเกษ!S697"")+IMPORTRANGE(""https://doc"&amp;"s.google.com/spreadsheets/d/17P34_Ow5kFBfdQD0qspb2UuPX5zpi6WMrQzslghyvrI/edit?usp=sharing"",""สกลนคร!S697"")+IMPORTRANGE(""https://docs.google.com/spreadsheets/d/1yswqbM3-AEpThF3ZSUa1AcmHnmRTF1vlJ1CZGcJ8YuU/edit?usp=sharing"",""สุรินทร์!S697"")+IMPORTRANG"&amp;"E(""https://docs.google.com/spreadsheets/d/13JHU_EFbsQOUQ0JSQ3dWy1VTRosIWcDq6Nc99z2qzdc/edit?usp=sharing"",""หนองคาย!S697"")+IMPORTRANGE(""https://docs.google.com/spreadsheets/d/1Hx73zIEgVdDZZaYSTc46Dqv64atFhpr3GelxLbaIN8A/edit?usp=sharing"",""หนองบัวลำภู"&amp;"!S697"")+IMPORTRANGE(""https://docs.google.com/spreadsheets/d/1lFxr3ctmjFN90yc-xV6jrQ9Ty8BKYVBWnAZ15wcNIJc/edit?usp=sharing"",""อำนาจเจริญ!S697"")+IMPORTRANGE(""https://docs.google.com/spreadsheets/d/1gF7RJpRnL-1oyjyeWxs5SFWEH7y8ahOZsQlyp2A2e-A/edit?usp=s"&amp;"haring"",""อุดรธานี!S697"")+IMPORTRANGE(""https://docs.google.com/spreadsheets/d/1kfLP0j3INXRa8bTDpcEmoWewMBV61jlFlfzczfjWIgc/edit?usp=sharing"",""อุบลราชธานี!S697"")"),0)</f>
        <v>0</v>
      </c>
      <c r="T697" s="59">
        <f t="shared" ca="1" si="476"/>
        <v>0</v>
      </c>
      <c r="U697" s="59">
        <f t="shared" ca="1" si="477"/>
        <v>0</v>
      </c>
    </row>
    <row r="698" spans="1:21" ht="18.75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56">
        <f ca="1">IFERROR(__xludf.DUMMYFUNCTION("IMPORTRANGE(""https://docs.google.com/spreadsheets/d/1yhBcrRPreicbMKl9Bu_Snb2-OcQAF62RKfhTLhJ2eAA/edit?usp=sharing"",""กาฬสินธุ์!L698"")+IMPORTRANGE(""https://docs.google.com/spreadsheets/d/1aHkj4IaQMThhwWwevcOymEh837vdxeC_PycurhTbGFA/edit?usp=sharing"","&amp;"""ขอนแก่น!L698"")+IMPORTRANGE(""https://docs.google.com/spreadsheets/d/1FvTu2DsIWUjP6WCWra38Bkj_oOl_sOMf14r5Fg5srxU/edit?usp=sharing"",""ชัยภูมิ!L698"")+IMPORTRANGE(""https://docs.google.com/spreadsheets/d/1XVB7oCJ3pr-vBUdflwPQ8Z2LlzhnCvZaaYjAfP-647E/edit"&amp;"?usp=sharing"",""นครพนม!L698"")+IMPORTRANGE(""https://docs.google.com/spreadsheets/d/1Mnpb-8PYAgn85W6KOTD40hc_Xc55CaLfHoGAbrZ8tls/edit?usp=sharing"",""นครราชสีมา!L698"")+IMPORTRANGE(""https://docs.google.com/spreadsheets/d/1xoDLGBv9CYbyosIhki0kTq6IpYNj-gp"&amp;"jxfobnaDiut0/edit?usp=sharing"",""บึงกาฬ!L698"")+IMPORTRANGE(""https://docs.google.com/spreadsheets/d/1MMPq-JyI6DSgQETxuSiXkesP-P7JHuemnE6QJIa-Nlw/edit?usp=sharing"",""บุรีรัมย์!L698"")+IMPORTRANGE(""https://docs.google.com/spreadsheets/d/1l6IZ8xUPgMrESzc"&amp;"TYwhA1k_tPjeQjJPTqlm8Gd9eU5g/edit?usp=sharing"",""มหาสารคาม!L698"")+IMPORTRANGE(""https://docs.google.com/spreadsheets/d/1uB74YLqNjWX6FObjekfB2NtSYigTQyR2rq9u4Ub2Sq4/edit?usp=sharing"",""มุกดาหาร!L698"")+IMPORTRANGE(""https://docs.google.com/spreadsheets/"&amp;"d/1NexK3geCPxCTO1fzNF8dPec7yZyUx3OaWkFBC9HsQOo/edit?usp=sharing"",""ยโสธร!L698"")+IMPORTRANGE(""https://docs.google.com/spreadsheets/d/1v_cJrbBlyqmnHPReHk44g9NrMRdENNlSy_E_c5M9fIg/edit?usp=sharing"",""ร้อยเอ็ด!L698"")+IMPORTRANGE(""https://docs.google.com"&amp;"/spreadsheets/d/1Ul4RCpCX66NxYADU1QpwAPjOmBzW64SsT11s1wzXw_c/edit?usp=sharing"",""เลย!L698"")+IMPORTRANGE(""https://docs.google.com/spreadsheets/d/1bRrNKwbHDVktQG10isr5vbWRtt5spIZPpkOSWgbT5ug/edit?usp=sharing"",""ศรีสะเกษ!L698"")+IMPORTRANGE(""https://doc"&amp;"s.google.com/spreadsheets/d/17P34_Ow5kFBfdQD0qspb2UuPX5zpi6WMrQzslghyvrI/edit?usp=sharing"",""สกลนคร!L698"")+IMPORTRANGE(""https://docs.google.com/spreadsheets/d/1yswqbM3-AEpThF3ZSUa1AcmHnmRTF1vlJ1CZGcJ8YuU/edit?usp=sharing"",""สุรินทร์!L698"")+IMPORTRANG"&amp;"E(""https://docs.google.com/spreadsheets/d/13JHU_EFbsQOUQ0JSQ3dWy1VTRosIWcDq6Nc99z2qzdc/edit?usp=sharing"",""หนองคาย!L698"")+IMPORTRANGE(""https://docs.google.com/spreadsheets/d/1Hx73zIEgVdDZZaYSTc46Dqv64atFhpr3GelxLbaIN8A/edit?usp=sharing"",""หนองบัวลำภู"&amp;"!L698"")+IMPORTRANGE(""https://docs.google.com/spreadsheets/d/1lFxr3ctmjFN90yc-xV6jrQ9Ty8BKYVBWnAZ15wcNIJc/edit?usp=sharing"",""อำนาจเจริญ!L698"")+IMPORTRANGE(""https://docs.google.com/spreadsheets/d/1gF7RJpRnL-1oyjyeWxs5SFWEH7y8ahOZsQlyp2A2e-A/edit?usp=s"&amp;"haring"",""อุดรธานี!L698"")+IMPORTRANGE(""https://docs.google.com/spreadsheets/d/1kfLP0j3INXRa8bTDpcEmoWewMBV61jlFlfzczfjWIgc/edit?usp=sharing"",""อุบลราชธานี!L698"")"),0)</f>
        <v>0</v>
      </c>
      <c r="M698" s="56">
        <f ca="1">IFERROR(__xludf.DUMMYFUNCTION("IMPORTRANGE(""https://docs.google.com/spreadsheets/d/1yhBcrRPreicbMKl9Bu_Snb2-OcQAF62RKfhTLhJ2eAA/edit?usp=sharing"",""กาฬสินธุ์!M698"")+IMPORTRANGE(""https://docs.google.com/spreadsheets/d/1aHkj4IaQMThhwWwevcOymEh837vdxeC_PycurhTbGFA/edit?usp=sharing"","&amp;"""ขอนแก่น!M698"")+IMPORTRANGE(""https://docs.google.com/spreadsheets/d/1FvTu2DsIWUjP6WCWra38Bkj_oOl_sOMf14r5Fg5srxU/edit?usp=sharing"",""ชัยภูมิ!M698"")+IMPORTRANGE(""https://docs.google.com/spreadsheets/d/1XVB7oCJ3pr-vBUdflwPQ8Z2LlzhnCvZaaYjAfP-647E/edit"&amp;"?usp=sharing"",""นครพนม!M698"")+IMPORTRANGE(""https://docs.google.com/spreadsheets/d/1Mnpb-8PYAgn85W6KOTD40hc_Xc55CaLfHoGAbrZ8tls/edit?usp=sharing"",""นครราชสีมา!M698"")+IMPORTRANGE(""https://docs.google.com/spreadsheets/d/1xoDLGBv9CYbyosIhki0kTq6IpYNj-gp"&amp;"jxfobnaDiut0/edit?usp=sharing"",""บึงกาฬ!M698"")+IMPORTRANGE(""https://docs.google.com/spreadsheets/d/1MMPq-JyI6DSgQETxuSiXkesP-P7JHuemnE6QJIa-Nlw/edit?usp=sharing"",""บุรีรัมย์!M698"")+IMPORTRANGE(""https://docs.google.com/spreadsheets/d/1l6IZ8xUPgMrESzc"&amp;"TYwhA1k_tPjeQjJPTqlm8Gd9eU5g/edit?usp=sharing"",""มหาสารคาม!M698"")+IMPORTRANGE(""https://docs.google.com/spreadsheets/d/1uB74YLqNjWX6FObjekfB2NtSYigTQyR2rq9u4Ub2Sq4/edit?usp=sharing"",""มุกดาหาร!M698"")+IMPORTRANGE(""https://docs.google.com/spreadsheets/"&amp;"d/1NexK3geCPxCTO1fzNF8dPec7yZyUx3OaWkFBC9HsQOo/edit?usp=sharing"",""ยโสธร!M698"")+IMPORTRANGE(""https://docs.google.com/spreadsheets/d/1v_cJrbBlyqmnHPReHk44g9NrMRdENNlSy_E_c5M9fIg/edit?usp=sharing"",""ร้อยเอ็ด!M698"")+IMPORTRANGE(""https://docs.google.com"&amp;"/spreadsheets/d/1Ul4RCpCX66NxYADU1QpwAPjOmBzW64SsT11s1wzXw_c/edit?usp=sharing"",""เลย!M698"")+IMPORTRANGE(""https://docs.google.com/spreadsheets/d/1bRrNKwbHDVktQG10isr5vbWRtt5spIZPpkOSWgbT5ug/edit?usp=sharing"",""ศรีสะเกษ!M698"")+IMPORTRANGE(""https://doc"&amp;"s.google.com/spreadsheets/d/17P34_Ow5kFBfdQD0qspb2UuPX5zpi6WMrQzslghyvrI/edit?usp=sharing"",""สกลนคร!M698"")+IMPORTRANGE(""https://docs.google.com/spreadsheets/d/1yswqbM3-AEpThF3ZSUa1AcmHnmRTF1vlJ1CZGcJ8YuU/edit?usp=sharing"",""สุรินทร์!M698"")+IMPORTRANG"&amp;"E(""https://docs.google.com/spreadsheets/d/13JHU_EFbsQOUQ0JSQ3dWy1VTRosIWcDq6Nc99z2qzdc/edit?usp=sharing"",""หนองคาย!M698"")+IMPORTRANGE(""https://docs.google.com/spreadsheets/d/1Hx73zIEgVdDZZaYSTc46Dqv64atFhpr3GelxLbaIN8A/edit?usp=sharing"",""หนองบัวลำภู"&amp;"!M698"")+IMPORTRANGE(""https://docs.google.com/spreadsheets/d/1lFxr3ctmjFN90yc-xV6jrQ9Ty8BKYVBWnAZ15wcNIJc/edit?usp=sharing"",""อำนาจเจริญ!M698"")+IMPORTRANGE(""https://docs.google.com/spreadsheets/d/1gF7RJpRnL-1oyjyeWxs5SFWEH7y8ahOZsQlyp2A2e-A/edit?usp=s"&amp;"haring"",""อุดรธานี!M698"")+IMPORTRANGE(""https://docs.google.com/spreadsheets/d/1kfLP0j3INXRa8bTDpcEmoWewMBV61jlFlfzczfjWIgc/edit?usp=sharing"",""อุบลราชธานี!M698"")"),0)</f>
        <v>0</v>
      </c>
      <c r="N698" s="56">
        <f ca="1">IFERROR(__xludf.DUMMYFUNCTION("IMPORTRANGE(""https://docs.google.com/spreadsheets/d/1yhBcrRPreicbMKl9Bu_Snb2-OcQAF62RKfhTLhJ2eAA/edit?usp=sharing"",""กาฬสินธุ์!N698"")+IMPORTRANGE(""https://docs.google.com/spreadsheets/d/1aHkj4IaQMThhwWwevcOymEh837vdxeC_PycurhTbGFA/edit?usp=sharing"","&amp;"""ขอนแก่น!N698"")+IMPORTRANGE(""https://docs.google.com/spreadsheets/d/1FvTu2DsIWUjP6WCWra38Bkj_oOl_sOMf14r5Fg5srxU/edit?usp=sharing"",""ชัยภูมิ!N698"")+IMPORTRANGE(""https://docs.google.com/spreadsheets/d/1XVB7oCJ3pr-vBUdflwPQ8Z2LlzhnCvZaaYjAfP-647E/edit"&amp;"?usp=sharing"",""นครพนม!N698"")+IMPORTRANGE(""https://docs.google.com/spreadsheets/d/1Mnpb-8PYAgn85W6KOTD40hc_Xc55CaLfHoGAbrZ8tls/edit?usp=sharing"",""นครราชสีมา!N698"")+IMPORTRANGE(""https://docs.google.com/spreadsheets/d/1xoDLGBv9CYbyosIhki0kTq6IpYNj-gp"&amp;"jxfobnaDiut0/edit?usp=sharing"",""บึงกาฬ!N698"")+IMPORTRANGE(""https://docs.google.com/spreadsheets/d/1MMPq-JyI6DSgQETxuSiXkesP-P7JHuemnE6QJIa-Nlw/edit?usp=sharing"",""บุรีรัมย์!N698"")+IMPORTRANGE(""https://docs.google.com/spreadsheets/d/1l6IZ8xUPgMrESzc"&amp;"TYwhA1k_tPjeQjJPTqlm8Gd9eU5g/edit?usp=sharing"",""มหาสารคาม!N698"")+IMPORTRANGE(""https://docs.google.com/spreadsheets/d/1uB74YLqNjWX6FObjekfB2NtSYigTQyR2rq9u4Ub2Sq4/edit?usp=sharing"",""มุกดาหาร!N698"")+IMPORTRANGE(""https://docs.google.com/spreadsheets/"&amp;"d/1NexK3geCPxCTO1fzNF8dPec7yZyUx3OaWkFBC9HsQOo/edit?usp=sharing"",""ยโสธร!N698"")+IMPORTRANGE(""https://docs.google.com/spreadsheets/d/1v_cJrbBlyqmnHPReHk44g9NrMRdENNlSy_E_c5M9fIg/edit?usp=sharing"",""ร้อยเอ็ด!N698"")+IMPORTRANGE(""https://docs.google.com"&amp;"/spreadsheets/d/1Ul4RCpCX66NxYADU1QpwAPjOmBzW64SsT11s1wzXw_c/edit?usp=sharing"",""เลย!N698"")+IMPORTRANGE(""https://docs.google.com/spreadsheets/d/1bRrNKwbHDVktQG10isr5vbWRtt5spIZPpkOSWgbT5ug/edit?usp=sharing"",""ศรีสะเกษ!N698"")+IMPORTRANGE(""https://doc"&amp;"s.google.com/spreadsheets/d/17P34_Ow5kFBfdQD0qspb2UuPX5zpi6WMrQzslghyvrI/edit?usp=sharing"",""สกลนคร!N698"")+IMPORTRANGE(""https://docs.google.com/spreadsheets/d/1yswqbM3-AEpThF3ZSUa1AcmHnmRTF1vlJ1CZGcJ8YuU/edit?usp=sharing"",""สุรินทร์!N698"")+IMPORTRANG"&amp;"E(""https://docs.google.com/spreadsheets/d/13JHU_EFbsQOUQ0JSQ3dWy1VTRosIWcDq6Nc99z2qzdc/edit?usp=sharing"",""หนองคาย!N698"")+IMPORTRANGE(""https://docs.google.com/spreadsheets/d/1Hx73zIEgVdDZZaYSTc46Dqv64atFhpr3GelxLbaIN8A/edit?usp=sharing"",""หนองบัวลำภู"&amp;"!N698"")+IMPORTRANGE(""https://docs.google.com/spreadsheets/d/1lFxr3ctmjFN90yc-xV6jrQ9Ty8BKYVBWnAZ15wcNIJc/edit?usp=sharing"",""อำนาจเจริญ!N698"")+IMPORTRANGE(""https://docs.google.com/spreadsheets/d/1gF7RJpRnL-1oyjyeWxs5SFWEH7y8ahOZsQlyp2A2e-A/edit?usp=s"&amp;"haring"",""อุดรธานี!N698"")+IMPORTRANGE(""https://docs.google.com/spreadsheets/d/1kfLP0j3INXRa8bTDpcEmoWewMBV61jlFlfzczfjWIgc/edit?usp=sharing"",""อุบลราชธานี!N698"")"),0)</f>
        <v>0</v>
      </c>
      <c r="O698" s="56">
        <f t="shared" ca="1" si="473"/>
        <v>0</v>
      </c>
      <c r="P698" s="56">
        <f t="shared" ca="1" si="474"/>
        <v>0</v>
      </c>
      <c r="Q698" s="56">
        <f ca="1">IFERROR(__xludf.DUMMYFUNCTION("IMPORTRANGE(""https://docs.google.com/spreadsheets/d/1yhBcrRPreicbMKl9Bu_Snb2-OcQAF62RKfhTLhJ2eAA/edit?usp=sharing"",""กาฬสินธุ์!Q698"")+IMPORTRANGE(""https://docs.google.com/spreadsheets/d/1aHkj4IaQMThhwWwevcOymEh837vdxeC_PycurhTbGFA/edit?usp=sharing"","&amp;"""ขอนแก่น!Q698"")+IMPORTRANGE(""https://docs.google.com/spreadsheets/d/1FvTu2DsIWUjP6WCWra38Bkj_oOl_sOMf14r5Fg5srxU/edit?usp=sharing"",""ชัยภูมิ!Q698"")+IMPORTRANGE(""https://docs.google.com/spreadsheets/d/1XVB7oCJ3pr-vBUdflwPQ8Z2LlzhnCvZaaYjAfP-647E/edit"&amp;"?usp=sharing"",""นครพนม!Q698"")+IMPORTRANGE(""https://docs.google.com/spreadsheets/d/1Mnpb-8PYAgn85W6KOTD40hc_Xc55CaLfHoGAbrZ8tls/edit?usp=sharing"",""นครราชสีมา!Q698"")+IMPORTRANGE(""https://docs.google.com/spreadsheets/d/1xoDLGBv9CYbyosIhki0kTq6IpYNj-gp"&amp;"jxfobnaDiut0/edit?usp=sharing"",""บึงกาฬ!Q698"")+IMPORTRANGE(""https://docs.google.com/spreadsheets/d/1MMPq-JyI6DSgQETxuSiXkesP-P7JHuemnE6QJIa-Nlw/edit?usp=sharing"",""บุรีรัมย์!Q698"")+IMPORTRANGE(""https://docs.google.com/spreadsheets/d/1l6IZ8xUPgMrESzc"&amp;"TYwhA1k_tPjeQjJPTqlm8Gd9eU5g/edit?usp=sharing"",""มหาสารคาม!Q698"")+IMPORTRANGE(""https://docs.google.com/spreadsheets/d/1uB74YLqNjWX6FObjekfB2NtSYigTQyR2rq9u4Ub2Sq4/edit?usp=sharing"",""มุกดาหาร!Q698"")+IMPORTRANGE(""https://docs.google.com/spreadsheets/"&amp;"d/1NexK3geCPxCTO1fzNF8dPec7yZyUx3OaWkFBC9HsQOo/edit?usp=sharing"",""ยโสธร!Q698"")+IMPORTRANGE(""https://docs.google.com/spreadsheets/d/1v_cJrbBlyqmnHPReHk44g9NrMRdENNlSy_E_c5M9fIg/edit?usp=sharing"",""ร้อยเอ็ด!Q698"")+IMPORTRANGE(""https://docs.google.com"&amp;"/spreadsheets/d/1Ul4RCpCX66NxYADU1QpwAPjOmBzW64SsT11s1wzXw_c/edit?usp=sharing"",""เลย!Q698"")+IMPORTRANGE(""https://docs.google.com/spreadsheets/d/1bRrNKwbHDVktQG10isr5vbWRtt5spIZPpkOSWgbT5ug/edit?usp=sharing"",""ศรีสะเกษ!Q698"")+IMPORTRANGE(""https://doc"&amp;"s.google.com/spreadsheets/d/17P34_Ow5kFBfdQD0qspb2UuPX5zpi6WMrQzslghyvrI/edit?usp=sharing"",""สกลนคร!Q698"")+IMPORTRANGE(""https://docs.google.com/spreadsheets/d/1yswqbM3-AEpThF3ZSUa1AcmHnmRTF1vlJ1CZGcJ8YuU/edit?usp=sharing"",""สุรินทร์!Q698"")+IMPORTRANG"&amp;"E(""https://docs.google.com/spreadsheets/d/13JHU_EFbsQOUQ0JSQ3dWy1VTRosIWcDq6Nc99z2qzdc/edit?usp=sharing"",""หนองคาย!Q698"")+IMPORTRANGE(""https://docs.google.com/spreadsheets/d/1Hx73zIEgVdDZZaYSTc46Dqv64atFhpr3GelxLbaIN8A/edit?usp=sharing"",""หนองบัวลำภู"&amp;"!Q698"")+IMPORTRANGE(""https://docs.google.com/spreadsheets/d/1lFxr3ctmjFN90yc-xV6jrQ9Ty8BKYVBWnAZ15wcNIJc/edit?usp=sharing"",""อำนาจเจริญ!Q698"")+IMPORTRANGE(""https://docs.google.com/spreadsheets/d/1gF7RJpRnL-1oyjyeWxs5SFWEH7y8ahOZsQlyp2A2e-A/edit?usp=s"&amp;"haring"",""อุดรธานี!Q698"")+IMPORTRANGE(""https://docs.google.com/spreadsheets/d/1kfLP0j3INXRa8bTDpcEmoWewMBV61jlFlfzczfjWIgc/edit?usp=sharing"",""อุบลราชธานี!Q698"")"),0)</f>
        <v>0</v>
      </c>
      <c r="R698" s="56">
        <f ca="1">IFERROR(__xludf.DUMMYFUNCTION("IMPORTRANGE(""https://docs.google.com/spreadsheets/d/1yhBcrRPreicbMKl9Bu_Snb2-OcQAF62RKfhTLhJ2eAA/edit?usp=sharing"",""กาฬสินธุ์!R698"")+IMPORTRANGE(""https://docs.google.com/spreadsheets/d/1aHkj4IaQMThhwWwevcOymEh837vdxeC_PycurhTbGFA/edit?usp=sharing"","&amp;"""ขอนแก่น!R698"")+IMPORTRANGE(""https://docs.google.com/spreadsheets/d/1FvTu2DsIWUjP6WCWra38Bkj_oOl_sOMf14r5Fg5srxU/edit?usp=sharing"",""ชัยภูมิ!R698"")+IMPORTRANGE(""https://docs.google.com/spreadsheets/d/1XVB7oCJ3pr-vBUdflwPQ8Z2LlzhnCvZaaYjAfP-647E/edit"&amp;"?usp=sharing"",""นครพนม!R698"")+IMPORTRANGE(""https://docs.google.com/spreadsheets/d/1Mnpb-8PYAgn85W6KOTD40hc_Xc55CaLfHoGAbrZ8tls/edit?usp=sharing"",""นครราชสีมา!R698"")+IMPORTRANGE(""https://docs.google.com/spreadsheets/d/1xoDLGBv9CYbyosIhki0kTq6IpYNj-gp"&amp;"jxfobnaDiut0/edit?usp=sharing"",""บึงกาฬ!R698"")+IMPORTRANGE(""https://docs.google.com/spreadsheets/d/1MMPq-JyI6DSgQETxuSiXkesP-P7JHuemnE6QJIa-Nlw/edit?usp=sharing"",""บุรีรัมย์!R698"")+IMPORTRANGE(""https://docs.google.com/spreadsheets/d/1l6IZ8xUPgMrESzc"&amp;"TYwhA1k_tPjeQjJPTqlm8Gd9eU5g/edit?usp=sharing"",""มหาสารคาม!R698"")+IMPORTRANGE(""https://docs.google.com/spreadsheets/d/1uB74YLqNjWX6FObjekfB2NtSYigTQyR2rq9u4Ub2Sq4/edit?usp=sharing"",""มุกดาหาร!R698"")+IMPORTRANGE(""https://docs.google.com/spreadsheets/"&amp;"d/1NexK3geCPxCTO1fzNF8dPec7yZyUx3OaWkFBC9HsQOo/edit?usp=sharing"",""ยโสธร!R698"")+IMPORTRANGE(""https://docs.google.com/spreadsheets/d/1v_cJrbBlyqmnHPReHk44g9NrMRdENNlSy_E_c5M9fIg/edit?usp=sharing"",""ร้อยเอ็ด!R698"")+IMPORTRANGE(""https://docs.google.com"&amp;"/spreadsheets/d/1Ul4RCpCX66NxYADU1QpwAPjOmBzW64SsT11s1wzXw_c/edit?usp=sharing"",""เลย!R698"")+IMPORTRANGE(""https://docs.google.com/spreadsheets/d/1bRrNKwbHDVktQG10isr5vbWRtt5spIZPpkOSWgbT5ug/edit?usp=sharing"",""ศรีสะเกษ!R698"")+IMPORTRANGE(""https://doc"&amp;"s.google.com/spreadsheets/d/17P34_Ow5kFBfdQD0qspb2UuPX5zpi6WMrQzslghyvrI/edit?usp=sharing"",""สกลนคร!R698"")+IMPORTRANGE(""https://docs.google.com/spreadsheets/d/1yswqbM3-AEpThF3ZSUa1AcmHnmRTF1vlJ1CZGcJ8YuU/edit?usp=sharing"",""สุรินทร์!R698"")+IMPORTRANG"&amp;"E(""https://docs.google.com/spreadsheets/d/13JHU_EFbsQOUQ0JSQ3dWy1VTRosIWcDq6Nc99z2qzdc/edit?usp=sharing"",""หนองคาย!R698"")+IMPORTRANGE(""https://docs.google.com/spreadsheets/d/1Hx73zIEgVdDZZaYSTc46Dqv64atFhpr3GelxLbaIN8A/edit?usp=sharing"",""หนองบัวลำภู"&amp;"!R698"")+IMPORTRANGE(""https://docs.google.com/spreadsheets/d/1lFxr3ctmjFN90yc-xV6jrQ9Ty8BKYVBWnAZ15wcNIJc/edit?usp=sharing"",""อำนาจเจริญ!R698"")+IMPORTRANGE(""https://docs.google.com/spreadsheets/d/1gF7RJpRnL-1oyjyeWxs5SFWEH7y8ahOZsQlyp2A2e-A/edit?usp=s"&amp;"haring"",""อุดรธานี!R698"")+IMPORTRANGE(""https://docs.google.com/spreadsheets/d/1kfLP0j3INXRa8bTDpcEmoWewMBV61jlFlfzczfjWIgc/edit?usp=sharing"",""อุบลราชธานี!R698"")"),0)</f>
        <v>0</v>
      </c>
      <c r="S698" s="57">
        <f ca="1">IFERROR(__xludf.DUMMYFUNCTION("IMPORTRANGE(""https://docs.google.com/spreadsheets/d/1yhBcrRPreicbMKl9Bu_Snb2-OcQAF62RKfhTLhJ2eAA/edit?usp=sharing"",""กาฬสินธุ์!S698"")+IMPORTRANGE(""https://docs.google.com/spreadsheets/d/1aHkj4IaQMThhwWwevcOymEh837vdxeC_PycurhTbGFA/edit?usp=sharing"","&amp;"""ขอนแก่น!S698"")+IMPORTRANGE(""https://docs.google.com/spreadsheets/d/1FvTu2DsIWUjP6WCWra38Bkj_oOl_sOMf14r5Fg5srxU/edit?usp=sharing"",""ชัยภูมิ!S698"")+IMPORTRANGE(""https://docs.google.com/spreadsheets/d/1XVB7oCJ3pr-vBUdflwPQ8Z2LlzhnCvZaaYjAfP-647E/edit"&amp;"?usp=sharing"",""นครพนม!S698"")+IMPORTRANGE(""https://docs.google.com/spreadsheets/d/1Mnpb-8PYAgn85W6KOTD40hc_Xc55CaLfHoGAbrZ8tls/edit?usp=sharing"",""นครราชสีมา!S698"")+IMPORTRANGE(""https://docs.google.com/spreadsheets/d/1xoDLGBv9CYbyosIhki0kTq6IpYNj-gp"&amp;"jxfobnaDiut0/edit?usp=sharing"",""บึงกาฬ!S698"")+IMPORTRANGE(""https://docs.google.com/spreadsheets/d/1MMPq-JyI6DSgQETxuSiXkesP-P7JHuemnE6QJIa-Nlw/edit?usp=sharing"",""บุรีรัมย์!S698"")+IMPORTRANGE(""https://docs.google.com/spreadsheets/d/1l6IZ8xUPgMrESzc"&amp;"TYwhA1k_tPjeQjJPTqlm8Gd9eU5g/edit?usp=sharing"",""มหาสารคาม!S698"")+IMPORTRANGE(""https://docs.google.com/spreadsheets/d/1uB74YLqNjWX6FObjekfB2NtSYigTQyR2rq9u4Ub2Sq4/edit?usp=sharing"",""มุกดาหาร!S698"")+IMPORTRANGE(""https://docs.google.com/spreadsheets/"&amp;"d/1NexK3geCPxCTO1fzNF8dPec7yZyUx3OaWkFBC9HsQOo/edit?usp=sharing"",""ยโสธร!S698"")+IMPORTRANGE(""https://docs.google.com/spreadsheets/d/1v_cJrbBlyqmnHPReHk44g9NrMRdENNlSy_E_c5M9fIg/edit?usp=sharing"",""ร้อยเอ็ด!S698"")+IMPORTRANGE(""https://docs.google.com"&amp;"/spreadsheets/d/1Ul4RCpCX66NxYADU1QpwAPjOmBzW64SsT11s1wzXw_c/edit?usp=sharing"",""เลย!S698"")+IMPORTRANGE(""https://docs.google.com/spreadsheets/d/1bRrNKwbHDVktQG10isr5vbWRtt5spIZPpkOSWgbT5ug/edit?usp=sharing"",""ศรีสะเกษ!S698"")+IMPORTRANGE(""https://doc"&amp;"s.google.com/spreadsheets/d/17P34_Ow5kFBfdQD0qspb2UuPX5zpi6WMrQzslghyvrI/edit?usp=sharing"",""สกลนคร!S698"")+IMPORTRANGE(""https://docs.google.com/spreadsheets/d/1yswqbM3-AEpThF3ZSUa1AcmHnmRTF1vlJ1CZGcJ8YuU/edit?usp=sharing"",""สุรินทร์!S698"")+IMPORTRANG"&amp;"E(""https://docs.google.com/spreadsheets/d/13JHU_EFbsQOUQ0JSQ3dWy1VTRosIWcDq6Nc99z2qzdc/edit?usp=sharing"",""หนองคาย!S698"")+IMPORTRANGE(""https://docs.google.com/spreadsheets/d/1Hx73zIEgVdDZZaYSTc46Dqv64atFhpr3GelxLbaIN8A/edit?usp=sharing"",""หนองบัวลำภู"&amp;"!S698"")+IMPORTRANGE(""https://docs.google.com/spreadsheets/d/1lFxr3ctmjFN90yc-xV6jrQ9Ty8BKYVBWnAZ15wcNIJc/edit?usp=sharing"",""อำนาจเจริญ!S698"")+IMPORTRANGE(""https://docs.google.com/spreadsheets/d/1gF7RJpRnL-1oyjyeWxs5SFWEH7y8ahOZsQlyp2A2e-A/edit?usp=s"&amp;"haring"",""อุดรธานี!S698"")+IMPORTRANGE(""https://docs.google.com/spreadsheets/d/1kfLP0j3INXRa8bTDpcEmoWewMBV61jlFlfzczfjWIgc/edit?usp=sharing"",""อุบลราชธานี!S698"")"),0)</f>
        <v>0</v>
      </c>
      <c r="T698" s="56">
        <f t="shared" ca="1" si="476"/>
        <v>0</v>
      </c>
      <c r="U698" s="56">
        <f t="shared" ca="1" si="477"/>
        <v>0</v>
      </c>
    </row>
    <row r="699" spans="1:21" ht="19.5">
      <c r="A699" s="166"/>
      <c r="B699" s="167"/>
      <c r="C699" s="205" t="s">
        <v>18</v>
      </c>
      <c r="D699" s="168" t="s">
        <v>38</v>
      </c>
      <c r="E699" s="169"/>
      <c r="F699" s="169"/>
      <c r="G699" s="169"/>
      <c r="H699" s="206"/>
      <c r="I699" s="163"/>
      <c r="J699" s="163"/>
      <c r="K699" s="164"/>
      <c r="L699" s="55"/>
      <c r="M699" s="55"/>
      <c r="N699" s="55"/>
      <c r="O699" s="55"/>
      <c r="P699" s="55"/>
      <c r="Q699" s="55"/>
      <c r="R699" s="55"/>
      <c r="S699" s="62"/>
      <c r="T699" s="55"/>
      <c r="U699" s="55"/>
    </row>
    <row r="700" spans="1:21" ht="18.75">
      <c r="A700" s="238"/>
      <c r="B700" s="188"/>
      <c r="C700" s="188"/>
      <c r="D700" s="174"/>
      <c r="E700" s="173" t="s">
        <v>257</v>
      </c>
      <c r="F700" s="174"/>
      <c r="G700" s="171"/>
      <c r="H700" s="165" t="s">
        <v>258</v>
      </c>
      <c r="I700" s="181">
        <f ca="1">IFERROR(__xludf.DUMMYFUNCTION("IMPORTRANGE(""https://docs.google.com/spreadsheets/d/1yhBcrRPreicbMKl9Bu_Snb2-OcQAF62RKfhTLhJ2eAA/edit?usp=sharing"",""กาฬสินธุ์!I700"")+IMPORTRANGE(""https://docs.google.com/spreadsheets/d/1aHkj4IaQMThhwWwevcOymEh837vdxeC_PycurhTbGFA/edit?usp=sharing"","&amp;"""ขอนแก่น!I700"")+IMPORTRANGE(""https://docs.google.com/spreadsheets/d/1FvTu2DsIWUjP6WCWra38Bkj_oOl_sOMf14r5Fg5srxU/edit?usp=sharing"",""ชัยภูมิ!I700"")+IMPORTRANGE(""https://docs.google.com/spreadsheets/d/1XVB7oCJ3pr-vBUdflwPQ8Z2LlzhnCvZaaYjAfP-647E/edit"&amp;"?usp=sharing"",""นครพนม!I700"")+IMPORTRANGE(""https://docs.google.com/spreadsheets/d/1Mnpb-8PYAgn85W6KOTD40hc_Xc55CaLfHoGAbrZ8tls/edit?usp=sharing"",""นครราชสีมา!I700"")+IMPORTRANGE(""https://docs.google.com/spreadsheets/d/1xoDLGBv9CYbyosIhki0kTq6IpYNj-gp"&amp;"jxfobnaDiut0/edit?usp=sharing"",""บึงกาฬ!I700"")+IMPORTRANGE(""https://docs.google.com/spreadsheets/d/1MMPq-JyI6DSgQETxuSiXkesP-P7JHuemnE6QJIa-Nlw/edit?usp=sharing"",""บุรีรัมย์!I700"")+IMPORTRANGE(""https://docs.google.com/spreadsheets/d/1l6IZ8xUPgMrESzc"&amp;"TYwhA1k_tPjeQjJPTqlm8Gd9eU5g/edit?usp=sharing"",""มหาสารคาม!I700"")+IMPORTRANGE(""https://docs.google.com/spreadsheets/d/1uB74YLqNjWX6FObjekfB2NtSYigTQyR2rq9u4Ub2Sq4/edit?usp=sharing"",""มุกดาหาร!I700"")+IMPORTRANGE(""https://docs.google.com/spreadsheets/"&amp;"d/1NexK3geCPxCTO1fzNF8dPec7yZyUx3OaWkFBC9HsQOo/edit?usp=sharing"",""ยโสธร!I700"")+IMPORTRANGE(""https://docs.google.com/spreadsheets/d/1v_cJrbBlyqmnHPReHk44g9NrMRdENNlSy_E_c5M9fIg/edit?usp=sharing"",""ร้อยเอ็ด!I700"")+IMPORTRANGE(""https://docs.google.com"&amp;"/spreadsheets/d/1Ul4RCpCX66NxYADU1QpwAPjOmBzW64SsT11s1wzXw_c/edit?usp=sharing"",""เลย!I700"")+IMPORTRANGE(""https://docs.google.com/spreadsheets/d/1bRrNKwbHDVktQG10isr5vbWRtt5spIZPpkOSWgbT5ug/edit?usp=sharing"",""ศรีสะเกษ!I700"")+IMPORTRANGE(""https://doc"&amp;"s.google.com/spreadsheets/d/17P34_Ow5kFBfdQD0qspb2UuPX5zpi6WMrQzslghyvrI/edit?usp=sharing"",""สกลนคร!I700"")+IMPORTRANGE(""https://docs.google.com/spreadsheets/d/1yswqbM3-AEpThF3ZSUa1AcmHnmRTF1vlJ1CZGcJ8YuU/edit?usp=sharing"",""สุรินทร์!I700"")+IMPORTRANG"&amp;"E(""https://docs.google.com/spreadsheets/d/13JHU_EFbsQOUQ0JSQ3dWy1VTRosIWcDq6Nc99z2qzdc/edit?usp=sharing"",""หนองคาย!I700"")+IMPORTRANGE(""https://docs.google.com/spreadsheets/d/1Hx73zIEgVdDZZaYSTc46Dqv64atFhpr3GelxLbaIN8A/edit?usp=sharing"",""หนองบัวลำภู"&amp;"!I700"")+IMPORTRANGE(""https://docs.google.com/spreadsheets/d/1lFxr3ctmjFN90yc-xV6jrQ9Ty8BKYVBWnAZ15wcNIJc/edit?usp=sharing"",""อำนาจเจริญ!I700"")+IMPORTRANGE(""https://docs.google.com/spreadsheets/d/1gF7RJpRnL-1oyjyeWxs5SFWEH7y8ahOZsQlyp2A2e-A/edit?usp=s"&amp;"haring"",""อุดรธานี!I700"")+IMPORTRANGE(""https://docs.google.com/spreadsheets/d/1kfLP0j3INXRa8bTDpcEmoWewMBV61jlFlfzczfjWIgc/edit?usp=sharing"",""อุบลราชธานี!I700"")"),4)</f>
        <v>4</v>
      </c>
      <c r="J700" s="181">
        <f ca="1">IFERROR(__xludf.DUMMYFUNCTION("IMPORTRANGE(""https://docs.google.com/spreadsheets/d/1yhBcrRPreicbMKl9Bu_Snb2-OcQAF62RKfhTLhJ2eAA/edit?usp=sharing"",""กาฬสินธุ์!J700"")+IMPORTRANGE(""https://docs.google.com/spreadsheets/d/1aHkj4IaQMThhwWwevcOymEh837vdxeC_PycurhTbGFA/edit?usp=sharing"","&amp;"""ขอนแก่น!J700"")+IMPORTRANGE(""https://docs.google.com/spreadsheets/d/1FvTu2DsIWUjP6WCWra38Bkj_oOl_sOMf14r5Fg5srxU/edit?usp=sharing"",""ชัยภูมิ!J700"")+IMPORTRANGE(""https://docs.google.com/spreadsheets/d/1XVB7oCJ3pr-vBUdflwPQ8Z2LlzhnCvZaaYjAfP-647E/edit"&amp;"?usp=sharing"",""นครพนม!J700"")+IMPORTRANGE(""https://docs.google.com/spreadsheets/d/1Mnpb-8PYAgn85W6KOTD40hc_Xc55CaLfHoGAbrZ8tls/edit?usp=sharing"",""นครราชสีมา!J700"")+IMPORTRANGE(""https://docs.google.com/spreadsheets/d/1xoDLGBv9CYbyosIhki0kTq6IpYNj-gp"&amp;"jxfobnaDiut0/edit?usp=sharing"",""บึงกาฬ!J700"")+IMPORTRANGE(""https://docs.google.com/spreadsheets/d/1MMPq-JyI6DSgQETxuSiXkesP-P7JHuemnE6QJIa-Nlw/edit?usp=sharing"",""บุรีรัมย์!J700"")+IMPORTRANGE(""https://docs.google.com/spreadsheets/d/1l6IZ8xUPgMrESzc"&amp;"TYwhA1k_tPjeQjJPTqlm8Gd9eU5g/edit?usp=sharing"",""มหาสารคาม!J700"")+IMPORTRANGE(""https://docs.google.com/spreadsheets/d/1uB74YLqNjWX6FObjekfB2NtSYigTQyR2rq9u4Ub2Sq4/edit?usp=sharing"",""มุกดาหาร!J700"")+IMPORTRANGE(""https://docs.google.com/spreadsheets/"&amp;"d/1NexK3geCPxCTO1fzNF8dPec7yZyUx3OaWkFBC9HsQOo/edit?usp=sharing"",""ยโสธร!J700"")+IMPORTRANGE(""https://docs.google.com/spreadsheets/d/1v_cJrbBlyqmnHPReHk44g9NrMRdENNlSy_E_c5M9fIg/edit?usp=sharing"",""ร้อยเอ็ด!J700"")+IMPORTRANGE(""https://docs.google.com"&amp;"/spreadsheets/d/1Ul4RCpCX66NxYADU1QpwAPjOmBzW64SsT11s1wzXw_c/edit?usp=sharing"",""เลย!J700"")+IMPORTRANGE(""https://docs.google.com/spreadsheets/d/1bRrNKwbHDVktQG10isr5vbWRtt5spIZPpkOSWgbT5ug/edit?usp=sharing"",""ศรีสะเกษ!J700"")+IMPORTRANGE(""https://doc"&amp;"s.google.com/spreadsheets/d/17P34_Ow5kFBfdQD0qspb2UuPX5zpi6WMrQzslghyvrI/edit?usp=sharing"",""สกลนคร!J700"")+IMPORTRANGE(""https://docs.google.com/spreadsheets/d/1yswqbM3-AEpThF3ZSUa1AcmHnmRTF1vlJ1CZGcJ8YuU/edit?usp=sharing"",""สุรินทร์!J700"")+IMPORTRANG"&amp;"E(""https://docs.google.com/spreadsheets/d/13JHU_EFbsQOUQ0JSQ3dWy1VTRosIWcDq6Nc99z2qzdc/edit?usp=sharing"",""หนองคาย!J700"")+IMPORTRANGE(""https://docs.google.com/spreadsheets/d/1Hx73zIEgVdDZZaYSTc46Dqv64atFhpr3GelxLbaIN8A/edit?usp=sharing"",""หนองบัวลำภู"&amp;"!J700"")+IMPORTRANGE(""https://docs.google.com/spreadsheets/d/1lFxr3ctmjFN90yc-xV6jrQ9Ty8BKYVBWnAZ15wcNIJc/edit?usp=sharing"",""อำนาจเจริญ!J700"")+IMPORTRANGE(""https://docs.google.com/spreadsheets/d/1gF7RJpRnL-1oyjyeWxs5SFWEH7y8ahOZsQlyp2A2e-A/edit?usp=s"&amp;"haring"",""อุดรธานี!J700"")+IMPORTRANGE(""https://docs.google.com/spreadsheets/d/1kfLP0j3INXRa8bTDpcEmoWewMBV61jlFlfzczfjWIgc/edit?usp=sharing"",""อุบลราชธานี!J700"")"),0)</f>
        <v>0</v>
      </c>
      <c r="K700" s="182">
        <f t="shared" ref="K700:K710" ca="1" si="486">IF(I700&gt;0,J700*100/I700,0)</f>
        <v>0</v>
      </c>
      <c r="L700" s="164"/>
      <c r="M700" s="164"/>
      <c r="N700" s="164"/>
      <c r="O700" s="164"/>
      <c r="P700" s="164"/>
      <c r="Q700" s="164"/>
      <c r="R700" s="164"/>
      <c r="S700" s="172"/>
      <c r="T700" s="164"/>
      <c r="U700" s="164"/>
    </row>
    <row r="701" spans="1:21" ht="19.5">
      <c r="A701" s="238"/>
      <c r="B701" s="188"/>
      <c r="C701" s="188"/>
      <c r="D701" s="174"/>
      <c r="E701" s="476" t="s">
        <v>259</v>
      </c>
      <c r="F701" s="174"/>
      <c r="G701" s="171"/>
      <c r="H701" s="158" t="s">
        <v>35</v>
      </c>
      <c r="I701" s="176">
        <f t="shared" ref="I701:J701" ca="1" si="487">I703+I705</f>
        <v>5203</v>
      </c>
      <c r="J701" s="176">
        <f t="shared" ca="1" si="487"/>
        <v>954</v>
      </c>
      <c r="K701" s="159">
        <f t="shared" ca="1" si="486"/>
        <v>18.335575629444552</v>
      </c>
      <c r="L701" s="164"/>
      <c r="M701" s="164"/>
      <c r="N701" s="164"/>
      <c r="O701" s="164"/>
      <c r="P701" s="164"/>
      <c r="Q701" s="164"/>
      <c r="R701" s="164"/>
      <c r="S701" s="172"/>
      <c r="T701" s="164"/>
      <c r="U701" s="164"/>
    </row>
    <row r="702" spans="1:21" ht="19.5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73">
        <v>0</v>
      </c>
      <c r="J702" s="176">
        <f ca="1">J704+J706</f>
        <v>645.88</v>
      </c>
      <c r="K702" s="159">
        <f t="shared" si="486"/>
        <v>0</v>
      </c>
      <c r="L702" s="164"/>
      <c r="M702" s="164"/>
      <c r="N702" s="164"/>
      <c r="O702" s="164"/>
      <c r="P702" s="164"/>
      <c r="Q702" s="164"/>
      <c r="R702" s="164"/>
      <c r="S702" s="172"/>
      <c r="T702" s="164"/>
      <c r="U702" s="164"/>
    </row>
    <row r="703" spans="1:21" ht="18.75">
      <c r="A703" s="238"/>
      <c r="B703" s="188"/>
      <c r="C703" s="188"/>
      <c r="D703" s="174"/>
      <c r="E703" s="174"/>
      <c r="F703" s="173" t="s">
        <v>260</v>
      </c>
      <c r="G703" s="171"/>
      <c r="H703" s="165" t="s">
        <v>35</v>
      </c>
      <c r="I703" s="181">
        <f ca="1">IFERROR(__xludf.DUMMYFUNCTION("IMPORTRANGE(""https://docs.google.com/spreadsheets/d/1yhBcrRPreicbMKl9Bu_Snb2-OcQAF62RKfhTLhJ2eAA/edit?usp=sharing"",""กาฬสินธุ์!I703"")+IMPORTRANGE(""https://docs.google.com/spreadsheets/d/1aHkj4IaQMThhwWwevcOymEh837vdxeC_PycurhTbGFA/edit?usp=sharing"","&amp;"""ขอนแก่น!I703"")+IMPORTRANGE(""https://docs.google.com/spreadsheets/d/1FvTu2DsIWUjP6WCWra38Bkj_oOl_sOMf14r5Fg5srxU/edit?usp=sharing"",""ชัยภูมิ!I703"")+IMPORTRANGE(""https://docs.google.com/spreadsheets/d/1XVB7oCJ3pr-vBUdflwPQ8Z2LlzhnCvZaaYjAfP-647E/edit"&amp;"?usp=sharing"",""นครพนม!I703"")+IMPORTRANGE(""https://docs.google.com/spreadsheets/d/1Mnpb-8PYAgn85W6KOTD40hc_Xc55CaLfHoGAbrZ8tls/edit?usp=sharing"",""นครราชสีมา!I703"")+IMPORTRANGE(""https://docs.google.com/spreadsheets/d/1xoDLGBv9CYbyosIhki0kTq6IpYNj-gp"&amp;"jxfobnaDiut0/edit?usp=sharing"",""บึงกาฬ!I703"")+IMPORTRANGE(""https://docs.google.com/spreadsheets/d/1MMPq-JyI6DSgQETxuSiXkesP-P7JHuemnE6QJIa-Nlw/edit?usp=sharing"",""บุรีรัมย์!I703"")+IMPORTRANGE(""https://docs.google.com/spreadsheets/d/1l6IZ8xUPgMrESzc"&amp;"TYwhA1k_tPjeQjJPTqlm8Gd9eU5g/edit?usp=sharing"",""มหาสารคาม!I703"")+IMPORTRANGE(""https://docs.google.com/spreadsheets/d/1uB74YLqNjWX6FObjekfB2NtSYigTQyR2rq9u4Ub2Sq4/edit?usp=sharing"",""มุกดาหาร!I703"")+IMPORTRANGE(""https://docs.google.com/spreadsheets/"&amp;"d/1NexK3geCPxCTO1fzNF8dPec7yZyUx3OaWkFBC9HsQOo/edit?usp=sharing"",""ยโสธร!I703"")+IMPORTRANGE(""https://docs.google.com/spreadsheets/d/1v_cJrbBlyqmnHPReHk44g9NrMRdENNlSy_E_c5M9fIg/edit?usp=sharing"",""ร้อยเอ็ด!I703"")+IMPORTRANGE(""https://docs.google.com"&amp;"/spreadsheets/d/1Ul4RCpCX66NxYADU1QpwAPjOmBzW64SsT11s1wzXw_c/edit?usp=sharing"",""เลย!I703"")+IMPORTRANGE(""https://docs.google.com/spreadsheets/d/1bRrNKwbHDVktQG10isr5vbWRtt5spIZPpkOSWgbT5ug/edit?usp=sharing"",""ศรีสะเกษ!I703"")+IMPORTRANGE(""https://doc"&amp;"s.google.com/spreadsheets/d/17P34_Ow5kFBfdQD0qspb2UuPX5zpi6WMrQzslghyvrI/edit?usp=sharing"",""สกลนคร!I703"")+IMPORTRANGE(""https://docs.google.com/spreadsheets/d/1yswqbM3-AEpThF3ZSUa1AcmHnmRTF1vlJ1CZGcJ8YuU/edit?usp=sharing"",""สุรินทร์!I703"")+IMPORTRANG"&amp;"E(""https://docs.google.com/spreadsheets/d/13JHU_EFbsQOUQ0JSQ3dWy1VTRosIWcDq6Nc99z2qzdc/edit?usp=sharing"",""หนองคาย!I703"")+IMPORTRANGE(""https://docs.google.com/spreadsheets/d/1Hx73zIEgVdDZZaYSTc46Dqv64atFhpr3GelxLbaIN8A/edit?usp=sharing"",""หนองบัวลำภู"&amp;"!I703"")+IMPORTRANGE(""https://docs.google.com/spreadsheets/d/1lFxr3ctmjFN90yc-xV6jrQ9Ty8BKYVBWnAZ15wcNIJc/edit?usp=sharing"",""อำนาจเจริญ!I703"")+IMPORTRANGE(""https://docs.google.com/spreadsheets/d/1gF7RJpRnL-1oyjyeWxs5SFWEH7y8ahOZsQlyp2A2e-A/edit?usp=s"&amp;"haring"",""อุดรธานี!I703"")+IMPORTRANGE(""https://docs.google.com/spreadsheets/d/1kfLP0j3INXRa8bTDpcEmoWewMBV61jlFlfzczfjWIgc/edit?usp=sharing"",""อุบลราชธานี!I703"")"),5101)</f>
        <v>5101</v>
      </c>
      <c r="J703" s="181">
        <f ca="1">IFERROR(__xludf.DUMMYFUNCTION("IMPORTRANGE(""https://docs.google.com/spreadsheets/d/1yhBcrRPreicbMKl9Bu_Snb2-OcQAF62RKfhTLhJ2eAA/edit?usp=sharing"",""กาฬสินธุ์!J703"")+IMPORTRANGE(""https://docs.google.com/spreadsheets/d/1aHkj4IaQMThhwWwevcOymEh837vdxeC_PycurhTbGFA/edit?usp=sharing"","&amp;"""ขอนแก่น!J703"")+IMPORTRANGE(""https://docs.google.com/spreadsheets/d/1FvTu2DsIWUjP6WCWra38Bkj_oOl_sOMf14r5Fg5srxU/edit?usp=sharing"",""ชัยภูมิ!J703"")+IMPORTRANGE(""https://docs.google.com/spreadsheets/d/1XVB7oCJ3pr-vBUdflwPQ8Z2LlzhnCvZaaYjAfP-647E/edit"&amp;"?usp=sharing"",""นครพนม!J703"")+IMPORTRANGE(""https://docs.google.com/spreadsheets/d/1Mnpb-8PYAgn85W6KOTD40hc_Xc55CaLfHoGAbrZ8tls/edit?usp=sharing"",""นครราชสีมา!J703"")+IMPORTRANGE(""https://docs.google.com/spreadsheets/d/1xoDLGBv9CYbyosIhki0kTq6IpYNj-gp"&amp;"jxfobnaDiut0/edit?usp=sharing"",""บึงกาฬ!J703"")+IMPORTRANGE(""https://docs.google.com/spreadsheets/d/1MMPq-JyI6DSgQETxuSiXkesP-P7JHuemnE6QJIa-Nlw/edit?usp=sharing"",""บุรีรัมย์!J703"")+IMPORTRANGE(""https://docs.google.com/spreadsheets/d/1l6IZ8xUPgMrESzc"&amp;"TYwhA1k_tPjeQjJPTqlm8Gd9eU5g/edit?usp=sharing"",""มหาสารคาม!J703"")+IMPORTRANGE(""https://docs.google.com/spreadsheets/d/1uB74YLqNjWX6FObjekfB2NtSYigTQyR2rq9u4Ub2Sq4/edit?usp=sharing"",""มุกดาหาร!J703"")+IMPORTRANGE(""https://docs.google.com/spreadsheets/"&amp;"d/1NexK3geCPxCTO1fzNF8dPec7yZyUx3OaWkFBC9HsQOo/edit?usp=sharing"",""ยโสธร!J703"")+IMPORTRANGE(""https://docs.google.com/spreadsheets/d/1v_cJrbBlyqmnHPReHk44g9NrMRdENNlSy_E_c5M9fIg/edit?usp=sharing"",""ร้อยเอ็ด!J703"")+IMPORTRANGE(""https://docs.google.com"&amp;"/spreadsheets/d/1Ul4RCpCX66NxYADU1QpwAPjOmBzW64SsT11s1wzXw_c/edit?usp=sharing"",""เลย!J703"")+IMPORTRANGE(""https://docs.google.com/spreadsheets/d/1bRrNKwbHDVktQG10isr5vbWRtt5spIZPpkOSWgbT5ug/edit?usp=sharing"",""ศรีสะเกษ!J703"")+IMPORTRANGE(""https://doc"&amp;"s.google.com/spreadsheets/d/17P34_Ow5kFBfdQD0qspb2UuPX5zpi6WMrQzslghyvrI/edit?usp=sharing"",""สกลนคร!J703"")+IMPORTRANGE(""https://docs.google.com/spreadsheets/d/1yswqbM3-AEpThF3ZSUa1AcmHnmRTF1vlJ1CZGcJ8YuU/edit?usp=sharing"",""สุรินทร์!J703"")+IMPORTRANG"&amp;"E(""https://docs.google.com/spreadsheets/d/13JHU_EFbsQOUQ0JSQ3dWy1VTRosIWcDq6Nc99z2qzdc/edit?usp=sharing"",""หนองคาย!J703"")+IMPORTRANGE(""https://docs.google.com/spreadsheets/d/1Hx73zIEgVdDZZaYSTc46Dqv64atFhpr3GelxLbaIN8A/edit?usp=sharing"",""หนองบัวลำภู"&amp;"!J703"")+IMPORTRANGE(""https://docs.google.com/spreadsheets/d/1lFxr3ctmjFN90yc-xV6jrQ9Ty8BKYVBWnAZ15wcNIJc/edit?usp=sharing"",""อำนาจเจริญ!J703"")+IMPORTRANGE(""https://docs.google.com/spreadsheets/d/1gF7RJpRnL-1oyjyeWxs5SFWEH7y8ahOZsQlyp2A2e-A/edit?usp=s"&amp;"haring"",""อุดรธานี!J703"")+IMPORTRANGE(""https://docs.google.com/spreadsheets/d/1kfLP0j3INXRa8bTDpcEmoWewMBV61jlFlfzczfjWIgc/edit?usp=sharing"",""อุบลราชธานี!J703"")"),954)</f>
        <v>954</v>
      </c>
      <c r="K703" s="56">
        <f t="shared" ca="1" si="486"/>
        <v>18.70221525191139</v>
      </c>
      <c r="L703" s="164"/>
      <c r="M703" s="164"/>
      <c r="N703" s="164"/>
      <c r="O703" s="164"/>
      <c r="P703" s="164"/>
      <c r="Q703" s="164"/>
      <c r="R703" s="164"/>
      <c r="S703" s="172"/>
      <c r="T703" s="164"/>
      <c r="U703" s="164"/>
    </row>
    <row r="704" spans="1:21" ht="18.75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181">
        <f ca="1">IFERROR(__xludf.DUMMYFUNCTION("IMPORTRANGE(""https://docs.google.com/spreadsheets/d/1yhBcrRPreicbMKl9Bu_Snb2-OcQAF62RKfhTLhJ2eAA/edit?usp=sharing"",""กาฬสินธุ์!J704"")+IMPORTRANGE(""https://docs.google.com/spreadsheets/d/1aHkj4IaQMThhwWwevcOymEh837vdxeC_PycurhTbGFA/edit?usp=sharing"","&amp;"""ขอนแก่น!J704"")+IMPORTRANGE(""https://docs.google.com/spreadsheets/d/1FvTu2DsIWUjP6WCWra38Bkj_oOl_sOMf14r5Fg5srxU/edit?usp=sharing"",""ชัยภูมิ!J704"")+IMPORTRANGE(""https://docs.google.com/spreadsheets/d/1XVB7oCJ3pr-vBUdflwPQ8Z2LlzhnCvZaaYjAfP-647E/edit"&amp;"?usp=sharing"",""นครพนม!J704"")+IMPORTRANGE(""https://docs.google.com/spreadsheets/d/1Mnpb-8PYAgn85W6KOTD40hc_Xc55CaLfHoGAbrZ8tls/edit?usp=sharing"",""นครราชสีมา!J704"")+IMPORTRANGE(""https://docs.google.com/spreadsheets/d/1xoDLGBv9CYbyosIhki0kTq6IpYNj-gp"&amp;"jxfobnaDiut0/edit?usp=sharing"",""บึงกาฬ!J704"")+IMPORTRANGE(""https://docs.google.com/spreadsheets/d/1MMPq-JyI6DSgQETxuSiXkesP-P7JHuemnE6QJIa-Nlw/edit?usp=sharing"",""บุรีรัมย์!J704"")+IMPORTRANGE(""https://docs.google.com/spreadsheets/d/1l6IZ8xUPgMrESzc"&amp;"TYwhA1k_tPjeQjJPTqlm8Gd9eU5g/edit?usp=sharing"",""มหาสารคาม!J704"")+IMPORTRANGE(""https://docs.google.com/spreadsheets/d/1uB74YLqNjWX6FObjekfB2NtSYigTQyR2rq9u4Ub2Sq4/edit?usp=sharing"",""มุกดาหาร!J704"")+IMPORTRANGE(""https://docs.google.com/spreadsheets/"&amp;"d/1NexK3geCPxCTO1fzNF8dPec7yZyUx3OaWkFBC9HsQOo/edit?usp=sharing"",""ยโสธร!J704"")+IMPORTRANGE(""https://docs.google.com/spreadsheets/d/1v_cJrbBlyqmnHPReHk44g9NrMRdENNlSy_E_c5M9fIg/edit?usp=sharing"",""ร้อยเอ็ด!J704"")+IMPORTRANGE(""https://docs.google.com"&amp;"/spreadsheets/d/1Ul4RCpCX66NxYADU1QpwAPjOmBzW64SsT11s1wzXw_c/edit?usp=sharing"",""เลย!J704"")+IMPORTRANGE(""https://docs.google.com/spreadsheets/d/1bRrNKwbHDVktQG10isr5vbWRtt5spIZPpkOSWgbT5ug/edit?usp=sharing"",""ศรีสะเกษ!J704"")+IMPORTRANGE(""https://doc"&amp;"s.google.com/spreadsheets/d/17P34_Ow5kFBfdQD0qspb2UuPX5zpi6WMrQzslghyvrI/edit?usp=sharing"",""สกลนคร!J704"")+IMPORTRANGE(""https://docs.google.com/spreadsheets/d/1yswqbM3-AEpThF3ZSUa1AcmHnmRTF1vlJ1CZGcJ8YuU/edit?usp=sharing"",""สุรินทร์!J704"")+IMPORTRANG"&amp;"E(""https://docs.google.com/spreadsheets/d/13JHU_EFbsQOUQ0JSQ3dWy1VTRosIWcDq6Nc99z2qzdc/edit?usp=sharing"",""หนองคาย!J704"")+IMPORTRANGE(""https://docs.google.com/spreadsheets/d/1Hx73zIEgVdDZZaYSTc46Dqv64atFhpr3GelxLbaIN8A/edit?usp=sharing"",""หนองบัวลำภู"&amp;"!J704"")+IMPORTRANGE(""https://docs.google.com/spreadsheets/d/1lFxr3ctmjFN90yc-xV6jrQ9Ty8BKYVBWnAZ15wcNIJc/edit?usp=sharing"",""อำนาจเจริญ!J704"")+IMPORTRANGE(""https://docs.google.com/spreadsheets/d/1gF7RJpRnL-1oyjyeWxs5SFWEH7y8ahOZsQlyp2A2e-A/edit?usp=s"&amp;"haring"",""อุดรธานี!J704"")+IMPORTRANGE(""https://docs.google.com/spreadsheets/d/1kfLP0j3INXRa8bTDpcEmoWewMBV61jlFlfzczfjWIgc/edit?usp=sharing"",""อุบลราชธานี!J704"")"),645.88)</f>
        <v>645.88</v>
      </c>
      <c r="K704" s="56">
        <f t="shared" si="486"/>
        <v>0</v>
      </c>
      <c r="L704" s="164"/>
      <c r="M704" s="164"/>
      <c r="N704" s="164"/>
      <c r="O704" s="164"/>
      <c r="P704" s="164"/>
      <c r="Q704" s="164"/>
      <c r="R704" s="164"/>
      <c r="S704" s="172"/>
      <c r="T704" s="164"/>
      <c r="U704" s="164"/>
    </row>
    <row r="705" spans="1:21" ht="18.75">
      <c r="A705" s="238"/>
      <c r="B705" s="188"/>
      <c r="C705" s="188"/>
      <c r="D705" s="174"/>
      <c r="E705" s="174"/>
      <c r="F705" s="173" t="s">
        <v>261</v>
      </c>
      <c r="G705" s="171"/>
      <c r="H705" s="165" t="s">
        <v>35</v>
      </c>
      <c r="I705" s="181">
        <f ca="1">IFERROR(__xludf.DUMMYFUNCTION("IMPORTRANGE(""https://docs.google.com/spreadsheets/d/1yhBcrRPreicbMKl9Bu_Snb2-OcQAF62RKfhTLhJ2eAA/edit?usp=sharing"",""กาฬสินธุ์!I705"")+IMPORTRANGE(""https://docs.google.com/spreadsheets/d/1aHkj4IaQMThhwWwevcOymEh837vdxeC_PycurhTbGFA/edit?usp=sharing"","&amp;"""ขอนแก่น!I705"")+IMPORTRANGE(""https://docs.google.com/spreadsheets/d/1FvTu2DsIWUjP6WCWra38Bkj_oOl_sOMf14r5Fg5srxU/edit?usp=sharing"",""ชัยภูมิ!I705"")+IMPORTRANGE(""https://docs.google.com/spreadsheets/d/1XVB7oCJ3pr-vBUdflwPQ8Z2LlzhnCvZaaYjAfP-647E/edit"&amp;"?usp=sharing"",""นครพนม!I705"")+IMPORTRANGE(""https://docs.google.com/spreadsheets/d/1Mnpb-8PYAgn85W6KOTD40hc_Xc55CaLfHoGAbrZ8tls/edit?usp=sharing"",""นครราชสีมา!I705"")+IMPORTRANGE(""https://docs.google.com/spreadsheets/d/1xoDLGBv9CYbyosIhki0kTq6IpYNj-gp"&amp;"jxfobnaDiut0/edit?usp=sharing"",""บึงกาฬ!I705"")+IMPORTRANGE(""https://docs.google.com/spreadsheets/d/1MMPq-JyI6DSgQETxuSiXkesP-P7JHuemnE6QJIa-Nlw/edit?usp=sharing"",""บุรีรัมย์!I705"")+IMPORTRANGE(""https://docs.google.com/spreadsheets/d/1l6IZ8xUPgMrESzc"&amp;"TYwhA1k_tPjeQjJPTqlm8Gd9eU5g/edit?usp=sharing"",""มหาสารคาม!I705"")+IMPORTRANGE(""https://docs.google.com/spreadsheets/d/1uB74YLqNjWX6FObjekfB2NtSYigTQyR2rq9u4Ub2Sq4/edit?usp=sharing"",""มุกดาหาร!I705"")+IMPORTRANGE(""https://docs.google.com/spreadsheets/"&amp;"d/1NexK3geCPxCTO1fzNF8dPec7yZyUx3OaWkFBC9HsQOo/edit?usp=sharing"",""ยโสธร!I705"")+IMPORTRANGE(""https://docs.google.com/spreadsheets/d/1v_cJrbBlyqmnHPReHk44g9NrMRdENNlSy_E_c5M9fIg/edit?usp=sharing"",""ร้อยเอ็ด!I705"")+IMPORTRANGE(""https://docs.google.com"&amp;"/spreadsheets/d/1Ul4RCpCX66NxYADU1QpwAPjOmBzW64SsT11s1wzXw_c/edit?usp=sharing"",""เลย!I705"")+IMPORTRANGE(""https://docs.google.com/spreadsheets/d/1bRrNKwbHDVktQG10isr5vbWRtt5spIZPpkOSWgbT5ug/edit?usp=sharing"",""ศรีสะเกษ!I705"")+IMPORTRANGE(""https://doc"&amp;"s.google.com/spreadsheets/d/17P34_Ow5kFBfdQD0qspb2UuPX5zpi6WMrQzslghyvrI/edit?usp=sharing"",""สกลนคร!I705"")+IMPORTRANGE(""https://docs.google.com/spreadsheets/d/1yswqbM3-AEpThF3ZSUa1AcmHnmRTF1vlJ1CZGcJ8YuU/edit?usp=sharing"",""สุรินทร์!I705"")+IMPORTRANG"&amp;"E(""https://docs.google.com/spreadsheets/d/13JHU_EFbsQOUQ0JSQ3dWy1VTRosIWcDq6Nc99z2qzdc/edit?usp=sharing"",""หนองคาย!I705"")+IMPORTRANGE(""https://docs.google.com/spreadsheets/d/1Hx73zIEgVdDZZaYSTc46Dqv64atFhpr3GelxLbaIN8A/edit?usp=sharing"",""หนองบัวลำภู"&amp;"!I705"")+IMPORTRANGE(""https://docs.google.com/spreadsheets/d/1lFxr3ctmjFN90yc-xV6jrQ9Ty8BKYVBWnAZ15wcNIJc/edit?usp=sharing"",""อำนาจเจริญ!I705"")+IMPORTRANGE(""https://docs.google.com/spreadsheets/d/1gF7RJpRnL-1oyjyeWxs5SFWEH7y8ahOZsQlyp2A2e-A/edit?usp=s"&amp;"haring"",""อุดรธานี!I705"")+IMPORTRANGE(""https://docs.google.com/spreadsheets/d/1kfLP0j3INXRa8bTDpcEmoWewMBV61jlFlfzczfjWIgc/edit?usp=sharing"",""อุบลราชธานี!I705"")"),102)</f>
        <v>102</v>
      </c>
      <c r="J705" s="181">
        <f ca="1">IFERROR(__xludf.DUMMYFUNCTION("IMPORTRANGE(""https://docs.google.com/spreadsheets/d/1yhBcrRPreicbMKl9Bu_Snb2-OcQAF62RKfhTLhJ2eAA/edit?usp=sharing"",""กาฬสินธุ์!J705"")+IMPORTRANGE(""https://docs.google.com/spreadsheets/d/1aHkj4IaQMThhwWwevcOymEh837vdxeC_PycurhTbGFA/edit?usp=sharing"","&amp;"""ขอนแก่น!J705"")+IMPORTRANGE(""https://docs.google.com/spreadsheets/d/1FvTu2DsIWUjP6WCWra38Bkj_oOl_sOMf14r5Fg5srxU/edit?usp=sharing"",""ชัยภูมิ!J705"")+IMPORTRANGE(""https://docs.google.com/spreadsheets/d/1XVB7oCJ3pr-vBUdflwPQ8Z2LlzhnCvZaaYjAfP-647E/edit"&amp;"?usp=sharing"",""นครพนม!J705"")+IMPORTRANGE(""https://docs.google.com/spreadsheets/d/1Mnpb-8PYAgn85W6KOTD40hc_Xc55CaLfHoGAbrZ8tls/edit?usp=sharing"",""นครราชสีมา!J705"")+IMPORTRANGE(""https://docs.google.com/spreadsheets/d/1xoDLGBv9CYbyosIhki0kTq6IpYNj-gp"&amp;"jxfobnaDiut0/edit?usp=sharing"",""บึงกาฬ!J705"")+IMPORTRANGE(""https://docs.google.com/spreadsheets/d/1MMPq-JyI6DSgQETxuSiXkesP-P7JHuemnE6QJIa-Nlw/edit?usp=sharing"",""บุรีรัมย์!J705"")+IMPORTRANGE(""https://docs.google.com/spreadsheets/d/1l6IZ8xUPgMrESzc"&amp;"TYwhA1k_tPjeQjJPTqlm8Gd9eU5g/edit?usp=sharing"",""มหาสารคาม!J705"")+IMPORTRANGE(""https://docs.google.com/spreadsheets/d/1uB74YLqNjWX6FObjekfB2NtSYigTQyR2rq9u4Ub2Sq4/edit?usp=sharing"",""มุกดาหาร!J705"")+IMPORTRANGE(""https://docs.google.com/spreadsheets/"&amp;"d/1NexK3geCPxCTO1fzNF8dPec7yZyUx3OaWkFBC9HsQOo/edit?usp=sharing"",""ยโสธร!J705"")+IMPORTRANGE(""https://docs.google.com/spreadsheets/d/1v_cJrbBlyqmnHPReHk44g9NrMRdENNlSy_E_c5M9fIg/edit?usp=sharing"",""ร้อยเอ็ด!J705"")+IMPORTRANGE(""https://docs.google.com"&amp;"/spreadsheets/d/1Ul4RCpCX66NxYADU1QpwAPjOmBzW64SsT11s1wzXw_c/edit?usp=sharing"",""เลย!J705"")+IMPORTRANGE(""https://docs.google.com/spreadsheets/d/1bRrNKwbHDVktQG10isr5vbWRtt5spIZPpkOSWgbT5ug/edit?usp=sharing"",""ศรีสะเกษ!J705"")+IMPORTRANGE(""https://doc"&amp;"s.google.com/spreadsheets/d/17P34_Ow5kFBfdQD0qspb2UuPX5zpi6WMrQzslghyvrI/edit?usp=sharing"",""สกลนคร!J705"")+IMPORTRANGE(""https://docs.google.com/spreadsheets/d/1yswqbM3-AEpThF3ZSUa1AcmHnmRTF1vlJ1CZGcJ8YuU/edit?usp=sharing"",""สุรินทร์!J705"")+IMPORTRANG"&amp;"E(""https://docs.google.com/spreadsheets/d/13JHU_EFbsQOUQ0JSQ3dWy1VTRosIWcDq6Nc99z2qzdc/edit?usp=sharing"",""หนองคาย!J705"")+IMPORTRANGE(""https://docs.google.com/spreadsheets/d/1Hx73zIEgVdDZZaYSTc46Dqv64atFhpr3GelxLbaIN8A/edit?usp=sharing"",""หนองบัวลำภู"&amp;"!J705"")+IMPORTRANGE(""https://docs.google.com/spreadsheets/d/1lFxr3ctmjFN90yc-xV6jrQ9Ty8BKYVBWnAZ15wcNIJc/edit?usp=sharing"",""อำนาจเจริญ!J705"")+IMPORTRANGE(""https://docs.google.com/spreadsheets/d/1gF7RJpRnL-1oyjyeWxs5SFWEH7y8ahOZsQlyp2A2e-A/edit?usp=s"&amp;"haring"",""อุดรธานี!J705"")+IMPORTRANGE(""https://docs.google.com/spreadsheets/d/1kfLP0j3INXRa8bTDpcEmoWewMBV61jlFlfzczfjWIgc/edit?usp=sharing"",""อุบลราชธานี!J705"")"),0)</f>
        <v>0</v>
      </c>
      <c r="K705" s="182">
        <f t="shared" ca="1" si="486"/>
        <v>0</v>
      </c>
      <c r="L705" s="164"/>
      <c r="M705" s="164"/>
      <c r="N705" s="164"/>
      <c r="O705" s="164"/>
      <c r="P705" s="164"/>
      <c r="Q705" s="164"/>
      <c r="R705" s="164"/>
      <c r="S705" s="172"/>
      <c r="T705" s="164"/>
      <c r="U705" s="164"/>
    </row>
    <row r="706" spans="1:21" ht="18.75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181">
        <f ca="1">IFERROR(__xludf.DUMMYFUNCTION("IMPORTRANGE(""https://docs.google.com/spreadsheets/d/1yhBcrRPreicbMKl9Bu_Snb2-OcQAF62RKfhTLhJ2eAA/edit?usp=sharing"",""กาฬสินธุ์!J706"")+IMPORTRANGE(""https://docs.google.com/spreadsheets/d/1aHkj4IaQMThhwWwevcOymEh837vdxeC_PycurhTbGFA/edit?usp=sharing"","&amp;"""ขอนแก่น!J706"")+IMPORTRANGE(""https://docs.google.com/spreadsheets/d/1FvTu2DsIWUjP6WCWra38Bkj_oOl_sOMf14r5Fg5srxU/edit?usp=sharing"",""ชัยภูมิ!J706"")+IMPORTRANGE(""https://docs.google.com/spreadsheets/d/1XVB7oCJ3pr-vBUdflwPQ8Z2LlzhnCvZaaYjAfP-647E/edit"&amp;"?usp=sharing"",""นครพนม!J706"")+IMPORTRANGE(""https://docs.google.com/spreadsheets/d/1Mnpb-8PYAgn85W6KOTD40hc_Xc55CaLfHoGAbrZ8tls/edit?usp=sharing"",""นครราชสีมา!J706"")+IMPORTRANGE(""https://docs.google.com/spreadsheets/d/1xoDLGBv9CYbyosIhki0kTq6IpYNj-gp"&amp;"jxfobnaDiut0/edit?usp=sharing"",""บึงกาฬ!J706"")+IMPORTRANGE(""https://docs.google.com/spreadsheets/d/1MMPq-JyI6DSgQETxuSiXkesP-P7JHuemnE6QJIa-Nlw/edit?usp=sharing"",""บุรีรัมย์!J706"")+IMPORTRANGE(""https://docs.google.com/spreadsheets/d/1l6IZ8xUPgMrESzc"&amp;"TYwhA1k_tPjeQjJPTqlm8Gd9eU5g/edit?usp=sharing"",""มหาสารคาม!J706"")+IMPORTRANGE(""https://docs.google.com/spreadsheets/d/1uB74YLqNjWX6FObjekfB2NtSYigTQyR2rq9u4Ub2Sq4/edit?usp=sharing"",""มุกดาหาร!J706"")+IMPORTRANGE(""https://docs.google.com/spreadsheets/"&amp;"d/1NexK3geCPxCTO1fzNF8dPec7yZyUx3OaWkFBC9HsQOo/edit?usp=sharing"",""ยโสธร!J706"")+IMPORTRANGE(""https://docs.google.com/spreadsheets/d/1v_cJrbBlyqmnHPReHk44g9NrMRdENNlSy_E_c5M9fIg/edit?usp=sharing"",""ร้อยเอ็ด!J706"")+IMPORTRANGE(""https://docs.google.com"&amp;"/spreadsheets/d/1Ul4RCpCX66NxYADU1QpwAPjOmBzW64SsT11s1wzXw_c/edit?usp=sharing"",""เลย!J706"")+IMPORTRANGE(""https://docs.google.com/spreadsheets/d/1bRrNKwbHDVktQG10isr5vbWRtt5spIZPpkOSWgbT5ug/edit?usp=sharing"",""ศรีสะเกษ!J706"")+IMPORTRANGE(""https://doc"&amp;"s.google.com/spreadsheets/d/17P34_Ow5kFBfdQD0qspb2UuPX5zpi6WMrQzslghyvrI/edit?usp=sharing"",""สกลนคร!J706"")+IMPORTRANGE(""https://docs.google.com/spreadsheets/d/1yswqbM3-AEpThF3ZSUa1AcmHnmRTF1vlJ1CZGcJ8YuU/edit?usp=sharing"",""สุรินทร์!J706"")+IMPORTRANG"&amp;"E(""https://docs.google.com/spreadsheets/d/13JHU_EFbsQOUQ0JSQ3dWy1VTRosIWcDq6Nc99z2qzdc/edit?usp=sharing"",""หนองคาย!J706"")+IMPORTRANGE(""https://docs.google.com/spreadsheets/d/1Hx73zIEgVdDZZaYSTc46Dqv64atFhpr3GelxLbaIN8A/edit?usp=sharing"",""หนองบัวลำภู"&amp;"!J706"")+IMPORTRANGE(""https://docs.google.com/spreadsheets/d/1lFxr3ctmjFN90yc-xV6jrQ9Ty8BKYVBWnAZ15wcNIJc/edit?usp=sharing"",""อำนาจเจริญ!J706"")+IMPORTRANGE(""https://docs.google.com/spreadsheets/d/1gF7RJpRnL-1oyjyeWxs5SFWEH7y8ahOZsQlyp2A2e-A/edit?usp=s"&amp;"haring"",""อุดรธานี!J706"")+IMPORTRANGE(""https://docs.google.com/spreadsheets/d/1kfLP0j3INXRa8bTDpcEmoWewMBV61jlFlfzczfjWIgc/edit?usp=sharing"",""อุบลราชธานี!J706"")"),0)</f>
        <v>0</v>
      </c>
      <c r="K706" s="56">
        <f t="shared" si="486"/>
        <v>0</v>
      </c>
      <c r="L706" s="164"/>
      <c r="M706" s="164"/>
      <c r="N706" s="164"/>
      <c r="O706" s="164"/>
      <c r="P706" s="164"/>
      <c r="Q706" s="164"/>
      <c r="R706" s="164"/>
      <c r="S706" s="172"/>
      <c r="T706" s="164"/>
      <c r="U706" s="164"/>
    </row>
    <row r="707" spans="1:21" ht="18.75">
      <c r="A707" s="238"/>
      <c r="B707" s="188"/>
      <c r="C707" s="188"/>
      <c r="D707" s="174"/>
      <c r="E707" s="173" t="s">
        <v>262</v>
      </c>
      <c r="F707" s="174"/>
      <c r="G707" s="171"/>
      <c r="H707" s="162" t="s">
        <v>35</v>
      </c>
      <c r="I707" s="181">
        <f ca="1">IFERROR(__xludf.DUMMYFUNCTION("IMPORTRANGE(""https://docs.google.com/spreadsheets/d/1yhBcrRPreicbMKl9Bu_Snb2-OcQAF62RKfhTLhJ2eAA/edit?usp=sharing"",""กาฬสินธุ์!I707"")+IMPORTRANGE(""https://docs.google.com/spreadsheets/d/1aHkj4IaQMThhwWwevcOymEh837vdxeC_PycurhTbGFA/edit?usp=sharing"","&amp;"""ขอนแก่น!I707"")+IMPORTRANGE(""https://docs.google.com/spreadsheets/d/1FvTu2DsIWUjP6WCWra38Bkj_oOl_sOMf14r5Fg5srxU/edit?usp=sharing"",""ชัยภูมิ!I707"")+IMPORTRANGE(""https://docs.google.com/spreadsheets/d/1XVB7oCJ3pr-vBUdflwPQ8Z2LlzhnCvZaaYjAfP-647E/edit"&amp;"?usp=sharing"",""นครพนม!I707"")+IMPORTRANGE(""https://docs.google.com/spreadsheets/d/1Mnpb-8PYAgn85W6KOTD40hc_Xc55CaLfHoGAbrZ8tls/edit?usp=sharing"",""นครราชสีมา!I707"")+IMPORTRANGE(""https://docs.google.com/spreadsheets/d/1xoDLGBv9CYbyosIhki0kTq6IpYNj-gp"&amp;"jxfobnaDiut0/edit?usp=sharing"",""บึงกาฬ!I707"")+IMPORTRANGE(""https://docs.google.com/spreadsheets/d/1MMPq-JyI6DSgQETxuSiXkesP-P7JHuemnE6QJIa-Nlw/edit?usp=sharing"",""บุรีรัมย์!I707"")+IMPORTRANGE(""https://docs.google.com/spreadsheets/d/1l6IZ8xUPgMrESzc"&amp;"TYwhA1k_tPjeQjJPTqlm8Gd9eU5g/edit?usp=sharing"",""มหาสารคาม!I707"")+IMPORTRANGE(""https://docs.google.com/spreadsheets/d/1uB74YLqNjWX6FObjekfB2NtSYigTQyR2rq9u4Ub2Sq4/edit?usp=sharing"",""มุกดาหาร!I707"")+IMPORTRANGE(""https://docs.google.com/spreadsheets/"&amp;"d/1NexK3geCPxCTO1fzNF8dPec7yZyUx3OaWkFBC9HsQOo/edit?usp=sharing"",""ยโสธร!I707"")+IMPORTRANGE(""https://docs.google.com/spreadsheets/d/1v_cJrbBlyqmnHPReHk44g9NrMRdENNlSy_E_c5M9fIg/edit?usp=sharing"",""ร้อยเอ็ด!I707"")+IMPORTRANGE(""https://docs.google.com"&amp;"/spreadsheets/d/1Ul4RCpCX66NxYADU1QpwAPjOmBzW64SsT11s1wzXw_c/edit?usp=sharing"",""เลย!I707"")+IMPORTRANGE(""https://docs.google.com/spreadsheets/d/1bRrNKwbHDVktQG10isr5vbWRtt5spIZPpkOSWgbT5ug/edit?usp=sharing"",""ศรีสะเกษ!I707"")+IMPORTRANGE(""https://doc"&amp;"s.google.com/spreadsheets/d/17P34_Ow5kFBfdQD0qspb2UuPX5zpi6WMrQzslghyvrI/edit?usp=sharing"",""สกลนคร!I707"")+IMPORTRANGE(""https://docs.google.com/spreadsheets/d/1yswqbM3-AEpThF3ZSUa1AcmHnmRTF1vlJ1CZGcJ8YuU/edit?usp=sharing"",""สุรินทร์!I707"")+IMPORTRANG"&amp;"E(""https://docs.google.com/spreadsheets/d/13JHU_EFbsQOUQ0JSQ3dWy1VTRosIWcDq6Nc99z2qzdc/edit?usp=sharing"",""หนองคาย!I707"")+IMPORTRANGE(""https://docs.google.com/spreadsheets/d/1Hx73zIEgVdDZZaYSTc46Dqv64atFhpr3GelxLbaIN8A/edit?usp=sharing"",""หนองบัวลำภู"&amp;"!I707"")+IMPORTRANGE(""https://docs.google.com/spreadsheets/d/1lFxr3ctmjFN90yc-xV6jrQ9Ty8BKYVBWnAZ15wcNIJc/edit?usp=sharing"",""อำนาจเจริญ!I707"")+IMPORTRANGE(""https://docs.google.com/spreadsheets/d/1gF7RJpRnL-1oyjyeWxs5SFWEH7y8ahOZsQlyp2A2e-A/edit?usp=s"&amp;"haring"",""อุดรธานี!I707"")+IMPORTRANGE(""https://docs.google.com/spreadsheets/d/1kfLP0j3INXRa8bTDpcEmoWewMBV61jlFlfzczfjWIgc/edit?usp=sharing"",""อุบลราชธานี!I707"")"),5101)</f>
        <v>5101</v>
      </c>
      <c r="J707" s="181">
        <f ca="1">IFERROR(__xludf.DUMMYFUNCTION("IMPORTRANGE(""https://docs.google.com/spreadsheets/d/1yhBcrRPreicbMKl9Bu_Snb2-OcQAF62RKfhTLhJ2eAA/edit?usp=sharing"",""กาฬสินธุ์!J707"")+IMPORTRANGE(""https://docs.google.com/spreadsheets/d/1aHkj4IaQMThhwWwevcOymEh837vdxeC_PycurhTbGFA/edit?usp=sharing"","&amp;"""ขอนแก่น!J707"")+IMPORTRANGE(""https://docs.google.com/spreadsheets/d/1FvTu2DsIWUjP6WCWra38Bkj_oOl_sOMf14r5Fg5srxU/edit?usp=sharing"",""ชัยภูมิ!J707"")+IMPORTRANGE(""https://docs.google.com/spreadsheets/d/1XVB7oCJ3pr-vBUdflwPQ8Z2LlzhnCvZaaYjAfP-647E/edit"&amp;"?usp=sharing"",""นครพนม!J707"")+IMPORTRANGE(""https://docs.google.com/spreadsheets/d/1Mnpb-8PYAgn85W6KOTD40hc_Xc55CaLfHoGAbrZ8tls/edit?usp=sharing"",""นครราชสีมา!J707"")+IMPORTRANGE(""https://docs.google.com/spreadsheets/d/1xoDLGBv9CYbyosIhki0kTq6IpYNj-gp"&amp;"jxfobnaDiut0/edit?usp=sharing"",""บึงกาฬ!J707"")+IMPORTRANGE(""https://docs.google.com/spreadsheets/d/1MMPq-JyI6DSgQETxuSiXkesP-P7JHuemnE6QJIa-Nlw/edit?usp=sharing"",""บุรีรัมย์!J707"")+IMPORTRANGE(""https://docs.google.com/spreadsheets/d/1l6IZ8xUPgMrESzc"&amp;"TYwhA1k_tPjeQjJPTqlm8Gd9eU5g/edit?usp=sharing"",""มหาสารคาม!J707"")+IMPORTRANGE(""https://docs.google.com/spreadsheets/d/1uB74YLqNjWX6FObjekfB2NtSYigTQyR2rq9u4Ub2Sq4/edit?usp=sharing"",""มุกดาหาร!J707"")+IMPORTRANGE(""https://docs.google.com/spreadsheets/"&amp;"d/1NexK3geCPxCTO1fzNF8dPec7yZyUx3OaWkFBC9HsQOo/edit?usp=sharing"",""ยโสธร!J707"")+IMPORTRANGE(""https://docs.google.com/spreadsheets/d/1v_cJrbBlyqmnHPReHk44g9NrMRdENNlSy_E_c5M9fIg/edit?usp=sharing"",""ร้อยเอ็ด!J707"")+IMPORTRANGE(""https://docs.google.com"&amp;"/spreadsheets/d/1Ul4RCpCX66NxYADU1QpwAPjOmBzW64SsT11s1wzXw_c/edit?usp=sharing"",""เลย!J707"")+IMPORTRANGE(""https://docs.google.com/spreadsheets/d/1bRrNKwbHDVktQG10isr5vbWRtt5spIZPpkOSWgbT5ug/edit?usp=sharing"",""ศรีสะเกษ!J707"")+IMPORTRANGE(""https://doc"&amp;"s.google.com/spreadsheets/d/17P34_Ow5kFBfdQD0qspb2UuPX5zpi6WMrQzslghyvrI/edit?usp=sharing"",""สกลนคร!J707"")+IMPORTRANGE(""https://docs.google.com/spreadsheets/d/1yswqbM3-AEpThF3ZSUa1AcmHnmRTF1vlJ1CZGcJ8YuU/edit?usp=sharing"",""สุรินทร์!J707"")+IMPORTRANG"&amp;"E(""https://docs.google.com/spreadsheets/d/13JHU_EFbsQOUQ0JSQ3dWy1VTRosIWcDq6Nc99z2qzdc/edit?usp=sharing"",""หนองคาย!J707"")+IMPORTRANGE(""https://docs.google.com/spreadsheets/d/1Hx73zIEgVdDZZaYSTc46Dqv64atFhpr3GelxLbaIN8A/edit?usp=sharing"",""หนองบัวลำภู"&amp;"!J707"")+IMPORTRANGE(""https://docs.google.com/spreadsheets/d/1lFxr3ctmjFN90yc-xV6jrQ9Ty8BKYVBWnAZ15wcNIJc/edit?usp=sharing"",""อำนาจเจริญ!J707"")+IMPORTRANGE(""https://docs.google.com/spreadsheets/d/1gF7RJpRnL-1oyjyeWxs5SFWEH7y8ahOZsQlyp2A2e-A/edit?usp=s"&amp;"haring"",""อุดรธานี!J707"")+IMPORTRANGE(""https://docs.google.com/spreadsheets/d/1kfLP0j3INXRa8bTDpcEmoWewMBV61jlFlfzczfjWIgc/edit?usp=sharing"",""อุบลราชธานี!J707"")"),120)</f>
        <v>120</v>
      </c>
      <c r="K707" s="56">
        <f t="shared" ca="1" si="486"/>
        <v>2.3524799059008039</v>
      </c>
      <c r="L707" s="164"/>
      <c r="M707" s="164"/>
      <c r="N707" s="164"/>
      <c r="O707" s="164"/>
      <c r="P707" s="164"/>
      <c r="Q707" s="164"/>
      <c r="R707" s="164"/>
      <c r="S707" s="172"/>
      <c r="T707" s="164"/>
      <c r="U707" s="164"/>
    </row>
    <row r="708" spans="1:21" ht="18.75">
      <c r="A708" s="238"/>
      <c r="B708" s="188"/>
      <c r="C708" s="188"/>
      <c r="D708" s="174"/>
      <c r="E708" s="477" t="s">
        <v>263</v>
      </c>
      <c r="F708" s="174"/>
      <c r="G708" s="171"/>
      <c r="H708" s="162" t="s">
        <v>46</v>
      </c>
      <c r="I708" s="212">
        <v>0</v>
      </c>
      <c r="J708" s="181">
        <f ca="1">IFERROR(__xludf.DUMMYFUNCTION("IMPORTRANGE(""https://docs.google.com/spreadsheets/d/1yhBcrRPreicbMKl9Bu_Snb2-OcQAF62RKfhTLhJ2eAA/edit?usp=sharing"",""กาฬสินธุ์!J708"")+IMPORTRANGE(""https://docs.google.com/spreadsheets/d/1aHkj4IaQMThhwWwevcOymEh837vdxeC_PycurhTbGFA/edit?usp=sharing"","&amp;"""ขอนแก่น!J708"")+IMPORTRANGE(""https://docs.google.com/spreadsheets/d/1FvTu2DsIWUjP6WCWra38Bkj_oOl_sOMf14r5Fg5srxU/edit?usp=sharing"",""ชัยภูมิ!J708"")+IMPORTRANGE(""https://docs.google.com/spreadsheets/d/1XVB7oCJ3pr-vBUdflwPQ8Z2LlzhnCvZaaYjAfP-647E/edit"&amp;"?usp=sharing"",""นครพนม!J708"")+IMPORTRANGE(""https://docs.google.com/spreadsheets/d/1Mnpb-8PYAgn85W6KOTD40hc_Xc55CaLfHoGAbrZ8tls/edit?usp=sharing"",""นครราชสีมา!J708"")+IMPORTRANGE(""https://docs.google.com/spreadsheets/d/1xoDLGBv9CYbyosIhki0kTq6IpYNj-gp"&amp;"jxfobnaDiut0/edit?usp=sharing"",""บึงกาฬ!J708"")+IMPORTRANGE(""https://docs.google.com/spreadsheets/d/1MMPq-JyI6DSgQETxuSiXkesP-P7JHuemnE6QJIa-Nlw/edit?usp=sharing"",""บุรีรัมย์!J708"")+IMPORTRANGE(""https://docs.google.com/spreadsheets/d/1l6IZ8xUPgMrESzc"&amp;"TYwhA1k_tPjeQjJPTqlm8Gd9eU5g/edit?usp=sharing"",""มหาสารคาม!J708"")+IMPORTRANGE(""https://docs.google.com/spreadsheets/d/1uB74YLqNjWX6FObjekfB2NtSYigTQyR2rq9u4Ub2Sq4/edit?usp=sharing"",""มุกดาหาร!J708"")+IMPORTRANGE(""https://docs.google.com/spreadsheets/"&amp;"d/1NexK3geCPxCTO1fzNF8dPec7yZyUx3OaWkFBC9HsQOo/edit?usp=sharing"",""ยโสธร!J708"")+IMPORTRANGE(""https://docs.google.com/spreadsheets/d/1v_cJrbBlyqmnHPReHk44g9NrMRdENNlSy_E_c5M9fIg/edit?usp=sharing"",""ร้อยเอ็ด!J708"")+IMPORTRANGE(""https://docs.google.com"&amp;"/spreadsheets/d/1Ul4RCpCX66NxYADU1QpwAPjOmBzW64SsT11s1wzXw_c/edit?usp=sharing"",""เลย!J708"")+IMPORTRANGE(""https://docs.google.com/spreadsheets/d/1bRrNKwbHDVktQG10isr5vbWRtt5spIZPpkOSWgbT5ug/edit?usp=sharing"",""ศรีสะเกษ!J708"")+IMPORTRANGE(""https://doc"&amp;"s.google.com/spreadsheets/d/17P34_Ow5kFBfdQD0qspb2UuPX5zpi6WMrQzslghyvrI/edit?usp=sharing"",""สกลนคร!J708"")+IMPORTRANGE(""https://docs.google.com/spreadsheets/d/1yswqbM3-AEpThF3ZSUa1AcmHnmRTF1vlJ1CZGcJ8YuU/edit?usp=sharing"",""สุรินทร์!J708"")+IMPORTRANG"&amp;"E(""https://docs.google.com/spreadsheets/d/13JHU_EFbsQOUQ0JSQ3dWy1VTRosIWcDq6Nc99z2qzdc/edit?usp=sharing"",""หนองคาย!J708"")+IMPORTRANGE(""https://docs.google.com/spreadsheets/d/1Hx73zIEgVdDZZaYSTc46Dqv64atFhpr3GelxLbaIN8A/edit?usp=sharing"",""หนองบัวลำภู"&amp;"!J708"")+IMPORTRANGE(""https://docs.google.com/spreadsheets/d/1lFxr3ctmjFN90yc-xV6jrQ9Ty8BKYVBWnAZ15wcNIJc/edit?usp=sharing"",""อำนาจเจริญ!J708"")+IMPORTRANGE(""https://docs.google.com/spreadsheets/d/1gF7RJpRnL-1oyjyeWxs5SFWEH7y8ahOZsQlyp2A2e-A/edit?usp=s"&amp;"haring"",""อุดรธานี!J708"")+IMPORTRANGE(""https://docs.google.com/spreadsheets/d/1kfLP0j3INXRa8bTDpcEmoWewMBV61jlFlfzczfjWIgc/edit?usp=sharing"",""อุบลราชธานี!J708"")"),66)</f>
        <v>66</v>
      </c>
      <c r="K708" s="56">
        <f t="shared" si="486"/>
        <v>0</v>
      </c>
      <c r="L708" s="164"/>
      <c r="M708" s="164"/>
      <c r="N708" s="164"/>
      <c r="O708" s="164"/>
      <c r="P708" s="164"/>
      <c r="Q708" s="164"/>
      <c r="R708" s="164"/>
      <c r="S708" s="172"/>
      <c r="T708" s="164"/>
      <c r="U708" s="164"/>
    </row>
    <row r="709" spans="1:21" ht="18.75">
      <c r="A709" s="238"/>
      <c r="B709" s="188"/>
      <c r="C709" s="188"/>
      <c r="D709" s="50"/>
      <c r="E709" s="58" t="s">
        <v>264</v>
      </c>
      <c r="F709" s="50"/>
      <c r="G709" s="52"/>
      <c r="H709" s="203" t="s">
        <v>35</v>
      </c>
      <c r="I709" s="181">
        <f ca="1">IFERROR(__xludf.DUMMYFUNCTION("IMPORTRANGE(""https://docs.google.com/spreadsheets/d/1yhBcrRPreicbMKl9Bu_Snb2-OcQAF62RKfhTLhJ2eAA/edit?usp=sharing"",""กาฬสินธุ์!I709"")+IMPORTRANGE(""https://docs.google.com/spreadsheets/d/1aHkj4IaQMThhwWwevcOymEh837vdxeC_PycurhTbGFA/edit?usp=sharing"","&amp;"""ขอนแก่น!I709"")+IMPORTRANGE(""https://docs.google.com/spreadsheets/d/1FvTu2DsIWUjP6WCWra38Bkj_oOl_sOMf14r5Fg5srxU/edit?usp=sharing"",""ชัยภูมิ!I709"")+IMPORTRANGE(""https://docs.google.com/spreadsheets/d/1XVB7oCJ3pr-vBUdflwPQ8Z2LlzhnCvZaaYjAfP-647E/edit"&amp;"?usp=sharing"",""นครพนม!I709"")+IMPORTRANGE(""https://docs.google.com/spreadsheets/d/1Mnpb-8PYAgn85W6KOTD40hc_Xc55CaLfHoGAbrZ8tls/edit?usp=sharing"",""นครราชสีมา!I709"")+IMPORTRANGE(""https://docs.google.com/spreadsheets/d/1xoDLGBv9CYbyosIhki0kTq6IpYNj-gp"&amp;"jxfobnaDiut0/edit?usp=sharing"",""บึงกาฬ!I709"")+IMPORTRANGE(""https://docs.google.com/spreadsheets/d/1MMPq-JyI6DSgQETxuSiXkesP-P7JHuemnE6QJIa-Nlw/edit?usp=sharing"",""บุรีรัมย์!I709"")+IMPORTRANGE(""https://docs.google.com/spreadsheets/d/1l6IZ8xUPgMrESzc"&amp;"TYwhA1k_tPjeQjJPTqlm8Gd9eU5g/edit?usp=sharing"",""มหาสารคาม!I709"")+IMPORTRANGE(""https://docs.google.com/spreadsheets/d/1uB74YLqNjWX6FObjekfB2NtSYigTQyR2rq9u4Ub2Sq4/edit?usp=sharing"",""มุกดาหาร!I709"")+IMPORTRANGE(""https://docs.google.com/spreadsheets/"&amp;"d/1NexK3geCPxCTO1fzNF8dPec7yZyUx3OaWkFBC9HsQOo/edit?usp=sharing"",""ยโสธร!I709"")+IMPORTRANGE(""https://docs.google.com/spreadsheets/d/1v_cJrbBlyqmnHPReHk44g9NrMRdENNlSy_E_c5M9fIg/edit?usp=sharing"",""ร้อยเอ็ด!I709"")+IMPORTRANGE(""https://docs.google.com"&amp;"/spreadsheets/d/1Ul4RCpCX66NxYADU1QpwAPjOmBzW64SsT11s1wzXw_c/edit?usp=sharing"",""เลย!I709"")+IMPORTRANGE(""https://docs.google.com/spreadsheets/d/1bRrNKwbHDVktQG10isr5vbWRtt5spIZPpkOSWgbT5ug/edit?usp=sharing"",""ศรีสะเกษ!I709"")+IMPORTRANGE(""https://doc"&amp;"s.google.com/spreadsheets/d/17P34_Ow5kFBfdQD0qspb2UuPX5zpi6WMrQzslghyvrI/edit?usp=sharing"",""สกลนคร!I709"")+IMPORTRANGE(""https://docs.google.com/spreadsheets/d/1yswqbM3-AEpThF3ZSUa1AcmHnmRTF1vlJ1CZGcJ8YuU/edit?usp=sharing"",""สุรินทร์!I709"")+IMPORTRANG"&amp;"E(""https://docs.google.com/spreadsheets/d/13JHU_EFbsQOUQ0JSQ3dWy1VTRosIWcDq6Nc99z2qzdc/edit?usp=sharing"",""หนองคาย!I709"")+IMPORTRANGE(""https://docs.google.com/spreadsheets/d/1Hx73zIEgVdDZZaYSTc46Dqv64atFhpr3GelxLbaIN8A/edit?usp=sharing"",""หนองบัวลำภู"&amp;"!I709"")+IMPORTRANGE(""https://docs.google.com/spreadsheets/d/1lFxr3ctmjFN90yc-xV6jrQ9Ty8BKYVBWnAZ15wcNIJc/edit?usp=sharing"",""อำนาจเจริญ!I709"")+IMPORTRANGE(""https://docs.google.com/spreadsheets/d/1gF7RJpRnL-1oyjyeWxs5SFWEH7y8ahOZsQlyp2A2e-A/edit?usp=s"&amp;"haring"",""อุดรธานี!I709"")+IMPORTRANGE(""https://docs.google.com/spreadsheets/d/1kfLP0j3INXRa8bTDpcEmoWewMBV61jlFlfzczfjWIgc/edit?usp=sharing"",""อุบลราชธานี!I709"")"),102)</f>
        <v>102</v>
      </c>
      <c r="J709" s="181">
        <f ca="1">IFERROR(__xludf.DUMMYFUNCTION("IMPORTRANGE(""https://docs.google.com/spreadsheets/d/1yhBcrRPreicbMKl9Bu_Snb2-OcQAF62RKfhTLhJ2eAA/edit?usp=sharing"",""กาฬสินธุ์!J709"")+IMPORTRANGE(""https://docs.google.com/spreadsheets/d/1aHkj4IaQMThhwWwevcOymEh837vdxeC_PycurhTbGFA/edit?usp=sharing"","&amp;"""ขอนแก่น!J709"")+IMPORTRANGE(""https://docs.google.com/spreadsheets/d/1FvTu2DsIWUjP6WCWra38Bkj_oOl_sOMf14r5Fg5srxU/edit?usp=sharing"",""ชัยภูมิ!J709"")+IMPORTRANGE(""https://docs.google.com/spreadsheets/d/1XVB7oCJ3pr-vBUdflwPQ8Z2LlzhnCvZaaYjAfP-647E/edit"&amp;"?usp=sharing"",""นครพนม!J709"")+IMPORTRANGE(""https://docs.google.com/spreadsheets/d/1Mnpb-8PYAgn85W6KOTD40hc_Xc55CaLfHoGAbrZ8tls/edit?usp=sharing"",""นครราชสีมา!J709"")+IMPORTRANGE(""https://docs.google.com/spreadsheets/d/1xoDLGBv9CYbyosIhki0kTq6IpYNj-gp"&amp;"jxfobnaDiut0/edit?usp=sharing"",""บึงกาฬ!J709"")+IMPORTRANGE(""https://docs.google.com/spreadsheets/d/1MMPq-JyI6DSgQETxuSiXkesP-P7JHuemnE6QJIa-Nlw/edit?usp=sharing"",""บุรีรัมย์!J709"")+IMPORTRANGE(""https://docs.google.com/spreadsheets/d/1l6IZ8xUPgMrESzc"&amp;"TYwhA1k_tPjeQjJPTqlm8Gd9eU5g/edit?usp=sharing"",""มหาสารคาม!J709"")+IMPORTRANGE(""https://docs.google.com/spreadsheets/d/1uB74YLqNjWX6FObjekfB2NtSYigTQyR2rq9u4Ub2Sq4/edit?usp=sharing"",""มุกดาหาร!J709"")+IMPORTRANGE(""https://docs.google.com/spreadsheets/"&amp;"d/1NexK3geCPxCTO1fzNF8dPec7yZyUx3OaWkFBC9HsQOo/edit?usp=sharing"",""ยโสธร!J709"")+IMPORTRANGE(""https://docs.google.com/spreadsheets/d/1v_cJrbBlyqmnHPReHk44g9NrMRdENNlSy_E_c5M9fIg/edit?usp=sharing"",""ร้อยเอ็ด!J709"")+IMPORTRANGE(""https://docs.google.com"&amp;"/spreadsheets/d/1Ul4RCpCX66NxYADU1QpwAPjOmBzW64SsT11s1wzXw_c/edit?usp=sharing"",""เลย!J709"")+IMPORTRANGE(""https://docs.google.com/spreadsheets/d/1bRrNKwbHDVktQG10isr5vbWRtt5spIZPpkOSWgbT5ug/edit?usp=sharing"",""ศรีสะเกษ!J709"")+IMPORTRANGE(""https://doc"&amp;"s.google.com/spreadsheets/d/17P34_Ow5kFBfdQD0qspb2UuPX5zpi6WMrQzslghyvrI/edit?usp=sharing"",""สกลนคร!J709"")+IMPORTRANGE(""https://docs.google.com/spreadsheets/d/1yswqbM3-AEpThF3ZSUa1AcmHnmRTF1vlJ1CZGcJ8YuU/edit?usp=sharing"",""สุรินทร์!J709"")+IMPORTRANG"&amp;"E(""https://docs.google.com/spreadsheets/d/13JHU_EFbsQOUQ0JSQ3dWy1VTRosIWcDq6Nc99z2qzdc/edit?usp=sharing"",""หนองคาย!J709"")+IMPORTRANGE(""https://docs.google.com/spreadsheets/d/1Hx73zIEgVdDZZaYSTc46Dqv64atFhpr3GelxLbaIN8A/edit?usp=sharing"",""หนองบัวลำภู"&amp;"!J709"")+IMPORTRANGE(""https://docs.google.com/spreadsheets/d/1lFxr3ctmjFN90yc-xV6jrQ9Ty8BKYVBWnAZ15wcNIJc/edit?usp=sharing"",""อำนาจเจริญ!J709"")+IMPORTRANGE(""https://docs.google.com/spreadsheets/d/1gF7RJpRnL-1oyjyeWxs5SFWEH7y8ahOZsQlyp2A2e-A/edit?usp=s"&amp;"haring"",""อุดรธานี!J709"")+IMPORTRANGE(""https://docs.google.com/spreadsheets/d/1kfLP0j3INXRa8bTDpcEmoWewMBV61jlFlfzczfjWIgc/edit?usp=sharing"",""อุบลราชธานี!J709"")"),42)</f>
        <v>42</v>
      </c>
      <c r="K709" s="56">
        <f t="shared" ca="1" si="486"/>
        <v>41.176470588235297</v>
      </c>
      <c r="L709" s="55"/>
      <c r="M709" s="55"/>
      <c r="N709" s="55"/>
      <c r="O709" s="55"/>
      <c r="P709" s="55"/>
      <c r="Q709" s="55"/>
      <c r="R709" s="55"/>
      <c r="S709" s="62"/>
      <c r="T709" s="55"/>
      <c r="U709" s="55"/>
    </row>
    <row r="710" spans="1:21" ht="18.75">
      <c r="A710" s="238"/>
      <c r="B710" s="188"/>
      <c r="C710" s="188"/>
      <c r="D710" s="50"/>
      <c r="E710" s="477" t="s">
        <v>265</v>
      </c>
      <c r="F710" s="50"/>
      <c r="G710" s="52"/>
      <c r="H710" s="203" t="s">
        <v>46</v>
      </c>
      <c r="I710" s="212">
        <v>0</v>
      </c>
      <c r="J710" s="181">
        <f ca="1">IFERROR(__xludf.DUMMYFUNCTION("IMPORTRANGE(""https://docs.google.com/spreadsheets/d/1yhBcrRPreicbMKl9Bu_Snb2-OcQAF62RKfhTLhJ2eAA/edit?usp=sharing"",""กาฬสินธุ์!J710"")+IMPORTRANGE(""https://docs.google.com/spreadsheets/d/1aHkj4IaQMThhwWwevcOymEh837vdxeC_PycurhTbGFA/edit?usp=sharing"","&amp;"""ขอนแก่น!J710"")+IMPORTRANGE(""https://docs.google.com/spreadsheets/d/1FvTu2DsIWUjP6WCWra38Bkj_oOl_sOMf14r5Fg5srxU/edit?usp=sharing"",""ชัยภูมิ!J710"")+IMPORTRANGE(""https://docs.google.com/spreadsheets/d/1XVB7oCJ3pr-vBUdflwPQ8Z2LlzhnCvZaaYjAfP-647E/edit"&amp;"?usp=sharing"",""นครพนม!J710"")+IMPORTRANGE(""https://docs.google.com/spreadsheets/d/1Mnpb-8PYAgn85W6KOTD40hc_Xc55CaLfHoGAbrZ8tls/edit?usp=sharing"",""นครราชสีมา!J710"")+IMPORTRANGE(""https://docs.google.com/spreadsheets/d/1xoDLGBv9CYbyosIhki0kTq6IpYNj-gp"&amp;"jxfobnaDiut0/edit?usp=sharing"",""บึงกาฬ!J710"")+IMPORTRANGE(""https://docs.google.com/spreadsheets/d/1MMPq-JyI6DSgQETxuSiXkesP-P7JHuemnE6QJIa-Nlw/edit?usp=sharing"",""บุรีรัมย์!J710"")+IMPORTRANGE(""https://docs.google.com/spreadsheets/d/1l6IZ8xUPgMrESzc"&amp;"TYwhA1k_tPjeQjJPTqlm8Gd9eU5g/edit?usp=sharing"",""มหาสารคาม!J710"")+IMPORTRANGE(""https://docs.google.com/spreadsheets/d/1uB74YLqNjWX6FObjekfB2NtSYigTQyR2rq9u4Ub2Sq4/edit?usp=sharing"",""มุกดาหาร!J710"")+IMPORTRANGE(""https://docs.google.com/spreadsheets/"&amp;"d/1NexK3geCPxCTO1fzNF8dPec7yZyUx3OaWkFBC9HsQOo/edit?usp=sharing"",""ยโสธร!J710"")+IMPORTRANGE(""https://docs.google.com/spreadsheets/d/1v_cJrbBlyqmnHPReHk44g9NrMRdENNlSy_E_c5M9fIg/edit?usp=sharing"",""ร้อยเอ็ด!J710"")+IMPORTRANGE(""https://docs.google.com"&amp;"/spreadsheets/d/1Ul4RCpCX66NxYADU1QpwAPjOmBzW64SsT11s1wzXw_c/edit?usp=sharing"",""เลย!J710"")+IMPORTRANGE(""https://docs.google.com/spreadsheets/d/1bRrNKwbHDVktQG10isr5vbWRtt5spIZPpkOSWgbT5ug/edit?usp=sharing"",""ศรีสะเกษ!J710"")+IMPORTRANGE(""https://doc"&amp;"s.google.com/spreadsheets/d/17P34_Ow5kFBfdQD0qspb2UuPX5zpi6WMrQzslghyvrI/edit?usp=sharing"",""สกลนคร!J710"")+IMPORTRANGE(""https://docs.google.com/spreadsheets/d/1yswqbM3-AEpThF3ZSUa1AcmHnmRTF1vlJ1CZGcJ8YuU/edit?usp=sharing"",""สุรินทร์!J710"")+IMPORTRANG"&amp;"E(""https://docs.google.com/spreadsheets/d/13JHU_EFbsQOUQ0JSQ3dWy1VTRosIWcDq6Nc99z2qzdc/edit?usp=sharing"",""หนองคาย!J710"")+IMPORTRANGE(""https://docs.google.com/spreadsheets/d/1Hx73zIEgVdDZZaYSTc46Dqv64atFhpr3GelxLbaIN8A/edit?usp=sharing"",""หนองบัวลำภู"&amp;"!J710"")+IMPORTRANGE(""https://docs.google.com/spreadsheets/d/1lFxr3ctmjFN90yc-xV6jrQ9Ty8BKYVBWnAZ15wcNIJc/edit?usp=sharing"",""อำนาจเจริญ!J710"")+IMPORTRANGE(""https://docs.google.com/spreadsheets/d/1gF7RJpRnL-1oyjyeWxs5SFWEH7y8ahOZsQlyp2A2e-A/edit?usp=s"&amp;"haring"",""อุดรธานี!J710"")+IMPORTRANGE(""https://docs.google.com/spreadsheets/d/1kfLP0j3INXRa8bTDpcEmoWewMBV61jlFlfzczfjWIgc/edit?usp=sharing"",""อุบลราชธานี!J710"")"),0)</f>
        <v>0</v>
      </c>
      <c r="K710" s="56">
        <f t="shared" si="486"/>
        <v>0</v>
      </c>
      <c r="L710" s="55"/>
      <c r="M710" s="55"/>
      <c r="N710" s="55"/>
      <c r="O710" s="55"/>
      <c r="P710" s="55"/>
      <c r="Q710" s="55"/>
      <c r="R710" s="55"/>
      <c r="S710" s="62"/>
      <c r="T710" s="55"/>
      <c r="U710" s="55"/>
    </row>
    <row r="711" spans="1:21" ht="12.75">
      <c r="A711" s="407"/>
      <c r="B711" s="360"/>
      <c r="C711" s="360"/>
      <c r="D711" s="408"/>
      <c r="E711" s="408"/>
      <c r="F711" s="408"/>
      <c r="G711" s="409"/>
      <c r="H711" s="361"/>
      <c r="I711" s="362"/>
      <c r="J711" s="362"/>
      <c r="K711" s="363"/>
      <c r="L711" s="363"/>
      <c r="M711" s="363"/>
      <c r="N711" s="363"/>
      <c r="O711" s="363"/>
      <c r="P711" s="363"/>
      <c r="Q711" s="363"/>
      <c r="R711" s="363"/>
      <c r="S711" s="364"/>
      <c r="T711" s="363"/>
      <c r="U711" s="363"/>
    </row>
    <row r="712" spans="1:21" ht="19.5">
      <c r="A712" s="442"/>
      <c r="B712" s="478" t="s">
        <v>266</v>
      </c>
      <c r="C712" s="442"/>
      <c r="D712" s="444"/>
      <c r="E712" s="444"/>
      <c r="F712" s="444"/>
      <c r="G712" s="445"/>
      <c r="H712" s="479" t="s">
        <v>46</v>
      </c>
      <c r="I712" s="447"/>
      <c r="J712" s="480">
        <f>J724</f>
        <v>0</v>
      </c>
      <c r="K712" s="481">
        <f>IF(I712&gt;0,J712*100/I712,0)</f>
        <v>0</v>
      </c>
      <c r="L712" s="448"/>
      <c r="M712" s="448"/>
      <c r="N712" s="448"/>
      <c r="O712" s="448"/>
      <c r="P712" s="448"/>
      <c r="Q712" s="448"/>
      <c r="R712" s="448"/>
      <c r="S712" s="449"/>
      <c r="T712" s="448"/>
      <c r="U712" s="448"/>
    </row>
    <row r="713" spans="1:21" ht="19.5">
      <c r="A713" s="442"/>
      <c r="B713" s="478" t="s">
        <v>267</v>
      </c>
      <c r="C713" s="442"/>
      <c r="D713" s="444"/>
      <c r="E713" s="444"/>
      <c r="F713" s="444"/>
      <c r="G713" s="445"/>
      <c r="H713" s="446"/>
      <c r="I713" s="447"/>
      <c r="J713" s="447"/>
      <c r="K713" s="448"/>
      <c r="L713" s="448"/>
      <c r="M713" s="448"/>
      <c r="N713" s="448"/>
      <c r="O713" s="448"/>
      <c r="P713" s="448"/>
      <c r="Q713" s="448"/>
      <c r="R713" s="448"/>
      <c r="S713" s="449"/>
      <c r="T713" s="448"/>
      <c r="U713" s="448"/>
    </row>
    <row r="714" spans="1:21" ht="19.5">
      <c r="A714" s="155"/>
      <c r="B714" s="188"/>
      <c r="C714" s="358" t="s">
        <v>18</v>
      </c>
      <c r="D714" s="528" t="s">
        <v>19</v>
      </c>
      <c r="E714" s="529"/>
      <c r="F714" s="529"/>
      <c r="G714" s="530"/>
      <c r="H714" s="418" t="s">
        <v>14</v>
      </c>
      <c r="I714" s="54"/>
      <c r="J714" s="54"/>
      <c r="K714" s="55"/>
      <c r="L714" s="159">
        <f t="shared" ref="L714:N714" ca="1" si="488">L715+L716</f>
        <v>0</v>
      </c>
      <c r="M714" s="159">
        <f t="shared" ca="1" si="488"/>
        <v>0</v>
      </c>
      <c r="N714" s="159">
        <f t="shared" ca="1" si="488"/>
        <v>0</v>
      </c>
      <c r="O714" s="159">
        <f t="shared" ref="O714:O722" ca="1" si="489">IF(L714&gt;0,N714*100/L714,0)</f>
        <v>0</v>
      </c>
      <c r="P714" s="159">
        <f t="shared" ref="P714:P722" ca="1" si="490">IF(M714&gt;0,N714*100/M714,0)</f>
        <v>0</v>
      </c>
      <c r="Q714" s="159">
        <f t="shared" ref="Q714:S714" ca="1" si="491">Q715+Q716</f>
        <v>0</v>
      </c>
      <c r="R714" s="159">
        <f t="shared" ca="1" si="491"/>
        <v>0</v>
      </c>
      <c r="S714" s="160">
        <f t="shared" ca="1" si="491"/>
        <v>0</v>
      </c>
      <c r="T714" s="159">
        <f t="shared" ref="T714:T722" ca="1" si="492">IF(Q714&gt;0,S714*100/Q714,0)</f>
        <v>0</v>
      </c>
      <c r="U714" s="159">
        <f t="shared" ref="U714:U722" ca="1" si="493">IF(R714&gt;0,S714*100/R714,0)</f>
        <v>0</v>
      </c>
    </row>
    <row r="715" spans="1:21" ht="18.75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59">
        <f t="shared" ref="L715:N715" ca="1" si="494">L718+L721</f>
        <v>0</v>
      </c>
      <c r="M715" s="59">
        <f t="shared" ca="1" si="494"/>
        <v>0</v>
      </c>
      <c r="N715" s="59">
        <f t="shared" ca="1" si="494"/>
        <v>0</v>
      </c>
      <c r="O715" s="59">
        <f t="shared" ca="1" si="489"/>
        <v>0</v>
      </c>
      <c r="P715" s="59">
        <f t="shared" ca="1" si="490"/>
        <v>0</v>
      </c>
      <c r="Q715" s="59">
        <f t="shared" ref="Q715:S715" ca="1" si="495">Q718+Q721</f>
        <v>0</v>
      </c>
      <c r="R715" s="59">
        <f t="shared" ca="1" si="495"/>
        <v>0</v>
      </c>
      <c r="S715" s="60">
        <f t="shared" ca="1" si="495"/>
        <v>0</v>
      </c>
      <c r="T715" s="59">
        <f t="shared" ca="1" si="492"/>
        <v>0</v>
      </c>
      <c r="U715" s="59">
        <f t="shared" ca="1" si="493"/>
        <v>0</v>
      </c>
    </row>
    <row r="716" spans="1:21" ht="18.75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56">
        <f t="shared" ref="L716:N716" ca="1" si="496">L719+L722</f>
        <v>0</v>
      </c>
      <c r="M716" s="56">
        <f t="shared" ca="1" si="496"/>
        <v>0</v>
      </c>
      <c r="N716" s="56">
        <f t="shared" ca="1" si="496"/>
        <v>0</v>
      </c>
      <c r="O716" s="56">
        <f t="shared" ca="1" si="489"/>
        <v>0</v>
      </c>
      <c r="P716" s="56">
        <f t="shared" ca="1" si="490"/>
        <v>0</v>
      </c>
      <c r="Q716" s="56">
        <f t="shared" ref="Q716:S716" ca="1" si="497">Q719+Q722</f>
        <v>0</v>
      </c>
      <c r="R716" s="56">
        <f t="shared" ca="1" si="497"/>
        <v>0</v>
      </c>
      <c r="S716" s="57">
        <f t="shared" ca="1" si="497"/>
        <v>0</v>
      </c>
      <c r="T716" s="56">
        <f t="shared" ca="1" si="492"/>
        <v>0</v>
      </c>
      <c r="U716" s="56">
        <f t="shared" ca="1" si="493"/>
        <v>0</v>
      </c>
    </row>
    <row r="717" spans="1:21" ht="19.5">
      <c r="A717" s="155"/>
      <c r="B717" s="188"/>
      <c r="C717" s="188"/>
      <c r="D717" s="419" t="s">
        <v>22</v>
      </c>
      <c r="E717" s="50"/>
      <c r="F717" s="50"/>
      <c r="G717" s="52"/>
      <c r="H717" s="418" t="s">
        <v>14</v>
      </c>
      <c r="I717" s="163"/>
      <c r="J717" s="163"/>
      <c r="K717" s="164"/>
      <c r="L717" s="56">
        <f t="shared" ref="L717:N717" ca="1" si="498">L718+L719</f>
        <v>0</v>
      </c>
      <c r="M717" s="56">
        <f t="shared" ca="1" si="498"/>
        <v>0</v>
      </c>
      <c r="N717" s="56">
        <f t="shared" ca="1" si="498"/>
        <v>0</v>
      </c>
      <c r="O717" s="56">
        <f t="shared" ca="1" si="489"/>
        <v>0</v>
      </c>
      <c r="P717" s="56">
        <f t="shared" ca="1" si="490"/>
        <v>0</v>
      </c>
      <c r="Q717" s="56">
        <f t="shared" ref="Q717:S717" ca="1" si="499">Q718+Q719</f>
        <v>0</v>
      </c>
      <c r="R717" s="56">
        <f t="shared" ca="1" si="499"/>
        <v>0</v>
      </c>
      <c r="S717" s="57">
        <f t="shared" ca="1" si="499"/>
        <v>0</v>
      </c>
      <c r="T717" s="56">
        <f t="shared" ca="1" si="492"/>
        <v>0</v>
      </c>
      <c r="U717" s="56">
        <f t="shared" ca="1" si="493"/>
        <v>0</v>
      </c>
    </row>
    <row r="718" spans="1:21" ht="18.75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59">
        <f ca="1">IFERROR(__xludf.DUMMYFUNCTION("IMPORTRANGE(""https://docs.google.com/spreadsheets/d/1yhBcrRPreicbMKl9Bu_Snb2-OcQAF62RKfhTLhJ2eAA/edit?usp=sharing"",""กาฬสินธุ์!L718"")+IMPORTRANGE(""https://docs.google.com/spreadsheets/d/1aHkj4IaQMThhwWwevcOymEh837vdxeC_PycurhTbGFA/edit?usp=sharing"","&amp;"""ขอนแก่น!L718"")+IMPORTRANGE(""https://docs.google.com/spreadsheets/d/1FvTu2DsIWUjP6WCWra38Bkj_oOl_sOMf14r5Fg5srxU/edit?usp=sharing"",""ชัยภูมิ!L718"")+IMPORTRANGE(""https://docs.google.com/spreadsheets/d/1XVB7oCJ3pr-vBUdflwPQ8Z2LlzhnCvZaaYjAfP-647E/edit"&amp;"?usp=sharing"",""นครพนม!L718"")+IMPORTRANGE(""https://docs.google.com/spreadsheets/d/1Mnpb-8PYAgn85W6KOTD40hc_Xc55CaLfHoGAbrZ8tls/edit?usp=sharing"",""นครราชสีมา!L718"")+IMPORTRANGE(""https://docs.google.com/spreadsheets/d/1xoDLGBv9CYbyosIhki0kTq6IpYNj-gp"&amp;"jxfobnaDiut0/edit?usp=sharing"",""บึงกาฬ!L718"")+IMPORTRANGE(""https://docs.google.com/spreadsheets/d/1MMPq-JyI6DSgQETxuSiXkesP-P7JHuemnE6QJIa-Nlw/edit?usp=sharing"",""บุรีรัมย์!L718"")+IMPORTRANGE(""https://docs.google.com/spreadsheets/d/1l6IZ8xUPgMrESzc"&amp;"TYwhA1k_tPjeQjJPTqlm8Gd9eU5g/edit?usp=sharing"",""มหาสารคาม!L718"")+IMPORTRANGE(""https://docs.google.com/spreadsheets/d/1uB74YLqNjWX6FObjekfB2NtSYigTQyR2rq9u4Ub2Sq4/edit?usp=sharing"",""มุกดาหาร!L718"")+IMPORTRANGE(""https://docs.google.com/spreadsheets/"&amp;"d/1NexK3geCPxCTO1fzNF8dPec7yZyUx3OaWkFBC9HsQOo/edit?usp=sharing"",""ยโสธร!L718"")+IMPORTRANGE(""https://docs.google.com/spreadsheets/d/1v_cJrbBlyqmnHPReHk44g9NrMRdENNlSy_E_c5M9fIg/edit?usp=sharing"",""ร้อยเอ็ด!L718"")+IMPORTRANGE(""https://docs.google.com"&amp;"/spreadsheets/d/1Ul4RCpCX66NxYADU1QpwAPjOmBzW64SsT11s1wzXw_c/edit?usp=sharing"",""เลย!L718"")+IMPORTRANGE(""https://docs.google.com/spreadsheets/d/1bRrNKwbHDVktQG10isr5vbWRtt5spIZPpkOSWgbT5ug/edit?usp=sharing"",""ศรีสะเกษ!L718"")+IMPORTRANGE(""https://doc"&amp;"s.google.com/spreadsheets/d/17P34_Ow5kFBfdQD0qspb2UuPX5zpi6WMrQzslghyvrI/edit?usp=sharing"",""สกลนคร!L718"")+IMPORTRANGE(""https://docs.google.com/spreadsheets/d/1yswqbM3-AEpThF3ZSUa1AcmHnmRTF1vlJ1CZGcJ8YuU/edit?usp=sharing"",""สุรินทร์!L718"")+IMPORTRANG"&amp;"E(""https://docs.google.com/spreadsheets/d/13JHU_EFbsQOUQ0JSQ3dWy1VTRosIWcDq6Nc99z2qzdc/edit?usp=sharing"",""หนองคาย!L718"")+IMPORTRANGE(""https://docs.google.com/spreadsheets/d/1Hx73zIEgVdDZZaYSTc46Dqv64atFhpr3GelxLbaIN8A/edit?usp=sharing"",""หนองบัวลำภู"&amp;"!L718"")+IMPORTRANGE(""https://docs.google.com/spreadsheets/d/1lFxr3ctmjFN90yc-xV6jrQ9Ty8BKYVBWnAZ15wcNIJc/edit?usp=sharing"",""อำนาจเจริญ!L718"")+IMPORTRANGE(""https://docs.google.com/spreadsheets/d/1gF7RJpRnL-1oyjyeWxs5SFWEH7y8ahOZsQlyp2A2e-A/edit?usp=s"&amp;"haring"",""อุดรธานี!L718"")+IMPORTRANGE(""https://docs.google.com/spreadsheets/d/1kfLP0j3INXRa8bTDpcEmoWewMBV61jlFlfzczfjWIgc/edit?usp=sharing"",""อุบลราชธานี!L718"")"),0)</f>
        <v>0</v>
      </c>
      <c r="M718" s="59">
        <f ca="1">IFERROR(__xludf.DUMMYFUNCTION("IMPORTRANGE(""https://docs.google.com/spreadsheets/d/1yhBcrRPreicbMKl9Bu_Snb2-OcQAF62RKfhTLhJ2eAA/edit?usp=sharing"",""กาฬสินธุ์!M718"")+IMPORTRANGE(""https://docs.google.com/spreadsheets/d/1aHkj4IaQMThhwWwevcOymEh837vdxeC_PycurhTbGFA/edit?usp=sharing"","&amp;"""ขอนแก่น!M718"")+IMPORTRANGE(""https://docs.google.com/spreadsheets/d/1FvTu2DsIWUjP6WCWra38Bkj_oOl_sOMf14r5Fg5srxU/edit?usp=sharing"",""ชัยภูมิ!M718"")+IMPORTRANGE(""https://docs.google.com/spreadsheets/d/1XVB7oCJ3pr-vBUdflwPQ8Z2LlzhnCvZaaYjAfP-647E/edit"&amp;"?usp=sharing"",""นครพนม!M718"")+IMPORTRANGE(""https://docs.google.com/spreadsheets/d/1Mnpb-8PYAgn85W6KOTD40hc_Xc55CaLfHoGAbrZ8tls/edit?usp=sharing"",""นครราชสีมา!M718"")+IMPORTRANGE(""https://docs.google.com/spreadsheets/d/1xoDLGBv9CYbyosIhki0kTq6IpYNj-gp"&amp;"jxfobnaDiut0/edit?usp=sharing"",""บึงกาฬ!M718"")+IMPORTRANGE(""https://docs.google.com/spreadsheets/d/1MMPq-JyI6DSgQETxuSiXkesP-P7JHuemnE6QJIa-Nlw/edit?usp=sharing"",""บุรีรัมย์!M718"")+IMPORTRANGE(""https://docs.google.com/spreadsheets/d/1l6IZ8xUPgMrESzc"&amp;"TYwhA1k_tPjeQjJPTqlm8Gd9eU5g/edit?usp=sharing"",""มหาสารคาม!M718"")+IMPORTRANGE(""https://docs.google.com/spreadsheets/d/1uB74YLqNjWX6FObjekfB2NtSYigTQyR2rq9u4Ub2Sq4/edit?usp=sharing"",""มุกดาหาร!M718"")+IMPORTRANGE(""https://docs.google.com/spreadsheets/"&amp;"d/1NexK3geCPxCTO1fzNF8dPec7yZyUx3OaWkFBC9HsQOo/edit?usp=sharing"",""ยโสธร!M718"")+IMPORTRANGE(""https://docs.google.com/spreadsheets/d/1v_cJrbBlyqmnHPReHk44g9NrMRdENNlSy_E_c5M9fIg/edit?usp=sharing"",""ร้อยเอ็ด!M718"")+IMPORTRANGE(""https://docs.google.com"&amp;"/spreadsheets/d/1Ul4RCpCX66NxYADU1QpwAPjOmBzW64SsT11s1wzXw_c/edit?usp=sharing"",""เลย!M718"")+IMPORTRANGE(""https://docs.google.com/spreadsheets/d/1bRrNKwbHDVktQG10isr5vbWRtt5spIZPpkOSWgbT5ug/edit?usp=sharing"",""ศรีสะเกษ!M718"")+IMPORTRANGE(""https://doc"&amp;"s.google.com/spreadsheets/d/17P34_Ow5kFBfdQD0qspb2UuPX5zpi6WMrQzslghyvrI/edit?usp=sharing"",""สกลนคร!M718"")+IMPORTRANGE(""https://docs.google.com/spreadsheets/d/1yswqbM3-AEpThF3ZSUa1AcmHnmRTF1vlJ1CZGcJ8YuU/edit?usp=sharing"",""สุรินทร์!M718"")+IMPORTRANG"&amp;"E(""https://docs.google.com/spreadsheets/d/13JHU_EFbsQOUQ0JSQ3dWy1VTRosIWcDq6Nc99z2qzdc/edit?usp=sharing"",""หนองคาย!M718"")+IMPORTRANGE(""https://docs.google.com/spreadsheets/d/1Hx73zIEgVdDZZaYSTc46Dqv64atFhpr3GelxLbaIN8A/edit?usp=sharing"",""หนองบัวลำภู"&amp;"!M718"")+IMPORTRANGE(""https://docs.google.com/spreadsheets/d/1lFxr3ctmjFN90yc-xV6jrQ9Ty8BKYVBWnAZ15wcNIJc/edit?usp=sharing"",""อำนาจเจริญ!M718"")+IMPORTRANGE(""https://docs.google.com/spreadsheets/d/1gF7RJpRnL-1oyjyeWxs5SFWEH7y8ahOZsQlyp2A2e-A/edit?usp=s"&amp;"haring"",""อุดรธานี!M718"")+IMPORTRANGE(""https://docs.google.com/spreadsheets/d/1kfLP0j3INXRa8bTDpcEmoWewMBV61jlFlfzczfjWIgc/edit?usp=sharing"",""อุบลราชธานี!M718"")"),0)</f>
        <v>0</v>
      </c>
      <c r="N718" s="59">
        <f ca="1">IFERROR(__xludf.DUMMYFUNCTION("IMPORTRANGE(""https://docs.google.com/spreadsheets/d/1yhBcrRPreicbMKl9Bu_Snb2-OcQAF62RKfhTLhJ2eAA/edit?usp=sharing"",""กาฬสินธุ์!N718"")+IMPORTRANGE(""https://docs.google.com/spreadsheets/d/1aHkj4IaQMThhwWwevcOymEh837vdxeC_PycurhTbGFA/edit?usp=sharing"","&amp;"""ขอนแก่น!N718"")+IMPORTRANGE(""https://docs.google.com/spreadsheets/d/1FvTu2DsIWUjP6WCWra38Bkj_oOl_sOMf14r5Fg5srxU/edit?usp=sharing"",""ชัยภูมิ!N718"")+IMPORTRANGE(""https://docs.google.com/spreadsheets/d/1XVB7oCJ3pr-vBUdflwPQ8Z2LlzhnCvZaaYjAfP-647E/edit"&amp;"?usp=sharing"",""นครพนม!N718"")+IMPORTRANGE(""https://docs.google.com/spreadsheets/d/1Mnpb-8PYAgn85W6KOTD40hc_Xc55CaLfHoGAbrZ8tls/edit?usp=sharing"",""นครราชสีมา!N718"")+IMPORTRANGE(""https://docs.google.com/spreadsheets/d/1xoDLGBv9CYbyosIhki0kTq6IpYNj-gp"&amp;"jxfobnaDiut0/edit?usp=sharing"",""บึงกาฬ!N718"")+IMPORTRANGE(""https://docs.google.com/spreadsheets/d/1MMPq-JyI6DSgQETxuSiXkesP-P7JHuemnE6QJIa-Nlw/edit?usp=sharing"",""บุรีรัมย์!N718"")+IMPORTRANGE(""https://docs.google.com/spreadsheets/d/1l6IZ8xUPgMrESzc"&amp;"TYwhA1k_tPjeQjJPTqlm8Gd9eU5g/edit?usp=sharing"",""มหาสารคาม!N718"")+IMPORTRANGE(""https://docs.google.com/spreadsheets/d/1uB74YLqNjWX6FObjekfB2NtSYigTQyR2rq9u4Ub2Sq4/edit?usp=sharing"",""มุกดาหาร!N718"")+IMPORTRANGE(""https://docs.google.com/spreadsheets/"&amp;"d/1NexK3geCPxCTO1fzNF8dPec7yZyUx3OaWkFBC9HsQOo/edit?usp=sharing"",""ยโสธร!N718"")+IMPORTRANGE(""https://docs.google.com/spreadsheets/d/1v_cJrbBlyqmnHPReHk44g9NrMRdENNlSy_E_c5M9fIg/edit?usp=sharing"",""ร้อยเอ็ด!N718"")+IMPORTRANGE(""https://docs.google.com"&amp;"/spreadsheets/d/1Ul4RCpCX66NxYADU1QpwAPjOmBzW64SsT11s1wzXw_c/edit?usp=sharing"",""เลย!N718"")+IMPORTRANGE(""https://docs.google.com/spreadsheets/d/1bRrNKwbHDVktQG10isr5vbWRtt5spIZPpkOSWgbT5ug/edit?usp=sharing"",""ศรีสะเกษ!N718"")+IMPORTRANGE(""https://doc"&amp;"s.google.com/spreadsheets/d/17P34_Ow5kFBfdQD0qspb2UuPX5zpi6WMrQzslghyvrI/edit?usp=sharing"",""สกลนคร!N718"")+IMPORTRANGE(""https://docs.google.com/spreadsheets/d/1yswqbM3-AEpThF3ZSUa1AcmHnmRTF1vlJ1CZGcJ8YuU/edit?usp=sharing"",""สุรินทร์!N718"")+IMPORTRANG"&amp;"E(""https://docs.google.com/spreadsheets/d/13JHU_EFbsQOUQ0JSQ3dWy1VTRosIWcDq6Nc99z2qzdc/edit?usp=sharing"",""หนองคาย!N718"")+IMPORTRANGE(""https://docs.google.com/spreadsheets/d/1Hx73zIEgVdDZZaYSTc46Dqv64atFhpr3GelxLbaIN8A/edit?usp=sharing"",""หนองบัวลำภู"&amp;"!N718"")+IMPORTRANGE(""https://docs.google.com/spreadsheets/d/1lFxr3ctmjFN90yc-xV6jrQ9Ty8BKYVBWnAZ15wcNIJc/edit?usp=sharing"",""อำนาจเจริญ!N718"")+IMPORTRANGE(""https://docs.google.com/spreadsheets/d/1gF7RJpRnL-1oyjyeWxs5SFWEH7y8ahOZsQlyp2A2e-A/edit?usp=s"&amp;"haring"",""อุดรธานี!N718"")+IMPORTRANGE(""https://docs.google.com/spreadsheets/d/1kfLP0j3INXRa8bTDpcEmoWewMBV61jlFlfzczfjWIgc/edit?usp=sharing"",""อุบลราชธานี!N718"")"),0)</f>
        <v>0</v>
      </c>
      <c r="O718" s="59">
        <f t="shared" ca="1" si="489"/>
        <v>0</v>
      </c>
      <c r="P718" s="59">
        <f t="shared" ca="1" si="490"/>
        <v>0</v>
      </c>
      <c r="Q718" s="59">
        <f ca="1">IFERROR(__xludf.DUMMYFUNCTION("IMPORTRANGE(""https://docs.google.com/spreadsheets/d/1yhBcrRPreicbMKl9Bu_Snb2-OcQAF62RKfhTLhJ2eAA/edit?usp=sharing"",""กาฬสินธุ์!Q718"")+IMPORTRANGE(""https://docs.google.com/spreadsheets/d/1aHkj4IaQMThhwWwevcOymEh837vdxeC_PycurhTbGFA/edit?usp=sharing"","&amp;"""ขอนแก่น!Q718"")+IMPORTRANGE(""https://docs.google.com/spreadsheets/d/1FvTu2DsIWUjP6WCWra38Bkj_oOl_sOMf14r5Fg5srxU/edit?usp=sharing"",""ชัยภูมิ!Q718"")+IMPORTRANGE(""https://docs.google.com/spreadsheets/d/1XVB7oCJ3pr-vBUdflwPQ8Z2LlzhnCvZaaYjAfP-647E/edit"&amp;"?usp=sharing"",""นครพนม!Q718"")+IMPORTRANGE(""https://docs.google.com/spreadsheets/d/1Mnpb-8PYAgn85W6KOTD40hc_Xc55CaLfHoGAbrZ8tls/edit?usp=sharing"",""นครราชสีมา!Q718"")+IMPORTRANGE(""https://docs.google.com/spreadsheets/d/1xoDLGBv9CYbyosIhki0kTq6IpYNj-gp"&amp;"jxfobnaDiut0/edit?usp=sharing"",""บึงกาฬ!Q718"")+IMPORTRANGE(""https://docs.google.com/spreadsheets/d/1MMPq-JyI6DSgQETxuSiXkesP-P7JHuemnE6QJIa-Nlw/edit?usp=sharing"",""บุรีรัมย์!Q718"")+IMPORTRANGE(""https://docs.google.com/spreadsheets/d/1l6IZ8xUPgMrESzc"&amp;"TYwhA1k_tPjeQjJPTqlm8Gd9eU5g/edit?usp=sharing"",""มหาสารคาม!Q718"")+IMPORTRANGE(""https://docs.google.com/spreadsheets/d/1uB74YLqNjWX6FObjekfB2NtSYigTQyR2rq9u4Ub2Sq4/edit?usp=sharing"",""มุกดาหาร!Q718"")+IMPORTRANGE(""https://docs.google.com/spreadsheets/"&amp;"d/1NexK3geCPxCTO1fzNF8dPec7yZyUx3OaWkFBC9HsQOo/edit?usp=sharing"",""ยโสธร!Q718"")+IMPORTRANGE(""https://docs.google.com/spreadsheets/d/1v_cJrbBlyqmnHPReHk44g9NrMRdENNlSy_E_c5M9fIg/edit?usp=sharing"",""ร้อยเอ็ด!Q718"")+IMPORTRANGE(""https://docs.google.com"&amp;"/spreadsheets/d/1Ul4RCpCX66NxYADU1QpwAPjOmBzW64SsT11s1wzXw_c/edit?usp=sharing"",""เลย!Q718"")+IMPORTRANGE(""https://docs.google.com/spreadsheets/d/1bRrNKwbHDVktQG10isr5vbWRtt5spIZPpkOSWgbT5ug/edit?usp=sharing"",""ศรีสะเกษ!Q718"")+IMPORTRANGE(""https://doc"&amp;"s.google.com/spreadsheets/d/17P34_Ow5kFBfdQD0qspb2UuPX5zpi6WMrQzslghyvrI/edit?usp=sharing"",""สกลนคร!Q718"")+IMPORTRANGE(""https://docs.google.com/spreadsheets/d/1yswqbM3-AEpThF3ZSUa1AcmHnmRTF1vlJ1CZGcJ8YuU/edit?usp=sharing"",""สุรินทร์!Q718"")+IMPORTRANG"&amp;"E(""https://docs.google.com/spreadsheets/d/13JHU_EFbsQOUQ0JSQ3dWy1VTRosIWcDq6Nc99z2qzdc/edit?usp=sharing"",""หนองคาย!Q718"")+IMPORTRANGE(""https://docs.google.com/spreadsheets/d/1Hx73zIEgVdDZZaYSTc46Dqv64atFhpr3GelxLbaIN8A/edit?usp=sharing"",""หนองบัวลำภู"&amp;"!Q718"")+IMPORTRANGE(""https://docs.google.com/spreadsheets/d/1lFxr3ctmjFN90yc-xV6jrQ9Ty8BKYVBWnAZ15wcNIJc/edit?usp=sharing"",""อำนาจเจริญ!Q718"")+IMPORTRANGE(""https://docs.google.com/spreadsheets/d/1gF7RJpRnL-1oyjyeWxs5SFWEH7y8ahOZsQlyp2A2e-A/edit?usp=s"&amp;"haring"",""อุดรธานี!Q718"")+IMPORTRANGE(""https://docs.google.com/spreadsheets/d/1kfLP0j3INXRa8bTDpcEmoWewMBV61jlFlfzczfjWIgc/edit?usp=sharing"",""อุบลราชธานี!Q718"")"),0)</f>
        <v>0</v>
      </c>
      <c r="R718" s="59">
        <f ca="1">IFERROR(__xludf.DUMMYFUNCTION("IMPORTRANGE(""https://docs.google.com/spreadsheets/d/1yhBcrRPreicbMKl9Bu_Snb2-OcQAF62RKfhTLhJ2eAA/edit?usp=sharing"",""กาฬสินธุ์!R718"")+IMPORTRANGE(""https://docs.google.com/spreadsheets/d/1aHkj4IaQMThhwWwevcOymEh837vdxeC_PycurhTbGFA/edit?usp=sharing"","&amp;"""ขอนแก่น!R718"")+IMPORTRANGE(""https://docs.google.com/spreadsheets/d/1FvTu2DsIWUjP6WCWra38Bkj_oOl_sOMf14r5Fg5srxU/edit?usp=sharing"",""ชัยภูมิ!R718"")+IMPORTRANGE(""https://docs.google.com/spreadsheets/d/1XVB7oCJ3pr-vBUdflwPQ8Z2LlzhnCvZaaYjAfP-647E/edit"&amp;"?usp=sharing"",""นครพนม!R718"")+IMPORTRANGE(""https://docs.google.com/spreadsheets/d/1Mnpb-8PYAgn85W6KOTD40hc_Xc55CaLfHoGAbrZ8tls/edit?usp=sharing"",""นครราชสีมา!R718"")+IMPORTRANGE(""https://docs.google.com/spreadsheets/d/1xoDLGBv9CYbyosIhki0kTq6IpYNj-gp"&amp;"jxfobnaDiut0/edit?usp=sharing"",""บึงกาฬ!R718"")+IMPORTRANGE(""https://docs.google.com/spreadsheets/d/1MMPq-JyI6DSgQETxuSiXkesP-P7JHuemnE6QJIa-Nlw/edit?usp=sharing"",""บุรีรัมย์!R718"")+IMPORTRANGE(""https://docs.google.com/spreadsheets/d/1l6IZ8xUPgMrESzc"&amp;"TYwhA1k_tPjeQjJPTqlm8Gd9eU5g/edit?usp=sharing"",""มหาสารคาม!R718"")+IMPORTRANGE(""https://docs.google.com/spreadsheets/d/1uB74YLqNjWX6FObjekfB2NtSYigTQyR2rq9u4Ub2Sq4/edit?usp=sharing"",""มุกดาหาร!R718"")+IMPORTRANGE(""https://docs.google.com/spreadsheets/"&amp;"d/1NexK3geCPxCTO1fzNF8dPec7yZyUx3OaWkFBC9HsQOo/edit?usp=sharing"",""ยโสธร!R718"")+IMPORTRANGE(""https://docs.google.com/spreadsheets/d/1v_cJrbBlyqmnHPReHk44g9NrMRdENNlSy_E_c5M9fIg/edit?usp=sharing"",""ร้อยเอ็ด!R718"")+IMPORTRANGE(""https://docs.google.com"&amp;"/spreadsheets/d/1Ul4RCpCX66NxYADU1QpwAPjOmBzW64SsT11s1wzXw_c/edit?usp=sharing"",""เลย!R718"")+IMPORTRANGE(""https://docs.google.com/spreadsheets/d/1bRrNKwbHDVktQG10isr5vbWRtt5spIZPpkOSWgbT5ug/edit?usp=sharing"",""ศรีสะเกษ!R718"")+IMPORTRANGE(""https://doc"&amp;"s.google.com/spreadsheets/d/17P34_Ow5kFBfdQD0qspb2UuPX5zpi6WMrQzslghyvrI/edit?usp=sharing"",""สกลนคร!R718"")+IMPORTRANGE(""https://docs.google.com/spreadsheets/d/1yswqbM3-AEpThF3ZSUa1AcmHnmRTF1vlJ1CZGcJ8YuU/edit?usp=sharing"",""สุรินทร์!R718"")+IMPORTRANG"&amp;"E(""https://docs.google.com/spreadsheets/d/13JHU_EFbsQOUQ0JSQ3dWy1VTRosIWcDq6Nc99z2qzdc/edit?usp=sharing"",""หนองคาย!R718"")+IMPORTRANGE(""https://docs.google.com/spreadsheets/d/1Hx73zIEgVdDZZaYSTc46Dqv64atFhpr3GelxLbaIN8A/edit?usp=sharing"",""หนองบัวลำภู"&amp;"!R718"")+IMPORTRANGE(""https://docs.google.com/spreadsheets/d/1lFxr3ctmjFN90yc-xV6jrQ9Ty8BKYVBWnAZ15wcNIJc/edit?usp=sharing"",""อำนาจเจริญ!R718"")+IMPORTRANGE(""https://docs.google.com/spreadsheets/d/1gF7RJpRnL-1oyjyeWxs5SFWEH7y8ahOZsQlyp2A2e-A/edit?usp=s"&amp;"haring"",""อุดรธานี!R718"")+IMPORTRANGE(""https://docs.google.com/spreadsheets/d/1kfLP0j3INXRa8bTDpcEmoWewMBV61jlFlfzczfjWIgc/edit?usp=sharing"",""อุบลราชธานี!R718"")"),0)</f>
        <v>0</v>
      </c>
      <c r="S718" s="60">
        <f ca="1">IFERROR(__xludf.DUMMYFUNCTION("IMPORTRANGE(""https://docs.google.com/spreadsheets/d/1yhBcrRPreicbMKl9Bu_Snb2-OcQAF62RKfhTLhJ2eAA/edit?usp=sharing"",""กาฬสินธุ์!S718"")+IMPORTRANGE(""https://docs.google.com/spreadsheets/d/1aHkj4IaQMThhwWwevcOymEh837vdxeC_PycurhTbGFA/edit?usp=sharing"","&amp;"""ขอนแก่น!S718"")+IMPORTRANGE(""https://docs.google.com/spreadsheets/d/1FvTu2DsIWUjP6WCWra38Bkj_oOl_sOMf14r5Fg5srxU/edit?usp=sharing"",""ชัยภูมิ!S718"")+IMPORTRANGE(""https://docs.google.com/spreadsheets/d/1XVB7oCJ3pr-vBUdflwPQ8Z2LlzhnCvZaaYjAfP-647E/edit"&amp;"?usp=sharing"",""นครพนม!S718"")+IMPORTRANGE(""https://docs.google.com/spreadsheets/d/1Mnpb-8PYAgn85W6KOTD40hc_Xc55CaLfHoGAbrZ8tls/edit?usp=sharing"",""นครราชสีมา!S718"")+IMPORTRANGE(""https://docs.google.com/spreadsheets/d/1xoDLGBv9CYbyosIhki0kTq6IpYNj-gp"&amp;"jxfobnaDiut0/edit?usp=sharing"",""บึงกาฬ!S718"")+IMPORTRANGE(""https://docs.google.com/spreadsheets/d/1MMPq-JyI6DSgQETxuSiXkesP-P7JHuemnE6QJIa-Nlw/edit?usp=sharing"",""บุรีรัมย์!S718"")+IMPORTRANGE(""https://docs.google.com/spreadsheets/d/1l6IZ8xUPgMrESzc"&amp;"TYwhA1k_tPjeQjJPTqlm8Gd9eU5g/edit?usp=sharing"",""มหาสารคาม!S718"")+IMPORTRANGE(""https://docs.google.com/spreadsheets/d/1uB74YLqNjWX6FObjekfB2NtSYigTQyR2rq9u4Ub2Sq4/edit?usp=sharing"",""มุกดาหาร!S718"")+IMPORTRANGE(""https://docs.google.com/spreadsheets/"&amp;"d/1NexK3geCPxCTO1fzNF8dPec7yZyUx3OaWkFBC9HsQOo/edit?usp=sharing"",""ยโสธร!S718"")+IMPORTRANGE(""https://docs.google.com/spreadsheets/d/1v_cJrbBlyqmnHPReHk44g9NrMRdENNlSy_E_c5M9fIg/edit?usp=sharing"",""ร้อยเอ็ด!S718"")+IMPORTRANGE(""https://docs.google.com"&amp;"/spreadsheets/d/1Ul4RCpCX66NxYADU1QpwAPjOmBzW64SsT11s1wzXw_c/edit?usp=sharing"",""เลย!S718"")+IMPORTRANGE(""https://docs.google.com/spreadsheets/d/1bRrNKwbHDVktQG10isr5vbWRtt5spIZPpkOSWgbT5ug/edit?usp=sharing"",""ศรีสะเกษ!S718"")+IMPORTRANGE(""https://doc"&amp;"s.google.com/spreadsheets/d/17P34_Ow5kFBfdQD0qspb2UuPX5zpi6WMrQzslghyvrI/edit?usp=sharing"",""สกลนคร!S718"")+IMPORTRANGE(""https://docs.google.com/spreadsheets/d/1yswqbM3-AEpThF3ZSUa1AcmHnmRTF1vlJ1CZGcJ8YuU/edit?usp=sharing"",""สุรินทร์!S718"")+IMPORTRANG"&amp;"E(""https://docs.google.com/spreadsheets/d/13JHU_EFbsQOUQ0JSQ3dWy1VTRosIWcDq6Nc99z2qzdc/edit?usp=sharing"",""หนองคาย!S718"")+IMPORTRANGE(""https://docs.google.com/spreadsheets/d/1Hx73zIEgVdDZZaYSTc46Dqv64atFhpr3GelxLbaIN8A/edit?usp=sharing"",""หนองบัวลำภู"&amp;"!S718"")+IMPORTRANGE(""https://docs.google.com/spreadsheets/d/1lFxr3ctmjFN90yc-xV6jrQ9Ty8BKYVBWnAZ15wcNIJc/edit?usp=sharing"",""อำนาจเจริญ!S718"")+IMPORTRANGE(""https://docs.google.com/spreadsheets/d/1gF7RJpRnL-1oyjyeWxs5SFWEH7y8ahOZsQlyp2A2e-A/edit?usp=s"&amp;"haring"",""อุดรธานี!S718"")+IMPORTRANGE(""https://docs.google.com/spreadsheets/d/1kfLP0j3INXRa8bTDpcEmoWewMBV61jlFlfzczfjWIgc/edit?usp=sharing"",""อุบลราชธานี!S718"")"),0)</f>
        <v>0</v>
      </c>
      <c r="T718" s="59">
        <f t="shared" ca="1" si="492"/>
        <v>0</v>
      </c>
      <c r="U718" s="59">
        <f t="shared" ca="1" si="493"/>
        <v>0</v>
      </c>
    </row>
    <row r="719" spans="1:21" ht="18.75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56">
        <f ca="1">IFERROR(__xludf.DUMMYFUNCTION("IMPORTRANGE(""https://docs.google.com/spreadsheets/d/1yhBcrRPreicbMKl9Bu_Snb2-OcQAF62RKfhTLhJ2eAA/edit?usp=sharing"",""กาฬสินธุ์!L719"")+IMPORTRANGE(""https://docs.google.com/spreadsheets/d/1aHkj4IaQMThhwWwevcOymEh837vdxeC_PycurhTbGFA/edit?usp=sharing"","&amp;"""ขอนแก่น!L719"")+IMPORTRANGE(""https://docs.google.com/spreadsheets/d/1FvTu2DsIWUjP6WCWra38Bkj_oOl_sOMf14r5Fg5srxU/edit?usp=sharing"",""ชัยภูมิ!L719"")+IMPORTRANGE(""https://docs.google.com/spreadsheets/d/1XVB7oCJ3pr-vBUdflwPQ8Z2LlzhnCvZaaYjAfP-647E/edit"&amp;"?usp=sharing"",""นครพนม!L719"")+IMPORTRANGE(""https://docs.google.com/spreadsheets/d/1Mnpb-8PYAgn85W6KOTD40hc_Xc55CaLfHoGAbrZ8tls/edit?usp=sharing"",""นครราชสีมา!L719"")+IMPORTRANGE(""https://docs.google.com/spreadsheets/d/1xoDLGBv9CYbyosIhki0kTq6IpYNj-gp"&amp;"jxfobnaDiut0/edit?usp=sharing"",""บึงกาฬ!L719"")+IMPORTRANGE(""https://docs.google.com/spreadsheets/d/1MMPq-JyI6DSgQETxuSiXkesP-P7JHuemnE6QJIa-Nlw/edit?usp=sharing"",""บุรีรัมย์!L719"")+IMPORTRANGE(""https://docs.google.com/spreadsheets/d/1l6IZ8xUPgMrESzc"&amp;"TYwhA1k_tPjeQjJPTqlm8Gd9eU5g/edit?usp=sharing"",""มหาสารคาม!L719"")+IMPORTRANGE(""https://docs.google.com/spreadsheets/d/1uB74YLqNjWX6FObjekfB2NtSYigTQyR2rq9u4Ub2Sq4/edit?usp=sharing"",""มุกดาหาร!L719"")+IMPORTRANGE(""https://docs.google.com/spreadsheets/"&amp;"d/1NexK3geCPxCTO1fzNF8dPec7yZyUx3OaWkFBC9HsQOo/edit?usp=sharing"",""ยโสธร!L719"")+IMPORTRANGE(""https://docs.google.com/spreadsheets/d/1v_cJrbBlyqmnHPReHk44g9NrMRdENNlSy_E_c5M9fIg/edit?usp=sharing"",""ร้อยเอ็ด!L719"")+IMPORTRANGE(""https://docs.google.com"&amp;"/spreadsheets/d/1Ul4RCpCX66NxYADU1QpwAPjOmBzW64SsT11s1wzXw_c/edit?usp=sharing"",""เลย!L719"")+IMPORTRANGE(""https://docs.google.com/spreadsheets/d/1bRrNKwbHDVktQG10isr5vbWRtt5spIZPpkOSWgbT5ug/edit?usp=sharing"",""ศรีสะเกษ!L719"")+IMPORTRANGE(""https://doc"&amp;"s.google.com/spreadsheets/d/17P34_Ow5kFBfdQD0qspb2UuPX5zpi6WMrQzslghyvrI/edit?usp=sharing"",""สกลนคร!L719"")+IMPORTRANGE(""https://docs.google.com/spreadsheets/d/1yswqbM3-AEpThF3ZSUa1AcmHnmRTF1vlJ1CZGcJ8YuU/edit?usp=sharing"",""สุรินทร์!L719"")+IMPORTRANG"&amp;"E(""https://docs.google.com/spreadsheets/d/13JHU_EFbsQOUQ0JSQ3dWy1VTRosIWcDq6Nc99z2qzdc/edit?usp=sharing"",""หนองคาย!L719"")+IMPORTRANGE(""https://docs.google.com/spreadsheets/d/1Hx73zIEgVdDZZaYSTc46Dqv64atFhpr3GelxLbaIN8A/edit?usp=sharing"",""หนองบัวลำภู"&amp;"!L719"")+IMPORTRANGE(""https://docs.google.com/spreadsheets/d/1lFxr3ctmjFN90yc-xV6jrQ9Ty8BKYVBWnAZ15wcNIJc/edit?usp=sharing"",""อำนาจเจริญ!L719"")+IMPORTRANGE(""https://docs.google.com/spreadsheets/d/1gF7RJpRnL-1oyjyeWxs5SFWEH7y8ahOZsQlyp2A2e-A/edit?usp=s"&amp;"haring"",""อุดรธานี!L719"")+IMPORTRANGE(""https://docs.google.com/spreadsheets/d/1kfLP0j3INXRa8bTDpcEmoWewMBV61jlFlfzczfjWIgc/edit?usp=sharing"",""อุบลราชธานี!L719"")"),0)</f>
        <v>0</v>
      </c>
      <c r="M719" s="56">
        <f ca="1">IFERROR(__xludf.DUMMYFUNCTION("IMPORTRANGE(""https://docs.google.com/spreadsheets/d/1yhBcrRPreicbMKl9Bu_Snb2-OcQAF62RKfhTLhJ2eAA/edit?usp=sharing"",""กาฬสินธุ์!M719"")+IMPORTRANGE(""https://docs.google.com/spreadsheets/d/1aHkj4IaQMThhwWwevcOymEh837vdxeC_PycurhTbGFA/edit?usp=sharing"","&amp;"""ขอนแก่น!M719"")+IMPORTRANGE(""https://docs.google.com/spreadsheets/d/1FvTu2DsIWUjP6WCWra38Bkj_oOl_sOMf14r5Fg5srxU/edit?usp=sharing"",""ชัยภูมิ!M719"")+IMPORTRANGE(""https://docs.google.com/spreadsheets/d/1XVB7oCJ3pr-vBUdflwPQ8Z2LlzhnCvZaaYjAfP-647E/edit"&amp;"?usp=sharing"",""นครพนม!M719"")+IMPORTRANGE(""https://docs.google.com/spreadsheets/d/1Mnpb-8PYAgn85W6KOTD40hc_Xc55CaLfHoGAbrZ8tls/edit?usp=sharing"",""นครราชสีมา!M719"")+IMPORTRANGE(""https://docs.google.com/spreadsheets/d/1xoDLGBv9CYbyosIhki0kTq6IpYNj-gp"&amp;"jxfobnaDiut0/edit?usp=sharing"",""บึงกาฬ!M719"")+IMPORTRANGE(""https://docs.google.com/spreadsheets/d/1MMPq-JyI6DSgQETxuSiXkesP-P7JHuemnE6QJIa-Nlw/edit?usp=sharing"",""บุรีรัมย์!M719"")+IMPORTRANGE(""https://docs.google.com/spreadsheets/d/1l6IZ8xUPgMrESzc"&amp;"TYwhA1k_tPjeQjJPTqlm8Gd9eU5g/edit?usp=sharing"",""มหาสารคาม!M719"")+IMPORTRANGE(""https://docs.google.com/spreadsheets/d/1uB74YLqNjWX6FObjekfB2NtSYigTQyR2rq9u4Ub2Sq4/edit?usp=sharing"",""มุกดาหาร!M719"")+IMPORTRANGE(""https://docs.google.com/spreadsheets/"&amp;"d/1NexK3geCPxCTO1fzNF8dPec7yZyUx3OaWkFBC9HsQOo/edit?usp=sharing"",""ยโสธร!M719"")+IMPORTRANGE(""https://docs.google.com/spreadsheets/d/1v_cJrbBlyqmnHPReHk44g9NrMRdENNlSy_E_c5M9fIg/edit?usp=sharing"",""ร้อยเอ็ด!M719"")+IMPORTRANGE(""https://docs.google.com"&amp;"/spreadsheets/d/1Ul4RCpCX66NxYADU1QpwAPjOmBzW64SsT11s1wzXw_c/edit?usp=sharing"",""เลย!M719"")+IMPORTRANGE(""https://docs.google.com/spreadsheets/d/1bRrNKwbHDVktQG10isr5vbWRtt5spIZPpkOSWgbT5ug/edit?usp=sharing"",""ศรีสะเกษ!M719"")+IMPORTRANGE(""https://doc"&amp;"s.google.com/spreadsheets/d/17P34_Ow5kFBfdQD0qspb2UuPX5zpi6WMrQzslghyvrI/edit?usp=sharing"",""สกลนคร!M719"")+IMPORTRANGE(""https://docs.google.com/spreadsheets/d/1yswqbM3-AEpThF3ZSUa1AcmHnmRTF1vlJ1CZGcJ8YuU/edit?usp=sharing"",""สุรินทร์!M719"")+IMPORTRANG"&amp;"E(""https://docs.google.com/spreadsheets/d/13JHU_EFbsQOUQ0JSQ3dWy1VTRosIWcDq6Nc99z2qzdc/edit?usp=sharing"",""หนองคาย!M719"")+IMPORTRANGE(""https://docs.google.com/spreadsheets/d/1Hx73zIEgVdDZZaYSTc46Dqv64atFhpr3GelxLbaIN8A/edit?usp=sharing"",""หนองบัวลำภู"&amp;"!M719"")+IMPORTRANGE(""https://docs.google.com/spreadsheets/d/1lFxr3ctmjFN90yc-xV6jrQ9Ty8BKYVBWnAZ15wcNIJc/edit?usp=sharing"",""อำนาจเจริญ!M719"")+IMPORTRANGE(""https://docs.google.com/spreadsheets/d/1gF7RJpRnL-1oyjyeWxs5SFWEH7y8ahOZsQlyp2A2e-A/edit?usp=s"&amp;"haring"",""อุดรธานี!M719"")+IMPORTRANGE(""https://docs.google.com/spreadsheets/d/1kfLP0j3INXRa8bTDpcEmoWewMBV61jlFlfzczfjWIgc/edit?usp=sharing"",""อุบลราชธานี!M719"")"),0)</f>
        <v>0</v>
      </c>
      <c r="N719" s="56">
        <f ca="1">IFERROR(__xludf.DUMMYFUNCTION("IMPORTRANGE(""https://docs.google.com/spreadsheets/d/1yhBcrRPreicbMKl9Bu_Snb2-OcQAF62RKfhTLhJ2eAA/edit?usp=sharing"",""กาฬสินธุ์!N719"")+IMPORTRANGE(""https://docs.google.com/spreadsheets/d/1aHkj4IaQMThhwWwevcOymEh837vdxeC_PycurhTbGFA/edit?usp=sharing"","&amp;"""ขอนแก่น!N719"")+IMPORTRANGE(""https://docs.google.com/spreadsheets/d/1FvTu2DsIWUjP6WCWra38Bkj_oOl_sOMf14r5Fg5srxU/edit?usp=sharing"",""ชัยภูมิ!N719"")+IMPORTRANGE(""https://docs.google.com/spreadsheets/d/1XVB7oCJ3pr-vBUdflwPQ8Z2LlzhnCvZaaYjAfP-647E/edit"&amp;"?usp=sharing"",""นครพนม!N719"")+IMPORTRANGE(""https://docs.google.com/spreadsheets/d/1Mnpb-8PYAgn85W6KOTD40hc_Xc55CaLfHoGAbrZ8tls/edit?usp=sharing"",""นครราชสีมา!N719"")+IMPORTRANGE(""https://docs.google.com/spreadsheets/d/1xoDLGBv9CYbyosIhki0kTq6IpYNj-gp"&amp;"jxfobnaDiut0/edit?usp=sharing"",""บึงกาฬ!N719"")+IMPORTRANGE(""https://docs.google.com/spreadsheets/d/1MMPq-JyI6DSgQETxuSiXkesP-P7JHuemnE6QJIa-Nlw/edit?usp=sharing"",""บุรีรัมย์!N719"")+IMPORTRANGE(""https://docs.google.com/spreadsheets/d/1l6IZ8xUPgMrESzc"&amp;"TYwhA1k_tPjeQjJPTqlm8Gd9eU5g/edit?usp=sharing"",""มหาสารคาม!N719"")+IMPORTRANGE(""https://docs.google.com/spreadsheets/d/1uB74YLqNjWX6FObjekfB2NtSYigTQyR2rq9u4Ub2Sq4/edit?usp=sharing"",""มุกดาหาร!N719"")+IMPORTRANGE(""https://docs.google.com/spreadsheets/"&amp;"d/1NexK3geCPxCTO1fzNF8dPec7yZyUx3OaWkFBC9HsQOo/edit?usp=sharing"",""ยโสธร!N719"")+IMPORTRANGE(""https://docs.google.com/spreadsheets/d/1v_cJrbBlyqmnHPReHk44g9NrMRdENNlSy_E_c5M9fIg/edit?usp=sharing"",""ร้อยเอ็ด!N719"")+IMPORTRANGE(""https://docs.google.com"&amp;"/spreadsheets/d/1Ul4RCpCX66NxYADU1QpwAPjOmBzW64SsT11s1wzXw_c/edit?usp=sharing"",""เลย!N719"")+IMPORTRANGE(""https://docs.google.com/spreadsheets/d/1bRrNKwbHDVktQG10isr5vbWRtt5spIZPpkOSWgbT5ug/edit?usp=sharing"",""ศรีสะเกษ!N719"")+IMPORTRANGE(""https://doc"&amp;"s.google.com/spreadsheets/d/17P34_Ow5kFBfdQD0qspb2UuPX5zpi6WMrQzslghyvrI/edit?usp=sharing"",""สกลนคร!N719"")+IMPORTRANGE(""https://docs.google.com/spreadsheets/d/1yswqbM3-AEpThF3ZSUa1AcmHnmRTF1vlJ1CZGcJ8YuU/edit?usp=sharing"",""สุรินทร์!N719"")+IMPORTRANG"&amp;"E(""https://docs.google.com/spreadsheets/d/13JHU_EFbsQOUQ0JSQ3dWy1VTRosIWcDq6Nc99z2qzdc/edit?usp=sharing"",""หนองคาย!N719"")+IMPORTRANGE(""https://docs.google.com/spreadsheets/d/1Hx73zIEgVdDZZaYSTc46Dqv64atFhpr3GelxLbaIN8A/edit?usp=sharing"",""หนองบัวลำภู"&amp;"!N719"")+IMPORTRANGE(""https://docs.google.com/spreadsheets/d/1lFxr3ctmjFN90yc-xV6jrQ9Ty8BKYVBWnAZ15wcNIJc/edit?usp=sharing"",""อำนาจเจริญ!N719"")+IMPORTRANGE(""https://docs.google.com/spreadsheets/d/1gF7RJpRnL-1oyjyeWxs5SFWEH7y8ahOZsQlyp2A2e-A/edit?usp=s"&amp;"haring"",""อุดรธานี!N719"")+IMPORTRANGE(""https://docs.google.com/spreadsheets/d/1kfLP0j3INXRa8bTDpcEmoWewMBV61jlFlfzczfjWIgc/edit?usp=sharing"",""อุบลราชธานี!N719"")"),0)</f>
        <v>0</v>
      </c>
      <c r="O719" s="56">
        <f t="shared" ca="1" si="489"/>
        <v>0</v>
      </c>
      <c r="P719" s="56">
        <f t="shared" ca="1" si="490"/>
        <v>0</v>
      </c>
      <c r="Q719" s="56">
        <f ca="1">IFERROR(__xludf.DUMMYFUNCTION("IMPORTRANGE(""https://docs.google.com/spreadsheets/d/1yhBcrRPreicbMKl9Bu_Snb2-OcQAF62RKfhTLhJ2eAA/edit?usp=sharing"",""กาฬสินธุ์!Q719"")+IMPORTRANGE(""https://docs.google.com/spreadsheets/d/1aHkj4IaQMThhwWwevcOymEh837vdxeC_PycurhTbGFA/edit?usp=sharing"","&amp;"""ขอนแก่น!Q719"")+IMPORTRANGE(""https://docs.google.com/spreadsheets/d/1FvTu2DsIWUjP6WCWra38Bkj_oOl_sOMf14r5Fg5srxU/edit?usp=sharing"",""ชัยภูมิ!Q719"")+IMPORTRANGE(""https://docs.google.com/spreadsheets/d/1XVB7oCJ3pr-vBUdflwPQ8Z2LlzhnCvZaaYjAfP-647E/edit"&amp;"?usp=sharing"",""นครพนม!Q719"")+IMPORTRANGE(""https://docs.google.com/spreadsheets/d/1Mnpb-8PYAgn85W6KOTD40hc_Xc55CaLfHoGAbrZ8tls/edit?usp=sharing"",""นครราชสีมา!Q719"")+IMPORTRANGE(""https://docs.google.com/spreadsheets/d/1xoDLGBv9CYbyosIhki0kTq6IpYNj-gp"&amp;"jxfobnaDiut0/edit?usp=sharing"",""บึงกาฬ!Q719"")+IMPORTRANGE(""https://docs.google.com/spreadsheets/d/1MMPq-JyI6DSgQETxuSiXkesP-P7JHuemnE6QJIa-Nlw/edit?usp=sharing"",""บุรีรัมย์!Q719"")+IMPORTRANGE(""https://docs.google.com/spreadsheets/d/1l6IZ8xUPgMrESzc"&amp;"TYwhA1k_tPjeQjJPTqlm8Gd9eU5g/edit?usp=sharing"",""มหาสารคาม!Q719"")+IMPORTRANGE(""https://docs.google.com/spreadsheets/d/1uB74YLqNjWX6FObjekfB2NtSYigTQyR2rq9u4Ub2Sq4/edit?usp=sharing"",""มุกดาหาร!Q719"")+IMPORTRANGE(""https://docs.google.com/spreadsheets/"&amp;"d/1NexK3geCPxCTO1fzNF8dPec7yZyUx3OaWkFBC9HsQOo/edit?usp=sharing"",""ยโสธร!Q719"")+IMPORTRANGE(""https://docs.google.com/spreadsheets/d/1v_cJrbBlyqmnHPReHk44g9NrMRdENNlSy_E_c5M9fIg/edit?usp=sharing"",""ร้อยเอ็ด!Q719"")+IMPORTRANGE(""https://docs.google.com"&amp;"/spreadsheets/d/1Ul4RCpCX66NxYADU1QpwAPjOmBzW64SsT11s1wzXw_c/edit?usp=sharing"",""เลย!Q719"")+IMPORTRANGE(""https://docs.google.com/spreadsheets/d/1bRrNKwbHDVktQG10isr5vbWRtt5spIZPpkOSWgbT5ug/edit?usp=sharing"",""ศรีสะเกษ!Q719"")+IMPORTRANGE(""https://doc"&amp;"s.google.com/spreadsheets/d/17P34_Ow5kFBfdQD0qspb2UuPX5zpi6WMrQzslghyvrI/edit?usp=sharing"",""สกลนคร!Q719"")+IMPORTRANGE(""https://docs.google.com/spreadsheets/d/1yswqbM3-AEpThF3ZSUa1AcmHnmRTF1vlJ1CZGcJ8YuU/edit?usp=sharing"",""สุรินทร์!Q719"")+IMPORTRANG"&amp;"E(""https://docs.google.com/spreadsheets/d/13JHU_EFbsQOUQ0JSQ3dWy1VTRosIWcDq6Nc99z2qzdc/edit?usp=sharing"",""หนองคาย!Q719"")+IMPORTRANGE(""https://docs.google.com/spreadsheets/d/1Hx73zIEgVdDZZaYSTc46Dqv64atFhpr3GelxLbaIN8A/edit?usp=sharing"",""หนองบัวลำภู"&amp;"!Q719"")+IMPORTRANGE(""https://docs.google.com/spreadsheets/d/1lFxr3ctmjFN90yc-xV6jrQ9Ty8BKYVBWnAZ15wcNIJc/edit?usp=sharing"",""อำนาจเจริญ!Q719"")+IMPORTRANGE(""https://docs.google.com/spreadsheets/d/1gF7RJpRnL-1oyjyeWxs5SFWEH7y8ahOZsQlyp2A2e-A/edit?usp=s"&amp;"haring"",""อุดรธานี!Q719"")+IMPORTRANGE(""https://docs.google.com/spreadsheets/d/1kfLP0j3INXRa8bTDpcEmoWewMBV61jlFlfzczfjWIgc/edit?usp=sharing"",""อุบลราชธานี!Q719"")"),0)</f>
        <v>0</v>
      </c>
      <c r="R719" s="56">
        <f ca="1">IFERROR(__xludf.DUMMYFUNCTION("IMPORTRANGE(""https://docs.google.com/spreadsheets/d/1yhBcrRPreicbMKl9Bu_Snb2-OcQAF62RKfhTLhJ2eAA/edit?usp=sharing"",""กาฬสินธุ์!R719"")+IMPORTRANGE(""https://docs.google.com/spreadsheets/d/1aHkj4IaQMThhwWwevcOymEh837vdxeC_PycurhTbGFA/edit?usp=sharing"","&amp;"""ขอนแก่น!R719"")+IMPORTRANGE(""https://docs.google.com/spreadsheets/d/1FvTu2DsIWUjP6WCWra38Bkj_oOl_sOMf14r5Fg5srxU/edit?usp=sharing"",""ชัยภูมิ!R719"")+IMPORTRANGE(""https://docs.google.com/spreadsheets/d/1XVB7oCJ3pr-vBUdflwPQ8Z2LlzhnCvZaaYjAfP-647E/edit"&amp;"?usp=sharing"",""นครพนม!R719"")+IMPORTRANGE(""https://docs.google.com/spreadsheets/d/1Mnpb-8PYAgn85W6KOTD40hc_Xc55CaLfHoGAbrZ8tls/edit?usp=sharing"",""นครราชสีมา!R719"")+IMPORTRANGE(""https://docs.google.com/spreadsheets/d/1xoDLGBv9CYbyosIhki0kTq6IpYNj-gp"&amp;"jxfobnaDiut0/edit?usp=sharing"",""บึงกาฬ!R719"")+IMPORTRANGE(""https://docs.google.com/spreadsheets/d/1MMPq-JyI6DSgQETxuSiXkesP-P7JHuemnE6QJIa-Nlw/edit?usp=sharing"",""บุรีรัมย์!R719"")+IMPORTRANGE(""https://docs.google.com/spreadsheets/d/1l6IZ8xUPgMrESzc"&amp;"TYwhA1k_tPjeQjJPTqlm8Gd9eU5g/edit?usp=sharing"",""มหาสารคาม!R719"")+IMPORTRANGE(""https://docs.google.com/spreadsheets/d/1uB74YLqNjWX6FObjekfB2NtSYigTQyR2rq9u4Ub2Sq4/edit?usp=sharing"",""มุกดาหาร!R719"")+IMPORTRANGE(""https://docs.google.com/spreadsheets/"&amp;"d/1NexK3geCPxCTO1fzNF8dPec7yZyUx3OaWkFBC9HsQOo/edit?usp=sharing"",""ยโสธร!R719"")+IMPORTRANGE(""https://docs.google.com/spreadsheets/d/1v_cJrbBlyqmnHPReHk44g9NrMRdENNlSy_E_c5M9fIg/edit?usp=sharing"",""ร้อยเอ็ด!R719"")+IMPORTRANGE(""https://docs.google.com"&amp;"/spreadsheets/d/1Ul4RCpCX66NxYADU1QpwAPjOmBzW64SsT11s1wzXw_c/edit?usp=sharing"",""เลย!R719"")+IMPORTRANGE(""https://docs.google.com/spreadsheets/d/1bRrNKwbHDVktQG10isr5vbWRtt5spIZPpkOSWgbT5ug/edit?usp=sharing"",""ศรีสะเกษ!R719"")+IMPORTRANGE(""https://doc"&amp;"s.google.com/spreadsheets/d/17P34_Ow5kFBfdQD0qspb2UuPX5zpi6WMrQzslghyvrI/edit?usp=sharing"",""สกลนคร!R719"")+IMPORTRANGE(""https://docs.google.com/spreadsheets/d/1yswqbM3-AEpThF3ZSUa1AcmHnmRTF1vlJ1CZGcJ8YuU/edit?usp=sharing"",""สุรินทร์!R719"")+IMPORTRANG"&amp;"E(""https://docs.google.com/spreadsheets/d/13JHU_EFbsQOUQ0JSQ3dWy1VTRosIWcDq6Nc99z2qzdc/edit?usp=sharing"",""หนองคาย!R719"")+IMPORTRANGE(""https://docs.google.com/spreadsheets/d/1Hx73zIEgVdDZZaYSTc46Dqv64atFhpr3GelxLbaIN8A/edit?usp=sharing"",""หนองบัวลำภู"&amp;"!R719"")+IMPORTRANGE(""https://docs.google.com/spreadsheets/d/1lFxr3ctmjFN90yc-xV6jrQ9Ty8BKYVBWnAZ15wcNIJc/edit?usp=sharing"",""อำนาจเจริญ!R719"")+IMPORTRANGE(""https://docs.google.com/spreadsheets/d/1gF7RJpRnL-1oyjyeWxs5SFWEH7y8ahOZsQlyp2A2e-A/edit?usp=s"&amp;"haring"",""อุดรธานี!R719"")+IMPORTRANGE(""https://docs.google.com/spreadsheets/d/1kfLP0j3INXRa8bTDpcEmoWewMBV61jlFlfzczfjWIgc/edit?usp=sharing"",""อุบลราชธานี!R719"")"),0)</f>
        <v>0</v>
      </c>
      <c r="S719" s="57">
        <f ca="1">IFERROR(__xludf.DUMMYFUNCTION("IMPORTRANGE(""https://docs.google.com/spreadsheets/d/1yhBcrRPreicbMKl9Bu_Snb2-OcQAF62RKfhTLhJ2eAA/edit?usp=sharing"",""กาฬสินธุ์!S719"")+IMPORTRANGE(""https://docs.google.com/spreadsheets/d/1aHkj4IaQMThhwWwevcOymEh837vdxeC_PycurhTbGFA/edit?usp=sharing"","&amp;"""ขอนแก่น!S719"")+IMPORTRANGE(""https://docs.google.com/spreadsheets/d/1FvTu2DsIWUjP6WCWra38Bkj_oOl_sOMf14r5Fg5srxU/edit?usp=sharing"",""ชัยภูมิ!S719"")+IMPORTRANGE(""https://docs.google.com/spreadsheets/d/1XVB7oCJ3pr-vBUdflwPQ8Z2LlzhnCvZaaYjAfP-647E/edit"&amp;"?usp=sharing"",""นครพนม!S719"")+IMPORTRANGE(""https://docs.google.com/spreadsheets/d/1Mnpb-8PYAgn85W6KOTD40hc_Xc55CaLfHoGAbrZ8tls/edit?usp=sharing"",""นครราชสีมา!S719"")+IMPORTRANGE(""https://docs.google.com/spreadsheets/d/1xoDLGBv9CYbyosIhki0kTq6IpYNj-gp"&amp;"jxfobnaDiut0/edit?usp=sharing"",""บึงกาฬ!S719"")+IMPORTRANGE(""https://docs.google.com/spreadsheets/d/1MMPq-JyI6DSgQETxuSiXkesP-P7JHuemnE6QJIa-Nlw/edit?usp=sharing"",""บุรีรัมย์!S719"")+IMPORTRANGE(""https://docs.google.com/spreadsheets/d/1l6IZ8xUPgMrESzc"&amp;"TYwhA1k_tPjeQjJPTqlm8Gd9eU5g/edit?usp=sharing"",""มหาสารคาม!S719"")+IMPORTRANGE(""https://docs.google.com/spreadsheets/d/1uB74YLqNjWX6FObjekfB2NtSYigTQyR2rq9u4Ub2Sq4/edit?usp=sharing"",""มุกดาหาร!S719"")+IMPORTRANGE(""https://docs.google.com/spreadsheets/"&amp;"d/1NexK3geCPxCTO1fzNF8dPec7yZyUx3OaWkFBC9HsQOo/edit?usp=sharing"",""ยโสธร!S719"")+IMPORTRANGE(""https://docs.google.com/spreadsheets/d/1v_cJrbBlyqmnHPReHk44g9NrMRdENNlSy_E_c5M9fIg/edit?usp=sharing"",""ร้อยเอ็ด!S719"")+IMPORTRANGE(""https://docs.google.com"&amp;"/spreadsheets/d/1Ul4RCpCX66NxYADU1QpwAPjOmBzW64SsT11s1wzXw_c/edit?usp=sharing"",""เลย!S719"")+IMPORTRANGE(""https://docs.google.com/spreadsheets/d/1bRrNKwbHDVktQG10isr5vbWRtt5spIZPpkOSWgbT5ug/edit?usp=sharing"",""ศรีสะเกษ!S719"")+IMPORTRANGE(""https://doc"&amp;"s.google.com/spreadsheets/d/17P34_Ow5kFBfdQD0qspb2UuPX5zpi6WMrQzslghyvrI/edit?usp=sharing"",""สกลนคร!S719"")+IMPORTRANGE(""https://docs.google.com/spreadsheets/d/1yswqbM3-AEpThF3ZSUa1AcmHnmRTF1vlJ1CZGcJ8YuU/edit?usp=sharing"",""สุรินทร์!S719"")+IMPORTRANG"&amp;"E(""https://docs.google.com/spreadsheets/d/13JHU_EFbsQOUQ0JSQ3dWy1VTRosIWcDq6Nc99z2qzdc/edit?usp=sharing"",""หนองคาย!S719"")+IMPORTRANGE(""https://docs.google.com/spreadsheets/d/1Hx73zIEgVdDZZaYSTc46Dqv64atFhpr3GelxLbaIN8A/edit?usp=sharing"",""หนองบัวลำภู"&amp;"!S719"")+IMPORTRANGE(""https://docs.google.com/spreadsheets/d/1lFxr3ctmjFN90yc-xV6jrQ9Ty8BKYVBWnAZ15wcNIJc/edit?usp=sharing"",""อำนาจเจริญ!S719"")+IMPORTRANGE(""https://docs.google.com/spreadsheets/d/1gF7RJpRnL-1oyjyeWxs5SFWEH7y8ahOZsQlyp2A2e-A/edit?usp=s"&amp;"haring"",""อุดรธานี!S719"")+IMPORTRANGE(""https://docs.google.com/spreadsheets/d/1kfLP0j3INXRa8bTDpcEmoWewMBV61jlFlfzczfjWIgc/edit?usp=sharing"",""อุบลราชธานี!S719"")"),0)</f>
        <v>0</v>
      </c>
      <c r="T719" s="56">
        <f t="shared" ca="1" si="492"/>
        <v>0</v>
      </c>
      <c r="U719" s="56">
        <f t="shared" ca="1" si="493"/>
        <v>0</v>
      </c>
    </row>
    <row r="720" spans="1:21" ht="19.5">
      <c r="A720" s="155"/>
      <c r="B720" s="188"/>
      <c r="C720" s="188"/>
      <c r="D720" s="419" t="s">
        <v>23</v>
      </c>
      <c r="E720" s="50"/>
      <c r="F720" s="50"/>
      <c r="G720" s="52"/>
      <c r="H720" s="420" t="s">
        <v>14</v>
      </c>
      <c r="I720" s="163"/>
      <c r="J720" s="163"/>
      <c r="K720" s="164"/>
      <c r="L720" s="56">
        <f t="shared" ref="L720:N720" ca="1" si="500">L721+L722</f>
        <v>0</v>
      </c>
      <c r="M720" s="56">
        <f t="shared" ca="1" si="500"/>
        <v>0</v>
      </c>
      <c r="N720" s="56">
        <f t="shared" ca="1" si="500"/>
        <v>0</v>
      </c>
      <c r="O720" s="56">
        <f t="shared" ca="1" si="489"/>
        <v>0</v>
      </c>
      <c r="P720" s="56">
        <f t="shared" ca="1" si="490"/>
        <v>0</v>
      </c>
      <c r="Q720" s="56">
        <f t="shared" ref="Q720:S720" ca="1" si="501">Q721+Q722</f>
        <v>0</v>
      </c>
      <c r="R720" s="56">
        <f t="shared" ca="1" si="501"/>
        <v>0</v>
      </c>
      <c r="S720" s="57">
        <f t="shared" ca="1" si="501"/>
        <v>0</v>
      </c>
      <c r="T720" s="56">
        <f t="shared" ca="1" si="492"/>
        <v>0</v>
      </c>
      <c r="U720" s="56">
        <f t="shared" ca="1" si="493"/>
        <v>0</v>
      </c>
    </row>
    <row r="721" spans="1:21" ht="18.75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59">
        <f ca="1">IFERROR(__xludf.DUMMYFUNCTION("IMPORTRANGE(""https://docs.google.com/spreadsheets/d/1yhBcrRPreicbMKl9Bu_Snb2-OcQAF62RKfhTLhJ2eAA/edit?usp=sharing"",""กาฬสินธุ์!L721"")+IMPORTRANGE(""https://docs.google.com/spreadsheets/d/1aHkj4IaQMThhwWwevcOymEh837vdxeC_PycurhTbGFA/edit?usp=sharing"","&amp;"""ขอนแก่น!L721"")+IMPORTRANGE(""https://docs.google.com/spreadsheets/d/1FvTu2DsIWUjP6WCWra38Bkj_oOl_sOMf14r5Fg5srxU/edit?usp=sharing"",""ชัยภูมิ!L721"")+IMPORTRANGE(""https://docs.google.com/spreadsheets/d/1XVB7oCJ3pr-vBUdflwPQ8Z2LlzhnCvZaaYjAfP-647E/edit"&amp;"?usp=sharing"",""นครพนม!L721"")+IMPORTRANGE(""https://docs.google.com/spreadsheets/d/1Mnpb-8PYAgn85W6KOTD40hc_Xc55CaLfHoGAbrZ8tls/edit?usp=sharing"",""นครราชสีมา!L721"")+IMPORTRANGE(""https://docs.google.com/spreadsheets/d/1xoDLGBv9CYbyosIhki0kTq6IpYNj-gp"&amp;"jxfobnaDiut0/edit?usp=sharing"",""บึงกาฬ!L721"")+IMPORTRANGE(""https://docs.google.com/spreadsheets/d/1MMPq-JyI6DSgQETxuSiXkesP-P7JHuemnE6QJIa-Nlw/edit?usp=sharing"",""บุรีรัมย์!L721"")+IMPORTRANGE(""https://docs.google.com/spreadsheets/d/1l6IZ8xUPgMrESzc"&amp;"TYwhA1k_tPjeQjJPTqlm8Gd9eU5g/edit?usp=sharing"",""มหาสารคาม!L721"")+IMPORTRANGE(""https://docs.google.com/spreadsheets/d/1uB74YLqNjWX6FObjekfB2NtSYigTQyR2rq9u4Ub2Sq4/edit?usp=sharing"",""มุกดาหาร!L721"")+IMPORTRANGE(""https://docs.google.com/spreadsheets/"&amp;"d/1NexK3geCPxCTO1fzNF8dPec7yZyUx3OaWkFBC9HsQOo/edit?usp=sharing"",""ยโสธร!L721"")+IMPORTRANGE(""https://docs.google.com/spreadsheets/d/1v_cJrbBlyqmnHPReHk44g9NrMRdENNlSy_E_c5M9fIg/edit?usp=sharing"",""ร้อยเอ็ด!L721"")+IMPORTRANGE(""https://docs.google.com"&amp;"/spreadsheets/d/1Ul4RCpCX66NxYADU1QpwAPjOmBzW64SsT11s1wzXw_c/edit?usp=sharing"",""เลย!L721"")+IMPORTRANGE(""https://docs.google.com/spreadsheets/d/1bRrNKwbHDVktQG10isr5vbWRtt5spIZPpkOSWgbT5ug/edit?usp=sharing"",""ศรีสะเกษ!L721"")+IMPORTRANGE(""https://doc"&amp;"s.google.com/spreadsheets/d/17P34_Ow5kFBfdQD0qspb2UuPX5zpi6WMrQzslghyvrI/edit?usp=sharing"",""สกลนคร!L721"")+IMPORTRANGE(""https://docs.google.com/spreadsheets/d/1yswqbM3-AEpThF3ZSUa1AcmHnmRTF1vlJ1CZGcJ8YuU/edit?usp=sharing"",""สุรินทร์!L721"")+IMPORTRANG"&amp;"E(""https://docs.google.com/spreadsheets/d/13JHU_EFbsQOUQ0JSQ3dWy1VTRosIWcDq6Nc99z2qzdc/edit?usp=sharing"",""หนองคาย!L721"")+IMPORTRANGE(""https://docs.google.com/spreadsheets/d/1Hx73zIEgVdDZZaYSTc46Dqv64atFhpr3GelxLbaIN8A/edit?usp=sharing"",""หนองบัวลำภู"&amp;"!L721"")+IMPORTRANGE(""https://docs.google.com/spreadsheets/d/1lFxr3ctmjFN90yc-xV6jrQ9Ty8BKYVBWnAZ15wcNIJc/edit?usp=sharing"",""อำนาจเจริญ!L721"")+IMPORTRANGE(""https://docs.google.com/spreadsheets/d/1gF7RJpRnL-1oyjyeWxs5SFWEH7y8ahOZsQlyp2A2e-A/edit?usp=s"&amp;"haring"",""อุดรธานี!L721"")+IMPORTRANGE(""https://docs.google.com/spreadsheets/d/1kfLP0j3INXRa8bTDpcEmoWewMBV61jlFlfzczfjWIgc/edit?usp=sharing"",""อุบลราชธานี!L721"")"),0)</f>
        <v>0</v>
      </c>
      <c r="M721" s="59">
        <f ca="1">IFERROR(__xludf.DUMMYFUNCTION("IMPORTRANGE(""https://docs.google.com/spreadsheets/d/1yhBcrRPreicbMKl9Bu_Snb2-OcQAF62RKfhTLhJ2eAA/edit?usp=sharing"",""กาฬสินธุ์!M721"")+IMPORTRANGE(""https://docs.google.com/spreadsheets/d/1aHkj4IaQMThhwWwevcOymEh837vdxeC_PycurhTbGFA/edit?usp=sharing"","&amp;"""ขอนแก่น!M721"")+IMPORTRANGE(""https://docs.google.com/spreadsheets/d/1FvTu2DsIWUjP6WCWra38Bkj_oOl_sOMf14r5Fg5srxU/edit?usp=sharing"",""ชัยภูมิ!M721"")+IMPORTRANGE(""https://docs.google.com/spreadsheets/d/1XVB7oCJ3pr-vBUdflwPQ8Z2LlzhnCvZaaYjAfP-647E/edit"&amp;"?usp=sharing"",""นครพนม!M721"")+IMPORTRANGE(""https://docs.google.com/spreadsheets/d/1Mnpb-8PYAgn85W6KOTD40hc_Xc55CaLfHoGAbrZ8tls/edit?usp=sharing"",""นครราชสีมา!M721"")+IMPORTRANGE(""https://docs.google.com/spreadsheets/d/1xoDLGBv9CYbyosIhki0kTq6IpYNj-gp"&amp;"jxfobnaDiut0/edit?usp=sharing"",""บึงกาฬ!M721"")+IMPORTRANGE(""https://docs.google.com/spreadsheets/d/1MMPq-JyI6DSgQETxuSiXkesP-P7JHuemnE6QJIa-Nlw/edit?usp=sharing"",""บุรีรัมย์!M721"")+IMPORTRANGE(""https://docs.google.com/spreadsheets/d/1l6IZ8xUPgMrESzc"&amp;"TYwhA1k_tPjeQjJPTqlm8Gd9eU5g/edit?usp=sharing"",""มหาสารคาม!M721"")+IMPORTRANGE(""https://docs.google.com/spreadsheets/d/1uB74YLqNjWX6FObjekfB2NtSYigTQyR2rq9u4Ub2Sq4/edit?usp=sharing"",""มุกดาหาร!M721"")+IMPORTRANGE(""https://docs.google.com/spreadsheets/"&amp;"d/1NexK3geCPxCTO1fzNF8dPec7yZyUx3OaWkFBC9HsQOo/edit?usp=sharing"",""ยโสธร!M721"")+IMPORTRANGE(""https://docs.google.com/spreadsheets/d/1v_cJrbBlyqmnHPReHk44g9NrMRdENNlSy_E_c5M9fIg/edit?usp=sharing"",""ร้อยเอ็ด!M721"")+IMPORTRANGE(""https://docs.google.com"&amp;"/spreadsheets/d/1Ul4RCpCX66NxYADU1QpwAPjOmBzW64SsT11s1wzXw_c/edit?usp=sharing"",""เลย!M721"")+IMPORTRANGE(""https://docs.google.com/spreadsheets/d/1bRrNKwbHDVktQG10isr5vbWRtt5spIZPpkOSWgbT5ug/edit?usp=sharing"",""ศรีสะเกษ!M721"")+IMPORTRANGE(""https://doc"&amp;"s.google.com/spreadsheets/d/17P34_Ow5kFBfdQD0qspb2UuPX5zpi6WMrQzslghyvrI/edit?usp=sharing"",""สกลนคร!M721"")+IMPORTRANGE(""https://docs.google.com/spreadsheets/d/1yswqbM3-AEpThF3ZSUa1AcmHnmRTF1vlJ1CZGcJ8YuU/edit?usp=sharing"",""สุรินทร์!M721"")+IMPORTRANG"&amp;"E(""https://docs.google.com/spreadsheets/d/13JHU_EFbsQOUQ0JSQ3dWy1VTRosIWcDq6Nc99z2qzdc/edit?usp=sharing"",""หนองคาย!M721"")+IMPORTRANGE(""https://docs.google.com/spreadsheets/d/1Hx73zIEgVdDZZaYSTc46Dqv64atFhpr3GelxLbaIN8A/edit?usp=sharing"",""หนองบัวลำภู"&amp;"!M721"")+IMPORTRANGE(""https://docs.google.com/spreadsheets/d/1lFxr3ctmjFN90yc-xV6jrQ9Ty8BKYVBWnAZ15wcNIJc/edit?usp=sharing"",""อำนาจเจริญ!M721"")+IMPORTRANGE(""https://docs.google.com/spreadsheets/d/1gF7RJpRnL-1oyjyeWxs5SFWEH7y8ahOZsQlyp2A2e-A/edit?usp=s"&amp;"haring"",""อุดรธานี!M721"")+IMPORTRANGE(""https://docs.google.com/spreadsheets/d/1kfLP0j3INXRa8bTDpcEmoWewMBV61jlFlfzczfjWIgc/edit?usp=sharing"",""อุบลราชธานี!M721"")"),0)</f>
        <v>0</v>
      </c>
      <c r="N721" s="59">
        <f ca="1">IFERROR(__xludf.DUMMYFUNCTION("IMPORTRANGE(""https://docs.google.com/spreadsheets/d/1yhBcrRPreicbMKl9Bu_Snb2-OcQAF62RKfhTLhJ2eAA/edit?usp=sharing"",""กาฬสินธุ์!N721"")+IMPORTRANGE(""https://docs.google.com/spreadsheets/d/1aHkj4IaQMThhwWwevcOymEh837vdxeC_PycurhTbGFA/edit?usp=sharing"","&amp;"""ขอนแก่น!N721"")+IMPORTRANGE(""https://docs.google.com/spreadsheets/d/1FvTu2DsIWUjP6WCWra38Bkj_oOl_sOMf14r5Fg5srxU/edit?usp=sharing"",""ชัยภูมิ!N721"")+IMPORTRANGE(""https://docs.google.com/spreadsheets/d/1XVB7oCJ3pr-vBUdflwPQ8Z2LlzhnCvZaaYjAfP-647E/edit"&amp;"?usp=sharing"",""นครพนม!N721"")+IMPORTRANGE(""https://docs.google.com/spreadsheets/d/1Mnpb-8PYAgn85W6KOTD40hc_Xc55CaLfHoGAbrZ8tls/edit?usp=sharing"",""นครราชสีมา!N721"")+IMPORTRANGE(""https://docs.google.com/spreadsheets/d/1xoDLGBv9CYbyosIhki0kTq6IpYNj-gp"&amp;"jxfobnaDiut0/edit?usp=sharing"",""บึงกาฬ!N721"")+IMPORTRANGE(""https://docs.google.com/spreadsheets/d/1MMPq-JyI6DSgQETxuSiXkesP-P7JHuemnE6QJIa-Nlw/edit?usp=sharing"",""บุรีรัมย์!N721"")+IMPORTRANGE(""https://docs.google.com/spreadsheets/d/1l6IZ8xUPgMrESzc"&amp;"TYwhA1k_tPjeQjJPTqlm8Gd9eU5g/edit?usp=sharing"",""มหาสารคาม!N721"")+IMPORTRANGE(""https://docs.google.com/spreadsheets/d/1uB74YLqNjWX6FObjekfB2NtSYigTQyR2rq9u4Ub2Sq4/edit?usp=sharing"",""มุกดาหาร!N721"")+IMPORTRANGE(""https://docs.google.com/spreadsheets/"&amp;"d/1NexK3geCPxCTO1fzNF8dPec7yZyUx3OaWkFBC9HsQOo/edit?usp=sharing"",""ยโสธร!N721"")+IMPORTRANGE(""https://docs.google.com/spreadsheets/d/1v_cJrbBlyqmnHPReHk44g9NrMRdENNlSy_E_c5M9fIg/edit?usp=sharing"",""ร้อยเอ็ด!N721"")+IMPORTRANGE(""https://docs.google.com"&amp;"/spreadsheets/d/1Ul4RCpCX66NxYADU1QpwAPjOmBzW64SsT11s1wzXw_c/edit?usp=sharing"",""เลย!N721"")+IMPORTRANGE(""https://docs.google.com/spreadsheets/d/1bRrNKwbHDVktQG10isr5vbWRtt5spIZPpkOSWgbT5ug/edit?usp=sharing"",""ศรีสะเกษ!N721"")+IMPORTRANGE(""https://doc"&amp;"s.google.com/spreadsheets/d/17P34_Ow5kFBfdQD0qspb2UuPX5zpi6WMrQzslghyvrI/edit?usp=sharing"",""สกลนคร!N721"")+IMPORTRANGE(""https://docs.google.com/spreadsheets/d/1yswqbM3-AEpThF3ZSUa1AcmHnmRTF1vlJ1CZGcJ8YuU/edit?usp=sharing"",""สุรินทร์!N721"")+IMPORTRANG"&amp;"E(""https://docs.google.com/spreadsheets/d/13JHU_EFbsQOUQ0JSQ3dWy1VTRosIWcDq6Nc99z2qzdc/edit?usp=sharing"",""หนองคาย!N721"")+IMPORTRANGE(""https://docs.google.com/spreadsheets/d/1Hx73zIEgVdDZZaYSTc46Dqv64atFhpr3GelxLbaIN8A/edit?usp=sharing"",""หนองบัวลำภู"&amp;"!N721"")+IMPORTRANGE(""https://docs.google.com/spreadsheets/d/1lFxr3ctmjFN90yc-xV6jrQ9Ty8BKYVBWnAZ15wcNIJc/edit?usp=sharing"",""อำนาจเจริญ!N721"")+IMPORTRANGE(""https://docs.google.com/spreadsheets/d/1gF7RJpRnL-1oyjyeWxs5SFWEH7y8ahOZsQlyp2A2e-A/edit?usp=s"&amp;"haring"",""อุดรธานี!N721"")+IMPORTRANGE(""https://docs.google.com/spreadsheets/d/1kfLP0j3INXRa8bTDpcEmoWewMBV61jlFlfzczfjWIgc/edit?usp=sharing"",""อุบลราชธานี!N721"")"),0)</f>
        <v>0</v>
      </c>
      <c r="O721" s="59">
        <f t="shared" ca="1" si="489"/>
        <v>0</v>
      </c>
      <c r="P721" s="59">
        <f t="shared" ca="1" si="490"/>
        <v>0</v>
      </c>
      <c r="Q721" s="59">
        <f ca="1">IFERROR(__xludf.DUMMYFUNCTION("IMPORTRANGE(""https://docs.google.com/spreadsheets/d/1yhBcrRPreicbMKl9Bu_Snb2-OcQAF62RKfhTLhJ2eAA/edit?usp=sharing"",""กาฬสินธุ์!Q721"")+IMPORTRANGE(""https://docs.google.com/spreadsheets/d/1aHkj4IaQMThhwWwevcOymEh837vdxeC_PycurhTbGFA/edit?usp=sharing"","&amp;"""ขอนแก่น!Q721"")+IMPORTRANGE(""https://docs.google.com/spreadsheets/d/1FvTu2DsIWUjP6WCWra38Bkj_oOl_sOMf14r5Fg5srxU/edit?usp=sharing"",""ชัยภูมิ!Q721"")+IMPORTRANGE(""https://docs.google.com/spreadsheets/d/1XVB7oCJ3pr-vBUdflwPQ8Z2LlzhnCvZaaYjAfP-647E/edit"&amp;"?usp=sharing"",""นครพนม!Q721"")+IMPORTRANGE(""https://docs.google.com/spreadsheets/d/1Mnpb-8PYAgn85W6KOTD40hc_Xc55CaLfHoGAbrZ8tls/edit?usp=sharing"",""นครราชสีมา!Q721"")+IMPORTRANGE(""https://docs.google.com/spreadsheets/d/1xoDLGBv9CYbyosIhki0kTq6IpYNj-gp"&amp;"jxfobnaDiut0/edit?usp=sharing"",""บึงกาฬ!Q721"")+IMPORTRANGE(""https://docs.google.com/spreadsheets/d/1MMPq-JyI6DSgQETxuSiXkesP-P7JHuemnE6QJIa-Nlw/edit?usp=sharing"",""บุรีรัมย์!Q721"")+IMPORTRANGE(""https://docs.google.com/spreadsheets/d/1l6IZ8xUPgMrESzc"&amp;"TYwhA1k_tPjeQjJPTqlm8Gd9eU5g/edit?usp=sharing"",""มหาสารคาม!Q721"")+IMPORTRANGE(""https://docs.google.com/spreadsheets/d/1uB74YLqNjWX6FObjekfB2NtSYigTQyR2rq9u4Ub2Sq4/edit?usp=sharing"",""มุกดาหาร!Q721"")+IMPORTRANGE(""https://docs.google.com/spreadsheets/"&amp;"d/1NexK3geCPxCTO1fzNF8dPec7yZyUx3OaWkFBC9HsQOo/edit?usp=sharing"",""ยโสธร!Q721"")+IMPORTRANGE(""https://docs.google.com/spreadsheets/d/1v_cJrbBlyqmnHPReHk44g9NrMRdENNlSy_E_c5M9fIg/edit?usp=sharing"",""ร้อยเอ็ด!Q721"")+IMPORTRANGE(""https://docs.google.com"&amp;"/spreadsheets/d/1Ul4RCpCX66NxYADU1QpwAPjOmBzW64SsT11s1wzXw_c/edit?usp=sharing"",""เลย!Q721"")+IMPORTRANGE(""https://docs.google.com/spreadsheets/d/1bRrNKwbHDVktQG10isr5vbWRtt5spIZPpkOSWgbT5ug/edit?usp=sharing"",""ศรีสะเกษ!Q721"")+IMPORTRANGE(""https://doc"&amp;"s.google.com/spreadsheets/d/17P34_Ow5kFBfdQD0qspb2UuPX5zpi6WMrQzslghyvrI/edit?usp=sharing"",""สกลนคร!Q721"")+IMPORTRANGE(""https://docs.google.com/spreadsheets/d/1yswqbM3-AEpThF3ZSUa1AcmHnmRTF1vlJ1CZGcJ8YuU/edit?usp=sharing"",""สุรินทร์!Q721"")+IMPORTRANG"&amp;"E(""https://docs.google.com/spreadsheets/d/13JHU_EFbsQOUQ0JSQ3dWy1VTRosIWcDq6Nc99z2qzdc/edit?usp=sharing"",""หนองคาย!Q721"")+IMPORTRANGE(""https://docs.google.com/spreadsheets/d/1Hx73zIEgVdDZZaYSTc46Dqv64atFhpr3GelxLbaIN8A/edit?usp=sharing"",""หนองบัวลำภู"&amp;"!Q721"")+IMPORTRANGE(""https://docs.google.com/spreadsheets/d/1lFxr3ctmjFN90yc-xV6jrQ9Ty8BKYVBWnAZ15wcNIJc/edit?usp=sharing"",""อำนาจเจริญ!Q721"")+IMPORTRANGE(""https://docs.google.com/spreadsheets/d/1gF7RJpRnL-1oyjyeWxs5SFWEH7y8ahOZsQlyp2A2e-A/edit?usp=s"&amp;"haring"",""อุดรธานี!Q721"")+IMPORTRANGE(""https://docs.google.com/spreadsheets/d/1kfLP0j3INXRa8bTDpcEmoWewMBV61jlFlfzczfjWIgc/edit?usp=sharing"",""อุบลราชธานี!Q721"")"),0)</f>
        <v>0</v>
      </c>
      <c r="R721" s="59">
        <f ca="1">IFERROR(__xludf.DUMMYFUNCTION("IMPORTRANGE(""https://docs.google.com/spreadsheets/d/1yhBcrRPreicbMKl9Bu_Snb2-OcQAF62RKfhTLhJ2eAA/edit?usp=sharing"",""กาฬสินธุ์!R721"")+IMPORTRANGE(""https://docs.google.com/spreadsheets/d/1aHkj4IaQMThhwWwevcOymEh837vdxeC_PycurhTbGFA/edit?usp=sharing"","&amp;"""ขอนแก่น!R721"")+IMPORTRANGE(""https://docs.google.com/spreadsheets/d/1FvTu2DsIWUjP6WCWra38Bkj_oOl_sOMf14r5Fg5srxU/edit?usp=sharing"",""ชัยภูมิ!R721"")+IMPORTRANGE(""https://docs.google.com/spreadsheets/d/1XVB7oCJ3pr-vBUdflwPQ8Z2LlzhnCvZaaYjAfP-647E/edit"&amp;"?usp=sharing"",""นครพนม!R721"")+IMPORTRANGE(""https://docs.google.com/spreadsheets/d/1Mnpb-8PYAgn85W6KOTD40hc_Xc55CaLfHoGAbrZ8tls/edit?usp=sharing"",""นครราชสีมา!R721"")+IMPORTRANGE(""https://docs.google.com/spreadsheets/d/1xoDLGBv9CYbyosIhki0kTq6IpYNj-gp"&amp;"jxfobnaDiut0/edit?usp=sharing"",""บึงกาฬ!R721"")+IMPORTRANGE(""https://docs.google.com/spreadsheets/d/1MMPq-JyI6DSgQETxuSiXkesP-P7JHuemnE6QJIa-Nlw/edit?usp=sharing"",""บุรีรัมย์!R721"")+IMPORTRANGE(""https://docs.google.com/spreadsheets/d/1l6IZ8xUPgMrESzc"&amp;"TYwhA1k_tPjeQjJPTqlm8Gd9eU5g/edit?usp=sharing"",""มหาสารคาม!R721"")+IMPORTRANGE(""https://docs.google.com/spreadsheets/d/1uB74YLqNjWX6FObjekfB2NtSYigTQyR2rq9u4Ub2Sq4/edit?usp=sharing"",""มุกดาหาร!R721"")+IMPORTRANGE(""https://docs.google.com/spreadsheets/"&amp;"d/1NexK3geCPxCTO1fzNF8dPec7yZyUx3OaWkFBC9HsQOo/edit?usp=sharing"",""ยโสธร!R721"")+IMPORTRANGE(""https://docs.google.com/spreadsheets/d/1v_cJrbBlyqmnHPReHk44g9NrMRdENNlSy_E_c5M9fIg/edit?usp=sharing"",""ร้อยเอ็ด!R721"")+IMPORTRANGE(""https://docs.google.com"&amp;"/spreadsheets/d/1Ul4RCpCX66NxYADU1QpwAPjOmBzW64SsT11s1wzXw_c/edit?usp=sharing"",""เลย!R721"")+IMPORTRANGE(""https://docs.google.com/spreadsheets/d/1bRrNKwbHDVktQG10isr5vbWRtt5spIZPpkOSWgbT5ug/edit?usp=sharing"",""ศรีสะเกษ!R721"")+IMPORTRANGE(""https://doc"&amp;"s.google.com/spreadsheets/d/17P34_Ow5kFBfdQD0qspb2UuPX5zpi6WMrQzslghyvrI/edit?usp=sharing"",""สกลนคร!R721"")+IMPORTRANGE(""https://docs.google.com/spreadsheets/d/1yswqbM3-AEpThF3ZSUa1AcmHnmRTF1vlJ1CZGcJ8YuU/edit?usp=sharing"",""สุรินทร์!R721"")+IMPORTRANG"&amp;"E(""https://docs.google.com/spreadsheets/d/13JHU_EFbsQOUQ0JSQ3dWy1VTRosIWcDq6Nc99z2qzdc/edit?usp=sharing"",""หนองคาย!R721"")+IMPORTRANGE(""https://docs.google.com/spreadsheets/d/1Hx73zIEgVdDZZaYSTc46Dqv64atFhpr3GelxLbaIN8A/edit?usp=sharing"",""หนองบัวลำภู"&amp;"!R721"")+IMPORTRANGE(""https://docs.google.com/spreadsheets/d/1lFxr3ctmjFN90yc-xV6jrQ9Ty8BKYVBWnAZ15wcNIJc/edit?usp=sharing"",""อำนาจเจริญ!R721"")+IMPORTRANGE(""https://docs.google.com/spreadsheets/d/1gF7RJpRnL-1oyjyeWxs5SFWEH7y8ahOZsQlyp2A2e-A/edit?usp=s"&amp;"haring"",""อุดรธานี!R721"")+IMPORTRANGE(""https://docs.google.com/spreadsheets/d/1kfLP0j3INXRa8bTDpcEmoWewMBV61jlFlfzczfjWIgc/edit?usp=sharing"",""อุบลราชธานี!R721"")"),0)</f>
        <v>0</v>
      </c>
      <c r="S721" s="60">
        <f ca="1">IFERROR(__xludf.DUMMYFUNCTION("IMPORTRANGE(""https://docs.google.com/spreadsheets/d/1yhBcrRPreicbMKl9Bu_Snb2-OcQAF62RKfhTLhJ2eAA/edit?usp=sharing"",""กาฬสินธุ์!S721"")+IMPORTRANGE(""https://docs.google.com/spreadsheets/d/1aHkj4IaQMThhwWwevcOymEh837vdxeC_PycurhTbGFA/edit?usp=sharing"","&amp;"""ขอนแก่น!S721"")+IMPORTRANGE(""https://docs.google.com/spreadsheets/d/1FvTu2DsIWUjP6WCWra38Bkj_oOl_sOMf14r5Fg5srxU/edit?usp=sharing"",""ชัยภูมิ!S721"")+IMPORTRANGE(""https://docs.google.com/spreadsheets/d/1XVB7oCJ3pr-vBUdflwPQ8Z2LlzhnCvZaaYjAfP-647E/edit"&amp;"?usp=sharing"",""นครพนม!S721"")+IMPORTRANGE(""https://docs.google.com/spreadsheets/d/1Mnpb-8PYAgn85W6KOTD40hc_Xc55CaLfHoGAbrZ8tls/edit?usp=sharing"",""นครราชสีมา!S721"")+IMPORTRANGE(""https://docs.google.com/spreadsheets/d/1xoDLGBv9CYbyosIhki0kTq6IpYNj-gp"&amp;"jxfobnaDiut0/edit?usp=sharing"",""บึงกาฬ!S721"")+IMPORTRANGE(""https://docs.google.com/spreadsheets/d/1MMPq-JyI6DSgQETxuSiXkesP-P7JHuemnE6QJIa-Nlw/edit?usp=sharing"",""บุรีรัมย์!S721"")+IMPORTRANGE(""https://docs.google.com/spreadsheets/d/1l6IZ8xUPgMrESzc"&amp;"TYwhA1k_tPjeQjJPTqlm8Gd9eU5g/edit?usp=sharing"",""มหาสารคาม!S721"")+IMPORTRANGE(""https://docs.google.com/spreadsheets/d/1uB74YLqNjWX6FObjekfB2NtSYigTQyR2rq9u4Ub2Sq4/edit?usp=sharing"",""มุกดาหาร!S721"")+IMPORTRANGE(""https://docs.google.com/spreadsheets/"&amp;"d/1NexK3geCPxCTO1fzNF8dPec7yZyUx3OaWkFBC9HsQOo/edit?usp=sharing"",""ยโสธร!S721"")+IMPORTRANGE(""https://docs.google.com/spreadsheets/d/1v_cJrbBlyqmnHPReHk44g9NrMRdENNlSy_E_c5M9fIg/edit?usp=sharing"",""ร้อยเอ็ด!S721"")+IMPORTRANGE(""https://docs.google.com"&amp;"/spreadsheets/d/1Ul4RCpCX66NxYADU1QpwAPjOmBzW64SsT11s1wzXw_c/edit?usp=sharing"",""เลย!S721"")+IMPORTRANGE(""https://docs.google.com/spreadsheets/d/1bRrNKwbHDVktQG10isr5vbWRtt5spIZPpkOSWgbT5ug/edit?usp=sharing"",""ศรีสะเกษ!S721"")+IMPORTRANGE(""https://doc"&amp;"s.google.com/spreadsheets/d/17P34_Ow5kFBfdQD0qspb2UuPX5zpi6WMrQzslghyvrI/edit?usp=sharing"",""สกลนคร!S721"")+IMPORTRANGE(""https://docs.google.com/spreadsheets/d/1yswqbM3-AEpThF3ZSUa1AcmHnmRTF1vlJ1CZGcJ8YuU/edit?usp=sharing"",""สุรินทร์!S721"")+IMPORTRANG"&amp;"E(""https://docs.google.com/spreadsheets/d/13JHU_EFbsQOUQ0JSQ3dWy1VTRosIWcDq6Nc99z2qzdc/edit?usp=sharing"",""หนองคาย!S721"")+IMPORTRANGE(""https://docs.google.com/spreadsheets/d/1Hx73zIEgVdDZZaYSTc46Dqv64atFhpr3GelxLbaIN8A/edit?usp=sharing"",""หนองบัวลำภู"&amp;"!S721"")+IMPORTRANGE(""https://docs.google.com/spreadsheets/d/1lFxr3ctmjFN90yc-xV6jrQ9Ty8BKYVBWnAZ15wcNIJc/edit?usp=sharing"",""อำนาจเจริญ!S721"")+IMPORTRANGE(""https://docs.google.com/spreadsheets/d/1gF7RJpRnL-1oyjyeWxs5SFWEH7y8ahOZsQlyp2A2e-A/edit?usp=s"&amp;"haring"",""อุดรธานี!S721"")+IMPORTRANGE(""https://docs.google.com/spreadsheets/d/1kfLP0j3INXRa8bTDpcEmoWewMBV61jlFlfzczfjWIgc/edit?usp=sharing"",""อุบลราชธานี!S721"")"),0)</f>
        <v>0</v>
      </c>
      <c r="T721" s="59">
        <f t="shared" ca="1" si="492"/>
        <v>0</v>
      </c>
      <c r="U721" s="59">
        <f t="shared" ca="1" si="493"/>
        <v>0</v>
      </c>
    </row>
    <row r="722" spans="1:21" ht="18.75">
      <c r="A722" s="155"/>
      <c r="B722" s="188"/>
      <c r="C722" s="188"/>
      <c r="D722" s="50"/>
      <c r="E722" s="186" t="s">
        <v>21</v>
      </c>
      <c r="F722" s="50"/>
      <c r="G722" s="52"/>
      <c r="H722" s="421" t="s">
        <v>14</v>
      </c>
      <c r="I722" s="163"/>
      <c r="J722" s="163"/>
      <c r="K722" s="164"/>
      <c r="L722" s="56">
        <f ca="1">IFERROR(__xludf.DUMMYFUNCTION("IMPORTRANGE(""https://docs.google.com/spreadsheets/d/1yhBcrRPreicbMKl9Bu_Snb2-OcQAF62RKfhTLhJ2eAA/edit?usp=sharing"",""กาฬสินธุ์!L722"")+IMPORTRANGE(""https://docs.google.com/spreadsheets/d/1aHkj4IaQMThhwWwevcOymEh837vdxeC_PycurhTbGFA/edit?usp=sharing"","&amp;"""ขอนแก่น!L722"")+IMPORTRANGE(""https://docs.google.com/spreadsheets/d/1FvTu2DsIWUjP6WCWra38Bkj_oOl_sOMf14r5Fg5srxU/edit?usp=sharing"",""ชัยภูมิ!L722"")+IMPORTRANGE(""https://docs.google.com/spreadsheets/d/1XVB7oCJ3pr-vBUdflwPQ8Z2LlzhnCvZaaYjAfP-647E/edit"&amp;"?usp=sharing"",""นครพนม!L722"")+IMPORTRANGE(""https://docs.google.com/spreadsheets/d/1Mnpb-8PYAgn85W6KOTD40hc_Xc55CaLfHoGAbrZ8tls/edit?usp=sharing"",""นครราชสีมา!L722"")+IMPORTRANGE(""https://docs.google.com/spreadsheets/d/1xoDLGBv9CYbyosIhki0kTq6IpYNj-gp"&amp;"jxfobnaDiut0/edit?usp=sharing"",""บึงกาฬ!L722"")+IMPORTRANGE(""https://docs.google.com/spreadsheets/d/1MMPq-JyI6DSgQETxuSiXkesP-P7JHuemnE6QJIa-Nlw/edit?usp=sharing"",""บุรีรัมย์!L722"")+IMPORTRANGE(""https://docs.google.com/spreadsheets/d/1l6IZ8xUPgMrESzc"&amp;"TYwhA1k_tPjeQjJPTqlm8Gd9eU5g/edit?usp=sharing"",""มหาสารคาม!L722"")+IMPORTRANGE(""https://docs.google.com/spreadsheets/d/1uB74YLqNjWX6FObjekfB2NtSYigTQyR2rq9u4Ub2Sq4/edit?usp=sharing"",""มุกดาหาร!L722"")+IMPORTRANGE(""https://docs.google.com/spreadsheets/"&amp;"d/1NexK3geCPxCTO1fzNF8dPec7yZyUx3OaWkFBC9HsQOo/edit?usp=sharing"",""ยโสธร!L722"")+IMPORTRANGE(""https://docs.google.com/spreadsheets/d/1v_cJrbBlyqmnHPReHk44g9NrMRdENNlSy_E_c5M9fIg/edit?usp=sharing"",""ร้อยเอ็ด!L722"")+IMPORTRANGE(""https://docs.google.com"&amp;"/spreadsheets/d/1Ul4RCpCX66NxYADU1QpwAPjOmBzW64SsT11s1wzXw_c/edit?usp=sharing"",""เลย!L722"")+IMPORTRANGE(""https://docs.google.com/spreadsheets/d/1bRrNKwbHDVktQG10isr5vbWRtt5spIZPpkOSWgbT5ug/edit?usp=sharing"",""ศรีสะเกษ!L722"")+IMPORTRANGE(""https://doc"&amp;"s.google.com/spreadsheets/d/17P34_Ow5kFBfdQD0qspb2UuPX5zpi6WMrQzslghyvrI/edit?usp=sharing"",""สกลนคร!L722"")+IMPORTRANGE(""https://docs.google.com/spreadsheets/d/1yswqbM3-AEpThF3ZSUa1AcmHnmRTF1vlJ1CZGcJ8YuU/edit?usp=sharing"",""สุรินทร์!L722"")+IMPORTRANG"&amp;"E(""https://docs.google.com/spreadsheets/d/13JHU_EFbsQOUQ0JSQ3dWy1VTRosIWcDq6Nc99z2qzdc/edit?usp=sharing"",""หนองคาย!L722"")+IMPORTRANGE(""https://docs.google.com/spreadsheets/d/1Hx73zIEgVdDZZaYSTc46Dqv64atFhpr3GelxLbaIN8A/edit?usp=sharing"",""หนองบัวลำภู"&amp;"!L722"")+IMPORTRANGE(""https://docs.google.com/spreadsheets/d/1lFxr3ctmjFN90yc-xV6jrQ9Ty8BKYVBWnAZ15wcNIJc/edit?usp=sharing"",""อำนาจเจริญ!L722"")+IMPORTRANGE(""https://docs.google.com/spreadsheets/d/1gF7RJpRnL-1oyjyeWxs5SFWEH7y8ahOZsQlyp2A2e-A/edit?usp=s"&amp;"haring"",""อุดรธานี!L722"")+IMPORTRANGE(""https://docs.google.com/spreadsheets/d/1kfLP0j3INXRa8bTDpcEmoWewMBV61jlFlfzczfjWIgc/edit?usp=sharing"",""อุบลราชธานี!L722"")"),0)</f>
        <v>0</v>
      </c>
      <c r="M722" s="56">
        <f ca="1">IFERROR(__xludf.DUMMYFUNCTION("IMPORTRANGE(""https://docs.google.com/spreadsheets/d/1yhBcrRPreicbMKl9Bu_Snb2-OcQAF62RKfhTLhJ2eAA/edit?usp=sharing"",""กาฬสินธุ์!M722"")+IMPORTRANGE(""https://docs.google.com/spreadsheets/d/1aHkj4IaQMThhwWwevcOymEh837vdxeC_PycurhTbGFA/edit?usp=sharing"","&amp;"""ขอนแก่น!M722"")+IMPORTRANGE(""https://docs.google.com/spreadsheets/d/1FvTu2DsIWUjP6WCWra38Bkj_oOl_sOMf14r5Fg5srxU/edit?usp=sharing"",""ชัยภูมิ!M722"")+IMPORTRANGE(""https://docs.google.com/spreadsheets/d/1XVB7oCJ3pr-vBUdflwPQ8Z2LlzhnCvZaaYjAfP-647E/edit"&amp;"?usp=sharing"",""นครพนม!M722"")+IMPORTRANGE(""https://docs.google.com/spreadsheets/d/1Mnpb-8PYAgn85W6KOTD40hc_Xc55CaLfHoGAbrZ8tls/edit?usp=sharing"",""นครราชสีมา!M722"")+IMPORTRANGE(""https://docs.google.com/spreadsheets/d/1xoDLGBv9CYbyosIhki0kTq6IpYNj-gp"&amp;"jxfobnaDiut0/edit?usp=sharing"",""บึงกาฬ!M722"")+IMPORTRANGE(""https://docs.google.com/spreadsheets/d/1MMPq-JyI6DSgQETxuSiXkesP-P7JHuemnE6QJIa-Nlw/edit?usp=sharing"",""บุรีรัมย์!M722"")+IMPORTRANGE(""https://docs.google.com/spreadsheets/d/1l6IZ8xUPgMrESzc"&amp;"TYwhA1k_tPjeQjJPTqlm8Gd9eU5g/edit?usp=sharing"",""มหาสารคาม!M722"")+IMPORTRANGE(""https://docs.google.com/spreadsheets/d/1uB74YLqNjWX6FObjekfB2NtSYigTQyR2rq9u4Ub2Sq4/edit?usp=sharing"",""มุกดาหาร!M722"")+IMPORTRANGE(""https://docs.google.com/spreadsheets/"&amp;"d/1NexK3geCPxCTO1fzNF8dPec7yZyUx3OaWkFBC9HsQOo/edit?usp=sharing"",""ยโสธร!M722"")+IMPORTRANGE(""https://docs.google.com/spreadsheets/d/1v_cJrbBlyqmnHPReHk44g9NrMRdENNlSy_E_c5M9fIg/edit?usp=sharing"",""ร้อยเอ็ด!M722"")+IMPORTRANGE(""https://docs.google.com"&amp;"/spreadsheets/d/1Ul4RCpCX66NxYADU1QpwAPjOmBzW64SsT11s1wzXw_c/edit?usp=sharing"",""เลย!M722"")+IMPORTRANGE(""https://docs.google.com/spreadsheets/d/1bRrNKwbHDVktQG10isr5vbWRtt5spIZPpkOSWgbT5ug/edit?usp=sharing"",""ศรีสะเกษ!M722"")+IMPORTRANGE(""https://doc"&amp;"s.google.com/spreadsheets/d/17P34_Ow5kFBfdQD0qspb2UuPX5zpi6WMrQzslghyvrI/edit?usp=sharing"",""สกลนคร!M722"")+IMPORTRANGE(""https://docs.google.com/spreadsheets/d/1yswqbM3-AEpThF3ZSUa1AcmHnmRTF1vlJ1CZGcJ8YuU/edit?usp=sharing"",""สุรินทร์!M722"")+IMPORTRANG"&amp;"E(""https://docs.google.com/spreadsheets/d/13JHU_EFbsQOUQ0JSQ3dWy1VTRosIWcDq6Nc99z2qzdc/edit?usp=sharing"",""หนองคาย!M722"")+IMPORTRANGE(""https://docs.google.com/spreadsheets/d/1Hx73zIEgVdDZZaYSTc46Dqv64atFhpr3GelxLbaIN8A/edit?usp=sharing"",""หนองบัวลำภู"&amp;"!M722"")+IMPORTRANGE(""https://docs.google.com/spreadsheets/d/1lFxr3ctmjFN90yc-xV6jrQ9Ty8BKYVBWnAZ15wcNIJc/edit?usp=sharing"",""อำนาจเจริญ!M722"")+IMPORTRANGE(""https://docs.google.com/spreadsheets/d/1gF7RJpRnL-1oyjyeWxs5SFWEH7y8ahOZsQlyp2A2e-A/edit?usp=s"&amp;"haring"",""อุดรธานี!M722"")+IMPORTRANGE(""https://docs.google.com/spreadsheets/d/1kfLP0j3INXRa8bTDpcEmoWewMBV61jlFlfzczfjWIgc/edit?usp=sharing"",""อุบลราชธานี!M722"")"),0)</f>
        <v>0</v>
      </c>
      <c r="N722" s="56">
        <f ca="1">IFERROR(__xludf.DUMMYFUNCTION("IMPORTRANGE(""https://docs.google.com/spreadsheets/d/1yhBcrRPreicbMKl9Bu_Snb2-OcQAF62RKfhTLhJ2eAA/edit?usp=sharing"",""กาฬสินธุ์!N722"")+IMPORTRANGE(""https://docs.google.com/spreadsheets/d/1aHkj4IaQMThhwWwevcOymEh837vdxeC_PycurhTbGFA/edit?usp=sharing"","&amp;"""ขอนแก่น!N722"")+IMPORTRANGE(""https://docs.google.com/spreadsheets/d/1FvTu2DsIWUjP6WCWra38Bkj_oOl_sOMf14r5Fg5srxU/edit?usp=sharing"",""ชัยภูมิ!N722"")+IMPORTRANGE(""https://docs.google.com/spreadsheets/d/1XVB7oCJ3pr-vBUdflwPQ8Z2LlzhnCvZaaYjAfP-647E/edit"&amp;"?usp=sharing"",""นครพนม!N722"")+IMPORTRANGE(""https://docs.google.com/spreadsheets/d/1Mnpb-8PYAgn85W6KOTD40hc_Xc55CaLfHoGAbrZ8tls/edit?usp=sharing"",""นครราชสีมา!N722"")+IMPORTRANGE(""https://docs.google.com/spreadsheets/d/1xoDLGBv9CYbyosIhki0kTq6IpYNj-gp"&amp;"jxfobnaDiut0/edit?usp=sharing"",""บึงกาฬ!N722"")+IMPORTRANGE(""https://docs.google.com/spreadsheets/d/1MMPq-JyI6DSgQETxuSiXkesP-P7JHuemnE6QJIa-Nlw/edit?usp=sharing"",""บุรีรัมย์!N722"")+IMPORTRANGE(""https://docs.google.com/spreadsheets/d/1l6IZ8xUPgMrESzc"&amp;"TYwhA1k_tPjeQjJPTqlm8Gd9eU5g/edit?usp=sharing"",""มหาสารคาม!N722"")+IMPORTRANGE(""https://docs.google.com/spreadsheets/d/1uB74YLqNjWX6FObjekfB2NtSYigTQyR2rq9u4Ub2Sq4/edit?usp=sharing"",""มุกดาหาร!N722"")+IMPORTRANGE(""https://docs.google.com/spreadsheets/"&amp;"d/1NexK3geCPxCTO1fzNF8dPec7yZyUx3OaWkFBC9HsQOo/edit?usp=sharing"",""ยโสธร!N722"")+IMPORTRANGE(""https://docs.google.com/spreadsheets/d/1v_cJrbBlyqmnHPReHk44g9NrMRdENNlSy_E_c5M9fIg/edit?usp=sharing"",""ร้อยเอ็ด!N722"")+IMPORTRANGE(""https://docs.google.com"&amp;"/spreadsheets/d/1Ul4RCpCX66NxYADU1QpwAPjOmBzW64SsT11s1wzXw_c/edit?usp=sharing"",""เลย!N722"")+IMPORTRANGE(""https://docs.google.com/spreadsheets/d/1bRrNKwbHDVktQG10isr5vbWRtt5spIZPpkOSWgbT5ug/edit?usp=sharing"",""ศรีสะเกษ!N722"")+IMPORTRANGE(""https://doc"&amp;"s.google.com/spreadsheets/d/17P34_Ow5kFBfdQD0qspb2UuPX5zpi6WMrQzslghyvrI/edit?usp=sharing"",""สกลนคร!N722"")+IMPORTRANGE(""https://docs.google.com/spreadsheets/d/1yswqbM3-AEpThF3ZSUa1AcmHnmRTF1vlJ1CZGcJ8YuU/edit?usp=sharing"",""สุรินทร์!N722"")+IMPORTRANG"&amp;"E(""https://docs.google.com/spreadsheets/d/13JHU_EFbsQOUQ0JSQ3dWy1VTRosIWcDq6Nc99z2qzdc/edit?usp=sharing"",""หนองคาย!N722"")+IMPORTRANGE(""https://docs.google.com/spreadsheets/d/1Hx73zIEgVdDZZaYSTc46Dqv64atFhpr3GelxLbaIN8A/edit?usp=sharing"",""หนองบัวลำภู"&amp;"!N722"")+IMPORTRANGE(""https://docs.google.com/spreadsheets/d/1lFxr3ctmjFN90yc-xV6jrQ9Ty8BKYVBWnAZ15wcNIJc/edit?usp=sharing"",""อำนาจเจริญ!N722"")+IMPORTRANGE(""https://docs.google.com/spreadsheets/d/1gF7RJpRnL-1oyjyeWxs5SFWEH7y8ahOZsQlyp2A2e-A/edit?usp=s"&amp;"haring"",""อุดรธานี!N722"")+IMPORTRANGE(""https://docs.google.com/spreadsheets/d/1kfLP0j3INXRa8bTDpcEmoWewMBV61jlFlfzczfjWIgc/edit?usp=sharing"",""อุบลราชธานี!N722"")"),0)</f>
        <v>0</v>
      </c>
      <c r="O722" s="56">
        <f t="shared" ca="1" si="489"/>
        <v>0</v>
      </c>
      <c r="P722" s="56">
        <f t="shared" ca="1" si="490"/>
        <v>0</v>
      </c>
      <c r="Q722" s="56">
        <f ca="1">IFERROR(__xludf.DUMMYFUNCTION("IMPORTRANGE(""https://docs.google.com/spreadsheets/d/1yhBcrRPreicbMKl9Bu_Snb2-OcQAF62RKfhTLhJ2eAA/edit?usp=sharing"",""กาฬสินธุ์!Q722"")+IMPORTRANGE(""https://docs.google.com/spreadsheets/d/1aHkj4IaQMThhwWwevcOymEh837vdxeC_PycurhTbGFA/edit?usp=sharing"","&amp;"""ขอนแก่น!Q722"")+IMPORTRANGE(""https://docs.google.com/spreadsheets/d/1FvTu2DsIWUjP6WCWra38Bkj_oOl_sOMf14r5Fg5srxU/edit?usp=sharing"",""ชัยภูมิ!Q722"")+IMPORTRANGE(""https://docs.google.com/spreadsheets/d/1XVB7oCJ3pr-vBUdflwPQ8Z2LlzhnCvZaaYjAfP-647E/edit"&amp;"?usp=sharing"",""นครพนม!Q722"")+IMPORTRANGE(""https://docs.google.com/spreadsheets/d/1Mnpb-8PYAgn85W6KOTD40hc_Xc55CaLfHoGAbrZ8tls/edit?usp=sharing"",""นครราชสีมา!Q722"")+IMPORTRANGE(""https://docs.google.com/spreadsheets/d/1xoDLGBv9CYbyosIhki0kTq6IpYNj-gp"&amp;"jxfobnaDiut0/edit?usp=sharing"",""บึงกาฬ!Q722"")+IMPORTRANGE(""https://docs.google.com/spreadsheets/d/1MMPq-JyI6DSgQETxuSiXkesP-P7JHuemnE6QJIa-Nlw/edit?usp=sharing"",""บุรีรัมย์!Q722"")+IMPORTRANGE(""https://docs.google.com/spreadsheets/d/1l6IZ8xUPgMrESzc"&amp;"TYwhA1k_tPjeQjJPTqlm8Gd9eU5g/edit?usp=sharing"",""มหาสารคาม!Q722"")+IMPORTRANGE(""https://docs.google.com/spreadsheets/d/1uB74YLqNjWX6FObjekfB2NtSYigTQyR2rq9u4Ub2Sq4/edit?usp=sharing"",""มุกดาหาร!Q722"")+IMPORTRANGE(""https://docs.google.com/spreadsheets/"&amp;"d/1NexK3geCPxCTO1fzNF8dPec7yZyUx3OaWkFBC9HsQOo/edit?usp=sharing"",""ยโสธร!Q722"")+IMPORTRANGE(""https://docs.google.com/spreadsheets/d/1v_cJrbBlyqmnHPReHk44g9NrMRdENNlSy_E_c5M9fIg/edit?usp=sharing"",""ร้อยเอ็ด!Q722"")+IMPORTRANGE(""https://docs.google.com"&amp;"/spreadsheets/d/1Ul4RCpCX66NxYADU1QpwAPjOmBzW64SsT11s1wzXw_c/edit?usp=sharing"",""เลย!Q722"")+IMPORTRANGE(""https://docs.google.com/spreadsheets/d/1bRrNKwbHDVktQG10isr5vbWRtt5spIZPpkOSWgbT5ug/edit?usp=sharing"",""ศรีสะเกษ!Q722"")+IMPORTRANGE(""https://doc"&amp;"s.google.com/spreadsheets/d/17P34_Ow5kFBfdQD0qspb2UuPX5zpi6WMrQzslghyvrI/edit?usp=sharing"",""สกลนคร!Q722"")+IMPORTRANGE(""https://docs.google.com/spreadsheets/d/1yswqbM3-AEpThF3ZSUa1AcmHnmRTF1vlJ1CZGcJ8YuU/edit?usp=sharing"",""สุรินทร์!Q722"")+IMPORTRANG"&amp;"E(""https://docs.google.com/spreadsheets/d/13JHU_EFbsQOUQ0JSQ3dWy1VTRosIWcDq6Nc99z2qzdc/edit?usp=sharing"",""หนองคาย!Q722"")+IMPORTRANGE(""https://docs.google.com/spreadsheets/d/1Hx73zIEgVdDZZaYSTc46Dqv64atFhpr3GelxLbaIN8A/edit?usp=sharing"",""หนองบัวลำภู"&amp;"!Q722"")+IMPORTRANGE(""https://docs.google.com/spreadsheets/d/1lFxr3ctmjFN90yc-xV6jrQ9Ty8BKYVBWnAZ15wcNIJc/edit?usp=sharing"",""อำนาจเจริญ!Q722"")+IMPORTRANGE(""https://docs.google.com/spreadsheets/d/1gF7RJpRnL-1oyjyeWxs5SFWEH7y8ahOZsQlyp2A2e-A/edit?usp=s"&amp;"haring"",""อุดรธานี!Q722"")+IMPORTRANGE(""https://docs.google.com/spreadsheets/d/1kfLP0j3INXRa8bTDpcEmoWewMBV61jlFlfzczfjWIgc/edit?usp=sharing"",""อุบลราชธานี!Q722"")"),0)</f>
        <v>0</v>
      </c>
      <c r="R722" s="56">
        <f ca="1">IFERROR(__xludf.DUMMYFUNCTION("IMPORTRANGE(""https://docs.google.com/spreadsheets/d/1yhBcrRPreicbMKl9Bu_Snb2-OcQAF62RKfhTLhJ2eAA/edit?usp=sharing"",""กาฬสินธุ์!R722"")+IMPORTRANGE(""https://docs.google.com/spreadsheets/d/1aHkj4IaQMThhwWwevcOymEh837vdxeC_PycurhTbGFA/edit?usp=sharing"","&amp;"""ขอนแก่น!R722"")+IMPORTRANGE(""https://docs.google.com/spreadsheets/d/1FvTu2DsIWUjP6WCWra38Bkj_oOl_sOMf14r5Fg5srxU/edit?usp=sharing"",""ชัยภูมิ!R722"")+IMPORTRANGE(""https://docs.google.com/spreadsheets/d/1XVB7oCJ3pr-vBUdflwPQ8Z2LlzhnCvZaaYjAfP-647E/edit"&amp;"?usp=sharing"",""นครพนม!R722"")+IMPORTRANGE(""https://docs.google.com/spreadsheets/d/1Mnpb-8PYAgn85W6KOTD40hc_Xc55CaLfHoGAbrZ8tls/edit?usp=sharing"",""นครราชสีมา!R722"")+IMPORTRANGE(""https://docs.google.com/spreadsheets/d/1xoDLGBv9CYbyosIhki0kTq6IpYNj-gp"&amp;"jxfobnaDiut0/edit?usp=sharing"",""บึงกาฬ!R722"")+IMPORTRANGE(""https://docs.google.com/spreadsheets/d/1MMPq-JyI6DSgQETxuSiXkesP-P7JHuemnE6QJIa-Nlw/edit?usp=sharing"",""บุรีรัมย์!R722"")+IMPORTRANGE(""https://docs.google.com/spreadsheets/d/1l6IZ8xUPgMrESzc"&amp;"TYwhA1k_tPjeQjJPTqlm8Gd9eU5g/edit?usp=sharing"",""มหาสารคาม!R722"")+IMPORTRANGE(""https://docs.google.com/spreadsheets/d/1uB74YLqNjWX6FObjekfB2NtSYigTQyR2rq9u4Ub2Sq4/edit?usp=sharing"",""มุกดาหาร!R722"")+IMPORTRANGE(""https://docs.google.com/spreadsheets/"&amp;"d/1NexK3geCPxCTO1fzNF8dPec7yZyUx3OaWkFBC9HsQOo/edit?usp=sharing"",""ยโสธร!R722"")+IMPORTRANGE(""https://docs.google.com/spreadsheets/d/1v_cJrbBlyqmnHPReHk44g9NrMRdENNlSy_E_c5M9fIg/edit?usp=sharing"",""ร้อยเอ็ด!R722"")+IMPORTRANGE(""https://docs.google.com"&amp;"/spreadsheets/d/1Ul4RCpCX66NxYADU1QpwAPjOmBzW64SsT11s1wzXw_c/edit?usp=sharing"",""เลย!R722"")+IMPORTRANGE(""https://docs.google.com/spreadsheets/d/1bRrNKwbHDVktQG10isr5vbWRtt5spIZPpkOSWgbT5ug/edit?usp=sharing"",""ศรีสะเกษ!R722"")+IMPORTRANGE(""https://doc"&amp;"s.google.com/spreadsheets/d/17P34_Ow5kFBfdQD0qspb2UuPX5zpi6WMrQzslghyvrI/edit?usp=sharing"",""สกลนคร!R722"")+IMPORTRANGE(""https://docs.google.com/spreadsheets/d/1yswqbM3-AEpThF3ZSUa1AcmHnmRTF1vlJ1CZGcJ8YuU/edit?usp=sharing"",""สุรินทร์!R722"")+IMPORTRANG"&amp;"E(""https://docs.google.com/spreadsheets/d/13JHU_EFbsQOUQ0JSQ3dWy1VTRosIWcDq6Nc99z2qzdc/edit?usp=sharing"",""หนองคาย!R722"")+IMPORTRANGE(""https://docs.google.com/spreadsheets/d/1Hx73zIEgVdDZZaYSTc46Dqv64atFhpr3GelxLbaIN8A/edit?usp=sharing"",""หนองบัวลำภู"&amp;"!R722"")+IMPORTRANGE(""https://docs.google.com/spreadsheets/d/1lFxr3ctmjFN90yc-xV6jrQ9Ty8BKYVBWnAZ15wcNIJc/edit?usp=sharing"",""อำนาจเจริญ!R722"")+IMPORTRANGE(""https://docs.google.com/spreadsheets/d/1gF7RJpRnL-1oyjyeWxs5SFWEH7y8ahOZsQlyp2A2e-A/edit?usp=s"&amp;"haring"",""อุดรธานี!R722"")+IMPORTRANGE(""https://docs.google.com/spreadsheets/d/1kfLP0j3INXRa8bTDpcEmoWewMBV61jlFlfzczfjWIgc/edit?usp=sharing"",""อุบลราชธานี!R722"")"),0)</f>
        <v>0</v>
      </c>
      <c r="S722" s="57">
        <f ca="1">IFERROR(__xludf.DUMMYFUNCTION("IMPORTRANGE(""https://docs.google.com/spreadsheets/d/1yhBcrRPreicbMKl9Bu_Snb2-OcQAF62RKfhTLhJ2eAA/edit?usp=sharing"",""กาฬสินธุ์!S722"")+IMPORTRANGE(""https://docs.google.com/spreadsheets/d/1aHkj4IaQMThhwWwevcOymEh837vdxeC_PycurhTbGFA/edit?usp=sharing"","&amp;"""ขอนแก่น!S722"")+IMPORTRANGE(""https://docs.google.com/spreadsheets/d/1FvTu2DsIWUjP6WCWra38Bkj_oOl_sOMf14r5Fg5srxU/edit?usp=sharing"",""ชัยภูมิ!S722"")+IMPORTRANGE(""https://docs.google.com/spreadsheets/d/1XVB7oCJ3pr-vBUdflwPQ8Z2LlzhnCvZaaYjAfP-647E/edit"&amp;"?usp=sharing"",""นครพนม!S722"")+IMPORTRANGE(""https://docs.google.com/spreadsheets/d/1Mnpb-8PYAgn85W6KOTD40hc_Xc55CaLfHoGAbrZ8tls/edit?usp=sharing"",""นครราชสีมา!S722"")+IMPORTRANGE(""https://docs.google.com/spreadsheets/d/1xoDLGBv9CYbyosIhki0kTq6IpYNj-gp"&amp;"jxfobnaDiut0/edit?usp=sharing"",""บึงกาฬ!S722"")+IMPORTRANGE(""https://docs.google.com/spreadsheets/d/1MMPq-JyI6DSgQETxuSiXkesP-P7JHuemnE6QJIa-Nlw/edit?usp=sharing"",""บุรีรัมย์!S722"")+IMPORTRANGE(""https://docs.google.com/spreadsheets/d/1l6IZ8xUPgMrESzc"&amp;"TYwhA1k_tPjeQjJPTqlm8Gd9eU5g/edit?usp=sharing"",""มหาสารคาม!S722"")+IMPORTRANGE(""https://docs.google.com/spreadsheets/d/1uB74YLqNjWX6FObjekfB2NtSYigTQyR2rq9u4Ub2Sq4/edit?usp=sharing"",""มุกดาหาร!S722"")+IMPORTRANGE(""https://docs.google.com/spreadsheets/"&amp;"d/1NexK3geCPxCTO1fzNF8dPec7yZyUx3OaWkFBC9HsQOo/edit?usp=sharing"",""ยโสธร!S722"")+IMPORTRANGE(""https://docs.google.com/spreadsheets/d/1v_cJrbBlyqmnHPReHk44g9NrMRdENNlSy_E_c5M9fIg/edit?usp=sharing"",""ร้อยเอ็ด!S722"")+IMPORTRANGE(""https://docs.google.com"&amp;"/spreadsheets/d/1Ul4RCpCX66NxYADU1QpwAPjOmBzW64SsT11s1wzXw_c/edit?usp=sharing"",""เลย!S722"")+IMPORTRANGE(""https://docs.google.com/spreadsheets/d/1bRrNKwbHDVktQG10isr5vbWRtt5spIZPpkOSWgbT5ug/edit?usp=sharing"",""ศรีสะเกษ!S722"")+IMPORTRANGE(""https://doc"&amp;"s.google.com/spreadsheets/d/17P34_Ow5kFBfdQD0qspb2UuPX5zpi6WMrQzslghyvrI/edit?usp=sharing"",""สกลนคร!S722"")+IMPORTRANGE(""https://docs.google.com/spreadsheets/d/1yswqbM3-AEpThF3ZSUa1AcmHnmRTF1vlJ1CZGcJ8YuU/edit?usp=sharing"",""สุรินทร์!S722"")+IMPORTRANG"&amp;"E(""https://docs.google.com/spreadsheets/d/13JHU_EFbsQOUQ0JSQ3dWy1VTRosIWcDq6Nc99z2qzdc/edit?usp=sharing"",""หนองคาย!S722"")+IMPORTRANGE(""https://docs.google.com/spreadsheets/d/1Hx73zIEgVdDZZaYSTc46Dqv64atFhpr3GelxLbaIN8A/edit?usp=sharing"",""หนองบัวลำภู"&amp;"!S722"")+IMPORTRANGE(""https://docs.google.com/spreadsheets/d/1lFxr3ctmjFN90yc-xV6jrQ9Ty8BKYVBWnAZ15wcNIJc/edit?usp=sharing"",""อำนาจเจริญ!S722"")+IMPORTRANGE(""https://docs.google.com/spreadsheets/d/1gF7RJpRnL-1oyjyeWxs5SFWEH7y8ahOZsQlyp2A2e-A/edit?usp=s"&amp;"haring"",""อุดรธานี!S722"")+IMPORTRANGE(""https://docs.google.com/spreadsheets/d/1kfLP0j3INXRa8bTDpcEmoWewMBV61jlFlfzczfjWIgc/edit?usp=sharing"",""อุบลราชธานี!S722"")"),0)</f>
        <v>0</v>
      </c>
      <c r="T722" s="56">
        <f t="shared" ca="1" si="492"/>
        <v>0</v>
      </c>
      <c r="U722" s="56">
        <f t="shared" ca="1" si="493"/>
        <v>0</v>
      </c>
    </row>
    <row r="723" spans="1:21" ht="19.5">
      <c r="A723" s="166"/>
      <c r="B723" s="167"/>
      <c r="C723" s="358" t="s">
        <v>18</v>
      </c>
      <c r="D723" s="482" t="s">
        <v>38</v>
      </c>
      <c r="E723" s="169"/>
      <c r="F723" s="169"/>
      <c r="G723" s="170"/>
      <c r="H723" s="206"/>
      <c r="I723" s="163"/>
      <c r="J723" s="163"/>
      <c r="K723" s="164"/>
      <c r="L723" s="164"/>
      <c r="M723" s="164"/>
      <c r="N723" s="164"/>
      <c r="O723" s="164"/>
      <c r="P723" s="164"/>
      <c r="Q723" s="164"/>
      <c r="R723" s="164"/>
      <c r="S723" s="172"/>
      <c r="T723" s="164"/>
      <c r="U723" s="164"/>
    </row>
    <row r="724" spans="1:21" ht="18.75">
      <c r="A724" s="238"/>
      <c r="B724" s="188"/>
      <c r="C724" s="188"/>
      <c r="D724" s="50"/>
      <c r="E724" s="186" t="s">
        <v>268</v>
      </c>
      <c r="F724" s="50"/>
      <c r="G724" s="52"/>
      <c r="H724" s="189" t="s">
        <v>46</v>
      </c>
      <c r="I724" s="483">
        <v>0</v>
      </c>
      <c r="J724" s="54"/>
      <c r="K724" s="55"/>
      <c r="L724" s="55"/>
      <c r="M724" s="55"/>
      <c r="N724" s="55"/>
      <c r="O724" s="55"/>
      <c r="P724" s="55"/>
      <c r="Q724" s="55"/>
      <c r="R724" s="55"/>
      <c r="S724" s="62"/>
      <c r="T724" s="55"/>
      <c r="U724" s="55"/>
    </row>
    <row r="725" spans="1:21" ht="18.75">
      <c r="A725" s="374"/>
      <c r="B725" s="5"/>
      <c r="C725" s="5"/>
      <c r="D725" s="4"/>
      <c r="E725" s="484" t="s">
        <v>269</v>
      </c>
      <c r="F725" s="4"/>
      <c r="G725" s="65"/>
      <c r="H725" s="485" t="s">
        <v>46</v>
      </c>
      <c r="I725" s="486">
        <v>0</v>
      </c>
      <c r="J725" s="67"/>
      <c r="K725" s="6"/>
      <c r="L725" s="6"/>
      <c r="M725" s="6"/>
      <c r="N725" s="6"/>
      <c r="O725" s="6"/>
      <c r="P725" s="6"/>
      <c r="Q725" s="6"/>
      <c r="R725" s="6"/>
      <c r="S725" s="68"/>
      <c r="T725" s="6"/>
      <c r="U725" s="6"/>
    </row>
    <row r="726" spans="1:21" ht="19.5">
      <c r="A726" s="442"/>
      <c r="B726" s="443" t="s">
        <v>270</v>
      </c>
      <c r="C726" s="442"/>
      <c r="D726" s="444"/>
      <c r="E726" s="444"/>
      <c r="F726" s="444"/>
      <c r="G726" s="445"/>
      <c r="H726" s="473" t="s">
        <v>35</v>
      </c>
      <c r="I726" s="474">
        <f ca="1">IFERROR(__xludf.DUMMYFUNCTION("IMPORTRANGE(""https://docs.google.com/spreadsheets/d/1yhBcrRPreicbMKl9Bu_Snb2-OcQAF62RKfhTLhJ2eAA/edit?usp=sharing"",""กาฬสินธุ์!I726"")+IMPORTRANGE(""https://docs.google.com/spreadsheets/d/1aHkj4IaQMThhwWwevcOymEh837vdxeC_PycurhTbGFA/edit?usp=sharing"","&amp;"""ขอนแก่น!I726"")+IMPORTRANGE(""https://docs.google.com/spreadsheets/d/1FvTu2DsIWUjP6WCWra38Bkj_oOl_sOMf14r5Fg5srxU/edit?usp=sharing"",""ชัยภูมิ!I726"")+IMPORTRANGE(""https://docs.google.com/spreadsheets/d/1XVB7oCJ3pr-vBUdflwPQ8Z2LlzhnCvZaaYjAfP-647E/edit"&amp;"?usp=sharing"",""นครพนม!I726"")+IMPORTRANGE(""https://docs.google.com/spreadsheets/d/1Mnpb-8PYAgn85W6KOTD40hc_Xc55CaLfHoGAbrZ8tls/edit?usp=sharing"",""นครราชสีมา!I726"")+IMPORTRANGE(""https://docs.google.com/spreadsheets/d/1xoDLGBv9CYbyosIhki0kTq6IpYNj-gp"&amp;"jxfobnaDiut0/edit?usp=sharing"",""บึงกาฬ!I726"")+IMPORTRANGE(""https://docs.google.com/spreadsheets/d/1MMPq-JyI6DSgQETxuSiXkesP-P7JHuemnE6QJIa-Nlw/edit?usp=sharing"",""บุรีรัมย์!I726"")+IMPORTRANGE(""https://docs.google.com/spreadsheets/d/1l6IZ8xUPgMrESzc"&amp;"TYwhA1k_tPjeQjJPTqlm8Gd9eU5g/edit?usp=sharing"",""มหาสารคาม!I726"")+IMPORTRANGE(""https://docs.google.com/spreadsheets/d/1uB74YLqNjWX6FObjekfB2NtSYigTQyR2rq9u4Ub2Sq4/edit?usp=sharing"",""มุกดาหาร!I726"")+IMPORTRANGE(""https://docs.google.com/spreadsheets/"&amp;"d/1NexK3geCPxCTO1fzNF8dPec7yZyUx3OaWkFBC9HsQOo/edit?usp=sharing"",""ยโสธร!I726"")+IMPORTRANGE(""https://docs.google.com/spreadsheets/d/1v_cJrbBlyqmnHPReHk44g9NrMRdENNlSy_E_c5M9fIg/edit?usp=sharing"",""ร้อยเอ็ด!I726"")+IMPORTRANGE(""https://docs.google.com"&amp;"/spreadsheets/d/1Ul4RCpCX66NxYADU1QpwAPjOmBzW64SsT11s1wzXw_c/edit?usp=sharing"",""เลย!I726"")+IMPORTRANGE(""https://docs.google.com/spreadsheets/d/1bRrNKwbHDVktQG10isr5vbWRtt5spIZPpkOSWgbT5ug/edit?usp=sharing"",""ศรีสะเกษ!I726"")+IMPORTRANGE(""https://doc"&amp;"s.google.com/spreadsheets/d/17P34_Ow5kFBfdQD0qspb2UuPX5zpi6WMrQzslghyvrI/edit?usp=sharing"",""สกลนคร!I726"")+IMPORTRANGE(""https://docs.google.com/spreadsheets/d/1yswqbM3-AEpThF3ZSUa1AcmHnmRTF1vlJ1CZGcJ8YuU/edit?usp=sharing"",""สุรินทร์!I726"")+IMPORTRANG"&amp;"E(""https://docs.google.com/spreadsheets/d/13JHU_EFbsQOUQ0JSQ3dWy1VTRosIWcDq6Nc99z2qzdc/edit?usp=sharing"",""หนองคาย!I726"")+IMPORTRANGE(""https://docs.google.com/spreadsheets/d/1Hx73zIEgVdDZZaYSTc46Dqv64atFhpr3GelxLbaIN8A/edit?usp=sharing"",""หนองบัวลำภู"&amp;"!I726"")+IMPORTRANGE(""https://docs.google.com/spreadsheets/d/1lFxr3ctmjFN90yc-xV6jrQ9Ty8BKYVBWnAZ15wcNIJc/edit?usp=sharing"",""อำนาจเจริญ!I726"")+IMPORTRANGE(""https://docs.google.com/spreadsheets/d/1gF7RJpRnL-1oyjyeWxs5SFWEH7y8ahOZsQlyp2A2e-A/edit?usp=s"&amp;"haring"",""อุดรธานี!I726"")+IMPORTRANGE(""https://docs.google.com/spreadsheets/d/1kfLP0j3INXRa8bTDpcEmoWewMBV61jlFlfzczfjWIgc/edit?usp=sharing"",""อุบลราชธานี!I726"")"),2202)</f>
        <v>2202</v>
      </c>
      <c r="J726" s="474">
        <f ca="1">J742+J746+J749</f>
        <v>950</v>
      </c>
      <c r="K726" s="475">
        <f t="shared" ref="K726:K727" ca="1" si="502">IF(I726&gt;0,J726*100/I726,0)</f>
        <v>43.142597638510445</v>
      </c>
      <c r="L726" s="448"/>
      <c r="M726" s="448"/>
      <c r="N726" s="448"/>
      <c r="O726" s="448"/>
      <c r="P726" s="448"/>
      <c r="Q726" s="448"/>
      <c r="R726" s="448"/>
      <c r="S726" s="449"/>
      <c r="T726" s="448"/>
      <c r="U726" s="448"/>
    </row>
    <row r="727" spans="1:21" ht="19.5">
      <c r="A727" s="487"/>
      <c r="B727" s="442"/>
      <c r="C727" s="442"/>
      <c r="D727" s="444"/>
      <c r="E727" s="444"/>
      <c r="F727" s="444"/>
      <c r="G727" s="445"/>
      <c r="H727" s="473" t="s">
        <v>46</v>
      </c>
      <c r="I727" s="474">
        <f ca="1">IFERROR(__xludf.DUMMYFUNCTION("IMPORTRANGE(""https://docs.google.com/spreadsheets/d/1yhBcrRPreicbMKl9Bu_Snb2-OcQAF62RKfhTLhJ2eAA/edit?usp=sharing"",""กาฬสินธุ์!I727"")+IMPORTRANGE(""https://docs.google.com/spreadsheets/d/1aHkj4IaQMThhwWwevcOymEh837vdxeC_PycurhTbGFA/edit?usp=sharing"","&amp;"""ขอนแก่น!I727"")+IMPORTRANGE(""https://docs.google.com/spreadsheets/d/1FvTu2DsIWUjP6WCWra38Bkj_oOl_sOMf14r5Fg5srxU/edit?usp=sharing"",""ชัยภูมิ!I727"")+IMPORTRANGE(""https://docs.google.com/spreadsheets/d/1XVB7oCJ3pr-vBUdflwPQ8Z2LlzhnCvZaaYjAfP-647E/edit"&amp;"?usp=sharing"",""นครพนม!I727"")+IMPORTRANGE(""https://docs.google.com/spreadsheets/d/1Mnpb-8PYAgn85W6KOTD40hc_Xc55CaLfHoGAbrZ8tls/edit?usp=sharing"",""นครราชสีมา!I727"")+IMPORTRANGE(""https://docs.google.com/spreadsheets/d/1xoDLGBv9CYbyosIhki0kTq6IpYNj-gp"&amp;"jxfobnaDiut0/edit?usp=sharing"",""บึงกาฬ!I727"")+IMPORTRANGE(""https://docs.google.com/spreadsheets/d/1MMPq-JyI6DSgQETxuSiXkesP-P7JHuemnE6QJIa-Nlw/edit?usp=sharing"",""บุรีรัมย์!I727"")+IMPORTRANGE(""https://docs.google.com/spreadsheets/d/1l6IZ8xUPgMrESzc"&amp;"TYwhA1k_tPjeQjJPTqlm8Gd9eU5g/edit?usp=sharing"",""มหาสารคาม!I727"")+IMPORTRANGE(""https://docs.google.com/spreadsheets/d/1uB74YLqNjWX6FObjekfB2NtSYigTQyR2rq9u4Ub2Sq4/edit?usp=sharing"",""มุกดาหาร!I727"")+IMPORTRANGE(""https://docs.google.com/spreadsheets/"&amp;"d/1NexK3geCPxCTO1fzNF8dPec7yZyUx3OaWkFBC9HsQOo/edit?usp=sharing"",""ยโสธร!I727"")+IMPORTRANGE(""https://docs.google.com/spreadsheets/d/1v_cJrbBlyqmnHPReHk44g9NrMRdENNlSy_E_c5M9fIg/edit?usp=sharing"",""ร้อยเอ็ด!I727"")+IMPORTRANGE(""https://docs.google.com"&amp;"/spreadsheets/d/1Ul4RCpCX66NxYADU1QpwAPjOmBzW64SsT11s1wzXw_c/edit?usp=sharing"",""เลย!I727"")+IMPORTRANGE(""https://docs.google.com/spreadsheets/d/1bRrNKwbHDVktQG10isr5vbWRtt5spIZPpkOSWgbT5ug/edit?usp=sharing"",""ศรีสะเกษ!I727"")+IMPORTRANGE(""https://doc"&amp;"s.google.com/spreadsheets/d/17P34_Ow5kFBfdQD0qspb2UuPX5zpi6WMrQzslghyvrI/edit?usp=sharing"",""สกลนคร!I727"")+IMPORTRANGE(""https://docs.google.com/spreadsheets/d/1yswqbM3-AEpThF3ZSUa1AcmHnmRTF1vlJ1CZGcJ8YuU/edit?usp=sharing"",""สุรินทร์!I727"")+IMPORTRANG"&amp;"E(""https://docs.google.com/spreadsheets/d/13JHU_EFbsQOUQ0JSQ3dWy1VTRosIWcDq6Nc99z2qzdc/edit?usp=sharing"",""หนองคาย!I727"")+IMPORTRANGE(""https://docs.google.com/spreadsheets/d/1Hx73zIEgVdDZZaYSTc46Dqv64atFhpr3GelxLbaIN8A/edit?usp=sharing"",""หนองบัวลำภู"&amp;"!I727"")+IMPORTRANGE(""https://docs.google.com/spreadsheets/d/1lFxr3ctmjFN90yc-xV6jrQ9Ty8BKYVBWnAZ15wcNIJc/edit?usp=sharing"",""อำนาจเจริญ!I727"")+IMPORTRANGE(""https://docs.google.com/spreadsheets/d/1gF7RJpRnL-1oyjyeWxs5SFWEH7y8ahOZsQlyp2A2e-A/edit?usp=s"&amp;"haring"",""อุดรธานี!I727"")+IMPORTRANGE(""https://docs.google.com/spreadsheets/d/1kfLP0j3INXRa8bTDpcEmoWewMBV61jlFlfzczfjWIgc/edit?usp=sharing"",""อุบลราชธานี!I727"")"),21500)</f>
        <v>21500</v>
      </c>
      <c r="J727" s="474">
        <f ca="1">J752+J755</f>
        <v>0</v>
      </c>
      <c r="K727" s="475">
        <f t="shared" ca="1" si="502"/>
        <v>0</v>
      </c>
      <c r="L727" s="448"/>
      <c r="M727" s="448"/>
      <c r="N727" s="448"/>
      <c r="O727" s="448"/>
      <c r="P727" s="448"/>
      <c r="Q727" s="448"/>
      <c r="R727" s="448"/>
      <c r="S727" s="449"/>
      <c r="T727" s="448"/>
      <c r="U727" s="448"/>
    </row>
    <row r="728" spans="1:21" ht="19.5">
      <c r="A728" s="155"/>
      <c r="B728" s="188"/>
      <c r="C728" s="205" t="s">
        <v>18</v>
      </c>
      <c r="D728" s="531" t="s">
        <v>19</v>
      </c>
      <c r="E728" s="529"/>
      <c r="F728" s="529"/>
      <c r="G728" s="530"/>
      <c r="H728" s="252" t="s">
        <v>14</v>
      </c>
      <c r="I728" s="54"/>
      <c r="J728" s="54"/>
      <c r="K728" s="55"/>
      <c r="L728" s="159">
        <f t="shared" ref="L728:N728" ca="1" si="503">L729+L730</f>
        <v>0</v>
      </c>
      <c r="M728" s="159">
        <f t="shared" ca="1" si="503"/>
        <v>0</v>
      </c>
      <c r="N728" s="159">
        <f t="shared" ca="1" si="503"/>
        <v>0</v>
      </c>
      <c r="O728" s="159">
        <f t="shared" ref="O728:O736" ca="1" si="504">IF(L728&gt;0,N728*100/L728,0)</f>
        <v>0</v>
      </c>
      <c r="P728" s="159">
        <f t="shared" ref="P728:P736" ca="1" si="505">IF(M728&gt;0,N728*100/M728,0)</f>
        <v>0</v>
      </c>
      <c r="Q728" s="159">
        <f t="shared" ref="Q728:S728" ca="1" si="506">Q729+Q730</f>
        <v>17312240</v>
      </c>
      <c r="R728" s="159">
        <f t="shared" ca="1" si="506"/>
        <v>17312240</v>
      </c>
      <c r="S728" s="160">
        <f t="shared" ca="1" si="506"/>
        <v>1755910.5799999901</v>
      </c>
      <c r="T728" s="159">
        <f t="shared" ref="T728:T736" ca="1" si="507">IF(Q728&gt;0,S728*100/Q728,0)</f>
        <v>10.142596105414379</v>
      </c>
      <c r="U728" s="159">
        <f t="shared" ref="U728:U736" ca="1" si="508">IF(R728&gt;0,S728*100/R728,0)</f>
        <v>10.142596105414379</v>
      </c>
    </row>
    <row r="729" spans="1:21" ht="18.75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59">
        <f t="shared" ref="L729:N729" ca="1" si="509">L732+L735</f>
        <v>0</v>
      </c>
      <c r="M729" s="59">
        <f t="shared" ca="1" si="509"/>
        <v>0</v>
      </c>
      <c r="N729" s="59">
        <f t="shared" ca="1" si="509"/>
        <v>0</v>
      </c>
      <c r="O729" s="59">
        <f t="shared" ca="1" si="504"/>
        <v>0</v>
      </c>
      <c r="P729" s="59">
        <f t="shared" ca="1" si="505"/>
        <v>0</v>
      </c>
      <c r="Q729" s="59">
        <f t="shared" ref="Q729:S729" ca="1" si="510">Q732+Q735</f>
        <v>0</v>
      </c>
      <c r="R729" s="59">
        <f t="shared" ca="1" si="510"/>
        <v>0</v>
      </c>
      <c r="S729" s="60">
        <f t="shared" ca="1" si="510"/>
        <v>0</v>
      </c>
      <c r="T729" s="59">
        <f t="shared" ca="1" si="507"/>
        <v>0</v>
      </c>
      <c r="U729" s="59">
        <f t="shared" ca="1" si="508"/>
        <v>0</v>
      </c>
    </row>
    <row r="730" spans="1:21" ht="18.75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56">
        <f t="shared" ref="L730:N730" ca="1" si="511">L733+L736</f>
        <v>0</v>
      </c>
      <c r="M730" s="56">
        <f t="shared" ca="1" si="511"/>
        <v>0</v>
      </c>
      <c r="N730" s="56">
        <f t="shared" ca="1" si="511"/>
        <v>0</v>
      </c>
      <c r="O730" s="56">
        <f t="shared" ca="1" si="504"/>
        <v>0</v>
      </c>
      <c r="P730" s="56">
        <f t="shared" ca="1" si="505"/>
        <v>0</v>
      </c>
      <c r="Q730" s="56">
        <f t="shared" ref="Q730:S730" ca="1" si="512">Q733+Q736</f>
        <v>17312240</v>
      </c>
      <c r="R730" s="56">
        <f t="shared" ca="1" si="512"/>
        <v>17312240</v>
      </c>
      <c r="S730" s="57">
        <f t="shared" ca="1" si="512"/>
        <v>1755910.5799999901</v>
      </c>
      <c r="T730" s="56">
        <f t="shared" ca="1" si="507"/>
        <v>10.142596105414379</v>
      </c>
      <c r="U730" s="56">
        <f t="shared" ca="1" si="508"/>
        <v>10.142596105414379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56">
        <f t="shared" ref="L731:N731" ca="1" si="513">L732+L733</f>
        <v>0</v>
      </c>
      <c r="M731" s="56">
        <f t="shared" ca="1" si="513"/>
        <v>0</v>
      </c>
      <c r="N731" s="56">
        <f t="shared" ca="1" si="513"/>
        <v>0</v>
      </c>
      <c r="O731" s="56">
        <f t="shared" ca="1" si="504"/>
        <v>0</v>
      </c>
      <c r="P731" s="56">
        <f t="shared" ca="1" si="505"/>
        <v>0</v>
      </c>
      <c r="Q731" s="56">
        <f t="shared" ref="Q731:S731" ca="1" si="514">Q732+Q733</f>
        <v>17312240</v>
      </c>
      <c r="R731" s="56">
        <f t="shared" ca="1" si="514"/>
        <v>17312240</v>
      </c>
      <c r="S731" s="57">
        <f t="shared" ca="1" si="514"/>
        <v>1755910.5799999901</v>
      </c>
      <c r="T731" s="56">
        <f t="shared" ca="1" si="507"/>
        <v>10.142596105414379</v>
      </c>
      <c r="U731" s="56">
        <f t="shared" ca="1" si="508"/>
        <v>10.142596105414379</v>
      </c>
    </row>
    <row r="732" spans="1:21" ht="18.75">
      <c r="A732" s="155"/>
      <c r="B732" s="188"/>
      <c r="C732" s="188"/>
      <c r="D732" s="174"/>
      <c r="E732" s="186" t="s">
        <v>159</v>
      </c>
      <c r="F732" s="50"/>
      <c r="G732" s="52"/>
      <c r="H732" s="189" t="s">
        <v>14</v>
      </c>
      <c r="I732" s="54"/>
      <c r="J732" s="54"/>
      <c r="K732" s="55"/>
      <c r="L732" s="59">
        <f ca="1">IFERROR(__xludf.DUMMYFUNCTION("IMPORTRANGE(""https://docs.google.com/spreadsheets/d/1yhBcrRPreicbMKl9Bu_Snb2-OcQAF62RKfhTLhJ2eAA/edit?usp=sharing"",""กาฬสินธุ์!L732"")+IMPORTRANGE(""https://docs.google.com/spreadsheets/d/1aHkj4IaQMThhwWwevcOymEh837vdxeC_PycurhTbGFA/edit?usp=sharing"","&amp;"""ขอนแก่น!L732"")+IMPORTRANGE(""https://docs.google.com/spreadsheets/d/1FvTu2DsIWUjP6WCWra38Bkj_oOl_sOMf14r5Fg5srxU/edit?usp=sharing"",""ชัยภูมิ!L732"")+IMPORTRANGE(""https://docs.google.com/spreadsheets/d/1XVB7oCJ3pr-vBUdflwPQ8Z2LlzhnCvZaaYjAfP-647E/edit"&amp;"?usp=sharing"",""นครพนม!L732"")+IMPORTRANGE(""https://docs.google.com/spreadsheets/d/1Mnpb-8PYAgn85W6KOTD40hc_Xc55CaLfHoGAbrZ8tls/edit?usp=sharing"",""นครราชสีมา!L732"")+IMPORTRANGE(""https://docs.google.com/spreadsheets/d/1xoDLGBv9CYbyosIhki0kTq6IpYNj-gp"&amp;"jxfobnaDiut0/edit?usp=sharing"",""บึงกาฬ!L732"")+IMPORTRANGE(""https://docs.google.com/spreadsheets/d/1MMPq-JyI6DSgQETxuSiXkesP-P7JHuemnE6QJIa-Nlw/edit?usp=sharing"",""บุรีรัมย์!L732"")+IMPORTRANGE(""https://docs.google.com/spreadsheets/d/1l6IZ8xUPgMrESzc"&amp;"TYwhA1k_tPjeQjJPTqlm8Gd9eU5g/edit?usp=sharing"",""มหาสารคาม!L732"")+IMPORTRANGE(""https://docs.google.com/spreadsheets/d/1uB74YLqNjWX6FObjekfB2NtSYigTQyR2rq9u4Ub2Sq4/edit?usp=sharing"",""มุกดาหาร!L732"")+IMPORTRANGE(""https://docs.google.com/spreadsheets/"&amp;"d/1NexK3geCPxCTO1fzNF8dPec7yZyUx3OaWkFBC9HsQOo/edit?usp=sharing"",""ยโสธร!L732"")+IMPORTRANGE(""https://docs.google.com/spreadsheets/d/1v_cJrbBlyqmnHPReHk44g9NrMRdENNlSy_E_c5M9fIg/edit?usp=sharing"",""ร้อยเอ็ด!L732"")+IMPORTRANGE(""https://docs.google.com"&amp;"/spreadsheets/d/1Ul4RCpCX66NxYADU1QpwAPjOmBzW64SsT11s1wzXw_c/edit?usp=sharing"",""เลย!L732"")+IMPORTRANGE(""https://docs.google.com/spreadsheets/d/1bRrNKwbHDVktQG10isr5vbWRtt5spIZPpkOSWgbT5ug/edit?usp=sharing"",""ศรีสะเกษ!L732"")+IMPORTRANGE(""https://doc"&amp;"s.google.com/spreadsheets/d/17P34_Ow5kFBfdQD0qspb2UuPX5zpi6WMrQzslghyvrI/edit?usp=sharing"",""สกลนคร!L732"")+IMPORTRANGE(""https://docs.google.com/spreadsheets/d/1yswqbM3-AEpThF3ZSUa1AcmHnmRTF1vlJ1CZGcJ8YuU/edit?usp=sharing"",""สุรินทร์!L732"")+IMPORTRANG"&amp;"E(""https://docs.google.com/spreadsheets/d/13JHU_EFbsQOUQ0JSQ3dWy1VTRosIWcDq6Nc99z2qzdc/edit?usp=sharing"",""หนองคาย!L732"")+IMPORTRANGE(""https://docs.google.com/spreadsheets/d/1Hx73zIEgVdDZZaYSTc46Dqv64atFhpr3GelxLbaIN8A/edit?usp=sharing"",""หนองบัวลำภู"&amp;"!L732"")+IMPORTRANGE(""https://docs.google.com/spreadsheets/d/1lFxr3ctmjFN90yc-xV6jrQ9Ty8BKYVBWnAZ15wcNIJc/edit?usp=sharing"",""อำนาจเจริญ!L732"")+IMPORTRANGE(""https://docs.google.com/spreadsheets/d/1gF7RJpRnL-1oyjyeWxs5SFWEH7y8ahOZsQlyp2A2e-A/edit?usp=s"&amp;"haring"",""อุดรธานี!L732"")+IMPORTRANGE(""https://docs.google.com/spreadsheets/d/1kfLP0j3INXRa8bTDpcEmoWewMBV61jlFlfzczfjWIgc/edit?usp=sharing"",""อุบลราชธานี!L732"")"),0)</f>
        <v>0</v>
      </c>
      <c r="M732" s="59">
        <f ca="1">IFERROR(__xludf.DUMMYFUNCTION("IMPORTRANGE(""https://docs.google.com/spreadsheets/d/1yhBcrRPreicbMKl9Bu_Snb2-OcQAF62RKfhTLhJ2eAA/edit?usp=sharing"",""กาฬสินธุ์!M732"")+IMPORTRANGE(""https://docs.google.com/spreadsheets/d/1aHkj4IaQMThhwWwevcOymEh837vdxeC_PycurhTbGFA/edit?usp=sharing"","&amp;"""ขอนแก่น!M732"")+IMPORTRANGE(""https://docs.google.com/spreadsheets/d/1FvTu2DsIWUjP6WCWra38Bkj_oOl_sOMf14r5Fg5srxU/edit?usp=sharing"",""ชัยภูมิ!M732"")+IMPORTRANGE(""https://docs.google.com/spreadsheets/d/1XVB7oCJ3pr-vBUdflwPQ8Z2LlzhnCvZaaYjAfP-647E/edit"&amp;"?usp=sharing"",""นครพนม!M732"")+IMPORTRANGE(""https://docs.google.com/spreadsheets/d/1Mnpb-8PYAgn85W6KOTD40hc_Xc55CaLfHoGAbrZ8tls/edit?usp=sharing"",""นครราชสีมา!M732"")+IMPORTRANGE(""https://docs.google.com/spreadsheets/d/1xoDLGBv9CYbyosIhki0kTq6IpYNj-gp"&amp;"jxfobnaDiut0/edit?usp=sharing"",""บึงกาฬ!M732"")+IMPORTRANGE(""https://docs.google.com/spreadsheets/d/1MMPq-JyI6DSgQETxuSiXkesP-P7JHuemnE6QJIa-Nlw/edit?usp=sharing"",""บุรีรัมย์!M732"")+IMPORTRANGE(""https://docs.google.com/spreadsheets/d/1l6IZ8xUPgMrESzc"&amp;"TYwhA1k_tPjeQjJPTqlm8Gd9eU5g/edit?usp=sharing"",""มหาสารคาม!M732"")+IMPORTRANGE(""https://docs.google.com/spreadsheets/d/1uB74YLqNjWX6FObjekfB2NtSYigTQyR2rq9u4Ub2Sq4/edit?usp=sharing"",""มุกดาหาร!M732"")+IMPORTRANGE(""https://docs.google.com/spreadsheets/"&amp;"d/1NexK3geCPxCTO1fzNF8dPec7yZyUx3OaWkFBC9HsQOo/edit?usp=sharing"",""ยโสธร!M732"")+IMPORTRANGE(""https://docs.google.com/spreadsheets/d/1v_cJrbBlyqmnHPReHk44g9NrMRdENNlSy_E_c5M9fIg/edit?usp=sharing"",""ร้อยเอ็ด!M732"")+IMPORTRANGE(""https://docs.google.com"&amp;"/spreadsheets/d/1Ul4RCpCX66NxYADU1QpwAPjOmBzW64SsT11s1wzXw_c/edit?usp=sharing"",""เลย!M732"")+IMPORTRANGE(""https://docs.google.com/spreadsheets/d/1bRrNKwbHDVktQG10isr5vbWRtt5spIZPpkOSWgbT5ug/edit?usp=sharing"",""ศรีสะเกษ!M732"")+IMPORTRANGE(""https://doc"&amp;"s.google.com/spreadsheets/d/17P34_Ow5kFBfdQD0qspb2UuPX5zpi6WMrQzslghyvrI/edit?usp=sharing"",""สกลนคร!M732"")+IMPORTRANGE(""https://docs.google.com/spreadsheets/d/1yswqbM3-AEpThF3ZSUa1AcmHnmRTF1vlJ1CZGcJ8YuU/edit?usp=sharing"",""สุรินทร์!M732"")+IMPORTRANG"&amp;"E(""https://docs.google.com/spreadsheets/d/13JHU_EFbsQOUQ0JSQ3dWy1VTRosIWcDq6Nc99z2qzdc/edit?usp=sharing"",""หนองคาย!M732"")+IMPORTRANGE(""https://docs.google.com/spreadsheets/d/1Hx73zIEgVdDZZaYSTc46Dqv64atFhpr3GelxLbaIN8A/edit?usp=sharing"",""หนองบัวลำภู"&amp;"!M732"")+IMPORTRANGE(""https://docs.google.com/spreadsheets/d/1lFxr3ctmjFN90yc-xV6jrQ9Ty8BKYVBWnAZ15wcNIJc/edit?usp=sharing"",""อำนาจเจริญ!M732"")+IMPORTRANGE(""https://docs.google.com/spreadsheets/d/1gF7RJpRnL-1oyjyeWxs5SFWEH7y8ahOZsQlyp2A2e-A/edit?usp=s"&amp;"haring"",""อุดรธานี!M732"")+IMPORTRANGE(""https://docs.google.com/spreadsheets/d/1kfLP0j3INXRa8bTDpcEmoWewMBV61jlFlfzczfjWIgc/edit?usp=sharing"",""อุบลราชธานี!M732"")"),0)</f>
        <v>0</v>
      </c>
      <c r="N732" s="59">
        <f ca="1">IFERROR(__xludf.DUMMYFUNCTION("IMPORTRANGE(""https://docs.google.com/spreadsheets/d/1yhBcrRPreicbMKl9Bu_Snb2-OcQAF62RKfhTLhJ2eAA/edit?usp=sharing"",""กาฬสินธุ์!N732"")+IMPORTRANGE(""https://docs.google.com/spreadsheets/d/1aHkj4IaQMThhwWwevcOymEh837vdxeC_PycurhTbGFA/edit?usp=sharing"","&amp;"""ขอนแก่น!N732"")+IMPORTRANGE(""https://docs.google.com/spreadsheets/d/1FvTu2DsIWUjP6WCWra38Bkj_oOl_sOMf14r5Fg5srxU/edit?usp=sharing"",""ชัยภูมิ!N732"")+IMPORTRANGE(""https://docs.google.com/spreadsheets/d/1XVB7oCJ3pr-vBUdflwPQ8Z2LlzhnCvZaaYjAfP-647E/edit"&amp;"?usp=sharing"",""นครพนม!N732"")+IMPORTRANGE(""https://docs.google.com/spreadsheets/d/1Mnpb-8PYAgn85W6KOTD40hc_Xc55CaLfHoGAbrZ8tls/edit?usp=sharing"",""นครราชสีมา!N732"")+IMPORTRANGE(""https://docs.google.com/spreadsheets/d/1xoDLGBv9CYbyosIhki0kTq6IpYNj-gp"&amp;"jxfobnaDiut0/edit?usp=sharing"",""บึงกาฬ!N732"")+IMPORTRANGE(""https://docs.google.com/spreadsheets/d/1MMPq-JyI6DSgQETxuSiXkesP-P7JHuemnE6QJIa-Nlw/edit?usp=sharing"",""บุรีรัมย์!N732"")+IMPORTRANGE(""https://docs.google.com/spreadsheets/d/1l6IZ8xUPgMrESzc"&amp;"TYwhA1k_tPjeQjJPTqlm8Gd9eU5g/edit?usp=sharing"",""มหาสารคาม!N732"")+IMPORTRANGE(""https://docs.google.com/spreadsheets/d/1uB74YLqNjWX6FObjekfB2NtSYigTQyR2rq9u4Ub2Sq4/edit?usp=sharing"",""มุกดาหาร!N732"")+IMPORTRANGE(""https://docs.google.com/spreadsheets/"&amp;"d/1NexK3geCPxCTO1fzNF8dPec7yZyUx3OaWkFBC9HsQOo/edit?usp=sharing"",""ยโสธร!N732"")+IMPORTRANGE(""https://docs.google.com/spreadsheets/d/1v_cJrbBlyqmnHPReHk44g9NrMRdENNlSy_E_c5M9fIg/edit?usp=sharing"",""ร้อยเอ็ด!N732"")+IMPORTRANGE(""https://docs.google.com"&amp;"/spreadsheets/d/1Ul4RCpCX66NxYADU1QpwAPjOmBzW64SsT11s1wzXw_c/edit?usp=sharing"",""เลย!N732"")+IMPORTRANGE(""https://docs.google.com/spreadsheets/d/1bRrNKwbHDVktQG10isr5vbWRtt5spIZPpkOSWgbT5ug/edit?usp=sharing"",""ศรีสะเกษ!N732"")+IMPORTRANGE(""https://doc"&amp;"s.google.com/spreadsheets/d/17P34_Ow5kFBfdQD0qspb2UuPX5zpi6WMrQzslghyvrI/edit?usp=sharing"",""สกลนคร!N732"")+IMPORTRANGE(""https://docs.google.com/spreadsheets/d/1yswqbM3-AEpThF3ZSUa1AcmHnmRTF1vlJ1CZGcJ8YuU/edit?usp=sharing"",""สุรินทร์!N732"")+IMPORTRANG"&amp;"E(""https://docs.google.com/spreadsheets/d/13JHU_EFbsQOUQ0JSQ3dWy1VTRosIWcDq6Nc99z2qzdc/edit?usp=sharing"",""หนองคาย!N732"")+IMPORTRANGE(""https://docs.google.com/spreadsheets/d/1Hx73zIEgVdDZZaYSTc46Dqv64atFhpr3GelxLbaIN8A/edit?usp=sharing"",""หนองบัวลำภู"&amp;"!N732"")+IMPORTRANGE(""https://docs.google.com/spreadsheets/d/1lFxr3ctmjFN90yc-xV6jrQ9Ty8BKYVBWnAZ15wcNIJc/edit?usp=sharing"",""อำนาจเจริญ!N732"")+IMPORTRANGE(""https://docs.google.com/spreadsheets/d/1gF7RJpRnL-1oyjyeWxs5SFWEH7y8ahOZsQlyp2A2e-A/edit?usp=s"&amp;"haring"",""อุดรธานี!N732"")+IMPORTRANGE(""https://docs.google.com/spreadsheets/d/1kfLP0j3INXRa8bTDpcEmoWewMBV61jlFlfzczfjWIgc/edit?usp=sharing"",""อุบลราชธานี!N732"")"),0)</f>
        <v>0</v>
      </c>
      <c r="O732" s="59">
        <f t="shared" ca="1" si="504"/>
        <v>0</v>
      </c>
      <c r="P732" s="59">
        <f t="shared" ca="1" si="505"/>
        <v>0</v>
      </c>
      <c r="Q732" s="59">
        <f ca="1">IFERROR(__xludf.DUMMYFUNCTION("IMPORTRANGE(""https://docs.google.com/spreadsheets/d/1yhBcrRPreicbMKl9Bu_Snb2-OcQAF62RKfhTLhJ2eAA/edit?usp=sharing"",""กาฬสินธุ์!Q732"")+IMPORTRANGE(""https://docs.google.com/spreadsheets/d/1aHkj4IaQMThhwWwevcOymEh837vdxeC_PycurhTbGFA/edit?usp=sharing"","&amp;"""ขอนแก่น!Q732"")+IMPORTRANGE(""https://docs.google.com/spreadsheets/d/1FvTu2DsIWUjP6WCWra38Bkj_oOl_sOMf14r5Fg5srxU/edit?usp=sharing"",""ชัยภูมิ!Q732"")+IMPORTRANGE(""https://docs.google.com/spreadsheets/d/1XVB7oCJ3pr-vBUdflwPQ8Z2LlzhnCvZaaYjAfP-647E/edit"&amp;"?usp=sharing"",""นครพนม!Q732"")+IMPORTRANGE(""https://docs.google.com/spreadsheets/d/1Mnpb-8PYAgn85W6KOTD40hc_Xc55CaLfHoGAbrZ8tls/edit?usp=sharing"",""นครราชสีมา!Q732"")+IMPORTRANGE(""https://docs.google.com/spreadsheets/d/1xoDLGBv9CYbyosIhki0kTq6IpYNj-gp"&amp;"jxfobnaDiut0/edit?usp=sharing"",""บึงกาฬ!Q732"")+IMPORTRANGE(""https://docs.google.com/spreadsheets/d/1MMPq-JyI6DSgQETxuSiXkesP-P7JHuemnE6QJIa-Nlw/edit?usp=sharing"",""บุรีรัมย์!Q732"")+IMPORTRANGE(""https://docs.google.com/spreadsheets/d/1l6IZ8xUPgMrESzc"&amp;"TYwhA1k_tPjeQjJPTqlm8Gd9eU5g/edit?usp=sharing"",""มหาสารคาม!Q732"")+IMPORTRANGE(""https://docs.google.com/spreadsheets/d/1uB74YLqNjWX6FObjekfB2NtSYigTQyR2rq9u4Ub2Sq4/edit?usp=sharing"",""มุกดาหาร!Q732"")+IMPORTRANGE(""https://docs.google.com/spreadsheets/"&amp;"d/1NexK3geCPxCTO1fzNF8dPec7yZyUx3OaWkFBC9HsQOo/edit?usp=sharing"",""ยโสธร!Q732"")+IMPORTRANGE(""https://docs.google.com/spreadsheets/d/1v_cJrbBlyqmnHPReHk44g9NrMRdENNlSy_E_c5M9fIg/edit?usp=sharing"",""ร้อยเอ็ด!Q732"")+IMPORTRANGE(""https://docs.google.com"&amp;"/spreadsheets/d/1Ul4RCpCX66NxYADU1QpwAPjOmBzW64SsT11s1wzXw_c/edit?usp=sharing"",""เลย!Q732"")+IMPORTRANGE(""https://docs.google.com/spreadsheets/d/1bRrNKwbHDVktQG10isr5vbWRtt5spIZPpkOSWgbT5ug/edit?usp=sharing"",""ศรีสะเกษ!Q732"")+IMPORTRANGE(""https://doc"&amp;"s.google.com/spreadsheets/d/17P34_Ow5kFBfdQD0qspb2UuPX5zpi6WMrQzslghyvrI/edit?usp=sharing"",""สกลนคร!Q732"")+IMPORTRANGE(""https://docs.google.com/spreadsheets/d/1yswqbM3-AEpThF3ZSUa1AcmHnmRTF1vlJ1CZGcJ8YuU/edit?usp=sharing"",""สุรินทร์!Q732"")+IMPORTRANG"&amp;"E(""https://docs.google.com/spreadsheets/d/13JHU_EFbsQOUQ0JSQ3dWy1VTRosIWcDq6Nc99z2qzdc/edit?usp=sharing"",""หนองคาย!Q732"")+IMPORTRANGE(""https://docs.google.com/spreadsheets/d/1Hx73zIEgVdDZZaYSTc46Dqv64atFhpr3GelxLbaIN8A/edit?usp=sharing"",""หนองบัวลำภู"&amp;"!Q732"")+IMPORTRANGE(""https://docs.google.com/spreadsheets/d/1lFxr3ctmjFN90yc-xV6jrQ9Ty8BKYVBWnAZ15wcNIJc/edit?usp=sharing"",""อำนาจเจริญ!Q732"")+IMPORTRANGE(""https://docs.google.com/spreadsheets/d/1gF7RJpRnL-1oyjyeWxs5SFWEH7y8ahOZsQlyp2A2e-A/edit?usp=s"&amp;"haring"",""อุดรธานี!Q732"")+IMPORTRANGE(""https://docs.google.com/spreadsheets/d/1kfLP0j3INXRa8bTDpcEmoWewMBV61jlFlfzczfjWIgc/edit?usp=sharing"",""อุบลราชธานี!Q732"")"),0)</f>
        <v>0</v>
      </c>
      <c r="R732" s="59">
        <f ca="1">IFERROR(__xludf.DUMMYFUNCTION("IMPORTRANGE(""https://docs.google.com/spreadsheets/d/1yhBcrRPreicbMKl9Bu_Snb2-OcQAF62RKfhTLhJ2eAA/edit?usp=sharing"",""กาฬสินธุ์!R732"")+IMPORTRANGE(""https://docs.google.com/spreadsheets/d/1aHkj4IaQMThhwWwevcOymEh837vdxeC_PycurhTbGFA/edit?usp=sharing"","&amp;"""ขอนแก่น!R732"")+IMPORTRANGE(""https://docs.google.com/spreadsheets/d/1FvTu2DsIWUjP6WCWra38Bkj_oOl_sOMf14r5Fg5srxU/edit?usp=sharing"",""ชัยภูมิ!R732"")+IMPORTRANGE(""https://docs.google.com/spreadsheets/d/1XVB7oCJ3pr-vBUdflwPQ8Z2LlzhnCvZaaYjAfP-647E/edit"&amp;"?usp=sharing"",""นครพนม!R732"")+IMPORTRANGE(""https://docs.google.com/spreadsheets/d/1Mnpb-8PYAgn85W6KOTD40hc_Xc55CaLfHoGAbrZ8tls/edit?usp=sharing"",""นครราชสีมา!R732"")+IMPORTRANGE(""https://docs.google.com/spreadsheets/d/1xoDLGBv9CYbyosIhki0kTq6IpYNj-gp"&amp;"jxfobnaDiut0/edit?usp=sharing"",""บึงกาฬ!R732"")+IMPORTRANGE(""https://docs.google.com/spreadsheets/d/1MMPq-JyI6DSgQETxuSiXkesP-P7JHuemnE6QJIa-Nlw/edit?usp=sharing"",""บุรีรัมย์!R732"")+IMPORTRANGE(""https://docs.google.com/spreadsheets/d/1l6IZ8xUPgMrESzc"&amp;"TYwhA1k_tPjeQjJPTqlm8Gd9eU5g/edit?usp=sharing"",""มหาสารคาม!R732"")+IMPORTRANGE(""https://docs.google.com/spreadsheets/d/1uB74YLqNjWX6FObjekfB2NtSYigTQyR2rq9u4Ub2Sq4/edit?usp=sharing"",""มุกดาหาร!R732"")+IMPORTRANGE(""https://docs.google.com/spreadsheets/"&amp;"d/1NexK3geCPxCTO1fzNF8dPec7yZyUx3OaWkFBC9HsQOo/edit?usp=sharing"",""ยโสธร!R732"")+IMPORTRANGE(""https://docs.google.com/spreadsheets/d/1v_cJrbBlyqmnHPReHk44g9NrMRdENNlSy_E_c5M9fIg/edit?usp=sharing"",""ร้อยเอ็ด!R732"")+IMPORTRANGE(""https://docs.google.com"&amp;"/spreadsheets/d/1Ul4RCpCX66NxYADU1QpwAPjOmBzW64SsT11s1wzXw_c/edit?usp=sharing"",""เลย!R732"")+IMPORTRANGE(""https://docs.google.com/spreadsheets/d/1bRrNKwbHDVktQG10isr5vbWRtt5spIZPpkOSWgbT5ug/edit?usp=sharing"",""ศรีสะเกษ!R732"")+IMPORTRANGE(""https://doc"&amp;"s.google.com/spreadsheets/d/17P34_Ow5kFBfdQD0qspb2UuPX5zpi6WMrQzslghyvrI/edit?usp=sharing"",""สกลนคร!R732"")+IMPORTRANGE(""https://docs.google.com/spreadsheets/d/1yswqbM3-AEpThF3ZSUa1AcmHnmRTF1vlJ1CZGcJ8YuU/edit?usp=sharing"",""สุรินทร์!R732"")+IMPORTRANG"&amp;"E(""https://docs.google.com/spreadsheets/d/13JHU_EFbsQOUQ0JSQ3dWy1VTRosIWcDq6Nc99z2qzdc/edit?usp=sharing"",""หนองคาย!R732"")+IMPORTRANGE(""https://docs.google.com/spreadsheets/d/1Hx73zIEgVdDZZaYSTc46Dqv64atFhpr3GelxLbaIN8A/edit?usp=sharing"",""หนองบัวลำภู"&amp;"!R732"")+IMPORTRANGE(""https://docs.google.com/spreadsheets/d/1lFxr3ctmjFN90yc-xV6jrQ9Ty8BKYVBWnAZ15wcNIJc/edit?usp=sharing"",""อำนาจเจริญ!R732"")+IMPORTRANGE(""https://docs.google.com/spreadsheets/d/1gF7RJpRnL-1oyjyeWxs5SFWEH7y8ahOZsQlyp2A2e-A/edit?usp=s"&amp;"haring"",""อุดรธานี!R732"")+IMPORTRANGE(""https://docs.google.com/spreadsheets/d/1kfLP0j3INXRa8bTDpcEmoWewMBV61jlFlfzczfjWIgc/edit?usp=sharing"",""อุบลราชธานี!R732"")"),0)</f>
        <v>0</v>
      </c>
      <c r="S732" s="60">
        <f ca="1">IFERROR(__xludf.DUMMYFUNCTION("IMPORTRANGE(""https://docs.google.com/spreadsheets/d/1yhBcrRPreicbMKl9Bu_Snb2-OcQAF62RKfhTLhJ2eAA/edit?usp=sharing"",""กาฬสินธุ์!S732"")+IMPORTRANGE(""https://docs.google.com/spreadsheets/d/1aHkj4IaQMThhwWwevcOymEh837vdxeC_PycurhTbGFA/edit?usp=sharing"","&amp;"""ขอนแก่น!S732"")+IMPORTRANGE(""https://docs.google.com/spreadsheets/d/1FvTu2DsIWUjP6WCWra38Bkj_oOl_sOMf14r5Fg5srxU/edit?usp=sharing"",""ชัยภูมิ!S732"")+IMPORTRANGE(""https://docs.google.com/spreadsheets/d/1XVB7oCJ3pr-vBUdflwPQ8Z2LlzhnCvZaaYjAfP-647E/edit"&amp;"?usp=sharing"",""นครพนม!S732"")+IMPORTRANGE(""https://docs.google.com/spreadsheets/d/1Mnpb-8PYAgn85W6KOTD40hc_Xc55CaLfHoGAbrZ8tls/edit?usp=sharing"",""นครราชสีมา!S732"")+IMPORTRANGE(""https://docs.google.com/spreadsheets/d/1xoDLGBv9CYbyosIhki0kTq6IpYNj-gp"&amp;"jxfobnaDiut0/edit?usp=sharing"",""บึงกาฬ!S732"")+IMPORTRANGE(""https://docs.google.com/spreadsheets/d/1MMPq-JyI6DSgQETxuSiXkesP-P7JHuemnE6QJIa-Nlw/edit?usp=sharing"",""บุรีรัมย์!S732"")+IMPORTRANGE(""https://docs.google.com/spreadsheets/d/1l6IZ8xUPgMrESzc"&amp;"TYwhA1k_tPjeQjJPTqlm8Gd9eU5g/edit?usp=sharing"",""มหาสารคาม!S732"")+IMPORTRANGE(""https://docs.google.com/spreadsheets/d/1uB74YLqNjWX6FObjekfB2NtSYigTQyR2rq9u4Ub2Sq4/edit?usp=sharing"",""มุกดาหาร!S732"")+IMPORTRANGE(""https://docs.google.com/spreadsheets/"&amp;"d/1NexK3geCPxCTO1fzNF8dPec7yZyUx3OaWkFBC9HsQOo/edit?usp=sharing"",""ยโสธร!S732"")+IMPORTRANGE(""https://docs.google.com/spreadsheets/d/1v_cJrbBlyqmnHPReHk44g9NrMRdENNlSy_E_c5M9fIg/edit?usp=sharing"",""ร้อยเอ็ด!S732"")+IMPORTRANGE(""https://docs.google.com"&amp;"/spreadsheets/d/1Ul4RCpCX66NxYADU1QpwAPjOmBzW64SsT11s1wzXw_c/edit?usp=sharing"",""เลย!S732"")+IMPORTRANGE(""https://docs.google.com/spreadsheets/d/1bRrNKwbHDVktQG10isr5vbWRtt5spIZPpkOSWgbT5ug/edit?usp=sharing"",""ศรีสะเกษ!S732"")+IMPORTRANGE(""https://doc"&amp;"s.google.com/spreadsheets/d/17P34_Ow5kFBfdQD0qspb2UuPX5zpi6WMrQzslghyvrI/edit?usp=sharing"",""สกลนคร!S732"")+IMPORTRANGE(""https://docs.google.com/spreadsheets/d/1yswqbM3-AEpThF3ZSUa1AcmHnmRTF1vlJ1CZGcJ8YuU/edit?usp=sharing"",""สุรินทร์!S732"")+IMPORTRANG"&amp;"E(""https://docs.google.com/spreadsheets/d/13JHU_EFbsQOUQ0JSQ3dWy1VTRosIWcDq6Nc99z2qzdc/edit?usp=sharing"",""หนองคาย!S732"")+IMPORTRANGE(""https://docs.google.com/spreadsheets/d/1Hx73zIEgVdDZZaYSTc46Dqv64atFhpr3GelxLbaIN8A/edit?usp=sharing"",""หนองบัวลำภู"&amp;"!S732"")+IMPORTRANGE(""https://docs.google.com/spreadsheets/d/1lFxr3ctmjFN90yc-xV6jrQ9Ty8BKYVBWnAZ15wcNIJc/edit?usp=sharing"",""อำนาจเจริญ!S732"")+IMPORTRANGE(""https://docs.google.com/spreadsheets/d/1gF7RJpRnL-1oyjyeWxs5SFWEH7y8ahOZsQlyp2A2e-A/edit?usp=s"&amp;"haring"",""อุดรธานี!S732"")+IMPORTRANGE(""https://docs.google.com/spreadsheets/d/1kfLP0j3INXRa8bTDpcEmoWewMBV61jlFlfzczfjWIgc/edit?usp=sharing"",""อุบลราชธานี!S732"")"),0)</f>
        <v>0</v>
      </c>
      <c r="T732" s="59">
        <f t="shared" ca="1" si="507"/>
        <v>0</v>
      </c>
      <c r="U732" s="59">
        <f t="shared" ca="1" si="508"/>
        <v>0</v>
      </c>
    </row>
    <row r="733" spans="1:21" ht="18.75">
      <c r="A733" s="155"/>
      <c r="B733" s="188"/>
      <c r="C733" s="188"/>
      <c r="D733" s="174"/>
      <c r="E733" s="58" t="s">
        <v>160</v>
      </c>
      <c r="F733" s="50"/>
      <c r="G733" s="52"/>
      <c r="H733" s="162" t="s">
        <v>14</v>
      </c>
      <c r="I733" s="54"/>
      <c r="J733" s="54"/>
      <c r="K733" s="55"/>
      <c r="L733" s="56">
        <f ca="1">IFERROR(__xludf.DUMMYFUNCTION("IMPORTRANGE(""https://docs.google.com/spreadsheets/d/1yhBcrRPreicbMKl9Bu_Snb2-OcQAF62RKfhTLhJ2eAA/edit?usp=sharing"",""กาฬสินธุ์!L733"")+IMPORTRANGE(""https://docs.google.com/spreadsheets/d/1aHkj4IaQMThhwWwevcOymEh837vdxeC_PycurhTbGFA/edit?usp=sharing"","&amp;"""ขอนแก่น!L733"")+IMPORTRANGE(""https://docs.google.com/spreadsheets/d/1FvTu2DsIWUjP6WCWra38Bkj_oOl_sOMf14r5Fg5srxU/edit?usp=sharing"",""ชัยภูมิ!L733"")+IMPORTRANGE(""https://docs.google.com/spreadsheets/d/1XVB7oCJ3pr-vBUdflwPQ8Z2LlzhnCvZaaYjAfP-647E/edit"&amp;"?usp=sharing"",""นครพนม!L733"")+IMPORTRANGE(""https://docs.google.com/spreadsheets/d/1Mnpb-8PYAgn85W6KOTD40hc_Xc55CaLfHoGAbrZ8tls/edit?usp=sharing"",""นครราชสีมา!L733"")+IMPORTRANGE(""https://docs.google.com/spreadsheets/d/1xoDLGBv9CYbyosIhki0kTq6IpYNj-gp"&amp;"jxfobnaDiut0/edit?usp=sharing"",""บึงกาฬ!L733"")+IMPORTRANGE(""https://docs.google.com/spreadsheets/d/1MMPq-JyI6DSgQETxuSiXkesP-P7JHuemnE6QJIa-Nlw/edit?usp=sharing"",""บุรีรัมย์!L733"")+IMPORTRANGE(""https://docs.google.com/spreadsheets/d/1l6IZ8xUPgMrESzc"&amp;"TYwhA1k_tPjeQjJPTqlm8Gd9eU5g/edit?usp=sharing"",""มหาสารคาม!L733"")+IMPORTRANGE(""https://docs.google.com/spreadsheets/d/1uB74YLqNjWX6FObjekfB2NtSYigTQyR2rq9u4Ub2Sq4/edit?usp=sharing"",""มุกดาหาร!L733"")+IMPORTRANGE(""https://docs.google.com/spreadsheets/"&amp;"d/1NexK3geCPxCTO1fzNF8dPec7yZyUx3OaWkFBC9HsQOo/edit?usp=sharing"",""ยโสธร!L733"")+IMPORTRANGE(""https://docs.google.com/spreadsheets/d/1v_cJrbBlyqmnHPReHk44g9NrMRdENNlSy_E_c5M9fIg/edit?usp=sharing"",""ร้อยเอ็ด!L733"")+IMPORTRANGE(""https://docs.google.com"&amp;"/spreadsheets/d/1Ul4RCpCX66NxYADU1QpwAPjOmBzW64SsT11s1wzXw_c/edit?usp=sharing"",""เลย!L733"")+IMPORTRANGE(""https://docs.google.com/spreadsheets/d/1bRrNKwbHDVktQG10isr5vbWRtt5spIZPpkOSWgbT5ug/edit?usp=sharing"",""ศรีสะเกษ!L733"")+IMPORTRANGE(""https://doc"&amp;"s.google.com/spreadsheets/d/17P34_Ow5kFBfdQD0qspb2UuPX5zpi6WMrQzslghyvrI/edit?usp=sharing"",""สกลนคร!L733"")+IMPORTRANGE(""https://docs.google.com/spreadsheets/d/1yswqbM3-AEpThF3ZSUa1AcmHnmRTF1vlJ1CZGcJ8YuU/edit?usp=sharing"",""สุรินทร์!L733"")+IMPORTRANG"&amp;"E(""https://docs.google.com/spreadsheets/d/13JHU_EFbsQOUQ0JSQ3dWy1VTRosIWcDq6Nc99z2qzdc/edit?usp=sharing"",""หนองคาย!L733"")+IMPORTRANGE(""https://docs.google.com/spreadsheets/d/1Hx73zIEgVdDZZaYSTc46Dqv64atFhpr3GelxLbaIN8A/edit?usp=sharing"",""หนองบัวลำภู"&amp;"!L733"")+IMPORTRANGE(""https://docs.google.com/spreadsheets/d/1lFxr3ctmjFN90yc-xV6jrQ9Ty8BKYVBWnAZ15wcNIJc/edit?usp=sharing"",""อำนาจเจริญ!L733"")+IMPORTRANGE(""https://docs.google.com/spreadsheets/d/1gF7RJpRnL-1oyjyeWxs5SFWEH7y8ahOZsQlyp2A2e-A/edit?usp=s"&amp;"haring"",""อุดรธานี!L733"")+IMPORTRANGE(""https://docs.google.com/spreadsheets/d/1kfLP0j3INXRa8bTDpcEmoWewMBV61jlFlfzczfjWIgc/edit?usp=sharing"",""อุบลราชธานี!L733"")"),0)</f>
        <v>0</v>
      </c>
      <c r="M733" s="56">
        <f ca="1">IFERROR(__xludf.DUMMYFUNCTION("IMPORTRANGE(""https://docs.google.com/spreadsheets/d/1yhBcrRPreicbMKl9Bu_Snb2-OcQAF62RKfhTLhJ2eAA/edit?usp=sharing"",""กาฬสินธุ์!M733"")+IMPORTRANGE(""https://docs.google.com/spreadsheets/d/1aHkj4IaQMThhwWwevcOymEh837vdxeC_PycurhTbGFA/edit?usp=sharing"","&amp;"""ขอนแก่น!M733"")+IMPORTRANGE(""https://docs.google.com/spreadsheets/d/1FvTu2DsIWUjP6WCWra38Bkj_oOl_sOMf14r5Fg5srxU/edit?usp=sharing"",""ชัยภูมิ!M733"")+IMPORTRANGE(""https://docs.google.com/spreadsheets/d/1XVB7oCJ3pr-vBUdflwPQ8Z2LlzhnCvZaaYjAfP-647E/edit"&amp;"?usp=sharing"",""นครพนม!M733"")+IMPORTRANGE(""https://docs.google.com/spreadsheets/d/1Mnpb-8PYAgn85W6KOTD40hc_Xc55CaLfHoGAbrZ8tls/edit?usp=sharing"",""นครราชสีมา!M733"")+IMPORTRANGE(""https://docs.google.com/spreadsheets/d/1xoDLGBv9CYbyosIhki0kTq6IpYNj-gp"&amp;"jxfobnaDiut0/edit?usp=sharing"",""บึงกาฬ!M733"")+IMPORTRANGE(""https://docs.google.com/spreadsheets/d/1MMPq-JyI6DSgQETxuSiXkesP-P7JHuemnE6QJIa-Nlw/edit?usp=sharing"",""บุรีรัมย์!M733"")+IMPORTRANGE(""https://docs.google.com/spreadsheets/d/1l6IZ8xUPgMrESzc"&amp;"TYwhA1k_tPjeQjJPTqlm8Gd9eU5g/edit?usp=sharing"",""มหาสารคาม!M733"")+IMPORTRANGE(""https://docs.google.com/spreadsheets/d/1uB74YLqNjWX6FObjekfB2NtSYigTQyR2rq9u4Ub2Sq4/edit?usp=sharing"",""มุกดาหาร!M733"")+IMPORTRANGE(""https://docs.google.com/spreadsheets/"&amp;"d/1NexK3geCPxCTO1fzNF8dPec7yZyUx3OaWkFBC9HsQOo/edit?usp=sharing"",""ยโสธร!M733"")+IMPORTRANGE(""https://docs.google.com/spreadsheets/d/1v_cJrbBlyqmnHPReHk44g9NrMRdENNlSy_E_c5M9fIg/edit?usp=sharing"",""ร้อยเอ็ด!M733"")+IMPORTRANGE(""https://docs.google.com"&amp;"/spreadsheets/d/1Ul4RCpCX66NxYADU1QpwAPjOmBzW64SsT11s1wzXw_c/edit?usp=sharing"",""เลย!M733"")+IMPORTRANGE(""https://docs.google.com/spreadsheets/d/1bRrNKwbHDVktQG10isr5vbWRtt5spIZPpkOSWgbT5ug/edit?usp=sharing"",""ศรีสะเกษ!M733"")+IMPORTRANGE(""https://doc"&amp;"s.google.com/spreadsheets/d/17P34_Ow5kFBfdQD0qspb2UuPX5zpi6WMrQzslghyvrI/edit?usp=sharing"",""สกลนคร!M733"")+IMPORTRANGE(""https://docs.google.com/spreadsheets/d/1yswqbM3-AEpThF3ZSUa1AcmHnmRTF1vlJ1CZGcJ8YuU/edit?usp=sharing"",""สุรินทร์!M733"")+IMPORTRANG"&amp;"E(""https://docs.google.com/spreadsheets/d/13JHU_EFbsQOUQ0JSQ3dWy1VTRosIWcDq6Nc99z2qzdc/edit?usp=sharing"",""หนองคาย!M733"")+IMPORTRANGE(""https://docs.google.com/spreadsheets/d/1Hx73zIEgVdDZZaYSTc46Dqv64atFhpr3GelxLbaIN8A/edit?usp=sharing"",""หนองบัวลำภู"&amp;"!M733"")+IMPORTRANGE(""https://docs.google.com/spreadsheets/d/1lFxr3ctmjFN90yc-xV6jrQ9Ty8BKYVBWnAZ15wcNIJc/edit?usp=sharing"",""อำนาจเจริญ!M733"")+IMPORTRANGE(""https://docs.google.com/spreadsheets/d/1gF7RJpRnL-1oyjyeWxs5SFWEH7y8ahOZsQlyp2A2e-A/edit?usp=s"&amp;"haring"",""อุดรธานี!M733"")+IMPORTRANGE(""https://docs.google.com/spreadsheets/d/1kfLP0j3INXRa8bTDpcEmoWewMBV61jlFlfzczfjWIgc/edit?usp=sharing"",""อุบลราชธานี!M733"")"),0)</f>
        <v>0</v>
      </c>
      <c r="N733" s="56">
        <f ca="1">IFERROR(__xludf.DUMMYFUNCTION("IMPORTRANGE(""https://docs.google.com/spreadsheets/d/1yhBcrRPreicbMKl9Bu_Snb2-OcQAF62RKfhTLhJ2eAA/edit?usp=sharing"",""กาฬสินธุ์!N733"")+IMPORTRANGE(""https://docs.google.com/spreadsheets/d/1aHkj4IaQMThhwWwevcOymEh837vdxeC_PycurhTbGFA/edit?usp=sharing"","&amp;"""ขอนแก่น!N733"")+IMPORTRANGE(""https://docs.google.com/spreadsheets/d/1FvTu2DsIWUjP6WCWra38Bkj_oOl_sOMf14r5Fg5srxU/edit?usp=sharing"",""ชัยภูมิ!N733"")+IMPORTRANGE(""https://docs.google.com/spreadsheets/d/1XVB7oCJ3pr-vBUdflwPQ8Z2LlzhnCvZaaYjAfP-647E/edit"&amp;"?usp=sharing"",""นครพนม!N733"")+IMPORTRANGE(""https://docs.google.com/spreadsheets/d/1Mnpb-8PYAgn85W6KOTD40hc_Xc55CaLfHoGAbrZ8tls/edit?usp=sharing"",""นครราชสีมา!N733"")+IMPORTRANGE(""https://docs.google.com/spreadsheets/d/1xoDLGBv9CYbyosIhki0kTq6IpYNj-gp"&amp;"jxfobnaDiut0/edit?usp=sharing"",""บึงกาฬ!N733"")+IMPORTRANGE(""https://docs.google.com/spreadsheets/d/1MMPq-JyI6DSgQETxuSiXkesP-P7JHuemnE6QJIa-Nlw/edit?usp=sharing"",""บุรีรัมย์!N733"")+IMPORTRANGE(""https://docs.google.com/spreadsheets/d/1l6IZ8xUPgMrESzc"&amp;"TYwhA1k_tPjeQjJPTqlm8Gd9eU5g/edit?usp=sharing"",""มหาสารคาม!N733"")+IMPORTRANGE(""https://docs.google.com/spreadsheets/d/1uB74YLqNjWX6FObjekfB2NtSYigTQyR2rq9u4Ub2Sq4/edit?usp=sharing"",""มุกดาหาร!N733"")+IMPORTRANGE(""https://docs.google.com/spreadsheets/"&amp;"d/1NexK3geCPxCTO1fzNF8dPec7yZyUx3OaWkFBC9HsQOo/edit?usp=sharing"",""ยโสธร!N733"")+IMPORTRANGE(""https://docs.google.com/spreadsheets/d/1v_cJrbBlyqmnHPReHk44g9NrMRdENNlSy_E_c5M9fIg/edit?usp=sharing"",""ร้อยเอ็ด!N733"")+IMPORTRANGE(""https://docs.google.com"&amp;"/spreadsheets/d/1Ul4RCpCX66NxYADU1QpwAPjOmBzW64SsT11s1wzXw_c/edit?usp=sharing"",""เลย!N733"")+IMPORTRANGE(""https://docs.google.com/spreadsheets/d/1bRrNKwbHDVktQG10isr5vbWRtt5spIZPpkOSWgbT5ug/edit?usp=sharing"",""ศรีสะเกษ!N733"")+IMPORTRANGE(""https://doc"&amp;"s.google.com/spreadsheets/d/17P34_Ow5kFBfdQD0qspb2UuPX5zpi6WMrQzslghyvrI/edit?usp=sharing"",""สกลนคร!N733"")+IMPORTRANGE(""https://docs.google.com/spreadsheets/d/1yswqbM3-AEpThF3ZSUa1AcmHnmRTF1vlJ1CZGcJ8YuU/edit?usp=sharing"",""สุรินทร์!N733"")+IMPORTRANG"&amp;"E(""https://docs.google.com/spreadsheets/d/13JHU_EFbsQOUQ0JSQ3dWy1VTRosIWcDq6Nc99z2qzdc/edit?usp=sharing"",""หนองคาย!N733"")+IMPORTRANGE(""https://docs.google.com/spreadsheets/d/1Hx73zIEgVdDZZaYSTc46Dqv64atFhpr3GelxLbaIN8A/edit?usp=sharing"",""หนองบัวลำภู"&amp;"!N733"")+IMPORTRANGE(""https://docs.google.com/spreadsheets/d/1lFxr3ctmjFN90yc-xV6jrQ9Ty8BKYVBWnAZ15wcNIJc/edit?usp=sharing"",""อำนาจเจริญ!N733"")+IMPORTRANGE(""https://docs.google.com/spreadsheets/d/1gF7RJpRnL-1oyjyeWxs5SFWEH7y8ahOZsQlyp2A2e-A/edit?usp=s"&amp;"haring"",""อุดรธานี!N733"")+IMPORTRANGE(""https://docs.google.com/spreadsheets/d/1kfLP0j3INXRa8bTDpcEmoWewMBV61jlFlfzczfjWIgc/edit?usp=sharing"",""อุบลราชธานี!N733"")"),0)</f>
        <v>0</v>
      </c>
      <c r="O733" s="56">
        <f t="shared" ca="1" si="504"/>
        <v>0</v>
      </c>
      <c r="P733" s="56">
        <f t="shared" ca="1" si="505"/>
        <v>0</v>
      </c>
      <c r="Q733" s="56">
        <f ca="1">IFERROR(__xludf.DUMMYFUNCTION("IMPORTRANGE(""https://docs.google.com/spreadsheets/d/1yhBcrRPreicbMKl9Bu_Snb2-OcQAF62RKfhTLhJ2eAA/edit?usp=sharing"",""กาฬสินธุ์!Q733"")+IMPORTRANGE(""https://docs.google.com/spreadsheets/d/1aHkj4IaQMThhwWwevcOymEh837vdxeC_PycurhTbGFA/edit?usp=sharing"","&amp;"""ขอนแก่น!Q733"")+IMPORTRANGE(""https://docs.google.com/spreadsheets/d/1FvTu2DsIWUjP6WCWra38Bkj_oOl_sOMf14r5Fg5srxU/edit?usp=sharing"",""ชัยภูมิ!Q733"")+IMPORTRANGE(""https://docs.google.com/spreadsheets/d/1XVB7oCJ3pr-vBUdflwPQ8Z2LlzhnCvZaaYjAfP-647E/edit"&amp;"?usp=sharing"",""นครพนม!Q733"")+IMPORTRANGE(""https://docs.google.com/spreadsheets/d/1Mnpb-8PYAgn85W6KOTD40hc_Xc55CaLfHoGAbrZ8tls/edit?usp=sharing"",""นครราชสีมา!Q733"")+IMPORTRANGE(""https://docs.google.com/spreadsheets/d/1xoDLGBv9CYbyosIhki0kTq6IpYNj-gp"&amp;"jxfobnaDiut0/edit?usp=sharing"",""บึงกาฬ!Q733"")+IMPORTRANGE(""https://docs.google.com/spreadsheets/d/1MMPq-JyI6DSgQETxuSiXkesP-P7JHuemnE6QJIa-Nlw/edit?usp=sharing"",""บุรีรัมย์!Q733"")+IMPORTRANGE(""https://docs.google.com/spreadsheets/d/1l6IZ8xUPgMrESzc"&amp;"TYwhA1k_tPjeQjJPTqlm8Gd9eU5g/edit?usp=sharing"",""มหาสารคาม!Q733"")+IMPORTRANGE(""https://docs.google.com/spreadsheets/d/1uB74YLqNjWX6FObjekfB2NtSYigTQyR2rq9u4Ub2Sq4/edit?usp=sharing"",""มุกดาหาร!Q733"")+IMPORTRANGE(""https://docs.google.com/spreadsheets/"&amp;"d/1NexK3geCPxCTO1fzNF8dPec7yZyUx3OaWkFBC9HsQOo/edit?usp=sharing"",""ยโสธร!Q733"")+IMPORTRANGE(""https://docs.google.com/spreadsheets/d/1v_cJrbBlyqmnHPReHk44g9NrMRdENNlSy_E_c5M9fIg/edit?usp=sharing"",""ร้อยเอ็ด!Q733"")+IMPORTRANGE(""https://docs.google.com"&amp;"/spreadsheets/d/1Ul4RCpCX66NxYADU1QpwAPjOmBzW64SsT11s1wzXw_c/edit?usp=sharing"",""เลย!Q733"")+IMPORTRANGE(""https://docs.google.com/spreadsheets/d/1bRrNKwbHDVktQG10isr5vbWRtt5spIZPpkOSWgbT5ug/edit?usp=sharing"",""ศรีสะเกษ!Q733"")+IMPORTRANGE(""https://doc"&amp;"s.google.com/spreadsheets/d/17P34_Ow5kFBfdQD0qspb2UuPX5zpi6WMrQzslghyvrI/edit?usp=sharing"",""สกลนคร!Q733"")+IMPORTRANGE(""https://docs.google.com/spreadsheets/d/1yswqbM3-AEpThF3ZSUa1AcmHnmRTF1vlJ1CZGcJ8YuU/edit?usp=sharing"",""สุรินทร์!Q733"")+IMPORTRANG"&amp;"E(""https://docs.google.com/spreadsheets/d/13JHU_EFbsQOUQ0JSQ3dWy1VTRosIWcDq6Nc99z2qzdc/edit?usp=sharing"",""หนองคาย!Q733"")+IMPORTRANGE(""https://docs.google.com/spreadsheets/d/1Hx73zIEgVdDZZaYSTc46Dqv64atFhpr3GelxLbaIN8A/edit?usp=sharing"",""หนองบัวลำภู"&amp;"!Q733"")+IMPORTRANGE(""https://docs.google.com/spreadsheets/d/1lFxr3ctmjFN90yc-xV6jrQ9Ty8BKYVBWnAZ15wcNIJc/edit?usp=sharing"",""อำนาจเจริญ!Q733"")+IMPORTRANGE(""https://docs.google.com/spreadsheets/d/1gF7RJpRnL-1oyjyeWxs5SFWEH7y8ahOZsQlyp2A2e-A/edit?usp=s"&amp;"haring"",""อุดรธานี!Q733"")+IMPORTRANGE(""https://docs.google.com/spreadsheets/d/1kfLP0j3INXRa8bTDpcEmoWewMBV61jlFlfzczfjWIgc/edit?usp=sharing"",""อุบลราชธานี!Q733"")"),17312240)</f>
        <v>17312240</v>
      </c>
      <c r="R733" s="56">
        <f ca="1">IFERROR(__xludf.DUMMYFUNCTION("IMPORTRANGE(""https://docs.google.com/spreadsheets/d/1yhBcrRPreicbMKl9Bu_Snb2-OcQAF62RKfhTLhJ2eAA/edit?usp=sharing"",""กาฬสินธุ์!R733"")+IMPORTRANGE(""https://docs.google.com/spreadsheets/d/1aHkj4IaQMThhwWwevcOymEh837vdxeC_PycurhTbGFA/edit?usp=sharing"","&amp;"""ขอนแก่น!R733"")+IMPORTRANGE(""https://docs.google.com/spreadsheets/d/1FvTu2DsIWUjP6WCWra38Bkj_oOl_sOMf14r5Fg5srxU/edit?usp=sharing"",""ชัยภูมิ!R733"")+IMPORTRANGE(""https://docs.google.com/spreadsheets/d/1XVB7oCJ3pr-vBUdflwPQ8Z2LlzhnCvZaaYjAfP-647E/edit"&amp;"?usp=sharing"",""นครพนม!R733"")+IMPORTRANGE(""https://docs.google.com/spreadsheets/d/1Mnpb-8PYAgn85W6KOTD40hc_Xc55CaLfHoGAbrZ8tls/edit?usp=sharing"",""นครราชสีมา!R733"")+IMPORTRANGE(""https://docs.google.com/spreadsheets/d/1xoDLGBv9CYbyosIhki0kTq6IpYNj-gp"&amp;"jxfobnaDiut0/edit?usp=sharing"",""บึงกาฬ!R733"")+IMPORTRANGE(""https://docs.google.com/spreadsheets/d/1MMPq-JyI6DSgQETxuSiXkesP-P7JHuemnE6QJIa-Nlw/edit?usp=sharing"",""บุรีรัมย์!R733"")+IMPORTRANGE(""https://docs.google.com/spreadsheets/d/1l6IZ8xUPgMrESzc"&amp;"TYwhA1k_tPjeQjJPTqlm8Gd9eU5g/edit?usp=sharing"",""มหาสารคาม!R733"")+IMPORTRANGE(""https://docs.google.com/spreadsheets/d/1uB74YLqNjWX6FObjekfB2NtSYigTQyR2rq9u4Ub2Sq4/edit?usp=sharing"",""มุกดาหาร!R733"")+IMPORTRANGE(""https://docs.google.com/spreadsheets/"&amp;"d/1NexK3geCPxCTO1fzNF8dPec7yZyUx3OaWkFBC9HsQOo/edit?usp=sharing"",""ยโสธร!R733"")+IMPORTRANGE(""https://docs.google.com/spreadsheets/d/1v_cJrbBlyqmnHPReHk44g9NrMRdENNlSy_E_c5M9fIg/edit?usp=sharing"",""ร้อยเอ็ด!R733"")+IMPORTRANGE(""https://docs.google.com"&amp;"/spreadsheets/d/1Ul4RCpCX66NxYADU1QpwAPjOmBzW64SsT11s1wzXw_c/edit?usp=sharing"",""เลย!R733"")+IMPORTRANGE(""https://docs.google.com/spreadsheets/d/1bRrNKwbHDVktQG10isr5vbWRtt5spIZPpkOSWgbT5ug/edit?usp=sharing"",""ศรีสะเกษ!R733"")+IMPORTRANGE(""https://doc"&amp;"s.google.com/spreadsheets/d/17P34_Ow5kFBfdQD0qspb2UuPX5zpi6WMrQzslghyvrI/edit?usp=sharing"",""สกลนคร!R733"")+IMPORTRANGE(""https://docs.google.com/spreadsheets/d/1yswqbM3-AEpThF3ZSUa1AcmHnmRTF1vlJ1CZGcJ8YuU/edit?usp=sharing"",""สุรินทร์!R733"")+IMPORTRANG"&amp;"E(""https://docs.google.com/spreadsheets/d/13JHU_EFbsQOUQ0JSQ3dWy1VTRosIWcDq6Nc99z2qzdc/edit?usp=sharing"",""หนองคาย!R733"")+IMPORTRANGE(""https://docs.google.com/spreadsheets/d/1Hx73zIEgVdDZZaYSTc46Dqv64atFhpr3GelxLbaIN8A/edit?usp=sharing"",""หนองบัวลำภู"&amp;"!R733"")+IMPORTRANGE(""https://docs.google.com/spreadsheets/d/1lFxr3ctmjFN90yc-xV6jrQ9Ty8BKYVBWnAZ15wcNIJc/edit?usp=sharing"",""อำนาจเจริญ!R733"")+IMPORTRANGE(""https://docs.google.com/spreadsheets/d/1gF7RJpRnL-1oyjyeWxs5SFWEH7y8ahOZsQlyp2A2e-A/edit?usp=s"&amp;"haring"",""อุดรธานี!R733"")+IMPORTRANGE(""https://docs.google.com/spreadsheets/d/1kfLP0j3INXRa8bTDpcEmoWewMBV61jlFlfzczfjWIgc/edit?usp=sharing"",""อุบลราชธานี!R733"")"),17312240)</f>
        <v>17312240</v>
      </c>
      <c r="S733" s="57">
        <f ca="1">IFERROR(__xludf.DUMMYFUNCTION("IMPORTRANGE(""https://docs.google.com/spreadsheets/d/1yhBcrRPreicbMKl9Bu_Snb2-OcQAF62RKfhTLhJ2eAA/edit?usp=sharing"",""กาฬสินธุ์!S733"")+IMPORTRANGE(""https://docs.google.com/spreadsheets/d/1aHkj4IaQMThhwWwevcOymEh837vdxeC_PycurhTbGFA/edit?usp=sharing"","&amp;"""ขอนแก่น!S733"")+IMPORTRANGE(""https://docs.google.com/spreadsheets/d/1FvTu2DsIWUjP6WCWra38Bkj_oOl_sOMf14r5Fg5srxU/edit?usp=sharing"",""ชัยภูมิ!S733"")+IMPORTRANGE(""https://docs.google.com/spreadsheets/d/1XVB7oCJ3pr-vBUdflwPQ8Z2LlzhnCvZaaYjAfP-647E/edit"&amp;"?usp=sharing"",""นครพนม!S733"")+IMPORTRANGE(""https://docs.google.com/spreadsheets/d/1Mnpb-8PYAgn85W6KOTD40hc_Xc55CaLfHoGAbrZ8tls/edit?usp=sharing"",""นครราชสีมา!S733"")+IMPORTRANGE(""https://docs.google.com/spreadsheets/d/1xoDLGBv9CYbyosIhki0kTq6IpYNj-gp"&amp;"jxfobnaDiut0/edit?usp=sharing"",""บึงกาฬ!S733"")+IMPORTRANGE(""https://docs.google.com/spreadsheets/d/1MMPq-JyI6DSgQETxuSiXkesP-P7JHuemnE6QJIa-Nlw/edit?usp=sharing"",""บุรีรัมย์!S733"")+IMPORTRANGE(""https://docs.google.com/spreadsheets/d/1l6IZ8xUPgMrESzc"&amp;"TYwhA1k_tPjeQjJPTqlm8Gd9eU5g/edit?usp=sharing"",""มหาสารคาม!S733"")+IMPORTRANGE(""https://docs.google.com/spreadsheets/d/1uB74YLqNjWX6FObjekfB2NtSYigTQyR2rq9u4Ub2Sq4/edit?usp=sharing"",""มุกดาหาร!S733"")+IMPORTRANGE(""https://docs.google.com/spreadsheets/"&amp;"d/1NexK3geCPxCTO1fzNF8dPec7yZyUx3OaWkFBC9HsQOo/edit?usp=sharing"",""ยโสธร!S733"")+IMPORTRANGE(""https://docs.google.com/spreadsheets/d/1v_cJrbBlyqmnHPReHk44g9NrMRdENNlSy_E_c5M9fIg/edit?usp=sharing"",""ร้อยเอ็ด!S733"")+IMPORTRANGE(""https://docs.google.com"&amp;"/spreadsheets/d/1Ul4RCpCX66NxYADU1QpwAPjOmBzW64SsT11s1wzXw_c/edit?usp=sharing"",""เลย!S733"")+IMPORTRANGE(""https://docs.google.com/spreadsheets/d/1bRrNKwbHDVktQG10isr5vbWRtt5spIZPpkOSWgbT5ug/edit?usp=sharing"",""ศรีสะเกษ!S733"")+IMPORTRANGE(""https://doc"&amp;"s.google.com/spreadsheets/d/17P34_Ow5kFBfdQD0qspb2UuPX5zpi6WMrQzslghyvrI/edit?usp=sharing"",""สกลนคร!S733"")+IMPORTRANGE(""https://docs.google.com/spreadsheets/d/1yswqbM3-AEpThF3ZSUa1AcmHnmRTF1vlJ1CZGcJ8YuU/edit?usp=sharing"",""สุรินทร์!S733"")+IMPORTRANG"&amp;"E(""https://docs.google.com/spreadsheets/d/13JHU_EFbsQOUQ0JSQ3dWy1VTRosIWcDq6Nc99z2qzdc/edit?usp=sharing"",""หนองคาย!S733"")+IMPORTRANGE(""https://docs.google.com/spreadsheets/d/1Hx73zIEgVdDZZaYSTc46Dqv64atFhpr3GelxLbaIN8A/edit?usp=sharing"",""หนองบัวลำภู"&amp;"!S733"")+IMPORTRANGE(""https://docs.google.com/spreadsheets/d/1lFxr3ctmjFN90yc-xV6jrQ9Ty8BKYVBWnAZ15wcNIJc/edit?usp=sharing"",""อำนาจเจริญ!S733"")+IMPORTRANGE(""https://docs.google.com/spreadsheets/d/1gF7RJpRnL-1oyjyeWxs5SFWEH7y8ahOZsQlyp2A2e-A/edit?usp=s"&amp;"haring"",""อุดรธานี!S733"")+IMPORTRANGE(""https://docs.google.com/spreadsheets/d/1kfLP0j3INXRa8bTDpcEmoWewMBV61jlFlfzczfjWIgc/edit?usp=sharing"",""อุบลราชธานี!S733"")"),1755910.57999999)</f>
        <v>1755910.5799999901</v>
      </c>
      <c r="T733" s="56">
        <f t="shared" ca="1" si="507"/>
        <v>10.142596105414379</v>
      </c>
      <c r="U733" s="56">
        <f t="shared" ca="1" si="508"/>
        <v>10.142596105414379</v>
      </c>
    </row>
    <row r="734" spans="1:21" ht="18.75">
      <c r="A734" s="155"/>
      <c r="B734" s="188"/>
      <c r="C734" s="188"/>
      <c r="D734" s="51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56">
        <f t="shared" ref="L734:N734" ca="1" si="515">L735+L736</f>
        <v>0</v>
      </c>
      <c r="M734" s="56">
        <f t="shared" ca="1" si="515"/>
        <v>0</v>
      </c>
      <c r="N734" s="56">
        <f t="shared" ca="1" si="515"/>
        <v>0</v>
      </c>
      <c r="O734" s="56">
        <f t="shared" ca="1" si="504"/>
        <v>0</v>
      </c>
      <c r="P734" s="56">
        <f t="shared" ca="1" si="505"/>
        <v>0</v>
      </c>
      <c r="Q734" s="56">
        <f t="shared" ref="Q734:S734" ca="1" si="516">Q735+Q736</f>
        <v>0</v>
      </c>
      <c r="R734" s="56">
        <f t="shared" ca="1" si="516"/>
        <v>0</v>
      </c>
      <c r="S734" s="57">
        <f t="shared" ca="1" si="516"/>
        <v>0</v>
      </c>
      <c r="T734" s="56">
        <f t="shared" ca="1" si="507"/>
        <v>0</v>
      </c>
      <c r="U734" s="56">
        <f t="shared" ca="1" si="508"/>
        <v>0</v>
      </c>
    </row>
    <row r="735" spans="1:21" ht="18.75">
      <c r="A735" s="155"/>
      <c r="B735" s="188"/>
      <c r="C735" s="188"/>
      <c r="D735" s="188"/>
      <c r="E735" s="358" t="s">
        <v>20</v>
      </c>
      <c r="F735" s="188"/>
      <c r="G735" s="52"/>
      <c r="H735" s="189" t="s">
        <v>14</v>
      </c>
      <c r="I735" s="163"/>
      <c r="J735" s="163"/>
      <c r="K735" s="164"/>
      <c r="L735" s="59">
        <f ca="1">IFERROR(__xludf.DUMMYFUNCTION("IMPORTRANGE(""https://docs.google.com/spreadsheets/d/1yhBcrRPreicbMKl9Bu_Snb2-OcQAF62RKfhTLhJ2eAA/edit?usp=sharing"",""กาฬสินธุ์!L735"")+IMPORTRANGE(""https://docs.google.com/spreadsheets/d/1aHkj4IaQMThhwWwevcOymEh837vdxeC_PycurhTbGFA/edit?usp=sharing"","&amp;"""ขอนแก่น!L735"")+IMPORTRANGE(""https://docs.google.com/spreadsheets/d/1FvTu2DsIWUjP6WCWra38Bkj_oOl_sOMf14r5Fg5srxU/edit?usp=sharing"",""ชัยภูมิ!L735"")+IMPORTRANGE(""https://docs.google.com/spreadsheets/d/1XVB7oCJ3pr-vBUdflwPQ8Z2LlzhnCvZaaYjAfP-647E/edit"&amp;"?usp=sharing"",""นครพนม!L735"")+IMPORTRANGE(""https://docs.google.com/spreadsheets/d/1Mnpb-8PYAgn85W6KOTD40hc_Xc55CaLfHoGAbrZ8tls/edit?usp=sharing"",""นครราชสีมา!L735"")+IMPORTRANGE(""https://docs.google.com/spreadsheets/d/1xoDLGBv9CYbyosIhki0kTq6IpYNj-gp"&amp;"jxfobnaDiut0/edit?usp=sharing"",""บึงกาฬ!L735"")+IMPORTRANGE(""https://docs.google.com/spreadsheets/d/1MMPq-JyI6DSgQETxuSiXkesP-P7JHuemnE6QJIa-Nlw/edit?usp=sharing"",""บุรีรัมย์!L735"")+IMPORTRANGE(""https://docs.google.com/spreadsheets/d/1l6IZ8xUPgMrESzc"&amp;"TYwhA1k_tPjeQjJPTqlm8Gd9eU5g/edit?usp=sharing"",""มหาสารคาม!L735"")+IMPORTRANGE(""https://docs.google.com/spreadsheets/d/1uB74YLqNjWX6FObjekfB2NtSYigTQyR2rq9u4Ub2Sq4/edit?usp=sharing"",""มุกดาหาร!L735"")+IMPORTRANGE(""https://docs.google.com/spreadsheets/"&amp;"d/1NexK3geCPxCTO1fzNF8dPec7yZyUx3OaWkFBC9HsQOo/edit?usp=sharing"",""ยโสธร!L735"")+IMPORTRANGE(""https://docs.google.com/spreadsheets/d/1v_cJrbBlyqmnHPReHk44g9NrMRdENNlSy_E_c5M9fIg/edit?usp=sharing"",""ร้อยเอ็ด!L735"")+IMPORTRANGE(""https://docs.google.com"&amp;"/spreadsheets/d/1Ul4RCpCX66NxYADU1QpwAPjOmBzW64SsT11s1wzXw_c/edit?usp=sharing"",""เลย!L735"")+IMPORTRANGE(""https://docs.google.com/spreadsheets/d/1bRrNKwbHDVktQG10isr5vbWRtt5spIZPpkOSWgbT5ug/edit?usp=sharing"",""ศรีสะเกษ!L735"")+IMPORTRANGE(""https://doc"&amp;"s.google.com/spreadsheets/d/17P34_Ow5kFBfdQD0qspb2UuPX5zpi6WMrQzslghyvrI/edit?usp=sharing"",""สกลนคร!L735"")+IMPORTRANGE(""https://docs.google.com/spreadsheets/d/1yswqbM3-AEpThF3ZSUa1AcmHnmRTF1vlJ1CZGcJ8YuU/edit?usp=sharing"",""สุรินทร์!L735"")+IMPORTRANG"&amp;"E(""https://docs.google.com/spreadsheets/d/13JHU_EFbsQOUQ0JSQ3dWy1VTRosIWcDq6Nc99z2qzdc/edit?usp=sharing"",""หนองคาย!L735"")+IMPORTRANGE(""https://docs.google.com/spreadsheets/d/1Hx73zIEgVdDZZaYSTc46Dqv64atFhpr3GelxLbaIN8A/edit?usp=sharing"",""หนองบัวลำภู"&amp;"!L735"")+IMPORTRANGE(""https://docs.google.com/spreadsheets/d/1lFxr3ctmjFN90yc-xV6jrQ9Ty8BKYVBWnAZ15wcNIJc/edit?usp=sharing"",""อำนาจเจริญ!L735"")+IMPORTRANGE(""https://docs.google.com/spreadsheets/d/1gF7RJpRnL-1oyjyeWxs5SFWEH7y8ahOZsQlyp2A2e-A/edit?usp=s"&amp;"haring"",""อุดรธานี!L735"")+IMPORTRANGE(""https://docs.google.com/spreadsheets/d/1kfLP0j3INXRa8bTDpcEmoWewMBV61jlFlfzczfjWIgc/edit?usp=sharing"",""อุบลราชธานี!L735"")"),0)</f>
        <v>0</v>
      </c>
      <c r="M735" s="59">
        <f ca="1">IFERROR(__xludf.DUMMYFUNCTION("IMPORTRANGE(""https://docs.google.com/spreadsheets/d/1yhBcrRPreicbMKl9Bu_Snb2-OcQAF62RKfhTLhJ2eAA/edit?usp=sharing"",""กาฬสินธุ์!M735"")+IMPORTRANGE(""https://docs.google.com/spreadsheets/d/1aHkj4IaQMThhwWwevcOymEh837vdxeC_PycurhTbGFA/edit?usp=sharing"","&amp;"""ขอนแก่น!M735"")+IMPORTRANGE(""https://docs.google.com/spreadsheets/d/1FvTu2DsIWUjP6WCWra38Bkj_oOl_sOMf14r5Fg5srxU/edit?usp=sharing"",""ชัยภูมิ!M735"")+IMPORTRANGE(""https://docs.google.com/spreadsheets/d/1XVB7oCJ3pr-vBUdflwPQ8Z2LlzhnCvZaaYjAfP-647E/edit"&amp;"?usp=sharing"",""นครพนม!M735"")+IMPORTRANGE(""https://docs.google.com/spreadsheets/d/1Mnpb-8PYAgn85W6KOTD40hc_Xc55CaLfHoGAbrZ8tls/edit?usp=sharing"",""นครราชสีมา!M735"")+IMPORTRANGE(""https://docs.google.com/spreadsheets/d/1xoDLGBv9CYbyosIhki0kTq6IpYNj-gp"&amp;"jxfobnaDiut0/edit?usp=sharing"",""บึงกาฬ!M735"")+IMPORTRANGE(""https://docs.google.com/spreadsheets/d/1MMPq-JyI6DSgQETxuSiXkesP-P7JHuemnE6QJIa-Nlw/edit?usp=sharing"",""บุรีรัมย์!M735"")+IMPORTRANGE(""https://docs.google.com/spreadsheets/d/1l6IZ8xUPgMrESzc"&amp;"TYwhA1k_tPjeQjJPTqlm8Gd9eU5g/edit?usp=sharing"",""มหาสารคาม!M735"")+IMPORTRANGE(""https://docs.google.com/spreadsheets/d/1uB74YLqNjWX6FObjekfB2NtSYigTQyR2rq9u4Ub2Sq4/edit?usp=sharing"",""มุกดาหาร!M735"")+IMPORTRANGE(""https://docs.google.com/spreadsheets/"&amp;"d/1NexK3geCPxCTO1fzNF8dPec7yZyUx3OaWkFBC9HsQOo/edit?usp=sharing"",""ยโสธร!M735"")+IMPORTRANGE(""https://docs.google.com/spreadsheets/d/1v_cJrbBlyqmnHPReHk44g9NrMRdENNlSy_E_c5M9fIg/edit?usp=sharing"",""ร้อยเอ็ด!M735"")+IMPORTRANGE(""https://docs.google.com"&amp;"/spreadsheets/d/1Ul4RCpCX66NxYADU1QpwAPjOmBzW64SsT11s1wzXw_c/edit?usp=sharing"",""เลย!M735"")+IMPORTRANGE(""https://docs.google.com/spreadsheets/d/1bRrNKwbHDVktQG10isr5vbWRtt5spIZPpkOSWgbT5ug/edit?usp=sharing"",""ศรีสะเกษ!M735"")+IMPORTRANGE(""https://doc"&amp;"s.google.com/spreadsheets/d/17P34_Ow5kFBfdQD0qspb2UuPX5zpi6WMrQzslghyvrI/edit?usp=sharing"",""สกลนคร!M735"")+IMPORTRANGE(""https://docs.google.com/spreadsheets/d/1yswqbM3-AEpThF3ZSUa1AcmHnmRTF1vlJ1CZGcJ8YuU/edit?usp=sharing"",""สุรินทร์!M735"")+IMPORTRANG"&amp;"E(""https://docs.google.com/spreadsheets/d/13JHU_EFbsQOUQ0JSQ3dWy1VTRosIWcDq6Nc99z2qzdc/edit?usp=sharing"",""หนองคาย!M735"")+IMPORTRANGE(""https://docs.google.com/spreadsheets/d/1Hx73zIEgVdDZZaYSTc46Dqv64atFhpr3GelxLbaIN8A/edit?usp=sharing"",""หนองบัวลำภู"&amp;"!M735"")+IMPORTRANGE(""https://docs.google.com/spreadsheets/d/1lFxr3ctmjFN90yc-xV6jrQ9Ty8BKYVBWnAZ15wcNIJc/edit?usp=sharing"",""อำนาจเจริญ!M735"")+IMPORTRANGE(""https://docs.google.com/spreadsheets/d/1gF7RJpRnL-1oyjyeWxs5SFWEH7y8ahOZsQlyp2A2e-A/edit?usp=s"&amp;"haring"",""อุดรธานี!M735"")+IMPORTRANGE(""https://docs.google.com/spreadsheets/d/1kfLP0j3INXRa8bTDpcEmoWewMBV61jlFlfzczfjWIgc/edit?usp=sharing"",""อุบลราชธานี!M735"")"),0)</f>
        <v>0</v>
      </c>
      <c r="N735" s="59">
        <f ca="1">IFERROR(__xludf.DUMMYFUNCTION("IMPORTRANGE(""https://docs.google.com/spreadsheets/d/1yhBcrRPreicbMKl9Bu_Snb2-OcQAF62RKfhTLhJ2eAA/edit?usp=sharing"",""กาฬสินธุ์!N735"")+IMPORTRANGE(""https://docs.google.com/spreadsheets/d/1aHkj4IaQMThhwWwevcOymEh837vdxeC_PycurhTbGFA/edit?usp=sharing"","&amp;"""ขอนแก่น!N735"")+IMPORTRANGE(""https://docs.google.com/spreadsheets/d/1FvTu2DsIWUjP6WCWra38Bkj_oOl_sOMf14r5Fg5srxU/edit?usp=sharing"",""ชัยภูมิ!N735"")+IMPORTRANGE(""https://docs.google.com/spreadsheets/d/1XVB7oCJ3pr-vBUdflwPQ8Z2LlzhnCvZaaYjAfP-647E/edit"&amp;"?usp=sharing"",""นครพนม!N735"")+IMPORTRANGE(""https://docs.google.com/spreadsheets/d/1Mnpb-8PYAgn85W6KOTD40hc_Xc55CaLfHoGAbrZ8tls/edit?usp=sharing"",""นครราชสีมา!N735"")+IMPORTRANGE(""https://docs.google.com/spreadsheets/d/1xoDLGBv9CYbyosIhki0kTq6IpYNj-gp"&amp;"jxfobnaDiut0/edit?usp=sharing"",""บึงกาฬ!N735"")+IMPORTRANGE(""https://docs.google.com/spreadsheets/d/1MMPq-JyI6DSgQETxuSiXkesP-P7JHuemnE6QJIa-Nlw/edit?usp=sharing"",""บุรีรัมย์!N735"")+IMPORTRANGE(""https://docs.google.com/spreadsheets/d/1l6IZ8xUPgMrESzc"&amp;"TYwhA1k_tPjeQjJPTqlm8Gd9eU5g/edit?usp=sharing"",""มหาสารคาม!N735"")+IMPORTRANGE(""https://docs.google.com/spreadsheets/d/1uB74YLqNjWX6FObjekfB2NtSYigTQyR2rq9u4Ub2Sq4/edit?usp=sharing"",""มุกดาหาร!N735"")+IMPORTRANGE(""https://docs.google.com/spreadsheets/"&amp;"d/1NexK3geCPxCTO1fzNF8dPec7yZyUx3OaWkFBC9HsQOo/edit?usp=sharing"",""ยโสธร!N735"")+IMPORTRANGE(""https://docs.google.com/spreadsheets/d/1v_cJrbBlyqmnHPReHk44g9NrMRdENNlSy_E_c5M9fIg/edit?usp=sharing"",""ร้อยเอ็ด!N735"")+IMPORTRANGE(""https://docs.google.com"&amp;"/spreadsheets/d/1Ul4RCpCX66NxYADU1QpwAPjOmBzW64SsT11s1wzXw_c/edit?usp=sharing"",""เลย!N735"")+IMPORTRANGE(""https://docs.google.com/spreadsheets/d/1bRrNKwbHDVktQG10isr5vbWRtt5spIZPpkOSWgbT5ug/edit?usp=sharing"",""ศรีสะเกษ!N735"")+IMPORTRANGE(""https://doc"&amp;"s.google.com/spreadsheets/d/17P34_Ow5kFBfdQD0qspb2UuPX5zpi6WMrQzslghyvrI/edit?usp=sharing"",""สกลนคร!N735"")+IMPORTRANGE(""https://docs.google.com/spreadsheets/d/1yswqbM3-AEpThF3ZSUa1AcmHnmRTF1vlJ1CZGcJ8YuU/edit?usp=sharing"",""สุรินทร์!N735"")+IMPORTRANG"&amp;"E(""https://docs.google.com/spreadsheets/d/13JHU_EFbsQOUQ0JSQ3dWy1VTRosIWcDq6Nc99z2qzdc/edit?usp=sharing"",""หนองคาย!N735"")+IMPORTRANGE(""https://docs.google.com/spreadsheets/d/1Hx73zIEgVdDZZaYSTc46Dqv64atFhpr3GelxLbaIN8A/edit?usp=sharing"",""หนองบัวลำภู"&amp;"!N735"")+IMPORTRANGE(""https://docs.google.com/spreadsheets/d/1lFxr3ctmjFN90yc-xV6jrQ9Ty8BKYVBWnAZ15wcNIJc/edit?usp=sharing"",""อำนาจเจริญ!N735"")+IMPORTRANGE(""https://docs.google.com/spreadsheets/d/1gF7RJpRnL-1oyjyeWxs5SFWEH7y8ahOZsQlyp2A2e-A/edit?usp=s"&amp;"haring"",""อุดรธานี!N735"")+IMPORTRANGE(""https://docs.google.com/spreadsheets/d/1kfLP0j3INXRa8bTDpcEmoWewMBV61jlFlfzczfjWIgc/edit?usp=sharing"",""อุบลราชธานี!N735"")"),0)</f>
        <v>0</v>
      </c>
      <c r="O735" s="59">
        <f t="shared" ca="1" si="504"/>
        <v>0</v>
      </c>
      <c r="P735" s="59">
        <f t="shared" ca="1" si="505"/>
        <v>0</v>
      </c>
      <c r="Q735" s="59">
        <f ca="1">IFERROR(__xludf.DUMMYFUNCTION("IMPORTRANGE(""https://docs.google.com/spreadsheets/d/1yhBcrRPreicbMKl9Bu_Snb2-OcQAF62RKfhTLhJ2eAA/edit?usp=sharing"",""กาฬสินธุ์!Q735"")+IMPORTRANGE(""https://docs.google.com/spreadsheets/d/1aHkj4IaQMThhwWwevcOymEh837vdxeC_PycurhTbGFA/edit?usp=sharing"","&amp;"""ขอนแก่น!Q735"")+IMPORTRANGE(""https://docs.google.com/spreadsheets/d/1FvTu2DsIWUjP6WCWra38Bkj_oOl_sOMf14r5Fg5srxU/edit?usp=sharing"",""ชัยภูมิ!Q735"")+IMPORTRANGE(""https://docs.google.com/spreadsheets/d/1XVB7oCJ3pr-vBUdflwPQ8Z2LlzhnCvZaaYjAfP-647E/edit"&amp;"?usp=sharing"",""นครพนม!Q735"")+IMPORTRANGE(""https://docs.google.com/spreadsheets/d/1Mnpb-8PYAgn85W6KOTD40hc_Xc55CaLfHoGAbrZ8tls/edit?usp=sharing"",""นครราชสีมา!Q735"")+IMPORTRANGE(""https://docs.google.com/spreadsheets/d/1xoDLGBv9CYbyosIhki0kTq6IpYNj-gp"&amp;"jxfobnaDiut0/edit?usp=sharing"",""บึงกาฬ!Q735"")+IMPORTRANGE(""https://docs.google.com/spreadsheets/d/1MMPq-JyI6DSgQETxuSiXkesP-P7JHuemnE6QJIa-Nlw/edit?usp=sharing"",""บุรีรัมย์!Q735"")+IMPORTRANGE(""https://docs.google.com/spreadsheets/d/1l6IZ8xUPgMrESzc"&amp;"TYwhA1k_tPjeQjJPTqlm8Gd9eU5g/edit?usp=sharing"",""มหาสารคาม!Q735"")+IMPORTRANGE(""https://docs.google.com/spreadsheets/d/1uB74YLqNjWX6FObjekfB2NtSYigTQyR2rq9u4Ub2Sq4/edit?usp=sharing"",""มุกดาหาร!Q735"")+IMPORTRANGE(""https://docs.google.com/spreadsheets/"&amp;"d/1NexK3geCPxCTO1fzNF8dPec7yZyUx3OaWkFBC9HsQOo/edit?usp=sharing"",""ยโสธร!Q735"")+IMPORTRANGE(""https://docs.google.com/spreadsheets/d/1v_cJrbBlyqmnHPReHk44g9NrMRdENNlSy_E_c5M9fIg/edit?usp=sharing"",""ร้อยเอ็ด!Q735"")+IMPORTRANGE(""https://docs.google.com"&amp;"/spreadsheets/d/1Ul4RCpCX66NxYADU1QpwAPjOmBzW64SsT11s1wzXw_c/edit?usp=sharing"",""เลย!Q735"")+IMPORTRANGE(""https://docs.google.com/spreadsheets/d/1bRrNKwbHDVktQG10isr5vbWRtt5spIZPpkOSWgbT5ug/edit?usp=sharing"",""ศรีสะเกษ!Q735"")+IMPORTRANGE(""https://doc"&amp;"s.google.com/spreadsheets/d/17P34_Ow5kFBfdQD0qspb2UuPX5zpi6WMrQzslghyvrI/edit?usp=sharing"",""สกลนคร!Q735"")+IMPORTRANGE(""https://docs.google.com/spreadsheets/d/1yswqbM3-AEpThF3ZSUa1AcmHnmRTF1vlJ1CZGcJ8YuU/edit?usp=sharing"",""สุรินทร์!Q735"")+IMPORTRANG"&amp;"E(""https://docs.google.com/spreadsheets/d/13JHU_EFbsQOUQ0JSQ3dWy1VTRosIWcDq6Nc99z2qzdc/edit?usp=sharing"",""หนองคาย!Q735"")+IMPORTRANGE(""https://docs.google.com/spreadsheets/d/1Hx73zIEgVdDZZaYSTc46Dqv64atFhpr3GelxLbaIN8A/edit?usp=sharing"",""หนองบัวลำภู"&amp;"!Q735"")+IMPORTRANGE(""https://docs.google.com/spreadsheets/d/1lFxr3ctmjFN90yc-xV6jrQ9Ty8BKYVBWnAZ15wcNIJc/edit?usp=sharing"",""อำนาจเจริญ!Q735"")+IMPORTRANGE(""https://docs.google.com/spreadsheets/d/1gF7RJpRnL-1oyjyeWxs5SFWEH7y8ahOZsQlyp2A2e-A/edit?usp=s"&amp;"haring"",""อุดรธานี!Q735"")+IMPORTRANGE(""https://docs.google.com/spreadsheets/d/1kfLP0j3INXRa8bTDpcEmoWewMBV61jlFlfzczfjWIgc/edit?usp=sharing"",""อุบลราชธานี!Q735"")"),0)</f>
        <v>0</v>
      </c>
      <c r="R735" s="59">
        <f ca="1">IFERROR(__xludf.DUMMYFUNCTION("IMPORTRANGE(""https://docs.google.com/spreadsheets/d/1yhBcrRPreicbMKl9Bu_Snb2-OcQAF62RKfhTLhJ2eAA/edit?usp=sharing"",""กาฬสินธุ์!R735"")+IMPORTRANGE(""https://docs.google.com/spreadsheets/d/1aHkj4IaQMThhwWwevcOymEh837vdxeC_PycurhTbGFA/edit?usp=sharing"","&amp;"""ขอนแก่น!R735"")+IMPORTRANGE(""https://docs.google.com/spreadsheets/d/1FvTu2DsIWUjP6WCWra38Bkj_oOl_sOMf14r5Fg5srxU/edit?usp=sharing"",""ชัยภูมิ!R735"")+IMPORTRANGE(""https://docs.google.com/spreadsheets/d/1XVB7oCJ3pr-vBUdflwPQ8Z2LlzhnCvZaaYjAfP-647E/edit"&amp;"?usp=sharing"",""นครพนม!R735"")+IMPORTRANGE(""https://docs.google.com/spreadsheets/d/1Mnpb-8PYAgn85W6KOTD40hc_Xc55CaLfHoGAbrZ8tls/edit?usp=sharing"",""นครราชสีมา!R735"")+IMPORTRANGE(""https://docs.google.com/spreadsheets/d/1xoDLGBv9CYbyosIhki0kTq6IpYNj-gp"&amp;"jxfobnaDiut0/edit?usp=sharing"",""บึงกาฬ!R735"")+IMPORTRANGE(""https://docs.google.com/spreadsheets/d/1MMPq-JyI6DSgQETxuSiXkesP-P7JHuemnE6QJIa-Nlw/edit?usp=sharing"",""บุรีรัมย์!R735"")+IMPORTRANGE(""https://docs.google.com/spreadsheets/d/1l6IZ8xUPgMrESzc"&amp;"TYwhA1k_tPjeQjJPTqlm8Gd9eU5g/edit?usp=sharing"",""มหาสารคาม!R735"")+IMPORTRANGE(""https://docs.google.com/spreadsheets/d/1uB74YLqNjWX6FObjekfB2NtSYigTQyR2rq9u4Ub2Sq4/edit?usp=sharing"",""มุกดาหาร!R735"")+IMPORTRANGE(""https://docs.google.com/spreadsheets/"&amp;"d/1NexK3geCPxCTO1fzNF8dPec7yZyUx3OaWkFBC9HsQOo/edit?usp=sharing"",""ยโสธร!R735"")+IMPORTRANGE(""https://docs.google.com/spreadsheets/d/1v_cJrbBlyqmnHPReHk44g9NrMRdENNlSy_E_c5M9fIg/edit?usp=sharing"",""ร้อยเอ็ด!R735"")+IMPORTRANGE(""https://docs.google.com"&amp;"/spreadsheets/d/1Ul4RCpCX66NxYADU1QpwAPjOmBzW64SsT11s1wzXw_c/edit?usp=sharing"",""เลย!R735"")+IMPORTRANGE(""https://docs.google.com/spreadsheets/d/1bRrNKwbHDVktQG10isr5vbWRtt5spIZPpkOSWgbT5ug/edit?usp=sharing"",""ศรีสะเกษ!R735"")+IMPORTRANGE(""https://doc"&amp;"s.google.com/spreadsheets/d/17P34_Ow5kFBfdQD0qspb2UuPX5zpi6WMrQzslghyvrI/edit?usp=sharing"",""สกลนคร!R735"")+IMPORTRANGE(""https://docs.google.com/spreadsheets/d/1yswqbM3-AEpThF3ZSUa1AcmHnmRTF1vlJ1CZGcJ8YuU/edit?usp=sharing"",""สุรินทร์!R735"")+IMPORTRANG"&amp;"E(""https://docs.google.com/spreadsheets/d/13JHU_EFbsQOUQ0JSQ3dWy1VTRosIWcDq6Nc99z2qzdc/edit?usp=sharing"",""หนองคาย!R735"")+IMPORTRANGE(""https://docs.google.com/spreadsheets/d/1Hx73zIEgVdDZZaYSTc46Dqv64atFhpr3GelxLbaIN8A/edit?usp=sharing"",""หนองบัวลำภู"&amp;"!R735"")+IMPORTRANGE(""https://docs.google.com/spreadsheets/d/1lFxr3ctmjFN90yc-xV6jrQ9Ty8BKYVBWnAZ15wcNIJc/edit?usp=sharing"",""อำนาจเจริญ!R735"")+IMPORTRANGE(""https://docs.google.com/spreadsheets/d/1gF7RJpRnL-1oyjyeWxs5SFWEH7y8ahOZsQlyp2A2e-A/edit?usp=s"&amp;"haring"",""อุดรธานี!R735"")+IMPORTRANGE(""https://docs.google.com/spreadsheets/d/1kfLP0j3INXRa8bTDpcEmoWewMBV61jlFlfzczfjWIgc/edit?usp=sharing"",""อุบลราชธานี!R735"")"),0)</f>
        <v>0</v>
      </c>
      <c r="S735" s="60">
        <f ca="1">IFERROR(__xludf.DUMMYFUNCTION("IMPORTRANGE(""https://docs.google.com/spreadsheets/d/1yhBcrRPreicbMKl9Bu_Snb2-OcQAF62RKfhTLhJ2eAA/edit?usp=sharing"",""กาฬสินธุ์!S735"")+IMPORTRANGE(""https://docs.google.com/spreadsheets/d/1aHkj4IaQMThhwWwevcOymEh837vdxeC_PycurhTbGFA/edit?usp=sharing"","&amp;"""ขอนแก่น!S735"")+IMPORTRANGE(""https://docs.google.com/spreadsheets/d/1FvTu2DsIWUjP6WCWra38Bkj_oOl_sOMf14r5Fg5srxU/edit?usp=sharing"",""ชัยภูมิ!S735"")+IMPORTRANGE(""https://docs.google.com/spreadsheets/d/1XVB7oCJ3pr-vBUdflwPQ8Z2LlzhnCvZaaYjAfP-647E/edit"&amp;"?usp=sharing"",""นครพนม!S735"")+IMPORTRANGE(""https://docs.google.com/spreadsheets/d/1Mnpb-8PYAgn85W6KOTD40hc_Xc55CaLfHoGAbrZ8tls/edit?usp=sharing"",""นครราชสีมา!S735"")+IMPORTRANGE(""https://docs.google.com/spreadsheets/d/1xoDLGBv9CYbyosIhki0kTq6IpYNj-gp"&amp;"jxfobnaDiut0/edit?usp=sharing"",""บึงกาฬ!S735"")+IMPORTRANGE(""https://docs.google.com/spreadsheets/d/1MMPq-JyI6DSgQETxuSiXkesP-P7JHuemnE6QJIa-Nlw/edit?usp=sharing"",""บุรีรัมย์!S735"")+IMPORTRANGE(""https://docs.google.com/spreadsheets/d/1l6IZ8xUPgMrESzc"&amp;"TYwhA1k_tPjeQjJPTqlm8Gd9eU5g/edit?usp=sharing"",""มหาสารคาม!S735"")+IMPORTRANGE(""https://docs.google.com/spreadsheets/d/1uB74YLqNjWX6FObjekfB2NtSYigTQyR2rq9u4Ub2Sq4/edit?usp=sharing"",""มุกดาหาร!S735"")+IMPORTRANGE(""https://docs.google.com/spreadsheets/"&amp;"d/1NexK3geCPxCTO1fzNF8dPec7yZyUx3OaWkFBC9HsQOo/edit?usp=sharing"",""ยโสธร!S735"")+IMPORTRANGE(""https://docs.google.com/spreadsheets/d/1v_cJrbBlyqmnHPReHk44g9NrMRdENNlSy_E_c5M9fIg/edit?usp=sharing"",""ร้อยเอ็ด!S735"")+IMPORTRANGE(""https://docs.google.com"&amp;"/spreadsheets/d/1Ul4RCpCX66NxYADU1QpwAPjOmBzW64SsT11s1wzXw_c/edit?usp=sharing"",""เลย!S735"")+IMPORTRANGE(""https://docs.google.com/spreadsheets/d/1bRrNKwbHDVktQG10isr5vbWRtt5spIZPpkOSWgbT5ug/edit?usp=sharing"",""ศรีสะเกษ!S735"")+IMPORTRANGE(""https://doc"&amp;"s.google.com/spreadsheets/d/17P34_Ow5kFBfdQD0qspb2UuPX5zpi6WMrQzslghyvrI/edit?usp=sharing"",""สกลนคร!S735"")+IMPORTRANGE(""https://docs.google.com/spreadsheets/d/1yswqbM3-AEpThF3ZSUa1AcmHnmRTF1vlJ1CZGcJ8YuU/edit?usp=sharing"",""สุรินทร์!S735"")+IMPORTRANG"&amp;"E(""https://docs.google.com/spreadsheets/d/13JHU_EFbsQOUQ0JSQ3dWy1VTRosIWcDq6Nc99z2qzdc/edit?usp=sharing"",""หนองคาย!S735"")+IMPORTRANGE(""https://docs.google.com/spreadsheets/d/1Hx73zIEgVdDZZaYSTc46Dqv64atFhpr3GelxLbaIN8A/edit?usp=sharing"",""หนองบัวลำภู"&amp;"!S735"")+IMPORTRANGE(""https://docs.google.com/spreadsheets/d/1lFxr3ctmjFN90yc-xV6jrQ9Ty8BKYVBWnAZ15wcNIJc/edit?usp=sharing"",""อำนาจเจริญ!S735"")+IMPORTRANGE(""https://docs.google.com/spreadsheets/d/1gF7RJpRnL-1oyjyeWxs5SFWEH7y8ahOZsQlyp2A2e-A/edit?usp=s"&amp;"haring"",""อุดรธานี!S735"")+IMPORTRANGE(""https://docs.google.com/spreadsheets/d/1kfLP0j3INXRa8bTDpcEmoWewMBV61jlFlfzczfjWIgc/edit?usp=sharing"",""อุบลราชธานี!S735"")"),0)</f>
        <v>0</v>
      </c>
      <c r="T735" s="59">
        <f t="shared" ca="1" si="507"/>
        <v>0</v>
      </c>
      <c r="U735" s="59">
        <f t="shared" ca="1" si="508"/>
        <v>0</v>
      </c>
    </row>
    <row r="736" spans="1:21" ht="18.75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56">
        <f ca="1">IFERROR(__xludf.DUMMYFUNCTION("IMPORTRANGE(""https://docs.google.com/spreadsheets/d/1yhBcrRPreicbMKl9Bu_Snb2-OcQAF62RKfhTLhJ2eAA/edit?usp=sharing"",""กาฬสินธุ์!L736"")+IMPORTRANGE(""https://docs.google.com/spreadsheets/d/1aHkj4IaQMThhwWwevcOymEh837vdxeC_PycurhTbGFA/edit?usp=sharing"","&amp;"""ขอนแก่น!L736"")+IMPORTRANGE(""https://docs.google.com/spreadsheets/d/1FvTu2DsIWUjP6WCWra38Bkj_oOl_sOMf14r5Fg5srxU/edit?usp=sharing"",""ชัยภูมิ!L736"")+IMPORTRANGE(""https://docs.google.com/spreadsheets/d/1XVB7oCJ3pr-vBUdflwPQ8Z2LlzhnCvZaaYjAfP-647E/edit"&amp;"?usp=sharing"",""นครพนม!L736"")+IMPORTRANGE(""https://docs.google.com/spreadsheets/d/1Mnpb-8PYAgn85W6KOTD40hc_Xc55CaLfHoGAbrZ8tls/edit?usp=sharing"",""นครราชสีมา!L736"")+IMPORTRANGE(""https://docs.google.com/spreadsheets/d/1xoDLGBv9CYbyosIhki0kTq6IpYNj-gp"&amp;"jxfobnaDiut0/edit?usp=sharing"",""บึงกาฬ!L736"")+IMPORTRANGE(""https://docs.google.com/spreadsheets/d/1MMPq-JyI6DSgQETxuSiXkesP-P7JHuemnE6QJIa-Nlw/edit?usp=sharing"",""บุรีรัมย์!L736"")+IMPORTRANGE(""https://docs.google.com/spreadsheets/d/1l6IZ8xUPgMrESzc"&amp;"TYwhA1k_tPjeQjJPTqlm8Gd9eU5g/edit?usp=sharing"",""มหาสารคาม!L736"")+IMPORTRANGE(""https://docs.google.com/spreadsheets/d/1uB74YLqNjWX6FObjekfB2NtSYigTQyR2rq9u4Ub2Sq4/edit?usp=sharing"",""มุกดาหาร!L736"")+IMPORTRANGE(""https://docs.google.com/spreadsheets/"&amp;"d/1NexK3geCPxCTO1fzNF8dPec7yZyUx3OaWkFBC9HsQOo/edit?usp=sharing"",""ยโสธร!L736"")+IMPORTRANGE(""https://docs.google.com/spreadsheets/d/1v_cJrbBlyqmnHPReHk44g9NrMRdENNlSy_E_c5M9fIg/edit?usp=sharing"",""ร้อยเอ็ด!L736"")+IMPORTRANGE(""https://docs.google.com"&amp;"/spreadsheets/d/1Ul4RCpCX66NxYADU1QpwAPjOmBzW64SsT11s1wzXw_c/edit?usp=sharing"",""เลย!L736"")+IMPORTRANGE(""https://docs.google.com/spreadsheets/d/1bRrNKwbHDVktQG10isr5vbWRtt5spIZPpkOSWgbT5ug/edit?usp=sharing"",""ศรีสะเกษ!L736"")+IMPORTRANGE(""https://doc"&amp;"s.google.com/spreadsheets/d/17P34_Ow5kFBfdQD0qspb2UuPX5zpi6WMrQzslghyvrI/edit?usp=sharing"",""สกลนคร!L736"")+IMPORTRANGE(""https://docs.google.com/spreadsheets/d/1yswqbM3-AEpThF3ZSUa1AcmHnmRTF1vlJ1CZGcJ8YuU/edit?usp=sharing"",""สุรินทร์!L736"")+IMPORTRANG"&amp;"E(""https://docs.google.com/spreadsheets/d/13JHU_EFbsQOUQ0JSQ3dWy1VTRosIWcDq6Nc99z2qzdc/edit?usp=sharing"",""หนองคาย!L736"")+IMPORTRANGE(""https://docs.google.com/spreadsheets/d/1Hx73zIEgVdDZZaYSTc46Dqv64atFhpr3GelxLbaIN8A/edit?usp=sharing"",""หนองบัวลำภู"&amp;"!L736"")+IMPORTRANGE(""https://docs.google.com/spreadsheets/d/1lFxr3ctmjFN90yc-xV6jrQ9Ty8BKYVBWnAZ15wcNIJc/edit?usp=sharing"",""อำนาจเจริญ!L736"")+IMPORTRANGE(""https://docs.google.com/spreadsheets/d/1gF7RJpRnL-1oyjyeWxs5SFWEH7y8ahOZsQlyp2A2e-A/edit?usp=s"&amp;"haring"",""อุดรธานี!L736"")+IMPORTRANGE(""https://docs.google.com/spreadsheets/d/1kfLP0j3INXRa8bTDpcEmoWewMBV61jlFlfzczfjWIgc/edit?usp=sharing"",""อุบลราชธานี!L736"")"),0)</f>
        <v>0</v>
      </c>
      <c r="M736" s="56">
        <f ca="1">IFERROR(__xludf.DUMMYFUNCTION("IMPORTRANGE(""https://docs.google.com/spreadsheets/d/1yhBcrRPreicbMKl9Bu_Snb2-OcQAF62RKfhTLhJ2eAA/edit?usp=sharing"",""กาฬสินธุ์!M736"")+IMPORTRANGE(""https://docs.google.com/spreadsheets/d/1aHkj4IaQMThhwWwevcOymEh837vdxeC_PycurhTbGFA/edit?usp=sharing"","&amp;"""ขอนแก่น!M736"")+IMPORTRANGE(""https://docs.google.com/spreadsheets/d/1FvTu2DsIWUjP6WCWra38Bkj_oOl_sOMf14r5Fg5srxU/edit?usp=sharing"",""ชัยภูมิ!M736"")+IMPORTRANGE(""https://docs.google.com/spreadsheets/d/1XVB7oCJ3pr-vBUdflwPQ8Z2LlzhnCvZaaYjAfP-647E/edit"&amp;"?usp=sharing"",""นครพนม!M736"")+IMPORTRANGE(""https://docs.google.com/spreadsheets/d/1Mnpb-8PYAgn85W6KOTD40hc_Xc55CaLfHoGAbrZ8tls/edit?usp=sharing"",""นครราชสีมา!M736"")+IMPORTRANGE(""https://docs.google.com/spreadsheets/d/1xoDLGBv9CYbyosIhki0kTq6IpYNj-gp"&amp;"jxfobnaDiut0/edit?usp=sharing"",""บึงกาฬ!M736"")+IMPORTRANGE(""https://docs.google.com/spreadsheets/d/1MMPq-JyI6DSgQETxuSiXkesP-P7JHuemnE6QJIa-Nlw/edit?usp=sharing"",""บุรีรัมย์!M736"")+IMPORTRANGE(""https://docs.google.com/spreadsheets/d/1l6IZ8xUPgMrESzc"&amp;"TYwhA1k_tPjeQjJPTqlm8Gd9eU5g/edit?usp=sharing"",""มหาสารคาม!M736"")+IMPORTRANGE(""https://docs.google.com/spreadsheets/d/1uB74YLqNjWX6FObjekfB2NtSYigTQyR2rq9u4Ub2Sq4/edit?usp=sharing"",""มุกดาหาร!M736"")+IMPORTRANGE(""https://docs.google.com/spreadsheets/"&amp;"d/1NexK3geCPxCTO1fzNF8dPec7yZyUx3OaWkFBC9HsQOo/edit?usp=sharing"",""ยโสธร!M736"")+IMPORTRANGE(""https://docs.google.com/spreadsheets/d/1v_cJrbBlyqmnHPReHk44g9NrMRdENNlSy_E_c5M9fIg/edit?usp=sharing"",""ร้อยเอ็ด!M736"")+IMPORTRANGE(""https://docs.google.com"&amp;"/spreadsheets/d/1Ul4RCpCX66NxYADU1QpwAPjOmBzW64SsT11s1wzXw_c/edit?usp=sharing"",""เลย!M736"")+IMPORTRANGE(""https://docs.google.com/spreadsheets/d/1bRrNKwbHDVktQG10isr5vbWRtt5spIZPpkOSWgbT5ug/edit?usp=sharing"",""ศรีสะเกษ!M736"")+IMPORTRANGE(""https://doc"&amp;"s.google.com/spreadsheets/d/17P34_Ow5kFBfdQD0qspb2UuPX5zpi6WMrQzslghyvrI/edit?usp=sharing"",""สกลนคร!M736"")+IMPORTRANGE(""https://docs.google.com/spreadsheets/d/1yswqbM3-AEpThF3ZSUa1AcmHnmRTF1vlJ1CZGcJ8YuU/edit?usp=sharing"",""สุรินทร์!M736"")+IMPORTRANG"&amp;"E(""https://docs.google.com/spreadsheets/d/13JHU_EFbsQOUQ0JSQ3dWy1VTRosIWcDq6Nc99z2qzdc/edit?usp=sharing"",""หนองคาย!M736"")+IMPORTRANGE(""https://docs.google.com/spreadsheets/d/1Hx73zIEgVdDZZaYSTc46Dqv64atFhpr3GelxLbaIN8A/edit?usp=sharing"",""หนองบัวลำภู"&amp;"!M736"")+IMPORTRANGE(""https://docs.google.com/spreadsheets/d/1lFxr3ctmjFN90yc-xV6jrQ9Ty8BKYVBWnAZ15wcNIJc/edit?usp=sharing"",""อำนาจเจริญ!M736"")+IMPORTRANGE(""https://docs.google.com/spreadsheets/d/1gF7RJpRnL-1oyjyeWxs5SFWEH7y8ahOZsQlyp2A2e-A/edit?usp=s"&amp;"haring"",""อุดรธานี!M736"")+IMPORTRANGE(""https://docs.google.com/spreadsheets/d/1kfLP0j3INXRa8bTDpcEmoWewMBV61jlFlfzczfjWIgc/edit?usp=sharing"",""อุบลราชธานี!M736"")"),0)</f>
        <v>0</v>
      </c>
      <c r="N736" s="56">
        <f ca="1">IFERROR(__xludf.DUMMYFUNCTION("IMPORTRANGE(""https://docs.google.com/spreadsheets/d/1yhBcrRPreicbMKl9Bu_Snb2-OcQAF62RKfhTLhJ2eAA/edit?usp=sharing"",""กาฬสินธุ์!N736"")+IMPORTRANGE(""https://docs.google.com/spreadsheets/d/1aHkj4IaQMThhwWwevcOymEh837vdxeC_PycurhTbGFA/edit?usp=sharing"","&amp;"""ขอนแก่น!N736"")+IMPORTRANGE(""https://docs.google.com/spreadsheets/d/1FvTu2DsIWUjP6WCWra38Bkj_oOl_sOMf14r5Fg5srxU/edit?usp=sharing"",""ชัยภูมิ!N736"")+IMPORTRANGE(""https://docs.google.com/spreadsheets/d/1XVB7oCJ3pr-vBUdflwPQ8Z2LlzhnCvZaaYjAfP-647E/edit"&amp;"?usp=sharing"",""นครพนม!N736"")+IMPORTRANGE(""https://docs.google.com/spreadsheets/d/1Mnpb-8PYAgn85W6KOTD40hc_Xc55CaLfHoGAbrZ8tls/edit?usp=sharing"",""นครราชสีมา!N736"")+IMPORTRANGE(""https://docs.google.com/spreadsheets/d/1xoDLGBv9CYbyosIhki0kTq6IpYNj-gp"&amp;"jxfobnaDiut0/edit?usp=sharing"",""บึงกาฬ!N736"")+IMPORTRANGE(""https://docs.google.com/spreadsheets/d/1MMPq-JyI6DSgQETxuSiXkesP-P7JHuemnE6QJIa-Nlw/edit?usp=sharing"",""บุรีรัมย์!N736"")+IMPORTRANGE(""https://docs.google.com/spreadsheets/d/1l6IZ8xUPgMrESzc"&amp;"TYwhA1k_tPjeQjJPTqlm8Gd9eU5g/edit?usp=sharing"",""มหาสารคาม!N736"")+IMPORTRANGE(""https://docs.google.com/spreadsheets/d/1uB74YLqNjWX6FObjekfB2NtSYigTQyR2rq9u4Ub2Sq4/edit?usp=sharing"",""มุกดาหาร!N736"")+IMPORTRANGE(""https://docs.google.com/spreadsheets/"&amp;"d/1NexK3geCPxCTO1fzNF8dPec7yZyUx3OaWkFBC9HsQOo/edit?usp=sharing"",""ยโสธร!N736"")+IMPORTRANGE(""https://docs.google.com/spreadsheets/d/1v_cJrbBlyqmnHPReHk44g9NrMRdENNlSy_E_c5M9fIg/edit?usp=sharing"",""ร้อยเอ็ด!N736"")+IMPORTRANGE(""https://docs.google.com"&amp;"/spreadsheets/d/1Ul4RCpCX66NxYADU1QpwAPjOmBzW64SsT11s1wzXw_c/edit?usp=sharing"",""เลย!N736"")+IMPORTRANGE(""https://docs.google.com/spreadsheets/d/1bRrNKwbHDVktQG10isr5vbWRtt5spIZPpkOSWgbT5ug/edit?usp=sharing"",""ศรีสะเกษ!N736"")+IMPORTRANGE(""https://doc"&amp;"s.google.com/spreadsheets/d/17P34_Ow5kFBfdQD0qspb2UuPX5zpi6WMrQzslghyvrI/edit?usp=sharing"",""สกลนคร!N736"")+IMPORTRANGE(""https://docs.google.com/spreadsheets/d/1yswqbM3-AEpThF3ZSUa1AcmHnmRTF1vlJ1CZGcJ8YuU/edit?usp=sharing"",""สุรินทร์!N736"")+IMPORTRANG"&amp;"E(""https://docs.google.com/spreadsheets/d/13JHU_EFbsQOUQ0JSQ3dWy1VTRosIWcDq6Nc99z2qzdc/edit?usp=sharing"",""หนองคาย!N736"")+IMPORTRANGE(""https://docs.google.com/spreadsheets/d/1Hx73zIEgVdDZZaYSTc46Dqv64atFhpr3GelxLbaIN8A/edit?usp=sharing"",""หนองบัวลำภู"&amp;"!N736"")+IMPORTRANGE(""https://docs.google.com/spreadsheets/d/1lFxr3ctmjFN90yc-xV6jrQ9Ty8BKYVBWnAZ15wcNIJc/edit?usp=sharing"",""อำนาจเจริญ!N736"")+IMPORTRANGE(""https://docs.google.com/spreadsheets/d/1gF7RJpRnL-1oyjyeWxs5SFWEH7y8ahOZsQlyp2A2e-A/edit?usp=s"&amp;"haring"",""อุดรธานี!N736"")+IMPORTRANGE(""https://docs.google.com/spreadsheets/d/1kfLP0j3INXRa8bTDpcEmoWewMBV61jlFlfzczfjWIgc/edit?usp=sharing"",""อุบลราชธานี!N736"")"),0)</f>
        <v>0</v>
      </c>
      <c r="O736" s="56">
        <f t="shared" ca="1" si="504"/>
        <v>0</v>
      </c>
      <c r="P736" s="56">
        <f t="shared" ca="1" si="505"/>
        <v>0</v>
      </c>
      <c r="Q736" s="56">
        <f ca="1">IFERROR(__xludf.DUMMYFUNCTION("IMPORTRANGE(""https://docs.google.com/spreadsheets/d/1yhBcrRPreicbMKl9Bu_Snb2-OcQAF62RKfhTLhJ2eAA/edit?usp=sharing"",""กาฬสินธุ์!Q736"")+IMPORTRANGE(""https://docs.google.com/spreadsheets/d/1aHkj4IaQMThhwWwevcOymEh837vdxeC_PycurhTbGFA/edit?usp=sharing"","&amp;"""ขอนแก่น!Q736"")+IMPORTRANGE(""https://docs.google.com/spreadsheets/d/1FvTu2DsIWUjP6WCWra38Bkj_oOl_sOMf14r5Fg5srxU/edit?usp=sharing"",""ชัยภูมิ!Q736"")+IMPORTRANGE(""https://docs.google.com/spreadsheets/d/1XVB7oCJ3pr-vBUdflwPQ8Z2LlzhnCvZaaYjAfP-647E/edit"&amp;"?usp=sharing"",""นครพนม!Q736"")+IMPORTRANGE(""https://docs.google.com/spreadsheets/d/1Mnpb-8PYAgn85W6KOTD40hc_Xc55CaLfHoGAbrZ8tls/edit?usp=sharing"",""นครราชสีมา!Q736"")+IMPORTRANGE(""https://docs.google.com/spreadsheets/d/1xoDLGBv9CYbyosIhki0kTq6IpYNj-gp"&amp;"jxfobnaDiut0/edit?usp=sharing"",""บึงกาฬ!Q736"")+IMPORTRANGE(""https://docs.google.com/spreadsheets/d/1MMPq-JyI6DSgQETxuSiXkesP-P7JHuemnE6QJIa-Nlw/edit?usp=sharing"",""บุรีรัมย์!Q736"")+IMPORTRANGE(""https://docs.google.com/spreadsheets/d/1l6IZ8xUPgMrESzc"&amp;"TYwhA1k_tPjeQjJPTqlm8Gd9eU5g/edit?usp=sharing"",""มหาสารคาม!Q736"")+IMPORTRANGE(""https://docs.google.com/spreadsheets/d/1uB74YLqNjWX6FObjekfB2NtSYigTQyR2rq9u4Ub2Sq4/edit?usp=sharing"",""มุกดาหาร!Q736"")+IMPORTRANGE(""https://docs.google.com/spreadsheets/"&amp;"d/1NexK3geCPxCTO1fzNF8dPec7yZyUx3OaWkFBC9HsQOo/edit?usp=sharing"",""ยโสธร!Q736"")+IMPORTRANGE(""https://docs.google.com/spreadsheets/d/1v_cJrbBlyqmnHPReHk44g9NrMRdENNlSy_E_c5M9fIg/edit?usp=sharing"",""ร้อยเอ็ด!Q736"")+IMPORTRANGE(""https://docs.google.com"&amp;"/spreadsheets/d/1Ul4RCpCX66NxYADU1QpwAPjOmBzW64SsT11s1wzXw_c/edit?usp=sharing"",""เลย!Q736"")+IMPORTRANGE(""https://docs.google.com/spreadsheets/d/1bRrNKwbHDVktQG10isr5vbWRtt5spIZPpkOSWgbT5ug/edit?usp=sharing"",""ศรีสะเกษ!Q736"")+IMPORTRANGE(""https://doc"&amp;"s.google.com/spreadsheets/d/17P34_Ow5kFBfdQD0qspb2UuPX5zpi6WMrQzslghyvrI/edit?usp=sharing"",""สกลนคร!Q736"")+IMPORTRANGE(""https://docs.google.com/spreadsheets/d/1yswqbM3-AEpThF3ZSUa1AcmHnmRTF1vlJ1CZGcJ8YuU/edit?usp=sharing"",""สุรินทร์!Q736"")+IMPORTRANG"&amp;"E(""https://docs.google.com/spreadsheets/d/13JHU_EFbsQOUQ0JSQ3dWy1VTRosIWcDq6Nc99z2qzdc/edit?usp=sharing"",""หนองคาย!Q736"")+IMPORTRANGE(""https://docs.google.com/spreadsheets/d/1Hx73zIEgVdDZZaYSTc46Dqv64atFhpr3GelxLbaIN8A/edit?usp=sharing"",""หนองบัวลำภู"&amp;"!Q736"")+IMPORTRANGE(""https://docs.google.com/spreadsheets/d/1lFxr3ctmjFN90yc-xV6jrQ9Ty8BKYVBWnAZ15wcNIJc/edit?usp=sharing"",""อำนาจเจริญ!Q736"")+IMPORTRANGE(""https://docs.google.com/spreadsheets/d/1gF7RJpRnL-1oyjyeWxs5SFWEH7y8ahOZsQlyp2A2e-A/edit?usp=s"&amp;"haring"",""อุดรธานี!Q736"")+IMPORTRANGE(""https://docs.google.com/spreadsheets/d/1kfLP0j3INXRa8bTDpcEmoWewMBV61jlFlfzczfjWIgc/edit?usp=sharing"",""อุบลราชธานี!Q736"")"),0)</f>
        <v>0</v>
      </c>
      <c r="R736" s="56">
        <f ca="1">IFERROR(__xludf.DUMMYFUNCTION("IMPORTRANGE(""https://docs.google.com/spreadsheets/d/1yhBcrRPreicbMKl9Bu_Snb2-OcQAF62RKfhTLhJ2eAA/edit?usp=sharing"",""กาฬสินธุ์!R736"")+IMPORTRANGE(""https://docs.google.com/spreadsheets/d/1aHkj4IaQMThhwWwevcOymEh837vdxeC_PycurhTbGFA/edit?usp=sharing"","&amp;"""ขอนแก่น!R736"")+IMPORTRANGE(""https://docs.google.com/spreadsheets/d/1FvTu2DsIWUjP6WCWra38Bkj_oOl_sOMf14r5Fg5srxU/edit?usp=sharing"",""ชัยภูมิ!R736"")+IMPORTRANGE(""https://docs.google.com/spreadsheets/d/1XVB7oCJ3pr-vBUdflwPQ8Z2LlzhnCvZaaYjAfP-647E/edit"&amp;"?usp=sharing"",""นครพนม!R736"")+IMPORTRANGE(""https://docs.google.com/spreadsheets/d/1Mnpb-8PYAgn85W6KOTD40hc_Xc55CaLfHoGAbrZ8tls/edit?usp=sharing"",""นครราชสีมา!R736"")+IMPORTRANGE(""https://docs.google.com/spreadsheets/d/1xoDLGBv9CYbyosIhki0kTq6IpYNj-gp"&amp;"jxfobnaDiut0/edit?usp=sharing"",""บึงกาฬ!R736"")+IMPORTRANGE(""https://docs.google.com/spreadsheets/d/1MMPq-JyI6DSgQETxuSiXkesP-P7JHuemnE6QJIa-Nlw/edit?usp=sharing"",""บุรีรัมย์!R736"")+IMPORTRANGE(""https://docs.google.com/spreadsheets/d/1l6IZ8xUPgMrESzc"&amp;"TYwhA1k_tPjeQjJPTqlm8Gd9eU5g/edit?usp=sharing"",""มหาสารคาม!R736"")+IMPORTRANGE(""https://docs.google.com/spreadsheets/d/1uB74YLqNjWX6FObjekfB2NtSYigTQyR2rq9u4Ub2Sq4/edit?usp=sharing"",""มุกดาหาร!R736"")+IMPORTRANGE(""https://docs.google.com/spreadsheets/"&amp;"d/1NexK3geCPxCTO1fzNF8dPec7yZyUx3OaWkFBC9HsQOo/edit?usp=sharing"",""ยโสธร!R736"")+IMPORTRANGE(""https://docs.google.com/spreadsheets/d/1v_cJrbBlyqmnHPReHk44g9NrMRdENNlSy_E_c5M9fIg/edit?usp=sharing"",""ร้อยเอ็ด!R736"")+IMPORTRANGE(""https://docs.google.com"&amp;"/spreadsheets/d/1Ul4RCpCX66NxYADU1QpwAPjOmBzW64SsT11s1wzXw_c/edit?usp=sharing"",""เลย!R736"")+IMPORTRANGE(""https://docs.google.com/spreadsheets/d/1bRrNKwbHDVktQG10isr5vbWRtt5spIZPpkOSWgbT5ug/edit?usp=sharing"",""ศรีสะเกษ!R736"")+IMPORTRANGE(""https://doc"&amp;"s.google.com/spreadsheets/d/17P34_Ow5kFBfdQD0qspb2UuPX5zpi6WMrQzslghyvrI/edit?usp=sharing"",""สกลนคร!R736"")+IMPORTRANGE(""https://docs.google.com/spreadsheets/d/1yswqbM3-AEpThF3ZSUa1AcmHnmRTF1vlJ1CZGcJ8YuU/edit?usp=sharing"",""สุรินทร์!R736"")+IMPORTRANG"&amp;"E(""https://docs.google.com/spreadsheets/d/13JHU_EFbsQOUQ0JSQ3dWy1VTRosIWcDq6Nc99z2qzdc/edit?usp=sharing"",""หนองคาย!R736"")+IMPORTRANGE(""https://docs.google.com/spreadsheets/d/1Hx73zIEgVdDZZaYSTc46Dqv64atFhpr3GelxLbaIN8A/edit?usp=sharing"",""หนองบัวลำภู"&amp;"!R736"")+IMPORTRANGE(""https://docs.google.com/spreadsheets/d/1lFxr3ctmjFN90yc-xV6jrQ9Ty8BKYVBWnAZ15wcNIJc/edit?usp=sharing"",""อำนาจเจริญ!R736"")+IMPORTRANGE(""https://docs.google.com/spreadsheets/d/1gF7RJpRnL-1oyjyeWxs5SFWEH7y8ahOZsQlyp2A2e-A/edit?usp=s"&amp;"haring"",""อุดรธานี!R736"")+IMPORTRANGE(""https://docs.google.com/spreadsheets/d/1kfLP0j3INXRa8bTDpcEmoWewMBV61jlFlfzczfjWIgc/edit?usp=sharing"",""อุบลราชธานี!R736"")"),0)</f>
        <v>0</v>
      </c>
      <c r="S736" s="57">
        <f ca="1">IFERROR(__xludf.DUMMYFUNCTION("IMPORTRANGE(""https://docs.google.com/spreadsheets/d/1yhBcrRPreicbMKl9Bu_Snb2-OcQAF62RKfhTLhJ2eAA/edit?usp=sharing"",""กาฬสินธุ์!S736"")+IMPORTRANGE(""https://docs.google.com/spreadsheets/d/1aHkj4IaQMThhwWwevcOymEh837vdxeC_PycurhTbGFA/edit?usp=sharing"","&amp;"""ขอนแก่น!S736"")+IMPORTRANGE(""https://docs.google.com/spreadsheets/d/1FvTu2DsIWUjP6WCWra38Bkj_oOl_sOMf14r5Fg5srxU/edit?usp=sharing"",""ชัยภูมิ!S736"")+IMPORTRANGE(""https://docs.google.com/spreadsheets/d/1XVB7oCJ3pr-vBUdflwPQ8Z2LlzhnCvZaaYjAfP-647E/edit"&amp;"?usp=sharing"",""นครพนม!S736"")+IMPORTRANGE(""https://docs.google.com/spreadsheets/d/1Mnpb-8PYAgn85W6KOTD40hc_Xc55CaLfHoGAbrZ8tls/edit?usp=sharing"",""นครราชสีมา!S736"")+IMPORTRANGE(""https://docs.google.com/spreadsheets/d/1xoDLGBv9CYbyosIhki0kTq6IpYNj-gp"&amp;"jxfobnaDiut0/edit?usp=sharing"",""บึงกาฬ!S736"")+IMPORTRANGE(""https://docs.google.com/spreadsheets/d/1MMPq-JyI6DSgQETxuSiXkesP-P7JHuemnE6QJIa-Nlw/edit?usp=sharing"",""บุรีรัมย์!S736"")+IMPORTRANGE(""https://docs.google.com/spreadsheets/d/1l6IZ8xUPgMrESzc"&amp;"TYwhA1k_tPjeQjJPTqlm8Gd9eU5g/edit?usp=sharing"",""มหาสารคาม!S736"")+IMPORTRANGE(""https://docs.google.com/spreadsheets/d/1uB74YLqNjWX6FObjekfB2NtSYigTQyR2rq9u4Ub2Sq4/edit?usp=sharing"",""มุกดาหาร!S736"")+IMPORTRANGE(""https://docs.google.com/spreadsheets/"&amp;"d/1NexK3geCPxCTO1fzNF8dPec7yZyUx3OaWkFBC9HsQOo/edit?usp=sharing"",""ยโสธร!S736"")+IMPORTRANGE(""https://docs.google.com/spreadsheets/d/1v_cJrbBlyqmnHPReHk44g9NrMRdENNlSy_E_c5M9fIg/edit?usp=sharing"",""ร้อยเอ็ด!S736"")+IMPORTRANGE(""https://docs.google.com"&amp;"/spreadsheets/d/1Ul4RCpCX66NxYADU1QpwAPjOmBzW64SsT11s1wzXw_c/edit?usp=sharing"",""เลย!S736"")+IMPORTRANGE(""https://docs.google.com/spreadsheets/d/1bRrNKwbHDVktQG10isr5vbWRtt5spIZPpkOSWgbT5ug/edit?usp=sharing"",""ศรีสะเกษ!S736"")+IMPORTRANGE(""https://doc"&amp;"s.google.com/spreadsheets/d/17P34_Ow5kFBfdQD0qspb2UuPX5zpi6WMrQzslghyvrI/edit?usp=sharing"",""สกลนคร!S736"")+IMPORTRANGE(""https://docs.google.com/spreadsheets/d/1yswqbM3-AEpThF3ZSUa1AcmHnmRTF1vlJ1CZGcJ8YuU/edit?usp=sharing"",""สุรินทร์!S736"")+IMPORTRANG"&amp;"E(""https://docs.google.com/spreadsheets/d/13JHU_EFbsQOUQ0JSQ3dWy1VTRosIWcDq6Nc99z2qzdc/edit?usp=sharing"",""หนองคาย!S736"")+IMPORTRANGE(""https://docs.google.com/spreadsheets/d/1Hx73zIEgVdDZZaYSTc46Dqv64atFhpr3GelxLbaIN8A/edit?usp=sharing"",""หนองบัวลำภู"&amp;"!S736"")+IMPORTRANGE(""https://docs.google.com/spreadsheets/d/1lFxr3ctmjFN90yc-xV6jrQ9Ty8BKYVBWnAZ15wcNIJc/edit?usp=sharing"",""อำนาจเจริญ!S736"")+IMPORTRANGE(""https://docs.google.com/spreadsheets/d/1gF7RJpRnL-1oyjyeWxs5SFWEH7y8ahOZsQlyp2A2e-A/edit?usp=s"&amp;"haring"",""อุดรธานี!S736"")+IMPORTRANGE(""https://docs.google.com/spreadsheets/d/1kfLP0j3INXRa8bTDpcEmoWewMBV61jlFlfzczfjWIgc/edit?usp=sharing"",""อุบลราชธานี!S736"")"),0)</f>
        <v>0</v>
      </c>
      <c r="T736" s="56">
        <f t="shared" ca="1" si="507"/>
        <v>0</v>
      </c>
      <c r="U736" s="56">
        <f t="shared" ca="1" si="508"/>
        <v>0</v>
      </c>
    </row>
    <row r="737" spans="1:21" ht="19.5">
      <c r="A737" s="166"/>
      <c r="B737" s="167"/>
      <c r="C737" s="205" t="s">
        <v>18</v>
      </c>
      <c r="D737" s="357" t="s">
        <v>38</v>
      </c>
      <c r="E737" s="232"/>
      <c r="F737" s="169"/>
      <c r="G737" s="170"/>
      <c r="H737" s="206"/>
      <c r="I737" s="54"/>
      <c r="J737" s="54"/>
      <c r="K737" s="55"/>
      <c r="L737" s="55"/>
      <c r="M737" s="55"/>
      <c r="N737" s="55"/>
      <c r="O737" s="55"/>
      <c r="P737" s="55"/>
      <c r="Q737" s="55"/>
      <c r="R737" s="55"/>
      <c r="S737" s="62"/>
      <c r="T737" s="55"/>
      <c r="U737" s="55"/>
    </row>
    <row r="738" spans="1:21" ht="19.5">
      <c r="A738" s="166"/>
      <c r="B738" s="167"/>
      <c r="C738" s="167"/>
      <c r="D738" s="488" t="s">
        <v>121</v>
      </c>
      <c r="E738" s="167"/>
      <c r="F738" s="167"/>
      <c r="G738" s="171"/>
      <c r="H738" s="208"/>
      <c r="I738" s="54"/>
      <c r="J738" s="54"/>
      <c r="K738" s="55"/>
      <c r="L738" s="55"/>
      <c r="M738" s="55"/>
      <c r="N738" s="55"/>
      <c r="O738" s="55"/>
      <c r="P738" s="55"/>
      <c r="Q738" s="55"/>
      <c r="R738" s="55"/>
      <c r="S738" s="62"/>
      <c r="T738" s="55"/>
      <c r="U738" s="55"/>
    </row>
    <row r="739" spans="1:21" ht="18.75">
      <c r="A739" s="166"/>
      <c r="B739" s="167"/>
      <c r="C739" s="167"/>
      <c r="D739" s="167"/>
      <c r="E739" s="460" t="s">
        <v>271</v>
      </c>
      <c r="F739" s="167"/>
      <c r="G739" s="171"/>
      <c r="H739" s="208"/>
      <c r="I739" s="54"/>
      <c r="J739" s="54"/>
      <c r="K739" s="55"/>
      <c r="L739" s="55"/>
      <c r="M739" s="55"/>
      <c r="N739" s="55"/>
      <c r="O739" s="55"/>
      <c r="P739" s="55"/>
      <c r="Q739" s="55"/>
      <c r="R739" s="55"/>
      <c r="S739" s="62"/>
      <c r="T739" s="55"/>
      <c r="U739" s="55"/>
    </row>
    <row r="740" spans="1:21" ht="18.75">
      <c r="A740" s="166"/>
      <c r="B740" s="167"/>
      <c r="C740" s="167"/>
      <c r="D740" s="167"/>
      <c r="E740" s="167"/>
      <c r="F740" s="460" t="s">
        <v>272</v>
      </c>
      <c r="G740" s="171"/>
      <c r="H740" s="161" t="s">
        <v>46</v>
      </c>
      <c r="I740" s="181">
        <f ca="1">IFERROR(__xludf.DUMMYFUNCTION("IMPORTRANGE(""https://docs.google.com/spreadsheets/d/1yhBcrRPreicbMKl9Bu_Snb2-OcQAF62RKfhTLhJ2eAA/edit?usp=sharing"",""กาฬสินธุ์!I740"")+IMPORTRANGE(""https://docs.google.com/spreadsheets/d/1aHkj4IaQMThhwWwevcOymEh837vdxeC_PycurhTbGFA/edit?usp=sharing"","&amp;"""ขอนแก่น!I740"")+IMPORTRANGE(""https://docs.google.com/spreadsheets/d/1FvTu2DsIWUjP6WCWra38Bkj_oOl_sOMf14r5Fg5srxU/edit?usp=sharing"",""ชัยภูมิ!I740"")+IMPORTRANGE(""https://docs.google.com/spreadsheets/d/1XVB7oCJ3pr-vBUdflwPQ8Z2LlzhnCvZaaYjAfP-647E/edit"&amp;"?usp=sharing"",""นครพนม!I740"")+IMPORTRANGE(""https://docs.google.com/spreadsheets/d/1Mnpb-8PYAgn85W6KOTD40hc_Xc55CaLfHoGAbrZ8tls/edit?usp=sharing"",""นครราชสีมา!I740"")+IMPORTRANGE(""https://docs.google.com/spreadsheets/d/1xoDLGBv9CYbyosIhki0kTq6IpYNj-gp"&amp;"jxfobnaDiut0/edit?usp=sharing"",""บึงกาฬ!I740"")+IMPORTRANGE(""https://docs.google.com/spreadsheets/d/1MMPq-JyI6DSgQETxuSiXkesP-P7JHuemnE6QJIa-Nlw/edit?usp=sharing"",""บุรีรัมย์!I740"")+IMPORTRANGE(""https://docs.google.com/spreadsheets/d/1l6IZ8xUPgMrESzc"&amp;"TYwhA1k_tPjeQjJPTqlm8Gd9eU5g/edit?usp=sharing"",""มหาสารคาม!I740"")+IMPORTRANGE(""https://docs.google.com/spreadsheets/d/1uB74YLqNjWX6FObjekfB2NtSYigTQyR2rq9u4Ub2Sq4/edit?usp=sharing"",""มุกดาหาร!I740"")+IMPORTRANGE(""https://docs.google.com/spreadsheets/"&amp;"d/1NexK3geCPxCTO1fzNF8dPec7yZyUx3OaWkFBC9HsQOo/edit?usp=sharing"",""ยโสธร!I740"")+IMPORTRANGE(""https://docs.google.com/spreadsheets/d/1v_cJrbBlyqmnHPReHk44g9NrMRdENNlSy_E_c5M9fIg/edit?usp=sharing"",""ร้อยเอ็ด!I740"")+IMPORTRANGE(""https://docs.google.com"&amp;"/spreadsheets/d/1Ul4RCpCX66NxYADU1QpwAPjOmBzW64SsT11s1wzXw_c/edit?usp=sharing"",""เลย!I740"")+IMPORTRANGE(""https://docs.google.com/spreadsheets/d/1bRrNKwbHDVktQG10isr5vbWRtt5spIZPpkOSWgbT5ug/edit?usp=sharing"",""ศรีสะเกษ!I740"")+IMPORTRANGE(""https://doc"&amp;"s.google.com/spreadsheets/d/17P34_Ow5kFBfdQD0qspb2UuPX5zpi6WMrQzslghyvrI/edit?usp=sharing"",""สกลนคร!I740"")+IMPORTRANGE(""https://docs.google.com/spreadsheets/d/1yswqbM3-AEpThF3ZSUa1AcmHnmRTF1vlJ1CZGcJ8YuU/edit?usp=sharing"",""สุรินทร์!I740"")+IMPORTRANG"&amp;"E(""https://docs.google.com/spreadsheets/d/13JHU_EFbsQOUQ0JSQ3dWy1VTRosIWcDq6Nc99z2qzdc/edit?usp=sharing"",""หนองคาย!I740"")+IMPORTRANGE(""https://docs.google.com/spreadsheets/d/1Hx73zIEgVdDZZaYSTc46Dqv64atFhpr3GelxLbaIN8A/edit?usp=sharing"",""หนองบัวลำภู"&amp;"!I740"")+IMPORTRANGE(""https://docs.google.com/spreadsheets/d/1lFxr3ctmjFN90yc-xV6jrQ9Ty8BKYVBWnAZ15wcNIJc/edit?usp=sharing"",""อำนาจเจริญ!I740"")+IMPORTRANGE(""https://docs.google.com/spreadsheets/d/1gF7RJpRnL-1oyjyeWxs5SFWEH7y8ahOZsQlyp2A2e-A/edit?usp=s"&amp;"haring"",""อุดรธานี!I740"")+IMPORTRANGE(""https://docs.google.com/spreadsheets/d/1kfLP0j3INXRa8bTDpcEmoWewMBV61jlFlfzczfjWIgc/edit?usp=sharing"",""อุบลราชธานี!I740"")"),17200)</f>
        <v>17200</v>
      </c>
      <c r="J740" s="195">
        <f ca="1">IFERROR(__xludf.DUMMYFUNCTION("IMPORTRANGE(""https://docs.google.com/spreadsheets/d/1yhBcrRPreicbMKl9Bu_Snb2-OcQAF62RKfhTLhJ2eAA/edit?usp=sharing"",""กาฬสินธุ์!J740"")+IMPORTRANGE(""https://docs.google.com/spreadsheets/d/1aHkj4IaQMThhwWwevcOymEh837vdxeC_PycurhTbGFA/edit?usp=sharing"","&amp;"""ขอนแก่น!J740"")+IMPORTRANGE(""https://docs.google.com/spreadsheets/d/1FvTu2DsIWUjP6WCWra38Bkj_oOl_sOMf14r5Fg5srxU/edit?usp=sharing"",""ชัยภูมิ!J740"")+IMPORTRANGE(""https://docs.google.com/spreadsheets/d/1XVB7oCJ3pr-vBUdflwPQ8Z2LlzhnCvZaaYjAfP-647E/edit"&amp;"?usp=sharing"",""นครพนม!J740"")+IMPORTRANGE(""https://docs.google.com/spreadsheets/d/1Mnpb-8PYAgn85W6KOTD40hc_Xc55CaLfHoGAbrZ8tls/edit?usp=sharing"",""นครราชสีมา!J740"")+IMPORTRANGE(""https://docs.google.com/spreadsheets/d/1xoDLGBv9CYbyosIhki0kTq6IpYNj-gp"&amp;"jxfobnaDiut0/edit?usp=sharing"",""บึงกาฬ!J740"")+IMPORTRANGE(""https://docs.google.com/spreadsheets/d/1MMPq-JyI6DSgQETxuSiXkesP-P7JHuemnE6QJIa-Nlw/edit?usp=sharing"",""บุรีรัมย์!J740"")+IMPORTRANGE(""https://docs.google.com/spreadsheets/d/1l6IZ8xUPgMrESzc"&amp;"TYwhA1k_tPjeQjJPTqlm8Gd9eU5g/edit?usp=sharing"",""มหาสารคาม!J740"")+IMPORTRANGE(""https://docs.google.com/spreadsheets/d/1uB74YLqNjWX6FObjekfB2NtSYigTQyR2rq9u4Ub2Sq4/edit?usp=sharing"",""มุกดาหาร!J740"")+IMPORTRANGE(""https://docs.google.com/spreadsheets/"&amp;"d/1NexK3geCPxCTO1fzNF8dPec7yZyUx3OaWkFBC9HsQOo/edit?usp=sharing"",""ยโสธร!J740"")+IMPORTRANGE(""https://docs.google.com/spreadsheets/d/1v_cJrbBlyqmnHPReHk44g9NrMRdENNlSy_E_c5M9fIg/edit?usp=sharing"",""ร้อยเอ็ด!J740"")+IMPORTRANGE(""https://docs.google.com"&amp;"/spreadsheets/d/1Ul4RCpCX66NxYADU1QpwAPjOmBzW64SsT11s1wzXw_c/edit?usp=sharing"",""เลย!J740"")+IMPORTRANGE(""https://docs.google.com/spreadsheets/d/1bRrNKwbHDVktQG10isr5vbWRtt5spIZPpkOSWgbT5ug/edit?usp=sharing"",""ศรีสะเกษ!J740"")+IMPORTRANGE(""https://doc"&amp;"s.google.com/spreadsheets/d/17P34_Ow5kFBfdQD0qspb2UuPX5zpi6WMrQzslghyvrI/edit?usp=sharing"",""สกลนคร!J740"")+IMPORTRANGE(""https://docs.google.com/spreadsheets/d/1yswqbM3-AEpThF3ZSUa1AcmHnmRTF1vlJ1CZGcJ8YuU/edit?usp=sharing"",""สุรินทร์!J740"")+IMPORTRANG"&amp;"E(""https://docs.google.com/spreadsheets/d/13JHU_EFbsQOUQ0JSQ3dWy1VTRosIWcDq6Nc99z2qzdc/edit?usp=sharing"",""หนองคาย!J740"")+IMPORTRANGE(""https://docs.google.com/spreadsheets/d/1Hx73zIEgVdDZZaYSTc46Dqv64atFhpr3GelxLbaIN8A/edit?usp=sharing"",""หนองบัวลำภู"&amp;"!J740"")+IMPORTRANGE(""https://docs.google.com/spreadsheets/d/1lFxr3ctmjFN90yc-xV6jrQ9Ty8BKYVBWnAZ15wcNIJc/edit?usp=sharing"",""อำนาจเจริญ!J740"")+IMPORTRANGE(""https://docs.google.com/spreadsheets/d/1gF7RJpRnL-1oyjyeWxs5SFWEH7y8ahOZsQlyp2A2e-A/edit?usp=s"&amp;"haring"",""อุดรธานี!J740"")+IMPORTRANGE(""https://docs.google.com/spreadsheets/d/1kfLP0j3INXRa8bTDpcEmoWewMBV61jlFlfzczfjWIgc/edit?usp=sharing"",""อุบลราชธานี!J740"")"),6800)</f>
        <v>6800</v>
      </c>
      <c r="K740" s="56">
        <f ca="1">IF(I740&gt;0,J740*100/I740,0)</f>
        <v>39.534883720930232</v>
      </c>
      <c r="L740" s="55"/>
      <c r="M740" s="55"/>
      <c r="N740" s="55"/>
      <c r="O740" s="55"/>
      <c r="P740" s="55"/>
      <c r="Q740" s="55"/>
      <c r="R740" s="55"/>
      <c r="S740" s="62"/>
      <c r="T740" s="55"/>
      <c r="U740" s="55"/>
    </row>
    <row r="741" spans="1:21" ht="18.75">
      <c r="A741" s="166"/>
      <c r="B741" s="167"/>
      <c r="C741" s="167"/>
      <c r="D741" s="167"/>
      <c r="E741" s="167"/>
      <c r="F741" s="460" t="s">
        <v>273</v>
      </c>
      <c r="G741" s="171"/>
      <c r="H741" s="161" t="s">
        <v>35</v>
      </c>
      <c r="I741" s="54"/>
      <c r="J741" s="195">
        <f ca="1">IFERROR(__xludf.DUMMYFUNCTION("IMPORTRANGE(""https://docs.google.com/spreadsheets/d/1yhBcrRPreicbMKl9Bu_Snb2-OcQAF62RKfhTLhJ2eAA/edit?usp=sharing"",""กาฬสินธุ์!J741"")+IMPORTRANGE(""https://docs.google.com/spreadsheets/d/1aHkj4IaQMThhwWwevcOymEh837vdxeC_PycurhTbGFA/edit?usp=sharing"","&amp;"""ขอนแก่น!J741"")+IMPORTRANGE(""https://docs.google.com/spreadsheets/d/1FvTu2DsIWUjP6WCWra38Bkj_oOl_sOMf14r5Fg5srxU/edit?usp=sharing"",""ชัยภูมิ!J741"")+IMPORTRANGE(""https://docs.google.com/spreadsheets/d/1XVB7oCJ3pr-vBUdflwPQ8Z2LlzhnCvZaaYjAfP-647E/edit"&amp;"?usp=sharing"",""นครพนม!J741"")+IMPORTRANGE(""https://docs.google.com/spreadsheets/d/1Mnpb-8PYAgn85W6KOTD40hc_Xc55CaLfHoGAbrZ8tls/edit?usp=sharing"",""นครราชสีมา!J741"")+IMPORTRANGE(""https://docs.google.com/spreadsheets/d/1xoDLGBv9CYbyosIhki0kTq6IpYNj-gp"&amp;"jxfobnaDiut0/edit?usp=sharing"",""บึงกาฬ!J741"")+IMPORTRANGE(""https://docs.google.com/spreadsheets/d/1MMPq-JyI6DSgQETxuSiXkesP-P7JHuemnE6QJIa-Nlw/edit?usp=sharing"",""บุรีรัมย์!J741"")+IMPORTRANGE(""https://docs.google.com/spreadsheets/d/1l6IZ8xUPgMrESzc"&amp;"TYwhA1k_tPjeQjJPTqlm8Gd9eU5g/edit?usp=sharing"",""มหาสารคาม!J741"")+IMPORTRANGE(""https://docs.google.com/spreadsheets/d/1uB74YLqNjWX6FObjekfB2NtSYigTQyR2rq9u4Ub2Sq4/edit?usp=sharing"",""มุกดาหาร!J741"")+IMPORTRANGE(""https://docs.google.com/spreadsheets/"&amp;"d/1NexK3geCPxCTO1fzNF8dPec7yZyUx3OaWkFBC9HsQOo/edit?usp=sharing"",""ยโสธร!J741"")+IMPORTRANGE(""https://docs.google.com/spreadsheets/d/1v_cJrbBlyqmnHPReHk44g9NrMRdENNlSy_E_c5M9fIg/edit?usp=sharing"",""ร้อยเอ็ด!J741"")+IMPORTRANGE(""https://docs.google.com"&amp;"/spreadsheets/d/1Ul4RCpCX66NxYADU1QpwAPjOmBzW64SsT11s1wzXw_c/edit?usp=sharing"",""เลย!J741"")+IMPORTRANGE(""https://docs.google.com/spreadsheets/d/1bRrNKwbHDVktQG10isr5vbWRtt5spIZPpkOSWgbT5ug/edit?usp=sharing"",""ศรีสะเกษ!J741"")+IMPORTRANGE(""https://doc"&amp;"s.google.com/spreadsheets/d/17P34_Ow5kFBfdQD0qspb2UuPX5zpi6WMrQzslghyvrI/edit?usp=sharing"",""สกลนคร!J741"")+IMPORTRANGE(""https://docs.google.com/spreadsheets/d/1yswqbM3-AEpThF3ZSUa1AcmHnmRTF1vlJ1CZGcJ8YuU/edit?usp=sharing"",""สุรินทร์!J741"")+IMPORTRANG"&amp;"E(""https://docs.google.com/spreadsheets/d/13JHU_EFbsQOUQ0JSQ3dWy1VTRosIWcDq6Nc99z2qzdc/edit?usp=sharing"",""หนองคาย!J741"")+IMPORTRANGE(""https://docs.google.com/spreadsheets/d/1Hx73zIEgVdDZZaYSTc46Dqv64atFhpr3GelxLbaIN8A/edit?usp=sharing"",""หนองบัวลำภู"&amp;"!J741"")+IMPORTRANGE(""https://docs.google.com/spreadsheets/d/1lFxr3ctmjFN90yc-xV6jrQ9Ty8BKYVBWnAZ15wcNIJc/edit?usp=sharing"",""อำนาจเจริญ!J741"")+IMPORTRANGE(""https://docs.google.com/spreadsheets/d/1gF7RJpRnL-1oyjyeWxs5SFWEH7y8ahOZsQlyp2A2e-A/edit?usp=s"&amp;"haring"",""อุดรธานี!J741"")+IMPORTRANGE(""https://docs.google.com/spreadsheets/d/1kfLP0j3INXRa8bTDpcEmoWewMBV61jlFlfzczfjWIgc/edit?usp=sharing"",""อุบลราชธานี!J741"")"),200)</f>
        <v>200</v>
      </c>
      <c r="K741" s="55"/>
      <c r="L741" s="55"/>
      <c r="M741" s="55"/>
      <c r="N741" s="55"/>
      <c r="O741" s="55"/>
      <c r="P741" s="55"/>
      <c r="Q741" s="55"/>
      <c r="R741" s="55"/>
      <c r="S741" s="62"/>
      <c r="T741" s="55"/>
      <c r="U741" s="55"/>
    </row>
    <row r="742" spans="1:21" ht="18.75">
      <c r="A742" s="166"/>
      <c r="B742" s="167"/>
      <c r="C742" s="167"/>
      <c r="D742" s="167"/>
      <c r="E742" s="167"/>
      <c r="F742" s="460" t="s">
        <v>274</v>
      </c>
      <c r="G742" s="171"/>
      <c r="H742" s="161" t="s">
        <v>35</v>
      </c>
      <c r="I742" s="181">
        <f ca="1">IFERROR(__xludf.DUMMYFUNCTION("IMPORTRANGE(""https://docs.google.com/spreadsheets/d/1yhBcrRPreicbMKl9Bu_Snb2-OcQAF62RKfhTLhJ2eAA/edit?usp=sharing"",""กาฬสินธุ์!I742"")+IMPORTRANGE(""https://docs.google.com/spreadsheets/d/1aHkj4IaQMThhwWwevcOymEh837vdxeC_PycurhTbGFA/edit?usp=sharing"","&amp;"""ขอนแก่น!I742"")+IMPORTRANGE(""https://docs.google.com/spreadsheets/d/1FvTu2DsIWUjP6WCWra38Bkj_oOl_sOMf14r5Fg5srxU/edit?usp=sharing"",""ชัยภูมิ!I742"")+IMPORTRANGE(""https://docs.google.com/spreadsheets/d/1XVB7oCJ3pr-vBUdflwPQ8Z2LlzhnCvZaaYjAfP-647E/edit"&amp;"?usp=sharing"",""นครพนม!I742"")+IMPORTRANGE(""https://docs.google.com/spreadsheets/d/1Mnpb-8PYAgn85W6KOTD40hc_Xc55CaLfHoGAbrZ8tls/edit?usp=sharing"",""นครราชสีมา!I742"")+IMPORTRANGE(""https://docs.google.com/spreadsheets/d/1xoDLGBv9CYbyosIhki0kTq6IpYNj-gp"&amp;"jxfobnaDiut0/edit?usp=sharing"",""บึงกาฬ!I742"")+IMPORTRANGE(""https://docs.google.com/spreadsheets/d/1MMPq-JyI6DSgQETxuSiXkesP-P7JHuemnE6QJIa-Nlw/edit?usp=sharing"",""บุรีรัมย์!I742"")+IMPORTRANGE(""https://docs.google.com/spreadsheets/d/1l6IZ8xUPgMrESzc"&amp;"TYwhA1k_tPjeQjJPTqlm8Gd9eU5g/edit?usp=sharing"",""มหาสารคาม!I742"")+IMPORTRANGE(""https://docs.google.com/spreadsheets/d/1uB74YLqNjWX6FObjekfB2NtSYigTQyR2rq9u4Ub2Sq4/edit?usp=sharing"",""มุกดาหาร!I742"")+IMPORTRANGE(""https://docs.google.com/spreadsheets/"&amp;"d/1NexK3geCPxCTO1fzNF8dPec7yZyUx3OaWkFBC9HsQOo/edit?usp=sharing"",""ยโสธร!I742"")+IMPORTRANGE(""https://docs.google.com/spreadsheets/d/1v_cJrbBlyqmnHPReHk44g9NrMRdENNlSy_E_c5M9fIg/edit?usp=sharing"",""ร้อยเอ็ด!I742"")+IMPORTRANGE(""https://docs.google.com"&amp;"/spreadsheets/d/1Ul4RCpCX66NxYADU1QpwAPjOmBzW64SsT11s1wzXw_c/edit?usp=sharing"",""เลย!I742"")+IMPORTRANGE(""https://docs.google.com/spreadsheets/d/1bRrNKwbHDVktQG10isr5vbWRtt5spIZPpkOSWgbT5ug/edit?usp=sharing"",""ศรีสะเกษ!I742"")+IMPORTRANGE(""https://doc"&amp;"s.google.com/spreadsheets/d/17P34_Ow5kFBfdQD0qspb2UuPX5zpi6WMrQzslghyvrI/edit?usp=sharing"",""สกลนคร!I742"")+IMPORTRANGE(""https://docs.google.com/spreadsheets/d/1yswqbM3-AEpThF3ZSUa1AcmHnmRTF1vlJ1CZGcJ8YuU/edit?usp=sharing"",""สุรินทร์!I742"")+IMPORTRANG"&amp;"E(""https://docs.google.com/spreadsheets/d/13JHU_EFbsQOUQ0JSQ3dWy1VTRosIWcDq6Nc99z2qzdc/edit?usp=sharing"",""หนองคาย!I742"")+IMPORTRANGE(""https://docs.google.com/spreadsheets/d/1Hx73zIEgVdDZZaYSTc46Dqv64atFhpr3GelxLbaIN8A/edit?usp=sharing"",""หนองบัวลำภู"&amp;"!I742"")+IMPORTRANGE(""https://docs.google.com/spreadsheets/d/1lFxr3ctmjFN90yc-xV6jrQ9Ty8BKYVBWnAZ15wcNIJc/edit?usp=sharing"",""อำนาจเจริญ!I742"")+IMPORTRANGE(""https://docs.google.com/spreadsheets/d/1gF7RJpRnL-1oyjyeWxs5SFWEH7y8ahOZsQlyp2A2e-A/edit?usp=s"&amp;"haring"",""อุดรธานี!I742"")+IMPORTRANGE(""https://docs.google.com/spreadsheets/d/1kfLP0j3INXRa8bTDpcEmoWewMBV61jlFlfzczfjWIgc/edit?usp=sharing"",""อุบลราชธานี!I742"")"),1720)</f>
        <v>1720</v>
      </c>
      <c r="J742" s="195">
        <f ca="1">IFERROR(__xludf.DUMMYFUNCTION("IMPORTRANGE(""https://docs.google.com/spreadsheets/d/1yhBcrRPreicbMKl9Bu_Snb2-OcQAF62RKfhTLhJ2eAA/edit?usp=sharing"",""กาฬสินธุ์!J742"")+IMPORTRANGE(""https://docs.google.com/spreadsheets/d/1aHkj4IaQMThhwWwevcOymEh837vdxeC_PycurhTbGFA/edit?usp=sharing"","&amp;"""ขอนแก่น!J742"")+IMPORTRANGE(""https://docs.google.com/spreadsheets/d/1FvTu2DsIWUjP6WCWra38Bkj_oOl_sOMf14r5Fg5srxU/edit?usp=sharing"",""ชัยภูมิ!J742"")+IMPORTRANGE(""https://docs.google.com/spreadsheets/d/1XVB7oCJ3pr-vBUdflwPQ8Z2LlzhnCvZaaYjAfP-647E/edit"&amp;"?usp=sharing"",""นครพนม!J742"")+IMPORTRANGE(""https://docs.google.com/spreadsheets/d/1Mnpb-8PYAgn85W6KOTD40hc_Xc55CaLfHoGAbrZ8tls/edit?usp=sharing"",""นครราชสีมา!J742"")+IMPORTRANGE(""https://docs.google.com/spreadsheets/d/1xoDLGBv9CYbyosIhki0kTq6IpYNj-gp"&amp;"jxfobnaDiut0/edit?usp=sharing"",""บึงกาฬ!J742"")+IMPORTRANGE(""https://docs.google.com/spreadsheets/d/1MMPq-JyI6DSgQETxuSiXkesP-P7JHuemnE6QJIa-Nlw/edit?usp=sharing"",""บุรีรัมย์!J742"")+IMPORTRANGE(""https://docs.google.com/spreadsheets/d/1l6IZ8xUPgMrESzc"&amp;"TYwhA1k_tPjeQjJPTqlm8Gd9eU5g/edit?usp=sharing"",""มหาสารคาม!J742"")+IMPORTRANGE(""https://docs.google.com/spreadsheets/d/1uB74YLqNjWX6FObjekfB2NtSYigTQyR2rq9u4Ub2Sq4/edit?usp=sharing"",""มุกดาหาร!J742"")+IMPORTRANGE(""https://docs.google.com/spreadsheets/"&amp;"d/1NexK3geCPxCTO1fzNF8dPec7yZyUx3OaWkFBC9HsQOo/edit?usp=sharing"",""ยโสธร!J742"")+IMPORTRANGE(""https://docs.google.com/spreadsheets/d/1v_cJrbBlyqmnHPReHk44g9NrMRdENNlSy_E_c5M9fIg/edit?usp=sharing"",""ร้อยเอ็ด!J742"")+IMPORTRANGE(""https://docs.google.com"&amp;"/spreadsheets/d/1Ul4RCpCX66NxYADU1QpwAPjOmBzW64SsT11s1wzXw_c/edit?usp=sharing"",""เลย!J742"")+IMPORTRANGE(""https://docs.google.com/spreadsheets/d/1bRrNKwbHDVktQG10isr5vbWRtt5spIZPpkOSWgbT5ug/edit?usp=sharing"",""ศรีสะเกษ!J742"")+IMPORTRANGE(""https://doc"&amp;"s.google.com/spreadsheets/d/17P34_Ow5kFBfdQD0qspb2UuPX5zpi6WMrQzslghyvrI/edit?usp=sharing"",""สกลนคร!J742"")+IMPORTRANGE(""https://docs.google.com/spreadsheets/d/1yswqbM3-AEpThF3ZSUa1AcmHnmRTF1vlJ1CZGcJ8YuU/edit?usp=sharing"",""สุรินทร์!J742"")+IMPORTRANG"&amp;"E(""https://docs.google.com/spreadsheets/d/13JHU_EFbsQOUQ0JSQ3dWy1VTRosIWcDq6Nc99z2qzdc/edit?usp=sharing"",""หนองคาย!J742"")+IMPORTRANGE(""https://docs.google.com/spreadsheets/d/1Hx73zIEgVdDZZaYSTc46Dqv64atFhpr3GelxLbaIN8A/edit?usp=sharing"",""หนองบัวลำภู"&amp;"!J742"")+IMPORTRANGE(""https://docs.google.com/spreadsheets/d/1lFxr3ctmjFN90yc-xV6jrQ9Ty8BKYVBWnAZ15wcNIJc/edit?usp=sharing"",""อำนาจเจริญ!J742"")+IMPORTRANGE(""https://docs.google.com/spreadsheets/d/1gF7RJpRnL-1oyjyeWxs5SFWEH7y8ahOZsQlyp2A2e-A/edit?usp=s"&amp;"haring"",""อุดรธานี!J742"")+IMPORTRANGE(""https://docs.google.com/spreadsheets/d/1kfLP0j3INXRa8bTDpcEmoWewMBV61jlFlfzczfjWIgc/edit?usp=sharing"",""อุบลราชธานี!J742"")"),780)</f>
        <v>780</v>
      </c>
      <c r="K742" s="56">
        <f ca="1">IF(I742&gt;0,J742*100/I742,0)</f>
        <v>45.348837209302324</v>
      </c>
      <c r="L742" s="55"/>
      <c r="M742" s="55"/>
      <c r="N742" s="55"/>
      <c r="O742" s="55"/>
      <c r="P742" s="55"/>
      <c r="Q742" s="55"/>
      <c r="R742" s="55"/>
      <c r="S742" s="62"/>
      <c r="T742" s="55"/>
      <c r="U742" s="55"/>
    </row>
    <row r="743" spans="1:21" ht="18.75">
      <c r="A743" s="166"/>
      <c r="B743" s="167"/>
      <c r="C743" s="167"/>
      <c r="D743" s="167"/>
      <c r="E743" s="460" t="s">
        <v>275</v>
      </c>
      <c r="F743" s="167"/>
      <c r="G743" s="171"/>
      <c r="H743" s="208"/>
      <c r="I743" s="54"/>
      <c r="J743" s="54"/>
      <c r="K743" s="55"/>
      <c r="L743" s="55"/>
      <c r="M743" s="55"/>
      <c r="N743" s="55"/>
      <c r="O743" s="55"/>
      <c r="P743" s="55"/>
      <c r="Q743" s="55"/>
      <c r="R743" s="55"/>
      <c r="S743" s="62"/>
      <c r="T743" s="55"/>
      <c r="U743" s="55"/>
    </row>
    <row r="744" spans="1:21" ht="18.75">
      <c r="A744" s="166"/>
      <c r="B744" s="167"/>
      <c r="C744" s="167"/>
      <c r="D744" s="167"/>
      <c r="E744" s="167"/>
      <c r="F744" s="460" t="s">
        <v>272</v>
      </c>
      <c r="G744" s="171"/>
      <c r="H744" s="161" t="s">
        <v>46</v>
      </c>
      <c r="I744" s="181">
        <f ca="1">IFERROR(__xludf.DUMMYFUNCTION("IMPORTRANGE(""https://docs.google.com/spreadsheets/d/1yhBcrRPreicbMKl9Bu_Snb2-OcQAF62RKfhTLhJ2eAA/edit?usp=sharing"",""กาฬสินธุ์!I744"")+IMPORTRANGE(""https://docs.google.com/spreadsheets/d/1aHkj4IaQMThhwWwevcOymEh837vdxeC_PycurhTbGFA/edit?usp=sharing"","&amp;"""ขอนแก่น!I744"")+IMPORTRANGE(""https://docs.google.com/spreadsheets/d/1FvTu2DsIWUjP6WCWra38Bkj_oOl_sOMf14r5Fg5srxU/edit?usp=sharing"",""ชัยภูมิ!I744"")+IMPORTRANGE(""https://docs.google.com/spreadsheets/d/1XVB7oCJ3pr-vBUdflwPQ8Z2LlzhnCvZaaYjAfP-647E/edit"&amp;"?usp=sharing"",""นครพนม!I744"")+IMPORTRANGE(""https://docs.google.com/spreadsheets/d/1Mnpb-8PYAgn85W6KOTD40hc_Xc55CaLfHoGAbrZ8tls/edit?usp=sharing"",""นครราชสีมา!I744"")+IMPORTRANGE(""https://docs.google.com/spreadsheets/d/1xoDLGBv9CYbyosIhki0kTq6IpYNj-gp"&amp;"jxfobnaDiut0/edit?usp=sharing"",""บึงกาฬ!I744"")+IMPORTRANGE(""https://docs.google.com/spreadsheets/d/1MMPq-JyI6DSgQETxuSiXkesP-P7JHuemnE6QJIa-Nlw/edit?usp=sharing"",""บุรีรัมย์!I744"")+IMPORTRANGE(""https://docs.google.com/spreadsheets/d/1l6IZ8xUPgMrESzc"&amp;"TYwhA1k_tPjeQjJPTqlm8Gd9eU5g/edit?usp=sharing"",""มหาสารคาม!I744"")+IMPORTRANGE(""https://docs.google.com/spreadsheets/d/1uB74YLqNjWX6FObjekfB2NtSYigTQyR2rq9u4Ub2Sq4/edit?usp=sharing"",""มุกดาหาร!I744"")+IMPORTRANGE(""https://docs.google.com/spreadsheets/"&amp;"d/1NexK3geCPxCTO1fzNF8dPec7yZyUx3OaWkFBC9HsQOo/edit?usp=sharing"",""ยโสธร!I744"")+IMPORTRANGE(""https://docs.google.com/spreadsheets/d/1v_cJrbBlyqmnHPReHk44g9NrMRdENNlSy_E_c5M9fIg/edit?usp=sharing"",""ร้อยเอ็ด!I744"")+IMPORTRANGE(""https://docs.google.com"&amp;"/spreadsheets/d/1Ul4RCpCX66NxYADU1QpwAPjOmBzW64SsT11s1wzXw_c/edit?usp=sharing"",""เลย!I744"")+IMPORTRANGE(""https://docs.google.com/spreadsheets/d/1bRrNKwbHDVktQG10isr5vbWRtt5spIZPpkOSWgbT5ug/edit?usp=sharing"",""ศรีสะเกษ!I744"")+IMPORTRANGE(""https://doc"&amp;"s.google.com/spreadsheets/d/17P34_Ow5kFBfdQD0qspb2UuPX5zpi6WMrQzslghyvrI/edit?usp=sharing"",""สกลนคร!I744"")+IMPORTRANGE(""https://docs.google.com/spreadsheets/d/1yswqbM3-AEpThF3ZSUa1AcmHnmRTF1vlJ1CZGcJ8YuU/edit?usp=sharing"",""สุรินทร์!I744"")+IMPORTRANG"&amp;"E(""https://docs.google.com/spreadsheets/d/13JHU_EFbsQOUQ0JSQ3dWy1VTRosIWcDq6Nc99z2qzdc/edit?usp=sharing"",""หนองคาย!I744"")+IMPORTRANGE(""https://docs.google.com/spreadsheets/d/1Hx73zIEgVdDZZaYSTc46Dqv64atFhpr3GelxLbaIN8A/edit?usp=sharing"",""หนองบัวลำภู"&amp;"!I744"")+IMPORTRANGE(""https://docs.google.com/spreadsheets/d/1lFxr3ctmjFN90yc-xV6jrQ9Ty8BKYVBWnAZ15wcNIJc/edit?usp=sharing"",""อำนาจเจริญ!I744"")+IMPORTRANGE(""https://docs.google.com/spreadsheets/d/1gF7RJpRnL-1oyjyeWxs5SFWEH7y8ahOZsQlyp2A2e-A/edit?usp=s"&amp;"haring"",""อุดรธานี!I744"")+IMPORTRANGE(""https://docs.google.com/spreadsheets/d/1kfLP0j3INXRa8bTDpcEmoWewMBV61jlFlfzczfjWIgc/edit?usp=sharing"",""อุบลราชธานี!I744"")"),4300)</f>
        <v>4300</v>
      </c>
      <c r="J744" s="195">
        <f ca="1">IFERROR(__xludf.DUMMYFUNCTION("IMPORTRANGE(""https://docs.google.com/spreadsheets/d/1yhBcrRPreicbMKl9Bu_Snb2-OcQAF62RKfhTLhJ2eAA/edit?usp=sharing"",""กาฬสินธุ์!J744"")+IMPORTRANGE(""https://docs.google.com/spreadsheets/d/1aHkj4IaQMThhwWwevcOymEh837vdxeC_PycurhTbGFA/edit?usp=sharing"","&amp;"""ขอนแก่น!J744"")+IMPORTRANGE(""https://docs.google.com/spreadsheets/d/1FvTu2DsIWUjP6WCWra38Bkj_oOl_sOMf14r5Fg5srxU/edit?usp=sharing"",""ชัยภูมิ!J744"")+IMPORTRANGE(""https://docs.google.com/spreadsheets/d/1XVB7oCJ3pr-vBUdflwPQ8Z2LlzhnCvZaaYjAfP-647E/edit"&amp;"?usp=sharing"",""นครพนม!J744"")+IMPORTRANGE(""https://docs.google.com/spreadsheets/d/1Mnpb-8PYAgn85W6KOTD40hc_Xc55CaLfHoGAbrZ8tls/edit?usp=sharing"",""นครราชสีมา!J744"")+IMPORTRANGE(""https://docs.google.com/spreadsheets/d/1xoDLGBv9CYbyosIhki0kTq6IpYNj-gp"&amp;"jxfobnaDiut0/edit?usp=sharing"",""บึงกาฬ!J744"")+IMPORTRANGE(""https://docs.google.com/spreadsheets/d/1MMPq-JyI6DSgQETxuSiXkesP-P7JHuemnE6QJIa-Nlw/edit?usp=sharing"",""บุรีรัมย์!J744"")+IMPORTRANGE(""https://docs.google.com/spreadsheets/d/1l6IZ8xUPgMrESzc"&amp;"TYwhA1k_tPjeQjJPTqlm8Gd9eU5g/edit?usp=sharing"",""มหาสารคาม!J744"")+IMPORTRANGE(""https://docs.google.com/spreadsheets/d/1uB74YLqNjWX6FObjekfB2NtSYigTQyR2rq9u4Ub2Sq4/edit?usp=sharing"",""มุกดาหาร!J744"")+IMPORTRANGE(""https://docs.google.com/spreadsheets/"&amp;"d/1NexK3geCPxCTO1fzNF8dPec7yZyUx3OaWkFBC9HsQOo/edit?usp=sharing"",""ยโสธร!J744"")+IMPORTRANGE(""https://docs.google.com/spreadsheets/d/1v_cJrbBlyqmnHPReHk44g9NrMRdENNlSy_E_c5M9fIg/edit?usp=sharing"",""ร้อยเอ็ด!J744"")+IMPORTRANGE(""https://docs.google.com"&amp;"/spreadsheets/d/1Ul4RCpCX66NxYADU1QpwAPjOmBzW64SsT11s1wzXw_c/edit?usp=sharing"",""เลย!J744"")+IMPORTRANGE(""https://docs.google.com/spreadsheets/d/1bRrNKwbHDVktQG10isr5vbWRtt5spIZPpkOSWgbT5ug/edit?usp=sharing"",""ศรีสะเกษ!J744"")+IMPORTRANGE(""https://doc"&amp;"s.google.com/spreadsheets/d/17P34_Ow5kFBfdQD0qspb2UuPX5zpi6WMrQzslghyvrI/edit?usp=sharing"",""สกลนคร!J744"")+IMPORTRANGE(""https://docs.google.com/spreadsheets/d/1yswqbM3-AEpThF3ZSUa1AcmHnmRTF1vlJ1CZGcJ8YuU/edit?usp=sharing"",""สุรินทร์!J744"")+IMPORTRANG"&amp;"E(""https://docs.google.com/spreadsheets/d/13JHU_EFbsQOUQ0JSQ3dWy1VTRosIWcDq6Nc99z2qzdc/edit?usp=sharing"",""หนองคาย!J744"")+IMPORTRANGE(""https://docs.google.com/spreadsheets/d/1Hx73zIEgVdDZZaYSTc46Dqv64atFhpr3GelxLbaIN8A/edit?usp=sharing"",""หนองบัวลำภู"&amp;"!J744"")+IMPORTRANGE(""https://docs.google.com/spreadsheets/d/1lFxr3ctmjFN90yc-xV6jrQ9Ty8BKYVBWnAZ15wcNIJc/edit?usp=sharing"",""อำนาจเจริญ!J744"")+IMPORTRANGE(""https://docs.google.com/spreadsheets/d/1gF7RJpRnL-1oyjyeWxs5SFWEH7y8ahOZsQlyp2A2e-A/edit?usp=s"&amp;"haring"",""อุดรธานี!J744"")+IMPORTRANGE(""https://docs.google.com/spreadsheets/d/1kfLP0j3INXRa8bTDpcEmoWewMBV61jlFlfzczfjWIgc/edit?usp=sharing"",""อุบลราชธานี!J744"")"),1100)</f>
        <v>1100</v>
      </c>
      <c r="K744" s="56">
        <f ca="1">IF(I744&gt;0,J744*100/I744,0)</f>
        <v>25.581395348837209</v>
      </c>
      <c r="L744" s="55"/>
      <c r="M744" s="55"/>
      <c r="N744" s="55"/>
      <c r="O744" s="55"/>
      <c r="P744" s="55"/>
      <c r="Q744" s="55"/>
      <c r="R744" s="55"/>
      <c r="S744" s="62"/>
      <c r="T744" s="55"/>
      <c r="U744" s="55"/>
    </row>
    <row r="745" spans="1:21" ht="18.75">
      <c r="A745" s="166"/>
      <c r="B745" s="167"/>
      <c r="C745" s="167"/>
      <c r="D745" s="167"/>
      <c r="E745" s="167"/>
      <c r="F745" s="460" t="s">
        <v>276</v>
      </c>
      <c r="G745" s="171"/>
      <c r="H745" s="161" t="s">
        <v>35</v>
      </c>
      <c r="I745" s="54"/>
      <c r="J745" s="195">
        <f ca="1">IFERROR(__xludf.DUMMYFUNCTION("IMPORTRANGE(""https://docs.google.com/spreadsheets/d/1yhBcrRPreicbMKl9Bu_Snb2-OcQAF62RKfhTLhJ2eAA/edit?usp=sharing"",""กาฬสินธุ์!J745"")+IMPORTRANGE(""https://docs.google.com/spreadsheets/d/1aHkj4IaQMThhwWwevcOymEh837vdxeC_PycurhTbGFA/edit?usp=sharing"","&amp;"""ขอนแก่น!J745"")+IMPORTRANGE(""https://docs.google.com/spreadsheets/d/1FvTu2DsIWUjP6WCWra38Bkj_oOl_sOMf14r5Fg5srxU/edit?usp=sharing"",""ชัยภูมิ!J745"")+IMPORTRANGE(""https://docs.google.com/spreadsheets/d/1XVB7oCJ3pr-vBUdflwPQ8Z2LlzhnCvZaaYjAfP-647E/edit"&amp;"?usp=sharing"",""นครพนม!J745"")+IMPORTRANGE(""https://docs.google.com/spreadsheets/d/1Mnpb-8PYAgn85W6KOTD40hc_Xc55CaLfHoGAbrZ8tls/edit?usp=sharing"",""นครราชสีมา!J745"")+IMPORTRANGE(""https://docs.google.com/spreadsheets/d/1xoDLGBv9CYbyosIhki0kTq6IpYNj-gp"&amp;"jxfobnaDiut0/edit?usp=sharing"",""บึงกาฬ!J745"")+IMPORTRANGE(""https://docs.google.com/spreadsheets/d/1MMPq-JyI6DSgQETxuSiXkesP-P7JHuemnE6QJIa-Nlw/edit?usp=sharing"",""บุรีรัมย์!J745"")+IMPORTRANGE(""https://docs.google.com/spreadsheets/d/1l6IZ8xUPgMrESzc"&amp;"TYwhA1k_tPjeQjJPTqlm8Gd9eU5g/edit?usp=sharing"",""มหาสารคาม!J745"")+IMPORTRANGE(""https://docs.google.com/spreadsheets/d/1uB74YLqNjWX6FObjekfB2NtSYigTQyR2rq9u4Ub2Sq4/edit?usp=sharing"",""มุกดาหาร!J745"")+IMPORTRANGE(""https://docs.google.com/spreadsheets/"&amp;"d/1NexK3geCPxCTO1fzNF8dPec7yZyUx3OaWkFBC9HsQOo/edit?usp=sharing"",""ยโสธร!J745"")+IMPORTRANGE(""https://docs.google.com/spreadsheets/d/1v_cJrbBlyqmnHPReHk44g9NrMRdENNlSy_E_c5M9fIg/edit?usp=sharing"",""ร้อยเอ็ด!J745"")+IMPORTRANGE(""https://docs.google.com"&amp;"/spreadsheets/d/1Ul4RCpCX66NxYADU1QpwAPjOmBzW64SsT11s1wzXw_c/edit?usp=sharing"",""เลย!J745"")+IMPORTRANGE(""https://docs.google.com/spreadsheets/d/1bRrNKwbHDVktQG10isr5vbWRtt5spIZPpkOSWgbT5ug/edit?usp=sharing"",""ศรีสะเกษ!J745"")+IMPORTRANGE(""https://doc"&amp;"s.google.com/spreadsheets/d/17P34_Ow5kFBfdQD0qspb2UuPX5zpi6WMrQzslghyvrI/edit?usp=sharing"",""สกลนคร!J745"")+IMPORTRANGE(""https://docs.google.com/spreadsheets/d/1yswqbM3-AEpThF3ZSUa1AcmHnmRTF1vlJ1CZGcJ8YuU/edit?usp=sharing"",""สุรินทร์!J745"")+IMPORTRANG"&amp;"E(""https://docs.google.com/spreadsheets/d/13JHU_EFbsQOUQ0JSQ3dWy1VTRosIWcDq6Nc99z2qzdc/edit?usp=sharing"",""หนองคาย!J745"")+IMPORTRANGE(""https://docs.google.com/spreadsheets/d/1Hx73zIEgVdDZZaYSTc46Dqv64atFhpr3GelxLbaIN8A/edit?usp=sharing"",""หนองบัวลำภู"&amp;"!J745"")+IMPORTRANGE(""https://docs.google.com/spreadsheets/d/1lFxr3ctmjFN90yc-xV6jrQ9Ty8BKYVBWnAZ15wcNIJc/edit?usp=sharing"",""อำนาจเจริญ!J745"")+IMPORTRANGE(""https://docs.google.com/spreadsheets/d/1gF7RJpRnL-1oyjyeWxs5SFWEH7y8ahOZsQlyp2A2e-A/edit?usp=s"&amp;"haring"",""อุดรธานี!J745"")+IMPORTRANGE(""https://docs.google.com/spreadsheets/d/1kfLP0j3INXRa8bTDpcEmoWewMBV61jlFlfzczfjWIgc/edit?usp=sharing"",""อุบลราชธานี!J745"")"),60)</f>
        <v>60</v>
      </c>
      <c r="K745" s="55"/>
      <c r="L745" s="55"/>
      <c r="M745" s="55"/>
      <c r="N745" s="55"/>
      <c r="O745" s="55"/>
      <c r="P745" s="55"/>
      <c r="Q745" s="55"/>
      <c r="R745" s="55"/>
      <c r="S745" s="62"/>
      <c r="T745" s="55"/>
      <c r="U745" s="55"/>
    </row>
    <row r="746" spans="1:21" ht="18.75">
      <c r="A746" s="166"/>
      <c r="B746" s="167"/>
      <c r="C746" s="167"/>
      <c r="D746" s="167"/>
      <c r="E746" s="167"/>
      <c r="F746" s="460" t="s">
        <v>277</v>
      </c>
      <c r="G746" s="171"/>
      <c r="H746" s="161" t="s">
        <v>35</v>
      </c>
      <c r="I746" s="181">
        <f ca="1">IFERROR(__xludf.DUMMYFUNCTION("IMPORTRANGE(""https://docs.google.com/spreadsheets/d/1yhBcrRPreicbMKl9Bu_Snb2-OcQAF62RKfhTLhJ2eAA/edit?usp=sharing"",""กาฬสินธุ์!I746"")+IMPORTRANGE(""https://docs.google.com/spreadsheets/d/1aHkj4IaQMThhwWwevcOymEh837vdxeC_PycurhTbGFA/edit?usp=sharing"","&amp;"""ขอนแก่น!I746"")+IMPORTRANGE(""https://docs.google.com/spreadsheets/d/1FvTu2DsIWUjP6WCWra38Bkj_oOl_sOMf14r5Fg5srxU/edit?usp=sharing"",""ชัยภูมิ!I746"")+IMPORTRANGE(""https://docs.google.com/spreadsheets/d/1XVB7oCJ3pr-vBUdflwPQ8Z2LlzhnCvZaaYjAfP-647E/edit"&amp;"?usp=sharing"",""นครพนม!I746"")+IMPORTRANGE(""https://docs.google.com/spreadsheets/d/1Mnpb-8PYAgn85W6KOTD40hc_Xc55CaLfHoGAbrZ8tls/edit?usp=sharing"",""นครราชสีมา!I746"")+IMPORTRANGE(""https://docs.google.com/spreadsheets/d/1xoDLGBv9CYbyosIhki0kTq6IpYNj-gp"&amp;"jxfobnaDiut0/edit?usp=sharing"",""บึงกาฬ!I746"")+IMPORTRANGE(""https://docs.google.com/spreadsheets/d/1MMPq-JyI6DSgQETxuSiXkesP-P7JHuemnE6QJIa-Nlw/edit?usp=sharing"",""บุรีรัมย์!I746"")+IMPORTRANGE(""https://docs.google.com/spreadsheets/d/1l6IZ8xUPgMrESzc"&amp;"TYwhA1k_tPjeQjJPTqlm8Gd9eU5g/edit?usp=sharing"",""มหาสารคาม!I746"")+IMPORTRANGE(""https://docs.google.com/spreadsheets/d/1uB74YLqNjWX6FObjekfB2NtSYigTQyR2rq9u4Ub2Sq4/edit?usp=sharing"",""มุกดาหาร!I746"")+IMPORTRANGE(""https://docs.google.com/spreadsheets/"&amp;"d/1NexK3geCPxCTO1fzNF8dPec7yZyUx3OaWkFBC9HsQOo/edit?usp=sharing"",""ยโสธร!I746"")+IMPORTRANGE(""https://docs.google.com/spreadsheets/d/1v_cJrbBlyqmnHPReHk44g9NrMRdENNlSy_E_c5M9fIg/edit?usp=sharing"",""ร้อยเอ็ด!I746"")+IMPORTRANGE(""https://docs.google.com"&amp;"/spreadsheets/d/1Ul4RCpCX66NxYADU1QpwAPjOmBzW64SsT11s1wzXw_c/edit?usp=sharing"",""เลย!I746"")+IMPORTRANGE(""https://docs.google.com/spreadsheets/d/1bRrNKwbHDVktQG10isr5vbWRtt5spIZPpkOSWgbT5ug/edit?usp=sharing"",""ศรีสะเกษ!I746"")+IMPORTRANGE(""https://doc"&amp;"s.google.com/spreadsheets/d/17P34_Ow5kFBfdQD0qspb2UuPX5zpi6WMrQzslghyvrI/edit?usp=sharing"",""สกลนคร!I746"")+IMPORTRANGE(""https://docs.google.com/spreadsheets/d/1yswqbM3-AEpThF3ZSUa1AcmHnmRTF1vlJ1CZGcJ8YuU/edit?usp=sharing"",""สุรินทร์!I746"")+IMPORTRANG"&amp;"E(""https://docs.google.com/spreadsheets/d/13JHU_EFbsQOUQ0JSQ3dWy1VTRosIWcDq6Nc99z2qzdc/edit?usp=sharing"",""หนองคาย!I746"")+IMPORTRANGE(""https://docs.google.com/spreadsheets/d/1Hx73zIEgVdDZZaYSTc46Dqv64atFhpr3GelxLbaIN8A/edit?usp=sharing"",""หนองบัวลำภู"&amp;"!I746"")+IMPORTRANGE(""https://docs.google.com/spreadsheets/d/1lFxr3ctmjFN90yc-xV6jrQ9Ty8BKYVBWnAZ15wcNIJc/edit?usp=sharing"",""อำนาจเจริญ!I746"")+IMPORTRANGE(""https://docs.google.com/spreadsheets/d/1gF7RJpRnL-1oyjyeWxs5SFWEH7y8ahOZsQlyp2A2e-A/edit?usp=s"&amp;"haring"",""อุดรธานี!I746"")+IMPORTRANGE(""https://docs.google.com/spreadsheets/d/1kfLP0j3INXRa8bTDpcEmoWewMBV61jlFlfzczfjWIgc/edit?usp=sharing"",""อุบลราชธานี!I746"")"),430)</f>
        <v>430</v>
      </c>
      <c r="J746" s="195">
        <f ca="1">IFERROR(__xludf.DUMMYFUNCTION("IMPORTRANGE(""https://docs.google.com/spreadsheets/d/1yhBcrRPreicbMKl9Bu_Snb2-OcQAF62RKfhTLhJ2eAA/edit?usp=sharing"",""กาฬสินธุ์!J746"")+IMPORTRANGE(""https://docs.google.com/spreadsheets/d/1aHkj4IaQMThhwWwevcOymEh837vdxeC_PycurhTbGFA/edit?usp=sharing"","&amp;"""ขอนแก่น!J746"")+IMPORTRANGE(""https://docs.google.com/spreadsheets/d/1FvTu2DsIWUjP6WCWra38Bkj_oOl_sOMf14r5Fg5srxU/edit?usp=sharing"",""ชัยภูมิ!J746"")+IMPORTRANGE(""https://docs.google.com/spreadsheets/d/1XVB7oCJ3pr-vBUdflwPQ8Z2LlzhnCvZaaYjAfP-647E/edit"&amp;"?usp=sharing"",""นครพนม!J746"")+IMPORTRANGE(""https://docs.google.com/spreadsheets/d/1Mnpb-8PYAgn85W6KOTD40hc_Xc55CaLfHoGAbrZ8tls/edit?usp=sharing"",""นครราชสีมา!J746"")+IMPORTRANGE(""https://docs.google.com/spreadsheets/d/1xoDLGBv9CYbyosIhki0kTq6IpYNj-gp"&amp;"jxfobnaDiut0/edit?usp=sharing"",""บึงกาฬ!J746"")+IMPORTRANGE(""https://docs.google.com/spreadsheets/d/1MMPq-JyI6DSgQETxuSiXkesP-P7JHuemnE6QJIa-Nlw/edit?usp=sharing"",""บุรีรัมย์!J746"")+IMPORTRANGE(""https://docs.google.com/spreadsheets/d/1l6IZ8xUPgMrESzc"&amp;"TYwhA1k_tPjeQjJPTqlm8Gd9eU5g/edit?usp=sharing"",""มหาสารคาม!J746"")+IMPORTRANGE(""https://docs.google.com/spreadsheets/d/1uB74YLqNjWX6FObjekfB2NtSYigTQyR2rq9u4Ub2Sq4/edit?usp=sharing"",""มุกดาหาร!J746"")+IMPORTRANGE(""https://docs.google.com/spreadsheets/"&amp;"d/1NexK3geCPxCTO1fzNF8dPec7yZyUx3OaWkFBC9HsQOo/edit?usp=sharing"",""ยโสธร!J746"")+IMPORTRANGE(""https://docs.google.com/spreadsheets/d/1v_cJrbBlyqmnHPReHk44g9NrMRdENNlSy_E_c5M9fIg/edit?usp=sharing"",""ร้อยเอ็ด!J746"")+IMPORTRANGE(""https://docs.google.com"&amp;"/spreadsheets/d/1Ul4RCpCX66NxYADU1QpwAPjOmBzW64SsT11s1wzXw_c/edit?usp=sharing"",""เลย!J746"")+IMPORTRANGE(""https://docs.google.com/spreadsheets/d/1bRrNKwbHDVktQG10isr5vbWRtt5spIZPpkOSWgbT5ug/edit?usp=sharing"",""ศรีสะเกษ!J746"")+IMPORTRANGE(""https://doc"&amp;"s.google.com/spreadsheets/d/17P34_Ow5kFBfdQD0qspb2UuPX5zpi6WMrQzslghyvrI/edit?usp=sharing"",""สกลนคร!J746"")+IMPORTRANGE(""https://docs.google.com/spreadsheets/d/1yswqbM3-AEpThF3ZSUa1AcmHnmRTF1vlJ1CZGcJ8YuU/edit?usp=sharing"",""สุรินทร์!J746"")+IMPORTRANG"&amp;"E(""https://docs.google.com/spreadsheets/d/13JHU_EFbsQOUQ0JSQ3dWy1VTRosIWcDq6Nc99z2qzdc/edit?usp=sharing"",""หนองคาย!J746"")+IMPORTRANGE(""https://docs.google.com/spreadsheets/d/1Hx73zIEgVdDZZaYSTc46Dqv64atFhpr3GelxLbaIN8A/edit?usp=sharing"",""หนองบัวลำภู"&amp;"!J746"")+IMPORTRANGE(""https://docs.google.com/spreadsheets/d/1lFxr3ctmjFN90yc-xV6jrQ9Ty8BKYVBWnAZ15wcNIJc/edit?usp=sharing"",""อำนาจเจริญ!J746"")+IMPORTRANGE(""https://docs.google.com/spreadsheets/d/1gF7RJpRnL-1oyjyeWxs5SFWEH7y8ahOZsQlyp2A2e-A/edit?usp=s"&amp;"haring"",""อุดรธานี!J746"")+IMPORTRANGE(""https://docs.google.com/spreadsheets/d/1kfLP0j3INXRa8bTDpcEmoWewMBV61jlFlfzczfjWIgc/edit?usp=sharing"",""อุบลราชธานี!J746"")"),160)</f>
        <v>160</v>
      </c>
      <c r="K746" s="56">
        <f ca="1">IF(I746&gt;0,J746*100/I746,0)</f>
        <v>37.209302325581397</v>
      </c>
      <c r="L746" s="55"/>
      <c r="M746" s="55"/>
      <c r="N746" s="55"/>
      <c r="O746" s="55"/>
      <c r="P746" s="55"/>
      <c r="Q746" s="55"/>
      <c r="R746" s="55"/>
      <c r="S746" s="62"/>
      <c r="T746" s="55"/>
      <c r="U746" s="55"/>
    </row>
    <row r="747" spans="1:21" ht="18.75">
      <c r="A747" s="166"/>
      <c r="B747" s="167"/>
      <c r="C747" s="167"/>
      <c r="D747" s="167"/>
      <c r="E747" s="460" t="s">
        <v>278</v>
      </c>
      <c r="F747" s="174"/>
      <c r="G747" s="171"/>
      <c r="H747" s="208"/>
      <c r="I747" s="54"/>
      <c r="J747" s="54"/>
      <c r="K747" s="55"/>
      <c r="L747" s="55"/>
      <c r="M747" s="55"/>
      <c r="N747" s="55"/>
      <c r="O747" s="55"/>
      <c r="P747" s="55"/>
      <c r="Q747" s="55"/>
      <c r="R747" s="55"/>
      <c r="S747" s="62"/>
      <c r="T747" s="55"/>
      <c r="U747" s="55"/>
    </row>
    <row r="748" spans="1:21" ht="18.75">
      <c r="A748" s="166"/>
      <c r="B748" s="167"/>
      <c r="C748" s="167"/>
      <c r="D748" s="167"/>
      <c r="E748" s="167"/>
      <c r="F748" s="460" t="s">
        <v>279</v>
      </c>
      <c r="G748" s="171"/>
      <c r="H748" s="161" t="s">
        <v>35</v>
      </c>
      <c r="I748" s="54"/>
      <c r="J748" s="195">
        <f ca="1">IFERROR(__xludf.DUMMYFUNCTION("IMPORTRANGE(""https://docs.google.com/spreadsheets/d/1yhBcrRPreicbMKl9Bu_Snb2-OcQAF62RKfhTLhJ2eAA/edit?usp=sharing"",""กาฬสินธุ์!J748"")+IMPORTRANGE(""https://docs.google.com/spreadsheets/d/1aHkj4IaQMThhwWwevcOymEh837vdxeC_PycurhTbGFA/edit?usp=sharing"","&amp;"""ขอนแก่น!J748"")+IMPORTRANGE(""https://docs.google.com/spreadsheets/d/1FvTu2DsIWUjP6WCWra38Bkj_oOl_sOMf14r5Fg5srxU/edit?usp=sharing"",""ชัยภูมิ!J748"")+IMPORTRANGE(""https://docs.google.com/spreadsheets/d/1XVB7oCJ3pr-vBUdflwPQ8Z2LlzhnCvZaaYjAfP-647E/edit"&amp;"?usp=sharing"",""นครพนม!J748"")+IMPORTRANGE(""https://docs.google.com/spreadsheets/d/1Mnpb-8PYAgn85W6KOTD40hc_Xc55CaLfHoGAbrZ8tls/edit?usp=sharing"",""นครราชสีมา!J748"")+IMPORTRANGE(""https://docs.google.com/spreadsheets/d/1xoDLGBv9CYbyosIhki0kTq6IpYNj-gp"&amp;"jxfobnaDiut0/edit?usp=sharing"",""บึงกาฬ!J748"")+IMPORTRANGE(""https://docs.google.com/spreadsheets/d/1MMPq-JyI6DSgQETxuSiXkesP-P7JHuemnE6QJIa-Nlw/edit?usp=sharing"",""บุรีรัมย์!J748"")+IMPORTRANGE(""https://docs.google.com/spreadsheets/d/1l6IZ8xUPgMrESzc"&amp;"TYwhA1k_tPjeQjJPTqlm8Gd9eU5g/edit?usp=sharing"",""มหาสารคาม!J748"")+IMPORTRANGE(""https://docs.google.com/spreadsheets/d/1uB74YLqNjWX6FObjekfB2NtSYigTQyR2rq9u4Ub2Sq4/edit?usp=sharing"",""มุกดาหาร!J748"")+IMPORTRANGE(""https://docs.google.com/spreadsheets/"&amp;"d/1NexK3geCPxCTO1fzNF8dPec7yZyUx3OaWkFBC9HsQOo/edit?usp=sharing"",""ยโสธร!J748"")+IMPORTRANGE(""https://docs.google.com/spreadsheets/d/1v_cJrbBlyqmnHPReHk44g9NrMRdENNlSy_E_c5M9fIg/edit?usp=sharing"",""ร้อยเอ็ด!J748"")+IMPORTRANGE(""https://docs.google.com"&amp;"/spreadsheets/d/1Ul4RCpCX66NxYADU1QpwAPjOmBzW64SsT11s1wzXw_c/edit?usp=sharing"",""เลย!J748"")+IMPORTRANGE(""https://docs.google.com/spreadsheets/d/1bRrNKwbHDVktQG10isr5vbWRtt5spIZPpkOSWgbT5ug/edit?usp=sharing"",""ศรีสะเกษ!J748"")+IMPORTRANGE(""https://doc"&amp;"s.google.com/spreadsheets/d/17P34_Ow5kFBfdQD0qspb2UuPX5zpi6WMrQzslghyvrI/edit?usp=sharing"",""สกลนคร!J748"")+IMPORTRANGE(""https://docs.google.com/spreadsheets/d/1yswqbM3-AEpThF3ZSUa1AcmHnmRTF1vlJ1CZGcJ8YuU/edit?usp=sharing"",""สุรินทร์!J748"")+IMPORTRANG"&amp;"E(""https://docs.google.com/spreadsheets/d/13JHU_EFbsQOUQ0JSQ3dWy1VTRosIWcDq6Nc99z2qzdc/edit?usp=sharing"",""หนองคาย!J748"")+IMPORTRANGE(""https://docs.google.com/spreadsheets/d/1Hx73zIEgVdDZZaYSTc46Dqv64atFhpr3GelxLbaIN8A/edit?usp=sharing"",""หนองบัวลำภู"&amp;"!J748"")+IMPORTRANGE(""https://docs.google.com/spreadsheets/d/1lFxr3ctmjFN90yc-xV6jrQ9Ty8BKYVBWnAZ15wcNIJc/edit?usp=sharing"",""อำนาจเจริญ!J748"")+IMPORTRANGE(""https://docs.google.com/spreadsheets/d/1gF7RJpRnL-1oyjyeWxs5SFWEH7y8ahOZsQlyp2A2e-A/edit?usp=s"&amp;"haring"",""อุดรธานี!J748"")+IMPORTRANGE(""https://docs.google.com/spreadsheets/d/1kfLP0j3INXRa8bTDpcEmoWewMBV61jlFlfzczfjWIgc/edit?usp=sharing"",""อุบลราชธานี!J748"")"),4)</f>
        <v>4</v>
      </c>
      <c r="K748" s="55"/>
      <c r="L748" s="55"/>
      <c r="M748" s="55"/>
      <c r="N748" s="55"/>
      <c r="O748" s="55"/>
      <c r="P748" s="55"/>
      <c r="Q748" s="55"/>
      <c r="R748" s="55"/>
      <c r="S748" s="62"/>
      <c r="T748" s="55"/>
      <c r="U748" s="55"/>
    </row>
    <row r="749" spans="1:21" ht="18.75">
      <c r="A749" s="166"/>
      <c r="B749" s="167"/>
      <c r="C749" s="167"/>
      <c r="D749" s="167"/>
      <c r="E749" s="167"/>
      <c r="F749" s="460" t="s">
        <v>280</v>
      </c>
      <c r="G749" s="171"/>
      <c r="H749" s="161" t="s">
        <v>35</v>
      </c>
      <c r="I749" s="181">
        <f ca="1">IFERROR(__xludf.DUMMYFUNCTION("IMPORTRANGE(""https://docs.google.com/spreadsheets/d/1yhBcrRPreicbMKl9Bu_Snb2-OcQAF62RKfhTLhJ2eAA/edit?usp=sharing"",""กาฬสินธุ์!I749"")+IMPORTRANGE(""https://docs.google.com/spreadsheets/d/1aHkj4IaQMThhwWwevcOymEh837vdxeC_PycurhTbGFA/edit?usp=sharing"","&amp;"""ขอนแก่น!I749"")+IMPORTRANGE(""https://docs.google.com/spreadsheets/d/1FvTu2DsIWUjP6WCWra38Bkj_oOl_sOMf14r5Fg5srxU/edit?usp=sharing"",""ชัยภูมิ!I749"")+IMPORTRANGE(""https://docs.google.com/spreadsheets/d/1XVB7oCJ3pr-vBUdflwPQ8Z2LlzhnCvZaaYjAfP-647E/edit"&amp;"?usp=sharing"",""นครพนม!I749"")+IMPORTRANGE(""https://docs.google.com/spreadsheets/d/1Mnpb-8PYAgn85W6KOTD40hc_Xc55CaLfHoGAbrZ8tls/edit?usp=sharing"",""นครราชสีมา!I749"")+IMPORTRANGE(""https://docs.google.com/spreadsheets/d/1xoDLGBv9CYbyosIhki0kTq6IpYNj-gp"&amp;"jxfobnaDiut0/edit?usp=sharing"",""บึงกาฬ!I749"")+IMPORTRANGE(""https://docs.google.com/spreadsheets/d/1MMPq-JyI6DSgQETxuSiXkesP-P7JHuemnE6QJIa-Nlw/edit?usp=sharing"",""บุรีรัมย์!I749"")+IMPORTRANGE(""https://docs.google.com/spreadsheets/d/1l6IZ8xUPgMrESzc"&amp;"TYwhA1k_tPjeQjJPTqlm8Gd9eU5g/edit?usp=sharing"",""มหาสารคาม!I749"")+IMPORTRANGE(""https://docs.google.com/spreadsheets/d/1uB74YLqNjWX6FObjekfB2NtSYigTQyR2rq9u4Ub2Sq4/edit?usp=sharing"",""มุกดาหาร!I749"")+IMPORTRANGE(""https://docs.google.com/spreadsheets/"&amp;"d/1NexK3geCPxCTO1fzNF8dPec7yZyUx3OaWkFBC9HsQOo/edit?usp=sharing"",""ยโสธร!I749"")+IMPORTRANGE(""https://docs.google.com/spreadsheets/d/1v_cJrbBlyqmnHPReHk44g9NrMRdENNlSy_E_c5M9fIg/edit?usp=sharing"",""ร้อยเอ็ด!I749"")+IMPORTRANGE(""https://docs.google.com"&amp;"/spreadsheets/d/1Ul4RCpCX66NxYADU1QpwAPjOmBzW64SsT11s1wzXw_c/edit?usp=sharing"",""เลย!I749"")+IMPORTRANGE(""https://docs.google.com/spreadsheets/d/1bRrNKwbHDVktQG10isr5vbWRtt5spIZPpkOSWgbT5ug/edit?usp=sharing"",""ศรีสะเกษ!I749"")+IMPORTRANGE(""https://doc"&amp;"s.google.com/spreadsheets/d/17P34_Ow5kFBfdQD0qspb2UuPX5zpi6WMrQzslghyvrI/edit?usp=sharing"",""สกลนคร!I749"")+IMPORTRANGE(""https://docs.google.com/spreadsheets/d/1yswqbM3-AEpThF3ZSUa1AcmHnmRTF1vlJ1CZGcJ8YuU/edit?usp=sharing"",""สุรินทร์!I749"")+IMPORTRANG"&amp;"E(""https://docs.google.com/spreadsheets/d/13JHU_EFbsQOUQ0JSQ3dWy1VTRosIWcDq6Nc99z2qzdc/edit?usp=sharing"",""หนองคาย!I749"")+IMPORTRANGE(""https://docs.google.com/spreadsheets/d/1Hx73zIEgVdDZZaYSTc46Dqv64atFhpr3GelxLbaIN8A/edit?usp=sharing"",""หนองบัวลำภู"&amp;"!I749"")+IMPORTRANGE(""https://docs.google.com/spreadsheets/d/1lFxr3ctmjFN90yc-xV6jrQ9Ty8BKYVBWnAZ15wcNIJc/edit?usp=sharing"",""อำนาจเจริญ!I749"")+IMPORTRANGE(""https://docs.google.com/spreadsheets/d/1gF7RJpRnL-1oyjyeWxs5SFWEH7y8ahOZsQlyp2A2e-A/edit?usp=s"&amp;"haring"",""อุดรธานี!I749"")+IMPORTRANGE(""https://docs.google.com/spreadsheets/d/1kfLP0j3INXRa8bTDpcEmoWewMBV61jlFlfzczfjWIgc/edit?usp=sharing"",""อุบลราชธานี!I749"")"),52)</f>
        <v>52</v>
      </c>
      <c r="J749" s="195">
        <f ca="1">IFERROR(__xludf.DUMMYFUNCTION("IMPORTRANGE(""https://docs.google.com/spreadsheets/d/1yhBcrRPreicbMKl9Bu_Snb2-OcQAF62RKfhTLhJ2eAA/edit?usp=sharing"",""กาฬสินธุ์!J749"")+IMPORTRANGE(""https://docs.google.com/spreadsheets/d/1aHkj4IaQMThhwWwevcOymEh837vdxeC_PycurhTbGFA/edit?usp=sharing"","&amp;"""ขอนแก่น!J749"")+IMPORTRANGE(""https://docs.google.com/spreadsheets/d/1FvTu2DsIWUjP6WCWra38Bkj_oOl_sOMf14r5Fg5srxU/edit?usp=sharing"",""ชัยภูมิ!J749"")+IMPORTRANGE(""https://docs.google.com/spreadsheets/d/1XVB7oCJ3pr-vBUdflwPQ8Z2LlzhnCvZaaYjAfP-647E/edit"&amp;"?usp=sharing"",""นครพนม!J749"")+IMPORTRANGE(""https://docs.google.com/spreadsheets/d/1Mnpb-8PYAgn85W6KOTD40hc_Xc55CaLfHoGAbrZ8tls/edit?usp=sharing"",""นครราชสีมา!J749"")+IMPORTRANGE(""https://docs.google.com/spreadsheets/d/1xoDLGBv9CYbyosIhki0kTq6IpYNj-gp"&amp;"jxfobnaDiut0/edit?usp=sharing"",""บึงกาฬ!J749"")+IMPORTRANGE(""https://docs.google.com/spreadsheets/d/1MMPq-JyI6DSgQETxuSiXkesP-P7JHuemnE6QJIa-Nlw/edit?usp=sharing"",""บุรีรัมย์!J749"")+IMPORTRANGE(""https://docs.google.com/spreadsheets/d/1l6IZ8xUPgMrESzc"&amp;"TYwhA1k_tPjeQjJPTqlm8Gd9eU5g/edit?usp=sharing"",""มหาสารคาม!J749"")+IMPORTRANGE(""https://docs.google.com/spreadsheets/d/1uB74YLqNjWX6FObjekfB2NtSYigTQyR2rq9u4Ub2Sq4/edit?usp=sharing"",""มุกดาหาร!J749"")+IMPORTRANGE(""https://docs.google.com/spreadsheets/"&amp;"d/1NexK3geCPxCTO1fzNF8dPec7yZyUx3OaWkFBC9HsQOo/edit?usp=sharing"",""ยโสธร!J749"")+IMPORTRANGE(""https://docs.google.com/spreadsheets/d/1v_cJrbBlyqmnHPReHk44g9NrMRdENNlSy_E_c5M9fIg/edit?usp=sharing"",""ร้อยเอ็ด!J749"")+IMPORTRANGE(""https://docs.google.com"&amp;"/spreadsheets/d/1Ul4RCpCX66NxYADU1QpwAPjOmBzW64SsT11s1wzXw_c/edit?usp=sharing"",""เลย!J749"")+IMPORTRANGE(""https://docs.google.com/spreadsheets/d/1bRrNKwbHDVktQG10isr5vbWRtt5spIZPpkOSWgbT5ug/edit?usp=sharing"",""ศรีสะเกษ!J749"")+IMPORTRANGE(""https://doc"&amp;"s.google.com/spreadsheets/d/17P34_Ow5kFBfdQD0qspb2UuPX5zpi6WMrQzslghyvrI/edit?usp=sharing"",""สกลนคร!J749"")+IMPORTRANGE(""https://docs.google.com/spreadsheets/d/1yswqbM3-AEpThF3ZSUa1AcmHnmRTF1vlJ1CZGcJ8YuU/edit?usp=sharing"",""สุรินทร์!J749"")+IMPORTRANG"&amp;"E(""https://docs.google.com/spreadsheets/d/13JHU_EFbsQOUQ0JSQ3dWy1VTRosIWcDq6Nc99z2qzdc/edit?usp=sharing"",""หนองคาย!J749"")+IMPORTRANGE(""https://docs.google.com/spreadsheets/d/1Hx73zIEgVdDZZaYSTc46Dqv64atFhpr3GelxLbaIN8A/edit?usp=sharing"",""หนองบัวลำภู"&amp;"!J749"")+IMPORTRANGE(""https://docs.google.com/spreadsheets/d/1lFxr3ctmjFN90yc-xV6jrQ9Ty8BKYVBWnAZ15wcNIJc/edit?usp=sharing"",""อำนาจเจริญ!J749"")+IMPORTRANGE(""https://docs.google.com/spreadsheets/d/1gF7RJpRnL-1oyjyeWxs5SFWEH7y8ahOZsQlyp2A2e-A/edit?usp=s"&amp;"haring"",""อุดรธานี!J749"")+IMPORTRANGE(""https://docs.google.com/spreadsheets/d/1kfLP0j3INXRa8bTDpcEmoWewMBV61jlFlfzczfjWIgc/edit?usp=sharing"",""อุบลราชธานี!J749"")"),10)</f>
        <v>10</v>
      </c>
      <c r="K749" s="56">
        <f ca="1">IF(I749&gt;0,J749*100/I749,0)</f>
        <v>19.23076923076923</v>
      </c>
      <c r="L749" s="55"/>
      <c r="M749" s="55"/>
      <c r="N749" s="55"/>
      <c r="O749" s="55"/>
      <c r="P749" s="55"/>
      <c r="Q749" s="55"/>
      <c r="R749" s="55"/>
      <c r="S749" s="62"/>
      <c r="T749" s="55"/>
      <c r="U749" s="55"/>
    </row>
    <row r="750" spans="1:21" ht="19.5">
      <c r="A750" s="166"/>
      <c r="B750" s="167"/>
      <c r="C750" s="167"/>
      <c r="D750" s="488" t="s">
        <v>50</v>
      </c>
      <c r="E750" s="167"/>
      <c r="F750" s="174"/>
      <c r="G750" s="171"/>
      <c r="H750" s="208"/>
      <c r="I750" s="54"/>
      <c r="J750" s="54"/>
      <c r="K750" s="55"/>
      <c r="L750" s="55"/>
      <c r="M750" s="55"/>
      <c r="N750" s="55"/>
      <c r="O750" s="55"/>
      <c r="P750" s="55"/>
      <c r="Q750" s="55"/>
      <c r="R750" s="55"/>
      <c r="S750" s="62"/>
      <c r="T750" s="55"/>
      <c r="U750" s="55"/>
    </row>
    <row r="751" spans="1:21" ht="18.75">
      <c r="A751" s="166"/>
      <c r="B751" s="167"/>
      <c r="C751" s="167"/>
      <c r="D751" s="167"/>
      <c r="E751" s="460" t="s">
        <v>271</v>
      </c>
      <c r="F751" s="174"/>
      <c r="G751" s="171"/>
      <c r="H751" s="208"/>
      <c r="I751" s="54"/>
      <c r="J751" s="54"/>
      <c r="K751" s="55"/>
      <c r="L751" s="55"/>
      <c r="M751" s="55"/>
      <c r="N751" s="55"/>
      <c r="O751" s="55"/>
      <c r="P751" s="55"/>
      <c r="Q751" s="55"/>
      <c r="R751" s="55"/>
      <c r="S751" s="62"/>
      <c r="T751" s="55"/>
      <c r="U751" s="55"/>
    </row>
    <row r="752" spans="1:21" ht="18.75">
      <c r="A752" s="166"/>
      <c r="B752" s="167"/>
      <c r="C752" s="167"/>
      <c r="D752" s="167"/>
      <c r="E752" s="167"/>
      <c r="F752" s="178" t="s">
        <v>281</v>
      </c>
      <c r="G752" s="171"/>
      <c r="H752" s="161" t="s">
        <v>46</v>
      </c>
      <c r="I752" s="181">
        <f ca="1">IFERROR(__xludf.DUMMYFUNCTION("IMPORTRANGE(""https://docs.google.com/spreadsheets/d/1yhBcrRPreicbMKl9Bu_Snb2-OcQAF62RKfhTLhJ2eAA/edit?usp=sharing"",""กาฬสินธุ์!I752"")+IMPORTRANGE(""https://docs.google.com/spreadsheets/d/1aHkj4IaQMThhwWwevcOymEh837vdxeC_PycurhTbGFA/edit?usp=sharing"","&amp;"""ขอนแก่น!I752"")+IMPORTRANGE(""https://docs.google.com/spreadsheets/d/1FvTu2DsIWUjP6WCWra38Bkj_oOl_sOMf14r5Fg5srxU/edit?usp=sharing"",""ชัยภูมิ!I752"")+IMPORTRANGE(""https://docs.google.com/spreadsheets/d/1XVB7oCJ3pr-vBUdflwPQ8Z2LlzhnCvZaaYjAfP-647E/edit"&amp;"?usp=sharing"",""นครพนม!I752"")+IMPORTRANGE(""https://docs.google.com/spreadsheets/d/1Mnpb-8PYAgn85W6KOTD40hc_Xc55CaLfHoGAbrZ8tls/edit?usp=sharing"",""นครราชสีมา!I752"")+IMPORTRANGE(""https://docs.google.com/spreadsheets/d/1xoDLGBv9CYbyosIhki0kTq6IpYNj-gp"&amp;"jxfobnaDiut0/edit?usp=sharing"",""บึงกาฬ!I752"")+IMPORTRANGE(""https://docs.google.com/spreadsheets/d/1MMPq-JyI6DSgQETxuSiXkesP-P7JHuemnE6QJIa-Nlw/edit?usp=sharing"",""บุรีรัมย์!I752"")+IMPORTRANGE(""https://docs.google.com/spreadsheets/d/1l6IZ8xUPgMrESzc"&amp;"TYwhA1k_tPjeQjJPTqlm8Gd9eU5g/edit?usp=sharing"",""มหาสารคาม!I752"")+IMPORTRANGE(""https://docs.google.com/spreadsheets/d/1uB74YLqNjWX6FObjekfB2NtSYigTQyR2rq9u4Ub2Sq4/edit?usp=sharing"",""มุกดาหาร!I752"")+IMPORTRANGE(""https://docs.google.com/spreadsheets/"&amp;"d/1NexK3geCPxCTO1fzNF8dPec7yZyUx3OaWkFBC9HsQOo/edit?usp=sharing"",""ยโสธร!I752"")+IMPORTRANGE(""https://docs.google.com/spreadsheets/d/1v_cJrbBlyqmnHPReHk44g9NrMRdENNlSy_E_c5M9fIg/edit?usp=sharing"",""ร้อยเอ็ด!I752"")+IMPORTRANGE(""https://docs.google.com"&amp;"/spreadsheets/d/1Ul4RCpCX66NxYADU1QpwAPjOmBzW64SsT11s1wzXw_c/edit?usp=sharing"",""เลย!I752"")+IMPORTRANGE(""https://docs.google.com/spreadsheets/d/1bRrNKwbHDVktQG10isr5vbWRtt5spIZPpkOSWgbT5ug/edit?usp=sharing"",""ศรีสะเกษ!I752"")+IMPORTRANGE(""https://doc"&amp;"s.google.com/spreadsheets/d/17P34_Ow5kFBfdQD0qspb2UuPX5zpi6WMrQzslghyvrI/edit?usp=sharing"",""สกลนคร!I752"")+IMPORTRANGE(""https://docs.google.com/spreadsheets/d/1yswqbM3-AEpThF3ZSUa1AcmHnmRTF1vlJ1CZGcJ8YuU/edit?usp=sharing"",""สุรินทร์!I752"")+IMPORTRANG"&amp;"E(""https://docs.google.com/spreadsheets/d/13JHU_EFbsQOUQ0JSQ3dWy1VTRosIWcDq6Nc99z2qzdc/edit?usp=sharing"",""หนองคาย!I752"")+IMPORTRANGE(""https://docs.google.com/spreadsheets/d/1Hx73zIEgVdDZZaYSTc46Dqv64atFhpr3GelxLbaIN8A/edit?usp=sharing"",""หนองบัวลำภู"&amp;"!I752"")+IMPORTRANGE(""https://docs.google.com/spreadsheets/d/1lFxr3ctmjFN90yc-xV6jrQ9Ty8BKYVBWnAZ15wcNIJc/edit?usp=sharing"",""อำนาจเจริญ!I752"")+IMPORTRANGE(""https://docs.google.com/spreadsheets/d/1gF7RJpRnL-1oyjyeWxs5SFWEH7y8ahOZsQlyp2A2e-A/edit?usp=s"&amp;"haring"",""อุดรธานี!I752"")+IMPORTRANGE(""https://docs.google.com/spreadsheets/d/1kfLP0j3INXRa8bTDpcEmoWewMBV61jlFlfzczfjWIgc/edit?usp=sharing"",""อุบลราชธานี!I752"")"),17200)</f>
        <v>17200</v>
      </c>
      <c r="J752" s="195">
        <f ca="1">IFERROR(__xludf.DUMMYFUNCTION("IMPORTRANGE(""https://docs.google.com/spreadsheets/d/1yhBcrRPreicbMKl9Bu_Snb2-OcQAF62RKfhTLhJ2eAA/edit?usp=sharing"",""กาฬสินธุ์!J752"")+IMPORTRANGE(""https://docs.google.com/spreadsheets/d/1aHkj4IaQMThhwWwevcOymEh837vdxeC_PycurhTbGFA/edit?usp=sharing"","&amp;"""ขอนแก่น!J752"")+IMPORTRANGE(""https://docs.google.com/spreadsheets/d/1FvTu2DsIWUjP6WCWra38Bkj_oOl_sOMf14r5Fg5srxU/edit?usp=sharing"",""ชัยภูมิ!J752"")+IMPORTRANGE(""https://docs.google.com/spreadsheets/d/1XVB7oCJ3pr-vBUdflwPQ8Z2LlzhnCvZaaYjAfP-647E/edit"&amp;"?usp=sharing"",""นครพนม!J752"")+IMPORTRANGE(""https://docs.google.com/spreadsheets/d/1Mnpb-8PYAgn85W6KOTD40hc_Xc55CaLfHoGAbrZ8tls/edit?usp=sharing"",""นครราชสีมา!J752"")+IMPORTRANGE(""https://docs.google.com/spreadsheets/d/1xoDLGBv9CYbyosIhki0kTq6IpYNj-gp"&amp;"jxfobnaDiut0/edit?usp=sharing"",""บึงกาฬ!J752"")+IMPORTRANGE(""https://docs.google.com/spreadsheets/d/1MMPq-JyI6DSgQETxuSiXkesP-P7JHuemnE6QJIa-Nlw/edit?usp=sharing"",""บุรีรัมย์!J752"")+IMPORTRANGE(""https://docs.google.com/spreadsheets/d/1l6IZ8xUPgMrESzc"&amp;"TYwhA1k_tPjeQjJPTqlm8Gd9eU5g/edit?usp=sharing"",""มหาสารคาม!J752"")+IMPORTRANGE(""https://docs.google.com/spreadsheets/d/1uB74YLqNjWX6FObjekfB2NtSYigTQyR2rq9u4Ub2Sq4/edit?usp=sharing"",""มุกดาหาร!J752"")+IMPORTRANGE(""https://docs.google.com/spreadsheets/"&amp;"d/1NexK3geCPxCTO1fzNF8dPec7yZyUx3OaWkFBC9HsQOo/edit?usp=sharing"",""ยโสธร!J752"")+IMPORTRANGE(""https://docs.google.com/spreadsheets/d/1v_cJrbBlyqmnHPReHk44g9NrMRdENNlSy_E_c5M9fIg/edit?usp=sharing"",""ร้อยเอ็ด!J752"")+IMPORTRANGE(""https://docs.google.com"&amp;"/spreadsheets/d/1Ul4RCpCX66NxYADU1QpwAPjOmBzW64SsT11s1wzXw_c/edit?usp=sharing"",""เลย!J752"")+IMPORTRANGE(""https://docs.google.com/spreadsheets/d/1bRrNKwbHDVktQG10isr5vbWRtt5spIZPpkOSWgbT5ug/edit?usp=sharing"",""ศรีสะเกษ!J752"")+IMPORTRANGE(""https://doc"&amp;"s.google.com/spreadsheets/d/17P34_Ow5kFBfdQD0qspb2UuPX5zpi6WMrQzslghyvrI/edit?usp=sharing"",""สกลนคร!J752"")+IMPORTRANGE(""https://docs.google.com/spreadsheets/d/1yswqbM3-AEpThF3ZSUa1AcmHnmRTF1vlJ1CZGcJ8YuU/edit?usp=sharing"",""สุรินทร์!J752"")+IMPORTRANG"&amp;"E(""https://docs.google.com/spreadsheets/d/13JHU_EFbsQOUQ0JSQ3dWy1VTRosIWcDq6Nc99z2qzdc/edit?usp=sharing"",""หนองคาย!J752"")+IMPORTRANGE(""https://docs.google.com/spreadsheets/d/1Hx73zIEgVdDZZaYSTc46Dqv64atFhpr3GelxLbaIN8A/edit?usp=sharing"",""หนองบัวลำภู"&amp;"!J752"")+IMPORTRANGE(""https://docs.google.com/spreadsheets/d/1lFxr3ctmjFN90yc-xV6jrQ9Ty8BKYVBWnAZ15wcNIJc/edit?usp=sharing"",""อำนาจเจริญ!J752"")+IMPORTRANGE(""https://docs.google.com/spreadsheets/d/1gF7RJpRnL-1oyjyeWxs5SFWEH7y8ahOZsQlyp2A2e-A/edit?usp=s"&amp;"haring"",""อุดรธานี!J752"")+IMPORTRANGE(""https://docs.google.com/spreadsheets/d/1kfLP0j3INXRa8bTDpcEmoWewMBV61jlFlfzczfjWIgc/edit?usp=sharing"",""อุบลราชธานี!J752"")"),0)</f>
        <v>0</v>
      </c>
      <c r="K752" s="56">
        <f ca="1">IF(I752&gt;0,J752*100/I752,0)</f>
        <v>0</v>
      </c>
      <c r="L752" s="55"/>
      <c r="M752" s="55"/>
      <c r="N752" s="55"/>
      <c r="O752" s="55"/>
      <c r="P752" s="55"/>
      <c r="Q752" s="55"/>
      <c r="R752" s="55"/>
      <c r="S752" s="62"/>
      <c r="T752" s="55"/>
      <c r="U752" s="55"/>
    </row>
    <row r="753" spans="1:21" ht="18.75">
      <c r="A753" s="166"/>
      <c r="B753" s="167"/>
      <c r="C753" s="167"/>
      <c r="D753" s="167"/>
      <c r="E753" s="167"/>
      <c r="F753" s="178" t="s">
        <v>282</v>
      </c>
      <c r="G753" s="171"/>
      <c r="H753" s="161" t="s">
        <v>46</v>
      </c>
      <c r="I753" s="54"/>
      <c r="J753" s="195">
        <f ca="1">IFERROR(__xludf.DUMMYFUNCTION("IMPORTRANGE(""https://docs.google.com/spreadsheets/d/1yhBcrRPreicbMKl9Bu_Snb2-OcQAF62RKfhTLhJ2eAA/edit?usp=sharing"",""กาฬสินธุ์!J753"")+IMPORTRANGE(""https://docs.google.com/spreadsheets/d/1aHkj4IaQMThhwWwevcOymEh837vdxeC_PycurhTbGFA/edit?usp=sharing"","&amp;"""ขอนแก่น!J753"")+IMPORTRANGE(""https://docs.google.com/spreadsheets/d/1FvTu2DsIWUjP6WCWra38Bkj_oOl_sOMf14r5Fg5srxU/edit?usp=sharing"",""ชัยภูมิ!J753"")+IMPORTRANGE(""https://docs.google.com/spreadsheets/d/1XVB7oCJ3pr-vBUdflwPQ8Z2LlzhnCvZaaYjAfP-647E/edit"&amp;"?usp=sharing"",""นครพนม!J753"")+IMPORTRANGE(""https://docs.google.com/spreadsheets/d/1Mnpb-8PYAgn85W6KOTD40hc_Xc55CaLfHoGAbrZ8tls/edit?usp=sharing"",""นครราชสีมา!J753"")+IMPORTRANGE(""https://docs.google.com/spreadsheets/d/1xoDLGBv9CYbyosIhki0kTq6IpYNj-gp"&amp;"jxfobnaDiut0/edit?usp=sharing"",""บึงกาฬ!J753"")+IMPORTRANGE(""https://docs.google.com/spreadsheets/d/1MMPq-JyI6DSgQETxuSiXkesP-P7JHuemnE6QJIa-Nlw/edit?usp=sharing"",""บุรีรัมย์!J753"")+IMPORTRANGE(""https://docs.google.com/spreadsheets/d/1l6IZ8xUPgMrESzc"&amp;"TYwhA1k_tPjeQjJPTqlm8Gd9eU5g/edit?usp=sharing"",""มหาสารคาม!J753"")+IMPORTRANGE(""https://docs.google.com/spreadsheets/d/1uB74YLqNjWX6FObjekfB2NtSYigTQyR2rq9u4Ub2Sq4/edit?usp=sharing"",""มุกดาหาร!J753"")+IMPORTRANGE(""https://docs.google.com/spreadsheets/"&amp;"d/1NexK3geCPxCTO1fzNF8dPec7yZyUx3OaWkFBC9HsQOo/edit?usp=sharing"",""ยโสธร!J753"")+IMPORTRANGE(""https://docs.google.com/spreadsheets/d/1v_cJrbBlyqmnHPReHk44g9NrMRdENNlSy_E_c5M9fIg/edit?usp=sharing"",""ร้อยเอ็ด!J753"")+IMPORTRANGE(""https://docs.google.com"&amp;"/spreadsheets/d/1Ul4RCpCX66NxYADU1QpwAPjOmBzW64SsT11s1wzXw_c/edit?usp=sharing"",""เลย!J753"")+IMPORTRANGE(""https://docs.google.com/spreadsheets/d/1bRrNKwbHDVktQG10isr5vbWRtt5spIZPpkOSWgbT5ug/edit?usp=sharing"",""ศรีสะเกษ!J753"")+IMPORTRANGE(""https://doc"&amp;"s.google.com/spreadsheets/d/17P34_Ow5kFBfdQD0qspb2UuPX5zpi6WMrQzslghyvrI/edit?usp=sharing"",""สกลนคร!J753"")+IMPORTRANGE(""https://docs.google.com/spreadsheets/d/1yswqbM3-AEpThF3ZSUa1AcmHnmRTF1vlJ1CZGcJ8YuU/edit?usp=sharing"",""สุรินทร์!J753"")+IMPORTRANG"&amp;"E(""https://docs.google.com/spreadsheets/d/13JHU_EFbsQOUQ0JSQ3dWy1VTRosIWcDq6Nc99z2qzdc/edit?usp=sharing"",""หนองคาย!J753"")+IMPORTRANGE(""https://docs.google.com/spreadsheets/d/1Hx73zIEgVdDZZaYSTc46Dqv64atFhpr3GelxLbaIN8A/edit?usp=sharing"",""หนองบัวลำภู"&amp;"!J753"")+IMPORTRANGE(""https://docs.google.com/spreadsheets/d/1lFxr3ctmjFN90yc-xV6jrQ9Ty8BKYVBWnAZ15wcNIJc/edit?usp=sharing"",""อำนาจเจริญ!J753"")+IMPORTRANGE(""https://docs.google.com/spreadsheets/d/1gF7RJpRnL-1oyjyeWxs5SFWEH7y8ahOZsQlyp2A2e-A/edit?usp=s"&amp;"haring"",""อุดรธานี!J753"")+IMPORTRANGE(""https://docs.google.com/spreadsheets/d/1kfLP0j3INXRa8bTDpcEmoWewMBV61jlFlfzczfjWIgc/edit?usp=sharing"",""อุบลราชธานี!J753"")"),0)</f>
        <v>0</v>
      </c>
      <c r="K753" s="55"/>
      <c r="L753" s="55"/>
      <c r="M753" s="55"/>
      <c r="N753" s="55"/>
      <c r="O753" s="55"/>
      <c r="P753" s="55"/>
      <c r="Q753" s="55"/>
      <c r="R753" s="55"/>
      <c r="S753" s="62"/>
      <c r="T753" s="55"/>
      <c r="U753" s="55"/>
    </row>
    <row r="754" spans="1:21" ht="18.75">
      <c r="A754" s="166"/>
      <c r="B754" s="167"/>
      <c r="C754" s="167"/>
      <c r="D754" s="167"/>
      <c r="E754" s="460" t="s">
        <v>275</v>
      </c>
      <c r="F754" s="174"/>
      <c r="G754" s="171"/>
      <c r="H754" s="208"/>
      <c r="I754" s="54"/>
      <c r="J754" s="54"/>
      <c r="K754" s="55"/>
      <c r="L754" s="55"/>
      <c r="M754" s="55"/>
      <c r="N754" s="55"/>
      <c r="O754" s="55"/>
      <c r="P754" s="55"/>
      <c r="Q754" s="55"/>
      <c r="R754" s="55"/>
      <c r="S754" s="62"/>
      <c r="T754" s="55"/>
      <c r="U754" s="55"/>
    </row>
    <row r="755" spans="1:21" ht="18.75">
      <c r="A755" s="166"/>
      <c r="B755" s="167"/>
      <c r="C755" s="167"/>
      <c r="D755" s="167"/>
      <c r="E755" s="174"/>
      <c r="F755" s="178" t="s">
        <v>283</v>
      </c>
      <c r="G755" s="171"/>
      <c r="H755" s="161" t="s">
        <v>46</v>
      </c>
      <c r="I755" s="181">
        <f ca="1">IFERROR(__xludf.DUMMYFUNCTION("IMPORTRANGE(""https://docs.google.com/spreadsheets/d/1yhBcrRPreicbMKl9Bu_Snb2-OcQAF62RKfhTLhJ2eAA/edit?usp=sharing"",""กาฬสินธุ์!I755"")+IMPORTRANGE(""https://docs.google.com/spreadsheets/d/1aHkj4IaQMThhwWwevcOymEh837vdxeC_PycurhTbGFA/edit?usp=sharing"","&amp;"""ขอนแก่น!I755"")+IMPORTRANGE(""https://docs.google.com/spreadsheets/d/1FvTu2DsIWUjP6WCWra38Bkj_oOl_sOMf14r5Fg5srxU/edit?usp=sharing"",""ชัยภูมิ!I755"")+IMPORTRANGE(""https://docs.google.com/spreadsheets/d/1XVB7oCJ3pr-vBUdflwPQ8Z2LlzhnCvZaaYjAfP-647E/edit"&amp;"?usp=sharing"",""นครพนม!I755"")+IMPORTRANGE(""https://docs.google.com/spreadsheets/d/1Mnpb-8PYAgn85W6KOTD40hc_Xc55CaLfHoGAbrZ8tls/edit?usp=sharing"",""นครราชสีมา!I755"")+IMPORTRANGE(""https://docs.google.com/spreadsheets/d/1xoDLGBv9CYbyosIhki0kTq6IpYNj-gp"&amp;"jxfobnaDiut0/edit?usp=sharing"",""บึงกาฬ!I755"")+IMPORTRANGE(""https://docs.google.com/spreadsheets/d/1MMPq-JyI6DSgQETxuSiXkesP-P7JHuemnE6QJIa-Nlw/edit?usp=sharing"",""บุรีรัมย์!I755"")+IMPORTRANGE(""https://docs.google.com/spreadsheets/d/1l6IZ8xUPgMrESzc"&amp;"TYwhA1k_tPjeQjJPTqlm8Gd9eU5g/edit?usp=sharing"",""มหาสารคาม!I755"")+IMPORTRANGE(""https://docs.google.com/spreadsheets/d/1uB74YLqNjWX6FObjekfB2NtSYigTQyR2rq9u4Ub2Sq4/edit?usp=sharing"",""มุกดาหาร!I755"")+IMPORTRANGE(""https://docs.google.com/spreadsheets/"&amp;"d/1NexK3geCPxCTO1fzNF8dPec7yZyUx3OaWkFBC9HsQOo/edit?usp=sharing"",""ยโสธร!I755"")+IMPORTRANGE(""https://docs.google.com/spreadsheets/d/1v_cJrbBlyqmnHPReHk44g9NrMRdENNlSy_E_c5M9fIg/edit?usp=sharing"",""ร้อยเอ็ด!I755"")+IMPORTRANGE(""https://docs.google.com"&amp;"/spreadsheets/d/1Ul4RCpCX66NxYADU1QpwAPjOmBzW64SsT11s1wzXw_c/edit?usp=sharing"",""เลย!I755"")+IMPORTRANGE(""https://docs.google.com/spreadsheets/d/1bRrNKwbHDVktQG10isr5vbWRtt5spIZPpkOSWgbT5ug/edit?usp=sharing"",""ศรีสะเกษ!I755"")+IMPORTRANGE(""https://doc"&amp;"s.google.com/spreadsheets/d/17P34_Ow5kFBfdQD0qspb2UuPX5zpi6WMrQzslghyvrI/edit?usp=sharing"",""สกลนคร!I755"")+IMPORTRANGE(""https://docs.google.com/spreadsheets/d/1yswqbM3-AEpThF3ZSUa1AcmHnmRTF1vlJ1CZGcJ8YuU/edit?usp=sharing"",""สุรินทร์!I755"")+IMPORTRANG"&amp;"E(""https://docs.google.com/spreadsheets/d/13JHU_EFbsQOUQ0JSQ3dWy1VTRosIWcDq6Nc99z2qzdc/edit?usp=sharing"",""หนองคาย!I755"")+IMPORTRANGE(""https://docs.google.com/spreadsheets/d/1Hx73zIEgVdDZZaYSTc46Dqv64atFhpr3GelxLbaIN8A/edit?usp=sharing"",""หนองบัวลำภู"&amp;"!I755"")+IMPORTRANGE(""https://docs.google.com/spreadsheets/d/1lFxr3ctmjFN90yc-xV6jrQ9Ty8BKYVBWnAZ15wcNIJc/edit?usp=sharing"",""อำนาจเจริญ!I755"")+IMPORTRANGE(""https://docs.google.com/spreadsheets/d/1gF7RJpRnL-1oyjyeWxs5SFWEH7y8ahOZsQlyp2A2e-A/edit?usp=s"&amp;"haring"",""อุดรธานี!I755"")+IMPORTRANGE(""https://docs.google.com/spreadsheets/d/1kfLP0j3INXRa8bTDpcEmoWewMBV61jlFlfzczfjWIgc/edit?usp=sharing"",""อุบลราชธานี!I755"")"),4300)</f>
        <v>4300</v>
      </c>
      <c r="J755" s="195">
        <f ca="1">IFERROR(__xludf.DUMMYFUNCTION("IMPORTRANGE(""https://docs.google.com/spreadsheets/d/1yhBcrRPreicbMKl9Bu_Snb2-OcQAF62RKfhTLhJ2eAA/edit?usp=sharing"",""กาฬสินธุ์!J755"")+IMPORTRANGE(""https://docs.google.com/spreadsheets/d/1aHkj4IaQMThhwWwevcOymEh837vdxeC_PycurhTbGFA/edit?usp=sharing"","&amp;"""ขอนแก่น!J755"")+IMPORTRANGE(""https://docs.google.com/spreadsheets/d/1FvTu2DsIWUjP6WCWra38Bkj_oOl_sOMf14r5Fg5srxU/edit?usp=sharing"",""ชัยภูมิ!J755"")+IMPORTRANGE(""https://docs.google.com/spreadsheets/d/1XVB7oCJ3pr-vBUdflwPQ8Z2LlzhnCvZaaYjAfP-647E/edit"&amp;"?usp=sharing"",""นครพนม!J755"")+IMPORTRANGE(""https://docs.google.com/spreadsheets/d/1Mnpb-8PYAgn85W6KOTD40hc_Xc55CaLfHoGAbrZ8tls/edit?usp=sharing"",""นครราชสีมา!J755"")+IMPORTRANGE(""https://docs.google.com/spreadsheets/d/1xoDLGBv9CYbyosIhki0kTq6IpYNj-gp"&amp;"jxfobnaDiut0/edit?usp=sharing"",""บึงกาฬ!J755"")+IMPORTRANGE(""https://docs.google.com/spreadsheets/d/1MMPq-JyI6DSgQETxuSiXkesP-P7JHuemnE6QJIa-Nlw/edit?usp=sharing"",""บุรีรัมย์!J755"")+IMPORTRANGE(""https://docs.google.com/spreadsheets/d/1l6IZ8xUPgMrESzc"&amp;"TYwhA1k_tPjeQjJPTqlm8Gd9eU5g/edit?usp=sharing"",""มหาสารคาม!J755"")+IMPORTRANGE(""https://docs.google.com/spreadsheets/d/1uB74YLqNjWX6FObjekfB2NtSYigTQyR2rq9u4Ub2Sq4/edit?usp=sharing"",""มุกดาหาร!J755"")+IMPORTRANGE(""https://docs.google.com/spreadsheets/"&amp;"d/1NexK3geCPxCTO1fzNF8dPec7yZyUx3OaWkFBC9HsQOo/edit?usp=sharing"",""ยโสธร!J755"")+IMPORTRANGE(""https://docs.google.com/spreadsheets/d/1v_cJrbBlyqmnHPReHk44g9NrMRdENNlSy_E_c5M9fIg/edit?usp=sharing"",""ร้อยเอ็ด!J755"")+IMPORTRANGE(""https://docs.google.com"&amp;"/spreadsheets/d/1Ul4RCpCX66NxYADU1QpwAPjOmBzW64SsT11s1wzXw_c/edit?usp=sharing"",""เลย!J755"")+IMPORTRANGE(""https://docs.google.com/spreadsheets/d/1bRrNKwbHDVktQG10isr5vbWRtt5spIZPpkOSWgbT5ug/edit?usp=sharing"",""ศรีสะเกษ!J755"")+IMPORTRANGE(""https://doc"&amp;"s.google.com/spreadsheets/d/17P34_Ow5kFBfdQD0qspb2UuPX5zpi6WMrQzslghyvrI/edit?usp=sharing"",""สกลนคร!J755"")+IMPORTRANGE(""https://docs.google.com/spreadsheets/d/1yswqbM3-AEpThF3ZSUa1AcmHnmRTF1vlJ1CZGcJ8YuU/edit?usp=sharing"",""สุรินทร์!J755"")+IMPORTRANG"&amp;"E(""https://docs.google.com/spreadsheets/d/13JHU_EFbsQOUQ0JSQ3dWy1VTRosIWcDq6Nc99z2qzdc/edit?usp=sharing"",""หนองคาย!J755"")+IMPORTRANGE(""https://docs.google.com/spreadsheets/d/1Hx73zIEgVdDZZaYSTc46Dqv64atFhpr3GelxLbaIN8A/edit?usp=sharing"",""หนองบัวลำภู"&amp;"!J755"")+IMPORTRANGE(""https://docs.google.com/spreadsheets/d/1lFxr3ctmjFN90yc-xV6jrQ9Ty8BKYVBWnAZ15wcNIJc/edit?usp=sharing"",""อำนาจเจริญ!J755"")+IMPORTRANGE(""https://docs.google.com/spreadsheets/d/1gF7RJpRnL-1oyjyeWxs5SFWEH7y8ahOZsQlyp2A2e-A/edit?usp=s"&amp;"haring"",""อุดรธานี!J755"")+IMPORTRANGE(""https://docs.google.com/spreadsheets/d/1kfLP0j3INXRa8bTDpcEmoWewMBV61jlFlfzczfjWIgc/edit?usp=sharing"",""อุบลราชธานี!J755"")"),0)</f>
        <v>0</v>
      </c>
      <c r="K755" s="56">
        <f ca="1">IF(I755&gt;0,J755*100/I755,0)</f>
        <v>0</v>
      </c>
      <c r="L755" s="55"/>
      <c r="M755" s="55"/>
      <c r="N755" s="55"/>
      <c r="O755" s="55"/>
      <c r="P755" s="55"/>
      <c r="Q755" s="55"/>
      <c r="R755" s="55"/>
      <c r="S755" s="62"/>
      <c r="T755" s="55"/>
      <c r="U755" s="55"/>
    </row>
    <row r="756" spans="1:21" ht="18.75">
      <c r="A756" s="166"/>
      <c r="B756" s="167"/>
      <c r="C756" s="167"/>
      <c r="D756" s="167"/>
      <c r="E756" s="174"/>
      <c r="F756" s="178" t="s">
        <v>284</v>
      </c>
      <c r="G756" s="171"/>
      <c r="H756" s="161" t="s">
        <v>46</v>
      </c>
      <c r="I756" s="54"/>
      <c r="J756" s="195">
        <f ca="1">IFERROR(__xludf.DUMMYFUNCTION("IMPORTRANGE(""https://docs.google.com/spreadsheets/d/1yhBcrRPreicbMKl9Bu_Snb2-OcQAF62RKfhTLhJ2eAA/edit?usp=sharing"",""กาฬสินธุ์!J756"")+IMPORTRANGE(""https://docs.google.com/spreadsheets/d/1aHkj4IaQMThhwWwevcOymEh837vdxeC_PycurhTbGFA/edit?usp=sharing"","&amp;"""ขอนแก่น!J756"")+IMPORTRANGE(""https://docs.google.com/spreadsheets/d/1FvTu2DsIWUjP6WCWra38Bkj_oOl_sOMf14r5Fg5srxU/edit?usp=sharing"",""ชัยภูมิ!J756"")+IMPORTRANGE(""https://docs.google.com/spreadsheets/d/1XVB7oCJ3pr-vBUdflwPQ8Z2LlzhnCvZaaYjAfP-647E/edit"&amp;"?usp=sharing"",""นครพนม!J756"")+IMPORTRANGE(""https://docs.google.com/spreadsheets/d/1Mnpb-8PYAgn85W6KOTD40hc_Xc55CaLfHoGAbrZ8tls/edit?usp=sharing"",""นครราชสีมา!J756"")+IMPORTRANGE(""https://docs.google.com/spreadsheets/d/1xoDLGBv9CYbyosIhki0kTq6IpYNj-gp"&amp;"jxfobnaDiut0/edit?usp=sharing"",""บึงกาฬ!J756"")+IMPORTRANGE(""https://docs.google.com/spreadsheets/d/1MMPq-JyI6DSgQETxuSiXkesP-P7JHuemnE6QJIa-Nlw/edit?usp=sharing"",""บุรีรัมย์!J756"")+IMPORTRANGE(""https://docs.google.com/spreadsheets/d/1l6IZ8xUPgMrESzc"&amp;"TYwhA1k_tPjeQjJPTqlm8Gd9eU5g/edit?usp=sharing"",""มหาสารคาม!J756"")+IMPORTRANGE(""https://docs.google.com/spreadsheets/d/1uB74YLqNjWX6FObjekfB2NtSYigTQyR2rq9u4Ub2Sq4/edit?usp=sharing"",""มุกดาหาร!J756"")+IMPORTRANGE(""https://docs.google.com/spreadsheets/"&amp;"d/1NexK3geCPxCTO1fzNF8dPec7yZyUx3OaWkFBC9HsQOo/edit?usp=sharing"",""ยโสธร!J756"")+IMPORTRANGE(""https://docs.google.com/spreadsheets/d/1v_cJrbBlyqmnHPReHk44g9NrMRdENNlSy_E_c5M9fIg/edit?usp=sharing"",""ร้อยเอ็ด!J756"")+IMPORTRANGE(""https://docs.google.com"&amp;"/spreadsheets/d/1Ul4RCpCX66NxYADU1QpwAPjOmBzW64SsT11s1wzXw_c/edit?usp=sharing"",""เลย!J756"")+IMPORTRANGE(""https://docs.google.com/spreadsheets/d/1bRrNKwbHDVktQG10isr5vbWRtt5spIZPpkOSWgbT5ug/edit?usp=sharing"",""ศรีสะเกษ!J756"")+IMPORTRANGE(""https://doc"&amp;"s.google.com/spreadsheets/d/17P34_Ow5kFBfdQD0qspb2UuPX5zpi6WMrQzslghyvrI/edit?usp=sharing"",""สกลนคร!J756"")+IMPORTRANGE(""https://docs.google.com/spreadsheets/d/1yswqbM3-AEpThF3ZSUa1AcmHnmRTF1vlJ1CZGcJ8YuU/edit?usp=sharing"",""สุรินทร์!J756"")+IMPORTRANG"&amp;"E(""https://docs.google.com/spreadsheets/d/13JHU_EFbsQOUQ0JSQ3dWy1VTRosIWcDq6Nc99z2qzdc/edit?usp=sharing"",""หนองคาย!J756"")+IMPORTRANGE(""https://docs.google.com/spreadsheets/d/1Hx73zIEgVdDZZaYSTc46Dqv64atFhpr3GelxLbaIN8A/edit?usp=sharing"",""หนองบัวลำภู"&amp;"!J756"")+IMPORTRANGE(""https://docs.google.com/spreadsheets/d/1lFxr3ctmjFN90yc-xV6jrQ9Ty8BKYVBWnAZ15wcNIJc/edit?usp=sharing"",""อำนาจเจริญ!J756"")+IMPORTRANGE(""https://docs.google.com/spreadsheets/d/1gF7RJpRnL-1oyjyeWxs5SFWEH7y8ahOZsQlyp2A2e-A/edit?usp=s"&amp;"haring"",""อุดรธานี!J756"")+IMPORTRANGE(""https://docs.google.com/spreadsheets/d/1kfLP0j3INXRa8bTDpcEmoWewMBV61jlFlfzczfjWIgc/edit?usp=sharing"",""อุบลราชธานี!J756"")"),0)</f>
        <v>0</v>
      </c>
      <c r="K756" s="55"/>
      <c r="L756" s="55"/>
      <c r="M756" s="55"/>
      <c r="N756" s="55"/>
      <c r="O756" s="55"/>
      <c r="P756" s="55"/>
      <c r="Q756" s="55"/>
      <c r="R756" s="55"/>
      <c r="S756" s="62"/>
      <c r="T756" s="55"/>
      <c r="U756" s="55"/>
    </row>
    <row r="757" spans="1:21" ht="18.75">
      <c r="A757" s="489"/>
      <c r="B757" s="489"/>
      <c r="C757" s="489"/>
      <c r="D757" s="489"/>
      <c r="E757" s="490" t="s">
        <v>285</v>
      </c>
      <c r="F757" s="491"/>
      <c r="G757" s="492"/>
      <c r="H757" s="493" t="s">
        <v>35</v>
      </c>
      <c r="I757" s="494"/>
      <c r="J757" s="495">
        <f ca="1">IFERROR(__xludf.DUMMYFUNCTION("IMPORTRANGE(""https://docs.google.com/spreadsheets/d/1yhBcrRPreicbMKl9Bu_Snb2-OcQAF62RKfhTLhJ2eAA/edit?usp=sharing"",""กาฬสินธุ์!J757"")+IMPORTRANGE(""https://docs.google.com/spreadsheets/d/1aHkj4IaQMThhwWwevcOymEh837vdxeC_PycurhTbGFA/edit?usp=sharing"","&amp;"""ขอนแก่น!J757"")+IMPORTRANGE(""https://docs.google.com/spreadsheets/d/1FvTu2DsIWUjP6WCWra38Bkj_oOl_sOMf14r5Fg5srxU/edit?usp=sharing"",""ชัยภูมิ!J757"")+IMPORTRANGE(""https://docs.google.com/spreadsheets/d/1XVB7oCJ3pr-vBUdflwPQ8Z2LlzhnCvZaaYjAfP-647E/edit"&amp;"?usp=sharing"",""นครพนม!J757"")+IMPORTRANGE(""https://docs.google.com/spreadsheets/d/1Mnpb-8PYAgn85W6KOTD40hc_Xc55CaLfHoGAbrZ8tls/edit?usp=sharing"",""นครราชสีมา!J757"")+IMPORTRANGE(""https://docs.google.com/spreadsheets/d/1xoDLGBv9CYbyosIhki0kTq6IpYNj-gp"&amp;"jxfobnaDiut0/edit?usp=sharing"",""บึงกาฬ!J757"")+IMPORTRANGE(""https://docs.google.com/spreadsheets/d/1MMPq-JyI6DSgQETxuSiXkesP-P7JHuemnE6QJIa-Nlw/edit?usp=sharing"",""บุรีรัมย์!J757"")+IMPORTRANGE(""https://docs.google.com/spreadsheets/d/1l6IZ8xUPgMrESzc"&amp;"TYwhA1k_tPjeQjJPTqlm8Gd9eU5g/edit?usp=sharing"",""มหาสารคาม!J757"")+IMPORTRANGE(""https://docs.google.com/spreadsheets/d/1uB74YLqNjWX6FObjekfB2NtSYigTQyR2rq9u4Ub2Sq4/edit?usp=sharing"",""มุกดาหาร!J757"")+IMPORTRANGE(""https://docs.google.com/spreadsheets/"&amp;"d/1NexK3geCPxCTO1fzNF8dPec7yZyUx3OaWkFBC9HsQOo/edit?usp=sharing"",""ยโสธร!J757"")+IMPORTRANGE(""https://docs.google.com/spreadsheets/d/1v_cJrbBlyqmnHPReHk44g9NrMRdENNlSy_E_c5M9fIg/edit?usp=sharing"",""ร้อยเอ็ด!J757"")+IMPORTRANGE(""https://docs.google.com"&amp;"/spreadsheets/d/1Ul4RCpCX66NxYADU1QpwAPjOmBzW64SsT11s1wzXw_c/edit?usp=sharing"",""เลย!J757"")+IMPORTRANGE(""https://docs.google.com/spreadsheets/d/1bRrNKwbHDVktQG10isr5vbWRtt5spIZPpkOSWgbT5ug/edit?usp=sharing"",""ศรีสะเกษ!J757"")+IMPORTRANGE(""https://doc"&amp;"s.google.com/spreadsheets/d/17P34_Ow5kFBfdQD0qspb2UuPX5zpi6WMrQzslghyvrI/edit?usp=sharing"",""สกลนคร!J757"")+IMPORTRANGE(""https://docs.google.com/spreadsheets/d/1yswqbM3-AEpThF3ZSUa1AcmHnmRTF1vlJ1CZGcJ8YuU/edit?usp=sharing"",""สุรินทร์!J757"")+IMPORTRANG"&amp;"E(""https://docs.google.com/spreadsheets/d/13JHU_EFbsQOUQ0JSQ3dWy1VTRosIWcDq6Nc99z2qzdc/edit?usp=sharing"",""หนองคาย!J757"")+IMPORTRANGE(""https://docs.google.com/spreadsheets/d/1Hx73zIEgVdDZZaYSTc46Dqv64atFhpr3GelxLbaIN8A/edit?usp=sharing"",""หนองบัวลำภู"&amp;"!J757"")+IMPORTRANGE(""https://docs.google.com/spreadsheets/d/1lFxr3ctmjFN90yc-xV6jrQ9Ty8BKYVBWnAZ15wcNIJc/edit?usp=sharing"",""อำนาจเจริญ!J757"")+IMPORTRANGE(""https://docs.google.com/spreadsheets/d/1gF7RJpRnL-1oyjyeWxs5SFWEH7y8ahOZsQlyp2A2e-A/edit?usp=s"&amp;"haring"",""อุดรธานี!J757"")+IMPORTRANGE(""https://docs.google.com/spreadsheets/d/1kfLP0j3INXRa8bTDpcEmoWewMBV61jlFlfzczfjWIgc/edit?usp=sharing"",""อุบลราชธานี!J757"")"),0)</f>
        <v>0</v>
      </c>
      <c r="K757" s="496"/>
      <c r="L757" s="496"/>
      <c r="M757" s="496"/>
      <c r="N757" s="496"/>
      <c r="O757" s="496"/>
      <c r="P757" s="496"/>
      <c r="Q757" s="496"/>
      <c r="R757" s="496"/>
      <c r="S757" s="496"/>
      <c r="T757" s="496"/>
      <c r="U757" s="496"/>
    </row>
    <row r="758" spans="1:21" ht="19.5">
      <c r="A758" s="442"/>
      <c r="B758" s="443" t="s">
        <v>286</v>
      </c>
      <c r="C758" s="442"/>
      <c r="D758" s="444"/>
      <c r="E758" s="444"/>
      <c r="F758" s="444"/>
      <c r="G758" s="445"/>
      <c r="H758" s="473" t="s">
        <v>35</v>
      </c>
      <c r="I758" s="474">
        <f t="shared" ref="I758:J758" ca="1" si="517">I772</f>
        <v>1460</v>
      </c>
      <c r="J758" s="474">
        <f t="shared" ca="1" si="517"/>
        <v>855</v>
      </c>
      <c r="K758" s="475">
        <f t="shared" ref="K758:K759" ca="1" si="518">IF(I758&gt;0,J758*100/I758,0)</f>
        <v>58.561643835616437</v>
      </c>
      <c r="L758" s="448"/>
      <c r="M758" s="448"/>
      <c r="N758" s="448"/>
      <c r="O758" s="448"/>
      <c r="P758" s="448"/>
      <c r="Q758" s="448"/>
      <c r="R758" s="448"/>
      <c r="S758" s="449"/>
      <c r="T758" s="448"/>
      <c r="U758" s="448"/>
    </row>
    <row r="759" spans="1:21" ht="19.5">
      <c r="A759" s="487"/>
      <c r="B759" s="442"/>
      <c r="C759" s="442"/>
      <c r="D759" s="444"/>
      <c r="E759" s="444"/>
      <c r="F759" s="444"/>
      <c r="G759" s="445"/>
      <c r="H759" s="473" t="s">
        <v>46</v>
      </c>
      <c r="I759" s="474">
        <f t="shared" ref="I759:J759" ca="1" si="519">I774</f>
        <v>5255</v>
      </c>
      <c r="J759" s="474">
        <f t="shared" ca="1" si="519"/>
        <v>2780</v>
      </c>
      <c r="K759" s="475">
        <f t="shared" ca="1" si="518"/>
        <v>52.901998097050431</v>
      </c>
      <c r="L759" s="448"/>
      <c r="M759" s="448"/>
      <c r="N759" s="448"/>
      <c r="O759" s="448"/>
      <c r="P759" s="448"/>
      <c r="Q759" s="448"/>
      <c r="R759" s="448"/>
      <c r="S759" s="449"/>
      <c r="T759" s="448"/>
      <c r="U759" s="448"/>
    </row>
    <row r="760" spans="1:21" ht="19.5">
      <c r="A760" s="155"/>
      <c r="B760" s="188"/>
      <c r="C760" s="205" t="s">
        <v>18</v>
      </c>
      <c r="D760" s="531" t="s">
        <v>19</v>
      </c>
      <c r="E760" s="529"/>
      <c r="F760" s="529"/>
      <c r="G760" s="530"/>
      <c r="H760" s="252" t="s">
        <v>14</v>
      </c>
      <c r="I760" s="54"/>
      <c r="J760" s="54"/>
      <c r="K760" s="55"/>
      <c r="L760" s="159">
        <f t="shared" ref="L760:N760" ca="1" si="520">L761+L762</f>
        <v>0</v>
      </c>
      <c r="M760" s="159">
        <f t="shared" ca="1" si="520"/>
        <v>0</v>
      </c>
      <c r="N760" s="159">
        <f t="shared" ca="1" si="520"/>
        <v>0</v>
      </c>
      <c r="O760" s="159">
        <f t="shared" ref="O760:O768" ca="1" si="521">IF(L760&gt;0,N760*100/L760,0)</f>
        <v>0</v>
      </c>
      <c r="P760" s="159">
        <f t="shared" ref="P760:P768" ca="1" si="522">IF(M760&gt;0,N760*100/M760,0)</f>
        <v>0</v>
      </c>
      <c r="Q760" s="159">
        <f t="shared" ref="Q760:S760" ca="1" si="523">Q761+Q762</f>
        <v>11984380</v>
      </c>
      <c r="R760" s="159">
        <f t="shared" ca="1" si="523"/>
        <v>11984380</v>
      </c>
      <c r="S760" s="160">
        <f t="shared" ca="1" si="523"/>
        <v>2814038.39</v>
      </c>
      <c r="T760" s="159">
        <f t="shared" ref="T760:T768" ca="1" si="524">IF(Q760&gt;0,S760*100/Q760,0)</f>
        <v>23.480884200934884</v>
      </c>
      <c r="U760" s="159">
        <f t="shared" ref="U760:U768" ca="1" si="525">IF(R760&gt;0,S760*100/R760,0)</f>
        <v>23.480884200934884</v>
      </c>
    </row>
    <row r="761" spans="1:21" ht="18.75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59">
        <f t="shared" ref="L761:N761" ca="1" si="526">L764+L767</f>
        <v>0</v>
      </c>
      <c r="M761" s="59">
        <f t="shared" ca="1" si="526"/>
        <v>0</v>
      </c>
      <c r="N761" s="59">
        <f t="shared" ca="1" si="526"/>
        <v>0</v>
      </c>
      <c r="O761" s="59">
        <f t="shared" ca="1" si="521"/>
        <v>0</v>
      </c>
      <c r="P761" s="59">
        <f t="shared" ca="1" si="522"/>
        <v>0</v>
      </c>
      <c r="Q761" s="59">
        <f t="shared" ref="Q761:S761" ca="1" si="527">Q764+Q767</f>
        <v>0</v>
      </c>
      <c r="R761" s="59">
        <f t="shared" ca="1" si="527"/>
        <v>0</v>
      </c>
      <c r="S761" s="60">
        <f t="shared" ca="1" si="527"/>
        <v>0</v>
      </c>
      <c r="T761" s="59">
        <f t="shared" ca="1" si="524"/>
        <v>0</v>
      </c>
      <c r="U761" s="59">
        <f t="shared" ca="1" si="525"/>
        <v>0</v>
      </c>
    </row>
    <row r="762" spans="1:21" ht="18.75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56">
        <f t="shared" ref="L762:N762" ca="1" si="528">L765+L768</f>
        <v>0</v>
      </c>
      <c r="M762" s="56">
        <f t="shared" ca="1" si="528"/>
        <v>0</v>
      </c>
      <c r="N762" s="56">
        <f t="shared" ca="1" si="528"/>
        <v>0</v>
      </c>
      <c r="O762" s="56">
        <f t="shared" ca="1" si="521"/>
        <v>0</v>
      </c>
      <c r="P762" s="56">
        <f t="shared" ca="1" si="522"/>
        <v>0</v>
      </c>
      <c r="Q762" s="56">
        <f t="shared" ref="Q762:S762" ca="1" si="529">Q765+Q768</f>
        <v>11984380</v>
      </c>
      <c r="R762" s="56">
        <f t="shared" ca="1" si="529"/>
        <v>11984380</v>
      </c>
      <c r="S762" s="57">
        <f t="shared" ca="1" si="529"/>
        <v>2814038.39</v>
      </c>
      <c r="T762" s="56">
        <f t="shared" ca="1" si="524"/>
        <v>23.480884200934884</v>
      </c>
      <c r="U762" s="56">
        <f t="shared" ca="1" si="525"/>
        <v>23.480884200934884</v>
      </c>
    </row>
    <row r="763" spans="1:21" ht="18.75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56">
        <f t="shared" ref="L763:N763" ca="1" si="530">L764+L765</f>
        <v>0</v>
      </c>
      <c r="M763" s="56">
        <f t="shared" ca="1" si="530"/>
        <v>0</v>
      </c>
      <c r="N763" s="56">
        <f t="shared" ca="1" si="530"/>
        <v>0</v>
      </c>
      <c r="O763" s="56">
        <f t="shared" ca="1" si="521"/>
        <v>0</v>
      </c>
      <c r="P763" s="56">
        <f t="shared" ca="1" si="522"/>
        <v>0</v>
      </c>
      <c r="Q763" s="56">
        <f t="shared" ref="Q763:S763" ca="1" si="531">Q764+Q765</f>
        <v>11984380</v>
      </c>
      <c r="R763" s="56">
        <f t="shared" ca="1" si="531"/>
        <v>11984380</v>
      </c>
      <c r="S763" s="57">
        <f t="shared" ca="1" si="531"/>
        <v>2814038.39</v>
      </c>
      <c r="T763" s="56">
        <f t="shared" ca="1" si="524"/>
        <v>23.480884200934884</v>
      </c>
      <c r="U763" s="56">
        <f t="shared" ca="1" si="525"/>
        <v>23.480884200934884</v>
      </c>
    </row>
    <row r="764" spans="1:21" ht="18.75">
      <c r="A764" s="155"/>
      <c r="B764" s="188"/>
      <c r="C764" s="202"/>
      <c r="D764" s="174"/>
      <c r="E764" s="186" t="s">
        <v>159</v>
      </c>
      <c r="F764" s="50"/>
      <c r="G764" s="52"/>
      <c r="H764" s="189" t="s">
        <v>14</v>
      </c>
      <c r="I764" s="54"/>
      <c r="J764" s="54"/>
      <c r="K764" s="55"/>
      <c r="L764" s="59">
        <f ca="1">IFERROR(__xludf.DUMMYFUNCTION("IMPORTRANGE(""https://docs.google.com/spreadsheets/d/1yhBcrRPreicbMKl9Bu_Snb2-OcQAF62RKfhTLhJ2eAA/edit?usp=sharing"",""กาฬสินธุ์!L764"")+IMPORTRANGE(""https://docs.google.com/spreadsheets/d/1aHkj4IaQMThhwWwevcOymEh837vdxeC_PycurhTbGFA/edit?usp=sharing"","&amp;"""ขอนแก่น!L764"")+IMPORTRANGE(""https://docs.google.com/spreadsheets/d/1FvTu2DsIWUjP6WCWra38Bkj_oOl_sOMf14r5Fg5srxU/edit?usp=sharing"",""ชัยภูมิ!L764"")+IMPORTRANGE(""https://docs.google.com/spreadsheets/d/1XVB7oCJ3pr-vBUdflwPQ8Z2LlzhnCvZaaYjAfP-647E/edit"&amp;"?usp=sharing"",""นครพนม!L764"")+IMPORTRANGE(""https://docs.google.com/spreadsheets/d/1Mnpb-8PYAgn85W6KOTD40hc_Xc55CaLfHoGAbrZ8tls/edit?usp=sharing"",""นครราชสีมา!L764"")+IMPORTRANGE(""https://docs.google.com/spreadsheets/d/1xoDLGBv9CYbyosIhki0kTq6IpYNj-gp"&amp;"jxfobnaDiut0/edit?usp=sharing"",""บึงกาฬ!L764"")+IMPORTRANGE(""https://docs.google.com/spreadsheets/d/1MMPq-JyI6DSgQETxuSiXkesP-P7JHuemnE6QJIa-Nlw/edit?usp=sharing"",""บุรีรัมย์!L764"")+IMPORTRANGE(""https://docs.google.com/spreadsheets/d/1l6IZ8xUPgMrESzc"&amp;"TYwhA1k_tPjeQjJPTqlm8Gd9eU5g/edit?usp=sharing"",""มหาสารคาม!L764"")+IMPORTRANGE(""https://docs.google.com/spreadsheets/d/1uB74YLqNjWX6FObjekfB2NtSYigTQyR2rq9u4Ub2Sq4/edit?usp=sharing"",""มุกดาหาร!L764"")+IMPORTRANGE(""https://docs.google.com/spreadsheets/"&amp;"d/1NexK3geCPxCTO1fzNF8dPec7yZyUx3OaWkFBC9HsQOo/edit?usp=sharing"",""ยโสธร!L764"")+IMPORTRANGE(""https://docs.google.com/spreadsheets/d/1v_cJrbBlyqmnHPReHk44g9NrMRdENNlSy_E_c5M9fIg/edit?usp=sharing"",""ร้อยเอ็ด!L764"")+IMPORTRANGE(""https://docs.google.com"&amp;"/spreadsheets/d/1Ul4RCpCX66NxYADU1QpwAPjOmBzW64SsT11s1wzXw_c/edit?usp=sharing"",""เลย!L764"")+IMPORTRANGE(""https://docs.google.com/spreadsheets/d/1bRrNKwbHDVktQG10isr5vbWRtt5spIZPpkOSWgbT5ug/edit?usp=sharing"",""ศรีสะเกษ!L764"")+IMPORTRANGE(""https://doc"&amp;"s.google.com/spreadsheets/d/17P34_Ow5kFBfdQD0qspb2UuPX5zpi6WMrQzslghyvrI/edit?usp=sharing"",""สกลนคร!L764"")+IMPORTRANGE(""https://docs.google.com/spreadsheets/d/1yswqbM3-AEpThF3ZSUa1AcmHnmRTF1vlJ1CZGcJ8YuU/edit?usp=sharing"",""สุรินทร์!L764"")+IMPORTRANG"&amp;"E(""https://docs.google.com/spreadsheets/d/13JHU_EFbsQOUQ0JSQ3dWy1VTRosIWcDq6Nc99z2qzdc/edit?usp=sharing"",""หนองคาย!L764"")+IMPORTRANGE(""https://docs.google.com/spreadsheets/d/1Hx73zIEgVdDZZaYSTc46Dqv64atFhpr3GelxLbaIN8A/edit?usp=sharing"",""หนองบัวลำภู"&amp;"!L764"")+IMPORTRANGE(""https://docs.google.com/spreadsheets/d/1lFxr3ctmjFN90yc-xV6jrQ9Ty8BKYVBWnAZ15wcNIJc/edit?usp=sharing"",""อำนาจเจริญ!L764"")+IMPORTRANGE(""https://docs.google.com/spreadsheets/d/1gF7RJpRnL-1oyjyeWxs5SFWEH7y8ahOZsQlyp2A2e-A/edit?usp=s"&amp;"haring"",""อุดรธานี!L764"")+IMPORTRANGE(""https://docs.google.com/spreadsheets/d/1kfLP0j3INXRa8bTDpcEmoWewMBV61jlFlfzczfjWIgc/edit?usp=sharing"",""อุบลราชธานี!L764"")"),0)</f>
        <v>0</v>
      </c>
      <c r="M764" s="59">
        <f ca="1">IFERROR(__xludf.DUMMYFUNCTION("IMPORTRANGE(""https://docs.google.com/spreadsheets/d/1yhBcrRPreicbMKl9Bu_Snb2-OcQAF62RKfhTLhJ2eAA/edit?usp=sharing"",""กาฬสินธุ์!M764"")+IMPORTRANGE(""https://docs.google.com/spreadsheets/d/1aHkj4IaQMThhwWwevcOymEh837vdxeC_PycurhTbGFA/edit?usp=sharing"","&amp;"""ขอนแก่น!M764"")+IMPORTRANGE(""https://docs.google.com/spreadsheets/d/1FvTu2DsIWUjP6WCWra38Bkj_oOl_sOMf14r5Fg5srxU/edit?usp=sharing"",""ชัยภูมิ!M764"")+IMPORTRANGE(""https://docs.google.com/spreadsheets/d/1XVB7oCJ3pr-vBUdflwPQ8Z2LlzhnCvZaaYjAfP-647E/edit"&amp;"?usp=sharing"",""นครพนม!M764"")+IMPORTRANGE(""https://docs.google.com/spreadsheets/d/1Mnpb-8PYAgn85W6KOTD40hc_Xc55CaLfHoGAbrZ8tls/edit?usp=sharing"",""นครราชสีมา!M764"")+IMPORTRANGE(""https://docs.google.com/spreadsheets/d/1xoDLGBv9CYbyosIhki0kTq6IpYNj-gp"&amp;"jxfobnaDiut0/edit?usp=sharing"",""บึงกาฬ!M764"")+IMPORTRANGE(""https://docs.google.com/spreadsheets/d/1MMPq-JyI6DSgQETxuSiXkesP-P7JHuemnE6QJIa-Nlw/edit?usp=sharing"",""บุรีรัมย์!M764"")+IMPORTRANGE(""https://docs.google.com/spreadsheets/d/1l6IZ8xUPgMrESzc"&amp;"TYwhA1k_tPjeQjJPTqlm8Gd9eU5g/edit?usp=sharing"",""มหาสารคาม!M764"")+IMPORTRANGE(""https://docs.google.com/spreadsheets/d/1uB74YLqNjWX6FObjekfB2NtSYigTQyR2rq9u4Ub2Sq4/edit?usp=sharing"",""มุกดาหาร!M764"")+IMPORTRANGE(""https://docs.google.com/spreadsheets/"&amp;"d/1NexK3geCPxCTO1fzNF8dPec7yZyUx3OaWkFBC9HsQOo/edit?usp=sharing"",""ยโสธร!M764"")+IMPORTRANGE(""https://docs.google.com/spreadsheets/d/1v_cJrbBlyqmnHPReHk44g9NrMRdENNlSy_E_c5M9fIg/edit?usp=sharing"",""ร้อยเอ็ด!M764"")+IMPORTRANGE(""https://docs.google.com"&amp;"/spreadsheets/d/1Ul4RCpCX66NxYADU1QpwAPjOmBzW64SsT11s1wzXw_c/edit?usp=sharing"",""เลย!M764"")+IMPORTRANGE(""https://docs.google.com/spreadsheets/d/1bRrNKwbHDVktQG10isr5vbWRtt5spIZPpkOSWgbT5ug/edit?usp=sharing"",""ศรีสะเกษ!M764"")+IMPORTRANGE(""https://doc"&amp;"s.google.com/spreadsheets/d/17P34_Ow5kFBfdQD0qspb2UuPX5zpi6WMrQzslghyvrI/edit?usp=sharing"",""สกลนคร!M764"")+IMPORTRANGE(""https://docs.google.com/spreadsheets/d/1yswqbM3-AEpThF3ZSUa1AcmHnmRTF1vlJ1CZGcJ8YuU/edit?usp=sharing"",""สุรินทร์!M764"")+IMPORTRANG"&amp;"E(""https://docs.google.com/spreadsheets/d/13JHU_EFbsQOUQ0JSQ3dWy1VTRosIWcDq6Nc99z2qzdc/edit?usp=sharing"",""หนองคาย!M764"")+IMPORTRANGE(""https://docs.google.com/spreadsheets/d/1Hx73zIEgVdDZZaYSTc46Dqv64atFhpr3GelxLbaIN8A/edit?usp=sharing"",""หนองบัวลำภู"&amp;"!M764"")+IMPORTRANGE(""https://docs.google.com/spreadsheets/d/1lFxr3ctmjFN90yc-xV6jrQ9Ty8BKYVBWnAZ15wcNIJc/edit?usp=sharing"",""อำนาจเจริญ!M764"")+IMPORTRANGE(""https://docs.google.com/spreadsheets/d/1gF7RJpRnL-1oyjyeWxs5SFWEH7y8ahOZsQlyp2A2e-A/edit?usp=s"&amp;"haring"",""อุดรธานี!M764"")+IMPORTRANGE(""https://docs.google.com/spreadsheets/d/1kfLP0j3INXRa8bTDpcEmoWewMBV61jlFlfzczfjWIgc/edit?usp=sharing"",""อุบลราชธานี!M764"")"),0)</f>
        <v>0</v>
      </c>
      <c r="N764" s="59">
        <f ca="1">IFERROR(__xludf.DUMMYFUNCTION("IMPORTRANGE(""https://docs.google.com/spreadsheets/d/1yhBcrRPreicbMKl9Bu_Snb2-OcQAF62RKfhTLhJ2eAA/edit?usp=sharing"",""กาฬสินธุ์!N764"")+IMPORTRANGE(""https://docs.google.com/spreadsheets/d/1aHkj4IaQMThhwWwevcOymEh837vdxeC_PycurhTbGFA/edit?usp=sharing"","&amp;"""ขอนแก่น!N764"")+IMPORTRANGE(""https://docs.google.com/spreadsheets/d/1FvTu2DsIWUjP6WCWra38Bkj_oOl_sOMf14r5Fg5srxU/edit?usp=sharing"",""ชัยภูมิ!N764"")+IMPORTRANGE(""https://docs.google.com/spreadsheets/d/1XVB7oCJ3pr-vBUdflwPQ8Z2LlzhnCvZaaYjAfP-647E/edit"&amp;"?usp=sharing"",""นครพนม!N764"")+IMPORTRANGE(""https://docs.google.com/spreadsheets/d/1Mnpb-8PYAgn85W6KOTD40hc_Xc55CaLfHoGAbrZ8tls/edit?usp=sharing"",""นครราชสีมา!N764"")+IMPORTRANGE(""https://docs.google.com/spreadsheets/d/1xoDLGBv9CYbyosIhki0kTq6IpYNj-gp"&amp;"jxfobnaDiut0/edit?usp=sharing"",""บึงกาฬ!N764"")+IMPORTRANGE(""https://docs.google.com/spreadsheets/d/1MMPq-JyI6DSgQETxuSiXkesP-P7JHuemnE6QJIa-Nlw/edit?usp=sharing"",""บุรีรัมย์!N764"")+IMPORTRANGE(""https://docs.google.com/spreadsheets/d/1l6IZ8xUPgMrESzc"&amp;"TYwhA1k_tPjeQjJPTqlm8Gd9eU5g/edit?usp=sharing"",""มหาสารคาม!N764"")+IMPORTRANGE(""https://docs.google.com/spreadsheets/d/1uB74YLqNjWX6FObjekfB2NtSYigTQyR2rq9u4Ub2Sq4/edit?usp=sharing"",""มุกดาหาร!N764"")+IMPORTRANGE(""https://docs.google.com/spreadsheets/"&amp;"d/1NexK3geCPxCTO1fzNF8dPec7yZyUx3OaWkFBC9HsQOo/edit?usp=sharing"",""ยโสธร!N764"")+IMPORTRANGE(""https://docs.google.com/spreadsheets/d/1v_cJrbBlyqmnHPReHk44g9NrMRdENNlSy_E_c5M9fIg/edit?usp=sharing"",""ร้อยเอ็ด!N764"")+IMPORTRANGE(""https://docs.google.com"&amp;"/spreadsheets/d/1Ul4RCpCX66NxYADU1QpwAPjOmBzW64SsT11s1wzXw_c/edit?usp=sharing"",""เลย!N764"")+IMPORTRANGE(""https://docs.google.com/spreadsheets/d/1bRrNKwbHDVktQG10isr5vbWRtt5spIZPpkOSWgbT5ug/edit?usp=sharing"",""ศรีสะเกษ!N764"")+IMPORTRANGE(""https://doc"&amp;"s.google.com/spreadsheets/d/17P34_Ow5kFBfdQD0qspb2UuPX5zpi6WMrQzslghyvrI/edit?usp=sharing"",""สกลนคร!N764"")+IMPORTRANGE(""https://docs.google.com/spreadsheets/d/1yswqbM3-AEpThF3ZSUa1AcmHnmRTF1vlJ1CZGcJ8YuU/edit?usp=sharing"",""สุรินทร์!N764"")+IMPORTRANG"&amp;"E(""https://docs.google.com/spreadsheets/d/13JHU_EFbsQOUQ0JSQ3dWy1VTRosIWcDq6Nc99z2qzdc/edit?usp=sharing"",""หนองคาย!N764"")+IMPORTRANGE(""https://docs.google.com/spreadsheets/d/1Hx73zIEgVdDZZaYSTc46Dqv64atFhpr3GelxLbaIN8A/edit?usp=sharing"",""หนองบัวลำภู"&amp;"!N764"")+IMPORTRANGE(""https://docs.google.com/spreadsheets/d/1lFxr3ctmjFN90yc-xV6jrQ9Ty8BKYVBWnAZ15wcNIJc/edit?usp=sharing"",""อำนาจเจริญ!N764"")+IMPORTRANGE(""https://docs.google.com/spreadsheets/d/1gF7RJpRnL-1oyjyeWxs5SFWEH7y8ahOZsQlyp2A2e-A/edit?usp=s"&amp;"haring"",""อุดรธานี!N764"")+IMPORTRANGE(""https://docs.google.com/spreadsheets/d/1kfLP0j3INXRa8bTDpcEmoWewMBV61jlFlfzczfjWIgc/edit?usp=sharing"",""อุบลราชธานี!N764"")"),0)</f>
        <v>0</v>
      </c>
      <c r="O764" s="59">
        <f t="shared" ca="1" si="521"/>
        <v>0</v>
      </c>
      <c r="P764" s="59">
        <f t="shared" ca="1" si="522"/>
        <v>0</v>
      </c>
      <c r="Q764" s="59">
        <f ca="1">IFERROR(__xludf.DUMMYFUNCTION("IMPORTRANGE(""https://docs.google.com/spreadsheets/d/1yhBcrRPreicbMKl9Bu_Snb2-OcQAF62RKfhTLhJ2eAA/edit?usp=sharing"",""กาฬสินธุ์!Q764"")+IMPORTRANGE(""https://docs.google.com/spreadsheets/d/1aHkj4IaQMThhwWwevcOymEh837vdxeC_PycurhTbGFA/edit?usp=sharing"","&amp;"""ขอนแก่น!Q764"")+IMPORTRANGE(""https://docs.google.com/spreadsheets/d/1FvTu2DsIWUjP6WCWra38Bkj_oOl_sOMf14r5Fg5srxU/edit?usp=sharing"",""ชัยภูมิ!Q764"")+IMPORTRANGE(""https://docs.google.com/spreadsheets/d/1XVB7oCJ3pr-vBUdflwPQ8Z2LlzhnCvZaaYjAfP-647E/edit"&amp;"?usp=sharing"",""นครพนม!Q764"")+IMPORTRANGE(""https://docs.google.com/spreadsheets/d/1Mnpb-8PYAgn85W6KOTD40hc_Xc55CaLfHoGAbrZ8tls/edit?usp=sharing"",""นครราชสีมา!Q764"")+IMPORTRANGE(""https://docs.google.com/spreadsheets/d/1xoDLGBv9CYbyosIhki0kTq6IpYNj-gp"&amp;"jxfobnaDiut0/edit?usp=sharing"",""บึงกาฬ!Q764"")+IMPORTRANGE(""https://docs.google.com/spreadsheets/d/1MMPq-JyI6DSgQETxuSiXkesP-P7JHuemnE6QJIa-Nlw/edit?usp=sharing"",""บุรีรัมย์!Q764"")+IMPORTRANGE(""https://docs.google.com/spreadsheets/d/1l6IZ8xUPgMrESzc"&amp;"TYwhA1k_tPjeQjJPTqlm8Gd9eU5g/edit?usp=sharing"",""มหาสารคาม!Q764"")+IMPORTRANGE(""https://docs.google.com/spreadsheets/d/1uB74YLqNjWX6FObjekfB2NtSYigTQyR2rq9u4Ub2Sq4/edit?usp=sharing"",""มุกดาหาร!Q764"")+IMPORTRANGE(""https://docs.google.com/spreadsheets/"&amp;"d/1NexK3geCPxCTO1fzNF8dPec7yZyUx3OaWkFBC9HsQOo/edit?usp=sharing"",""ยโสธร!Q764"")+IMPORTRANGE(""https://docs.google.com/spreadsheets/d/1v_cJrbBlyqmnHPReHk44g9NrMRdENNlSy_E_c5M9fIg/edit?usp=sharing"",""ร้อยเอ็ด!Q764"")+IMPORTRANGE(""https://docs.google.com"&amp;"/spreadsheets/d/1Ul4RCpCX66NxYADU1QpwAPjOmBzW64SsT11s1wzXw_c/edit?usp=sharing"",""เลย!Q764"")+IMPORTRANGE(""https://docs.google.com/spreadsheets/d/1bRrNKwbHDVktQG10isr5vbWRtt5spIZPpkOSWgbT5ug/edit?usp=sharing"",""ศรีสะเกษ!Q764"")+IMPORTRANGE(""https://doc"&amp;"s.google.com/spreadsheets/d/17P34_Ow5kFBfdQD0qspb2UuPX5zpi6WMrQzslghyvrI/edit?usp=sharing"",""สกลนคร!Q764"")+IMPORTRANGE(""https://docs.google.com/spreadsheets/d/1yswqbM3-AEpThF3ZSUa1AcmHnmRTF1vlJ1CZGcJ8YuU/edit?usp=sharing"",""สุรินทร์!Q764"")+IMPORTRANG"&amp;"E(""https://docs.google.com/spreadsheets/d/13JHU_EFbsQOUQ0JSQ3dWy1VTRosIWcDq6Nc99z2qzdc/edit?usp=sharing"",""หนองคาย!Q764"")+IMPORTRANGE(""https://docs.google.com/spreadsheets/d/1Hx73zIEgVdDZZaYSTc46Dqv64atFhpr3GelxLbaIN8A/edit?usp=sharing"",""หนองบัวลำภู"&amp;"!Q764"")+IMPORTRANGE(""https://docs.google.com/spreadsheets/d/1lFxr3ctmjFN90yc-xV6jrQ9Ty8BKYVBWnAZ15wcNIJc/edit?usp=sharing"",""อำนาจเจริญ!Q764"")+IMPORTRANGE(""https://docs.google.com/spreadsheets/d/1gF7RJpRnL-1oyjyeWxs5SFWEH7y8ahOZsQlyp2A2e-A/edit?usp=s"&amp;"haring"",""อุดรธานี!Q764"")+IMPORTRANGE(""https://docs.google.com/spreadsheets/d/1kfLP0j3INXRa8bTDpcEmoWewMBV61jlFlfzczfjWIgc/edit?usp=sharing"",""อุบลราชธานี!Q764"")"),0)</f>
        <v>0</v>
      </c>
      <c r="R764" s="59">
        <f ca="1">IFERROR(__xludf.DUMMYFUNCTION("IMPORTRANGE(""https://docs.google.com/spreadsheets/d/1yhBcrRPreicbMKl9Bu_Snb2-OcQAF62RKfhTLhJ2eAA/edit?usp=sharing"",""กาฬสินธุ์!R764"")+IMPORTRANGE(""https://docs.google.com/spreadsheets/d/1aHkj4IaQMThhwWwevcOymEh837vdxeC_PycurhTbGFA/edit?usp=sharing"","&amp;"""ขอนแก่น!R764"")+IMPORTRANGE(""https://docs.google.com/spreadsheets/d/1FvTu2DsIWUjP6WCWra38Bkj_oOl_sOMf14r5Fg5srxU/edit?usp=sharing"",""ชัยภูมิ!R764"")+IMPORTRANGE(""https://docs.google.com/spreadsheets/d/1XVB7oCJ3pr-vBUdflwPQ8Z2LlzhnCvZaaYjAfP-647E/edit"&amp;"?usp=sharing"",""นครพนม!R764"")+IMPORTRANGE(""https://docs.google.com/spreadsheets/d/1Mnpb-8PYAgn85W6KOTD40hc_Xc55CaLfHoGAbrZ8tls/edit?usp=sharing"",""นครราชสีมา!R764"")+IMPORTRANGE(""https://docs.google.com/spreadsheets/d/1xoDLGBv9CYbyosIhki0kTq6IpYNj-gp"&amp;"jxfobnaDiut0/edit?usp=sharing"",""บึงกาฬ!R764"")+IMPORTRANGE(""https://docs.google.com/spreadsheets/d/1MMPq-JyI6DSgQETxuSiXkesP-P7JHuemnE6QJIa-Nlw/edit?usp=sharing"",""บุรีรัมย์!R764"")+IMPORTRANGE(""https://docs.google.com/spreadsheets/d/1l6IZ8xUPgMrESzc"&amp;"TYwhA1k_tPjeQjJPTqlm8Gd9eU5g/edit?usp=sharing"",""มหาสารคาม!R764"")+IMPORTRANGE(""https://docs.google.com/spreadsheets/d/1uB74YLqNjWX6FObjekfB2NtSYigTQyR2rq9u4Ub2Sq4/edit?usp=sharing"",""มุกดาหาร!R764"")+IMPORTRANGE(""https://docs.google.com/spreadsheets/"&amp;"d/1NexK3geCPxCTO1fzNF8dPec7yZyUx3OaWkFBC9HsQOo/edit?usp=sharing"",""ยโสธร!R764"")+IMPORTRANGE(""https://docs.google.com/spreadsheets/d/1v_cJrbBlyqmnHPReHk44g9NrMRdENNlSy_E_c5M9fIg/edit?usp=sharing"",""ร้อยเอ็ด!R764"")+IMPORTRANGE(""https://docs.google.com"&amp;"/spreadsheets/d/1Ul4RCpCX66NxYADU1QpwAPjOmBzW64SsT11s1wzXw_c/edit?usp=sharing"",""เลย!R764"")+IMPORTRANGE(""https://docs.google.com/spreadsheets/d/1bRrNKwbHDVktQG10isr5vbWRtt5spIZPpkOSWgbT5ug/edit?usp=sharing"",""ศรีสะเกษ!R764"")+IMPORTRANGE(""https://doc"&amp;"s.google.com/spreadsheets/d/17P34_Ow5kFBfdQD0qspb2UuPX5zpi6WMrQzslghyvrI/edit?usp=sharing"",""สกลนคร!R764"")+IMPORTRANGE(""https://docs.google.com/spreadsheets/d/1yswqbM3-AEpThF3ZSUa1AcmHnmRTF1vlJ1CZGcJ8YuU/edit?usp=sharing"",""สุรินทร์!R764"")+IMPORTRANG"&amp;"E(""https://docs.google.com/spreadsheets/d/13JHU_EFbsQOUQ0JSQ3dWy1VTRosIWcDq6Nc99z2qzdc/edit?usp=sharing"",""หนองคาย!R764"")+IMPORTRANGE(""https://docs.google.com/spreadsheets/d/1Hx73zIEgVdDZZaYSTc46Dqv64atFhpr3GelxLbaIN8A/edit?usp=sharing"",""หนองบัวลำภู"&amp;"!R764"")+IMPORTRANGE(""https://docs.google.com/spreadsheets/d/1lFxr3ctmjFN90yc-xV6jrQ9Ty8BKYVBWnAZ15wcNIJc/edit?usp=sharing"",""อำนาจเจริญ!R764"")+IMPORTRANGE(""https://docs.google.com/spreadsheets/d/1gF7RJpRnL-1oyjyeWxs5SFWEH7y8ahOZsQlyp2A2e-A/edit?usp=s"&amp;"haring"",""อุดรธานี!R764"")+IMPORTRANGE(""https://docs.google.com/spreadsheets/d/1kfLP0j3INXRa8bTDpcEmoWewMBV61jlFlfzczfjWIgc/edit?usp=sharing"",""อุบลราชธานี!R764"")"),0)</f>
        <v>0</v>
      </c>
      <c r="S764" s="60">
        <f ca="1">IFERROR(__xludf.DUMMYFUNCTION("IMPORTRANGE(""https://docs.google.com/spreadsheets/d/1yhBcrRPreicbMKl9Bu_Snb2-OcQAF62RKfhTLhJ2eAA/edit?usp=sharing"",""กาฬสินธุ์!S764"")+IMPORTRANGE(""https://docs.google.com/spreadsheets/d/1aHkj4IaQMThhwWwevcOymEh837vdxeC_PycurhTbGFA/edit?usp=sharing"","&amp;"""ขอนแก่น!S764"")+IMPORTRANGE(""https://docs.google.com/spreadsheets/d/1FvTu2DsIWUjP6WCWra38Bkj_oOl_sOMf14r5Fg5srxU/edit?usp=sharing"",""ชัยภูมิ!S764"")+IMPORTRANGE(""https://docs.google.com/spreadsheets/d/1XVB7oCJ3pr-vBUdflwPQ8Z2LlzhnCvZaaYjAfP-647E/edit"&amp;"?usp=sharing"",""นครพนม!S764"")+IMPORTRANGE(""https://docs.google.com/spreadsheets/d/1Mnpb-8PYAgn85W6KOTD40hc_Xc55CaLfHoGAbrZ8tls/edit?usp=sharing"",""นครราชสีมา!S764"")+IMPORTRANGE(""https://docs.google.com/spreadsheets/d/1xoDLGBv9CYbyosIhki0kTq6IpYNj-gp"&amp;"jxfobnaDiut0/edit?usp=sharing"",""บึงกาฬ!S764"")+IMPORTRANGE(""https://docs.google.com/spreadsheets/d/1MMPq-JyI6DSgQETxuSiXkesP-P7JHuemnE6QJIa-Nlw/edit?usp=sharing"",""บุรีรัมย์!S764"")+IMPORTRANGE(""https://docs.google.com/spreadsheets/d/1l6IZ8xUPgMrESzc"&amp;"TYwhA1k_tPjeQjJPTqlm8Gd9eU5g/edit?usp=sharing"",""มหาสารคาม!S764"")+IMPORTRANGE(""https://docs.google.com/spreadsheets/d/1uB74YLqNjWX6FObjekfB2NtSYigTQyR2rq9u4Ub2Sq4/edit?usp=sharing"",""มุกดาหาร!S764"")+IMPORTRANGE(""https://docs.google.com/spreadsheets/"&amp;"d/1NexK3geCPxCTO1fzNF8dPec7yZyUx3OaWkFBC9HsQOo/edit?usp=sharing"",""ยโสธร!S764"")+IMPORTRANGE(""https://docs.google.com/spreadsheets/d/1v_cJrbBlyqmnHPReHk44g9NrMRdENNlSy_E_c5M9fIg/edit?usp=sharing"",""ร้อยเอ็ด!S764"")+IMPORTRANGE(""https://docs.google.com"&amp;"/spreadsheets/d/1Ul4RCpCX66NxYADU1QpwAPjOmBzW64SsT11s1wzXw_c/edit?usp=sharing"",""เลย!S764"")+IMPORTRANGE(""https://docs.google.com/spreadsheets/d/1bRrNKwbHDVktQG10isr5vbWRtt5spIZPpkOSWgbT5ug/edit?usp=sharing"",""ศรีสะเกษ!S764"")+IMPORTRANGE(""https://doc"&amp;"s.google.com/spreadsheets/d/17P34_Ow5kFBfdQD0qspb2UuPX5zpi6WMrQzslghyvrI/edit?usp=sharing"",""สกลนคร!S764"")+IMPORTRANGE(""https://docs.google.com/spreadsheets/d/1yswqbM3-AEpThF3ZSUa1AcmHnmRTF1vlJ1CZGcJ8YuU/edit?usp=sharing"",""สุรินทร์!S764"")+IMPORTRANG"&amp;"E(""https://docs.google.com/spreadsheets/d/13JHU_EFbsQOUQ0JSQ3dWy1VTRosIWcDq6Nc99z2qzdc/edit?usp=sharing"",""หนองคาย!S764"")+IMPORTRANGE(""https://docs.google.com/spreadsheets/d/1Hx73zIEgVdDZZaYSTc46Dqv64atFhpr3GelxLbaIN8A/edit?usp=sharing"",""หนองบัวลำภู"&amp;"!S764"")+IMPORTRANGE(""https://docs.google.com/spreadsheets/d/1lFxr3ctmjFN90yc-xV6jrQ9Ty8BKYVBWnAZ15wcNIJc/edit?usp=sharing"",""อำนาจเจริญ!S764"")+IMPORTRANGE(""https://docs.google.com/spreadsheets/d/1gF7RJpRnL-1oyjyeWxs5SFWEH7y8ahOZsQlyp2A2e-A/edit?usp=s"&amp;"haring"",""อุดรธานี!S764"")+IMPORTRANGE(""https://docs.google.com/spreadsheets/d/1kfLP0j3INXRa8bTDpcEmoWewMBV61jlFlfzczfjWIgc/edit?usp=sharing"",""อุบลราชธานี!S764"")"),0)</f>
        <v>0</v>
      </c>
      <c r="T764" s="59">
        <f t="shared" ca="1" si="524"/>
        <v>0</v>
      </c>
      <c r="U764" s="59">
        <f t="shared" ca="1" si="525"/>
        <v>0</v>
      </c>
    </row>
    <row r="765" spans="1:21" ht="18.75">
      <c r="A765" s="155"/>
      <c r="B765" s="188"/>
      <c r="C765" s="202"/>
      <c r="D765" s="174"/>
      <c r="E765" s="58" t="s">
        <v>160</v>
      </c>
      <c r="F765" s="50"/>
      <c r="G765" s="52"/>
      <c r="H765" s="162" t="s">
        <v>14</v>
      </c>
      <c r="I765" s="54"/>
      <c r="J765" s="54"/>
      <c r="K765" s="55"/>
      <c r="L765" s="56">
        <f ca="1">IFERROR(__xludf.DUMMYFUNCTION("IMPORTRANGE(""https://docs.google.com/spreadsheets/d/1yhBcrRPreicbMKl9Bu_Snb2-OcQAF62RKfhTLhJ2eAA/edit?usp=sharing"",""กาฬสินธุ์!L765"")+IMPORTRANGE(""https://docs.google.com/spreadsheets/d/1aHkj4IaQMThhwWwevcOymEh837vdxeC_PycurhTbGFA/edit?usp=sharing"","&amp;"""ขอนแก่น!L765"")+IMPORTRANGE(""https://docs.google.com/spreadsheets/d/1FvTu2DsIWUjP6WCWra38Bkj_oOl_sOMf14r5Fg5srxU/edit?usp=sharing"",""ชัยภูมิ!L765"")+IMPORTRANGE(""https://docs.google.com/spreadsheets/d/1XVB7oCJ3pr-vBUdflwPQ8Z2LlzhnCvZaaYjAfP-647E/edit"&amp;"?usp=sharing"",""นครพนม!L765"")+IMPORTRANGE(""https://docs.google.com/spreadsheets/d/1Mnpb-8PYAgn85W6KOTD40hc_Xc55CaLfHoGAbrZ8tls/edit?usp=sharing"",""นครราชสีมา!L765"")+IMPORTRANGE(""https://docs.google.com/spreadsheets/d/1xoDLGBv9CYbyosIhki0kTq6IpYNj-gp"&amp;"jxfobnaDiut0/edit?usp=sharing"",""บึงกาฬ!L765"")+IMPORTRANGE(""https://docs.google.com/spreadsheets/d/1MMPq-JyI6DSgQETxuSiXkesP-P7JHuemnE6QJIa-Nlw/edit?usp=sharing"",""บุรีรัมย์!L765"")+IMPORTRANGE(""https://docs.google.com/spreadsheets/d/1l6IZ8xUPgMrESzc"&amp;"TYwhA1k_tPjeQjJPTqlm8Gd9eU5g/edit?usp=sharing"",""มหาสารคาม!L765"")+IMPORTRANGE(""https://docs.google.com/spreadsheets/d/1uB74YLqNjWX6FObjekfB2NtSYigTQyR2rq9u4Ub2Sq4/edit?usp=sharing"",""มุกดาหาร!L765"")+IMPORTRANGE(""https://docs.google.com/spreadsheets/"&amp;"d/1NexK3geCPxCTO1fzNF8dPec7yZyUx3OaWkFBC9HsQOo/edit?usp=sharing"",""ยโสธร!L765"")+IMPORTRANGE(""https://docs.google.com/spreadsheets/d/1v_cJrbBlyqmnHPReHk44g9NrMRdENNlSy_E_c5M9fIg/edit?usp=sharing"",""ร้อยเอ็ด!L765"")+IMPORTRANGE(""https://docs.google.com"&amp;"/spreadsheets/d/1Ul4RCpCX66NxYADU1QpwAPjOmBzW64SsT11s1wzXw_c/edit?usp=sharing"",""เลย!L765"")+IMPORTRANGE(""https://docs.google.com/spreadsheets/d/1bRrNKwbHDVktQG10isr5vbWRtt5spIZPpkOSWgbT5ug/edit?usp=sharing"",""ศรีสะเกษ!L765"")+IMPORTRANGE(""https://doc"&amp;"s.google.com/spreadsheets/d/17P34_Ow5kFBfdQD0qspb2UuPX5zpi6WMrQzslghyvrI/edit?usp=sharing"",""สกลนคร!L765"")+IMPORTRANGE(""https://docs.google.com/spreadsheets/d/1yswqbM3-AEpThF3ZSUa1AcmHnmRTF1vlJ1CZGcJ8YuU/edit?usp=sharing"",""สุรินทร์!L765"")+IMPORTRANG"&amp;"E(""https://docs.google.com/spreadsheets/d/13JHU_EFbsQOUQ0JSQ3dWy1VTRosIWcDq6Nc99z2qzdc/edit?usp=sharing"",""หนองคาย!L765"")+IMPORTRANGE(""https://docs.google.com/spreadsheets/d/1Hx73zIEgVdDZZaYSTc46Dqv64atFhpr3GelxLbaIN8A/edit?usp=sharing"",""หนองบัวลำภู"&amp;"!L765"")+IMPORTRANGE(""https://docs.google.com/spreadsheets/d/1lFxr3ctmjFN90yc-xV6jrQ9Ty8BKYVBWnAZ15wcNIJc/edit?usp=sharing"",""อำนาจเจริญ!L765"")+IMPORTRANGE(""https://docs.google.com/spreadsheets/d/1gF7RJpRnL-1oyjyeWxs5SFWEH7y8ahOZsQlyp2A2e-A/edit?usp=s"&amp;"haring"",""อุดรธานี!L765"")+IMPORTRANGE(""https://docs.google.com/spreadsheets/d/1kfLP0j3INXRa8bTDpcEmoWewMBV61jlFlfzczfjWIgc/edit?usp=sharing"",""อุบลราชธานี!L765"")"),0)</f>
        <v>0</v>
      </c>
      <c r="M765" s="56">
        <f ca="1">IFERROR(__xludf.DUMMYFUNCTION("IMPORTRANGE(""https://docs.google.com/spreadsheets/d/1yhBcrRPreicbMKl9Bu_Snb2-OcQAF62RKfhTLhJ2eAA/edit?usp=sharing"",""กาฬสินธุ์!M765"")+IMPORTRANGE(""https://docs.google.com/spreadsheets/d/1aHkj4IaQMThhwWwevcOymEh837vdxeC_PycurhTbGFA/edit?usp=sharing"","&amp;"""ขอนแก่น!M765"")+IMPORTRANGE(""https://docs.google.com/spreadsheets/d/1FvTu2DsIWUjP6WCWra38Bkj_oOl_sOMf14r5Fg5srxU/edit?usp=sharing"",""ชัยภูมิ!M765"")+IMPORTRANGE(""https://docs.google.com/spreadsheets/d/1XVB7oCJ3pr-vBUdflwPQ8Z2LlzhnCvZaaYjAfP-647E/edit"&amp;"?usp=sharing"",""นครพนม!M765"")+IMPORTRANGE(""https://docs.google.com/spreadsheets/d/1Mnpb-8PYAgn85W6KOTD40hc_Xc55CaLfHoGAbrZ8tls/edit?usp=sharing"",""นครราชสีมา!M765"")+IMPORTRANGE(""https://docs.google.com/spreadsheets/d/1xoDLGBv9CYbyosIhki0kTq6IpYNj-gp"&amp;"jxfobnaDiut0/edit?usp=sharing"",""บึงกาฬ!M765"")+IMPORTRANGE(""https://docs.google.com/spreadsheets/d/1MMPq-JyI6DSgQETxuSiXkesP-P7JHuemnE6QJIa-Nlw/edit?usp=sharing"",""บุรีรัมย์!M765"")+IMPORTRANGE(""https://docs.google.com/spreadsheets/d/1l6IZ8xUPgMrESzc"&amp;"TYwhA1k_tPjeQjJPTqlm8Gd9eU5g/edit?usp=sharing"",""มหาสารคาม!M765"")+IMPORTRANGE(""https://docs.google.com/spreadsheets/d/1uB74YLqNjWX6FObjekfB2NtSYigTQyR2rq9u4Ub2Sq4/edit?usp=sharing"",""มุกดาหาร!M765"")+IMPORTRANGE(""https://docs.google.com/spreadsheets/"&amp;"d/1NexK3geCPxCTO1fzNF8dPec7yZyUx3OaWkFBC9HsQOo/edit?usp=sharing"",""ยโสธร!M765"")+IMPORTRANGE(""https://docs.google.com/spreadsheets/d/1v_cJrbBlyqmnHPReHk44g9NrMRdENNlSy_E_c5M9fIg/edit?usp=sharing"",""ร้อยเอ็ด!M765"")+IMPORTRANGE(""https://docs.google.com"&amp;"/spreadsheets/d/1Ul4RCpCX66NxYADU1QpwAPjOmBzW64SsT11s1wzXw_c/edit?usp=sharing"",""เลย!M765"")+IMPORTRANGE(""https://docs.google.com/spreadsheets/d/1bRrNKwbHDVktQG10isr5vbWRtt5spIZPpkOSWgbT5ug/edit?usp=sharing"",""ศรีสะเกษ!M765"")+IMPORTRANGE(""https://doc"&amp;"s.google.com/spreadsheets/d/17P34_Ow5kFBfdQD0qspb2UuPX5zpi6WMrQzslghyvrI/edit?usp=sharing"",""สกลนคร!M765"")+IMPORTRANGE(""https://docs.google.com/spreadsheets/d/1yswqbM3-AEpThF3ZSUa1AcmHnmRTF1vlJ1CZGcJ8YuU/edit?usp=sharing"",""สุรินทร์!M765"")+IMPORTRANG"&amp;"E(""https://docs.google.com/spreadsheets/d/13JHU_EFbsQOUQ0JSQ3dWy1VTRosIWcDq6Nc99z2qzdc/edit?usp=sharing"",""หนองคาย!M765"")+IMPORTRANGE(""https://docs.google.com/spreadsheets/d/1Hx73zIEgVdDZZaYSTc46Dqv64atFhpr3GelxLbaIN8A/edit?usp=sharing"",""หนองบัวลำภู"&amp;"!M765"")+IMPORTRANGE(""https://docs.google.com/spreadsheets/d/1lFxr3ctmjFN90yc-xV6jrQ9Ty8BKYVBWnAZ15wcNIJc/edit?usp=sharing"",""อำนาจเจริญ!M765"")+IMPORTRANGE(""https://docs.google.com/spreadsheets/d/1gF7RJpRnL-1oyjyeWxs5SFWEH7y8ahOZsQlyp2A2e-A/edit?usp=s"&amp;"haring"",""อุดรธานี!M765"")+IMPORTRANGE(""https://docs.google.com/spreadsheets/d/1kfLP0j3INXRa8bTDpcEmoWewMBV61jlFlfzczfjWIgc/edit?usp=sharing"",""อุบลราชธานี!M765"")"),0)</f>
        <v>0</v>
      </c>
      <c r="N765" s="56">
        <f ca="1">IFERROR(__xludf.DUMMYFUNCTION("IMPORTRANGE(""https://docs.google.com/spreadsheets/d/1yhBcrRPreicbMKl9Bu_Snb2-OcQAF62RKfhTLhJ2eAA/edit?usp=sharing"",""กาฬสินธุ์!N765"")+IMPORTRANGE(""https://docs.google.com/spreadsheets/d/1aHkj4IaQMThhwWwevcOymEh837vdxeC_PycurhTbGFA/edit?usp=sharing"","&amp;"""ขอนแก่น!N765"")+IMPORTRANGE(""https://docs.google.com/spreadsheets/d/1FvTu2DsIWUjP6WCWra38Bkj_oOl_sOMf14r5Fg5srxU/edit?usp=sharing"",""ชัยภูมิ!N765"")+IMPORTRANGE(""https://docs.google.com/spreadsheets/d/1XVB7oCJ3pr-vBUdflwPQ8Z2LlzhnCvZaaYjAfP-647E/edit"&amp;"?usp=sharing"",""นครพนม!N765"")+IMPORTRANGE(""https://docs.google.com/spreadsheets/d/1Mnpb-8PYAgn85W6KOTD40hc_Xc55CaLfHoGAbrZ8tls/edit?usp=sharing"",""นครราชสีมา!N765"")+IMPORTRANGE(""https://docs.google.com/spreadsheets/d/1xoDLGBv9CYbyosIhki0kTq6IpYNj-gp"&amp;"jxfobnaDiut0/edit?usp=sharing"",""บึงกาฬ!N765"")+IMPORTRANGE(""https://docs.google.com/spreadsheets/d/1MMPq-JyI6DSgQETxuSiXkesP-P7JHuemnE6QJIa-Nlw/edit?usp=sharing"",""บุรีรัมย์!N765"")+IMPORTRANGE(""https://docs.google.com/spreadsheets/d/1l6IZ8xUPgMrESzc"&amp;"TYwhA1k_tPjeQjJPTqlm8Gd9eU5g/edit?usp=sharing"",""มหาสารคาม!N765"")+IMPORTRANGE(""https://docs.google.com/spreadsheets/d/1uB74YLqNjWX6FObjekfB2NtSYigTQyR2rq9u4Ub2Sq4/edit?usp=sharing"",""มุกดาหาร!N765"")+IMPORTRANGE(""https://docs.google.com/spreadsheets/"&amp;"d/1NexK3geCPxCTO1fzNF8dPec7yZyUx3OaWkFBC9HsQOo/edit?usp=sharing"",""ยโสธร!N765"")+IMPORTRANGE(""https://docs.google.com/spreadsheets/d/1v_cJrbBlyqmnHPReHk44g9NrMRdENNlSy_E_c5M9fIg/edit?usp=sharing"",""ร้อยเอ็ด!N765"")+IMPORTRANGE(""https://docs.google.com"&amp;"/spreadsheets/d/1Ul4RCpCX66NxYADU1QpwAPjOmBzW64SsT11s1wzXw_c/edit?usp=sharing"",""เลย!N765"")+IMPORTRANGE(""https://docs.google.com/spreadsheets/d/1bRrNKwbHDVktQG10isr5vbWRtt5spIZPpkOSWgbT5ug/edit?usp=sharing"",""ศรีสะเกษ!N765"")+IMPORTRANGE(""https://doc"&amp;"s.google.com/spreadsheets/d/17P34_Ow5kFBfdQD0qspb2UuPX5zpi6WMrQzslghyvrI/edit?usp=sharing"",""สกลนคร!N765"")+IMPORTRANGE(""https://docs.google.com/spreadsheets/d/1yswqbM3-AEpThF3ZSUa1AcmHnmRTF1vlJ1CZGcJ8YuU/edit?usp=sharing"",""สุรินทร์!N765"")+IMPORTRANG"&amp;"E(""https://docs.google.com/spreadsheets/d/13JHU_EFbsQOUQ0JSQ3dWy1VTRosIWcDq6Nc99z2qzdc/edit?usp=sharing"",""หนองคาย!N765"")+IMPORTRANGE(""https://docs.google.com/spreadsheets/d/1Hx73zIEgVdDZZaYSTc46Dqv64atFhpr3GelxLbaIN8A/edit?usp=sharing"",""หนองบัวลำภู"&amp;"!N765"")+IMPORTRANGE(""https://docs.google.com/spreadsheets/d/1lFxr3ctmjFN90yc-xV6jrQ9Ty8BKYVBWnAZ15wcNIJc/edit?usp=sharing"",""อำนาจเจริญ!N765"")+IMPORTRANGE(""https://docs.google.com/spreadsheets/d/1gF7RJpRnL-1oyjyeWxs5SFWEH7y8ahOZsQlyp2A2e-A/edit?usp=s"&amp;"haring"",""อุดรธานี!N765"")+IMPORTRANGE(""https://docs.google.com/spreadsheets/d/1kfLP0j3INXRa8bTDpcEmoWewMBV61jlFlfzczfjWIgc/edit?usp=sharing"",""อุบลราชธานี!N765"")"),0)</f>
        <v>0</v>
      </c>
      <c r="O765" s="56">
        <f t="shared" ca="1" si="521"/>
        <v>0</v>
      </c>
      <c r="P765" s="56">
        <f t="shared" ca="1" si="522"/>
        <v>0</v>
      </c>
      <c r="Q765" s="56">
        <f ca="1">IFERROR(__xludf.DUMMYFUNCTION("IMPORTRANGE(""https://docs.google.com/spreadsheets/d/1yhBcrRPreicbMKl9Bu_Snb2-OcQAF62RKfhTLhJ2eAA/edit?usp=sharing"",""กาฬสินธุ์!Q765"")+IMPORTRANGE(""https://docs.google.com/spreadsheets/d/1aHkj4IaQMThhwWwevcOymEh837vdxeC_PycurhTbGFA/edit?usp=sharing"","&amp;"""ขอนแก่น!Q765"")+IMPORTRANGE(""https://docs.google.com/spreadsheets/d/1FvTu2DsIWUjP6WCWra38Bkj_oOl_sOMf14r5Fg5srxU/edit?usp=sharing"",""ชัยภูมิ!Q765"")+IMPORTRANGE(""https://docs.google.com/spreadsheets/d/1XVB7oCJ3pr-vBUdflwPQ8Z2LlzhnCvZaaYjAfP-647E/edit"&amp;"?usp=sharing"",""นครพนม!Q765"")+IMPORTRANGE(""https://docs.google.com/spreadsheets/d/1Mnpb-8PYAgn85W6KOTD40hc_Xc55CaLfHoGAbrZ8tls/edit?usp=sharing"",""นครราชสีมา!Q765"")+IMPORTRANGE(""https://docs.google.com/spreadsheets/d/1xoDLGBv9CYbyosIhki0kTq6IpYNj-gp"&amp;"jxfobnaDiut0/edit?usp=sharing"",""บึงกาฬ!Q765"")+IMPORTRANGE(""https://docs.google.com/spreadsheets/d/1MMPq-JyI6DSgQETxuSiXkesP-P7JHuemnE6QJIa-Nlw/edit?usp=sharing"",""บุรีรัมย์!Q765"")+IMPORTRANGE(""https://docs.google.com/spreadsheets/d/1l6IZ8xUPgMrESzc"&amp;"TYwhA1k_tPjeQjJPTqlm8Gd9eU5g/edit?usp=sharing"",""มหาสารคาม!Q765"")+IMPORTRANGE(""https://docs.google.com/spreadsheets/d/1uB74YLqNjWX6FObjekfB2NtSYigTQyR2rq9u4Ub2Sq4/edit?usp=sharing"",""มุกดาหาร!Q765"")+IMPORTRANGE(""https://docs.google.com/spreadsheets/"&amp;"d/1NexK3geCPxCTO1fzNF8dPec7yZyUx3OaWkFBC9HsQOo/edit?usp=sharing"",""ยโสธร!Q765"")+IMPORTRANGE(""https://docs.google.com/spreadsheets/d/1v_cJrbBlyqmnHPReHk44g9NrMRdENNlSy_E_c5M9fIg/edit?usp=sharing"",""ร้อยเอ็ด!Q765"")+IMPORTRANGE(""https://docs.google.com"&amp;"/spreadsheets/d/1Ul4RCpCX66NxYADU1QpwAPjOmBzW64SsT11s1wzXw_c/edit?usp=sharing"",""เลย!Q765"")+IMPORTRANGE(""https://docs.google.com/spreadsheets/d/1bRrNKwbHDVktQG10isr5vbWRtt5spIZPpkOSWgbT5ug/edit?usp=sharing"",""ศรีสะเกษ!Q765"")+IMPORTRANGE(""https://doc"&amp;"s.google.com/spreadsheets/d/17P34_Ow5kFBfdQD0qspb2UuPX5zpi6WMrQzslghyvrI/edit?usp=sharing"",""สกลนคร!Q765"")+IMPORTRANGE(""https://docs.google.com/spreadsheets/d/1yswqbM3-AEpThF3ZSUa1AcmHnmRTF1vlJ1CZGcJ8YuU/edit?usp=sharing"",""สุรินทร์!Q765"")+IMPORTRANG"&amp;"E(""https://docs.google.com/spreadsheets/d/13JHU_EFbsQOUQ0JSQ3dWy1VTRosIWcDq6Nc99z2qzdc/edit?usp=sharing"",""หนองคาย!Q765"")+IMPORTRANGE(""https://docs.google.com/spreadsheets/d/1Hx73zIEgVdDZZaYSTc46Dqv64atFhpr3GelxLbaIN8A/edit?usp=sharing"",""หนองบัวลำภู"&amp;"!Q765"")+IMPORTRANGE(""https://docs.google.com/spreadsheets/d/1lFxr3ctmjFN90yc-xV6jrQ9Ty8BKYVBWnAZ15wcNIJc/edit?usp=sharing"",""อำนาจเจริญ!Q765"")+IMPORTRANGE(""https://docs.google.com/spreadsheets/d/1gF7RJpRnL-1oyjyeWxs5SFWEH7y8ahOZsQlyp2A2e-A/edit?usp=s"&amp;"haring"",""อุดรธานี!Q765"")+IMPORTRANGE(""https://docs.google.com/spreadsheets/d/1kfLP0j3INXRa8bTDpcEmoWewMBV61jlFlfzczfjWIgc/edit?usp=sharing"",""อุบลราชธานี!Q765"")"),11984380)</f>
        <v>11984380</v>
      </c>
      <c r="R765" s="56">
        <f ca="1">IFERROR(__xludf.DUMMYFUNCTION("IMPORTRANGE(""https://docs.google.com/spreadsheets/d/1yhBcrRPreicbMKl9Bu_Snb2-OcQAF62RKfhTLhJ2eAA/edit?usp=sharing"",""กาฬสินธุ์!R765"")+IMPORTRANGE(""https://docs.google.com/spreadsheets/d/1aHkj4IaQMThhwWwevcOymEh837vdxeC_PycurhTbGFA/edit?usp=sharing"","&amp;"""ขอนแก่น!R765"")+IMPORTRANGE(""https://docs.google.com/spreadsheets/d/1FvTu2DsIWUjP6WCWra38Bkj_oOl_sOMf14r5Fg5srxU/edit?usp=sharing"",""ชัยภูมิ!R765"")+IMPORTRANGE(""https://docs.google.com/spreadsheets/d/1XVB7oCJ3pr-vBUdflwPQ8Z2LlzhnCvZaaYjAfP-647E/edit"&amp;"?usp=sharing"",""นครพนม!R765"")+IMPORTRANGE(""https://docs.google.com/spreadsheets/d/1Mnpb-8PYAgn85W6KOTD40hc_Xc55CaLfHoGAbrZ8tls/edit?usp=sharing"",""นครราชสีมา!R765"")+IMPORTRANGE(""https://docs.google.com/spreadsheets/d/1xoDLGBv9CYbyosIhki0kTq6IpYNj-gp"&amp;"jxfobnaDiut0/edit?usp=sharing"",""บึงกาฬ!R765"")+IMPORTRANGE(""https://docs.google.com/spreadsheets/d/1MMPq-JyI6DSgQETxuSiXkesP-P7JHuemnE6QJIa-Nlw/edit?usp=sharing"",""บุรีรัมย์!R765"")+IMPORTRANGE(""https://docs.google.com/spreadsheets/d/1l6IZ8xUPgMrESzc"&amp;"TYwhA1k_tPjeQjJPTqlm8Gd9eU5g/edit?usp=sharing"",""มหาสารคาม!R765"")+IMPORTRANGE(""https://docs.google.com/spreadsheets/d/1uB74YLqNjWX6FObjekfB2NtSYigTQyR2rq9u4Ub2Sq4/edit?usp=sharing"",""มุกดาหาร!R765"")+IMPORTRANGE(""https://docs.google.com/spreadsheets/"&amp;"d/1NexK3geCPxCTO1fzNF8dPec7yZyUx3OaWkFBC9HsQOo/edit?usp=sharing"",""ยโสธร!R765"")+IMPORTRANGE(""https://docs.google.com/spreadsheets/d/1v_cJrbBlyqmnHPReHk44g9NrMRdENNlSy_E_c5M9fIg/edit?usp=sharing"",""ร้อยเอ็ด!R765"")+IMPORTRANGE(""https://docs.google.com"&amp;"/spreadsheets/d/1Ul4RCpCX66NxYADU1QpwAPjOmBzW64SsT11s1wzXw_c/edit?usp=sharing"",""เลย!R765"")+IMPORTRANGE(""https://docs.google.com/spreadsheets/d/1bRrNKwbHDVktQG10isr5vbWRtt5spIZPpkOSWgbT5ug/edit?usp=sharing"",""ศรีสะเกษ!R765"")+IMPORTRANGE(""https://doc"&amp;"s.google.com/spreadsheets/d/17P34_Ow5kFBfdQD0qspb2UuPX5zpi6WMrQzslghyvrI/edit?usp=sharing"",""สกลนคร!R765"")+IMPORTRANGE(""https://docs.google.com/spreadsheets/d/1yswqbM3-AEpThF3ZSUa1AcmHnmRTF1vlJ1CZGcJ8YuU/edit?usp=sharing"",""สุรินทร์!R765"")+IMPORTRANG"&amp;"E(""https://docs.google.com/spreadsheets/d/13JHU_EFbsQOUQ0JSQ3dWy1VTRosIWcDq6Nc99z2qzdc/edit?usp=sharing"",""หนองคาย!R765"")+IMPORTRANGE(""https://docs.google.com/spreadsheets/d/1Hx73zIEgVdDZZaYSTc46Dqv64atFhpr3GelxLbaIN8A/edit?usp=sharing"",""หนองบัวลำภู"&amp;"!R765"")+IMPORTRANGE(""https://docs.google.com/spreadsheets/d/1lFxr3ctmjFN90yc-xV6jrQ9Ty8BKYVBWnAZ15wcNIJc/edit?usp=sharing"",""อำนาจเจริญ!R765"")+IMPORTRANGE(""https://docs.google.com/spreadsheets/d/1gF7RJpRnL-1oyjyeWxs5SFWEH7y8ahOZsQlyp2A2e-A/edit?usp=s"&amp;"haring"",""อุดรธานี!R765"")+IMPORTRANGE(""https://docs.google.com/spreadsheets/d/1kfLP0j3INXRa8bTDpcEmoWewMBV61jlFlfzczfjWIgc/edit?usp=sharing"",""อุบลราชธานี!R765"")"),11984380)</f>
        <v>11984380</v>
      </c>
      <c r="S765" s="57">
        <f ca="1">IFERROR(__xludf.DUMMYFUNCTION("IMPORTRANGE(""https://docs.google.com/spreadsheets/d/1yhBcrRPreicbMKl9Bu_Snb2-OcQAF62RKfhTLhJ2eAA/edit?usp=sharing"",""กาฬสินธุ์!S765"")+IMPORTRANGE(""https://docs.google.com/spreadsheets/d/1aHkj4IaQMThhwWwevcOymEh837vdxeC_PycurhTbGFA/edit?usp=sharing"","&amp;"""ขอนแก่น!S765"")+IMPORTRANGE(""https://docs.google.com/spreadsheets/d/1FvTu2DsIWUjP6WCWra38Bkj_oOl_sOMf14r5Fg5srxU/edit?usp=sharing"",""ชัยภูมิ!S765"")+IMPORTRANGE(""https://docs.google.com/spreadsheets/d/1XVB7oCJ3pr-vBUdflwPQ8Z2LlzhnCvZaaYjAfP-647E/edit"&amp;"?usp=sharing"",""นครพนม!S765"")+IMPORTRANGE(""https://docs.google.com/spreadsheets/d/1Mnpb-8PYAgn85W6KOTD40hc_Xc55CaLfHoGAbrZ8tls/edit?usp=sharing"",""นครราชสีมา!S765"")+IMPORTRANGE(""https://docs.google.com/spreadsheets/d/1xoDLGBv9CYbyosIhki0kTq6IpYNj-gp"&amp;"jxfobnaDiut0/edit?usp=sharing"",""บึงกาฬ!S765"")+IMPORTRANGE(""https://docs.google.com/spreadsheets/d/1MMPq-JyI6DSgQETxuSiXkesP-P7JHuemnE6QJIa-Nlw/edit?usp=sharing"",""บุรีรัมย์!S765"")+IMPORTRANGE(""https://docs.google.com/spreadsheets/d/1l6IZ8xUPgMrESzc"&amp;"TYwhA1k_tPjeQjJPTqlm8Gd9eU5g/edit?usp=sharing"",""มหาสารคาม!S765"")+IMPORTRANGE(""https://docs.google.com/spreadsheets/d/1uB74YLqNjWX6FObjekfB2NtSYigTQyR2rq9u4Ub2Sq4/edit?usp=sharing"",""มุกดาหาร!S765"")+IMPORTRANGE(""https://docs.google.com/spreadsheets/"&amp;"d/1NexK3geCPxCTO1fzNF8dPec7yZyUx3OaWkFBC9HsQOo/edit?usp=sharing"",""ยโสธร!S765"")+IMPORTRANGE(""https://docs.google.com/spreadsheets/d/1v_cJrbBlyqmnHPReHk44g9NrMRdENNlSy_E_c5M9fIg/edit?usp=sharing"",""ร้อยเอ็ด!S765"")+IMPORTRANGE(""https://docs.google.com"&amp;"/spreadsheets/d/1Ul4RCpCX66NxYADU1QpwAPjOmBzW64SsT11s1wzXw_c/edit?usp=sharing"",""เลย!S765"")+IMPORTRANGE(""https://docs.google.com/spreadsheets/d/1bRrNKwbHDVktQG10isr5vbWRtt5spIZPpkOSWgbT5ug/edit?usp=sharing"",""ศรีสะเกษ!S765"")+IMPORTRANGE(""https://doc"&amp;"s.google.com/spreadsheets/d/17P34_Ow5kFBfdQD0qspb2UuPX5zpi6WMrQzslghyvrI/edit?usp=sharing"",""สกลนคร!S765"")+IMPORTRANGE(""https://docs.google.com/spreadsheets/d/1yswqbM3-AEpThF3ZSUa1AcmHnmRTF1vlJ1CZGcJ8YuU/edit?usp=sharing"",""สุรินทร์!S765"")+IMPORTRANG"&amp;"E(""https://docs.google.com/spreadsheets/d/13JHU_EFbsQOUQ0JSQ3dWy1VTRosIWcDq6Nc99z2qzdc/edit?usp=sharing"",""หนองคาย!S765"")+IMPORTRANGE(""https://docs.google.com/spreadsheets/d/1Hx73zIEgVdDZZaYSTc46Dqv64atFhpr3GelxLbaIN8A/edit?usp=sharing"",""หนองบัวลำภู"&amp;"!S765"")+IMPORTRANGE(""https://docs.google.com/spreadsheets/d/1lFxr3ctmjFN90yc-xV6jrQ9Ty8BKYVBWnAZ15wcNIJc/edit?usp=sharing"",""อำนาจเจริญ!S765"")+IMPORTRANGE(""https://docs.google.com/spreadsheets/d/1gF7RJpRnL-1oyjyeWxs5SFWEH7y8ahOZsQlyp2A2e-A/edit?usp=s"&amp;"haring"",""อุดรธานี!S765"")+IMPORTRANGE(""https://docs.google.com/spreadsheets/d/1kfLP0j3INXRa8bTDpcEmoWewMBV61jlFlfzczfjWIgc/edit?usp=sharing"",""อุบลราชธานี!S765"")"),2814038.39)</f>
        <v>2814038.39</v>
      </c>
      <c r="T765" s="56">
        <f t="shared" ca="1" si="524"/>
        <v>23.480884200934884</v>
      </c>
      <c r="U765" s="56">
        <f t="shared" ca="1" si="525"/>
        <v>23.480884200934884</v>
      </c>
    </row>
    <row r="766" spans="1:21" ht="18.75">
      <c r="A766" s="155"/>
      <c r="B766" s="188"/>
      <c r="C766" s="188"/>
      <c r="D766" s="51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56">
        <f t="shared" ref="L766:N766" ca="1" si="532">L767+L768</f>
        <v>0</v>
      </c>
      <c r="M766" s="56">
        <f t="shared" ca="1" si="532"/>
        <v>0</v>
      </c>
      <c r="N766" s="56">
        <f t="shared" ca="1" si="532"/>
        <v>0</v>
      </c>
      <c r="O766" s="56">
        <f t="shared" ca="1" si="521"/>
        <v>0</v>
      </c>
      <c r="P766" s="56">
        <f t="shared" ca="1" si="522"/>
        <v>0</v>
      </c>
      <c r="Q766" s="56">
        <f t="shared" ref="Q766:S766" ca="1" si="533">Q767+Q768</f>
        <v>0</v>
      </c>
      <c r="R766" s="56">
        <f t="shared" ca="1" si="533"/>
        <v>0</v>
      </c>
      <c r="S766" s="57">
        <f t="shared" ca="1" si="533"/>
        <v>0</v>
      </c>
      <c r="T766" s="56">
        <f t="shared" ca="1" si="524"/>
        <v>0</v>
      </c>
      <c r="U766" s="56">
        <f t="shared" ca="1" si="525"/>
        <v>0</v>
      </c>
    </row>
    <row r="767" spans="1:21" ht="18.75">
      <c r="A767" s="155"/>
      <c r="B767" s="188"/>
      <c r="C767" s="188"/>
      <c r="D767" s="188"/>
      <c r="E767" s="358" t="s">
        <v>20</v>
      </c>
      <c r="F767" s="50"/>
      <c r="G767" s="52"/>
      <c r="H767" s="189" t="s">
        <v>14</v>
      </c>
      <c r="I767" s="163"/>
      <c r="J767" s="163"/>
      <c r="K767" s="164"/>
      <c r="L767" s="59">
        <f ca="1">IFERROR(__xludf.DUMMYFUNCTION("IMPORTRANGE(""https://docs.google.com/spreadsheets/d/1yhBcrRPreicbMKl9Bu_Snb2-OcQAF62RKfhTLhJ2eAA/edit?usp=sharing"",""กาฬสินธุ์!L767"")+IMPORTRANGE(""https://docs.google.com/spreadsheets/d/1aHkj4IaQMThhwWwevcOymEh837vdxeC_PycurhTbGFA/edit?usp=sharing"","&amp;"""ขอนแก่น!L767"")+IMPORTRANGE(""https://docs.google.com/spreadsheets/d/1FvTu2DsIWUjP6WCWra38Bkj_oOl_sOMf14r5Fg5srxU/edit?usp=sharing"",""ชัยภูมิ!L767"")+IMPORTRANGE(""https://docs.google.com/spreadsheets/d/1XVB7oCJ3pr-vBUdflwPQ8Z2LlzhnCvZaaYjAfP-647E/edit"&amp;"?usp=sharing"",""นครพนม!L767"")+IMPORTRANGE(""https://docs.google.com/spreadsheets/d/1Mnpb-8PYAgn85W6KOTD40hc_Xc55CaLfHoGAbrZ8tls/edit?usp=sharing"",""นครราชสีมา!L767"")+IMPORTRANGE(""https://docs.google.com/spreadsheets/d/1xoDLGBv9CYbyosIhki0kTq6IpYNj-gp"&amp;"jxfobnaDiut0/edit?usp=sharing"",""บึงกาฬ!L767"")+IMPORTRANGE(""https://docs.google.com/spreadsheets/d/1MMPq-JyI6DSgQETxuSiXkesP-P7JHuemnE6QJIa-Nlw/edit?usp=sharing"",""บุรีรัมย์!L767"")+IMPORTRANGE(""https://docs.google.com/spreadsheets/d/1l6IZ8xUPgMrESzc"&amp;"TYwhA1k_tPjeQjJPTqlm8Gd9eU5g/edit?usp=sharing"",""มหาสารคาม!L767"")+IMPORTRANGE(""https://docs.google.com/spreadsheets/d/1uB74YLqNjWX6FObjekfB2NtSYigTQyR2rq9u4Ub2Sq4/edit?usp=sharing"",""มุกดาหาร!L767"")+IMPORTRANGE(""https://docs.google.com/spreadsheets/"&amp;"d/1NexK3geCPxCTO1fzNF8dPec7yZyUx3OaWkFBC9HsQOo/edit?usp=sharing"",""ยโสธร!L767"")+IMPORTRANGE(""https://docs.google.com/spreadsheets/d/1v_cJrbBlyqmnHPReHk44g9NrMRdENNlSy_E_c5M9fIg/edit?usp=sharing"",""ร้อยเอ็ด!L767"")+IMPORTRANGE(""https://docs.google.com"&amp;"/spreadsheets/d/1Ul4RCpCX66NxYADU1QpwAPjOmBzW64SsT11s1wzXw_c/edit?usp=sharing"",""เลย!L767"")+IMPORTRANGE(""https://docs.google.com/spreadsheets/d/1bRrNKwbHDVktQG10isr5vbWRtt5spIZPpkOSWgbT5ug/edit?usp=sharing"",""ศรีสะเกษ!L767"")+IMPORTRANGE(""https://doc"&amp;"s.google.com/spreadsheets/d/17P34_Ow5kFBfdQD0qspb2UuPX5zpi6WMrQzslghyvrI/edit?usp=sharing"",""สกลนคร!L767"")+IMPORTRANGE(""https://docs.google.com/spreadsheets/d/1yswqbM3-AEpThF3ZSUa1AcmHnmRTF1vlJ1CZGcJ8YuU/edit?usp=sharing"",""สุรินทร์!L767"")+IMPORTRANG"&amp;"E(""https://docs.google.com/spreadsheets/d/13JHU_EFbsQOUQ0JSQ3dWy1VTRosIWcDq6Nc99z2qzdc/edit?usp=sharing"",""หนองคาย!L767"")+IMPORTRANGE(""https://docs.google.com/spreadsheets/d/1Hx73zIEgVdDZZaYSTc46Dqv64atFhpr3GelxLbaIN8A/edit?usp=sharing"",""หนองบัวลำภู"&amp;"!L767"")+IMPORTRANGE(""https://docs.google.com/spreadsheets/d/1lFxr3ctmjFN90yc-xV6jrQ9Ty8BKYVBWnAZ15wcNIJc/edit?usp=sharing"",""อำนาจเจริญ!L767"")+IMPORTRANGE(""https://docs.google.com/spreadsheets/d/1gF7RJpRnL-1oyjyeWxs5SFWEH7y8ahOZsQlyp2A2e-A/edit?usp=s"&amp;"haring"",""อุดรธานี!L767"")+IMPORTRANGE(""https://docs.google.com/spreadsheets/d/1kfLP0j3INXRa8bTDpcEmoWewMBV61jlFlfzczfjWIgc/edit?usp=sharing"",""อุบลราชธานี!L767"")"),0)</f>
        <v>0</v>
      </c>
      <c r="M767" s="59">
        <f ca="1">IFERROR(__xludf.DUMMYFUNCTION("IMPORTRANGE(""https://docs.google.com/spreadsheets/d/1yhBcrRPreicbMKl9Bu_Snb2-OcQAF62RKfhTLhJ2eAA/edit?usp=sharing"",""กาฬสินธุ์!M767"")+IMPORTRANGE(""https://docs.google.com/spreadsheets/d/1aHkj4IaQMThhwWwevcOymEh837vdxeC_PycurhTbGFA/edit?usp=sharing"","&amp;"""ขอนแก่น!M767"")+IMPORTRANGE(""https://docs.google.com/spreadsheets/d/1FvTu2DsIWUjP6WCWra38Bkj_oOl_sOMf14r5Fg5srxU/edit?usp=sharing"",""ชัยภูมิ!M767"")+IMPORTRANGE(""https://docs.google.com/spreadsheets/d/1XVB7oCJ3pr-vBUdflwPQ8Z2LlzhnCvZaaYjAfP-647E/edit"&amp;"?usp=sharing"",""นครพนม!M767"")+IMPORTRANGE(""https://docs.google.com/spreadsheets/d/1Mnpb-8PYAgn85W6KOTD40hc_Xc55CaLfHoGAbrZ8tls/edit?usp=sharing"",""นครราชสีมา!M767"")+IMPORTRANGE(""https://docs.google.com/spreadsheets/d/1xoDLGBv9CYbyosIhki0kTq6IpYNj-gp"&amp;"jxfobnaDiut0/edit?usp=sharing"",""บึงกาฬ!M767"")+IMPORTRANGE(""https://docs.google.com/spreadsheets/d/1MMPq-JyI6DSgQETxuSiXkesP-P7JHuemnE6QJIa-Nlw/edit?usp=sharing"",""บุรีรัมย์!M767"")+IMPORTRANGE(""https://docs.google.com/spreadsheets/d/1l6IZ8xUPgMrESzc"&amp;"TYwhA1k_tPjeQjJPTqlm8Gd9eU5g/edit?usp=sharing"",""มหาสารคาม!M767"")+IMPORTRANGE(""https://docs.google.com/spreadsheets/d/1uB74YLqNjWX6FObjekfB2NtSYigTQyR2rq9u4Ub2Sq4/edit?usp=sharing"",""มุกดาหาร!M767"")+IMPORTRANGE(""https://docs.google.com/spreadsheets/"&amp;"d/1NexK3geCPxCTO1fzNF8dPec7yZyUx3OaWkFBC9HsQOo/edit?usp=sharing"",""ยโสธร!M767"")+IMPORTRANGE(""https://docs.google.com/spreadsheets/d/1v_cJrbBlyqmnHPReHk44g9NrMRdENNlSy_E_c5M9fIg/edit?usp=sharing"",""ร้อยเอ็ด!M767"")+IMPORTRANGE(""https://docs.google.com"&amp;"/spreadsheets/d/1Ul4RCpCX66NxYADU1QpwAPjOmBzW64SsT11s1wzXw_c/edit?usp=sharing"",""เลย!M767"")+IMPORTRANGE(""https://docs.google.com/spreadsheets/d/1bRrNKwbHDVktQG10isr5vbWRtt5spIZPpkOSWgbT5ug/edit?usp=sharing"",""ศรีสะเกษ!M767"")+IMPORTRANGE(""https://doc"&amp;"s.google.com/spreadsheets/d/17P34_Ow5kFBfdQD0qspb2UuPX5zpi6WMrQzslghyvrI/edit?usp=sharing"",""สกลนคร!M767"")+IMPORTRANGE(""https://docs.google.com/spreadsheets/d/1yswqbM3-AEpThF3ZSUa1AcmHnmRTF1vlJ1CZGcJ8YuU/edit?usp=sharing"",""สุรินทร์!M767"")+IMPORTRANG"&amp;"E(""https://docs.google.com/spreadsheets/d/13JHU_EFbsQOUQ0JSQ3dWy1VTRosIWcDq6Nc99z2qzdc/edit?usp=sharing"",""หนองคาย!M767"")+IMPORTRANGE(""https://docs.google.com/spreadsheets/d/1Hx73zIEgVdDZZaYSTc46Dqv64atFhpr3GelxLbaIN8A/edit?usp=sharing"",""หนองบัวลำภู"&amp;"!M767"")+IMPORTRANGE(""https://docs.google.com/spreadsheets/d/1lFxr3ctmjFN90yc-xV6jrQ9Ty8BKYVBWnAZ15wcNIJc/edit?usp=sharing"",""อำนาจเจริญ!M767"")+IMPORTRANGE(""https://docs.google.com/spreadsheets/d/1gF7RJpRnL-1oyjyeWxs5SFWEH7y8ahOZsQlyp2A2e-A/edit?usp=s"&amp;"haring"",""อุดรธานี!M767"")+IMPORTRANGE(""https://docs.google.com/spreadsheets/d/1kfLP0j3INXRa8bTDpcEmoWewMBV61jlFlfzczfjWIgc/edit?usp=sharing"",""อุบลราชธานี!M767"")"),0)</f>
        <v>0</v>
      </c>
      <c r="N767" s="59">
        <f ca="1">IFERROR(__xludf.DUMMYFUNCTION("IMPORTRANGE(""https://docs.google.com/spreadsheets/d/1yhBcrRPreicbMKl9Bu_Snb2-OcQAF62RKfhTLhJ2eAA/edit?usp=sharing"",""กาฬสินธุ์!N767"")+IMPORTRANGE(""https://docs.google.com/spreadsheets/d/1aHkj4IaQMThhwWwevcOymEh837vdxeC_PycurhTbGFA/edit?usp=sharing"","&amp;"""ขอนแก่น!N767"")+IMPORTRANGE(""https://docs.google.com/spreadsheets/d/1FvTu2DsIWUjP6WCWra38Bkj_oOl_sOMf14r5Fg5srxU/edit?usp=sharing"",""ชัยภูมิ!N767"")+IMPORTRANGE(""https://docs.google.com/spreadsheets/d/1XVB7oCJ3pr-vBUdflwPQ8Z2LlzhnCvZaaYjAfP-647E/edit"&amp;"?usp=sharing"",""นครพนม!N767"")+IMPORTRANGE(""https://docs.google.com/spreadsheets/d/1Mnpb-8PYAgn85W6KOTD40hc_Xc55CaLfHoGAbrZ8tls/edit?usp=sharing"",""นครราชสีมา!N767"")+IMPORTRANGE(""https://docs.google.com/spreadsheets/d/1xoDLGBv9CYbyosIhki0kTq6IpYNj-gp"&amp;"jxfobnaDiut0/edit?usp=sharing"",""บึงกาฬ!N767"")+IMPORTRANGE(""https://docs.google.com/spreadsheets/d/1MMPq-JyI6DSgQETxuSiXkesP-P7JHuemnE6QJIa-Nlw/edit?usp=sharing"",""บุรีรัมย์!N767"")+IMPORTRANGE(""https://docs.google.com/spreadsheets/d/1l6IZ8xUPgMrESzc"&amp;"TYwhA1k_tPjeQjJPTqlm8Gd9eU5g/edit?usp=sharing"",""มหาสารคาม!N767"")+IMPORTRANGE(""https://docs.google.com/spreadsheets/d/1uB74YLqNjWX6FObjekfB2NtSYigTQyR2rq9u4Ub2Sq4/edit?usp=sharing"",""มุกดาหาร!N767"")+IMPORTRANGE(""https://docs.google.com/spreadsheets/"&amp;"d/1NexK3geCPxCTO1fzNF8dPec7yZyUx3OaWkFBC9HsQOo/edit?usp=sharing"",""ยโสธร!N767"")+IMPORTRANGE(""https://docs.google.com/spreadsheets/d/1v_cJrbBlyqmnHPReHk44g9NrMRdENNlSy_E_c5M9fIg/edit?usp=sharing"",""ร้อยเอ็ด!N767"")+IMPORTRANGE(""https://docs.google.com"&amp;"/spreadsheets/d/1Ul4RCpCX66NxYADU1QpwAPjOmBzW64SsT11s1wzXw_c/edit?usp=sharing"",""เลย!N767"")+IMPORTRANGE(""https://docs.google.com/spreadsheets/d/1bRrNKwbHDVktQG10isr5vbWRtt5spIZPpkOSWgbT5ug/edit?usp=sharing"",""ศรีสะเกษ!N767"")+IMPORTRANGE(""https://doc"&amp;"s.google.com/spreadsheets/d/17P34_Ow5kFBfdQD0qspb2UuPX5zpi6WMrQzslghyvrI/edit?usp=sharing"",""สกลนคร!N767"")+IMPORTRANGE(""https://docs.google.com/spreadsheets/d/1yswqbM3-AEpThF3ZSUa1AcmHnmRTF1vlJ1CZGcJ8YuU/edit?usp=sharing"",""สุรินทร์!N767"")+IMPORTRANG"&amp;"E(""https://docs.google.com/spreadsheets/d/13JHU_EFbsQOUQ0JSQ3dWy1VTRosIWcDq6Nc99z2qzdc/edit?usp=sharing"",""หนองคาย!N767"")+IMPORTRANGE(""https://docs.google.com/spreadsheets/d/1Hx73zIEgVdDZZaYSTc46Dqv64atFhpr3GelxLbaIN8A/edit?usp=sharing"",""หนองบัวลำภู"&amp;"!N767"")+IMPORTRANGE(""https://docs.google.com/spreadsheets/d/1lFxr3ctmjFN90yc-xV6jrQ9Ty8BKYVBWnAZ15wcNIJc/edit?usp=sharing"",""อำนาจเจริญ!N767"")+IMPORTRANGE(""https://docs.google.com/spreadsheets/d/1gF7RJpRnL-1oyjyeWxs5SFWEH7y8ahOZsQlyp2A2e-A/edit?usp=s"&amp;"haring"",""อุดรธานี!N767"")+IMPORTRANGE(""https://docs.google.com/spreadsheets/d/1kfLP0j3INXRa8bTDpcEmoWewMBV61jlFlfzczfjWIgc/edit?usp=sharing"",""อุบลราชธานี!N767"")"),0)</f>
        <v>0</v>
      </c>
      <c r="O767" s="59">
        <f t="shared" ca="1" si="521"/>
        <v>0</v>
      </c>
      <c r="P767" s="59">
        <f t="shared" ca="1" si="522"/>
        <v>0</v>
      </c>
      <c r="Q767" s="59">
        <f ca="1">IFERROR(__xludf.DUMMYFUNCTION("IMPORTRANGE(""https://docs.google.com/spreadsheets/d/1yhBcrRPreicbMKl9Bu_Snb2-OcQAF62RKfhTLhJ2eAA/edit?usp=sharing"",""กาฬสินธุ์!Q767"")+IMPORTRANGE(""https://docs.google.com/spreadsheets/d/1aHkj4IaQMThhwWwevcOymEh837vdxeC_PycurhTbGFA/edit?usp=sharing"","&amp;"""ขอนแก่น!Q767"")+IMPORTRANGE(""https://docs.google.com/spreadsheets/d/1FvTu2DsIWUjP6WCWra38Bkj_oOl_sOMf14r5Fg5srxU/edit?usp=sharing"",""ชัยภูมิ!Q767"")+IMPORTRANGE(""https://docs.google.com/spreadsheets/d/1XVB7oCJ3pr-vBUdflwPQ8Z2LlzhnCvZaaYjAfP-647E/edit"&amp;"?usp=sharing"",""นครพนม!Q767"")+IMPORTRANGE(""https://docs.google.com/spreadsheets/d/1Mnpb-8PYAgn85W6KOTD40hc_Xc55CaLfHoGAbrZ8tls/edit?usp=sharing"",""นครราชสีมา!Q767"")+IMPORTRANGE(""https://docs.google.com/spreadsheets/d/1xoDLGBv9CYbyosIhki0kTq6IpYNj-gp"&amp;"jxfobnaDiut0/edit?usp=sharing"",""บึงกาฬ!Q767"")+IMPORTRANGE(""https://docs.google.com/spreadsheets/d/1MMPq-JyI6DSgQETxuSiXkesP-P7JHuemnE6QJIa-Nlw/edit?usp=sharing"",""บุรีรัมย์!Q767"")+IMPORTRANGE(""https://docs.google.com/spreadsheets/d/1l6IZ8xUPgMrESzc"&amp;"TYwhA1k_tPjeQjJPTqlm8Gd9eU5g/edit?usp=sharing"",""มหาสารคาม!Q767"")+IMPORTRANGE(""https://docs.google.com/spreadsheets/d/1uB74YLqNjWX6FObjekfB2NtSYigTQyR2rq9u4Ub2Sq4/edit?usp=sharing"",""มุกดาหาร!Q767"")+IMPORTRANGE(""https://docs.google.com/spreadsheets/"&amp;"d/1NexK3geCPxCTO1fzNF8dPec7yZyUx3OaWkFBC9HsQOo/edit?usp=sharing"",""ยโสธร!Q767"")+IMPORTRANGE(""https://docs.google.com/spreadsheets/d/1v_cJrbBlyqmnHPReHk44g9NrMRdENNlSy_E_c5M9fIg/edit?usp=sharing"",""ร้อยเอ็ด!Q767"")+IMPORTRANGE(""https://docs.google.com"&amp;"/spreadsheets/d/1Ul4RCpCX66NxYADU1QpwAPjOmBzW64SsT11s1wzXw_c/edit?usp=sharing"",""เลย!Q767"")+IMPORTRANGE(""https://docs.google.com/spreadsheets/d/1bRrNKwbHDVktQG10isr5vbWRtt5spIZPpkOSWgbT5ug/edit?usp=sharing"",""ศรีสะเกษ!Q767"")+IMPORTRANGE(""https://doc"&amp;"s.google.com/spreadsheets/d/17P34_Ow5kFBfdQD0qspb2UuPX5zpi6WMrQzslghyvrI/edit?usp=sharing"",""สกลนคร!Q767"")+IMPORTRANGE(""https://docs.google.com/spreadsheets/d/1yswqbM3-AEpThF3ZSUa1AcmHnmRTF1vlJ1CZGcJ8YuU/edit?usp=sharing"",""สุรินทร์!Q767"")+IMPORTRANG"&amp;"E(""https://docs.google.com/spreadsheets/d/13JHU_EFbsQOUQ0JSQ3dWy1VTRosIWcDq6Nc99z2qzdc/edit?usp=sharing"",""หนองคาย!Q767"")+IMPORTRANGE(""https://docs.google.com/spreadsheets/d/1Hx73zIEgVdDZZaYSTc46Dqv64atFhpr3GelxLbaIN8A/edit?usp=sharing"",""หนองบัวลำภู"&amp;"!Q767"")+IMPORTRANGE(""https://docs.google.com/spreadsheets/d/1lFxr3ctmjFN90yc-xV6jrQ9Ty8BKYVBWnAZ15wcNIJc/edit?usp=sharing"",""อำนาจเจริญ!Q767"")+IMPORTRANGE(""https://docs.google.com/spreadsheets/d/1gF7RJpRnL-1oyjyeWxs5SFWEH7y8ahOZsQlyp2A2e-A/edit?usp=s"&amp;"haring"",""อุดรธานี!Q767"")+IMPORTRANGE(""https://docs.google.com/spreadsheets/d/1kfLP0j3INXRa8bTDpcEmoWewMBV61jlFlfzczfjWIgc/edit?usp=sharing"",""อุบลราชธานี!Q767"")"),0)</f>
        <v>0</v>
      </c>
      <c r="R767" s="59">
        <f ca="1">IFERROR(__xludf.DUMMYFUNCTION("IMPORTRANGE(""https://docs.google.com/spreadsheets/d/1yhBcrRPreicbMKl9Bu_Snb2-OcQAF62RKfhTLhJ2eAA/edit?usp=sharing"",""กาฬสินธุ์!R767"")+IMPORTRANGE(""https://docs.google.com/spreadsheets/d/1aHkj4IaQMThhwWwevcOymEh837vdxeC_PycurhTbGFA/edit?usp=sharing"","&amp;"""ขอนแก่น!R767"")+IMPORTRANGE(""https://docs.google.com/spreadsheets/d/1FvTu2DsIWUjP6WCWra38Bkj_oOl_sOMf14r5Fg5srxU/edit?usp=sharing"",""ชัยภูมิ!R767"")+IMPORTRANGE(""https://docs.google.com/spreadsheets/d/1XVB7oCJ3pr-vBUdflwPQ8Z2LlzhnCvZaaYjAfP-647E/edit"&amp;"?usp=sharing"",""นครพนม!R767"")+IMPORTRANGE(""https://docs.google.com/spreadsheets/d/1Mnpb-8PYAgn85W6KOTD40hc_Xc55CaLfHoGAbrZ8tls/edit?usp=sharing"",""นครราชสีมา!R767"")+IMPORTRANGE(""https://docs.google.com/spreadsheets/d/1xoDLGBv9CYbyosIhki0kTq6IpYNj-gp"&amp;"jxfobnaDiut0/edit?usp=sharing"",""บึงกาฬ!R767"")+IMPORTRANGE(""https://docs.google.com/spreadsheets/d/1MMPq-JyI6DSgQETxuSiXkesP-P7JHuemnE6QJIa-Nlw/edit?usp=sharing"",""บุรีรัมย์!R767"")+IMPORTRANGE(""https://docs.google.com/spreadsheets/d/1l6IZ8xUPgMrESzc"&amp;"TYwhA1k_tPjeQjJPTqlm8Gd9eU5g/edit?usp=sharing"",""มหาสารคาม!R767"")+IMPORTRANGE(""https://docs.google.com/spreadsheets/d/1uB74YLqNjWX6FObjekfB2NtSYigTQyR2rq9u4Ub2Sq4/edit?usp=sharing"",""มุกดาหาร!R767"")+IMPORTRANGE(""https://docs.google.com/spreadsheets/"&amp;"d/1NexK3geCPxCTO1fzNF8dPec7yZyUx3OaWkFBC9HsQOo/edit?usp=sharing"",""ยโสธร!R767"")+IMPORTRANGE(""https://docs.google.com/spreadsheets/d/1v_cJrbBlyqmnHPReHk44g9NrMRdENNlSy_E_c5M9fIg/edit?usp=sharing"",""ร้อยเอ็ด!R767"")+IMPORTRANGE(""https://docs.google.com"&amp;"/spreadsheets/d/1Ul4RCpCX66NxYADU1QpwAPjOmBzW64SsT11s1wzXw_c/edit?usp=sharing"",""เลย!R767"")+IMPORTRANGE(""https://docs.google.com/spreadsheets/d/1bRrNKwbHDVktQG10isr5vbWRtt5spIZPpkOSWgbT5ug/edit?usp=sharing"",""ศรีสะเกษ!R767"")+IMPORTRANGE(""https://doc"&amp;"s.google.com/spreadsheets/d/17P34_Ow5kFBfdQD0qspb2UuPX5zpi6WMrQzslghyvrI/edit?usp=sharing"",""สกลนคร!R767"")+IMPORTRANGE(""https://docs.google.com/spreadsheets/d/1yswqbM3-AEpThF3ZSUa1AcmHnmRTF1vlJ1CZGcJ8YuU/edit?usp=sharing"",""สุรินทร์!R767"")+IMPORTRANG"&amp;"E(""https://docs.google.com/spreadsheets/d/13JHU_EFbsQOUQ0JSQ3dWy1VTRosIWcDq6Nc99z2qzdc/edit?usp=sharing"",""หนองคาย!R767"")+IMPORTRANGE(""https://docs.google.com/spreadsheets/d/1Hx73zIEgVdDZZaYSTc46Dqv64atFhpr3GelxLbaIN8A/edit?usp=sharing"",""หนองบัวลำภู"&amp;"!R767"")+IMPORTRANGE(""https://docs.google.com/spreadsheets/d/1lFxr3ctmjFN90yc-xV6jrQ9Ty8BKYVBWnAZ15wcNIJc/edit?usp=sharing"",""อำนาจเจริญ!R767"")+IMPORTRANGE(""https://docs.google.com/spreadsheets/d/1gF7RJpRnL-1oyjyeWxs5SFWEH7y8ahOZsQlyp2A2e-A/edit?usp=s"&amp;"haring"",""อุดรธานี!R767"")+IMPORTRANGE(""https://docs.google.com/spreadsheets/d/1kfLP0j3INXRa8bTDpcEmoWewMBV61jlFlfzczfjWIgc/edit?usp=sharing"",""อุบลราชธานี!R767"")"),0)</f>
        <v>0</v>
      </c>
      <c r="S767" s="60">
        <f ca="1">IFERROR(__xludf.DUMMYFUNCTION("IMPORTRANGE(""https://docs.google.com/spreadsheets/d/1yhBcrRPreicbMKl9Bu_Snb2-OcQAF62RKfhTLhJ2eAA/edit?usp=sharing"",""กาฬสินธุ์!S767"")+IMPORTRANGE(""https://docs.google.com/spreadsheets/d/1aHkj4IaQMThhwWwevcOymEh837vdxeC_PycurhTbGFA/edit?usp=sharing"","&amp;"""ขอนแก่น!S767"")+IMPORTRANGE(""https://docs.google.com/spreadsheets/d/1FvTu2DsIWUjP6WCWra38Bkj_oOl_sOMf14r5Fg5srxU/edit?usp=sharing"",""ชัยภูมิ!S767"")+IMPORTRANGE(""https://docs.google.com/spreadsheets/d/1XVB7oCJ3pr-vBUdflwPQ8Z2LlzhnCvZaaYjAfP-647E/edit"&amp;"?usp=sharing"",""นครพนม!S767"")+IMPORTRANGE(""https://docs.google.com/spreadsheets/d/1Mnpb-8PYAgn85W6KOTD40hc_Xc55CaLfHoGAbrZ8tls/edit?usp=sharing"",""นครราชสีมา!S767"")+IMPORTRANGE(""https://docs.google.com/spreadsheets/d/1xoDLGBv9CYbyosIhki0kTq6IpYNj-gp"&amp;"jxfobnaDiut0/edit?usp=sharing"",""บึงกาฬ!S767"")+IMPORTRANGE(""https://docs.google.com/spreadsheets/d/1MMPq-JyI6DSgQETxuSiXkesP-P7JHuemnE6QJIa-Nlw/edit?usp=sharing"",""บุรีรัมย์!S767"")+IMPORTRANGE(""https://docs.google.com/spreadsheets/d/1l6IZ8xUPgMrESzc"&amp;"TYwhA1k_tPjeQjJPTqlm8Gd9eU5g/edit?usp=sharing"",""มหาสารคาม!S767"")+IMPORTRANGE(""https://docs.google.com/spreadsheets/d/1uB74YLqNjWX6FObjekfB2NtSYigTQyR2rq9u4Ub2Sq4/edit?usp=sharing"",""มุกดาหาร!S767"")+IMPORTRANGE(""https://docs.google.com/spreadsheets/"&amp;"d/1NexK3geCPxCTO1fzNF8dPec7yZyUx3OaWkFBC9HsQOo/edit?usp=sharing"",""ยโสธร!S767"")+IMPORTRANGE(""https://docs.google.com/spreadsheets/d/1v_cJrbBlyqmnHPReHk44g9NrMRdENNlSy_E_c5M9fIg/edit?usp=sharing"",""ร้อยเอ็ด!S767"")+IMPORTRANGE(""https://docs.google.com"&amp;"/spreadsheets/d/1Ul4RCpCX66NxYADU1QpwAPjOmBzW64SsT11s1wzXw_c/edit?usp=sharing"",""เลย!S767"")+IMPORTRANGE(""https://docs.google.com/spreadsheets/d/1bRrNKwbHDVktQG10isr5vbWRtt5spIZPpkOSWgbT5ug/edit?usp=sharing"",""ศรีสะเกษ!S767"")+IMPORTRANGE(""https://doc"&amp;"s.google.com/spreadsheets/d/17P34_Ow5kFBfdQD0qspb2UuPX5zpi6WMrQzslghyvrI/edit?usp=sharing"",""สกลนคร!S767"")+IMPORTRANGE(""https://docs.google.com/spreadsheets/d/1yswqbM3-AEpThF3ZSUa1AcmHnmRTF1vlJ1CZGcJ8YuU/edit?usp=sharing"",""สุรินทร์!S767"")+IMPORTRANG"&amp;"E(""https://docs.google.com/spreadsheets/d/13JHU_EFbsQOUQ0JSQ3dWy1VTRosIWcDq6Nc99z2qzdc/edit?usp=sharing"",""หนองคาย!S767"")+IMPORTRANGE(""https://docs.google.com/spreadsheets/d/1Hx73zIEgVdDZZaYSTc46Dqv64atFhpr3GelxLbaIN8A/edit?usp=sharing"",""หนองบัวลำภู"&amp;"!S767"")+IMPORTRANGE(""https://docs.google.com/spreadsheets/d/1lFxr3ctmjFN90yc-xV6jrQ9Ty8BKYVBWnAZ15wcNIJc/edit?usp=sharing"",""อำนาจเจริญ!S767"")+IMPORTRANGE(""https://docs.google.com/spreadsheets/d/1gF7RJpRnL-1oyjyeWxs5SFWEH7y8ahOZsQlyp2A2e-A/edit?usp=s"&amp;"haring"",""อุดรธานี!S767"")+IMPORTRANGE(""https://docs.google.com/spreadsheets/d/1kfLP0j3INXRa8bTDpcEmoWewMBV61jlFlfzczfjWIgc/edit?usp=sharing"",""อุบลราชธานี!S767"")"),0)</f>
        <v>0</v>
      </c>
      <c r="T767" s="59">
        <f t="shared" ca="1" si="524"/>
        <v>0</v>
      </c>
      <c r="U767" s="59">
        <f t="shared" ca="1" si="525"/>
        <v>0</v>
      </c>
    </row>
    <row r="768" spans="1:21" ht="18.75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56">
        <f ca="1">IFERROR(__xludf.DUMMYFUNCTION("IMPORTRANGE(""https://docs.google.com/spreadsheets/d/1yhBcrRPreicbMKl9Bu_Snb2-OcQAF62RKfhTLhJ2eAA/edit?usp=sharing"",""กาฬสินธุ์!L768"")+IMPORTRANGE(""https://docs.google.com/spreadsheets/d/1aHkj4IaQMThhwWwevcOymEh837vdxeC_PycurhTbGFA/edit?usp=sharing"","&amp;"""ขอนแก่น!L768"")+IMPORTRANGE(""https://docs.google.com/spreadsheets/d/1FvTu2DsIWUjP6WCWra38Bkj_oOl_sOMf14r5Fg5srxU/edit?usp=sharing"",""ชัยภูมิ!L768"")+IMPORTRANGE(""https://docs.google.com/spreadsheets/d/1XVB7oCJ3pr-vBUdflwPQ8Z2LlzhnCvZaaYjAfP-647E/edit"&amp;"?usp=sharing"",""นครพนม!L768"")+IMPORTRANGE(""https://docs.google.com/spreadsheets/d/1Mnpb-8PYAgn85W6KOTD40hc_Xc55CaLfHoGAbrZ8tls/edit?usp=sharing"",""นครราชสีมา!L768"")+IMPORTRANGE(""https://docs.google.com/spreadsheets/d/1xoDLGBv9CYbyosIhki0kTq6IpYNj-gp"&amp;"jxfobnaDiut0/edit?usp=sharing"",""บึงกาฬ!L768"")+IMPORTRANGE(""https://docs.google.com/spreadsheets/d/1MMPq-JyI6DSgQETxuSiXkesP-P7JHuemnE6QJIa-Nlw/edit?usp=sharing"",""บุรีรัมย์!L768"")+IMPORTRANGE(""https://docs.google.com/spreadsheets/d/1l6IZ8xUPgMrESzc"&amp;"TYwhA1k_tPjeQjJPTqlm8Gd9eU5g/edit?usp=sharing"",""มหาสารคาม!L768"")+IMPORTRANGE(""https://docs.google.com/spreadsheets/d/1uB74YLqNjWX6FObjekfB2NtSYigTQyR2rq9u4Ub2Sq4/edit?usp=sharing"",""มุกดาหาร!L768"")+IMPORTRANGE(""https://docs.google.com/spreadsheets/"&amp;"d/1NexK3geCPxCTO1fzNF8dPec7yZyUx3OaWkFBC9HsQOo/edit?usp=sharing"",""ยโสธร!L768"")+IMPORTRANGE(""https://docs.google.com/spreadsheets/d/1v_cJrbBlyqmnHPReHk44g9NrMRdENNlSy_E_c5M9fIg/edit?usp=sharing"",""ร้อยเอ็ด!L768"")+IMPORTRANGE(""https://docs.google.com"&amp;"/spreadsheets/d/1Ul4RCpCX66NxYADU1QpwAPjOmBzW64SsT11s1wzXw_c/edit?usp=sharing"",""เลย!L768"")+IMPORTRANGE(""https://docs.google.com/spreadsheets/d/1bRrNKwbHDVktQG10isr5vbWRtt5spIZPpkOSWgbT5ug/edit?usp=sharing"",""ศรีสะเกษ!L768"")+IMPORTRANGE(""https://doc"&amp;"s.google.com/spreadsheets/d/17P34_Ow5kFBfdQD0qspb2UuPX5zpi6WMrQzslghyvrI/edit?usp=sharing"",""สกลนคร!L768"")+IMPORTRANGE(""https://docs.google.com/spreadsheets/d/1yswqbM3-AEpThF3ZSUa1AcmHnmRTF1vlJ1CZGcJ8YuU/edit?usp=sharing"",""สุรินทร์!L768"")+IMPORTRANG"&amp;"E(""https://docs.google.com/spreadsheets/d/13JHU_EFbsQOUQ0JSQ3dWy1VTRosIWcDq6Nc99z2qzdc/edit?usp=sharing"",""หนองคาย!L768"")+IMPORTRANGE(""https://docs.google.com/spreadsheets/d/1Hx73zIEgVdDZZaYSTc46Dqv64atFhpr3GelxLbaIN8A/edit?usp=sharing"",""หนองบัวลำภู"&amp;"!L768"")+IMPORTRANGE(""https://docs.google.com/spreadsheets/d/1lFxr3ctmjFN90yc-xV6jrQ9Ty8BKYVBWnAZ15wcNIJc/edit?usp=sharing"",""อำนาจเจริญ!L768"")+IMPORTRANGE(""https://docs.google.com/spreadsheets/d/1gF7RJpRnL-1oyjyeWxs5SFWEH7y8ahOZsQlyp2A2e-A/edit?usp=s"&amp;"haring"",""อุดรธานี!L768"")+IMPORTRANGE(""https://docs.google.com/spreadsheets/d/1kfLP0j3INXRa8bTDpcEmoWewMBV61jlFlfzczfjWIgc/edit?usp=sharing"",""อุบลราชธานี!L768"")"),0)</f>
        <v>0</v>
      </c>
      <c r="M768" s="56">
        <f ca="1">IFERROR(__xludf.DUMMYFUNCTION("IMPORTRANGE(""https://docs.google.com/spreadsheets/d/1yhBcrRPreicbMKl9Bu_Snb2-OcQAF62RKfhTLhJ2eAA/edit?usp=sharing"",""กาฬสินธุ์!M768"")+IMPORTRANGE(""https://docs.google.com/spreadsheets/d/1aHkj4IaQMThhwWwevcOymEh837vdxeC_PycurhTbGFA/edit?usp=sharing"","&amp;"""ขอนแก่น!M768"")+IMPORTRANGE(""https://docs.google.com/spreadsheets/d/1FvTu2DsIWUjP6WCWra38Bkj_oOl_sOMf14r5Fg5srxU/edit?usp=sharing"",""ชัยภูมิ!M768"")+IMPORTRANGE(""https://docs.google.com/spreadsheets/d/1XVB7oCJ3pr-vBUdflwPQ8Z2LlzhnCvZaaYjAfP-647E/edit"&amp;"?usp=sharing"",""นครพนม!M768"")+IMPORTRANGE(""https://docs.google.com/spreadsheets/d/1Mnpb-8PYAgn85W6KOTD40hc_Xc55CaLfHoGAbrZ8tls/edit?usp=sharing"",""นครราชสีมา!M768"")+IMPORTRANGE(""https://docs.google.com/spreadsheets/d/1xoDLGBv9CYbyosIhki0kTq6IpYNj-gp"&amp;"jxfobnaDiut0/edit?usp=sharing"",""บึงกาฬ!M768"")+IMPORTRANGE(""https://docs.google.com/spreadsheets/d/1MMPq-JyI6DSgQETxuSiXkesP-P7JHuemnE6QJIa-Nlw/edit?usp=sharing"",""บุรีรัมย์!M768"")+IMPORTRANGE(""https://docs.google.com/spreadsheets/d/1l6IZ8xUPgMrESzc"&amp;"TYwhA1k_tPjeQjJPTqlm8Gd9eU5g/edit?usp=sharing"",""มหาสารคาม!M768"")+IMPORTRANGE(""https://docs.google.com/spreadsheets/d/1uB74YLqNjWX6FObjekfB2NtSYigTQyR2rq9u4Ub2Sq4/edit?usp=sharing"",""มุกดาหาร!M768"")+IMPORTRANGE(""https://docs.google.com/spreadsheets/"&amp;"d/1NexK3geCPxCTO1fzNF8dPec7yZyUx3OaWkFBC9HsQOo/edit?usp=sharing"",""ยโสธร!M768"")+IMPORTRANGE(""https://docs.google.com/spreadsheets/d/1v_cJrbBlyqmnHPReHk44g9NrMRdENNlSy_E_c5M9fIg/edit?usp=sharing"",""ร้อยเอ็ด!M768"")+IMPORTRANGE(""https://docs.google.com"&amp;"/spreadsheets/d/1Ul4RCpCX66NxYADU1QpwAPjOmBzW64SsT11s1wzXw_c/edit?usp=sharing"",""เลย!M768"")+IMPORTRANGE(""https://docs.google.com/spreadsheets/d/1bRrNKwbHDVktQG10isr5vbWRtt5spIZPpkOSWgbT5ug/edit?usp=sharing"",""ศรีสะเกษ!M768"")+IMPORTRANGE(""https://doc"&amp;"s.google.com/spreadsheets/d/17P34_Ow5kFBfdQD0qspb2UuPX5zpi6WMrQzslghyvrI/edit?usp=sharing"",""สกลนคร!M768"")+IMPORTRANGE(""https://docs.google.com/spreadsheets/d/1yswqbM3-AEpThF3ZSUa1AcmHnmRTF1vlJ1CZGcJ8YuU/edit?usp=sharing"",""สุรินทร์!M768"")+IMPORTRANG"&amp;"E(""https://docs.google.com/spreadsheets/d/13JHU_EFbsQOUQ0JSQ3dWy1VTRosIWcDq6Nc99z2qzdc/edit?usp=sharing"",""หนองคาย!M768"")+IMPORTRANGE(""https://docs.google.com/spreadsheets/d/1Hx73zIEgVdDZZaYSTc46Dqv64atFhpr3GelxLbaIN8A/edit?usp=sharing"",""หนองบัวลำภู"&amp;"!M768"")+IMPORTRANGE(""https://docs.google.com/spreadsheets/d/1lFxr3ctmjFN90yc-xV6jrQ9Ty8BKYVBWnAZ15wcNIJc/edit?usp=sharing"",""อำนาจเจริญ!M768"")+IMPORTRANGE(""https://docs.google.com/spreadsheets/d/1gF7RJpRnL-1oyjyeWxs5SFWEH7y8ahOZsQlyp2A2e-A/edit?usp=s"&amp;"haring"",""อุดรธานี!M768"")+IMPORTRANGE(""https://docs.google.com/spreadsheets/d/1kfLP0j3INXRa8bTDpcEmoWewMBV61jlFlfzczfjWIgc/edit?usp=sharing"",""อุบลราชธานี!M768"")"),0)</f>
        <v>0</v>
      </c>
      <c r="N768" s="56">
        <f ca="1">IFERROR(__xludf.DUMMYFUNCTION("IMPORTRANGE(""https://docs.google.com/spreadsheets/d/1yhBcrRPreicbMKl9Bu_Snb2-OcQAF62RKfhTLhJ2eAA/edit?usp=sharing"",""กาฬสินธุ์!N768"")+IMPORTRANGE(""https://docs.google.com/spreadsheets/d/1aHkj4IaQMThhwWwevcOymEh837vdxeC_PycurhTbGFA/edit?usp=sharing"","&amp;"""ขอนแก่น!N768"")+IMPORTRANGE(""https://docs.google.com/spreadsheets/d/1FvTu2DsIWUjP6WCWra38Bkj_oOl_sOMf14r5Fg5srxU/edit?usp=sharing"",""ชัยภูมิ!N768"")+IMPORTRANGE(""https://docs.google.com/spreadsheets/d/1XVB7oCJ3pr-vBUdflwPQ8Z2LlzhnCvZaaYjAfP-647E/edit"&amp;"?usp=sharing"",""นครพนม!N768"")+IMPORTRANGE(""https://docs.google.com/spreadsheets/d/1Mnpb-8PYAgn85W6KOTD40hc_Xc55CaLfHoGAbrZ8tls/edit?usp=sharing"",""นครราชสีมา!N768"")+IMPORTRANGE(""https://docs.google.com/spreadsheets/d/1xoDLGBv9CYbyosIhki0kTq6IpYNj-gp"&amp;"jxfobnaDiut0/edit?usp=sharing"",""บึงกาฬ!N768"")+IMPORTRANGE(""https://docs.google.com/spreadsheets/d/1MMPq-JyI6DSgQETxuSiXkesP-P7JHuemnE6QJIa-Nlw/edit?usp=sharing"",""บุรีรัมย์!N768"")+IMPORTRANGE(""https://docs.google.com/spreadsheets/d/1l6IZ8xUPgMrESzc"&amp;"TYwhA1k_tPjeQjJPTqlm8Gd9eU5g/edit?usp=sharing"",""มหาสารคาม!N768"")+IMPORTRANGE(""https://docs.google.com/spreadsheets/d/1uB74YLqNjWX6FObjekfB2NtSYigTQyR2rq9u4Ub2Sq4/edit?usp=sharing"",""มุกดาหาร!N768"")+IMPORTRANGE(""https://docs.google.com/spreadsheets/"&amp;"d/1NexK3geCPxCTO1fzNF8dPec7yZyUx3OaWkFBC9HsQOo/edit?usp=sharing"",""ยโสธร!N768"")+IMPORTRANGE(""https://docs.google.com/spreadsheets/d/1v_cJrbBlyqmnHPReHk44g9NrMRdENNlSy_E_c5M9fIg/edit?usp=sharing"",""ร้อยเอ็ด!N768"")+IMPORTRANGE(""https://docs.google.com"&amp;"/spreadsheets/d/1Ul4RCpCX66NxYADU1QpwAPjOmBzW64SsT11s1wzXw_c/edit?usp=sharing"",""เลย!N768"")+IMPORTRANGE(""https://docs.google.com/spreadsheets/d/1bRrNKwbHDVktQG10isr5vbWRtt5spIZPpkOSWgbT5ug/edit?usp=sharing"",""ศรีสะเกษ!N768"")+IMPORTRANGE(""https://doc"&amp;"s.google.com/spreadsheets/d/17P34_Ow5kFBfdQD0qspb2UuPX5zpi6WMrQzslghyvrI/edit?usp=sharing"",""สกลนคร!N768"")+IMPORTRANGE(""https://docs.google.com/spreadsheets/d/1yswqbM3-AEpThF3ZSUa1AcmHnmRTF1vlJ1CZGcJ8YuU/edit?usp=sharing"",""สุรินทร์!N768"")+IMPORTRANG"&amp;"E(""https://docs.google.com/spreadsheets/d/13JHU_EFbsQOUQ0JSQ3dWy1VTRosIWcDq6Nc99z2qzdc/edit?usp=sharing"",""หนองคาย!N768"")+IMPORTRANGE(""https://docs.google.com/spreadsheets/d/1Hx73zIEgVdDZZaYSTc46Dqv64atFhpr3GelxLbaIN8A/edit?usp=sharing"",""หนองบัวลำภู"&amp;"!N768"")+IMPORTRANGE(""https://docs.google.com/spreadsheets/d/1lFxr3ctmjFN90yc-xV6jrQ9Ty8BKYVBWnAZ15wcNIJc/edit?usp=sharing"",""อำนาจเจริญ!N768"")+IMPORTRANGE(""https://docs.google.com/spreadsheets/d/1gF7RJpRnL-1oyjyeWxs5SFWEH7y8ahOZsQlyp2A2e-A/edit?usp=s"&amp;"haring"",""อุดรธานี!N768"")+IMPORTRANGE(""https://docs.google.com/spreadsheets/d/1kfLP0j3INXRa8bTDpcEmoWewMBV61jlFlfzczfjWIgc/edit?usp=sharing"",""อุบลราชธานี!N768"")"),0)</f>
        <v>0</v>
      </c>
      <c r="O768" s="56">
        <f t="shared" ca="1" si="521"/>
        <v>0</v>
      </c>
      <c r="P768" s="56">
        <f t="shared" ca="1" si="522"/>
        <v>0</v>
      </c>
      <c r="Q768" s="56">
        <f ca="1">IFERROR(__xludf.DUMMYFUNCTION("IMPORTRANGE(""https://docs.google.com/spreadsheets/d/1yhBcrRPreicbMKl9Bu_Snb2-OcQAF62RKfhTLhJ2eAA/edit?usp=sharing"",""กาฬสินธุ์!Q768"")+IMPORTRANGE(""https://docs.google.com/spreadsheets/d/1aHkj4IaQMThhwWwevcOymEh837vdxeC_PycurhTbGFA/edit?usp=sharing"","&amp;"""ขอนแก่น!Q768"")+IMPORTRANGE(""https://docs.google.com/spreadsheets/d/1FvTu2DsIWUjP6WCWra38Bkj_oOl_sOMf14r5Fg5srxU/edit?usp=sharing"",""ชัยภูมิ!Q768"")+IMPORTRANGE(""https://docs.google.com/spreadsheets/d/1XVB7oCJ3pr-vBUdflwPQ8Z2LlzhnCvZaaYjAfP-647E/edit"&amp;"?usp=sharing"",""นครพนม!Q768"")+IMPORTRANGE(""https://docs.google.com/spreadsheets/d/1Mnpb-8PYAgn85W6KOTD40hc_Xc55CaLfHoGAbrZ8tls/edit?usp=sharing"",""นครราชสีมา!Q768"")+IMPORTRANGE(""https://docs.google.com/spreadsheets/d/1xoDLGBv9CYbyosIhki0kTq6IpYNj-gp"&amp;"jxfobnaDiut0/edit?usp=sharing"",""บึงกาฬ!Q768"")+IMPORTRANGE(""https://docs.google.com/spreadsheets/d/1MMPq-JyI6DSgQETxuSiXkesP-P7JHuemnE6QJIa-Nlw/edit?usp=sharing"",""บุรีรัมย์!Q768"")+IMPORTRANGE(""https://docs.google.com/spreadsheets/d/1l6IZ8xUPgMrESzc"&amp;"TYwhA1k_tPjeQjJPTqlm8Gd9eU5g/edit?usp=sharing"",""มหาสารคาม!Q768"")+IMPORTRANGE(""https://docs.google.com/spreadsheets/d/1uB74YLqNjWX6FObjekfB2NtSYigTQyR2rq9u4Ub2Sq4/edit?usp=sharing"",""มุกดาหาร!Q768"")+IMPORTRANGE(""https://docs.google.com/spreadsheets/"&amp;"d/1NexK3geCPxCTO1fzNF8dPec7yZyUx3OaWkFBC9HsQOo/edit?usp=sharing"",""ยโสธร!Q768"")+IMPORTRANGE(""https://docs.google.com/spreadsheets/d/1v_cJrbBlyqmnHPReHk44g9NrMRdENNlSy_E_c5M9fIg/edit?usp=sharing"",""ร้อยเอ็ด!Q768"")+IMPORTRANGE(""https://docs.google.com"&amp;"/spreadsheets/d/1Ul4RCpCX66NxYADU1QpwAPjOmBzW64SsT11s1wzXw_c/edit?usp=sharing"",""เลย!Q768"")+IMPORTRANGE(""https://docs.google.com/spreadsheets/d/1bRrNKwbHDVktQG10isr5vbWRtt5spIZPpkOSWgbT5ug/edit?usp=sharing"",""ศรีสะเกษ!Q768"")+IMPORTRANGE(""https://doc"&amp;"s.google.com/spreadsheets/d/17P34_Ow5kFBfdQD0qspb2UuPX5zpi6WMrQzslghyvrI/edit?usp=sharing"",""สกลนคร!Q768"")+IMPORTRANGE(""https://docs.google.com/spreadsheets/d/1yswqbM3-AEpThF3ZSUa1AcmHnmRTF1vlJ1CZGcJ8YuU/edit?usp=sharing"",""สุรินทร์!Q768"")+IMPORTRANG"&amp;"E(""https://docs.google.com/spreadsheets/d/13JHU_EFbsQOUQ0JSQ3dWy1VTRosIWcDq6Nc99z2qzdc/edit?usp=sharing"",""หนองคาย!Q768"")+IMPORTRANGE(""https://docs.google.com/spreadsheets/d/1Hx73zIEgVdDZZaYSTc46Dqv64atFhpr3GelxLbaIN8A/edit?usp=sharing"",""หนองบัวลำภู"&amp;"!Q768"")+IMPORTRANGE(""https://docs.google.com/spreadsheets/d/1lFxr3ctmjFN90yc-xV6jrQ9Ty8BKYVBWnAZ15wcNIJc/edit?usp=sharing"",""อำนาจเจริญ!Q768"")+IMPORTRANGE(""https://docs.google.com/spreadsheets/d/1gF7RJpRnL-1oyjyeWxs5SFWEH7y8ahOZsQlyp2A2e-A/edit?usp=s"&amp;"haring"",""อุดรธานี!Q768"")+IMPORTRANGE(""https://docs.google.com/spreadsheets/d/1kfLP0j3INXRa8bTDpcEmoWewMBV61jlFlfzczfjWIgc/edit?usp=sharing"",""อุบลราชธานี!Q768"")"),0)</f>
        <v>0</v>
      </c>
      <c r="R768" s="56">
        <f ca="1">IFERROR(__xludf.DUMMYFUNCTION("IMPORTRANGE(""https://docs.google.com/spreadsheets/d/1yhBcrRPreicbMKl9Bu_Snb2-OcQAF62RKfhTLhJ2eAA/edit?usp=sharing"",""กาฬสินธุ์!R768"")+IMPORTRANGE(""https://docs.google.com/spreadsheets/d/1aHkj4IaQMThhwWwevcOymEh837vdxeC_PycurhTbGFA/edit?usp=sharing"","&amp;"""ขอนแก่น!R768"")+IMPORTRANGE(""https://docs.google.com/spreadsheets/d/1FvTu2DsIWUjP6WCWra38Bkj_oOl_sOMf14r5Fg5srxU/edit?usp=sharing"",""ชัยภูมิ!R768"")+IMPORTRANGE(""https://docs.google.com/spreadsheets/d/1XVB7oCJ3pr-vBUdflwPQ8Z2LlzhnCvZaaYjAfP-647E/edit"&amp;"?usp=sharing"",""นครพนม!R768"")+IMPORTRANGE(""https://docs.google.com/spreadsheets/d/1Mnpb-8PYAgn85W6KOTD40hc_Xc55CaLfHoGAbrZ8tls/edit?usp=sharing"",""นครราชสีมา!R768"")+IMPORTRANGE(""https://docs.google.com/spreadsheets/d/1xoDLGBv9CYbyosIhki0kTq6IpYNj-gp"&amp;"jxfobnaDiut0/edit?usp=sharing"",""บึงกาฬ!R768"")+IMPORTRANGE(""https://docs.google.com/spreadsheets/d/1MMPq-JyI6DSgQETxuSiXkesP-P7JHuemnE6QJIa-Nlw/edit?usp=sharing"",""บุรีรัมย์!R768"")+IMPORTRANGE(""https://docs.google.com/spreadsheets/d/1l6IZ8xUPgMrESzc"&amp;"TYwhA1k_tPjeQjJPTqlm8Gd9eU5g/edit?usp=sharing"",""มหาสารคาม!R768"")+IMPORTRANGE(""https://docs.google.com/spreadsheets/d/1uB74YLqNjWX6FObjekfB2NtSYigTQyR2rq9u4Ub2Sq4/edit?usp=sharing"",""มุกดาหาร!R768"")+IMPORTRANGE(""https://docs.google.com/spreadsheets/"&amp;"d/1NexK3geCPxCTO1fzNF8dPec7yZyUx3OaWkFBC9HsQOo/edit?usp=sharing"",""ยโสธร!R768"")+IMPORTRANGE(""https://docs.google.com/spreadsheets/d/1v_cJrbBlyqmnHPReHk44g9NrMRdENNlSy_E_c5M9fIg/edit?usp=sharing"",""ร้อยเอ็ด!R768"")+IMPORTRANGE(""https://docs.google.com"&amp;"/spreadsheets/d/1Ul4RCpCX66NxYADU1QpwAPjOmBzW64SsT11s1wzXw_c/edit?usp=sharing"",""เลย!R768"")+IMPORTRANGE(""https://docs.google.com/spreadsheets/d/1bRrNKwbHDVktQG10isr5vbWRtt5spIZPpkOSWgbT5ug/edit?usp=sharing"",""ศรีสะเกษ!R768"")+IMPORTRANGE(""https://doc"&amp;"s.google.com/spreadsheets/d/17P34_Ow5kFBfdQD0qspb2UuPX5zpi6WMrQzslghyvrI/edit?usp=sharing"",""สกลนคร!R768"")+IMPORTRANGE(""https://docs.google.com/spreadsheets/d/1yswqbM3-AEpThF3ZSUa1AcmHnmRTF1vlJ1CZGcJ8YuU/edit?usp=sharing"",""สุรินทร์!R768"")+IMPORTRANG"&amp;"E(""https://docs.google.com/spreadsheets/d/13JHU_EFbsQOUQ0JSQ3dWy1VTRosIWcDq6Nc99z2qzdc/edit?usp=sharing"",""หนองคาย!R768"")+IMPORTRANGE(""https://docs.google.com/spreadsheets/d/1Hx73zIEgVdDZZaYSTc46Dqv64atFhpr3GelxLbaIN8A/edit?usp=sharing"",""หนองบัวลำภู"&amp;"!R768"")+IMPORTRANGE(""https://docs.google.com/spreadsheets/d/1lFxr3ctmjFN90yc-xV6jrQ9Ty8BKYVBWnAZ15wcNIJc/edit?usp=sharing"",""อำนาจเจริญ!R768"")+IMPORTRANGE(""https://docs.google.com/spreadsheets/d/1gF7RJpRnL-1oyjyeWxs5SFWEH7y8ahOZsQlyp2A2e-A/edit?usp=s"&amp;"haring"",""อุดรธานี!R768"")+IMPORTRANGE(""https://docs.google.com/spreadsheets/d/1kfLP0j3INXRa8bTDpcEmoWewMBV61jlFlfzczfjWIgc/edit?usp=sharing"",""อุบลราชธานี!R768"")"),0)</f>
        <v>0</v>
      </c>
      <c r="S768" s="57">
        <f ca="1">IFERROR(__xludf.DUMMYFUNCTION("IMPORTRANGE(""https://docs.google.com/spreadsheets/d/1yhBcrRPreicbMKl9Bu_Snb2-OcQAF62RKfhTLhJ2eAA/edit?usp=sharing"",""กาฬสินธุ์!S768"")+IMPORTRANGE(""https://docs.google.com/spreadsheets/d/1aHkj4IaQMThhwWwevcOymEh837vdxeC_PycurhTbGFA/edit?usp=sharing"","&amp;"""ขอนแก่น!S768"")+IMPORTRANGE(""https://docs.google.com/spreadsheets/d/1FvTu2DsIWUjP6WCWra38Bkj_oOl_sOMf14r5Fg5srxU/edit?usp=sharing"",""ชัยภูมิ!S768"")+IMPORTRANGE(""https://docs.google.com/spreadsheets/d/1XVB7oCJ3pr-vBUdflwPQ8Z2LlzhnCvZaaYjAfP-647E/edit"&amp;"?usp=sharing"",""นครพนม!S768"")+IMPORTRANGE(""https://docs.google.com/spreadsheets/d/1Mnpb-8PYAgn85W6KOTD40hc_Xc55CaLfHoGAbrZ8tls/edit?usp=sharing"",""นครราชสีมา!S768"")+IMPORTRANGE(""https://docs.google.com/spreadsheets/d/1xoDLGBv9CYbyosIhki0kTq6IpYNj-gp"&amp;"jxfobnaDiut0/edit?usp=sharing"",""บึงกาฬ!S768"")+IMPORTRANGE(""https://docs.google.com/spreadsheets/d/1MMPq-JyI6DSgQETxuSiXkesP-P7JHuemnE6QJIa-Nlw/edit?usp=sharing"",""บุรีรัมย์!S768"")+IMPORTRANGE(""https://docs.google.com/spreadsheets/d/1l6IZ8xUPgMrESzc"&amp;"TYwhA1k_tPjeQjJPTqlm8Gd9eU5g/edit?usp=sharing"",""มหาสารคาม!S768"")+IMPORTRANGE(""https://docs.google.com/spreadsheets/d/1uB74YLqNjWX6FObjekfB2NtSYigTQyR2rq9u4Ub2Sq4/edit?usp=sharing"",""มุกดาหาร!S768"")+IMPORTRANGE(""https://docs.google.com/spreadsheets/"&amp;"d/1NexK3geCPxCTO1fzNF8dPec7yZyUx3OaWkFBC9HsQOo/edit?usp=sharing"",""ยโสธร!S768"")+IMPORTRANGE(""https://docs.google.com/spreadsheets/d/1v_cJrbBlyqmnHPReHk44g9NrMRdENNlSy_E_c5M9fIg/edit?usp=sharing"",""ร้อยเอ็ด!S768"")+IMPORTRANGE(""https://docs.google.com"&amp;"/spreadsheets/d/1Ul4RCpCX66NxYADU1QpwAPjOmBzW64SsT11s1wzXw_c/edit?usp=sharing"",""เลย!S768"")+IMPORTRANGE(""https://docs.google.com/spreadsheets/d/1bRrNKwbHDVktQG10isr5vbWRtt5spIZPpkOSWgbT5ug/edit?usp=sharing"",""ศรีสะเกษ!S768"")+IMPORTRANGE(""https://doc"&amp;"s.google.com/spreadsheets/d/17P34_Ow5kFBfdQD0qspb2UuPX5zpi6WMrQzslghyvrI/edit?usp=sharing"",""สกลนคร!S768"")+IMPORTRANGE(""https://docs.google.com/spreadsheets/d/1yswqbM3-AEpThF3ZSUa1AcmHnmRTF1vlJ1CZGcJ8YuU/edit?usp=sharing"",""สุรินทร์!S768"")+IMPORTRANG"&amp;"E(""https://docs.google.com/spreadsheets/d/13JHU_EFbsQOUQ0JSQ3dWy1VTRosIWcDq6Nc99z2qzdc/edit?usp=sharing"",""หนองคาย!S768"")+IMPORTRANGE(""https://docs.google.com/spreadsheets/d/1Hx73zIEgVdDZZaYSTc46Dqv64atFhpr3GelxLbaIN8A/edit?usp=sharing"",""หนองบัวลำภู"&amp;"!S768"")+IMPORTRANGE(""https://docs.google.com/spreadsheets/d/1lFxr3ctmjFN90yc-xV6jrQ9Ty8BKYVBWnAZ15wcNIJc/edit?usp=sharing"",""อำนาจเจริญ!S768"")+IMPORTRANGE(""https://docs.google.com/spreadsheets/d/1gF7RJpRnL-1oyjyeWxs5SFWEH7y8ahOZsQlyp2A2e-A/edit?usp=s"&amp;"haring"",""อุดรธานี!S768"")+IMPORTRANGE(""https://docs.google.com/spreadsheets/d/1kfLP0j3INXRa8bTDpcEmoWewMBV61jlFlfzczfjWIgc/edit?usp=sharing"",""อุบลราชธานี!S768"")"),0)</f>
        <v>0</v>
      </c>
      <c r="T768" s="56">
        <f t="shared" ca="1" si="524"/>
        <v>0</v>
      </c>
      <c r="U768" s="56">
        <f t="shared" ca="1" si="525"/>
        <v>0</v>
      </c>
    </row>
    <row r="769" spans="1:21" ht="19.5">
      <c r="A769" s="166"/>
      <c r="B769" s="167"/>
      <c r="C769" s="497" t="s">
        <v>18</v>
      </c>
      <c r="D769" s="459" t="s">
        <v>38</v>
      </c>
      <c r="E769" s="232"/>
      <c r="F769" s="169"/>
      <c r="G769" s="170"/>
      <c r="H769" s="206"/>
      <c r="I769" s="54"/>
      <c r="J769" s="54"/>
      <c r="K769" s="55"/>
      <c r="L769" s="55"/>
      <c r="M769" s="55"/>
      <c r="N769" s="55"/>
      <c r="O769" s="55"/>
      <c r="P769" s="55"/>
      <c r="Q769" s="55"/>
      <c r="R769" s="55"/>
      <c r="S769" s="62"/>
      <c r="T769" s="55"/>
      <c r="U769" s="55"/>
    </row>
    <row r="770" spans="1:21" ht="18.75">
      <c r="A770" s="166"/>
      <c r="B770" s="167"/>
      <c r="C770" s="167"/>
      <c r="D770" s="423" t="s">
        <v>287</v>
      </c>
      <c r="E770" s="167"/>
      <c r="F770" s="174"/>
      <c r="G770" s="171"/>
      <c r="H770" s="421" t="s">
        <v>35</v>
      </c>
      <c r="I770" s="359">
        <f ca="1">IFERROR(__xludf.DUMMYFUNCTION("IMPORTRANGE(""https://docs.google.com/spreadsheets/d/1yhBcrRPreicbMKl9Bu_Snb2-OcQAF62RKfhTLhJ2eAA/edit?usp=sharing"",""กาฬสินธุ์!I770"")+IMPORTRANGE(""https://docs.google.com/spreadsheets/d/1aHkj4IaQMThhwWwevcOymEh837vdxeC_PycurhTbGFA/edit?usp=sharing"","&amp;"""ขอนแก่น!I770"")+IMPORTRANGE(""https://docs.google.com/spreadsheets/d/1FvTu2DsIWUjP6WCWra38Bkj_oOl_sOMf14r5Fg5srxU/edit?usp=sharing"",""ชัยภูมิ!I770"")+IMPORTRANGE(""https://docs.google.com/spreadsheets/d/1XVB7oCJ3pr-vBUdflwPQ8Z2LlzhnCvZaaYjAfP-647E/edit"&amp;"?usp=sharing"",""นครพนม!I770"")+IMPORTRANGE(""https://docs.google.com/spreadsheets/d/1Mnpb-8PYAgn85W6KOTD40hc_Xc55CaLfHoGAbrZ8tls/edit?usp=sharing"",""นครราชสีมา!I770"")+IMPORTRANGE(""https://docs.google.com/spreadsheets/d/1xoDLGBv9CYbyosIhki0kTq6IpYNj-gp"&amp;"jxfobnaDiut0/edit?usp=sharing"",""บึงกาฬ!I770"")+IMPORTRANGE(""https://docs.google.com/spreadsheets/d/1MMPq-JyI6DSgQETxuSiXkesP-P7JHuemnE6QJIa-Nlw/edit?usp=sharing"",""บุรีรัมย์!I770"")+IMPORTRANGE(""https://docs.google.com/spreadsheets/d/1l6IZ8xUPgMrESzc"&amp;"TYwhA1k_tPjeQjJPTqlm8Gd9eU5g/edit?usp=sharing"",""มหาสารคาม!I770"")+IMPORTRANGE(""https://docs.google.com/spreadsheets/d/1uB74YLqNjWX6FObjekfB2NtSYigTQyR2rq9u4Ub2Sq4/edit?usp=sharing"",""มุกดาหาร!I770"")+IMPORTRANGE(""https://docs.google.com/spreadsheets/"&amp;"d/1NexK3geCPxCTO1fzNF8dPec7yZyUx3OaWkFBC9HsQOo/edit?usp=sharing"",""ยโสธร!I770"")+IMPORTRANGE(""https://docs.google.com/spreadsheets/d/1v_cJrbBlyqmnHPReHk44g9NrMRdENNlSy_E_c5M9fIg/edit?usp=sharing"",""ร้อยเอ็ด!I770"")+IMPORTRANGE(""https://docs.google.com"&amp;"/spreadsheets/d/1Ul4RCpCX66NxYADU1QpwAPjOmBzW64SsT11s1wzXw_c/edit?usp=sharing"",""เลย!I770"")+IMPORTRANGE(""https://docs.google.com/spreadsheets/d/1bRrNKwbHDVktQG10isr5vbWRtt5spIZPpkOSWgbT5ug/edit?usp=sharing"",""ศรีสะเกษ!I770"")+IMPORTRANGE(""https://doc"&amp;"s.google.com/spreadsheets/d/17P34_Ow5kFBfdQD0qspb2UuPX5zpi6WMrQzslghyvrI/edit?usp=sharing"",""สกลนคร!I770"")+IMPORTRANGE(""https://docs.google.com/spreadsheets/d/1yswqbM3-AEpThF3ZSUa1AcmHnmRTF1vlJ1CZGcJ8YuU/edit?usp=sharing"",""สุรินทร์!I770"")+IMPORTRANG"&amp;"E(""https://docs.google.com/spreadsheets/d/13JHU_EFbsQOUQ0JSQ3dWy1VTRosIWcDq6Nc99z2qzdc/edit?usp=sharing"",""หนองคาย!I770"")+IMPORTRANGE(""https://docs.google.com/spreadsheets/d/1Hx73zIEgVdDZZaYSTc46Dqv64atFhpr3GelxLbaIN8A/edit?usp=sharing"",""หนองบัวลำภู"&amp;"!I770"")+IMPORTRANGE(""https://docs.google.com/spreadsheets/d/1lFxr3ctmjFN90yc-xV6jrQ9Ty8BKYVBWnAZ15wcNIJc/edit?usp=sharing"",""อำนาจเจริญ!I770"")+IMPORTRANGE(""https://docs.google.com/spreadsheets/d/1gF7RJpRnL-1oyjyeWxs5SFWEH7y8ahOZsQlyp2A2e-A/edit?usp=s"&amp;"haring"",""อุดรธานี!I770"")+IMPORTRANGE(""https://docs.google.com/spreadsheets/d/1kfLP0j3INXRa8bTDpcEmoWewMBV61jlFlfzczfjWIgc/edit?usp=sharing"",""อุบลราชธานี!I770"")"),0)</f>
        <v>0</v>
      </c>
      <c r="J770" s="359">
        <f ca="1">IFERROR(__xludf.DUMMYFUNCTION("IMPORTRANGE(""https://docs.google.com/spreadsheets/d/1yhBcrRPreicbMKl9Bu_Snb2-OcQAF62RKfhTLhJ2eAA/edit?usp=sharing"",""กาฬสินธุ์!J770"")+IMPORTRANGE(""https://docs.google.com/spreadsheets/d/1aHkj4IaQMThhwWwevcOymEh837vdxeC_PycurhTbGFA/edit?usp=sharing"","&amp;"""ขอนแก่น!J770"")+IMPORTRANGE(""https://docs.google.com/spreadsheets/d/1FvTu2DsIWUjP6WCWra38Bkj_oOl_sOMf14r5Fg5srxU/edit?usp=sharing"",""ชัยภูมิ!J770"")+IMPORTRANGE(""https://docs.google.com/spreadsheets/d/1XVB7oCJ3pr-vBUdflwPQ8Z2LlzhnCvZaaYjAfP-647E/edit"&amp;"?usp=sharing"",""นครพนม!J770"")+IMPORTRANGE(""https://docs.google.com/spreadsheets/d/1Mnpb-8PYAgn85W6KOTD40hc_Xc55CaLfHoGAbrZ8tls/edit?usp=sharing"",""นครราชสีมา!J770"")+IMPORTRANGE(""https://docs.google.com/spreadsheets/d/1xoDLGBv9CYbyosIhki0kTq6IpYNj-gp"&amp;"jxfobnaDiut0/edit?usp=sharing"",""บึงกาฬ!J770"")+IMPORTRANGE(""https://docs.google.com/spreadsheets/d/1MMPq-JyI6DSgQETxuSiXkesP-P7JHuemnE6QJIa-Nlw/edit?usp=sharing"",""บุรีรัมย์!J770"")+IMPORTRANGE(""https://docs.google.com/spreadsheets/d/1l6IZ8xUPgMrESzc"&amp;"TYwhA1k_tPjeQjJPTqlm8Gd9eU5g/edit?usp=sharing"",""มหาสารคาม!J770"")+IMPORTRANGE(""https://docs.google.com/spreadsheets/d/1uB74YLqNjWX6FObjekfB2NtSYigTQyR2rq9u4Ub2Sq4/edit?usp=sharing"",""มุกดาหาร!J770"")+IMPORTRANGE(""https://docs.google.com/spreadsheets/"&amp;"d/1NexK3geCPxCTO1fzNF8dPec7yZyUx3OaWkFBC9HsQOo/edit?usp=sharing"",""ยโสธร!J770"")+IMPORTRANGE(""https://docs.google.com/spreadsheets/d/1v_cJrbBlyqmnHPReHk44g9NrMRdENNlSy_E_c5M9fIg/edit?usp=sharing"",""ร้อยเอ็ด!J770"")+IMPORTRANGE(""https://docs.google.com"&amp;"/spreadsheets/d/1Ul4RCpCX66NxYADU1QpwAPjOmBzW64SsT11s1wzXw_c/edit?usp=sharing"",""เลย!J770"")+IMPORTRANGE(""https://docs.google.com/spreadsheets/d/1bRrNKwbHDVktQG10isr5vbWRtt5spIZPpkOSWgbT5ug/edit?usp=sharing"",""ศรีสะเกษ!J770"")+IMPORTRANGE(""https://doc"&amp;"s.google.com/spreadsheets/d/17P34_Ow5kFBfdQD0qspb2UuPX5zpi6WMrQzslghyvrI/edit?usp=sharing"",""สกลนคร!J770"")+IMPORTRANGE(""https://docs.google.com/spreadsheets/d/1yswqbM3-AEpThF3ZSUa1AcmHnmRTF1vlJ1CZGcJ8YuU/edit?usp=sharing"",""สุรินทร์!J770"")+IMPORTRANG"&amp;"E(""https://docs.google.com/spreadsheets/d/13JHU_EFbsQOUQ0JSQ3dWy1VTRosIWcDq6Nc99z2qzdc/edit?usp=sharing"",""หนองคาย!J770"")+IMPORTRANGE(""https://docs.google.com/spreadsheets/d/1Hx73zIEgVdDZZaYSTc46Dqv64atFhpr3GelxLbaIN8A/edit?usp=sharing"",""หนองบัวลำภู"&amp;"!J770"")+IMPORTRANGE(""https://docs.google.com/spreadsheets/d/1lFxr3ctmjFN90yc-xV6jrQ9Ty8BKYVBWnAZ15wcNIJc/edit?usp=sharing"",""อำนาจเจริญ!J770"")+IMPORTRANGE(""https://docs.google.com/spreadsheets/d/1gF7RJpRnL-1oyjyeWxs5SFWEH7y8ahOZsQlyp2A2e-A/edit?usp=s"&amp;"haring"",""อุดรธานี!J770"")+IMPORTRANGE(""https://docs.google.com/spreadsheets/d/1kfLP0j3INXRa8bTDpcEmoWewMBV61jlFlfzczfjWIgc/edit?usp=sharing"",""อุบลราชธานี!J770"")"),0)</f>
        <v>0</v>
      </c>
      <c r="K770" s="59">
        <f ca="1">IF(I770&gt;0,J770*100/I770,0)</f>
        <v>0</v>
      </c>
      <c r="L770" s="55"/>
      <c r="M770" s="55"/>
      <c r="N770" s="55"/>
      <c r="O770" s="55"/>
      <c r="P770" s="55"/>
      <c r="Q770" s="55"/>
      <c r="R770" s="55"/>
      <c r="S770" s="62"/>
      <c r="T770" s="55"/>
      <c r="U770" s="55"/>
    </row>
    <row r="771" spans="1:21" ht="18.75">
      <c r="A771" s="166"/>
      <c r="B771" s="167"/>
      <c r="C771" s="167"/>
      <c r="D771" s="423" t="s">
        <v>288</v>
      </c>
      <c r="E771" s="167"/>
      <c r="F771" s="174"/>
      <c r="G771" s="171"/>
      <c r="H771" s="206"/>
      <c r="I771" s="54"/>
      <c r="J771" s="54"/>
      <c r="K771" s="55"/>
      <c r="L771" s="55"/>
      <c r="M771" s="55"/>
      <c r="N771" s="55"/>
      <c r="O771" s="55"/>
      <c r="P771" s="55"/>
      <c r="Q771" s="55"/>
      <c r="R771" s="55"/>
      <c r="S771" s="62"/>
      <c r="T771" s="55"/>
      <c r="U771" s="55"/>
    </row>
    <row r="772" spans="1:21" ht="18.75">
      <c r="A772" s="166"/>
      <c r="B772" s="167"/>
      <c r="C772" s="167"/>
      <c r="D772" s="460" t="s">
        <v>289</v>
      </c>
      <c r="E772" s="167"/>
      <c r="F772" s="174"/>
      <c r="G772" s="171"/>
      <c r="H772" s="165" t="s">
        <v>35</v>
      </c>
      <c r="I772" s="181">
        <f ca="1">IFERROR(__xludf.DUMMYFUNCTION("IMPORTRANGE(""https://docs.google.com/spreadsheets/d/1yhBcrRPreicbMKl9Bu_Snb2-OcQAF62RKfhTLhJ2eAA/edit?usp=sharing"",""กาฬสินธุ์!I772"")+IMPORTRANGE(""https://docs.google.com/spreadsheets/d/1aHkj4IaQMThhwWwevcOymEh837vdxeC_PycurhTbGFA/edit?usp=sharing"","&amp;"""ขอนแก่น!I772"")+IMPORTRANGE(""https://docs.google.com/spreadsheets/d/1FvTu2DsIWUjP6WCWra38Bkj_oOl_sOMf14r5Fg5srxU/edit?usp=sharing"",""ชัยภูมิ!I772"")+IMPORTRANGE(""https://docs.google.com/spreadsheets/d/1XVB7oCJ3pr-vBUdflwPQ8Z2LlzhnCvZaaYjAfP-647E/edit"&amp;"?usp=sharing"",""นครพนม!I772"")+IMPORTRANGE(""https://docs.google.com/spreadsheets/d/1Mnpb-8PYAgn85W6KOTD40hc_Xc55CaLfHoGAbrZ8tls/edit?usp=sharing"",""นครราชสีมา!I772"")+IMPORTRANGE(""https://docs.google.com/spreadsheets/d/1xoDLGBv9CYbyosIhki0kTq6IpYNj-gp"&amp;"jxfobnaDiut0/edit?usp=sharing"",""บึงกาฬ!I772"")+IMPORTRANGE(""https://docs.google.com/spreadsheets/d/1MMPq-JyI6DSgQETxuSiXkesP-P7JHuemnE6QJIa-Nlw/edit?usp=sharing"",""บุรีรัมย์!I772"")+IMPORTRANGE(""https://docs.google.com/spreadsheets/d/1l6IZ8xUPgMrESzc"&amp;"TYwhA1k_tPjeQjJPTqlm8Gd9eU5g/edit?usp=sharing"",""มหาสารคาม!I772"")+IMPORTRANGE(""https://docs.google.com/spreadsheets/d/1uB74YLqNjWX6FObjekfB2NtSYigTQyR2rq9u4Ub2Sq4/edit?usp=sharing"",""มุกดาหาร!I772"")+IMPORTRANGE(""https://docs.google.com/spreadsheets/"&amp;"d/1NexK3geCPxCTO1fzNF8dPec7yZyUx3OaWkFBC9HsQOo/edit?usp=sharing"",""ยโสธร!I772"")+IMPORTRANGE(""https://docs.google.com/spreadsheets/d/1v_cJrbBlyqmnHPReHk44g9NrMRdENNlSy_E_c5M9fIg/edit?usp=sharing"",""ร้อยเอ็ด!I772"")+IMPORTRANGE(""https://docs.google.com"&amp;"/spreadsheets/d/1Ul4RCpCX66NxYADU1QpwAPjOmBzW64SsT11s1wzXw_c/edit?usp=sharing"",""เลย!I772"")+IMPORTRANGE(""https://docs.google.com/spreadsheets/d/1bRrNKwbHDVktQG10isr5vbWRtt5spIZPpkOSWgbT5ug/edit?usp=sharing"",""ศรีสะเกษ!I772"")+IMPORTRANGE(""https://doc"&amp;"s.google.com/spreadsheets/d/17P34_Ow5kFBfdQD0qspb2UuPX5zpi6WMrQzslghyvrI/edit?usp=sharing"",""สกลนคร!I772"")+IMPORTRANGE(""https://docs.google.com/spreadsheets/d/1yswqbM3-AEpThF3ZSUa1AcmHnmRTF1vlJ1CZGcJ8YuU/edit?usp=sharing"",""สุรินทร์!I772"")+IMPORTRANG"&amp;"E(""https://docs.google.com/spreadsheets/d/13JHU_EFbsQOUQ0JSQ3dWy1VTRosIWcDq6Nc99z2qzdc/edit?usp=sharing"",""หนองคาย!I772"")+IMPORTRANGE(""https://docs.google.com/spreadsheets/d/1Hx73zIEgVdDZZaYSTc46Dqv64atFhpr3GelxLbaIN8A/edit?usp=sharing"",""หนองบัวลำภู"&amp;"!I772"")+IMPORTRANGE(""https://docs.google.com/spreadsheets/d/1lFxr3ctmjFN90yc-xV6jrQ9Ty8BKYVBWnAZ15wcNIJc/edit?usp=sharing"",""อำนาจเจริญ!I772"")+IMPORTRANGE(""https://docs.google.com/spreadsheets/d/1gF7RJpRnL-1oyjyeWxs5SFWEH7y8ahOZsQlyp2A2e-A/edit?usp=s"&amp;"haring"",""อุดรธานี!I772"")+IMPORTRANGE(""https://docs.google.com/spreadsheets/d/1kfLP0j3INXRa8bTDpcEmoWewMBV61jlFlfzczfjWIgc/edit?usp=sharing"",""อุบลราชธานี!I772"")"),1460)</f>
        <v>1460</v>
      </c>
      <c r="J772" s="195">
        <f ca="1">IFERROR(__xludf.DUMMYFUNCTION("IMPORTRANGE(""https://docs.google.com/spreadsheets/d/1yhBcrRPreicbMKl9Bu_Snb2-OcQAF62RKfhTLhJ2eAA/edit?usp=sharing"",""กาฬสินธุ์!J772"")+IMPORTRANGE(""https://docs.google.com/spreadsheets/d/1aHkj4IaQMThhwWwevcOymEh837vdxeC_PycurhTbGFA/edit?usp=sharing"","&amp;"""ขอนแก่น!J772"")+IMPORTRANGE(""https://docs.google.com/spreadsheets/d/1FvTu2DsIWUjP6WCWra38Bkj_oOl_sOMf14r5Fg5srxU/edit?usp=sharing"",""ชัยภูมิ!J772"")+IMPORTRANGE(""https://docs.google.com/spreadsheets/d/1XVB7oCJ3pr-vBUdflwPQ8Z2LlzhnCvZaaYjAfP-647E/edit"&amp;"?usp=sharing"",""นครพนม!J772"")+IMPORTRANGE(""https://docs.google.com/spreadsheets/d/1Mnpb-8PYAgn85W6KOTD40hc_Xc55CaLfHoGAbrZ8tls/edit?usp=sharing"",""นครราชสีมา!J772"")+IMPORTRANGE(""https://docs.google.com/spreadsheets/d/1xoDLGBv9CYbyosIhki0kTq6IpYNj-gp"&amp;"jxfobnaDiut0/edit?usp=sharing"",""บึงกาฬ!J772"")+IMPORTRANGE(""https://docs.google.com/spreadsheets/d/1MMPq-JyI6DSgQETxuSiXkesP-P7JHuemnE6QJIa-Nlw/edit?usp=sharing"",""บุรีรัมย์!J772"")+IMPORTRANGE(""https://docs.google.com/spreadsheets/d/1l6IZ8xUPgMrESzc"&amp;"TYwhA1k_tPjeQjJPTqlm8Gd9eU5g/edit?usp=sharing"",""มหาสารคาม!J772"")+IMPORTRANGE(""https://docs.google.com/spreadsheets/d/1uB74YLqNjWX6FObjekfB2NtSYigTQyR2rq9u4Ub2Sq4/edit?usp=sharing"",""มุกดาหาร!J772"")+IMPORTRANGE(""https://docs.google.com/spreadsheets/"&amp;"d/1NexK3geCPxCTO1fzNF8dPec7yZyUx3OaWkFBC9HsQOo/edit?usp=sharing"",""ยโสธร!J772"")+IMPORTRANGE(""https://docs.google.com/spreadsheets/d/1v_cJrbBlyqmnHPReHk44g9NrMRdENNlSy_E_c5M9fIg/edit?usp=sharing"",""ร้อยเอ็ด!J772"")+IMPORTRANGE(""https://docs.google.com"&amp;"/spreadsheets/d/1Ul4RCpCX66NxYADU1QpwAPjOmBzW64SsT11s1wzXw_c/edit?usp=sharing"",""เลย!J772"")+IMPORTRANGE(""https://docs.google.com/spreadsheets/d/1bRrNKwbHDVktQG10isr5vbWRtt5spIZPpkOSWgbT5ug/edit?usp=sharing"",""ศรีสะเกษ!J772"")+IMPORTRANGE(""https://doc"&amp;"s.google.com/spreadsheets/d/17P34_Ow5kFBfdQD0qspb2UuPX5zpi6WMrQzslghyvrI/edit?usp=sharing"",""สกลนคร!J772"")+IMPORTRANGE(""https://docs.google.com/spreadsheets/d/1yswqbM3-AEpThF3ZSUa1AcmHnmRTF1vlJ1CZGcJ8YuU/edit?usp=sharing"",""สุรินทร์!J772"")+IMPORTRANG"&amp;"E(""https://docs.google.com/spreadsheets/d/13JHU_EFbsQOUQ0JSQ3dWy1VTRosIWcDq6Nc99z2qzdc/edit?usp=sharing"",""หนองคาย!J772"")+IMPORTRANGE(""https://docs.google.com/spreadsheets/d/1Hx73zIEgVdDZZaYSTc46Dqv64atFhpr3GelxLbaIN8A/edit?usp=sharing"",""หนองบัวลำภู"&amp;"!J772"")+IMPORTRANGE(""https://docs.google.com/spreadsheets/d/1lFxr3ctmjFN90yc-xV6jrQ9Ty8BKYVBWnAZ15wcNIJc/edit?usp=sharing"",""อำนาจเจริญ!J772"")+IMPORTRANGE(""https://docs.google.com/spreadsheets/d/1gF7RJpRnL-1oyjyeWxs5SFWEH7y8ahOZsQlyp2A2e-A/edit?usp=s"&amp;"haring"",""อุดรธานี!J772"")+IMPORTRANGE(""https://docs.google.com/spreadsheets/d/1kfLP0j3INXRa8bTDpcEmoWewMBV61jlFlfzczfjWIgc/edit?usp=sharing"",""อุบลราชธานี!J772"")"),855)</f>
        <v>855</v>
      </c>
      <c r="K772" s="56">
        <f ca="1">IF(I772&gt;0,J772*100/I772,0)</f>
        <v>58.561643835616437</v>
      </c>
      <c r="L772" s="55"/>
      <c r="M772" s="55"/>
      <c r="N772" s="55"/>
      <c r="O772" s="55"/>
      <c r="P772" s="55"/>
      <c r="Q772" s="55"/>
      <c r="R772" s="55"/>
      <c r="S772" s="62"/>
      <c r="T772" s="55"/>
      <c r="U772" s="55"/>
    </row>
    <row r="773" spans="1:21" ht="18.75">
      <c r="A773" s="166"/>
      <c r="B773" s="167"/>
      <c r="C773" s="167"/>
      <c r="D773" s="460" t="s">
        <v>290</v>
      </c>
      <c r="E773" s="167"/>
      <c r="F773" s="174"/>
      <c r="G773" s="171"/>
      <c r="H773" s="206"/>
      <c r="I773" s="54"/>
      <c r="J773" s="54"/>
      <c r="K773" s="55"/>
      <c r="L773" s="55"/>
      <c r="M773" s="55"/>
      <c r="N773" s="55"/>
      <c r="O773" s="55"/>
      <c r="P773" s="55"/>
      <c r="Q773" s="55"/>
      <c r="R773" s="55"/>
      <c r="S773" s="62"/>
      <c r="T773" s="55"/>
      <c r="U773" s="55"/>
    </row>
    <row r="774" spans="1:21" ht="18.75">
      <c r="A774" s="166"/>
      <c r="B774" s="167"/>
      <c r="C774" s="167"/>
      <c r="D774" s="460" t="s">
        <v>291</v>
      </c>
      <c r="E774" s="167"/>
      <c r="F774" s="174"/>
      <c r="G774" s="171"/>
      <c r="H774" s="165" t="s">
        <v>46</v>
      </c>
      <c r="I774" s="181">
        <f ca="1">IFERROR(__xludf.DUMMYFUNCTION("IMPORTRANGE(""https://docs.google.com/spreadsheets/d/1yhBcrRPreicbMKl9Bu_Snb2-OcQAF62RKfhTLhJ2eAA/edit?usp=sharing"",""กาฬสินธุ์!I774"")+IMPORTRANGE(""https://docs.google.com/spreadsheets/d/1aHkj4IaQMThhwWwevcOymEh837vdxeC_PycurhTbGFA/edit?usp=sharing"","&amp;"""ขอนแก่น!I774"")+IMPORTRANGE(""https://docs.google.com/spreadsheets/d/1FvTu2DsIWUjP6WCWra38Bkj_oOl_sOMf14r5Fg5srxU/edit?usp=sharing"",""ชัยภูมิ!I774"")+IMPORTRANGE(""https://docs.google.com/spreadsheets/d/1XVB7oCJ3pr-vBUdflwPQ8Z2LlzhnCvZaaYjAfP-647E/edit"&amp;"?usp=sharing"",""นครพนม!I774"")+IMPORTRANGE(""https://docs.google.com/spreadsheets/d/1Mnpb-8PYAgn85W6KOTD40hc_Xc55CaLfHoGAbrZ8tls/edit?usp=sharing"",""นครราชสีมา!I774"")+IMPORTRANGE(""https://docs.google.com/spreadsheets/d/1xoDLGBv9CYbyosIhki0kTq6IpYNj-gp"&amp;"jxfobnaDiut0/edit?usp=sharing"",""บึงกาฬ!I774"")+IMPORTRANGE(""https://docs.google.com/spreadsheets/d/1MMPq-JyI6DSgQETxuSiXkesP-P7JHuemnE6QJIa-Nlw/edit?usp=sharing"",""บุรีรัมย์!I774"")+IMPORTRANGE(""https://docs.google.com/spreadsheets/d/1l6IZ8xUPgMrESzc"&amp;"TYwhA1k_tPjeQjJPTqlm8Gd9eU5g/edit?usp=sharing"",""มหาสารคาม!I774"")+IMPORTRANGE(""https://docs.google.com/spreadsheets/d/1uB74YLqNjWX6FObjekfB2NtSYigTQyR2rq9u4Ub2Sq4/edit?usp=sharing"",""มุกดาหาร!I774"")+IMPORTRANGE(""https://docs.google.com/spreadsheets/"&amp;"d/1NexK3geCPxCTO1fzNF8dPec7yZyUx3OaWkFBC9HsQOo/edit?usp=sharing"",""ยโสธร!I774"")+IMPORTRANGE(""https://docs.google.com/spreadsheets/d/1v_cJrbBlyqmnHPReHk44g9NrMRdENNlSy_E_c5M9fIg/edit?usp=sharing"",""ร้อยเอ็ด!I774"")+IMPORTRANGE(""https://docs.google.com"&amp;"/spreadsheets/d/1Ul4RCpCX66NxYADU1QpwAPjOmBzW64SsT11s1wzXw_c/edit?usp=sharing"",""เลย!I774"")+IMPORTRANGE(""https://docs.google.com/spreadsheets/d/1bRrNKwbHDVktQG10isr5vbWRtt5spIZPpkOSWgbT5ug/edit?usp=sharing"",""ศรีสะเกษ!I774"")+IMPORTRANGE(""https://doc"&amp;"s.google.com/spreadsheets/d/17P34_Ow5kFBfdQD0qspb2UuPX5zpi6WMrQzslghyvrI/edit?usp=sharing"",""สกลนคร!I774"")+IMPORTRANGE(""https://docs.google.com/spreadsheets/d/1yswqbM3-AEpThF3ZSUa1AcmHnmRTF1vlJ1CZGcJ8YuU/edit?usp=sharing"",""สุรินทร์!I774"")+IMPORTRANG"&amp;"E(""https://docs.google.com/spreadsheets/d/13JHU_EFbsQOUQ0JSQ3dWy1VTRosIWcDq6Nc99z2qzdc/edit?usp=sharing"",""หนองคาย!I774"")+IMPORTRANGE(""https://docs.google.com/spreadsheets/d/1Hx73zIEgVdDZZaYSTc46Dqv64atFhpr3GelxLbaIN8A/edit?usp=sharing"",""หนองบัวลำภู"&amp;"!I774"")+IMPORTRANGE(""https://docs.google.com/spreadsheets/d/1lFxr3ctmjFN90yc-xV6jrQ9Ty8BKYVBWnAZ15wcNIJc/edit?usp=sharing"",""อำนาจเจริญ!I774"")+IMPORTRANGE(""https://docs.google.com/spreadsheets/d/1gF7RJpRnL-1oyjyeWxs5SFWEH7y8ahOZsQlyp2A2e-A/edit?usp=s"&amp;"haring"",""อุดรธานี!I774"")+IMPORTRANGE(""https://docs.google.com/spreadsheets/d/1kfLP0j3INXRa8bTDpcEmoWewMBV61jlFlfzczfjWIgc/edit?usp=sharing"",""อุบลราชธานี!I774"")"),5255)</f>
        <v>5255</v>
      </c>
      <c r="J774" s="195">
        <f ca="1">IFERROR(__xludf.DUMMYFUNCTION("IMPORTRANGE(""https://docs.google.com/spreadsheets/d/1yhBcrRPreicbMKl9Bu_Snb2-OcQAF62RKfhTLhJ2eAA/edit?usp=sharing"",""กาฬสินธุ์!J774"")+IMPORTRANGE(""https://docs.google.com/spreadsheets/d/1aHkj4IaQMThhwWwevcOymEh837vdxeC_PycurhTbGFA/edit?usp=sharing"","&amp;"""ขอนแก่น!J774"")+IMPORTRANGE(""https://docs.google.com/spreadsheets/d/1FvTu2DsIWUjP6WCWra38Bkj_oOl_sOMf14r5Fg5srxU/edit?usp=sharing"",""ชัยภูมิ!J774"")+IMPORTRANGE(""https://docs.google.com/spreadsheets/d/1XVB7oCJ3pr-vBUdflwPQ8Z2LlzhnCvZaaYjAfP-647E/edit"&amp;"?usp=sharing"",""นครพนม!J774"")+IMPORTRANGE(""https://docs.google.com/spreadsheets/d/1Mnpb-8PYAgn85W6KOTD40hc_Xc55CaLfHoGAbrZ8tls/edit?usp=sharing"",""นครราชสีมา!J774"")+IMPORTRANGE(""https://docs.google.com/spreadsheets/d/1xoDLGBv9CYbyosIhki0kTq6IpYNj-gp"&amp;"jxfobnaDiut0/edit?usp=sharing"",""บึงกาฬ!J774"")+IMPORTRANGE(""https://docs.google.com/spreadsheets/d/1MMPq-JyI6DSgQETxuSiXkesP-P7JHuemnE6QJIa-Nlw/edit?usp=sharing"",""บุรีรัมย์!J774"")+IMPORTRANGE(""https://docs.google.com/spreadsheets/d/1l6IZ8xUPgMrESzc"&amp;"TYwhA1k_tPjeQjJPTqlm8Gd9eU5g/edit?usp=sharing"",""มหาสารคาม!J774"")+IMPORTRANGE(""https://docs.google.com/spreadsheets/d/1uB74YLqNjWX6FObjekfB2NtSYigTQyR2rq9u4Ub2Sq4/edit?usp=sharing"",""มุกดาหาร!J774"")+IMPORTRANGE(""https://docs.google.com/spreadsheets/"&amp;"d/1NexK3geCPxCTO1fzNF8dPec7yZyUx3OaWkFBC9HsQOo/edit?usp=sharing"",""ยโสธร!J774"")+IMPORTRANGE(""https://docs.google.com/spreadsheets/d/1v_cJrbBlyqmnHPReHk44g9NrMRdENNlSy_E_c5M9fIg/edit?usp=sharing"",""ร้อยเอ็ด!J774"")+IMPORTRANGE(""https://docs.google.com"&amp;"/spreadsheets/d/1Ul4RCpCX66NxYADU1QpwAPjOmBzW64SsT11s1wzXw_c/edit?usp=sharing"",""เลย!J774"")+IMPORTRANGE(""https://docs.google.com/spreadsheets/d/1bRrNKwbHDVktQG10isr5vbWRtt5spIZPpkOSWgbT5ug/edit?usp=sharing"",""ศรีสะเกษ!J774"")+IMPORTRANGE(""https://doc"&amp;"s.google.com/spreadsheets/d/17P34_Ow5kFBfdQD0qspb2UuPX5zpi6WMrQzslghyvrI/edit?usp=sharing"",""สกลนคร!J774"")+IMPORTRANGE(""https://docs.google.com/spreadsheets/d/1yswqbM3-AEpThF3ZSUa1AcmHnmRTF1vlJ1CZGcJ8YuU/edit?usp=sharing"",""สุรินทร์!J774"")+IMPORTRANG"&amp;"E(""https://docs.google.com/spreadsheets/d/13JHU_EFbsQOUQ0JSQ3dWy1VTRosIWcDq6Nc99z2qzdc/edit?usp=sharing"",""หนองคาย!J774"")+IMPORTRANGE(""https://docs.google.com/spreadsheets/d/1Hx73zIEgVdDZZaYSTc46Dqv64atFhpr3GelxLbaIN8A/edit?usp=sharing"",""หนองบัวลำภู"&amp;"!J774"")+IMPORTRANGE(""https://docs.google.com/spreadsheets/d/1lFxr3ctmjFN90yc-xV6jrQ9Ty8BKYVBWnAZ15wcNIJc/edit?usp=sharing"",""อำนาจเจริญ!J774"")+IMPORTRANGE(""https://docs.google.com/spreadsheets/d/1gF7RJpRnL-1oyjyeWxs5SFWEH7y8ahOZsQlyp2A2e-A/edit?usp=s"&amp;"haring"",""อุดรธานี!J774"")+IMPORTRANGE(""https://docs.google.com/spreadsheets/d/1kfLP0j3INXRa8bTDpcEmoWewMBV61jlFlfzczfjWIgc/edit?usp=sharing"",""อุบลราชธานี!J774"")"),2780)</f>
        <v>2780</v>
      </c>
      <c r="K774" s="56">
        <f ca="1">IF(I774&gt;0,J774*100/I774,0)</f>
        <v>52.901998097050431</v>
      </c>
      <c r="L774" s="55"/>
      <c r="M774" s="55"/>
      <c r="N774" s="55"/>
      <c r="O774" s="55"/>
      <c r="P774" s="55"/>
      <c r="Q774" s="55"/>
      <c r="R774" s="55"/>
      <c r="S774" s="62"/>
      <c r="T774" s="55"/>
      <c r="U774" s="55"/>
    </row>
    <row r="775" spans="1:21" ht="18.75">
      <c r="A775" s="166"/>
      <c r="B775" s="167"/>
      <c r="C775" s="167"/>
      <c r="D775" s="460" t="s">
        <v>50</v>
      </c>
      <c r="E775" s="174"/>
      <c r="F775" s="50"/>
      <c r="G775" s="52"/>
      <c r="H775" s="165" t="s">
        <v>46</v>
      </c>
      <c r="I775" s="181">
        <f ca="1">IFERROR(__xludf.DUMMYFUNCTION("IMPORTRANGE(""https://docs.google.com/spreadsheets/d/1yhBcrRPreicbMKl9Bu_Snb2-OcQAF62RKfhTLhJ2eAA/edit?usp=sharing"",""กาฬสินธุ์!I775"")+IMPORTRANGE(""https://docs.google.com/spreadsheets/d/1aHkj4IaQMThhwWwevcOymEh837vdxeC_PycurhTbGFA/edit?usp=sharing"","&amp;"""ขอนแก่น!I775"")+IMPORTRANGE(""https://docs.google.com/spreadsheets/d/1FvTu2DsIWUjP6WCWra38Bkj_oOl_sOMf14r5Fg5srxU/edit?usp=sharing"",""ชัยภูมิ!I775"")+IMPORTRANGE(""https://docs.google.com/spreadsheets/d/1XVB7oCJ3pr-vBUdflwPQ8Z2LlzhnCvZaaYjAfP-647E/edit"&amp;"?usp=sharing"",""นครพนม!I775"")+IMPORTRANGE(""https://docs.google.com/spreadsheets/d/1Mnpb-8PYAgn85W6KOTD40hc_Xc55CaLfHoGAbrZ8tls/edit?usp=sharing"",""นครราชสีมา!I775"")+IMPORTRANGE(""https://docs.google.com/spreadsheets/d/1xoDLGBv9CYbyosIhki0kTq6IpYNj-gp"&amp;"jxfobnaDiut0/edit?usp=sharing"",""บึงกาฬ!I775"")+IMPORTRANGE(""https://docs.google.com/spreadsheets/d/1MMPq-JyI6DSgQETxuSiXkesP-P7JHuemnE6QJIa-Nlw/edit?usp=sharing"",""บุรีรัมย์!I775"")+IMPORTRANGE(""https://docs.google.com/spreadsheets/d/1l6IZ8xUPgMrESzc"&amp;"TYwhA1k_tPjeQjJPTqlm8Gd9eU5g/edit?usp=sharing"",""มหาสารคาม!I775"")+IMPORTRANGE(""https://docs.google.com/spreadsheets/d/1uB74YLqNjWX6FObjekfB2NtSYigTQyR2rq9u4Ub2Sq4/edit?usp=sharing"",""มุกดาหาร!I775"")+IMPORTRANGE(""https://docs.google.com/spreadsheets/"&amp;"d/1NexK3geCPxCTO1fzNF8dPec7yZyUx3OaWkFBC9HsQOo/edit?usp=sharing"",""ยโสธร!I775"")+IMPORTRANGE(""https://docs.google.com/spreadsheets/d/1v_cJrbBlyqmnHPReHk44g9NrMRdENNlSy_E_c5M9fIg/edit?usp=sharing"",""ร้อยเอ็ด!I775"")+IMPORTRANGE(""https://docs.google.com"&amp;"/spreadsheets/d/1Ul4RCpCX66NxYADU1QpwAPjOmBzW64SsT11s1wzXw_c/edit?usp=sharing"",""เลย!I775"")+IMPORTRANGE(""https://docs.google.com/spreadsheets/d/1bRrNKwbHDVktQG10isr5vbWRtt5spIZPpkOSWgbT5ug/edit?usp=sharing"",""ศรีสะเกษ!I775"")+IMPORTRANGE(""https://doc"&amp;"s.google.com/spreadsheets/d/17P34_Ow5kFBfdQD0qspb2UuPX5zpi6WMrQzslghyvrI/edit?usp=sharing"",""สกลนคร!I775"")+IMPORTRANGE(""https://docs.google.com/spreadsheets/d/1yswqbM3-AEpThF3ZSUa1AcmHnmRTF1vlJ1CZGcJ8YuU/edit?usp=sharing"",""สุรินทร์!I775"")+IMPORTRANG"&amp;"E(""https://docs.google.com/spreadsheets/d/13JHU_EFbsQOUQ0JSQ3dWy1VTRosIWcDq6Nc99z2qzdc/edit?usp=sharing"",""หนองคาย!I775"")+IMPORTRANGE(""https://docs.google.com/spreadsheets/d/1Hx73zIEgVdDZZaYSTc46Dqv64atFhpr3GelxLbaIN8A/edit?usp=sharing"",""หนองบัวลำภู"&amp;"!I775"")+IMPORTRANGE(""https://docs.google.com/spreadsheets/d/1lFxr3ctmjFN90yc-xV6jrQ9Ty8BKYVBWnAZ15wcNIJc/edit?usp=sharing"",""อำนาจเจริญ!I775"")+IMPORTRANGE(""https://docs.google.com/spreadsheets/d/1gF7RJpRnL-1oyjyeWxs5SFWEH7y8ahOZsQlyp2A2e-A/edit?usp=s"&amp;"haring"",""อุดรธานี!I775"")+IMPORTRANGE(""https://docs.google.com/spreadsheets/d/1kfLP0j3INXRa8bTDpcEmoWewMBV61jlFlfzczfjWIgc/edit?usp=sharing"",""อุบลราชธานี!I775"")"),5255)</f>
        <v>5255</v>
      </c>
      <c r="J775" s="195">
        <f ca="1">IFERROR(__xludf.DUMMYFUNCTION("IMPORTRANGE(""https://docs.google.com/spreadsheets/d/1yhBcrRPreicbMKl9Bu_Snb2-OcQAF62RKfhTLhJ2eAA/edit?usp=sharing"",""กาฬสินธุ์!J775"")+IMPORTRANGE(""https://docs.google.com/spreadsheets/d/1aHkj4IaQMThhwWwevcOymEh837vdxeC_PycurhTbGFA/edit?usp=sharing"","&amp;"""ขอนแก่น!J775"")+IMPORTRANGE(""https://docs.google.com/spreadsheets/d/1FvTu2DsIWUjP6WCWra38Bkj_oOl_sOMf14r5Fg5srxU/edit?usp=sharing"",""ชัยภูมิ!J775"")+IMPORTRANGE(""https://docs.google.com/spreadsheets/d/1XVB7oCJ3pr-vBUdflwPQ8Z2LlzhnCvZaaYjAfP-647E/edit"&amp;"?usp=sharing"",""นครพนม!J775"")+IMPORTRANGE(""https://docs.google.com/spreadsheets/d/1Mnpb-8PYAgn85W6KOTD40hc_Xc55CaLfHoGAbrZ8tls/edit?usp=sharing"",""นครราชสีมา!J775"")+IMPORTRANGE(""https://docs.google.com/spreadsheets/d/1xoDLGBv9CYbyosIhki0kTq6IpYNj-gp"&amp;"jxfobnaDiut0/edit?usp=sharing"",""บึงกาฬ!J775"")+IMPORTRANGE(""https://docs.google.com/spreadsheets/d/1MMPq-JyI6DSgQETxuSiXkesP-P7JHuemnE6QJIa-Nlw/edit?usp=sharing"",""บุรีรัมย์!J775"")+IMPORTRANGE(""https://docs.google.com/spreadsheets/d/1l6IZ8xUPgMrESzc"&amp;"TYwhA1k_tPjeQjJPTqlm8Gd9eU5g/edit?usp=sharing"",""มหาสารคาม!J775"")+IMPORTRANGE(""https://docs.google.com/spreadsheets/d/1uB74YLqNjWX6FObjekfB2NtSYigTQyR2rq9u4Ub2Sq4/edit?usp=sharing"",""มุกดาหาร!J775"")+IMPORTRANGE(""https://docs.google.com/spreadsheets/"&amp;"d/1NexK3geCPxCTO1fzNF8dPec7yZyUx3OaWkFBC9HsQOo/edit?usp=sharing"",""ยโสธร!J775"")+IMPORTRANGE(""https://docs.google.com/spreadsheets/d/1v_cJrbBlyqmnHPReHk44g9NrMRdENNlSy_E_c5M9fIg/edit?usp=sharing"",""ร้อยเอ็ด!J775"")+IMPORTRANGE(""https://docs.google.com"&amp;"/spreadsheets/d/1Ul4RCpCX66NxYADU1QpwAPjOmBzW64SsT11s1wzXw_c/edit?usp=sharing"",""เลย!J775"")+IMPORTRANGE(""https://docs.google.com/spreadsheets/d/1bRrNKwbHDVktQG10isr5vbWRtt5spIZPpkOSWgbT5ug/edit?usp=sharing"",""ศรีสะเกษ!J775"")+IMPORTRANGE(""https://doc"&amp;"s.google.com/spreadsheets/d/17P34_Ow5kFBfdQD0qspb2UuPX5zpi6WMrQzslghyvrI/edit?usp=sharing"",""สกลนคร!J775"")+IMPORTRANGE(""https://docs.google.com/spreadsheets/d/1yswqbM3-AEpThF3ZSUa1AcmHnmRTF1vlJ1CZGcJ8YuU/edit?usp=sharing"",""สุรินทร์!J775"")+IMPORTRANG"&amp;"E(""https://docs.google.com/spreadsheets/d/13JHU_EFbsQOUQ0JSQ3dWy1VTRosIWcDq6Nc99z2qzdc/edit?usp=sharing"",""หนองคาย!J775"")+IMPORTRANGE(""https://docs.google.com/spreadsheets/d/1Hx73zIEgVdDZZaYSTc46Dqv64atFhpr3GelxLbaIN8A/edit?usp=sharing"",""หนองบัวลำภู"&amp;"!J775"")+IMPORTRANGE(""https://docs.google.com/spreadsheets/d/1lFxr3ctmjFN90yc-xV6jrQ9Ty8BKYVBWnAZ15wcNIJc/edit?usp=sharing"",""อำนาจเจริญ!J775"")+IMPORTRANGE(""https://docs.google.com/spreadsheets/d/1gF7RJpRnL-1oyjyeWxs5SFWEH7y8ahOZsQlyp2A2e-A/edit?usp=s"&amp;"haring"",""อุดรธานี!J775"")+IMPORTRANGE(""https://docs.google.com/spreadsheets/d/1kfLP0j3INXRa8bTDpcEmoWewMBV61jlFlfzczfjWIgc/edit?usp=sharing"",""อุบลราชธานี!J775"")"),500)</f>
        <v>500</v>
      </c>
      <c r="K775" s="55"/>
      <c r="L775" s="55"/>
      <c r="M775" s="55"/>
      <c r="N775" s="55"/>
      <c r="O775" s="55"/>
      <c r="P775" s="55"/>
      <c r="Q775" s="55"/>
      <c r="R775" s="55"/>
      <c r="S775" s="62"/>
      <c r="T775" s="55"/>
      <c r="U775" s="55"/>
    </row>
    <row r="776" spans="1:21" ht="18.75">
      <c r="A776" s="281"/>
      <c r="B776" s="282"/>
      <c r="C776" s="282"/>
      <c r="D776" s="282"/>
      <c r="E776" s="2"/>
      <c r="F776" s="2"/>
      <c r="G776" s="65"/>
      <c r="H776" s="214" t="s">
        <v>35</v>
      </c>
      <c r="I776" s="215">
        <f ca="1">IFERROR(__xludf.DUMMYFUNCTION("IMPORTRANGE(""https://docs.google.com/spreadsheets/d/1yhBcrRPreicbMKl9Bu_Snb2-OcQAF62RKfhTLhJ2eAA/edit?usp=sharing"",""กาฬสินธุ์!I776"")+IMPORTRANGE(""https://docs.google.com/spreadsheets/d/1aHkj4IaQMThhwWwevcOymEh837vdxeC_PycurhTbGFA/edit?usp=sharing"","&amp;"""ขอนแก่น!I776"")+IMPORTRANGE(""https://docs.google.com/spreadsheets/d/1FvTu2DsIWUjP6WCWra38Bkj_oOl_sOMf14r5Fg5srxU/edit?usp=sharing"",""ชัยภูมิ!I776"")+IMPORTRANGE(""https://docs.google.com/spreadsheets/d/1XVB7oCJ3pr-vBUdflwPQ8Z2LlzhnCvZaaYjAfP-647E/edit"&amp;"?usp=sharing"",""นครพนม!I776"")+IMPORTRANGE(""https://docs.google.com/spreadsheets/d/1Mnpb-8PYAgn85W6KOTD40hc_Xc55CaLfHoGAbrZ8tls/edit?usp=sharing"",""นครราชสีมา!I776"")+IMPORTRANGE(""https://docs.google.com/spreadsheets/d/1xoDLGBv9CYbyosIhki0kTq6IpYNj-gp"&amp;"jxfobnaDiut0/edit?usp=sharing"",""บึงกาฬ!I776"")+IMPORTRANGE(""https://docs.google.com/spreadsheets/d/1MMPq-JyI6DSgQETxuSiXkesP-P7JHuemnE6QJIa-Nlw/edit?usp=sharing"",""บุรีรัมย์!I776"")+IMPORTRANGE(""https://docs.google.com/spreadsheets/d/1l6IZ8xUPgMrESzc"&amp;"TYwhA1k_tPjeQjJPTqlm8Gd9eU5g/edit?usp=sharing"",""มหาสารคาม!I776"")+IMPORTRANGE(""https://docs.google.com/spreadsheets/d/1uB74YLqNjWX6FObjekfB2NtSYigTQyR2rq9u4Ub2Sq4/edit?usp=sharing"",""มุกดาหาร!I776"")+IMPORTRANGE(""https://docs.google.com/spreadsheets/"&amp;"d/1NexK3geCPxCTO1fzNF8dPec7yZyUx3OaWkFBC9HsQOo/edit?usp=sharing"",""ยโสธร!I776"")+IMPORTRANGE(""https://docs.google.com/spreadsheets/d/1v_cJrbBlyqmnHPReHk44g9NrMRdENNlSy_E_c5M9fIg/edit?usp=sharing"",""ร้อยเอ็ด!I776"")+IMPORTRANGE(""https://docs.google.com"&amp;"/spreadsheets/d/1Ul4RCpCX66NxYADU1QpwAPjOmBzW64SsT11s1wzXw_c/edit?usp=sharing"",""เลย!I776"")+IMPORTRANGE(""https://docs.google.com/spreadsheets/d/1bRrNKwbHDVktQG10isr5vbWRtt5spIZPpkOSWgbT5ug/edit?usp=sharing"",""ศรีสะเกษ!I776"")+IMPORTRANGE(""https://doc"&amp;"s.google.com/spreadsheets/d/17P34_Ow5kFBfdQD0qspb2UuPX5zpi6WMrQzslghyvrI/edit?usp=sharing"",""สกลนคร!I776"")+IMPORTRANGE(""https://docs.google.com/spreadsheets/d/1yswqbM3-AEpThF3ZSUa1AcmHnmRTF1vlJ1CZGcJ8YuU/edit?usp=sharing"",""สุรินทร์!I776"")+IMPORTRANG"&amp;"E(""https://docs.google.com/spreadsheets/d/13JHU_EFbsQOUQ0JSQ3dWy1VTRosIWcDq6Nc99z2qzdc/edit?usp=sharing"",""หนองคาย!I776"")+IMPORTRANGE(""https://docs.google.com/spreadsheets/d/1Hx73zIEgVdDZZaYSTc46Dqv64atFhpr3GelxLbaIN8A/edit?usp=sharing"",""หนองบัวลำภู"&amp;"!I776"")+IMPORTRANGE(""https://docs.google.com/spreadsheets/d/1lFxr3ctmjFN90yc-xV6jrQ9Ty8BKYVBWnAZ15wcNIJc/edit?usp=sharing"",""อำนาจเจริญ!I776"")+IMPORTRANGE(""https://docs.google.com/spreadsheets/d/1gF7RJpRnL-1oyjyeWxs5SFWEH7y8ahOZsQlyp2A2e-A/edit?usp=s"&amp;"haring"",""อุดรธานี!I776"")+IMPORTRANGE(""https://docs.google.com/spreadsheets/d/1kfLP0j3INXRa8bTDpcEmoWewMBV61jlFlfzczfjWIgc/edit?usp=sharing"",""อุบลราชธานี!I776"")"),1460)</f>
        <v>1460</v>
      </c>
      <c r="J776" s="379">
        <f ca="1">IFERROR(__xludf.DUMMYFUNCTION("IMPORTRANGE(""https://docs.google.com/spreadsheets/d/1yhBcrRPreicbMKl9Bu_Snb2-OcQAF62RKfhTLhJ2eAA/edit?usp=sharing"",""กาฬสินธุ์!J776"")+IMPORTRANGE(""https://docs.google.com/spreadsheets/d/1aHkj4IaQMThhwWwevcOymEh837vdxeC_PycurhTbGFA/edit?usp=sharing"","&amp;"""ขอนแก่น!J776"")+IMPORTRANGE(""https://docs.google.com/spreadsheets/d/1FvTu2DsIWUjP6WCWra38Bkj_oOl_sOMf14r5Fg5srxU/edit?usp=sharing"",""ชัยภูมิ!J776"")+IMPORTRANGE(""https://docs.google.com/spreadsheets/d/1XVB7oCJ3pr-vBUdflwPQ8Z2LlzhnCvZaaYjAfP-647E/edit"&amp;"?usp=sharing"",""นครพนม!J776"")+IMPORTRANGE(""https://docs.google.com/spreadsheets/d/1Mnpb-8PYAgn85W6KOTD40hc_Xc55CaLfHoGAbrZ8tls/edit?usp=sharing"",""นครราชสีมา!J776"")+IMPORTRANGE(""https://docs.google.com/spreadsheets/d/1xoDLGBv9CYbyosIhki0kTq6IpYNj-gp"&amp;"jxfobnaDiut0/edit?usp=sharing"",""บึงกาฬ!J776"")+IMPORTRANGE(""https://docs.google.com/spreadsheets/d/1MMPq-JyI6DSgQETxuSiXkesP-P7JHuemnE6QJIa-Nlw/edit?usp=sharing"",""บุรีรัมย์!J776"")+IMPORTRANGE(""https://docs.google.com/spreadsheets/d/1l6IZ8xUPgMrESzc"&amp;"TYwhA1k_tPjeQjJPTqlm8Gd9eU5g/edit?usp=sharing"",""มหาสารคาม!J776"")+IMPORTRANGE(""https://docs.google.com/spreadsheets/d/1uB74YLqNjWX6FObjekfB2NtSYigTQyR2rq9u4Ub2Sq4/edit?usp=sharing"",""มุกดาหาร!J776"")+IMPORTRANGE(""https://docs.google.com/spreadsheets/"&amp;"d/1NexK3geCPxCTO1fzNF8dPec7yZyUx3OaWkFBC9HsQOo/edit?usp=sharing"",""ยโสธร!J776"")+IMPORTRANGE(""https://docs.google.com/spreadsheets/d/1v_cJrbBlyqmnHPReHk44g9NrMRdENNlSy_E_c5M9fIg/edit?usp=sharing"",""ร้อยเอ็ด!J776"")+IMPORTRANGE(""https://docs.google.com"&amp;"/spreadsheets/d/1Ul4RCpCX66NxYADU1QpwAPjOmBzW64SsT11s1wzXw_c/edit?usp=sharing"",""เลย!J776"")+IMPORTRANGE(""https://docs.google.com/spreadsheets/d/1bRrNKwbHDVktQG10isr5vbWRtt5spIZPpkOSWgbT5ug/edit?usp=sharing"",""ศรีสะเกษ!J776"")+IMPORTRANGE(""https://doc"&amp;"s.google.com/spreadsheets/d/17P34_Ow5kFBfdQD0qspb2UuPX5zpi6WMrQzslghyvrI/edit?usp=sharing"",""สกลนคร!J776"")+IMPORTRANGE(""https://docs.google.com/spreadsheets/d/1yswqbM3-AEpThF3ZSUa1AcmHnmRTF1vlJ1CZGcJ8YuU/edit?usp=sharing"",""สุรินทร์!J776"")+IMPORTRANG"&amp;"E(""https://docs.google.com/spreadsheets/d/13JHU_EFbsQOUQ0JSQ3dWy1VTRosIWcDq6Nc99z2qzdc/edit?usp=sharing"",""หนองคาย!J776"")+IMPORTRANGE(""https://docs.google.com/spreadsheets/d/1Hx73zIEgVdDZZaYSTc46Dqv64atFhpr3GelxLbaIN8A/edit?usp=sharing"",""หนองบัวลำภู"&amp;"!J776"")+IMPORTRANGE(""https://docs.google.com/spreadsheets/d/1lFxr3ctmjFN90yc-xV6jrQ9Ty8BKYVBWnAZ15wcNIJc/edit?usp=sharing"",""อำนาจเจริญ!J776"")+IMPORTRANGE(""https://docs.google.com/spreadsheets/d/1gF7RJpRnL-1oyjyeWxs5SFWEH7y8ahOZsQlyp2A2e-A/edit?usp=s"&amp;"haring"",""อุดรธานี!J776"")+IMPORTRANGE(""https://docs.google.com/spreadsheets/d/1kfLP0j3INXRa8bTDpcEmoWewMBV61jlFlfzczfjWIgc/edit?usp=sharing"",""อุบลราชธานี!J776"")"),160)</f>
        <v>160</v>
      </c>
      <c r="K776" s="6"/>
      <c r="L776" s="6"/>
      <c r="M776" s="6"/>
      <c r="N776" s="6"/>
      <c r="O776" s="6"/>
      <c r="P776" s="6"/>
      <c r="Q776" s="6"/>
      <c r="R776" s="6"/>
      <c r="S776" s="68"/>
      <c r="T776" s="6"/>
      <c r="U776" s="6"/>
    </row>
    <row r="777" spans="1:21" ht="19.5">
      <c r="A777" s="498" t="s">
        <v>292</v>
      </c>
      <c r="B777" s="499"/>
      <c r="C777" s="499"/>
      <c r="D777" s="499"/>
      <c r="E777" s="500"/>
      <c r="F777" s="500"/>
      <c r="G777" s="501"/>
      <c r="H777" s="502" t="str">
        <f ca="1">IFERROR(__xludf.DUMMYFUNCTION("IMPORTRANGE(""https://docs.google.com/spreadsheets/d/1gNPQPjxUj63ZZXIIIm2aX4x3w7PhAZpC9JuXdbpWwUQ/edit?usp=sharing"",""Sheet1!b2"")")," (ข้อมูล ณ 31 มี.ค. 67)")</f>
        <v xml:space="preserve"> (ข้อมูล ณ 31 มี.ค. 67)</v>
      </c>
      <c r="I777" s="503"/>
      <c r="J777" s="504"/>
      <c r="K777" s="505"/>
      <c r="L777" s="505"/>
      <c r="M777" s="505"/>
      <c r="N777" s="505"/>
      <c r="O777" s="505"/>
      <c r="P777" s="505"/>
      <c r="Q777" s="505"/>
      <c r="R777" s="505"/>
      <c r="S777" s="505"/>
      <c r="T777" s="505"/>
      <c r="U777" s="505"/>
    </row>
    <row r="778" spans="1:21" ht="18.75">
      <c r="A778" s="238"/>
      <c r="B778" s="239" t="s">
        <v>293</v>
      </c>
      <c r="C778" s="188"/>
      <c r="D778" s="188"/>
      <c r="E778" s="50"/>
      <c r="F778" s="50"/>
      <c r="G778" s="52"/>
      <c r="H778" s="161" t="s">
        <v>14</v>
      </c>
      <c r="I778" s="212">
        <f ca="1">IFERROR(__xludf.DUMMYFUNCTION("IMPORTRANGE(""https://docs.google.com/spreadsheets/d/1yhBcrRPreicbMKl9Bu_Snb2-OcQAF62RKfhTLhJ2eAA/edit?usp=sharing"",""กาฬสินธุ์!I778"")+IMPORTRANGE(""https://docs.google.com/spreadsheets/d/1aHkj4IaQMThhwWwevcOymEh837vdxeC_PycurhTbGFA/edit?usp=sharing"","&amp;"""ขอนแก่น!I778"")+IMPORTRANGE(""https://docs.google.com/spreadsheets/d/1FvTu2DsIWUjP6WCWra38Bkj_oOl_sOMf14r5Fg5srxU/edit?usp=sharing"",""ชัยภูมิ!I778"")+IMPORTRANGE(""https://docs.google.com/spreadsheets/d/1XVB7oCJ3pr-vBUdflwPQ8Z2LlzhnCvZaaYjAfP-647E/edit"&amp;"?usp=sharing"",""นครพนม!I778"")+IMPORTRANGE(""https://docs.google.com/spreadsheets/d/1Mnpb-8PYAgn85W6KOTD40hc_Xc55CaLfHoGAbrZ8tls/edit?usp=sharing"",""นครราชสีมา!I778"")+IMPORTRANGE(""https://docs.google.com/spreadsheets/d/1xoDLGBv9CYbyosIhki0kTq6IpYNj-gp"&amp;"jxfobnaDiut0/edit?usp=sharing"",""บึงกาฬ!I778"")+IMPORTRANGE(""https://docs.google.com/spreadsheets/d/1MMPq-JyI6DSgQETxuSiXkesP-P7JHuemnE6QJIa-Nlw/edit?usp=sharing"",""บุรีรัมย์!I778"")+IMPORTRANGE(""https://docs.google.com/spreadsheets/d/1l6IZ8xUPgMrESzc"&amp;"TYwhA1k_tPjeQjJPTqlm8Gd9eU5g/edit?usp=sharing"",""มหาสารคาม!I778"")+IMPORTRANGE(""https://docs.google.com/spreadsheets/d/1uB74YLqNjWX6FObjekfB2NtSYigTQyR2rq9u4Ub2Sq4/edit?usp=sharing"",""มุกดาหาร!I778"")+IMPORTRANGE(""https://docs.google.com/spreadsheets/"&amp;"d/1NexK3geCPxCTO1fzNF8dPec7yZyUx3OaWkFBC9HsQOo/edit?usp=sharing"",""ยโสธร!I778"")+IMPORTRANGE(""https://docs.google.com/spreadsheets/d/1v_cJrbBlyqmnHPReHk44g9NrMRdENNlSy_E_c5M9fIg/edit?usp=sharing"",""ร้อยเอ็ด!I778"")+IMPORTRANGE(""https://docs.google.com"&amp;"/spreadsheets/d/1Ul4RCpCX66NxYADU1QpwAPjOmBzW64SsT11s1wzXw_c/edit?usp=sharing"",""เลย!I778"")+IMPORTRANGE(""https://docs.google.com/spreadsheets/d/1bRrNKwbHDVktQG10isr5vbWRtt5spIZPpkOSWgbT5ug/edit?usp=sharing"",""ศรีสะเกษ!I778"")+IMPORTRANGE(""https://doc"&amp;"s.google.com/spreadsheets/d/17P34_Ow5kFBfdQD0qspb2UuPX5zpi6WMrQzslghyvrI/edit?usp=sharing"",""สกลนคร!I778"")+IMPORTRANGE(""https://docs.google.com/spreadsheets/d/1yswqbM3-AEpThF3ZSUa1AcmHnmRTF1vlJ1CZGcJ8YuU/edit?usp=sharing"",""สุรินทร์!I778"")+IMPORTRANG"&amp;"E(""https://docs.google.com/spreadsheets/d/13JHU_EFbsQOUQ0JSQ3dWy1VTRosIWcDq6Nc99z2qzdc/edit?usp=sharing"",""หนองคาย!I778"")+IMPORTRANGE(""https://docs.google.com/spreadsheets/d/1Hx73zIEgVdDZZaYSTc46Dqv64atFhpr3GelxLbaIN8A/edit?usp=sharing"",""หนองบัวลำภู"&amp;"!I778"")+IMPORTRANGE(""https://docs.google.com/spreadsheets/d/1lFxr3ctmjFN90yc-xV6jrQ9Ty8BKYVBWnAZ15wcNIJc/edit?usp=sharing"",""อำนาจเจริญ!I778"")+IMPORTRANGE(""https://docs.google.com/spreadsheets/d/1gF7RJpRnL-1oyjyeWxs5SFWEH7y8ahOZsQlyp2A2e-A/edit?usp=s"&amp;"haring"",""อุดรธานี!I778"")+IMPORTRANGE(""https://docs.google.com/spreadsheets/d/1kfLP0j3INXRa8bTDpcEmoWewMBV61jlFlfzczfjWIgc/edit?usp=sharing"",""อุบลราชธานี!I778"")"),134310448.549999)</f>
        <v>134310448.549999</v>
      </c>
      <c r="J778" s="212">
        <f ca="1">IFERROR(__xludf.DUMMYFUNCTION("IMPORTRANGE(""https://docs.google.com/spreadsheets/d/1yhBcrRPreicbMKl9Bu_Snb2-OcQAF62RKfhTLhJ2eAA/edit?usp=sharing"",""กาฬสินธุ์!J778"")+IMPORTRANGE(""https://docs.google.com/spreadsheets/d/1aHkj4IaQMThhwWwevcOymEh837vdxeC_PycurhTbGFA/edit?usp=sharing"","&amp;"""ขอนแก่น!J778"")+IMPORTRANGE(""https://docs.google.com/spreadsheets/d/1FvTu2DsIWUjP6WCWra38Bkj_oOl_sOMf14r5Fg5srxU/edit?usp=sharing"",""ชัยภูมิ!J778"")+IMPORTRANGE(""https://docs.google.com/spreadsheets/d/1XVB7oCJ3pr-vBUdflwPQ8Z2LlzhnCvZaaYjAfP-647E/edit"&amp;"?usp=sharing"",""นครพนม!J778"")+IMPORTRANGE(""https://docs.google.com/spreadsheets/d/1Mnpb-8PYAgn85W6KOTD40hc_Xc55CaLfHoGAbrZ8tls/edit?usp=sharing"",""นครราชสีมา!J778"")+IMPORTRANGE(""https://docs.google.com/spreadsheets/d/1xoDLGBv9CYbyosIhki0kTq6IpYNj-gp"&amp;"jxfobnaDiut0/edit?usp=sharing"",""บึงกาฬ!J778"")+IMPORTRANGE(""https://docs.google.com/spreadsheets/d/1MMPq-JyI6DSgQETxuSiXkesP-P7JHuemnE6QJIa-Nlw/edit?usp=sharing"",""บุรีรัมย์!J778"")+IMPORTRANGE(""https://docs.google.com/spreadsheets/d/1l6IZ8xUPgMrESzc"&amp;"TYwhA1k_tPjeQjJPTqlm8Gd9eU5g/edit?usp=sharing"",""มหาสารคาม!J778"")+IMPORTRANGE(""https://docs.google.com/spreadsheets/d/1uB74YLqNjWX6FObjekfB2NtSYigTQyR2rq9u4Ub2Sq4/edit?usp=sharing"",""มุกดาหาร!J778"")+IMPORTRANGE(""https://docs.google.com/spreadsheets/"&amp;"d/1NexK3geCPxCTO1fzNF8dPec7yZyUx3OaWkFBC9HsQOo/edit?usp=sharing"",""ยโสธร!J778"")+IMPORTRANGE(""https://docs.google.com/spreadsheets/d/1v_cJrbBlyqmnHPReHk44g9NrMRdENNlSy_E_c5M9fIg/edit?usp=sharing"",""ร้อยเอ็ด!J778"")+IMPORTRANGE(""https://docs.google.com"&amp;"/spreadsheets/d/1Ul4RCpCX66NxYADU1QpwAPjOmBzW64SsT11s1wzXw_c/edit?usp=sharing"",""เลย!J778"")+IMPORTRANGE(""https://docs.google.com/spreadsheets/d/1bRrNKwbHDVktQG10isr5vbWRtt5spIZPpkOSWgbT5ug/edit?usp=sharing"",""ศรีสะเกษ!J778"")+IMPORTRANGE(""https://doc"&amp;"s.google.com/spreadsheets/d/17P34_Ow5kFBfdQD0qspb2UuPX5zpi6WMrQzslghyvrI/edit?usp=sharing"",""สกลนคร!J778"")+IMPORTRANGE(""https://docs.google.com/spreadsheets/d/1yswqbM3-AEpThF3ZSUa1AcmHnmRTF1vlJ1CZGcJ8YuU/edit?usp=sharing"",""สุรินทร์!J778"")+IMPORTRANG"&amp;"E(""https://docs.google.com/spreadsheets/d/13JHU_EFbsQOUQ0JSQ3dWy1VTRosIWcDq6Nc99z2qzdc/edit?usp=sharing"",""หนองคาย!J778"")+IMPORTRANGE(""https://docs.google.com/spreadsheets/d/1Hx73zIEgVdDZZaYSTc46Dqv64atFhpr3GelxLbaIN8A/edit?usp=sharing"",""หนองบัวลำภู"&amp;"!J778"")+IMPORTRANGE(""https://docs.google.com/spreadsheets/d/1lFxr3ctmjFN90yc-xV6jrQ9Ty8BKYVBWnAZ15wcNIJc/edit?usp=sharing"",""อำนาจเจริญ!J778"")+IMPORTRANGE(""https://docs.google.com/spreadsheets/d/1gF7RJpRnL-1oyjyeWxs5SFWEH7y8ahOZsQlyp2A2e-A/edit?usp=s"&amp;"haring"",""อุดรธานี!J778"")+IMPORTRANGE(""https://docs.google.com/spreadsheets/d/1kfLP0j3INXRa8bTDpcEmoWewMBV61jlFlfzczfjWIgc/edit?usp=sharing"",""อุบลราชธานี!J778"")"),57848205.85)</f>
        <v>57848205.850000001</v>
      </c>
      <c r="K778" s="255">
        <f t="shared" ref="K778:K785" ca="1" si="534">IF(I778&gt;0,J778*100/I778,0)</f>
        <v>43.070517948918301</v>
      </c>
      <c r="L778" s="55"/>
      <c r="M778" s="55"/>
      <c r="N778" s="55"/>
      <c r="O778" s="55"/>
      <c r="P778" s="55"/>
      <c r="Q778" s="55"/>
      <c r="R778" s="55"/>
      <c r="S778" s="55"/>
      <c r="T778" s="55"/>
      <c r="U778" s="55"/>
    </row>
    <row r="779" spans="1:21" ht="18.75">
      <c r="A779" s="238"/>
      <c r="B779" s="188"/>
      <c r="C779" s="188"/>
      <c r="D779" s="188"/>
      <c r="E779" s="50"/>
      <c r="F779" s="50"/>
      <c r="G779" s="52"/>
      <c r="H779" s="161" t="s">
        <v>35</v>
      </c>
      <c r="I779" s="212">
        <f ca="1">IFERROR(__xludf.DUMMYFUNCTION("IMPORTRANGE(""https://docs.google.com/spreadsheets/d/1yhBcrRPreicbMKl9Bu_Snb2-OcQAF62RKfhTLhJ2eAA/edit?usp=sharing"",""กาฬสินธุ์!I779"")+IMPORTRANGE(""https://docs.google.com/spreadsheets/d/1aHkj4IaQMThhwWwevcOymEh837vdxeC_PycurhTbGFA/edit?usp=sharing"","&amp;"""ขอนแก่น!I779"")+IMPORTRANGE(""https://docs.google.com/spreadsheets/d/1FvTu2DsIWUjP6WCWra38Bkj_oOl_sOMf14r5Fg5srxU/edit?usp=sharing"",""ชัยภูมิ!I779"")+IMPORTRANGE(""https://docs.google.com/spreadsheets/d/1XVB7oCJ3pr-vBUdflwPQ8Z2LlzhnCvZaaYjAfP-647E/edit"&amp;"?usp=sharing"",""นครพนม!I779"")+IMPORTRANGE(""https://docs.google.com/spreadsheets/d/1Mnpb-8PYAgn85W6KOTD40hc_Xc55CaLfHoGAbrZ8tls/edit?usp=sharing"",""นครราชสีมา!I779"")+IMPORTRANGE(""https://docs.google.com/spreadsheets/d/1xoDLGBv9CYbyosIhki0kTq6IpYNj-gp"&amp;"jxfobnaDiut0/edit?usp=sharing"",""บึงกาฬ!I779"")+IMPORTRANGE(""https://docs.google.com/spreadsheets/d/1MMPq-JyI6DSgQETxuSiXkesP-P7JHuemnE6QJIa-Nlw/edit?usp=sharing"",""บุรีรัมย์!I779"")+IMPORTRANGE(""https://docs.google.com/spreadsheets/d/1l6IZ8xUPgMrESzc"&amp;"TYwhA1k_tPjeQjJPTqlm8Gd9eU5g/edit?usp=sharing"",""มหาสารคาม!I779"")+IMPORTRANGE(""https://docs.google.com/spreadsheets/d/1uB74YLqNjWX6FObjekfB2NtSYigTQyR2rq9u4Ub2Sq4/edit?usp=sharing"",""มุกดาหาร!I779"")+IMPORTRANGE(""https://docs.google.com/spreadsheets/"&amp;"d/1NexK3geCPxCTO1fzNF8dPec7yZyUx3OaWkFBC9HsQOo/edit?usp=sharing"",""ยโสธร!I779"")+IMPORTRANGE(""https://docs.google.com/spreadsheets/d/1v_cJrbBlyqmnHPReHk44g9NrMRdENNlSy_E_c5M9fIg/edit?usp=sharing"",""ร้อยเอ็ด!I779"")+IMPORTRANGE(""https://docs.google.com"&amp;"/spreadsheets/d/1Ul4RCpCX66NxYADU1QpwAPjOmBzW64SsT11s1wzXw_c/edit?usp=sharing"",""เลย!I779"")+IMPORTRANGE(""https://docs.google.com/spreadsheets/d/1bRrNKwbHDVktQG10isr5vbWRtt5spIZPpkOSWgbT5ug/edit?usp=sharing"",""ศรีสะเกษ!I779"")+IMPORTRANGE(""https://doc"&amp;"s.google.com/spreadsheets/d/17P34_Ow5kFBfdQD0qspb2UuPX5zpi6WMrQzslghyvrI/edit?usp=sharing"",""สกลนคร!I779"")+IMPORTRANGE(""https://docs.google.com/spreadsheets/d/1yswqbM3-AEpThF3ZSUa1AcmHnmRTF1vlJ1CZGcJ8YuU/edit?usp=sharing"",""สุรินทร์!I779"")+IMPORTRANG"&amp;"E(""https://docs.google.com/spreadsheets/d/13JHU_EFbsQOUQ0JSQ3dWy1VTRosIWcDq6Nc99z2qzdc/edit?usp=sharing"",""หนองคาย!I779"")+IMPORTRANGE(""https://docs.google.com/spreadsheets/d/1Hx73zIEgVdDZZaYSTc46Dqv64atFhpr3GelxLbaIN8A/edit?usp=sharing"",""หนองบัวลำภู"&amp;"!I779"")+IMPORTRANGE(""https://docs.google.com/spreadsheets/d/1lFxr3ctmjFN90yc-xV6jrQ9Ty8BKYVBWnAZ15wcNIJc/edit?usp=sharing"",""อำนาจเจริญ!I779"")+IMPORTRANGE(""https://docs.google.com/spreadsheets/d/1gF7RJpRnL-1oyjyeWxs5SFWEH7y8ahOZsQlyp2A2e-A/edit?usp=s"&amp;"haring"",""อุดรธานี!I779"")+IMPORTRANGE(""https://docs.google.com/spreadsheets/d/1kfLP0j3INXRa8bTDpcEmoWewMBV61jlFlfzczfjWIgc/edit?usp=sharing"",""อุบลราชธานี!I779"")"),8284)</f>
        <v>8284</v>
      </c>
      <c r="J779" s="212">
        <f ca="1">IFERROR(__xludf.DUMMYFUNCTION("IMPORTRANGE(""https://docs.google.com/spreadsheets/d/1yhBcrRPreicbMKl9Bu_Snb2-OcQAF62RKfhTLhJ2eAA/edit?usp=sharing"",""กาฬสินธุ์!J779"")+IMPORTRANGE(""https://docs.google.com/spreadsheets/d/1aHkj4IaQMThhwWwevcOymEh837vdxeC_PycurhTbGFA/edit?usp=sharing"","&amp;"""ขอนแก่น!J779"")+IMPORTRANGE(""https://docs.google.com/spreadsheets/d/1FvTu2DsIWUjP6WCWra38Bkj_oOl_sOMf14r5Fg5srxU/edit?usp=sharing"",""ชัยภูมิ!J779"")+IMPORTRANGE(""https://docs.google.com/spreadsheets/d/1XVB7oCJ3pr-vBUdflwPQ8Z2LlzhnCvZaaYjAfP-647E/edit"&amp;"?usp=sharing"",""นครพนม!J779"")+IMPORTRANGE(""https://docs.google.com/spreadsheets/d/1Mnpb-8PYAgn85W6KOTD40hc_Xc55CaLfHoGAbrZ8tls/edit?usp=sharing"",""นครราชสีมา!J779"")+IMPORTRANGE(""https://docs.google.com/spreadsheets/d/1xoDLGBv9CYbyosIhki0kTq6IpYNj-gp"&amp;"jxfobnaDiut0/edit?usp=sharing"",""บึงกาฬ!J779"")+IMPORTRANGE(""https://docs.google.com/spreadsheets/d/1MMPq-JyI6DSgQETxuSiXkesP-P7JHuemnE6QJIa-Nlw/edit?usp=sharing"",""บุรีรัมย์!J779"")+IMPORTRANGE(""https://docs.google.com/spreadsheets/d/1l6IZ8xUPgMrESzc"&amp;"TYwhA1k_tPjeQjJPTqlm8Gd9eU5g/edit?usp=sharing"",""มหาสารคาม!J779"")+IMPORTRANGE(""https://docs.google.com/spreadsheets/d/1uB74YLqNjWX6FObjekfB2NtSYigTQyR2rq9u4Ub2Sq4/edit?usp=sharing"",""มุกดาหาร!J779"")+IMPORTRANGE(""https://docs.google.com/spreadsheets/"&amp;"d/1NexK3geCPxCTO1fzNF8dPec7yZyUx3OaWkFBC9HsQOo/edit?usp=sharing"",""ยโสธร!J779"")+IMPORTRANGE(""https://docs.google.com/spreadsheets/d/1v_cJrbBlyqmnHPReHk44g9NrMRdENNlSy_E_c5M9fIg/edit?usp=sharing"",""ร้อยเอ็ด!J779"")+IMPORTRANGE(""https://docs.google.com"&amp;"/spreadsheets/d/1Ul4RCpCX66NxYADU1QpwAPjOmBzW64SsT11s1wzXw_c/edit?usp=sharing"",""เลย!J779"")+IMPORTRANGE(""https://docs.google.com/spreadsheets/d/1bRrNKwbHDVktQG10isr5vbWRtt5spIZPpkOSWgbT5ug/edit?usp=sharing"",""ศรีสะเกษ!J779"")+IMPORTRANGE(""https://doc"&amp;"s.google.com/spreadsheets/d/17P34_Ow5kFBfdQD0qspb2UuPX5zpi6WMrQzslghyvrI/edit?usp=sharing"",""สกลนคร!J779"")+IMPORTRANGE(""https://docs.google.com/spreadsheets/d/1yswqbM3-AEpThF3ZSUa1AcmHnmRTF1vlJ1CZGcJ8YuU/edit?usp=sharing"",""สุรินทร์!J779"")+IMPORTRANG"&amp;"E(""https://docs.google.com/spreadsheets/d/13JHU_EFbsQOUQ0JSQ3dWy1VTRosIWcDq6Nc99z2qzdc/edit?usp=sharing"",""หนองคาย!J779"")+IMPORTRANGE(""https://docs.google.com/spreadsheets/d/1Hx73zIEgVdDZZaYSTc46Dqv64atFhpr3GelxLbaIN8A/edit?usp=sharing"",""หนองบัวลำภู"&amp;"!J779"")+IMPORTRANGE(""https://docs.google.com/spreadsheets/d/1lFxr3ctmjFN90yc-xV6jrQ9Ty8BKYVBWnAZ15wcNIJc/edit?usp=sharing"",""อำนาจเจริญ!J779"")+IMPORTRANGE(""https://docs.google.com/spreadsheets/d/1gF7RJpRnL-1oyjyeWxs5SFWEH7y8ahOZsQlyp2A2e-A/edit?usp=s"&amp;"haring"",""อุดรธานี!J779"")+IMPORTRANGE(""https://docs.google.com/spreadsheets/d/1kfLP0j3INXRa8bTDpcEmoWewMBV61jlFlfzczfjWIgc/edit?usp=sharing"",""อุบลราชธานี!J779"")"),3795)</f>
        <v>3795</v>
      </c>
      <c r="K779" s="255">
        <f t="shared" ca="1" si="534"/>
        <v>45.811202317720905</v>
      </c>
      <c r="L779" s="55"/>
      <c r="M779" s="55"/>
      <c r="N779" s="55"/>
      <c r="O779" s="55"/>
      <c r="P779" s="55"/>
      <c r="Q779" s="55"/>
      <c r="R779" s="55"/>
      <c r="S779" s="55"/>
      <c r="T779" s="55"/>
      <c r="U779" s="55"/>
    </row>
    <row r="780" spans="1:21" ht="18.75">
      <c r="A780" s="238"/>
      <c r="B780" s="239" t="s">
        <v>294</v>
      </c>
      <c r="C780" s="188"/>
      <c r="D780" s="188"/>
      <c r="E780" s="50"/>
      <c r="F780" s="50"/>
      <c r="G780" s="52"/>
      <c r="H780" s="161" t="s">
        <v>14</v>
      </c>
      <c r="I780" s="212">
        <f ca="1">IFERROR(__xludf.DUMMYFUNCTION("IMPORTRANGE(""https://docs.google.com/spreadsheets/d/1yhBcrRPreicbMKl9Bu_Snb2-OcQAF62RKfhTLhJ2eAA/edit?usp=sharing"",""กาฬสินธุ์!I780"")+IMPORTRANGE(""https://docs.google.com/spreadsheets/d/1aHkj4IaQMThhwWwevcOymEh837vdxeC_PycurhTbGFA/edit?usp=sharing"","&amp;"""ขอนแก่น!I780"")+IMPORTRANGE(""https://docs.google.com/spreadsheets/d/1FvTu2DsIWUjP6WCWra38Bkj_oOl_sOMf14r5Fg5srxU/edit?usp=sharing"",""ชัยภูมิ!I780"")+IMPORTRANGE(""https://docs.google.com/spreadsheets/d/1XVB7oCJ3pr-vBUdflwPQ8Z2LlzhnCvZaaYjAfP-647E/edit"&amp;"?usp=sharing"",""นครพนม!I780"")+IMPORTRANGE(""https://docs.google.com/spreadsheets/d/1Mnpb-8PYAgn85W6KOTD40hc_Xc55CaLfHoGAbrZ8tls/edit?usp=sharing"",""นครราชสีมา!I780"")+IMPORTRANGE(""https://docs.google.com/spreadsheets/d/1xoDLGBv9CYbyosIhki0kTq6IpYNj-gp"&amp;"jxfobnaDiut0/edit?usp=sharing"",""บึงกาฬ!I780"")+IMPORTRANGE(""https://docs.google.com/spreadsheets/d/1MMPq-JyI6DSgQETxuSiXkesP-P7JHuemnE6QJIa-Nlw/edit?usp=sharing"",""บุรีรัมย์!I780"")+IMPORTRANGE(""https://docs.google.com/spreadsheets/d/1l6IZ8xUPgMrESzc"&amp;"TYwhA1k_tPjeQjJPTqlm8Gd9eU5g/edit?usp=sharing"",""มหาสารคาม!I780"")+IMPORTRANGE(""https://docs.google.com/spreadsheets/d/1uB74YLqNjWX6FObjekfB2NtSYigTQyR2rq9u4Ub2Sq4/edit?usp=sharing"",""มุกดาหาร!I780"")+IMPORTRANGE(""https://docs.google.com/spreadsheets/"&amp;"d/1NexK3geCPxCTO1fzNF8dPec7yZyUx3OaWkFBC9HsQOo/edit?usp=sharing"",""ยโสธร!I780"")+IMPORTRANGE(""https://docs.google.com/spreadsheets/d/1v_cJrbBlyqmnHPReHk44g9NrMRdENNlSy_E_c5M9fIg/edit?usp=sharing"",""ร้อยเอ็ด!I780"")+IMPORTRANGE(""https://docs.google.com"&amp;"/spreadsheets/d/1Ul4RCpCX66NxYADU1QpwAPjOmBzW64SsT11s1wzXw_c/edit?usp=sharing"",""เลย!I780"")+IMPORTRANGE(""https://docs.google.com/spreadsheets/d/1bRrNKwbHDVktQG10isr5vbWRtt5spIZPpkOSWgbT5ug/edit?usp=sharing"",""ศรีสะเกษ!I780"")+IMPORTRANGE(""https://doc"&amp;"s.google.com/spreadsheets/d/17P34_Ow5kFBfdQD0qspb2UuPX5zpi6WMrQzslghyvrI/edit?usp=sharing"",""สกลนคร!I780"")+IMPORTRANGE(""https://docs.google.com/spreadsheets/d/1yswqbM3-AEpThF3ZSUa1AcmHnmRTF1vlJ1CZGcJ8YuU/edit?usp=sharing"",""สุรินทร์!I780"")+IMPORTRANG"&amp;"E(""https://docs.google.com/spreadsheets/d/13JHU_EFbsQOUQ0JSQ3dWy1VTRosIWcDq6Nc99z2qzdc/edit?usp=sharing"",""หนองคาย!I780"")+IMPORTRANGE(""https://docs.google.com/spreadsheets/d/1Hx73zIEgVdDZZaYSTc46Dqv64atFhpr3GelxLbaIN8A/edit?usp=sharing"",""หนองบัวลำภู"&amp;"!I780"")+IMPORTRANGE(""https://docs.google.com/spreadsheets/d/1lFxr3ctmjFN90yc-xV6jrQ9Ty8BKYVBWnAZ15wcNIJc/edit?usp=sharing"",""อำนาจเจริญ!I780"")+IMPORTRANGE(""https://docs.google.com/spreadsheets/d/1gF7RJpRnL-1oyjyeWxs5SFWEH7y8ahOZsQlyp2A2e-A/edit?usp=s"&amp;"haring"",""อุดรธานี!I780"")+IMPORTRANGE(""https://docs.google.com/spreadsheets/d/1kfLP0j3INXRa8bTDpcEmoWewMBV61jlFlfzczfjWIgc/edit?usp=sharing"",""อุบลราชธานี!I780"")"),164558822.56)</f>
        <v>164558822.56</v>
      </c>
      <c r="J780" s="212">
        <f ca="1">IFERROR(__xludf.DUMMYFUNCTION("IMPORTRANGE(""https://docs.google.com/spreadsheets/d/1yhBcrRPreicbMKl9Bu_Snb2-OcQAF62RKfhTLhJ2eAA/edit?usp=sharing"",""กาฬสินธุ์!J780"")+IMPORTRANGE(""https://docs.google.com/spreadsheets/d/1aHkj4IaQMThhwWwevcOymEh837vdxeC_PycurhTbGFA/edit?usp=sharing"","&amp;"""ขอนแก่น!J780"")+IMPORTRANGE(""https://docs.google.com/spreadsheets/d/1FvTu2DsIWUjP6WCWra38Bkj_oOl_sOMf14r5Fg5srxU/edit?usp=sharing"",""ชัยภูมิ!J780"")+IMPORTRANGE(""https://docs.google.com/spreadsheets/d/1XVB7oCJ3pr-vBUdflwPQ8Z2LlzhnCvZaaYjAfP-647E/edit"&amp;"?usp=sharing"",""นครพนม!J780"")+IMPORTRANGE(""https://docs.google.com/spreadsheets/d/1Mnpb-8PYAgn85W6KOTD40hc_Xc55CaLfHoGAbrZ8tls/edit?usp=sharing"",""นครราชสีมา!J780"")+IMPORTRANGE(""https://docs.google.com/spreadsheets/d/1xoDLGBv9CYbyosIhki0kTq6IpYNj-gp"&amp;"jxfobnaDiut0/edit?usp=sharing"",""บึงกาฬ!J780"")+IMPORTRANGE(""https://docs.google.com/spreadsheets/d/1MMPq-JyI6DSgQETxuSiXkesP-P7JHuemnE6QJIa-Nlw/edit?usp=sharing"",""บุรีรัมย์!J780"")+IMPORTRANGE(""https://docs.google.com/spreadsheets/d/1l6IZ8xUPgMrESzc"&amp;"TYwhA1k_tPjeQjJPTqlm8Gd9eU5g/edit?usp=sharing"",""มหาสารคาม!J780"")+IMPORTRANGE(""https://docs.google.com/spreadsheets/d/1uB74YLqNjWX6FObjekfB2NtSYigTQyR2rq9u4Ub2Sq4/edit?usp=sharing"",""มุกดาหาร!J780"")+IMPORTRANGE(""https://docs.google.com/spreadsheets/"&amp;"d/1NexK3geCPxCTO1fzNF8dPec7yZyUx3OaWkFBC9HsQOo/edit?usp=sharing"",""ยโสธร!J780"")+IMPORTRANGE(""https://docs.google.com/spreadsheets/d/1v_cJrbBlyqmnHPReHk44g9NrMRdENNlSy_E_c5M9fIg/edit?usp=sharing"",""ร้อยเอ็ด!J780"")+IMPORTRANGE(""https://docs.google.com"&amp;"/spreadsheets/d/1Ul4RCpCX66NxYADU1QpwAPjOmBzW64SsT11s1wzXw_c/edit?usp=sharing"",""เลย!J780"")+IMPORTRANGE(""https://docs.google.com/spreadsheets/d/1bRrNKwbHDVktQG10isr5vbWRtt5spIZPpkOSWgbT5ug/edit?usp=sharing"",""ศรีสะเกษ!J780"")+IMPORTRANGE(""https://doc"&amp;"s.google.com/spreadsheets/d/17P34_Ow5kFBfdQD0qspb2UuPX5zpi6WMrQzslghyvrI/edit?usp=sharing"",""สกลนคร!J780"")+IMPORTRANGE(""https://docs.google.com/spreadsheets/d/1yswqbM3-AEpThF3ZSUa1AcmHnmRTF1vlJ1CZGcJ8YuU/edit?usp=sharing"",""สุรินทร์!J780"")+IMPORTRANG"&amp;"E(""https://docs.google.com/spreadsheets/d/13JHU_EFbsQOUQ0JSQ3dWy1VTRosIWcDq6Nc99z2qzdc/edit?usp=sharing"",""หนองคาย!J780"")+IMPORTRANGE(""https://docs.google.com/spreadsheets/d/1Hx73zIEgVdDZZaYSTc46Dqv64atFhpr3GelxLbaIN8A/edit?usp=sharing"",""หนองบัวลำภู"&amp;"!J780"")+IMPORTRANGE(""https://docs.google.com/spreadsheets/d/1lFxr3ctmjFN90yc-xV6jrQ9Ty8BKYVBWnAZ15wcNIJc/edit?usp=sharing"",""อำนาจเจริญ!J780"")+IMPORTRANGE(""https://docs.google.com/spreadsheets/d/1gF7RJpRnL-1oyjyeWxs5SFWEH7y8ahOZsQlyp2A2e-A/edit?usp=s"&amp;"haring"",""อุดรธานี!J780"")+IMPORTRANGE(""https://docs.google.com/spreadsheets/d/1kfLP0j3INXRa8bTDpcEmoWewMBV61jlFlfzczfjWIgc/edit?usp=sharing"",""อุบลราชธานี!J780"")"),15445380.71)</f>
        <v>15445380.710000001</v>
      </c>
      <c r="K780" s="255">
        <f t="shared" ca="1" si="534"/>
        <v>9.3859329264272287</v>
      </c>
      <c r="L780" s="55"/>
      <c r="M780" s="55"/>
      <c r="N780" s="55"/>
      <c r="O780" s="55"/>
      <c r="P780" s="55"/>
      <c r="Q780" s="55"/>
      <c r="R780" s="55"/>
      <c r="S780" s="55"/>
      <c r="T780" s="55"/>
      <c r="U780" s="55"/>
    </row>
    <row r="781" spans="1:21" ht="18.75">
      <c r="A781" s="238"/>
      <c r="B781" s="188"/>
      <c r="C781" s="188"/>
      <c r="D781" s="188"/>
      <c r="E781" s="50"/>
      <c r="F781" s="50"/>
      <c r="G781" s="52"/>
      <c r="H781" s="161" t="s">
        <v>35</v>
      </c>
      <c r="I781" s="212">
        <f ca="1">IFERROR(__xludf.DUMMYFUNCTION("IMPORTRANGE(""https://docs.google.com/spreadsheets/d/1yhBcrRPreicbMKl9Bu_Snb2-OcQAF62RKfhTLhJ2eAA/edit?usp=sharing"",""กาฬสินธุ์!I781"")+IMPORTRANGE(""https://docs.google.com/spreadsheets/d/1aHkj4IaQMThhwWwevcOymEh837vdxeC_PycurhTbGFA/edit?usp=sharing"","&amp;"""ขอนแก่น!I781"")+IMPORTRANGE(""https://docs.google.com/spreadsheets/d/1FvTu2DsIWUjP6WCWra38Bkj_oOl_sOMf14r5Fg5srxU/edit?usp=sharing"",""ชัยภูมิ!I781"")+IMPORTRANGE(""https://docs.google.com/spreadsheets/d/1XVB7oCJ3pr-vBUdflwPQ8Z2LlzhnCvZaaYjAfP-647E/edit"&amp;"?usp=sharing"",""นครพนม!I781"")+IMPORTRANGE(""https://docs.google.com/spreadsheets/d/1Mnpb-8PYAgn85W6KOTD40hc_Xc55CaLfHoGAbrZ8tls/edit?usp=sharing"",""นครราชสีมา!I781"")+IMPORTRANGE(""https://docs.google.com/spreadsheets/d/1xoDLGBv9CYbyosIhki0kTq6IpYNj-gp"&amp;"jxfobnaDiut0/edit?usp=sharing"",""บึงกาฬ!I781"")+IMPORTRANGE(""https://docs.google.com/spreadsheets/d/1MMPq-JyI6DSgQETxuSiXkesP-P7JHuemnE6QJIa-Nlw/edit?usp=sharing"",""บุรีรัมย์!I781"")+IMPORTRANGE(""https://docs.google.com/spreadsheets/d/1l6IZ8xUPgMrESzc"&amp;"TYwhA1k_tPjeQjJPTqlm8Gd9eU5g/edit?usp=sharing"",""มหาสารคาม!I781"")+IMPORTRANGE(""https://docs.google.com/spreadsheets/d/1uB74YLqNjWX6FObjekfB2NtSYigTQyR2rq9u4Ub2Sq4/edit?usp=sharing"",""มุกดาหาร!I781"")+IMPORTRANGE(""https://docs.google.com/spreadsheets/"&amp;"d/1NexK3geCPxCTO1fzNF8dPec7yZyUx3OaWkFBC9HsQOo/edit?usp=sharing"",""ยโสธร!I781"")+IMPORTRANGE(""https://docs.google.com/spreadsheets/d/1v_cJrbBlyqmnHPReHk44g9NrMRdENNlSy_E_c5M9fIg/edit?usp=sharing"",""ร้อยเอ็ด!I781"")+IMPORTRANGE(""https://docs.google.com"&amp;"/spreadsheets/d/1Ul4RCpCX66NxYADU1QpwAPjOmBzW64SsT11s1wzXw_c/edit?usp=sharing"",""เลย!I781"")+IMPORTRANGE(""https://docs.google.com/spreadsheets/d/1bRrNKwbHDVktQG10isr5vbWRtt5spIZPpkOSWgbT5ug/edit?usp=sharing"",""ศรีสะเกษ!I781"")+IMPORTRANGE(""https://doc"&amp;"s.google.com/spreadsheets/d/17P34_Ow5kFBfdQD0qspb2UuPX5zpi6WMrQzslghyvrI/edit?usp=sharing"",""สกลนคร!I781"")+IMPORTRANGE(""https://docs.google.com/spreadsheets/d/1yswqbM3-AEpThF3ZSUa1AcmHnmRTF1vlJ1CZGcJ8YuU/edit?usp=sharing"",""สุรินทร์!I781"")+IMPORTRANG"&amp;"E(""https://docs.google.com/spreadsheets/d/13JHU_EFbsQOUQ0JSQ3dWy1VTRosIWcDq6Nc99z2qzdc/edit?usp=sharing"",""หนองคาย!I781"")+IMPORTRANGE(""https://docs.google.com/spreadsheets/d/1Hx73zIEgVdDZZaYSTc46Dqv64atFhpr3GelxLbaIN8A/edit?usp=sharing"",""หนองบัวลำภู"&amp;"!I781"")+IMPORTRANGE(""https://docs.google.com/spreadsheets/d/1lFxr3ctmjFN90yc-xV6jrQ9Ty8BKYVBWnAZ15wcNIJc/edit?usp=sharing"",""อำนาจเจริญ!I781"")+IMPORTRANGE(""https://docs.google.com/spreadsheets/d/1gF7RJpRnL-1oyjyeWxs5SFWEH7y8ahOZsQlyp2A2e-A/edit?usp=s"&amp;"haring"",""อุดรธานี!I781"")+IMPORTRANGE(""https://docs.google.com/spreadsheets/d/1kfLP0j3INXRa8bTDpcEmoWewMBV61jlFlfzczfjWIgc/edit?usp=sharing"",""อุบลราชธานี!I781"")"),7644)</f>
        <v>7644</v>
      </c>
      <c r="J781" s="212">
        <f ca="1">IFERROR(__xludf.DUMMYFUNCTION("IMPORTRANGE(""https://docs.google.com/spreadsheets/d/1yhBcrRPreicbMKl9Bu_Snb2-OcQAF62RKfhTLhJ2eAA/edit?usp=sharing"",""กาฬสินธุ์!J781"")+IMPORTRANGE(""https://docs.google.com/spreadsheets/d/1aHkj4IaQMThhwWwevcOymEh837vdxeC_PycurhTbGFA/edit?usp=sharing"","&amp;"""ขอนแก่น!J781"")+IMPORTRANGE(""https://docs.google.com/spreadsheets/d/1FvTu2DsIWUjP6WCWra38Bkj_oOl_sOMf14r5Fg5srxU/edit?usp=sharing"",""ชัยภูมิ!J781"")+IMPORTRANGE(""https://docs.google.com/spreadsheets/d/1XVB7oCJ3pr-vBUdflwPQ8Z2LlzhnCvZaaYjAfP-647E/edit"&amp;"?usp=sharing"",""นครพนม!J781"")+IMPORTRANGE(""https://docs.google.com/spreadsheets/d/1Mnpb-8PYAgn85W6KOTD40hc_Xc55CaLfHoGAbrZ8tls/edit?usp=sharing"",""นครราชสีมา!J781"")+IMPORTRANGE(""https://docs.google.com/spreadsheets/d/1xoDLGBv9CYbyosIhki0kTq6IpYNj-gp"&amp;"jxfobnaDiut0/edit?usp=sharing"",""บึงกาฬ!J781"")+IMPORTRANGE(""https://docs.google.com/spreadsheets/d/1MMPq-JyI6DSgQETxuSiXkesP-P7JHuemnE6QJIa-Nlw/edit?usp=sharing"",""บุรีรัมย์!J781"")+IMPORTRANGE(""https://docs.google.com/spreadsheets/d/1l6IZ8xUPgMrESzc"&amp;"TYwhA1k_tPjeQjJPTqlm8Gd9eU5g/edit?usp=sharing"",""มหาสารคาม!J781"")+IMPORTRANGE(""https://docs.google.com/spreadsheets/d/1uB74YLqNjWX6FObjekfB2NtSYigTQyR2rq9u4Ub2Sq4/edit?usp=sharing"",""มุกดาหาร!J781"")+IMPORTRANGE(""https://docs.google.com/spreadsheets/"&amp;"d/1NexK3geCPxCTO1fzNF8dPec7yZyUx3OaWkFBC9HsQOo/edit?usp=sharing"",""ยโสธร!J781"")+IMPORTRANGE(""https://docs.google.com/spreadsheets/d/1v_cJrbBlyqmnHPReHk44g9NrMRdENNlSy_E_c5M9fIg/edit?usp=sharing"",""ร้อยเอ็ด!J781"")+IMPORTRANGE(""https://docs.google.com"&amp;"/spreadsheets/d/1Ul4RCpCX66NxYADU1QpwAPjOmBzW64SsT11s1wzXw_c/edit?usp=sharing"",""เลย!J781"")+IMPORTRANGE(""https://docs.google.com/spreadsheets/d/1bRrNKwbHDVktQG10isr5vbWRtt5spIZPpkOSWgbT5ug/edit?usp=sharing"",""ศรีสะเกษ!J781"")+IMPORTRANGE(""https://doc"&amp;"s.google.com/spreadsheets/d/17P34_Ow5kFBfdQD0qspb2UuPX5zpi6WMrQzslghyvrI/edit?usp=sharing"",""สกลนคร!J781"")+IMPORTRANGE(""https://docs.google.com/spreadsheets/d/1yswqbM3-AEpThF3ZSUa1AcmHnmRTF1vlJ1CZGcJ8YuU/edit?usp=sharing"",""สุรินทร์!J781"")+IMPORTRANG"&amp;"E(""https://docs.google.com/spreadsheets/d/13JHU_EFbsQOUQ0JSQ3dWy1VTRosIWcDq6Nc99z2qzdc/edit?usp=sharing"",""หนองคาย!J781"")+IMPORTRANGE(""https://docs.google.com/spreadsheets/d/1Hx73zIEgVdDZZaYSTc46Dqv64atFhpr3GelxLbaIN8A/edit?usp=sharing"",""หนองบัวลำภู"&amp;"!J781"")+IMPORTRANGE(""https://docs.google.com/spreadsheets/d/1lFxr3ctmjFN90yc-xV6jrQ9Ty8BKYVBWnAZ15wcNIJc/edit?usp=sharing"",""อำนาจเจริญ!J781"")+IMPORTRANGE(""https://docs.google.com/spreadsheets/d/1gF7RJpRnL-1oyjyeWxs5SFWEH7y8ahOZsQlyp2A2e-A/edit?usp=s"&amp;"haring"",""อุดรธานี!J781"")+IMPORTRANGE(""https://docs.google.com/spreadsheets/d/1kfLP0j3INXRa8bTDpcEmoWewMBV61jlFlfzczfjWIgc/edit?usp=sharing"",""อุบลราชธานี!J781"")"),2174)</f>
        <v>2174</v>
      </c>
      <c r="K781" s="255">
        <f t="shared" ca="1" si="534"/>
        <v>28.440607012035585</v>
      </c>
      <c r="L781" s="55"/>
      <c r="M781" s="55"/>
      <c r="N781" s="55"/>
      <c r="O781" s="55"/>
      <c r="P781" s="55"/>
      <c r="Q781" s="55"/>
      <c r="R781" s="55"/>
      <c r="S781" s="55"/>
      <c r="T781" s="55"/>
      <c r="U781" s="55"/>
    </row>
    <row r="782" spans="1:21" ht="18.75">
      <c r="A782" s="238"/>
      <c r="B782" s="239" t="s">
        <v>295</v>
      </c>
      <c r="C782" s="188"/>
      <c r="D782" s="188"/>
      <c r="E782" s="50"/>
      <c r="F782" s="50"/>
      <c r="G782" s="52"/>
      <c r="H782" s="161" t="s">
        <v>14</v>
      </c>
      <c r="I782" s="212">
        <f ca="1">IFERROR(__xludf.DUMMYFUNCTION("IMPORTRANGE(""https://docs.google.com/spreadsheets/d/1yhBcrRPreicbMKl9Bu_Snb2-OcQAF62RKfhTLhJ2eAA/edit?usp=sharing"",""กาฬสินธุ์!I782"")+IMPORTRANGE(""https://docs.google.com/spreadsheets/d/1aHkj4IaQMThhwWwevcOymEh837vdxeC_PycurhTbGFA/edit?usp=sharing"","&amp;"""ขอนแก่น!I782"")+IMPORTRANGE(""https://docs.google.com/spreadsheets/d/1FvTu2DsIWUjP6WCWra38Bkj_oOl_sOMf14r5Fg5srxU/edit?usp=sharing"",""ชัยภูมิ!I782"")+IMPORTRANGE(""https://docs.google.com/spreadsheets/d/1XVB7oCJ3pr-vBUdflwPQ8Z2LlzhnCvZaaYjAfP-647E/edit"&amp;"?usp=sharing"",""นครพนม!I782"")+IMPORTRANGE(""https://docs.google.com/spreadsheets/d/1Mnpb-8PYAgn85W6KOTD40hc_Xc55CaLfHoGAbrZ8tls/edit?usp=sharing"",""นครราชสีมา!I782"")+IMPORTRANGE(""https://docs.google.com/spreadsheets/d/1xoDLGBv9CYbyosIhki0kTq6IpYNj-gp"&amp;"jxfobnaDiut0/edit?usp=sharing"",""บึงกาฬ!I782"")+IMPORTRANGE(""https://docs.google.com/spreadsheets/d/1MMPq-JyI6DSgQETxuSiXkesP-P7JHuemnE6QJIa-Nlw/edit?usp=sharing"",""บุรีรัมย์!I782"")+IMPORTRANGE(""https://docs.google.com/spreadsheets/d/1l6IZ8xUPgMrESzc"&amp;"TYwhA1k_tPjeQjJPTqlm8Gd9eU5g/edit?usp=sharing"",""มหาสารคาม!I782"")+IMPORTRANGE(""https://docs.google.com/spreadsheets/d/1uB74YLqNjWX6FObjekfB2NtSYigTQyR2rq9u4Ub2Sq4/edit?usp=sharing"",""มุกดาหาร!I782"")+IMPORTRANGE(""https://docs.google.com/spreadsheets/"&amp;"d/1NexK3geCPxCTO1fzNF8dPec7yZyUx3OaWkFBC9HsQOo/edit?usp=sharing"",""ยโสธร!I782"")+IMPORTRANGE(""https://docs.google.com/spreadsheets/d/1v_cJrbBlyqmnHPReHk44g9NrMRdENNlSy_E_c5M9fIg/edit?usp=sharing"",""ร้อยเอ็ด!I782"")+IMPORTRANGE(""https://docs.google.com"&amp;"/spreadsheets/d/1Ul4RCpCX66NxYADU1QpwAPjOmBzW64SsT11s1wzXw_c/edit?usp=sharing"",""เลย!I782"")+IMPORTRANGE(""https://docs.google.com/spreadsheets/d/1bRrNKwbHDVktQG10isr5vbWRtt5spIZPpkOSWgbT5ug/edit?usp=sharing"",""ศรีสะเกษ!I782"")+IMPORTRANGE(""https://doc"&amp;"s.google.com/spreadsheets/d/17P34_Ow5kFBfdQD0qspb2UuPX5zpi6WMrQzslghyvrI/edit?usp=sharing"",""สกลนคร!I782"")+IMPORTRANGE(""https://docs.google.com/spreadsheets/d/1yswqbM3-AEpThF3ZSUa1AcmHnmRTF1vlJ1CZGcJ8YuU/edit?usp=sharing"",""สุรินทร์!I782"")+IMPORTRANG"&amp;"E(""https://docs.google.com/spreadsheets/d/13JHU_EFbsQOUQ0JSQ3dWy1VTRosIWcDq6Nc99z2qzdc/edit?usp=sharing"",""หนองคาย!I782"")+IMPORTRANGE(""https://docs.google.com/spreadsheets/d/1Hx73zIEgVdDZZaYSTc46Dqv64atFhpr3GelxLbaIN8A/edit?usp=sharing"",""หนองบัวลำภู"&amp;"!I782"")+IMPORTRANGE(""https://docs.google.com/spreadsheets/d/1lFxr3ctmjFN90yc-xV6jrQ9Ty8BKYVBWnAZ15wcNIJc/edit?usp=sharing"",""อำนาจเจริญ!I782"")+IMPORTRANGE(""https://docs.google.com/spreadsheets/d/1gF7RJpRnL-1oyjyeWxs5SFWEH7y8ahOZsQlyp2A2e-A/edit?usp=s"&amp;"haring"",""อุดรธานี!I782"")+IMPORTRANGE(""https://docs.google.com/spreadsheets/d/1kfLP0j3INXRa8bTDpcEmoWewMBV61jlFlfzczfjWIgc/edit?usp=sharing"",""อุบลราชธานี!I782"")"),10425029.6)</f>
        <v>10425029.6</v>
      </c>
      <c r="J782" s="212">
        <f ca="1">IFERROR(__xludf.DUMMYFUNCTION("IMPORTRANGE(""https://docs.google.com/spreadsheets/d/1yhBcrRPreicbMKl9Bu_Snb2-OcQAF62RKfhTLhJ2eAA/edit?usp=sharing"",""กาฬสินธุ์!J782"")+IMPORTRANGE(""https://docs.google.com/spreadsheets/d/1aHkj4IaQMThhwWwevcOymEh837vdxeC_PycurhTbGFA/edit?usp=sharing"","&amp;"""ขอนแก่น!J782"")+IMPORTRANGE(""https://docs.google.com/spreadsheets/d/1FvTu2DsIWUjP6WCWra38Bkj_oOl_sOMf14r5Fg5srxU/edit?usp=sharing"",""ชัยภูมิ!J782"")+IMPORTRANGE(""https://docs.google.com/spreadsheets/d/1XVB7oCJ3pr-vBUdflwPQ8Z2LlzhnCvZaaYjAfP-647E/edit"&amp;"?usp=sharing"",""นครพนม!J782"")+IMPORTRANGE(""https://docs.google.com/spreadsheets/d/1Mnpb-8PYAgn85W6KOTD40hc_Xc55CaLfHoGAbrZ8tls/edit?usp=sharing"",""นครราชสีมา!J782"")+IMPORTRANGE(""https://docs.google.com/spreadsheets/d/1xoDLGBv9CYbyosIhki0kTq6IpYNj-gp"&amp;"jxfobnaDiut0/edit?usp=sharing"",""บึงกาฬ!J782"")+IMPORTRANGE(""https://docs.google.com/spreadsheets/d/1MMPq-JyI6DSgQETxuSiXkesP-P7JHuemnE6QJIa-Nlw/edit?usp=sharing"",""บุรีรัมย์!J782"")+IMPORTRANGE(""https://docs.google.com/spreadsheets/d/1l6IZ8xUPgMrESzc"&amp;"TYwhA1k_tPjeQjJPTqlm8Gd9eU5g/edit?usp=sharing"",""มหาสารคาม!J782"")+IMPORTRANGE(""https://docs.google.com/spreadsheets/d/1uB74YLqNjWX6FObjekfB2NtSYigTQyR2rq9u4Ub2Sq4/edit?usp=sharing"",""มุกดาหาร!J782"")+IMPORTRANGE(""https://docs.google.com/spreadsheets/"&amp;"d/1NexK3geCPxCTO1fzNF8dPec7yZyUx3OaWkFBC9HsQOo/edit?usp=sharing"",""ยโสธร!J782"")+IMPORTRANGE(""https://docs.google.com/spreadsheets/d/1v_cJrbBlyqmnHPReHk44g9NrMRdENNlSy_E_c5M9fIg/edit?usp=sharing"",""ร้อยเอ็ด!J782"")+IMPORTRANGE(""https://docs.google.com"&amp;"/spreadsheets/d/1Ul4RCpCX66NxYADU1QpwAPjOmBzW64SsT11s1wzXw_c/edit?usp=sharing"",""เลย!J782"")+IMPORTRANGE(""https://docs.google.com/spreadsheets/d/1bRrNKwbHDVktQG10isr5vbWRtt5spIZPpkOSWgbT5ug/edit?usp=sharing"",""ศรีสะเกษ!J782"")+IMPORTRANGE(""https://doc"&amp;"s.google.com/spreadsheets/d/17P34_Ow5kFBfdQD0qspb2UuPX5zpi6WMrQzslghyvrI/edit?usp=sharing"",""สกลนคร!J782"")+IMPORTRANGE(""https://docs.google.com/spreadsheets/d/1yswqbM3-AEpThF3ZSUa1AcmHnmRTF1vlJ1CZGcJ8YuU/edit?usp=sharing"",""สุรินทร์!J782"")+IMPORTRANG"&amp;"E(""https://docs.google.com/spreadsheets/d/13JHU_EFbsQOUQ0JSQ3dWy1VTRosIWcDq6Nc99z2qzdc/edit?usp=sharing"",""หนองคาย!J782"")+IMPORTRANGE(""https://docs.google.com/spreadsheets/d/1Hx73zIEgVdDZZaYSTc46Dqv64atFhpr3GelxLbaIN8A/edit?usp=sharing"",""หนองบัวลำภู"&amp;"!J782"")+IMPORTRANGE(""https://docs.google.com/spreadsheets/d/1lFxr3ctmjFN90yc-xV6jrQ9Ty8BKYVBWnAZ15wcNIJc/edit?usp=sharing"",""อำนาจเจริญ!J782"")+IMPORTRANGE(""https://docs.google.com/spreadsheets/d/1gF7RJpRnL-1oyjyeWxs5SFWEH7y8ahOZsQlyp2A2e-A/edit?usp=s"&amp;"haring"",""อุดรธานี!J782"")+IMPORTRANGE(""https://docs.google.com/spreadsheets/d/1kfLP0j3INXRa8bTDpcEmoWewMBV61jlFlfzczfjWIgc/edit?usp=sharing"",""อุบลราชธานี!J782"")"),1871313.03999999)</f>
        <v>1871313.03999999</v>
      </c>
      <c r="K782" s="255">
        <f t="shared" ca="1" si="534"/>
        <v>17.950194021511365</v>
      </c>
      <c r="L782" s="55"/>
      <c r="M782" s="55"/>
      <c r="N782" s="55"/>
      <c r="O782" s="55"/>
      <c r="P782" s="55"/>
      <c r="Q782" s="55"/>
      <c r="R782" s="55"/>
      <c r="S782" s="55"/>
      <c r="T782" s="55"/>
      <c r="U782" s="55"/>
    </row>
    <row r="783" spans="1:21" ht="18.75">
      <c r="A783" s="238"/>
      <c r="B783" s="188"/>
      <c r="C783" s="188"/>
      <c r="D783" s="188"/>
      <c r="E783" s="50"/>
      <c r="F783" s="50"/>
      <c r="G783" s="52"/>
      <c r="H783" s="161" t="s">
        <v>35</v>
      </c>
      <c r="I783" s="212">
        <f ca="1">IFERROR(__xludf.DUMMYFUNCTION("IMPORTRANGE(""https://docs.google.com/spreadsheets/d/1yhBcrRPreicbMKl9Bu_Snb2-OcQAF62RKfhTLhJ2eAA/edit?usp=sharing"",""กาฬสินธุ์!I783"")+IMPORTRANGE(""https://docs.google.com/spreadsheets/d/1aHkj4IaQMThhwWwevcOymEh837vdxeC_PycurhTbGFA/edit?usp=sharing"","&amp;"""ขอนแก่น!I783"")+IMPORTRANGE(""https://docs.google.com/spreadsheets/d/1FvTu2DsIWUjP6WCWra38Bkj_oOl_sOMf14r5Fg5srxU/edit?usp=sharing"",""ชัยภูมิ!I783"")+IMPORTRANGE(""https://docs.google.com/spreadsheets/d/1XVB7oCJ3pr-vBUdflwPQ8Z2LlzhnCvZaaYjAfP-647E/edit"&amp;"?usp=sharing"",""นครพนม!I783"")+IMPORTRANGE(""https://docs.google.com/spreadsheets/d/1Mnpb-8PYAgn85W6KOTD40hc_Xc55CaLfHoGAbrZ8tls/edit?usp=sharing"",""นครราชสีมา!I783"")+IMPORTRANGE(""https://docs.google.com/spreadsheets/d/1xoDLGBv9CYbyosIhki0kTq6IpYNj-gp"&amp;"jxfobnaDiut0/edit?usp=sharing"",""บึงกาฬ!I783"")+IMPORTRANGE(""https://docs.google.com/spreadsheets/d/1MMPq-JyI6DSgQETxuSiXkesP-P7JHuemnE6QJIa-Nlw/edit?usp=sharing"",""บุรีรัมย์!I783"")+IMPORTRANGE(""https://docs.google.com/spreadsheets/d/1l6IZ8xUPgMrESzc"&amp;"TYwhA1k_tPjeQjJPTqlm8Gd9eU5g/edit?usp=sharing"",""มหาสารคาม!I783"")+IMPORTRANGE(""https://docs.google.com/spreadsheets/d/1uB74YLqNjWX6FObjekfB2NtSYigTQyR2rq9u4Ub2Sq4/edit?usp=sharing"",""มุกดาหาร!I783"")+IMPORTRANGE(""https://docs.google.com/spreadsheets/"&amp;"d/1NexK3geCPxCTO1fzNF8dPec7yZyUx3OaWkFBC9HsQOo/edit?usp=sharing"",""ยโสธร!I783"")+IMPORTRANGE(""https://docs.google.com/spreadsheets/d/1v_cJrbBlyqmnHPReHk44g9NrMRdENNlSy_E_c5M9fIg/edit?usp=sharing"",""ร้อยเอ็ด!I783"")+IMPORTRANGE(""https://docs.google.com"&amp;"/spreadsheets/d/1Ul4RCpCX66NxYADU1QpwAPjOmBzW64SsT11s1wzXw_c/edit?usp=sharing"",""เลย!I783"")+IMPORTRANGE(""https://docs.google.com/spreadsheets/d/1bRrNKwbHDVktQG10isr5vbWRtt5spIZPpkOSWgbT5ug/edit?usp=sharing"",""ศรีสะเกษ!I783"")+IMPORTRANGE(""https://doc"&amp;"s.google.com/spreadsheets/d/17P34_Ow5kFBfdQD0qspb2UuPX5zpi6WMrQzslghyvrI/edit?usp=sharing"",""สกลนคร!I783"")+IMPORTRANGE(""https://docs.google.com/spreadsheets/d/1yswqbM3-AEpThF3ZSUa1AcmHnmRTF1vlJ1CZGcJ8YuU/edit?usp=sharing"",""สุรินทร์!I783"")+IMPORTRANG"&amp;"E(""https://docs.google.com/spreadsheets/d/13JHU_EFbsQOUQ0JSQ3dWy1VTRosIWcDq6Nc99z2qzdc/edit?usp=sharing"",""หนองคาย!I783"")+IMPORTRANGE(""https://docs.google.com/spreadsheets/d/1Hx73zIEgVdDZZaYSTc46Dqv64atFhpr3GelxLbaIN8A/edit?usp=sharing"",""หนองบัวลำภู"&amp;"!I783"")+IMPORTRANGE(""https://docs.google.com/spreadsheets/d/1lFxr3ctmjFN90yc-xV6jrQ9Ty8BKYVBWnAZ15wcNIJc/edit?usp=sharing"",""อำนาจเจริญ!I783"")+IMPORTRANGE(""https://docs.google.com/spreadsheets/d/1gF7RJpRnL-1oyjyeWxs5SFWEH7y8ahOZsQlyp2A2e-A/edit?usp=s"&amp;"haring"",""อุดรธานี!I783"")+IMPORTRANGE(""https://docs.google.com/spreadsheets/d/1kfLP0j3INXRa8bTDpcEmoWewMBV61jlFlfzczfjWIgc/edit?usp=sharing"",""อุบลราชธานี!I783"")"),1301)</f>
        <v>1301</v>
      </c>
      <c r="J783" s="212">
        <f ca="1">IFERROR(__xludf.DUMMYFUNCTION("IMPORTRANGE(""https://docs.google.com/spreadsheets/d/1yhBcrRPreicbMKl9Bu_Snb2-OcQAF62RKfhTLhJ2eAA/edit?usp=sharing"",""กาฬสินธุ์!J783"")+IMPORTRANGE(""https://docs.google.com/spreadsheets/d/1aHkj4IaQMThhwWwevcOymEh837vdxeC_PycurhTbGFA/edit?usp=sharing"","&amp;"""ขอนแก่น!J783"")+IMPORTRANGE(""https://docs.google.com/spreadsheets/d/1FvTu2DsIWUjP6WCWra38Bkj_oOl_sOMf14r5Fg5srxU/edit?usp=sharing"",""ชัยภูมิ!J783"")+IMPORTRANGE(""https://docs.google.com/spreadsheets/d/1XVB7oCJ3pr-vBUdflwPQ8Z2LlzhnCvZaaYjAfP-647E/edit"&amp;"?usp=sharing"",""นครพนม!J783"")+IMPORTRANGE(""https://docs.google.com/spreadsheets/d/1Mnpb-8PYAgn85W6KOTD40hc_Xc55CaLfHoGAbrZ8tls/edit?usp=sharing"",""นครราชสีมา!J783"")+IMPORTRANGE(""https://docs.google.com/spreadsheets/d/1xoDLGBv9CYbyosIhki0kTq6IpYNj-gp"&amp;"jxfobnaDiut0/edit?usp=sharing"",""บึงกาฬ!J783"")+IMPORTRANGE(""https://docs.google.com/spreadsheets/d/1MMPq-JyI6DSgQETxuSiXkesP-P7JHuemnE6QJIa-Nlw/edit?usp=sharing"",""บุรีรัมย์!J783"")+IMPORTRANGE(""https://docs.google.com/spreadsheets/d/1l6IZ8xUPgMrESzc"&amp;"TYwhA1k_tPjeQjJPTqlm8Gd9eU5g/edit?usp=sharing"",""มหาสารคาม!J783"")+IMPORTRANGE(""https://docs.google.com/spreadsheets/d/1uB74YLqNjWX6FObjekfB2NtSYigTQyR2rq9u4Ub2Sq4/edit?usp=sharing"",""มุกดาหาร!J783"")+IMPORTRANGE(""https://docs.google.com/spreadsheets/"&amp;"d/1NexK3geCPxCTO1fzNF8dPec7yZyUx3OaWkFBC9HsQOo/edit?usp=sharing"",""ยโสธร!J783"")+IMPORTRANGE(""https://docs.google.com/spreadsheets/d/1v_cJrbBlyqmnHPReHk44g9NrMRdENNlSy_E_c5M9fIg/edit?usp=sharing"",""ร้อยเอ็ด!J783"")+IMPORTRANGE(""https://docs.google.com"&amp;"/spreadsheets/d/1Ul4RCpCX66NxYADU1QpwAPjOmBzW64SsT11s1wzXw_c/edit?usp=sharing"",""เลย!J783"")+IMPORTRANGE(""https://docs.google.com/spreadsheets/d/1bRrNKwbHDVktQG10isr5vbWRtt5spIZPpkOSWgbT5ug/edit?usp=sharing"",""ศรีสะเกษ!J783"")+IMPORTRANGE(""https://doc"&amp;"s.google.com/spreadsheets/d/17P34_Ow5kFBfdQD0qspb2UuPX5zpi6WMrQzslghyvrI/edit?usp=sharing"",""สกลนคร!J783"")+IMPORTRANGE(""https://docs.google.com/spreadsheets/d/1yswqbM3-AEpThF3ZSUa1AcmHnmRTF1vlJ1CZGcJ8YuU/edit?usp=sharing"",""สุรินทร์!J783"")+IMPORTRANG"&amp;"E(""https://docs.google.com/spreadsheets/d/13JHU_EFbsQOUQ0JSQ3dWy1VTRosIWcDq6Nc99z2qzdc/edit?usp=sharing"",""หนองคาย!J783"")+IMPORTRANGE(""https://docs.google.com/spreadsheets/d/1Hx73zIEgVdDZZaYSTc46Dqv64atFhpr3GelxLbaIN8A/edit?usp=sharing"",""หนองบัวลำภู"&amp;"!J783"")+IMPORTRANGE(""https://docs.google.com/spreadsheets/d/1lFxr3ctmjFN90yc-xV6jrQ9Ty8BKYVBWnAZ15wcNIJc/edit?usp=sharing"",""อำนาจเจริญ!J783"")+IMPORTRANGE(""https://docs.google.com/spreadsheets/d/1gF7RJpRnL-1oyjyeWxs5SFWEH7y8ahOZsQlyp2A2e-A/edit?usp=s"&amp;"haring"",""อุดรธานี!J783"")+IMPORTRANGE(""https://docs.google.com/spreadsheets/d/1kfLP0j3INXRa8bTDpcEmoWewMBV61jlFlfzczfjWIgc/edit?usp=sharing"",""อุบลราชธานี!J783"")"),660)</f>
        <v>660</v>
      </c>
      <c r="K783" s="255">
        <f t="shared" ca="1" si="534"/>
        <v>50.73020753266718</v>
      </c>
      <c r="L783" s="55"/>
      <c r="M783" s="55"/>
      <c r="N783" s="55"/>
      <c r="O783" s="55"/>
      <c r="P783" s="55"/>
      <c r="Q783" s="55"/>
      <c r="R783" s="55"/>
      <c r="S783" s="55"/>
      <c r="T783" s="55"/>
      <c r="U783" s="55"/>
    </row>
    <row r="784" spans="1:21" ht="18.75">
      <c r="A784" s="238"/>
      <c r="B784" s="239" t="s">
        <v>296</v>
      </c>
      <c r="C784" s="188"/>
      <c r="D784" s="188"/>
      <c r="E784" s="50"/>
      <c r="F784" s="50"/>
      <c r="G784" s="52"/>
      <c r="H784" s="161" t="s">
        <v>14</v>
      </c>
      <c r="I784" s="212">
        <f ca="1">IFERROR(__xludf.DUMMYFUNCTION("IMPORTRANGE(""https://docs.google.com/spreadsheets/d/1yhBcrRPreicbMKl9Bu_Snb2-OcQAF62RKfhTLhJ2eAA/edit?usp=sharing"",""กาฬสินธุ์!I784"")+IMPORTRANGE(""https://docs.google.com/spreadsheets/d/1aHkj4IaQMThhwWwevcOymEh837vdxeC_PycurhTbGFA/edit?usp=sharing"","&amp;"""ขอนแก่น!I784"")+IMPORTRANGE(""https://docs.google.com/spreadsheets/d/1FvTu2DsIWUjP6WCWra38Bkj_oOl_sOMf14r5Fg5srxU/edit?usp=sharing"",""ชัยภูมิ!I784"")+IMPORTRANGE(""https://docs.google.com/spreadsheets/d/1XVB7oCJ3pr-vBUdflwPQ8Z2LlzhnCvZaaYjAfP-647E/edit"&amp;"?usp=sharing"",""นครพนม!I784"")+IMPORTRANGE(""https://docs.google.com/spreadsheets/d/1Mnpb-8PYAgn85W6KOTD40hc_Xc55CaLfHoGAbrZ8tls/edit?usp=sharing"",""นครราชสีมา!I784"")+IMPORTRANGE(""https://docs.google.com/spreadsheets/d/1xoDLGBv9CYbyosIhki0kTq6IpYNj-gp"&amp;"jxfobnaDiut0/edit?usp=sharing"",""บึงกาฬ!I784"")+IMPORTRANGE(""https://docs.google.com/spreadsheets/d/1MMPq-JyI6DSgQETxuSiXkesP-P7JHuemnE6QJIa-Nlw/edit?usp=sharing"",""บุรีรัมย์!I784"")+IMPORTRANGE(""https://docs.google.com/spreadsheets/d/1l6IZ8xUPgMrESzc"&amp;"TYwhA1k_tPjeQjJPTqlm8Gd9eU5g/edit?usp=sharing"",""มหาสารคาม!I784"")+IMPORTRANGE(""https://docs.google.com/spreadsheets/d/1uB74YLqNjWX6FObjekfB2NtSYigTQyR2rq9u4Ub2Sq4/edit?usp=sharing"",""มุกดาหาร!I784"")+IMPORTRANGE(""https://docs.google.com/spreadsheets/"&amp;"d/1NexK3geCPxCTO1fzNF8dPec7yZyUx3OaWkFBC9HsQOo/edit?usp=sharing"",""ยโสธร!I784"")+IMPORTRANGE(""https://docs.google.com/spreadsheets/d/1v_cJrbBlyqmnHPReHk44g9NrMRdENNlSy_E_c5M9fIg/edit?usp=sharing"",""ร้อยเอ็ด!I784"")+IMPORTRANGE(""https://docs.google.com"&amp;"/spreadsheets/d/1Ul4RCpCX66NxYADU1QpwAPjOmBzW64SsT11s1wzXw_c/edit?usp=sharing"",""เลย!I784"")+IMPORTRANGE(""https://docs.google.com/spreadsheets/d/1bRrNKwbHDVktQG10isr5vbWRtt5spIZPpkOSWgbT5ug/edit?usp=sharing"",""ศรีสะเกษ!I784"")+IMPORTRANGE(""https://doc"&amp;"s.google.com/spreadsheets/d/17P34_Ow5kFBfdQD0qspb2UuPX5zpi6WMrQzslghyvrI/edit?usp=sharing"",""สกลนคร!I784"")+IMPORTRANGE(""https://docs.google.com/spreadsheets/d/1yswqbM3-AEpThF3ZSUa1AcmHnmRTF1vlJ1CZGcJ8YuU/edit?usp=sharing"",""สุรินทร์!I784"")+IMPORTRANG"&amp;"E(""https://docs.google.com/spreadsheets/d/13JHU_EFbsQOUQ0JSQ3dWy1VTRosIWcDq6Nc99z2qzdc/edit?usp=sharing"",""หนองคาย!I784"")+IMPORTRANGE(""https://docs.google.com/spreadsheets/d/1Hx73zIEgVdDZZaYSTc46Dqv64atFhpr3GelxLbaIN8A/edit?usp=sharing"",""หนองบัวลำภู"&amp;"!I784"")+IMPORTRANGE(""https://docs.google.com/spreadsheets/d/1lFxr3ctmjFN90yc-xV6jrQ9Ty8BKYVBWnAZ15wcNIJc/edit?usp=sharing"",""อำนาจเจริญ!I784"")+IMPORTRANGE(""https://docs.google.com/spreadsheets/d/1gF7RJpRnL-1oyjyeWxs5SFWEH7y8ahOZsQlyp2A2e-A/edit?usp=s"&amp;"haring"",""อุดรธานี!I784"")+IMPORTRANGE(""https://docs.google.com/spreadsheets/d/1kfLP0j3INXRa8bTDpcEmoWewMBV61jlFlfzczfjWIgc/edit?usp=sharing"",""อุบลราชธานี!I784"")"),172844000)</f>
        <v>172844000</v>
      </c>
      <c r="J784" s="212">
        <f ca="1">IFERROR(__xludf.DUMMYFUNCTION("IMPORTRANGE(""https://docs.google.com/spreadsheets/d/1yhBcrRPreicbMKl9Bu_Snb2-OcQAF62RKfhTLhJ2eAA/edit?usp=sharing"",""กาฬสินธุ์!J784"")+IMPORTRANGE(""https://docs.google.com/spreadsheets/d/1aHkj4IaQMThhwWwevcOymEh837vdxeC_PycurhTbGFA/edit?usp=sharing"","&amp;"""ขอนแก่น!J784"")+IMPORTRANGE(""https://docs.google.com/spreadsheets/d/1FvTu2DsIWUjP6WCWra38Bkj_oOl_sOMf14r5Fg5srxU/edit?usp=sharing"",""ชัยภูมิ!J784"")+IMPORTRANGE(""https://docs.google.com/spreadsheets/d/1XVB7oCJ3pr-vBUdflwPQ8Z2LlzhnCvZaaYjAfP-647E/edit"&amp;"?usp=sharing"",""นครพนม!J784"")+IMPORTRANGE(""https://docs.google.com/spreadsheets/d/1Mnpb-8PYAgn85W6KOTD40hc_Xc55CaLfHoGAbrZ8tls/edit?usp=sharing"",""นครราชสีมา!J784"")+IMPORTRANGE(""https://docs.google.com/spreadsheets/d/1xoDLGBv9CYbyosIhki0kTq6IpYNj-gp"&amp;"jxfobnaDiut0/edit?usp=sharing"",""บึงกาฬ!J784"")+IMPORTRANGE(""https://docs.google.com/spreadsheets/d/1MMPq-JyI6DSgQETxuSiXkesP-P7JHuemnE6QJIa-Nlw/edit?usp=sharing"",""บุรีรัมย์!J784"")+IMPORTRANGE(""https://docs.google.com/spreadsheets/d/1l6IZ8xUPgMrESzc"&amp;"TYwhA1k_tPjeQjJPTqlm8Gd9eU5g/edit?usp=sharing"",""มหาสารคาม!J784"")+IMPORTRANGE(""https://docs.google.com/spreadsheets/d/1uB74YLqNjWX6FObjekfB2NtSYigTQyR2rq9u4Ub2Sq4/edit?usp=sharing"",""มุกดาหาร!J784"")+IMPORTRANGE(""https://docs.google.com/spreadsheets/"&amp;"d/1NexK3geCPxCTO1fzNF8dPec7yZyUx3OaWkFBC9HsQOo/edit?usp=sharing"",""ยโสธร!J784"")+IMPORTRANGE(""https://docs.google.com/spreadsheets/d/1v_cJrbBlyqmnHPReHk44g9NrMRdENNlSy_E_c5M9fIg/edit?usp=sharing"",""ร้อยเอ็ด!J784"")+IMPORTRANGE(""https://docs.google.com"&amp;"/spreadsheets/d/1Ul4RCpCX66NxYADU1QpwAPjOmBzW64SsT11s1wzXw_c/edit?usp=sharing"",""เลย!J784"")+IMPORTRANGE(""https://docs.google.com/spreadsheets/d/1bRrNKwbHDVktQG10isr5vbWRtt5spIZPpkOSWgbT5ug/edit?usp=sharing"",""ศรีสะเกษ!J784"")+IMPORTRANGE(""https://doc"&amp;"s.google.com/spreadsheets/d/17P34_Ow5kFBfdQD0qspb2UuPX5zpi6WMrQzslghyvrI/edit?usp=sharing"",""สกลนคร!J784"")+IMPORTRANGE(""https://docs.google.com/spreadsheets/d/1yswqbM3-AEpThF3ZSUa1AcmHnmRTF1vlJ1CZGcJ8YuU/edit?usp=sharing"",""สุรินทร์!J784"")+IMPORTRANG"&amp;"E(""https://docs.google.com/spreadsheets/d/13JHU_EFbsQOUQ0JSQ3dWy1VTRosIWcDq6Nc99z2qzdc/edit?usp=sharing"",""หนองคาย!J784"")+IMPORTRANGE(""https://docs.google.com/spreadsheets/d/1Hx73zIEgVdDZZaYSTc46Dqv64atFhpr3GelxLbaIN8A/edit?usp=sharing"",""หนองบัวลำภู"&amp;"!J784"")+IMPORTRANGE(""https://docs.google.com/spreadsheets/d/1lFxr3ctmjFN90yc-xV6jrQ9Ty8BKYVBWnAZ15wcNIJc/edit?usp=sharing"",""อำนาจเจริญ!J784"")+IMPORTRANGE(""https://docs.google.com/spreadsheets/d/1gF7RJpRnL-1oyjyeWxs5SFWEH7y8ahOZsQlyp2A2e-A/edit?usp=s"&amp;"haring"",""อุดรธานี!J784"")+IMPORTRANGE(""https://docs.google.com/spreadsheets/d/1kfLP0j3INXRa8bTDpcEmoWewMBV61jlFlfzczfjWIgc/edit?usp=sharing"",""อุบลราชธานี!J784"")"),71640800)</f>
        <v>71640800</v>
      </c>
      <c r="K784" s="255">
        <f t="shared" ca="1" si="534"/>
        <v>41.448242345699015</v>
      </c>
      <c r="L784" s="55"/>
      <c r="M784" s="55"/>
      <c r="N784" s="55"/>
      <c r="O784" s="55"/>
      <c r="P784" s="55"/>
      <c r="Q784" s="55"/>
      <c r="R784" s="55"/>
      <c r="S784" s="55"/>
      <c r="T784" s="55"/>
      <c r="U784" s="55"/>
    </row>
    <row r="785" spans="1:21" ht="18.75">
      <c r="A785" s="374"/>
      <c r="B785" s="5"/>
      <c r="C785" s="5"/>
      <c r="D785" s="5"/>
      <c r="E785" s="4"/>
      <c r="F785" s="4"/>
      <c r="G785" s="65"/>
      <c r="H785" s="376" t="s">
        <v>35</v>
      </c>
      <c r="I785" s="216">
        <f ca="1">IFERROR(__xludf.DUMMYFUNCTION("IMPORTRANGE(""https://docs.google.com/spreadsheets/d/1yhBcrRPreicbMKl9Bu_Snb2-OcQAF62RKfhTLhJ2eAA/edit?usp=sharing"",""กาฬสินธุ์!I785"")+IMPORTRANGE(""https://docs.google.com/spreadsheets/d/1aHkj4IaQMThhwWwevcOymEh837vdxeC_PycurhTbGFA/edit?usp=sharing"","&amp;"""ขอนแก่น!I785"")+IMPORTRANGE(""https://docs.google.com/spreadsheets/d/1FvTu2DsIWUjP6WCWra38Bkj_oOl_sOMf14r5Fg5srxU/edit?usp=sharing"",""ชัยภูมิ!I785"")+IMPORTRANGE(""https://docs.google.com/spreadsheets/d/1XVB7oCJ3pr-vBUdflwPQ8Z2LlzhnCvZaaYjAfP-647E/edit"&amp;"?usp=sharing"",""นครพนม!I785"")+IMPORTRANGE(""https://docs.google.com/spreadsheets/d/1Mnpb-8PYAgn85W6KOTD40hc_Xc55CaLfHoGAbrZ8tls/edit?usp=sharing"",""นครราชสีมา!I785"")+IMPORTRANGE(""https://docs.google.com/spreadsheets/d/1xoDLGBv9CYbyosIhki0kTq6IpYNj-gp"&amp;"jxfobnaDiut0/edit?usp=sharing"",""บึงกาฬ!I785"")+IMPORTRANGE(""https://docs.google.com/spreadsheets/d/1MMPq-JyI6DSgQETxuSiXkesP-P7JHuemnE6QJIa-Nlw/edit?usp=sharing"",""บุรีรัมย์!I785"")+IMPORTRANGE(""https://docs.google.com/spreadsheets/d/1l6IZ8xUPgMrESzc"&amp;"TYwhA1k_tPjeQjJPTqlm8Gd9eU5g/edit?usp=sharing"",""มหาสารคาม!I785"")+IMPORTRANGE(""https://docs.google.com/spreadsheets/d/1uB74YLqNjWX6FObjekfB2NtSYigTQyR2rq9u4Ub2Sq4/edit?usp=sharing"",""มุกดาหาร!I785"")+IMPORTRANGE(""https://docs.google.com/spreadsheets/"&amp;"d/1NexK3geCPxCTO1fzNF8dPec7yZyUx3OaWkFBC9HsQOo/edit?usp=sharing"",""ยโสธร!I785"")+IMPORTRANGE(""https://docs.google.com/spreadsheets/d/1v_cJrbBlyqmnHPReHk44g9NrMRdENNlSy_E_c5M9fIg/edit?usp=sharing"",""ร้อยเอ็ด!I785"")+IMPORTRANGE(""https://docs.google.com"&amp;"/spreadsheets/d/1Ul4RCpCX66NxYADU1QpwAPjOmBzW64SsT11s1wzXw_c/edit?usp=sharing"",""เลย!I785"")+IMPORTRANGE(""https://docs.google.com/spreadsheets/d/1bRrNKwbHDVktQG10isr5vbWRtt5spIZPpkOSWgbT5ug/edit?usp=sharing"",""ศรีสะเกษ!I785"")+IMPORTRANGE(""https://doc"&amp;"s.google.com/spreadsheets/d/17P34_Ow5kFBfdQD0qspb2UuPX5zpi6WMrQzslghyvrI/edit?usp=sharing"",""สกลนคร!I785"")+IMPORTRANGE(""https://docs.google.com/spreadsheets/d/1yswqbM3-AEpThF3ZSUa1AcmHnmRTF1vlJ1CZGcJ8YuU/edit?usp=sharing"",""สุรินทร์!I785"")+IMPORTRANG"&amp;"E(""https://docs.google.com/spreadsheets/d/13JHU_EFbsQOUQ0JSQ3dWy1VTRosIWcDq6Nc99z2qzdc/edit?usp=sharing"",""หนองคาย!I785"")+IMPORTRANGE(""https://docs.google.com/spreadsheets/d/1Hx73zIEgVdDZZaYSTc46Dqv64atFhpr3GelxLbaIN8A/edit?usp=sharing"",""หนองบัวลำภู"&amp;"!I785"")+IMPORTRANGE(""https://docs.google.com/spreadsheets/d/1lFxr3ctmjFN90yc-xV6jrQ9Ty8BKYVBWnAZ15wcNIJc/edit?usp=sharing"",""อำนาจเจริญ!I785"")+IMPORTRANGE(""https://docs.google.com/spreadsheets/d/1gF7RJpRnL-1oyjyeWxs5SFWEH7y8ahOZsQlyp2A2e-A/edit?usp=s"&amp;"haring"",""อุดรธานี!I785"")+IMPORTRANGE(""https://docs.google.com/spreadsheets/d/1kfLP0j3INXRa8bTDpcEmoWewMBV61jlFlfzczfjWIgc/edit?usp=sharing"",""อุบลราชธานี!I785"")"),6173)</f>
        <v>6173</v>
      </c>
      <c r="J785" s="216">
        <f ca="1">IFERROR(__xludf.DUMMYFUNCTION("IMPORTRANGE(""https://docs.google.com/spreadsheets/d/1yhBcrRPreicbMKl9Bu_Snb2-OcQAF62RKfhTLhJ2eAA/edit?usp=sharing"",""กาฬสินธุ์!J785"")+IMPORTRANGE(""https://docs.google.com/spreadsheets/d/1aHkj4IaQMThhwWwevcOymEh837vdxeC_PycurhTbGFA/edit?usp=sharing"","&amp;"""ขอนแก่น!J785"")+IMPORTRANGE(""https://docs.google.com/spreadsheets/d/1FvTu2DsIWUjP6WCWra38Bkj_oOl_sOMf14r5Fg5srxU/edit?usp=sharing"",""ชัยภูมิ!J785"")+IMPORTRANGE(""https://docs.google.com/spreadsheets/d/1XVB7oCJ3pr-vBUdflwPQ8Z2LlzhnCvZaaYjAfP-647E/edit"&amp;"?usp=sharing"",""นครพนม!J785"")+IMPORTRANGE(""https://docs.google.com/spreadsheets/d/1Mnpb-8PYAgn85W6KOTD40hc_Xc55CaLfHoGAbrZ8tls/edit?usp=sharing"",""นครราชสีมา!J785"")+IMPORTRANGE(""https://docs.google.com/spreadsheets/d/1xoDLGBv9CYbyosIhki0kTq6IpYNj-gp"&amp;"jxfobnaDiut0/edit?usp=sharing"",""บึงกาฬ!J785"")+IMPORTRANGE(""https://docs.google.com/spreadsheets/d/1MMPq-JyI6DSgQETxuSiXkesP-P7JHuemnE6QJIa-Nlw/edit?usp=sharing"",""บุรีรัมย์!J785"")+IMPORTRANGE(""https://docs.google.com/spreadsheets/d/1l6IZ8xUPgMrESzc"&amp;"TYwhA1k_tPjeQjJPTqlm8Gd9eU5g/edit?usp=sharing"",""มหาสารคาม!J785"")+IMPORTRANGE(""https://docs.google.com/spreadsheets/d/1uB74YLqNjWX6FObjekfB2NtSYigTQyR2rq9u4Ub2Sq4/edit?usp=sharing"",""มุกดาหาร!J785"")+IMPORTRANGE(""https://docs.google.com/spreadsheets/"&amp;"d/1NexK3geCPxCTO1fzNF8dPec7yZyUx3OaWkFBC9HsQOo/edit?usp=sharing"",""ยโสธร!J785"")+IMPORTRANGE(""https://docs.google.com/spreadsheets/d/1v_cJrbBlyqmnHPReHk44g9NrMRdENNlSy_E_c5M9fIg/edit?usp=sharing"",""ร้อยเอ็ด!J785"")+IMPORTRANGE(""https://docs.google.com"&amp;"/spreadsheets/d/1Ul4RCpCX66NxYADU1QpwAPjOmBzW64SsT11s1wzXw_c/edit?usp=sharing"",""เลย!J785"")+IMPORTRANGE(""https://docs.google.com/spreadsheets/d/1bRrNKwbHDVktQG10isr5vbWRtt5spIZPpkOSWgbT5ug/edit?usp=sharing"",""ศรีสะเกษ!J785"")+IMPORTRANGE(""https://doc"&amp;"s.google.com/spreadsheets/d/17P34_Ow5kFBfdQD0qspb2UuPX5zpi6WMrQzslghyvrI/edit?usp=sharing"",""สกลนคร!J785"")+IMPORTRANGE(""https://docs.google.com/spreadsheets/d/1yswqbM3-AEpThF3ZSUa1AcmHnmRTF1vlJ1CZGcJ8YuU/edit?usp=sharing"",""สุรินทร์!J785"")+IMPORTRANG"&amp;"E(""https://docs.google.com/spreadsheets/d/13JHU_EFbsQOUQ0JSQ3dWy1VTRosIWcDq6Nc99z2qzdc/edit?usp=sharing"",""หนองคาย!J785"")+IMPORTRANGE(""https://docs.google.com/spreadsheets/d/1Hx73zIEgVdDZZaYSTc46Dqv64atFhpr3GelxLbaIN8A/edit?usp=sharing"",""หนองบัวลำภู"&amp;"!J785"")+IMPORTRANGE(""https://docs.google.com/spreadsheets/d/1lFxr3ctmjFN90yc-xV6jrQ9Ty8BKYVBWnAZ15wcNIJc/edit?usp=sharing"",""อำนาจเจริญ!J785"")+IMPORTRANGE(""https://docs.google.com/spreadsheets/d/1gF7RJpRnL-1oyjyeWxs5SFWEH7y8ahOZsQlyp2A2e-A/edit?usp=s"&amp;"haring"",""อุดรธานี!J785"")+IMPORTRANGE(""https://docs.google.com/spreadsheets/d/1kfLP0j3INXRa8bTDpcEmoWewMBV61jlFlfzczfjWIgc/edit?usp=sharing"",""อุบลราชธานี!J785"")"),1817)</f>
        <v>1817</v>
      </c>
      <c r="K785" s="506">
        <f t="shared" ca="1" si="534"/>
        <v>29.434634699497813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>
      <c r="A786" s="507"/>
      <c r="B786" s="507"/>
      <c r="C786" s="507"/>
      <c r="D786" s="507"/>
      <c r="E786" s="1"/>
      <c r="F786" s="1"/>
      <c r="G786" s="1"/>
      <c r="H786" s="507"/>
      <c r="I786" s="508"/>
      <c r="J786" s="508"/>
      <c r="K786" s="509"/>
      <c r="L786" s="509"/>
      <c r="M786" s="509"/>
      <c r="N786" s="509"/>
      <c r="O786" s="509"/>
      <c r="P786" s="509"/>
      <c r="Q786" s="509"/>
      <c r="R786" s="509"/>
      <c r="S786" s="509"/>
      <c r="T786" s="509"/>
      <c r="U786" s="509"/>
    </row>
    <row r="787" spans="1:21" ht="16.5">
      <c r="A787" s="510" t="s">
        <v>297</v>
      </c>
      <c r="B787" s="507"/>
      <c r="C787" s="507"/>
      <c r="D787" s="507"/>
      <c r="E787" s="1"/>
      <c r="F787" s="1"/>
      <c r="G787" s="1"/>
      <c r="H787" s="507"/>
      <c r="I787" s="508"/>
      <c r="J787" s="508"/>
      <c r="K787" s="509"/>
      <c r="L787" s="509"/>
      <c r="M787" s="509"/>
      <c r="N787" s="509"/>
      <c r="O787" s="509"/>
      <c r="P787" s="509"/>
      <c r="Q787" s="509"/>
      <c r="R787" s="509"/>
      <c r="S787" s="509"/>
      <c r="T787" s="509"/>
      <c r="U787" s="509"/>
    </row>
    <row r="788" spans="1:21" ht="16.5">
      <c r="A788" s="510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 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67")</f>
        <v xml:space="preserve"> 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</v>
      </c>
      <c r="B788" s="507"/>
      <c r="C788" s="507"/>
      <c r="D788" s="507"/>
      <c r="E788" s="1"/>
      <c r="F788" s="1"/>
      <c r="G788" s="1"/>
      <c r="H788" s="507"/>
      <c r="I788" s="508"/>
      <c r="J788" s="508"/>
      <c r="K788" s="509"/>
      <c r="L788" s="509"/>
      <c r="M788" s="509"/>
      <c r="N788" s="509"/>
      <c r="O788" s="509"/>
      <c r="P788" s="509"/>
      <c r="Q788" s="509"/>
      <c r="R788" s="509"/>
      <c r="S788" s="509"/>
      <c r="T788" s="509"/>
      <c r="U788" s="509"/>
    </row>
    <row r="789" spans="1:21" ht="16.5">
      <c r="A789" s="510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 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น.")</f>
        <v xml:space="preserve"> 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</v>
      </c>
      <c r="B789" s="507"/>
      <c r="C789" s="507"/>
      <c r="D789" s="507"/>
      <c r="E789" s="1"/>
      <c r="F789" s="1"/>
      <c r="G789" s="1"/>
      <c r="H789" s="507"/>
      <c r="I789" s="508"/>
      <c r="J789" s="508"/>
      <c r="K789" s="509"/>
      <c r="L789" s="509"/>
      <c r="M789" s="509"/>
      <c r="N789" s="509"/>
      <c r="O789" s="509"/>
      <c r="P789" s="509"/>
      <c r="Q789" s="509"/>
      <c r="R789" s="509"/>
      <c r="S789" s="509"/>
      <c r="T789" s="509"/>
      <c r="U789" s="509"/>
    </row>
  </sheetData>
  <mergeCells count="25"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  <mergeCell ref="A7:G7"/>
    <mergeCell ref="D493:F493"/>
    <mergeCell ref="D599:G599"/>
    <mergeCell ref="D616:G616"/>
    <mergeCell ref="D642:G642"/>
    <mergeCell ref="Q5:R5"/>
    <mergeCell ref="S5:U5"/>
    <mergeCell ref="L4:P4"/>
    <mergeCell ref="Q4:U4"/>
    <mergeCell ref="A5:G6"/>
    <mergeCell ref="I5:K5"/>
    <mergeCell ref="N5:P5"/>
    <mergeCell ref="A1:U1"/>
    <mergeCell ref="A2:U2"/>
    <mergeCell ref="A3:U3"/>
  </mergeCells>
  <printOptions horizontalCentered="1"/>
  <pageMargins left="0.23622047244094491" right="0.23622047244094491" top="0.55118110236220474" bottom="0.55118110236220474" header="0" footer="0"/>
  <pageSetup paperSize="9" scale="27" fitToHeight="0" pageOrder="overThenDown" orientation="portrait" cellComments="atEnd" r:id="rId1"/>
  <headerFooter>
    <oddFooter>&amp;Cหน้า 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C7917B-D8FB-446A-8979-559A4D34058D}">
  <sheetPr>
    <outlinePr summaryBelow="0" summaryRight="0"/>
    <pageSetUpPr fitToPage="1"/>
  </sheetPr>
  <dimension ref="A1:U789"/>
  <sheetViews>
    <sheetView view="pageBreakPreview" zoomScale="60" zoomScaleNormal="60" workbookViewId="0">
      <pane xSplit="8" ySplit="17" topLeftCell="I18" activePane="bottomRight" state="frozen"/>
      <selection activeCell="T32" sqref="T32"/>
      <selection pane="topRight" activeCell="T32" sqref="T32"/>
      <selection pane="bottomLeft" activeCell="T32" sqref="T32"/>
      <selection pane="bottomRight" activeCell="T32" sqref="T32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10" width="16.85546875" bestFit="1" customWidth="1"/>
    <col min="11" max="11" width="15.140625" customWidth="1"/>
    <col min="12" max="14" width="21.28515625" bestFit="1" customWidth="1"/>
    <col min="15" max="15" width="20.140625" bestFit="1" customWidth="1"/>
    <col min="16" max="16" width="22" bestFit="1" customWidth="1"/>
    <col min="17" max="18" width="21.28515625" bestFit="1" customWidth="1"/>
    <col min="19" max="19" width="18.7109375" bestFit="1" customWidth="1"/>
    <col min="20" max="20" width="20.140625" bestFit="1" customWidth="1"/>
    <col min="21" max="21" width="22" bestFit="1" customWidth="1"/>
  </cols>
  <sheetData>
    <row r="1" spans="1:21" ht="19.5">
      <c r="A1" s="894" t="s">
        <v>0</v>
      </c>
      <c r="B1" s="894"/>
      <c r="C1" s="894"/>
      <c r="D1" s="894"/>
      <c r="E1" s="894"/>
      <c r="F1" s="894"/>
      <c r="G1" s="894"/>
      <c r="H1" s="894"/>
      <c r="I1" s="894"/>
      <c r="J1" s="894"/>
      <c r="K1" s="894"/>
      <c r="L1" s="894"/>
      <c r="M1" s="894"/>
      <c r="N1" s="894"/>
      <c r="O1" s="894"/>
      <c r="P1" s="894"/>
      <c r="Q1" s="894"/>
      <c r="R1" s="894"/>
      <c r="S1" s="894"/>
      <c r="T1" s="894"/>
      <c r="U1" s="894"/>
    </row>
    <row r="2" spans="1:21" ht="19.5">
      <c r="A2" s="894" t="s">
        <v>320</v>
      </c>
      <c r="B2" s="894"/>
      <c r="C2" s="894"/>
      <c r="D2" s="894"/>
      <c r="E2" s="894"/>
      <c r="F2" s="894"/>
      <c r="G2" s="894"/>
      <c r="H2" s="894"/>
      <c r="I2" s="894"/>
      <c r="J2" s="894"/>
      <c r="K2" s="894"/>
      <c r="L2" s="894"/>
      <c r="M2" s="894"/>
      <c r="N2" s="894"/>
      <c r="O2" s="894"/>
      <c r="P2" s="894"/>
      <c r="Q2" s="894"/>
      <c r="R2" s="894"/>
      <c r="S2" s="894"/>
      <c r="T2" s="894"/>
      <c r="U2" s="894"/>
    </row>
    <row r="3" spans="1:21" ht="19.5">
      <c r="A3" s="894" t="s">
        <v>339</v>
      </c>
      <c r="B3" s="894"/>
      <c r="C3" s="894"/>
      <c r="D3" s="894"/>
      <c r="E3" s="894"/>
      <c r="F3" s="894"/>
      <c r="G3" s="894"/>
      <c r="H3" s="894"/>
      <c r="I3" s="894"/>
      <c r="J3" s="894"/>
      <c r="K3" s="894"/>
      <c r="L3" s="894"/>
      <c r="M3" s="894"/>
      <c r="N3" s="894"/>
      <c r="O3" s="894"/>
      <c r="P3" s="894"/>
      <c r="Q3" s="894"/>
      <c r="R3" s="894"/>
      <c r="S3" s="894"/>
      <c r="T3" s="894"/>
      <c r="U3" s="894"/>
    </row>
    <row r="4" spans="1:21" ht="19.5">
      <c r="A4" s="4"/>
      <c r="B4" s="4"/>
      <c r="C4" s="4"/>
      <c r="D4" s="4"/>
      <c r="E4" s="4"/>
      <c r="F4" s="4"/>
      <c r="G4" s="4"/>
      <c r="H4" s="4"/>
      <c r="I4" s="4"/>
      <c r="J4" s="5"/>
      <c r="K4" s="766"/>
      <c r="L4" s="765" t="s">
        <v>2</v>
      </c>
      <c r="M4" s="514"/>
      <c r="N4" s="514"/>
      <c r="O4" s="514"/>
      <c r="P4" s="512"/>
      <c r="Q4" s="518" t="s">
        <v>3</v>
      </c>
      <c r="R4" s="514"/>
      <c r="S4" s="514"/>
      <c r="T4" s="514"/>
      <c r="U4" s="512"/>
    </row>
    <row r="5" spans="1:21" ht="19.5">
      <c r="A5" s="764" t="s">
        <v>4</v>
      </c>
      <c r="B5" s="516"/>
      <c r="C5" s="516"/>
      <c r="D5" s="516"/>
      <c r="E5" s="516"/>
      <c r="F5" s="516"/>
      <c r="G5" s="763"/>
      <c r="H5" s="772" t="s">
        <v>5</v>
      </c>
      <c r="I5" s="761" t="s">
        <v>6</v>
      </c>
      <c r="J5" s="514"/>
      <c r="K5" s="512"/>
      <c r="L5" s="760" t="s">
        <v>7</v>
      </c>
      <c r="M5" s="512"/>
      <c r="N5" s="513" t="s">
        <v>8</v>
      </c>
      <c r="O5" s="514"/>
      <c r="P5" s="512"/>
      <c r="Q5" s="511" t="s">
        <v>7</v>
      </c>
      <c r="R5" s="512"/>
      <c r="S5" s="513" t="s">
        <v>8</v>
      </c>
      <c r="T5" s="514"/>
      <c r="U5" s="512"/>
    </row>
    <row r="6" spans="1:21" ht="19.5">
      <c r="A6" s="522"/>
      <c r="B6" s="514"/>
      <c r="C6" s="514"/>
      <c r="D6" s="514"/>
      <c r="E6" s="514"/>
      <c r="F6" s="514"/>
      <c r="G6" s="512"/>
      <c r="H6" s="512"/>
      <c r="I6" s="9" t="s">
        <v>9</v>
      </c>
      <c r="J6" s="10" t="s">
        <v>10</v>
      </c>
      <c r="K6" s="9" t="s">
        <v>11</v>
      </c>
      <c r="L6" s="758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 hidden="1">
      <c r="A7" s="750"/>
      <c r="B7" s="514"/>
      <c r="C7" s="514"/>
      <c r="D7" s="514"/>
      <c r="E7" s="514"/>
      <c r="F7" s="514"/>
      <c r="G7" s="512"/>
      <c r="H7" s="17"/>
      <c r="I7" s="18"/>
      <c r="J7" s="18"/>
      <c r="K7" s="19"/>
      <c r="L7" s="28"/>
      <c r="M7" s="19"/>
      <c r="N7" s="19"/>
      <c r="O7" s="19"/>
      <c r="P7" s="19"/>
      <c r="Q7" s="19"/>
      <c r="R7" s="19"/>
      <c r="S7" s="19"/>
      <c r="T7" s="19"/>
      <c r="U7" s="19"/>
    </row>
    <row r="8" spans="1:21" ht="12.75" hidden="1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6"/>
      <c r="M8" s="25"/>
      <c r="N8" s="25"/>
      <c r="O8" s="25"/>
      <c r="P8" s="25"/>
      <c r="Q8" s="25"/>
      <c r="R8" s="25"/>
      <c r="S8" s="25"/>
      <c r="T8" s="25"/>
      <c r="U8" s="25"/>
    </row>
    <row r="9" spans="1:21" ht="12.75" hidden="1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6"/>
      <c r="M9" s="25"/>
      <c r="N9" s="25"/>
      <c r="O9" s="25"/>
      <c r="P9" s="25"/>
      <c r="Q9" s="25"/>
      <c r="R9" s="25"/>
      <c r="S9" s="25"/>
      <c r="T9" s="25"/>
      <c r="U9" s="25"/>
    </row>
    <row r="10" spans="1:21" ht="12.75" hidden="1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6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2.75" hidden="1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6"/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2.75" hidden="1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6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2.75" hidden="1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6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2.75" hidden="1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2.75" hidden="1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6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2.75" hidden="1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28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9.5">
      <c r="A17" s="532" t="s">
        <v>311</v>
      </c>
      <c r="B17" s="514"/>
      <c r="C17" s="514"/>
      <c r="D17" s="514"/>
      <c r="E17" s="514"/>
      <c r="F17" s="514"/>
      <c r="G17" s="512"/>
      <c r="H17" s="29"/>
      <c r="I17" s="30"/>
      <c r="J17" s="30"/>
      <c r="K17" s="31"/>
      <c r="L17" s="32"/>
      <c r="M17" s="31"/>
      <c r="N17" s="31"/>
      <c r="O17" s="31"/>
      <c r="P17" s="31"/>
      <c r="Q17" s="31"/>
      <c r="R17" s="31"/>
      <c r="S17" s="31"/>
      <c r="T17" s="31"/>
      <c r="U17" s="31"/>
    </row>
    <row r="18" spans="1:21" ht="19.5">
      <c r="A18" s="33"/>
      <c r="B18" s="34"/>
      <c r="C18" s="35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757">
        <f ca="1">L19+L20</f>
        <v>1848290</v>
      </c>
      <c r="M18" s="720">
        <f ca="1">M19+M20</f>
        <v>1933537</v>
      </c>
      <c r="N18" s="720">
        <f ca="1">N19+N20</f>
        <v>1452616.1600000001</v>
      </c>
      <c r="O18" s="720">
        <f ca="1">IF(L18&gt;0,N18*100/L18,0)</f>
        <v>78.592437333968149</v>
      </c>
      <c r="P18" s="720">
        <f ca="1">IF(M18&gt;0,N18*100/M18,0)</f>
        <v>75.127404337232747</v>
      </c>
      <c r="Q18" s="720">
        <f ca="1">Q19+Q20</f>
        <v>2953990.24</v>
      </c>
      <c r="R18" s="720">
        <f ca="1">R19+R20</f>
        <v>2828990</v>
      </c>
      <c r="S18" s="720">
        <f ca="1">S19+S20</f>
        <v>719630.2</v>
      </c>
      <c r="T18" s="720">
        <f ca="1">IF(Q18&gt;0,S18*100/Q18,0)</f>
        <v>24.361292405624194</v>
      </c>
      <c r="U18" s="720">
        <f ca="1">IF(R18&gt;0,S18*100/R18,0)</f>
        <v>25.437707450362144</v>
      </c>
    </row>
    <row r="19" spans="1:21" ht="18.75" hidden="1">
      <c r="A19" s="33"/>
      <c r="B19" s="34"/>
      <c r="C19" s="34"/>
      <c r="D19" s="34"/>
      <c r="E19" s="756" t="s">
        <v>20</v>
      </c>
      <c r="F19" s="34"/>
      <c r="G19" s="37"/>
      <c r="H19" s="755" t="s">
        <v>14</v>
      </c>
      <c r="I19" s="39"/>
      <c r="J19" s="39"/>
      <c r="K19" s="40"/>
      <c r="L19" s="754">
        <f>L22+L25</f>
        <v>0</v>
      </c>
      <c r="M19" s="753">
        <f>M22+M25</f>
        <v>0</v>
      </c>
      <c r="N19" s="753">
        <f>N22+N25</f>
        <v>0</v>
      </c>
      <c r="O19" s="753">
        <f>IF(L19&gt;0,N19*100/L19,0)</f>
        <v>0</v>
      </c>
      <c r="P19" s="753">
        <f>IF(M19&gt;0,N19*100/M19,0)</f>
        <v>0</v>
      </c>
      <c r="Q19" s="753">
        <f>Q22+Q25</f>
        <v>0</v>
      </c>
      <c r="R19" s="753">
        <f>R22+R25</f>
        <v>0</v>
      </c>
      <c r="S19" s="753">
        <f>S22+S25</f>
        <v>0</v>
      </c>
      <c r="T19" s="753">
        <f>IF(Q19&gt;0,S19*100/Q19,0)</f>
        <v>0</v>
      </c>
      <c r="U19" s="753">
        <f>IF(R19&gt;0,S19*100/R19,0)</f>
        <v>0</v>
      </c>
    </row>
    <row r="20" spans="1:21" ht="18.75" hidden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752">
        <f ca="1">L23+L26</f>
        <v>1848290</v>
      </c>
      <c r="M20" s="751">
        <f ca="1">M23+M26</f>
        <v>1933537</v>
      </c>
      <c r="N20" s="751">
        <f ca="1">N23+N26</f>
        <v>1452616.1600000001</v>
      </c>
      <c r="O20" s="751">
        <f ca="1">IF(L20&gt;0,N20*100/L20,0)</f>
        <v>78.592437333968149</v>
      </c>
      <c r="P20" s="751">
        <f ca="1">IF(M20&gt;0,N20*100/M20,0)</f>
        <v>75.127404337232747</v>
      </c>
      <c r="Q20" s="751">
        <f ca="1">Q23+Q26</f>
        <v>2953990.24</v>
      </c>
      <c r="R20" s="751">
        <f ca="1">R23+R26</f>
        <v>2828990</v>
      </c>
      <c r="S20" s="751">
        <f ca="1">S23+S26</f>
        <v>719630.2</v>
      </c>
      <c r="T20" s="751">
        <f ca="1">IF(Q20&gt;0,S20*100/Q20,0)</f>
        <v>24.361292405624194</v>
      </c>
      <c r="U20" s="751">
        <f ca="1">IF(R20&gt;0,S20*100/R20,0)</f>
        <v>25.437707450362144</v>
      </c>
    </row>
    <row r="21" spans="1:21" ht="18.75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256">
        <f ca="1">L22+L23</f>
        <v>1848290</v>
      </c>
      <c r="M21" s="255">
        <f ca="1">M22+M23</f>
        <v>1933537</v>
      </c>
      <c r="N21" s="255">
        <f ca="1">N22+N23</f>
        <v>1452616.1600000001</v>
      </c>
      <c r="O21" s="255">
        <f ca="1">IF(L21&gt;0,N21*100/L21,0)</f>
        <v>78.592437333968149</v>
      </c>
      <c r="P21" s="255">
        <f ca="1">IF(M21&gt;0,N21*100/M21,0)</f>
        <v>75.127404337232747</v>
      </c>
      <c r="Q21" s="255">
        <f ca="1">Q22+Q23</f>
        <v>2953990.24</v>
      </c>
      <c r="R21" s="255">
        <f ca="1">R22+R23</f>
        <v>2828990</v>
      </c>
      <c r="S21" s="255">
        <f ca="1">S22+S23</f>
        <v>719630.2</v>
      </c>
      <c r="T21" s="255">
        <f ca="1">IF(Q21&gt;0,S21*100/Q21,0)</f>
        <v>24.361292405624194</v>
      </c>
      <c r="U21" s="255">
        <f ca="1">IF(R21&gt;0,S21*100/R21,0)</f>
        <v>25.437707450362144</v>
      </c>
    </row>
    <row r="22" spans="1:21" ht="18.75" hidden="1">
      <c r="A22" s="49"/>
      <c r="B22" s="50"/>
      <c r="C22" s="50"/>
      <c r="D22" s="50"/>
      <c r="E22" s="186" t="s">
        <v>20</v>
      </c>
      <c r="F22" s="50"/>
      <c r="G22" s="52"/>
      <c r="H22" s="729" t="s">
        <v>14</v>
      </c>
      <c r="I22" s="54"/>
      <c r="J22" s="54"/>
      <c r="K22" s="55"/>
      <c r="L22" s="103">
        <f>L48+L63+L76+L98+L129+L143+L161+L190+L177+L270+L286+L307+L324+L337+L360+L517</f>
        <v>0</v>
      </c>
      <c r="M22" s="102">
        <f>M48+M63+M76+M98+M129+M143+M161+M190+M177+M270+M286+M307+M324+M337+M360+M517</f>
        <v>0</v>
      </c>
      <c r="N22" s="102">
        <f>N48+N63+N76+N98+N129+N143+N161+N190+N177+N270+N286+N307+N324+N337+N360+N517</f>
        <v>0</v>
      </c>
      <c r="O22" s="102">
        <f>IF(L22&gt;0,N22*100/L22,0)</f>
        <v>0</v>
      </c>
      <c r="P22" s="102">
        <f>IF(M22&gt;0,N22*100/M22,0)</f>
        <v>0</v>
      </c>
      <c r="Q22" s="102">
        <f>Q76+Q98+Q121+Q143+Q161+Q177+Q190+Q270+Q286+Q307+Q337+Q379+Q396+Q417+Q497+Q603+Q620+Q646+Q694+Q718+Q732+Q764</f>
        <v>0</v>
      </c>
      <c r="R22" s="102">
        <f>R76+R98+R121+R143+R161+R177+R190+R270+R286+R307+R337+R379+R396+R417+R497+R603+R620+R646+R694+R718+R732+R764</f>
        <v>0</v>
      </c>
      <c r="S22" s="102">
        <f>S76+S98+S121+S143+S161+S177+S190+S270+S286+S307+S337+S379+S396+S417+S497+S603+S620+S646+S694+S718+S732+S764</f>
        <v>0</v>
      </c>
      <c r="T22" s="102">
        <f>IF(Q22&gt;0,S22*100/Q22,0)</f>
        <v>0</v>
      </c>
      <c r="U22" s="102">
        <f>IF(R22&gt;0,S22*100/R22,0)</f>
        <v>0</v>
      </c>
    </row>
    <row r="23" spans="1:21" ht="18.75" hidden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256">
        <f ca="1">L49+L64+L77+L99+L130+L144+L162+L191+L178+L271+L287+L308+L325+L338+L361+L518</f>
        <v>1848290</v>
      </c>
      <c r="M23" s="255">
        <f ca="1">M49+M64+M77+M99+M130+M144+M162+M191+M178+M271+M287+M308+M325+M338+M361+M518</f>
        <v>1933537</v>
      </c>
      <c r="N23" s="255">
        <f ca="1">N49+N64+N77+N99+N130+N144+N162+N191+N178+N271+N287+N308+N325+N338+N361+N518</f>
        <v>1452616.1600000001</v>
      </c>
      <c r="O23" s="255">
        <f ca="1">IF(L23&gt;0,N23*100/L23,0)</f>
        <v>78.592437333968149</v>
      </c>
      <c r="P23" s="255">
        <f ca="1">IF(M23&gt;0,N23*100/M23,0)</f>
        <v>75.127404337232747</v>
      </c>
      <c r="Q23" s="255">
        <f ca="1">Q77+Q99+Q122+Q144+Q162+Q178+Q191+Q271+Q287+Q308+Q338+Q380+Q397+Q418+Q498+Q604+Q621+Q647+Q695+Q719+Q733+Q765</f>
        <v>2953990.24</v>
      </c>
      <c r="R23" s="255">
        <f ca="1">R77+R99+R122+R144+R162+R178+R191+R271+R287+R308+R338+R380+R397+R418+R498+R604+R621+R647+R695+R719+R733+R765</f>
        <v>2828990</v>
      </c>
      <c r="S23" s="255">
        <f ca="1">S77+S99+S122+S144+S162+S178+S191+S271+S287+S308+S338+S380+S397+S418+S498+S604+S621+S647+S695+S719+S733+S765</f>
        <v>719630.2</v>
      </c>
      <c r="T23" s="255">
        <f ca="1">IF(Q23&gt;0,S23*100/Q23,0)</f>
        <v>24.361292405624194</v>
      </c>
      <c r="U23" s="255">
        <f ca="1">IF(R23&gt;0,S23*100/R23,0)</f>
        <v>25.437707450362144</v>
      </c>
    </row>
    <row r="24" spans="1:21" ht="18.75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256">
        <f ca="1">L25+L26</f>
        <v>0</v>
      </c>
      <c r="M24" s="255">
        <f ca="1">M25+M26</f>
        <v>0</v>
      </c>
      <c r="N24" s="255">
        <f ca="1">N25+N26</f>
        <v>0</v>
      </c>
      <c r="O24" s="255">
        <f ca="1">IF(L24&gt;0,N24*100/L24,0)</f>
        <v>0</v>
      </c>
      <c r="P24" s="255">
        <f ca="1">IF(M24&gt;0,N24*100/M24,0)</f>
        <v>0</v>
      </c>
      <c r="Q24" s="255">
        <f>Q25+Q26</f>
        <v>0</v>
      </c>
      <c r="R24" s="255">
        <f>R25+R26</f>
        <v>0</v>
      </c>
      <c r="S24" s="255">
        <f>S25+S26</f>
        <v>0</v>
      </c>
      <c r="T24" s="255">
        <f>IF(Q24&gt;0,S24*100/Q24,0)</f>
        <v>0</v>
      </c>
      <c r="U24" s="255">
        <f>IF(R24&gt;0,S24*100/R24,0)</f>
        <v>0</v>
      </c>
    </row>
    <row r="25" spans="1:21" ht="18.75" hidden="1">
      <c r="A25" s="49"/>
      <c r="B25" s="50"/>
      <c r="C25" s="50"/>
      <c r="D25" s="50"/>
      <c r="E25" s="186" t="s">
        <v>20</v>
      </c>
      <c r="F25" s="50"/>
      <c r="G25" s="52"/>
      <c r="H25" s="729" t="s">
        <v>14</v>
      </c>
      <c r="I25" s="54"/>
      <c r="J25" s="54"/>
      <c r="K25" s="55"/>
      <c r="L25" s="103">
        <f>L51+L66+L79+L101+L132+L146+L164+L193+L180+L273+L289+L310+L327+L340+L363+L520</f>
        <v>0</v>
      </c>
      <c r="M25" s="102">
        <f>M51+M66+M79+M101+M132+M146+M164+M193+M180+M273+M289+M310+M327+M340+M363+M520</f>
        <v>0</v>
      </c>
      <c r="N25" s="102">
        <f>N51+N66+N79+N101+N132+N146+N164+N193+N180+N273+N289+N310+N327+N340+N363+N520</f>
        <v>0</v>
      </c>
      <c r="O25" s="102">
        <f>IF(L25&gt;0,N25*100/L25,0)</f>
        <v>0</v>
      </c>
      <c r="P25" s="102">
        <f>IF(M25&gt;0,N25*100/M25,0)</f>
        <v>0</v>
      </c>
      <c r="Q25" s="102">
        <f>Q79+Q101+Q124+Q146+Q164+Q180+Q193+Q273+Q289+Q310+Q340+Q382+Q399+Q420+Q500+Q606+Q623+Q649+Q697+Q721+Q735+Q767</f>
        <v>0</v>
      </c>
      <c r="R25" s="102">
        <f>R79+R101+R124+R146+R164+R180+R193+R273+R289+R310+R340+R382+R399+R420+R500+R606+R623+R649+R697+R721+R735+R767</f>
        <v>0</v>
      </c>
      <c r="S25" s="102">
        <f>S79+S101+S124+S146+S164+S180+S193+S273+S289+S310+S340+S382+S399+S420+S500+S606+S623+S649+S697+S721+S735+S767</f>
        <v>0</v>
      </c>
      <c r="T25" s="102">
        <f>IF(Q25&gt;0,S25*100/Q25,0)</f>
        <v>0</v>
      </c>
      <c r="U25" s="102">
        <f>IF(R25&gt;0,S25*100/R25,0)</f>
        <v>0</v>
      </c>
    </row>
    <row r="26" spans="1:21" ht="18.75" hidden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256">
        <f ca="1">L52+L67+L80+L102+L133+L147+L165+L194+L181+L274+L290+L311+L328+L341+L364+L521</f>
        <v>0</v>
      </c>
      <c r="M26" s="255">
        <f ca="1">M52+M67+M80+M102+M133+M147+M165+M194+M181+M274+M290+M311+M328+M341+M364+M521</f>
        <v>0</v>
      </c>
      <c r="N26" s="255">
        <f ca="1">N52+N67+N80+N102+N133+N147+N165+N194+N181+N274+N290+N311+N328+N341+N364+N521</f>
        <v>0</v>
      </c>
      <c r="O26" s="255">
        <f ca="1">IF(L26&gt;0,N26*100/L26,0)</f>
        <v>0</v>
      </c>
      <c r="P26" s="255">
        <f ca="1">IF(M26&gt;0,N26*100/M26,0)</f>
        <v>0</v>
      </c>
      <c r="Q26" s="102">
        <f>Q80+Q102+Q125+Q147+Q165+Q181+Q194+Q274+Q290+Q311+Q341+Q383+Q400+Q421+Q501+Q607+Q624+Q650+Q698+Q722+Q736+Q768</f>
        <v>0</v>
      </c>
      <c r="R26" s="102">
        <f>R80+R102+R125+R147+R165+R181+R194+R274+R290+R311+R341+R383+R400+R421+R501+R607+R624+R650+R698+R722+R736+R768</f>
        <v>0</v>
      </c>
      <c r="S26" s="102">
        <f>S80+S102+S125+S147+S165+S181+S194+S274+S290+S311+S341+S383+S400+S421+S501+S607+S624+S650+S698+S722+S736+S768</f>
        <v>0</v>
      </c>
      <c r="T26" s="255">
        <f>IF(Q26&gt;0,S26*100/Q26,0)</f>
        <v>0</v>
      </c>
      <c r="U26" s="255">
        <f>IF(R26&gt;0,S26*100/R26,0)</f>
        <v>0</v>
      </c>
    </row>
    <row r="27" spans="1:21" ht="18.75">
      <c r="A27" s="49"/>
      <c r="B27" s="50"/>
      <c r="C27" s="50"/>
      <c r="D27" s="51" t="s">
        <v>24</v>
      </c>
      <c r="E27" s="50"/>
      <c r="F27" s="50"/>
      <c r="G27" s="52"/>
      <c r="H27" s="53" t="s">
        <v>14</v>
      </c>
      <c r="I27" s="54"/>
      <c r="J27" s="54"/>
      <c r="K27" s="55"/>
      <c r="L27" s="62"/>
      <c r="M27" s="55"/>
      <c r="N27" s="55"/>
      <c r="O27" s="55"/>
      <c r="P27" s="55"/>
      <c r="Q27" s="55"/>
      <c r="R27" s="55"/>
      <c r="S27" s="55"/>
      <c r="T27" s="55"/>
      <c r="U27" s="55"/>
    </row>
    <row r="28" spans="1:21" ht="18.75" hidden="1">
      <c r="A28" s="49"/>
      <c r="B28" s="50"/>
      <c r="C28" s="50"/>
      <c r="D28" s="50"/>
      <c r="E28" s="186" t="s">
        <v>20</v>
      </c>
      <c r="F28" s="50"/>
      <c r="G28" s="52"/>
      <c r="H28" s="729" t="s">
        <v>14</v>
      </c>
      <c r="I28" s="54"/>
      <c r="J28" s="54"/>
      <c r="K28" s="55"/>
      <c r="L28" s="62"/>
      <c r="M28" s="55"/>
      <c r="N28" s="55"/>
      <c r="O28" s="55"/>
      <c r="P28" s="55"/>
      <c r="Q28" s="55"/>
      <c r="R28" s="55"/>
      <c r="S28" s="55"/>
      <c r="T28" s="55"/>
      <c r="U28" s="55"/>
    </row>
    <row r="29" spans="1:21" ht="18.75" hidden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8"/>
      <c r="M29" s="6"/>
      <c r="N29" s="6"/>
      <c r="O29" s="6"/>
      <c r="P29" s="6"/>
      <c r="Q29" s="6"/>
      <c r="R29" s="6"/>
      <c r="S29" s="6"/>
      <c r="T29" s="6"/>
      <c r="U29" s="6"/>
    </row>
    <row r="30" spans="1:21" ht="12.75" hidden="1">
      <c r="A30" s="750"/>
      <c r="B30" s="514"/>
      <c r="C30" s="514"/>
      <c r="D30" s="514"/>
      <c r="E30" s="514"/>
      <c r="F30" s="514"/>
      <c r="G30" s="512"/>
      <c r="H30" s="17"/>
      <c r="I30" s="18"/>
      <c r="J30" s="18"/>
      <c r="K30" s="19"/>
      <c r="L30" s="28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 hidden="1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6"/>
      <c r="M31" s="25"/>
      <c r="N31" s="25"/>
      <c r="O31" s="25"/>
      <c r="P31" s="25"/>
      <c r="Q31" s="25"/>
      <c r="R31" s="25"/>
      <c r="S31" s="25"/>
      <c r="T31" s="25"/>
      <c r="U31" s="25"/>
    </row>
    <row r="32" spans="1:21" ht="12.75" hidden="1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6"/>
      <c r="M32" s="25"/>
      <c r="N32" s="25"/>
      <c r="O32" s="25"/>
      <c r="P32" s="25"/>
      <c r="Q32" s="25"/>
      <c r="R32" s="25"/>
      <c r="S32" s="25"/>
      <c r="T32" s="25"/>
      <c r="U32" s="25"/>
    </row>
    <row r="33" spans="1:21" ht="12.75" hidden="1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6"/>
      <c r="M33" s="25"/>
      <c r="N33" s="25"/>
      <c r="O33" s="25"/>
      <c r="P33" s="25"/>
      <c r="Q33" s="25"/>
      <c r="R33" s="25"/>
      <c r="S33" s="25"/>
      <c r="T33" s="25"/>
      <c r="U33" s="25"/>
    </row>
    <row r="34" spans="1:21" ht="12.75" hidden="1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6"/>
      <c r="M34" s="25"/>
      <c r="N34" s="25"/>
      <c r="O34" s="25"/>
      <c r="P34" s="25"/>
      <c r="Q34" s="25"/>
      <c r="R34" s="25"/>
      <c r="S34" s="25"/>
      <c r="T34" s="25"/>
      <c r="U34" s="25"/>
    </row>
    <row r="35" spans="1:21" ht="12.75" hidden="1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6"/>
      <c r="M35" s="25"/>
      <c r="N35" s="25"/>
      <c r="O35" s="25"/>
      <c r="P35" s="25"/>
      <c r="Q35" s="25"/>
      <c r="R35" s="25"/>
      <c r="S35" s="25"/>
      <c r="T35" s="25"/>
      <c r="U35" s="25"/>
    </row>
    <row r="36" spans="1:21" ht="12.75" hidden="1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6"/>
      <c r="M36" s="25"/>
      <c r="N36" s="25"/>
      <c r="O36" s="25"/>
      <c r="P36" s="25"/>
      <c r="Q36" s="25"/>
      <c r="R36" s="25"/>
      <c r="S36" s="25"/>
      <c r="T36" s="25"/>
      <c r="U36" s="25"/>
    </row>
    <row r="37" spans="1:21" ht="12.75" hidden="1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6"/>
      <c r="M37" s="25"/>
      <c r="N37" s="25"/>
      <c r="O37" s="25"/>
      <c r="P37" s="25"/>
      <c r="Q37" s="25"/>
      <c r="R37" s="25"/>
      <c r="S37" s="25"/>
      <c r="T37" s="25"/>
      <c r="U37" s="25"/>
    </row>
    <row r="38" spans="1:21" ht="12.75" hidden="1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6"/>
      <c r="M38" s="25"/>
      <c r="N38" s="25"/>
      <c r="O38" s="25"/>
      <c r="P38" s="25"/>
      <c r="Q38" s="25"/>
      <c r="R38" s="25"/>
      <c r="S38" s="25"/>
      <c r="T38" s="25"/>
      <c r="U38" s="25"/>
    </row>
    <row r="39" spans="1:21" ht="12.75" hidden="1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28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9.5" hidden="1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749">
        <f ca="1">L44+L59+L72+L94+L125+L139+L157+L173+L186+L266+L282+L303+L320+L333+L356</f>
        <v>1848290</v>
      </c>
      <c r="M40" s="748">
        <f ca="1">M44+M59+M72+M94+M125+M139+M157+M173+M186+M266+M282+M303+M320+M333+M356</f>
        <v>1933537</v>
      </c>
      <c r="N40" s="748">
        <f ca="1">N44+N59+N72+N94+N125+N139+N157+N173+N186+N266+N282+N303+N320+N333+N356</f>
        <v>1452616.1600000001</v>
      </c>
      <c r="O40" s="748">
        <f ca="1">IF(L40&gt;0,N40*100/L40,0)</f>
        <v>78.592437333968149</v>
      </c>
      <c r="P40" s="748">
        <f ca="1">IF(M40&gt;0,N40*100/M40,0)</f>
        <v>75.127404337232747</v>
      </c>
      <c r="Q40" s="73"/>
      <c r="R40" s="73"/>
      <c r="S40" s="73"/>
      <c r="T40" s="73"/>
      <c r="U40" s="73"/>
    </row>
    <row r="41" spans="1:21" ht="19.5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78"/>
      <c r="R41" s="78"/>
      <c r="S41" s="78"/>
      <c r="T41" s="78"/>
      <c r="U41" s="79"/>
    </row>
    <row r="42" spans="1:21" ht="19.5">
      <c r="A42" s="80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5"/>
      <c r="M42" s="84"/>
      <c r="N42" s="84"/>
      <c r="O42" s="84"/>
      <c r="P42" s="84"/>
      <c r="Q42" s="84"/>
      <c r="R42" s="84"/>
      <c r="S42" s="84"/>
      <c r="T42" s="84"/>
      <c r="U42" s="84"/>
    </row>
    <row r="43" spans="1:21" ht="12.75" hidden="1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6"/>
      <c r="M43" s="25"/>
      <c r="N43" s="25"/>
      <c r="O43" s="25"/>
      <c r="P43" s="25"/>
      <c r="Q43" s="25"/>
      <c r="R43" s="25"/>
      <c r="S43" s="25"/>
      <c r="T43" s="25"/>
      <c r="U43" s="25"/>
    </row>
    <row r="44" spans="1:21" ht="19.5">
      <c r="A44" s="86"/>
      <c r="B44" s="87"/>
      <c r="C44" s="88" t="s">
        <v>18</v>
      </c>
      <c r="D44" s="747" t="s">
        <v>19</v>
      </c>
      <c r="E44" s="87"/>
      <c r="F44" s="87"/>
      <c r="G44" s="90"/>
      <c r="H44" s="91" t="s">
        <v>14</v>
      </c>
      <c r="I44" s="92"/>
      <c r="J44" s="92"/>
      <c r="K44" s="93"/>
      <c r="L44" s="746">
        <f ca="1">L45+L46</f>
        <v>294070</v>
      </c>
      <c r="M44" s="745">
        <f ca="1">M45+M46</f>
        <v>420577</v>
      </c>
      <c r="N44" s="745">
        <f ca="1">N45+N46</f>
        <v>313859</v>
      </c>
      <c r="O44" s="745">
        <f ca="1">IF(L44&gt;0,N44*100/L44,0)</f>
        <v>106.72935015472507</v>
      </c>
      <c r="P44" s="745">
        <f ca="1">IF(M44&gt;0,N44*100/M44,0)</f>
        <v>74.625811682521871</v>
      </c>
      <c r="Q44" s="745">
        <f>Q45+Q46</f>
        <v>0</v>
      </c>
      <c r="R44" s="745">
        <f>R45+R46</f>
        <v>0</v>
      </c>
      <c r="S44" s="745">
        <f>S45+S46</f>
        <v>0</v>
      </c>
      <c r="T44" s="745">
        <f>IF(Q44&gt;0,S44*100/Q44,0)</f>
        <v>0</v>
      </c>
      <c r="U44" s="745">
        <f>IF(R44&gt;0,S44*100/R44,0)</f>
        <v>0</v>
      </c>
    </row>
    <row r="45" spans="1:21" ht="18.75" hidden="1">
      <c r="A45" s="86"/>
      <c r="B45" s="87"/>
      <c r="C45" s="87"/>
      <c r="D45" s="87"/>
      <c r="E45" s="744" t="s">
        <v>20</v>
      </c>
      <c r="F45" s="87"/>
      <c r="G45" s="90"/>
      <c r="H45" s="743" t="s">
        <v>14</v>
      </c>
      <c r="I45" s="92"/>
      <c r="J45" s="92"/>
      <c r="K45" s="93"/>
      <c r="L45" s="742">
        <f>L48+L51</f>
        <v>0</v>
      </c>
      <c r="M45" s="741">
        <f>M48+M51</f>
        <v>0</v>
      </c>
      <c r="N45" s="741">
        <f>N48+N51</f>
        <v>0</v>
      </c>
      <c r="O45" s="741">
        <f>IF(L45&gt;0,N45*100/L45,0)</f>
        <v>0</v>
      </c>
      <c r="P45" s="741">
        <f>IF(M45&gt;0,N45*100/M45,0)</f>
        <v>0</v>
      </c>
      <c r="Q45" s="741">
        <f>Q48+Q51</f>
        <v>0</v>
      </c>
      <c r="R45" s="741">
        <f>R48+R51</f>
        <v>0</v>
      </c>
      <c r="S45" s="741">
        <f>S48+S51</f>
        <v>0</v>
      </c>
      <c r="T45" s="741">
        <f>IF(Q45&gt;0,S45*100/Q45,0)</f>
        <v>0</v>
      </c>
      <c r="U45" s="741">
        <f>IF(R45&gt;0,S45*100/R45,0)</f>
        <v>0</v>
      </c>
    </row>
    <row r="46" spans="1:21" ht="18.75" hidden="1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740">
        <f ca="1">L49+L52</f>
        <v>294070</v>
      </c>
      <c r="M46" s="739">
        <f ca="1">M49+M52</f>
        <v>420577</v>
      </c>
      <c r="N46" s="739">
        <f ca="1">N49+N52</f>
        <v>313859</v>
      </c>
      <c r="O46" s="739">
        <f ca="1">IF(L46&gt;0,N46*100/L46,0)</f>
        <v>106.72935015472507</v>
      </c>
      <c r="P46" s="739">
        <f ca="1">IF(M46&gt;0,N46*100/M46,0)</f>
        <v>74.625811682521871</v>
      </c>
      <c r="Q46" s="739">
        <f>Q49+Q52</f>
        <v>0</v>
      </c>
      <c r="R46" s="739">
        <f>R49+R52</f>
        <v>0</v>
      </c>
      <c r="S46" s="739">
        <f>S49+S52</f>
        <v>0</v>
      </c>
      <c r="T46" s="739">
        <f>IF(Q46&gt;0,S46*100/Q46,0)</f>
        <v>0</v>
      </c>
      <c r="U46" s="739">
        <f>IF(R46&gt;0,S46*100/R46,0)</f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256">
        <f ca="1">L48+L49</f>
        <v>294070</v>
      </c>
      <c r="M47" s="255">
        <f ca="1">M48+M49</f>
        <v>420577</v>
      </c>
      <c r="N47" s="255">
        <f ca="1">N48+N49</f>
        <v>313859</v>
      </c>
      <c r="O47" s="255">
        <f ca="1">IF(L47&gt;0,N47*100/L47,0)</f>
        <v>106.72935015472507</v>
      </c>
      <c r="P47" s="255">
        <f ca="1">IF(M47&gt;0,N47*100/M47,0)</f>
        <v>74.625811682521871</v>
      </c>
      <c r="Q47" s="255">
        <f>Q48+Q49</f>
        <v>0</v>
      </c>
      <c r="R47" s="255">
        <f>R48+R49</f>
        <v>0</v>
      </c>
      <c r="S47" s="255">
        <f>S48+S49</f>
        <v>0</v>
      </c>
      <c r="T47" s="255">
        <f>IF(Q47&gt;0,S47*100/Q47,0)</f>
        <v>0</v>
      </c>
      <c r="U47" s="255">
        <f>IF(R47&gt;0,S47*100/R47,0)</f>
        <v>0</v>
      </c>
    </row>
    <row r="48" spans="1:21" ht="18.75" hidden="1">
      <c r="A48" s="49"/>
      <c r="B48" s="50"/>
      <c r="C48" s="50"/>
      <c r="D48" s="50"/>
      <c r="E48" s="186" t="s">
        <v>20</v>
      </c>
      <c r="F48" s="50"/>
      <c r="G48" s="52"/>
      <c r="H48" s="729" t="s">
        <v>14</v>
      </c>
      <c r="I48" s="54"/>
      <c r="J48" s="54"/>
      <c r="K48" s="55"/>
      <c r="L48" s="103">
        <v>0</v>
      </c>
      <c r="M48" s="102">
        <v>0</v>
      </c>
      <c r="N48" s="102">
        <v>0</v>
      </c>
      <c r="O48" s="102">
        <f>IF(L48&gt;0,N48*100/L48,0)</f>
        <v>0</v>
      </c>
      <c r="P48" s="102">
        <f>IF(M48&gt;0,N48*100/M48,0)</f>
        <v>0</v>
      </c>
      <c r="Q48" s="102">
        <v>0</v>
      </c>
      <c r="R48" s="102">
        <v>0</v>
      </c>
      <c r="S48" s="102">
        <v>0</v>
      </c>
      <c r="T48" s="102">
        <f>IF(Q48&gt;0,S48*100/Q48,0)</f>
        <v>0</v>
      </c>
      <c r="U48" s="102">
        <f>IF(R48&gt;0,S48*100/R48,0)</f>
        <v>0</v>
      </c>
    </row>
    <row r="49" spans="1:21" ht="18.75" hidden="1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256">
        <f ca="1">IFERROR(__xludf.DUMMYFUNCTION("IMPORTRANGE(""https://docs.google.com/spreadsheets/d/1-uDff_7J0KD5mKrp0Vvzr7lt3OU09vwQwhkpOPPYv2Y/edit?usp=sharing"",""งบพรบ!P40"")"),294070)</f>
        <v>294070</v>
      </c>
      <c r="M49" s="255">
        <f ca="1">IFERROR(__xludf.DUMMYFUNCTION("IMPORTRANGE(""https://docs.google.com/spreadsheets/d/1-uDff_7J0KD5mKrp0Vvzr7lt3OU09vwQwhkpOPPYv2Y/edit?usp=sharing"",""งบพรบ!V40"")"),420577)</f>
        <v>420577</v>
      </c>
      <c r="N49" s="255">
        <f ca="1">IFERROR(__xludf.DUMMYFUNCTION("IMPORTRANGE(""https://docs.google.com/spreadsheets/d/1-uDff_7J0KD5mKrp0Vvzr7lt3OU09vwQwhkpOPPYv2Y/edit?usp=sharing"",""งบพรบ!Y40"")"),313859)</f>
        <v>313859</v>
      </c>
      <c r="O49" s="255">
        <f ca="1">IF(L49&gt;0,N49*100/L49,0)</f>
        <v>106.72935015472507</v>
      </c>
      <c r="P49" s="255">
        <f ca="1">IF(M49&gt;0,N49*100/M49,0)</f>
        <v>74.625811682521871</v>
      </c>
      <c r="Q49" s="255">
        <v>0</v>
      </c>
      <c r="R49" s="255">
        <v>0</v>
      </c>
      <c r="S49" s="255">
        <v>0</v>
      </c>
      <c r="T49" s="255">
        <f>IF(Q49&gt;0,S49*100/Q49,0)</f>
        <v>0</v>
      </c>
      <c r="U49" s="255">
        <f>IF(R49&gt;0,S49*100/R49,0)</f>
        <v>0</v>
      </c>
    </row>
    <row r="50" spans="1:21" ht="18.75">
      <c r="A50" s="49"/>
      <c r="B50" s="50"/>
      <c r="C50" s="50"/>
      <c r="D50" s="51" t="s">
        <v>23</v>
      </c>
      <c r="E50" s="50"/>
      <c r="F50" s="50"/>
      <c r="G50" s="52"/>
      <c r="H50" s="53" t="s">
        <v>14</v>
      </c>
      <c r="I50" s="54"/>
      <c r="J50" s="54"/>
      <c r="K50" s="55"/>
      <c r="L50" s="256">
        <f ca="1">L51+L52</f>
        <v>0</v>
      </c>
      <c r="M50" s="255">
        <f ca="1">M51+M52</f>
        <v>0</v>
      </c>
      <c r="N50" s="255">
        <f ca="1">N51+N52</f>
        <v>0</v>
      </c>
      <c r="O50" s="255">
        <f ca="1">IF(L50&gt;0,N50*100/L50,0)</f>
        <v>0</v>
      </c>
      <c r="P50" s="255">
        <f ca="1">IF(M50&gt;0,N50*100/M50,0)</f>
        <v>0</v>
      </c>
      <c r="Q50" s="255">
        <f>Q51+Q52</f>
        <v>0</v>
      </c>
      <c r="R50" s="255">
        <f>R51+R52</f>
        <v>0</v>
      </c>
      <c r="S50" s="255">
        <f>S51+S52</f>
        <v>0</v>
      </c>
      <c r="T50" s="255">
        <f>IF(Q50&gt;0,S50*100/Q50,0)</f>
        <v>0</v>
      </c>
      <c r="U50" s="255">
        <f>IF(R50&gt;0,S50*100/R50,0)</f>
        <v>0</v>
      </c>
    </row>
    <row r="51" spans="1:21" ht="18.75" hidden="1">
      <c r="A51" s="49"/>
      <c r="B51" s="50"/>
      <c r="C51" s="50"/>
      <c r="D51" s="50"/>
      <c r="E51" s="186" t="s">
        <v>20</v>
      </c>
      <c r="F51" s="50"/>
      <c r="G51" s="52"/>
      <c r="H51" s="729" t="s">
        <v>14</v>
      </c>
      <c r="I51" s="54"/>
      <c r="J51" s="54"/>
      <c r="K51" s="55"/>
      <c r="L51" s="103">
        <v>0</v>
      </c>
      <c r="M51" s="102">
        <v>0</v>
      </c>
      <c r="N51" s="102">
        <v>0</v>
      </c>
      <c r="O51" s="102">
        <f>IF(L51&gt;0,N51*100/L51,0)</f>
        <v>0</v>
      </c>
      <c r="P51" s="102">
        <f>IF(M51&gt;0,N51*100/M51,0)</f>
        <v>0</v>
      </c>
      <c r="Q51" s="102">
        <v>0</v>
      </c>
      <c r="R51" s="102">
        <v>0</v>
      </c>
      <c r="S51" s="102">
        <v>0</v>
      </c>
      <c r="T51" s="102">
        <f>IF(Q51&gt;0,S51*100/Q51,0)</f>
        <v>0</v>
      </c>
      <c r="U51" s="102">
        <f>IF(R51&gt;0,S51*100/R51,0)</f>
        <v>0</v>
      </c>
    </row>
    <row r="52" spans="1:21" ht="18.75" hidden="1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256">
        <f ca="1">IFERROR(__xludf.DUMMYFUNCTION("IMPORTRANGE(""https://docs.google.com/spreadsheets/d/1-uDff_7J0KD5mKrp0Vvzr7lt3OU09vwQwhkpOPPYv2Y/edit?usp=sharing"",""งบพรบ!S40"")"),0)</f>
        <v>0</v>
      </c>
      <c r="M52" s="255">
        <f ca="1">IFERROR(__xludf.DUMMYFUNCTION("IMPORTRANGE(""https://docs.google.com/spreadsheets/d/1-uDff_7J0KD5mKrp0Vvzr7lt3OU09vwQwhkpOPPYv2Y/edit?usp=sharing"",""งบพรบ!W40"")"),0)</f>
        <v>0</v>
      </c>
      <c r="N52" s="255">
        <f ca="1">IFERROR(__xludf.DUMMYFUNCTION("IMPORTRANGE(""https://docs.google.com/spreadsheets/d/1-uDff_7J0KD5mKrp0Vvzr7lt3OU09vwQwhkpOPPYv2Y/edit?usp=sharing"",""งบพรบ!Z40"")"),0)</f>
        <v>0</v>
      </c>
      <c r="O52" s="255">
        <f ca="1">IF(L52&gt;0,N52*100/L52,0)</f>
        <v>0</v>
      </c>
      <c r="P52" s="255">
        <f ca="1">IF(M52&gt;0,N52*100/M52,0)</f>
        <v>0</v>
      </c>
      <c r="Q52" s="255">
        <v>0</v>
      </c>
      <c r="R52" s="255">
        <v>0</v>
      </c>
      <c r="S52" s="255">
        <v>0</v>
      </c>
      <c r="T52" s="255">
        <f>IF(Q52&gt;0,S52*100/Q52,0)</f>
        <v>0</v>
      </c>
      <c r="U52" s="255">
        <f>IF(R52&gt;0,S52*100/R52,0)</f>
        <v>0</v>
      </c>
    </row>
    <row r="53" spans="1:21" ht="18.75">
      <c r="A53" s="49"/>
      <c r="B53" s="50"/>
      <c r="C53" s="50"/>
      <c r="D53" s="51" t="s">
        <v>24</v>
      </c>
      <c r="E53" s="50"/>
      <c r="F53" s="50"/>
      <c r="G53" s="52"/>
      <c r="H53" s="53" t="s">
        <v>14</v>
      </c>
      <c r="I53" s="54"/>
      <c r="J53" s="54"/>
      <c r="K53" s="55"/>
      <c r="L53" s="62"/>
      <c r="M53" s="55"/>
      <c r="N53" s="55"/>
      <c r="O53" s="55"/>
      <c r="P53" s="55"/>
      <c r="Q53" s="55"/>
      <c r="R53" s="55"/>
      <c r="S53" s="55"/>
      <c r="T53" s="55"/>
      <c r="U53" s="55"/>
    </row>
    <row r="54" spans="1:21" ht="18.75" hidden="1">
      <c r="A54" s="49"/>
      <c r="B54" s="50"/>
      <c r="C54" s="50"/>
      <c r="D54" s="50"/>
      <c r="E54" s="186" t="s">
        <v>20</v>
      </c>
      <c r="F54" s="50"/>
      <c r="G54" s="52"/>
      <c r="H54" s="729" t="s">
        <v>14</v>
      </c>
      <c r="I54" s="54"/>
      <c r="J54" s="54"/>
      <c r="K54" s="55"/>
      <c r="L54" s="62"/>
      <c r="M54" s="55"/>
      <c r="N54" s="55"/>
      <c r="O54" s="55"/>
      <c r="P54" s="55"/>
      <c r="Q54" s="55"/>
      <c r="R54" s="55"/>
      <c r="S54" s="55"/>
      <c r="T54" s="55"/>
      <c r="U54" s="55"/>
    </row>
    <row r="55" spans="1:21" ht="18.75" hidden="1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8"/>
      <c r="M55" s="6"/>
      <c r="N55" s="6"/>
      <c r="O55" s="6"/>
      <c r="P55" s="6"/>
      <c r="Q55" s="6"/>
      <c r="R55" s="6"/>
      <c r="S55" s="6"/>
      <c r="T55" s="6"/>
      <c r="U55" s="6"/>
    </row>
    <row r="56" spans="1:21" ht="19.5">
      <c r="A56" s="533" t="s">
        <v>28</v>
      </c>
      <c r="B56" s="514"/>
      <c r="C56" s="514"/>
      <c r="D56" s="514"/>
      <c r="E56" s="514"/>
      <c r="F56" s="514"/>
      <c r="G56" s="512"/>
      <c r="H56" s="104"/>
      <c r="I56" s="105"/>
      <c r="J56" s="105"/>
      <c r="K56" s="106"/>
      <c r="L56" s="106"/>
      <c r="M56" s="106"/>
      <c r="N56" s="106"/>
      <c r="O56" s="106"/>
      <c r="P56" s="107"/>
      <c r="Q56" s="106"/>
      <c r="R56" s="106"/>
      <c r="S56" s="106"/>
      <c r="T56" s="106"/>
      <c r="U56" s="107"/>
    </row>
    <row r="57" spans="1:21" ht="19.5">
      <c r="A57" s="108"/>
      <c r="B57" s="534" t="s">
        <v>29</v>
      </c>
      <c r="C57" s="529"/>
      <c r="D57" s="529"/>
      <c r="E57" s="529"/>
      <c r="F57" s="529"/>
      <c r="G57" s="530"/>
      <c r="H57" s="109"/>
      <c r="I57" s="110"/>
      <c r="J57" s="110"/>
      <c r="K57" s="111"/>
      <c r="L57" s="112"/>
      <c r="M57" s="111"/>
      <c r="N57" s="111"/>
      <c r="O57" s="111"/>
      <c r="P57" s="111"/>
      <c r="Q57" s="111"/>
      <c r="R57" s="111"/>
      <c r="S57" s="111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9"/>
      <c r="M58" s="118"/>
      <c r="N58" s="118"/>
      <c r="O58" s="118"/>
      <c r="P58" s="118"/>
      <c r="Q58" s="118"/>
      <c r="R58" s="118"/>
      <c r="S58" s="118"/>
      <c r="T58" s="118"/>
      <c r="U58" s="118"/>
    </row>
    <row r="59" spans="1:21" ht="19.5">
      <c r="A59" s="120"/>
      <c r="B59" s="121"/>
      <c r="C59" s="122" t="s">
        <v>18</v>
      </c>
      <c r="D59" s="738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737">
        <f ca="1">L60+L61</f>
        <v>473100</v>
      </c>
      <c r="M59" s="736">
        <f ca="1">M60+M61</f>
        <v>473100</v>
      </c>
      <c r="N59" s="736">
        <f ca="1">N60+N61</f>
        <v>408883.77</v>
      </c>
      <c r="O59" s="736">
        <f ca="1">IF(L59&gt;0,N59*100/L59,0)</f>
        <v>86.426499682942293</v>
      </c>
      <c r="P59" s="736">
        <f ca="1">IF(M59&gt;0,N59*100/M59,0)</f>
        <v>86.426499682942293</v>
      </c>
      <c r="Q59" s="736">
        <f>Q60+Q61</f>
        <v>0</v>
      </c>
      <c r="R59" s="736">
        <f>R60+R61</f>
        <v>0</v>
      </c>
      <c r="S59" s="736">
        <f>S60+S61</f>
        <v>0</v>
      </c>
      <c r="T59" s="736">
        <f>IF(Q59&gt;0,S59*100/Q59,0)</f>
        <v>0</v>
      </c>
      <c r="U59" s="736">
        <f>IF(R59&gt;0,S59*100/R59,0)</f>
        <v>0</v>
      </c>
    </row>
    <row r="60" spans="1:21" ht="18.75" hidden="1">
      <c r="A60" s="120"/>
      <c r="B60" s="121"/>
      <c r="C60" s="121"/>
      <c r="D60" s="121"/>
      <c r="E60" s="735" t="s">
        <v>20</v>
      </c>
      <c r="F60" s="121"/>
      <c r="G60" s="124"/>
      <c r="H60" s="734" t="s">
        <v>14</v>
      </c>
      <c r="I60" s="126"/>
      <c r="J60" s="126"/>
      <c r="K60" s="127"/>
      <c r="L60" s="733">
        <f>L63+L66</f>
        <v>0</v>
      </c>
      <c r="M60" s="732">
        <f>M63+M66</f>
        <v>0</v>
      </c>
      <c r="N60" s="732">
        <f>N63+N66</f>
        <v>0</v>
      </c>
      <c r="O60" s="732">
        <f>IF(L60&gt;0,N60*100/L60,0)</f>
        <v>0</v>
      </c>
      <c r="P60" s="732">
        <f>IF(M60&gt;0,N60*100/M60,0)</f>
        <v>0</v>
      </c>
      <c r="Q60" s="732">
        <f>Q63+Q66</f>
        <v>0</v>
      </c>
      <c r="R60" s="732">
        <f>R63+R66</f>
        <v>0</v>
      </c>
      <c r="S60" s="732">
        <f>S63+S66</f>
        <v>0</v>
      </c>
      <c r="T60" s="732">
        <f>IF(Q60&gt;0,S60*100/Q60,0)</f>
        <v>0</v>
      </c>
      <c r="U60" s="732">
        <f>IF(R60&gt;0,S60*100/R60,0)</f>
        <v>0</v>
      </c>
    </row>
    <row r="61" spans="1:21" ht="18.75" hidden="1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731">
        <f ca="1">L64+L67</f>
        <v>473100</v>
      </c>
      <c r="M61" s="730">
        <f ca="1">M64+M67</f>
        <v>473100</v>
      </c>
      <c r="N61" s="730">
        <f ca="1">N64+N67</f>
        <v>408883.77</v>
      </c>
      <c r="O61" s="730">
        <f ca="1">IF(L61&gt;0,N61*100/L61,0)</f>
        <v>86.426499682942293</v>
      </c>
      <c r="P61" s="730">
        <f ca="1">IF(M61&gt;0,N61*100/M61,0)</f>
        <v>86.426499682942293</v>
      </c>
      <c r="Q61" s="730">
        <f>Q64+Q67</f>
        <v>0</v>
      </c>
      <c r="R61" s="730">
        <f>R64+R67</f>
        <v>0</v>
      </c>
      <c r="S61" s="730">
        <f>S64+S67</f>
        <v>0</v>
      </c>
      <c r="T61" s="730">
        <f>IF(Q61&gt;0,S61*100/Q61,0)</f>
        <v>0</v>
      </c>
      <c r="U61" s="730">
        <f>IF(R61&gt;0,S61*100/R61,0)</f>
        <v>0</v>
      </c>
    </row>
    <row r="62" spans="1:21" ht="18.75">
      <c r="A62" s="49"/>
      <c r="B62" s="50"/>
      <c r="C62" s="50"/>
      <c r="D62" s="51" t="s">
        <v>22</v>
      </c>
      <c r="E62" s="50"/>
      <c r="F62" s="50"/>
      <c r="G62" s="52"/>
      <c r="H62" s="53" t="s">
        <v>14</v>
      </c>
      <c r="I62" s="54"/>
      <c r="J62" s="54"/>
      <c r="K62" s="55"/>
      <c r="L62" s="256">
        <f ca="1">L63+L64</f>
        <v>473100</v>
      </c>
      <c r="M62" s="255">
        <f ca="1">M63+M64</f>
        <v>473100</v>
      </c>
      <c r="N62" s="255">
        <f ca="1">N63+N64</f>
        <v>408883.77</v>
      </c>
      <c r="O62" s="255">
        <f ca="1">IF(L62&gt;0,N62*100/L62,0)</f>
        <v>86.426499682942293</v>
      </c>
      <c r="P62" s="255">
        <f ca="1">IF(M62&gt;0,N62*100/M62,0)</f>
        <v>86.426499682942293</v>
      </c>
      <c r="Q62" s="255">
        <f>Q63+Q64</f>
        <v>0</v>
      </c>
      <c r="R62" s="255">
        <f>R63+R64</f>
        <v>0</v>
      </c>
      <c r="S62" s="255">
        <f>S63+S64</f>
        <v>0</v>
      </c>
      <c r="T62" s="255">
        <f>IF(Q62&gt;0,S62*100/Q62,0)</f>
        <v>0</v>
      </c>
      <c r="U62" s="255">
        <f>IF(R62&gt;0,S62*100/R62,0)</f>
        <v>0</v>
      </c>
    </row>
    <row r="63" spans="1:21" ht="18.75" hidden="1">
      <c r="A63" s="49"/>
      <c r="B63" s="50"/>
      <c r="C63" s="50"/>
      <c r="D63" s="50"/>
      <c r="E63" s="186" t="s">
        <v>20</v>
      </c>
      <c r="F63" s="50"/>
      <c r="G63" s="52"/>
      <c r="H63" s="729" t="s">
        <v>14</v>
      </c>
      <c r="I63" s="54"/>
      <c r="J63" s="54"/>
      <c r="K63" s="55"/>
      <c r="L63" s="103">
        <v>0</v>
      </c>
      <c r="M63" s="102">
        <v>0</v>
      </c>
      <c r="N63" s="102">
        <v>0</v>
      </c>
      <c r="O63" s="102">
        <f>IF(L63&gt;0,N63*100/L63,0)</f>
        <v>0</v>
      </c>
      <c r="P63" s="102">
        <f>IF(M63&gt;0,N63*100/M63,0)</f>
        <v>0</v>
      </c>
      <c r="Q63" s="102">
        <v>0</v>
      </c>
      <c r="R63" s="102">
        <v>0</v>
      </c>
      <c r="S63" s="102">
        <v>0</v>
      </c>
      <c r="T63" s="102">
        <f>IF(Q63&gt;0,S63*100/Q63,0)</f>
        <v>0</v>
      </c>
      <c r="U63" s="102">
        <f>IF(R63&gt;0,S63*100/R63,0)</f>
        <v>0</v>
      </c>
    </row>
    <row r="64" spans="1:21" ht="18.75" hidden="1">
      <c r="A64" s="49"/>
      <c r="B64" s="50"/>
      <c r="C64" s="50"/>
      <c r="D64" s="50"/>
      <c r="E64" s="58" t="s">
        <v>21</v>
      </c>
      <c r="F64" s="50"/>
      <c r="G64" s="52"/>
      <c r="H64" s="53" t="s">
        <v>14</v>
      </c>
      <c r="I64" s="54"/>
      <c r="J64" s="54"/>
      <c r="K64" s="55"/>
      <c r="L64" s="256">
        <f ca="1">IFERROR(__xludf.DUMMYFUNCTION("IMPORTRANGE(""https://docs.google.com/spreadsheets/d/1-uDff_7J0KD5mKrp0Vvzr7lt3OU09vwQwhkpOPPYv2Y/edit?usp=sharing"",""งบพรบ!AC40"")"),473100)</f>
        <v>473100</v>
      </c>
      <c r="M64" s="255">
        <f ca="1">IFERROR(__xludf.DUMMYFUNCTION("IMPORTRANGE(""https://docs.google.com/spreadsheets/d/1-uDff_7J0KD5mKrp0Vvzr7lt3OU09vwQwhkpOPPYv2Y/edit?usp=sharing"",""งบพรบ!AH40"")"),473100)</f>
        <v>473100</v>
      </c>
      <c r="N64" s="255">
        <f ca="1">IFERROR(__xludf.DUMMYFUNCTION("IMPORTRANGE(""https://docs.google.com/spreadsheets/d/1-uDff_7J0KD5mKrp0Vvzr7lt3OU09vwQwhkpOPPYv2Y/edit?usp=sharing"",""งบพรบ!AJ40"")"),408883.77)</f>
        <v>408883.77</v>
      </c>
      <c r="O64" s="255">
        <f ca="1">IF(L64&gt;0,N64*100/L64,0)</f>
        <v>86.426499682942293</v>
      </c>
      <c r="P64" s="255">
        <f ca="1">IF(M64&gt;0,N64*100/M64,0)</f>
        <v>86.426499682942293</v>
      </c>
      <c r="Q64" s="255">
        <v>0</v>
      </c>
      <c r="R64" s="255">
        <v>0</v>
      </c>
      <c r="S64" s="255">
        <v>0</v>
      </c>
      <c r="T64" s="255">
        <f>IF(Q64&gt;0,S64*100/Q64,0)</f>
        <v>0</v>
      </c>
      <c r="U64" s="255">
        <f>IF(R64&gt;0,S64*100/R64,0)</f>
        <v>0</v>
      </c>
    </row>
    <row r="65" spans="1:21" ht="18.75">
      <c r="A65" s="49"/>
      <c r="B65" s="50"/>
      <c r="C65" s="50"/>
      <c r="D65" s="51" t="s">
        <v>23</v>
      </c>
      <c r="E65" s="50"/>
      <c r="F65" s="50"/>
      <c r="G65" s="52"/>
      <c r="H65" s="53" t="s">
        <v>14</v>
      </c>
      <c r="I65" s="54"/>
      <c r="J65" s="54"/>
      <c r="K65" s="55"/>
      <c r="L65" s="256">
        <f ca="1">L66+L67</f>
        <v>0</v>
      </c>
      <c r="M65" s="255">
        <f ca="1">M66+M67</f>
        <v>0</v>
      </c>
      <c r="N65" s="255">
        <f ca="1">N66+N67</f>
        <v>0</v>
      </c>
      <c r="O65" s="255">
        <f ca="1">IF(L65&gt;0,N65*100/L65,0)</f>
        <v>0</v>
      </c>
      <c r="P65" s="255">
        <f ca="1">IF(M65&gt;0,N65*100/M65,0)</f>
        <v>0</v>
      </c>
      <c r="Q65" s="255">
        <f>Q66+Q67</f>
        <v>0</v>
      </c>
      <c r="R65" s="255">
        <f>R66+R67</f>
        <v>0</v>
      </c>
      <c r="S65" s="255">
        <f>S66+S67</f>
        <v>0</v>
      </c>
      <c r="T65" s="255">
        <f>IF(Q65&gt;0,S65*100/Q65,0)</f>
        <v>0</v>
      </c>
      <c r="U65" s="255">
        <f>IF(R65&gt;0,S65*100/R65,0)</f>
        <v>0</v>
      </c>
    </row>
    <row r="66" spans="1:21" ht="18.75" hidden="1">
      <c r="A66" s="49"/>
      <c r="B66" s="50"/>
      <c r="C66" s="50"/>
      <c r="D66" s="50"/>
      <c r="E66" s="186" t="s">
        <v>20</v>
      </c>
      <c r="F66" s="50"/>
      <c r="G66" s="52"/>
      <c r="H66" s="729" t="s">
        <v>14</v>
      </c>
      <c r="I66" s="54"/>
      <c r="J66" s="54"/>
      <c r="K66" s="55"/>
      <c r="L66" s="103">
        <v>0</v>
      </c>
      <c r="M66" s="102">
        <v>0</v>
      </c>
      <c r="N66" s="102">
        <v>0</v>
      </c>
      <c r="O66" s="102">
        <f>IF(L66&gt;0,N66*100/L66,0)</f>
        <v>0</v>
      </c>
      <c r="P66" s="102">
        <f>IF(M66&gt;0,N66*100/M66,0)</f>
        <v>0</v>
      </c>
      <c r="Q66" s="102">
        <v>0</v>
      </c>
      <c r="R66" s="102">
        <v>0</v>
      </c>
      <c r="S66" s="102">
        <v>0</v>
      </c>
      <c r="T66" s="102">
        <f>IF(Q66&gt;0,S66*100/Q66,0)</f>
        <v>0</v>
      </c>
      <c r="U66" s="102">
        <f>IF(R66&gt;0,S66*100/R66,0)</f>
        <v>0</v>
      </c>
    </row>
    <row r="67" spans="1:21" ht="18.75" hidden="1">
      <c r="A67" s="63"/>
      <c r="B67" s="4"/>
      <c r="C67" s="4"/>
      <c r="D67" s="4"/>
      <c r="E67" s="64" t="s">
        <v>21</v>
      </c>
      <c r="F67" s="4"/>
      <c r="G67" s="65"/>
      <c r="H67" s="66" t="s">
        <v>14</v>
      </c>
      <c r="I67" s="67"/>
      <c r="J67" s="67"/>
      <c r="K67" s="6"/>
      <c r="L67" s="728">
        <f ca="1">IFERROR(__xludf.DUMMYFUNCTION("IMPORTRANGE(""https://docs.google.com/spreadsheets/d/1-uDff_7J0KD5mKrp0Vvzr7lt3OU09vwQwhkpOPPYv2Y/edit?usp=sharing"",""งบพรบ!AF40"")"),0)</f>
        <v>0</v>
      </c>
      <c r="M67" s="506">
        <f ca="1">IFERROR(__xludf.DUMMYFUNCTION("IMPORTRANGE(""https://docs.google.com/spreadsheets/d/1-uDff_7J0KD5mKrp0Vvzr7lt3OU09vwQwhkpOPPYv2Y/edit?usp=sharing"",""งบพรบ!AI40"")"),0)</f>
        <v>0</v>
      </c>
      <c r="N67" s="506">
        <f ca="1">IFERROR(__xludf.DUMMYFUNCTION("IMPORTRANGE(""https://docs.google.com/spreadsheets/d/1-uDff_7J0KD5mKrp0Vvzr7lt3OU09vwQwhkpOPPYv2Y/edit?usp=sharing"",""งบพรบ!AK40"")"),0)</f>
        <v>0</v>
      </c>
      <c r="O67" s="506">
        <f ca="1">IF(L67&gt;0,N67*100/L67,0)</f>
        <v>0</v>
      </c>
      <c r="P67" s="506">
        <f ca="1">IF(M67&gt;0,N67*100/M67,0)</f>
        <v>0</v>
      </c>
      <c r="Q67" s="506">
        <v>0</v>
      </c>
      <c r="R67" s="506">
        <v>0</v>
      </c>
      <c r="S67" s="506">
        <v>0</v>
      </c>
      <c r="T67" s="506">
        <f>IF(Q67&gt;0,S67*100/Q67,0)</f>
        <v>0</v>
      </c>
      <c r="U67" s="506">
        <f>IF(R67&gt;0,S67*100/R67,0)</f>
        <v>0</v>
      </c>
    </row>
    <row r="68" spans="1:21" ht="19.5">
      <c r="A68" s="137" t="s">
        <v>31</v>
      </c>
      <c r="B68" s="138"/>
      <c r="C68" s="138"/>
      <c r="D68" s="138"/>
      <c r="E68" s="139"/>
      <c r="F68" s="139"/>
      <c r="G68" s="139"/>
      <c r="H68" s="139"/>
      <c r="I68" s="140"/>
      <c r="J68" s="140"/>
      <c r="K68" s="141"/>
      <c r="L68" s="141"/>
      <c r="M68" s="141"/>
      <c r="N68" s="141"/>
      <c r="O68" s="141"/>
      <c r="P68" s="142"/>
      <c r="Q68" s="141"/>
      <c r="R68" s="141"/>
      <c r="S68" s="141"/>
      <c r="T68" s="141"/>
      <c r="U68" s="142"/>
    </row>
    <row r="69" spans="1:21" ht="19.5">
      <c r="A69" s="143" t="s">
        <v>32</v>
      </c>
      <c r="B69" s="144"/>
      <c r="C69" s="145"/>
      <c r="D69" s="144"/>
      <c r="E69" s="144"/>
      <c r="F69" s="144"/>
      <c r="G69" s="146"/>
      <c r="H69" s="146"/>
      <c r="I69" s="147"/>
      <c r="J69" s="147"/>
      <c r="K69" s="148"/>
      <c r="L69" s="149"/>
      <c r="M69" s="148"/>
      <c r="N69" s="148"/>
      <c r="O69" s="148"/>
      <c r="P69" s="148"/>
      <c r="Q69" s="148"/>
      <c r="R69" s="148"/>
      <c r="S69" s="148"/>
      <c r="T69" s="148"/>
      <c r="U69" s="148"/>
    </row>
    <row r="70" spans="1:21" ht="19.5">
      <c r="A70" s="150"/>
      <c r="B70" s="35" t="s">
        <v>33</v>
      </c>
      <c r="C70" s="34"/>
      <c r="D70" s="151"/>
      <c r="E70" s="34"/>
      <c r="F70" s="34"/>
      <c r="G70" s="37"/>
      <c r="H70" s="152" t="s">
        <v>34</v>
      </c>
      <c r="I70" s="721">
        <f ca="1">I82</f>
        <v>1</v>
      </c>
      <c r="J70" s="721">
        <f>J82</f>
        <v>1</v>
      </c>
      <c r="K70" s="720">
        <f ca="1">IF(I70&gt;0,J70*100/I70,0)</f>
        <v>100</v>
      </c>
      <c r="L70" s="154"/>
      <c r="M70" s="40"/>
      <c r="N70" s="40"/>
      <c r="O70" s="40"/>
      <c r="P70" s="40"/>
      <c r="Q70" s="40"/>
      <c r="R70" s="40"/>
      <c r="S70" s="40"/>
      <c r="T70" s="40"/>
      <c r="U70" s="40"/>
    </row>
    <row r="71" spans="1:21" ht="19.5">
      <c r="A71" s="150"/>
      <c r="B71" s="34"/>
      <c r="C71" s="34"/>
      <c r="D71" s="151"/>
      <c r="E71" s="34"/>
      <c r="F71" s="34"/>
      <c r="G71" s="37"/>
      <c r="H71" s="152" t="s">
        <v>35</v>
      </c>
      <c r="I71" s="721">
        <f ca="1">I83</f>
        <v>45</v>
      </c>
      <c r="J71" s="721">
        <f>J83</f>
        <v>45</v>
      </c>
      <c r="K71" s="720">
        <f ca="1">IF(I71&gt;0,J71*100/I71,0)</f>
        <v>100</v>
      </c>
      <c r="L71" s="154"/>
      <c r="M71" s="40"/>
      <c r="N71" s="40"/>
      <c r="O71" s="40"/>
      <c r="P71" s="40"/>
      <c r="Q71" s="40"/>
      <c r="R71" s="40"/>
      <c r="S71" s="40"/>
      <c r="T71" s="40"/>
      <c r="U71" s="40"/>
    </row>
    <row r="72" spans="1:21" ht="19.5">
      <c r="A72" s="155"/>
      <c r="B72" s="50"/>
      <c r="C72" s="156" t="s">
        <v>18</v>
      </c>
      <c r="D72" s="575" t="s">
        <v>19</v>
      </c>
      <c r="E72" s="50"/>
      <c r="F72" s="50"/>
      <c r="G72" s="52"/>
      <c r="H72" s="158" t="s">
        <v>14</v>
      </c>
      <c r="I72" s="54"/>
      <c r="J72" s="54"/>
      <c r="K72" s="55"/>
      <c r="L72" s="541">
        <f ca="1">L73+L74</f>
        <v>90000</v>
      </c>
      <c r="M72" s="540">
        <f ca="1">M73+M74</f>
        <v>90000</v>
      </c>
      <c r="N72" s="540">
        <f ca="1">N73+N74</f>
        <v>34900</v>
      </c>
      <c r="O72" s="540">
        <f ca="1">IF(L72&gt;0,N72*100/L72,0)</f>
        <v>38.777777777777779</v>
      </c>
      <c r="P72" s="540">
        <f ca="1">IF(M72&gt;0,N72*100/M72,0)</f>
        <v>38.777777777777779</v>
      </c>
      <c r="Q72" s="540">
        <f ca="1">Q73+Q74</f>
        <v>500000</v>
      </c>
      <c r="R72" s="540">
        <f ca="1">R73+R74</f>
        <v>500000</v>
      </c>
      <c r="S72" s="540">
        <f ca="1">S73+S74</f>
        <v>139740</v>
      </c>
      <c r="T72" s="540">
        <f ca="1">IF(Q72&gt;0,S72*100/Q72,0)</f>
        <v>27.948</v>
      </c>
      <c r="U72" s="540">
        <f ca="1">IF(R72&gt;0,S72*100/R72,0)</f>
        <v>27.948</v>
      </c>
    </row>
    <row r="73" spans="1:21" ht="18.75" hidden="1">
      <c r="A73" s="155"/>
      <c r="B73" s="50"/>
      <c r="C73" s="50"/>
      <c r="D73" s="50"/>
      <c r="E73" s="186" t="s">
        <v>20</v>
      </c>
      <c r="F73" s="50"/>
      <c r="G73" s="52"/>
      <c r="H73" s="187" t="s">
        <v>14</v>
      </c>
      <c r="I73" s="54"/>
      <c r="J73" s="54"/>
      <c r="K73" s="55"/>
      <c r="L73" s="103">
        <f>L76+L79</f>
        <v>0</v>
      </c>
      <c r="M73" s="102">
        <f>M76+M79</f>
        <v>0</v>
      </c>
      <c r="N73" s="102">
        <f>N76+N79</f>
        <v>0</v>
      </c>
      <c r="O73" s="102">
        <f>IF(L73&gt;0,N73*100/L73,0)</f>
        <v>0</v>
      </c>
      <c r="P73" s="102">
        <f>IF(M73&gt;0,N73*100/M73,0)</f>
        <v>0</v>
      </c>
      <c r="Q73" s="102">
        <f>Q76+Q79</f>
        <v>0</v>
      </c>
      <c r="R73" s="102">
        <f>R76+R79</f>
        <v>0</v>
      </c>
      <c r="S73" s="102">
        <f>S76+S79</f>
        <v>0</v>
      </c>
      <c r="T73" s="102">
        <f>IF(Q73&gt;0,S73*100/Q73,0)</f>
        <v>0</v>
      </c>
      <c r="U73" s="102">
        <f>IF(R73&gt;0,S73*100/R73,0)</f>
        <v>0</v>
      </c>
    </row>
    <row r="74" spans="1:21" ht="18.75" hidden="1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256">
        <f ca="1">L77+L80</f>
        <v>90000</v>
      </c>
      <c r="M74" s="255">
        <f ca="1">M77+M80</f>
        <v>90000</v>
      </c>
      <c r="N74" s="255">
        <f ca="1">N77+N80</f>
        <v>34900</v>
      </c>
      <c r="O74" s="255">
        <f ca="1">IF(L74&gt;0,N74*100/L74,0)</f>
        <v>38.777777777777779</v>
      </c>
      <c r="P74" s="255">
        <f ca="1">IF(M74&gt;0,N74*100/M74,0)</f>
        <v>38.777777777777779</v>
      </c>
      <c r="Q74" s="255">
        <f ca="1">Q77+Q80</f>
        <v>500000</v>
      </c>
      <c r="R74" s="255">
        <f ca="1">R77+R80</f>
        <v>500000</v>
      </c>
      <c r="S74" s="255">
        <f ca="1">S77+S80</f>
        <v>139740</v>
      </c>
      <c r="T74" s="255">
        <f ca="1">IF(Q74&gt;0,S74*100/Q74,0)</f>
        <v>27.948</v>
      </c>
      <c r="U74" s="255">
        <f ca="1">IF(R74&gt;0,S74*100/R74,0)</f>
        <v>27.948</v>
      </c>
    </row>
    <row r="75" spans="1:21" ht="18.75">
      <c r="A75" s="155"/>
      <c r="B75" s="50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256">
        <f ca="1">L76+L77</f>
        <v>90000</v>
      </c>
      <c r="M75" s="255">
        <f ca="1">M76+M77</f>
        <v>90000</v>
      </c>
      <c r="N75" s="255">
        <f ca="1">N76+N77</f>
        <v>34900</v>
      </c>
      <c r="O75" s="255">
        <f ca="1">IF(L75&gt;0,N75*100/L75,0)</f>
        <v>38.777777777777779</v>
      </c>
      <c r="P75" s="255">
        <f ca="1">IF(M75&gt;0,N75*100/M75,0)</f>
        <v>38.777777777777779</v>
      </c>
      <c r="Q75" s="255">
        <f ca="1">Q76+Q77</f>
        <v>500000</v>
      </c>
      <c r="R75" s="255">
        <f ca="1">R76+R77</f>
        <v>500000</v>
      </c>
      <c r="S75" s="255">
        <f ca="1">S76+S77</f>
        <v>139740</v>
      </c>
      <c r="T75" s="255">
        <f ca="1">IF(Q75&gt;0,S75*100/Q75,0)</f>
        <v>27.948</v>
      </c>
      <c r="U75" s="255">
        <f ca="1">IF(R75&gt;0,S75*100/R75,0)</f>
        <v>27.948</v>
      </c>
    </row>
    <row r="76" spans="1:21" ht="18.75" hidden="1">
      <c r="A76" s="155"/>
      <c r="B76" s="50"/>
      <c r="C76" s="50"/>
      <c r="D76" s="50"/>
      <c r="E76" s="186" t="s">
        <v>36</v>
      </c>
      <c r="F76" s="50"/>
      <c r="G76" s="52"/>
      <c r="H76" s="189" t="s">
        <v>14</v>
      </c>
      <c r="I76" s="163"/>
      <c r="J76" s="163"/>
      <c r="K76" s="164"/>
      <c r="L76" s="103">
        <v>0</v>
      </c>
      <c r="M76" s="102">
        <v>0</v>
      </c>
      <c r="N76" s="102">
        <v>0</v>
      </c>
      <c r="O76" s="102">
        <f>IF(L76&gt;0,N76*100/L76,0)</f>
        <v>0</v>
      </c>
      <c r="P76" s="102">
        <f>IF(M76&gt;0,N76*100/M76,0)</f>
        <v>0</v>
      </c>
      <c r="Q76" s="102">
        <v>0</v>
      </c>
      <c r="R76" s="102">
        <v>0</v>
      </c>
      <c r="S76" s="102">
        <v>0</v>
      </c>
      <c r="T76" s="102">
        <f>IF(Q76&gt;0,S76*100/Q76,0)</f>
        <v>0</v>
      </c>
      <c r="U76" s="102">
        <f>IF(R76&gt;0,S76*100/R76,0)</f>
        <v>0</v>
      </c>
    </row>
    <row r="77" spans="1:21" ht="18.75" hidden="1">
      <c r="A77" s="155"/>
      <c r="B77" s="50"/>
      <c r="C77" s="50"/>
      <c r="D77" s="50"/>
      <c r="E77" s="58" t="s">
        <v>37</v>
      </c>
      <c r="F77" s="50"/>
      <c r="G77" s="52"/>
      <c r="H77" s="162" t="s">
        <v>14</v>
      </c>
      <c r="I77" s="163"/>
      <c r="J77" s="163"/>
      <c r="K77" s="164"/>
      <c r="L77" s="256">
        <f ca="1">IFERROR(__xludf.DUMMYFUNCTION("IMPORTRANGE(""https://docs.google.com/spreadsheets/d/1-uDff_7J0KD5mKrp0Vvzr7lt3OU09vwQwhkpOPPYv2Y/edit?usp=sharing"",""งบพรบ!AM40"")"),90000)</f>
        <v>90000</v>
      </c>
      <c r="M77" s="255">
        <f ca="1">IFERROR(__xludf.DUMMYFUNCTION("IMPORTRANGE(""https://docs.google.com/spreadsheets/d/1-uDff_7J0KD5mKrp0Vvzr7lt3OU09vwQwhkpOPPYv2Y/edit?usp=sharing"",""งบพรบ!AR40"")"),90000)</f>
        <v>90000</v>
      </c>
      <c r="N77" s="255">
        <f ca="1">IFERROR(__xludf.DUMMYFUNCTION("IMPORTRANGE(""https://docs.google.com/spreadsheets/d/1-uDff_7J0KD5mKrp0Vvzr7lt3OU09vwQwhkpOPPYv2Y/edit?usp=sharing"",""งบพรบ!AT40"")"),34900)</f>
        <v>34900</v>
      </c>
      <c r="O77" s="255">
        <f ca="1">IF(L77&gt;0,N77*100/L77,0)</f>
        <v>38.777777777777779</v>
      </c>
      <c r="P77" s="255">
        <f ca="1">IF(M77&gt;0,N77*100/M77,0)</f>
        <v>38.777777777777779</v>
      </c>
      <c r="Q77" s="255">
        <f ca="1">IFERROR(__xludf.DUMMYFUNCTION("IMPORTRANGE(""https://docs.google.com/spreadsheets/d/1ItG2mGa2ceCfYo0BwxsXqNm01IGEUdYcSSLTEv9YCik/edit?usp=sharing"",""เบิกจ่ายกองทุน!AS40"")"),500000)</f>
        <v>500000</v>
      </c>
      <c r="R77" s="255">
        <f ca="1">IFERROR(__xludf.DUMMYFUNCTION("IMPORTRANGE(""https://docs.google.com/spreadsheets/d/1ItG2mGa2ceCfYo0BwxsXqNm01IGEUdYcSSLTEv9YCik/edit?usp=sharing"",""เบิกจ่ายกองทุน!AT40"")"),500000)</f>
        <v>500000</v>
      </c>
      <c r="S77" s="255">
        <f ca="1">IFERROR(__xludf.DUMMYFUNCTION("IMPORTRANGE(""https://docs.google.com/spreadsheets/d/1ItG2mGa2ceCfYo0BwxsXqNm01IGEUdYcSSLTEv9YCik/edit?usp=sharing"",""เบิกจ่ายกองทุน!AU40"")"),139740)</f>
        <v>139740</v>
      </c>
      <c r="T77" s="255">
        <f ca="1">IF(Q77&gt;0,S77*100/Q77,0)</f>
        <v>27.948</v>
      </c>
      <c r="U77" s="255">
        <f ca="1">IF(R77&gt;0,S77*100/R77,0)</f>
        <v>27.948</v>
      </c>
    </row>
    <row r="78" spans="1:21" ht="18.75">
      <c r="A78" s="155"/>
      <c r="B78" s="50"/>
      <c r="C78" s="50"/>
      <c r="D78" s="51" t="s">
        <v>23</v>
      </c>
      <c r="E78" s="50"/>
      <c r="F78" s="50"/>
      <c r="G78" s="52"/>
      <c r="H78" s="165" t="s">
        <v>14</v>
      </c>
      <c r="I78" s="163"/>
      <c r="J78" s="163"/>
      <c r="K78" s="164"/>
      <c r="L78" s="256">
        <f ca="1">L79+L80</f>
        <v>0</v>
      </c>
      <c r="M78" s="255">
        <f ca="1">M79+M80</f>
        <v>0</v>
      </c>
      <c r="N78" s="255">
        <f ca="1">N79+N80</f>
        <v>0</v>
      </c>
      <c r="O78" s="255">
        <f ca="1">IF(L78&gt;0,N78*100/L78,0)</f>
        <v>0</v>
      </c>
      <c r="P78" s="255">
        <f ca="1">IF(M78&gt;0,N78*100/M78,0)</f>
        <v>0</v>
      </c>
      <c r="Q78" s="255">
        <f>Q79+Q80</f>
        <v>0</v>
      </c>
      <c r="R78" s="255">
        <f>R79+R80</f>
        <v>0</v>
      </c>
      <c r="S78" s="255">
        <f>S79+S80</f>
        <v>0</v>
      </c>
      <c r="T78" s="255">
        <f>IF(Q78&gt;0,S78*100/Q78,0)</f>
        <v>0</v>
      </c>
      <c r="U78" s="255">
        <f>IF(R78&gt;0,S78*100/R78,0)</f>
        <v>0</v>
      </c>
    </row>
    <row r="79" spans="1:21" ht="18.75" hidden="1">
      <c r="A79" s="155"/>
      <c r="B79" s="50"/>
      <c r="C79" s="50"/>
      <c r="D79" s="50"/>
      <c r="E79" s="186" t="s">
        <v>20</v>
      </c>
      <c r="F79" s="50"/>
      <c r="G79" s="52"/>
      <c r="H79" s="189" t="s">
        <v>14</v>
      </c>
      <c r="I79" s="163"/>
      <c r="J79" s="163"/>
      <c r="K79" s="164"/>
      <c r="L79" s="103">
        <v>0</v>
      </c>
      <c r="M79" s="255">
        <v>0</v>
      </c>
      <c r="N79" s="255">
        <v>0</v>
      </c>
      <c r="O79" s="102">
        <f>IF(L79&gt;0,N79*100/L79,0)</f>
        <v>0</v>
      </c>
      <c r="P79" s="102">
        <f>IF(M79&gt;0,N79*100/M79,0)</f>
        <v>0</v>
      </c>
      <c r="Q79" s="102">
        <v>0</v>
      </c>
      <c r="R79" s="255">
        <v>0</v>
      </c>
      <c r="S79" s="255">
        <v>0</v>
      </c>
      <c r="T79" s="102">
        <f>IF(Q79&gt;0,S79*100/Q79,0)</f>
        <v>0</v>
      </c>
      <c r="U79" s="102">
        <f>IF(R79&gt;0,S79*100/R79,0)</f>
        <v>0</v>
      </c>
    </row>
    <row r="80" spans="1:21" ht="18.75" hidden="1">
      <c r="A80" s="155"/>
      <c r="B80" s="50"/>
      <c r="C80" s="50"/>
      <c r="D80" s="50"/>
      <c r="E80" s="58" t="s">
        <v>21</v>
      </c>
      <c r="F80" s="50"/>
      <c r="G80" s="52"/>
      <c r="H80" s="165" t="s">
        <v>14</v>
      </c>
      <c r="I80" s="163"/>
      <c r="J80" s="163"/>
      <c r="K80" s="164"/>
      <c r="L80" s="256">
        <f ca="1">IFERROR(__xludf.DUMMYFUNCTION("IMPORTRANGE(""https://docs.google.com/spreadsheets/d/1-uDff_7J0KD5mKrp0Vvzr7lt3OU09vwQwhkpOPPYv2Y/edit?usp=sharing"",""งบพรบ!AP40"")"),0)</f>
        <v>0</v>
      </c>
      <c r="M80" s="255">
        <f ca="1">IFERROR(__xludf.DUMMYFUNCTION("IMPORTRANGE(""https://docs.google.com/spreadsheets/d/1-uDff_7J0KD5mKrp0Vvzr7lt3OU09vwQwhkpOPPYv2Y/edit?usp=sharing"",""งบพรบ!AS40"")"),0)</f>
        <v>0</v>
      </c>
      <c r="N80" s="255">
        <f ca="1">IFERROR(__xludf.DUMMYFUNCTION("IMPORTRANGE(""https://docs.google.com/spreadsheets/d/1-uDff_7J0KD5mKrp0Vvzr7lt3OU09vwQwhkpOPPYv2Y/edit?usp=sharing"",""งบพรบ!AU40"")"),0)</f>
        <v>0</v>
      </c>
      <c r="O80" s="255">
        <f ca="1">IF(L80&gt;0,N80*100/L80,0)</f>
        <v>0</v>
      </c>
      <c r="P80" s="255">
        <f ca="1">IF(M80&gt;0,N80*100/M80,0)</f>
        <v>0</v>
      </c>
      <c r="Q80" s="255">
        <v>0</v>
      </c>
      <c r="R80" s="255">
        <v>0</v>
      </c>
      <c r="S80" s="255">
        <v>0</v>
      </c>
      <c r="T80" s="255">
        <f>IF(Q80&gt;0,S80*100/Q80,0)</f>
        <v>0</v>
      </c>
      <c r="U80" s="255">
        <f>IF(R80&gt;0,S80*100/R80,0)</f>
        <v>0</v>
      </c>
    </row>
    <row r="81" spans="1:21" ht="19.5">
      <c r="A81" s="166"/>
      <c r="B81" s="167"/>
      <c r="C81" s="156" t="s">
        <v>18</v>
      </c>
      <c r="D81" s="566" t="s">
        <v>38</v>
      </c>
      <c r="E81" s="169"/>
      <c r="F81" s="169"/>
      <c r="G81" s="170"/>
      <c r="H81" s="171"/>
      <c r="I81" s="163"/>
      <c r="J81" s="163"/>
      <c r="K81" s="164"/>
      <c r="L81" s="172"/>
      <c r="M81" s="164"/>
      <c r="N81" s="164"/>
      <c r="O81" s="164"/>
      <c r="P81" s="164"/>
      <c r="Q81" s="164"/>
      <c r="R81" s="164"/>
      <c r="S81" s="164"/>
      <c r="T81" s="164"/>
      <c r="U81" s="164"/>
    </row>
    <row r="82" spans="1:21" ht="19.5">
      <c r="A82" s="166"/>
      <c r="B82" s="167"/>
      <c r="C82" s="167"/>
      <c r="D82" s="173" t="s">
        <v>39</v>
      </c>
      <c r="E82" s="174"/>
      <c r="F82" s="174"/>
      <c r="G82" s="171"/>
      <c r="H82" s="175" t="s">
        <v>34</v>
      </c>
      <c r="I82" s="373">
        <f ca="1">I84+I86+I88</f>
        <v>1</v>
      </c>
      <c r="J82" s="373">
        <f>J84+J86+J88</f>
        <v>1</v>
      </c>
      <c r="K82" s="642">
        <f ca="1">IF(I82&gt;0,J82*100/I82,0)</f>
        <v>100</v>
      </c>
      <c r="L82" s="172"/>
      <c r="M82" s="164"/>
      <c r="N82" s="164"/>
      <c r="O82" s="164"/>
      <c r="P82" s="164"/>
      <c r="Q82" s="164"/>
      <c r="R82" s="164"/>
      <c r="S82" s="164"/>
      <c r="T82" s="164"/>
      <c r="U82" s="164"/>
    </row>
    <row r="83" spans="1:21" ht="19.5">
      <c r="A83" s="166"/>
      <c r="B83" s="167"/>
      <c r="C83" s="167"/>
      <c r="D83" s="167"/>
      <c r="E83" s="174"/>
      <c r="F83" s="174"/>
      <c r="G83" s="171"/>
      <c r="H83" s="175" t="s">
        <v>35</v>
      </c>
      <c r="I83" s="373">
        <f ca="1">I85+I87+I89</f>
        <v>45</v>
      </c>
      <c r="J83" s="373">
        <f>J85+J87+J89</f>
        <v>45</v>
      </c>
      <c r="K83" s="642">
        <f ca="1">IF(I83&gt;0,J83*100/I83,0)</f>
        <v>100</v>
      </c>
      <c r="L83" s="172"/>
      <c r="M83" s="164"/>
      <c r="N83" s="164"/>
      <c r="O83" s="164"/>
      <c r="P83" s="164"/>
      <c r="Q83" s="164"/>
      <c r="R83" s="164"/>
      <c r="S83" s="164"/>
      <c r="T83" s="164"/>
      <c r="U83" s="164"/>
    </row>
    <row r="84" spans="1:21" ht="18.75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641">
        <f ca="1">IFERROR(__xludf.DUMMYFUNCTION("IMPORTRANGE(""https://docs.google.com/spreadsheets/d/1eHaY18a8A9IcSdp1K8H6x8fbOy06t2VsZHhMHf-1x7Y/edit?usp=sharing"",""แผน!H40"")"),1)</f>
        <v>1</v>
      </c>
      <c r="J84" s="467">
        <v>1</v>
      </c>
      <c r="K84" s="565">
        <f ca="1">IF(I84&gt;0,J84*100/I84,0)</f>
        <v>100</v>
      </c>
      <c r="L84" s="172"/>
      <c r="M84" s="164"/>
      <c r="N84" s="164"/>
      <c r="O84" s="164"/>
      <c r="P84" s="164"/>
      <c r="Q84" s="164"/>
      <c r="R84" s="164"/>
      <c r="S84" s="164"/>
      <c r="T84" s="164"/>
      <c r="U84" s="164"/>
    </row>
    <row r="85" spans="1:21" ht="18.75">
      <c r="A85" s="166"/>
      <c r="B85" s="167"/>
      <c r="C85" s="167"/>
      <c r="D85" s="167"/>
      <c r="E85" s="174"/>
      <c r="F85" s="174"/>
      <c r="G85" s="171"/>
      <c r="H85" s="179" t="s">
        <v>35</v>
      </c>
      <c r="I85" s="641">
        <f ca="1">IFERROR(__xludf.DUMMYFUNCTION("IMPORTRANGE(""https://docs.google.com/spreadsheets/d/1eHaY18a8A9IcSdp1K8H6x8fbOy06t2VsZHhMHf-1x7Y/edit?usp=sharing"",""แผน!I40"")"),45)</f>
        <v>45</v>
      </c>
      <c r="J85" s="467">
        <v>45</v>
      </c>
      <c r="K85" s="565">
        <f ca="1">IF(I85&gt;0,J85*100/I85,0)</f>
        <v>100</v>
      </c>
      <c r="L85" s="172"/>
      <c r="M85" s="164"/>
      <c r="N85" s="164"/>
      <c r="O85" s="164"/>
      <c r="P85" s="164"/>
      <c r="Q85" s="164"/>
      <c r="R85" s="164"/>
      <c r="S85" s="164"/>
      <c r="T85" s="164"/>
      <c r="U85" s="164"/>
    </row>
    <row r="86" spans="1:21" ht="18.75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641">
        <f ca="1">IFERROR(__xludf.DUMMYFUNCTION("IMPORTRANGE(""https://docs.google.com/spreadsheets/d/1eHaY18a8A9IcSdp1K8H6x8fbOy06t2VsZHhMHf-1x7Y/edit?usp=sharing"",""แผน!F40"")"),0)</f>
        <v>0</v>
      </c>
      <c r="J86" s="467">
        <v>0</v>
      </c>
      <c r="K86" s="565">
        <f ca="1">IF(I86&gt;0,J86*100/I86,0)</f>
        <v>0</v>
      </c>
      <c r="L86" s="172"/>
      <c r="M86" s="164"/>
      <c r="N86" s="164"/>
      <c r="O86" s="164"/>
      <c r="P86" s="164"/>
      <c r="Q86" s="164"/>
      <c r="R86" s="164"/>
      <c r="S86" s="164"/>
      <c r="T86" s="164"/>
      <c r="U86" s="164"/>
    </row>
    <row r="87" spans="1:21" ht="18.75">
      <c r="A87" s="166"/>
      <c r="B87" s="167"/>
      <c r="C87" s="167"/>
      <c r="D87" s="167"/>
      <c r="E87" s="174"/>
      <c r="F87" s="174"/>
      <c r="G87" s="171"/>
      <c r="H87" s="179" t="s">
        <v>35</v>
      </c>
      <c r="I87" s="641">
        <f ca="1">IFERROR(__xludf.DUMMYFUNCTION("IMPORTRANGE(""https://docs.google.com/spreadsheets/d/1eHaY18a8A9IcSdp1K8H6x8fbOy06t2VsZHhMHf-1x7Y/edit?usp=sharing"",""แผน!G40"")"),0)</f>
        <v>0</v>
      </c>
      <c r="J87" s="467">
        <v>0</v>
      </c>
      <c r="K87" s="565">
        <f ca="1">IF(I87&gt;0,J87*100/I87,0)</f>
        <v>0</v>
      </c>
      <c r="L87" s="172"/>
      <c r="M87" s="164"/>
      <c r="N87" s="164"/>
      <c r="O87" s="164"/>
      <c r="P87" s="164"/>
      <c r="Q87" s="164"/>
      <c r="R87" s="164"/>
      <c r="S87" s="164"/>
      <c r="T87" s="164"/>
      <c r="U87" s="164"/>
    </row>
    <row r="88" spans="1:21" ht="18.75">
      <c r="A88" s="166"/>
      <c r="B88" s="167"/>
      <c r="C88" s="167"/>
      <c r="D88" s="167"/>
      <c r="E88" s="178" t="s">
        <v>42</v>
      </c>
      <c r="F88" s="174"/>
      <c r="G88" s="171"/>
      <c r="H88" s="179" t="s">
        <v>34</v>
      </c>
      <c r="I88" s="641">
        <f ca="1">IFERROR(__xludf.DUMMYFUNCTION("IMPORTRANGE(""https://docs.google.com/spreadsheets/d/1eHaY18a8A9IcSdp1K8H6x8fbOy06t2VsZHhMHf-1x7Y/edit?usp=sharing"",""แผน!D40"")"),0)</f>
        <v>0</v>
      </c>
      <c r="J88" s="467">
        <v>0</v>
      </c>
      <c r="K88" s="565">
        <f ca="1">IF(I88&gt;0,J88*100/I88,0)</f>
        <v>0</v>
      </c>
      <c r="L88" s="172"/>
      <c r="M88" s="164"/>
      <c r="N88" s="164"/>
      <c r="O88" s="164"/>
      <c r="P88" s="164"/>
      <c r="Q88" s="164"/>
      <c r="R88" s="164"/>
      <c r="S88" s="164"/>
      <c r="T88" s="164"/>
      <c r="U88" s="164"/>
    </row>
    <row r="89" spans="1:21" ht="18.75">
      <c r="A89" s="166"/>
      <c r="B89" s="167"/>
      <c r="C89" s="167"/>
      <c r="D89" s="167"/>
      <c r="E89" s="174"/>
      <c r="F89" s="174"/>
      <c r="G89" s="171"/>
      <c r="H89" s="179" t="s">
        <v>35</v>
      </c>
      <c r="I89" s="641">
        <f ca="1">IFERROR(__xludf.DUMMYFUNCTION("IMPORTRANGE(""https://docs.google.com/spreadsheets/d/1eHaY18a8A9IcSdp1K8H6x8fbOy06t2VsZHhMHf-1x7Y/edit?usp=sharing"",""แผน!E40"")"),0)</f>
        <v>0</v>
      </c>
      <c r="J89" s="467">
        <v>0</v>
      </c>
      <c r="K89" s="565">
        <f ca="1">IF(I89&gt;0,J89*100/I89,0)</f>
        <v>0</v>
      </c>
      <c r="L89" s="172"/>
      <c r="M89" s="164"/>
      <c r="N89" s="164"/>
      <c r="O89" s="164"/>
      <c r="P89" s="164"/>
      <c r="Q89" s="164"/>
      <c r="R89" s="164"/>
      <c r="S89" s="164"/>
      <c r="T89" s="164"/>
      <c r="U89" s="164"/>
    </row>
    <row r="90" spans="1:21" ht="18.75">
      <c r="A90" s="166"/>
      <c r="B90" s="167"/>
      <c r="C90" s="167"/>
      <c r="D90" s="173" t="s">
        <v>43</v>
      </c>
      <c r="E90" s="174"/>
      <c r="F90" s="174"/>
      <c r="G90" s="171"/>
      <c r="H90" s="183" t="s">
        <v>34</v>
      </c>
      <c r="I90" s="641">
        <f ca="1">IFERROR(__xludf.DUMMYFUNCTION("IMPORTRANGE(""https://docs.google.com/spreadsheets/d/1eHaY18a8A9IcSdp1K8H6x8fbOy06t2VsZHhMHf-1x7Y/edit?usp=sharing"",""แผน!J40"")"),1)</f>
        <v>1</v>
      </c>
      <c r="J90" s="467">
        <v>0</v>
      </c>
      <c r="K90" s="565">
        <f ca="1">IF(I90&gt;0,J90*100/I90,0)</f>
        <v>0</v>
      </c>
      <c r="L90" s="172"/>
      <c r="M90" s="164"/>
      <c r="N90" s="164"/>
      <c r="O90" s="164"/>
      <c r="P90" s="164"/>
      <c r="Q90" s="164"/>
      <c r="R90" s="164"/>
      <c r="S90" s="164"/>
      <c r="T90" s="164"/>
      <c r="U90" s="164"/>
    </row>
    <row r="91" spans="1:21" ht="19.5">
      <c r="A91" s="143" t="s">
        <v>44</v>
      </c>
      <c r="B91" s="144"/>
      <c r="C91" s="145"/>
      <c r="D91" s="144"/>
      <c r="E91" s="144"/>
      <c r="F91" s="144"/>
      <c r="G91" s="146"/>
      <c r="H91" s="146"/>
      <c r="I91" s="147"/>
      <c r="J91" s="147"/>
      <c r="K91" s="148"/>
      <c r="L91" s="149"/>
      <c r="M91" s="148"/>
      <c r="N91" s="148"/>
      <c r="O91" s="148"/>
      <c r="P91" s="148"/>
      <c r="Q91" s="148"/>
      <c r="R91" s="148"/>
      <c r="S91" s="148"/>
      <c r="T91" s="148"/>
      <c r="U91" s="148"/>
    </row>
    <row r="92" spans="1:21" ht="19.5">
      <c r="A92" s="150"/>
      <c r="B92" s="35" t="s">
        <v>45</v>
      </c>
      <c r="C92" s="34"/>
      <c r="D92" s="151"/>
      <c r="E92" s="34"/>
      <c r="F92" s="34"/>
      <c r="G92" s="37"/>
      <c r="H92" s="152" t="s">
        <v>46</v>
      </c>
      <c r="I92" s="721">
        <f ca="1">I108</f>
        <v>54</v>
      </c>
      <c r="J92" s="721">
        <f>J108</f>
        <v>54</v>
      </c>
      <c r="K92" s="720">
        <f ca="1">IF(I92&gt;0,J92*100/I92,0)</f>
        <v>100</v>
      </c>
      <c r="L92" s="154"/>
      <c r="M92" s="40"/>
      <c r="N92" s="40"/>
      <c r="O92" s="40"/>
      <c r="P92" s="40"/>
      <c r="Q92" s="40"/>
      <c r="R92" s="40"/>
      <c r="S92" s="40"/>
      <c r="T92" s="40"/>
      <c r="U92" s="40"/>
    </row>
    <row r="93" spans="1:21" ht="19.5">
      <c r="A93" s="150"/>
      <c r="B93" s="34"/>
      <c r="C93" s="34"/>
      <c r="D93" s="151"/>
      <c r="E93" s="34"/>
      <c r="F93" s="34"/>
      <c r="G93" s="37"/>
      <c r="H93" s="152" t="s">
        <v>35</v>
      </c>
      <c r="I93" s="721">
        <f ca="1">I109</f>
        <v>18</v>
      </c>
      <c r="J93" s="721">
        <f>J109</f>
        <v>18</v>
      </c>
      <c r="K93" s="720">
        <f ca="1">IF(I93&gt;0,J93*100/I93,0)</f>
        <v>100</v>
      </c>
      <c r="L93" s="154"/>
      <c r="M93" s="40"/>
      <c r="N93" s="40"/>
      <c r="O93" s="40"/>
      <c r="P93" s="40"/>
      <c r="Q93" s="40"/>
      <c r="R93" s="40"/>
      <c r="S93" s="40"/>
      <c r="T93" s="40"/>
      <c r="U93" s="40"/>
    </row>
    <row r="94" spans="1:21" ht="19.5">
      <c r="A94" s="155"/>
      <c r="B94" s="50"/>
      <c r="C94" s="156" t="s">
        <v>18</v>
      </c>
      <c r="D94" s="575" t="s">
        <v>19</v>
      </c>
      <c r="E94" s="50"/>
      <c r="F94" s="50"/>
      <c r="G94" s="52"/>
      <c r="H94" s="158" t="s">
        <v>14</v>
      </c>
      <c r="I94" s="54"/>
      <c r="J94" s="54"/>
      <c r="K94" s="55"/>
      <c r="L94" s="541">
        <f ca="1">L95+L96</f>
        <v>157900</v>
      </c>
      <c r="M94" s="540">
        <f ca="1">M95+M96</f>
        <v>96100</v>
      </c>
      <c r="N94" s="540">
        <f ca="1">N95+N96</f>
        <v>81466</v>
      </c>
      <c r="O94" s="540">
        <f ca="1">IF(L94&gt;0,N94*100/L94,0)</f>
        <v>51.593413552881572</v>
      </c>
      <c r="P94" s="540">
        <f ca="1">IF(M94&gt;0,N94*100/M94,0)</f>
        <v>84.772112382934438</v>
      </c>
      <c r="Q94" s="540">
        <f ca="1">Q95+Q96</f>
        <v>116856</v>
      </c>
      <c r="R94" s="540">
        <f ca="1">R95+R96</f>
        <v>116856</v>
      </c>
      <c r="S94" s="540">
        <f ca="1">S95+S96</f>
        <v>54630.2</v>
      </c>
      <c r="T94" s="540">
        <f ca="1">IF(Q94&gt;0,S94*100/Q94,0)</f>
        <v>46.75001711508181</v>
      </c>
      <c r="U94" s="540">
        <f ca="1">IF(R94&gt;0,S94*100/R94,0)</f>
        <v>46.75001711508181</v>
      </c>
    </row>
    <row r="95" spans="1:21" ht="18.75" hidden="1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103">
        <f>L98+L101</f>
        <v>0</v>
      </c>
      <c r="M95" s="102">
        <f>M98+M101</f>
        <v>0</v>
      </c>
      <c r="N95" s="102">
        <f>N98+N101</f>
        <v>0</v>
      </c>
      <c r="O95" s="102">
        <f>IF(L95&gt;0,N95*100/L95,0)</f>
        <v>0</v>
      </c>
      <c r="P95" s="102">
        <f>IF(M95&gt;0,N95*100/M95,0)</f>
        <v>0</v>
      </c>
      <c r="Q95" s="102">
        <f>Q98+Q101</f>
        <v>0</v>
      </c>
      <c r="R95" s="102">
        <f>R98+R101</f>
        <v>0</v>
      </c>
      <c r="S95" s="102">
        <f>S98+S101</f>
        <v>0</v>
      </c>
      <c r="T95" s="102">
        <f>IF(Q95&gt;0,S95*100/Q95,0)</f>
        <v>0</v>
      </c>
      <c r="U95" s="102">
        <f>IF(R95&gt;0,S95*100/R95,0)</f>
        <v>0</v>
      </c>
    </row>
    <row r="96" spans="1:21" ht="18.75" hidden="1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256">
        <f ca="1">L99+L102</f>
        <v>157900</v>
      </c>
      <c r="M96" s="255">
        <f ca="1">M99+M102</f>
        <v>96100</v>
      </c>
      <c r="N96" s="255">
        <f ca="1">N99+N102</f>
        <v>81466</v>
      </c>
      <c r="O96" s="255">
        <f ca="1">IF(L96&gt;0,N96*100/L96,0)</f>
        <v>51.593413552881572</v>
      </c>
      <c r="P96" s="255">
        <f ca="1">IF(M96&gt;0,N96*100/M96,0)</f>
        <v>84.772112382934438</v>
      </c>
      <c r="Q96" s="255">
        <f ca="1">Q99+Q102</f>
        <v>116856</v>
      </c>
      <c r="R96" s="255">
        <f ca="1">R99+R102</f>
        <v>116856</v>
      </c>
      <c r="S96" s="255">
        <f ca="1">S99+S102</f>
        <v>54630.2</v>
      </c>
      <c r="T96" s="255">
        <f ca="1">IF(Q96&gt;0,S96*100/Q96,0)</f>
        <v>46.75001711508181</v>
      </c>
      <c r="U96" s="255">
        <f ca="1">IF(R96&gt;0,S96*100/R96,0)</f>
        <v>46.75001711508181</v>
      </c>
    </row>
    <row r="97" spans="1:21" ht="18.75">
      <c r="A97" s="155"/>
      <c r="B97" s="50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256">
        <f ca="1">L98+L99</f>
        <v>157900</v>
      </c>
      <c r="M97" s="255">
        <f ca="1">M98+M99</f>
        <v>96100</v>
      </c>
      <c r="N97" s="255">
        <f ca="1">N98+N99</f>
        <v>81466</v>
      </c>
      <c r="O97" s="255">
        <f ca="1">IF(L97&gt;0,N97*100/L97,0)</f>
        <v>51.593413552881572</v>
      </c>
      <c r="P97" s="255">
        <f ca="1">IF(M97&gt;0,N97*100/M97,0)</f>
        <v>84.772112382934438</v>
      </c>
      <c r="Q97" s="255">
        <f ca="1">Q98+Q99</f>
        <v>116856</v>
      </c>
      <c r="R97" s="255">
        <f ca="1">R98+R99</f>
        <v>116856</v>
      </c>
      <c r="S97" s="255">
        <f ca="1">S98+S99</f>
        <v>54630.2</v>
      </c>
      <c r="T97" s="255">
        <f ca="1">IF(Q97&gt;0,S97*100/Q97,0)</f>
        <v>46.75001711508181</v>
      </c>
      <c r="U97" s="255">
        <f ca="1">IF(R97&gt;0,S97*100/R97,0)</f>
        <v>46.75001711508181</v>
      </c>
    </row>
    <row r="98" spans="1:21" ht="18.75" hidden="1">
      <c r="A98" s="155"/>
      <c r="B98" s="50"/>
      <c r="C98" s="50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103">
        <v>0</v>
      </c>
      <c r="M98" s="102">
        <v>0</v>
      </c>
      <c r="N98" s="102">
        <v>0</v>
      </c>
      <c r="O98" s="102">
        <f>IF(L98&gt;0,N98*100/L98,0)</f>
        <v>0</v>
      </c>
      <c r="P98" s="102">
        <f>IF(M98&gt;0,N98*100/M98,0)</f>
        <v>0</v>
      </c>
      <c r="Q98" s="102">
        <v>0</v>
      </c>
      <c r="R98" s="102">
        <v>0</v>
      </c>
      <c r="S98" s="102">
        <v>0</v>
      </c>
      <c r="T98" s="102">
        <f>IF(Q98&gt;0,S98*100/Q98,0)</f>
        <v>0</v>
      </c>
      <c r="U98" s="102">
        <f>IF(R98&gt;0,S98*100/R98,0)</f>
        <v>0</v>
      </c>
    </row>
    <row r="99" spans="1:21" ht="18.75" hidden="1">
      <c r="A99" s="155"/>
      <c r="B99" s="50"/>
      <c r="C99" s="50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256">
        <f ca="1">IFERROR(__xludf.DUMMYFUNCTION("IMPORTRANGE(""https://docs.google.com/spreadsheets/d/1-uDff_7J0KD5mKrp0Vvzr7lt3OU09vwQwhkpOPPYv2Y/edit?usp=sharing"",""งบพรบ!AW40"")"),157900)</f>
        <v>157900</v>
      </c>
      <c r="M99" s="255">
        <f ca="1">IFERROR(__xludf.DUMMYFUNCTION("IMPORTRANGE(""https://docs.google.com/spreadsheets/d/1-uDff_7J0KD5mKrp0Vvzr7lt3OU09vwQwhkpOPPYv2Y/edit?usp=sharing"",""งบพรบ!BB40"")"),96100)</f>
        <v>96100</v>
      </c>
      <c r="N99" s="255">
        <f ca="1">IFERROR(__xludf.DUMMYFUNCTION("IMPORTRANGE(""https://docs.google.com/spreadsheets/d/1-uDff_7J0KD5mKrp0Vvzr7lt3OU09vwQwhkpOPPYv2Y/edit?usp=sharing"",""งบพรบ!BD40"")"),81466)</f>
        <v>81466</v>
      </c>
      <c r="O99" s="255">
        <f ca="1">IF(L99&gt;0,N99*100/L99,0)</f>
        <v>51.593413552881572</v>
      </c>
      <c r="P99" s="255">
        <f ca="1">IF(M99&gt;0,N99*100/M99,0)</f>
        <v>84.772112382934438</v>
      </c>
      <c r="Q99" s="255">
        <f ca="1">IFERROR(__xludf.DUMMYFUNCTION("IMPORTRANGE(""https://docs.google.com/spreadsheets/d/1ItG2mGa2ceCfYo0BwxsXqNm01IGEUdYcSSLTEv9YCik/edit?usp=sharing"",""เบิกจ่ายกองทุน!AD40"")"),116856)</f>
        <v>116856</v>
      </c>
      <c r="R99" s="255">
        <f ca="1">IFERROR(__xludf.DUMMYFUNCTION("IMPORTRANGE(""https://docs.google.com/spreadsheets/d/1ItG2mGa2ceCfYo0BwxsXqNm01IGEUdYcSSLTEv9YCik/edit?usp=sharing"",""เบิกจ่ายกองทุน!AE40"")"),116856)</f>
        <v>116856</v>
      </c>
      <c r="S99" s="255">
        <f ca="1">IFERROR(__xludf.DUMMYFUNCTION("IMPORTRANGE(""https://docs.google.com/spreadsheets/d/1ItG2mGa2ceCfYo0BwxsXqNm01IGEUdYcSSLTEv9YCik/edit?usp=sharing"",""เบิกจ่ายกองทุน!AF40"")"),54630.2)</f>
        <v>54630.2</v>
      </c>
      <c r="T99" s="255">
        <f ca="1">IF(Q99&gt;0,S99*100/Q99,0)</f>
        <v>46.75001711508181</v>
      </c>
      <c r="U99" s="255">
        <f ca="1">IF(R99&gt;0,S99*100/R99,0)</f>
        <v>46.75001711508181</v>
      </c>
    </row>
    <row r="100" spans="1:21" ht="18.75">
      <c r="A100" s="155"/>
      <c r="B100" s="50"/>
      <c r="C100" s="50"/>
      <c r="D100" s="51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256">
        <f ca="1">L101+L102</f>
        <v>0</v>
      </c>
      <c r="M100" s="255">
        <f ca="1">M101+M102</f>
        <v>0</v>
      </c>
      <c r="N100" s="255">
        <f ca="1">N101+N102</f>
        <v>0</v>
      </c>
      <c r="O100" s="255">
        <f ca="1">IF(L100&gt;0,N100*100/L100,0)</f>
        <v>0</v>
      </c>
      <c r="P100" s="255">
        <f ca="1">IF(M100&gt;0,N100*100/M100,0)</f>
        <v>0</v>
      </c>
      <c r="Q100" s="255">
        <f>Q101+Q102</f>
        <v>0</v>
      </c>
      <c r="R100" s="255">
        <f>R101+R102</f>
        <v>0</v>
      </c>
      <c r="S100" s="255">
        <f>S101+S102</f>
        <v>0</v>
      </c>
      <c r="T100" s="255">
        <f>IF(Q100&gt;0,S100*100/Q100,0)</f>
        <v>0</v>
      </c>
      <c r="U100" s="255">
        <f>IF(R100&gt;0,S100*100/R100,0)</f>
        <v>0</v>
      </c>
    </row>
    <row r="101" spans="1:21" ht="18.75" hidden="1">
      <c r="A101" s="155"/>
      <c r="B101" s="50"/>
      <c r="C101" s="50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103">
        <v>0</v>
      </c>
      <c r="M101" s="102">
        <v>0</v>
      </c>
      <c r="N101" s="102">
        <v>0</v>
      </c>
      <c r="O101" s="102">
        <f>IF(L101&gt;0,N101*100/L101,0)</f>
        <v>0</v>
      </c>
      <c r="P101" s="102">
        <f>IF(M101&gt;0,N101*100/M101,0)</f>
        <v>0</v>
      </c>
      <c r="Q101" s="102">
        <v>0</v>
      </c>
      <c r="R101" s="102">
        <v>0</v>
      </c>
      <c r="S101" s="102">
        <v>0</v>
      </c>
      <c r="T101" s="102">
        <f>IF(Q101&gt;0,S101*100/Q101,0)</f>
        <v>0</v>
      </c>
      <c r="U101" s="102">
        <f>IF(R101&gt;0,S101*100/R101,0)</f>
        <v>0</v>
      </c>
    </row>
    <row r="102" spans="1:21" ht="18.75" hidden="1">
      <c r="A102" s="155"/>
      <c r="B102" s="50"/>
      <c r="C102" s="50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256">
        <f ca="1">IFERROR(__xludf.DUMMYFUNCTION("IMPORTRANGE(""https://docs.google.com/spreadsheets/d/1-uDff_7J0KD5mKrp0Vvzr7lt3OU09vwQwhkpOPPYv2Y/edit?usp=sharing"",""งบพรบ!AZ40"")"),0)</f>
        <v>0</v>
      </c>
      <c r="M102" s="255">
        <f ca="1">IFERROR(__xludf.DUMMYFUNCTION("IMPORTRANGE(""https://docs.google.com/spreadsheets/d/1-uDff_7J0KD5mKrp0Vvzr7lt3OU09vwQwhkpOPPYv2Y/edit?usp=sharing"",""งบพรบ!BC40"")"),0)</f>
        <v>0</v>
      </c>
      <c r="N102" s="255">
        <f ca="1">IFERROR(__xludf.DUMMYFUNCTION("IMPORTRANGE(""https://docs.google.com/spreadsheets/d/1-uDff_7J0KD5mKrp0Vvzr7lt3OU09vwQwhkpOPPYv2Y/edit?usp=sharing"",""งบพรบ!BE40"")"),0)</f>
        <v>0</v>
      </c>
      <c r="O102" s="255">
        <f ca="1">IF(L102&gt;0,N102*100/L102,0)</f>
        <v>0</v>
      </c>
      <c r="P102" s="255">
        <f ca="1">IF(M102&gt;0,N102*100/M102,0)</f>
        <v>0</v>
      </c>
      <c r="Q102" s="255">
        <v>0</v>
      </c>
      <c r="R102" s="255">
        <v>0</v>
      </c>
      <c r="S102" s="255">
        <v>0</v>
      </c>
      <c r="T102" s="255">
        <f>IF(Q102&gt;0,S102*100/Q102,0)</f>
        <v>0</v>
      </c>
      <c r="U102" s="255">
        <f>IF(R102&gt;0,S102*100/R102,0)</f>
        <v>0</v>
      </c>
    </row>
    <row r="103" spans="1:21" ht="19.5">
      <c r="A103" s="166"/>
      <c r="B103" s="167"/>
      <c r="C103" s="156" t="s">
        <v>18</v>
      </c>
      <c r="D103" s="566" t="s">
        <v>38</v>
      </c>
      <c r="E103" s="169"/>
      <c r="F103" s="169"/>
      <c r="G103" s="170"/>
      <c r="H103" s="171"/>
      <c r="I103" s="163"/>
      <c r="J103" s="54"/>
      <c r="K103" s="55"/>
      <c r="L103" s="62"/>
      <c r="M103" s="55"/>
      <c r="N103" s="55"/>
      <c r="O103" s="164"/>
      <c r="P103" s="164"/>
      <c r="Q103" s="55"/>
      <c r="R103" s="55"/>
      <c r="S103" s="55"/>
      <c r="T103" s="164"/>
      <c r="U103" s="164"/>
    </row>
    <row r="104" spans="1:21" ht="12.75" hidden="1">
      <c r="A104" s="192"/>
      <c r="B104" s="193"/>
      <c r="C104" s="193"/>
      <c r="D104" s="22"/>
      <c r="E104" s="22"/>
      <c r="F104" s="22"/>
      <c r="G104" s="23"/>
      <c r="H104" s="23"/>
      <c r="I104" s="24"/>
      <c r="J104" s="24"/>
      <c r="K104" s="25"/>
      <c r="L104" s="26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2.75" hidden="1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6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2.75" hidden="1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9.5" hidden="1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62"/>
      <c r="M107" s="55"/>
      <c r="N107" s="55"/>
      <c r="O107" s="164"/>
      <c r="P107" s="164"/>
      <c r="Q107" s="55"/>
      <c r="R107" s="55"/>
      <c r="S107" s="55"/>
      <c r="T107" s="164"/>
      <c r="U107" s="164"/>
    </row>
    <row r="108" spans="1:21" ht="18.75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212">
        <f ca="1">IFERROR(__xludf.DUMMYFUNCTION("IMPORTRANGE(""https://docs.google.com/spreadsheets/d/1eHaY18a8A9IcSdp1K8H6x8fbOy06t2VsZHhMHf-1x7Y/edit?usp=sharing"",""แผน!N40"")"),54)</f>
        <v>54</v>
      </c>
      <c r="J108" s="467">
        <v>54</v>
      </c>
      <c r="K108" s="255">
        <f ca="1">IF(I108&gt;0,J108*100/I108,0)</f>
        <v>100</v>
      </c>
      <c r="L108" s="62"/>
      <c r="M108" s="55"/>
      <c r="N108" s="55"/>
      <c r="O108" s="164"/>
      <c r="P108" s="164"/>
      <c r="Q108" s="55"/>
      <c r="R108" s="55"/>
      <c r="S108" s="55"/>
      <c r="T108" s="164"/>
      <c r="U108" s="164"/>
    </row>
    <row r="109" spans="1:21" ht="18.75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212">
        <f ca="1">IFERROR(__xludf.DUMMYFUNCTION("IMPORTRANGE(""https://docs.google.com/spreadsheets/d/1eHaY18a8A9IcSdp1K8H6x8fbOy06t2VsZHhMHf-1x7Y/edit?usp=sharing"",""แผน!O40"")"),18)</f>
        <v>18</v>
      </c>
      <c r="J109" s="467">
        <v>18</v>
      </c>
      <c r="K109" s="255">
        <f ca="1">IF(I109&gt;0,J109*100/I109,0)</f>
        <v>100</v>
      </c>
      <c r="L109" s="62"/>
      <c r="M109" s="55"/>
      <c r="N109" s="55"/>
      <c r="O109" s="164"/>
      <c r="P109" s="164"/>
      <c r="Q109" s="55"/>
      <c r="R109" s="55"/>
      <c r="S109" s="55"/>
      <c r="T109" s="164"/>
      <c r="U109" s="164"/>
    </row>
    <row r="110" spans="1:21" ht="12.75" hidden="1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6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2.75" hidden="1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6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2.75" hidden="1">
      <c r="A112" s="192"/>
      <c r="B112" s="193"/>
      <c r="C112" s="193"/>
      <c r="D112" s="22"/>
      <c r="E112" s="22"/>
      <c r="F112" s="22"/>
      <c r="G112" s="23"/>
      <c r="H112" s="23"/>
      <c r="I112" s="24"/>
      <c r="J112" s="24"/>
      <c r="K112" s="25"/>
      <c r="L112" s="26"/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8.75">
      <c r="A113" s="771"/>
      <c r="B113" s="489"/>
      <c r="C113" s="489"/>
      <c r="D113" s="345" t="s">
        <v>50</v>
      </c>
      <c r="E113" s="491"/>
      <c r="F113" s="491"/>
      <c r="G113" s="492"/>
      <c r="H113" s="770" t="s">
        <v>46</v>
      </c>
      <c r="I113" s="769">
        <f ca="1">IFERROR(__xludf.DUMMYFUNCTION("IMPORTRANGE(""https://docs.google.com/spreadsheets/d/1eHaY18a8A9IcSdp1K8H6x8fbOy06t2VsZHhMHf-1x7Y/edit?usp=sharing"",""แผน!N40"")"),54)</f>
        <v>54</v>
      </c>
      <c r="J113" s="495">
        <v>54</v>
      </c>
      <c r="K113" s="708">
        <f ca="1">IF(I113&gt;0,J113*100/I113,0)</f>
        <v>100</v>
      </c>
      <c r="L113" s="350"/>
      <c r="M113" s="350"/>
      <c r="N113" s="350"/>
      <c r="O113" s="496"/>
      <c r="P113" s="496"/>
      <c r="Q113" s="350"/>
      <c r="R113" s="350"/>
      <c r="S113" s="350"/>
      <c r="T113" s="496"/>
      <c r="U113" s="496"/>
    </row>
    <row r="114" spans="1:21" ht="18.75">
      <c r="A114" s="166"/>
      <c r="B114" s="167"/>
      <c r="C114" s="167"/>
      <c r="D114" s="174"/>
      <c r="E114" s="174"/>
      <c r="F114" s="174"/>
      <c r="G114" s="171"/>
      <c r="H114" s="179" t="s">
        <v>35</v>
      </c>
      <c r="I114" s="641">
        <f ca="1">IFERROR(__xludf.DUMMYFUNCTION("IMPORTRANGE(""https://docs.google.com/spreadsheets/d/1eHaY18a8A9IcSdp1K8H6x8fbOy06t2VsZHhMHf-1x7Y/edit?usp=sharing"",""แผน!O40"")"),18)</f>
        <v>18</v>
      </c>
      <c r="J114" s="467">
        <v>18</v>
      </c>
      <c r="K114" s="255">
        <f ca="1">IF(I114&gt;0,J114*100/I114,0)</f>
        <v>100</v>
      </c>
      <c r="L114" s="55"/>
      <c r="M114" s="55"/>
      <c r="N114" s="55"/>
      <c r="O114" s="164"/>
      <c r="P114" s="164"/>
      <c r="Q114" s="55"/>
      <c r="R114" s="55"/>
      <c r="S114" s="55"/>
      <c r="T114" s="164"/>
      <c r="U114" s="164"/>
    </row>
    <row r="115" spans="1:21" ht="19.5">
      <c r="A115" s="727" t="s">
        <v>51</v>
      </c>
      <c r="B115" s="724"/>
      <c r="C115" s="726"/>
      <c r="D115" s="725"/>
      <c r="E115" s="725"/>
      <c r="F115" s="725"/>
      <c r="G115" s="725"/>
      <c r="H115" s="724"/>
      <c r="I115" s="723"/>
      <c r="J115" s="723"/>
      <c r="K115" s="722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721">
        <f ca="1">I127</f>
        <v>25</v>
      </c>
      <c r="J116" s="721">
        <f>J127</f>
        <v>25</v>
      </c>
      <c r="K116" s="720">
        <f ca="1">IF(I116&gt;0,J116*100/I116,0)</f>
        <v>100</v>
      </c>
      <c r="L116" s="154"/>
      <c r="M116" s="40"/>
      <c r="N116" s="40"/>
      <c r="O116" s="40"/>
      <c r="P116" s="40"/>
      <c r="Q116" s="40"/>
      <c r="R116" s="40"/>
      <c r="S116" s="40"/>
      <c r="T116" s="40"/>
      <c r="U116" s="40"/>
    </row>
    <row r="117" spans="1:21" ht="19.5">
      <c r="A117" s="155"/>
      <c r="B117" s="188"/>
      <c r="C117" s="191" t="s">
        <v>18</v>
      </c>
      <c r="D117" s="575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541">
        <f ca="1">L118+L119</f>
        <v>0</v>
      </c>
      <c r="M117" s="540">
        <f ca="1">M118+M119</f>
        <v>0</v>
      </c>
      <c r="N117" s="540">
        <f ca="1">N118+N119</f>
        <v>0</v>
      </c>
      <c r="O117" s="540">
        <f ca="1">IF(L117&gt;0,N117*100/L117,0)</f>
        <v>0</v>
      </c>
      <c r="P117" s="540">
        <f ca="1">IF(M117&gt;0,N117*100/M117,0)</f>
        <v>0</v>
      </c>
      <c r="Q117" s="540">
        <f ca="1">Q118+Q119</f>
        <v>227060</v>
      </c>
      <c r="R117" s="540">
        <f ca="1">R118+R119</f>
        <v>227060</v>
      </c>
      <c r="S117" s="540">
        <f ca="1">S118+S119</f>
        <v>117800</v>
      </c>
      <c r="T117" s="540">
        <f ca="1">IF(Q117&gt;0,S117*100/Q117,0)</f>
        <v>51.880560204351269</v>
      </c>
      <c r="U117" s="540">
        <f ca="1">IF(R117&gt;0,S117*100/R117,0)</f>
        <v>51.880560204351269</v>
      </c>
    </row>
    <row r="118" spans="1:21" ht="18.75" hidden="1">
      <c r="A118" s="155"/>
      <c r="B118" s="188"/>
      <c r="C118" s="188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103">
        <f>L121+L124</f>
        <v>0</v>
      </c>
      <c r="M118" s="102">
        <f>M121+M124</f>
        <v>0</v>
      </c>
      <c r="N118" s="102">
        <f>N121+N124</f>
        <v>0</v>
      </c>
      <c r="O118" s="102">
        <f>IF(L118&gt;0,N118*100/L118,0)</f>
        <v>0</v>
      </c>
      <c r="P118" s="102">
        <f>IF(M118&gt;0,N118*100/M118,0)</f>
        <v>0</v>
      </c>
      <c r="Q118" s="102">
        <f>Q121+Q124</f>
        <v>0</v>
      </c>
      <c r="R118" s="102">
        <f>R121+R124</f>
        <v>0</v>
      </c>
      <c r="S118" s="102">
        <f>S121+S124</f>
        <v>0</v>
      </c>
      <c r="T118" s="102">
        <f>IF(Q118&gt;0,S118*100/Q118,0)</f>
        <v>0</v>
      </c>
      <c r="U118" s="102">
        <f>IF(R118&gt;0,S118*100/R118,0)</f>
        <v>0</v>
      </c>
    </row>
    <row r="119" spans="1:21" ht="18.75" hidden="1">
      <c r="A119" s="155"/>
      <c r="B119" s="188"/>
      <c r="C119" s="188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256">
        <f ca="1">L122+L125</f>
        <v>0</v>
      </c>
      <c r="M119" s="255">
        <f ca="1">M122+M125</f>
        <v>0</v>
      </c>
      <c r="N119" s="255">
        <f ca="1">N122+N125</f>
        <v>0</v>
      </c>
      <c r="O119" s="255">
        <f ca="1">IF(L119&gt;0,N119*100/L119,0)</f>
        <v>0</v>
      </c>
      <c r="P119" s="255">
        <f ca="1">IF(M119&gt;0,N119*100/M119,0)</f>
        <v>0</v>
      </c>
      <c r="Q119" s="255">
        <f ca="1">Q122+Q125</f>
        <v>227060</v>
      </c>
      <c r="R119" s="255">
        <f ca="1">R122+R125</f>
        <v>227060</v>
      </c>
      <c r="S119" s="255">
        <f ca="1">S122+S125</f>
        <v>117800</v>
      </c>
      <c r="T119" s="255">
        <f ca="1">IF(Q119&gt;0,S119*100/Q119,0)</f>
        <v>51.880560204351269</v>
      </c>
      <c r="U119" s="255">
        <f ca="1">IF(R119&gt;0,S119*100/R119,0)</f>
        <v>51.880560204351269</v>
      </c>
    </row>
    <row r="120" spans="1:21" ht="18.75">
      <c r="A120" s="155"/>
      <c r="B120" s="188"/>
      <c r="C120" s="202"/>
      <c r="D120" s="602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256">
        <f ca="1">L121+L122</f>
        <v>0</v>
      </c>
      <c r="M120" s="255">
        <f ca="1">M121+M122</f>
        <v>0</v>
      </c>
      <c r="N120" s="255">
        <f ca="1">N121+N122</f>
        <v>0</v>
      </c>
      <c r="O120" s="255">
        <f ca="1">IF(L120&gt;0,N120*100/L120,0)</f>
        <v>0</v>
      </c>
      <c r="P120" s="255">
        <f ca="1">IF(M120&gt;0,N120*100/M120,0)</f>
        <v>0</v>
      </c>
      <c r="Q120" s="255">
        <f ca="1">Q121+Q122</f>
        <v>227060</v>
      </c>
      <c r="R120" s="255">
        <f ca="1">R121+R122</f>
        <v>227060</v>
      </c>
      <c r="S120" s="255">
        <f ca="1">S121+S122</f>
        <v>117800</v>
      </c>
      <c r="T120" s="255">
        <f ca="1">IF(Q120&gt;0,S120*100/Q120,0)</f>
        <v>51.880560204351269</v>
      </c>
      <c r="U120" s="255">
        <f ca="1">IF(R120&gt;0,S120*100/R120,0)</f>
        <v>51.880560204351269</v>
      </c>
    </row>
    <row r="121" spans="1:21" ht="18.75" hidden="1">
      <c r="A121" s="155"/>
      <c r="B121" s="188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103">
        <v>0</v>
      </c>
      <c r="M121" s="102">
        <v>0</v>
      </c>
      <c r="N121" s="102">
        <v>0</v>
      </c>
      <c r="O121" s="102">
        <f>IF(L121&gt;0,N121*100/L121,0)</f>
        <v>0</v>
      </c>
      <c r="P121" s="102">
        <f>IF(M121&gt;0,N121*100/M121,0)</f>
        <v>0</v>
      </c>
      <c r="Q121" s="102">
        <v>0</v>
      </c>
      <c r="R121" s="102">
        <v>0</v>
      </c>
      <c r="S121" s="102">
        <v>0</v>
      </c>
      <c r="T121" s="102">
        <f>IF(Q121&gt;0,S121*100/Q121,0)</f>
        <v>0</v>
      </c>
      <c r="U121" s="102">
        <f>IF(R121&gt;0,S121*100/R121,0)</f>
        <v>0</v>
      </c>
    </row>
    <row r="122" spans="1:21" ht="18.75" hidden="1">
      <c r="A122" s="155"/>
      <c r="B122" s="188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256">
        <f ca="1">IFERROR(__xludf.DUMMYFUNCTION("IMPORTRANGE(""https://docs.google.com/spreadsheets/d/1-uDff_7J0KD5mKrp0Vvzr7lt3OU09vwQwhkpOPPYv2Y/edit?usp=sharing"",""งบพรบ!BG40"")"),0)</f>
        <v>0</v>
      </c>
      <c r="M122" s="255">
        <f ca="1">IFERROR(__xludf.DUMMYFUNCTION("IMPORTRANGE(""https://docs.google.com/spreadsheets/d/1-uDff_7J0KD5mKrp0Vvzr7lt3OU09vwQwhkpOPPYv2Y/edit?usp=sharing"",""งบพรบ!BL40"")"),0)</f>
        <v>0</v>
      </c>
      <c r="N122" s="255">
        <f ca="1">IFERROR(__xludf.DUMMYFUNCTION("IMPORTRANGE(""https://docs.google.com/spreadsheets/d/1-uDff_7J0KD5mKrp0Vvzr7lt3OU09vwQwhkpOPPYv2Y/edit?usp=sharing"",""งบพรบ!BN40"")"),0)</f>
        <v>0</v>
      </c>
      <c r="O122" s="255">
        <f ca="1">IF(L122&gt;0,N122*100/L122,0)</f>
        <v>0</v>
      </c>
      <c r="P122" s="255">
        <f ca="1">IF(M122&gt;0,N122*100/M122,0)</f>
        <v>0</v>
      </c>
      <c r="Q122" s="255">
        <f ca="1">IFERROR(__xludf.DUMMYFUNCTION("IMPORTRANGE(""https://docs.google.com/spreadsheets/d/1ItG2mGa2ceCfYo0BwxsXqNm01IGEUdYcSSLTEv9YCik/edit?usp=sharing"",""เบิกจ่ายกองทุน!R40"")"),227060)</f>
        <v>227060</v>
      </c>
      <c r="R122" s="255">
        <f ca="1">IFERROR(__xludf.DUMMYFUNCTION("IMPORTRANGE(""https://docs.google.com/spreadsheets/d/1ItG2mGa2ceCfYo0BwxsXqNm01IGEUdYcSSLTEv9YCik/edit?usp=sharing"",""เบิกจ่ายกองทุน!S40"")"),227060)</f>
        <v>227060</v>
      </c>
      <c r="S122" s="255">
        <f ca="1">IFERROR(__xludf.DUMMYFUNCTION("IMPORTRANGE(""https://docs.google.com/spreadsheets/d/1ItG2mGa2ceCfYo0BwxsXqNm01IGEUdYcSSLTEv9YCik/edit?usp=sharing"",""เบิกจ่ายกองทุน!T40"")"),117800)</f>
        <v>117800</v>
      </c>
      <c r="T122" s="255">
        <f ca="1">IF(Q122&gt;0,S122*100/Q122,0)</f>
        <v>51.880560204351269</v>
      </c>
      <c r="U122" s="255">
        <f ca="1">IF(R122&gt;0,S122*100/R122,0)</f>
        <v>51.880560204351269</v>
      </c>
    </row>
    <row r="123" spans="1:21" ht="18.75">
      <c r="A123" s="155"/>
      <c r="B123" s="50"/>
      <c r="C123" s="202"/>
      <c r="D123" s="602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256">
        <f ca="1">L124+L125</f>
        <v>0</v>
      </c>
      <c r="M123" s="255">
        <f ca="1">M124+M125</f>
        <v>0</v>
      </c>
      <c r="N123" s="255">
        <f ca="1">N124+N125</f>
        <v>0</v>
      </c>
      <c r="O123" s="255">
        <f ca="1">IF(L123&gt;0,N123*100/L123,0)</f>
        <v>0</v>
      </c>
      <c r="P123" s="255">
        <f ca="1">IF(M123&gt;0,N123*100/M123,0)</f>
        <v>0</v>
      </c>
      <c r="Q123" s="255">
        <f>Q124+Q125</f>
        <v>0</v>
      </c>
      <c r="R123" s="255">
        <f>R124+R125</f>
        <v>0</v>
      </c>
      <c r="S123" s="255">
        <f>S124+S125</f>
        <v>0</v>
      </c>
      <c r="T123" s="255">
        <f>IF(Q123&gt;0,S123*100/Q123,0)</f>
        <v>0</v>
      </c>
      <c r="U123" s="255">
        <f>IF(R123&gt;0,S123*100/R123,0)</f>
        <v>0</v>
      </c>
    </row>
    <row r="124" spans="1:21" ht="18.75" hidden="1">
      <c r="A124" s="155"/>
      <c r="B124" s="50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103">
        <v>0</v>
      </c>
      <c r="M124" s="102">
        <v>0</v>
      </c>
      <c r="N124" s="102">
        <v>0</v>
      </c>
      <c r="O124" s="102">
        <f>IF(L124&gt;0,N124*100/L124,0)</f>
        <v>0</v>
      </c>
      <c r="P124" s="102">
        <f>IF(M124&gt;0,N124*100/M124,0)</f>
        <v>0</v>
      </c>
      <c r="Q124" s="102">
        <v>0</v>
      </c>
      <c r="R124" s="102">
        <v>0</v>
      </c>
      <c r="S124" s="102">
        <v>0</v>
      </c>
      <c r="T124" s="102">
        <f>IF(Q124&gt;0,S124*100/Q124,0)</f>
        <v>0</v>
      </c>
      <c r="U124" s="102">
        <f>IF(R124&gt;0,S124*100/R124,0)</f>
        <v>0</v>
      </c>
    </row>
    <row r="125" spans="1:21" ht="18.75" hidden="1">
      <c r="A125" s="155"/>
      <c r="B125" s="50"/>
      <c r="C125" s="50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256">
        <f ca="1">IFERROR(__xludf.DUMMYFUNCTION("IMPORTRANGE(""https://docs.google.com/spreadsheets/d/1-uDff_7J0KD5mKrp0Vvzr7lt3OU09vwQwhkpOPPYv2Y/edit?usp=sharing"",""งบพรบ!BJ40"")"),0)</f>
        <v>0</v>
      </c>
      <c r="M125" s="255">
        <f ca="1">IFERROR(__xludf.DUMMYFUNCTION("IMPORTRANGE(""https://docs.google.com/spreadsheets/d/1-uDff_7J0KD5mKrp0Vvzr7lt3OU09vwQwhkpOPPYv2Y/edit?usp=sharing"",""งบพรบ!BM40"")"),0)</f>
        <v>0</v>
      </c>
      <c r="N125" s="255">
        <f ca="1">IFERROR(__xludf.DUMMYFUNCTION("IMPORTRANGE(""https://docs.google.com/spreadsheets/d/1-uDff_7J0KD5mKrp0Vvzr7lt3OU09vwQwhkpOPPYv2Y/edit?usp=sharing"",""งบพรบ!BO40"")"),0)</f>
        <v>0</v>
      </c>
      <c r="O125" s="255">
        <f ca="1">IF(L125&gt;0,N125*100/L125,0)</f>
        <v>0</v>
      </c>
      <c r="P125" s="255">
        <f ca="1">IF(M125&gt;0,N125*100/M125,0)</f>
        <v>0</v>
      </c>
      <c r="Q125" s="255">
        <v>0</v>
      </c>
      <c r="R125" s="255">
        <v>0</v>
      </c>
      <c r="S125" s="255">
        <v>0</v>
      </c>
      <c r="T125" s="255">
        <f>IF(Q125&gt;0,S125*100/Q125,0)</f>
        <v>0</v>
      </c>
      <c r="U125" s="255">
        <f>IF(R125&gt;0,S125*100/R125,0)</f>
        <v>0</v>
      </c>
    </row>
    <row r="126" spans="1:21" ht="19.5">
      <c r="A126" s="166"/>
      <c r="B126" s="167"/>
      <c r="C126" s="205" t="s">
        <v>18</v>
      </c>
      <c r="D126" s="566" t="s">
        <v>38</v>
      </c>
      <c r="E126" s="169"/>
      <c r="F126" s="169"/>
      <c r="G126" s="170"/>
      <c r="H126" s="206"/>
      <c r="I126" s="54"/>
      <c r="J126" s="54"/>
      <c r="K126" s="55"/>
      <c r="L126" s="62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212">
        <f ca="1">IFERROR(__xludf.DUMMYFUNCTION("IMPORTRANGE(""https://docs.google.com/spreadsheets/d/1eHaY18a8A9IcSdp1K8H6x8fbOy06t2VsZHhMHf-1x7Y/edit?usp=sharing"",""แผน!FF40"")"),25)</f>
        <v>25</v>
      </c>
      <c r="J127" s="467">
        <v>25</v>
      </c>
      <c r="K127" s="255">
        <f ca="1">IF(I127&gt;0,J127*100/I127,0)</f>
        <v>100</v>
      </c>
      <c r="L127" s="62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212">
        <f ca="1">IFERROR(__xludf.DUMMYFUNCTION("IMPORTRANGE(""https://docs.google.com/spreadsheets/d/1eHaY18a8A9IcSdp1K8H6x8fbOy06t2VsZHhMHf-1x7Y/edit?usp=sharing"",""แผน!FG40"")"),0)</f>
        <v>0</v>
      </c>
      <c r="J128" s="467">
        <v>0</v>
      </c>
      <c r="K128" s="255">
        <f ca="1">IF(I128&gt;0,J128*100/I128,0)</f>
        <v>0</v>
      </c>
      <c r="L128" s="62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212">
        <f ca="1">IFERROR(__xludf.DUMMYFUNCTION("IMPORTRANGE(""https://docs.google.com/spreadsheets/d/1eHaY18a8A9IcSdp1K8H6x8fbOy06t2VsZHhMHf-1x7Y/edit?usp=sharing"",""แผน!FH40"")"),25)</f>
        <v>25</v>
      </c>
      <c r="J129" s="467">
        <v>25</v>
      </c>
      <c r="K129" s="255">
        <f ca="1">IF(I129&gt;0,J129*100/I129,0)</f>
        <v>100</v>
      </c>
      <c r="L129" s="62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212">
        <f ca="1">IFERROR(__xludf.DUMMYFUNCTION("IMPORTRANGE(""https://docs.google.com/spreadsheets/d/1eHaY18a8A9IcSdp1K8H6x8fbOy06t2VsZHhMHf-1x7Y/edit?usp=sharing"",""แผน!FI40"")"),0)</f>
        <v>0</v>
      </c>
      <c r="J130" s="467">
        <v>0</v>
      </c>
      <c r="K130" s="255">
        <f ca="1">IF(I130&gt;0,J130*100/I130,0)</f>
        <v>0</v>
      </c>
      <c r="L130" s="62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8.75" hidden="1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62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8.75" hidden="1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62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2.75" hidden="1">
      <c r="A133" s="192"/>
      <c r="B133" s="193"/>
      <c r="C133" s="193"/>
      <c r="D133" s="22"/>
      <c r="E133" s="22"/>
      <c r="F133" s="22"/>
      <c r="G133" s="23"/>
      <c r="H133" s="209"/>
      <c r="I133" s="24"/>
      <c r="J133" s="24"/>
      <c r="K133" s="25"/>
      <c r="L133" s="26"/>
      <c r="M133" s="25"/>
      <c r="N133" s="25"/>
      <c r="O133" s="25"/>
      <c r="P133" s="25"/>
      <c r="Q133" s="25"/>
      <c r="R133" s="25"/>
      <c r="S133" s="25"/>
      <c r="T133" s="25"/>
      <c r="U133" s="25"/>
    </row>
    <row r="134" spans="1:21" ht="19.5">
      <c r="A134" s="143" t="s">
        <v>58</v>
      </c>
      <c r="B134" s="144"/>
      <c r="C134" s="196"/>
      <c r="D134" s="144"/>
      <c r="E134" s="144"/>
      <c r="F134" s="144"/>
      <c r="G134" s="144"/>
      <c r="H134" s="144"/>
      <c r="I134" s="197"/>
      <c r="J134" s="197"/>
      <c r="K134" s="19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</row>
    <row r="135" spans="1:21" ht="19.5">
      <c r="A135" s="150"/>
      <c r="B135" s="35" t="s">
        <v>59</v>
      </c>
      <c r="C135" s="200"/>
      <c r="D135" s="151"/>
      <c r="E135" s="34"/>
      <c r="F135" s="34"/>
      <c r="G135" s="34"/>
      <c r="H135" s="34"/>
      <c r="I135" s="210"/>
      <c r="J135" s="39"/>
      <c r="K135" s="40"/>
      <c r="L135" s="154"/>
      <c r="M135" s="40"/>
      <c r="N135" s="40"/>
      <c r="O135" s="40"/>
      <c r="P135" s="40"/>
      <c r="Q135" s="40"/>
      <c r="R135" s="40"/>
      <c r="S135" s="40"/>
      <c r="T135" s="40"/>
      <c r="U135" s="40"/>
    </row>
    <row r="136" spans="1:21" ht="19.5">
      <c r="A136" s="150"/>
      <c r="B136" s="34"/>
      <c r="C136" s="211" t="s">
        <v>60</v>
      </c>
      <c r="D136" s="151"/>
      <c r="E136" s="34"/>
      <c r="F136" s="34"/>
      <c r="G136" s="37"/>
      <c r="H136" s="152" t="s">
        <v>61</v>
      </c>
      <c r="I136" s="721">
        <f ca="1">I154</f>
        <v>0</v>
      </c>
      <c r="J136" s="721">
        <f>J154</f>
        <v>0</v>
      </c>
      <c r="K136" s="720">
        <f ca="1">IF(I136&gt;0,J136*100/I136,0)</f>
        <v>0</v>
      </c>
      <c r="L136" s="154"/>
      <c r="M136" s="40"/>
      <c r="N136" s="40"/>
      <c r="O136" s="40"/>
      <c r="P136" s="40"/>
      <c r="Q136" s="40"/>
      <c r="R136" s="40"/>
      <c r="S136" s="40"/>
      <c r="T136" s="40"/>
      <c r="U136" s="40"/>
    </row>
    <row r="137" spans="1:21" ht="19.5">
      <c r="A137" s="150"/>
      <c r="B137" s="34"/>
      <c r="C137" s="211" t="s">
        <v>62</v>
      </c>
      <c r="D137" s="151"/>
      <c r="E137" s="34"/>
      <c r="F137" s="34"/>
      <c r="G137" s="37"/>
      <c r="H137" s="152" t="s">
        <v>35</v>
      </c>
      <c r="I137" s="721">
        <f ca="1">I152</f>
        <v>20</v>
      </c>
      <c r="J137" s="721">
        <f>J152</f>
        <v>20</v>
      </c>
      <c r="K137" s="720">
        <f ca="1">IF(I137&gt;0,J137*100/I137,0)</f>
        <v>100</v>
      </c>
      <c r="L137" s="154"/>
      <c r="M137" s="40"/>
      <c r="N137" s="40"/>
      <c r="O137" s="40"/>
      <c r="P137" s="40"/>
      <c r="Q137" s="40"/>
      <c r="R137" s="40"/>
      <c r="S137" s="40"/>
      <c r="T137" s="40"/>
      <c r="U137" s="40"/>
    </row>
    <row r="138" spans="1:21" ht="19.5">
      <c r="A138" s="150"/>
      <c r="B138" s="34"/>
      <c r="C138" s="200"/>
      <c r="D138" s="151"/>
      <c r="E138" s="34"/>
      <c r="F138" s="34"/>
      <c r="G138" s="37"/>
      <c r="H138" s="152" t="s">
        <v>54</v>
      </c>
      <c r="I138" s="721">
        <f ca="1">I153</f>
        <v>2</v>
      </c>
      <c r="J138" s="721">
        <f>J153</f>
        <v>2</v>
      </c>
      <c r="K138" s="720">
        <f ca="1">IF(I138&gt;0,J138*100/I138,0)</f>
        <v>100</v>
      </c>
      <c r="L138" s="154"/>
      <c r="M138" s="40"/>
      <c r="N138" s="40"/>
      <c r="O138" s="40"/>
      <c r="P138" s="40"/>
      <c r="Q138" s="40"/>
      <c r="R138" s="40"/>
      <c r="S138" s="40"/>
      <c r="T138" s="40"/>
      <c r="U138" s="40"/>
    </row>
    <row r="139" spans="1:21" ht="19.5">
      <c r="A139" s="155"/>
      <c r="B139" s="50"/>
      <c r="C139" s="156" t="s">
        <v>18</v>
      </c>
      <c r="D139" s="575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541">
        <f ca="1">L140+L141</f>
        <v>31600</v>
      </c>
      <c r="M139" s="540">
        <f ca="1">M140+M141</f>
        <v>26600</v>
      </c>
      <c r="N139" s="540">
        <f ca="1">N140+N141</f>
        <v>18720</v>
      </c>
      <c r="O139" s="540">
        <f ca="1">IF(L139&gt;0,N139*100/L139,0)</f>
        <v>59.240506329113927</v>
      </c>
      <c r="P139" s="540">
        <f ca="1">IF(M139&gt;0,N139*100/M139,0)</f>
        <v>70.375939849624061</v>
      </c>
      <c r="Q139" s="540">
        <f ca="1">Q140+Q141</f>
        <v>0</v>
      </c>
      <c r="R139" s="540">
        <f ca="1">R140+R141</f>
        <v>0</v>
      </c>
      <c r="S139" s="540">
        <f ca="1">S140+S141</f>
        <v>0</v>
      </c>
      <c r="T139" s="540">
        <f ca="1">IF(Q139&gt;0,S139*100/Q139,0)</f>
        <v>0</v>
      </c>
      <c r="U139" s="540">
        <f ca="1">IF(R139&gt;0,S139*100/R139,0)</f>
        <v>0</v>
      </c>
    </row>
    <row r="140" spans="1:21" ht="18.75" hidden="1">
      <c r="A140" s="155"/>
      <c r="B140" s="50"/>
      <c r="C140" s="50"/>
      <c r="D140" s="50"/>
      <c r="E140" s="186" t="s">
        <v>20</v>
      </c>
      <c r="F140" s="50"/>
      <c r="G140" s="52"/>
      <c r="H140" s="187" t="s">
        <v>14</v>
      </c>
      <c r="I140" s="54"/>
      <c r="J140" s="54"/>
      <c r="K140" s="55"/>
      <c r="L140" s="103">
        <f>L143+L146</f>
        <v>0</v>
      </c>
      <c r="M140" s="102">
        <f>M143+M146</f>
        <v>0</v>
      </c>
      <c r="N140" s="102">
        <f>N143+N146</f>
        <v>0</v>
      </c>
      <c r="O140" s="102">
        <f>IF(L140&gt;0,N140*100/L140,0)</f>
        <v>0</v>
      </c>
      <c r="P140" s="102">
        <f>IF(M140&gt;0,N140*100/M140,0)</f>
        <v>0</v>
      </c>
      <c r="Q140" s="102">
        <f>Q143+Q146</f>
        <v>0</v>
      </c>
      <c r="R140" s="102">
        <f>R143+R146</f>
        <v>0</v>
      </c>
      <c r="S140" s="102">
        <f>S143+S146</f>
        <v>0</v>
      </c>
      <c r="T140" s="102">
        <f>IF(Q140&gt;0,S140*100/Q140,0)</f>
        <v>0</v>
      </c>
      <c r="U140" s="102">
        <f>IF(R140&gt;0,S140*100/R140,0)</f>
        <v>0</v>
      </c>
    </row>
    <row r="141" spans="1:21" ht="18.75" hidden="1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256">
        <f ca="1">L144+L147</f>
        <v>31600</v>
      </c>
      <c r="M141" s="255">
        <f ca="1">M144+M147</f>
        <v>26600</v>
      </c>
      <c r="N141" s="255">
        <f ca="1">N144+N147</f>
        <v>18720</v>
      </c>
      <c r="O141" s="255">
        <f ca="1">IF(L141&gt;0,N141*100/L141,0)</f>
        <v>59.240506329113927</v>
      </c>
      <c r="P141" s="255">
        <f ca="1">IF(M141&gt;0,N141*100/M141,0)</f>
        <v>70.375939849624061</v>
      </c>
      <c r="Q141" s="255">
        <f ca="1">Q144+Q147</f>
        <v>0</v>
      </c>
      <c r="R141" s="255">
        <f ca="1">R144+R147</f>
        <v>0</v>
      </c>
      <c r="S141" s="255">
        <f ca="1">S144+S147</f>
        <v>0</v>
      </c>
      <c r="T141" s="255">
        <f ca="1">IF(Q141&gt;0,S141*100/Q141,0)</f>
        <v>0</v>
      </c>
      <c r="U141" s="255">
        <f ca="1">IF(R141&gt;0,S141*100/R141,0)</f>
        <v>0</v>
      </c>
    </row>
    <row r="142" spans="1:21" ht="18.75">
      <c r="A142" s="155"/>
      <c r="B142" s="50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256">
        <f ca="1">L143+L144</f>
        <v>31600</v>
      </c>
      <c r="M142" s="255">
        <f ca="1">M143+M144</f>
        <v>26600</v>
      </c>
      <c r="N142" s="255">
        <f ca="1">N143+N144</f>
        <v>18720</v>
      </c>
      <c r="O142" s="255">
        <f ca="1">IF(L142&gt;0,N142*100/L142,0)</f>
        <v>59.240506329113927</v>
      </c>
      <c r="P142" s="255">
        <f ca="1">IF(M142&gt;0,N142*100/M142,0)</f>
        <v>70.375939849624061</v>
      </c>
      <c r="Q142" s="255">
        <f ca="1">Q143+Q144</f>
        <v>0</v>
      </c>
      <c r="R142" s="255">
        <f ca="1">R143+R144</f>
        <v>0</v>
      </c>
      <c r="S142" s="255">
        <f ca="1">S143+S144</f>
        <v>0</v>
      </c>
      <c r="T142" s="255">
        <f ca="1">IF(Q142&gt;0,S142*100/Q142,0)</f>
        <v>0</v>
      </c>
      <c r="U142" s="255">
        <f ca="1">IF(R142&gt;0,S142*100/R142,0)</f>
        <v>0</v>
      </c>
    </row>
    <row r="143" spans="1:21" ht="18.75" hidden="1">
      <c r="A143" s="155"/>
      <c r="B143" s="50"/>
      <c r="C143" s="50"/>
      <c r="D143" s="50"/>
      <c r="E143" s="186" t="s">
        <v>36</v>
      </c>
      <c r="F143" s="50"/>
      <c r="G143" s="52"/>
      <c r="H143" s="189" t="s">
        <v>14</v>
      </c>
      <c r="I143" s="163"/>
      <c r="J143" s="163"/>
      <c r="K143" s="164"/>
      <c r="L143" s="103">
        <v>0</v>
      </c>
      <c r="M143" s="102">
        <v>0</v>
      </c>
      <c r="N143" s="102">
        <v>0</v>
      </c>
      <c r="O143" s="102">
        <f>IF(L143&gt;0,N143*100/L143,0)</f>
        <v>0</v>
      </c>
      <c r="P143" s="102">
        <f>IF(M143&gt;0,N143*100/M143,0)</f>
        <v>0</v>
      </c>
      <c r="Q143" s="102">
        <v>0</v>
      </c>
      <c r="R143" s="102">
        <v>0</v>
      </c>
      <c r="S143" s="102">
        <v>0</v>
      </c>
      <c r="T143" s="102">
        <f>IF(Q143&gt;0,S143*100/Q143,0)</f>
        <v>0</v>
      </c>
      <c r="U143" s="102">
        <f>IF(R143&gt;0,S143*100/R143,0)</f>
        <v>0</v>
      </c>
    </row>
    <row r="144" spans="1:21" ht="18.75" hidden="1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256">
        <f ca="1">IFERROR(__xludf.DUMMYFUNCTION("IMPORTRANGE(""https://docs.google.com/spreadsheets/d/1-uDff_7J0KD5mKrp0Vvzr7lt3OU09vwQwhkpOPPYv2Y/edit?usp=sharing"",""งบพรบ!BQ40"")"),31600)</f>
        <v>31600</v>
      </c>
      <c r="M144" s="255">
        <f ca="1">IFERROR(__xludf.DUMMYFUNCTION("IMPORTRANGE(""https://docs.google.com/spreadsheets/d/1-uDff_7J0KD5mKrp0Vvzr7lt3OU09vwQwhkpOPPYv2Y/edit?usp=sharing"",""งบพรบ!BV40"")"),26600)</f>
        <v>26600</v>
      </c>
      <c r="N144" s="255">
        <f ca="1">IFERROR(__xludf.DUMMYFUNCTION("IMPORTRANGE(""https://docs.google.com/spreadsheets/d/1-uDff_7J0KD5mKrp0Vvzr7lt3OU09vwQwhkpOPPYv2Y/edit?usp=sharing"",""งบพรบ!BX40"")"),18720)</f>
        <v>18720</v>
      </c>
      <c r="O144" s="255">
        <f ca="1">IF(L144&gt;0,N144*100/L144,0)</f>
        <v>59.240506329113927</v>
      </c>
      <c r="P144" s="255">
        <f ca="1">IF(M144&gt;0,N144*100/M144,0)</f>
        <v>70.375939849624061</v>
      </c>
      <c r="Q144" s="255">
        <f ca="1">IFERROR(__xludf.DUMMYFUNCTION("IMPORTRANGE(""https://docs.google.com/spreadsheets/d/1ItG2mGa2ceCfYo0BwxsXqNm01IGEUdYcSSLTEv9YCik/edit?usp=sharing"",""เบิกจ่ายกองทุน!BB40"")"),0)</f>
        <v>0</v>
      </c>
      <c r="R144" s="255">
        <f ca="1">IFERROR(__xludf.DUMMYFUNCTION("IMPORTRANGE(""https://docs.google.com/spreadsheets/d/1ItG2mGa2ceCfYo0BwxsXqNm01IGEUdYcSSLTEv9YCik/edit?usp=sharing"",""เบิกจ่ายกองทุน!BC40"")"),0)</f>
        <v>0</v>
      </c>
      <c r="S144" s="255">
        <f ca="1">IFERROR(__xludf.DUMMYFUNCTION("IMPORTRANGE(""https://docs.google.com/spreadsheets/d/1ItG2mGa2ceCfYo0BwxsXqNm01IGEUdYcSSLTEv9YCik/edit?usp=sharing"",""เบิกจ่ายกองทุน!BD40"")"),0)</f>
        <v>0</v>
      </c>
      <c r="T144" s="255">
        <f ca="1">IF(Q144&gt;0,S144*100/Q144,0)</f>
        <v>0</v>
      </c>
      <c r="U144" s="255">
        <f ca="1">IF(R144&gt;0,S144*100/R144,0)</f>
        <v>0</v>
      </c>
    </row>
    <row r="145" spans="1:21" ht="18.75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256">
        <f ca="1">L146+L147</f>
        <v>0</v>
      </c>
      <c r="M145" s="255">
        <f ca="1">M146+M147</f>
        <v>0</v>
      </c>
      <c r="N145" s="255">
        <f ca="1">N146+N147</f>
        <v>0</v>
      </c>
      <c r="O145" s="255">
        <f ca="1">IF(L145&gt;0,N145*100/L145,0)</f>
        <v>0</v>
      </c>
      <c r="P145" s="255">
        <f ca="1">IF(M145&gt;0,N145*100/M145,0)</f>
        <v>0</v>
      </c>
      <c r="Q145" s="255">
        <f>Q146+Q147</f>
        <v>0</v>
      </c>
      <c r="R145" s="255">
        <f>R146+R147</f>
        <v>0</v>
      </c>
      <c r="S145" s="255">
        <f>S146+S147</f>
        <v>0</v>
      </c>
      <c r="T145" s="255">
        <f>IF(Q145&gt;0,S145*100/Q145,0)</f>
        <v>0</v>
      </c>
      <c r="U145" s="255">
        <f>IF(R145&gt;0,S145*100/R145,0)</f>
        <v>0</v>
      </c>
    </row>
    <row r="146" spans="1:21" ht="18.75" hidden="1">
      <c r="A146" s="155"/>
      <c r="B146" s="50"/>
      <c r="C146" s="50"/>
      <c r="D146" s="50"/>
      <c r="E146" s="186" t="s">
        <v>20</v>
      </c>
      <c r="F146" s="50"/>
      <c r="G146" s="52"/>
      <c r="H146" s="189" t="s">
        <v>14</v>
      </c>
      <c r="I146" s="163"/>
      <c r="J146" s="163"/>
      <c r="K146" s="164"/>
      <c r="L146" s="103">
        <v>0</v>
      </c>
      <c r="M146" s="102">
        <v>0</v>
      </c>
      <c r="N146" s="102">
        <v>0</v>
      </c>
      <c r="O146" s="102">
        <f>IF(L146&gt;0,N146*100/L146,0)</f>
        <v>0</v>
      </c>
      <c r="P146" s="102">
        <f>IF(M146&gt;0,N146*100/M146,0)</f>
        <v>0</v>
      </c>
      <c r="Q146" s="102">
        <v>0</v>
      </c>
      <c r="R146" s="102">
        <v>0</v>
      </c>
      <c r="S146" s="102">
        <v>0</v>
      </c>
      <c r="T146" s="102">
        <f>IF(Q146&gt;0,S146*100/Q146,0)</f>
        <v>0</v>
      </c>
      <c r="U146" s="102">
        <f>IF(R146&gt;0,S146*100/R146,0)</f>
        <v>0</v>
      </c>
    </row>
    <row r="147" spans="1:21" ht="18.75" hidden="1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256">
        <f ca="1">IFERROR(__xludf.DUMMYFUNCTION("IMPORTRANGE(""https://docs.google.com/spreadsheets/d/1-uDff_7J0KD5mKrp0Vvzr7lt3OU09vwQwhkpOPPYv2Y/edit?usp=sharing"",""งบพรบ!BT40"")"),0)</f>
        <v>0</v>
      </c>
      <c r="M147" s="255">
        <f ca="1">IFERROR(__xludf.DUMMYFUNCTION("IMPORTRANGE(""https://docs.google.com/spreadsheets/d/1-uDff_7J0KD5mKrp0Vvzr7lt3OU09vwQwhkpOPPYv2Y/edit?usp=sharing"",""งบพรบ!BW40"")"),0)</f>
        <v>0</v>
      </c>
      <c r="N147" s="255">
        <f ca="1">IFERROR(__xludf.DUMMYFUNCTION("IMPORTRANGE(""https://docs.google.com/spreadsheets/d/1-uDff_7J0KD5mKrp0Vvzr7lt3OU09vwQwhkpOPPYv2Y/edit?usp=sharing"",""งบพรบ!BY40"")"),0)</f>
        <v>0</v>
      </c>
      <c r="O147" s="255">
        <f ca="1">IF(L147&gt;0,N147*100/L147,0)</f>
        <v>0</v>
      </c>
      <c r="P147" s="255">
        <f ca="1">IF(M147&gt;0,N147*100/M147,0)</f>
        <v>0</v>
      </c>
      <c r="Q147" s="255">
        <v>0</v>
      </c>
      <c r="R147" s="255">
        <v>0</v>
      </c>
      <c r="S147" s="255">
        <v>0</v>
      </c>
      <c r="T147" s="255">
        <f>IF(Q147&gt;0,S147*100/Q147,0)</f>
        <v>0</v>
      </c>
      <c r="U147" s="255">
        <f>IF(R147&gt;0,S147*100/R147,0)</f>
        <v>0</v>
      </c>
    </row>
    <row r="148" spans="1:21" ht="19.5">
      <c r="A148" s="166"/>
      <c r="B148" s="167"/>
      <c r="C148" s="156" t="s">
        <v>18</v>
      </c>
      <c r="D148" s="566" t="s">
        <v>38</v>
      </c>
      <c r="E148" s="169"/>
      <c r="F148" s="169"/>
      <c r="G148" s="170"/>
      <c r="H148" s="206"/>
      <c r="I148" s="54"/>
      <c r="J148" s="54"/>
      <c r="K148" s="55"/>
      <c r="L148" s="62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8.75">
      <c r="A149" s="155"/>
      <c r="B149" s="50"/>
      <c r="C149" s="50"/>
      <c r="D149" s="58" t="s">
        <v>63</v>
      </c>
      <c r="E149" s="50"/>
      <c r="F149" s="50"/>
      <c r="G149" s="52"/>
      <c r="H149" s="206"/>
      <c r="I149" s="54"/>
      <c r="J149" s="467">
        <v>0</v>
      </c>
      <c r="K149" s="55"/>
      <c r="L149" s="62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9.5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212">
        <f ca="1">IFERROR(__xludf.DUMMYFUNCTION("IMPORTRANGE(""https://docs.google.com/spreadsheets/d/1eHaY18a8A9IcSdp1K8H6x8fbOy06t2VsZHhMHf-1x7Y/edit?usp=sharing"",""แผน!U40"")"),0)</f>
        <v>0</v>
      </c>
      <c r="J150" s="467">
        <v>0</v>
      </c>
      <c r="K150" s="255">
        <f ca="1">IF(I150&gt;0,J150*100/I150,0)</f>
        <v>0</v>
      </c>
      <c r="L150" s="62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8.75">
      <c r="A151" s="155"/>
      <c r="B151" s="50"/>
      <c r="C151" s="50"/>
      <c r="D151" s="174"/>
      <c r="E151" s="50"/>
      <c r="F151" s="50"/>
      <c r="G151" s="52"/>
      <c r="H151" s="165" t="s">
        <v>54</v>
      </c>
      <c r="I151" s="212">
        <f ca="1">IFERROR(__xludf.DUMMYFUNCTION("IMPORTRANGE(""https://docs.google.com/spreadsheets/d/1eHaY18a8A9IcSdp1K8H6x8fbOy06t2VsZHhMHf-1x7Y/edit?usp=sharing"",""แผน!V40"")"),0)</f>
        <v>0</v>
      </c>
      <c r="J151" s="467">
        <v>0</v>
      </c>
      <c r="K151" s="255">
        <f ca="1">IF(I151&gt;0,J151*100/I151,0)</f>
        <v>0</v>
      </c>
      <c r="L151" s="62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9.5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212">
        <f ca="1">IFERROR(__xludf.DUMMYFUNCTION("IMPORTRANGE(""https://docs.google.com/spreadsheets/d/1eHaY18a8A9IcSdp1K8H6x8fbOy06t2VsZHhMHf-1x7Y/edit?usp=sharing"",""แผน!W40"")"),20)</f>
        <v>20</v>
      </c>
      <c r="J152" s="467">
        <v>20</v>
      </c>
      <c r="K152" s="255">
        <f ca="1">IF(I152&gt;0,J152*100/I152,0)</f>
        <v>100</v>
      </c>
      <c r="L152" s="62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8.75">
      <c r="A153" s="155"/>
      <c r="B153" s="50"/>
      <c r="C153" s="50"/>
      <c r="D153" s="50"/>
      <c r="E153" s="50"/>
      <c r="F153" s="50"/>
      <c r="G153" s="52"/>
      <c r="H153" s="165" t="s">
        <v>54</v>
      </c>
      <c r="I153" s="212">
        <f ca="1">IFERROR(__xludf.DUMMYFUNCTION("IMPORTRANGE(""https://docs.google.com/spreadsheets/d/1eHaY18a8A9IcSdp1K8H6x8fbOy06t2VsZHhMHf-1x7Y/edit?usp=sharing"",""แผน!X40"")"),2)</f>
        <v>2</v>
      </c>
      <c r="J153" s="467">
        <v>2</v>
      </c>
      <c r="K153" s="255">
        <f ca="1">IF(I153&gt;0,J153*100/I153,0)</f>
        <v>100</v>
      </c>
      <c r="L153" s="62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8.75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212">
        <f ca="1">IFERROR(__xludf.DUMMYFUNCTION("IMPORTRANGE(""https://docs.google.com/spreadsheets/d/1eHaY18a8A9IcSdp1K8H6x8fbOy06t2VsZHhMHf-1x7Y/edit?usp=sharing"",""แผน!Y40"")"),0)</f>
        <v>0</v>
      </c>
      <c r="J154" s="467">
        <v>0</v>
      </c>
      <c r="K154" s="255">
        <f ca="1">IF(I154&gt;0,J154*100/I154,0)</f>
        <v>0</v>
      </c>
      <c r="L154" s="62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9.5" hidden="1">
      <c r="A155" s="143" t="s">
        <v>67</v>
      </c>
      <c r="B155" s="144"/>
      <c r="C155" s="196"/>
      <c r="D155" s="144"/>
      <c r="E155" s="144"/>
      <c r="F155" s="144"/>
      <c r="G155" s="144"/>
      <c r="H155" s="144"/>
      <c r="I155" s="197"/>
      <c r="J155" s="197"/>
      <c r="K155" s="19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</row>
    <row r="156" spans="1:21" ht="19.5" hidden="1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721">
        <f ca="1">I169</f>
        <v>0</v>
      </c>
      <c r="J156" s="721">
        <f>J169</f>
        <v>0</v>
      </c>
      <c r="K156" s="720">
        <f ca="1">IF(I156&gt;0,J156*100/I156,0)</f>
        <v>0</v>
      </c>
      <c r="L156" s="154"/>
      <c r="M156" s="40"/>
      <c r="N156" s="40"/>
      <c r="O156" s="40"/>
      <c r="P156" s="40"/>
      <c r="Q156" s="40"/>
      <c r="R156" s="40"/>
      <c r="S156" s="40"/>
      <c r="T156" s="40"/>
      <c r="U156" s="40"/>
    </row>
    <row r="157" spans="1:21" ht="19.5" hidden="1">
      <c r="A157" s="155"/>
      <c r="B157" s="50"/>
      <c r="C157" s="156" t="s">
        <v>18</v>
      </c>
      <c r="D157" s="575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541">
        <f ca="1">L158+L159</f>
        <v>0</v>
      </c>
      <c r="M157" s="540">
        <f ca="1">M158+M159</f>
        <v>0</v>
      </c>
      <c r="N157" s="540">
        <f ca="1">N158+N159</f>
        <v>0</v>
      </c>
      <c r="O157" s="540">
        <f ca="1">IF(L157&gt;0,N157*100/L157,0)</f>
        <v>0</v>
      </c>
      <c r="P157" s="540">
        <f ca="1">IF(M157&gt;0,N157*100/M157,0)</f>
        <v>0</v>
      </c>
      <c r="Q157" s="540">
        <f ca="1">Q158+Q159</f>
        <v>0</v>
      </c>
      <c r="R157" s="540">
        <f ca="1">R158+R159</f>
        <v>0</v>
      </c>
      <c r="S157" s="540">
        <f ca="1">S158+S159</f>
        <v>0</v>
      </c>
      <c r="T157" s="540">
        <f ca="1">IF(Q157&gt;0,S157*100/Q157,0)</f>
        <v>0</v>
      </c>
      <c r="U157" s="540">
        <f ca="1">IF(R157&gt;0,S157*100/R157,0)</f>
        <v>0</v>
      </c>
    </row>
    <row r="158" spans="1:21" ht="18.75" hidden="1">
      <c r="A158" s="155"/>
      <c r="B158" s="50"/>
      <c r="C158" s="50"/>
      <c r="D158" s="50"/>
      <c r="E158" s="186" t="s">
        <v>20</v>
      </c>
      <c r="F158" s="50"/>
      <c r="G158" s="52"/>
      <c r="H158" s="187" t="s">
        <v>14</v>
      </c>
      <c r="I158" s="54"/>
      <c r="J158" s="54"/>
      <c r="K158" s="55"/>
      <c r="L158" s="103">
        <f>L161+L164</f>
        <v>0</v>
      </c>
      <c r="M158" s="102">
        <f>M161+M164</f>
        <v>0</v>
      </c>
      <c r="N158" s="102">
        <f>N161+N164</f>
        <v>0</v>
      </c>
      <c r="O158" s="102">
        <f>IF(L158&gt;0,N158*100/L158,0)</f>
        <v>0</v>
      </c>
      <c r="P158" s="102">
        <f>IF(M158&gt;0,N158*100/M158,0)</f>
        <v>0</v>
      </c>
      <c r="Q158" s="102">
        <f>Q161+Q164</f>
        <v>0</v>
      </c>
      <c r="R158" s="102">
        <f>R161+R164</f>
        <v>0</v>
      </c>
      <c r="S158" s="102">
        <f>S161+S164</f>
        <v>0</v>
      </c>
      <c r="T158" s="102">
        <f>IF(Q158&gt;0,S158*100/Q158,0)</f>
        <v>0</v>
      </c>
      <c r="U158" s="102">
        <f>IF(R158&gt;0,S158*100/R158,0)</f>
        <v>0</v>
      </c>
    </row>
    <row r="159" spans="1:21" ht="18.75" hidden="1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256">
        <f ca="1">L162+L165</f>
        <v>0</v>
      </c>
      <c r="M159" s="255">
        <f ca="1">M162+M165</f>
        <v>0</v>
      </c>
      <c r="N159" s="255">
        <f ca="1">N162+N165</f>
        <v>0</v>
      </c>
      <c r="O159" s="255">
        <f ca="1">IF(L159&gt;0,N159*100/L159,0)</f>
        <v>0</v>
      </c>
      <c r="P159" s="255">
        <f ca="1">IF(M159&gt;0,N159*100/M159,0)</f>
        <v>0</v>
      </c>
      <c r="Q159" s="255">
        <f ca="1">Q162+Q165</f>
        <v>0</v>
      </c>
      <c r="R159" s="255">
        <f ca="1">R162+R165</f>
        <v>0</v>
      </c>
      <c r="S159" s="255">
        <f ca="1">S162+S165</f>
        <v>0</v>
      </c>
      <c r="T159" s="255">
        <f ca="1">IF(Q159&gt;0,S159*100/Q159,0)</f>
        <v>0</v>
      </c>
      <c r="U159" s="255">
        <f ca="1">IF(R159&gt;0,S159*100/R159,0)</f>
        <v>0</v>
      </c>
    </row>
    <row r="160" spans="1:21" ht="18.75" hidden="1">
      <c r="A160" s="155"/>
      <c r="B160" s="50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256">
        <f ca="1">L161+L162</f>
        <v>0</v>
      </c>
      <c r="M160" s="255">
        <f ca="1">M161+M162</f>
        <v>0</v>
      </c>
      <c r="N160" s="255">
        <f ca="1">N161+N162</f>
        <v>0</v>
      </c>
      <c r="O160" s="255">
        <f ca="1">IF(L160&gt;0,N160*100/L160,0)</f>
        <v>0</v>
      </c>
      <c r="P160" s="255">
        <f ca="1">IF(M160&gt;0,N160*100/M160,0)</f>
        <v>0</v>
      </c>
      <c r="Q160" s="255">
        <f ca="1">Q161+Q162</f>
        <v>0</v>
      </c>
      <c r="R160" s="255">
        <f ca="1">R161+R162</f>
        <v>0</v>
      </c>
      <c r="S160" s="255">
        <f ca="1">S161+S162</f>
        <v>0</v>
      </c>
      <c r="T160" s="255">
        <f ca="1">IF(Q160&gt;0,S160*100/Q160,0)</f>
        <v>0</v>
      </c>
      <c r="U160" s="255">
        <f ca="1">IF(R160&gt;0,S160*100/R160,0)</f>
        <v>0</v>
      </c>
    </row>
    <row r="161" spans="1:21" ht="18.75" hidden="1">
      <c r="A161" s="155"/>
      <c r="B161" s="50"/>
      <c r="C161" s="50"/>
      <c r="D161" s="50"/>
      <c r="E161" s="186" t="s">
        <v>36</v>
      </c>
      <c r="F161" s="50"/>
      <c r="G161" s="52"/>
      <c r="H161" s="189" t="s">
        <v>14</v>
      </c>
      <c r="I161" s="163"/>
      <c r="J161" s="163"/>
      <c r="K161" s="164"/>
      <c r="L161" s="103">
        <v>0</v>
      </c>
      <c r="M161" s="102">
        <v>0</v>
      </c>
      <c r="N161" s="102">
        <v>0</v>
      </c>
      <c r="O161" s="102">
        <f>IF(L161&gt;0,N161*100/L161,0)</f>
        <v>0</v>
      </c>
      <c r="P161" s="102">
        <f>IF(M161&gt;0,N161*100/M161,0)</f>
        <v>0</v>
      </c>
      <c r="Q161" s="102">
        <v>0</v>
      </c>
      <c r="R161" s="102">
        <v>0</v>
      </c>
      <c r="S161" s="102">
        <v>0</v>
      </c>
      <c r="T161" s="102">
        <f>IF(Q161&gt;0,S161*100/Q161,0)</f>
        <v>0</v>
      </c>
      <c r="U161" s="102">
        <f>IF(R161&gt;0,S161*100/R161,0)</f>
        <v>0</v>
      </c>
    </row>
    <row r="162" spans="1:21" ht="18.75" hidden="1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256">
        <f ca="1">IFERROR(__xludf.DUMMYFUNCTION("IMPORTRANGE(""https://docs.google.com/spreadsheets/d/1-uDff_7J0KD5mKrp0Vvzr7lt3OU09vwQwhkpOPPYv2Y/edit?usp=sharing"",""งบพรบ!CA40"")"),0)</f>
        <v>0</v>
      </c>
      <c r="M162" s="255">
        <f ca="1">IFERROR(__xludf.DUMMYFUNCTION("IMPORTRANGE(""https://docs.google.com/spreadsheets/d/1-uDff_7J0KD5mKrp0Vvzr7lt3OU09vwQwhkpOPPYv2Y/edit?usp=sharing"",""งบพรบ!CF40"")"),0)</f>
        <v>0</v>
      </c>
      <c r="N162" s="255">
        <f ca="1">IFERROR(__xludf.DUMMYFUNCTION("IMPORTRANGE(""https://docs.google.com/spreadsheets/d/1-uDff_7J0KD5mKrp0Vvzr7lt3OU09vwQwhkpOPPYv2Y/edit?usp=sharing"",""งบพรบ!CH40"")"),0)</f>
        <v>0</v>
      </c>
      <c r="O162" s="255">
        <f ca="1">IF(L162&gt;0,N162*100/L162,0)</f>
        <v>0</v>
      </c>
      <c r="P162" s="255">
        <f ca="1">IF(M162&gt;0,N162*100/M162,0)</f>
        <v>0</v>
      </c>
      <c r="Q162" s="255">
        <f ca="1">IFERROR(__xludf.DUMMYFUNCTION("IMPORTRANGE(""https://docs.google.com/spreadsheets/d/1ItG2mGa2ceCfYo0BwxsXqNm01IGEUdYcSSLTEv9YCik/edit?usp=sharing"",""เบิกจ่ายกองทุน!AG40"")"),0)</f>
        <v>0</v>
      </c>
      <c r="R162" s="255">
        <f ca="1">IFERROR(__xludf.DUMMYFUNCTION("IMPORTRANGE(""https://docs.google.com/spreadsheets/d/1ItG2mGa2ceCfYo0BwxsXqNm01IGEUdYcSSLTEv9YCik/edit?usp=sharing"",""เบิกจ่ายกองทุน!AH40"")"),0)</f>
        <v>0</v>
      </c>
      <c r="S162" s="255">
        <f ca="1">IFERROR(__xludf.DUMMYFUNCTION("IMPORTRANGE(""https://docs.google.com/spreadsheets/d/1ItG2mGa2ceCfYo0BwxsXqNm01IGEUdYcSSLTEv9YCik/edit?usp=sharing"",""เบิกจ่ายกองทุน!AI40"")"),0)</f>
        <v>0</v>
      </c>
      <c r="T162" s="255">
        <f ca="1">IF(Q162&gt;0,S162*100/Q162,0)</f>
        <v>0</v>
      </c>
      <c r="U162" s="255">
        <f ca="1">IF(R162&gt;0,S162*100/R162,0)</f>
        <v>0</v>
      </c>
    </row>
    <row r="163" spans="1:21" ht="18.75" hidden="1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256">
        <f ca="1">L164+L165</f>
        <v>0</v>
      </c>
      <c r="M163" s="255">
        <f ca="1">M164+M165</f>
        <v>0</v>
      </c>
      <c r="N163" s="255">
        <f ca="1">N164+N165</f>
        <v>0</v>
      </c>
      <c r="O163" s="255">
        <f ca="1">IF(L163&gt;0,N163*100/L163,0)</f>
        <v>0</v>
      </c>
      <c r="P163" s="255">
        <f ca="1">IF(M163&gt;0,N163*100/M163,0)</f>
        <v>0</v>
      </c>
      <c r="Q163" s="255">
        <f>Q164+Q165</f>
        <v>0</v>
      </c>
      <c r="R163" s="255">
        <f>R164+R165</f>
        <v>0</v>
      </c>
      <c r="S163" s="255">
        <f>S164+S165</f>
        <v>0</v>
      </c>
      <c r="T163" s="255">
        <f>IF(Q163&gt;0,S163*100/Q163,0)</f>
        <v>0</v>
      </c>
      <c r="U163" s="255">
        <f>IF(R163&gt;0,S163*100/R163,0)</f>
        <v>0</v>
      </c>
    </row>
    <row r="164" spans="1:21" ht="18.75" hidden="1">
      <c r="A164" s="155"/>
      <c r="B164" s="50"/>
      <c r="C164" s="50"/>
      <c r="D164" s="50"/>
      <c r="E164" s="186" t="s">
        <v>20</v>
      </c>
      <c r="F164" s="50"/>
      <c r="G164" s="52"/>
      <c r="H164" s="189" t="s">
        <v>14</v>
      </c>
      <c r="I164" s="163"/>
      <c r="J164" s="163"/>
      <c r="K164" s="164"/>
      <c r="L164" s="103">
        <v>0</v>
      </c>
      <c r="M164" s="102">
        <v>0</v>
      </c>
      <c r="N164" s="102">
        <v>0</v>
      </c>
      <c r="O164" s="102">
        <f>IF(L164&gt;0,N164*100/L164,0)</f>
        <v>0</v>
      </c>
      <c r="P164" s="102">
        <f>IF(M164&gt;0,N164*100/M164,0)</f>
        <v>0</v>
      </c>
      <c r="Q164" s="102">
        <v>0</v>
      </c>
      <c r="R164" s="102">
        <v>0</v>
      </c>
      <c r="S164" s="102">
        <v>0</v>
      </c>
      <c r="T164" s="102">
        <f>IF(Q164&gt;0,S164*100/Q164,0)</f>
        <v>0</v>
      </c>
      <c r="U164" s="102">
        <f>IF(R164&gt;0,S164*100/R164,0)</f>
        <v>0</v>
      </c>
    </row>
    <row r="165" spans="1:21" ht="18.75" hidden="1">
      <c r="A165" s="155"/>
      <c r="B165" s="50"/>
      <c r="C165" s="50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256">
        <f ca="1">IFERROR(__xludf.DUMMYFUNCTION("IMPORTRANGE(""https://docs.google.com/spreadsheets/d/1-uDff_7J0KD5mKrp0Vvzr7lt3OU09vwQwhkpOPPYv2Y/edit?usp=sharing"",""งบพรบ!CD40"")"),0)</f>
        <v>0</v>
      </c>
      <c r="M165" s="255">
        <f ca="1">IFERROR(__xludf.DUMMYFUNCTION("IMPORTRANGE(""https://docs.google.com/spreadsheets/d/1-uDff_7J0KD5mKrp0Vvzr7lt3OU09vwQwhkpOPPYv2Y/edit?usp=sharing"",""งบพรบ!CG40"")"),0)</f>
        <v>0</v>
      </c>
      <c r="N165" s="255">
        <f ca="1">IFERROR(__xludf.DUMMYFUNCTION("IMPORTRANGE(""https://docs.google.com/spreadsheets/d/1-uDff_7J0KD5mKrp0Vvzr7lt3OU09vwQwhkpOPPYv2Y/edit?usp=sharing"",""งบพรบ!CI40"")"),0)</f>
        <v>0</v>
      </c>
      <c r="O165" s="255">
        <f ca="1">IF(L165&gt;0,N165*100/L165,0)</f>
        <v>0</v>
      </c>
      <c r="P165" s="255">
        <f ca="1">IF(M165&gt;0,N165*100/M165,0)</f>
        <v>0</v>
      </c>
      <c r="Q165" s="255">
        <v>0</v>
      </c>
      <c r="R165" s="255">
        <v>0</v>
      </c>
      <c r="S165" s="255">
        <v>0</v>
      </c>
      <c r="T165" s="255">
        <f>IF(Q165&gt;0,S165*100/Q165,0)</f>
        <v>0</v>
      </c>
      <c r="U165" s="255">
        <f>IF(R165&gt;0,S165*100/R165,0)</f>
        <v>0</v>
      </c>
    </row>
    <row r="166" spans="1:21" ht="19.5" hidden="1">
      <c r="A166" s="166"/>
      <c r="B166" s="167"/>
      <c r="C166" s="156" t="s">
        <v>18</v>
      </c>
      <c r="D166" s="566" t="s">
        <v>38</v>
      </c>
      <c r="E166" s="169"/>
      <c r="F166" s="169"/>
      <c r="G166" s="170"/>
      <c r="H166" s="206"/>
      <c r="I166" s="54"/>
      <c r="J166" s="54"/>
      <c r="K166" s="55"/>
      <c r="L166" s="62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8.75" hidden="1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212">
        <f ca="1">IFERROR(__xludf.DUMMYFUNCTION("IMPORTRANGE(""https://docs.google.com/spreadsheets/d/1eHaY18a8A9IcSdp1K8H6x8fbOy06t2VsZHhMHf-1x7Y/edit?usp=sharing"",""แผน!Z40"")"),0)</f>
        <v>0</v>
      </c>
      <c r="J167" s="467">
        <v>0</v>
      </c>
      <c r="K167" s="255">
        <f ca="1">IF(I167&gt;0,J167*100/I167,0)</f>
        <v>0</v>
      </c>
      <c r="L167" s="62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8.75" hidden="1">
      <c r="A168" s="155"/>
      <c r="B168" s="50"/>
      <c r="C168" s="50"/>
      <c r="D168" s="186" t="s">
        <v>70</v>
      </c>
      <c r="E168" s="50"/>
      <c r="F168" s="50"/>
      <c r="G168" s="52"/>
      <c r="H168" s="421" t="s">
        <v>35</v>
      </c>
      <c r="I168" s="483">
        <f ca="1">IFERROR(__xludf.DUMMYFUNCTION("IMPORTRANGE(""https://docs.google.com/spreadsheets/d/1eHaY18a8A9IcSdp1K8H6x8fbOy06t2VsZHhMHf-1x7Y/edit?usp=sharing"",""แผน!Z40"")"),0)</f>
        <v>0</v>
      </c>
      <c r="J168" s="589">
        <v>0</v>
      </c>
      <c r="K168" s="102">
        <f ca="1">IF(I168&gt;0,J168*100/I168,0)</f>
        <v>0</v>
      </c>
      <c r="L168" s="62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8.75" hidden="1">
      <c r="A169" s="213"/>
      <c r="B169" s="4"/>
      <c r="C169" s="4"/>
      <c r="D169" s="484" t="s">
        <v>71</v>
      </c>
      <c r="E169" s="4"/>
      <c r="F169" s="4"/>
      <c r="G169" s="65"/>
      <c r="H169" s="719" t="s">
        <v>35</v>
      </c>
      <c r="I169" s="486">
        <f ca="1">IFERROR(__xludf.DUMMYFUNCTION("IMPORTRANGE(""https://docs.google.com/spreadsheets/d/1eHaY18a8A9IcSdp1K8H6x8fbOy06t2VsZHhMHf-1x7Y/edit?usp=sharing"",""แผน!Z40"")"),0)</f>
        <v>0</v>
      </c>
      <c r="J169" s="586">
        <v>0</v>
      </c>
      <c r="K169" s="585">
        <f ca="1">IF(I169&gt;0,J169*100/I169,0)</f>
        <v>0</v>
      </c>
      <c r="L169" s="68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9"/>
      <c r="I170" s="220"/>
      <c r="J170" s="220"/>
      <c r="K170" s="221"/>
      <c r="L170" s="221"/>
      <c r="M170" s="221"/>
      <c r="N170" s="221"/>
      <c r="O170" s="221"/>
      <c r="P170" s="222"/>
      <c r="Q170" s="221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226"/>
      <c r="I171" s="227"/>
      <c r="J171" s="227"/>
      <c r="K171" s="228"/>
      <c r="L171" s="229"/>
      <c r="M171" s="228"/>
      <c r="N171" s="228"/>
      <c r="O171" s="228"/>
      <c r="P171" s="228"/>
      <c r="Q171" s="228"/>
      <c r="R171" s="228"/>
      <c r="S171" s="228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233" t="s">
        <v>35</v>
      </c>
      <c r="I172" s="718">
        <f ca="1">I183+I184</f>
        <v>7</v>
      </c>
      <c r="J172" s="718">
        <f>J183+J184</f>
        <v>7</v>
      </c>
      <c r="K172" s="717">
        <f ca="1">IF(I172&gt;0,J172*100/I172,0)</f>
        <v>100</v>
      </c>
      <c r="L172" s="237"/>
      <c r="M172" s="236"/>
      <c r="N172" s="236"/>
      <c r="O172" s="236"/>
      <c r="P172" s="236"/>
      <c r="Q172" s="236"/>
      <c r="R172" s="236"/>
      <c r="S172" s="236"/>
      <c r="T172" s="236"/>
      <c r="U172" s="236"/>
    </row>
    <row r="173" spans="1:21" ht="19.5">
      <c r="A173" s="155"/>
      <c r="B173" s="50"/>
      <c r="C173" s="156" t="s">
        <v>18</v>
      </c>
      <c r="D173" s="575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541">
        <f ca="1">L174+L175</f>
        <v>19590</v>
      </c>
      <c r="M173" s="540">
        <f ca="1">M174+M175</f>
        <v>35630</v>
      </c>
      <c r="N173" s="540">
        <f ca="1">N174+N175</f>
        <v>35630</v>
      </c>
      <c r="O173" s="540">
        <f ca="1">IF(L173&gt;0,N173*100/L173,0)</f>
        <v>181.87850944359366</v>
      </c>
      <c r="P173" s="540">
        <f ca="1">IF(M173&gt;0,N173*100/M173,0)</f>
        <v>100</v>
      </c>
      <c r="Q173" s="540">
        <f ca="1">Q174+Q175</f>
        <v>0</v>
      </c>
      <c r="R173" s="540">
        <f ca="1">R174+R175</f>
        <v>0</v>
      </c>
      <c r="S173" s="540">
        <f ca="1">S174+S175</f>
        <v>0</v>
      </c>
      <c r="T173" s="540">
        <f ca="1">IF(Q173&gt;0,S173*100/Q173,0)</f>
        <v>0</v>
      </c>
      <c r="U173" s="540">
        <f ca="1">IF(R173&gt;0,S173*100/R173,0)</f>
        <v>0</v>
      </c>
    </row>
    <row r="174" spans="1:21" ht="18.75" hidden="1">
      <c r="A174" s="155"/>
      <c r="B174" s="50"/>
      <c r="C174" s="50"/>
      <c r="D174" s="50"/>
      <c r="E174" s="186" t="s">
        <v>20</v>
      </c>
      <c r="F174" s="50"/>
      <c r="G174" s="52"/>
      <c r="H174" s="187" t="s">
        <v>14</v>
      </c>
      <c r="I174" s="54"/>
      <c r="J174" s="54"/>
      <c r="K174" s="55"/>
      <c r="L174" s="103">
        <f>L177+L180</f>
        <v>0</v>
      </c>
      <c r="M174" s="102">
        <f>M177+M180</f>
        <v>0</v>
      </c>
      <c r="N174" s="102">
        <f>N177+N180</f>
        <v>0</v>
      </c>
      <c r="O174" s="102">
        <f>IF(L174&gt;0,N174*100/L174,0)</f>
        <v>0</v>
      </c>
      <c r="P174" s="102">
        <f>IF(M174&gt;0,N174*100/M174,0)</f>
        <v>0</v>
      </c>
      <c r="Q174" s="102">
        <f>Q177+Q180</f>
        <v>0</v>
      </c>
      <c r="R174" s="102">
        <f>R177+R180</f>
        <v>0</v>
      </c>
      <c r="S174" s="102">
        <f>S177+S180</f>
        <v>0</v>
      </c>
      <c r="T174" s="102">
        <f>IF(Q174&gt;0,S174*100/Q174,0)</f>
        <v>0</v>
      </c>
      <c r="U174" s="102">
        <f>IF(R174&gt;0,S174*100/R174,0)</f>
        <v>0</v>
      </c>
    </row>
    <row r="175" spans="1:21" ht="18.75" hidden="1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256">
        <f ca="1">L178+L181</f>
        <v>19590</v>
      </c>
      <c r="M175" s="255">
        <f ca="1">M178+M181</f>
        <v>35630</v>
      </c>
      <c r="N175" s="255">
        <f ca="1">N178+N181</f>
        <v>35630</v>
      </c>
      <c r="O175" s="255">
        <f ca="1">IF(L175&gt;0,N175*100/L175,0)</f>
        <v>181.87850944359366</v>
      </c>
      <c r="P175" s="255">
        <f ca="1">IF(M175&gt;0,N175*100/M175,0)</f>
        <v>100</v>
      </c>
      <c r="Q175" s="255">
        <f ca="1">Q178+Q181</f>
        <v>0</v>
      </c>
      <c r="R175" s="255">
        <f ca="1">R178+R181</f>
        <v>0</v>
      </c>
      <c r="S175" s="255">
        <f ca="1">S178+S181</f>
        <v>0</v>
      </c>
      <c r="T175" s="255">
        <f ca="1">IF(Q175&gt;0,S175*100/Q175,0)</f>
        <v>0</v>
      </c>
      <c r="U175" s="255">
        <f ca="1">IF(R175&gt;0,S175*100/R175,0)</f>
        <v>0</v>
      </c>
    </row>
    <row r="176" spans="1:21" ht="18.75">
      <c r="A176" s="155"/>
      <c r="B176" s="50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256">
        <f ca="1">L177+L178</f>
        <v>19590</v>
      </c>
      <c r="M176" s="255">
        <f ca="1">M177+M178</f>
        <v>35630</v>
      </c>
      <c r="N176" s="255">
        <f ca="1">N177+N178</f>
        <v>35630</v>
      </c>
      <c r="O176" s="255">
        <f ca="1">IF(L176&gt;0,N176*100/L176,0)</f>
        <v>181.87850944359366</v>
      </c>
      <c r="P176" s="255">
        <f ca="1">IF(M176&gt;0,N176*100/M176,0)</f>
        <v>100</v>
      </c>
      <c r="Q176" s="255">
        <f ca="1">Q177+Q178</f>
        <v>0</v>
      </c>
      <c r="R176" s="255">
        <f ca="1">R177+R178</f>
        <v>0</v>
      </c>
      <c r="S176" s="255">
        <f ca="1">S177+S178</f>
        <v>0</v>
      </c>
      <c r="T176" s="255">
        <f ca="1">IF(Q176&gt;0,S176*100/Q176,0)</f>
        <v>0</v>
      </c>
      <c r="U176" s="255">
        <f ca="1">IF(R176&gt;0,S176*100/R176,0)</f>
        <v>0</v>
      </c>
    </row>
    <row r="177" spans="1:21" ht="18.75" hidden="1">
      <c r="A177" s="155"/>
      <c r="B177" s="50"/>
      <c r="C177" s="50"/>
      <c r="D177" s="50"/>
      <c r="E177" s="186" t="s">
        <v>36</v>
      </c>
      <c r="F177" s="50"/>
      <c r="G177" s="52"/>
      <c r="H177" s="189" t="s">
        <v>14</v>
      </c>
      <c r="I177" s="163"/>
      <c r="J177" s="163"/>
      <c r="K177" s="164"/>
      <c r="L177" s="103">
        <v>0</v>
      </c>
      <c r="M177" s="102">
        <v>0</v>
      </c>
      <c r="N177" s="102">
        <v>0</v>
      </c>
      <c r="O177" s="102">
        <f>IF(L177&gt;0,N177*100/L177,0)</f>
        <v>0</v>
      </c>
      <c r="P177" s="102">
        <f>IF(M177&gt;0,N177*100/M177,0)</f>
        <v>0</v>
      </c>
      <c r="Q177" s="102">
        <v>0</v>
      </c>
      <c r="R177" s="102">
        <v>0</v>
      </c>
      <c r="S177" s="102">
        <v>0</v>
      </c>
      <c r="T177" s="102">
        <f>IF(Q177&gt;0,S177*100/Q177,0)</f>
        <v>0</v>
      </c>
      <c r="U177" s="102">
        <f>IF(R177&gt;0,S177*100/R177,0)</f>
        <v>0</v>
      </c>
    </row>
    <row r="178" spans="1:21" ht="18.75" hidden="1">
      <c r="A178" s="155"/>
      <c r="B178" s="50"/>
      <c r="C178" s="50"/>
      <c r="D178" s="50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256">
        <f ca="1">IFERROR(__xludf.DUMMYFUNCTION("IMPORTRANGE(""https://docs.google.com/spreadsheets/d/1-uDff_7J0KD5mKrp0Vvzr7lt3OU09vwQwhkpOPPYv2Y/edit?usp=sharing"",""งบพรบ!CK40"")"),19590)</f>
        <v>19590</v>
      </c>
      <c r="M178" s="255">
        <f ca="1">IFERROR(__xludf.DUMMYFUNCTION("IMPORTRANGE(""https://docs.google.com/spreadsheets/d/1-uDff_7J0KD5mKrp0Vvzr7lt3OU09vwQwhkpOPPYv2Y/edit?usp=sharing"",""งบพรบ!CP40"")"),35630)</f>
        <v>35630</v>
      </c>
      <c r="N178" s="255">
        <f ca="1">IFERROR(__xludf.DUMMYFUNCTION("IMPORTRANGE(""https://docs.google.com/spreadsheets/d/1-uDff_7J0KD5mKrp0Vvzr7lt3OU09vwQwhkpOPPYv2Y/edit?usp=sharing"",""งบพรบ!CR40"")"),35630)</f>
        <v>35630</v>
      </c>
      <c r="O178" s="255">
        <f ca="1">IF(L178&gt;0,N178*100/L178,0)</f>
        <v>181.87850944359366</v>
      </c>
      <c r="P178" s="255">
        <f ca="1">IF(M178&gt;0,N178*100/M178,0)</f>
        <v>100</v>
      </c>
      <c r="Q178" s="255">
        <f ca="1">IFERROR(__xludf.DUMMYFUNCTION("IMPORTRANGE(""https://docs.google.com/spreadsheets/d/1ItG2mGa2ceCfYo0BwxsXqNm01IGEUdYcSSLTEv9YCik/edit?usp=sharing"",""เบิกจ่ายกองทุน!BE40"")"),0)</f>
        <v>0</v>
      </c>
      <c r="R178" s="255">
        <f ca="1">IFERROR(__xludf.DUMMYFUNCTION("IMPORTRANGE(""https://docs.google.com/spreadsheets/d/1ItG2mGa2ceCfYo0BwxsXqNm01IGEUdYcSSLTEv9YCik/edit?usp=sharing"",""เบิกจ่ายกองทุน!BF40"")"),0)</f>
        <v>0</v>
      </c>
      <c r="S178" s="255">
        <f ca="1">IFERROR(__xludf.DUMMYFUNCTION("IMPORTRANGE(""https://docs.google.com/spreadsheets/d/1ItG2mGa2ceCfYo0BwxsXqNm01IGEUdYcSSLTEv9YCik/edit?usp=sharing"",""เบิกจ่ายกองทุน!BG40"")"),0)</f>
        <v>0</v>
      </c>
      <c r="T178" s="255">
        <f ca="1">IF(Q178&gt;0,S178*100/Q178,0)</f>
        <v>0</v>
      </c>
      <c r="U178" s="255">
        <f ca="1">IF(R178&gt;0,S178*100/R178,0)</f>
        <v>0</v>
      </c>
    </row>
    <row r="179" spans="1:21" ht="18.75">
      <c r="A179" s="155"/>
      <c r="B179" s="50"/>
      <c r="C179" s="50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256">
        <f ca="1">L180+L181</f>
        <v>0</v>
      </c>
      <c r="M179" s="255">
        <f ca="1">M180+M181</f>
        <v>0</v>
      </c>
      <c r="N179" s="255">
        <f ca="1">N180+N181</f>
        <v>0</v>
      </c>
      <c r="O179" s="255">
        <f ca="1">IF(L179&gt;0,N179*100/L179,0)</f>
        <v>0</v>
      </c>
      <c r="P179" s="255">
        <f ca="1">IF(M179&gt;0,N179*100/M179,0)</f>
        <v>0</v>
      </c>
      <c r="Q179" s="255">
        <f>Q180+Q181</f>
        <v>0</v>
      </c>
      <c r="R179" s="255">
        <f>R180+R181</f>
        <v>0</v>
      </c>
      <c r="S179" s="255">
        <f>S180+S181</f>
        <v>0</v>
      </c>
      <c r="T179" s="255">
        <f>IF(Q179&gt;0,S179*100/Q179,0)</f>
        <v>0</v>
      </c>
      <c r="U179" s="255">
        <f>IF(R179&gt;0,S179*100/R179,0)</f>
        <v>0</v>
      </c>
    </row>
    <row r="180" spans="1:21" ht="18.75" hidden="1">
      <c r="A180" s="155"/>
      <c r="B180" s="50"/>
      <c r="C180" s="50"/>
      <c r="D180" s="50"/>
      <c r="E180" s="186" t="s">
        <v>20</v>
      </c>
      <c r="F180" s="50"/>
      <c r="G180" s="52"/>
      <c r="H180" s="189" t="s">
        <v>14</v>
      </c>
      <c r="I180" s="163"/>
      <c r="J180" s="163"/>
      <c r="K180" s="164"/>
      <c r="L180" s="103">
        <v>0</v>
      </c>
      <c r="M180" s="102">
        <v>0</v>
      </c>
      <c r="N180" s="102">
        <v>0</v>
      </c>
      <c r="O180" s="102">
        <f>IF(L180&gt;0,N180*100/L180,0)</f>
        <v>0</v>
      </c>
      <c r="P180" s="102">
        <f>IF(M180&gt;0,N180*100/M180,0)</f>
        <v>0</v>
      </c>
      <c r="Q180" s="102">
        <v>0</v>
      </c>
      <c r="R180" s="102">
        <v>0</v>
      </c>
      <c r="S180" s="102">
        <v>0</v>
      </c>
      <c r="T180" s="102">
        <f>IF(Q180&gt;0,S180*100/Q180,0)</f>
        <v>0</v>
      </c>
      <c r="U180" s="102">
        <f>IF(R180&gt;0,S180*100/R180,0)</f>
        <v>0</v>
      </c>
    </row>
    <row r="181" spans="1:21" ht="18.75" hidden="1">
      <c r="A181" s="155"/>
      <c r="B181" s="50"/>
      <c r="C181" s="50"/>
      <c r="D181" s="50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256">
        <f ca="1">IFERROR(__xludf.DUMMYFUNCTION("IMPORTRANGE(""https://docs.google.com/spreadsheets/d/1-uDff_7J0KD5mKrp0Vvzr7lt3OU09vwQwhkpOPPYv2Y/edit?usp=sharing"",""งบพรบ!CN40"")"),0)</f>
        <v>0</v>
      </c>
      <c r="M181" s="255">
        <f ca="1">IFERROR(__xludf.DUMMYFUNCTION("IMPORTRANGE(""https://docs.google.com/spreadsheets/d/1-uDff_7J0KD5mKrp0Vvzr7lt3OU09vwQwhkpOPPYv2Y/edit?usp=sharing"",""งบพรบ!CQ40"")"),0)</f>
        <v>0</v>
      </c>
      <c r="N181" s="255">
        <f ca="1">IFERROR(__xludf.DUMMYFUNCTION("IMPORTRANGE(""https://docs.google.com/spreadsheets/d/1-uDff_7J0KD5mKrp0Vvzr7lt3OU09vwQwhkpOPPYv2Y/edit?usp=sharing"",""งบพรบ!CS40"")"),0)</f>
        <v>0</v>
      </c>
      <c r="O181" s="255">
        <f ca="1">IF(L181&gt;0,N181*100/L181,0)</f>
        <v>0</v>
      </c>
      <c r="P181" s="255">
        <f ca="1">IF(M181&gt;0,N181*100/M181,0)</f>
        <v>0</v>
      </c>
      <c r="Q181" s="255">
        <v>0</v>
      </c>
      <c r="R181" s="255">
        <v>0</v>
      </c>
      <c r="S181" s="255">
        <v>0</v>
      </c>
      <c r="T181" s="255">
        <f>IF(Q181&gt;0,S181*100/Q181,0)</f>
        <v>0</v>
      </c>
      <c r="U181" s="255">
        <f>IF(R181&gt;0,S181*100/R181,0)</f>
        <v>0</v>
      </c>
    </row>
    <row r="182" spans="1:21" ht="19.5">
      <c r="A182" s="166"/>
      <c r="B182" s="167"/>
      <c r="C182" s="156" t="s">
        <v>18</v>
      </c>
      <c r="D182" s="566" t="s">
        <v>38</v>
      </c>
      <c r="E182" s="169"/>
      <c r="F182" s="169"/>
      <c r="G182" s="170"/>
      <c r="H182" s="206"/>
      <c r="I182" s="54"/>
      <c r="J182" s="54"/>
      <c r="K182" s="55"/>
      <c r="L182" s="62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40" t="s">
        <v>35</v>
      </c>
      <c r="I183" s="212">
        <f ca="1">IFERROR(__xludf.DUMMYFUNCTION("IMPORTRANGE(""https://docs.google.com/spreadsheets/d/1eHaY18a8A9IcSdp1K8H6x8fbOy06t2VsZHhMHf-1x7Y/edit?usp=sharing"",""แผน!AA40"")"),7)</f>
        <v>7</v>
      </c>
      <c r="J183" s="467">
        <v>7</v>
      </c>
      <c r="K183" s="255">
        <f ca="1">IF(I183&gt;0,J183*100/I183,0)</f>
        <v>100</v>
      </c>
      <c r="L183" s="62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8.75" hidden="1">
      <c r="A184" s="238"/>
      <c r="B184" s="188"/>
      <c r="C184" s="188"/>
      <c r="D184" s="358" t="s">
        <v>76</v>
      </c>
      <c r="E184" s="50"/>
      <c r="F184" s="50"/>
      <c r="G184" s="52"/>
      <c r="H184" s="590" t="s">
        <v>35</v>
      </c>
      <c r="I184" s="483">
        <v>0</v>
      </c>
      <c r="J184" s="483">
        <v>0</v>
      </c>
      <c r="K184" s="102">
        <f>IF(I184&gt;0,J184*100/I184,0)</f>
        <v>0</v>
      </c>
      <c r="L184" s="62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233" t="s">
        <v>35</v>
      </c>
      <c r="I185" s="718">
        <f ca="1">I230+I231</f>
        <v>0</v>
      </c>
      <c r="J185" s="718">
        <f>J230+J231</f>
        <v>0</v>
      </c>
      <c r="K185" s="717">
        <f ca="1">IF(I185&gt;0,J185*100/I185,0)</f>
        <v>0</v>
      </c>
      <c r="L185" s="237"/>
      <c r="M185" s="236"/>
      <c r="N185" s="236"/>
      <c r="O185" s="236"/>
      <c r="P185" s="236"/>
      <c r="Q185" s="236"/>
      <c r="R185" s="236"/>
      <c r="S185" s="236"/>
      <c r="T185" s="236"/>
      <c r="U185" s="236"/>
    </row>
    <row r="186" spans="1:21" ht="19.5">
      <c r="A186" s="155"/>
      <c r="B186" s="50"/>
      <c r="C186" s="156" t="s">
        <v>18</v>
      </c>
      <c r="D186" s="575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541">
        <f ca="1">L187+L188</f>
        <v>156500</v>
      </c>
      <c r="M186" s="540">
        <f ca="1">M187+M188</f>
        <v>131700</v>
      </c>
      <c r="N186" s="540">
        <f ca="1">N187+N188</f>
        <v>99670</v>
      </c>
      <c r="O186" s="540">
        <f ca="1">IF(L186&gt;0,N186*100/L186,0)</f>
        <v>63.686900958466452</v>
      </c>
      <c r="P186" s="540">
        <f ca="1">IF(M186&gt;0,N186*100/M186,0)</f>
        <v>75.67957479119211</v>
      </c>
      <c r="Q186" s="540">
        <f ca="1">Q187+Q188</f>
        <v>91700</v>
      </c>
      <c r="R186" s="540">
        <f ca="1">R187+R188</f>
        <v>91700</v>
      </c>
      <c r="S186" s="540">
        <f ca="1">S187+S188</f>
        <v>91700</v>
      </c>
      <c r="T186" s="540">
        <f ca="1">IF(Q186&gt;0,S186*100/Q186,0)</f>
        <v>100</v>
      </c>
      <c r="U186" s="540">
        <f ca="1">IF(R186&gt;0,S186*100/R186,0)</f>
        <v>100</v>
      </c>
    </row>
    <row r="187" spans="1:21" ht="18.75" hidden="1">
      <c r="A187" s="155"/>
      <c r="B187" s="50"/>
      <c r="C187" s="50"/>
      <c r="D187" s="50"/>
      <c r="E187" s="186" t="s">
        <v>20</v>
      </c>
      <c r="F187" s="50"/>
      <c r="G187" s="52"/>
      <c r="H187" s="187" t="s">
        <v>14</v>
      </c>
      <c r="I187" s="54"/>
      <c r="J187" s="54"/>
      <c r="K187" s="55"/>
      <c r="L187" s="103">
        <f>L190+L193</f>
        <v>0</v>
      </c>
      <c r="M187" s="102">
        <f>M190+M193</f>
        <v>0</v>
      </c>
      <c r="N187" s="102">
        <f>N190+N193</f>
        <v>0</v>
      </c>
      <c r="O187" s="102">
        <f>IF(L187&gt;0,N187*100/L187,0)</f>
        <v>0</v>
      </c>
      <c r="P187" s="102">
        <f>IF(M187&gt;0,N187*100/M187,0)</f>
        <v>0</v>
      </c>
      <c r="Q187" s="102">
        <f>Q190+Q193</f>
        <v>0</v>
      </c>
      <c r="R187" s="102">
        <f>R190+R193</f>
        <v>0</v>
      </c>
      <c r="S187" s="102">
        <f>S190+S193</f>
        <v>0</v>
      </c>
      <c r="T187" s="102">
        <f>IF(Q187&gt;0,S187*100/Q187,0)</f>
        <v>0</v>
      </c>
      <c r="U187" s="102">
        <f>IF(R187&gt;0,S187*100/R187,0)</f>
        <v>0</v>
      </c>
    </row>
    <row r="188" spans="1:21" ht="18.75" hidden="1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256">
        <f ca="1">L191+L194</f>
        <v>156500</v>
      </c>
      <c r="M188" s="255">
        <f ca="1">M191+M194</f>
        <v>131700</v>
      </c>
      <c r="N188" s="255">
        <f ca="1">N191+N194</f>
        <v>99670</v>
      </c>
      <c r="O188" s="255">
        <f ca="1">IF(L188&gt;0,N188*100/L188,0)</f>
        <v>63.686900958466452</v>
      </c>
      <c r="P188" s="255">
        <f ca="1">IF(M188&gt;0,N188*100/M188,0)</f>
        <v>75.67957479119211</v>
      </c>
      <c r="Q188" s="255">
        <f ca="1">Q191+Q194</f>
        <v>91700</v>
      </c>
      <c r="R188" s="255">
        <f ca="1">R191+R194</f>
        <v>91700</v>
      </c>
      <c r="S188" s="255">
        <f ca="1">S191+S194</f>
        <v>91700</v>
      </c>
      <c r="T188" s="255">
        <f ca="1">IF(Q188&gt;0,S188*100/Q188,0)</f>
        <v>100</v>
      </c>
      <c r="U188" s="255">
        <f ca="1">IF(R188&gt;0,S188*100/R188,0)</f>
        <v>100</v>
      </c>
    </row>
    <row r="189" spans="1:21" ht="18.75">
      <c r="A189" s="155"/>
      <c r="B189" s="50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256">
        <f ca="1">L190+L191</f>
        <v>156500</v>
      </c>
      <c r="M189" s="255">
        <f ca="1">M190+M191</f>
        <v>131700</v>
      </c>
      <c r="N189" s="255">
        <f ca="1">N190+N191</f>
        <v>99670</v>
      </c>
      <c r="O189" s="255">
        <f ca="1">IF(L189&gt;0,N189*100/L189,0)</f>
        <v>63.686900958466452</v>
      </c>
      <c r="P189" s="255">
        <f ca="1">IF(M189&gt;0,N189*100/M189,0)</f>
        <v>75.67957479119211</v>
      </c>
      <c r="Q189" s="255">
        <f ca="1">Q190+Q191</f>
        <v>91700</v>
      </c>
      <c r="R189" s="255">
        <f ca="1">R190+R191</f>
        <v>91700</v>
      </c>
      <c r="S189" s="255">
        <f ca="1">S190+S191</f>
        <v>91700</v>
      </c>
      <c r="T189" s="255">
        <f ca="1">IF(Q189&gt;0,S189*100/Q189,0)</f>
        <v>100</v>
      </c>
      <c r="U189" s="255">
        <f ca="1">IF(R189&gt;0,S189*100/R189,0)</f>
        <v>100</v>
      </c>
    </row>
    <row r="190" spans="1:21" ht="18.75" hidden="1">
      <c r="A190" s="155"/>
      <c r="B190" s="50"/>
      <c r="C190" s="50"/>
      <c r="D190" s="50"/>
      <c r="E190" s="186" t="s">
        <v>36</v>
      </c>
      <c r="F190" s="50"/>
      <c r="G190" s="52"/>
      <c r="H190" s="189" t="s">
        <v>14</v>
      </c>
      <c r="I190" s="163"/>
      <c r="J190" s="163"/>
      <c r="K190" s="164"/>
      <c r="L190" s="103">
        <v>0</v>
      </c>
      <c r="M190" s="102">
        <v>0</v>
      </c>
      <c r="N190" s="102">
        <v>0</v>
      </c>
      <c r="O190" s="102">
        <f>IF(L190&gt;0,N190*100/L190,0)</f>
        <v>0</v>
      </c>
      <c r="P190" s="102">
        <f>IF(M190&gt;0,N190*100/M190,0)</f>
        <v>0</v>
      </c>
      <c r="Q190" s="102">
        <v>0</v>
      </c>
      <c r="R190" s="102">
        <v>0</v>
      </c>
      <c r="S190" s="102">
        <v>0</v>
      </c>
      <c r="T190" s="102">
        <f>IF(Q190&gt;0,S190*100/Q190,0)</f>
        <v>0</v>
      </c>
      <c r="U190" s="102">
        <f>IF(R190&gt;0,S190*100/R190,0)</f>
        <v>0</v>
      </c>
    </row>
    <row r="191" spans="1:21" ht="18.75" hidden="1">
      <c r="A191" s="155"/>
      <c r="B191" s="50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256">
        <f ca="1">IFERROR(__xludf.DUMMYFUNCTION("IMPORTRANGE(""https://docs.google.com/spreadsheets/d/1-uDff_7J0KD5mKrp0Vvzr7lt3OU09vwQwhkpOPPYv2Y/edit?usp=sharing"",""งบพรบ!CU40"")"),156500)</f>
        <v>156500</v>
      </c>
      <c r="M191" s="255">
        <f ca="1">IFERROR(__xludf.DUMMYFUNCTION("IMPORTRANGE(""https://docs.google.com/spreadsheets/d/1-uDff_7J0KD5mKrp0Vvzr7lt3OU09vwQwhkpOPPYv2Y/edit?usp=sharing"",""งบพรบ!CZ40"")"),131700)</f>
        <v>131700</v>
      </c>
      <c r="N191" s="255">
        <f ca="1">IFERROR(__xludf.DUMMYFUNCTION("IMPORTRANGE(""https://docs.google.com/spreadsheets/d/1-uDff_7J0KD5mKrp0Vvzr7lt3OU09vwQwhkpOPPYv2Y/edit?usp=sharing"",""งบพรบ!DB40"")"),99670)</f>
        <v>99670</v>
      </c>
      <c r="O191" s="255">
        <f ca="1">IF(L191&gt;0,N191*100/L191,0)</f>
        <v>63.686900958466452</v>
      </c>
      <c r="P191" s="255">
        <f ca="1">IF(M191&gt;0,N191*100/M191,0)</f>
        <v>75.67957479119211</v>
      </c>
      <c r="Q191" s="255">
        <f ca="1">IFERROR(__xludf.DUMMYFUNCTION("IMPORTRANGE(""https://docs.google.com/spreadsheets/d/1ItG2mGa2ceCfYo0BwxsXqNm01IGEUdYcSSLTEv9YCik/edit?usp=sharing"",""เบิกจ่ายกองทุน!AV40"")"),91700)</f>
        <v>91700</v>
      </c>
      <c r="R191" s="255">
        <f ca="1">IFERROR(__xludf.DUMMYFUNCTION("IMPORTRANGE(""https://docs.google.com/spreadsheets/d/1ItG2mGa2ceCfYo0BwxsXqNm01IGEUdYcSSLTEv9YCik/edit?usp=sharing"",""เบิกจ่ายกองทุน!AW40"")"),91700)</f>
        <v>91700</v>
      </c>
      <c r="S191" s="255">
        <f ca="1">IFERROR(__xludf.DUMMYFUNCTION("IMPORTRANGE(""https://docs.google.com/spreadsheets/d/1ItG2mGa2ceCfYo0BwxsXqNm01IGEUdYcSSLTEv9YCik/edit?usp=sharing"",""เบิกจ่ายกองทุน!AX40"")"),91700)</f>
        <v>91700</v>
      </c>
      <c r="T191" s="255">
        <f ca="1">IF(Q191&gt;0,S191*100/Q191,0)</f>
        <v>100</v>
      </c>
      <c r="U191" s="255">
        <f ca="1">IF(R191&gt;0,S191*100/R191,0)</f>
        <v>100</v>
      </c>
    </row>
    <row r="192" spans="1:21" ht="18.75">
      <c r="A192" s="155"/>
      <c r="B192" s="50"/>
      <c r="C192" s="50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256">
        <f ca="1">L193+L194</f>
        <v>0</v>
      </c>
      <c r="M192" s="255">
        <f ca="1">M193+M194</f>
        <v>0</v>
      </c>
      <c r="N192" s="255">
        <f ca="1">N193+N194</f>
        <v>0</v>
      </c>
      <c r="O192" s="255">
        <f ca="1">IF(L192&gt;0,N192*100/L192,0)</f>
        <v>0</v>
      </c>
      <c r="P192" s="255">
        <f ca="1">IF(M192&gt;0,N192*100/M192,0)</f>
        <v>0</v>
      </c>
      <c r="Q192" s="255">
        <f>Q193+Q194</f>
        <v>0</v>
      </c>
      <c r="R192" s="255">
        <f>R193+R194</f>
        <v>0</v>
      </c>
      <c r="S192" s="255">
        <f>S193+S194</f>
        <v>0</v>
      </c>
      <c r="T192" s="255">
        <f>IF(Q192&gt;0,S192*100/Q192,0)</f>
        <v>0</v>
      </c>
      <c r="U192" s="255">
        <f>IF(R192&gt;0,S192*100/R192,0)</f>
        <v>0</v>
      </c>
    </row>
    <row r="193" spans="1:21" ht="18.75" hidden="1">
      <c r="A193" s="155"/>
      <c r="B193" s="50"/>
      <c r="C193" s="50"/>
      <c r="D193" s="50"/>
      <c r="E193" s="186" t="s">
        <v>20</v>
      </c>
      <c r="F193" s="50"/>
      <c r="G193" s="52"/>
      <c r="H193" s="189" t="s">
        <v>14</v>
      </c>
      <c r="I193" s="163"/>
      <c r="J193" s="163"/>
      <c r="K193" s="164"/>
      <c r="L193" s="103">
        <v>0</v>
      </c>
      <c r="M193" s="102">
        <v>0</v>
      </c>
      <c r="N193" s="102">
        <v>0</v>
      </c>
      <c r="O193" s="102">
        <f>IF(L193&gt;0,N193*100/L193,0)</f>
        <v>0</v>
      </c>
      <c r="P193" s="102">
        <f>IF(M193&gt;0,N193*100/M193,0)</f>
        <v>0</v>
      </c>
      <c r="Q193" s="102">
        <v>0</v>
      </c>
      <c r="R193" s="102">
        <v>0</v>
      </c>
      <c r="S193" s="102">
        <v>0</v>
      </c>
      <c r="T193" s="102">
        <f>IF(Q193&gt;0,S193*100/Q193,0)</f>
        <v>0</v>
      </c>
      <c r="U193" s="102">
        <f>IF(R193&gt;0,S193*100/R193,0)</f>
        <v>0</v>
      </c>
    </row>
    <row r="194" spans="1:21" ht="18.75" hidden="1">
      <c r="A194" s="155"/>
      <c r="B194" s="50"/>
      <c r="C194" s="50"/>
      <c r="D194" s="50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256">
        <f ca="1">IFERROR(__xludf.DUMMYFUNCTION("IMPORTRANGE(""https://docs.google.com/spreadsheets/d/1-uDff_7J0KD5mKrp0Vvzr7lt3OU09vwQwhkpOPPYv2Y/edit?usp=sharing"",""งบพรบ!CX40"")"),0)</f>
        <v>0</v>
      </c>
      <c r="M194" s="255">
        <f ca="1">IFERROR(__xludf.DUMMYFUNCTION("IMPORTRANGE(""https://docs.google.com/spreadsheets/d/1-uDff_7J0KD5mKrp0Vvzr7lt3OU09vwQwhkpOPPYv2Y/edit?usp=sharing"",""งบพรบ!DA40"")"),0)</f>
        <v>0</v>
      </c>
      <c r="N194" s="255">
        <f ca="1">IFERROR(__xludf.DUMMYFUNCTION("IMPORTRANGE(""https://docs.google.com/spreadsheets/d/1-uDff_7J0KD5mKrp0Vvzr7lt3OU09vwQwhkpOPPYv2Y/edit?usp=sharing"",""งบพรบ!DC40"")"),0)</f>
        <v>0</v>
      </c>
      <c r="O194" s="255">
        <f ca="1">IF(L194&gt;0,N194*100/L194,0)</f>
        <v>0</v>
      </c>
      <c r="P194" s="255">
        <f ca="1">IF(M194&gt;0,N194*100/M194,0)</f>
        <v>0</v>
      </c>
      <c r="Q194" s="255">
        <v>0</v>
      </c>
      <c r="R194" s="255">
        <v>0</v>
      </c>
      <c r="S194" s="255">
        <v>0</v>
      </c>
      <c r="T194" s="255">
        <f>IF(Q194&gt;0,S194*100/Q194,0)</f>
        <v>0</v>
      </c>
      <c r="U194" s="255">
        <f>IF(R194&gt;0,S194*100/R194,0)</f>
        <v>0</v>
      </c>
    </row>
    <row r="195" spans="1:21" ht="19.5">
      <c r="A195" s="241"/>
      <c r="B195" s="242"/>
      <c r="C195" s="243" t="s">
        <v>78</v>
      </c>
      <c r="D195" s="244"/>
      <c r="E195" s="244"/>
      <c r="F195" s="244"/>
      <c r="G195" s="245"/>
      <c r="H195" s="246" t="s">
        <v>79</v>
      </c>
      <c r="I195" s="339">
        <f ca="1">I198</f>
        <v>4</v>
      </c>
      <c r="J195" s="339">
        <f>J198</f>
        <v>2</v>
      </c>
      <c r="K195" s="340">
        <f ca="1">IF(I195&gt;0,J195*100/I195,0)</f>
        <v>50</v>
      </c>
      <c r="L195" s="250"/>
      <c r="M195" s="249"/>
      <c r="N195" s="249"/>
      <c r="O195" s="249"/>
      <c r="P195" s="249"/>
      <c r="Q195" s="249"/>
      <c r="R195" s="249"/>
      <c r="S195" s="249"/>
      <c r="T195" s="249"/>
      <c r="U195" s="249"/>
    </row>
    <row r="196" spans="1:21" ht="19.5">
      <c r="A196" s="155"/>
      <c r="B196" s="50"/>
      <c r="C196" s="156" t="s">
        <v>18</v>
      </c>
      <c r="D196" s="713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541">
        <f ca="1">IFERROR(__xludf.DUMMYFUNCTION("IMPORTRANGE(""https://docs.google.com/spreadsheets/d/1eHaY18a8A9IcSdp1K8H6x8fbOy06t2VsZHhMHf-1x7Y/edit?usp=sharing"",""แผน!AB40"")"),6000)</f>
        <v>6000</v>
      </c>
      <c r="M196" s="55"/>
      <c r="N196" s="716">
        <v>6000</v>
      </c>
      <c r="O196" s="540">
        <f ca="1">IF(L196&gt;0,N196*100/L196,0)</f>
        <v>100</v>
      </c>
      <c r="P196" s="540">
        <f>IF(M196&gt;0,N196*100/M196,0)</f>
        <v>0</v>
      </c>
      <c r="Q196" s="55"/>
      <c r="R196" s="55"/>
      <c r="S196" s="55"/>
      <c r="T196" s="55"/>
      <c r="U196" s="55"/>
    </row>
    <row r="197" spans="1:21" ht="19.5">
      <c r="A197" s="166"/>
      <c r="B197" s="167"/>
      <c r="C197" s="156" t="s">
        <v>18</v>
      </c>
      <c r="D197" s="566" t="s">
        <v>38</v>
      </c>
      <c r="E197" s="169"/>
      <c r="F197" s="169"/>
      <c r="G197" s="170"/>
      <c r="H197" s="171"/>
      <c r="I197" s="54"/>
      <c r="J197" s="54"/>
      <c r="K197" s="55"/>
      <c r="L197" s="62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8.75">
      <c r="A198" s="166"/>
      <c r="B198" s="167"/>
      <c r="C198" s="167"/>
      <c r="D198" s="178" t="s">
        <v>80</v>
      </c>
      <c r="E198" s="174"/>
      <c r="F198" s="174"/>
      <c r="G198" s="171"/>
      <c r="H198" s="179" t="s">
        <v>79</v>
      </c>
      <c r="I198" s="212">
        <f ca="1">IFERROR(__xludf.DUMMYFUNCTION("IMPORTRANGE(""https://docs.google.com/spreadsheets/d/1eHaY18a8A9IcSdp1K8H6x8fbOy06t2VsZHhMHf-1x7Y/edit?usp=sharing"",""แผน!AE40"")"),4)</f>
        <v>4</v>
      </c>
      <c r="J198" s="467">
        <v>2</v>
      </c>
      <c r="K198" s="255">
        <f ca="1">IF(I198&gt;0,J198*100/I198,0)</f>
        <v>50</v>
      </c>
      <c r="L198" s="62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8.75">
      <c r="A199" s="166"/>
      <c r="B199" s="167"/>
      <c r="C199" s="167"/>
      <c r="D199" s="178" t="s">
        <v>81</v>
      </c>
      <c r="E199" s="174"/>
      <c r="F199" s="174"/>
      <c r="G199" s="171"/>
      <c r="H199" s="240" t="s">
        <v>35</v>
      </c>
      <c r="I199" s="54"/>
      <c r="J199" s="212">
        <f>J200+J201</f>
        <v>0</v>
      </c>
      <c r="K199" s="55"/>
      <c r="L199" s="62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467">
        <v>0</v>
      </c>
      <c r="K200" s="55"/>
      <c r="L200" s="62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40" t="s">
        <v>35</v>
      </c>
      <c r="I201" s="54"/>
      <c r="J201" s="467">
        <v>0</v>
      </c>
      <c r="K201" s="55"/>
      <c r="L201" s="62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254" t="s">
        <v>85</v>
      </c>
      <c r="I202" s="339">
        <f ca="1">I209</f>
        <v>3</v>
      </c>
      <c r="J202" s="339">
        <f>J209</f>
        <v>3</v>
      </c>
      <c r="K202" s="340">
        <f ca="1">IF(I202&gt;0,J202*100/I202,0)</f>
        <v>100</v>
      </c>
      <c r="L202" s="250"/>
      <c r="M202" s="249"/>
      <c r="N202" s="249"/>
      <c r="O202" s="249"/>
      <c r="P202" s="249"/>
      <c r="Q202" s="249"/>
      <c r="R202" s="249"/>
      <c r="S202" s="249"/>
      <c r="T202" s="249"/>
      <c r="U202" s="249"/>
    </row>
    <row r="203" spans="1:21" ht="19.5">
      <c r="A203" s="155"/>
      <c r="B203" s="50"/>
      <c r="C203" s="156" t="s">
        <v>18</v>
      </c>
      <c r="D203" s="713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541">
        <f ca="1">L204+L205+L206+L207</f>
        <v>15000</v>
      </c>
      <c r="M203" s="55"/>
      <c r="N203" s="540">
        <f>N204+N205+N206+N207</f>
        <v>15000</v>
      </c>
      <c r="O203" s="540">
        <f ca="1">IF(L203&gt;0,N203*100/L203,0)</f>
        <v>100</v>
      </c>
      <c r="P203" s="540">
        <f>IF(M203&gt;0,N203*100/M203,0)</f>
        <v>0</v>
      </c>
      <c r="Q203" s="715">
        <f ca="1">Q204+Q205+Q206+Q207</f>
        <v>42000</v>
      </c>
      <c r="R203" s="350"/>
      <c r="S203" s="714">
        <f>S204+S205+S206+S207</f>
        <v>0</v>
      </c>
      <c r="T203" s="714">
        <f ca="1">IF(Q203&gt;0,S203*100/Q203,0)</f>
        <v>0</v>
      </c>
      <c r="U203" s="714">
        <f>IF(R203&gt;0,S203*100/R203,0)</f>
        <v>0</v>
      </c>
    </row>
    <row r="204" spans="1:21" ht="18.75">
      <c r="A204" s="155"/>
      <c r="B204" s="188"/>
      <c r="C204" s="50"/>
      <c r="D204" s="712" t="s">
        <v>310</v>
      </c>
      <c r="E204" s="50"/>
      <c r="F204" s="50"/>
      <c r="G204" s="52"/>
      <c r="H204" s="162" t="s">
        <v>14</v>
      </c>
      <c r="I204" s="163"/>
      <c r="J204" s="163"/>
      <c r="K204" s="164"/>
      <c r="L204" s="256">
        <f ca="1">IFERROR(__xludf.DUMMYFUNCTION("IMPORTRANGE(""https://docs.google.com/spreadsheets/d/1eHaY18a8A9IcSdp1K8H6x8fbOy06t2VsZHhMHf-1x7Y/edit?usp=sharing"",""แผน!AG40"")"),3000)</f>
        <v>3000</v>
      </c>
      <c r="M204" s="55"/>
      <c r="N204" s="702">
        <v>3000</v>
      </c>
      <c r="O204" s="164"/>
      <c r="P204" s="55"/>
      <c r="Q204" s="256">
        <v>0</v>
      </c>
      <c r="R204" s="55"/>
      <c r="S204" s="255">
        <v>0</v>
      </c>
      <c r="T204" s="164"/>
      <c r="U204" s="55"/>
    </row>
    <row r="205" spans="1:21" ht="18.75">
      <c r="A205" s="238"/>
      <c r="B205" s="188"/>
      <c r="C205" s="50"/>
      <c r="D205" s="58" t="s">
        <v>308</v>
      </c>
      <c r="E205" s="50"/>
      <c r="F205" s="50"/>
      <c r="G205" s="52"/>
      <c r="H205" s="53" t="s">
        <v>14</v>
      </c>
      <c r="I205" s="54"/>
      <c r="J205" s="54"/>
      <c r="K205" s="55"/>
      <c r="L205" s="256">
        <f ca="1">IFERROR(__xludf.DUMMYFUNCTION("IMPORTRANGE(""https://docs.google.com/spreadsheets/d/1eHaY18a8A9IcSdp1K8H6x8fbOy06t2VsZHhMHf-1x7Y/edit?usp=sharing"",""แผน!AH40"")"),0)</f>
        <v>0</v>
      </c>
      <c r="M205" s="55"/>
      <c r="N205" s="702">
        <v>0</v>
      </c>
      <c r="O205" s="164"/>
      <c r="P205" s="55"/>
      <c r="Q205" s="256">
        <v>0</v>
      </c>
      <c r="R205" s="55"/>
      <c r="S205" s="255">
        <v>0</v>
      </c>
      <c r="T205" s="164"/>
      <c r="U205" s="55"/>
    </row>
    <row r="206" spans="1:21" ht="18.75">
      <c r="A206" s="238"/>
      <c r="B206" s="188"/>
      <c r="C206" s="50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256">
        <f ca="1">IFERROR(__xludf.DUMMYFUNCTION("IMPORTRANGE(""https://docs.google.com/spreadsheets/d/1eHaY18a8A9IcSdp1K8H6x8fbOy06t2VsZHhMHf-1x7Y/edit?usp=sharing"",""แผน!AI40"")"),0)</f>
        <v>0</v>
      </c>
      <c r="M206" s="55"/>
      <c r="N206" s="702">
        <v>0</v>
      </c>
      <c r="O206" s="164"/>
      <c r="P206" s="55"/>
      <c r="Q206" s="256">
        <f ca="1">IFERROR(__xludf.DUMMYFUNCTION("IMPORTRANGE(""https://docs.google.com/spreadsheets/d/1eHaY18a8A9IcSdp1K8H6x8fbOy06t2VsZHhMHf-1x7Y/edit?usp=sharing"",""แผน!LV40"")"),42000)</f>
        <v>42000</v>
      </c>
      <c r="R206" s="55"/>
      <c r="S206" s="702">
        <v>0</v>
      </c>
      <c r="T206" s="164"/>
      <c r="U206" s="55"/>
    </row>
    <row r="207" spans="1:21" ht="18.75">
      <c r="A207" s="238"/>
      <c r="B207" s="188"/>
      <c r="C207" s="50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256">
        <f ca="1">IFERROR(__xludf.DUMMYFUNCTION("IMPORTRANGE(""https://docs.google.com/spreadsheets/d/1eHaY18a8A9IcSdp1K8H6x8fbOy06t2VsZHhMHf-1x7Y/edit?usp=sharing"",""แผน!AJ40"")"),12000)</f>
        <v>12000</v>
      </c>
      <c r="M207" s="55"/>
      <c r="N207" s="702">
        <v>12000</v>
      </c>
      <c r="O207" s="164"/>
      <c r="P207" s="55"/>
      <c r="Q207" s="256">
        <v>0</v>
      </c>
      <c r="R207" s="55"/>
      <c r="S207" s="255">
        <v>0</v>
      </c>
      <c r="T207" s="164"/>
      <c r="U207" s="55"/>
    </row>
    <row r="208" spans="1:21" ht="19.5">
      <c r="A208" s="166"/>
      <c r="B208" s="167"/>
      <c r="C208" s="156" t="s">
        <v>18</v>
      </c>
      <c r="D208" s="566" t="s">
        <v>38</v>
      </c>
      <c r="E208" s="169"/>
      <c r="F208" s="169"/>
      <c r="G208" s="170"/>
      <c r="H208" s="171"/>
      <c r="I208" s="163"/>
      <c r="J208" s="163"/>
      <c r="K208" s="164"/>
      <c r="L208" s="172"/>
      <c r="M208" s="164"/>
      <c r="N208" s="164"/>
      <c r="O208" s="164"/>
      <c r="P208" s="164"/>
      <c r="Q208" s="172"/>
      <c r="R208" s="164"/>
      <c r="S208" s="164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257" t="s">
        <v>85</v>
      </c>
      <c r="I209" s="212">
        <f ca="1">IFERROR(__xludf.DUMMYFUNCTION("IMPORTRANGE(""https://docs.google.com/spreadsheets/d/1eHaY18a8A9IcSdp1K8H6x8fbOy06t2VsZHhMHf-1x7Y/edit?usp=sharing"",""แผน!AK40"")"),3)</f>
        <v>3</v>
      </c>
      <c r="J209" s="467">
        <v>3</v>
      </c>
      <c r="K209" s="565">
        <f ca="1">IF(I209&gt;0,J209*100/I209,0)</f>
        <v>100</v>
      </c>
      <c r="L209" s="62"/>
      <c r="M209" s="55"/>
      <c r="N209" s="55"/>
      <c r="O209" s="55"/>
      <c r="P209" s="55"/>
      <c r="Q209" s="62"/>
      <c r="R209" s="55"/>
      <c r="S209" s="55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171"/>
      <c r="I210" s="54"/>
      <c r="J210" s="54"/>
      <c r="K210" s="164"/>
      <c r="L210" s="62"/>
      <c r="M210" s="55"/>
      <c r="N210" s="55"/>
      <c r="O210" s="55"/>
      <c r="P210" s="55"/>
      <c r="Q210" s="62"/>
      <c r="R210" s="55"/>
      <c r="S210" s="55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257" t="s">
        <v>85</v>
      </c>
      <c r="I211" s="212">
        <f ca="1">IFERROR(__xludf.DUMMYFUNCTION("IMPORTRANGE(""https://docs.google.com/spreadsheets/d/1eHaY18a8A9IcSdp1K8H6x8fbOy06t2VsZHhMHf-1x7Y/edit?usp=sharing"",""แผน!JX40"")"),3)</f>
        <v>3</v>
      </c>
      <c r="J211" s="467">
        <v>3</v>
      </c>
      <c r="K211" s="565">
        <f ca="1">IF(I211&gt;0,J211*100/I211,0)</f>
        <v>100</v>
      </c>
      <c r="L211" s="62"/>
      <c r="M211" s="55"/>
      <c r="N211" s="55"/>
      <c r="O211" s="55"/>
      <c r="P211" s="55"/>
      <c r="Q211" s="62"/>
      <c r="R211" s="55"/>
      <c r="S211" s="55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79" t="s">
        <v>93</v>
      </c>
      <c r="I212" s="212">
        <f ca="1">IFERROR(__xludf.DUMMYFUNCTION("IMPORTRANGE(""https://docs.google.com/spreadsheets/d/1eHaY18a8A9IcSdp1K8H6x8fbOy06t2VsZHhMHf-1x7Y/edit?usp=sharing"",""แผน!JY40"")"),0)</f>
        <v>0</v>
      </c>
      <c r="J212" s="467">
        <v>0</v>
      </c>
      <c r="K212" s="565">
        <f ca="1">IF(I212&gt;0,J212*100/I212,0)</f>
        <v>0</v>
      </c>
      <c r="L212" s="62"/>
      <c r="M212" s="55"/>
      <c r="N212" s="55"/>
      <c r="O212" s="55"/>
      <c r="P212" s="55"/>
      <c r="Q212" s="62"/>
      <c r="R212" s="55"/>
      <c r="S212" s="55"/>
      <c r="T212" s="55"/>
      <c r="U212" s="55"/>
    </row>
    <row r="213" spans="1:21" ht="19.5">
      <c r="A213" s="241"/>
      <c r="B213" s="242"/>
      <c r="C213" s="243" t="s">
        <v>94</v>
      </c>
      <c r="D213" s="244"/>
      <c r="E213" s="244"/>
      <c r="F213" s="244"/>
      <c r="G213" s="245"/>
      <c r="H213" s="254" t="s">
        <v>85</v>
      </c>
      <c r="I213" s="339">
        <f ca="1">I220</f>
        <v>1</v>
      </c>
      <c r="J213" s="339">
        <f>J220</f>
        <v>1</v>
      </c>
      <c r="K213" s="340">
        <f ca="1">IF(I213&gt;0,J213*100/I213,0)</f>
        <v>100</v>
      </c>
      <c r="L213" s="250"/>
      <c r="M213" s="249"/>
      <c r="N213" s="249"/>
      <c r="O213" s="249"/>
      <c r="P213" s="249"/>
      <c r="Q213" s="250"/>
      <c r="R213" s="249"/>
      <c r="S213" s="249"/>
      <c r="T213" s="249"/>
      <c r="U213" s="249"/>
    </row>
    <row r="214" spans="1:21" ht="19.5">
      <c r="A214" s="155"/>
      <c r="B214" s="50"/>
      <c r="C214" s="156" t="s">
        <v>18</v>
      </c>
      <c r="D214" s="713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541">
        <f ca="1">L215+L216+L217</f>
        <v>6000</v>
      </c>
      <c r="M214" s="55"/>
      <c r="N214" s="540">
        <f>N215+N216+N217</f>
        <v>6000</v>
      </c>
      <c r="O214" s="540">
        <f ca="1">IF(L214&gt;0,N214*100/L214,0)</f>
        <v>100</v>
      </c>
      <c r="P214" s="540">
        <f>IF(M214&gt;0,N214*100/M214,0)</f>
        <v>0</v>
      </c>
      <c r="Q214" s="541">
        <f ca="1">Q215+Q216+Q217</f>
        <v>49700</v>
      </c>
      <c r="R214" s="55"/>
      <c r="S214" s="540">
        <f>S215+S216+S217</f>
        <v>0</v>
      </c>
      <c r="T214" s="540">
        <f ca="1">IF(Q214&gt;0,S214*100/Q214,0)</f>
        <v>0</v>
      </c>
      <c r="U214" s="540">
        <f>IF(R214&gt;0,S214*100/R214,0)</f>
        <v>0</v>
      </c>
    </row>
    <row r="215" spans="1:21" ht="18.75">
      <c r="A215" s="155"/>
      <c r="B215" s="188"/>
      <c r="C215" s="50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256">
        <f ca="1">IFERROR(__xludf.DUMMYFUNCTION("IMPORTRANGE(""https://docs.google.com/spreadsheets/d/1eHaY18a8A9IcSdp1K8H6x8fbOy06t2VsZHhMHf-1x7Y/edit?usp=sharing"",""แผน!AM40"")"),1000)</f>
        <v>1000</v>
      </c>
      <c r="M215" s="55"/>
      <c r="N215" s="702">
        <v>1000</v>
      </c>
      <c r="O215" s="164"/>
      <c r="P215" s="55"/>
      <c r="Q215" s="256">
        <v>0</v>
      </c>
      <c r="R215" s="55"/>
      <c r="S215" s="255">
        <v>0</v>
      </c>
      <c r="T215" s="164"/>
      <c r="U215" s="55"/>
    </row>
    <row r="216" spans="1:21" ht="18.75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256">
        <f ca="1">IFERROR(__xludf.DUMMYFUNCTION("IMPORTRANGE(""https://docs.google.com/spreadsheets/d/1eHaY18a8A9IcSdp1K8H6x8fbOy06t2VsZHhMHf-1x7Y/edit?usp=sharing"",""แผน!AN40"")"),5000)</f>
        <v>5000</v>
      </c>
      <c r="M216" s="55"/>
      <c r="N216" s="702">
        <v>5000</v>
      </c>
      <c r="O216" s="164"/>
      <c r="P216" s="55"/>
      <c r="Q216" s="256">
        <v>0</v>
      </c>
      <c r="R216" s="55"/>
      <c r="S216" s="255">
        <v>0</v>
      </c>
      <c r="T216" s="164"/>
      <c r="U216" s="55"/>
    </row>
    <row r="217" spans="1:21" ht="18.75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256">
        <f ca="1">IFERROR(__xludf.DUMMYFUNCTION("IMPORTRANGE(""https://docs.google.com/spreadsheets/d/1eHaY18a8A9IcSdp1K8H6x8fbOy06t2VsZHhMHf-1x7Y/edit?usp=sharing"",""แผน!AO40"")"),0)</f>
        <v>0</v>
      </c>
      <c r="M217" s="55"/>
      <c r="N217" s="702">
        <v>0</v>
      </c>
      <c r="O217" s="164"/>
      <c r="P217" s="55"/>
      <c r="Q217" s="256">
        <f ca="1">IFERROR(__xludf.DUMMYFUNCTION("IMPORTRANGE(""https://docs.google.com/spreadsheets/d/1eHaY18a8A9IcSdp1K8H6x8fbOy06t2VsZHhMHf-1x7Y/edit?usp=sharing"",""แผน!LY40"")"),49700)</f>
        <v>49700</v>
      </c>
      <c r="R217" s="55"/>
      <c r="S217" s="702">
        <v>0</v>
      </c>
      <c r="T217" s="164"/>
      <c r="U217" s="55"/>
    </row>
    <row r="218" spans="1:21" ht="19.5">
      <c r="A218" s="166"/>
      <c r="B218" s="167"/>
      <c r="C218" s="191" t="s">
        <v>18</v>
      </c>
      <c r="D218" s="566" t="s">
        <v>38</v>
      </c>
      <c r="E218" s="169"/>
      <c r="F218" s="169"/>
      <c r="G218" s="170"/>
      <c r="H218" s="171"/>
      <c r="I218" s="163"/>
      <c r="J218" s="54"/>
      <c r="K218" s="55"/>
      <c r="L218" s="62"/>
      <c r="M218" s="55"/>
      <c r="N218" s="55"/>
      <c r="O218" s="164"/>
      <c r="P218" s="164"/>
      <c r="Q218" s="62"/>
      <c r="R218" s="55"/>
      <c r="S218" s="55"/>
      <c r="T218" s="164"/>
      <c r="U218" s="164"/>
    </row>
    <row r="219" spans="1:21" ht="18.75">
      <c r="A219" s="166"/>
      <c r="B219" s="167"/>
      <c r="C219" s="167"/>
      <c r="D219" s="173" t="s">
        <v>96</v>
      </c>
      <c r="E219" s="174"/>
      <c r="F219" s="174"/>
      <c r="G219" s="171"/>
      <c r="H219" s="257" t="s">
        <v>85</v>
      </c>
      <c r="I219" s="212">
        <f ca="1">IFERROR(__xludf.DUMMYFUNCTION("IMPORTRANGE(""https://docs.google.com/spreadsheets/d/1eHaY18a8A9IcSdp1K8H6x8fbOy06t2VsZHhMHf-1x7Y/edit?usp=sharing"",""แผน!AP40"")"),1)</f>
        <v>1</v>
      </c>
      <c r="J219" s="467">
        <v>1</v>
      </c>
      <c r="K219" s="255">
        <f ca="1">IF(I219&gt;0,J219*100/I219,0)</f>
        <v>100</v>
      </c>
      <c r="L219" s="62"/>
      <c r="M219" s="55"/>
      <c r="N219" s="55"/>
      <c r="O219" s="55"/>
      <c r="P219" s="55"/>
      <c r="Q219" s="62"/>
      <c r="R219" s="55"/>
      <c r="S219" s="55"/>
      <c r="T219" s="55"/>
      <c r="U219" s="55"/>
    </row>
    <row r="220" spans="1:21" ht="18.75">
      <c r="A220" s="166"/>
      <c r="B220" s="167"/>
      <c r="C220" s="167"/>
      <c r="D220" s="173" t="s">
        <v>97</v>
      </c>
      <c r="E220" s="174"/>
      <c r="F220" s="174"/>
      <c r="G220" s="171"/>
      <c r="H220" s="257" t="s">
        <v>85</v>
      </c>
      <c r="I220" s="212">
        <f ca="1">IFERROR(__xludf.DUMMYFUNCTION("IMPORTRANGE(""https://docs.google.com/spreadsheets/d/1eHaY18a8A9IcSdp1K8H6x8fbOy06t2VsZHhMHf-1x7Y/edit?usp=sharing"",""แผน!AP40"")"),1)</f>
        <v>1</v>
      </c>
      <c r="J220" s="467">
        <v>1</v>
      </c>
      <c r="K220" s="255">
        <f ca="1">IF(I220&gt;0,J220*100/I220,0)</f>
        <v>100</v>
      </c>
      <c r="L220" s="62"/>
      <c r="M220" s="55"/>
      <c r="N220" s="55"/>
      <c r="O220" s="55"/>
      <c r="P220" s="55"/>
      <c r="Q220" s="62"/>
      <c r="R220" s="55"/>
      <c r="S220" s="55"/>
      <c r="T220" s="55"/>
      <c r="U220" s="55"/>
    </row>
    <row r="221" spans="1:21" ht="19.5">
      <c r="A221" s="241"/>
      <c r="B221" s="242"/>
      <c r="C221" s="243" t="s">
        <v>98</v>
      </c>
      <c r="D221" s="244"/>
      <c r="E221" s="244"/>
      <c r="F221" s="244"/>
      <c r="G221" s="245"/>
      <c r="H221" s="246" t="s">
        <v>99</v>
      </c>
      <c r="I221" s="339">
        <f ca="1">I229</f>
        <v>45000</v>
      </c>
      <c r="J221" s="339">
        <f>J229</f>
        <v>0</v>
      </c>
      <c r="K221" s="340">
        <f ca="1">IF(I221&gt;0,J221*100/I221,0)</f>
        <v>0</v>
      </c>
      <c r="L221" s="250"/>
      <c r="M221" s="249"/>
      <c r="N221" s="249"/>
      <c r="O221" s="249"/>
      <c r="P221" s="249"/>
      <c r="Q221" s="249"/>
      <c r="R221" s="249"/>
      <c r="S221" s="249"/>
      <c r="T221" s="249"/>
      <c r="U221" s="249"/>
    </row>
    <row r="222" spans="1:21" ht="19.5">
      <c r="A222" s="155"/>
      <c r="B222" s="50"/>
      <c r="C222" s="156" t="s">
        <v>18</v>
      </c>
      <c r="D222" s="713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541">
        <f ca="1">L223+L224+L225</f>
        <v>6500</v>
      </c>
      <c r="M222" s="55"/>
      <c r="N222" s="540">
        <f>N223+N224+N225</f>
        <v>1070</v>
      </c>
      <c r="O222" s="540">
        <f ca="1">IF(L222&gt;0,N222*100/L222,0)</f>
        <v>16.46153846153846</v>
      </c>
      <c r="P222" s="540">
        <f>IF(M222&gt;0,N222*100/M222,0)</f>
        <v>0</v>
      </c>
      <c r="Q222" s="55"/>
      <c r="R222" s="55"/>
      <c r="S222" s="55"/>
      <c r="T222" s="55"/>
      <c r="U222" s="55"/>
    </row>
    <row r="223" spans="1:21" ht="18.75">
      <c r="A223" s="155"/>
      <c r="B223" s="188"/>
      <c r="C223" s="50"/>
      <c r="D223" s="712" t="s">
        <v>309</v>
      </c>
      <c r="E223" s="50"/>
      <c r="F223" s="50"/>
      <c r="G223" s="52"/>
      <c r="H223" s="162" t="s">
        <v>14</v>
      </c>
      <c r="I223" s="163"/>
      <c r="J223" s="163"/>
      <c r="K223" s="164"/>
      <c r="L223" s="256">
        <f ca="1">IFERROR(__xludf.DUMMYFUNCTION("IMPORTRANGE(""https://docs.google.com/spreadsheets/d/1eHaY18a8A9IcSdp1K8H6x8fbOy06t2VsZHhMHf-1x7Y/edit?usp=sharing"",""แผน!AR40"")"),2500)</f>
        <v>2500</v>
      </c>
      <c r="M223" s="55"/>
      <c r="N223" s="702">
        <v>0</v>
      </c>
      <c r="O223" s="164"/>
      <c r="P223" s="55"/>
      <c r="Q223" s="55"/>
      <c r="R223" s="55"/>
      <c r="S223" s="55"/>
      <c r="T223" s="164"/>
      <c r="U223" s="55"/>
    </row>
    <row r="224" spans="1:21" ht="18.75">
      <c r="A224" s="238"/>
      <c r="B224" s="188"/>
      <c r="C224" s="188"/>
      <c r="D224" s="58" t="s">
        <v>308</v>
      </c>
      <c r="E224" s="50"/>
      <c r="F224" s="50"/>
      <c r="G224" s="52"/>
      <c r="H224" s="162" t="s">
        <v>14</v>
      </c>
      <c r="I224" s="54"/>
      <c r="J224" s="54"/>
      <c r="K224" s="55"/>
      <c r="L224" s="256">
        <f ca="1">IFERROR(__xludf.DUMMYFUNCTION("IMPORTRANGE(""https://docs.google.com/spreadsheets/d/1eHaY18a8A9IcSdp1K8H6x8fbOy06t2VsZHhMHf-1x7Y/edit?usp=sharing"",""แผน!AS40"")"),4000)</f>
        <v>4000</v>
      </c>
      <c r="M224" s="55"/>
      <c r="N224" s="702">
        <v>1070</v>
      </c>
      <c r="O224" s="164"/>
      <c r="P224" s="55"/>
      <c r="Q224" s="55"/>
      <c r="R224" s="55"/>
      <c r="S224" s="55"/>
      <c r="T224" s="164"/>
      <c r="U224" s="55"/>
    </row>
    <row r="225" spans="1:21" ht="18.75">
      <c r="A225" s="238"/>
      <c r="B225" s="188"/>
      <c r="C225" s="188"/>
      <c r="D225" s="58" t="s">
        <v>88</v>
      </c>
      <c r="E225" s="50"/>
      <c r="F225" s="50"/>
      <c r="G225" s="52"/>
      <c r="H225" s="162" t="s">
        <v>14</v>
      </c>
      <c r="I225" s="54"/>
      <c r="J225" s="54"/>
      <c r="K225" s="55"/>
      <c r="L225" s="256">
        <f ca="1">IFERROR(__xludf.DUMMYFUNCTION("IMPORTRANGE(""https://docs.google.com/spreadsheets/d/1eHaY18a8A9IcSdp1K8H6x8fbOy06t2VsZHhMHf-1x7Y/edit?usp=sharing"",""แผน!AT40"")"),0)</f>
        <v>0</v>
      </c>
      <c r="M225" s="55"/>
      <c r="N225" s="702">
        <v>0</v>
      </c>
      <c r="O225" s="164"/>
      <c r="P225" s="55"/>
      <c r="Q225" s="55"/>
      <c r="R225" s="55"/>
      <c r="S225" s="55"/>
      <c r="T225" s="164"/>
      <c r="U225" s="55"/>
    </row>
    <row r="226" spans="1:21" ht="19.5">
      <c r="A226" s="166"/>
      <c r="B226" s="167"/>
      <c r="C226" s="191" t="s">
        <v>18</v>
      </c>
      <c r="D226" s="566" t="s">
        <v>38</v>
      </c>
      <c r="E226" s="169"/>
      <c r="F226" s="169"/>
      <c r="G226" s="170"/>
      <c r="H226" s="171"/>
      <c r="I226" s="163"/>
      <c r="J226" s="163"/>
      <c r="K226" s="164"/>
      <c r="L226" s="172"/>
      <c r="M226" s="164"/>
      <c r="N226" s="164"/>
      <c r="O226" s="164"/>
      <c r="P226" s="164"/>
      <c r="Q226" s="164"/>
      <c r="R226" s="164"/>
      <c r="S226" s="164"/>
      <c r="T226" s="164"/>
      <c r="U226" s="164"/>
    </row>
    <row r="227" spans="1:21" ht="18.75">
      <c r="A227" s="166"/>
      <c r="B227" s="167"/>
      <c r="C227" s="167"/>
      <c r="D227" s="58" t="s">
        <v>101</v>
      </c>
      <c r="E227" s="174"/>
      <c r="F227" s="174"/>
      <c r="G227" s="171"/>
      <c r="H227" s="171"/>
      <c r="I227" s="54"/>
      <c r="J227" s="54"/>
      <c r="K227" s="164"/>
      <c r="L227" s="172"/>
      <c r="M227" s="164"/>
      <c r="N227" s="164"/>
      <c r="O227" s="164"/>
      <c r="P227" s="164"/>
      <c r="Q227" s="164"/>
      <c r="R227" s="164"/>
      <c r="S227" s="164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79" t="s">
        <v>99</v>
      </c>
      <c r="I228" s="212">
        <f ca="1">IFERROR(__xludf.DUMMYFUNCTION("IMPORTRANGE(""https://docs.google.com/spreadsheets/d/1eHaY18a8A9IcSdp1K8H6x8fbOy06t2VsZHhMHf-1x7Y/edit?usp=sharing"",""แผน!AV40"")"),45000)</f>
        <v>45000</v>
      </c>
      <c r="J228" s="467">
        <v>45000</v>
      </c>
      <c r="K228" s="565">
        <f ca="1">IF(I228&gt;0,J228*100/I228,0)</f>
        <v>100</v>
      </c>
      <c r="L228" s="172"/>
      <c r="M228" s="164"/>
      <c r="N228" s="164"/>
      <c r="O228" s="164"/>
      <c r="P228" s="164"/>
      <c r="Q228" s="164"/>
      <c r="R228" s="164"/>
      <c r="S228" s="164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79" t="s">
        <v>99</v>
      </c>
      <c r="I229" s="212">
        <f ca="1">IFERROR(__xludf.DUMMYFUNCTION("IMPORTRANGE(""https://docs.google.com/spreadsheets/d/1eHaY18a8A9IcSdp1K8H6x8fbOy06t2VsZHhMHf-1x7Y/edit?usp=sharing"",""แผน!AV40"")"),45000)</f>
        <v>45000</v>
      </c>
      <c r="J229" s="467">
        <v>0</v>
      </c>
      <c r="K229" s="565">
        <f ca="1">IF(I229&gt;0,J229*100/I229,0)</f>
        <v>0</v>
      </c>
      <c r="L229" s="62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79" t="s">
        <v>35</v>
      </c>
      <c r="I230" s="212">
        <f ca="1">IFERROR(__xludf.DUMMYFUNCTION("IMPORTRANGE(""https://docs.google.com/spreadsheets/d/1eHaY18a8A9IcSdp1K8H6x8fbOy06t2VsZHhMHf-1x7Y/edit?usp=sharing"",""แผน!AU40"")"),0)</f>
        <v>0</v>
      </c>
      <c r="J230" s="467">
        <v>0</v>
      </c>
      <c r="K230" s="565">
        <f ca="1">IF(I230&gt;0,J230*100/I230,0)</f>
        <v>0</v>
      </c>
      <c r="L230" s="62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9.5" hidden="1">
      <c r="A231" s="241"/>
      <c r="B231" s="242"/>
      <c r="C231" s="243" t="s">
        <v>105</v>
      </c>
      <c r="D231" s="244"/>
      <c r="E231" s="244"/>
      <c r="F231" s="244"/>
      <c r="G231" s="245"/>
      <c r="H231" s="246" t="s">
        <v>35</v>
      </c>
      <c r="I231" s="339">
        <f ca="1">I242+I253</f>
        <v>0</v>
      </c>
      <c r="J231" s="339">
        <f>J242+J253</f>
        <v>0</v>
      </c>
      <c r="K231" s="340">
        <f ca="1">IF(I231&gt;0,J231*100/I231,0)</f>
        <v>0</v>
      </c>
      <c r="L231" s="250"/>
      <c r="M231" s="249"/>
      <c r="N231" s="249"/>
      <c r="O231" s="249"/>
      <c r="P231" s="249"/>
      <c r="Q231" s="249"/>
      <c r="R231" s="249"/>
      <c r="S231" s="249"/>
      <c r="T231" s="249"/>
      <c r="U231" s="249"/>
    </row>
    <row r="232" spans="1:21" ht="19.5" hidden="1">
      <c r="A232" s="155"/>
      <c r="B232" s="50"/>
      <c r="C232" s="156" t="s">
        <v>18</v>
      </c>
      <c r="D232" s="575" t="s">
        <v>19</v>
      </c>
      <c r="E232" s="50"/>
      <c r="F232" s="50"/>
      <c r="G232" s="52"/>
      <c r="H232" s="252" t="s">
        <v>14</v>
      </c>
      <c r="I232" s="163"/>
      <c r="J232" s="163"/>
      <c r="K232" s="164"/>
      <c r="L232" s="711">
        <f ca="1">L243+L254</f>
        <v>0</v>
      </c>
      <c r="M232" s="55"/>
      <c r="N232" s="710">
        <f>N243+N254</f>
        <v>0</v>
      </c>
      <c r="O232" s="55"/>
      <c r="P232" s="55"/>
      <c r="Q232" s="55"/>
      <c r="R232" s="55"/>
      <c r="S232" s="55"/>
      <c r="T232" s="55"/>
      <c r="U232" s="55"/>
    </row>
    <row r="233" spans="1:21" ht="18.75" hidden="1">
      <c r="A233" s="155"/>
      <c r="B233" s="188"/>
      <c r="C233" s="50"/>
      <c r="D233" s="58" t="s">
        <v>86</v>
      </c>
      <c r="E233" s="50"/>
      <c r="F233" s="50"/>
      <c r="G233" s="52"/>
      <c r="H233" s="162" t="s">
        <v>14</v>
      </c>
      <c r="I233" s="163"/>
      <c r="J233" s="163"/>
      <c r="K233" s="164"/>
      <c r="L233" s="103">
        <f ca="1">L244+L255</f>
        <v>0</v>
      </c>
      <c r="M233" s="55"/>
      <c r="N233" s="102">
        <f>N244+N255</f>
        <v>0</v>
      </c>
      <c r="O233" s="55"/>
      <c r="P233" s="55"/>
      <c r="Q233" s="709">
        <v>0</v>
      </c>
      <c r="R233" s="708">
        <v>0</v>
      </c>
      <c r="S233" s="708">
        <v>0</v>
      </c>
      <c r="T233" s="55"/>
      <c r="U233" s="55"/>
    </row>
    <row r="234" spans="1:21" ht="18.75" hidden="1">
      <c r="A234" s="238"/>
      <c r="B234" s="188"/>
      <c r="C234" s="188"/>
      <c r="D234" s="58" t="s">
        <v>88</v>
      </c>
      <c r="E234" s="50"/>
      <c r="F234" s="50"/>
      <c r="G234" s="52"/>
      <c r="H234" s="162" t="s">
        <v>14</v>
      </c>
      <c r="I234" s="54"/>
      <c r="J234" s="54"/>
      <c r="K234" s="55"/>
      <c r="L234" s="103">
        <f ca="1">L245+L256</f>
        <v>0</v>
      </c>
      <c r="M234" s="55"/>
      <c r="N234" s="102">
        <f>N245+N256</f>
        <v>0</v>
      </c>
      <c r="O234" s="55"/>
      <c r="P234" s="55"/>
      <c r="Q234" s="256">
        <v>0</v>
      </c>
      <c r="R234" s="255">
        <v>0</v>
      </c>
      <c r="S234" s="255">
        <v>0</v>
      </c>
      <c r="T234" s="55"/>
      <c r="U234" s="55"/>
    </row>
    <row r="235" spans="1:21" ht="18.75" hidden="1">
      <c r="A235" s="238"/>
      <c r="B235" s="188"/>
      <c r="C235" s="188"/>
      <c r="D235" s="58" t="s">
        <v>106</v>
      </c>
      <c r="E235" s="50"/>
      <c r="F235" s="50"/>
      <c r="G235" s="52"/>
      <c r="H235" s="162" t="s">
        <v>14</v>
      </c>
      <c r="I235" s="54"/>
      <c r="J235" s="54"/>
      <c r="K235" s="55"/>
      <c r="L235" s="103">
        <f ca="1">L246+L257</f>
        <v>0</v>
      </c>
      <c r="M235" s="55"/>
      <c r="N235" s="102">
        <f>N246+N257</f>
        <v>0</v>
      </c>
      <c r="O235" s="55"/>
      <c r="P235" s="55"/>
      <c r="Q235" s="256">
        <v>0</v>
      </c>
      <c r="R235" s="255">
        <v>0</v>
      </c>
      <c r="S235" s="255">
        <v>0</v>
      </c>
      <c r="T235" s="55"/>
      <c r="U235" s="55"/>
    </row>
    <row r="236" spans="1:21" ht="18.75" hidden="1">
      <c r="A236" s="238"/>
      <c r="B236" s="188"/>
      <c r="C236" s="188"/>
      <c r="D236" s="58" t="s">
        <v>107</v>
      </c>
      <c r="E236" s="50"/>
      <c r="F236" s="50"/>
      <c r="G236" s="52"/>
      <c r="H236" s="162" t="s">
        <v>14</v>
      </c>
      <c r="I236" s="54"/>
      <c r="J236" s="54"/>
      <c r="K236" s="55"/>
      <c r="L236" s="103">
        <f ca="1">L247+L258</f>
        <v>0</v>
      </c>
      <c r="M236" s="55"/>
      <c r="N236" s="102">
        <f>N247+N258</f>
        <v>0</v>
      </c>
      <c r="O236" s="55"/>
      <c r="P236" s="55"/>
      <c r="Q236" s="256">
        <v>0</v>
      </c>
      <c r="R236" s="255">
        <v>0</v>
      </c>
      <c r="S236" s="255">
        <v>0</v>
      </c>
      <c r="T236" s="55"/>
      <c r="U236" s="55"/>
    </row>
    <row r="237" spans="1:21" ht="19.5" hidden="1">
      <c r="A237" s="166"/>
      <c r="B237" s="167"/>
      <c r="C237" s="191" t="s">
        <v>18</v>
      </c>
      <c r="D237" s="566" t="s">
        <v>38</v>
      </c>
      <c r="E237" s="169"/>
      <c r="F237" s="169"/>
      <c r="G237" s="170"/>
      <c r="H237" s="171"/>
      <c r="I237" s="163"/>
      <c r="J237" s="54"/>
      <c r="K237" s="55"/>
      <c r="L237" s="62"/>
      <c r="M237" s="55"/>
      <c r="N237" s="55"/>
      <c r="O237" s="164"/>
      <c r="P237" s="164"/>
      <c r="Q237" s="55"/>
      <c r="R237" s="55"/>
      <c r="S237" s="55"/>
      <c r="T237" s="164"/>
      <c r="U237" s="164"/>
    </row>
    <row r="238" spans="1:21" ht="18.75" hidden="1">
      <c r="A238" s="166"/>
      <c r="B238" s="167"/>
      <c r="C238" s="167"/>
      <c r="D238" s="178" t="s">
        <v>108</v>
      </c>
      <c r="E238" s="174"/>
      <c r="F238" s="174"/>
      <c r="G238" s="171"/>
      <c r="H238" s="179" t="s">
        <v>35</v>
      </c>
      <c r="I238" s="212">
        <f ca="1">I249+I260</f>
        <v>0</v>
      </c>
      <c r="J238" s="212">
        <f>J249+J260</f>
        <v>0</v>
      </c>
      <c r="K238" s="255">
        <f ca="1">IF(I238&gt;0,J238*100/I238,0)</f>
        <v>0</v>
      </c>
      <c r="L238" s="62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ht="18.75" hidden="1">
      <c r="A239" s="166"/>
      <c r="B239" s="167"/>
      <c r="C239" s="167"/>
      <c r="D239" s="266" t="s">
        <v>43</v>
      </c>
      <c r="E239" s="174"/>
      <c r="F239" s="174"/>
      <c r="G239" s="171"/>
      <c r="H239" s="171"/>
      <c r="I239" s="54"/>
      <c r="J239" s="54"/>
      <c r="K239" s="55"/>
      <c r="L239" s="62"/>
      <c r="M239" s="55"/>
      <c r="N239" s="55"/>
      <c r="O239" s="164"/>
      <c r="P239" s="164"/>
      <c r="Q239" s="55"/>
      <c r="R239" s="55"/>
      <c r="S239" s="55"/>
      <c r="T239" s="164"/>
      <c r="U239" s="164"/>
    </row>
    <row r="240" spans="1:21" ht="18.75" hidden="1">
      <c r="A240" s="166"/>
      <c r="B240" s="167"/>
      <c r="C240" s="167"/>
      <c r="D240" s="167"/>
      <c r="E240" s="173" t="s">
        <v>109</v>
      </c>
      <c r="F240" s="174"/>
      <c r="G240" s="171"/>
      <c r="H240" s="179" t="s">
        <v>35</v>
      </c>
      <c r="I240" s="212">
        <f>I251+I262</f>
        <v>0</v>
      </c>
      <c r="J240" s="212">
        <f>J251+J262</f>
        <v>0</v>
      </c>
      <c r="K240" s="255">
        <f>IF(I240&gt;0,J240*100/I240,0)</f>
        <v>0</v>
      </c>
      <c r="L240" s="62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ht="18.75" hidden="1">
      <c r="A241" s="166"/>
      <c r="B241" s="167"/>
      <c r="C241" s="167"/>
      <c r="D241" s="167"/>
      <c r="E241" s="173" t="s">
        <v>110</v>
      </c>
      <c r="F241" s="174"/>
      <c r="G241" s="171"/>
      <c r="H241" s="179" t="s">
        <v>61</v>
      </c>
      <c r="I241" s="212">
        <f>I252+I263</f>
        <v>0</v>
      </c>
      <c r="J241" s="212">
        <f>J252+J263</f>
        <v>0</v>
      </c>
      <c r="K241" s="255">
        <f>IF(I241&gt;0,J241*100/I241,0)</f>
        <v>0</v>
      </c>
      <c r="L241" s="62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ht="19.5" hidden="1">
      <c r="A242" s="241"/>
      <c r="B242" s="242"/>
      <c r="C242" s="707" t="s">
        <v>111</v>
      </c>
      <c r="D242" s="244"/>
      <c r="E242" s="244"/>
      <c r="F242" s="244"/>
      <c r="G242" s="245"/>
      <c r="H242" s="706" t="s">
        <v>35</v>
      </c>
      <c r="I242" s="705">
        <f ca="1">I249</f>
        <v>0</v>
      </c>
      <c r="J242" s="705">
        <f>J249</f>
        <v>0</v>
      </c>
      <c r="K242" s="704">
        <f ca="1">IF(I242&gt;0,J242*100/I242,0)</f>
        <v>0</v>
      </c>
      <c r="L242" s="250"/>
      <c r="M242" s="249"/>
      <c r="N242" s="249"/>
      <c r="O242" s="249"/>
      <c r="P242" s="249"/>
      <c r="Q242" s="249"/>
      <c r="R242" s="249"/>
      <c r="S242" s="249"/>
      <c r="T242" s="249"/>
      <c r="U242" s="249"/>
    </row>
    <row r="243" spans="1:21" ht="19.5" hidden="1">
      <c r="A243" s="155"/>
      <c r="B243" s="50"/>
      <c r="C243" s="591" t="s">
        <v>18</v>
      </c>
      <c r="D243" s="562" t="s">
        <v>19</v>
      </c>
      <c r="E243" s="50"/>
      <c r="F243" s="50"/>
      <c r="G243" s="52"/>
      <c r="H243" s="418" t="s">
        <v>14</v>
      </c>
      <c r="I243" s="163"/>
      <c r="J243" s="163"/>
      <c r="K243" s="164"/>
      <c r="L243" s="541">
        <f ca="1">L244+L245+L246+L247</f>
        <v>0</v>
      </c>
      <c r="M243" s="55"/>
      <c r="N243" s="540">
        <f>N244+N245+N246+N247</f>
        <v>0</v>
      </c>
      <c r="O243" s="540">
        <f ca="1">IF(L243&gt;0,N243*100/L243,0)</f>
        <v>0</v>
      </c>
      <c r="P243" s="540">
        <f>IF(M243&gt;0,N243*100/M243,0)</f>
        <v>0</v>
      </c>
      <c r="Q243" s="55"/>
      <c r="R243" s="55"/>
      <c r="S243" s="55"/>
      <c r="T243" s="55"/>
      <c r="U243" s="55"/>
    </row>
    <row r="244" spans="1:21" ht="18.75" hidden="1">
      <c r="A244" s="155"/>
      <c r="B244" s="188"/>
      <c r="C244" s="50"/>
      <c r="D244" s="186" t="s">
        <v>86</v>
      </c>
      <c r="E244" s="50"/>
      <c r="F244" s="50"/>
      <c r="G244" s="52"/>
      <c r="H244" s="189" t="s">
        <v>14</v>
      </c>
      <c r="I244" s="163"/>
      <c r="J244" s="163"/>
      <c r="K244" s="164"/>
      <c r="L244" s="256">
        <f ca="1">IFERROR(__xludf.DUMMYFUNCTION("IMPORTRANGE(""https://docs.google.com/spreadsheets/d/1eHaY18a8A9IcSdp1K8H6x8fbOy06t2VsZHhMHf-1x7Y/edit?usp=sharing"",""แผน!AX40"")"),0)</f>
        <v>0</v>
      </c>
      <c r="M244" s="55"/>
      <c r="N244" s="702">
        <v>0</v>
      </c>
      <c r="O244" s="55"/>
      <c r="P244" s="55"/>
      <c r="Q244" s="55"/>
      <c r="R244" s="55"/>
      <c r="S244" s="55"/>
      <c r="T244" s="55"/>
      <c r="U244" s="55"/>
    </row>
    <row r="245" spans="1:21" ht="18.75" hidden="1">
      <c r="A245" s="238"/>
      <c r="B245" s="188"/>
      <c r="C245" s="188"/>
      <c r="D245" s="186" t="s">
        <v>88</v>
      </c>
      <c r="E245" s="50"/>
      <c r="F245" s="50"/>
      <c r="G245" s="52"/>
      <c r="H245" s="189" t="s">
        <v>14</v>
      </c>
      <c r="I245" s="54"/>
      <c r="J245" s="54"/>
      <c r="K245" s="55"/>
      <c r="L245" s="256">
        <f ca="1">IFERROR(__xludf.DUMMYFUNCTION("IMPORTRANGE(""https://docs.google.com/spreadsheets/d/1eHaY18a8A9IcSdp1K8H6x8fbOy06t2VsZHhMHf-1x7Y/edit?usp=sharing"",""แผน!AY40"")"),0)</f>
        <v>0</v>
      </c>
      <c r="M245" s="55"/>
      <c r="N245" s="702">
        <v>0</v>
      </c>
      <c r="O245" s="55"/>
      <c r="P245" s="55"/>
      <c r="Q245" s="55"/>
      <c r="R245" s="55"/>
      <c r="S245" s="55"/>
      <c r="T245" s="55"/>
      <c r="U245" s="55"/>
    </row>
    <row r="246" spans="1:21" ht="18.75" hidden="1">
      <c r="A246" s="238"/>
      <c r="B246" s="188"/>
      <c r="C246" s="188"/>
      <c r="D246" s="186" t="s">
        <v>106</v>
      </c>
      <c r="E246" s="50"/>
      <c r="F246" s="50"/>
      <c r="G246" s="52"/>
      <c r="H246" s="189" t="s">
        <v>14</v>
      </c>
      <c r="I246" s="54"/>
      <c r="J246" s="54"/>
      <c r="K246" s="55"/>
      <c r="L246" s="256">
        <f ca="1">IFERROR(__xludf.DUMMYFUNCTION("IMPORTRANGE(""https://docs.google.com/spreadsheets/d/1eHaY18a8A9IcSdp1K8H6x8fbOy06t2VsZHhMHf-1x7Y/edit?usp=sharing"",""แผน!AZ40"")"),0)</f>
        <v>0</v>
      </c>
      <c r="M246" s="55"/>
      <c r="N246" s="702">
        <v>0</v>
      </c>
      <c r="O246" s="55"/>
      <c r="P246" s="55"/>
      <c r="Q246" s="55"/>
      <c r="R246" s="55"/>
      <c r="S246" s="55"/>
      <c r="T246" s="55"/>
      <c r="U246" s="55"/>
    </row>
    <row r="247" spans="1:21" ht="18.75" hidden="1">
      <c r="A247" s="238"/>
      <c r="B247" s="188"/>
      <c r="C247" s="188"/>
      <c r="D247" s="186" t="s">
        <v>107</v>
      </c>
      <c r="E247" s="50"/>
      <c r="F247" s="50"/>
      <c r="G247" s="52"/>
      <c r="H247" s="189" t="s">
        <v>14</v>
      </c>
      <c r="I247" s="54"/>
      <c r="J247" s="54"/>
      <c r="K247" s="55"/>
      <c r="L247" s="256">
        <f ca="1">IFERROR(__xludf.DUMMYFUNCTION("IMPORTRANGE(""https://docs.google.com/spreadsheets/d/1eHaY18a8A9IcSdp1K8H6x8fbOy06t2VsZHhMHf-1x7Y/edit?usp=sharing"",""แผน!BA40"")"),0)</f>
        <v>0</v>
      </c>
      <c r="M247" s="55"/>
      <c r="N247" s="702">
        <v>0</v>
      </c>
      <c r="O247" s="55"/>
      <c r="P247" s="55"/>
      <c r="Q247" s="55"/>
      <c r="R247" s="55"/>
      <c r="S247" s="55"/>
      <c r="T247" s="55"/>
      <c r="U247" s="55"/>
    </row>
    <row r="248" spans="1:21" ht="19.5" hidden="1">
      <c r="A248" s="166"/>
      <c r="B248" s="167"/>
      <c r="C248" s="701" t="s">
        <v>18</v>
      </c>
      <c r="D248" s="574" t="s">
        <v>38</v>
      </c>
      <c r="E248" s="169"/>
      <c r="F248" s="169"/>
      <c r="G248" s="170"/>
      <c r="H248" s="171"/>
      <c r="I248" s="163"/>
      <c r="J248" s="54"/>
      <c r="K248" s="55"/>
      <c r="L248" s="62"/>
      <c r="M248" s="55"/>
      <c r="N248" s="55"/>
      <c r="O248" s="164"/>
      <c r="P248" s="164"/>
      <c r="Q248" s="55"/>
      <c r="R248" s="55"/>
      <c r="S248" s="55"/>
      <c r="T248" s="164"/>
      <c r="U248" s="164"/>
    </row>
    <row r="249" spans="1:21" ht="18.75" hidden="1">
      <c r="A249" s="166"/>
      <c r="B249" s="167"/>
      <c r="C249" s="167"/>
      <c r="D249" s="207" t="s">
        <v>108</v>
      </c>
      <c r="E249" s="174"/>
      <c r="F249" s="174"/>
      <c r="G249" s="171"/>
      <c r="H249" s="698" t="s">
        <v>35</v>
      </c>
      <c r="I249" s="483">
        <f ca="1">IFERROR(__xludf.DUMMYFUNCTION("IMPORTRANGE(""https://docs.google.com/spreadsheets/d/1eHaY18a8A9IcSdp1K8H6x8fbOy06t2VsZHhMHf-1x7Y/edit?usp=sharing"",""แผน!BG40"")"),0)</f>
        <v>0</v>
      </c>
      <c r="J249" s="589">
        <v>0</v>
      </c>
      <c r="K249" s="102">
        <f ca="1">IF(I249&gt;0,J249*100/I249,0)</f>
        <v>0</v>
      </c>
      <c r="L249" s="62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8.75" hidden="1">
      <c r="A250" s="166"/>
      <c r="B250" s="167"/>
      <c r="C250" s="167"/>
      <c r="D250" s="700" t="s">
        <v>43</v>
      </c>
      <c r="E250" s="174"/>
      <c r="F250" s="174"/>
      <c r="G250" s="171"/>
      <c r="H250" s="171"/>
      <c r="I250" s="54"/>
      <c r="J250" s="54"/>
      <c r="K250" s="55"/>
      <c r="L250" s="62"/>
      <c r="M250" s="55"/>
      <c r="N250" s="55"/>
      <c r="O250" s="164"/>
      <c r="P250" s="164"/>
      <c r="Q250" s="55"/>
      <c r="R250" s="55"/>
      <c r="S250" s="55"/>
      <c r="T250" s="164"/>
      <c r="U250" s="164"/>
    </row>
    <row r="251" spans="1:21" ht="18.75" hidden="1">
      <c r="A251" s="166"/>
      <c r="B251" s="167"/>
      <c r="C251" s="167"/>
      <c r="D251" s="167"/>
      <c r="E251" s="699" t="s">
        <v>109</v>
      </c>
      <c r="F251" s="174"/>
      <c r="G251" s="171"/>
      <c r="H251" s="698" t="s">
        <v>35</v>
      </c>
      <c r="I251" s="483">
        <v>0</v>
      </c>
      <c r="J251" s="589">
        <v>0</v>
      </c>
      <c r="K251" s="102">
        <f>IF(I251&gt;0,J251*100/I251,0)</f>
        <v>0</v>
      </c>
      <c r="L251" s="62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8.75" hidden="1">
      <c r="A252" s="166"/>
      <c r="B252" s="167"/>
      <c r="C252" s="167"/>
      <c r="D252" s="167"/>
      <c r="E252" s="699" t="s">
        <v>110</v>
      </c>
      <c r="F252" s="174"/>
      <c r="G252" s="171"/>
      <c r="H252" s="698" t="s">
        <v>61</v>
      </c>
      <c r="I252" s="483">
        <v>0</v>
      </c>
      <c r="J252" s="589">
        <v>0</v>
      </c>
      <c r="K252" s="102">
        <f>IF(I252&gt;0,J252*100/I252,0)</f>
        <v>0</v>
      </c>
      <c r="L252" s="62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9.5" hidden="1">
      <c r="A253" s="241"/>
      <c r="B253" s="242"/>
      <c r="C253" s="707" t="s">
        <v>112</v>
      </c>
      <c r="D253" s="244"/>
      <c r="E253" s="244"/>
      <c r="F253" s="244"/>
      <c r="G253" s="245"/>
      <c r="H253" s="706" t="s">
        <v>35</v>
      </c>
      <c r="I253" s="705">
        <f ca="1">I260</f>
        <v>0</v>
      </c>
      <c r="J253" s="705">
        <f>J260</f>
        <v>0</v>
      </c>
      <c r="K253" s="704">
        <f ca="1">IF(I253&gt;0,J253*100/I253,0)</f>
        <v>0</v>
      </c>
      <c r="L253" s="250"/>
      <c r="M253" s="249"/>
      <c r="N253" s="249"/>
      <c r="O253" s="249"/>
      <c r="P253" s="249"/>
      <c r="Q253" s="249"/>
      <c r="R253" s="249"/>
      <c r="S253" s="249"/>
      <c r="T253" s="249"/>
      <c r="U253" s="249"/>
    </row>
    <row r="254" spans="1:21" ht="19.5" hidden="1">
      <c r="A254" s="155"/>
      <c r="B254" s="50"/>
      <c r="C254" s="591" t="s">
        <v>18</v>
      </c>
      <c r="D254" s="703" t="s">
        <v>19</v>
      </c>
      <c r="E254" s="50"/>
      <c r="F254" s="50"/>
      <c r="G254" s="52"/>
      <c r="H254" s="418" t="s">
        <v>14</v>
      </c>
      <c r="I254" s="163"/>
      <c r="J254" s="163"/>
      <c r="K254" s="164"/>
      <c r="L254" s="541">
        <f ca="1">L255+L256+L257+L258</f>
        <v>0</v>
      </c>
      <c r="M254" s="55"/>
      <c r="N254" s="540">
        <f>N255+N256+N257+N258</f>
        <v>0</v>
      </c>
      <c r="O254" s="540">
        <f ca="1">IF(L254&gt;0,N254*100/L254,0)</f>
        <v>0</v>
      </c>
      <c r="P254" s="540">
        <f>IF(M254&gt;0,N254*100/M254,0)</f>
        <v>0</v>
      </c>
      <c r="Q254" s="55"/>
      <c r="R254" s="55"/>
      <c r="S254" s="55"/>
      <c r="T254" s="55"/>
      <c r="U254" s="55"/>
    </row>
    <row r="255" spans="1:21" ht="18.75" hidden="1">
      <c r="A255" s="155"/>
      <c r="B255" s="188"/>
      <c r="C255" s="50"/>
      <c r="D255" s="186" t="s">
        <v>86</v>
      </c>
      <c r="E255" s="50"/>
      <c r="F255" s="50"/>
      <c r="G255" s="52"/>
      <c r="H255" s="189" t="s">
        <v>14</v>
      </c>
      <c r="I255" s="163"/>
      <c r="J255" s="163"/>
      <c r="K255" s="164"/>
      <c r="L255" s="256">
        <f ca="1">IFERROR(__xludf.DUMMYFUNCTION("IMPORTRANGE(""https://docs.google.com/spreadsheets/d/1eHaY18a8A9IcSdp1K8H6x8fbOy06t2VsZHhMHf-1x7Y/edit?usp=sharing"",""แผน!BB40"")"),0)</f>
        <v>0</v>
      </c>
      <c r="M255" s="55"/>
      <c r="N255" s="702">
        <v>0</v>
      </c>
      <c r="O255" s="55"/>
      <c r="P255" s="55"/>
      <c r="Q255" s="55"/>
      <c r="R255" s="55"/>
      <c r="S255" s="55"/>
      <c r="T255" s="55"/>
      <c r="U255" s="55"/>
    </row>
    <row r="256" spans="1:21" ht="18.75" hidden="1">
      <c r="A256" s="238"/>
      <c r="B256" s="188"/>
      <c r="C256" s="188"/>
      <c r="D256" s="186" t="s">
        <v>88</v>
      </c>
      <c r="E256" s="50"/>
      <c r="F256" s="50"/>
      <c r="G256" s="52"/>
      <c r="H256" s="189" t="s">
        <v>14</v>
      </c>
      <c r="I256" s="54"/>
      <c r="J256" s="54"/>
      <c r="K256" s="55"/>
      <c r="L256" s="256">
        <f ca="1">IFERROR(__xludf.DUMMYFUNCTION("IMPORTRANGE(""https://docs.google.com/spreadsheets/d/1eHaY18a8A9IcSdp1K8H6x8fbOy06t2VsZHhMHf-1x7Y/edit?usp=sharing"",""แผน!BC40"")"),0)</f>
        <v>0</v>
      </c>
      <c r="M256" s="55"/>
      <c r="N256" s="702">
        <v>0</v>
      </c>
      <c r="O256" s="55"/>
      <c r="P256" s="55"/>
      <c r="Q256" s="55"/>
      <c r="R256" s="55"/>
      <c r="S256" s="55"/>
      <c r="T256" s="55"/>
      <c r="U256" s="55"/>
    </row>
    <row r="257" spans="1:21" ht="18.75" hidden="1">
      <c r="A257" s="238"/>
      <c r="B257" s="188"/>
      <c r="C257" s="188"/>
      <c r="D257" s="186" t="s">
        <v>106</v>
      </c>
      <c r="E257" s="50"/>
      <c r="F257" s="50"/>
      <c r="G257" s="52"/>
      <c r="H257" s="189" t="s">
        <v>14</v>
      </c>
      <c r="I257" s="54"/>
      <c r="J257" s="54"/>
      <c r="K257" s="55"/>
      <c r="L257" s="256">
        <f ca="1">IFERROR(__xludf.DUMMYFUNCTION("IMPORTRANGE(""https://docs.google.com/spreadsheets/d/1eHaY18a8A9IcSdp1K8H6x8fbOy06t2VsZHhMHf-1x7Y/edit?usp=sharing"",""แผน!BD40"")"),0)</f>
        <v>0</v>
      </c>
      <c r="M257" s="55"/>
      <c r="N257" s="702">
        <v>0</v>
      </c>
      <c r="O257" s="55"/>
      <c r="P257" s="55"/>
      <c r="Q257" s="55"/>
      <c r="R257" s="55"/>
      <c r="S257" s="55"/>
      <c r="T257" s="55"/>
      <c r="U257" s="55"/>
    </row>
    <row r="258" spans="1:21" ht="18.75" hidden="1">
      <c r="A258" s="238"/>
      <c r="B258" s="188"/>
      <c r="C258" s="188"/>
      <c r="D258" s="186" t="s">
        <v>107</v>
      </c>
      <c r="E258" s="50"/>
      <c r="F258" s="50"/>
      <c r="G258" s="52"/>
      <c r="H258" s="189" t="s">
        <v>14</v>
      </c>
      <c r="I258" s="54"/>
      <c r="J258" s="54"/>
      <c r="K258" s="55"/>
      <c r="L258" s="256">
        <f ca="1">IFERROR(__xludf.DUMMYFUNCTION("IMPORTRANGE(""https://docs.google.com/spreadsheets/d/1eHaY18a8A9IcSdp1K8H6x8fbOy06t2VsZHhMHf-1x7Y/edit?usp=sharing"",""แผน!BE40"")"),0)</f>
        <v>0</v>
      </c>
      <c r="M258" s="55"/>
      <c r="N258" s="702">
        <v>0</v>
      </c>
      <c r="O258" s="55"/>
      <c r="P258" s="55"/>
      <c r="Q258" s="55"/>
      <c r="R258" s="55"/>
      <c r="S258" s="55"/>
      <c r="T258" s="55"/>
      <c r="U258" s="55"/>
    </row>
    <row r="259" spans="1:21" ht="19.5" hidden="1">
      <c r="A259" s="166"/>
      <c r="B259" s="167"/>
      <c r="C259" s="701" t="s">
        <v>18</v>
      </c>
      <c r="D259" s="574" t="s">
        <v>38</v>
      </c>
      <c r="E259" s="169"/>
      <c r="F259" s="169"/>
      <c r="G259" s="170"/>
      <c r="H259" s="171"/>
      <c r="I259" s="163"/>
      <c r="J259" s="54"/>
      <c r="K259" s="55"/>
      <c r="L259" s="62"/>
      <c r="M259" s="55"/>
      <c r="N259" s="55"/>
      <c r="O259" s="164"/>
      <c r="P259" s="164"/>
      <c r="Q259" s="55"/>
      <c r="R259" s="55"/>
      <c r="S259" s="55"/>
      <c r="T259" s="164"/>
      <c r="U259" s="164"/>
    </row>
    <row r="260" spans="1:21" ht="18.75" hidden="1">
      <c r="A260" s="166"/>
      <c r="B260" s="167"/>
      <c r="C260" s="167"/>
      <c r="D260" s="207" t="s">
        <v>108</v>
      </c>
      <c r="E260" s="174"/>
      <c r="F260" s="174"/>
      <c r="G260" s="171"/>
      <c r="H260" s="698" t="s">
        <v>35</v>
      </c>
      <c r="I260" s="483">
        <f ca="1">IFERROR(__xludf.DUMMYFUNCTION("IMPORTRANGE(""https://docs.google.com/spreadsheets/d/1eHaY18a8A9IcSdp1K8H6x8fbOy06t2VsZHhMHf-1x7Y/edit?usp=sharing"",""แผน!BH40"")"),0)</f>
        <v>0</v>
      </c>
      <c r="J260" s="589">
        <v>0</v>
      </c>
      <c r="K260" s="102">
        <f ca="1">IF(I260&gt;0,J260*100/I260,0)</f>
        <v>0</v>
      </c>
      <c r="L260" s="62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8.75" hidden="1">
      <c r="A261" s="166"/>
      <c r="B261" s="167"/>
      <c r="C261" s="167"/>
      <c r="D261" s="700" t="s">
        <v>43</v>
      </c>
      <c r="E261" s="174"/>
      <c r="F261" s="174"/>
      <c r="G261" s="171"/>
      <c r="H261" s="171"/>
      <c r="I261" s="54"/>
      <c r="J261" s="54"/>
      <c r="K261" s="55"/>
      <c r="L261" s="62"/>
      <c r="M261" s="55"/>
      <c r="N261" s="55"/>
      <c r="O261" s="164"/>
      <c r="P261" s="164"/>
      <c r="Q261" s="55"/>
      <c r="R261" s="55"/>
      <c r="S261" s="55"/>
      <c r="T261" s="164"/>
      <c r="U261" s="164"/>
    </row>
    <row r="262" spans="1:21" ht="18.75" hidden="1">
      <c r="A262" s="166"/>
      <c r="B262" s="167"/>
      <c r="C262" s="167"/>
      <c r="D262" s="167"/>
      <c r="E262" s="699" t="s">
        <v>109</v>
      </c>
      <c r="F262" s="174"/>
      <c r="G262" s="171"/>
      <c r="H262" s="698" t="s">
        <v>35</v>
      </c>
      <c r="I262" s="54"/>
      <c r="J262" s="589">
        <v>0</v>
      </c>
      <c r="K262" s="102">
        <f>IF(I262&gt;0,J262*100/I262,0)</f>
        <v>0</v>
      </c>
      <c r="L262" s="62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8.75" hidden="1">
      <c r="A263" s="166"/>
      <c r="B263" s="167"/>
      <c r="C263" s="167"/>
      <c r="D263" s="167"/>
      <c r="E263" s="699" t="s">
        <v>110</v>
      </c>
      <c r="F263" s="174"/>
      <c r="G263" s="171"/>
      <c r="H263" s="698" t="s">
        <v>61</v>
      </c>
      <c r="I263" s="54"/>
      <c r="J263" s="589">
        <v>0</v>
      </c>
      <c r="K263" s="102">
        <f>IF(I263&gt;0,J263*100/I263,0)</f>
        <v>0</v>
      </c>
      <c r="L263" s="62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9.5">
      <c r="A264" s="697" t="s">
        <v>113</v>
      </c>
      <c r="B264" s="696"/>
      <c r="C264" s="696"/>
      <c r="D264" s="695"/>
      <c r="E264" s="695"/>
      <c r="F264" s="695"/>
      <c r="G264" s="694"/>
      <c r="H264" s="694"/>
      <c r="I264" s="693"/>
      <c r="J264" s="693"/>
      <c r="K264" s="691"/>
      <c r="L264" s="692"/>
      <c r="M264" s="691"/>
      <c r="N264" s="691"/>
      <c r="O264" s="691"/>
      <c r="P264" s="691"/>
      <c r="Q264" s="691"/>
      <c r="R264" s="691"/>
      <c r="S264" s="691"/>
      <c r="T264" s="691"/>
      <c r="U264" s="691"/>
    </row>
    <row r="265" spans="1:21" ht="19.5">
      <c r="A265" s="690"/>
      <c r="B265" s="689" t="s">
        <v>114</v>
      </c>
      <c r="C265" s="688"/>
      <c r="D265" s="661"/>
      <c r="E265" s="661"/>
      <c r="F265" s="661"/>
      <c r="G265" s="660"/>
      <c r="H265" s="687" t="s">
        <v>35</v>
      </c>
      <c r="I265" s="686">
        <f ca="1">I276</f>
        <v>24</v>
      </c>
      <c r="J265" s="686">
        <f>J276</f>
        <v>24</v>
      </c>
      <c r="K265" s="685">
        <f ca="1">IF(I265&gt;0,J265*100/I265,0)</f>
        <v>100</v>
      </c>
      <c r="L265" s="684"/>
      <c r="M265" s="683"/>
      <c r="N265" s="683"/>
      <c r="O265" s="683"/>
      <c r="P265" s="683"/>
      <c r="Q265" s="683"/>
      <c r="R265" s="683"/>
      <c r="S265" s="683"/>
      <c r="T265" s="683"/>
      <c r="U265" s="683"/>
    </row>
    <row r="266" spans="1:21" ht="19.5">
      <c r="A266" s="668"/>
      <c r="B266" s="667"/>
      <c r="C266" s="682" t="s">
        <v>18</v>
      </c>
      <c r="D266" s="681" t="s">
        <v>19</v>
      </c>
      <c r="E266" s="667"/>
      <c r="F266" s="667"/>
      <c r="G266" s="666"/>
      <c r="H266" s="680" t="s">
        <v>14</v>
      </c>
      <c r="I266" s="548"/>
      <c r="J266" s="548"/>
      <c r="K266" s="545"/>
      <c r="L266" s="679">
        <f ca="1">L267+L268</f>
        <v>0</v>
      </c>
      <c r="M266" s="678">
        <f ca="1">M267+M268</f>
        <v>5000</v>
      </c>
      <c r="N266" s="678">
        <f ca="1">N267+N268</f>
        <v>5000</v>
      </c>
      <c r="O266" s="678">
        <f ca="1">IF(L266&gt;0,N266*100/L266,0)</f>
        <v>0</v>
      </c>
      <c r="P266" s="678">
        <f ca="1">IF(M266&gt;0,N266*100/M266,0)</f>
        <v>100</v>
      </c>
      <c r="Q266" s="678">
        <f ca="1">Q267+Q268</f>
        <v>53440</v>
      </c>
      <c r="R266" s="678">
        <f ca="1">R267+R268</f>
        <v>53440</v>
      </c>
      <c r="S266" s="678">
        <f ca="1">S267+S268</f>
        <v>51500</v>
      </c>
      <c r="T266" s="678">
        <f ca="1">IF(Q266&gt;0,S266*100/Q266,0)</f>
        <v>96.369760479041915</v>
      </c>
      <c r="U266" s="678">
        <f ca="1">IF(R266&gt;0,S266*100/R266,0)</f>
        <v>96.369760479041915</v>
      </c>
    </row>
    <row r="267" spans="1:21" ht="18.75" hidden="1">
      <c r="A267" s="673"/>
      <c r="B267" s="672"/>
      <c r="C267" s="672"/>
      <c r="D267" s="672"/>
      <c r="E267" s="186" t="s">
        <v>20</v>
      </c>
      <c r="F267" s="672"/>
      <c r="G267" s="671"/>
      <c r="H267" s="187" t="s">
        <v>14</v>
      </c>
      <c r="I267" s="677"/>
      <c r="J267" s="677"/>
      <c r="K267" s="676"/>
      <c r="L267" s="103">
        <f>L270+L273</f>
        <v>0</v>
      </c>
      <c r="M267" s="102">
        <f>M270+M273</f>
        <v>0</v>
      </c>
      <c r="N267" s="102">
        <f>N270+N273</f>
        <v>0</v>
      </c>
      <c r="O267" s="102">
        <f>IF(L267&gt;0,N267*100/L267,0)</f>
        <v>0</v>
      </c>
      <c r="P267" s="102">
        <f>IF(M267&gt;0,N267*100/M267,0)</f>
        <v>0</v>
      </c>
      <c r="Q267" s="102">
        <f>Q270+Q273</f>
        <v>0</v>
      </c>
      <c r="R267" s="102">
        <f>R270+R273</f>
        <v>0</v>
      </c>
      <c r="S267" s="102">
        <f>S270+S273</f>
        <v>0</v>
      </c>
      <c r="T267" s="102">
        <f>IF(Q267&gt;0,S267*100/Q267,0)</f>
        <v>0</v>
      </c>
      <c r="U267" s="102">
        <f>IF(R267&gt;0,S267*100/R267,0)</f>
        <v>0</v>
      </c>
    </row>
    <row r="268" spans="1:21" ht="18.75" hidden="1">
      <c r="A268" s="668"/>
      <c r="B268" s="667"/>
      <c r="C268" s="667"/>
      <c r="D268" s="667"/>
      <c r="E268" s="663" t="s">
        <v>21</v>
      </c>
      <c r="F268" s="667"/>
      <c r="G268" s="666"/>
      <c r="H268" s="549" t="s">
        <v>14</v>
      </c>
      <c r="I268" s="548"/>
      <c r="J268" s="548"/>
      <c r="K268" s="545"/>
      <c r="L268" s="664">
        <f ca="1">L271+L274</f>
        <v>0</v>
      </c>
      <c r="M268" s="555">
        <f ca="1">M271+M274</f>
        <v>5000</v>
      </c>
      <c r="N268" s="555">
        <f ca="1">N271+N274</f>
        <v>5000</v>
      </c>
      <c r="O268" s="555">
        <f ca="1">IF(L268&gt;0,N268*100/L268,0)</f>
        <v>0</v>
      </c>
      <c r="P268" s="555">
        <f ca="1">IF(M268&gt;0,N268*100/M268,0)</f>
        <v>100</v>
      </c>
      <c r="Q268" s="555">
        <f ca="1">Q271+Q274</f>
        <v>53440</v>
      </c>
      <c r="R268" s="555">
        <f ca="1">R271+R274</f>
        <v>53440</v>
      </c>
      <c r="S268" s="555">
        <f ca="1">S271+S274</f>
        <v>51500</v>
      </c>
      <c r="T268" s="555">
        <f ca="1">IF(Q268&gt;0,S268*100/Q268,0)</f>
        <v>96.369760479041915</v>
      </c>
      <c r="U268" s="555">
        <f ca="1">IF(R268&gt;0,S268*100/R268,0)</f>
        <v>96.369760479041915</v>
      </c>
    </row>
    <row r="269" spans="1:21" ht="18.75">
      <c r="A269" s="668"/>
      <c r="B269" s="667"/>
      <c r="C269" s="667"/>
      <c r="D269" s="674" t="s">
        <v>22</v>
      </c>
      <c r="E269" s="667"/>
      <c r="F269" s="667"/>
      <c r="G269" s="666"/>
      <c r="H269" s="675" t="s">
        <v>14</v>
      </c>
      <c r="I269" s="659"/>
      <c r="J269" s="659"/>
      <c r="K269" s="657"/>
      <c r="L269" s="664">
        <f ca="1">L270+L271</f>
        <v>0</v>
      </c>
      <c r="M269" s="555">
        <f ca="1">M270+M271</f>
        <v>5000</v>
      </c>
      <c r="N269" s="555">
        <f ca="1">N270+N271</f>
        <v>5000</v>
      </c>
      <c r="O269" s="555">
        <f ca="1">IF(L269&gt;0,N269*100/L269,0)</f>
        <v>0</v>
      </c>
      <c r="P269" s="555">
        <f ca="1">IF(M269&gt;0,N269*100/M269,0)</f>
        <v>100</v>
      </c>
      <c r="Q269" s="555">
        <f ca="1">Q270+Q271</f>
        <v>53440</v>
      </c>
      <c r="R269" s="555">
        <f ca="1">R270+R271</f>
        <v>53440</v>
      </c>
      <c r="S269" s="555">
        <f ca="1">S270+S271</f>
        <v>51500</v>
      </c>
      <c r="T269" s="555">
        <f ca="1">IF(Q269&gt;0,S269*100/Q269,0)</f>
        <v>96.369760479041915</v>
      </c>
      <c r="U269" s="555">
        <f ca="1">IF(R269&gt;0,S269*100/R269,0)</f>
        <v>96.369760479041915</v>
      </c>
    </row>
    <row r="270" spans="1:21" ht="18.75" hidden="1">
      <c r="A270" s="673"/>
      <c r="B270" s="672"/>
      <c r="C270" s="672"/>
      <c r="D270" s="672"/>
      <c r="E270" s="186" t="s">
        <v>36</v>
      </c>
      <c r="F270" s="672"/>
      <c r="G270" s="671"/>
      <c r="H270" s="189" t="s">
        <v>14</v>
      </c>
      <c r="I270" s="670"/>
      <c r="J270" s="670"/>
      <c r="K270" s="669"/>
      <c r="L270" s="103">
        <v>0</v>
      </c>
      <c r="M270" s="102">
        <v>0</v>
      </c>
      <c r="N270" s="102">
        <v>0</v>
      </c>
      <c r="O270" s="102">
        <f>IF(L270&gt;0,N270*100/L270,0)</f>
        <v>0</v>
      </c>
      <c r="P270" s="102">
        <f>IF(M270&gt;0,N270*100/M270,0)</f>
        <v>0</v>
      </c>
      <c r="Q270" s="102">
        <v>0</v>
      </c>
      <c r="R270" s="102">
        <v>0</v>
      </c>
      <c r="S270" s="102">
        <v>0</v>
      </c>
      <c r="T270" s="102">
        <f>IF(Q270&gt;0,S270*100/Q270,0)</f>
        <v>0</v>
      </c>
      <c r="U270" s="102">
        <f>IF(R270&gt;0,S270*100/R270,0)</f>
        <v>0</v>
      </c>
    </row>
    <row r="271" spans="1:21" ht="18.75" hidden="1">
      <c r="A271" s="668"/>
      <c r="B271" s="667"/>
      <c r="C271" s="667"/>
      <c r="D271" s="667"/>
      <c r="E271" s="663" t="s">
        <v>37</v>
      </c>
      <c r="F271" s="667"/>
      <c r="G271" s="666"/>
      <c r="H271" s="675" t="s">
        <v>14</v>
      </c>
      <c r="I271" s="659"/>
      <c r="J271" s="659"/>
      <c r="K271" s="657"/>
      <c r="L271" s="664">
        <f ca="1">IFERROR(__xludf.DUMMYFUNCTION("IMPORTRANGE(""https://docs.google.com/spreadsheets/d/1-uDff_7J0KD5mKrp0Vvzr7lt3OU09vwQwhkpOPPYv2Y/edit?usp=sharing"",""งบพรบ!DE40"")"),0)</f>
        <v>0</v>
      </c>
      <c r="M271" s="555">
        <f ca="1">IFERROR(__xludf.DUMMYFUNCTION("IMPORTRANGE(""https://docs.google.com/spreadsheets/d/1-uDff_7J0KD5mKrp0Vvzr7lt3OU09vwQwhkpOPPYv2Y/edit?usp=sharing"",""งบพรบ!DJ40"")"),5000)</f>
        <v>5000</v>
      </c>
      <c r="N271" s="555">
        <f ca="1">IFERROR(__xludf.DUMMYFUNCTION("IMPORTRANGE(""https://docs.google.com/spreadsheets/d/1-uDff_7J0KD5mKrp0Vvzr7lt3OU09vwQwhkpOPPYv2Y/edit?usp=sharing"",""งบพรบ!DL40"")"),5000)</f>
        <v>5000</v>
      </c>
      <c r="O271" s="555">
        <f ca="1">IF(L271&gt;0,N271*100/L271,0)</f>
        <v>0</v>
      </c>
      <c r="P271" s="555">
        <f ca="1">IF(M271&gt;0,N271*100/M271,0)</f>
        <v>100</v>
      </c>
      <c r="Q271" s="555">
        <f ca="1">IFERROR(__xludf.DUMMYFUNCTION("IMPORTRANGE(""https://docs.google.com/spreadsheets/d/1ItG2mGa2ceCfYo0BwxsXqNm01IGEUdYcSSLTEv9YCik/edit?usp=sharing"",""เบิกจ่ายกองทุน!AJ40"")"),53440)</f>
        <v>53440</v>
      </c>
      <c r="R271" s="555">
        <f ca="1">IFERROR(__xludf.DUMMYFUNCTION("IMPORTRANGE(""https://docs.google.com/spreadsheets/d/1ItG2mGa2ceCfYo0BwxsXqNm01IGEUdYcSSLTEv9YCik/edit?usp=sharing"",""เบิกจ่ายกองทุน!AK40"")"),53440)</f>
        <v>53440</v>
      </c>
      <c r="S271" s="555">
        <f ca="1">IFERROR(__xludf.DUMMYFUNCTION("IMPORTRANGE(""https://docs.google.com/spreadsheets/d/1ItG2mGa2ceCfYo0BwxsXqNm01IGEUdYcSSLTEv9YCik/edit?usp=sharing"",""เบิกจ่ายกองทุน!AL40"")"),51500)</f>
        <v>51500</v>
      </c>
      <c r="T271" s="555">
        <f ca="1">IF(Q271&gt;0,S271*100/Q271,0)</f>
        <v>96.369760479041915</v>
      </c>
      <c r="U271" s="555">
        <f ca="1">IF(R271&gt;0,S271*100/R271,0)</f>
        <v>96.369760479041915</v>
      </c>
    </row>
    <row r="272" spans="1:21" ht="18.75">
      <c r="A272" s="668"/>
      <c r="B272" s="667"/>
      <c r="C272" s="667"/>
      <c r="D272" s="674" t="s">
        <v>23</v>
      </c>
      <c r="E272" s="667"/>
      <c r="F272" s="667"/>
      <c r="G272" s="666"/>
      <c r="H272" s="665" t="s">
        <v>14</v>
      </c>
      <c r="I272" s="659"/>
      <c r="J272" s="659"/>
      <c r="K272" s="657"/>
      <c r="L272" s="664">
        <f ca="1">L273+L274</f>
        <v>0</v>
      </c>
      <c r="M272" s="555">
        <f ca="1">M273+M274</f>
        <v>0</v>
      </c>
      <c r="N272" s="555">
        <f ca="1">N273+N274</f>
        <v>0</v>
      </c>
      <c r="O272" s="555">
        <f ca="1">IF(L272&gt;0,N272*100/L272,0)</f>
        <v>0</v>
      </c>
      <c r="P272" s="555">
        <f ca="1">IF(M272&gt;0,N272*100/M272,0)</f>
        <v>0</v>
      </c>
      <c r="Q272" s="555">
        <f>Q273+Q274</f>
        <v>0</v>
      </c>
      <c r="R272" s="555">
        <f>R273+R274</f>
        <v>0</v>
      </c>
      <c r="S272" s="555">
        <f>S273+S274</f>
        <v>0</v>
      </c>
      <c r="T272" s="555">
        <f>IF(Q272&gt;0,S272*100/Q272,0)</f>
        <v>0</v>
      </c>
      <c r="U272" s="555">
        <f>IF(R272&gt;0,S272*100/R272,0)</f>
        <v>0</v>
      </c>
    </row>
    <row r="273" spans="1:21" ht="18.75" hidden="1">
      <c r="A273" s="673"/>
      <c r="B273" s="672"/>
      <c r="C273" s="672"/>
      <c r="D273" s="672"/>
      <c r="E273" s="186" t="s">
        <v>20</v>
      </c>
      <c r="F273" s="672"/>
      <c r="G273" s="671"/>
      <c r="H273" s="189" t="s">
        <v>14</v>
      </c>
      <c r="I273" s="670"/>
      <c r="J273" s="670"/>
      <c r="K273" s="669"/>
      <c r="L273" s="103">
        <v>0</v>
      </c>
      <c r="M273" s="102">
        <v>0</v>
      </c>
      <c r="N273" s="102">
        <v>0</v>
      </c>
      <c r="O273" s="102">
        <f>IF(L273&gt;0,N273*100/L273,0)</f>
        <v>0</v>
      </c>
      <c r="P273" s="102">
        <f>IF(M273&gt;0,N273*100/M273,0)</f>
        <v>0</v>
      </c>
      <c r="Q273" s="102">
        <v>0</v>
      </c>
      <c r="R273" s="102">
        <v>0</v>
      </c>
      <c r="S273" s="102">
        <v>0</v>
      </c>
      <c r="T273" s="102">
        <f>IF(Q273&gt;0,S273*100/Q273,0)</f>
        <v>0</v>
      </c>
      <c r="U273" s="102">
        <f>IF(R273&gt;0,S273*100/R273,0)</f>
        <v>0</v>
      </c>
    </row>
    <row r="274" spans="1:21" ht="18.75" hidden="1">
      <c r="A274" s="668"/>
      <c r="B274" s="667"/>
      <c r="C274" s="667"/>
      <c r="D274" s="667"/>
      <c r="E274" s="663" t="s">
        <v>21</v>
      </c>
      <c r="F274" s="667"/>
      <c r="G274" s="666"/>
      <c r="H274" s="665" t="s">
        <v>14</v>
      </c>
      <c r="I274" s="659"/>
      <c r="J274" s="659"/>
      <c r="K274" s="657"/>
      <c r="L274" s="664">
        <f ca="1">IFERROR(__xludf.DUMMYFUNCTION("IMPORTRANGE(""https://docs.google.com/spreadsheets/d/1-uDff_7J0KD5mKrp0Vvzr7lt3OU09vwQwhkpOPPYv2Y/edit?usp=sharing"",""งบพรบ!DH40"")"),0)</f>
        <v>0</v>
      </c>
      <c r="M274" s="555">
        <f ca="1">IFERROR(__xludf.DUMMYFUNCTION("IMPORTRANGE(""https://docs.google.com/spreadsheets/d/1-uDff_7J0KD5mKrp0Vvzr7lt3OU09vwQwhkpOPPYv2Y/edit?usp=sharing"",""งบพรบ!DK40"")"),0)</f>
        <v>0</v>
      </c>
      <c r="N274" s="555">
        <f ca="1">IFERROR(__xludf.DUMMYFUNCTION("IMPORTRANGE(""https://docs.google.com/spreadsheets/d/1-uDff_7J0KD5mKrp0Vvzr7lt3OU09vwQwhkpOPPYv2Y/edit?usp=sharing"",""งบพรบ!DM40"")"),0)</f>
        <v>0</v>
      </c>
      <c r="O274" s="555">
        <f ca="1">IF(L274&gt;0,N274*100/L274,0)</f>
        <v>0</v>
      </c>
      <c r="P274" s="555">
        <f ca="1">IF(M274&gt;0,N274*100/M274,0)</f>
        <v>0</v>
      </c>
      <c r="Q274" s="555">
        <v>0</v>
      </c>
      <c r="R274" s="555">
        <v>0</v>
      </c>
      <c r="S274" s="555">
        <v>0</v>
      </c>
      <c r="T274" s="555">
        <f>IF(Q274&gt;0,S274*100/Q274,0)</f>
        <v>0</v>
      </c>
      <c r="U274" s="555">
        <f>IF(R274&gt;0,S274*100/R274,0)</f>
        <v>0</v>
      </c>
    </row>
    <row r="275" spans="1:21" ht="19.5">
      <c r="A275" s="554"/>
      <c r="B275" s="553"/>
      <c r="C275" s="663" t="s">
        <v>18</v>
      </c>
      <c r="D275" s="662" t="s">
        <v>38</v>
      </c>
      <c r="E275" s="661"/>
      <c r="F275" s="661"/>
      <c r="G275" s="660"/>
      <c r="H275" s="550"/>
      <c r="I275" s="659"/>
      <c r="J275" s="659"/>
      <c r="K275" s="657"/>
      <c r="L275" s="658"/>
      <c r="M275" s="657"/>
      <c r="N275" s="657"/>
      <c r="O275" s="657"/>
      <c r="P275" s="657"/>
      <c r="Q275" s="657"/>
      <c r="R275" s="657"/>
      <c r="S275" s="657"/>
      <c r="T275" s="657"/>
      <c r="U275" s="657"/>
    </row>
    <row r="276" spans="1:21" ht="18.75">
      <c r="A276" s="656"/>
      <c r="B276" s="655"/>
      <c r="C276" s="655"/>
      <c r="D276" s="654" t="s">
        <v>115</v>
      </c>
      <c r="E276" s="653"/>
      <c r="F276" s="653"/>
      <c r="G276" s="652"/>
      <c r="H276" s="651" t="s">
        <v>35</v>
      </c>
      <c r="I276" s="650">
        <f ca="1">IFERROR(__xludf.DUMMYFUNCTION("IMPORTRANGE(""https://docs.google.com/spreadsheets/d/1eHaY18a8A9IcSdp1K8H6x8fbOy06t2VsZHhMHf-1x7Y/edit?usp=sharing"",""แผน!EC40"")"),24)</f>
        <v>24</v>
      </c>
      <c r="J276" s="649">
        <v>24</v>
      </c>
      <c r="K276" s="648">
        <f ca="1">IF(I276&gt;0,J276*100/I276,0)</f>
        <v>100</v>
      </c>
      <c r="L276" s="546"/>
      <c r="M276" s="545"/>
      <c r="N276" s="545"/>
      <c r="O276" s="545"/>
      <c r="P276" s="545"/>
      <c r="Q276" s="545"/>
      <c r="R276" s="545"/>
      <c r="S276" s="545"/>
      <c r="T276" s="545"/>
      <c r="U276" s="545"/>
    </row>
    <row r="277" spans="1:21" ht="18.75" hidden="1">
      <c r="A277" s="778"/>
      <c r="B277" s="777"/>
      <c r="C277" s="777"/>
      <c r="D277" s="647" t="s">
        <v>116</v>
      </c>
      <c r="E277" s="776"/>
      <c r="F277" s="776"/>
      <c r="G277" s="775"/>
      <c r="H277" s="646" t="s">
        <v>35</v>
      </c>
      <c r="I277" s="486">
        <v>0</v>
      </c>
      <c r="J277" s="486">
        <v>0</v>
      </c>
      <c r="K277" s="645">
        <v>0</v>
      </c>
      <c r="L277" s="774"/>
      <c r="M277" s="773"/>
      <c r="N277" s="773"/>
      <c r="O277" s="773"/>
      <c r="P277" s="773"/>
      <c r="Q277" s="773"/>
      <c r="R277" s="773"/>
      <c r="S277" s="773"/>
      <c r="T277" s="773"/>
      <c r="U277" s="773"/>
    </row>
    <row r="278" spans="1:21" ht="19.5" hidden="1">
      <c r="A278" s="288" t="s">
        <v>117</v>
      </c>
      <c r="B278" s="289"/>
      <c r="C278" s="289"/>
      <c r="D278" s="289"/>
      <c r="E278" s="290"/>
      <c r="F278" s="290"/>
      <c r="G278" s="290"/>
      <c r="H278" s="290"/>
      <c r="I278" s="291"/>
      <c r="J278" s="291"/>
      <c r="K278" s="292"/>
      <c r="L278" s="292"/>
      <c r="M278" s="292"/>
      <c r="N278" s="292"/>
      <c r="O278" s="292"/>
      <c r="P278" s="293"/>
      <c r="Q278" s="292"/>
      <c r="R278" s="292"/>
      <c r="S278" s="292"/>
      <c r="T278" s="292"/>
      <c r="U278" s="293"/>
    </row>
    <row r="279" spans="1:21" ht="19.5" hidden="1">
      <c r="A279" s="294" t="s">
        <v>118</v>
      </c>
      <c r="B279" s="295"/>
      <c r="C279" s="296"/>
      <c r="D279" s="295"/>
      <c r="E279" s="295"/>
      <c r="F279" s="295"/>
      <c r="G279" s="295"/>
      <c r="H279" s="295"/>
      <c r="I279" s="297"/>
      <c r="J279" s="298"/>
      <c r="K279" s="299"/>
      <c r="L279" s="300"/>
      <c r="M279" s="299"/>
      <c r="N279" s="299"/>
      <c r="O279" s="299"/>
      <c r="P279" s="299"/>
      <c r="Q279" s="299"/>
      <c r="R279" s="299"/>
      <c r="S279" s="299"/>
      <c r="T279" s="299"/>
      <c r="U279" s="299"/>
    </row>
    <row r="280" spans="1:21" ht="19.5" hidden="1">
      <c r="A280" s="301"/>
      <c r="B280" s="302" t="s">
        <v>119</v>
      </c>
      <c r="C280" s="303"/>
      <c r="D280" s="304"/>
      <c r="E280" s="303"/>
      <c r="F280" s="303"/>
      <c r="G280" s="305"/>
      <c r="H280" s="306" t="s">
        <v>35</v>
      </c>
      <c r="I280" s="644">
        <f ca="1">I293</f>
        <v>0</v>
      </c>
      <c r="J280" s="644">
        <f>J293</f>
        <v>0</v>
      </c>
      <c r="K280" s="643">
        <f ca="1">IF(I280&gt;0,J280*100/I280,0)</f>
        <v>0</v>
      </c>
      <c r="L280" s="310"/>
      <c r="M280" s="309"/>
      <c r="N280" s="309"/>
      <c r="O280" s="309"/>
      <c r="P280" s="309"/>
      <c r="Q280" s="309"/>
      <c r="R280" s="309"/>
      <c r="S280" s="309"/>
      <c r="T280" s="309"/>
      <c r="U280" s="309"/>
    </row>
    <row r="281" spans="1:21" ht="19.5" hidden="1">
      <c r="A281" s="301"/>
      <c r="B281" s="303"/>
      <c r="C281" s="303"/>
      <c r="D281" s="304"/>
      <c r="E281" s="303"/>
      <c r="F281" s="303"/>
      <c r="G281" s="305"/>
      <c r="H281" s="306" t="s">
        <v>46</v>
      </c>
      <c r="I281" s="644">
        <f ca="1">I292</f>
        <v>0</v>
      </c>
      <c r="J281" s="644">
        <f>J292</f>
        <v>0</v>
      </c>
      <c r="K281" s="643">
        <f ca="1">IF(I281&gt;0,J281*100/I281,0)</f>
        <v>0</v>
      </c>
      <c r="L281" s="310"/>
      <c r="M281" s="309"/>
      <c r="N281" s="309"/>
      <c r="O281" s="309"/>
      <c r="P281" s="309"/>
      <c r="Q281" s="309"/>
      <c r="R281" s="309"/>
      <c r="S281" s="309"/>
      <c r="T281" s="309"/>
      <c r="U281" s="309"/>
    </row>
    <row r="282" spans="1:21" ht="19.5" hidden="1">
      <c r="A282" s="155"/>
      <c r="B282" s="50"/>
      <c r="C282" s="156" t="s">
        <v>18</v>
      </c>
      <c r="D282" s="575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541">
        <f ca="1">L283+L284</f>
        <v>0</v>
      </c>
      <c r="M282" s="540">
        <f ca="1">M283+M284</f>
        <v>0</v>
      </c>
      <c r="N282" s="540">
        <f ca="1">N283+N284</f>
        <v>0</v>
      </c>
      <c r="O282" s="540">
        <f ca="1">IF(L282&gt;0,N282*100/L282,0)</f>
        <v>0</v>
      </c>
      <c r="P282" s="540">
        <f ca="1">IF(M282&gt;0,N282*100/M282,0)</f>
        <v>0</v>
      </c>
      <c r="Q282" s="540">
        <f>Q283+Q284</f>
        <v>0</v>
      </c>
      <c r="R282" s="540">
        <f>R283+R284</f>
        <v>0</v>
      </c>
      <c r="S282" s="540">
        <f>S283+S284</f>
        <v>0</v>
      </c>
      <c r="T282" s="540">
        <f>IF(Q282&gt;0,S282*100/Q282,0)</f>
        <v>0</v>
      </c>
      <c r="U282" s="540">
        <f>IF(R282&gt;0,S282*100/R282,0)</f>
        <v>0</v>
      </c>
    </row>
    <row r="283" spans="1:21" ht="18.75" hidden="1">
      <c r="A283" s="155"/>
      <c r="B283" s="50"/>
      <c r="C283" s="50"/>
      <c r="D283" s="50"/>
      <c r="E283" s="186" t="s">
        <v>20</v>
      </c>
      <c r="F283" s="50"/>
      <c r="G283" s="52"/>
      <c r="H283" s="187" t="s">
        <v>14</v>
      </c>
      <c r="I283" s="54"/>
      <c r="J283" s="54"/>
      <c r="K283" s="55"/>
      <c r="L283" s="103">
        <f>L286+L289</f>
        <v>0</v>
      </c>
      <c r="M283" s="102">
        <f>M286+M289</f>
        <v>0</v>
      </c>
      <c r="N283" s="102">
        <f>N286+N289</f>
        <v>0</v>
      </c>
      <c r="O283" s="102">
        <f>IF(L283&gt;0,N283*100/L283,0)</f>
        <v>0</v>
      </c>
      <c r="P283" s="102">
        <f>IF(M283&gt;0,N283*100/M283,0)</f>
        <v>0</v>
      </c>
      <c r="Q283" s="102">
        <f>Q286+Q289</f>
        <v>0</v>
      </c>
      <c r="R283" s="102">
        <f>R286+R289</f>
        <v>0</v>
      </c>
      <c r="S283" s="102">
        <f>S286+S289</f>
        <v>0</v>
      </c>
      <c r="T283" s="102">
        <f>IF(Q283&gt;0,S283*100/Q283,0)</f>
        <v>0</v>
      </c>
      <c r="U283" s="102">
        <f>IF(R283&gt;0,S283*100/R283,0)</f>
        <v>0</v>
      </c>
    </row>
    <row r="284" spans="1:21" ht="18.75" hidden="1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256">
        <f ca="1">L287+L290</f>
        <v>0</v>
      </c>
      <c r="M284" s="255">
        <f ca="1">M287+M290</f>
        <v>0</v>
      </c>
      <c r="N284" s="255">
        <f ca="1">N287+N290</f>
        <v>0</v>
      </c>
      <c r="O284" s="255">
        <f ca="1">IF(L284&gt;0,N284*100/L284,0)</f>
        <v>0</v>
      </c>
      <c r="P284" s="255">
        <f ca="1">IF(M284&gt;0,N284*100/M284,0)</f>
        <v>0</v>
      </c>
      <c r="Q284" s="255">
        <f>Q287+Q290</f>
        <v>0</v>
      </c>
      <c r="R284" s="255">
        <f>R287+R290</f>
        <v>0</v>
      </c>
      <c r="S284" s="255">
        <f>S287+S290</f>
        <v>0</v>
      </c>
      <c r="T284" s="255">
        <f>IF(Q284&gt;0,S284*100/Q284,0)</f>
        <v>0</v>
      </c>
      <c r="U284" s="255">
        <f>IF(R284&gt;0,S284*100/R284,0)</f>
        <v>0</v>
      </c>
    </row>
    <row r="285" spans="1:21" ht="18.75" hidden="1">
      <c r="A285" s="155"/>
      <c r="B285" s="50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256">
        <f ca="1">L286+L287</f>
        <v>0</v>
      </c>
      <c r="M285" s="255">
        <f ca="1">M286+M287</f>
        <v>0</v>
      </c>
      <c r="N285" s="255">
        <f ca="1">N286+N287</f>
        <v>0</v>
      </c>
      <c r="O285" s="255">
        <f ca="1">IF(L285&gt;0,N285*100/L285,0)</f>
        <v>0</v>
      </c>
      <c r="P285" s="255">
        <f ca="1">IF(M285&gt;0,N285*100/M285,0)</f>
        <v>0</v>
      </c>
      <c r="Q285" s="255">
        <f>Q286+Q287</f>
        <v>0</v>
      </c>
      <c r="R285" s="255">
        <f>R286+R287</f>
        <v>0</v>
      </c>
      <c r="S285" s="255">
        <f>S286+S287</f>
        <v>0</v>
      </c>
      <c r="T285" s="255">
        <f>IF(Q285&gt;0,S285*100/Q285,0)</f>
        <v>0</v>
      </c>
      <c r="U285" s="255">
        <f>IF(R285&gt;0,S285*100/R285,0)</f>
        <v>0</v>
      </c>
    </row>
    <row r="286" spans="1:21" ht="18.75" hidden="1">
      <c r="A286" s="155"/>
      <c r="B286" s="50"/>
      <c r="C286" s="50"/>
      <c r="D286" s="50"/>
      <c r="E286" s="186" t="s">
        <v>36</v>
      </c>
      <c r="F286" s="50"/>
      <c r="G286" s="52"/>
      <c r="H286" s="189" t="s">
        <v>14</v>
      </c>
      <c r="I286" s="163"/>
      <c r="J286" s="163"/>
      <c r="K286" s="164"/>
      <c r="L286" s="103">
        <v>0</v>
      </c>
      <c r="M286" s="102">
        <v>0</v>
      </c>
      <c r="N286" s="102">
        <v>0</v>
      </c>
      <c r="O286" s="102">
        <f>IF(L286&gt;0,N286*100/L286,0)</f>
        <v>0</v>
      </c>
      <c r="P286" s="102">
        <f>IF(M286&gt;0,N286*100/M286,0)</f>
        <v>0</v>
      </c>
      <c r="Q286" s="102">
        <v>0</v>
      </c>
      <c r="R286" s="102">
        <v>0</v>
      </c>
      <c r="S286" s="102">
        <v>0</v>
      </c>
      <c r="T286" s="102">
        <f>IF(Q286&gt;0,S286*100/Q286,0)</f>
        <v>0</v>
      </c>
      <c r="U286" s="102">
        <f>IF(R286&gt;0,S286*100/R286,0)</f>
        <v>0</v>
      </c>
    </row>
    <row r="287" spans="1:21" ht="18.75" hidden="1">
      <c r="A287" s="155"/>
      <c r="B287" s="50"/>
      <c r="C287" s="50"/>
      <c r="D287" s="50"/>
      <c r="E287" s="58" t="s">
        <v>37</v>
      </c>
      <c r="F287" s="50"/>
      <c r="G287" s="52"/>
      <c r="H287" s="162" t="s">
        <v>14</v>
      </c>
      <c r="I287" s="163"/>
      <c r="J287" s="163"/>
      <c r="K287" s="164"/>
      <c r="L287" s="256">
        <f ca="1">IFERROR(__xludf.DUMMYFUNCTION("IMPORTRANGE(""https://docs.google.com/spreadsheets/d/1-uDff_7J0KD5mKrp0Vvzr7lt3OU09vwQwhkpOPPYv2Y/edit?usp=sharing"",""งบพรบ!DO40"")"),0)</f>
        <v>0</v>
      </c>
      <c r="M287" s="255">
        <f ca="1">IFERROR(__xludf.DUMMYFUNCTION("IMPORTRANGE(""https://docs.google.com/spreadsheets/d/1-uDff_7J0KD5mKrp0Vvzr7lt3OU09vwQwhkpOPPYv2Y/edit?usp=sharing"",""งบพรบ!DT40"")"),0)</f>
        <v>0</v>
      </c>
      <c r="N287" s="255">
        <f ca="1">IFERROR(__xludf.DUMMYFUNCTION("IMPORTRANGE(""https://docs.google.com/spreadsheets/d/1-uDff_7J0KD5mKrp0Vvzr7lt3OU09vwQwhkpOPPYv2Y/edit?usp=sharing"",""งบพรบ!DV40"")"),0)</f>
        <v>0</v>
      </c>
      <c r="O287" s="255">
        <f ca="1">IF(L287&gt;0,N287*100/L287,0)</f>
        <v>0</v>
      </c>
      <c r="P287" s="255">
        <f ca="1">IF(M287&gt;0,N287*100/M287,0)</f>
        <v>0</v>
      </c>
      <c r="Q287" s="255">
        <v>0</v>
      </c>
      <c r="R287" s="255">
        <v>0</v>
      </c>
      <c r="S287" s="255">
        <v>0</v>
      </c>
      <c r="T287" s="102">
        <f>IF(Q287&gt;0,S287*100/Q287,0)</f>
        <v>0</v>
      </c>
      <c r="U287" s="102">
        <f>IF(R287&gt;0,S287*100/R287,0)</f>
        <v>0</v>
      </c>
    </row>
    <row r="288" spans="1:21" ht="18.75" hidden="1">
      <c r="A288" s="155"/>
      <c r="B288" s="50"/>
      <c r="C288" s="50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256">
        <f ca="1">L289+L290</f>
        <v>0</v>
      </c>
      <c r="M288" s="255">
        <f ca="1">M289+M290</f>
        <v>0</v>
      </c>
      <c r="N288" s="255">
        <f ca="1">N289+N290</f>
        <v>0</v>
      </c>
      <c r="O288" s="255">
        <f ca="1">IF(L288&gt;0,N288*100/L288,0)</f>
        <v>0</v>
      </c>
      <c r="P288" s="255">
        <f ca="1">IF(M288&gt;0,N288*100/M288,0)</f>
        <v>0</v>
      </c>
      <c r="Q288" s="255">
        <f>Q289+Q290</f>
        <v>0</v>
      </c>
      <c r="R288" s="255">
        <f>R289+R290</f>
        <v>0</v>
      </c>
      <c r="S288" s="255">
        <f>S289+S290</f>
        <v>0</v>
      </c>
      <c r="T288" s="255">
        <f>IF(Q288&gt;0,S288*100/Q288,0)</f>
        <v>0</v>
      </c>
      <c r="U288" s="255">
        <f>IF(R288&gt;0,S288*100/R288,0)</f>
        <v>0</v>
      </c>
    </row>
    <row r="289" spans="1:21" ht="18.75" hidden="1">
      <c r="A289" s="155"/>
      <c r="B289" s="50"/>
      <c r="C289" s="50"/>
      <c r="D289" s="50"/>
      <c r="E289" s="186" t="s">
        <v>20</v>
      </c>
      <c r="F289" s="50"/>
      <c r="G289" s="52"/>
      <c r="H289" s="189" t="s">
        <v>14</v>
      </c>
      <c r="I289" s="163"/>
      <c r="J289" s="163"/>
      <c r="K289" s="164"/>
      <c r="L289" s="103">
        <v>0</v>
      </c>
      <c r="M289" s="102">
        <v>0</v>
      </c>
      <c r="N289" s="102">
        <v>0</v>
      </c>
      <c r="O289" s="102">
        <f>IF(L289&gt;0,N289*100/L289,0)</f>
        <v>0</v>
      </c>
      <c r="P289" s="102">
        <f>IF(M289&gt;0,N289*100/M289,0)</f>
        <v>0</v>
      </c>
      <c r="Q289" s="102">
        <v>0</v>
      </c>
      <c r="R289" s="102">
        <v>0</v>
      </c>
      <c r="S289" s="102">
        <v>0</v>
      </c>
      <c r="T289" s="102">
        <f>IF(Q289&gt;0,S289*100/Q289,0)</f>
        <v>0</v>
      </c>
      <c r="U289" s="102">
        <f>IF(R289&gt;0,S289*100/R289,0)</f>
        <v>0</v>
      </c>
    </row>
    <row r="290" spans="1:21" ht="18.75" hidden="1">
      <c r="A290" s="155"/>
      <c r="B290" s="50"/>
      <c r="C290" s="50"/>
      <c r="D290" s="50"/>
      <c r="E290" s="58" t="s">
        <v>21</v>
      </c>
      <c r="F290" s="50"/>
      <c r="G290" s="52"/>
      <c r="H290" s="165" t="s">
        <v>14</v>
      </c>
      <c r="I290" s="163"/>
      <c r="J290" s="163"/>
      <c r="K290" s="164"/>
      <c r="L290" s="256">
        <f ca="1">IFERROR(__xludf.DUMMYFUNCTION("IMPORTRANGE(""https://docs.google.com/spreadsheets/d/1-uDff_7J0KD5mKrp0Vvzr7lt3OU09vwQwhkpOPPYv2Y/edit?usp=sharing"",""งบพรบ!DR40"")"),0)</f>
        <v>0</v>
      </c>
      <c r="M290" s="255">
        <f ca="1">IFERROR(__xludf.DUMMYFUNCTION("IMPORTRANGE(""https://docs.google.com/spreadsheets/d/1-uDff_7J0KD5mKrp0Vvzr7lt3OU09vwQwhkpOPPYv2Y/edit?usp=sharing"",""งบพรบ!DU40"")"),0)</f>
        <v>0</v>
      </c>
      <c r="N290" s="255">
        <f ca="1">IFERROR(__xludf.DUMMYFUNCTION("IMPORTRANGE(""https://docs.google.com/spreadsheets/d/1-uDff_7J0KD5mKrp0Vvzr7lt3OU09vwQwhkpOPPYv2Y/edit?usp=sharing"",""งบพรบ!DW40"")"),0)</f>
        <v>0</v>
      </c>
      <c r="O290" s="255">
        <f ca="1">IF(L290&gt;0,N290*100/L290,0)</f>
        <v>0</v>
      </c>
      <c r="P290" s="255">
        <f ca="1">IF(M290&gt;0,N290*100/M290,0)</f>
        <v>0</v>
      </c>
      <c r="Q290" s="255">
        <v>0</v>
      </c>
      <c r="R290" s="255">
        <v>0</v>
      </c>
      <c r="S290" s="255">
        <v>0</v>
      </c>
      <c r="T290" s="255">
        <f>IF(Q290&gt;0,S290*100/Q290,0)</f>
        <v>0</v>
      </c>
      <c r="U290" s="255">
        <f>IF(R290&gt;0,S290*100/R290,0)</f>
        <v>0</v>
      </c>
    </row>
    <row r="291" spans="1:21" ht="19.5" hidden="1">
      <c r="A291" s="166"/>
      <c r="B291" s="167"/>
      <c r="C291" s="156" t="s">
        <v>18</v>
      </c>
      <c r="D291" s="566" t="s">
        <v>38</v>
      </c>
      <c r="E291" s="169"/>
      <c r="F291" s="169"/>
      <c r="G291" s="170"/>
      <c r="H291" s="171"/>
      <c r="I291" s="163"/>
      <c r="J291" s="163"/>
      <c r="K291" s="164"/>
      <c r="L291" s="172"/>
      <c r="M291" s="164"/>
      <c r="N291" s="164"/>
      <c r="O291" s="164"/>
      <c r="P291" s="164"/>
      <c r="Q291" s="164"/>
      <c r="R291" s="164"/>
      <c r="S291" s="164"/>
      <c r="T291" s="164"/>
      <c r="U291" s="164"/>
    </row>
    <row r="292" spans="1:21" ht="18.75" hidden="1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212">
        <f ca="1">IFERROR(__xludf.DUMMYFUNCTION("IMPORTRANGE(""https://docs.google.com/spreadsheets/d/1eHaY18a8A9IcSdp1K8H6x8fbOy06t2VsZHhMHf-1x7Y/edit?usp=sharing"",""แผน!EE40"")"),0)</f>
        <v>0</v>
      </c>
      <c r="J292" s="467">
        <v>0</v>
      </c>
      <c r="K292" s="565">
        <f ca="1">IF(I292&gt;0,J292*100/I292,0)</f>
        <v>0</v>
      </c>
      <c r="L292" s="172"/>
      <c r="M292" s="164"/>
      <c r="N292" s="164"/>
      <c r="O292" s="164"/>
      <c r="P292" s="164"/>
      <c r="Q292" s="164"/>
      <c r="R292" s="164"/>
      <c r="S292" s="164"/>
      <c r="T292" s="164"/>
      <c r="U292" s="164"/>
    </row>
    <row r="293" spans="1:21" ht="19.5" hidden="1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373">
        <f ca="1">IFERROR(__xludf.DUMMYFUNCTION("IMPORTRANGE(""https://docs.google.com/spreadsheets/d/1eHaY18a8A9IcSdp1K8H6x8fbOy06t2VsZHhMHf-1x7Y/edit?usp=sharing"",""แผน!ED40"")"),0)</f>
        <v>0</v>
      </c>
      <c r="J293" s="373">
        <f>J296</f>
        <v>0</v>
      </c>
      <c r="K293" s="642">
        <f ca="1">IF(I293&gt;0,J293*100/I293,0)</f>
        <v>0</v>
      </c>
      <c r="L293" s="172"/>
      <c r="M293" s="164"/>
      <c r="N293" s="164"/>
      <c r="O293" s="164"/>
      <c r="P293" s="164"/>
      <c r="Q293" s="164"/>
      <c r="R293" s="164"/>
      <c r="S293" s="164"/>
      <c r="T293" s="164"/>
      <c r="U293" s="164"/>
    </row>
    <row r="294" spans="1:21" ht="19.5" hidden="1">
      <c r="A294" s="166"/>
      <c r="B294" s="167"/>
      <c r="C294" s="167"/>
      <c r="D294" s="174"/>
      <c r="E294" s="194" t="s">
        <v>122</v>
      </c>
      <c r="F294" s="174"/>
      <c r="G294" s="171"/>
      <c r="H294" s="171"/>
      <c r="I294" s="163"/>
      <c r="J294" s="54"/>
      <c r="K294" s="164"/>
      <c r="L294" s="172"/>
      <c r="M294" s="164"/>
      <c r="N294" s="164"/>
      <c r="O294" s="164"/>
      <c r="P294" s="164"/>
      <c r="Q294" s="164"/>
      <c r="R294" s="164"/>
      <c r="S294" s="164"/>
      <c r="T294" s="164"/>
      <c r="U294" s="164"/>
    </row>
    <row r="295" spans="1:21" ht="19.5" hidden="1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641">
        <f ca="1">IFERROR(__xludf.DUMMYFUNCTION("IMPORTRANGE(""https://docs.google.com/spreadsheets/d/1eHaY18a8A9IcSdp1K8H6x8fbOy06t2VsZHhMHf-1x7Y/edit?usp=sharing"",""แผน!ED40"")"),0)</f>
        <v>0</v>
      </c>
      <c r="J295" s="467">
        <v>0</v>
      </c>
      <c r="K295" s="565">
        <f ca="1">IF(I295&gt;0,J295*100/I295,0)</f>
        <v>0</v>
      </c>
      <c r="L295" s="172"/>
      <c r="M295" s="164"/>
      <c r="N295" s="164"/>
      <c r="O295" s="164"/>
      <c r="P295" s="164"/>
      <c r="Q295" s="164"/>
      <c r="R295" s="164"/>
      <c r="S295" s="164"/>
      <c r="T295" s="164"/>
      <c r="U295" s="164"/>
    </row>
    <row r="296" spans="1:21" ht="19.5" hidden="1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641">
        <f ca="1">IFERROR(__xludf.DUMMYFUNCTION("IMPORTRANGE(""https://docs.google.com/spreadsheets/d/1eHaY18a8A9IcSdp1K8H6x8fbOy06t2VsZHhMHf-1x7Y/edit?usp=sharing"",""แผน!ED40"")"),0)</f>
        <v>0</v>
      </c>
      <c r="J296" s="467">
        <v>0</v>
      </c>
      <c r="K296" s="565">
        <f ca="1">IF(I296&gt;0,J296*100/I296,0)</f>
        <v>0</v>
      </c>
      <c r="L296" s="172"/>
      <c r="M296" s="164"/>
      <c r="N296" s="164"/>
      <c r="O296" s="164"/>
      <c r="P296" s="164"/>
      <c r="Q296" s="164"/>
      <c r="R296" s="164"/>
      <c r="S296" s="164"/>
      <c r="T296" s="164"/>
      <c r="U296" s="164"/>
    </row>
    <row r="297" spans="1:21" ht="12.75" hidden="1">
      <c r="A297" s="192"/>
      <c r="B297" s="193"/>
      <c r="C297" s="193"/>
      <c r="D297" s="22"/>
      <c r="E297" s="22"/>
      <c r="F297" s="22"/>
      <c r="G297" s="23"/>
      <c r="H297" s="23"/>
      <c r="I297" s="24"/>
      <c r="J297" s="24"/>
      <c r="K297" s="25"/>
      <c r="L297" s="26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2.75" hidden="1">
      <c r="A298" s="192"/>
      <c r="B298" s="193"/>
      <c r="C298" s="193"/>
      <c r="D298" s="22"/>
      <c r="E298" s="22"/>
      <c r="F298" s="22"/>
      <c r="G298" s="23"/>
      <c r="H298" s="23"/>
      <c r="I298" s="24"/>
      <c r="J298" s="24"/>
      <c r="K298" s="25"/>
      <c r="L298" s="26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2.75" hidden="1">
      <c r="A299" s="311"/>
      <c r="B299" s="312"/>
      <c r="C299" s="312"/>
      <c r="D299" s="27"/>
      <c r="E299" s="27"/>
      <c r="F299" s="27"/>
      <c r="G299" s="17"/>
      <c r="H299" s="17"/>
      <c r="I299" s="18"/>
      <c r="J299" s="18"/>
      <c r="K299" s="19"/>
      <c r="L299" s="28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>
      <c r="A300" s="313" t="s">
        <v>125</v>
      </c>
      <c r="B300" s="314"/>
      <c r="C300" s="314"/>
      <c r="D300" s="314"/>
      <c r="E300" s="315"/>
      <c r="F300" s="315"/>
      <c r="G300" s="315"/>
      <c r="H300" s="315"/>
      <c r="I300" s="316"/>
      <c r="J300" s="316"/>
      <c r="K300" s="317"/>
      <c r="L300" s="317"/>
      <c r="M300" s="317"/>
      <c r="N300" s="317"/>
      <c r="O300" s="317"/>
      <c r="P300" s="318"/>
      <c r="Q300" s="317"/>
      <c r="R300" s="317"/>
      <c r="S300" s="317"/>
      <c r="T300" s="317"/>
      <c r="U300" s="318"/>
    </row>
    <row r="301" spans="1:21" ht="19.5">
      <c r="A301" s="319" t="s">
        <v>126</v>
      </c>
      <c r="B301" s="320"/>
      <c r="C301" s="320"/>
      <c r="D301" s="321"/>
      <c r="E301" s="321"/>
      <c r="F301" s="321"/>
      <c r="G301" s="322"/>
      <c r="H301" s="322"/>
      <c r="I301" s="323"/>
      <c r="J301" s="323"/>
      <c r="K301" s="324"/>
      <c r="L301" s="325"/>
      <c r="M301" s="324"/>
      <c r="N301" s="324"/>
      <c r="O301" s="324"/>
      <c r="P301" s="324"/>
      <c r="Q301" s="324"/>
      <c r="R301" s="324"/>
      <c r="S301" s="324"/>
      <c r="T301" s="324"/>
      <c r="U301" s="324"/>
    </row>
    <row r="302" spans="1:21" ht="19.5">
      <c r="A302" s="326"/>
      <c r="B302" s="327" t="s">
        <v>127</v>
      </c>
      <c r="C302" s="328"/>
      <c r="D302" s="328"/>
      <c r="E302" s="328"/>
      <c r="F302" s="328"/>
      <c r="G302" s="329"/>
      <c r="H302" s="330" t="s">
        <v>35</v>
      </c>
      <c r="I302" s="605">
        <f ca="1">I314</f>
        <v>20</v>
      </c>
      <c r="J302" s="605">
        <f>J314</f>
        <v>20</v>
      </c>
      <c r="K302" s="604">
        <f ca="1">IF(I302&gt;0,J302*100/I302,0)</f>
        <v>100</v>
      </c>
      <c r="L302" s="334"/>
      <c r="M302" s="333"/>
      <c r="N302" s="333"/>
      <c r="O302" s="333"/>
      <c r="P302" s="333"/>
      <c r="Q302" s="333"/>
      <c r="R302" s="333"/>
      <c r="S302" s="333"/>
      <c r="T302" s="333"/>
      <c r="U302" s="333"/>
    </row>
    <row r="303" spans="1:21" ht="19.5">
      <c r="A303" s="155"/>
      <c r="B303" s="50"/>
      <c r="C303" s="156" t="s">
        <v>18</v>
      </c>
      <c r="D303" s="575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541">
        <f ca="1">L304+L305</f>
        <v>133500</v>
      </c>
      <c r="M303" s="540">
        <f ca="1">M304+M305</f>
        <v>133500</v>
      </c>
      <c r="N303" s="540">
        <f ca="1">N304+N305</f>
        <v>118900</v>
      </c>
      <c r="O303" s="540">
        <f ca="1">IF(L303&gt;0,N303*100/L303,0)</f>
        <v>89.063670411985015</v>
      </c>
      <c r="P303" s="540">
        <f ca="1">IF(M303&gt;0,N303*100/M303,0)</f>
        <v>89.063670411985015</v>
      </c>
      <c r="Q303" s="540">
        <f ca="1">Q304+Q305</f>
        <v>144609.24</v>
      </c>
      <c r="R303" s="540">
        <f ca="1">R304+R305</f>
        <v>144609</v>
      </c>
      <c r="S303" s="540">
        <f ca="1">S304+S305</f>
        <v>0</v>
      </c>
      <c r="T303" s="540">
        <f ca="1">IF(Q303&gt;0,S303*100/Q303,0)</f>
        <v>0</v>
      </c>
      <c r="U303" s="540">
        <f ca="1">IF(R303&gt;0,S303*100/R303,0)</f>
        <v>0</v>
      </c>
    </row>
    <row r="304" spans="1:21" ht="18.75" hidden="1">
      <c r="A304" s="155"/>
      <c r="B304" s="50"/>
      <c r="C304" s="50"/>
      <c r="D304" s="50"/>
      <c r="E304" s="186" t="s">
        <v>20</v>
      </c>
      <c r="F304" s="50"/>
      <c r="G304" s="52"/>
      <c r="H304" s="187" t="s">
        <v>14</v>
      </c>
      <c r="I304" s="54"/>
      <c r="J304" s="54"/>
      <c r="K304" s="55"/>
      <c r="L304" s="103">
        <f>L307+L310</f>
        <v>0</v>
      </c>
      <c r="M304" s="102">
        <f>M307+M310</f>
        <v>0</v>
      </c>
      <c r="N304" s="102">
        <f>N307+N310</f>
        <v>0</v>
      </c>
      <c r="O304" s="102">
        <f>IF(L304&gt;0,N304*100/L304,0)</f>
        <v>0</v>
      </c>
      <c r="P304" s="102">
        <f>IF(M304&gt;0,N304*100/M304,0)</f>
        <v>0</v>
      </c>
      <c r="Q304" s="102">
        <f>Q307+Q310</f>
        <v>0</v>
      </c>
      <c r="R304" s="102">
        <f>R307+R310</f>
        <v>0</v>
      </c>
      <c r="S304" s="102">
        <f>S307+S310</f>
        <v>0</v>
      </c>
      <c r="T304" s="102">
        <f>IF(Q304&gt;0,S304*100/Q304,0)</f>
        <v>0</v>
      </c>
      <c r="U304" s="102">
        <f>IF(R304&gt;0,S304*100/R304,0)</f>
        <v>0</v>
      </c>
    </row>
    <row r="305" spans="1:21" ht="18.75" hidden="1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256">
        <f ca="1">L308+L311</f>
        <v>133500</v>
      </c>
      <c r="M305" s="255">
        <f ca="1">M308+M311</f>
        <v>133500</v>
      </c>
      <c r="N305" s="255">
        <f ca="1">N308+N311</f>
        <v>118900</v>
      </c>
      <c r="O305" s="255">
        <f ca="1">IF(L305&gt;0,N305*100/L305,0)</f>
        <v>89.063670411985015</v>
      </c>
      <c r="P305" s="255">
        <f ca="1">IF(M305&gt;0,N305*100/M305,0)</f>
        <v>89.063670411985015</v>
      </c>
      <c r="Q305" s="255">
        <f ca="1">Q308+Q311</f>
        <v>144609.24</v>
      </c>
      <c r="R305" s="255">
        <f ca="1">R308+R311</f>
        <v>144609</v>
      </c>
      <c r="S305" s="255">
        <f ca="1">S308+S311</f>
        <v>0</v>
      </c>
      <c r="T305" s="255">
        <f ca="1">IF(Q305&gt;0,S305*100/Q305,0)</f>
        <v>0</v>
      </c>
      <c r="U305" s="255">
        <f ca="1">IF(R305&gt;0,S305*100/R305,0)</f>
        <v>0</v>
      </c>
    </row>
    <row r="306" spans="1:21" ht="18.75">
      <c r="A306" s="155"/>
      <c r="B306" s="50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256">
        <f ca="1">L307+L308</f>
        <v>133500</v>
      </c>
      <c r="M306" s="255">
        <f ca="1">M307+M308</f>
        <v>133500</v>
      </c>
      <c r="N306" s="255">
        <f ca="1">N307+N308</f>
        <v>118900</v>
      </c>
      <c r="O306" s="255">
        <f ca="1">IF(L306&gt;0,N306*100/L306,0)</f>
        <v>89.063670411985015</v>
      </c>
      <c r="P306" s="255">
        <f ca="1">IF(M306&gt;0,N306*100/M306,0)</f>
        <v>89.063670411985015</v>
      </c>
      <c r="Q306" s="255">
        <f ca="1">Q307+Q308</f>
        <v>144609.24</v>
      </c>
      <c r="R306" s="255">
        <f ca="1">R307+R308</f>
        <v>144609</v>
      </c>
      <c r="S306" s="255">
        <f ca="1">S307+S308</f>
        <v>0</v>
      </c>
      <c r="T306" s="255">
        <f ca="1">IF(Q306&gt;0,S306*100/Q306,0)</f>
        <v>0</v>
      </c>
      <c r="U306" s="255">
        <f ca="1">IF(R306&gt;0,S306*100/R306,0)</f>
        <v>0</v>
      </c>
    </row>
    <row r="307" spans="1:21" ht="18.75" hidden="1">
      <c r="A307" s="155"/>
      <c r="B307" s="50"/>
      <c r="C307" s="50"/>
      <c r="D307" s="50"/>
      <c r="E307" s="186" t="s">
        <v>36</v>
      </c>
      <c r="F307" s="50"/>
      <c r="G307" s="52"/>
      <c r="H307" s="189" t="s">
        <v>14</v>
      </c>
      <c r="I307" s="163"/>
      <c r="J307" s="163"/>
      <c r="K307" s="164"/>
      <c r="L307" s="103">
        <v>0</v>
      </c>
      <c r="M307" s="102">
        <v>0</v>
      </c>
      <c r="N307" s="102">
        <v>0</v>
      </c>
      <c r="O307" s="102">
        <f>IF(L307&gt;0,N307*100/L307,0)</f>
        <v>0</v>
      </c>
      <c r="P307" s="102">
        <f>IF(M307&gt;0,N307*100/M307,0)</f>
        <v>0</v>
      </c>
      <c r="Q307" s="102">
        <v>0</v>
      </c>
      <c r="R307" s="102">
        <v>0</v>
      </c>
      <c r="S307" s="102">
        <v>0</v>
      </c>
      <c r="T307" s="102">
        <f>IF(Q307&gt;0,S307*100/Q307,0)</f>
        <v>0</v>
      </c>
      <c r="U307" s="102">
        <f>IF(R307&gt;0,S307*100/R307,0)</f>
        <v>0</v>
      </c>
    </row>
    <row r="308" spans="1:21" ht="18.75" hidden="1">
      <c r="A308" s="155"/>
      <c r="B308" s="50"/>
      <c r="C308" s="50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256">
        <f ca="1">IFERROR(__xludf.DUMMYFUNCTION("IMPORTRANGE(""https://docs.google.com/spreadsheets/d/1-uDff_7J0KD5mKrp0Vvzr7lt3OU09vwQwhkpOPPYv2Y/edit?usp=sharing"",""งบพรบ!DY40"")"),133500)</f>
        <v>133500</v>
      </c>
      <c r="M308" s="255">
        <f ca="1">IFERROR(__xludf.DUMMYFUNCTION("IMPORTRANGE(""https://docs.google.com/spreadsheets/d/1-uDff_7J0KD5mKrp0Vvzr7lt3OU09vwQwhkpOPPYv2Y/edit?usp=sharing"",""งบพรบ!ED40"")"),133500)</f>
        <v>133500</v>
      </c>
      <c r="N308" s="255">
        <f ca="1">IFERROR(__xludf.DUMMYFUNCTION("IMPORTRANGE(""https://docs.google.com/spreadsheets/d/1-uDff_7J0KD5mKrp0Vvzr7lt3OU09vwQwhkpOPPYv2Y/edit?usp=sharing"",""งบพรบ!EF40"")"),118900)</f>
        <v>118900</v>
      </c>
      <c r="O308" s="255">
        <f ca="1">IF(L308&gt;0,N308*100/L308,0)</f>
        <v>89.063670411985015</v>
      </c>
      <c r="P308" s="255">
        <f ca="1">IF(M308&gt;0,N308*100/M308,0)</f>
        <v>89.063670411985015</v>
      </c>
      <c r="Q308" s="255">
        <f ca="1">IFERROR(__xludf.DUMMYFUNCTION("IMPORTRANGE(""https://docs.google.com/spreadsheets/d/1ItG2mGa2ceCfYo0BwxsXqNm01IGEUdYcSSLTEv9YCik/edit?usp=sharing"",""เบิกจ่ายกองทุน!AP40"")"),144609.24)</f>
        <v>144609.24</v>
      </c>
      <c r="R308" s="255">
        <f ca="1">IFERROR(__xludf.DUMMYFUNCTION("IMPORTRANGE(""https://docs.google.com/spreadsheets/d/1ItG2mGa2ceCfYo0BwxsXqNm01IGEUdYcSSLTEv9YCik/edit?usp=sharing"",""เบิกจ่ายกองทุน!AQ40"")"),144609)</f>
        <v>144609</v>
      </c>
      <c r="S308" s="255">
        <f ca="1">IFERROR(__xludf.DUMMYFUNCTION("IMPORTRANGE(""https://docs.google.com/spreadsheets/d/1ItG2mGa2ceCfYo0BwxsXqNm01IGEUdYcSSLTEv9YCik/edit?usp=sharing"",""เบิกจ่ายกองทุน!AR40"")"),0)</f>
        <v>0</v>
      </c>
      <c r="T308" s="255">
        <f ca="1">IF(Q308&gt;0,S308*100/Q308,0)</f>
        <v>0</v>
      </c>
      <c r="U308" s="255">
        <f ca="1">IF(R308&gt;0,S308*100/R308,0)</f>
        <v>0</v>
      </c>
    </row>
    <row r="309" spans="1:21" ht="18.75">
      <c r="A309" s="155"/>
      <c r="B309" s="50"/>
      <c r="C309" s="50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256">
        <f ca="1">L310+L311</f>
        <v>0</v>
      </c>
      <c r="M309" s="255">
        <f ca="1">M310+M311</f>
        <v>0</v>
      </c>
      <c r="N309" s="255">
        <f ca="1">N310+N311</f>
        <v>0</v>
      </c>
      <c r="O309" s="255">
        <f ca="1">IF(L309&gt;0,N309*100/L309,0)</f>
        <v>0</v>
      </c>
      <c r="P309" s="255">
        <f ca="1">IF(M309&gt;0,N309*100/M309,0)</f>
        <v>0</v>
      </c>
      <c r="Q309" s="255">
        <f>Q310+Q311</f>
        <v>0</v>
      </c>
      <c r="R309" s="255">
        <f>R310+R311</f>
        <v>0</v>
      </c>
      <c r="S309" s="255">
        <f>S310+S311</f>
        <v>0</v>
      </c>
      <c r="T309" s="255">
        <f>IF(Q309&gt;0,S309*100/Q309,0)</f>
        <v>0</v>
      </c>
      <c r="U309" s="255">
        <f>IF(R309&gt;0,S309*100/R309,0)</f>
        <v>0</v>
      </c>
    </row>
    <row r="310" spans="1:21" ht="18.75" hidden="1">
      <c r="A310" s="155"/>
      <c r="B310" s="50"/>
      <c r="C310" s="50"/>
      <c r="D310" s="50"/>
      <c r="E310" s="186" t="s">
        <v>20</v>
      </c>
      <c r="F310" s="50"/>
      <c r="G310" s="52"/>
      <c r="H310" s="189" t="s">
        <v>14</v>
      </c>
      <c r="I310" s="163"/>
      <c r="J310" s="163"/>
      <c r="K310" s="164"/>
      <c r="L310" s="103">
        <v>0</v>
      </c>
      <c r="M310" s="102">
        <v>0</v>
      </c>
      <c r="N310" s="102">
        <v>0</v>
      </c>
      <c r="O310" s="102">
        <f>IF(L310&gt;0,N310*100/L310,0)</f>
        <v>0</v>
      </c>
      <c r="P310" s="102">
        <f>IF(M310&gt;0,N310*100/M310,0)</f>
        <v>0</v>
      </c>
      <c r="Q310" s="102">
        <v>0</v>
      </c>
      <c r="R310" s="102">
        <v>0</v>
      </c>
      <c r="S310" s="102">
        <v>0</v>
      </c>
      <c r="T310" s="102">
        <f>IF(Q310&gt;0,S310*100/Q310,0)</f>
        <v>0</v>
      </c>
      <c r="U310" s="102">
        <f>IF(R310&gt;0,S310*100/R310,0)</f>
        <v>0</v>
      </c>
    </row>
    <row r="311" spans="1:21" ht="18.75" hidden="1">
      <c r="A311" s="155"/>
      <c r="B311" s="50"/>
      <c r="C311" s="50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256">
        <f ca="1">IFERROR(__xludf.DUMMYFUNCTION("IMPORTRANGE(""https://docs.google.com/spreadsheets/d/1-uDff_7J0KD5mKrp0Vvzr7lt3OU09vwQwhkpOPPYv2Y/edit?usp=sharing"",""งบพรบ!EB40"")"),0)</f>
        <v>0</v>
      </c>
      <c r="M311" s="255">
        <f ca="1">IFERROR(__xludf.DUMMYFUNCTION("IMPORTRANGE(""https://docs.google.com/spreadsheets/d/1-uDff_7J0KD5mKrp0Vvzr7lt3OU09vwQwhkpOPPYv2Y/edit?usp=sharing"",""งบพรบ!EE40"")"),0)</f>
        <v>0</v>
      </c>
      <c r="N311" s="255">
        <f ca="1">IFERROR(__xludf.DUMMYFUNCTION("IMPORTRANGE(""https://docs.google.com/spreadsheets/d/1-uDff_7J0KD5mKrp0Vvzr7lt3OU09vwQwhkpOPPYv2Y/edit?usp=sharing"",""งบพรบ!EG40"")"),0)</f>
        <v>0</v>
      </c>
      <c r="O311" s="255">
        <f ca="1">IF(L311&gt;0,N311*100/L311,0)</f>
        <v>0</v>
      </c>
      <c r="P311" s="255">
        <f ca="1">IF(M311&gt;0,N311*100/M311,0)</f>
        <v>0</v>
      </c>
      <c r="Q311" s="255">
        <v>0</v>
      </c>
      <c r="R311" s="255">
        <v>0</v>
      </c>
      <c r="S311" s="255">
        <v>0</v>
      </c>
      <c r="T311" s="255">
        <f>IF(Q311&gt;0,S311*100/Q311,0)</f>
        <v>0</v>
      </c>
      <c r="U311" s="255">
        <f>IF(R311&gt;0,S311*100/R311,0)</f>
        <v>0</v>
      </c>
    </row>
    <row r="312" spans="1:21" ht="19.5">
      <c r="A312" s="166"/>
      <c r="B312" s="167"/>
      <c r="C312" s="156" t="s">
        <v>18</v>
      </c>
      <c r="D312" s="566" t="s">
        <v>38</v>
      </c>
      <c r="E312" s="169"/>
      <c r="F312" s="169"/>
      <c r="G312" s="170"/>
      <c r="H312" s="171"/>
      <c r="I312" s="54"/>
      <c r="J312" s="54"/>
      <c r="K312" s="55"/>
      <c r="L312" s="62"/>
      <c r="M312" s="55"/>
      <c r="N312" s="55"/>
      <c r="O312" s="55"/>
      <c r="P312" s="55"/>
      <c r="Q312" s="55"/>
      <c r="R312" s="55"/>
      <c r="S312" s="55"/>
      <c r="T312" s="55"/>
      <c r="U312" s="55"/>
    </row>
    <row r="313" spans="1:21" ht="18.75" hidden="1">
      <c r="A313" s="192"/>
      <c r="B313" s="193"/>
      <c r="C313" s="193"/>
      <c r="D313" s="640"/>
      <c r="E313" s="22"/>
      <c r="F313" s="22"/>
      <c r="G313" s="23"/>
      <c r="H313" s="23"/>
      <c r="I313" s="24"/>
      <c r="J313" s="638"/>
      <c r="K313" s="25"/>
      <c r="L313" s="26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8.75">
      <c r="A314" s="166"/>
      <c r="B314" s="167"/>
      <c r="C314" s="167"/>
      <c r="D314" s="178" t="s">
        <v>121</v>
      </c>
      <c r="E314" s="174"/>
      <c r="F314" s="174"/>
      <c r="G314" s="171"/>
      <c r="H314" s="179" t="s">
        <v>35</v>
      </c>
      <c r="I314" s="212">
        <f ca="1">IFERROR(__xludf.DUMMYFUNCTION("IMPORTRANGE(""https://docs.google.com/spreadsheets/d/1eHaY18a8A9IcSdp1K8H6x8fbOy06t2VsZHhMHf-1x7Y/edit?usp=sharing"",""แผน!EF40"")"),20)</f>
        <v>20</v>
      </c>
      <c r="J314" s="467">
        <v>20</v>
      </c>
      <c r="K314" s="255">
        <f ca="1">IF(I314&gt;0,J314*100/I314,0)</f>
        <v>100</v>
      </c>
      <c r="L314" s="62"/>
      <c r="M314" s="55"/>
      <c r="N314" s="55"/>
      <c r="O314" s="55"/>
      <c r="P314" s="55"/>
      <c r="Q314" s="55"/>
      <c r="R314" s="55"/>
      <c r="S314" s="55"/>
      <c r="T314" s="55"/>
      <c r="U314" s="55"/>
    </row>
    <row r="315" spans="1:21" ht="18.75" hidden="1">
      <c r="A315" s="192"/>
      <c r="B315" s="193"/>
      <c r="C315" s="193"/>
      <c r="D315" s="640"/>
      <c r="E315" s="22"/>
      <c r="F315" s="22"/>
      <c r="G315" s="23"/>
      <c r="H315" s="639"/>
      <c r="I315" s="638"/>
      <c r="J315" s="638"/>
      <c r="K315" s="637"/>
      <c r="L315" s="26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8.75" hidden="1">
      <c r="A316" s="192"/>
      <c r="B316" s="193"/>
      <c r="C316" s="193"/>
      <c r="D316" s="640"/>
      <c r="E316" s="22"/>
      <c r="F316" s="22"/>
      <c r="G316" s="23"/>
      <c r="H316" s="639"/>
      <c r="I316" s="638"/>
      <c r="J316" s="638"/>
      <c r="K316" s="637"/>
      <c r="L316" s="26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8.75" hidden="1">
      <c r="A317" s="192"/>
      <c r="B317" s="193"/>
      <c r="C317" s="193"/>
      <c r="D317" s="636"/>
      <c r="E317" s="22"/>
      <c r="F317" s="22"/>
      <c r="G317" s="23"/>
      <c r="H317" s="635"/>
      <c r="I317" s="638"/>
      <c r="J317" s="634"/>
      <c r="K317" s="633"/>
      <c r="L317" s="26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9.5" hidden="1">
      <c r="A318" s="319" t="s">
        <v>131</v>
      </c>
      <c r="B318" s="320"/>
      <c r="C318" s="320"/>
      <c r="D318" s="321"/>
      <c r="E318" s="320"/>
      <c r="F318" s="320"/>
      <c r="G318" s="320"/>
      <c r="H318" s="321"/>
      <c r="I318" s="323"/>
      <c r="J318" s="323"/>
      <c r="K318" s="324"/>
      <c r="L318" s="325"/>
      <c r="M318" s="324"/>
      <c r="N318" s="324"/>
      <c r="O318" s="324"/>
      <c r="P318" s="324"/>
      <c r="Q318" s="324"/>
      <c r="R318" s="324"/>
      <c r="S318" s="324"/>
      <c r="T318" s="324"/>
      <c r="U318" s="324"/>
    </row>
    <row r="319" spans="1:21" ht="19.5" hidden="1">
      <c r="A319" s="335"/>
      <c r="B319" s="327" t="s">
        <v>132</v>
      </c>
      <c r="C319" s="336"/>
      <c r="D319" s="337"/>
      <c r="E319" s="328"/>
      <c r="F319" s="328"/>
      <c r="G319" s="329"/>
      <c r="H319" s="330" t="s">
        <v>133</v>
      </c>
      <c r="I319" s="605">
        <f ca="1">I330</f>
        <v>0</v>
      </c>
      <c r="J319" s="605">
        <f>J330</f>
        <v>0</v>
      </c>
      <c r="K319" s="604">
        <f ca="1">IF(I319&gt;0,J319*100/I319,0)</f>
        <v>0</v>
      </c>
      <c r="L319" s="334"/>
      <c r="M319" s="333"/>
      <c r="N319" s="333"/>
      <c r="O319" s="333"/>
      <c r="P319" s="333"/>
      <c r="Q319" s="333"/>
      <c r="R319" s="333"/>
      <c r="S319" s="333"/>
      <c r="T319" s="333"/>
      <c r="U319" s="333"/>
    </row>
    <row r="320" spans="1:21" ht="19.5" hidden="1">
      <c r="A320" s="155"/>
      <c r="B320" s="50"/>
      <c r="C320" s="156" t="s">
        <v>18</v>
      </c>
      <c r="D320" s="575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541">
        <f ca="1">L321+L322</f>
        <v>0</v>
      </c>
      <c r="M320" s="540">
        <f ca="1">M321+M322</f>
        <v>0</v>
      </c>
      <c r="N320" s="540">
        <f ca="1">N321+N322</f>
        <v>0</v>
      </c>
      <c r="O320" s="540">
        <f ca="1">IF(L320&gt;0,N320*100/L320,0)</f>
        <v>0</v>
      </c>
      <c r="P320" s="540">
        <f ca="1">IF(M320&gt;0,N320*100/M320,0)</f>
        <v>0</v>
      </c>
      <c r="Q320" s="540">
        <f>Q321+Q322</f>
        <v>0</v>
      </c>
      <c r="R320" s="540">
        <f>R321+R322</f>
        <v>0</v>
      </c>
      <c r="S320" s="540">
        <f>S321+S322</f>
        <v>0</v>
      </c>
      <c r="T320" s="540">
        <f>IF(Q320&gt;0,S320*100/Q320,0)</f>
        <v>0</v>
      </c>
      <c r="U320" s="540">
        <f>IF(R320&gt;0,S320*100/R320,0)</f>
        <v>0</v>
      </c>
    </row>
    <row r="321" spans="1:21" ht="18.75" hidden="1">
      <c r="A321" s="155"/>
      <c r="B321" s="50"/>
      <c r="C321" s="50"/>
      <c r="D321" s="50"/>
      <c r="E321" s="186" t="s">
        <v>20</v>
      </c>
      <c r="F321" s="50"/>
      <c r="G321" s="52"/>
      <c r="H321" s="187" t="s">
        <v>14</v>
      </c>
      <c r="I321" s="54"/>
      <c r="J321" s="54"/>
      <c r="K321" s="55"/>
      <c r="L321" s="103">
        <f>L324+L327</f>
        <v>0</v>
      </c>
      <c r="M321" s="102">
        <f>M324+M327</f>
        <v>0</v>
      </c>
      <c r="N321" s="102">
        <f>N324+N327</f>
        <v>0</v>
      </c>
      <c r="O321" s="102">
        <f>IF(L321&gt;0,N321*100/L321,0)</f>
        <v>0</v>
      </c>
      <c r="P321" s="102">
        <f>IF(M321&gt;0,N321*100/M321,0)</f>
        <v>0</v>
      </c>
      <c r="Q321" s="102">
        <f>Q324+Q327</f>
        <v>0</v>
      </c>
      <c r="R321" s="102">
        <f>R324+R327</f>
        <v>0</v>
      </c>
      <c r="S321" s="102">
        <f>S324+S327</f>
        <v>0</v>
      </c>
      <c r="T321" s="102">
        <f>IF(Q321&gt;0,S321*100/Q321,0)</f>
        <v>0</v>
      </c>
      <c r="U321" s="102">
        <f>IF(R321&gt;0,S321*100/R321,0)</f>
        <v>0</v>
      </c>
    </row>
    <row r="322" spans="1:21" ht="18.75" hidden="1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256">
        <f ca="1">L325+L328</f>
        <v>0</v>
      </c>
      <c r="M322" s="255">
        <f ca="1">M325+M328</f>
        <v>0</v>
      </c>
      <c r="N322" s="255">
        <f ca="1">N325+N328</f>
        <v>0</v>
      </c>
      <c r="O322" s="255">
        <f ca="1">IF(L322&gt;0,N322*100/L322,0)</f>
        <v>0</v>
      </c>
      <c r="P322" s="255">
        <f ca="1">IF(M322&gt;0,N322*100/M322,0)</f>
        <v>0</v>
      </c>
      <c r="Q322" s="255">
        <f>Q325+Q328</f>
        <v>0</v>
      </c>
      <c r="R322" s="255">
        <f>R325+R328</f>
        <v>0</v>
      </c>
      <c r="S322" s="255">
        <f>S325+S328</f>
        <v>0</v>
      </c>
      <c r="T322" s="255">
        <f>IF(Q322&gt;0,S322*100/Q322,0)</f>
        <v>0</v>
      </c>
      <c r="U322" s="255">
        <f>IF(R322&gt;0,S322*100/R322,0)</f>
        <v>0</v>
      </c>
    </row>
    <row r="323" spans="1:21" ht="18.75" hidden="1">
      <c r="A323" s="155"/>
      <c r="B323" s="50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256">
        <f ca="1">L324+L325</f>
        <v>0</v>
      </c>
      <c r="M323" s="255">
        <f ca="1">M324+M325</f>
        <v>0</v>
      </c>
      <c r="N323" s="255">
        <f ca="1">N324+N325</f>
        <v>0</v>
      </c>
      <c r="O323" s="255">
        <f ca="1">IF(L323&gt;0,N323*100/L323,0)</f>
        <v>0</v>
      </c>
      <c r="P323" s="255">
        <f ca="1">IF(M323&gt;0,N323*100/M323,0)</f>
        <v>0</v>
      </c>
      <c r="Q323" s="255">
        <f>Q324+Q325</f>
        <v>0</v>
      </c>
      <c r="R323" s="255">
        <f>R324+R325</f>
        <v>0</v>
      </c>
      <c r="S323" s="255">
        <f>S324+S325</f>
        <v>0</v>
      </c>
      <c r="T323" s="255">
        <f>IF(Q323&gt;0,S323*100/Q323,0)</f>
        <v>0</v>
      </c>
      <c r="U323" s="255">
        <f>IF(R323&gt;0,S323*100/R323,0)</f>
        <v>0</v>
      </c>
    </row>
    <row r="324" spans="1:21" ht="18.75" hidden="1">
      <c r="A324" s="155"/>
      <c r="B324" s="50"/>
      <c r="C324" s="50"/>
      <c r="D324" s="50"/>
      <c r="E324" s="186" t="s">
        <v>36</v>
      </c>
      <c r="F324" s="50"/>
      <c r="G324" s="52"/>
      <c r="H324" s="189" t="s">
        <v>14</v>
      </c>
      <c r="I324" s="163"/>
      <c r="J324" s="163"/>
      <c r="K324" s="164"/>
      <c r="L324" s="103">
        <v>0</v>
      </c>
      <c r="M324" s="102">
        <v>0</v>
      </c>
      <c r="N324" s="102">
        <v>0</v>
      </c>
      <c r="O324" s="102">
        <f>IF(L324&gt;0,N324*100/L324,0)</f>
        <v>0</v>
      </c>
      <c r="P324" s="102">
        <f>IF(M324&gt;0,N324*100/M324,0)</f>
        <v>0</v>
      </c>
      <c r="Q324" s="102">
        <v>0</v>
      </c>
      <c r="R324" s="102">
        <v>0</v>
      </c>
      <c r="S324" s="102">
        <v>0</v>
      </c>
      <c r="T324" s="102">
        <f>IF(Q324&gt;0,S324*100/Q324,0)</f>
        <v>0</v>
      </c>
      <c r="U324" s="102">
        <f>IF(R324&gt;0,S324*100/R324,0)</f>
        <v>0</v>
      </c>
    </row>
    <row r="325" spans="1:21" ht="18.75" hidden="1">
      <c r="A325" s="155"/>
      <c r="B325" s="50"/>
      <c r="C325" s="50"/>
      <c r="D325" s="50"/>
      <c r="E325" s="58" t="s">
        <v>37</v>
      </c>
      <c r="F325" s="50"/>
      <c r="G325" s="52"/>
      <c r="H325" s="162" t="s">
        <v>14</v>
      </c>
      <c r="I325" s="163"/>
      <c r="J325" s="163"/>
      <c r="K325" s="164"/>
      <c r="L325" s="256">
        <f ca="1">IFERROR(__xludf.DUMMYFUNCTION("IMPORTRANGE(""https://docs.google.com/spreadsheets/d/1-uDff_7J0KD5mKrp0Vvzr7lt3OU09vwQwhkpOPPYv2Y/edit?usp=sharing"",""งบพรบ!EI40"")"),0)</f>
        <v>0</v>
      </c>
      <c r="M325" s="255">
        <f ca="1">IFERROR(__xludf.DUMMYFUNCTION("IMPORTRANGE(""https://docs.google.com/spreadsheets/d/1-uDff_7J0KD5mKrp0Vvzr7lt3OU09vwQwhkpOPPYv2Y/edit?usp=sharing"",""งบพรบ!EN40"")"),0)</f>
        <v>0</v>
      </c>
      <c r="N325" s="255">
        <f ca="1">IFERROR(__xludf.DUMMYFUNCTION("IMPORTRANGE(""https://docs.google.com/spreadsheets/d/1-uDff_7J0KD5mKrp0Vvzr7lt3OU09vwQwhkpOPPYv2Y/edit?usp=sharing"",""งบพรบ!EP40"")"),0)</f>
        <v>0</v>
      </c>
      <c r="O325" s="255">
        <f ca="1">IF(L325&gt;0,N325*100/L325,0)</f>
        <v>0</v>
      </c>
      <c r="P325" s="255">
        <f ca="1">IF(M325&gt;0,N325*100/M325,0)</f>
        <v>0</v>
      </c>
      <c r="Q325" s="255">
        <v>0</v>
      </c>
      <c r="R325" s="255">
        <v>0</v>
      </c>
      <c r="S325" s="255">
        <v>0</v>
      </c>
      <c r="T325" s="255">
        <f>IF(Q325&gt;0,S325*100/Q325,0)</f>
        <v>0</v>
      </c>
      <c r="U325" s="255">
        <f>IF(R325&gt;0,S325*100/R325,0)</f>
        <v>0</v>
      </c>
    </row>
    <row r="326" spans="1:21" ht="18.75" hidden="1">
      <c r="A326" s="155"/>
      <c r="B326" s="50"/>
      <c r="C326" s="50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256">
        <f ca="1">L327+L328</f>
        <v>0</v>
      </c>
      <c r="M326" s="255">
        <f ca="1">M327+M328</f>
        <v>0</v>
      </c>
      <c r="N326" s="255">
        <f ca="1">N327+N328</f>
        <v>0</v>
      </c>
      <c r="O326" s="255">
        <f ca="1">IF(L326&gt;0,N326*100/L326,0)</f>
        <v>0</v>
      </c>
      <c r="P326" s="255">
        <f ca="1">IF(M326&gt;0,N326*100/M326,0)</f>
        <v>0</v>
      </c>
      <c r="Q326" s="255">
        <f>Q327+Q328</f>
        <v>0</v>
      </c>
      <c r="R326" s="255">
        <f>R327+R328</f>
        <v>0</v>
      </c>
      <c r="S326" s="255">
        <f>S327+S328</f>
        <v>0</v>
      </c>
      <c r="T326" s="255">
        <f>IF(Q326&gt;0,S326*100/Q326,0)</f>
        <v>0</v>
      </c>
      <c r="U326" s="255">
        <f>IF(R326&gt;0,S326*100/R326,0)</f>
        <v>0</v>
      </c>
    </row>
    <row r="327" spans="1:21" ht="18.75" hidden="1">
      <c r="A327" s="155"/>
      <c r="B327" s="50"/>
      <c r="C327" s="50"/>
      <c r="D327" s="50"/>
      <c r="E327" s="186" t="s">
        <v>20</v>
      </c>
      <c r="F327" s="50"/>
      <c r="G327" s="52"/>
      <c r="H327" s="189" t="s">
        <v>14</v>
      </c>
      <c r="I327" s="163"/>
      <c r="J327" s="163"/>
      <c r="K327" s="164"/>
      <c r="L327" s="103">
        <v>0</v>
      </c>
      <c r="M327" s="102">
        <v>0</v>
      </c>
      <c r="N327" s="102">
        <v>0</v>
      </c>
      <c r="O327" s="102">
        <f>IF(L327&gt;0,N327*100/L327,0)</f>
        <v>0</v>
      </c>
      <c r="P327" s="102">
        <f>IF(M327&gt;0,N327*100/M327,0)</f>
        <v>0</v>
      </c>
      <c r="Q327" s="102">
        <v>0</v>
      </c>
      <c r="R327" s="102">
        <v>0</v>
      </c>
      <c r="S327" s="102">
        <v>0</v>
      </c>
      <c r="T327" s="102">
        <f>IF(Q327&gt;0,S327*100/Q327,0)</f>
        <v>0</v>
      </c>
      <c r="U327" s="102">
        <f>IF(R327&gt;0,S327*100/R327,0)</f>
        <v>0</v>
      </c>
    </row>
    <row r="328" spans="1:21" ht="18.75" hidden="1">
      <c r="A328" s="155"/>
      <c r="B328" s="50"/>
      <c r="C328" s="50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256">
        <f ca="1">IFERROR(__xludf.DUMMYFUNCTION("IMPORTRANGE(""https://docs.google.com/spreadsheets/d/1-uDff_7J0KD5mKrp0Vvzr7lt3OU09vwQwhkpOPPYv2Y/edit?usp=sharing"",""งบพรบ!EL40"")"),0)</f>
        <v>0</v>
      </c>
      <c r="M328" s="255">
        <f ca="1">IFERROR(__xludf.DUMMYFUNCTION("IMPORTRANGE(""https://docs.google.com/spreadsheets/d/1-uDff_7J0KD5mKrp0Vvzr7lt3OU09vwQwhkpOPPYv2Y/edit?usp=sharing"",""งบพรบ!EO40"")"),0)</f>
        <v>0</v>
      </c>
      <c r="N328" s="255">
        <f ca="1">IFERROR(__xludf.DUMMYFUNCTION("IMPORTRANGE(""https://docs.google.com/spreadsheets/d/1-uDff_7J0KD5mKrp0Vvzr7lt3OU09vwQwhkpOPPYv2Y/edit?usp=sharing"",""งบพรบ!EQ40"")"),0)</f>
        <v>0</v>
      </c>
      <c r="O328" s="255">
        <f ca="1">IF(L328&gt;0,N328*100/L328,0)</f>
        <v>0</v>
      </c>
      <c r="P328" s="255">
        <f ca="1">IF(M328&gt;0,N328*100/M328,0)</f>
        <v>0</v>
      </c>
      <c r="Q328" s="255">
        <v>0</v>
      </c>
      <c r="R328" s="255">
        <v>0</v>
      </c>
      <c r="S328" s="255">
        <v>0</v>
      </c>
      <c r="T328" s="255">
        <f>IF(Q328&gt;0,S328*100/Q328,0)</f>
        <v>0</v>
      </c>
      <c r="U328" s="255">
        <f>IF(R328&gt;0,S328*100/R328,0)</f>
        <v>0</v>
      </c>
    </row>
    <row r="329" spans="1:21" ht="19.5" hidden="1">
      <c r="A329" s="166"/>
      <c r="B329" s="167"/>
      <c r="C329" s="156" t="s">
        <v>18</v>
      </c>
      <c r="D329" s="566" t="s">
        <v>38</v>
      </c>
      <c r="E329" s="169"/>
      <c r="F329" s="169"/>
      <c r="G329" s="170"/>
      <c r="H329" s="171"/>
      <c r="I329" s="163"/>
      <c r="J329" s="54"/>
      <c r="K329" s="55"/>
      <c r="L329" s="62"/>
      <c r="M329" s="55"/>
      <c r="N329" s="55"/>
      <c r="O329" s="164"/>
      <c r="P329" s="164"/>
      <c r="Q329" s="55"/>
      <c r="R329" s="55"/>
      <c r="S329" s="55"/>
      <c r="T329" s="164"/>
      <c r="U329" s="164"/>
    </row>
    <row r="330" spans="1:21" ht="18.75" hidden="1">
      <c r="A330" s="166"/>
      <c r="B330" s="167"/>
      <c r="C330" s="167"/>
      <c r="D330" s="173" t="s">
        <v>134</v>
      </c>
      <c r="E330" s="174"/>
      <c r="F330" s="174"/>
      <c r="G330" s="171"/>
      <c r="H330" s="53" t="s">
        <v>133</v>
      </c>
      <c r="I330" s="212">
        <f ca="1">IFERROR(__xludf.DUMMYFUNCTION("IMPORTRANGE(""https://docs.google.com/spreadsheets/d/1eHaY18a8A9IcSdp1K8H6x8fbOy06t2VsZHhMHf-1x7Y/edit?usp=sharing"",""แผน!EJ40"")"),0)</f>
        <v>0</v>
      </c>
      <c r="J330" s="467">
        <v>0</v>
      </c>
      <c r="K330" s="255">
        <f ca="1">IF(I330&gt;0,J330*100/I330,0)</f>
        <v>0</v>
      </c>
      <c r="L330" s="62"/>
      <c r="M330" s="55"/>
      <c r="N330" s="55"/>
      <c r="O330" s="164"/>
      <c r="P330" s="164"/>
      <c r="Q330" s="55"/>
      <c r="R330" s="55"/>
      <c r="S330" s="55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1"/>
      <c r="I331" s="323"/>
      <c r="J331" s="323"/>
      <c r="K331" s="324"/>
      <c r="L331" s="325"/>
      <c r="M331" s="324"/>
      <c r="N331" s="324"/>
      <c r="O331" s="324"/>
      <c r="P331" s="324"/>
      <c r="Q331" s="324"/>
      <c r="R331" s="324"/>
      <c r="S331" s="324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30" t="s">
        <v>35</v>
      </c>
      <c r="I332" s="632">
        <f ca="1">I344</f>
        <v>1540</v>
      </c>
      <c r="J332" s="631">
        <f ca="1">J344+J347+J348+J349+J353+J354</f>
        <v>6098</v>
      </c>
      <c r="K332" s="630">
        <f ca="1">IF(I332&gt;0,J332*100/I332,0)</f>
        <v>395.97402597402595</v>
      </c>
      <c r="L332" s="334"/>
      <c r="M332" s="333"/>
      <c r="N332" s="333"/>
      <c r="O332" s="333"/>
      <c r="P332" s="333"/>
      <c r="Q332" s="333"/>
      <c r="R332" s="333"/>
      <c r="S332" s="333"/>
      <c r="T332" s="333"/>
      <c r="U332" s="333"/>
    </row>
    <row r="333" spans="1:21" ht="19.5">
      <c r="A333" s="155"/>
      <c r="B333" s="50"/>
      <c r="C333" s="156" t="s">
        <v>18</v>
      </c>
      <c r="D333" s="575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541">
        <f ca="1">L334+L335</f>
        <v>108000</v>
      </c>
      <c r="M333" s="540">
        <f ca="1">M334+M335</f>
        <v>113000</v>
      </c>
      <c r="N333" s="540">
        <f ca="1">N334+N335</f>
        <v>32080</v>
      </c>
      <c r="O333" s="540">
        <f ca="1">IF(L333&gt;0,N333*100/L333,0)</f>
        <v>29.703703703703702</v>
      </c>
      <c r="P333" s="540">
        <f ca="1">IF(M333&gt;0,N333*100/M333,0)</f>
        <v>28.389380530973451</v>
      </c>
      <c r="Q333" s="540">
        <f>Q334+Q335</f>
        <v>0</v>
      </c>
      <c r="R333" s="540">
        <f>R334+R335</f>
        <v>0</v>
      </c>
      <c r="S333" s="540">
        <f>S334+S335</f>
        <v>0</v>
      </c>
      <c r="T333" s="540">
        <f>IF(Q333&gt;0,S333*100/Q333,0)</f>
        <v>0</v>
      </c>
      <c r="U333" s="540">
        <f>IF(R333&gt;0,S333*100/R333,0)</f>
        <v>0</v>
      </c>
    </row>
    <row r="334" spans="1:21" ht="18.75" hidden="1">
      <c r="A334" s="155"/>
      <c r="B334" s="50"/>
      <c r="C334" s="50"/>
      <c r="D334" s="50"/>
      <c r="E334" s="186" t="s">
        <v>20</v>
      </c>
      <c r="F334" s="50"/>
      <c r="G334" s="52"/>
      <c r="H334" s="187" t="s">
        <v>14</v>
      </c>
      <c r="I334" s="54"/>
      <c r="J334" s="54"/>
      <c r="K334" s="55"/>
      <c r="L334" s="103">
        <f>L337+L340</f>
        <v>0</v>
      </c>
      <c r="M334" s="102">
        <f>M337+M340</f>
        <v>0</v>
      </c>
      <c r="N334" s="102">
        <f>N337+N340</f>
        <v>0</v>
      </c>
      <c r="O334" s="102">
        <f>IF(L334&gt;0,N334*100/L334,0)</f>
        <v>0</v>
      </c>
      <c r="P334" s="102">
        <f>IF(M334&gt;0,N334*100/M334,0)</f>
        <v>0</v>
      </c>
      <c r="Q334" s="102">
        <f>Q337+Q340</f>
        <v>0</v>
      </c>
      <c r="R334" s="102">
        <f>R337+R340</f>
        <v>0</v>
      </c>
      <c r="S334" s="102">
        <f>S337+S340</f>
        <v>0</v>
      </c>
      <c r="T334" s="102">
        <f>IF(Q334&gt;0,S334*100/Q334,0)</f>
        <v>0</v>
      </c>
      <c r="U334" s="102">
        <f>IF(R334&gt;0,S334*100/R334,0)</f>
        <v>0</v>
      </c>
    </row>
    <row r="335" spans="1:21" ht="18.75" hidden="1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256">
        <f ca="1">L338+L341</f>
        <v>108000</v>
      </c>
      <c r="M335" s="255">
        <f ca="1">M338+M341</f>
        <v>113000</v>
      </c>
      <c r="N335" s="255">
        <f ca="1">N338+N341</f>
        <v>32080</v>
      </c>
      <c r="O335" s="255">
        <f ca="1">IF(L335&gt;0,N335*100/L335,0)</f>
        <v>29.703703703703702</v>
      </c>
      <c r="P335" s="255">
        <f ca="1">IF(M335&gt;0,N335*100/M335,0)</f>
        <v>28.389380530973451</v>
      </c>
      <c r="Q335" s="255">
        <f>Q338+Q341</f>
        <v>0</v>
      </c>
      <c r="R335" s="255">
        <f>R338+R341</f>
        <v>0</v>
      </c>
      <c r="S335" s="255">
        <f>S338+S341</f>
        <v>0</v>
      </c>
      <c r="T335" s="255">
        <f>IF(Q335&gt;0,S335*100/Q335,0)</f>
        <v>0</v>
      </c>
      <c r="U335" s="255">
        <f>IF(R335&gt;0,S335*100/R335,0)</f>
        <v>0</v>
      </c>
    </row>
    <row r="336" spans="1:21" ht="18.75">
      <c r="A336" s="155"/>
      <c r="B336" s="50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256">
        <f ca="1">L337+L338</f>
        <v>108000</v>
      </c>
      <c r="M336" s="255">
        <f ca="1">M337+M338</f>
        <v>113000</v>
      </c>
      <c r="N336" s="255">
        <f ca="1">N337+N338</f>
        <v>32080</v>
      </c>
      <c r="O336" s="255">
        <f ca="1">IF(L336&gt;0,N336*100/L336,0)</f>
        <v>29.703703703703702</v>
      </c>
      <c r="P336" s="255">
        <f ca="1">IF(M336&gt;0,N336*100/M336,0)</f>
        <v>28.389380530973451</v>
      </c>
      <c r="Q336" s="255">
        <f>Q337+Q338</f>
        <v>0</v>
      </c>
      <c r="R336" s="255">
        <f>R337+R338</f>
        <v>0</v>
      </c>
      <c r="S336" s="255">
        <f>S337+S338</f>
        <v>0</v>
      </c>
      <c r="T336" s="255">
        <f>IF(Q336&gt;0,S336*100/Q336,0)</f>
        <v>0</v>
      </c>
      <c r="U336" s="255">
        <f>IF(R336&gt;0,S336*100/R336,0)</f>
        <v>0</v>
      </c>
    </row>
    <row r="337" spans="1:21" ht="18.75" hidden="1">
      <c r="A337" s="155"/>
      <c r="B337" s="50"/>
      <c r="C337" s="50"/>
      <c r="D337" s="50"/>
      <c r="E337" s="186" t="s">
        <v>36</v>
      </c>
      <c r="F337" s="50"/>
      <c r="G337" s="52"/>
      <c r="H337" s="189" t="s">
        <v>14</v>
      </c>
      <c r="I337" s="163"/>
      <c r="J337" s="163"/>
      <c r="K337" s="164"/>
      <c r="L337" s="103">
        <v>0</v>
      </c>
      <c r="M337" s="102">
        <v>0</v>
      </c>
      <c r="N337" s="102">
        <v>0</v>
      </c>
      <c r="O337" s="102">
        <f>IF(L337&gt;0,N337*100/L337,0)</f>
        <v>0</v>
      </c>
      <c r="P337" s="102">
        <f>IF(M337&gt;0,N337*100/M337,0)</f>
        <v>0</v>
      </c>
      <c r="Q337" s="102">
        <v>0</v>
      </c>
      <c r="R337" s="102">
        <v>0</v>
      </c>
      <c r="S337" s="102">
        <v>0</v>
      </c>
      <c r="T337" s="102">
        <f>IF(Q337&gt;0,S337*100/Q337,0)</f>
        <v>0</v>
      </c>
      <c r="U337" s="102">
        <f>IF(R337&gt;0,S337*100/R337,0)</f>
        <v>0</v>
      </c>
    </row>
    <row r="338" spans="1:21" ht="18.75" hidden="1">
      <c r="A338" s="155"/>
      <c r="B338" s="50"/>
      <c r="C338" s="50"/>
      <c r="D338" s="50"/>
      <c r="E338" s="58" t="s">
        <v>37</v>
      </c>
      <c r="F338" s="50"/>
      <c r="G338" s="52"/>
      <c r="H338" s="162" t="s">
        <v>14</v>
      </c>
      <c r="I338" s="163"/>
      <c r="J338" s="163"/>
      <c r="K338" s="164"/>
      <c r="L338" s="256">
        <f ca="1">IFERROR(__xludf.DUMMYFUNCTION("IMPORTRANGE(""https://docs.google.com/spreadsheets/d/1-uDff_7J0KD5mKrp0Vvzr7lt3OU09vwQwhkpOPPYv2Y/edit?usp=sharing"",""งบพรบ!ES40"")"),108000)</f>
        <v>108000</v>
      </c>
      <c r="M338" s="255">
        <f ca="1">IFERROR(__xludf.DUMMYFUNCTION("IMPORTRANGE(""https://docs.google.com/spreadsheets/d/1-uDff_7J0KD5mKrp0Vvzr7lt3OU09vwQwhkpOPPYv2Y/edit?usp=sharing"",""งบพรบ!EX40"")"),113000)</f>
        <v>113000</v>
      </c>
      <c r="N338" s="255">
        <f ca="1">IFERROR(__xludf.DUMMYFUNCTION("IMPORTRANGE(""https://docs.google.com/spreadsheets/d/1-uDff_7J0KD5mKrp0Vvzr7lt3OU09vwQwhkpOPPYv2Y/edit?usp=sharing"",""งบพรบ!EZ40"")"),32080)</f>
        <v>32080</v>
      </c>
      <c r="O338" s="255">
        <f ca="1">IF(L338&gt;0,N338*100/L338,0)</f>
        <v>29.703703703703702</v>
      </c>
      <c r="P338" s="255">
        <f ca="1">IF(M338&gt;0,N338*100/M338,0)</f>
        <v>28.389380530973451</v>
      </c>
      <c r="Q338" s="255">
        <v>0</v>
      </c>
      <c r="R338" s="255">
        <v>0</v>
      </c>
      <c r="S338" s="255">
        <v>0</v>
      </c>
      <c r="T338" s="255">
        <f>IF(Q338&gt;0,S338*100/Q338,0)</f>
        <v>0</v>
      </c>
      <c r="U338" s="255">
        <f>IF(R338&gt;0,S338*100/R338,0)</f>
        <v>0</v>
      </c>
    </row>
    <row r="339" spans="1:21" ht="18.75">
      <c r="A339" s="155"/>
      <c r="B339" s="50"/>
      <c r="C339" s="50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256">
        <f ca="1">L340+L341</f>
        <v>0</v>
      </c>
      <c r="M339" s="255">
        <f ca="1">M340+M341</f>
        <v>0</v>
      </c>
      <c r="N339" s="255">
        <f ca="1">N340+N341</f>
        <v>0</v>
      </c>
      <c r="O339" s="255">
        <f ca="1">IF(L339&gt;0,N339*100/L339,0)</f>
        <v>0</v>
      </c>
      <c r="P339" s="255">
        <f ca="1">IF(M339&gt;0,N339*100/M339,0)</f>
        <v>0</v>
      </c>
      <c r="Q339" s="255">
        <f>Q340+Q341</f>
        <v>0</v>
      </c>
      <c r="R339" s="255">
        <f>R340+R341</f>
        <v>0</v>
      </c>
      <c r="S339" s="255">
        <f>S340+S341</f>
        <v>0</v>
      </c>
      <c r="T339" s="255">
        <f>IF(Q339&gt;0,S339*100/Q339,0)</f>
        <v>0</v>
      </c>
      <c r="U339" s="255">
        <f>IF(R339&gt;0,S339*100/R339,0)</f>
        <v>0</v>
      </c>
    </row>
    <row r="340" spans="1:21" ht="18.75" hidden="1">
      <c r="A340" s="155"/>
      <c r="B340" s="50"/>
      <c r="C340" s="50"/>
      <c r="D340" s="50"/>
      <c r="E340" s="186" t="s">
        <v>20</v>
      </c>
      <c r="F340" s="50"/>
      <c r="G340" s="52"/>
      <c r="H340" s="189" t="s">
        <v>14</v>
      </c>
      <c r="I340" s="163"/>
      <c r="J340" s="163"/>
      <c r="K340" s="164"/>
      <c r="L340" s="103">
        <v>0</v>
      </c>
      <c r="M340" s="102">
        <v>0</v>
      </c>
      <c r="N340" s="102">
        <v>0</v>
      </c>
      <c r="O340" s="102">
        <f>IF(L340&gt;0,N340*100/L340,0)</f>
        <v>0</v>
      </c>
      <c r="P340" s="102">
        <f>IF(M340&gt;0,N340*100/M340,0)</f>
        <v>0</v>
      </c>
      <c r="Q340" s="102">
        <v>0</v>
      </c>
      <c r="R340" s="102">
        <v>0</v>
      </c>
      <c r="S340" s="102">
        <v>0</v>
      </c>
      <c r="T340" s="102">
        <f>IF(Q340&gt;0,S340*100/Q340,0)</f>
        <v>0</v>
      </c>
      <c r="U340" s="102">
        <f>IF(R340&gt;0,S340*100/R340,0)</f>
        <v>0</v>
      </c>
    </row>
    <row r="341" spans="1:21" ht="18.75" hidden="1">
      <c r="A341" s="155"/>
      <c r="B341" s="50"/>
      <c r="C341" s="50"/>
      <c r="D341" s="50"/>
      <c r="E341" s="58" t="s">
        <v>21</v>
      </c>
      <c r="F341" s="50"/>
      <c r="G341" s="52"/>
      <c r="H341" s="165" t="s">
        <v>14</v>
      </c>
      <c r="I341" s="163"/>
      <c r="J341" s="163"/>
      <c r="K341" s="164"/>
      <c r="L341" s="256">
        <f ca="1">IFERROR(__xludf.DUMMYFUNCTION("IMPORTRANGE(""https://docs.google.com/spreadsheets/d/1-uDff_7J0KD5mKrp0Vvzr7lt3OU09vwQwhkpOPPYv2Y/edit?usp=sharing"",""งบพรบ!EV40"")"),0)</f>
        <v>0</v>
      </c>
      <c r="M341" s="255">
        <f ca="1">IFERROR(__xludf.DUMMYFUNCTION("IMPORTRANGE(""https://docs.google.com/spreadsheets/d/1-uDff_7J0KD5mKrp0Vvzr7lt3OU09vwQwhkpOPPYv2Y/edit?usp=sharing"",""งบพรบ!EY40"")"),0)</f>
        <v>0</v>
      </c>
      <c r="N341" s="255">
        <f ca="1">IFERROR(__xludf.DUMMYFUNCTION("IMPORTRANGE(""https://docs.google.com/spreadsheets/d/1-uDff_7J0KD5mKrp0Vvzr7lt3OU09vwQwhkpOPPYv2Y/edit?usp=sharing"",""งบพรบ!FA40"")"),0)</f>
        <v>0</v>
      </c>
      <c r="O341" s="255">
        <f ca="1">IF(L341&gt;0,N341*100/L341,0)</f>
        <v>0</v>
      </c>
      <c r="P341" s="255">
        <f ca="1">IF(M341&gt;0,N341*100/M341,0)</f>
        <v>0</v>
      </c>
      <c r="Q341" s="255">
        <v>0</v>
      </c>
      <c r="R341" s="255">
        <v>0</v>
      </c>
      <c r="S341" s="255">
        <v>0</v>
      </c>
      <c r="T341" s="255">
        <f>IF(Q341&gt;0,S341*100/Q341,0)</f>
        <v>0</v>
      </c>
      <c r="U341" s="255">
        <f>IF(R341&gt;0,S341*100/R341,0)</f>
        <v>0</v>
      </c>
    </row>
    <row r="342" spans="1:21" ht="19.5">
      <c r="A342" s="166"/>
      <c r="B342" s="167"/>
      <c r="C342" s="156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62"/>
      <c r="M342" s="55"/>
      <c r="N342" s="55"/>
      <c r="O342" s="164"/>
      <c r="P342" s="164"/>
      <c r="Q342" s="55"/>
      <c r="R342" s="55"/>
      <c r="S342" s="55"/>
      <c r="T342" s="164"/>
      <c r="U342" s="164"/>
    </row>
    <row r="343" spans="1:21" ht="19.5">
      <c r="A343" s="629"/>
      <c r="B343" s="626"/>
      <c r="C343" s="628"/>
      <c r="D343" s="626"/>
      <c r="E343" s="627" t="s">
        <v>137</v>
      </c>
      <c r="F343" s="626"/>
      <c r="G343" s="625"/>
      <c r="H343" s="624" t="s">
        <v>35</v>
      </c>
      <c r="I343" s="623">
        <v>0</v>
      </c>
      <c r="J343" s="623">
        <f ca="1">J344+J347+J348+J349</f>
        <v>123</v>
      </c>
      <c r="K343" s="622">
        <v>0</v>
      </c>
      <c r="L343" s="250"/>
      <c r="M343" s="249"/>
      <c r="N343" s="249"/>
      <c r="O343" s="249"/>
      <c r="P343" s="249"/>
      <c r="Q343" s="249"/>
      <c r="R343" s="249"/>
      <c r="S343" s="249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40" t="s">
        <v>35</v>
      </c>
      <c r="I344" s="212">
        <f ca="1">IFERROR(__xludf.DUMMYFUNCTION("IMPORTRANGE(""https://docs.google.com/spreadsheets/d/1eHaY18a8A9IcSdp1K8H6x8fbOy06t2VsZHhMHf-1x7Y/edit?usp=sharing"",""แผน!EK40"")"),1540)</f>
        <v>1540</v>
      </c>
      <c r="J344" s="212">
        <f ca="1">IFERROR(__xludf.DUMMYFUNCTION("IMPORTRANGE(""https://docs.google.com/spreadsheets/d/1awYsYK3VOup2i3Pq_Yjnu8DRu_mYwSBnCR2QPthd0rU/edit?usp=sharing"",""ศูนย์ยกเว้นโฉนด!D40"")"),116)</f>
        <v>116</v>
      </c>
      <c r="K344" s="255">
        <f ca="1">IF(I344&gt;0,J344*100/I344,0)</f>
        <v>7.5324675324675328</v>
      </c>
      <c r="L344" s="62"/>
      <c r="M344" s="55"/>
      <c r="N344" s="55"/>
      <c r="O344" s="55"/>
      <c r="P344" s="55"/>
      <c r="Q344" s="55"/>
      <c r="R344" s="55"/>
      <c r="S344" s="55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62"/>
      <c r="M345" s="55"/>
      <c r="N345" s="55"/>
      <c r="O345" s="55"/>
      <c r="P345" s="55"/>
      <c r="Q345" s="55"/>
      <c r="R345" s="55"/>
      <c r="S345" s="55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212">
        <f ca="1">IFERROR(__xludf.DUMMYFUNCTION("IMPORTRANGE(""https://docs.google.com/spreadsheets/d/1eHaY18a8A9IcSdp1K8H6x8fbOy06t2VsZHhMHf-1x7Y/edit?usp=sharing"",""แผน!EL40"")"),4)</f>
        <v>4</v>
      </c>
      <c r="J346" s="212">
        <f ca="1">IFERROR(__xludf.DUMMYFUNCTION("IMPORTRANGE(""https://docs.google.com/spreadsheets/d/1awYsYK3VOup2i3Pq_Yjnu8DRu_mYwSBnCR2QPthd0rU/edit?usp=sharing"",""ศูนย์รวม!E40"")"),3)</f>
        <v>3</v>
      </c>
      <c r="K346" s="255">
        <f ca="1">IF(I346&gt;0,J346*100/I346,0)</f>
        <v>75</v>
      </c>
      <c r="L346" s="62"/>
      <c r="M346" s="55"/>
      <c r="N346" s="55"/>
      <c r="O346" s="55"/>
      <c r="P346" s="55"/>
      <c r="Q346" s="55"/>
      <c r="R346" s="55"/>
      <c r="S346" s="55"/>
      <c r="T346" s="55"/>
      <c r="U346" s="55"/>
    </row>
    <row r="347" spans="1:21" ht="18.75">
      <c r="A347" s="238"/>
      <c r="B347" s="50"/>
      <c r="C347" s="188"/>
      <c r="D347" s="174"/>
      <c r="E347" s="174"/>
      <c r="F347" s="178" t="s">
        <v>142</v>
      </c>
      <c r="G347" s="52"/>
      <c r="H347" s="203" t="s">
        <v>35</v>
      </c>
      <c r="I347" s="54"/>
      <c r="J347" s="212">
        <f ca="1">IFERROR(__xludf.DUMMYFUNCTION("IMPORTRANGE(""https://docs.google.com/spreadsheets/d/1awYsYK3VOup2i3Pq_Yjnu8DRu_mYwSBnCR2QPthd0rU/edit?usp=sharing"",""ศูนย์ยกเว้นโฉนด!F40"")"),0)</f>
        <v>0</v>
      </c>
      <c r="K347" s="55"/>
      <c r="L347" s="62"/>
      <c r="M347" s="55"/>
      <c r="N347" s="55"/>
      <c r="O347" s="55"/>
      <c r="P347" s="55"/>
      <c r="Q347" s="55"/>
      <c r="R347" s="55"/>
      <c r="S347" s="55"/>
      <c r="T347" s="55"/>
      <c r="U347" s="55"/>
    </row>
    <row r="348" spans="1:21" ht="18.75">
      <c r="A348" s="238"/>
      <c r="B348" s="50"/>
      <c r="C348" s="188"/>
      <c r="D348" s="174"/>
      <c r="E348" s="178" t="s">
        <v>143</v>
      </c>
      <c r="F348" s="174"/>
      <c r="G348" s="52"/>
      <c r="H348" s="203" t="s">
        <v>35</v>
      </c>
      <c r="I348" s="54"/>
      <c r="J348" s="212">
        <f ca="1">IFERROR(__xludf.DUMMYFUNCTION("IMPORTRANGE(""https://docs.google.com/spreadsheets/d/1awYsYK3VOup2i3Pq_Yjnu8DRu_mYwSBnCR2QPthd0rU/edit?usp=sharing"",""ศูนย์ยกเว้นโฉนด!G40"")"),7)</f>
        <v>7</v>
      </c>
      <c r="K348" s="55"/>
      <c r="L348" s="62"/>
      <c r="M348" s="55"/>
      <c r="N348" s="55"/>
      <c r="O348" s="55"/>
      <c r="P348" s="55"/>
      <c r="Q348" s="55"/>
      <c r="R348" s="55"/>
      <c r="S348" s="55"/>
      <c r="T348" s="55"/>
      <c r="U348" s="55"/>
    </row>
    <row r="349" spans="1:21" ht="18.75">
      <c r="A349" s="238"/>
      <c r="B349" s="50"/>
      <c r="C349" s="188"/>
      <c r="D349" s="167"/>
      <c r="E349" s="178" t="s">
        <v>144</v>
      </c>
      <c r="F349" s="174"/>
      <c r="G349" s="52"/>
      <c r="H349" s="203" t="s">
        <v>35</v>
      </c>
      <c r="I349" s="54"/>
      <c r="J349" s="212">
        <f ca="1">IFERROR(__xludf.DUMMYFUNCTION("IMPORTRANGE(""https://docs.google.com/spreadsheets/d/1awYsYK3VOup2i3Pq_Yjnu8DRu_mYwSBnCR2QPthd0rU/edit?usp=sharing"",""ศูนย์ยกเว้นโฉนด!H40"")"),0)</f>
        <v>0</v>
      </c>
      <c r="K349" s="55"/>
      <c r="L349" s="62"/>
      <c r="M349" s="55"/>
      <c r="N349" s="55"/>
      <c r="O349" s="55"/>
      <c r="P349" s="55"/>
      <c r="Q349" s="55"/>
      <c r="R349" s="55"/>
      <c r="S349" s="55"/>
      <c r="T349" s="55"/>
      <c r="U349" s="55"/>
    </row>
    <row r="350" spans="1:21" ht="16.5">
      <c r="A350" s="18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0" s="50"/>
      <c r="F350" s="50"/>
      <c r="G350" s="52"/>
      <c r="H350" s="208"/>
      <c r="I350" s="54"/>
      <c r="J350" s="54"/>
      <c r="K350" s="55"/>
      <c r="L350" s="62"/>
      <c r="M350" s="55"/>
      <c r="N350" s="55"/>
      <c r="O350" s="55"/>
      <c r="P350" s="55"/>
      <c r="Q350" s="55"/>
      <c r="R350" s="55"/>
      <c r="S350" s="55"/>
      <c r="T350" s="55"/>
      <c r="U350" s="55"/>
    </row>
    <row r="351" spans="1:21" ht="19.5">
      <c r="A351" s="241"/>
      <c r="B351" s="244"/>
      <c r="C351" s="242"/>
      <c r="D351" s="244"/>
      <c r="E351" s="621" t="s">
        <v>145</v>
      </c>
      <c r="F351" s="244"/>
      <c r="G351" s="245"/>
      <c r="H351" s="246" t="s">
        <v>35</v>
      </c>
      <c r="I351" s="339">
        <v>0</v>
      </c>
      <c r="J351" s="339">
        <f ca="1">J352+J353+J354</f>
        <v>6123</v>
      </c>
      <c r="K351" s="340">
        <v>0</v>
      </c>
      <c r="L351" s="250"/>
      <c r="M351" s="249"/>
      <c r="N351" s="249"/>
      <c r="O351" s="249"/>
      <c r="P351" s="249"/>
      <c r="Q351" s="249"/>
      <c r="R351" s="249"/>
      <c r="S351" s="249"/>
      <c r="T351" s="249"/>
      <c r="U351" s="249"/>
    </row>
    <row r="352" spans="1:21" ht="18.75">
      <c r="A352" s="188"/>
      <c r="B352" s="50"/>
      <c r="C352" s="188"/>
      <c r="D352" s="174"/>
      <c r="E352" s="178" t="s">
        <v>146</v>
      </c>
      <c r="F352" s="50"/>
      <c r="G352" s="52"/>
      <c r="H352" s="161" t="s">
        <v>35</v>
      </c>
      <c r="I352" s="54"/>
      <c r="J352" s="212">
        <f ca="1">IFERROR(__xludf.DUMMYFUNCTION("IMPORTRANGE(""https://docs.google.com/spreadsheets/d/1awYsYK3VOup2i3Pq_Yjnu8DRu_mYwSBnCR2QPthd0rU/edit?usp=sharing"",""โฉนดM3!G40"")"),148)</f>
        <v>148</v>
      </c>
      <c r="K352" s="55"/>
      <c r="L352" s="62"/>
      <c r="M352" s="55"/>
      <c r="N352" s="55"/>
      <c r="O352" s="55"/>
      <c r="P352" s="55"/>
      <c r="Q352" s="55"/>
      <c r="R352" s="55"/>
      <c r="S352" s="55"/>
      <c r="T352" s="55"/>
      <c r="U352" s="55"/>
    </row>
    <row r="353" spans="1:21" ht="18.75">
      <c r="A353" s="18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212">
        <f ca="1">IFERROR(__xludf.DUMMYFUNCTION("IMPORTRANGE(""https://docs.google.com/spreadsheets/d/1awYsYK3VOup2i3Pq_Yjnu8DRu_mYwSBnCR2QPthd0rU/edit?usp=sharing"",""โฉนดM3!H40"")"),5949)</f>
        <v>5949</v>
      </c>
      <c r="K353" s="55"/>
      <c r="L353" s="62"/>
      <c r="M353" s="55"/>
      <c r="N353" s="55"/>
      <c r="O353" s="55"/>
      <c r="P353" s="55"/>
      <c r="Q353" s="55"/>
      <c r="R353" s="55"/>
      <c r="S353" s="55"/>
      <c r="T353" s="55"/>
      <c r="U353" s="55"/>
    </row>
    <row r="354" spans="1:21" ht="18.75">
      <c r="A354" s="343"/>
      <c r="B354" s="344"/>
      <c r="C354" s="343"/>
      <c r="D354" s="343"/>
      <c r="E354" s="345" t="s">
        <v>148</v>
      </c>
      <c r="F354" s="344"/>
      <c r="G354" s="346"/>
      <c r="H354" s="347" t="s">
        <v>35</v>
      </c>
      <c r="I354" s="348"/>
      <c r="J354" s="349">
        <f ca="1">IFERROR(__xludf.DUMMYFUNCTION("IMPORTRANGE(""https://docs.google.com/spreadsheets/d/1awYsYK3VOup2i3Pq_Yjnu8DRu_mYwSBnCR2QPthd0rU/edit?usp=sharing"",""โฉนดM3!I40"")"),26)</f>
        <v>26</v>
      </c>
      <c r="K354" s="350"/>
      <c r="L354" s="350"/>
      <c r="M354" s="350"/>
      <c r="N354" s="350"/>
      <c r="O354" s="350"/>
      <c r="P354" s="350"/>
      <c r="Q354" s="350"/>
      <c r="R354" s="350"/>
      <c r="S354" s="350"/>
      <c r="T354" s="350"/>
      <c r="U354" s="350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29"/>
      <c r="I355" s="351"/>
      <c r="J355" s="351"/>
      <c r="K355" s="333"/>
      <c r="L355" s="334"/>
      <c r="M355" s="333"/>
      <c r="N355" s="333"/>
      <c r="O355" s="333"/>
      <c r="P355" s="333"/>
      <c r="Q355" s="333"/>
      <c r="R355" s="333"/>
      <c r="S355" s="333"/>
      <c r="T355" s="333"/>
      <c r="U355" s="333"/>
    </row>
    <row r="356" spans="1:21" ht="19.5">
      <c r="A356" s="155"/>
      <c r="B356" s="50"/>
      <c r="C356" s="156" t="s">
        <v>18</v>
      </c>
      <c r="D356" s="575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541">
        <f ca="1">L357+L358</f>
        <v>384030</v>
      </c>
      <c r="M356" s="540">
        <f ca="1">M357+M358</f>
        <v>408330</v>
      </c>
      <c r="N356" s="540">
        <f ca="1">N357+N358</f>
        <v>303507.39</v>
      </c>
      <c r="O356" s="540">
        <f ca="1">IF(L356&gt;0,N356*100/L356,0)</f>
        <v>79.032208421217092</v>
      </c>
      <c r="P356" s="540">
        <f ca="1">IF(M356&gt;0,N356*100/M356,0)</f>
        <v>74.32894717507898</v>
      </c>
      <c r="Q356" s="540">
        <f>Q357+Q358</f>
        <v>0</v>
      </c>
      <c r="R356" s="540">
        <f>R357+R358</f>
        <v>0</v>
      </c>
      <c r="S356" s="540">
        <f>S357+S358</f>
        <v>0</v>
      </c>
      <c r="T356" s="540">
        <f>IF(Q356&gt;0,S356*100/Q356,0)</f>
        <v>0</v>
      </c>
      <c r="U356" s="540">
        <f>IF(R356&gt;0,S356*100/R356,0)</f>
        <v>0</v>
      </c>
    </row>
    <row r="357" spans="1:21" ht="18.75" hidden="1">
      <c r="A357" s="155"/>
      <c r="B357" s="50"/>
      <c r="C357" s="50"/>
      <c r="D357" s="50"/>
      <c r="E357" s="186" t="s">
        <v>20</v>
      </c>
      <c r="F357" s="50"/>
      <c r="G357" s="52"/>
      <c r="H357" s="187" t="s">
        <v>14</v>
      </c>
      <c r="I357" s="54"/>
      <c r="J357" s="54"/>
      <c r="K357" s="55"/>
      <c r="L357" s="103">
        <f>L360+L363</f>
        <v>0</v>
      </c>
      <c r="M357" s="102">
        <f>M360+M363</f>
        <v>0</v>
      </c>
      <c r="N357" s="102">
        <f>N360+N363</f>
        <v>0</v>
      </c>
      <c r="O357" s="102">
        <f>IF(L357&gt;0,N357*100/L357,0)</f>
        <v>0</v>
      </c>
      <c r="P357" s="102">
        <f>IF(M357&gt;0,N357*100/M357,0)</f>
        <v>0</v>
      </c>
      <c r="Q357" s="102">
        <f>Q360+Q363</f>
        <v>0</v>
      </c>
      <c r="R357" s="102">
        <f>R360+R363</f>
        <v>0</v>
      </c>
      <c r="S357" s="102">
        <f>S360+S363</f>
        <v>0</v>
      </c>
      <c r="T357" s="102">
        <f>IF(Q357&gt;0,S357*100/Q357,0)</f>
        <v>0</v>
      </c>
      <c r="U357" s="102">
        <f>IF(R357&gt;0,S357*100/R357,0)</f>
        <v>0</v>
      </c>
    </row>
    <row r="358" spans="1:21" ht="18.75" hidden="1">
      <c r="A358" s="155"/>
      <c r="B358" s="50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256">
        <f ca="1">L361+L364</f>
        <v>384030</v>
      </c>
      <c r="M358" s="255">
        <f ca="1">M361+M364</f>
        <v>408330</v>
      </c>
      <c r="N358" s="255">
        <f ca="1">N361+N364</f>
        <v>303507.39</v>
      </c>
      <c r="O358" s="255">
        <f ca="1">IF(L358&gt;0,N358*100/L358,0)</f>
        <v>79.032208421217092</v>
      </c>
      <c r="P358" s="255">
        <f ca="1">IF(M358&gt;0,N358*100/M358,0)</f>
        <v>74.32894717507898</v>
      </c>
      <c r="Q358" s="255">
        <f>Q361+Q364</f>
        <v>0</v>
      </c>
      <c r="R358" s="255">
        <f>R361+R364</f>
        <v>0</v>
      </c>
      <c r="S358" s="255">
        <f>S361+S364</f>
        <v>0</v>
      </c>
      <c r="T358" s="255">
        <f>IF(Q358&gt;0,S358*100/Q358,0)</f>
        <v>0</v>
      </c>
      <c r="U358" s="255">
        <f>IF(R358&gt;0,S358*100/R358,0)</f>
        <v>0</v>
      </c>
    </row>
    <row r="359" spans="1:21" ht="18.75">
      <c r="A359" s="155"/>
      <c r="B359" s="50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256">
        <f ca="1">L360+L361</f>
        <v>384030</v>
      </c>
      <c r="M359" s="255">
        <f ca="1">M360+M361</f>
        <v>408330</v>
      </c>
      <c r="N359" s="255">
        <f ca="1">N360+N361</f>
        <v>303507.39</v>
      </c>
      <c r="O359" s="255">
        <f ca="1">IF(L359&gt;0,N359*100/L359,0)</f>
        <v>79.032208421217092</v>
      </c>
      <c r="P359" s="255">
        <f ca="1">IF(M359&gt;0,N359*100/M359,0)</f>
        <v>74.32894717507898</v>
      </c>
      <c r="Q359" s="255">
        <f>Q360+Q361</f>
        <v>0</v>
      </c>
      <c r="R359" s="255">
        <f>R360+R361</f>
        <v>0</v>
      </c>
      <c r="S359" s="255">
        <f>S360+S361</f>
        <v>0</v>
      </c>
      <c r="T359" s="255">
        <f>IF(Q359&gt;0,S359*100/Q359,0)</f>
        <v>0</v>
      </c>
      <c r="U359" s="255">
        <f>IF(R359&gt;0,S359*100/R359,0)</f>
        <v>0</v>
      </c>
    </row>
    <row r="360" spans="1:21" ht="18.75" hidden="1">
      <c r="A360" s="155"/>
      <c r="B360" s="50"/>
      <c r="C360" s="50"/>
      <c r="D360" s="50"/>
      <c r="E360" s="186" t="s">
        <v>36</v>
      </c>
      <c r="F360" s="50"/>
      <c r="G360" s="52"/>
      <c r="H360" s="189" t="s">
        <v>14</v>
      </c>
      <c r="I360" s="163"/>
      <c r="J360" s="163"/>
      <c r="K360" s="164"/>
      <c r="L360" s="103">
        <v>0</v>
      </c>
      <c r="M360" s="102">
        <v>0</v>
      </c>
      <c r="N360" s="102">
        <v>0</v>
      </c>
      <c r="O360" s="102">
        <f>IF(L360&gt;0,N360*100/L360,0)</f>
        <v>0</v>
      </c>
      <c r="P360" s="102">
        <f>IF(M360&gt;0,N360*100/M360,0)</f>
        <v>0</v>
      </c>
      <c r="Q360" s="102">
        <v>0</v>
      </c>
      <c r="R360" s="102">
        <v>0</v>
      </c>
      <c r="S360" s="102">
        <v>0</v>
      </c>
      <c r="T360" s="102">
        <f>IF(Q360&gt;0,S360*100/Q360,0)</f>
        <v>0</v>
      </c>
      <c r="U360" s="102">
        <f>IF(R360&gt;0,S360*100/R360,0)</f>
        <v>0</v>
      </c>
    </row>
    <row r="361" spans="1:21" ht="18.75" hidden="1">
      <c r="A361" s="155"/>
      <c r="B361" s="50"/>
      <c r="C361" s="50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256">
        <f ca="1">IFERROR(__xludf.DUMMYFUNCTION("IMPORTRANGE(""https://docs.google.com/spreadsheets/d/1-uDff_7J0KD5mKrp0Vvzr7lt3OU09vwQwhkpOPPYv2Y/edit?usp=sharing"",""งบพรบ!FC40"")"),384030)</f>
        <v>384030</v>
      </c>
      <c r="M361" s="255">
        <f ca="1">IFERROR(__xludf.DUMMYFUNCTION("IMPORTRANGE(""https://docs.google.com/spreadsheets/d/1-uDff_7J0KD5mKrp0Vvzr7lt3OU09vwQwhkpOPPYv2Y/edit?usp=sharing"",""งบพรบ!FH40"")"),408330)</f>
        <v>408330</v>
      </c>
      <c r="N361" s="255">
        <f ca="1">IFERROR(__xludf.DUMMYFUNCTION("IMPORTRANGE(""https://docs.google.com/spreadsheets/d/1-uDff_7J0KD5mKrp0Vvzr7lt3OU09vwQwhkpOPPYv2Y/edit?usp=sharing"",""งบพรบ!FJ40"")"),303507.39)</f>
        <v>303507.39</v>
      </c>
      <c r="O361" s="255">
        <f ca="1">IF(L361&gt;0,N361*100/L361,0)</f>
        <v>79.032208421217092</v>
      </c>
      <c r="P361" s="255">
        <f ca="1">IF(M361&gt;0,N361*100/M361,0)</f>
        <v>74.32894717507898</v>
      </c>
      <c r="Q361" s="255">
        <v>0</v>
      </c>
      <c r="R361" s="255">
        <v>0</v>
      </c>
      <c r="S361" s="255">
        <v>0</v>
      </c>
      <c r="T361" s="255">
        <f>IF(Q361&gt;0,S361*100/Q361,0)</f>
        <v>0</v>
      </c>
      <c r="U361" s="255">
        <f>IF(R361&gt;0,S361*100/R361,0)</f>
        <v>0</v>
      </c>
    </row>
    <row r="362" spans="1:21" ht="18.75">
      <c r="A362" s="155"/>
      <c r="B362" s="50"/>
      <c r="C362" s="50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256">
        <f ca="1">L363+L364</f>
        <v>0</v>
      </c>
      <c r="M362" s="255">
        <f ca="1">M363+M364</f>
        <v>0</v>
      </c>
      <c r="N362" s="255">
        <f ca="1">N363+N364</f>
        <v>0</v>
      </c>
      <c r="O362" s="255">
        <f ca="1">IF(L362&gt;0,N362*100/L362,0)</f>
        <v>0</v>
      </c>
      <c r="P362" s="255">
        <f ca="1">IF(M362&gt;0,N362*100/M362,0)</f>
        <v>0</v>
      </c>
      <c r="Q362" s="255">
        <f>Q363+Q364</f>
        <v>0</v>
      </c>
      <c r="R362" s="255">
        <f>R363+R364</f>
        <v>0</v>
      </c>
      <c r="S362" s="255">
        <f>S363+S364</f>
        <v>0</v>
      </c>
      <c r="T362" s="255">
        <f>IF(Q362&gt;0,S362*100/Q362,0)</f>
        <v>0</v>
      </c>
      <c r="U362" s="255">
        <f>IF(R362&gt;0,S362*100/R362,0)</f>
        <v>0</v>
      </c>
    </row>
    <row r="363" spans="1:21" ht="18.75" hidden="1">
      <c r="A363" s="155"/>
      <c r="B363" s="50"/>
      <c r="C363" s="50"/>
      <c r="D363" s="50"/>
      <c r="E363" s="186" t="s">
        <v>20</v>
      </c>
      <c r="F363" s="50"/>
      <c r="G363" s="52"/>
      <c r="H363" s="189" t="s">
        <v>14</v>
      </c>
      <c r="I363" s="163"/>
      <c r="J363" s="163"/>
      <c r="K363" s="164"/>
      <c r="L363" s="103">
        <v>0</v>
      </c>
      <c r="M363" s="102">
        <v>0</v>
      </c>
      <c r="N363" s="102">
        <v>0</v>
      </c>
      <c r="O363" s="102">
        <f>IF(L363&gt;0,N363*100/L363,0)</f>
        <v>0</v>
      </c>
      <c r="P363" s="102">
        <f>IF(M363&gt;0,N363*100/M363,0)</f>
        <v>0</v>
      </c>
      <c r="Q363" s="102">
        <v>0</v>
      </c>
      <c r="R363" s="102">
        <v>0</v>
      </c>
      <c r="S363" s="102">
        <v>0</v>
      </c>
      <c r="T363" s="102">
        <f>IF(Q363&gt;0,S363*100/Q363,0)</f>
        <v>0</v>
      </c>
      <c r="U363" s="102">
        <f>IF(R363&gt;0,S363*100/R363,0)</f>
        <v>0</v>
      </c>
    </row>
    <row r="364" spans="1:21" ht="18.75" hidden="1">
      <c r="A364" s="155"/>
      <c r="B364" s="50"/>
      <c r="C364" s="50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256">
        <f ca="1">IFERROR(__xludf.DUMMYFUNCTION("IMPORTRANGE(""https://docs.google.com/spreadsheets/d/1-uDff_7J0KD5mKrp0Vvzr7lt3OU09vwQwhkpOPPYv2Y/edit?usp=sharing"",""งบพรบ!FF40"")"),0)</f>
        <v>0</v>
      </c>
      <c r="M364" s="255">
        <f ca="1">IFERROR(__xludf.DUMMYFUNCTION("IMPORTRANGE(""https://docs.google.com/spreadsheets/d/1-uDff_7J0KD5mKrp0Vvzr7lt3OU09vwQwhkpOPPYv2Y/edit?usp=sharing"",""งบพรบ!FI40"")"),0)</f>
        <v>0</v>
      </c>
      <c r="N364" s="255">
        <f ca="1">IFERROR(__xludf.DUMMYFUNCTION("IMPORTRANGE(""https://docs.google.com/spreadsheets/d/1-uDff_7J0KD5mKrp0Vvzr7lt3OU09vwQwhkpOPPYv2Y/edit?usp=sharing"",""งบพรบ!FK40"")"),0)</f>
        <v>0</v>
      </c>
      <c r="O364" s="255">
        <f ca="1">IF(L364&gt;0,N364*100/L364,0)</f>
        <v>0</v>
      </c>
      <c r="P364" s="255">
        <f ca="1">IF(M364&gt;0,N364*100/M364,0)</f>
        <v>0</v>
      </c>
      <c r="Q364" s="255">
        <v>0</v>
      </c>
      <c r="R364" s="255">
        <v>0</v>
      </c>
      <c r="S364" s="255">
        <v>0</v>
      </c>
      <c r="T364" s="255">
        <f>IF(Q364&gt;0,S364*100/Q364,0)</f>
        <v>0</v>
      </c>
      <c r="U364" s="255">
        <f>IF(R364&gt;0,S364*100/R364,0)</f>
        <v>0</v>
      </c>
    </row>
    <row r="365" spans="1:21" ht="19.5">
      <c r="A365" s="241"/>
      <c r="B365" s="242"/>
      <c r="C365" s="244"/>
      <c r="D365" s="621" t="s">
        <v>150</v>
      </c>
      <c r="E365" s="244"/>
      <c r="F365" s="244"/>
      <c r="G365" s="245"/>
      <c r="H365" s="254" t="s">
        <v>35</v>
      </c>
      <c r="I365" s="339">
        <f ca="1">I371</f>
        <v>240</v>
      </c>
      <c r="J365" s="339">
        <f ca="1">J371</f>
        <v>264</v>
      </c>
      <c r="K365" s="340">
        <f ca="1">IF(I365&gt;0,J365*100/I365,0)</f>
        <v>110</v>
      </c>
      <c r="L365" s="250"/>
      <c r="M365" s="249"/>
      <c r="N365" s="249"/>
      <c r="O365" s="249"/>
      <c r="P365" s="249"/>
      <c r="Q365" s="249"/>
      <c r="R365" s="249"/>
      <c r="S365" s="249"/>
      <c r="T365" s="249"/>
      <c r="U365" s="249"/>
    </row>
    <row r="366" spans="1:21" ht="19.5">
      <c r="A366" s="166"/>
      <c r="B366" s="167"/>
      <c r="C366" s="156" t="s">
        <v>18</v>
      </c>
      <c r="D366" s="566" t="s">
        <v>38</v>
      </c>
      <c r="E366" s="169"/>
      <c r="F366" s="169"/>
      <c r="G366" s="170"/>
      <c r="H366" s="171"/>
      <c r="I366" s="54"/>
      <c r="J366" s="54"/>
      <c r="K366" s="55"/>
      <c r="L366" s="172"/>
      <c r="M366" s="164"/>
      <c r="N366" s="164"/>
      <c r="O366" s="164"/>
      <c r="P366" s="164"/>
      <c r="Q366" s="164"/>
      <c r="R366" s="164"/>
      <c r="S366" s="164"/>
      <c r="T366" s="164"/>
      <c r="U366" s="164"/>
    </row>
    <row r="367" spans="1:21" ht="18.75">
      <c r="A367" s="166"/>
      <c r="B367" s="174"/>
      <c r="C367" s="167"/>
      <c r="D367" s="174"/>
      <c r="E367" s="173" t="s">
        <v>151</v>
      </c>
      <c r="F367" s="174"/>
      <c r="G367" s="171"/>
      <c r="H367" s="183" t="s">
        <v>35</v>
      </c>
      <c r="I367" s="212">
        <v>0</v>
      </c>
      <c r="J367" s="212">
        <f ca="1">IFERROR(__xludf.DUMMYFUNCTION("IMPORTRANGE(""https://docs.google.com/spreadsheets/d/1tdoBKaGub7dwA3U6UFTqxio9LNnvDCQjHKmttSEBsFQ/edit?usp=sharing"",""จัดที่ดิน!AB40"")"),259)</f>
        <v>259</v>
      </c>
      <c r="K367" s="255">
        <f>IF(I367&gt;0,J367*100/I367,0)</f>
        <v>0</v>
      </c>
      <c r="L367" s="172"/>
      <c r="M367" s="164"/>
      <c r="N367" s="164"/>
      <c r="O367" s="164"/>
      <c r="P367" s="164"/>
      <c r="Q367" s="164"/>
      <c r="R367" s="164"/>
      <c r="S367" s="164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212">
        <f ca="1">IFERROR(__xludf.DUMMYFUNCTION("IMPORTRANGE(""https://docs.google.com/spreadsheets/d/1eHaY18a8A9IcSdp1K8H6x8fbOy06t2VsZHhMHf-1x7Y/edit?usp=sharing"",""แผน!EW40"")"),475)</f>
        <v>475</v>
      </c>
      <c r="J368" s="620">
        <f ca="1">IFERROR(__xludf.DUMMYFUNCTION("IMPORTRANGE(""https://docs.google.com/spreadsheets/d/1tdoBKaGub7dwA3U6UFTqxio9LNnvDCQjHKmttSEBsFQ/edit?usp=sharing"",""จัดที่ดิน!AC40"")"),1937.29)</f>
        <v>1937.29</v>
      </c>
      <c r="K368" s="255">
        <f ca="1">IF(I368&gt;0,J368*100/I368,0)</f>
        <v>407.85052631578947</v>
      </c>
      <c r="L368" s="172"/>
      <c r="M368" s="164"/>
      <c r="N368" s="164"/>
      <c r="O368" s="164"/>
      <c r="P368" s="164"/>
      <c r="Q368" s="164"/>
      <c r="R368" s="164"/>
      <c r="S368" s="164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79" t="s">
        <v>35</v>
      </c>
      <c r="I369" s="212">
        <f ca="1">IFERROR(__xludf.DUMMYFUNCTION("IMPORTRANGE(""https://docs.google.com/spreadsheets/d/1eHaY18a8A9IcSdp1K8H6x8fbOy06t2VsZHhMHf-1x7Y/edit?usp=sharing"",""แผน!EX40"")"),240)</f>
        <v>240</v>
      </c>
      <c r="J369" s="212">
        <f ca="1">IFERROR(__xludf.DUMMYFUNCTION("IMPORTRANGE(""https://docs.google.com/spreadsheets/d/1tdoBKaGub7dwA3U6UFTqxio9LNnvDCQjHKmttSEBsFQ/edit?usp=sharing"",""จัดที่ดิน!AD40"")"),387)</f>
        <v>387</v>
      </c>
      <c r="K369" s="255">
        <f ca="1">IF(I369&gt;0,J369*100/I369,0)</f>
        <v>161.25</v>
      </c>
      <c r="L369" s="172"/>
      <c r="M369" s="164"/>
      <c r="N369" s="164"/>
      <c r="O369" s="164"/>
      <c r="P369" s="164"/>
      <c r="Q369" s="164"/>
      <c r="R369" s="164"/>
      <c r="S369" s="164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79" t="s">
        <v>46</v>
      </c>
      <c r="I370" s="212">
        <v>0</v>
      </c>
      <c r="J370" s="620">
        <f ca="1">IFERROR(__xludf.DUMMYFUNCTION("IMPORTRANGE(""https://docs.google.com/spreadsheets/d/1tdoBKaGub7dwA3U6UFTqxio9LNnvDCQjHKmttSEBsFQ/edit?usp=sharing"",""จัดที่ดิน!AE40"")"),3604.1)</f>
        <v>3604.1</v>
      </c>
      <c r="K370" s="255">
        <f>IF(I370&gt;0,J370*100/I370,0)</f>
        <v>0</v>
      </c>
      <c r="L370" s="172"/>
      <c r="M370" s="164"/>
      <c r="N370" s="164"/>
      <c r="O370" s="164"/>
      <c r="P370" s="164"/>
      <c r="Q370" s="164"/>
      <c r="R370" s="164"/>
      <c r="S370" s="164"/>
      <c r="T370" s="164"/>
      <c r="U370" s="164"/>
    </row>
    <row r="371" spans="1:21" ht="18.75">
      <c r="A371" s="166"/>
      <c r="B371" s="174"/>
      <c r="C371" s="167"/>
      <c r="D371" s="174"/>
      <c r="E371" s="352" t="s">
        <v>153</v>
      </c>
      <c r="F371" s="174"/>
      <c r="G371" s="171"/>
      <c r="H371" s="179" t="s">
        <v>35</v>
      </c>
      <c r="I371" s="212">
        <f ca="1">IFERROR(__xludf.DUMMYFUNCTION("IMPORTRANGE(""https://docs.google.com/spreadsheets/d/1eHaY18a8A9IcSdp1K8H6x8fbOy06t2VsZHhMHf-1x7Y/edit?usp=sharing"",""แผน!EY40"")"),240)</f>
        <v>240</v>
      </c>
      <c r="J371" s="212">
        <f ca="1">IFERROR(__xludf.DUMMYFUNCTION("IMPORTRANGE(""https://docs.google.com/spreadsheets/d/1tdoBKaGub7dwA3U6UFTqxio9LNnvDCQjHKmttSEBsFQ/edit?usp=sharing"",""จัดที่ดิน!AF40"")"),264)</f>
        <v>264</v>
      </c>
      <c r="K371" s="255">
        <f ca="1">IF(I371&gt;0,J371*100/I371,0)</f>
        <v>110</v>
      </c>
      <c r="L371" s="172"/>
      <c r="M371" s="164"/>
      <c r="N371" s="164"/>
      <c r="O371" s="164"/>
      <c r="P371" s="164"/>
      <c r="Q371" s="164"/>
      <c r="R371" s="164"/>
      <c r="S371" s="164"/>
      <c r="T371" s="164"/>
      <c r="U371" s="164"/>
    </row>
    <row r="372" spans="1:21" ht="18.75">
      <c r="A372" s="166"/>
      <c r="B372" s="174"/>
      <c r="C372" s="167"/>
      <c r="D372" s="174"/>
      <c r="E372" s="174"/>
      <c r="F372" s="174"/>
      <c r="G372" s="171"/>
      <c r="H372" s="179" t="s">
        <v>46</v>
      </c>
      <c r="I372" s="212">
        <v>0</v>
      </c>
      <c r="J372" s="620">
        <f ca="1">IFERROR(__xludf.DUMMYFUNCTION("IMPORTRANGE(""https://docs.google.com/spreadsheets/d/1tdoBKaGub7dwA3U6UFTqxio9LNnvDCQjHKmttSEBsFQ/edit?usp=sharing"",""จัดที่ดิน!AG40"")"),2645.22)</f>
        <v>2645.22</v>
      </c>
      <c r="K372" s="255">
        <f>IF(I372&gt;0,J372*100/I372,0)</f>
        <v>0</v>
      </c>
      <c r="L372" s="172"/>
      <c r="M372" s="164"/>
      <c r="N372" s="164"/>
      <c r="O372" s="164"/>
      <c r="P372" s="164"/>
      <c r="Q372" s="164"/>
      <c r="R372" s="164"/>
      <c r="S372" s="164"/>
      <c r="T372" s="164"/>
      <c r="U372" s="164"/>
    </row>
    <row r="373" spans="1:21" ht="16.5">
      <c r="A373" s="5"/>
      <c r="B373" s="4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พ.ค. 67 เวลา 07.29 น.]")</f>
        <v xml:space="preserve"> [ข้อมูลจาก ระบบ ALRO Land Online ข้อมูล ณ 1 พ.ค. 67 เวลา 07.29 น.]</v>
      </c>
      <c r="E373" s="4"/>
      <c r="F373" s="4"/>
      <c r="G373" s="65"/>
      <c r="H373" s="65"/>
      <c r="I373" s="67"/>
      <c r="J373" s="67"/>
      <c r="K373" s="6"/>
      <c r="L373" s="68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>
      <c r="A374" s="619"/>
      <c r="B374" s="618" t="s">
        <v>154</v>
      </c>
      <c r="C374" s="617"/>
      <c r="D374" s="616"/>
      <c r="E374" s="615"/>
      <c r="F374" s="615"/>
      <c r="G374" s="614"/>
      <c r="H374" s="613" t="s">
        <v>46</v>
      </c>
      <c r="I374" s="612">
        <f ca="1">I386+I388</f>
        <v>2000</v>
      </c>
      <c r="J374" s="612">
        <f ca="1">J386+J388</f>
        <v>0</v>
      </c>
      <c r="K374" s="611">
        <f ca="1">IF(I374&gt;0,J374*100/I374,0)</f>
        <v>0</v>
      </c>
      <c r="L374" s="334"/>
      <c r="M374" s="333"/>
      <c r="N374" s="333"/>
      <c r="O374" s="333"/>
      <c r="P374" s="333"/>
      <c r="Q374" s="333"/>
      <c r="R374" s="333"/>
      <c r="S374" s="333"/>
      <c r="T374" s="333"/>
      <c r="U374" s="333"/>
    </row>
    <row r="375" spans="1:21" ht="19.5">
      <c r="A375" s="155"/>
      <c r="B375" s="188"/>
      <c r="C375" s="191" t="s">
        <v>18</v>
      </c>
      <c r="D375" s="608" t="s">
        <v>19</v>
      </c>
      <c r="E375" s="50"/>
      <c r="F375" s="50"/>
      <c r="G375" s="52"/>
      <c r="H375" s="158" t="s">
        <v>14</v>
      </c>
      <c r="I375" s="54"/>
      <c r="J375" s="54"/>
      <c r="K375" s="55"/>
      <c r="L375" s="541">
        <f>L376+L377</f>
        <v>0</v>
      </c>
      <c r="M375" s="540">
        <f>M376+M377</f>
        <v>0</v>
      </c>
      <c r="N375" s="540">
        <f>N376+N377</f>
        <v>0</v>
      </c>
      <c r="O375" s="540">
        <f>IF(L375&gt;0,N375*100/L375,0)</f>
        <v>0</v>
      </c>
      <c r="P375" s="540">
        <f>IF(M375&gt;0,N375*100/M375,0)</f>
        <v>0</v>
      </c>
      <c r="Q375" s="540">
        <f ca="1">Q376+Q377</f>
        <v>125000</v>
      </c>
      <c r="R375" s="540">
        <f ca="1">R376+R377</f>
        <v>0</v>
      </c>
      <c r="S375" s="540">
        <f ca="1">S376+S377</f>
        <v>0</v>
      </c>
      <c r="T375" s="540">
        <f ca="1">IF(Q375&gt;0,S375*100/Q375,0)</f>
        <v>0</v>
      </c>
      <c r="U375" s="540">
        <f ca="1">IF(R375&gt;0,S375*100/R375,0)</f>
        <v>0</v>
      </c>
    </row>
    <row r="376" spans="1:21" ht="18.75" hidden="1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103">
        <f>L379+L382</f>
        <v>0</v>
      </c>
      <c r="M376" s="102">
        <f>M379+M382</f>
        <v>0</v>
      </c>
      <c r="N376" s="102">
        <f>N379+N382</f>
        <v>0</v>
      </c>
      <c r="O376" s="102">
        <f>IF(L376&gt;0,N376*100/L376,0)</f>
        <v>0</v>
      </c>
      <c r="P376" s="102">
        <f>IF(M376&gt;0,N376*100/M376,0)</f>
        <v>0</v>
      </c>
      <c r="Q376" s="102">
        <f>Q379+Q382</f>
        <v>0</v>
      </c>
      <c r="R376" s="102">
        <f>R379+R382</f>
        <v>0</v>
      </c>
      <c r="S376" s="102">
        <f>S379+S382</f>
        <v>0</v>
      </c>
      <c r="T376" s="102">
        <f>IF(Q376&gt;0,S376*100/Q376,0)</f>
        <v>0</v>
      </c>
      <c r="U376" s="102">
        <f>IF(R376&gt;0,S376*100/R376,0)</f>
        <v>0</v>
      </c>
    </row>
    <row r="377" spans="1:21" ht="18.75" hidden="1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256">
        <f>L380+L383</f>
        <v>0</v>
      </c>
      <c r="M377" s="255">
        <f>M380+M383</f>
        <v>0</v>
      </c>
      <c r="N377" s="255">
        <f>N380+N383</f>
        <v>0</v>
      </c>
      <c r="O377" s="255">
        <f>IF(L377&gt;0,N377*100/L377,0)</f>
        <v>0</v>
      </c>
      <c r="P377" s="255">
        <f>IF(M377&gt;0,N377*100/M377,0)</f>
        <v>0</v>
      </c>
      <c r="Q377" s="255">
        <f ca="1">Q380+Q383</f>
        <v>125000</v>
      </c>
      <c r="R377" s="255">
        <f ca="1">R380+R383</f>
        <v>0</v>
      </c>
      <c r="S377" s="255">
        <f ca="1">S380+S383</f>
        <v>0</v>
      </c>
      <c r="T377" s="255">
        <f ca="1">IF(Q377&gt;0,S377*100/Q377,0)</f>
        <v>0</v>
      </c>
      <c r="U377" s="255">
        <f ca="1">IF(R377&gt;0,S377*100/R377,0)</f>
        <v>0</v>
      </c>
    </row>
    <row r="378" spans="1:21" ht="18.75">
      <c r="A378" s="155"/>
      <c r="B378" s="188"/>
      <c r="C378" s="188"/>
      <c r="D378" s="602" t="s">
        <v>22</v>
      </c>
      <c r="E378" s="50"/>
      <c r="F378" s="50"/>
      <c r="G378" s="52"/>
      <c r="H378" s="162" t="s">
        <v>14</v>
      </c>
      <c r="I378" s="163"/>
      <c r="J378" s="163"/>
      <c r="K378" s="164"/>
      <c r="L378" s="256">
        <f>L379+L380</f>
        <v>0</v>
      </c>
      <c r="M378" s="255">
        <f>M379+M380</f>
        <v>0</v>
      </c>
      <c r="N378" s="255">
        <f>N379+N380</f>
        <v>0</v>
      </c>
      <c r="O378" s="255">
        <f>IF(L378&gt;0,N378*100/L378,0)</f>
        <v>0</v>
      </c>
      <c r="P378" s="255">
        <f>IF(M378&gt;0,N378*100/M378,0)</f>
        <v>0</v>
      </c>
      <c r="Q378" s="255">
        <f ca="1">Q379+Q380</f>
        <v>125000</v>
      </c>
      <c r="R378" s="255">
        <f ca="1">R379+R380</f>
        <v>0</v>
      </c>
      <c r="S378" s="255">
        <f ca="1">S379+S380</f>
        <v>0</v>
      </c>
      <c r="T378" s="255">
        <f ca="1">IF(Q378&gt;0,S378*100/Q378,0)</f>
        <v>0</v>
      </c>
      <c r="U378" s="255">
        <f ca="1">IF(R378&gt;0,S378*100/R378,0)</f>
        <v>0</v>
      </c>
    </row>
    <row r="379" spans="1:21" ht="18.75" hidden="1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103">
        <v>0</v>
      </c>
      <c r="M379" s="102">
        <v>0</v>
      </c>
      <c r="N379" s="102">
        <v>0</v>
      </c>
      <c r="O379" s="102">
        <f>IF(L379&gt;0,N379*100/L379,0)</f>
        <v>0</v>
      </c>
      <c r="P379" s="102">
        <f>IF(M379&gt;0,N379*100/M379,0)</f>
        <v>0</v>
      </c>
      <c r="Q379" s="102">
        <v>0</v>
      </c>
      <c r="R379" s="102">
        <v>0</v>
      </c>
      <c r="S379" s="102">
        <v>0</v>
      </c>
      <c r="T379" s="102">
        <f>IF(Q379&gt;0,S379*100/Q379,0)</f>
        <v>0</v>
      </c>
      <c r="U379" s="102">
        <f>IF(R379&gt;0,S379*100/R379,0)</f>
        <v>0</v>
      </c>
    </row>
    <row r="380" spans="1:21" ht="18.75" hidden="1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256">
        <v>0</v>
      </c>
      <c r="M380" s="255">
        <v>0</v>
      </c>
      <c r="N380" s="255">
        <v>0</v>
      </c>
      <c r="O380" s="255">
        <f>IF(L380&gt;0,N380*100/L380,0)</f>
        <v>0</v>
      </c>
      <c r="P380" s="255">
        <f>IF(M380&gt;0,N380*100/M380,0)</f>
        <v>0</v>
      </c>
      <c r="Q380" s="255">
        <f ca="1">IFERROR(__xludf.DUMMYFUNCTION("IMPORTRANGE(""https://docs.google.com/spreadsheets/d/1ItG2mGa2ceCfYo0BwxsXqNm01IGEUdYcSSLTEv9YCik/edit?usp=sharing"",""เบิกจ่ายกองทุน!AY40"")"),125000)</f>
        <v>125000</v>
      </c>
      <c r="R380" s="255">
        <f ca="1">IFERROR(__xludf.DUMMYFUNCTION("IMPORTRANGE(""https://docs.google.com/spreadsheets/d/1ItG2mGa2ceCfYo0BwxsXqNm01IGEUdYcSSLTEv9YCik/edit?usp=sharing"",""เบิกจ่ายกองทุน!AZ40"")"),0)</f>
        <v>0</v>
      </c>
      <c r="S380" s="255">
        <f ca="1">IFERROR(__xludf.DUMMYFUNCTION("IMPORTRANGE(""https://docs.google.com/spreadsheets/d/1ItG2mGa2ceCfYo0BwxsXqNm01IGEUdYcSSLTEv9YCik/edit?usp=sharing"",""เบิกจ่ายกองทุน!BA40"")"),0)</f>
        <v>0</v>
      </c>
      <c r="T380" s="255">
        <f ca="1">IF(Q380&gt;0,S380*100/Q380,0)</f>
        <v>0</v>
      </c>
      <c r="U380" s="255">
        <f ca="1">IF(R380&gt;0,S380*100/R380,0)</f>
        <v>0</v>
      </c>
    </row>
    <row r="381" spans="1:21" ht="18.75">
      <c r="A381" s="155"/>
      <c r="B381" s="188"/>
      <c r="C381" s="188"/>
      <c r="D381" s="602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256">
        <f>L382+L383</f>
        <v>0</v>
      </c>
      <c r="M381" s="255">
        <f>M382+M383</f>
        <v>0</v>
      </c>
      <c r="N381" s="255">
        <f>N382+N383</f>
        <v>0</v>
      </c>
      <c r="O381" s="255">
        <f>IF(L381&gt;0,N381*100/L381,0)</f>
        <v>0</v>
      </c>
      <c r="P381" s="255">
        <f>IF(M381&gt;0,N381*100/M381,0)</f>
        <v>0</v>
      </c>
      <c r="Q381" s="255">
        <f>Q382+Q383</f>
        <v>0</v>
      </c>
      <c r="R381" s="255">
        <f>R382+R383</f>
        <v>0</v>
      </c>
      <c r="S381" s="255">
        <f>S382+S383</f>
        <v>0</v>
      </c>
      <c r="T381" s="255">
        <f>IF(Q381&gt;0,S381*100/Q381,0)</f>
        <v>0</v>
      </c>
      <c r="U381" s="255">
        <f>IF(R381&gt;0,S381*100/R381,0)</f>
        <v>0</v>
      </c>
    </row>
    <row r="382" spans="1:21" ht="18.75" hidden="1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103">
        <v>0</v>
      </c>
      <c r="M382" s="102">
        <v>0</v>
      </c>
      <c r="N382" s="102">
        <v>0</v>
      </c>
      <c r="O382" s="102">
        <f>IF(L382&gt;0,N382*100/L382,0)</f>
        <v>0</v>
      </c>
      <c r="P382" s="102">
        <f>IF(M382&gt;0,N382*100/M382,0)</f>
        <v>0</v>
      </c>
      <c r="Q382" s="102">
        <v>0</v>
      </c>
      <c r="R382" s="102">
        <v>0</v>
      </c>
      <c r="S382" s="102">
        <v>0</v>
      </c>
      <c r="T382" s="102">
        <f>IF(Q382&gt;0,S382*100/Q382,0)</f>
        <v>0</v>
      </c>
      <c r="U382" s="102">
        <f>IF(R382&gt;0,S382*100/R382,0)</f>
        <v>0</v>
      </c>
    </row>
    <row r="383" spans="1:21" ht="18.75" hidden="1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256">
        <v>0</v>
      </c>
      <c r="M383" s="255">
        <v>0</v>
      </c>
      <c r="N383" s="255">
        <v>0</v>
      </c>
      <c r="O383" s="255">
        <f>IF(L383&gt;0,N383*100/L383,0)</f>
        <v>0</v>
      </c>
      <c r="P383" s="255">
        <f>IF(M383&gt;0,N383*100/M383,0)</f>
        <v>0</v>
      </c>
      <c r="Q383" s="255">
        <v>0</v>
      </c>
      <c r="R383" s="255">
        <v>0</v>
      </c>
      <c r="S383" s="255">
        <v>0</v>
      </c>
      <c r="T383" s="255">
        <f>IF(Q383&gt;0,S383*100/Q383,0)</f>
        <v>0</v>
      </c>
      <c r="U383" s="255">
        <f>IF(R383&gt;0,S383*100/R383,0)</f>
        <v>0</v>
      </c>
    </row>
    <row r="384" spans="1:21" ht="19.5">
      <c r="A384" s="166"/>
      <c r="B384" s="167"/>
      <c r="C384" s="191" t="s">
        <v>18</v>
      </c>
      <c r="D384" s="560" t="s">
        <v>38</v>
      </c>
      <c r="E384" s="169"/>
      <c r="F384" s="169"/>
      <c r="G384" s="170"/>
      <c r="H384" s="206"/>
      <c r="I384" s="163"/>
      <c r="J384" s="54"/>
      <c r="K384" s="55"/>
      <c r="L384" s="62"/>
      <c r="M384" s="55"/>
      <c r="N384" s="55"/>
      <c r="O384" s="164"/>
      <c r="P384" s="164"/>
      <c r="Q384" s="55"/>
      <c r="R384" s="55"/>
      <c r="S384" s="55"/>
      <c r="T384" s="164"/>
      <c r="U384" s="164"/>
    </row>
    <row r="385" spans="1:21" ht="18.75">
      <c r="A385" s="238"/>
      <c r="B385" s="188"/>
      <c r="C385" s="188"/>
      <c r="D385" s="188"/>
      <c r="E385" s="58" t="s">
        <v>155</v>
      </c>
      <c r="F385" s="50"/>
      <c r="G385" s="52"/>
      <c r="H385" s="161" t="s">
        <v>34</v>
      </c>
      <c r="I385" s="212">
        <v>0</v>
      </c>
      <c r="J385" s="212">
        <f ca="1">IFERROR(__xludf.DUMMYFUNCTION("IMPORTRANGE(""https://docs.google.com/spreadsheets/d/1w5rwWK1o49a35cNtocGL0gxDwhFSTZUQu90BiH9_zqM/edit?usp=sharing"",""RTK!H40"")"),0)</f>
        <v>0</v>
      </c>
      <c r="K385" s="255">
        <f>IF(I385&gt;0,J385*100/I385,0)</f>
        <v>0</v>
      </c>
      <c r="L385" s="62"/>
      <c r="M385" s="55"/>
      <c r="N385" s="55"/>
      <c r="O385" s="55"/>
      <c r="P385" s="55"/>
      <c r="Q385" s="55"/>
      <c r="R385" s="55"/>
      <c r="S385" s="55"/>
      <c r="T385" s="55"/>
      <c r="U385" s="55"/>
    </row>
    <row r="386" spans="1:21" ht="18.75">
      <c r="A386" s="188"/>
      <c r="B386" s="188"/>
      <c r="C386" s="188"/>
      <c r="D386" s="188"/>
      <c r="E386" s="188"/>
      <c r="F386" s="188"/>
      <c r="G386" s="208"/>
      <c r="H386" s="161" t="s">
        <v>46</v>
      </c>
      <c r="I386" s="212">
        <f ca="1">IFERROR(__xludf.DUMMYFUNCTION("IMPORTRANGE(""https://docs.google.com/spreadsheets/d/1w5rwWK1o49a35cNtocGL0gxDwhFSTZUQu90BiH9_zqM/edit?usp=sharing"",""RTK!G40"")"),2000)</f>
        <v>2000</v>
      </c>
      <c r="J386" s="212">
        <f ca="1">IFERROR(__xludf.DUMMYFUNCTION("IMPORTRANGE(""https://docs.google.com/spreadsheets/d/1w5rwWK1o49a35cNtocGL0gxDwhFSTZUQu90BiH9_zqM/edit?usp=sharing"",""RTK!I40"")"),0)</f>
        <v>0</v>
      </c>
      <c r="K386" s="255">
        <f ca="1">IF(I386&gt;0,J386*100/I386,0)</f>
        <v>0</v>
      </c>
      <c r="L386" s="62"/>
      <c r="M386" s="55"/>
      <c r="N386" s="55"/>
      <c r="O386" s="55"/>
      <c r="P386" s="55"/>
      <c r="Q386" s="55"/>
      <c r="R386" s="55"/>
      <c r="S386" s="55"/>
      <c r="T386" s="55"/>
      <c r="U386" s="55"/>
    </row>
    <row r="387" spans="1:21" ht="18.75">
      <c r="A387" s="188"/>
      <c r="B387" s="188"/>
      <c r="C387" s="188"/>
      <c r="D387" s="188"/>
      <c r="E387" s="239" t="s">
        <v>156</v>
      </c>
      <c r="F387" s="188"/>
      <c r="G387" s="208"/>
      <c r="H387" s="161" t="s">
        <v>34</v>
      </c>
      <c r="I387" s="212">
        <v>0</v>
      </c>
      <c r="J387" s="212">
        <f ca="1">IFERROR(__xludf.DUMMYFUNCTION("IMPORTRANGE(""https://docs.google.com/spreadsheets/d/1w5rwWK1o49a35cNtocGL0gxDwhFSTZUQu90BiH9_zqM/edit?usp=sharing"",""RTK!L40"")"),0)</f>
        <v>0</v>
      </c>
      <c r="K387" s="255">
        <f>IF(I387&gt;0,J387*100/I387,0)</f>
        <v>0</v>
      </c>
      <c r="L387" s="62"/>
      <c r="M387" s="55"/>
      <c r="N387" s="55"/>
      <c r="O387" s="55"/>
      <c r="P387" s="55"/>
      <c r="Q387" s="55"/>
      <c r="R387" s="55"/>
      <c r="S387" s="55"/>
      <c r="T387" s="55"/>
      <c r="U387" s="55"/>
    </row>
    <row r="388" spans="1:21" ht="18.75">
      <c r="A388" s="188"/>
      <c r="B388" s="188"/>
      <c r="C388" s="188"/>
      <c r="D388" s="188"/>
      <c r="E388" s="188"/>
      <c r="F388" s="188"/>
      <c r="G388" s="208"/>
      <c r="H388" s="161" t="s">
        <v>46</v>
      </c>
      <c r="I388" s="212">
        <f ca="1">IFERROR(__xludf.DUMMYFUNCTION("IMPORTRANGE(""https://docs.google.com/spreadsheets/d/1w5rwWK1o49a35cNtocGL0gxDwhFSTZUQu90BiH9_zqM/edit?usp=sharing"",""RTK!K40"")"),0)</f>
        <v>0</v>
      </c>
      <c r="J388" s="212">
        <f ca="1">IFERROR(__xludf.DUMMYFUNCTION("IMPORTRANGE(""https://docs.google.com/spreadsheets/d/1w5rwWK1o49a35cNtocGL0gxDwhFSTZUQu90BiH9_zqM/edit?usp=sharing"",""RTK!M40"")"),0)</f>
        <v>0</v>
      </c>
      <c r="K388" s="255">
        <f ca="1">IF(I388&gt;0,J388*100/I388,0)</f>
        <v>0</v>
      </c>
      <c r="L388" s="62"/>
      <c r="M388" s="55"/>
      <c r="N388" s="55"/>
      <c r="O388" s="55"/>
      <c r="P388" s="55"/>
      <c r="Q388" s="55"/>
      <c r="R388" s="55"/>
      <c r="S388" s="55"/>
      <c r="T388" s="55"/>
      <c r="U388" s="55"/>
    </row>
    <row r="389" spans="1:21" ht="12.75" hidden="1">
      <c r="A389" s="259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5"/>
      <c r="M389" s="264"/>
      <c r="N389" s="264"/>
      <c r="O389" s="264"/>
      <c r="P389" s="264"/>
      <c r="Q389" s="264"/>
      <c r="R389" s="264"/>
      <c r="S389" s="264"/>
      <c r="T389" s="264"/>
      <c r="U389" s="264"/>
    </row>
    <row r="390" spans="1:21" ht="12.75" hidden="1">
      <c r="A390" s="360"/>
      <c r="B390" s="360"/>
      <c r="C390" s="360"/>
      <c r="D390" s="360"/>
      <c r="E390" s="360"/>
      <c r="F390" s="360"/>
      <c r="G390" s="361"/>
      <c r="H390" s="361"/>
      <c r="I390" s="362"/>
      <c r="J390" s="362"/>
      <c r="K390" s="363"/>
      <c r="L390" s="364"/>
      <c r="M390" s="363"/>
      <c r="N390" s="363"/>
      <c r="O390" s="363"/>
      <c r="P390" s="363"/>
      <c r="Q390" s="363"/>
      <c r="R390" s="363"/>
      <c r="S390" s="363"/>
      <c r="T390" s="363"/>
      <c r="U390" s="363"/>
    </row>
    <row r="391" spans="1:21" ht="19.5" hidden="1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51">
        <f>I402</f>
        <v>0</v>
      </c>
      <c r="J391" s="351">
        <f>J402</f>
        <v>0</v>
      </c>
      <c r="K391" s="604">
        <f>IF(I391&gt;0,J391*100/I391,0)</f>
        <v>0</v>
      </c>
      <c r="L391" s="334"/>
      <c r="M391" s="333"/>
      <c r="N391" s="333"/>
      <c r="O391" s="333"/>
      <c r="P391" s="333"/>
      <c r="Q391" s="333"/>
      <c r="R391" s="333"/>
      <c r="S391" s="333"/>
      <c r="T391" s="333"/>
      <c r="U391" s="333"/>
    </row>
    <row r="392" spans="1:21" ht="19.5" hidden="1">
      <c r="A392" s="155"/>
      <c r="B392" s="188"/>
      <c r="C392" s="191" t="s">
        <v>18</v>
      </c>
      <c r="D392" s="608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541">
        <f>L393+L394</f>
        <v>0</v>
      </c>
      <c r="M392" s="540">
        <f>M393+M394</f>
        <v>0</v>
      </c>
      <c r="N392" s="540">
        <f>N393+N394</f>
        <v>0</v>
      </c>
      <c r="O392" s="540">
        <f>IF(L392&gt;0,N392*100/L392,0)</f>
        <v>0</v>
      </c>
      <c r="P392" s="540">
        <f>IF(M392&gt;0,N392*100/M392,0)</f>
        <v>0</v>
      </c>
      <c r="Q392" s="540">
        <f>Q393+Q394</f>
        <v>0</v>
      </c>
      <c r="R392" s="540">
        <f>R393+R394</f>
        <v>0</v>
      </c>
      <c r="S392" s="540">
        <f>S393+S394</f>
        <v>0</v>
      </c>
      <c r="T392" s="540">
        <f>IF(Q392&gt;0,S392*100/Q392,0)</f>
        <v>0</v>
      </c>
      <c r="U392" s="540">
        <f>IF(R392&gt;0,S392*100/R392,0)</f>
        <v>0</v>
      </c>
    </row>
    <row r="393" spans="1:21" ht="18.75" hidden="1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103">
        <f>L396+L399</f>
        <v>0</v>
      </c>
      <c r="M393" s="102">
        <f>M396+M399</f>
        <v>0</v>
      </c>
      <c r="N393" s="102">
        <f>N396+N399</f>
        <v>0</v>
      </c>
      <c r="O393" s="102">
        <f>IF(L393&gt;0,N393*100/L393,0)</f>
        <v>0</v>
      </c>
      <c r="P393" s="102">
        <f>IF(M393&gt;0,N393*100/M393,0)</f>
        <v>0</v>
      </c>
      <c r="Q393" s="102">
        <f>Q396+Q399</f>
        <v>0</v>
      </c>
      <c r="R393" s="102">
        <f>R396+R399</f>
        <v>0</v>
      </c>
      <c r="S393" s="102">
        <f>S396+S399</f>
        <v>0</v>
      </c>
      <c r="T393" s="102">
        <f>IF(Q393&gt;0,S393*100/Q393,0)</f>
        <v>0</v>
      </c>
      <c r="U393" s="102">
        <f>IF(R393&gt;0,S393*100/R393,0)</f>
        <v>0</v>
      </c>
    </row>
    <row r="394" spans="1:21" ht="18.75" hidden="1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256">
        <f>L397+L400</f>
        <v>0</v>
      </c>
      <c r="M394" s="255">
        <f>M397+M400</f>
        <v>0</v>
      </c>
      <c r="N394" s="255">
        <f>N397+N400</f>
        <v>0</v>
      </c>
      <c r="O394" s="255">
        <f>IF(L394&gt;0,N394*100/L394,0)</f>
        <v>0</v>
      </c>
      <c r="P394" s="255">
        <f>IF(M394&gt;0,N394*100/M394,0)</f>
        <v>0</v>
      </c>
      <c r="Q394" s="255">
        <f>Q397+Q400</f>
        <v>0</v>
      </c>
      <c r="R394" s="255">
        <f>R397+R400</f>
        <v>0</v>
      </c>
      <c r="S394" s="255">
        <f>S397+S400</f>
        <v>0</v>
      </c>
      <c r="T394" s="255">
        <f>IF(Q394&gt;0,S394*100/Q394,0)</f>
        <v>0</v>
      </c>
      <c r="U394" s="255">
        <f>IF(R394&gt;0,S394*100/R394,0)</f>
        <v>0</v>
      </c>
    </row>
    <row r="395" spans="1:21" ht="18.75" hidden="1">
      <c r="A395" s="155"/>
      <c r="B395" s="188"/>
      <c r="C395" s="188"/>
      <c r="D395" s="602" t="s">
        <v>22</v>
      </c>
      <c r="E395" s="50"/>
      <c r="F395" s="50"/>
      <c r="G395" s="52"/>
      <c r="H395" s="162" t="s">
        <v>14</v>
      </c>
      <c r="I395" s="163"/>
      <c r="J395" s="163"/>
      <c r="K395" s="164"/>
      <c r="L395" s="256">
        <f>L396+L397</f>
        <v>0</v>
      </c>
      <c r="M395" s="255">
        <f>M396+M397</f>
        <v>0</v>
      </c>
      <c r="N395" s="255">
        <f>N396+N397</f>
        <v>0</v>
      </c>
      <c r="O395" s="255">
        <f>IF(L395&gt;0,N395*100/L395,0)</f>
        <v>0</v>
      </c>
      <c r="P395" s="255">
        <f>IF(M395&gt;0,N395*100/M395,0)</f>
        <v>0</v>
      </c>
      <c r="Q395" s="255">
        <f>Q396+Q397</f>
        <v>0</v>
      </c>
      <c r="R395" s="255">
        <f>R396+R397</f>
        <v>0</v>
      </c>
      <c r="S395" s="255">
        <f>S396+S397</f>
        <v>0</v>
      </c>
      <c r="T395" s="255">
        <f>IF(Q395&gt;0,S395*100/Q395,0)</f>
        <v>0</v>
      </c>
      <c r="U395" s="255">
        <f>IF(R395&gt;0,S395*100/R395,0)</f>
        <v>0</v>
      </c>
    </row>
    <row r="396" spans="1:21" ht="18.75" hidden="1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103">
        <v>0</v>
      </c>
      <c r="M396" s="102">
        <v>0</v>
      </c>
      <c r="N396" s="102">
        <v>0</v>
      </c>
      <c r="O396" s="102">
        <f>IF(L396&gt;0,N396*100/L396,0)</f>
        <v>0</v>
      </c>
      <c r="P396" s="102">
        <f>IF(M396&gt;0,N396*100/M396,0)</f>
        <v>0</v>
      </c>
      <c r="Q396" s="102">
        <v>0</v>
      </c>
      <c r="R396" s="102">
        <v>0</v>
      </c>
      <c r="S396" s="102">
        <v>0</v>
      </c>
      <c r="T396" s="102">
        <f>IF(Q396&gt;0,S396*100/Q396,0)</f>
        <v>0</v>
      </c>
      <c r="U396" s="102">
        <f>IF(R396&gt;0,S396*100/R396,0)</f>
        <v>0</v>
      </c>
    </row>
    <row r="397" spans="1:21" ht="18.75" hidden="1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256">
        <v>0</v>
      </c>
      <c r="M397" s="255">
        <v>0</v>
      </c>
      <c r="N397" s="255">
        <v>0</v>
      </c>
      <c r="O397" s="255">
        <f>IF(L397&gt;0,N397*100/L397,0)</f>
        <v>0</v>
      </c>
      <c r="P397" s="255">
        <f>IF(M397&gt;0,N397*100/M397,0)</f>
        <v>0</v>
      </c>
      <c r="Q397" s="255">
        <v>0</v>
      </c>
      <c r="R397" s="255">
        <v>0</v>
      </c>
      <c r="S397" s="255">
        <v>0</v>
      </c>
      <c r="T397" s="255">
        <f>IF(Q397&gt;0,S397*100/Q397,0)</f>
        <v>0</v>
      </c>
      <c r="U397" s="255">
        <f>IF(R397&gt;0,S397*100/R397,0)</f>
        <v>0</v>
      </c>
    </row>
    <row r="398" spans="1:21" ht="18.75" hidden="1">
      <c r="A398" s="155"/>
      <c r="B398" s="188"/>
      <c r="C398" s="188"/>
      <c r="D398" s="602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256">
        <f>L399+L400</f>
        <v>0</v>
      </c>
      <c r="M398" s="255">
        <f>M399+M400</f>
        <v>0</v>
      </c>
      <c r="N398" s="255">
        <f>N399+N400</f>
        <v>0</v>
      </c>
      <c r="O398" s="255">
        <f>IF(L398&gt;0,N398*100/L398,0)</f>
        <v>0</v>
      </c>
      <c r="P398" s="255">
        <f>IF(M398&gt;0,N398*100/M398,0)</f>
        <v>0</v>
      </c>
      <c r="Q398" s="255">
        <f>Q399+Q400</f>
        <v>0</v>
      </c>
      <c r="R398" s="255">
        <f>R399+R400</f>
        <v>0</v>
      </c>
      <c r="S398" s="255">
        <f>S399+S400</f>
        <v>0</v>
      </c>
      <c r="T398" s="255">
        <f>IF(Q398&gt;0,S398*100/Q398,0)</f>
        <v>0</v>
      </c>
      <c r="U398" s="255">
        <f>IF(R398&gt;0,S398*100/R398,0)</f>
        <v>0</v>
      </c>
    </row>
    <row r="399" spans="1:21" ht="18.75" hidden="1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103">
        <v>0</v>
      </c>
      <c r="M399" s="102">
        <v>0</v>
      </c>
      <c r="N399" s="102">
        <v>0</v>
      </c>
      <c r="O399" s="102">
        <f>IF(L399&gt;0,N399*100/L399,0)</f>
        <v>0</v>
      </c>
      <c r="P399" s="102">
        <f>IF(M399&gt;0,N399*100/M399,0)</f>
        <v>0</v>
      </c>
      <c r="Q399" s="102">
        <v>0</v>
      </c>
      <c r="R399" s="102">
        <v>0</v>
      </c>
      <c r="S399" s="102">
        <v>0</v>
      </c>
      <c r="T399" s="102">
        <f>IF(Q399&gt;0,S399*100/Q399,0)</f>
        <v>0</v>
      </c>
      <c r="U399" s="102">
        <f>IF(R399&gt;0,S399*100/R399,0)</f>
        <v>0</v>
      </c>
    </row>
    <row r="400" spans="1:21" ht="18.75" hidden="1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256">
        <v>0</v>
      </c>
      <c r="M400" s="255">
        <v>0</v>
      </c>
      <c r="N400" s="255">
        <v>0</v>
      </c>
      <c r="O400" s="255">
        <f>IF(L400&gt;0,N400*100/L400,0)</f>
        <v>0</v>
      </c>
      <c r="P400" s="255">
        <f>IF(M400&gt;0,N400*100/M400,0)</f>
        <v>0</v>
      </c>
      <c r="Q400" s="255">
        <v>0</v>
      </c>
      <c r="R400" s="255">
        <v>0</v>
      </c>
      <c r="S400" s="255">
        <v>0</v>
      </c>
      <c r="T400" s="255">
        <f>IF(Q400&gt;0,S400*100/Q400,0)</f>
        <v>0</v>
      </c>
      <c r="U400" s="255">
        <f>IF(R400&gt;0,S400*100/R400,0)</f>
        <v>0</v>
      </c>
    </row>
    <row r="401" spans="1:21" ht="19.5" hidden="1">
      <c r="A401" s="166"/>
      <c r="B401" s="167"/>
      <c r="C401" s="191" t="s">
        <v>18</v>
      </c>
      <c r="D401" s="560" t="s">
        <v>38</v>
      </c>
      <c r="E401" s="169"/>
      <c r="F401" s="169"/>
      <c r="G401" s="170"/>
      <c r="H401" s="206"/>
      <c r="I401" s="163"/>
      <c r="J401" s="54"/>
      <c r="K401" s="55"/>
      <c r="L401" s="62"/>
      <c r="M401" s="55"/>
      <c r="N401" s="55"/>
      <c r="O401" s="164"/>
      <c r="P401" s="164"/>
      <c r="Q401" s="55"/>
      <c r="R401" s="55"/>
      <c r="S401" s="55"/>
      <c r="T401" s="164"/>
      <c r="U401" s="164"/>
    </row>
    <row r="402" spans="1:21" ht="12.75" hidden="1">
      <c r="A402" s="258"/>
      <c r="B402" s="259"/>
      <c r="C402" s="259"/>
      <c r="D402" s="259"/>
      <c r="E402" s="260"/>
      <c r="F402" s="260"/>
      <c r="G402" s="261"/>
      <c r="H402" s="262"/>
      <c r="I402" s="263"/>
      <c r="J402" s="263"/>
      <c r="K402" s="264"/>
      <c r="L402" s="265"/>
      <c r="M402" s="264"/>
      <c r="N402" s="264"/>
      <c r="O402" s="264"/>
      <c r="P402" s="264"/>
      <c r="Q402" s="264"/>
      <c r="R402" s="264"/>
      <c r="S402" s="264"/>
      <c r="T402" s="264"/>
      <c r="U402" s="264"/>
    </row>
    <row r="403" spans="1:21" ht="12.75" hidden="1">
      <c r="A403" s="259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5"/>
      <c r="M403" s="264"/>
      <c r="N403" s="264"/>
      <c r="O403" s="264"/>
      <c r="P403" s="264"/>
      <c r="Q403" s="264"/>
      <c r="R403" s="264"/>
      <c r="S403" s="264"/>
      <c r="T403" s="264"/>
      <c r="U403" s="264"/>
    </row>
    <row r="404" spans="1:21" ht="12.75" hidden="1">
      <c r="A404" s="259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5"/>
      <c r="M404" s="264"/>
      <c r="N404" s="264"/>
      <c r="O404" s="264"/>
      <c r="P404" s="264"/>
      <c r="Q404" s="264"/>
      <c r="R404" s="264"/>
      <c r="S404" s="264"/>
      <c r="T404" s="264"/>
      <c r="U404" s="264"/>
    </row>
    <row r="405" spans="1:21" ht="12.75" hidden="1">
      <c r="A405" s="259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5"/>
      <c r="M405" s="264"/>
      <c r="N405" s="264"/>
      <c r="O405" s="264"/>
      <c r="P405" s="264"/>
      <c r="Q405" s="264"/>
      <c r="R405" s="264"/>
      <c r="S405" s="264"/>
      <c r="T405" s="264"/>
      <c r="U405" s="264"/>
    </row>
    <row r="406" spans="1:21" ht="12.75" hidden="1">
      <c r="A406" s="259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5"/>
      <c r="M406" s="264"/>
      <c r="N406" s="264"/>
      <c r="O406" s="264"/>
      <c r="P406" s="264"/>
      <c r="Q406" s="264"/>
      <c r="R406" s="264"/>
      <c r="S406" s="264"/>
      <c r="T406" s="264"/>
      <c r="U406" s="264"/>
    </row>
    <row r="407" spans="1:21" ht="12.75" hidden="1">
      <c r="A407" s="259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5"/>
      <c r="M407" s="264"/>
      <c r="N407" s="264"/>
      <c r="O407" s="264"/>
      <c r="P407" s="264"/>
      <c r="Q407" s="264"/>
      <c r="R407" s="264"/>
      <c r="S407" s="264"/>
      <c r="T407" s="264"/>
      <c r="U407" s="264"/>
    </row>
    <row r="408" spans="1:21" ht="12.75" hidden="1">
      <c r="A408" s="259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5"/>
      <c r="M408" s="264"/>
      <c r="N408" s="264"/>
      <c r="O408" s="264"/>
      <c r="P408" s="264"/>
      <c r="Q408" s="264"/>
      <c r="R408" s="264"/>
      <c r="S408" s="264"/>
      <c r="T408" s="264"/>
      <c r="U408" s="264"/>
    </row>
    <row r="409" spans="1:21" ht="12.75" hidden="1">
      <c r="A409" s="259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5"/>
      <c r="M409" s="264"/>
      <c r="N409" s="264"/>
      <c r="O409" s="264"/>
      <c r="P409" s="264"/>
      <c r="Q409" s="264"/>
      <c r="R409" s="264"/>
      <c r="S409" s="264"/>
      <c r="T409" s="264"/>
      <c r="U409" s="264"/>
    </row>
    <row r="410" spans="1:21" ht="12.75" hidden="1">
      <c r="A410" s="259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5"/>
      <c r="M410" s="264"/>
      <c r="N410" s="264"/>
      <c r="O410" s="264"/>
      <c r="P410" s="264"/>
      <c r="Q410" s="264"/>
      <c r="R410" s="264"/>
      <c r="S410" s="264"/>
      <c r="T410" s="264"/>
      <c r="U410" s="264"/>
    </row>
    <row r="411" spans="1:21" ht="12.75" hidden="1">
      <c r="A411" s="360"/>
      <c r="B411" s="360"/>
      <c r="C411" s="360"/>
      <c r="D411" s="360"/>
      <c r="E411" s="360"/>
      <c r="F411" s="360"/>
      <c r="G411" s="361"/>
      <c r="H411" s="361"/>
      <c r="I411" s="362"/>
      <c r="J411" s="362"/>
      <c r="K411" s="363"/>
      <c r="L411" s="364"/>
      <c r="M411" s="363"/>
      <c r="N411" s="363"/>
      <c r="O411" s="363"/>
      <c r="P411" s="363"/>
      <c r="Q411" s="363"/>
      <c r="R411" s="363"/>
      <c r="S411" s="363"/>
      <c r="T411" s="363"/>
      <c r="U411" s="363"/>
    </row>
    <row r="412" spans="1:21" ht="19.5" hidden="1">
      <c r="A412" s="337"/>
      <c r="B412" s="354" t="s">
        <v>158</v>
      </c>
      <c r="C412" s="337"/>
      <c r="D412" s="337"/>
      <c r="E412" s="337"/>
      <c r="F412" s="337"/>
      <c r="G412" s="365"/>
      <c r="H412" s="366" t="s">
        <v>46</v>
      </c>
      <c r="I412" s="605">
        <f ca="1">I423</f>
        <v>0</v>
      </c>
      <c r="J412" s="605">
        <f>J423</f>
        <v>0</v>
      </c>
      <c r="K412" s="604">
        <f ca="1">IF(I412&gt;0,J412*100/I412,0)</f>
        <v>0</v>
      </c>
      <c r="L412" s="334"/>
      <c r="M412" s="333"/>
      <c r="N412" s="333"/>
      <c r="O412" s="333"/>
      <c r="P412" s="333"/>
      <c r="Q412" s="333"/>
      <c r="R412" s="333"/>
      <c r="S412" s="333"/>
      <c r="T412" s="333"/>
      <c r="U412" s="333"/>
    </row>
    <row r="413" spans="1:21" ht="19.5" hidden="1">
      <c r="A413" s="155"/>
      <c r="B413" s="188"/>
      <c r="C413" s="367" t="s">
        <v>18</v>
      </c>
      <c r="D413" s="603" t="s">
        <v>19</v>
      </c>
      <c r="E413" s="514"/>
      <c r="F413" s="514"/>
      <c r="G413" s="512"/>
      <c r="H413" s="368" t="s">
        <v>14</v>
      </c>
      <c r="I413" s="54"/>
      <c r="J413" s="54"/>
      <c r="K413" s="55"/>
      <c r="L413" s="541">
        <f>L414+L415</f>
        <v>0</v>
      </c>
      <c r="M413" s="540">
        <f>M414+M415</f>
        <v>0</v>
      </c>
      <c r="N413" s="540">
        <f>N414+N415</f>
        <v>0</v>
      </c>
      <c r="O413" s="540">
        <f>IF(L413&gt;0,N413*100/L413,0)</f>
        <v>0</v>
      </c>
      <c r="P413" s="540">
        <f>IF(M413&gt;0,N413*100/M413,0)</f>
        <v>0</v>
      </c>
      <c r="Q413" s="540">
        <f ca="1">Q414+Q415</f>
        <v>0</v>
      </c>
      <c r="R413" s="540">
        <f ca="1">R414+R415</f>
        <v>0</v>
      </c>
      <c r="S413" s="540">
        <f ca="1">S414+S415</f>
        <v>0</v>
      </c>
      <c r="T413" s="540">
        <f ca="1">IF(Q413&gt;0,S413*100/Q413,0)</f>
        <v>0</v>
      </c>
      <c r="U413" s="540">
        <f ca="1">IF(R413&gt;0,S413*100/R413,0)</f>
        <v>0</v>
      </c>
    </row>
    <row r="414" spans="1:21" ht="18.75" hidden="1">
      <c r="A414" s="155"/>
      <c r="B414" s="188"/>
      <c r="C414" s="188"/>
      <c r="D414" s="188"/>
      <c r="E414" s="358" t="s">
        <v>159</v>
      </c>
      <c r="F414" s="188"/>
      <c r="G414" s="208"/>
      <c r="H414" s="204" t="s">
        <v>14</v>
      </c>
      <c r="I414" s="54"/>
      <c r="J414" s="54"/>
      <c r="K414" s="55"/>
      <c r="L414" s="103">
        <f>L417+L420</f>
        <v>0</v>
      </c>
      <c r="M414" s="102">
        <f>M417+M420</f>
        <v>0</v>
      </c>
      <c r="N414" s="102">
        <f>N417+N420</f>
        <v>0</v>
      </c>
      <c r="O414" s="102">
        <f>IF(L414&gt;0,N414*100/L414,0)</f>
        <v>0</v>
      </c>
      <c r="P414" s="102">
        <f>IF(M414&gt;0,N414*100/M414,0)</f>
        <v>0</v>
      </c>
      <c r="Q414" s="102">
        <f>Q417+Q420</f>
        <v>0</v>
      </c>
      <c r="R414" s="102">
        <f>R417+R420</f>
        <v>0</v>
      </c>
      <c r="S414" s="102">
        <f>S417+S420</f>
        <v>0</v>
      </c>
      <c r="T414" s="102">
        <f>IF(Q414&gt;0,S414*100/Q414,0)</f>
        <v>0</v>
      </c>
      <c r="U414" s="102">
        <f>IF(R414&gt;0,S414*100/R414,0)</f>
        <v>0</v>
      </c>
    </row>
    <row r="415" spans="1:21" ht="18.75" hidden="1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256">
        <f>L418+L421</f>
        <v>0</v>
      </c>
      <c r="M415" s="255">
        <f>M418+M421</f>
        <v>0</v>
      </c>
      <c r="N415" s="255">
        <f>N418+N421</f>
        <v>0</v>
      </c>
      <c r="O415" s="255">
        <f>IF(L415&gt;0,N415*100/L415,0)</f>
        <v>0</v>
      </c>
      <c r="P415" s="255">
        <f>IF(M415&gt;0,N415*100/M415,0)</f>
        <v>0</v>
      </c>
      <c r="Q415" s="255">
        <f ca="1">Q418+Q421</f>
        <v>0</v>
      </c>
      <c r="R415" s="255">
        <f ca="1">R418+R421</f>
        <v>0</v>
      </c>
      <c r="S415" s="255">
        <f ca="1">S418+S421</f>
        <v>0</v>
      </c>
      <c r="T415" s="255">
        <f ca="1">IF(Q415&gt;0,S415*100/Q415,0)</f>
        <v>0</v>
      </c>
      <c r="U415" s="255">
        <f ca="1">IF(R415&gt;0,S415*100/R415,0)</f>
        <v>0</v>
      </c>
    </row>
    <row r="416" spans="1:21" ht="19.5" hidden="1">
      <c r="A416" s="155"/>
      <c r="B416" s="188"/>
      <c r="C416" s="188"/>
      <c r="D416" s="608" t="s">
        <v>22</v>
      </c>
      <c r="E416" s="188"/>
      <c r="F416" s="188"/>
      <c r="G416" s="208"/>
      <c r="H416" s="368" t="s">
        <v>14</v>
      </c>
      <c r="I416" s="54"/>
      <c r="J416" s="54"/>
      <c r="K416" s="55"/>
      <c r="L416" s="256">
        <f>L417+L418</f>
        <v>0</v>
      </c>
      <c r="M416" s="255">
        <f>M417+M418</f>
        <v>0</v>
      </c>
      <c r="N416" s="255">
        <f>N417+N418</f>
        <v>0</v>
      </c>
      <c r="O416" s="255">
        <f>IF(L416&gt;0,N416*100/L416,0)</f>
        <v>0</v>
      </c>
      <c r="P416" s="255">
        <f>IF(M416&gt;0,N416*100/M416,0)</f>
        <v>0</v>
      </c>
      <c r="Q416" s="255">
        <f ca="1">Q417+Q418</f>
        <v>0</v>
      </c>
      <c r="R416" s="255">
        <f ca="1">R417+R418</f>
        <v>0</v>
      </c>
      <c r="S416" s="255">
        <f ca="1">S417+S418</f>
        <v>0</v>
      </c>
      <c r="T416" s="255">
        <f ca="1">IF(Q416&gt;0,S416*100/Q416,0)</f>
        <v>0</v>
      </c>
      <c r="U416" s="255">
        <f ca="1">IF(R416&gt;0,S416*100/R416,0)</f>
        <v>0</v>
      </c>
    </row>
    <row r="417" spans="1:21" ht="18.75" hidden="1">
      <c r="A417" s="155"/>
      <c r="B417" s="188"/>
      <c r="C417" s="188"/>
      <c r="D417" s="188"/>
      <c r="E417" s="358" t="s">
        <v>159</v>
      </c>
      <c r="F417" s="188"/>
      <c r="G417" s="208"/>
      <c r="H417" s="204" t="s">
        <v>14</v>
      </c>
      <c r="I417" s="54"/>
      <c r="J417" s="54"/>
      <c r="K417" s="55"/>
      <c r="L417" s="103">
        <v>0</v>
      </c>
      <c r="M417" s="102">
        <v>0</v>
      </c>
      <c r="N417" s="102">
        <v>0</v>
      </c>
      <c r="O417" s="102">
        <f>IF(L417&gt;0,N417*100/L417,0)</f>
        <v>0</v>
      </c>
      <c r="P417" s="102">
        <f>IF(M417&gt;0,N417*100/M417,0)</f>
        <v>0</v>
      </c>
      <c r="Q417" s="102">
        <v>0</v>
      </c>
      <c r="R417" s="102">
        <v>0</v>
      </c>
      <c r="S417" s="102">
        <v>0</v>
      </c>
      <c r="T417" s="102">
        <f>IF(Q417&gt;0,S417*100/Q417,0)</f>
        <v>0</v>
      </c>
      <c r="U417" s="102">
        <f>IF(R417&gt;0,S417*100/R417,0)</f>
        <v>0</v>
      </c>
    </row>
    <row r="418" spans="1:21" ht="18.75" hidden="1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256">
        <v>0</v>
      </c>
      <c r="M418" s="255">
        <v>0</v>
      </c>
      <c r="N418" s="255">
        <v>0</v>
      </c>
      <c r="O418" s="255">
        <f>IF(L418&gt;0,N418*100/L418,0)</f>
        <v>0</v>
      </c>
      <c r="P418" s="255">
        <f>IF(M418&gt;0,N418*100/M418,0)</f>
        <v>0</v>
      </c>
      <c r="Q418" s="255">
        <f ca="1">IFERROR(__xludf.DUMMYFUNCTION("IMPORTRANGE(""https://docs.google.com/spreadsheets/d/1ItG2mGa2ceCfYo0BwxsXqNm01IGEUdYcSSLTEv9YCik/edit?usp=sharing"",""เบิกจ่ายกองทุน!BH40"")"),0)</f>
        <v>0</v>
      </c>
      <c r="R418" s="255">
        <f ca="1">IFERROR(__xludf.DUMMYFUNCTION("IMPORTRANGE(""https://docs.google.com/spreadsheets/d/1ItG2mGa2ceCfYo0BwxsXqNm01IGEUdYcSSLTEv9YCik/edit?usp=sharing"",""เบิกจ่ายกองทุน!BI40"")"),0)</f>
        <v>0</v>
      </c>
      <c r="S418" s="255">
        <f ca="1">IFERROR(__xludf.DUMMYFUNCTION("IMPORTRANGE(""https://docs.google.com/spreadsheets/d/1ItG2mGa2ceCfYo0BwxsXqNm01IGEUdYcSSLTEv9YCik/edit?usp=sharing"",""เบิกจ่ายกองทุน!BJ40"")"),0)</f>
        <v>0</v>
      </c>
      <c r="T418" s="255">
        <f ca="1">IF(Q418&gt;0,S418*100/Q418,0)</f>
        <v>0</v>
      </c>
      <c r="U418" s="255">
        <f ca="1">IF(R418&gt;0,S418*100/R418,0)</f>
        <v>0</v>
      </c>
    </row>
    <row r="419" spans="1:21" ht="19.5" hidden="1">
      <c r="A419" s="155"/>
      <c r="B419" s="188"/>
      <c r="C419" s="188"/>
      <c r="D419" s="608" t="s">
        <v>23</v>
      </c>
      <c r="E419" s="188"/>
      <c r="F419" s="188"/>
      <c r="G419" s="208"/>
      <c r="H419" s="158" t="s">
        <v>14</v>
      </c>
      <c r="I419" s="54"/>
      <c r="J419" s="54"/>
      <c r="K419" s="55"/>
      <c r="L419" s="256">
        <f>L420+L421</f>
        <v>0</v>
      </c>
      <c r="M419" s="255">
        <f>M420+M421</f>
        <v>0</v>
      </c>
      <c r="N419" s="255">
        <f>N420+N421</f>
        <v>0</v>
      </c>
      <c r="O419" s="255">
        <f>IF(L419&gt;0,N419*100/L419,0)</f>
        <v>0</v>
      </c>
      <c r="P419" s="255">
        <f>IF(M419&gt;0,N419*100/M419,0)</f>
        <v>0</v>
      </c>
      <c r="Q419" s="255">
        <f>Q420+Q421</f>
        <v>0</v>
      </c>
      <c r="R419" s="255">
        <f>R420+R421</f>
        <v>0</v>
      </c>
      <c r="S419" s="255">
        <f>S420+S421</f>
        <v>0</v>
      </c>
      <c r="T419" s="255">
        <f>IF(Q419&gt;0,S419*100/Q419,0)</f>
        <v>0</v>
      </c>
      <c r="U419" s="255">
        <f>IF(R419&gt;0,S419*100/R419,0)</f>
        <v>0</v>
      </c>
    </row>
    <row r="420" spans="1:21" ht="18.75" hidden="1">
      <c r="A420" s="155"/>
      <c r="B420" s="188"/>
      <c r="C420" s="188"/>
      <c r="D420" s="188"/>
      <c r="E420" s="358" t="s">
        <v>20</v>
      </c>
      <c r="F420" s="188"/>
      <c r="G420" s="208"/>
      <c r="H420" s="204" t="s">
        <v>14</v>
      </c>
      <c r="I420" s="54"/>
      <c r="J420" s="54"/>
      <c r="K420" s="55"/>
      <c r="L420" s="103">
        <v>0</v>
      </c>
      <c r="M420" s="102">
        <v>0</v>
      </c>
      <c r="N420" s="102">
        <v>0</v>
      </c>
      <c r="O420" s="102">
        <f>IF(L420&gt;0,N420*100/L420,0)</f>
        <v>0</v>
      </c>
      <c r="P420" s="102">
        <f>IF(M420&gt;0,N420*100/M420,0)</f>
        <v>0</v>
      </c>
      <c r="Q420" s="102">
        <v>0</v>
      </c>
      <c r="R420" s="102">
        <v>0</v>
      </c>
      <c r="S420" s="102">
        <v>0</v>
      </c>
      <c r="T420" s="102">
        <f>IF(Q420&gt;0,S420*100/Q420,0)</f>
        <v>0</v>
      </c>
      <c r="U420" s="102">
        <f>IF(R420&gt;0,S420*100/R420,0)</f>
        <v>0</v>
      </c>
    </row>
    <row r="421" spans="1:21" ht="18.75" hidden="1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256">
        <v>0</v>
      </c>
      <c r="M421" s="255">
        <v>0</v>
      </c>
      <c r="N421" s="255">
        <v>0</v>
      </c>
      <c r="O421" s="255">
        <f>IF(L421&gt;0,N421*100/L421,0)</f>
        <v>0</v>
      </c>
      <c r="P421" s="255">
        <f>IF(M421&gt;0,N421*100/M421,0)</f>
        <v>0</v>
      </c>
      <c r="Q421" s="255">
        <v>0</v>
      </c>
      <c r="R421" s="255">
        <v>0</v>
      </c>
      <c r="S421" s="255">
        <v>0</v>
      </c>
      <c r="T421" s="255">
        <f>IF(Q421&gt;0,S421*100/Q421,0)</f>
        <v>0</v>
      </c>
      <c r="U421" s="255">
        <f>IF(R421&gt;0,S421*100/R421,0)</f>
        <v>0</v>
      </c>
    </row>
    <row r="422" spans="1:21" ht="19.5" hidden="1">
      <c r="A422" s="238"/>
      <c r="B422" s="188"/>
      <c r="C422" s="367" t="s">
        <v>18</v>
      </c>
      <c r="D422" s="607" t="s">
        <v>38</v>
      </c>
      <c r="E422" s="188"/>
      <c r="F422" s="188"/>
      <c r="G422" s="208"/>
      <c r="H422" s="208"/>
      <c r="I422" s="54"/>
      <c r="J422" s="54"/>
      <c r="K422" s="55"/>
      <c r="L422" s="62"/>
      <c r="M422" s="55"/>
      <c r="N422" s="55"/>
      <c r="O422" s="55"/>
      <c r="P422" s="55"/>
      <c r="Q422" s="55"/>
      <c r="R422" s="55"/>
      <c r="S422" s="55"/>
      <c r="T422" s="55"/>
      <c r="U422" s="55"/>
    </row>
    <row r="423" spans="1:21" ht="19.5" hidden="1">
      <c r="A423" s="238"/>
      <c r="B423" s="191" t="s">
        <v>161</v>
      </c>
      <c r="C423" s="188"/>
      <c r="D423" s="188"/>
      <c r="E423" s="188"/>
      <c r="F423" s="188"/>
      <c r="G423" s="208"/>
      <c r="H423" s="368" t="s">
        <v>46</v>
      </c>
      <c r="I423" s="373">
        <f ca="1">I440</f>
        <v>0</v>
      </c>
      <c r="J423" s="373">
        <f>J440</f>
        <v>0</v>
      </c>
      <c r="K423" s="540">
        <f ca="1">IF(I423&gt;0,J423*100/I423,0)</f>
        <v>0</v>
      </c>
      <c r="L423" s="62"/>
      <c r="M423" s="55"/>
      <c r="N423" s="55"/>
      <c r="O423" s="55"/>
      <c r="P423" s="55"/>
      <c r="Q423" s="55"/>
      <c r="R423" s="55"/>
      <c r="S423" s="55"/>
      <c r="T423" s="55"/>
      <c r="U423" s="55"/>
    </row>
    <row r="424" spans="1:21" ht="19.5" hidden="1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373">
        <f ca="1">IFERROR(__xludf.DUMMYFUNCTION("IMPORTRANGE(""https://docs.google.com/spreadsheets/d/1eHaY18a8A9IcSdp1K8H6x8fbOy06t2VsZHhMHf-1x7Y/edit?usp=sharing"",""แผน!HJ40"")"),0)</f>
        <v>0</v>
      </c>
      <c r="J424" s="373">
        <f>J426+J428+J430</f>
        <v>0</v>
      </c>
      <c r="K424" s="540">
        <f ca="1">IF(I424&gt;0,J424*100/I424,0)</f>
        <v>0</v>
      </c>
      <c r="L424" s="62"/>
      <c r="M424" s="55"/>
      <c r="N424" s="55"/>
      <c r="O424" s="55"/>
      <c r="P424" s="55"/>
      <c r="Q424" s="55"/>
      <c r="R424" s="55"/>
      <c r="S424" s="55"/>
      <c r="T424" s="55"/>
      <c r="U424" s="55"/>
    </row>
    <row r="425" spans="1:21" ht="19.5" hidden="1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373">
        <f ca="1">IFERROR(__xludf.DUMMYFUNCTION("IMPORTRANGE(""https://docs.google.com/spreadsheets/d/1eHaY18a8A9IcSdp1K8H6x8fbOy06t2VsZHhMHf-1x7Y/edit?usp=sharing"",""แผน!HK40"")"),0)</f>
        <v>0</v>
      </c>
      <c r="J425" s="373">
        <f>J427+J429+J431</f>
        <v>0</v>
      </c>
      <c r="K425" s="540">
        <f ca="1">IF(I425&gt;0,J425*100/I425,0)</f>
        <v>0</v>
      </c>
      <c r="L425" s="62"/>
      <c r="M425" s="55"/>
      <c r="N425" s="55"/>
      <c r="O425" s="55"/>
      <c r="P425" s="55"/>
      <c r="Q425" s="55"/>
      <c r="R425" s="55"/>
      <c r="S425" s="55"/>
      <c r="T425" s="55"/>
      <c r="U425" s="55"/>
    </row>
    <row r="426" spans="1:21" ht="18.75" hidden="1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54"/>
      <c r="K426" s="55"/>
      <c r="L426" s="62"/>
      <c r="M426" s="55"/>
      <c r="N426" s="55"/>
      <c r="O426" s="55"/>
      <c r="P426" s="55"/>
      <c r="Q426" s="55"/>
      <c r="R426" s="55"/>
      <c r="S426" s="55"/>
      <c r="T426" s="55"/>
      <c r="U426" s="55"/>
    </row>
    <row r="427" spans="1:21" ht="18.75" hidden="1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54"/>
      <c r="K427" s="55"/>
      <c r="L427" s="62"/>
      <c r="M427" s="55"/>
      <c r="N427" s="55"/>
      <c r="O427" s="55"/>
      <c r="P427" s="55"/>
      <c r="Q427" s="55"/>
      <c r="R427" s="55"/>
      <c r="S427" s="55"/>
      <c r="T427" s="55"/>
      <c r="U427" s="55"/>
    </row>
    <row r="428" spans="1:21" ht="18.75" hidden="1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54"/>
      <c r="K428" s="55"/>
      <c r="L428" s="62"/>
      <c r="M428" s="55"/>
      <c r="N428" s="55"/>
      <c r="O428" s="55"/>
      <c r="P428" s="55"/>
      <c r="Q428" s="55"/>
      <c r="R428" s="55"/>
      <c r="S428" s="55"/>
      <c r="T428" s="55"/>
      <c r="U428" s="55"/>
    </row>
    <row r="429" spans="1:21" ht="18.75" hidden="1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54"/>
      <c r="K429" s="55"/>
      <c r="L429" s="62"/>
      <c r="M429" s="55"/>
      <c r="N429" s="55"/>
      <c r="O429" s="55"/>
      <c r="P429" s="55"/>
      <c r="Q429" s="55"/>
      <c r="R429" s="55"/>
      <c r="S429" s="55"/>
      <c r="T429" s="55"/>
      <c r="U429" s="55"/>
    </row>
    <row r="430" spans="1:21" ht="18.75" hidden="1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54"/>
      <c r="K430" s="55"/>
      <c r="L430" s="62"/>
      <c r="M430" s="55"/>
      <c r="N430" s="55"/>
      <c r="O430" s="55"/>
      <c r="P430" s="55"/>
      <c r="Q430" s="55"/>
      <c r="R430" s="55"/>
      <c r="S430" s="55"/>
      <c r="T430" s="55"/>
      <c r="U430" s="55"/>
    </row>
    <row r="431" spans="1:21" ht="18.75" hidden="1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54"/>
      <c r="K431" s="55"/>
      <c r="L431" s="62"/>
      <c r="M431" s="55"/>
      <c r="N431" s="55"/>
      <c r="O431" s="55"/>
      <c r="P431" s="55"/>
      <c r="Q431" s="55"/>
      <c r="R431" s="55"/>
      <c r="S431" s="55"/>
      <c r="T431" s="55"/>
      <c r="U431" s="55"/>
    </row>
    <row r="432" spans="1:21" ht="19.5" hidden="1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373">
        <f ca="1">IFERROR(__xludf.DUMMYFUNCTION("IMPORTRANGE(""https://docs.google.com/spreadsheets/d/1eHaY18a8A9IcSdp1K8H6x8fbOy06t2VsZHhMHf-1x7Y/edit?usp=sharing"",""แผน!HJ40"")"),0)</f>
        <v>0</v>
      </c>
      <c r="J432" s="373">
        <f>J434+J436+J438</f>
        <v>0</v>
      </c>
      <c r="K432" s="540">
        <f ca="1">IF(I432&gt;0,J432*100/I432,0)</f>
        <v>0</v>
      </c>
      <c r="L432" s="62"/>
      <c r="M432" s="55"/>
      <c r="N432" s="55"/>
      <c r="O432" s="55"/>
      <c r="P432" s="55"/>
      <c r="Q432" s="55"/>
      <c r="R432" s="55"/>
      <c r="S432" s="55"/>
      <c r="T432" s="55"/>
      <c r="U432" s="55"/>
    </row>
    <row r="433" spans="1:21" ht="19.5" hidden="1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373">
        <f ca="1">IFERROR(__xludf.DUMMYFUNCTION("IMPORTRANGE(""https://docs.google.com/spreadsheets/d/1eHaY18a8A9IcSdp1K8H6x8fbOy06t2VsZHhMHf-1x7Y/edit?usp=sharing"",""แผน!HK40"")"),0)</f>
        <v>0</v>
      </c>
      <c r="J433" s="373">
        <f>J435+J437+J439</f>
        <v>0</v>
      </c>
      <c r="K433" s="540">
        <f ca="1">IF(I433&gt;0,J433*100/I433,0)</f>
        <v>0</v>
      </c>
      <c r="L433" s="62"/>
      <c r="M433" s="55"/>
      <c r="N433" s="55"/>
      <c r="O433" s="55"/>
      <c r="P433" s="55"/>
      <c r="Q433" s="55"/>
      <c r="R433" s="55"/>
      <c r="S433" s="55"/>
      <c r="T433" s="55"/>
      <c r="U433" s="55"/>
    </row>
    <row r="434" spans="1:21" ht="18.75" hidden="1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54"/>
      <c r="K434" s="55"/>
      <c r="L434" s="62"/>
      <c r="M434" s="55"/>
      <c r="N434" s="55"/>
      <c r="O434" s="55"/>
      <c r="P434" s="55"/>
      <c r="Q434" s="55"/>
      <c r="R434" s="55"/>
      <c r="S434" s="55"/>
      <c r="T434" s="55"/>
      <c r="U434" s="55"/>
    </row>
    <row r="435" spans="1:21" ht="18.75" hidden="1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54"/>
      <c r="K435" s="55"/>
      <c r="L435" s="62"/>
      <c r="M435" s="55"/>
      <c r="N435" s="55"/>
      <c r="O435" s="55"/>
      <c r="P435" s="55"/>
      <c r="Q435" s="55"/>
      <c r="R435" s="55"/>
      <c r="S435" s="55"/>
      <c r="T435" s="55"/>
      <c r="U435" s="55"/>
    </row>
    <row r="436" spans="1:21" ht="18.75" hidden="1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54"/>
      <c r="K436" s="55"/>
      <c r="L436" s="62"/>
      <c r="M436" s="55"/>
      <c r="N436" s="55"/>
      <c r="O436" s="55"/>
      <c r="P436" s="55"/>
      <c r="Q436" s="55"/>
      <c r="R436" s="55"/>
      <c r="S436" s="55"/>
      <c r="T436" s="55"/>
      <c r="U436" s="55"/>
    </row>
    <row r="437" spans="1:21" ht="18.75" hidden="1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54"/>
      <c r="K437" s="55"/>
      <c r="L437" s="62"/>
      <c r="M437" s="55"/>
      <c r="N437" s="55"/>
      <c r="O437" s="55"/>
      <c r="P437" s="55"/>
      <c r="Q437" s="55"/>
      <c r="R437" s="55"/>
      <c r="S437" s="55"/>
      <c r="T437" s="55"/>
      <c r="U437" s="55"/>
    </row>
    <row r="438" spans="1:21" ht="18.75" hidden="1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54"/>
      <c r="K438" s="55"/>
      <c r="L438" s="62"/>
      <c r="M438" s="55"/>
      <c r="N438" s="55"/>
      <c r="O438" s="55"/>
      <c r="P438" s="55"/>
      <c r="Q438" s="55"/>
      <c r="R438" s="55"/>
      <c r="S438" s="55"/>
      <c r="T438" s="55"/>
      <c r="U438" s="55"/>
    </row>
    <row r="439" spans="1:21" ht="18.75" hidden="1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54"/>
      <c r="K439" s="55"/>
      <c r="L439" s="62"/>
      <c r="M439" s="55"/>
      <c r="N439" s="55"/>
      <c r="O439" s="55"/>
      <c r="P439" s="55"/>
      <c r="Q439" s="55"/>
      <c r="R439" s="55"/>
      <c r="S439" s="55"/>
      <c r="T439" s="55"/>
      <c r="U439" s="55"/>
    </row>
    <row r="440" spans="1:21" ht="19.5" hidden="1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373">
        <f ca="1">IFERROR(__xludf.DUMMYFUNCTION("IMPORTRANGE(""https://docs.google.com/spreadsheets/d/1eHaY18a8A9IcSdp1K8H6x8fbOy06t2VsZHhMHf-1x7Y/edit?usp=sharing"",""แผน!HJ40"")"),0)</f>
        <v>0</v>
      </c>
      <c r="J440" s="373">
        <f>J442+J444+J446+J452+J454</f>
        <v>0</v>
      </c>
      <c r="K440" s="540">
        <f ca="1">IF(I440&gt;0,J440*100/I440,0)</f>
        <v>0</v>
      </c>
      <c r="L440" s="62"/>
      <c r="M440" s="55"/>
      <c r="N440" s="55"/>
      <c r="O440" s="55"/>
      <c r="P440" s="55"/>
      <c r="Q440" s="55"/>
      <c r="R440" s="55"/>
      <c r="S440" s="55"/>
      <c r="T440" s="55"/>
      <c r="U440" s="55"/>
    </row>
    <row r="441" spans="1:21" ht="19.5" hidden="1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373">
        <f ca="1">IFERROR(__xludf.DUMMYFUNCTION("IMPORTRANGE(""https://docs.google.com/spreadsheets/d/1eHaY18a8A9IcSdp1K8H6x8fbOy06t2VsZHhMHf-1x7Y/edit?usp=sharing"",""แผน!HK40"")"),0)</f>
        <v>0</v>
      </c>
      <c r="J441" s="373">
        <f>J443+J445+J447+J453+J455</f>
        <v>0</v>
      </c>
      <c r="K441" s="540">
        <f ca="1">IF(I441&gt;0,J441*100/I441,0)</f>
        <v>0</v>
      </c>
      <c r="L441" s="62"/>
      <c r="M441" s="55"/>
      <c r="N441" s="55"/>
      <c r="O441" s="55"/>
      <c r="P441" s="55"/>
      <c r="Q441" s="55"/>
      <c r="R441" s="55"/>
      <c r="S441" s="55"/>
      <c r="T441" s="55"/>
      <c r="U441" s="55"/>
    </row>
    <row r="442" spans="1:21" ht="18.75" hidden="1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54"/>
      <c r="K442" s="55"/>
      <c r="L442" s="62"/>
      <c r="M442" s="55"/>
      <c r="N442" s="55"/>
      <c r="O442" s="55"/>
      <c r="P442" s="55"/>
      <c r="Q442" s="55"/>
      <c r="R442" s="55"/>
      <c r="S442" s="55"/>
      <c r="T442" s="55"/>
      <c r="U442" s="55"/>
    </row>
    <row r="443" spans="1:21" ht="18.75" hidden="1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54"/>
      <c r="K443" s="55"/>
      <c r="L443" s="62"/>
      <c r="M443" s="55"/>
      <c r="N443" s="55"/>
      <c r="O443" s="55"/>
      <c r="P443" s="55"/>
      <c r="Q443" s="55"/>
      <c r="R443" s="55"/>
      <c r="S443" s="55"/>
      <c r="T443" s="55"/>
      <c r="U443" s="55"/>
    </row>
    <row r="444" spans="1:21" ht="18.75" hidden="1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54"/>
      <c r="K444" s="55"/>
      <c r="L444" s="62"/>
      <c r="M444" s="55"/>
      <c r="N444" s="55"/>
      <c r="O444" s="55"/>
      <c r="P444" s="55"/>
      <c r="Q444" s="55"/>
      <c r="R444" s="55"/>
      <c r="S444" s="55"/>
      <c r="T444" s="55"/>
      <c r="U444" s="55"/>
    </row>
    <row r="445" spans="1:21" ht="18.75" hidden="1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54"/>
      <c r="K445" s="55"/>
      <c r="L445" s="62"/>
      <c r="M445" s="55"/>
      <c r="N445" s="55"/>
      <c r="O445" s="55"/>
      <c r="P445" s="55"/>
      <c r="Q445" s="55"/>
      <c r="R445" s="55"/>
      <c r="S445" s="55"/>
      <c r="T445" s="55"/>
      <c r="U445" s="55"/>
    </row>
    <row r="446" spans="1:21" ht="19.5" hidden="1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373">
        <f>J448+J450</f>
        <v>0</v>
      </c>
      <c r="K446" s="55"/>
      <c r="L446" s="62"/>
      <c r="M446" s="55"/>
      <c r="N446" s="55"/>
      <c r="O446" s="55"/>
      <c r="P446" s="55"/>
      <c r="Q446" s="55"/>
      <c r="R446" s="55"/>
      <c r="S446" s="55"/>
      <c r="T446" s="55"/>
      <c r="U446" s="55"/>
    </row>
    <row r="447" spans="1:21" ht="19.5" hidden="1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373">
        <f>J449+J451</f>
        <v>0</v>
      </c>
      <c r="K447" s="55"/>
      <c r="L447" s="62"/>
      <c r="M447" s="55"/>
      <c r="N447" s="55"/>
      <c r="O447" s="55"/>
      <c r="P447" s="55"/>
      <c r="Q447" s="55"/>
      <c r="R447" s="55"/>
      <c r="S447" s="55"/>
      <c r="T447" s="55"/>
      <c r="U447" s="55"/>
    </row>
    <row r="448" spans="1:21" ht="18.75" hidden="1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54"/>
      <c r="K448" s="55"/>
      <c r="L448" s="62"/>
      <c r="M448" s="55"/>
      <c r="N448" s="55"/>
      <c r="O448" s="55"/>
      <c r="P448" s="55"/>
      <c r="Q448" s="55"/>
      <c r="R448" s="55"/>
      <c r="S448" s="55"/>
      <c r="T448" s="55"/>
      <c r="U448" s="55"/>
    </row>
    <row r="449" spans="1:21" ht="18.75" hidden="1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54"/>
      <c r="K449" s="55"/>
      <c r="L449" s="62"/>
      <c r="M449" s="55"/>
      <c r="N449" s="55"/>
      <c r="O449" s="55"/>
      <c r="P449" s="55"/>
      <c r="Q449" s="55"/>
      <c r="R449" s="55"/>
      <c r="S449" s="55"/>
      <c r="T449" s="55"/>
      <c r="U449" s="55"/>
    </row>
    <row r="450" spans="1:21" ht="18.75" hidden="1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54"/>
      <c r="K450" s="55"/>
      <c r="L450" s="62"/>
      <c r="M450" s="55"/>
      <c r="N450" s="55"/>
      <c r="O450" s="55"/>
      <c r="P450" s="55"/>
      <c r="Q450" s="55"/>
      <c r="R450" s="55"/>
      <c r="S450" s="55"/>
      <c r="T450" s="55"/>
      <c r="U450" s="55"/>
    </row>
    <row r="451" spans="1:21" ht="18.75" hidden="1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54"/>
      <c r="K451" s="55"/>
      <c r="L451" s="62"/>
      <c r="M451" s="55"/>
      <c r="N451" s="55"/>
      <c r="O451" s="55"/>
      <c r="P451" s="55"/>
      <c r="Q451" s="55"/>
      <c r="R451" s="55"/>
      <c r="S451" s="55"/>
      <c r="T451" s="55"/>
      <c r="U451" s="55"/>
    </row>
    <row r="452" spans="1:21" ht="18.75" hidden="1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54"/>
      <c r="K452" s="55"/>
      <c r="L452" s="62"/>
      <c r="M452" s="55"/>
      <c r="N452" s="55"/>
      <c r="O452" s="55"/>
      <c r="P452" s="55"/>
      <c r="Q452" s="55"/>
      <c r="R452" s="55"/>
      <c r="S452" s="55"/>
      <c r="T452" s="55"/>
      <c r="U452" s="55"/>
    </row>
    <row r="453" spans="1:21" ht="18.75" hidden="1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54"/>
      <c r="K453" s="55"/>
      <c r="L453" s="62"/>
      <c r="M453" s="55"/>
      <c r="N453" s="55"/>
      <c r="O453" s="55"/>
      <c r="P453" s="55"/>
      <c r="Q453" s="55"/>
      <c r="R453" s="55"/>
      <c r="S453" s="55"/>
      <c r="T453" s="55"/>
      <c r="U453" s="55"/>
    </row>
    <row r="454" spans="1:21" ht="18.75" hidden="1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606"/>
      <c r="K454" s="55"/>
      <c r="L454" s="62"/>
      <c r="M454" s="55"/>
      <c r="N454" s="55"/>
      <c r="O454" s="55"/>
      <c r="P454" s="55"/>
      <c r="Q454" s="55"/>
      <c r="R454" s="55"/>
      <c r="S454" s="55"/>
      <c r="T454" s="55"/>
      <c r="U454" s="55"/>
    </row>
    <row r="455" spans="1:21" ht="18.75" hidden="1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54"/>
      <c r="K455" s="55"/>
      <c r="L455" s="62"/>
      <c r="M455" s="55"/>
      <c r="N455" s="55"/>
      <c r="O455" s="55"/>
      <c r="P455" s="55"/>
      <c r="Q455" s="55"/>
      <c r="R455" s="55"/>
      <c r="S455" s="55"/>
      <c r="T455" s="55"/>
      <c r="U455" s="55"/>
    </row>
    <row r="456" spans="1:21" ht="19.5" hidden="1">
      <c r="A456" s="238"/>
      <c r="B456" s="191" t="s">
        <v>178</v>
      </c>
      <c r="C456" s="188"/>
      <c r="D456" s="188"/>
      <c r="E456" s="188"/>
      <c r="F456" s="188"/>
      <c r="G456" s="208"/>
      <c r="H456" s="368" t="s">
        <v>46</v>
      </c>
      <c r="I456" s="373">
        <f ca="1">I457</f>
        <v>0</v>
      </c>
      <c r="J456" s="373">
        <f>J457</f>
        <v>0</v>
      </c>
      <c r="K456" s="540">
        <f ca="1">IF(I456&gt;0,J456*100/I456,0)</f>
        <v>0</v>
      </c>
      <c r="L456" s="62"/>
      <c r="M456" s="55"/>
      <c r="N456" s="55"/>
      <c r="O456" s="55"/>
      <c r="P456" s="55"/>
      <c r="Q456" s="55"/>
      <c r="R456" s="55"/>
      <c r="S456" s="55"/>
      <c r="T456" s="55"/>
      <c r="U456" s="55"/>
    </row>
    <row r="457" spans="1:21" ht="19.5" hidden="1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373">
        <f ca="1">IFERROR(__xludf.DUMMYFUNCTION("IMPORTRANGE(""https://docs.google.com/spreadsheets/d/1eHaY18a8A9IcSdp1K8H6x8fbOy06t2VsZHhMHf-1x7Y/edit?usp=sharing"",""แผน!HL40"")"),0)</f>
        <v>0</v>
      </c>
      <c r="J457" s="373">
        <f>J459+J467+J473</f>
        <v>0</v>
      </c>
      <c r="K457" s="540">
        <f ca="1">IF(I457&gt;0,J457*100/I457,0)</f>
        <v>0</v>
      </c>
      <c r="L457" s="62"/>
      <c r="M457" s="55"/>
      <c r="N457" s="55"/>
      <c r="O457" s="55"/>
      <c r="P457" s="55"/>
      <c r="Q457" s="55"/>
      <c r="R457" s="55"/>
      <c r="S457" s="55"/>
      <c r="T457" s="55"/>
      <c r="U457" s="55"/>
    </row>
    <row r="458" spans="1:21" ht="19.5" hidden="1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373">
        <f ca="1">IFERROR(__xludf.DUMMYFUNCTION("IMPORTRANGE(""https://docs.google.com/spreadsheets/d/1eHaY18a8A9IcSdp1K8H6x8fbOy06t2VsZHhMHf-1x7Y/edit?usp=sharing"",""แผน!HM40"")"),0)</f>
        <v>0</v>
      </c>
      <c r="J458" s="373">
        <f>J460+J468+J474</f>
        <v>0</v>
      </c>
      <c r="K458" s="540">
        <f ca="1">IF(I458&gt;0,J458*100/I458,0)</f>
        <v>0</v>
      </c>
      <c r="L458" s="62"/>
      <c r="M458" s="55"/>
      <c r="N458" s="55"/>
      <c r="O458" s="55"/>
      <c r="P458" s="55"/>
      <c r="Q458" s="55"/>
      <c r="R458" s="55"/>
      <c r="S458" s="55"/>
      <c r="T458" s="55"/>
      <c r="U458" s="55"/>
    </row>
    <row r="459" spans="1:21" ht="18.75" hidden="1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212">
        <f>J461+J463</f>
        <v>0</v>
      </c>
      <c r="K459" s="55"/>
      <c r="L459" s="62"/>
      <c r="M459" s="55"/>
      <c r="N459" s="55"/>
      <c r="O459" s="55"/>
      <c r="P459" s="55"/>
      <c r="Q459" s="55"/>
      <c r="R459" s="55"/>
      <c r="S459" s="55"/>
      <c r="T459" s="55"/>
      <c r="U459" s="55"/>
    </row>
    <row r="460" spans="1:21" ht="18.75" hidden="1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212">
        <f>J462+J464</f>
        <v>0</v>
      </c>
      <c r="K460" s="55"/>
      <c r="L460" s="62"/>
      <c r="M460" s="55"/>
      <c r="N460" s="55"/>
      <c r="O460" s="55"/>
      <c r="P460" s="55"/>
      <c r="Q460" s="55"/>
      <c r="R460" s="55"/>
      <c r="S460" s="55"/>
      <c r="T460" s="55"/>
      <c r="U460" s="55"/>
    </row>
    <row r="461" spans="1:21" ht="18.75" hidden="1">
      <c r="A461" s="238"/>
      <c r="B461" s="188"/>
      <c r="C461" s="188"/>
      <c r="D461" s="371" t="s">
        <v>181</v>
      </c>
      <c r="E461" s="188"/>
      <c r="F461" s="188"/>
      <c r="G461" s="208"/>
      <c r="H461" s="161" t="s">
        <v>46</v>
      </c>
      <c r="I461" s="54"/>
      <c r="J461" s="54"/>
      <c r="K461" s="55"/>
      <c r="L461" s="62"/>
      <c r="M461" s="55"/>
      <c r="N461" s="55"/>
      <c r="O461" s="55"/>
      <c r="P461" s="55"/>
      <c r="Q461" s="55"/>
      <c r="R461" s="55"/>
      <c r="S461" s="55"/>
      <c r="T461" s="55"/>
      <c r="U461" s="55"/>
    </row>
    <row r="462" spans="1:21" ht="18.75" hidden="1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54"/>
      <c r="K462" s="55"/>
      <c r="L462" s="62"/>
      <c r="M462" s="55"/>
      <c r="N462" s="55"/>
      <c r="O462" s="55"/>
      <c r="P462" s="55"/>
      <c r="Q462" s="55"/>
      <c r="R462" s="55"/>
      <c r="S462" s="55"/>
      <c r="T462" s="55"/>
      <c r="U462" s="55"/>
    </row>
    <row r="463" spans="1:21" ht="18.75" hidden="1">
      <c r="A463" s="238"/>
      <c r="B463" s="188"/>
      <c r="C463" s="188"/>
      <c r="D463" s="371" t="s">
        <v>182</v>
      </c>
      <c r="E463" s="188"/>
      <c r="F463" s="188"/>
      <c r="G463" s="208"/>
      <c r="H463" s="161" t="s">
        <v>46</v>
      </c>
      <c r="I463" s="54"/>
      <c r="J463" s="54"/>
      <c r="K463" s="55"/>
      <c r="L463" s="62"/>
      <c r="M463" s="55"/>
      <c r="N463" s="55"/>
      <c r="O463" s="55"/>
      <c r="P463" s="55"/>
      <c r="Q463" s="55"/>
      <c r="R463" s="55"/>
      <c r="S463" s="55"/>
      <c r="T463" s="55"/>
      <c r="U463" s="55"/>
    </row>
    <row r="464" spans="1:21" ht="18.75" hidden="1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54"/>
      <c r="K464" s="55"/>
      <c r="L464" s="62"/>
      <c r="M464" s="55"/>
      <c r="N464" s="55"/>
      <c r="O464" s="55"/>
      <c r="P464" s="55"/>
      <c r="Q464" s="55"/>
      <c r="R464" s="55"/>
      <c r="S464" s="55"/>
      <c r="T464" s="55"/>
      <c r="U464" s="55"/>
    </row>
    <row r="465" spans="1:21" ht="18.75" hidden="1">
      <c r="A465" s="238"/>
      <c r="B465" s="188"/>
      <c r="C465" s="188"/>
      <c r="D465" s="371" t="s">
        <v>183</v>
      </c>
      <c r="E465" s="188"/>
      <c r="F465" s="188"/>
      <c r="G465" s="208"/>
      <c r="H465" s="161" t="s">
        <v>46</v>
      </c>
      <c r="I465" s="54"/>
      <c r="J465" s="54"/>
      <c r="K465" s="55"/>
      <c r="L465" s="62"/>
      <c r="M465" s="55"/>
      <c r="N465" s="55"/>
      <c r="O465" s="55"/>
      <c r="P465" s="55"/>
      <c r="Q465" s="55"/>
      <c r="R465" s="55"/>
      <c r="S465" s="55"/>
      <c r="T465" s="55"/>
      <c r="U465" s="55"/>
    </row>
    <row r="466" spans="1:21" ht="18.75" hidden="1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54"/>
      <c r="K466" s="55"/>
      <c r="L466" s="62"/>
      <c r="M466" s="55"/>
      <c r="N466" s="55"/>
      <c r="O466" s="55"/>
      <c r="P466" s="55"/>
      <c r="Q466" s="55"/>
      <c r="R466" s="55"/>
      <c r="S466" s="55"/>
      <c r="T466" s="55"/>
      <c r="U466" s="55"/>
    </row>
    <row r="467" spans="1:21" ht="18.75" hidden="1">
      <c r="A467" s="238"/>
      <c r="B467" s="188"/>
      <c r="C467" s="371" t="s">
        <v>184</v>
      </c>
      <c r="D467" s="188"/>
      <c r="E467" s="188"/>
      <c r="F467" s="188"/>
      <c r="G467" s="208"/>
      <c r="H467" s="161" t="s">
        <v>46</v>
      </c>
      <c r="I467" s="54"/>
      <c r="J467" s="212">
        <f>J469+J471</f>
        <v>0</v>
      </c>
      <c r="K467" s="55"/>
      <c r="L467" s="62"/>
      <c r="M467" s="55"/>
      <c r="N467" s="55"/>
      <c r="O467" s="55"/>
      <c r="P467" s="55"/>
      <c r="Q467" s="55"/>
      <c r="R467" s="55"/>
      <c r="S467" s="55"/>
      <c r="T467" s="55"/>
      <c r="U467" s="55"/>
    </row>
    <row r="468" spans="1:21" ht="18.75" hidden="1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212">
        <f>J470+J472</f>
        <v>0</v>
      </c>
      <c r="K468" s="55"/>
      <c r="L468" s="62"/>
      <c r="M468" s="55"/>
      <c r="N468" s="55"/>
      <c r="O468" s="55"/>
      <c r="P468" s="55"/>
      <c r="Q468" s="55"/>
      <c r="R468" s="55"/>
      <c r="S468" s="55"/>
      <c r="T468" s="55"/>
      <c r="U468" s="55"/>
    </row>
    <row r="469" spans="1:21" ht="18.75" hidden="1">
      <c r="A469" s="238"/>
      <c r="B469" s="188"/>
      <c r="C469" s="188"/>
      <c r="D469" s="371" t="s">
        <v>185</v>
      </c>
      <c r="E469" s="188"/>
      <c r="F469" s="188"/>
      <c r="G469" s="208"/>
      <c r="H469" s="161" t="s">
        <v>46</v>
      </c>
      <c r="I469" s="54"/>
      <c r="J469" s="54"/>
      <c r="K469" s="55"/>
      <c r="L469" s="62"/>
      <c r="M469" s="55"/>
      <c r="N469" s="55"/>
      <c r="O469" s="55"/>
      <c r="P469" s="55"/>
      <c r="Q469" s="55"/>
      <c r="R469" s="55"/>
      <c r="S469" s="55"/>
      <c r="T469" s="55"/>
      <c r="U469" s="55"/>
    </row>
    <row r="470" spans="1:21" ht="18.75" hidden="1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54"/>
      <c r="K470" s="55"/>
      <c r="L470" s="62"/>
      <c r="M470" s="55"/>
      <c r="N470" s="55"/>
      <c r="O470" s="55"/>
      <c r="P470" s="55"/>
      <c r="Q470" s="55"/>
      <c r="R470" s="55"/>
      <c r="S470" s="55"/>
      <c r="T470" s="55"/>
      <c r="U470" s="55"/>
    </row>
    <row r="471" spans="1:21" ht="18.75" hidden="1">
      <c r="A471" s="238"/>
      <c r="B471" s="188"/>
      <c r="C471" s="188"/>
      <c r="D471" s="371" t="s">
        <v>186</v>
      </c>
      <c r="E471" s="188"/>
      <c r="F471" s="188"/>
      <c r="G471" s="208"/>
      <c r="H471" s="161" t="s">
        <v>46</v>
      </c>
      <c r="I471" s="54"/>
      <c r="J471" s="54"/>
      <c r="K471" s="55"/>
      <c r="L471" s="62"/>
      <c r="M471" s="55"/>
      <c r="N471" s="55"/>
      <c r="O471" s="55"/>
      <c r="P471" s="55"/>
      <c r="Q471" s="55"/>
      <c r="R471" s="55"/>
      <c r="S471" s="55"/>
      <c r="T471" s="55"/>
      <c r="U471" s="55"/>
    </row>
    <row r="472" spans="1:21" ht="18.75" hidden="1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54"/>
      <c r="K472" s="55"/>
      <c r="L472" s="62"/>
      <c r="M472" s="55"/>
      <c r="N472" s="55"/>
      <c r="O472" s="55"/>
      <c r="P472" s="55"/>
      <c r="Q472" s="55"/>
      <c r="R472" s="55"/>
      <c r="S472" s="55"/>
      <c r="T472" s="55"/>
      <c r="U472" s="55"/>
    </row>
    <row r="473" spans="1:21" ht="18.75" hidden="1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54"/>
      <c r="K473" s="55"/>
      <c r="L473" s="62"/>
      <c r="M473" s="55"/>
      <c r="N473" s="55"/>
      <c r="O473" s="55"/>
      <c r="P473" s="55"/>
      <c r="Q473" s="55"/>
      <c r="R473" s="55"/>
      <c r="S473" s="55"/>
      <c r="T473" s="55"/>
      <c r="U473" s="55"/>
    </row>
    <row r="474" spans="1:21" ht="18.75" hidden="1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54"/>
      <c r="K474" s="55"/>
      <c r="L474" s="62"/>
      <c r="M474" s="55"/>
      <c r="N474" s="55"/>
      <c r="O474" s="55"/>
      <c r="P474" s="55"/>
      <c r="Q474" s="55"/>
      <c r="R474" s="55"/>
      <c r="S474" s="55"/>
      <c r="T474" s="55"/>
      <c r="U474" s="55"/>
    </row>
    <row r="475" spans="1:21" ht="19.5" hidden="1">
      <c r="A475" s="238"/>
      <c r="B475" s="372" t="s">
        <v>188</v>
      </c>
      <c r="C475" s="188"/>
      <c r="D475" s="188"/>
      <c r="E475" s="188"/>
      <c r="F475" s="188"/>
      <c r="G475" s="208"/>
      <c r="H475" s="158" t="s">
        <v>46</v>
      </c>
      <c r="I475" s="373">
        <v>0</v>
      </c>
      <c r="J475" s="373">
        <f>J478+J480</f>
        <v>0</v>
      </c>
      <c r="K475" s="540">
        <f>IF(I475&gt;0,J475*100/I475,0)</f>
        <v>0</v>
      </c>
      <c r="L475" s="62"/>
      <c r="M475" s="55"/>
      <c r="N475" s="55"/>
      <c r="O475" s="55"/>
      <c r="P475" s="55"/>
      <c r="Q475" s="55"/>
      <c r="R475" s="55"/>
      <c r="S475" s="55"/>
      <c r="T475" s="55"/>
      <c r="U475" s="55"/>
    </row>
    <row r="476" spans="1:21" ht="19.5" hidden="1">
      <c r="A476" s="238"/>
      <c r="B476" s="188"/>
      <c r="C476" s="191" t="s">
        <v>189</v>
      </c>
      <c r="D476" s="188"/>
      <c r="E476" s="188"/>
      <c r="F476" s="188"/>
      <c r="G476" s="208"/>
      <c r="H476" s="158" t="s">
        <v>46</v>
      </c>
      <c r="I476" s="373">
        <v>0</v>
      </c>
      <c r="J476" s="373">
        <f>J478+J480</f>
        <v>0</v>
      </c>
      <c r="K476" s="540">
        <f>IF(I476&gt;0,J476*100/I476,0)</f>
        <v>0</v>
      </c>
      <c r="L476" s="62"/>
      <c r="M476" s="55"/>
      <c r="N476" s="55"/>
      <c r="O476" s="55"/>
      <c r="P476" s="55"/>
      <c r="Q476" s="55"/>
      <c r="R476" s="55"/>
      <c r="S476" s="55"/>
      <c r="T476" s="55"/>
      <c r="U476" s="55"/>
    </row>
    <row r="477" spans="1:21" ht="19.5" hidden="1">
      <c r="A477" s="238"/>
      <c r="B477" s="188"/>
      <c r="C477" s="239" t="s">
        <v>190</v>
      </c>
      <c r="D477" s="188"/>
      <c r="E477" s="188"/>
      <c r="F477" s="188"/>
      <c r="G477" s="208"/>
      <c r="H477" s="158" t="s">
        <v>34</v>
      </c>
      <c r="I477" s="373">
        <v>0</v>
      </c>
      <c r="J477" s="373">
        <f>J479+J481</f>
        <v>0</v>
      </c>
      <c r="K477" s="540">
        <f>IF(I477&gt;0,J477*100/I477,0)</f>
        <v>0</v>
      </c>
      <c r="L477" s="62"/>
      <c r="M477" s="55"/>
      <c r="N477" s="55"/>
      <c r="O477" s="55"/>
      <c r="P477" s="55"/>
      <c r="Q477" s="55"/>
      <c r="R477" s="55"/>
      <c r="S477" s="55"/>
      <c r="T477" s="55"/>
      <c r="U477" s="55"/>
    </row>
    <row r="478" spans="1:21" ht="18.75" hidden="1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54"/>
      <c r="K478" s="55"/>
      <c r="L478" s="62"/>
      <c r="M478" s="55"/>
      <c r="N478" s="55"/>
      <c r="O478" s="55"/>
      <c r="P478" s="55"/>
      <c r="Q478" s="55"/>
      <c r="R478" s="55"/>
      <c r="S478" s="55"/>
      <c r="T478" s="55"/>
      <c r="U478" s="55"/>
    </row>
    <row r="479" spans="1:21" ht="18.75" hidden="1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54"/>
      <c r="K479" s="55"/>
      <c r="L479" s="62"/>
      <c r="M479" s="55"/>
      <c r="N479" s="55"/>
      <c r="O479" s="55"/>
      <c r="P479" s="55"/>
      <c r="Q479" s="55"/>
      <c r="R479" s="55"/>
      <c r="S479" s="55"/>
      <c r="T479" s="55"/>
      <c r="U479" s="55"/>
    </row>
    <row r="480" spans="1:21" ht="18.75" hidden="1">
      <c r="A480" s="238"/>
      <c r="B480" s="188"/>
      <c r="C480" s="188"/>
      <c r="D480" s="371" t="s">
        <v>192</v>
      </c>
      <c r="E480" s="188"/>
      <c r="F480" s="188"/>
      <c r="G480" s="208"/>
      <c r="H480" s="161" t="s">
        <v>46</v>
      </c>
      <c r="I480" s="54"/>
      <c r="J480" s="54"/>
      <c r="K480" s="55"/>
      <c r="L480" s="62"/>
      <c r="M480" s="55"/>
      <c r="N480" s="55"/>
      <c r="O480" s="55"/>
      <c r="P480" s="55"/>
      <c r="Q480" s="55"/>
      <c r="R480" s="55"/>
      <c r="S480" s="55"/>
      <c r="T480" s="55"/>
      <c r="U480" s="55"/>
    </row>
    <row r="481" spans="1:21" ht="18.75" hidden="1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54"/>
      <c r="K481" s="55"/>
      <c r="L481" s="62"/>
      <c r="M481" s="55"/>
      <c r="N481" s="55"/>
      <c r="O481" s="55"/>
      <c r="P481" s="55"/>
      <c r="Q481" s="55"/>
      <c r="R481" s="55"/>
      <c r="S481" s="55"/>
      <c r="T481" s="55"/>
      <c r="U481" s="55"/>
    </row>
    <row r="482" spans="1:21" ht="18.75" hidden="1">
      <c r="A482" s="238"/>
      <c r="B482" s="188"/>
      <c r="C482" s="188"/>
      <c r="D482" s="371" t="s">
        <v>193</v>
      </c>
      <c r="E482" s="188"/>
      <c r="F482" s="188"/>
      <c r="G482" s="208"/>
      <c r="H482" s="161" t="s">
        <v>46</v>
      </c>
      <c r="I482" s="54"/>
      <c r="J482" s="212">
        <f ca="1">IFERROR(__xludf.DUMMYFUNCTION("IMPORTRANGE(""https://docs.google.com/spreadsheets/d/1eHaY18a8A9IcSdp1K8H6x8fbOy06t2VsZHhMHf-1x7Y/edit?usp=sharing"",""แผน!HN40"")"),0)</f>
        <v>0</v>
      </c>
      <c r="K482" s="55"/>
      <c r="L482" s="62"/>
      <c r="M482" s="55"/>
      <c r="N482" s="55"/>
      <c r="O482" s="55"/>
      <c r="P482" s="55"/>
      <c r="Q482" s="55"/>
      <c r="R482" s="55"/>
      <c r="S482" s="55"/>
      <c r="T482" s="55"/>
      <c r="U482" s="55"/>
    </row>
    <row r="483" spans="1:21" ht="18.75" hidden="1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212">
        <f ca="1">IFERROR(__xludf.DUMMYFUNCTION("IMPORTRANGE(""https://docs.google.com/spreadsheets/d/1eHaY18a8A9IcSdp1K8H6x8fbOy06t2VsZHhMHf-1x7Y/edit?usp=sharing"",""แผน!HO40"")"),0)</f>
        <v>0</v>
      </c>
      <c r="K483" s="55"/>
      <c r="L483" s="62"/>
      <c r="M483" s="55"/>
      <c r="N483" s="55"/>
      <c r="O483" s="55"/>
      <c r="P483" s="55"/>
      <c r="Q483" s="55"/>
      <c r="R483" s="55"/>
      <c r="S483" s="55"/>
      <c r="T483" s="55"/>
      <c r="U483" s="55"/>
    </row>
    <row r="484" spans="1:21" ht="19.5" hidden="1">
      <c r="A484" s="238"/>
      <c r="B484" s="188"/>
      <c r="C484" s="191" t="s">
        <v>194</v>
      </c>
      <c r="D484" s="188"/>
      <c r="E484" s="188"/>
      <c r="F484" s="188"/>
      <c r="G484" s="208"/>
      <c r="H484" s="158" t="s">
        <v>46</v>
      </c>
      <c r="I484" s="54">
        <f>J480</f>
        <v>0</v>
      </c>
      <c r="J484" s="373">
        <f>J486+J488+J490</f>
        <v>0</v>
      </c>
      <c r="K484" s="540">
        <f>IF(I484&gt;0,J484*100/I484,0)</f>
        <v>0</v>
      </c>
      <c r="L484" s="62"/>
      <c r="M484" s="55"/>
      <c r="N484" s="55"/>
      <c r="O484" s="55"/>
      <c r="P484" s="55"/>
      <c r="Q484" s="55"/>
      <c r="R484" s="55"/>
      <c r="S484" s="55"/>
      <c r="T484" s="55"/>
      <c r="U484" s="55"/>
    </row>
    <row r="485" spans="1:21" ht="19.5" hidden="1">
      <c r="A485" s="238"/>
      <c r="B485" s="188"/>
      <c r="C485" s="239" t="s">
        <v>195</v>
      </c>
      <c r="D485" s="188"/>
      <c r="E485" s="188"/>
      <c r="F485" s="188"/>
      <c r="G485" s="208"/>
      <c r="H485" s="158" t="s">
        <v>34</v>
      </c>
      <c r="I485" s="54">
        <f>J481</f>
        <v>0</v>
      </c>
      <c r="J485" s="373">
        <f>J487+J489+J491</f>
        <v>0</v>
      </c>
      <c r="K485" s="540">
        <f>IF(I485&gt;0,J485*100/I485,0)</f>
        <v>0</v>
      </c>
      <c r="L485" s="62"/>
      <c r="M485" s="55"/>
      <c r="N485" s="55"/>
      <c r="O485" s="55"/>
      <c r="P485" s="55"/>
      <c r="Q485" s="55"/>
      <c r="R485" s="55"/>
      <c r="S485" s="55"/>
      <c r="T485" s="55"/>
      <c r="U485" s="55"/>
    </row>
    <row r="486" spans="1:21" ht="18.75" hidden="1">
      <c r="A486" s="238"/>
      <c r="B486" s="188"/>
      <c r="C486" s="188"/>
      <c r="D486" s="371" t="s">
        <v>196</v>
      </c>
      <c r="E486" s="188"/>
      <c r="F486" s="188"/>
      <c r="G486" s="208"/>
      <c r="H486" s="161" t="s">
        <v>46</v>
      </c>
      <c r="I486" s="54"/>
      <c r="J486" s="54"/>
      <c r="K486" s="55"/>
      <c r="L486" s="62"/>
      <c r="M486" s="55"/>
      <c r="N486" s="55"/>
      <c r="O486" s="55"/>
      <c r="P486" s="55"/>
      <c r="Q486" s="55"/>
      <c r="R486" s="55"/>
      <c r="S486" s="55"/>
      <c r="T486" s="55"/>
      <c r="U486" s="55"/>
    </row>
    <row r="487" spans="1:21" ht="18.75" hidden="1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54"/>
      <c r="K487" s="55"/>
      <c r="L487" s="62"/>
      <c r="M487" s="55"/>
      <c r="N487" s="55"/>
      <c r="O487" s="55"/>
      <c r="P487" s="55"/>
      <c r="Q487" s="55"/>
      <c r="R487" s="55"/>
      <c r="S487" s="55"/>
      <c r="T487" s="55"/>
      <c r="U487" s="55"/>
    </row>
    <row r="488" spans="1:21" ht="18.75" hidden="1">
      <c r="A488" s="238"/>
      <c r="B488" s="188"/>
      <c r="C488" s="188"/>
      <c r="D488" s="371" t="s">
        <v>197</v>
      </c>
      <c r="E488" s="188"/>
      <c r="F488" s="188"/>
      <c r="G488" s="208"/>
      <c r="H488" s="161" t="s">
        <v>46</v>
      </c>
      <c r="I488" s="54"/>
      <c r="J488" s="54"/>
      <c r="K488" s="55"/>
      <c r="L488" s="62"/>
      <c r="M488" s="55"/>
      <c r="N488" s="55"/>
      <c r="O488" s="55"/>
      <c r="P488" s="55"/>
      <c r="Q488" s="55"/>
      <c r="R488" s="55"/>
      <c r="S488" s="55"/>
      <c r="T488" s="55"/>
      <c r="U488" s="55"/>
    </row>
    <row r="489" spans="1:21" ht="18.75" hidden="1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54"/>
      <c r="K489" s="55"/>
      <c r="L489" s="62"/>
      <c r="M489" s="55"/>
      <c r="N489" s="55"/>
      <c r="O489" s="55"/>
      <c r="P489" s="55"/>
      <c r="Q489" s="55"/>
      <c r="R489" s="55"/>
      <c r="S489" s="55"/>
      <c r="T489" s="55"/>
      <c r="U489" s="55"/>
    </row>
    <row r="490" spans="1:21" ht="18.75" hidden="1">
      <c r="A490" s="238"/>
      <c r="B490" s="188"/>
      <c r="C490" s="188"/>
      <c r="D490" s="371" t="s">
        <v>198</v>
      </c>
      <c r="E490" s="188"/>
      <c r="F490" s="188"/>
      <c r="G490" s="208"/>
      <c r="H490" s="161" t="s">
        <v>46</v>
      </c>
      <c r="I490" s="54"/>
      <c r="J490" s="54"/>
      <c r="K490" s="55"/>
      <c r="L490" s="62"/>
      <c r="M490" s="55"/>
      <c r="N490" s="55"/>
      <c r="O490" s="55"/>
      <c r="P490" s="55"/>
      <c r="Q490" s="55"/>
      <c r="R490" s="55"/>
      <c r="S490" s="55"/>
      <c r="T490" s="55"/>
      <c r="U490" s="55"/>
    </row>
    <row r="491" spans="1:21" ht="18.75" hidden="1">
      <c r="A491" s="374"/>
      <c r="B491" s="5"/>
      <c r="C491" s="5"/>
      <c r="D491" s="5"/>
      <c r="E491" s="5"/>
      <c r="F491" s="5"/>
      <c r="G491" s="375"/>
      <c r="H491" s="376" t="s">
        <v>34</v>
      </c>
      <c r="I491" s="67"/>
      <c r="J491" s="67"/>
      <c r="K491" s="6"/>
      <c r="L491" s="68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 hidden="1">
      <c r="A492" s="335"/>
      <c r="B492" s="354" t="s">
        <v>199</v>
      </c>
      <c r="C492" s="337"/>
      <c r="D492" s="337"/>
      <c r="E492" s="328"/>
      <c r="F492" s="328"/>
      <c r="G492" s="329"/>
      <c r="H492" s="366" t="s">
        <v>35</v>
      </c>
      <c r="I492" s="605">
        <f ca="1">I503</f>
        <v>0</v>
      </c>
      <c r="J492" s="605">
        <f ca="1">J503</f>
        <v>0</v>
      </c>
      <c r="K492" s="604">
        <f ca="1">IF(I492&gt;0,J492*100/I492,0)</f>
        <v>0</v>
      </c>
      <c r="L492" s="334"/>
      <c r="M492" s="333"/>
      <c r="N492" s="333"/>
      <c r="O492" s="333"/>
      <c r="P492" s="333"/>
      <c r="Q492" s="333"/>
      <c r="R492" s="333"/>
      <c r="S492" s="333"/>
      <c r="T492" s="333"/>
      <c r="U492" s="333"/>
    </row>
    <row r="493" spans="1:21" ht="19.5" hidden="1">
      <c r="A493" s="155"/>
      <c r="B493" s="188"/>
      <c r="C493" s="205" t="s">
        <v>18</v>
      </c>
      <c r="D493" s="603" t="s">
        <v>19</v>
      </c>
      <c r="E493" s="514"/>
      <c r="F493" s="514"/>
      <c r="G493" s="52"/>
      <c r="H493" s="252" t="s">
        <v>14</v>
      </c>
      <c r="I493" s="54"/>
      <c r="J493" s="54"/>
      <c r="K493" s="55"/>
      <c r="L493" s="541">
        <f>L494+L495</f>
        <v>0</v>
      </c>
      <c r="M493" s="540">
        <f>M494+M495</f>
        <v>0</v>
      </c>
      <c r="N493" s="540">
        <f>N494+N495</f>
        <v>0</v>
      </c>
      <c r="O493" s="540">
        <f>IF(L493&gt;0,N493*100/L493,0)</f>
        <v>0</v>
      </c>
      <c r="P493" s="540">
        <f>IF(M493&gt;0,N493*100/M493,0)</f>
        <v>0</v>
      </c>
      <c r="Q493" s="540">
        <f ca="1">Q494+Q495</f>
        <v>0</v>
      </c>
      <c r="R493" s="540">
        <f ca="1">R494+R495</f>
        <v>0</v>
      </c>
      <c r="S493" s="540">
        <f ca="1">S494+S495</f>
        <v>0</v>
      </c>
      <c r="T493" s="540">
        <f ca="1">IF(Q493&gt;0,S493*100/Q493,0)</f>
        <v>0</v>
      </c>
      <c r="U493" s="540">
        <f ca="1">IF(R493&gt;0,S493*100/R493,0)</f>
        <v>0</v>
      </c>
    </row>
    <row r="494" spans="1:21" ht="18.75" hidden="1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103">
        <f>L497+L500</f>
        <v>0</v>
      </c>
      <c r="M494" s="102">
        <f>M497+M500</f>
        <v>0</v>
      </c>
      <c r="N494" s="102">
        <f>N497+N500</f>
        <v>0</v>
      </c>
      <c r="O494" s="102">
        <f>IF(L494&gt;0,N494*100/L494,0)</f>
        <v>0</v>
      </c>
      <c r="P494" s="102">
        <f>IF(M494&gt;0,N494*100/M494,0)</f>
        <v>0</v>
      </c>
      <c r="Q494" s="102">
        <f>Q497+Q500</f>
        <v>0</v>
      </c>
      <c r="R494" s="102">
        <f>R497+R500</f>
        <v>0</v>
      </c>
      <c r="S494" s="102">
        <f>S497+S500</f>
        <v>0</v>
      </c>
      <c r="T494" s="102">
        <f>IF(Q494&gt;0,S494*100/Q494,0)</f>
        <v>0</v>
      </c>
      <c r="U494" s="102">
        <f>IF(R494&gt;0,S494*100/R494,0)</f>
        <v>0</v>
      </c>
    </row>
    <row r="495" spans="1:21" ht="18.75" hidden="1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256">
        <f>L498+L501</f>
        <v>0</v>
      </c>
      <c r="M495" s="255">
        <f>M498+M501</f>
        <v>0</v>
      </c>
      <c r="N495" s="255">
        <f>N498+N501</f>
        <v>0</v>
      </c>
      <c r="O495" s="255">
        <f>IF(L495&gt;0,N495*100/L495,0)</f>
        <v>0</v>
      </c>
      <c r="P495" s="255">
        <f>IF(M495&gt;0,N495*100/M495,0)</f>
        <v>0</v>
      </c>
      <c r="Q495" s="255">
        <f ca="1">Q498+Q501</f>
        <v>0</v>
      </c>
      <c r="R495" s="255">
        <f ca="1">R498+R501</f>
        <v>0</v>
      </c>
      <c r="S495" s="255">
        <f ca="1">S498+S501</f>
        <v>0</v>
      </c>
      <c r="T495" s="255">
        <f ca="1">IF(Q495&gt;0,S495*100/Q495,0)</f>
        <v>0</v>
      </c>
      <c r="U495" s="255">
        <f ca="1">IF(R495&gt;0,S495*100/R495,0)</f>
        <v>0</v>
      </c>
    </row>
    <row r="496" spans="1:21" ht="18.75" hidden="1">
      <c r="A496" s="155"/>
      <c r="B496" s="188"/>
      <c r="C496" s="188"/>
      <c r="D496" s="602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256">
        <f>L497+L498</f>
        <v>0</v>
      </c>
      <c r="M496" s="255">
        <f>M497+M498</f>
        <v>0</v>
      </c>
      <c r="N496" s="255">
        <f>N497+N498</f>
        <v>0</v>
      </c>
      <c r="O496" s="255">
        <f>IF(L496&gt;0,N496*100/L496,0)</f>
        <v>0</v>
      </c>
      <c r="P496" s="255">
        <f>IF(M496&gt;0,N496*100/M496,0)</f>
        <v>0</v>
      </c>
      <c r="Q496" s="255">
        <f ca="1">Q497+Q498</f>
        <v>0</v>
      </c>
      <c r="R496" s="255">
        <f ca="1">R497+R498</f>
        <v>0</v>
      </c>
      <c r="S496" s="255">
        <f ca="1">S497+S498</f>
        <v>0</v>
      </c>
      <c r="T496" s="255">
        <f ca="1">IF(Q496&gt;0,S496*100/Q496,0)</f>
        <v>0</v>
      </c>
      <c r="U496" s="255">
        <f ca="1">IF(R496&gt;0,S496*100/R496,0)</f>
        <v>0</v>
      </c>
    </row>
    <row r="497" spans="1:21" ht="18.75" hidden="1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103">
        <v>0</v>
      </c>
      <c r="M497" s="102">
        <v>0</v>
      </c>
      <c r="N497" s="102">
        <v>0</v>
      </c>
      <c r="O497" s="102">
        <f>IF(L497&gt;0,N497*100/L497,0)</f>
        <v>0</v>
      </c>
      <c r="P497" s="102">
        <f>IF(M497&gt;0,N497*100/M497,0)</f>
        <v>0</v>
      </c>
      <c r="Q497" s="102">
        <v>0</v>
      </c>
      <c r="R497" s="102">
        <v>0</v>
      </c>
      <c r="S497" s="102">
        <v>0</v>
      </c>
      <c r="T497" s="102">
        <f>IF(Q497&gt;0,S497*100/Q497,0)</f>
        <v>0</v>
      </c>
      <c r="U497" s="102">
        <f>IF(R497&gt;0,S497*100/R497,0)</f>
        <v>0</v>
      </c>
    </row>
    <row r="498" spans="1:21" ht="18.75" hidden="1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256">
        <v>0</v>
      </c>
      <c r="M498" s="255">
        <v>0</v>
      </c>
      <c r="N498" s="255">
        <v>0</v>
      </c>
      <c r="O498" s="255">
        <f>IF(L498&gt;0,N498*100/L498,0)</f>
        <v>0</v>
      </c>
      <c r="P498" s="255">
        <f>IF(M498&gt;0,N498*100/M498,0)</f>
        <v>0</v>
      </c>
      <c r="Q498" s="255">
        <f ca="1">IFERROR(__xludf.DUMMYFUNCTION("IMPORTRANGE(""https://docs.google.com/spreadsheets/d/1ItG2mGa2ceCfYo0BwxsXqNm01IGEUdYcSSLTEv9YCik/edit?usp=sharing"",""เบิกจ่ายกองทุน!X40"")"),0)</f>
        <v>0</v>
      </c>
      <c r="R498" s="255">
        <f ca="1">IFERROR(__xludf.DUMMYFUNCTION("IMPORTRANGE(""https://docs.google.com/spreadsheets/d/1ItG2mGa2ceCfYo0BwxsXqNm01IGEUdYcSSLTEv9YCik/edit?usp=sharing"",""เบิกจ่ายกองทุน!Y40"")"),0)</f>
        <v>0</v>
      </c>
      <c r="S498" s="255">
        <f ca="1">IFERROR(__xludf.DUMMYFUNCTION("IMPORTRANGE(""https://docs.google.com/spreadsheets/d/1ItG2mGa2ceCfYo0BwxsXqNm01IGEUdYcSSLTEv9YCik/edit?usp=sharing"",""เบิกจ่ายกองทุน!Z40"")"),0)</f>
        <v>0</v>
      </c>
      <c r="T498" s="255">
        <f ca="1">IF(Q498&gt;0,S498*100/Q498,0)</f>
        <v>0</v>
      </c>
      <c r="U498" s="255">
        <f ca="1">IF(R498&gt;0,S498*100/R498,0)</f>
        <v>0</v>
      </c>
    </row>
    <row r="499" spans="1:21" ht="18.75" hidden="1">
      <c r="A499" s="155"/>
      <c r="B499" s="188"/>
      <c r="C499" s="188"/>
      <c r="D499" s="602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256">
        <f>L500+L501</f>
        <v>0</v>
      </c>
      <c r="M499" s="255">
        <f>M500+M501</f>
        <v>0</v>
      </c>
      <c r="N499" s="255">
        <f>N500+N501</f>
        <v>0</v>
      </c>
      <c r="O499" s="255">
        <f>IF(L499&gt;0,N499*100/L499,0)</f>
        <v>0</v>
      </c>
      <c r="P499" s="255">
        <f>IF(M499&gt;0,N499*100/M499,0)</f>
        <v>0</v>
      </c>
      <c r="Q499" s="255">
        <f>Q500+Q501</f>
        <v>0</v>
      </c>
      <c r="R499" s="255">
        <f>R500+R501</f>
        <v>0</v>
      </c>
      <c r="S499" s="255">
        <f>S500+S501</f>
        <v>0</v>
      </c>
      <c r="T499" s="255">
        <f>IF(Q499&gt;0,S499*100/Q499,0)</f>
        <v>0</v>
      </c>
      <c r="U499" s="255">
        <f>IF(R499&gt;0,S499*100/R499,0)</f>
        <v>0</v>
      </c>
    </row>
    <row r="500" spans="1:21" ht="18.75" hidden="1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103">
        <v>0</v>
      </c>
      <c r="M500" s="102">
        <v>0</v>
      </c>
      <c r="N500" s="102">
        <v>0</v>
      </c>
      <c r="O500" s="102">
        <f>IF(L500&gt;0,N500*100/L500,0)</f>
        <v>0</v>
      </c>
      <c r="P500" s="102">
        <f>IF(M500&gt;0,N500*100/M500,0)</f>
        <v>0</v>
      </c>
      <c r="Q500" s="102">
        <v>0</v>
      </c>
      <c r="R500" s="102">
        <v>0</v>
      </c>
      <c r="S500" s="102">
        <v>0</v>
      </c>
      <c r="T500" s="102">
        <f>IF(Q500&gt;0,S500*100/Q500,0)</f>
        <v>0</v>
      </c>
      <c r="U500" s="102">
        <f>IF(R500&gt;0,S500*100/R500,0)</f>
        <v>0</v>
      </c>
    </row>
    <row r="501" spans="1:21" ht="18.75" hidden="1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256">
        <v>0</v>
      </c>
      <c r="M501" s="255">
        <v>0</v>
      </c>
      <c r="N501" s="255">
        <v>0</v>
      </c>
      <c r="O501" s="255">
        <f>IF(L501&gt;0,N501*100/L501,0)</f>
        <v>0</v>
      </c>
      <c r="P501" s="255">
        <f>IF(M501&gt;0,N501*100/M501,0)</f>
        <v>0</v>
      </c>
      <c r="Q501" s="255">
        <v>0</v>
      </c>
      <c r="R501" s="255">
        <v>0</v>
      </c>
      <c r="S501" s="255">
        <v>0</v>
      </c>
      <c r="T501" s="255">
        <f>IF(Q501&gt;0,S501*100/Q501,0)</f>
        <v>0</v>
      </c>
      <c r="U501" s="255">
        <f>IF(R501&gt;0,S501*100/R501,0)</f>
        <v>0</v>
      </c>
    </row>
    <row r="502" spans="1:21" ht="19.5" hidden="1">
      <c r="A502" s="166"/>
      <c r="B502" s="167"/>
      <c r="C502" s="205" t="s">
        <v>18</v>
      </c>
      <c r="D502" s="560" t="s">
        <v>38</v>
      </c>
      <c r="E502" s="169"/>
      <c r="F502" s="169"/>
      <c r="G502" s="170"/>
      <c r="H502" s="206"/>
      <c r="I502" s="163"/>
      <c r="J502" s="163"/>
      <c r="K502" s="164"/>
      <c r="L502" s="172"/>
      <c r="M502" s="164"/>
      <c r="N502" s="164"/>
      <c r="O502" s="164"/>
      <c r="P502" s="164"/>
      <c r="Q502" s="164"/>
      <c r="R502" s="164"/>
      <c r="S502" s="164"/>
      <c r="T502" s="164"/>
      <c r="U502" s="164"/>
    </row>
    <row r="503" spans="1:21" ht="19.5" hidden="1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373">
        <f ca="1">IFERROR(__xludf.DUMMYFUNCTION("IMPORTRANGE(""https://docs.google.com/spreadsheets/d/1eHaY18a8A9IcSdp1K8H6x8fbOy06t2VsZHhMHf-1x7Y/edit?usp=sharing"",""แผน!GX40"")"),0)</f>
        <v>0</v>
      </c>
      <c r="J503" s="373">
        <f ca="1">IF(AND(J504=I504,J505=I505,J506=I506,J507=I507),I503,0)</f>
        <v>0</v>
      </c>
      <c r="K503" s="540">
        <f ca="1">IF(I503&gt;0,J503*100/I503,0)</f>
        <v>0</v>
      </c>
      <c r="L503" s="62"/>
      <c r="M503" s="55"/>
      <c r="N503" s="55"/>
      <c r="O503" s="55"/>
      <c r="P503" s="55"/>
      <c r="Q503" s="55"/>
      <c r="R503" s="55"/>
      <c r="S503" s="55"/>
      <c r="T503" s="55"/>
      <c r="U503" s="55"/>
    </row>
    <row r="504" spans="1:21" ht="18.75" hidden="1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212">
        <f ca="1">IFERROR(__xludf.DUMMYFUNCTION("IMPORTRANGE(""https://docs.google.com/spreadsheets/d/1eHaY18a8A9IcSdp1K8H6x8fbOy06t2VsZHhMHf-1x7Y/edit?usp=sharing"",""แผน!GY40"")"),0)</f>
        <v>0</v>
      </c>
      <c r="J504" s="467">
        <v>0</v>
      </c>
      <c r="K504" s="255">
        <f ca="1">IF(I504&gt;0,J504*100/I504,0)</f>
        <v>0</v>
      </c>
      <c r="L504" s="62"/>
      <c r="M504" s="55"/>
      <c r="N504" s="55"/>
      <c r="O504" s="55"/>
      <c r="P504" s="55"/>
      <c r="Q504" s="55"/>
      <c r="R504" s="55"/>
      <c r="S504" s="55"/>
      <c r="T504" s="55"/>
      <c r="U504" s="55"/>
    </row>
    <row r="505" spans="1:21" ht="18.75" hidden="1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212">
        <f ca="1">IFERROR(__xludf.DUMMYFUNCTION("IMPORTRANGE(""https://docs.google.com/spreadsheets/d/1eHaY18a8A9IcSdp1K8H6x8fbOy06t2VsZHhMHf-1x7Y/edit?usp=sharing"",""แผน!GZ40"")"),0)</f>
        <v>0</v>
      </c>
      <c r="J505" s="467">
        <v>0</v>
      </c>
      <c r="K505" s="255">
        <f ca="1">IF(I505&gt;0,J505*100/I505,0)</f>
        <v>0</v>
      </c>
      <c r="L505" s="62"/>
      <c r="M505" s="55"/>
      <c r="N505" s="55"/>
      <c r="O505" s="55"/>
      <c r="P505" s="55"/>
      <c r="Q505" s="55"/>
      <c r="R505" s="55"/>
      <c r="S505" s="55"/>
      <c r="T505" s="55"/>
      <c r="U505" s="55"/>
    </row>
    <row r="506" spans="1:21" ht="18.75" hidden="1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212">
        <f ca="1">IFERROR(__xludf.DUMMYFUNCTION("IMPORTRANGE(""https://docs.google.com/spreadsheets/d/1eHaY18a8A9IcSdp1K8H6x8fbOy06t2VsZHhMHf-1x7Y/edit?usp=sharing"",""แผน!HA40"")"),0)</f>
        <v>0</v>
      </c>
      <c r="J506" s="467">
        <v>0</v>
      </c>
      <c r="K506" s="255">
        <f ca="1">IF(I506&gt;0,J506*100/I506,0)</f>
        <v>0</v>
      </c>
      <c r="L506" s="62"/>
      <c r="M506" s="55"/>
      <c r="N506" s="55"/>
      <c r="O506" s="55"/>
      <c r="P506" s="55"/>
      <c r="Q506" s="55"/>
      <c r="R506" s="55"/>
      <c r="S506" s="55"/>
      <c r="T506" s="55"/>
      <c r="U506" s="55"/>
    </row>
    <row r="507" spans="1:21" ht="18.75" hidden="1">
      <c r="A507" s="238"/>
      <c r="B507" s="188"/>
      <c r="C507" s="188"/>
      <c r="D507" s="188"/>
      <c r="E507" s="377" t="s">
        <v>204</v>
      </c>
      <c r="F507" s="50"/>
      <c r="G507" s="52"/>
      <c r="H507" s="161" t="s">
        <v>35</v>
      </c>
      <c r="I507" s="212">
        <f ca="1">IFERROR(__xludf.DUMMYFUNCTION("IMPORTRANGE(""https://docs.google.com/spreadsheets/d/1eHaY18a8A9IcSdp1K8H6x8fbOy06t2VsZHhMHf-1x7Y/edit?usp=sharing"",""แผน!HB40"")"),0)</f>
        <v>0</v>
      </c>
      <c r="J507" s="467">
        <v>0</v>
      </c>
      <c r="K507" s="255">
        <f ca="1">IF(I507&gt;0,J507*100/I507,0)</f>
        <v>0</v>
      </c>
      <c r="L507" s="62"/>
      <c r="M507" s="55"/>
      <c r="N507" s="55"/>
      <c r="O507" s="55"/>
      <c r="P507" s="55"/>
      <c r="Q507" s="55"/>
      <c r="R507" s="55"/>
      <c r="S507" s="55"/>
      <c r="T507" s="55"/>
      <c r="U507" s="55"/>
    </row>
    <row r="508" spans="1:21" ht="18.75" hidden="1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255">
        <f>IF(I508&gt;0,J508*100/I508,0)</f>
        <v>0</v>
      </c>
      <c r="L508" s="62"/>
      <c r="M508" s="55"/>
      <c r="N508" s="55"/>
      <c r="O508" s="55"/>
      <c r="P508" s="55"/>
      <c r="Q508" s="55"/>
      <c r="R508" s="55"/>
      <c r="S508" s="55"/>
      <c r="T508" s="55"/>
      <c r="U508" s="55"/>
    </row>
    <row r="509" spans="1:21" ht="19.5" hidden="1">
      <c r="A509" s="374"/>
      <c r="B509" s="5"/>
      <c r="C509" s="5"/>
      <c r="D509" s="378" t="s">
        <v>50</v>
      </c>
      <c r="E509" s="4"/>
      <c r="F509" s="4"/>
      <c r="G509" s="65"/>
      <c r="H509" s="376" t="s">
        <v>35</v>
      </c>
      <c r="I509" s="216">
        <f ca="1">IFERROR(__xludf.DUMMYFUNCTION("IMPORTRANGE(""https://docs.google.com/spreadsheets/d/1eHaY18a8A9IcSdp1K8H6x8fbOy06t2VsZHhMHf-1x7Y/edit?usp=sharing"",""แผน!HC40"")"),0)</f>
        <v>0</v>
      </c>
      <c r="J509" s="538">
        <v>0</v>
      </c>
      <c r="K509" s="506">
        <f ca="1">IF(I509&gt;0,J509*100/I509,0)</f>
        <v>0</v>
      </c>
      <c r="L509" s="68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 hidden="1">
      <c r="A510" s="601" t="s">
        <v>206</v>
      </c>
      <c r="B510" s="381"/>
      <c r="C510" s="381"/>
      <c r="D510" s="381"/>
      <c r="E510" s="382"/>
      <c r="F510" s="382"/>
      <c r="G510" s="382"/>
      <c r="H510" s="382"/>
      <c r="I510" s="383"/>
      <c r="J510" s="383"/>
      <c r="K510" s="384"/>
      <c r="L510" s="600"/>
      <c r="M510" s="386"/>
      <c r="N510" s="386"/>
      <c r="O510" s="386"/>
      <c r="P510" s="386"/>
      <c r="Q510" s="386"/>
      <c r="R510" s="386"/>
      <c r="S510" s="386"/>
      <c r="T510" s="386"/>
      <c r="U510" s="386"/>
    </row>
    <row r="511" spans="1:21" ht="19.5" hidden="1">
      <c r="A511" s="599" t="s">
        <v>207</v>
      </c>
      <c r="B511" s="388"/>
      <c r="C511" s="388"/>
      <c r="D511" s="389"/>
      <c r="E511" s="388"/>
      <c r="F511" s="388"/>
      <c r="G511" s="388"/>
      <c r="H511" s="390"/>
      <c r="I511" s="391"/>
      <c r="J511" s="391"/>
      <c r="K511" s="392"/>
      <c r="L511" s="598"/>
      <c r="M511" s="394"/>
      <c r="N511" s="394"/>
      <c r="O511" s="394"/>
      <c r="P511" s="394"/>
      <c r="Q511" s="394"/>
      <c r="R511" s="394"/>
      <c r="S511" s="394"/>
      <c r="T511" s="394"/>
      <c r="U511" s="394"/>
    </row>
    <row r="512" spans="1:21" ht="19.5" hidden="1">
      <c r="A512" s="395"/>
      <c r="B512" s="597" t="s">
        <v>208</v>
      </c>
      <c r="C512" s="397"/>
      <c r="D512" s="398"/>
      <c r="E512" s="398"/>
      <c r="F512" s="398"/>
      <c r="G512" s="399"/>
      <c r="H512" s="596" t="s">
        <v>61</v>
      </c>
      <c r="I512" s="595">
        <f>I524</f>
        <v>0</v>
      </c>
      <c r="J512" s="595">
        <f>J524</f>
        <v>0</v>
      </c>
      <c r="K512" s="594">
        <f>IF(I512&gt;0,J512*100/I512,0)</f>
        <v>0</v>
      </c>
      <c r="L512" s="404"/>
      <c r="M512" s="403"/>
      <c r="N512" s="403"/>
      <c r="O512" s="403"/>
      <c r="P512" s="403"/>
      <c r="Q512" s="403"/>
      <c r="R512" s="403"/>
      <c r="S512" s="403"/>
      <c r="T512" s="403"/>
      <c r="U512" s="403"/>
    </row>
    <row r="513" spans="1:21" ht="19.5" hidden="1">
      <c r="A513" s="155"/>
      <c r="B513" s="50"/>
      <c r="C513" s="591" t="s">
        <v>18</v>
      </c>
      <c r="D513" s="562" t="s">
        <v>19</v>
      </c>
      <c r="E513" s="50"/>
      <c r="F513" s="50"/>
      <c r="G513" s="52"/>
      <c r="H513" s="593" t="s">
        <v>14</v>
      </c>
      <c r="I513" s="54"/>
      <c r="J513" s="54"/>
      <c r="K513" s="55"/>
      <c r="L513" s="541">
        <f ca="1">L514+L515</f>
        <v>0</v>
      </c>
      <c r="M513" s="540">
        <f ca="1">M514+M515</f>
        <v>0</v>
      </c>
      <c r="N513" s="540">
        <f ca="1">N514+N515</f>
        <v>0</v>
      </c>
      <c r="O513" s="540">
        <f ca="1">IF(L513&gt;0,N513*100/L513,0)</f>
        <v>0</v>
      </c>
      <c r="P513" s="540">
        <f ca="1">IF(M513&gt;0,N513*100/M513,0)</f>
        <v>0</v>
      </c>
      <c r="Q513" s="540">
        <f>Q514+Q515</f>
        <v>0</v>
      </c>
      <c r="R513" s="540">
        <f>R514+R515</f>
        <v>0</v>
      </c>
      <c r="S513" s="540">
        <f>S514+S515</f>
        <v>0</v>
      </c>
      <c r="T513" s="540">
        <f>IF(Q513&gt;0,S513*100/Q513,0)</f>
        <v>0</v>
      </c>
      <c r="U513" s="540">
        <f>IF(R513&gt;0,S513*100/R513,0)</f>
        <v>0</v>
      </c>
    </row>
    <row r="514" spans="1:21" ht="18.75" hidden="1">
      <c r="A514" s="155"/>
      <c r="B514" s="50"/>
      <c r="C514" s="50"/>
      <c r="D514" s="50"/>
      <c r="E514" s="186" t="s">
        <v>20</v>
      </c>
      <c r="F514" s="50"/>
      <c r="G514" s="52"/>
      <c r="H514" s="187" t="s">
        <v>14</v>
      </c>
      <c r="I514" s="54"/>
      <c r="J514" s="54"/>
      <c r="K514" s="55"/>
      <c r="L514" s="103">
        <f>L517+L520</f>
        <v>0</v>
      </c>
      <c r="M514" s="102">
        <f>M517+M520</f>
        <v>0</v>
      </c>
      <c r="N514" s="102">
        <f>N517+N520</f>
        <v>0</v>
      </c>
      <c r="O514" s="102">
        <f>IF(L514&gt;0,N514*100/L514,0)</f>
        <v>0</v>
      </c>
      <c r="P514" s="102">
        <f>IF(M514&gt;0,N514*100/M514,0)</f>
        <v>0</v>
      </c>
      <c r="Q514" s="102">
        <f>Q517+Q520</f>
        <v>0</v>
      </c>
      <c r="R514" s="102">
        <f>R517+R520</f>
        <v>0</v>
      </c>
      <c r="S514" s="102">
        <f>S517+S520</f>
        <v>0</v>
      </c>
      <c r="T514" s="102">
        <f>IF(Q514&gt;0,S514*100/Q514,0)</f>
        <v>0</v>
      </c>
      <c r="U514" s="102">
        <f>IF(R514&gt;0,S514*100/R514,0)</f>
        <v>0</v>
      </c>
    </row>
    <row r="515" spans="1:21" ht="18.75" hidden="1">
      <c r="A515" s="155"/>
      <c r="B515" s="50"/>
      <c r="C515" s="50"/>
      <c r="D515" s="50"/>
      <c r="E515" s="186" t="s">
        <v>21</v>
      </c>
      <c r="F515" s="50"/>
      <c r="G515" s="52"/>
      <c r="H515" s="187" t="s">
        <v>14</v>
      </c>
      <c r="I515" s="54"/>
      <c r="J515" s="54"/>
      <c r="K515" s="55"/>
      <c r="L515" s="256">
        <f ca="1">L518+L521</f>
        <v>0</v>
      </c>
      <c r="M515" s="255">
        <f ca="1">M518+M521</f>
        <v>0</v>
      </c>
      <c r="N515" s="255">
        <f ca="1">N518+N521</f>
        <v>0</v>
      </c>
      <c r="O515" s="255">
        <f ca="1">IF(L515&gt;0,N515*100/L515,0)</f>
        <v>0</v>
      </c>
      <c r="P515" s="255">
        <f ca="1">IF(M515&gt;0,N515*100/M515,0)</f>
        <v>0</v>
      </c>
      <c r="Q515" s="255">
        <f>Q518+Q521</f>
        <v>0</v>
      </c>
      <c r="R515" s="255">
        <f>R518+R521</f>
        <v>0</v>
      </c>
      <c r="S515" s="255">
        <f>S518+S521</f>
        <v>0</v>
      </c>
      <c r="T515" s="255">
        <f>IF(Q515&gt;0,S515*100/Q515,0)</f>
        <v>0</v>
      </c>
      <c r="U515" s="255">
        <f>IF(R515&gt;0,S515*100/R515,0)</f>
        <v>0</v>
      </c>
    </row>
    <row r="516" spans="1:21" ht="18.75" hidden="1">
      <c r="A516" s="155"/>
      <c r="B516" s="50"/>
      <c r="C516" s="50"/>
      <c r="D516" s="592" t="s">
        <v>22</v>
      </c>
      <c r="E516" s="50"/>
      <c r="F516" s="50"/>
      <c r="G516" s="52"/>
      <c r="H516" s="189" t="s">
        <v>14</v>
      </c>
      <c r="I516" s="163"/>
      <c r="J516" s="163"/>
      <c r="K516" s="164"/>
      <c r="L516" s="256">
        <f ca="1">L517+L518</f>
        <v>0</v>
      </c>
      <c r="M516" s="255">
        <f ca="1">M517+M518</f>
        <v>0</v>
      </c>
      <c r="N516" s="255">
        <f ca="1">N517+N518</f>
        <v>0</v>
      </c>
      <c r="O516" s="255">
        <f ca="1">IF(L516&gt;0,N516*100/L516,0)</f>
        <v>0</v>
      </c>
      <c r="P516" s="255">
        <f ca="1">IF(M516&gt;0,N516*100/M516,0)</f>
        <v>0</v>
      </c>
      <c r="Q516" s="255">
        <f>Q517+Q518</f>
        <v>0</v>
      </c>
      <c r="R516" s="255">
        <f>R517+R518</f>
        <v>0</v>
      </c>
      <c r="S516" s="255">
        <f>S517+S518</f>
        <v>0</v>
      </c>
      <c r="T516" s="255">
        <f>IF(Q516&gt;0,S516*100/Q516,0)</f>
        <v>0</v>
      </c>
      <c r="U516" s="255">
        <f>IF(R516&gt;0,S516*100/R516,0)</f>
        <v>0</v>
      </c>
    </row>
    <row r="517" spans="1:21" ht="18.75" hidden="1">
      <c r="A517" s="155"/>
      <c r="B517" s="50"/>
      <c r="C517" s="50"/>
      <c r="D517" s="50"/>
      <c r="E517" s="186" t="s">
        <v>36</v>
      </c>
      <c r="F517" s="50"/>
      <c r="G517" s="52"/>
      <c r="H517" s="189" t="s">
        <v>14</v>
      </c>
      <c r="I517" s="163"/>
      <c r="J517" s="163"/>
      <c r="K517" s="164"/>
      <c r="L517" s="103">
        <v>0</v>
      </c>
      <c r="M517" s="102">
        <v>0</v>
      </c>
      <c r="N517" s="102">
        <v>0</v>
      </c>
      <c r="O517" s="102">
        <f>IF(L517&gt;0,N517*100/L517,0)</f>
        <v>0</v>
      </c>
      <c r="P517" s="102">
        <f>IF(M517&gt;0,N517*100/M517,0)</f>
        <v>0</v>
      </c>
      <c r="Q517" s="102">
        <v>0</v>
      </c>
      <c r="R517" s="102">
        <v>0</v>
      </c>
      <c r="S517" s="102">
        <v>0</v>
      </c>
      <c r="T517" s="102">
        <f>IF(Q517&gt;0,S517*100/Q517,0)</f>
        <v>0</v>
      </c>
      <c r="U517" s="102">
        <f>IF(R517&gt;0,S517*100/R517,0)</f>
        <v>0</v>
      </c>
    </row>
    <row r="518" spans="1:21" ht="18.75" hidden="1">
      <c r="A518" s="155"/>
      <c r="B518" s="50"/>
      <c r="C518" s="50"/>
      <c r="D518" s="50"/>
      <c r="E518" s="186" t="s">
        <v>37</v>
      </c>
      <c r="F518" s="50"/>
      <c r="G518" s="52"/>
      <c r="H518" s="189" t="s">
        <v>14</v>
      </c>
      <c r="I518" s="163"/>
      <c r="J518" s="163"/>
      <c r="K518" s="164"/>
      <c r="L518" s="256">
        <f ca="1">IFERROR(__xludf.DUMMYFUNCTION("IMPORTRANGE(""https://docs.google.com/spreadsheets/d/1-uDff_7J0KD5mKrp0Vvzr7lt3OU09vwQwhkpOPPYv2Y/edit?usp=sharing"",""งบพรบ!FM40"")"),0)</f>
        <v>0</v>
      </c>
      <c r="M518" s="255">
        <f ca="1">IFERROR(__xludf.DUMMYFUNCTION("IMPORTRANGE(""https://docs.google.com/spreadsheets/d/1-uDff_7J0KD5mKrp0Vvzr7lt3OU09vwQwhkpOPPYv2Y/edit?usp=sharing"",""งบพรบ!FR40"")"),0)</f>
        <v>0</v>
      </c>
      <c r="N518" s="255">
        <f ca="1">IFERROR(__xludf.DUMMYFUNCTION("IMPORTRANGE(""https://docs.google.com/spreadsheets/d/1-uDff_7J0KD5mKrp0Vvzr7lt3OU09vwQwhkpOPPYv2Y/edit?usp=sharing"",""งบพรบ!FT40"")"),0)</f>
        <v>0</v>
      </c>
      <c r="O518" s="255">
        <f ca="1">IF(L518&gt;0,N518*100/L518,0)</f>
        <v>0</v>
      </c>
      <c r="P518" s="255">
        <f ca="1">IF(M518&gt;0,N518*100/M518,0)</f>
        <v>0</v>
      </c>
      <c r="Q518" s="255">
        <v>0</v>
      </c>
      <c r="R518" s="255">
        <v>0</v>
      </c>
      <c r="S518" s="255">
        <v>0</v>
      </c>
      <c r="T518" s="255">
        <f>IF(Q518&gt;0,S518*100/Q518,0)</f>
        <v>0</v>
      </c>
      <c r="U518" s="255">
        <f>IF(R518&gt;0,S518*100/R518,0)</f>
        <v>0</v>
      </c>
    </row>
    <row r="519" spans="1:21" ht="18.75" hidden="1">
      <c r="A519" s="155"/>
      <c r="B519" s="50"/>
      <c r="C519" s="50"/>
      <c r="D519" s="592" t="s">
        <v>23</v>
      </c>
      <c r="E519" s="50"/>
      <c r="F519" s="50"/>
      <c r="G519" s="52"/>
      <c r="H519" s="421" t="s">
        <v>14</v>
      </c>
      <c r="I519" s="163"/>
      <c r="J519" s="163"/>
      <c r="K519" s="164"/>
      <c r="L519" s="256">
        <f ca="1">L520+L521</f>
        <v>0</v>
      </c>
      <c r="M519" s="255">
        <f ca="1">M520+M521</f>
        <v>0</v>
      </c>
      <c r="N519" s="255">
        <f ca="1">N520+N521</f>
        <v>0</v>
      </c>
      <c r="O519" s="255">
        <f ca="1">IF(L519&gt;0,N519*100/L519,0)</f>
        <v>0</v>
      </c>
      <c r="P519" s="255">
        <f ca="1">IF(M519&gt;0,N519*100/M519,0)</f>
        <v>0</v>
      </c>
      <c r="Q519" s="255">
        <f>Q520+Q521</f>
        <v>0</v>
      </c>
      <c r="R519" s="255">
        <f>R520+R521</f>
        <v>0</v>
      </c>
      <c r="S519" s="255">
        <f>S520+S521</f>
        <v>0</v>
      </c>
      <c r="T519" s="255">
        <f>IF(Q519&gt;0,S519*100/Q519,0)</f>
        <v>0</v>
      </c>
      <c r="U519" s="255">
        <f>IF(R519&gt;0,S519*100/R519,0)</f>
        <v>0</v>
      </c>
    </row>
    <row r="520" spans="1:21" ht="18.75" hidden="1">
      <c r="A520" s="155"/>
      <c r="B520" s="50"/>
      <c r="C520" s="50"/>
      <c r="D520" s="50"/>
      <c r="E520" s="186" t="s">
        <v>20</v>
      </c>
      <c r="F520" s="50"/>
      <c r="G520" s="52"/>
      <c r="H520" s="189" t="s">
        <v>14</v>
      </c>
      <c r="I520" s="163"/>
      <c r="J520" s="163"/>
      <c r="K520" s="164"/>
      <c r="L520" s="103">
        <v>0</v>
      </c>
      <c r="M520" s="102">
        <v>0</v>
      </c>
      <c r="N520" s="102">
        <v>0</v>
      </c>
      <c r="O520" s="102">
        <f>IF(L520&gt;0,N520*100/L520,0)</f>
        <v>0</v>
      </c>
      <c r="P520" s="102">
        <f>IF(M520&gt;0,N520*100/M520,0)</f>
        <v>0</v>
      </c>
      <c r="Q520" s="102">
        <v>0</v>
      </c>
      <c r="R520" s="102">
        <v>0</v>
      </c>
      <c r="S520" s="102">
        <v>0</v>
      </c>
      <c r="T520" s="102">
        <f>IF(Q520&gt;0,S520*100/Q520,0)</f>
        <v>0</v>
      </c>
      <c r="U520" s="102">
        <f>IF(R520&gt;0,S520*100/R520,0)</f>
        <v>0</v>
      </c>
    </row>
    <row r="521" spans="1:21" ht="18.75" hidden="1">
      <c r="A521" s="155"/>
      <c r="B521" s="50"/>
      <c r="C521" s="50"/>
      <c r="D521" s="50"/>
      <c r="E521" s="186" t="s">
        <v>21</v>
      </c>
      <c r="F521" s="50"/>
      <c r="G521" s="52"/>
      <c r="H521" s="421" t="s">
        <v>14</v>
      </c>
      <c r="I521" s="163"/>
      <c r="J521" s="163"/>
      <c r="K521" s="164"/>
      <c r="L521" s="256">
        <f ca="1">IFERROR(__xludf.DUMMYFUNCTION("IMPORTRANGE(""https://docs.google.com/spreadsheets/d/1-uDff_7J0KD5mKrp0Vvzr7lt3OU09vwQwhkpOPPYv2Y/edit?usp=sharing"",""งบพรบ!FP40"")"),0)</f>
        <v>0</v>
      </c>
      <c r="M521" s="255">
        <f ca="1">IFERROR(__xludf.DUMMYFUNCTION("IMPORTRANGE(""https://docs.google.com/spreadsheets/d/1-uDff_7J0KD5mKrp0Vvzr7lt3OU09vwQwhkpOPPYv2Y/edit?usp=sharing"",""งบพรบ!FS40"")"),0)</f>
        <v>0</v>
      </c>
      <c r="N521" s="255">
        <f ca="1">IFERROR(__xludf.DUMMYFUNCTION("IMPORTRANGE(""https://docs.google.com/spreadsheets/d/1-uDff_7J0KD5mKrp0Vvzr7lt3OU09vwQwhkpOPPYv2Y/edit?usp=sharing"",""งบพรบ!FU40"")"),0)</f>
        <v>0</v>
      </c>
      <c r="O521" s="255">
        <f ca="1">IF(L521&gt;0,N521*100/L521,0)</f>
        <v>0</v>
      </c>
      <c r="P521" s="255">
        <f ca="1">IF(M521&gt;0,N521*100/M521,0)</f>
        <v>0</v>
      </c>
      <c r="Q521" s="255">
        <v>0</v>
      </c>
      <c r="R521" s="255">
        <v>0</v>
      </c>
      <c r="S521" s="255">
        <v>0</v>
      </c>
      <c r="T521" s="255">
        <f>IF(Q521&gt;0,S521*100/Q521,0)</f>
        <v>0</v>
      </c>
      <c r="U521" s="255">
        <f>IF(R521&gt;0,S521*100/R521,0)</f>
        <v>0</v>
      </c>
    </row>
    <row r="522" spans="1:21" ht="19.5" hidden="1">
      <c r="A522" s="166"/>
      <c r="B522" s="167"/>
      <c r="C522" s="591" t="s">
        <v>18</v>
      </c>
      <c r="D522" s="574" t="s">
        <v>38</v>
      </c>
      <c r="E522" s="169"/>
      <c r="F522" s="169"/>
      <c r="G522" s="170"/>
      <c r="H522" s="171"/>
      <c r="I522" s="163"/>
      <c r="J522" s="54"/>
      <c r="K522" s="55"/>
      <c r="L522" s="62"/>
      <c r="M522" s="55"/>
      <c r="N522" s="55"/>
      <c r="O522" s="164"/>
      <c r="P522" s="164"/>
      <c r="Q522" s="55"/>
      <c r="R522" s="55"/>
      <c r="S522" s="55"/>
      <c r="T522" s="164"/>
      <c r="U522" s="164"/>
    </row>
    <row r="523" spans="1:21" ht="18.75" hidden="1">
      <c r="A523" s="238"/>
      <c r="B523" s="50"/>
      <c r="C523" s="188"/>
      <c r="D523" s="207" t="s">
        <v>209</v>
      </c>
      <c r="E523" s="167"/>
      <c r="F523" s="50"/>
      <c r="G523" s="52"/>
      <c r="H523" s="590" t="s">
        <v>11</v>
      </c>
      <c r="I523" s="483">
        <v>0</v>
      </c>
      <c r="J523" s="589">
        <v>0</v>
      </c>
      <c r="K523" s="102">
        <f>IF(I523&gt;0,J523*100/I523,0)</f>
        <v>0</v>
      </c>
      <c r="L523" s="62"/>
      <c r="M523" s="55"/>
      <c r="N523" s="55"/>
      <c r="O523" s="55"/>
      <c r="P523" s="55"/>
      <c r="Q523" s="55"/>
      <c r="R523" s="55"/>
      <c r="S523" s="55"/>
      <c r="T523" s="55"/>
      <c r="U523" s="55"/>
    </row>
    <row r="524" spans="1:21" ht="18.75" hidden="1">
      <c r="A524" s="374"/>
      <c r="B524" s="4"/>
      <c r="C524" s="5"/>
      <c r="D524" s="588" t="s">
        <v>210</v>
      </c>
      <c r="E524" s="282"/>
      <c r="F524" s="4"/>
      <c r="G524" s="65"/>
      <c r="H524" s="587" t="s">
        <v>61</v>
      </c>
      <c r="I524" s="486">
        <v>0</v>
      </c>
      <c r="J524" s="586">
        <v>0</v>
      </c>
      <c r="K524" s="585">
        <f>IF(I524&gt;0,J524*100/I524,0)</f>
        <v>0</v>
      </c>
      <c r="L524" s="62"/>
      <c r="M524" s="55"/>
      <c r="N524" s="55"/>
      <c r="O524" s="55"/>
      <c r="P524" s="55"/>
      <c r="Q524" s="55"/>
      <c r="R524" s="55"/>
      <c r="S524" s="55"/>
      <c r="T524" s="55"/>
      <c r="U524" s="55"/>
    </row>
    <row r="525" spans="1:21" ht="12.75" hidden="1">
      <c r="A525" s="584"/>
      <c r="B525" s="583"/>
      <c r="C525" s="583"/>
      <c r="D525" s="582"/>
      <c r="E525" s="582"/>
      <c r="F525" s="582"/>
      <c r="G525" s="581"/>
      <c r="H525" s="580"/>
      <c r="I525" s="579"/>
      <c r="J525" s="579"/>
      <c r="K525" s="578"/>
      <c r="L525" s="265"/>
      <c r="M525" s="264"/>
      <c r="N525" s="264"/>
      <c r="O525" s="264"/>
      <c r="P525" s="264"/>
      <c r="Q525" s="264"/>
      <c r="R525" s="264"/>
      <c r="S525" s="264"/>
      <c r="T525" s="264"/>
      <c r="U525" s="264"/>
    </row>
    <row r="526" spans="1:21" ht="12.75" hidden="1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5"/>
      <c r="M526" s="264"/>
      <c r="N526" s="264"/>
      <c r="O526" s="264"/>
      <c r="P526" s="264"/>
      <c r="Q526" s="264"/>
      <c r="R526" s="264"/>
      <c r="S526" s="264"/>
      <c r="T526" s="264"/>
      <c r="U526" s="264"/>
    </row>
    <row r="527" spans="1:21" ht="12.75" hidden="1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5"/>
      <c r="M527" s="264"/>
      <c r="N527" s="264"/>
      <c r="O527" s="264"/>
      <c r="P527" s="264"/>
      <c r="Q527" s="264"/>
      <c r="R527" s="264"/>
      <c r="S527" s="264"/>
      <c r="T527" s="264"/>
      <c r="U527" s="264"/>
    </row>
    <row r="528" spans="1:21" ht="12.75" hidden="1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5"/>
      <c r="M528" s="264"/>
      <c r="N528" s="264"/>
      <c r="O528" s="264"/>
      <c r="P528" s="264"/>
      <c r="Q528" s="264"/>
      <c r="R528" s="264"/>
      <c r="S528" s="264"/>
      <c r="T528" s="264"/>
      <c r="U528" s="264"/>
    </row>
    <row r="529" spans="1:21" ht="12.75" hidden="1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5"/>
      <c r="M529" s="264"/>
      <c r="N529" s="264"/>
      <c r="O529" s="264"/>
      <c r="P529" s="264"/>
      <c r="Q529" s="264"/>
      <c r="R529" s="264"/>
      <c r="S529" s="264"/>
      <c r="T529" s="264"/>
      <c r="U529" s="264"/>
    </row>
    <row r="530" spans="1:21" ht="12.75" hidden="1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5"/>
      <c r="M530" s="264"/>
      <c r="N530" s="264"/>
      <c r="O530" s="264"/>
      <c r="P530" s="264"/>
      <c r="Q530" s="264"/>
      <c r="R530" s="264"/>
      <c r="S530" s="264"/>
      <c r="T530" s="264"/>
      <c r="U530" s="264"/>
    </row>
    <row r="531" spans="1:21" ht="12.75" hidden="1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5"/>
      <c r="M531" s="264"/>
      <c r="N531" s="264"/>
      <c r="O531" s="264"/>
      <c r="P531" s="264"/>
      <c r="Q531" s="264"/>
      <c r="R531" s="264"/>
      <c r="S531" s="264"/>
      <c r="T531" s="264"/>
      <c r="U531" s="264"/>
    </row>
    <row r="532" spans="1:21" ht="12.75" hidden="1">
      <c r="A532" s="407"/>
      <c r="B532" s="360"/>
      <c r="C532" s="360"/>
      <c r="D532" s="408"/>
      <c r="E532" s="408"/>
      <c r="F532" s="408"/>
      <c r="G532" s="409"/>
      <c r="H532" s="361"/>
      <c r="I532" s="362"/>
      <c r="J532" s="362"/>
      <c r="K532" s="363"/>
      <c r="L532" s="364"/>
      <c r="M532" s="363"/>
      <c r="N532" s="363"/>
      <c r="O532" s="363"/>
      <c r="P532" s="363"/>
      <c r="Q532" s="363"/>
      <c r="R532" s="363"/>
      <c r="S532" s="363"/>
      <c r="T532" s="363"/>
      <c r="U532" s="363"/>
    </row>
    <row r="533" spans="1:21" ht="19.5" hidden="1">
      <c r="A533" s="395"/>
      <c r="B533" s="396" t="s">
        <v>211</v>
      </c>
      <c r="C533" s="397"/>
      <c r="D533" s="398"/>
      <c r="E533" s="398"/>
      <c r="F533" s="398"/>
      <c r="G533" s="399"/>
      <c r="H533" s="410" t="s">
        <v>61</v>
      </c>
      <c r="I533" s="577">
        <f>I545</f>
        <v>0</v>
      </c>
      <c r="J533" s="577">
        <f>J545</f>
        <v>0</v>
      </c>
      <c r="K533" s="576">
        <f>IF(I533&gt;0,J533*100/I533,0)</f>
        <v>0</v>
      </c>
      <c r="L533" s="404"/>
      <c r="M533" s="403"/>
      <c r="N533" s="403"/>
      <c r="O533" s="403"/>
      <c r="P533" s="403"/>
      <c r="Q533" s="403"/>
      <c r="R533" s="403"/>
      <c r="S533" s="403"/>
      <c r="T533" s="403"/>
      <c r="U533" s="403"/>
    </row>
    <row r="534" spans="1:21" ht="19.5" hidden="1">
      <c r="A534" s="155"/>
      <c r="B534" s="50"/>
      <c r="C534" s="156" t="s">
        <v>18</v>
      </c>
      <c r="D534" s="575" t="s">
        <v>19</v>
      </c>
      <c r="E534" s="50"/>
      <c r="F534" s="50"/>
      <c r="G534" s="52"/>
      <c r="H534" s="158" t="s">
        <v>14</v>
      </c>
      <c r="I534" s="54"/>
      <c r="J534" s="54"/>
      <c r="K534" s="55"/>
      <c r="L534" s="541">
        <f>L535+L536</f>
        <v>0</v>
      </c>
      <c r="M534" s="540">
        <f>M535+M536</f>
        <v>0</v>
      </c>
      <c r="N534" s="540">
        <f>N535+N536</f>
        <v>0</v>
      </c>
      <c r="O534" s="540">
        <f>IF(L534&gt;0,N534*100/L534,0)</f>
        <v>0</v>
      </c>
      <c r="P534" s="540">
        <f>IF(M534&gt;0,N534*100/M534,0)</f>
        <v>0</v>
      </c>
      <c r="Q534" s="540">
        <f>Q535+Q536</f>
        <v>0</v>
      </c>
      <c r="R534" s="540">
        <f>R535+R536</f>
        <v>0</v>
      </c>
      <c r="S534" s="540">
        <f>S535+S536</f>
        <v>0</v>
      </c>
      <c r="T534" s="540">
        <f>IF(Q534&gt;0,S534*100/Q534,0)</f>
        <v>0</v>
      </c>
      <c r="U534" s="540">
        <f>IF(R534&gt;0,S534*100/R534,0)</f>
        <v>0</v>
      </c>
    </row>
    <row r="535" spans="1:21" ht="18.75" hidden="1">
      <c r="A535" s="155"/>
      <c r="B535" s="188"/>
      <c r="C535" s="50"/>
      <c r="D535" s="50"/>
      <c r="E535" s="186" t="s">
        <v>20</v>
      </c>
      <c r="F535" s="50"/>
      <c r="G535" s="52"/>
      <c r="H535" s="187" t="s">
        <v>14</v>
      </c>
      <c r="I535" s="54"/>
      <c r="J535" s="54"/>
      <c r="K535" s="55"/>
      <c r="L535" s="103">
        <f>L538+L541</f>
        <v>0</v>
      </c>
      <c r="M535" s="102">
        <f>M538+M541</f>
        <v>0</v>
      </c>
      <c r="N535" s="102">
        <f>N538+N541</f>
        <v>0</v>
      </c>
      <c r="O535" s="102">
        <f>IF(L535&gt;0,N535*100/L535,0)</f>
        <v>0</v>
      </c>
      <c r="P535" s="102">
        <f>IF(M535&gt;0,N535*100/M535,0)</f>
        <v>0</v>
      </c>
      <c r="Q535" s="102">
        <f>Q538+Q541</f>
        <v>0</v>
      </c>
      <c r="R535" s="102">
        <f>R538+R541</f>
        <v>0</v>
      </c>
      <c r="S535" s="102">
        <f>S538+S541</f>
        <v>0</v>
      </c>
      <c r="T535" s="102">
        <f>IF(Q535&gt;0,S535*100/Q535,0)</f>
        <v>0</v>
      </c>
      <c r="U535" s="102">
        <f>IF(R535&gt;0,S535*100/R535,0)</f>
        <v>0</v>
      </c>
    </row>
    <row r="536" spans="1:21" ht="18.75" hidden="1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256">
        <f>L539+L542</f>
        <v>0</v>
      </c>
      <c r="M536" s="255">
        <f>M539+M542</f>
        <v>0</v>
      </c>
      <c r="N536" s="255">
        <f>N539+N542</f>
        <v>0</v>
      </c>
      <c r="O536" s="255">
        <f>IF(L536&gt;0,N536*100/L536,0)</f>
        <v>0</v>
      </c>
      <c r="P536" s="255">
        <f>IF(M536&gt;0,N536*100/M536,0)</f>
        <v>0</v>
      </c>
      <c r="Q536" s="255">
        <f>Q539+Q542</f>
        <v>0</v>
      </c>
      <c r="R536" s="255">
        <f>R539+R542</f>
        <v>0</v>
      </c>
      <c r="S536" s="255">
        <f>S539+S542</f>
        <v>0</v>
      </c>
      <c r="T536" s="255">
        <f>IF(Q536&gt;0,S536*100/Q536,0)</f>
        <v>0</v>
      </c>
      <c r="U536" s="255">
        <f>IF(R536&gt;0,S536*100/R536,0)</f>
        <v>0</v>
      </c>
    </row>
    <row r="537" spans="1:21" ht="18.75" hidden="1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256">
        <f>L538+L539</f>
        <v>0</v>
      </c>
      <c r="M537" s="255">
        <f>M538+M539</f>
        <v>0</v>
      </c>
      <c r="N537" s="255">
        <f>N538+N539</f>
        <v>0</v>
      </c>
      <c r="O537" s="255">
        <f>IF(L537&gt;0,N537*100/L537,0)</f>
        <v>0</v>
      </c>
      <c r="P537" s="255">
        <f>IF(M537&gt;0,N537*100/M537,0)</f>
        <v>0</v>
      </c>
      <c r="Q537" s="255">
        <f>Q538+Q539</f>
        <v>0</v>
      </c>
      <c r="R537" s="255">
        <f>R538+R539</f>
        <v>0</v>
      </c>
      <c r="S537" s="255">
        <f>S538+S539</f>
        <v>0</v>
      </c>
      <c r="T537" s="255">
        <f>IF(Q537&gt;0,S537*100/Q537,0)</f>
        <v>0</v>
      </c>
      <c r="U537" s="255">
        <f>IF(R537&gt;0,S537*100/R537,0)</f>
        <v>0</v>
      </c>
    </row>
    <row r="538" spans="1:21" ht="18.75" hidden="1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103">
        <v>0</v>
      </c>
      <c r="M538" s="102">
        <v>0</v>
      </c>
      <c r="N538" s="102">
        <v>0</v>
      </c>
      <c r="O538" s="102">
        <f>IF(L538&gt;0,N538*100/L538,0)</f>
        <v>0</v>
      </c>
      <c r="P538" s="102">
        <f>IF(M538&gt;0,N538*100/M538,0)</f>
        <v>0</v>
      </c>
      <c r="Q538" s="102">
        <v>0</v>
      </c>
      <c r="R538" s="102">
        <v>0</v>
      </c>
      <c r="S538" s="102">
        <v>0</v>
      </c>
      <c r="T538" s="102">
        <f>IF(Q538&gt;0,S538*100/Q538,0)</f>
        <v>0</v>
      </c>
      <c r="U538" s="102">
        <f>IF(R538&gt;0,S538*100/R538,0)</f>
        <v>0</v>
      </c>
    </row>
    <row r="539" spans="1:21" ht="18.75" hidden="1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256">
        <v>0</v>
      </c>
      <c r="M539" s="255">
        <v>0</v>
      </c>
      <c r="N539" s="255">
        <v>0</v>
      </c>
      <c r="O539" s="255">
        <f>IF(L539&gt;0,N539*100/L539,0)</f>
        <v>0</v>
      </c>
      <c r="P539" s="255">
        <f>IF(M539&gt;0,N539*100/M539,0)</f>
        <v>0</v>
      </c>
      <c r="Q539" s="255">
        <v>0</v>
      </c>
      <c r="R539" s="255">
        <v>0</v>
      </c>
      <c r="S539" s="255">
        <v>0</v>
      </c>
      <c r="T539" s="255">
        <f>IF(Q539&gt;0,S539*100/Q539,0)</f>
        <v>0</v>
      </c>
      <c r="U539" s="255">
        <f>IF(R539&gt;0,S539*100/R539,0)</f>
        <v>0</v>
      </c>
    </row>
    <row r="540" spans="1:21" ht="18.75" hidden="1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256">
        <f>L541+L542</f>
        <v>0</v>
      </c>
      <c r="M540" s="255">
        <f>M541+M542</f>
        <v>0</v>
      </c>
      <c r="N540" s="255">
        <f>N541+N542</f>
        <v>0</v>
      </c>
      <c r="O540" s="255">
        <f>IF(L540&gt;0,N540*100/L540,0)</f>
        <v>0</v>
      </c>
      <c r="P540" s="255">
        <f>IF(M540&gt;0,N540*100/M540,0)</f>
        <v>0</v>
      </c>
      <c r="Q540" s="255">
        <f>Q541+Q542</f>
        <v>0</v>
      </c>
      <c r="R540" s="255">
        <f>R541+R542</f>
        <v>0</v>
      </c>
      <c r="S540" s="255">
        <f>S541+S542</f>
        <v>0</v>
      </c>
      <c r="T540" s="255">
        <f>IF(Q540&gt;0,S540*100/Q540,0)</f>
        <v>0</v>
      </c>
      <c r="U540" s="255">
        <f>IF(R540&gt;0,S540*100/R540,0)</f>
        <v>0</v>
      </c>
    </row>
    <row r="541" spans="1:21" ht="18.75" hidden="1">
      <c r="A541" s="155"/>
      <c r="B541" s="50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103">
        <v>0</v>
      </c>
      <c r="M541" s="102">
        <v>0</v>
      </c>
      <c r="N541" s="102">
        <v>0</v>
      </c>
      <c r="O541" s="102">
        <f>IF(L541&gt;0,N541*100/L541,0)</f>
        <v>0</v>
      </c>
      <c r="P541" s="102">
        <f>IF(M541&gt;0,N541*100/M541,0)</f>
        <v>0</v>
      </c>
      <c r="Q541" s="102">
        <v>0</v>
      </c>
      <c r="R541" s="102">
        <v>0</v>
      </c>
      <c r="S541" s="102">
        <v>0</v>
      </c>
      <c r="T541" s="102">
        <f>IF(Q541&gt;0,S541*100/Q541,0)</f>
        <v>0</v>
      </c>
      <c r="U541" s="102">
        <f>IF(R541&gt;0,S541*100/R541,0)</f>
        <v>0</v>
      </c>
    </row>
    <row r="542" spans="1:21" ht="18.75" hidden="1">
      <c r="A542" s="155"/>
      <c r="B542" s="50"/>
      <c r="C542" s="50"/>
      <c r="D542" s="50"/>
      <c r="E542" s="58" t="s">
        <v>21</v>
      </c>
      <c r="F542" s="50"/>
      <c r="G542" s="52"/>
      <c r="H542" s="165" t="s">
        <v>14</v>
      </c>
      <c r="I542" s="163"/>
      <c r="J542" s="163"/>
      <c r="K542" s="164"/>
      <c r="L542" s="256">
        <v>0</v>
      </c>
      <c r="M542" s="255">
        <v>0</v>
      </c>
      <c r="N542" s="255">
        <v>0</v>
      </c>
      <c r="O542" s="255">
        <f>IF(L542&gt;0,N542*100/L542,0)</f>
        <v>0</v>
      </c>
      <c r="P542" s="255">
        <f>IF(M542&gt;0,N542*100/M542,0)</f>
        <v>0</v>
      </c>
      <c r="Q542" s="255">
        <v>0</v>
      </c>
      <c r="R542" s="255">
        <v>0</v>
      </c>
      <c r="S542" s="255">
        <v>0</v>
      </c>
      <c r="T542" s="255">
        <f>IF(Q542&gt;0,S542*100/Q542,0)</f>
        <v>0</v>
      </c>
      <c r="U542" s="255">
        <f>IF(R542&gt;0,S542*100/R542,0)</f>
        <v>0</v>
      </c>
    </row>
    <row r="543" spans="1:21" ht="19.5" hidden="1">
      <c r="A543" s="166"/>
      <c r="B543" s="167"/>
      <c r="C543" s="411" t="s">
        <v>18</v>
      </c>
      <c r="D543" s="566" t="s">
        <v>38</v>
      </c>
      <c r="E543" s="169"/>
      <c r="F543" s="169"/>
      <c r="G543" s="170"/>
      <c r="H543" s="171"/>
      <c r="I543" s="163"/>
      <c r="J543" s="54"/>
      <c r="K543" s="55"/>
      <c r="L543" s="62"/>
      <c r="M543" s="55"/>
      <c r="N543" s="55"/>
      <c r="O543" s="164"/>
      <c r="P543" s="164"/>
      <c r="Q543" s="55"/>
      <c r="R543" s="55"/>
      <c r="S543" s="55"/>
      <c r="T543" s="164"/>
      <c r="U543" s="164"/>
    </row>
    <row r="544" spans="1:21" ht="12.75" hidden="1">
      <c r="A544" s="258"/>
      <c r="B544" s="260"/>
      <c r="C544" s="259"/>
      <c r="D544" s="260"/>
      <c r="E544" s="259"/>
      <c r="F544" s="260"/>
      <c r="G544" s="261"/>
      <c r="H544" s="261"/>
      <c r="I544" s="263"/>
      <c r="J544" s="263"/>
      <c r="K544" s="264"/>
      <c r="L544" s="265"/>
      <c r="M544" s="264"/>
      <c r="N544" s="264"/>
      <c r="O544" s="264"/>
      <c r="P544" s="264"/>
      <c r="Q544" s="264"/>
      <c r="R544" s="264"/>
      <c r="S544" s="264"/>
      <c r="T544" s="264"/>
      <c r="U544" s="264"/>
    </row>
    <row r="545" spans="1:21" ht="12.75" hidden="1">
      <c r="A545" s="258"/>
      <c r="B545" s="260"/>
      <c r="C545" s="259"/>
      <c r="D545" s="260"/>
      <c r="E545" s="259"/>
      <c r="F545" s="260"/>
      <c r="G545" s="261"/>
      <c r="H545" s="261"/>
      <c r="I545" s="263"/>
      <c r="J545" s="263"/>
      <c r="K545" s="264"/>
      <c r="L545" s="265"/>
      <c r="M545" s="264"/>
      <c r="N545" s="264"/>
      <c r="O545" s="264"/>
      <c r="P545" s="264"/>
      <c r="Q545" s="264"/>
      <c r="R545" s="264"/>
      <c r="S545" s="264"/>
      <c r="T545" s="264"/>
      <c r="U545" s="264"/>
    </row>
    <row r="546" spans="1:21" ht="12.75" hidden="1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5"/>
      <c r="M546" s="264"/>
      <c r="N546" s="264"/>
      <c r="O546" s="264"/>
      <c r="P546" s="264"/>
      <c r="Q546" s="264"/>
      <c r="R546" s="264"/>
      <c r="S546" s="264"/>
      <c r="T546" s="264"/>
      <c r="U546" s="264"/>
    </row>
    <row r="547" spans="1:21" ht="12.75" hidden="1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5"/>
      <c r="M547" s="264"/>
      <c r="N547" s="264"/>
      <c r="O547" s="264"/>
      <c r="P547" s="264"/>
      <c r="Q547" s="264"/>
      <c r="R547" s="264"/>
      <c r="S547" s="264"/>
      <c r="T547" s="264"/>
      <c r="U547" s="264"/>
    </row>
    <row r="548" spans="1:21" ht="12.75" hidden="1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5"/>
      <c r="M548" s="264"/>
      <c r="N548" s="264"/>
      <c r="O548" s="264"/>
      <c r="P548" s="264"/>
      <c r="Q548" s="264"/>
      <c r="R548" s="264"/>
      <c r="S548" s="264"/>
      <c r="T548" s="264"/>
      <c r="U548" s="264"/>
    </row>
    <row r="549" spans="1:21" ht="12.75" hidden="1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5"/>
      <c r="M549" s="264"/>
      <c r="N549" s="264"/>
      <c r="O549" s="264"/>
      <c r="P549" s="264"/>
      <c r="Q549" s="264"/>
      <c r="R549" s="264"/>
      <c r="S549" s="264"/>
      <c r="T549" s="264"/>
      <c r="U549" s="264"/>
    </row>
    <row r="550" spans="1:21" ht="12.75" hidden="1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5"/>
      <c r="M550" s="264"/>
      <c r="N550" s="264"/>
      <c r="O550" s="264"/>
      <c r="P550" s="264"/>
      <c r="Q550" s="264"/>
      <c r="R550" s="264"/>
      <c r="S550" s="264"/>
      <c r="T550" s="264"/>
      <c r="U550" s="264"/>
    </row>
    <row r="551" spans="1:21" ht="12.75" hidden="1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5"/>
      <c r="M551" s="264"/>
      <c r="N551" s="264"/>
      <c r="O551" s="264"/>
      <c r="P551" s="264"/>
      <c r="Q551" s="264"/>
      <c r="R551" s="264"/>
      <c r="S551" s="264"/>
      <c r="T551" s="264"/>
      <c r="U551" s="264"/>
    </row>
    <row r="552" spans="1:21" ht="12.75" hidden="1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5"/>
      <c r="M552" s="264"/>
      <c r="N552" s="264"/>
      <c r="O552" s="264"/>
      <c r="P552" s="264"/>
      <c r="Q552" s="264"/>
      <c r="R552" s="264"/>
      <c r="S552" s="264"/>
      <c r="T552" s="264"/>
      <c r="U552" s="264"/>
    </row>
    <row r="553" spans="1:21" ht="12.75" hidden="1">
      <c r="A553" s="407"/>
      <c r="B553" s="360"/>
      <c r="C553" s="360"/>
      <c r="D553" s="408"/>
      <c r="E553" s="408"/>
      <c r="F553" s="408"/>
      <c r="G553" s="409"/>
      <c r="H553" s="361"/>
      <c r="I553" s="362"/>
      <c r="J553" s="362"/>
      <c r="K553" s="363"/>
      <c r="L553" s="364"/>
      <c r="M553" s="363"/>
      <c r="N553" s="363"/>
      <c r="O553" s="363"/>
      <c r="P553" s="363"/>
      <c r="Q553" s="363"/>
      <c r="R553" s="363"/>
      <c r="S553" s="363"/>
      <c r="T553" s="363"/>
      <c r="U553" s="363"/>
    </row>
    <row r="554" spans="1:21" ht="19.5" hidden="1">
      <c r="A554" s="395"/>
      <c r="B554" s="396" t="s">
        <v>212</v>
      </c>
      <c r="C554" s="397"/>
      <c r="D554" s="398"/>
      <c r="E554" s="398"/>
      <c r="F554" s="398"/>
      <c r="G554" s="399"/>
      <c r="H554" s="410" t="s">
        <v>61</v>
      </c>
      <c r="I554" s="577">
        <f>I566</f>
        <v>0</v>
      </c>
      <c r="J554" s="577">
        <f>J566</f>
        <v>0</v>
      </c>
      <c r="K554" s="576">
        <f>IF(I554&gt;0,J554*100/I554,0)</f>
        <v>0</v>
      </c>
      <c r="L554" s="404"/>
      <c r="M554" s="403"/>
      <c r="N554" s="403"/>
      <c r="O554" s="403"/>
      <c r="P554" s="403"/>
      <c r="Q554" s="403"/>
      <c r="R554" s="403"/>
      <c r="S554" s="403"/>
      <c r="T554" s="403"/>
      <c r="U554" s="403"/>
    </row>
    <row r="555" spans="1:21" ht="19.5" hidden="1">
      <c r="A555" s="155"/>
      <c r="B555" s="50"/>
      <c r="C555" s="156" t="s">
        <v>18</v>
      </c>
      <c r="D555" s="575" t="s">
        <v>19</v>
      </c>
      <c r="E555" s="50"/>
      <c r="F555" s="50"/>
      <c r="G555" s="52"/>
      <c r="H555" s="158" t="s">
        <v>14</v>
      </c>
      <c r="I555" s="54"/>
      <c r="J555" s="54"/>
      <c r="K555" s="55"/>
      <c r="L555" s="541">
        <f>L556+L557</f>
        <v>0</v>
      </c>
      <c r="M555" s="540">
        <f>M556+M557</f>
        <v>0</v>
      </c>
      <c r="N555" s="540">
        <f>N556+N557</f>
        <v>0</v>
      </c>
      <c r="O555" s="540">
        <f>IF(L555&gt;0,N555*100/L555,0)</f>
        <v>0</v>
      </c>
      <c r="P555" s="540">
        <f>IF(M555&gt;0,N555*100/M555,0)</f>
        <v>0</v>
      </c>
      <c r="Q555" s="540">
        <f>Q556+Q557</f>
        <v>0</v>
      </c>
      <c r="R555" s="540">
        <f>R556+R557</f>
        <v>0</v>
      </c>
      <c r="S555" s="540">
        <f>S556+S557</f>
        <v>0</v>
      </c>
      <c r="T555" s="540">
        <f>IF(Q555&gt;0,S555*100/Q555,0)</f>
        <v>0</v>
      </c>
      <c r="U555" s="540">
        <f>IF(R555&gt;0,S555*100/R555,0)</f>
        <v>0</v>
      </c>
    </row>
    <row r="556" spans="1:21" ht="18.75" hidden="1">
      <c r="A556" s="155"/>
      <c r="B556" s="188"/>
      <c r="C556" s="50"/>
      <c r="D556" s="50"/>
      <c r="E556" s="186" t="s">
        <v>20</v>
      </c>
      <c r="F556" s="50"/>
      <c r="G556" s="52"/>
      <c r="H556" s="187" t="s">
        <v>14</v>
      </c>
      <c r="I556" s="54"/>
      <c r="J556" s="54"/>
      <c r="K556" s="55"/>
      <c r="L556" s="103">
        <f>L559+L562</f>
        <v>0</v>
      </c>
      <c r="M556" s="102">
        <f>M559+M562</f>
        <v>0</v>
      </c>
      <c r="N556" s="102">
        <f>N559+N562</f>
        <v>0</v>
      </c>
      <c r="O556" s="102">
        <f>IF(L556&gt;0,N556*100/L556,0)</f>
        <v>0</v>
      </c>
      <c r="P556" s="102">
        <f>IF(M556&gt;0,N556*100/M556,0)</f>
        <v>0</v>
      </c>
      <c r="Q556" s="102">
        <f>Q559+Q562</f>
        <v>0</v>
      </c>
      <c r="R556" s="102">
        <f>R559+R562</f>
        <v>0</v>
      </c>
      <c r="S556" s="102">
        <f>S559+S562</f>
        <v>0</v>
      </c>
      <c r="T556" s="102">
        <f>IF(Q556&gt;0,S556*100/Q556,0)</f>
        <v>0</v>
      </c>
      <c r="U556" s="102">
        <f>IF(R556&gt;0,S556*100/R556,0)</f>
        <v>0</v>
      </c>
    </row>
    <row r="557" spans="1:21" ht="18.75" hidden="1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256">
        <f>L560+L563</f>
        <v>0</v>
      </c>
      <c r="M557" s="255">
        <f>M560+M563</f>
        <v>0</v>
      </c>
      <c r="N557" s="255">
        <f>N560+N563</f>
        <v>0</v>
      </c>
      <c r="O557" s="255">
        <f>IF(L557&gt;0,N557*100/L557,0)</f>
        <v>0</v>
      </c>
      <c r="P557" s="255">
        <f>IF(M557&gt;0,N557*100/M557,0)</f>
        <v>0</v>
      </c>
      <c r="Q557" s="255">
        <f>Q560+Q563</f>
        <v>0</v>
      </c>
      <c r="R557" s="255">
        <f>R560+R563</f>
        <v>0</v>
      </c>
      <c r="S557" s="255">
        <f>S560+S563</f>
        <v>0</v>
      </c>
      <c r="T557" s="255">
        <f>IF(Q557&gt;0,S557*100/Q557,0)</f>
        <v>0</v>
      </c>
      <c r="U557" s="255">
        <f>IF(R557&gt;0,S557*100/R557,0)</f>
        <v>0</v>
      </c>
    </row>
    <row r="558" spans="1:21" ht="18.75" hidden="1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256">
        <f>L559+L560</f>
        <v>0</v>
      </c>
      <c r="M558" s="255">
        <f>M559+M560</f>
        <v>0</v>
      </c>
      <c r="N558" s="255">
        <f>N559+N560</f>
        <v>0</v>
      </c>
      <c r="O558" s="255">
        <f>IF(L558&gt;0,N558*100/L558,0)</f>
        <v>0</v>
      </c>
      <c r="P558" s="255">
        <f>IF(M558&gt;0,N558*100/M558,0)</f>
        <v>0</v>
      </c>
      <c r="Q558" s="255">
        <f>Q559+Q560</f>
        <v>0</v>
      </c>
      <c r="R558" s="255">
        <f>R559+R560</f>
        <v>0</v>
      </c>
      <c r="S558" s="255">
        <f>S559+S560</f>
        <v>0</v>
      </c>
      <c r="T558" s="255">
        <f>IF(Q558&gt;0,S558*100/Q558,0)</f>
        <v>0</v>
      </c>
      <c r="U558" s="255">
        <f>IF(R558&gt;0,S558*100/R558,0)</f>
        <v>0</v>
      </c>
    </row>
    <row r="559" spans="1:21" ht="18.75" hidden="1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103">
        <v>0</v>
      </c>
      <c r="M559" s="102">
        <v>0</v>
      </c>
      <c r="N559" s="102">
        <v>0</v>
      </c>
      <c r="O559" s="102">
        <f>IF(L559&gt;0,N559*100/L559,0)</f>
        <v>0</v>
      </c>
      <c r="P559" s="102">
        <f>IF(M559&gt;0,N559*100/M559,0)</f>
        <v>0</v>
      </c>
      <c r="Q559" s="102">
        <v>0</v>
      </c>
      <c r="R559" s="102">
        <v>0</v>
      </c>
      <c r="S559" s="102">
        <v>0</v>
      </c>
      <c r="T559" s="102">
        <f>IF(Q559&gt;0,S559*100/Q559,0)</f>
        <v>0</v>
      </c>
      <c r="U559" s="102">
        <f>IF(R559&gt;0,S559*100/R559,0)</f>
        <v>0</v>
      </c>
    </row>
    <row r="560" spans="1:21" ht="18.75" hidden="1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256">
        <v>0</v>
      </c>
      <c r="M560" s="255">
        <v>0</v>
      </c>
      <c r="N560" s="255">
        <v>0</v>
      </c>
      <c r="O560" s="255">
        <f>IF(L560&gt;0,N560*100/L560,0)</f>
        <v>0</v>
      </c>
      <c r="P560" s="255">
        <f>IF(M560&gt;0,N560*100/M560,0)</f>
        <v>0</v>
      </c>
      <c r="Q560" s="255">
        <v>0</v>
      </c>
      <c r="R560" s="255">
        <v>0</v>
      </c>
      <c r="S560" s="255">
        <v>0</v>
      </c>
      <c r="T560" s="255">
        <f>IF(Q560&gt;0,S560*100/Q560,0)</f>
        <v>0</v>
      </c>
      <c r="U560" s="255">
        <f>IF(R560&gt;0,S560*100/R560,0)</f>
        <v>0</v>
      </c>
    </row>
    <row r="561" spans="1:21" ht="18.75" hidden="1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256">
        <f>L562+L563</f>
        <v>0</v>
      </c>
      <c r="M561" s="255">
        <f>M562+M563</f>
        <v>0</v>
      </c>
      <c r="N561" s="255">
        <f>N562+N563</f>
        <v>0</v>
      </c>
      <c r="O561" s="255">
        <f>IF(L561&gt;0,N561*100/L561,0)</f>
        <v>0</v>
      </c>
      <c r="P561" s="255">
        <f>IF(M561&gt;0,N561*100/M561,0)</f>
        <v>0</v>
      </c>
      <c r="Q561" s="255">
        <f>Q562+Q563</f>
        <v>0</v>
      </c>
      <c r="R561" s="255">
        <f>R562+R563</f>
        <v>0</v>
      </c>
      <c r="S561" s="255">
        <f>S562+S563</f>
        <v>0</v>
      </c>
      <c r="T561" s="255">
        <f>IF(Q561&gt;0,S561*100/Q561,0)</f>
        <v>0</v>
      </c>
      <c r="U561" s="255">
        <f>IF(R561&gt;0,S561*100/R561,0)</f>
        <v>0</v>
      </c>
    </row>
    <row r="562" spans="1:21" ht="18.75" hidden="1">
      <c r="A562" s="155"/>
      <c r="B562" s="50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103">
        <v>0</v>
      </c>
      <c r="M562" s="102">
        <v>0</v>
      </c>
      <c r="N562" s="102">
        <v>0</v>
      </c>
      <c r="O562" s="102">
        <f>IF(L562&gt;0,N562*100/L562,0)</f>
        <v>0</v>
      </c>
      <c r="P562" s="102">
        <f>IF(M562&gt;0,N562*100/M562,0)</f>
        <v>0</v>
      </c>
      <c r="Q562" s="102">
        <v>0</v>
      </c>
      <c r="R562" s="102">
        <v>0</v>
      </c>
      <c r="S562" s="102">
        <v>0</v>
      </c>
      <c r="T562" s="102">
        <f>IF(Q562&gt;0,S562*100/Q562,0)</f>
        <v>0</v>
      </c>
      <c r="U562" s="102">
        <f>IF(R562&gt;0,S562*100/R562,0)</f>
        <v>0</v>
      </c>
    </row>
    <row r="563" spans="1:21" ht="18.75" hidden="1">
      <c r="A563" s="155"/>
      <c r="B563" s="50"/>
      <c r="C563" s="50"/>
      <c r="D563" s="50"/>
      <c r="E563" s="58" t="s">
        <v>21</v>
      </c>
      <c r="F563" s="50"/>
      <c r="G563" s="52"/>
      <c r="H563" s="165" t="s">
        <v>14</v>
      </c>
      <c r="I563" s="163"/>
      <c r="J563" s="163"/>
      <c r="K563" s="164"/>
      <c r="L563" s="256">
        <v>0</v>
      </c>
      <c r="M563" s="255">
        <v>0</v>
      </c>
      <c r="N563" s="255">
        <v>0</v>
      </c>
      <c r="O563" s="255">
        <f>IF(L563&gt;0,N563*100/L563,0)</f>
        <v>0</v>
      </c>
      <c r="P563" s="255">
        <f>IF(M563&gt;0,N563*100/M563,0)</f>
        <v>0</v>
      </c>
      <c r="Q563" s="255">
        <v>0</v>
      </c>
      <c r="R563" s="255">
        <v>0</v>
      </c>
      <c r="S563" s="255">
        <v>0</v>
      </c>
      <c r="T563" s="255">
        <f>IF(Q563&gt;0,S563*100/Q563,0)</f>
        <v>0</v>
      </c>
      <c r="U563" s="255">
        <f>IF(R563&gt;0,S563*100/R563,0)</f>
        <v>0</v>
      </c>
    </row>
    <row r="564" spans="1:21" ht="19.5" hidden="1">
      <c r="A564" s="166"/>
      <c r="B564" s="167"/>
      <c r="C564" s="411" t="s">
        <v>18</v>
      </c>
      <c r="D564" s="566" t="s">
        <v>38</v>
      </c>
      <c r="E564" s="169"/>
      <c r="F564" s="169"/>
      <c r="G564" s="170"/>
      <c r="H564" s="171"/>
      <c r="I564" s="163"/>
      <c r="J564" s="54"/>
      <c r="K564" s="55"/>
      <c r="L564" s="62"/>
      <c r="M564" s="55"/>
      <c r="N564" s="55"/>
      <c r="O564" s="164"/>
      <c r="P564" s="164"/>
      <c r="Q564" s="55"/>
      <c r="R564" s="55"/>
      <c r="S564" s="55"/>
      <c r="T564" s="164"/>
      <c r="U564" s="164"/>
    </row>
    <row r="565" spans="1:21" ht="12.75" hidden="1">
      <c r="A565" s="258"/>
      <c r="B565" s="260"/>
      <c r="C565" s="259"/>
      <c r="D565" s="260"/>
      <c r="E565" s="259"/>
      <c r="F565" s="260"/>
      <c r="G565" s="261"/>
      <c r="H565" s="261"/>
      <c r="I565" s="263"/>
      <c r="J565" s="263"/>
      <c r="K565" s="264"/>
      <c r="L565" s="265"/>
      <c r="M565" s="264"/>
      <c r="N565" s="264"/>
      <c r="O565" s="264"/>
      <c r="P565" s="264"/>
      <c r="Q565" s="264"/>
      <c r="R565" s="264"/>
      <c r="S565" s="264"/>
      <c r="T565" s="264"/>
      <c r="U565" s="264"/>
    </row>
    <row r="566" spans="1:21" ht="12.75" hidden="1">
      <c r="A566" s="258"/>
      <c r="B566" s="260"/>
      <c r="C566" s="259"/>
      <c r="D566" s="260"/>
      <c r="E566" s="259"/>
      <c r="F566" s="260"/>
      <c r="G566" s="261"/>
      <c r="H566" s="261"/>
      <c r="I566" s="263"/>
      <c r="J566" s="263"/>
      <c r="K566" s="264"/>
      <c r="L566" s="265"/>
      <c r="M566" s="264"/>
      <c r="N566" s="264"/>
      <c r="O566" s="264"/>
      <c r="P566" s="264"/>
      <c r="Q566" s="264"/>
      <c r="R566" s="264"/>
      <c r="S566" s="264"/>
      <c r="T566" s="264"/>
      <c r="U566" s="264"/>
    </row>
    <row r="567" spans="1:21" ht="12.75" hidden="1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5"/>
      <c r="M567" s="264"/>
      <c r="N567" s="264"/>
      <c r="O567" s="264"/>
      <c r="P567" s="264"/>
      <c r="Q567" s="264"/>
      <c r="R567" s="264"/>
      <c r="S567" s="264"/>
      <c r="T567" s="264"/>
      <c r="U567" s="264"/>
    </row>
    <row r="568" spans="1:21" ht="12.75" hidden="1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5"/>
      <c r="M568" s="264"/>
      <c r="N568" s="264"/>
      <c r="O568" s="264"/>
      <c r="P568" s="264"/>
      <c r="Q568" s="264"/>
      <c r="R568" s="264"/>
      <c r="S568" s="264"/>
      <c r="T568" s="264"/>
      <c r="U568" s="264"/>
    </row>
    <row r="569" spans="1:21" ht="12.75" hidden="1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5"/>
      <c r="M569" s="264"/>
      <c r="N569" s="264"/>
      <c r="O569" s="264"/>
      <c r="P569" s="264"/>
      <c r="Q569" s="264"/>
      <c r="R569" s="264"/>
      <c r="S569" s="264"/>
      <c r="T569" s="264"/>
      <c r="U569" s="264"/>
    </row>
    <row r="570" spans="1:21" ht="12.75" hidden="1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5"/>
      <c r="M570" s="264"/>
      <c r="N570" s="264"/>
      <c r="O570" s="264"/>
      <c r="P570" s="264"/>
      <c r="Q570" s="264"/>
      <c r="R570" s="264"/>
      <c r="S570" s="264"/>
      <c r="T570" s="264"/>
      <c r="U570" s="264"/>
    </row>
    <row r="571" spans="1:21" ht="12.75" hidden="1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5"/>
      <c r="M571" s="264"/>
      <c r="N571" s="264"/>
      <c r="O571" s="264"/>
      <c r="P571" s="264"/>
      <c r="Q571" s="264"/>
      <c r="R571" s="264"/>
      <c r="S571" s="264"/>
      <c r="T571" s="264"/>
      <c r="U571" s="264"/>
    </row>
    <row r="572" spans="1:21" ht="12.75" hidden="1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5"/>
      <c r="M572" s="264"/>
      <c r="N572" s="264"/>
      <c r="O572" s="264"/>
      <c r="P572" s="264"/>
      <c r="Q572" s="264"/>
      <c r="R572" s="264"/>
      <c r="S572" s="264"/>
      <c r="T572" s="264"/>
      <c r="U572" s="264"/>
    </row>
    <row r="573" spans="1:21" ht="12.75" hidden="1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5"/>
      <c r="M573" s="264"/>
      <c r="N573" s="264"/>
      <c r="O573" s="264"/>
      <c r="P573" s="264"/>
      <c r="Q573" s="264"/>
      <c r="R573" s="264"/>
      <c r="S573" s="264"/>
      <c r="T573" s="264"/>
      <c r="U573" s="264"/>
    </row>
    <row r="574" spans="1:21" ht="12.75" hidden="1">
      <c r="A574" s="407"/>
      <c r="B574" s="360"/>
      <c r="C574" s="360"/>
      <c r="D574" s="408"/>
      <c r="E574" s="408"/>
      <c r="F574" s="408"/>
      <c r="G574" s="409"/>
      <c r="H574" s="361"/>
      <c r="I574" s="362"/>
      <c r="J574" s="362"/>
      <c r="K574" s="363"/>
      <c r="L574" s="364"/>
      <c r="M574" s="363"/>
      <c r="N574" s="363"/>
      <c r="O574" s="363"/>
      <c r="P574" s="363"/>
      <c r="Q574" s="363"/>
      <c r="R574" s="363"/>
      <c r="S574" s="363"/>
      <c r="T574" s="363"/>
      <c r="U574" s="363"/>
    </row>
    <row r="575" spans="1:21" ht="19.5" hidden="1">
      <c r="A575" s="395"/>
      <c r="B575" s="396" t="s">
        <v>213</v>
      </c>
      <c r="C575" s="397"/>
      <c r="D575" s="398"/>
      <c r="E575" s="398"/>
      <c r="F575" s="398"/>
      <c r="G575" s="399"/>
      <c r="H575" s="410" t="s">
        <v>61</v>
      </c>
      <c r="I575" s="577">
        <f>I587</f>
        <v>0</v>
      </c>
      <c r="J575" s="577">
        <f>J587</f>
        <v>0</v>
      </c>
      <c r="K575" s="576">
        <f>IF(I575&gt;0,J575*100/I575,0)</f>
        <v>0</v>
      </c>
      <c r="L575" s="404"/>
      <c r="M575" s="403"/>
      <c r="N575" s="403"/>
      <c r="O575" s="403"/>
      <c r="P575" s="403"/>
      <c r="Q575" s="403"/>
      <c r="R575" s="403"/>
      <c r="S575" s="403"/>
      <c r="T575" s="403"/>
      <c r="U575" s="403"/>
    </row>
    <row r="576" spans="1:21" ht="19.5" hidden="1">
      <c r="A576" s="155"/>
      <c r="B576" s="50"/>
      <c r="C576" s="156" t="s">
        <v>18</v>
      </c>
      <c r="D576" s="575" t="s">
        <v>19</v>
      </c>
      <c r="E576" s="50"/>
      <c r="F576" s="50"/>
      <c r="G576" s="52"/>
      <c r="H576" s="158" t="s">
        <v>14</v>
      </c>
      <c r="I576" s="54"/>
      <c r="J576" s="54"/>
      <c r="K576" s="55"/>
      <c r="L576" s="541">
        <f>L577+L578</f>
        <v>0</v>
      </c>
      <c r="M576" s="540">
        <f>M577+M578</f>
        <v>0</v>
      </c>
      <c r="N576" s="540">
        <f>N577+N578</f>
        <v>0</v>
      </c>
      <c r="O576" s="540">
        <f>IF(L576&gt;0,N576*100/L576,0)</f>
        <v>0</v>
      </c>
      <c r="P576" s="540">
        <f>IF(M576&gt;0,N576*100/M576,0)</f>
        <v>0</v>
      </c>
      <c r="Q576" s="540">
        <f>Q577+Q578</f>
        <v>0</v>
      </c>
      <c r="R576" s="540">
        <f>R577+R578</f>
        <v>0</v>
      </c>
      <c r="S576" s="540">
        <f>S577+S578</f>
        <v>0</v>
      </c>
      <c r="T576" s="540">
        <f>IF(Q576&gt;0,S576*100/Q576,0)</f>
        <v>0</v>
      </c>
      <c r="U576" s="540">
        <f>IF(R576&gt;0,S576*100/R576,0)</f>
        <v>0</v>
      </c>
    </row>
    <row r="577" spans="1:21" ht="18.75" hidden="1">
      <c r="A577" s="155"/>
      <c r="B577" s="188"/>
      <c r="C577" s="50"/>
      <c r="D577" s="50"/>
      <c r="E577" s="186" t="s">
        <v>20</v>
      </c>
      <c r="F577" s="50"/>
      <c r="G577" s="52"/>
      <c r="H577" s="187" t="s">
        <v>14</v>
      </c>
      <c r="I577" s="54"/>
      <c r="J577" s="54"/>
      <c r="K577" s="55"/>
      <c r="L577" s="103">
        <f>L580+L583</f>
        <v>0</v>
      </c>
      <c r="M577" s="102">
        <f>M580+M583</f>
        <v>0</v>
      </c>
      <c r="N577" s="102">
        <f>N580+N583</f>
        <v>0</v>
      </c>
      <c r="O577" s="102">
        <f>IF(L577&gt;0,N577*100/L577,0)</f>
        <v>0</v>
      </c>
      <c r="P577" s="102">
        <f>IF(M577&gt;0,N577*100/M577,0)</f>
        <v>0</v>
      </c>
      <c r="Q577" s="102">
        <f>Q580+Q583</f>
        <v>0</v>
      </c>
      <c r="R577" s="102">
        <f>R580+R583</f>
        <v>0</v>
      </c>
      <c r="S577" s="102">
        <f>S580+S583</f>
        <v>0</v>
      </c>
      <c r="T577" s="102">
        <f>IF(Q577&gt;0,S577*100/Q577,0)</f>
        <v>0</v>
      </c>
      <c r="U577" s="102">
        <f>IF(R577&gt;0,S577*100/R577,0)</f>
        <v>0</v>
      </c>
    </row>
    <row r="578" spans="1:21" ht="18.75" hidden="1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256">
        <f>L581+L584</f>
        <v>0</v>
      </c>
      <c r="M578" s="255">
        <f>M581+M584</f>
        <v>0</v>
      </c>
      <c r="N578" s="255">
        <f>N581+N584</f>
        <v>0</v>
      </c>
      <c r="O578" s="255">
        <f>IF(L578&gt;0,N578*100/L578,0)</f>
        <v>0</v>
      </c>
      <c r="P578" s="255">
        <f>IF(M578&gt;0,N578*100/M578,0)</f>
        <v>0</v>
      </c>
      <c r="Q578" s="255">
        <f>Q581+Q584</f>
        <v>0</v>
      </c>
      <c r="R578" s="255">
        <f>R581+R584</f>
        <v>0</v>
      </c>
      <c r="S578" s="255">
        <f>S581+S584</f>
        <v>0</v>
      </c>
      <c r="T578" s="255">
        <f>IF(Q578&gt;0,S578*100/Q578,0)</f>
        <v>0</v>
      </c>
      <c r="U578" s="255">
        <f>IF(R578&gt;0,S578*100/R578,0)</f>
        <v>0</v>
      </c>
    </row>
    <row r="579" spans="1:21" ht="18.75" hidden="1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256">
        <f>L580+L581</f>
        <v>0</v>
      </c>
      <c r="M579" s="255">
        <f>M580+M581</f>
        <v>0</v>
      </c>
      <c r="N579" s="255">
        <f>N580+N581</f>
        <v>0</v>
      </c>
      <c r="O579" s="255">
        <f>IF(L579&gt;0,N579*100/L579,0)</f>
        <v>0</v>
      </c>
      <c r="P579" s="255">
        <f>IF(M579&gt;0,N579*100/M579,0)</f>
        <v>0</v>
      </c>
      <c r="Q579" s="255">
        <f>Q580+Q581</f>
        <v>0</v>
      </c>
      <c r="R579" s="255">
        <f>R580+R581</f>
        <v>0</v>
      </c>
      <c r="S579" s="255">
        <f>S580+S581</f>
        <v>0</v>
      </c>
      <c r="T579" s="255">
        <f>IF(Q579&gt;0,S579*100/Q579,0)</f>
        <v>0</v>
      </c>
      <c r="U579" s="255">
        <f>IF(R579&gt;0,S579*100/R579,0)</f>
        <v>0</v>
      </c>
    </row>
    <row r="580" spans="1:21" ht="18.75" hidden="1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103">
        <v>0</v>
      </c>
      <c r="M580" s="102">
        <v>0</v>
      </c>
      <c r="N580" s="102">
        <v>0</v>
      </c>
      <c r="O580" s="102">
        <f>IF(L580&gt;0,N580*100/L580,0)</f>
        <v>0</v>
      </c>
      <c r="P580" s="102">
        <f>IF(M580&gt;0,N580*100/M580,0)</f>
        <v>0</v>
      </c>
      <c r="Q580" s="102">
        <v>0</v>
      </c>
      <c r="R580" s="102">
        <v>0</v>
      </c>
      <c r="S580" s="102">
        <v>0</v>
      </c>
      <c r="T580" s="102">
        <f>IF(Q580&gt;0,S580*100/Q580,0)</f>
        <v>0</v>
      </c>
      <c r="U580" s="102">
        <f>IF(R580&gt;0,S580*100/R580,0)</f>
        <v>0</v>
      </c>
    </row>
    <row r="581" spans="1:21" ht="18.75" hidden="1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256">
        <v>0</v>
      </c>
      <c r="M581" s="255">
        <v>0</v>
      </c>
      <c r="N581" s="255">
        <v>0</v>
      </c>
      <c r="O581" s="255">
        <f>IF(L581&gt;0,N581*100/L581,0)</f>
        <v>0</v>
      </c>
      <c r="P581" s="255">
        <f>IF(M581&gt;0,N581*100/M581,0)</f>
        <v>0</v>
      </c>
      <c r="Q581" s="255">
        <v>0</v>
      </c>
      <c r="R581" s="255">
        <v>0</v>
      </c>
      <c r="S581" s="255">
        <v>0</v>
      </c>
      <c r="T581" s="255">
        <f>IF(Q581&gt;0,S581*100/Q581,0)</f>
        <v>0</v>
      </c>
      <c r="U581" s="255">
        <f>IF(R581&gt;0,S581*100/R581,0)</f>
        <v>0</v>
      </c>
    </row>
    <row r="582" spans="1:21" ht="18.75" hidden="1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256">
        <f>L583+L584</f>
        <v>0</v>
      </c>
      <c r="M582" s="255">
        <f>M583+M584</f>
        <v>0</v>
      </c>
      <c r="N582" s="255">
        <f>N583+N584</f>
        <v>0</v>
      </c>
      <c r="O582" s="255">
        <f>IF(L582&gt;0,N582*100/L582,0)</f>
        <v>0</v>
      </c>
      <c r="P582" s="255">
        <f>IF(M582&gt;0,N582*100/M582,0)</f>
        <v>0</v>
      </c>
      <c r="Q582" s="255">
        <f>Q583+Q584</f>
        <v>0</v>
      </c>
      <c r="R582" s="255">
        <f>R583+R584</f>
        <v>0</v>
      </c>
      <c r="S582" s="255">
        <f>S583+S584</f>
        <v>0</v>
      </c>
      <c r="T582" s="255">
        <f>IF(Q582&gt;0,S582*100/Q582,0)</f>
        <v>0</v>
      </c>
      <c r="U582" s="255">
        <f>IF(R582&gt;0,S582*100/R582,0)</f>
        <v>0</v>
      </c>
    </row>
    <row r="583" spans="1:21" ht="18.75" hidden="1">
      <c r="A583" s="155"/>
      <c r="B583" s="50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103">
        <v>0</v>
      </c>
      <c r="M583" s="102">
        <v>0</v>
      </c>
      <c r="N583" s="102">
        <v>0</v>
      </c>
      <c r="O583" s="102">
        <f>IF(L583&gt;0,N583*100/L583,0)</f>
        <v>0</v>
      </c>
      <c r="P583" s="102">
        <f>IF(M583&gt;0,N583*100/M583,0)</f>
        <v>0</v>
      </c>
      <c r="Q583" s="102">
        <v>0</v>
      </c>
      <c r="R583" s="102">
        <v>0</v>
      </c>
      <c r="S583" s="102">
        <v>0</v>
      </c>
      <c r="T583" s="102">
        <f>IF(Q583&gt;0,S583*100/Q583,0)</f>
        <v>0</v>
      </c>
      <c r="U583" s="102">
        <f>IF(R583&gt;0,S583*100/R583,0)</f>
        <v>0</v>
      </c>
    </row>
    <row r="584" spans="1:21" ht="18.75" hidden="1">
      <c r="A584" s="155"/>
      <c r="B584" s="50"/>
      <c r="C584" s="50"/>
      <c r="D584" s="50"/>
      <c r="E584" s="58" t="s">
        <v>21</v>
      </c>
      <c r="F584" s="50"/>
      <c r="G584" s="52"/>
      <c r="H584" s="165" t="s">
        <v>14</v>
      </c>
      <c r="I584" s="163"/>
      <c r="J584" s="163"/>
      <c r="K584" s="164"/>
      <c r="L584" s="256">
        <v>0</v>
      </c>
      <c r="M584" s="255">
        <v>0</v>
      </c>
      <c r="N584" s="255">
        <v>0</v>
      </c>
      <c r="O584" s="255">
        <f>IF(L584&gt;0,N584*100/L584,0)</f>
        <v>0</v>
      </c>
      <c r="P584" s="255">
        <f>IF(M584&gt;0,N584*100/M584,0)</f>
        <v>0</v>
      </c>
      <c r="Q584" s="255">
        <v>0</v>
      </c>
      <c r="R584" s="255">
        <v>0</v>
      </c>
      <c r="S584" s="255">
        <v>0</v>
      </c>
      <c r="T584" s="255">
        <f>IF(Q584&gt;0,S584*100/Q584,0)</f>
        <v>0</v>
      </c>
      <c r="U584" s="255">
        <f>IF(R584&gt;0,S584*100/R584,0)</f>
        <v>0</v>
      </c>
    </row>
    <row r="585" spans="1:21" ht="19.5" hidden="1">
      <c r="A585" s="166"/>
      <c r="B585" s="167"/>
      <c r="C585" s="411" t="s">
        <v>18</v>
      </c>
      <c r="D585" s="566" t="s">
        <v>38</v>
      </c>
      <c r="E585" s="169"/>
      <c r="F585" s="169"/>
      <c r="G585" s="170"/>
      <c r="H585" s="171"/>
      <c r="I585" s="163"/>
      <c r="J585" s="54"/>
      <c r="K585" s="55"/>
      <c r="L585" s="62"/>
      <c r="M585" s="55"/>
      <c r="N585" s="55"/>
      <c r="O585" s="164"/>
      <c r="P585" s="164"/>
      <c r="Q585" s="55"/>
      <c r="R585" s="55"/>
      <c r="S585" s="55"/>
      <c r="T585" s="164"/>
      <c r="U585" s="164"/>
    </row>
    <row r="586" spans="1:21" ht="12.75" hidden="1">
      <c r="A586" s="258"/>
      <c r="B586" s="260"/>
      <c r="C586" s="259"/>
      <c r="D586" s="260"/>
      <c r="E586" s="259"/>
      <c r="F586" s="260"/>
      <c r="G586" s="261"/>
      <c r="H586" s="261"/>
      <c r="I586" s="263"/>
      <c r="J586" s="263"/>
      <c r="K586" s="264"/>
      <c r="L586" s="265"/>
      <c r="M586" s="264"/>
      <c r="N586" s="264"/>
      <c r="O586" s="264"/>
      <c r="P586" s="264"/>
      <c r="Q586" s="264"/>
      <c r="R586" s="264"/>
      <c r="S586" s="264"/>
      <c r="T586" s="264"/>
      <c r="U586" s="264"/>
    </row>
    <row r="587" spans="1:21" ht="12.75" hidden="1">
      <c r="A587" s="258"/>
      <c r="B587" s="260"/>
      <c r="C587" s="259"/>
      <c r="D587" s="260"/>
      <c r="E587" s="259"/>
      <c r="F587" s="260"/>
      <c r="G587" s="261"/>
      <c r="H587" s="261"/>
      <c r="I587" s="263"/>
      <c r="J587" s="263"/>
      <c r="K587" s="264"/>
      <c r="L587" s="265"/>
      <c r="M587" s="264"/>
      <c r="N587" s="264"/>
      <c r="O587" s="264"/>
      <c r="P587" s="264"/>
      <c r="Q587" s="264"/>
      <c r="R587" s="264"/>
      <c r="S587" s="264"/>
      <c r="T587" s="264"/>
      <c r="U587" s="264"/>
    </row>
    <row r="588" spans="1:21" ht="12.75" hidden="1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5"/>
      <c r="M588" s="264"/>
      <c r="N588" s="264"/>
      <c r="O588" s="264"/>
      <c r="P588" s="264"/>
      <c r="Q588" s="264"/>
      <c r="R588" s="264"/>
      <c r="S588" s="264"/>
      <c r="T588" s="264"/>
      <c r="U588" s="264"/>
    </row>
    <row r="589" spans="1:21" ht="12.75" hidden="1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5"/>
      <c r="M589" s="264"/>
      <c r="N589" s="264"/>
      <c r="O589" s="264"/>
      <c r="P589" s="264"/>
      <c r="Q589" s="264"/>
      <c r="R589" s="264"/>
      <c r="S589" s="264"/>
      <c r="T589" s="264"/>
      <c r="U589" s="264"/>
    </row>
    <row r="590" spans="1:21" ht="12.75" hidden="1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5"/>
      <c r="M590" s="264"/>
      <c r="N590" s="264"/>
      <c r="O590" s="264"/>
      <c r="P590" s="264"/>
      <c r="Q590" s="264"/>
      <c r="R590" s="264"/>
      <c r="S590" s="264"/>
      <c r="T590" s="264"/>
      <c r="U590" s="264"/>
    </row>
    <row r="591" spans="1:21" ht="12.75" hidden="1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5"/>
      <c r="M591" s="264"/>
      <c r="N591" s="264"/>
      <c r="O591" s="264"/>
      <c r="P591" s="264"/>
      <c r="Q591" s="264"/>
      <c r="R591" s="264"/>
      <c r="S591" s="264"/>
      <c r="T591" s="264"/>
      <c r="U591" s="264"/>
    </row>
    <row r="592" spans="1:21" ht="12.75" hidden="1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5"/>
      <c r="M592" s="264"/>
      <c r="N592" s="264"/>
      <c r="O592" s="264"/>
      <c r="P592" s="264"/>
      <c r="Q592" s="264"/>
      <c r="R592" s="264"/>
      <c r="S592" s="264"/>
      <c r="T592" s="264"/>
      <c r="U592" s="264"/>
    </row>
    <row r="593" spans="1:21" ht="12.75" hidden="1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5"/>
      <c r="M593" s="264"/>
      <c r="N593" s="264"/>
      <c r="O593" s="264"/>
      <c r="P593" s="264"/>
      <c r="Q593" s="264"/>
      <c r="R593" s="264"/>
      <c r="S593" s="264"/>
      <c r="T593" s="264"/>
      <c r="U593" s="264"/>
    </row>
    <row r="594" spans="1:21" ht="12.75" hidden="1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5"/>
      <c r="M594" s="264"/>
      <c r="N594" s="264"/>
      <c r="O594" s="264"/>
      <c r="P594" s="264"/>
      <c r="Q594" s="264"/>
      <c r="R594" s="264"/>
      <c r="S594" s="264"/>
      <c r="T594" s="264"/>
      <c r="U594" s="264"/>
    </row>
    <row r="595" spans="1:21" ht="12.75" hidden="1">
      <c r="A595" s="407"/>
      <c r="B595" s="360"/>
      <c r="C595" s="360"/>
      <c r="D595" s="408"/>
      <c r="E595" s="408"/>
      <c r="F595" s="408"/>
      <c r="G595" s="409"/>
      <c r="H595" s="361"/>
      <c r="I595" s="362"/>
      <c r="J595" s="362"/>
      <c r="K595" s="363"/>
      <c r="L595" s="364"/>
      <c r="M595" s="363"/>
      <c r="N595" s="363"/>
      <c r="O595" s="363"/>
      <c r="P595" s="363"/>
      <c r="Q595" s="363"/>
      <c r="R595" s="363"/>
      <c r="S595" s="363"/>
      <c r="T595" s="363"/>
      <c r="U595" s="363"/>
    </row>
    <row r="596" spans="1:21" ht="19.5" hidden="1">
      <c r="A596" s="412" t="s">
        <v>214</v>
      </c>
      <c r="B596" s="144"/>
      <c r="C596" s="196"/>
      <c r="D596" s="144"/>
      <c r="E596" s="144"/>
      <c r="F596" s="144"/>
      <c r="G596" s="144"/>
      <c r="H596" s="145"/>
      <c r="I596" s="197"/>
      <c r="J596" s="197"/>
      <c r="K596" s="19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8"/>
    </row>
    <row r="597" spans="1:21" ht="19.5" hidden="1">
      <c r="A597" s="150"/>
      <c r="B597" s="413" t="s">
        <v>215</v>
      </c>
      <c r="C597" s="200"/>
      <c r="D597" s="151"/>
      <c r="E597" s="34"/>
      <c r="F597" s="34"/>
      <c r="G597" s="34"/>
      <c r="H597" s="414" t="s">
        <v>99</v>
      </c>
      <c r="I597" s="210"/>
      <c r="J597" s="39"/>
      <c r="K597" s="40"/>
      <c r="L597" s="154"/>
      <c r="M597" s="40"/>
      <c r="N597" s="40"/>
      <c r="O597" s="40"/>
      <c r="P597" s="40"/>
      <c r="Q597" s="40"/>
      <c r="R597" s="40"/>
      <c r="S597" s="40"/>
      <c r="T597" s="40"/>
      <c r="U597" s="40"/>
    </row>
    <row r="598" spans="1:21" ht="19.5" hidden="1">
      <c r="A598" s="415"/>
      <c r="B598" s="416" t="s">
        <v>216</v>
      </c>
      <c r="C598" s="151"/>
      <c r="D598" s="34"/>
      <c r="E598" s="34"/>
      <c r="F598" s="34"/>
      <c r="G598" s="37"/>
      <c r="H598" s="417" t="s">
        <v>35</v>
      </c>
      <c r="I598" s="39"/>
      <c r="J598" s="39"/>
      <c r="K598" s="40"/>
      <c r="L598" s="154"/>
      <c r="M598" s="40"/>
      <c r="N598" s="40"/>
      <c r="O598" s="40"/>
      <c r="P598" s="40"/>
      <c r="Q598" s="40"/>
      <c r="R598" s="40"/>
      <c r="S598" s="40"/>
      <c r="T598" s="40"/>
      <c r="U598" s="40"/>
    </row>
    <row r="599" spans="1:21" ht="19.5" hidden="1">
      <c r="A599" s="155"/>
      <c r="B599" s="188"/>
      <c r="C599" s="205" t="s">
        <v>18</v>
      </c>
      <c r="D599" s="563" t="s">
        <v>19</v>
      </c>
      <c r="E599" s="529"/>
      <c r="F599" s="529"/>
      <c r="G599" s="530"/>
      <c r="H599" s="418" t="s">
        <v>14</v>
      </c>
      <c r="I599" s="54"/>
      <c r="J599" s="54"/>
      <c r="K599" s="55"/>
      <c r="L599" s="541">
        <f>L600+L601</f>
        <v>0</v>
      </c>
      <c r="M599" s="540">
        <f>M600+M601</f>
        <v>0</v>
      </c>
      <c r="N599" s="540">
        <f>N600+N601</f>
        <v>0</v>
      </c>
      <c r="O599" s="540">
        <f>IF(L599&gt;0,N599*100/L599,0)</f>
        <v>0</v>
      </c>
      <c r="P599" s="540">
        <f>IF(M599&gt;0,N599*100/M599,0)</f>
        <v>0</v>
      </c>
      <c r="Q599" s="540">
        <f>Q600+Q601</f>
        <v>0</v>
      </c>
      <c r="R599" s="540">
        <f>R600+R601</f>
        <v>0</v>
      </c>
      <c r="S599" s="540">
        <f>S600+S601</f>
        <v>0</v>
      </c>
      <c r="T599" s="540">
        <f>IF(Q599&gt;0,S599*100/Q599,0)</f>
        <v>0</v>
      </c>
      <c r="U599" s="540">
        <f>IF(R599&gt;0,S599*100/R599,0)</f>
        <v>0</v>
      </c>
    </row>
    <row r="600" spans="1:21" ht="18.75" hidden="1">
      <c r="A600" s="155"/>
      <c r="B600" s="188"/>
      <c r="C600" s="188"/>
      <c r="D600" s="174"/>
      <c r="E600" s="186" t="s">
        <v>159</v>
      </c>
      <c r="F600" s="50"/>
      <c r="G600" s="52"/>
      <c r="H600" s="189" t="s">
        <v>14</v>
      </c>
      <c r="I600" s="54"/>
      <c r="J600" s="54"/>
      <c r="K600" s="55"/>
      <c r="L600" s="103">
        <f>L603+L606</f>
        <v>0</v>
      </c>
      <c r="M600" s="102">
        <f>M603+M606</f>
        <v>0</v>
      </c>
      <c r="N600" s="102">
        <f>N603+N606</f>
        <v>0</v>
      </c>
      <c r="O600" s="102">
        <f>IF(L600&gt;0,N600*100/L600,0)</f>
        <v>0</v>
      </c>
      <c r="P600" s="102">
        <f>IF(M600&gt;0,N600*100/M600,0)</f>
        <v>0</v>
      </c>
      <c r="Q600" s="102">
        <f>Q603+Q606</f>
        <v>0</v>
      </c>
      <c r="R600" s="102">
        <f>R603+R606</f>
        <v>0</v>
      </c>
      <c r="S600" s="102">
        <f>S603+S606</f>
        <v>0</v>
      </c>
      <c r="T600" s="102">
        <f>IF(Q600&gt;0,S600*100/Q600,0)</f>
        <v>0</v>
      </c>
      <c r="U600" s="102">
        <f>IF(R600&gt;0,S600*100/R600,0)</f>
        <v>0</v>
      </c>
    </row>
    <row r="601" spans="1:21" ht="18.75" hidden="1">
      <c r="A601" s="155"/>
      <c r="B601" s="188"/>
      <c r="C601" s="188"/>
      <c r="D601" s="174"/>
      <c r="E601" s="186" t="s">
        <v>160</v>
      </c>
      <c r="F601" s="50"/>
      <c r="G601" s="52"/>
      <c r="H601" s="189" t="s">
        <v>14</v>
      </c>
      <c r="I601" s="54"/>
      <c r="J601" s="54"/>
      <c r="K601" s="55"/>
      <c r="L601" s="256">
        <f>L604+L607</f>
        <v>0</v>
      </c>
      <c r="M601" s="255">
        <f>M604+M607</f>
        <v>0</v>
      </c>
      <c r="N601" s="255">
        <f>N604+N607</f>
        <v>0</v>
      </c>
      <c r="O601" s="255">
        <f>IF(L601&gt;0,N601*100/L601,0)</f>
        <v>0</v>
      </c>
      <c r="P601" s="255">
        <f>IF(M601&gt;0,N601*100/M601,0)</f>
        <v>0</v>
      </c>
      <c r="Q601" s="255">
        <f>Q604+Q607</f>
        <v>0</v>
      </c>
      <c r="R601" s="255">
        <f>R604+R607</f>
        <v>0</v>
      </c>
      <c r="S601" s="255">
        <f>S604+S607</f>
        <v>0</v>
      </c>
      <c r="T601" s="255">
        <f>IF(Q601&gt;0,S601*100/Q601,0)</f>
        <v>0</v>
      </c>
      <c r="U601" s="255">
        <f>IF(R601&gt;0,S601*100/R601,0)</f>
        <v>0</v>
      </c>
    </row>
    <row r="602" spans="1:21" ht="19.5" hidden="1">
      <c r="A602" s="155"/>
      <c r="B602" s="188"/>
      <c r="C602" s="188"/>
      <c r="D602" s="562" t="s">
        <v>22</v>
      </c>
      <c r="E602" s="50"/>
      <c r="F602" s="50"/>
      <c r="G602" s="52"/>
      <c r="H602" s="418" t="s">
        <v>14</v>
      </c>
      <c r="I602" s="163"/>
      <c r="J602" s="163"/>
      <c r="K602" s="164"/>
      <c r="L602" s="256">
        <f>L603+L604</f>
        <v>0</v>
      </c>
      <c r="M602" s="255">
        <f>M603+M604</f>
        <v>0</v>
      </c>
      <c r="N602" s="255">
        <f>N603+N604</f>
        <v>0</v>
      </c>
      <c r="O602" s="255">
        <f>IF(L602&gt;0,N602*100/L602,0)</f>
        <v>0</v>
      </c>
      <c r="P602" s="255">
        <f>IF(M602&gt;0,N602*100/M602,0)</f>
        <v>0</v>
      </c>
      <c r="Q602" s="255">
        <f>Q603+Q604</f>
        <v>0</v>
      </c>
      <c r="R602" s="255">
        <f>R603+R604</f>
        <v>0</v>
      </c>
      <c r="S602" s="255">
        <f>S603+S604</f>
        <v>0</v>
      </c>
      <c r="T602" s="255">
        <f>IF(Q602&gt;0,S602*100/Q602,0)</f>
        <v>0</v>
      </c>
      <c r="U602" s="255">
        <f>IF(R602&gt;0,S602*100/R602,0)</f>
        <v>0</v>
      </c>
    </row>
    <row r="603" spans="1:21" ht="18.75" hidden="1">
      <c r="A603" s="155"/>
      <c r="B603" s="188"/>
      <c r="C603" s="188"/>
      <c r="D603" s="174"/>
      <c r="E603" s="186" t="s">
        <v>159</v>
      </c>
      <c r="F603" s="50"/>
      <c r="G603" s="52"/>
      <c r="H603" s="189" t="s">
        <v>14</v>
      </c>
      <c r="I603" s="54"/>
      <c r="J603" s="54"/>
      <c r="K603" s="55"/>
      <c r="L603" s="103">
        <v>0</v>
      </c>
      <c r="M603" s="102">
        <v>0</v>
      </c>
      <c r="N603" s="102">
        <v>0</v>
      </c>
      <c r="O603" s="102">
        <f>IF(L603&gt;0,N603*100/L603,0)</f>
        <v>0</v>
      </c>
      <c r="P603" s="102">
        <f>IF(M603&gt;0,N603*100/M603,0)</f>
        <v>0</v>
      </c>
      <c r="Q603" s="102">
        <v>0</v>
      </c>
      <c r="R603" s="102">
        <v>0</v>
      </c>
      <c r="S603" s="102">
        <v>0</v>
      </c>
      <c r="T603" s="102">
        <f>IF(Q603&gt;0,S603*100/Q603,0)</f>
        <v>0</v>
      </c>
      <c r="U603" s="102">
        <f>IF(R603&gt;0,S603*100/R603,0)</f>
        <v>0</v>
      </c>
    </row>
    <row r="604" spans="1:21" ht="18.75" hidden="1">
      <c r="A604" s="155"/>
      <c r="B604" s="188"/>
      <c r="C604" s="188"/>
      <c r="D604" s="174"/>
      <c r="E604" s="186" t="s">
        <v>160</v>
      </c>
      <c r="F604" s="50"/>
      <c r="G604" s="52"/>
      <c r="H604" s="189" t="s">
        <v>14</v>
      </c>
      <c r="I604" s="54"/>
      <c r="J604" s="54"/>
      <c r="K604" s="55"/>
      <c r="L604" s="256">
        <v>0</v>
      </c>
      <c r="M604" s="255">
        <v>0</v>
      </c>
      <c r="N604" s="255">
        <v>0</v>
      </c>
      <c r="O604" s="255">
        <f>IF(L604&gt;0,N604*100/L604,0)</f>
        <v>0</v>
      </c>
      <c r="P604" s="255">
        <f>IF(M604&gt;0,N604*100/M604,0)</f>
        <v>0</v>
      </c>
      <c r="Q604" s="255">
        <v>0</v>
      </c>
      <c r="R604" s="255">
        <v>0</v>
      </c>
      <c r="S604" s="255">
        <v>0</v>
      </c>
      <c r="T604" s="255">
        <f>IF(Q604&gt;0,S604*100/Q604,0)</f>
        <v>0</v>
      </c>
      <c r="U604" s="255">
        <f>IF(R604&gt;0,S604*100/R604,0)</f>
        <v>0</v>
      </c>
    </row>
    <row r="605" spans="1:21" ht="19.5" hidden="1">
      <c r="A605" s="155"/>
      <c r="B605" s="188"/>
      <c r="C605" s="188"/>
      <c r="D605" s="562" t="s">
        <v>23</v>
      </c>
      <c r="E605" s="188"/>
      <c r="F605" s="50"/>
      <c r="G605" s="52"/>
      <c r="H605" s="420" t="s">
        <v>14</v>
      </c>
      <c r="I605" s="163"/>
      <c r="J605" s="163"/>
      <c r="K605" s="164"/>
      <c r="L605" s="256">
        <f>L606+L607</f>
        <v>0</v>
      </c>
      <c r="M605" s="255">
        <f>M606+M607</f>
        <v>0</v>
      </c>
      <c r="N605" s="255">
        <f>N606+N607</f>
        <v>0</v>
      </c>
      <c r="O605" s="255">
        <f>IF(L605&gt;0,N605*100/L605,0)</f>
        <v>0</v>
      </c>
      <c r="P605" s="255">
        <f>IF(M605&gt;0,N605*100/M605,0)</f>
        <v>0</v>
      </c>
      <c r="Q605" s="255">
        <f>Q606+Q607</f>
        <v>0</v>
      </c>
      <c r="R605" s="255">
        <f>R606+R607</f>
        <v>0</v>
      </c>
      <c r="S605" s="255">
        <f>S606+S607</f>
        <v>0</v>
      </c>
      <c r="T605" s="255">
        <f>IF(Q605&gt;0,S605*100/Q605,0)</f>
        <v>0</v>
      </c>
      <c r="U605" s="255">
        <f>IF(R605&gt;0,S605*100/R605,0)</f>
        <v>0</v>
      </c>
    </row>
    <row r="606" spans="1:21" ht="18.75" hidden="1">
      <c r="A606" s="155"/>
      <c r="B606" s="188"/>
      <c r="C606" s="188"/>
      <c r="D606" s="188"/>
      <c r="E606" s="358" t="s">
        <v>20</v>
      </c>
      <c r="F606" s="50"/>
      <c r="G606" s="52"/>
      <c r="H606" s="189" t="s">
        <v>14</v>
      </c>
      <c r="I606" s="163"/>
      <c r="J606" s="163"/>
      <c r="K606" s="164"/>
      <c r="L606" s="103">
        <v>0</v>
      </c>
      <c r="M606" s="102">
        <v>0</v>
      </c>
      <c r="N606" s="102">
        <v>0</v>
      </c>
      <c r="O606" s="102">
        <f>IF(L606&gt;0,N606*100/L606,0)</f>
        <v>0</v>
      </c>
      <c r="P606" s="102">
        <f>IF(M606&gt;0,N606*100/M606,0)</f>
        <v>0</v>
      </c>
      <c r="Q606" s="102">
        <v>0</v>
      </c>
      <c r="R606" s="102">
        <v>0</v>
      </c>
      <c r="S606" s="102">
        <v>0</v>
      </c>
      <c r="T606" s="102">
        <f>IF(Q606&gt;0,S606*100/Q606,0)</f>
        <v>0</v>
      </c>
      <c r="U606" s="102">
        <f>IF(R606&gt;0,S606*100/R606,0)</f>
        <v>0</v>
      </c>
    </row>
    <row r="607" spans="1:21" ht="18.75" hidden="1">
      <c r="A607" s="155"/>
      <c r="B607" s="188"/>
      <c r="C607" s="188"/>
      <c r="D607" s="50"/>
      <c r="E607" s="358" t="s">
        <v>21</v>
      </c>
      <c r="F607" s="50"/>
      <c r="G607" s="52"/>
      <c r="H607" s="421" t="s">
        <v>14</v>
      </c>
      <c r="I607" s="163"/>
      <c r="J607" s="163"/>
      <c r="K607" s="164"/>
      <c r="L607" s="256">
        <v>0</v>
      </c>
      <c r="M607" s="255">
        <v>0</v>
      </c>
      <c r="N607" s="255">
        <v>0</v>
      </c>
      <c r="O607" s="255">
        <f>IF(L607&gt;0,N607*100/L607,0)</f>
        <v>0</v>
      </c>
      <c r="P607" s="255">
        <f>IF(M607&gt;0,N607*100/M607,0)</f>
        <v>0</v>
      </c>
      <c r="Q607" s="255">
        <v>0</v>
      </c>
      <c r="R607" s="255">
        <v>0</v>
      </c>
      <c r="S607" s="255">
        <v>0</v>
      </c>
      <c r="T607" s="255">
        <f>IF(Q607&gt;0,S607*100/Q607,0)</f>
        <v>0</v>
      </c>
      <c r="U607" s="255">
        <f>IF(R607&gt;0,S607*100/R607,0)</f>
        <v>0</v>
      </c>
    </row>
    <row r="608" spans="1:21" ht="19.5" hidden="1">
      <c r="A608" s="166"/>
      <c r="B608" s="167"/>
      <c r="C608" s="205" t="s">
        <v>18</v>
      </c>
      <c r="D608" s="574" t="s">
        <v>38</v>
      </c>
      <c r="E608" s="169"/>
      <c r="F608" s="169"/>
      <c r="G608" s="170"/>
      <c r="H608" s="206"/>
      <c r="I608" s="163"/>
      <c r="J608" s="163"/>
      <c r="K608" s="164"/>
      <c r="L608" s="62"/>
      <c r="M608" s="55"/>
      <c r="N608" s="55"/>
      <c r="O608" s="55"/>
      <c r="P608" s="55"/>
      <c r="Q608" s="55"/>
      <c r="R608" s="55"/>
      <c r="S608" s="55"/>
      <c r="T608" s="55"/>
      <c r="U608" s="55"/>
    </row>
    <row r="609" spans="1:21" ht="18.75" hidden="1">
      <c r="A609" s="166"/>
      <c r="B609" s="167"/>
      <c r="C609" s="167"/>
      <c r="D609" s="423" t="s">
        <v>217</v>
      </c>
      <c r="E609" s="174"/>
      <c r="F609" s="174"/>
      <c r="G609" s="171"/>
      <c r="H609" s="189" t="s">
        <v>99</v>
      </c>
      <c r="I609" s="54"/>
      <c r="J609" s="54"/>
      <c r="K609" s="164"/>
      <c r="L609" s="62"/>
      <c r="M609" s="55"/>
      <c r="N609" s="55"/>
      <c r="O609" s="55"/>
      <c r="P609" s="55"/>
      <c r="Q609" s="55"/>
      <c r="R609" s="55"/>
      <c r="S609" s="55"/>
      <c r="T609" s="55"/>
      <c r="U609" s="55"/>
    </row>
    <row r="610" spans="1:21" ht="19.5" hidden="1">
      <c r="A610" s="166"/>
      <c r="B610" s="167"/>
      <c r="C610" s="167"/>
      <c r="D610" s="423" t="s">
        <v>218</v>
      </c>
      <c r="E610" s="174"/>
      <c r="F610" s="174"/>
      <c r="G610" s="171"/>
      <c r="H610" s="418" t="s">
        <v>35</v>
      </c>
      <c r="I610" s="54"/>
      <c r="J610" s="54"/>
      <c r="K610" s="164"/>
      <c r="L610" s="62"/>
      <c r="M610" s="55"/>
      <c r="N610" s="55"/>
      <c r="O610" s="55"/>
      <c r="P610" s="55"/>
      <c r="Q610" s="55"/>
      <c r="R610" s="55"/>
      <c r="S610" s="55"/>
      <c r="T610" s="55"/>
      <c r="U610" s="55"/>
    </row>
    <row r="611" spans="1:21" ht="18.75" hidden="1">
      <c r="A611" s="166"/>
      <c r="B611" s="167"/>
      <c r="C611" s="167"/>
      <c r="D611" s="167"/>
      <c r="E611" s="423" t="s">
        <v>219</v>
      </c>
      <c r="F611" s="174"/>
      <c r="G611" s="171"/>
      <c r="H611" s="421" t="s">
        <v>35</v>
      </c>
      <c r="I611" s="54"/>
      <c r="J611" s="54"/>
      <c r="K611" s="164"/>
      <c r="L611" s="62"/>
      <c r="M611" s="55"/>
      <c r="N611" s="55"/>
      <c r="O611" s="55"/>
      <c r="P611" s="55"/>
      <c r="Q611" s="55"/>
      <c r="R611" s="55"/>
      <c r="S611" s="55"/>
      <c r="T611" s="55"/>
      <c r="U611" s="55"/>
    </row>
    <row r="612" spans="1:21" ht="19.5" hidden="1" thickBot="1">
      <c r="A612" s="424"/>
      <c r="B612" s="425"/>
      <c r="C612" s="425"/>
      <c r="D612" s="425"/>
      <c r="E612" s="426" t="s">
        <v>220</v>
      </c>
      <c r="F612" s="427"/>
      <c r="G612" s="428"/>
      <c r="H612" s="429" t="s">
        <v>35</v>
      </c>
      <c r="I612" s="430"/>
      <c r="J612" s="430"/>
      <c r="K612" s="431"/>
      <c r="L612" s="433"/>
      <c r="M612" s="432"/>
      <c r="N612" s="432"/>
      <c r="O612" s="432"/>
      <c r="P612" s="432"/>
      <c r="Q612" s="432"/>
      <c r="R612" s="432"/>
      <c r="S612" s="432"/>
      <c r="T612" s="432"/>
      <c r="U612" s="432"/>
    </row>
    <row r="613" spans="1:21" ht="19.5" hidden="1">
      <c r="A613" s="434" t="s">
        <v>221</v>
      </c>
      <c r="B613" s="435"/>
      <c r="C613" s="435"/>
      <c r="D613" s="436"/>
      <c r="E613" s="436"/>
      <c r="F613" s="436"/>
      <c r="G613" s="437"/>
      <c r="H613" s="438"/>
      <c r="I613" s="439"/>
      <c r="J613" s="439"/>
      <c r="K613" s="440"/>
      <c r="L613" s="441"/>
      <c r="M613" s="440"/>
      <c r="N613" s="440"/>
      <c r="O613" s="440"/>
      <c r="P613" s="440"/>
      <c r="Q613" s="440"/>
      <c r="R613" s="440"/>
      <c r="S613" s="440"/>
      <c r="T613" s="440"/>
      <c r="U613" s="440"/>
    </row>
    <row r="614" spans="1:21" ht="19.5">
      <c r="A614" s="442"/>
      <c r="B614" s="443" t="s">
        <v>222</v>
      </c>
      <c r="C614" s="442"/>
      <c r="D614" s="444"/>
      <c r="E614" s="444"/>
      <c r="F614" s="444"/>
      <c r="G614" s="445"/>
      <c r="H614" s="446"/>
      <c r="I614" s="447"/>
      <c r="J614" s="447"/>
      <c r="K614" s="448"/>
      <c r="L614" s="449"/>
      <c r="M614" s="448"/>
      <c r="N614" s="448"/>
      <c r="O614" s="448"/>
      <c r="P614" s="448"/>
      <c r="Q614" s="448"/>
      <c r="R614" s="448"/>
      <c r="S614" s="448"/>
      <c r="T614" s="448"/>
      <c r="U614" s="448"/>
    </row>
    <row r="615" spans="1:21" ht="19.5">
      <c r="A615" s="450"/>
      <c r="B615" s="451" t="s">
        <v>223</v>
      </c>
      <c r="C615" s="450"/>
      <c r="D615" s="452"/>
      <c r="E615" s="452"/>
      <c r="F615" s="452"/>
      <c r="G615" s="453"/>
      <c r="H615" s="454" t="s">
        <v>46</v>
      </c>
      <c r="I615" s="573">
        <f ca="1">I626</f>
        <v>100</v>
      </c>
      <c r="J615" s="573">
        <f>J626</f>
        <v>0</v>
      </c>
      <c r="K615" s="572">
        <f ca="1">IF(I615&gt;0,J615*100/I615,0)</f>
        <v>0</v>
      </c>
      <c r="L615" s="458"/>
      <c r="M615" s="457"/>
      <c r="N615" s="457"/>
      <c r="O615" s="457"/>
      <c r="P615" s="457"/>
      <c r="Q615" s="457"/>
      <c r="R615" s="457"/>
      <c r="S615" s="457"/>
      <c r="T615" s="457"/>
      <c r="U615" s="457"/>
    </row>
    <row r="616" spans="1:21" ht="19.5">
      <c r="A616" s="155"/>
      <c r="B616" s="188"/>
      <c r="C616" s="205" t="s">
        <v>18</v>
      </c>
      <c r="D616" s="542" t="s">
        <v>19</v>
      </c>
      <c r="E616" s="529"/>
      <c r="F616" s="529"/>
      <c r="G616" s="530"/>
      <c r="H616" s="252" t="s">
        <v>14</v>
      </c>
      <c r="I616" s="54"/>
      <c r="J616" s="54"/>
      <c r="K616" s="55"/>
      <c r="L616" s="541">
        <f>L617+L618</f>
        <v>0</v>
      </c>
      <c r="M616" s="540">
        <f>M617+M618</f>
        <v>0</v>
      </c>
      <c r="N616" s="540">
        <f>N617+N618</f>
        <v>0</v>
      </c>
      <c r="O616" s="540">
        <f>IF(L616&gt;0,N616*100/L616,0)</f>
        <v>0</v>
      </c>
      <c r="P616" s="540">
        <f>IF(M616&gt;0,N616*100/M616,0)</f>
        <v>0</v>
      </c>
      <c r="Q616" s="540">
        <f ca="1">Q617+Q618</f>
        <v>12275</v>
      </c>
      <c r="R616" s="540">
        <f ca="1">R617+R618</f>
        <v>12275</v>
      </c>
      <c r="S616" s="540">
        <f ca="1">S617+S618</f>
        <v>0</v>
      </c>
      <c r="T616" s="540">
        <f ca="1">IF(Q616&gt;0,S616*100/Q616,0)</f>
        <v>0</v>
      </c>
      <c r="U616" s="540">
        <f ca="1">IF(R616&gt;0,S616*100/R616,0)</f>
        <v>0</v>
      </c>
    </row>
    <row r="617" spans="1:21" ht="18.75" hidden="1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103">
        <f>L620+L623</f>
        <v>0</v>
      </c>
      <c r="M617" s="102">
        <f>M620+M623</f>
        <v>0</v>
      </c>
      <c r="N617" s="102">
        <f>N620+N623</f>
        <v>0</v>
      </c>
      <c r="O617" s="102">
        <f>IF(L617&gt;0,N617*100/L617,0)</f>
        <v>0</v>
      </c>
      <c r="P617" s="102">
        <f>IF(M617&gt;0,N617*100/M617,0)</f>
        <v>0</v>
      </c>
      <c r="Q617" s="102">
        <f>Q620+Q623</f>
        <v>0</v>
      </c>
      <c r="R617" s="102">
        <f>R620+R623</f>
        <v>0</v>
      </c>
      <c r="S617" s="102">
        <f>S620+S623</f>
        <v>0</v>
      </c>
      <c r="T617" s="102">
        <f>IF(Q617&gt;0,S617*100/Q617,0)</f>
        <v>0</v>
      </c>
      <c r="U617" s="102">
        <f>IF(R617&gt;0,S617*100/R617,0)</f>
        <v>0</v>
      </c>
    </row>
    <row r="618" spans="1:21" ht="18.75" hidden="1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256">
        <f>L621+L624</f>
        <v>0</v>
      </c>
      <c r="M618" s="255">
        <f>M621+M624</f>
        <v>0</v>
      </c>
      <c r="N618" s="255">
        <f>N621+N624</f>
        <v>0</v>
      </c>
      <c r="O618" s="255">
        <f>IF(L618&gt;0,N618*100/L618,0)</f>
        <v>0</v>
      </c>
      <c r="P618" s="255">
        <f>IF(M618&gt;0,N618*100/M618,0)</f>
        <v>0</v>
      </c>
      <c r="Q618" s="255">
        <f ca="1">Q621+Q624</f>
        <v>12275</v>
      </c>
      <c r="R618" s="255">
        <f ca="1">R621+R624</f>
        <v>12275</v>
      </c>
      <c r="S618" s="255">
        <f ca="1">S621+S624</f>
        <v>0</v>
      </c>
      <c r="T618" s="255">
        <f ca="1">IF(Q618&gt;0,S618*100/Q618,0)</f>
        <v>0</v>
      </c>
      <c r="U618" s="255">
        <f ca="1">IF(R618&gt;0,S618*100/R618,0)</f>
        <v>0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256">
        <f>L620+L621</f>
        <v>0</v>
      </c>
      <c r="M619" s="255">
        <f>M620+M621</f>
        <v>0</v>
      </c>
      <c r="N619" s="255">
        <f>N620+N621</f>
        <v>0</v>
      </c>
      <c r="O619" s="255">
        <f>IF(L619&gt;0,N619*100/L619,0)</f>
        <v>0</v>
      </c>
      <c r="P619" s="255">
        <f>IF(M619&gt;0,N619*100/M619,0)</f>
        <v>0</v>
      </c>
      <c r="Q619" s="255">
        <f ca="1">Q620+Q621</f>
        <v>12275</v>
      </c>
      <c r="R619" s="255">
        <f ca="1">R620+R621</f>
        <v>12275</v>
      </c>
      <c r="S619" s="255">
        <f ca="1">S620+S621</f>
        <v>0</v>
      </c>
      <c r="T619" s="255">
        <f ca="1">IF(Q619&gt;0,S619*100/Q619,0)</f>
        <v>0</v>
      </c>
      <c r="U619" s="255">
        <f ca="1">IF(R619&gt;0,S619*100/R619,0)</f>
        <v>0</v>
      </c>
    </row>
    <row r="620" spans="1:21" ht="18.75" hidden="1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103">
        <v>0</v>
      </c>
      <c r="M620" s="102">
        <v>0</v>
      </c>
      <c r="N620" s="102">
        <v>0</v>
      </c>
      <c r="O620" s="102">
        <f>IF(L620&gt;0,N620*100/L620,0)</f>
        <v>0</v>
      </c>
      <c r="P620" s="102">
        <f>IF(M620&gt;0,N620*100/M620,0)</f>
        <v>0</v>
      </c>
      <c r="Q620" s="102">
        <v>0</v>
      </c>
      <c r="R620" s="102">
        <v>0</v>
      </c>
      <c r="S620" s="102">
        <v>0</v>
      </c>
      <c r="T620" s="102">
        <f>IF(Q620&gt;0,S620*100/Q620,0)</f>
        <v>0</v>
      </c>
      <c r="U620" s="102">
        <f>IF(R620&gt;0,S620*100/R620,0)</f>
        <v>0</v>
      </c>
    </row>
    <row r="621" spans="1:21" ht="18.75" hidden="1">
      <c r="A621" s="155"/>
      <c r="B621" s="188"/>
      <c r="C621" s="188"/>
      <c r="D621" s="174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256">
        <v>0</v>
      </c>
      <c r="M621" s="255">
        <v>0</v>
      </c>
      <c r="N621" s="255">
        <v>0</v>
      </c>
      <c r="O621" s="255">
        <f>IF(L621&gt;0,N621*100/L621,0)</f>
        <v>0</v>
      </c>
      <c r="P621" s="255">
        <f>IF(M621&gt;0,N621*100/M621,0)</f>
        <v>0</v>
      </c>
      <c r="Q621" s="255">
        <f ca="1">IFERROR(__xludf.DUMMYFUNCTION("IMPORTRANGE(""https://docs.google.com/spreadsheets/d/1ItG2mGa2ceCfYo0BwxsXqNm01IGEUdYcSSLTEv9YCik/edit?usp=sharing"",""เบิกจ่ายกองทุน!F40"")"),12275)</f>
        <v>12275</v>
      </c>
      <c r="R621" s="255">
        <f ca="1">IFERROR(__xludf.DUMMYFUNCTION("IMPORTRANGE(""https://docs.google.com/spreadsheets/d/1ItG2mGa2ceCfYo0BwxsXqNm01IGEUdYcSSLTEv9YCik/edit?usp=sharing"",""เบิกจ่ายกองทุน!G40"")"),12275)</f>
        <v>12275</v>
      </c>
      <c r="S621" s="255">
        <f ca="1">IFERROR(__xludf.DUMMYFUNCTION("IMPORTRANGE(""https://docs.google.com/spreadsheets/d/1ItG2mGa2ceCfYo0BwxsXqNm01IGEUdYcSSLTEv9YCik/edit?usp=sharing"",""เบิกจ่ายกองทุน!H40"")"),0)</f>
        <v>0</v>
      </c>
      <c r="T621" s="255">
        <f ca="1">IF(Q621&gt;0,S621*100/Q621,0)</f>
        <v>0</v>
      </c>
      <c r="U621" s="255">
        <f ca="1">IF(R621&gt;0,S621*100/R621,0)</f>
        <v>0</v>
      </c>
    </row>
    <row r="622" spans="1:21" ht="18.75">
      <c r="A622" s="155"/>
      <c r="B622" s="188"/>
      <c r="C622" s="188"/>
      <c r="D622" s="51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256">
        <f>L623+L624</f>
        <v>0</v>
      </c>
      <c r="M622" s="255">
        <f>M623+M624</f>
        <v>0</v>
      </c>
      <c r="N622" s="255">
        <f>N623+N624</f>
        <v>0</v>
      </c>
      <c r="O622" s="255">
        <f>IF(L622&gt;0,N622*100/L622,0)</f>
        <v>0</v>
      </c>
      <c r="P622" s="255">
        <f>IF(M622&gt;0,N622*100/M622,0)</f>
        <v>0</v>
      </c>
      <c r="Q622" s="255">
        <f>Q623+Q624</f>
        <v>0</v>
      </c>
      <c r="R622" s="255">
        <f>R623+R624</f>
        <v>0</v>
      </c>
      <c r="S622" s="255">
        <f>S623+S624</f>
        <v>0</v>
      </c>
      <c r="T622" s="255">
        <f>IF(Q622&gt;0,S622*100/Q622,0)</f>
        <v>0</v>
      </c>
      <c r="U622" s="255">
        <f>IF(R622&gt;0,S622*100/R622,0)</f>
        <v>0</v>
      </c>
    </row>
    <row r="623" spans="1:21" ht="18.75" hidden="1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103">
        <v>0</v>
      </c>
      <c r="M623" s="102">
        <v>0</v>
      </c>
      <c r="N623" s="102">
        <v>0</v>
      </c>
      <c r="O623" s="102">
        <f>IF(L623&gt;0,N623*100/L623,0)</f>
        <v>0</v>
      </c>
      <c r="P623" s="102">
        <f>IF(M623&gt;0,N623*100/M623,0)</f>
        <v>0</v>
      </c>
      <c r="Q623" s="102">
        <v>0</v>
      </c>
      <c r="R623" s="102">
        <v>0</v>
      </c>
      <c r="S623" s="102">
        <v>0</v>
      </c>
      <c r="T623" s="102">
        <f>IF(Q623&gt;0,S623*100/Q623,0)</f>
        <v>0</v>
      </c>
      <c r="U623" s="102">
        <f>IF(R623&gt;0,S623*100/R623,0)</f>
        <v>0</v>
      </c>
    </row>
    <row r="624" spans="1:21" ht="18.75" hidden="1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256">
        <v>0</v>
      </c>
      <c r="M624" s="255">
        <v>0</v>
      </c>
      <c r="N624" s="255">
        <v>0</v>
      </c>
      <c r="O624" s="255">
        <f>IF(L624&gt;0,N624*100/L624,0)</f>
        <v>0</v>
      </c>
      <c r="P624" s="255">
        <f>IF(M624&gt;0,N624*100/M624,0)</f>
        <v>0</v>
      </c>
      <c r="Q624" s="255">
        <v>0</v>
      </c>
      <c r="R624" s="255">
        <v>0</v>
      </c>
      <c r="S624" s="255">
        <v>0</v>
      </c>
      <c r="T624" s="255">
        <f>IF(Q624&gt;0,S624*100/Q624,0)</f>
        <v>0</v>
      </c>
      <c r="U624" s="255">
        <f>IF(R624&gt;0,S624*100/R624,0)</f>
        <v>0</v>
      </c>
    </row>
    <row r="625" spans="1:21" ht="19.5">
      <c r="A625" s="166"/>
      <c r="B625" s="167"/>
      <c r="C625" s="205" t="s">
        <v>18</v>
      </c>
      <c r="D625" s="539" t="s">
        <v>38</v>
      </c>
      <c r="E625" s="169"/>
      <c r="F625" s="169"/>
      <c r="G625" s="170"/>
      <c r="H625" s="206"/>
      <c r="I625" s="163"/>
      <c r="J625" s="163"/>
      <c r="K625" s="164"/>
      <c r="L625" s="172"/>
      <c r="M625" s="164"/>
      <c r="N625" s="164"/>
      <c r="O625" s="164"/>
      <c r="P625" s="164"/>
      <c r="Q625" s="164"/>
      <c r="R625" s="164"/>
      <c r="S625" s="164"/>
      <c r="T625" s="164"/>
      <c r="U625" s="164"/>
    </row>
    <row r="626" spans="1:21" ht="19.5">
      <c r="A626" s="166"/>
      <c r="B626" s="167"/>
      <c r="C626" s="167"/>
      <c r="D626" s="460" t="s">
        <v>224</v>
      </c>
      <c r="E626" s="174"/>
      <c r="F626" s="174"/>
      <c r="G626" s="171"/>
      <c r="H626" s="461" t="s">
        <v>46</v>
      </c>
      <c r="I626" s="373">
        <f ca="1">IFERROR(__xludf.DUMMYFUNCTION("IMPORTRANGE(""https://docs.google.com/spreadsheets/d/1eHaY18a8A9IcSdp1K8H6x8fbOy06t2VsZHhMHf-1x7Y/edit?usp=sharing"",""แผน!ID40"")"),100)</f>
        <v>100</v>
      </c>
      <c r="J626" s="373">
        <f>J632</f>
        <v>0</v>
      </c>
      <c r="K626" s="540">
        <f ca="1">IF(I626&gt;0,J626*100/I626,0)</f>
        <v>0</v>
      </c>
      <c r="L626" s="172"/>
      <c r="M626" s="164"/>
      <c r="N626" s="164"/>
      <c r="O626" s="164"/>
      <c r="P626" s="164"/>
      <c r="Q626" s="164"/>
      <c r="R626" s="164"/>
      <c r="S626" s="164"/>
      <c r="T626" s="164"/>
      <c r="U626" s="164"/>
    </row>
    <row r="627" spans="1:21" ht="18.75">
      <c r="A627" s="166"/>
      <c r="B627" s="167"/>
      <c r="C627" s="167"/>
      <c r="D627" s="167"/>
      <c r="E627" s="178" t="s">
        <v>225</v>
      </c>
      <c r="F627" s="174"/>
      <c r="G627" s="171"/>
      <c r="H627" s="165" t="s">
        <v>61</v>
      </c>
      <c r="I627" s="212">
        <f ca="1">IFERROR(__xludf.DUMMYFUNCTION("IMPORTRANGE(""https://docs.google.com/spreadsheets/d/1eHaY18a8A9IcSdp1K8H6x8fbOy06t2VsZHhMHf-1x7Y/edit?usp=sharing"",""แผน!IC40"")"),1)</f>
        <v>1</v>
      </c>
      <c r="J627" s="467">
        <v>0</v>
      </c>
      <c r="K627" s="255">
        <f ca="1">IF(I627&gt;0,(J627*100)/I627,0)</f>
        <v>0</v>
      </c>
      <c r="L627" s="172"/>
      <c r="M627" s="164"/>
      <c r="N627" s="164"/>
      <c r="O627" s="164"/>
      <c r="P627" s="164"/>
      <c r="Q627" s="164"/>
      <c r="R627" s="164"/>
      <c r="S627" s="164"/>
      <c r="T627" s="164"/>
      <c r="U627" s="164"/>
    </row>
    <row r="628" spans="1:21" ht="18.75">
      <c r="A628" s="166"/>
      <c r="B628" s="167"/>
      <c r="C628" s="167"/>
      <c r="D628" s="167"/>
      <c r="E628" s="178" t="s">
        <v>226</v>
      </c>
      <c r="F628" s="174"/>
      <c r="G628" s="171"/>
      <c r="H628" s="165" t="s">
        <v>61</v>
      </c>
      <c r="I628" s="212">
        <f ca="1">IFERROR(__xludf.DUMMYFUNCTION("IMPORTRANGE(""https://docs.google.com/spreadsheets/d/1eHaY18a8A9IcSdp1K8H6x8fbOy06t2VsZHhMHf-1x7Y/edit?usp=sharing"",""แผน!IC40"")"),1)</f>
        <v>1</v>
      </c>
      <c r="J628" s="467">
        <v>0</v>
      </c>
      <c r="K628" s="255">
        <f ca="1">IF(I628&gt;0,(J628*100)/I628,0)</f>
        <v>0</v>
      </c>
      <c r="L628" s="172"/>
      <c r="M628" s="164"/>
      <c r="N628" s="164"/>
      <c r="O628" s="164"/>
      <c r="P628" s="164"/>
      <c r="Q628" s="164"/>
      <c r="R628" s="164"/>
      <c r="S628" s="164"/>
      <c r="T628" s="164"/>
      <c r="U628" s="164"/>
    </row>
    <row r="629" spans="1:21" ht="18.75">
      <c r="A629" s="166"/>
      <c r="B629" s="167"/>
      <c r="C629" s="167"/>
      <c r="D629" s="167"/>
      <c r="E629" s="178" t="s">
        <v>227</v>
      </c>
      <c r="F629" s="174"/>
      <c r="G629" s="171"/>
      <c r="H629" s="165" t="s">
        <v>46</v>
      </c>
      <c r="I629" s="54"/>
      <c r="J629" s="467">
        <v>0</v>
      </c>
      <c r="K629" s="255">
        <f ca="1">IF(I$626&gt;0,J629*100/I$626,0)</f>
        <v>0</v>
      </c>
      <c r="L629" s="172"/>
      <c r="M629" s="164"/>
      <c r="N629" s="164"/>
      <c r="O629" s="164"/>
      <c r="P629" s="164"/>
      <c r="Q629" s="164"/>
      <c r="R629" s="164"/>
      <c r="S629" s="164"/>
      <c r="T629" s="164"/>
      <c r="U629" s="164"/>
    </row>
    <row r="630" spans="1:21" ht="18.75">
      <c r="A630" s="166"/>
      <c r="B630" s="167"/>
      <c r="C630" s="167"/>
      <c r="D630" s="167"/>
      <c r="E630" s="178" t="s">
        <v>228</v>
      </c>
      <c r="F630" s="174"/>
      <c r="G630" s="171"/>
      <c r="H630" s="165" t="s">
        <v>46</v>
      </c>
      <c r="I630" s="54"/>
      <c r="J630" s="467">
        <v>0</v>
      </c>
      <c r="K630" s="255">
        <f ca="1">IF(I$626&gt;0,J630*100/I$626,0)</f>
        <v>0</v>
      </c>
      <c r="L630" s="172"/>
      <c r="M630" s="164"/>
      <c r="N630" s="164"/>
      <c r="O630" s="164"/>
      <c r="P630" s="164"/>
      <c r="Q630" s="164"/>
      <c r="R630" s="164"/>
      <c r="S630" s="164"/>
      <c r="T630" s="164"/>
      <c r="U630" s="164"/>
    </row>
    <row r="631" spans="1:21" ht="18.75">
      <c r="A631" s="166"/>
      <c r="B631" s="167"/>
      <c r="C631" s="167"/>
      <c r="D631" s="167"/>
      <c r="E631" s="178" t="s">
        <v>229</v>
      </c>
      <c r="F631" s="174"/>
      <c r="G631" s="171"/>
      <c r="H631" s="165" t="s">
        <v>46</v>
      </c>
      <c r="I631" s="54"/>
      <c r="J631" s="467">
        <v>0</v>
      </c>
      <c r="K631" s="255">
        <f ca="1">IF(I$626&gt;0,J631*100/I$626,0)</f>
        <v>0</v>
      </c>
      <c r="L631" s="172"/>
      <c r="M631" s="164"/>
      <c r="N631" s="164"/>
      <c r="O631" s="164"/>
      <c r="P631" s="164"/>
      <c r="Q631" s="164"/>
      <c r="R631" s="164"/>
      <c r="S631" s="164"/>
      <c r="T631" s="164"/>
      <c r="U631" s="164"/>
    </row>
    <row r="632" spans="1:21" ht="19.5">
      <c r="A632" s="166"/>
      <c r="B632" s="167"/>
      <c r="C632" s="167"/>
      <c r="D632" s="167"/>
      <c r="E632" s="178" t="s">
        <v>230</v>
      </c>
      <c r="F632" s="174"/>
      <c r="G632" s="171"/>
      <c r="H632" s="165" t="s">
        <v>46</v>
      </c>
      <c r="I632" s="54"/>
      <c r="J632" s="373">
        <f>J633+J634</f>
        <v>0</v>
      </c>
      <c r="K632" s="540">
        <f ca="1">IF(I626&gt;0,J632*100/I626,0)</f>
        <v>0</v>
      </c>
      <c r="L632" s="172"/>
      <c r="M632" s="164"/>
      <c r="N632" s="164"/>
      <c r="O632" s="164"/>
      <c r="P632" s="164"/>
      <c r="Q632" s="164"/>
      <c r="R632" s="164"/>
      <c r="S632" s="164"/>
      <c r="T632" s="164"/>
      <c r="U632" s="164"/>
    </row>
    <row r="633" spans="1:21" ht="18.75">
      <c r="A633" s="166"/>
      <c r="B633" s="167"/>
      <c r="C633" s="167"/>
      <c r="D633" s="167"/>
      <c r="E633" s="174"/>
      <c r="F633" s="178" t="s">
        <v>231</v>
      </c>
      <c r="G633" s="171"/>
      <c r="H633" s="165" t="s">
        <v>46</v>
      </c>
      <c r="I633" s="54"/>
      <c r="J633" s="467">
        <v>0</v>
      </c>
      <c r="K633" s="55"/>
      <c r="L633" s="172"/>
      <c r="M633" s="164"/>
      <c r="N633" s="164"/>
      <c r="O633" s="164"/>
      <c r="P633" s="164"/>
      <c r="Q633" s="164"/>
      <c r="R633" s="164"/>
      <c r="S633" s="164"/>
      <c r="T633" s="164"/>
      <c r="U633" s="164"/>
    </row>
    <row r="634" spans="1:21" ht="18.75">
      <c r="A634" s="166"/>
      <c r="B634" s="167"/>
      <c r="C634" s="167"/>
      <c r="D634" s="167"/>
      <c r="E634" s="174"/>
      <c r="F634" s="178" t="s">
        <v>232</v>
      </c>
      <c r="G634" s="171"/>
      <c r="H634" s="165" t="s">
        <v>46</v>
      </c>
      <c r="I634" s="54"/>
      <c r="J634" s="467">
        <v>0</v>
      </c>
      <c r="K634" s="55"/>
      <c r="L634" s="172"/>
      <c r="M634" s="164"/>
      <c r="N634" s="164"/>
      <c r="O634" s="164"/>
      <c r="P634" s="164"/>
      <c r="Q634" s="164"/>
      <c r="R634" s="164"/>
      <c r="S634" s="164"/>
      <c r="T634" s="164"/>
      <c r="U634" s="164"/>
    </row>
    <row r="635" spans="1:21" ht="19.5">
      <c r="A635" s="166"/>
      <c r="B635" s="167"/>
      <c r="C635" s="167"/>
      <c r="D635" s="460" t="s">
        <v>233</v>
      </c>
      <c r="E635" s="174"/>
      <c r="F635" s="174"/>
      <c r="G635" s="171"/>
      <c r="H635" s="165" t="s">
        <v>46</v>
      </c>
      <c r="I635" s="373">
        <f ca="1">IFERROR(__xludf.DUMMYFUNCTION("IMPORTRANGE(""https://docs.google.com/spreadsheets/d/1eHaY18a8A9IcSdp1K8H6x8fbOy06t2VsZHhMHf-1x7Y/edit?usp=sharing"",""แผน!IE40"")"),0)</f>
        <v>0</v>
      </c>
      <c r="J635" s="373">
        <f>J636</f>
        <v>0</v>
      </c>
      <c r="K635" s="540">
        <f ca="1">IF(I635&gt;0,J635*100/I635,0)</f>
        <v>0</v>
      </c>
      <c r="L635" s="172"/>
      <c r="M635" s="164"/>
      <c r="N635" s="164"/>
      <c r="O635" s="164"/>
      <c r="P635" s="164"/>
      <c r="Q635" s="164"/>
      <c r="R635" s="164"/>
      <c r="S635" s="164"/>
      <c r="T635" s="164"/>
      <c r="U635" s="164"/>
    </row>
    <row r="636" spans="1:21" ht="18.75">
      <c r="A636" s="166"/>
      <c r="B636" s="167"/>
      <c r="C636" s="167"/>
      <c r="D636" s="167"/>
      <c r="E636" s="178" t="s">
        <v>234</v>
      </c>
      <c r="F636" s="174"/>
      <c r="G636" s="171"/>
      <c r="H636" s="165" t="s">
        <v>46</v>
      </c>
      <c r="I636" s="54"/>
      <c r="J636" s="212">
        <f>J637+J638</f>
        <v>0</v>
      </c>
      <c r="K636" s="55"/>
      <c r="L636" s="172"/>
      <c r="M636" s="164"/>
      <c r="N636" s="164"/>
      <c r="O636" s="164"/>
      <c r="P636" s="164"/>
      <c r="Q636" s="164"/>
      <c r="R636" s="164"/>
      <c r="S636" s="164"/>
      <c r="T636" s="164"/>
      <c r="U636" s="164"/>
    </row>
    <row r="637" spans="1:21" ht="18.75">
      <c r="A637" s="166"/>
      <c r="B637" s="167"/>
      <c r="C637" s="167"/>
      <c r="D637" s="167"/>
      <c r="E637" s="174"/>
      <c r="F637" s="178" t="s">
        <v>231</v>
      </c>
      <c r="G637" s="171"/>
      <c r="H637" s="165" t="s">
        <v>46</v>
      </c>
      <c r="I637" s="54"/>
      <c r="J637" s="467">
        <v>0</v>
      </c>
      <c r="K637" s="55"/>
      <c r="L637" s="172"/>
      <c r="M637" s="164"/>
      <c r="N637" s="164"/>
      <c r="O637" s="164"/>
      <c r="P637" s="164"/>
      <c r="Q637" s="164"/>
      <c r="R637" s="164"/>
      <c r="S637" s="164"/>
      <c r="T637" s="164"/>
      <c r="U637" s="164"/>
    </row>
    <row r="638" spans="1:21" ht="18.75">
      <c r="A638" s="166"/>
      <c r="B638" s="167"/>
      <c r="C638" s="167"/>
      <c r="D638" s="167"/>
      <c r="E638" s="174"/>
      <c r="F638" s="178" t="s">
        <v>232</v>
      </c>
      <c r="G638" s="171"/>
      <c r="H638" s="165" t="s">
        <v>46</v>
      </c>
      <c r="I638" s="54"/>
      <c r="J638" s="467">
        <v>0</v>
      </c>
      <c r="K638" s="55"/>
      <c r="L638" s="172"/>
      <c r="M638" s="164"/>
      <c r="N638" s="164"/>
      <c r="O638" s="164"/>
      <c r="P638" s="164"/>
      <c r="Q638" s="164"/>
      <c r="R638" s="164"/>
      <c r="S638" s="164"/>
      <c r="T638" s="164"/>
      <c r="U638" s="164"/>
    </row>
    <row r="639" spans="1:21" ht="18.75">
      <c r="A639" s="166"/>
      <c r="B639" s="167"/>
      <c r="C639" s="167"/>
      <c r="D639" s="167"/>
      <c r="E639" s="178" t="s">
        <v>235</v>
      </c>
      <c r="F639" s="174"/>
      <c r="G639" s="171"/>
      <c r="H639" s="165" t="s">
        <v>46</v>
      </c>
      <c r="I639" s="54"/>
      <c r="J639" s="467">
        <v>0</v>
      </c>
      <c r="K639" s="55"/>
      <c r="L639" s="172"/>
      <c r="M639" s="164"/>
      <c r="N639" s="164"/>
      <c r="O639" s="164"/>
      <c r="P639" s="164"/>
      <c r="Q639" s="164"/>
      <c r="R639" s="164"/>
      <c r="S639" s="164"/>
      <c r="T639" s="164"/>
      <c r="U639" s="164"/>
    </row>
    <row r="640" spans="1:21" ht="18.75">
      <c r="A640" s="166"/>
      <c r="B640" s="167"/>
      <c r="C640" s="167"/>
      <c r="D640" s="167"/>
      <c r="E640" s="174"/>
      <c r="F640" s="178" t="s">
        <v>236</v>
      </c>
      <c r="G640" s="171"/>
      <c r="H640" s="165" t="s">
        <v>46</v>
      </c>
      <c r="I640" s="54"/>
      <c r="J640" s="467">
        <v>0</v>
      </c>
      <c r="K640" s="55"/>
      <c r="L640" s="172"/>
      <c r="M640" s="164"/>
      <c r="N640" s="164"/>
      <c r="O640" s="164"/>
      <c r="P640" s="164"/>
      <c r="Q640" s="164"/>
      <c r="R640" s="164"/>
      <c r="S640" s="164"/>
      <c r="T640" s="164"/>
      <c r="U640" s="164"/>
    </row>
    <row r="641" spans="1:21" ht="19.5" hidden="1">
      <c r="A641" s="450"/>
      <c r="B641" s="451" t="s">
        <v>237</v>
      </c>
      <c r="C641" s="450"/>
      <c r="D641" s="452"/>
      <c r="E641" s="452"/>
      <c r="F641" s="452"/>
      <c r="G641" s="453"/>
      <c r="H641" s="462"/>
      <c r="I641" s="463"/>
      <c r="J641" s="463"/>
      <c r="K641" s="457"/>
      <c r="L641" s="458"/>
      <c r="M641" s="457"/>
      <c r="N641" s="457"/>
      <c r="O641" s="457"/>
      <c r="P641" s="457"/>
      <c r="Q641" s="457"/>
      <c r="R641" s="457"/>
      <c r="S641" s="457"/>
      <c r="T641" s="457"/>
      <c r="U641" s="457"/>
    </row>
    <row r="642" spans="1:21" ht="19.5" hidden="1">
      <c r="A642" s="155"/>
      <c r="B642" s="188"/>
      <c r="C642" s="239" t="s">
        <v>18</v>
      </c>
      <c r="D642" s="542" t="s">
        <v>19</v>
      </c>
      <c r="E642" s="529"/>
      <c r="F642" s="529"/>
      <c r="G642" s="530"/>
      <c r="H642" s="252" t="s">
        <v>14</v>
      </c>
      <c r="I642" s="54"/>
      <c r="J642" s="54"/>
      <c r="K642" s="55"/>
      <c r="L642" s="541">
        <f>L643+L644</f>
        <v>0</v>
      </c>
      <c r="M642" s="540">
        <f>M643+M644</f>
        <v>0</v>
      </c>
      <c r="N642" s="540">
        <f>N643+N644</f>
        <v>0</v>
      </c>
      <c r="O642" s="540">
        <f>IF(L642&gt;0,N642*100/L642,0)</f>
        <v>0</v>
      </c>
      <c r="P642" s="540">
        <f>IF(M642&gt;0,N642*100/M642,0)</f>
        <v>0</v>
      </c>
      <c r="Q642" s="540">
        <f ca="1">Q643+Q644</f>
        <v>0</v>
      </c>
      <c r="R642" s="540">
        <f ca="1">R643+R644</f>
        <v>0</v>
      </c>
      <c r="S642" s="540">
        <f ca="1">S643+S644</f>
        <v>0</v>
      </c>
      <c r="T642" s="540">
        <f ca="1">IF(Q642&gt;0,S642*100/Q642,0)</f>
        <v>0</v>
      </c>
      <c r="U642" s="540">
        <f ca="1">IF(R642&gt;0,S642*100/R642,0)</f>
        <v>0</v>
      </c>
    </row>
    <row r="643" spans="1:21" ht="18.75" hidden="1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103">
        <f>L646+L649</f>
        <v>0</v>
      </c>
      <c r="M643" s="102">
        <f>M646+M649</f>
        <v>0</v>
      </c>
      <c r="N643" s="102">
        <f>N646+N649</f>
        <v>0</v>
      </c>
      <c r="O643" s="102">
        <f>IF(L643&gt;0,N643*100/L643,0)</f>
        <v>0</v>
      </c>
      <c r="P643" s="102">
        <f>IF(M643&gt;0,N643*100/M643,0)</f>
        <v>0</v>
      </c>
      <c r="Q643" s="102">
        <f>Q646+Q649</f>
        <v>0</v>
      </c>
      <c r="R643" s="102">
        <f>R646+R649</f>
        <v>0</v>
      </c>
      <c r="S643" s="102">
        <f>S646+S649</f>
        <v>0</v>
      </c>
      <c r="T643" s="102">
        <f>IF(Q643&gt;0,S643*100/Q643,0)</f>
        <v>0</v>
      </c>
      <c r="U643" s="102">
        <f>IF(R643&gt;0,S643*100/R643,0)</f>
        <v>0</v>
      </c>
    </row>
    <row r="644" spans="1:21" ht="18.75" hidden="1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256">
        <f>L647+L650</f>
        <v>0</v>
      </c>
      <c r="M644" s="255">
        <f>M647+M650</f>
        <v>0</v>
      </c>
      <c r="N644" s="255">
        <f>N647+N650</f>
        <v>0</v>
      </c>
      <c r="O644" s="255">
        <f>IF(L644&gt;0,N644*100/L644,0)</f>
        <v>0</v>
      </c>
      <c r="P644" s="255">
        <f>IF(M644&gt;0,N644*100/M644,0)</f>
        <v>0</v>
      </c>
      <c r="Q644" s="255">
        <f ca="1">Q647+Q650</f>
        <v>0</v>
      </c>
      <c r="R644" s="255">
        <f ca="1">R647+R650</f>
        <v>0</v>
      </c>
      <c r="S644" s="255">
        <f ca="1">S647+S650</f>
        <v>0</v>
      </c>
      <c r="T644" s="255">
        <f ca="1">IF(Q644&gt;0,S644*100/Q644,0)</f>
        <v>0</v>
      </c>
      <c r="U644" s="255">
        <f ca="1">IF(R644&gt;0,S644*100/R644,0)</f>
        <v>0</v>
      </c>
    </row>
    <row r="645" spans="1:21" ht="18.75" hidden="1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256">
        <f>L646+L647</f>
        <v>0</v>
      </c>
      <c r="M645" s="255">
        <f>M646+M647</f>
        <v>0</v>
      </c>
      <c r="N645" s="255">
        <f>N646+N647</f>
        <v>0</v>
      </c>
      <c r="O645" s="255">
        <f>IF(L645&gt;0,N645*100/L645,0)</f>
        <v>0</v>
      </c>
      <c r="P645" s="255">
        <f>IF(M645&gt;0,N645*100/M645,0)</f>
        <v>0</v>
      </c>
      <c r="Q645" s="255">
        <f ca="1">Q646+Q647</f>
        <v>0</v>
      </c>
      <c r="R645" s="255">
        <f ca="1">R646+R647</f>
        <v>0</v>
      </c>
      <c r="S645" s="255">
        <f ca="1">S646+S647</f>
        <v>0</v>
      </c>
      <c r="T645" s="255">
        <f ca="1">IF(Q645&gt;0,S645*100/Q645,0)</f>
        <v>0</v>
      </c>
      <c r="U645" s="255">
        <f ca="1">IF(R645&gt;0,S645*100/R645,0)</f>
        <v>0</v>
      </c>
    </row>
    <row r="646" spans="1:21" ht="18.75" hidden="1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103">
        <v>0</v>
      </c>
      <c r="M646" s="102">
        <v>0</v>
      </c>
      <c r="N646" s="102">
        <v>0</v>
      </c>
      <c r="O646" s="102">
        <f>IF(L646&gt;0,N646*100/L646,0)</f>
        <v>0</v>
      </c>
      <c r="P646" s="102">
        <f>IF(M646&gt;0,N646*100/M646,0)</f>
        <v>0</v>
      </c>
      <c r="Q646" s="102">
        <v>0</v>
      </c>
      <c r="R646" s="102">
        <v>0</v>
      </c>
      <c r="S646" s="102">
        <v>0</v>
      </c>
      <c r="T646" s="102">
        <f>IF(Q646&gt;0,S646*100/Q646,0)</f>
        <v>0</v>
      </c>
      <c r="U646" s="102">
        <f>IF(R646&gt;0,S646*100/R646,0)</f>
        <v>0</v>
      </c>
    </row>
    <row r="647" spans="1:21" ht="18.75" hidden="1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256">
        <v>0</v>
      </c>
      <c r="M647" s="255">
        <v>0</v>
      </c>
      <c r="N647" s="255">
        <v>0</v>
      </c>
      <c r="O647" s="255">
        <f>IF(L647&gt;0,N647*100/L647,0)</f>
        <v>0</v>
      </c>
      <c r="P647" s="255">
        <f>IF(M647&gt;0,N647*100/M647,0)</f>
        <v>0</v>
      </c>
      <c r="Q647" s="255">
        <f ca="1">IFERROR(__xludf.DUMMYFUNCTION("IMPORTRANGE(""https://docs.google.com/spreadsheets/d/1ItG2mGa2ceCfYo0BwxsXqNm01IGEUdYcSSLTEv9YCik/edit?usp=sharing"",""เบิกจ่ายกองทุน!I40"")"),0)</f>
        <v>0</v>
      </c>
      <c r="R647" s="255">
        <f ca="1">IFERROR(__xludf.DUMMYFUNCTION("IMPORTRANGE(""https://docs.google.com/spreadsheets/d/1ItG2mGa2ceCfYo0BwxsXqNm01IGEUdYcSSLTEv9YCik/edit?usp=sharing"",""เบิกจ่ายกองทุน!J40"")"),0)</f>
        <v>0</v>
      </c>
      <c r="S647" s="255">
        <f ca="1">IFERROR(__xludf.DUMMYFUNCTION("IMPORTRANGE(""https://docs.google.com/spreadsheets/d/1ItG2mGa2ceCfYo0BwxsXqNm01IGEUdYcSSLTEv9YCik/edit?usp=sharing"",""เบิกจ่ายกองทุน!K40"")"),0)</f>
        <v>0</v>
      </c>
      <c r="T647" s="255">
        <f ca="1">IF(Q647&gt;0,S647*100/Q647,0)</f>
        <v>0</v>
      </c>
      <c r="U647" s="255">
        <f ca="1">IF(R647&gt;0,S647*100/R647,0)</f>
        <v>0</v>
      </c>
    </row>
    <row r="648" spans="1:21" ht="18.75" hidden="1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256">
        <f>L649+L650</f>
        <v>0</v>
      </c>
      <c r="M648" s="255">
        <f>M649+M650</f>
        <v>0</v>
      </c>
      <c r="N648" s="255">
        <f>N649+N650</f>
        <v>0</v>
      </c>
      <c r="O648" s="255">
        <f>IF(L648&gt;0,N648*100/L648,0)</f>
        <v>0</v>
      </c>
      <c r="P648" s="255">
        <f>IF(M648&gt;0,N648*100/M648,0)</f>
        <v>0</v>
      </c>
      <c r="Q648" s="255">
        <f>Q649+Q650</f>
        <v>0</v>
      </c>
      <c r="R648" s="255">
        <f>R649+R650</f>
        <v>0</v>
      </c>
      <c r="S648" s="255">
        <f>S649+S650</f>
        <v>0</v>
      </c>
      <c r="T648" s="255">
        <f>IF(Q648&gt;0,S648*100/Q648,0)</f>
        <v>0</v>
      </c>
      <c r="U648" s="255">
        <f>IF(R648&gt;0,S648*100/R648,0)</f>
        <v>0</v>
      </c>
    </row>
    <row r="649" spans="1:21" ht="18.75" hidden="1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103">
        <v>0</v>
      </c>
      <c r="M649" s="102">
        <v>0</v>
      </c>
      <c r="N649" s="102">
        <v>0</v>
      </c>
      <c r="O649" s="102">
        <f>IF(L649&gt;0,N649*100/L649,0)</f>
        <v>0</v>
      </c>
      <c r="P649" s="102">
        <f>IF(M649&gt;0,N649*100/M649,0)</f>
        <v>0</v>
      </c>
      <c r="Q649" s="102">
        <v>0</v>
      </c>
      <c r="R649" s="102">
        <v>0</v>
      </c>
      <c r="S649" s="102">
        <v>0</v>
      </c>
      <c r="T649" s="102">
        <f>IF(Q649&gt;0,S649*100/Q649,0)</f>
        <v>0</v>
      </c>
      <c r="U649" s="102">
        <f>IF(R649&gt;0,S649*100/R649,0)</f>
        <v>0</v>
      </c>
    </row>
    <row r="650" spans="1:21" ht="18.75" hidden="1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256">
        <v>0</v>
      </c>
      <c r="M650" s="255">
        <v>0</v>
      </c>
      <c r="N650" s="255">
        <v>0</v>
      </c>
      <c r="O650" s="255">
        <f>IF(L650&gt;0,N650*100/L650,0)</f>
        <v>0</v>
      </c>
      <c r="P650" s="255">
        <f>IF(M650&gt;0,N650*100/M650,0)</f>
        <v>0</v>
      </c>
      <c r="Q650" s="255">
        <v>0</v>
      </c>
      <c r="R650" s="255">
        <v>0</v>
      </c>
      <c r="S650" s="255">
        <v>0</v>
      </c>
      <c r="T650" s="255">
        <f>IF(Q650&gt;0,S650*100/Q650,0)</f>
        <v>0</v>
      </c>
      <c r="U650" s="255">
        <f>IF(R650&gt;0,S650*100/R650,0)</f>
        <v>0</v>
      </c>
    </row>
    <row r="651" spans="1:21" ht="19.5" hidden="1">
      <c r="A651" s="166"/>
      <c r="B651" s="167"/>
      <c r="C651" s="239" t="s">
        <v>18</v>
      </c>
      <c r="D651" s="571" t="s">
        <v>38</v>
      </c>
      <c r="E651" s="169"/>
      <c r="F651" s="169"/>
      <c r="G651" s="170"/>
      <c r="H651" s="206"/>
      <c r="I651" s="163"/>
      <c r="J651" s="163"/>
      <c r="K651" s="164"/>
      <c r="L651" s="172"/>
      <c r="M651" s="164"/>
      <c r="N651" s="164"/>
      <c r="O651" s="164"/>
      <c r="P651" s="164"/>
      <c r="Q651" s="55"/>
      <c r="R651" s="55"/>
      <c r="S651" s="55"/>
      <c r="T651" s="164"/>
      <c r="U651" s="164"/>
    </row>
    <row r="652" spans="1:21" ht="18.75" hidden="1">
      <c r="A652" s="238"/>
      <c r="B652" s="188"/>
      <c r="C652" s="188"/>
      <c r="D652" s="58" t="s">
        <v>238</v>
      </c>
      <c r="E652" s="50"/>
      <c r="F652" s="50"/>
      <c r="G652" s="52"/>
      <c r="H652" s="165" t="s">
        <v>46</v>
      </c>
      <c r="I652" s="570">
        <f ca="1">IFERROR(__xludf.DUMMYFUNCTION("IMPORTRANGE(""https://docs.google.com/spreadsheets/d/1eHaY18a8A9IcSdp1K8H6x8fbOy06t2VsZHhMHf-1x7Y/edit?usp=sharing"",""แผน!IF40"")"),0)</f>
        <v>0</v>
      </c>
      <c r="J652" s="212">
        <f ca="1">IFERROR(__xludf.DUMMYFUNCTION("IMPORTRANGE(""https://docs.google.com/spreadsheets/d/1tdoBKaGub7dwA3U6UFTqxio9LNnvDCQjHKmttSEBsFQ/edit?usp=sharing"",""จัดที่ดิน!AU40"")"),0)</f>
        <v>0</v>
      </c>
      <c r="K652" s="255">
        <f ca="1">IF(I652&gt;0,J652*100/I652,0)</f>
        <v>0</v>
      </c>
      <c r="L652" s="62"/>
      <c r="M652" s="55"/>
      <c r="N652" s="468"/>
      <c r="O652" s="55"/>
      <c r="P652" s="55"/>
      <c r="Q652" s="55"/>
      <c r="R652" s="55"/>
      <c r="S652" s="468"/>
      <c r="T652" s="55"/>
      <c r="U652" s="55"/>
    </row>
    <row r="653" spans="1:21" ht="18.75" hidden="1">
      <c r="A653" s="238"/>
      <c r="B653" s="188"/>
      <c r="C653" s="188"/>
      <c r="D653" s="58" t="s">
        <v>239</v>
      </c>
      <c r="E653" s="50"/>
      <c r="F653" s="50"/>
      <c r="G653" s="52"/>
      <c r="H653" s="165" t="s">
        <v>35</v>
      </c>
      <c r="I653" s="570">
        <f ca="1">IFERROR(__xludf.DUMMYFUNCTION("IMPORTRANGE(""https://docs.google.com/spreadsheets/d/1eHaY18a8A9IcSdp1K8H6x8fbOy06t2VsZHhMHf-1x7Y/edit?usp=sharing"",""แผน!IG40"")"),0)</f>
        <v>0</v>
      </c>
      <c r="J653" s="212">
        <f ca="1">IFERROR(__xludf.DUMMYFUNCTION("IMPORTRANGE(""https://docs.google.com/spreadsheets/d/1tdoBKaGub7dwA3U6UFTqxio9LNnvDCQjHKmttSEBsFQ/edit?usp=sharing"",""จัดที่ดิน!AW40"")"),0)</f>
        <v>0</v>
      </c>
      <c r="K653" s="255">
        <f ca="1">IF(I653&gt;0,J653*100/I653,0)</f>
        <v>0</v>
      </c>
      <c r="L653" s="62"/>
      <c r="M653" s="55"/>
      <c r="N653" s="468"/>
      <c r="O653" s="55"/>
      <c r="P653" s="55"/>
      <c r="Q653" s="55"/>
      <c r="R653" s="55"/>
      <c r="S653" s="468"/>
      <c r="T653" s="55"/>
      <c r="U653" s="55"/>
    </row>
    <row r="654" spans="1:21" ht="19.5" hidden="1">
      <c r="A654" s="238"/>
      <c r="B654" s="188"/>
      <c r="C654" s="188"/>
      <c r="D654" s="58" t="s">
        <v>240</v>
      </c>
      <c r="E654" s="50"/>
      <c r="F654" s="50"/>
      <c r="G654" s="52"/>
      <c r="H654" s="461" t="s">
        <v>46</v>
      </c>
      <c r="I654" s="569">
        <f ca="1">IFERROR(__xludf.DUMMYFUNCTION("IMPORTRANGE(""https://docs.google.com/spreadsheets/d/1eHaY18a8A9IcSdp1K8H6x8fbOy06t2VsZHhMHf-1x7Y/edit?usp=sharing"",""แผน!IH40"")"),0)</f>
        <v>0</v>
      </c>
      <c r="J654" s="373">
        <f>J657+J660</f>
        <v>0</v>
      </c>
      <c r="K654" s="540">
        <f ca="1">IF(I654&gt;0,J654*100/I654,0)</f>
        <v>0</v>
      </c>
      <c r="L654" s="62"/>
      <c r="M654" s="55"/>
      <c r="N654" s="468"/>
      <c r="O654" s="55"/>
      <c r="P654" s="55"/>
      <c r="Q654" s="55"/>
      <c r="R654" s="55"/>
      <c r="S654" s="468"/>
      <c r="T654" s="55"/>
      <c r="U654" s="55"/>
    </row>
    <row r="655" spans="1:21" ht="18.75" hidden="1">
      <c r="A655" s="238"/>
      <c r="B655" s="188"/>
      <c r="C655" s="188"/>
      <c r="D655" s="50"/>
      <c r="E655" s="58" t="s">
        <v>241</v>
      </c>
      <c r="F655" s="50"/>
      <c r="G655" s="52"/>
      <c r="H655" s="165" t="s">
        <v>35</v>
      </c>
      <c r="I655" s="208"/>
      <c r="J655" s="467">
        <v>0</v>
      </c>
      <c r="K655" s="55"/>
      <c r="L655" s="62"/>
      <c r="M655" s="55"/>
      <c r="N655" s="468"/>
      <c r="O655" s="55"/>
      <c r="P655" s="55"/>
      <c r="Q655" s="55"/>
      <c r="R655" s="55"/>
      <c r="S655" s="468"/>
      <c r="T655" s="55"/>
      <c r="U655" s="55"/>
    </row>
    <row r="656" spans="1:21" ht="18.75" hidden="1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67">
        <v>0</v>
      </c>
      <c r="K656" s="55"/>
      <c r="L656" s="62"/>
      <c r="M656" s="55"/>
      <c r="N656" s="468"/>
      <c r="O656" s="55"/>
      <c r="P656" s="55"/>
      <c r="Q656" s="55"/>
      <c r="R656" s="55"/>
      <c r="S656" s="468"/>
      <c r="T656" s="55"/>
      <c r="U656" s="55"/>
    </row>
    <row r="657" spans="1:21" ht="18.75" hidden="1">
      <c r="A657" s="238"/>
      <c r="B657" s="188"/>
      <c r="C657" s="188"/>
      <c r="D657" s="50"/>
      <c r="E657" s="50"/>
      <c r="F657" s="50"/>
      <c r="G657" s="52"/>
      <c r="H657" s="165" t="s">
        <v>46</v>
      </c>
      <c r="I657" s="570">
        <f ca="1">IFERROR(__xludf.DUMMYFUNCTION("IMPORTRANGE(""https://docs.google.com/spreadsheets/d/1eHaY18a8A9IcSdp1K8H6x8fbOy06t2VsZHhMHf-1x7Y/edit?usp=sharing"",""แผน!II40"")"),0)</f>
        <v>0</v>
      </c>
      <c r="J657" s="467">
        <v>0</v>
      </c>
      <c r="K657" s="55"/>
      <c r="L657" s="62"/>
      <c r="M657" s="55"/>
      <c r="N657" s="468"/>
      <c r="O657" s="55"/>
      <c r="P657" s="55"/>
      <c r="Q657" s="55"/>
      <c r="R657" s="55"/>
      <c r="S657" s="468"/>
      <c r="T657" s="55"/>
      <c r="U657" s="55"/>
    </row>
    <row r="658" spans="1:21" ht="18.75" hidden="1">
      <c r="A658" s="238"/>
      <c r="B658" s="188"/>
      <c r="C658" s="188"/>
      <c r="D658" s="50"/>
      <c r="E658" s="58" t="s">
        <v>242</v>
      </c>
      <c r="F658" s="50"/>
      <c r="G658" s="52"/>
      <c r="H658" s="165" t="s">
        <v>35</v>
      </c>
      <c r="I658" s="208"/>
      <c r="J658" s="467">
        <v>0</v>
      </c>
      <c r="K658" s="55"/>
      <c r="L658" s="62"/>
      <c r="M658" s="55"/>
      <c r="N658" s="468"/>
      <c r="O658" s="55"/>
      <c r="P658" s="55"/>
      <c r="Q658" s="55"/>
      <c r="R658" s="55"/>
      <c r="S658" s="468"/>
      <c r="T658" s="55"/>
      <c r="U658" s="55"/>
    </row>
    <row r="659" spans="1:21" ht="18.75" hidden="1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67">
        <v>0</v>
      </c>
      <c r="K659" s="55"/>
      <c r="L659" s="62"/>
      <c r="M659" s="55"/>
      <c r="N659" s="468"/>
      <c r="O659" s="55"/>
      <c r="P659" s="55"/>
      <c r="Q659" s="55"/>
      <c r="R659" s="55"/>
      <c r="S659" s="468"/>
      <c r="T659" s="55"/>
      <c r="U659" s="55"/>
    </row>
    <row r="660" spans="1:21" ht="18.75" hidden="1">
      <c r="A660" s="238"/>
      <c r="B660" s="188"/>
      <c r="C660" s="188"/>
      <c r="D660" s="50"/>
      <c r="E660" s="50"/>
      <c r="F660" s="50"/>
      <c r="G660" s="52"/>
      <c r="H660" s="165" t="s">
        <v>46</v>
      </c>
      <c r="I660" s="570">
        <f ca="1">IFERROR(__xludf.DUMMYFUNCTION("IMPORTRANGE(""https://docs.google.com/spreadsheets/d/1eHaY18a8A9IcSdp1K8H6x8fbOy06t2VsZHhMHf-1x7Y/edit?usp=sharing"",""แผน!IJ40"")"),0)</f>
        <v>0</v>
      </c>
      <c r="J660" s="467">
        <v>0</v>
      </c>
      <c r="K660" s="55"/>
      <c r="L660" s="62"/>
      <c r="M660" s="55"/>
      <c r="N660" s="468"/>
      <c r="O660" s="55"/>
      <c r="P660" s="55"/>
      <c r="Q660" s="55"/>
      <c r="R660" s="55"/>
      <c r="S660" s="468"/>
      <c r="T660" s="55"/>
      <c r="U660" s="55"/>
    </row>
    <row r="661" spans="1:21" ht="19.5" hidden="1">
      <c r="A661" s="238"/>
      <c r="B661" s="188"/>
      <c r="C661" s="188"/>
      <c r="D661" s="377" t="s">
        <v>243</v>
      </c>
      <c r="E661" s="50"/>
      <c r="F661" s="50"/>
      <c r="G661" s="52"/>
      <c r="H661" s="461" t="s">
        <v>46</v>
      </c>
      <c r="I661" s="569">
        <f ca="1">IFERROR(__xludf.DUMMYFUNCTION("IMPORTRANGE(""https://docs.google.com/spreadsheets/d/1eHaY18a8A9IcSdp1K8H6x8fbOy06t2VsZHhMHf-1x7Y/edit?usp=sharing"",""แผน!IK40"")"),0)</f>
        <v>0</v>
      </c>
      <c r="J661" s="373">
        <f>J667+J670</f>
        <v>0</v>
      </c>
      <c r="K661" s="540">
        <f ca="1">IF(I661&gt;0,J661*100/I661,0)</f>
        <v>0</v>
      </c>
      <c r="L661" s="62"/>
      <c r="M661" s="55"/>
      <c r="N661" s="468"/>
      <c r="O661" s="55"/>
      <c r="P661" s="55"/>
      <c r="Q661" s="55"/>
      <c r="R661" s="55"/>
      <c r="S661" s="468"/>
      <c r="T661" s="55"/>
      <c r="U661" s="55"/>
    </row>
    <row r="662" spans="1:21" ht="18.75" hidden="1">
      <c r="A662" s="238"/>
      <c r="B662" s="188"/>
      <c r="C662" s="188"/>
      <c r="D662" s="50"/>
      <c r="E662" s="58" t="s">
        <v>244</v>
      </c>
      <c r="F662" s="50"/>
      <c r="G662" s="52"/>
      <c r="H662" s="165" t="s">
        <v>34</v>
      </c>
      <c r="I662" s="208"/>
      <c r="J662" s="467">
        <v>0</v>
      </c>
      <c r="K662" s="55"/>
      <c r="L662" s="469"/>
      <c r="M662" s="55"/>
      <c r="N662" s="468"/>
      <c r="O662" s="55"/>
      <c r="P662" s="55"/>
      <c r="Q662" s="468"/>
      <c r="R662" s="55"/>
      <c r="S662" s="468"/>
      <c r="T662" s="55"/>
      <c r="U662" s="55"/>
    </row>
    <row r="663" spans="1:21" ht="18.75" hidden="1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67">
        <v>0</v>
      </c>
      <c r="K663" s="55"/>
      <c r="L663" s="469"/>
      <c r="M663" s="55"/>
      <c r="N663" s="468"/>
      <c r="O663" s="55"/>
      <c r="P663" s="55"/>
      <c r="Q663" s="468"/>
      <c r="R663" s="55"/>
      <c r="S663" s="468"/>
      <c r="T663" s="55"/>
      <c r="U663" s="55"/>
    </row>
    <row r="664" spans="1:21" ht="18.75" hidden="1">
      <c r="A664" s="238"/>
      <c r="B664" s="188"/>
      <c r="C664" s="188"/>
      <c r="D664" s="50"/>
      <c r="E664" s="58" t="s">
        <v>245</v>
      </c>
      <c r="F664" s="50"/>
      <c r="G664" s="52"/>
      <c r="H664" s="206"/>
      <c r="I664" s="208"/>
      <c r="J664" s="54"/>
      <c r="K664" s="55"/>
      <c r="L664" s="469"/>
      <c r="M664" s="55"/>
      <c r="N664" s="468"/>
      <c r="O664" s="55"/>
      <c r="P664" s="55"/>
      <c r="Q664" s="468"/>
      <c r="R664" s="55"/>
      <c r="S664" s="468"/>
      <c r="T664" s="55"/>
      <c r="U664" s="55"/>
    </row>
    <row r="665" spans="1:21" ht="18.75" hidden="1">
      <c r="A665" s="238"/>
      <c r="B665" s="188"/>
      <c r="C665" s="188"/>
      <c r="D665" s="50"/>
      <c r="E665" s="50"/>
      <c r="F665" s="58" t="s">
        <v>246</v>
      </c>
      <c r="G665" s="52"/>
      <c r="H665" s="165" t="s">
        <v>35</v>
      </c>
      <c r="I665" s="208"/>
      <c r="J665" s="467">
        <v>0</v>
      </c>
      <c r="K665" s="55"/>
      <c r="L665" s="469"/>
      <c r="M665" s="55"/>
      <c r="N665" s="468"/>
      <c r="O665" s="55"/>
      <c r="P665" s="55"/>
      <c r="Q665" s="468"/>
      <c r="R665" s="55"/>
      <c r="S665" s="468"/>
      <c r="T665" s="55"/>
      <c r="U665" s="55"/>
    </row>
    <row r="666" spans="1:21" ht="18.75" hidden="1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67">
        <v>0</v>
      </c>
      <c r="K666" s="55"/>
      <c r="L666" s="469"/>
      <c r="M666" s="55"/>
      <c r="N666" s="468"/>
      <c r="O666" s="55"/>
      <c r="P666" s="55"/>
      <c r="Q666" s="468"/>
      <c r="R666" s="55"/>
      <c r="S666" s="468"/>
      <c r="T666" s="55"/>
      <c r="U666" s="55"/>
    </row>
    <row r="667" spans="1:21" ht="18.75" hidden="1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67">
        <v>0</v>
      </c>
      <c r="K667" s="55"/>
      <c r="L667" s="469"/>
      <c r="M667" s="55"/>
      <c r="N667" s="468"/>
      <c r="O667" s="55"/>
      <c r="P667" s="55"/>
      <c r="Q667" s="468"/>
      <c r="R667" s="55"/>
      <c r="S667" s="468"/>
      <c r="T667" s="55"/>
      <c r="U667" s="55"/>
    </row>
    <row r="668" spans="1:21" ht="18.75" hidden="1">
      <c r="A668" s="238"/>
      <c r="B668" s="188"/>
      <c r="C668" s="188"/>
      <c r="D668" s="50"/>
      <c r="E668" s="50"/>
      <c r="F668" s="58" t="s">
        <v>247</v>
      </c>
      <c r="G668" s="52"/>
      <c r="H668" s="165" t="s">
        <v>35</v>
      </c>
      <c r="I668" s="208"/>
      <c r="J668" s="467">
        <v>0</v>
      </c>
      <c r="K668" s="55"/>
      <c r="L668" s="469"/>
      <c r="M668" s="55"/>
      <c r="N668" s="468"/>
      <c r="O668" s="55"/>
      <c r="P668" s="55"/>
      <c r="Q668" s="468"/>
      <c r="R668" s="55"/>
      <c r="S668" s="468"/>
      <c r="T668" s="55"/>
      <c r="U668" s="55"/>
    </row>
    <row r="669" spans="1:21" ht="18.75" hidden="1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67">
        <v>0</v>
      </c>
      <c r="K669" s="55"/>
      <c r="L669" s="469"/>
      <c r="M669" s="55"/>
      <c r="N669" s="468"/>
      <c r="O669" s="55"/>
      <c r="P669" s="55"/>
      <c r="Q669" s="468"/>
      <c r="R669" s="55"/>
      <c r="S669" s="468"/>
      <c r="T669" s="55"/>
      <c r="U669" s="55"/>
    </row>
    <row r="670" spans="1:21" ht="18.75" hidden="1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67">
        <v>0</v>
      </c>
      <c r="K670" s="55"/>
      <c r="L670" s="469"/>
      <c r="M670" s="55"/>
      <c r="N670" s="468"/>
      <c r="O670" s="55"/>
      <c r="P670" s="55"/>
      <c r="Q670" s="468"/>
      <c r="R670" s="55"/>
      <c r="S670" s="468"/>
      <c r="T670" s="55"/>
      <c r="U670" s="55"/>
    </row>
    <row r="671" spans="1:21" ht="18.75" hidden="1">
      <c r="A671" s="238"/>
      <c r="B671" s="188"/>
      <c r="C671" s="188"/>
      <c r="D671" s="58" t="s">
        <v>248</v>
      </c>
      <c r="E671" s="50"/>
      <c r="F671" s="50"/>
      <c r="G671" s="52"/>
      <c r="H671" s="165" t="s">
        <v>35</v>
      </c>
      <c r="I671" s="208"/>
      <c r="J671" s="212">
        <f ca="1">IFERROR(__xludf.DUMMYFUNCTION("IMPORTRANGE(""https://docs.google.com/spreadsheets/d/1tdoBKaGub7dwA3U6UFTqxio9LNnvDCQjHKmttSEBsFQ/edit?usp=sharing"",""จัดที่ดิน!AY40"")"),0)</f>
        <v>0</v>
      </c>
      <c r="K671" s="55"/>
      <c r="L671" s="62"/>
      <c r="M671" s="55"/>
      <c r="N671" s="468"/>
      <c r="O671" s="55"/>
      <c r="P671" s="55"/>
      <c r="Q671" s="55"/>
      <c r="R671" s="55"/>
      <c r="S671" s="468"/>
      <c r="T671" s="55"/>
      <c r="U671" s="55"/>
    </row>
    <row r="672" spans="1:21" ht="18.75" hidden="1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212">
        <f ca="1">IFERROR(__xludf.DUMMYFUNCTION("IMPORTRANGE(""https://docs.google.com/spreadsheets/d/1tdoBKaGub7dwA3U6UFTqxio9LNnvDCQjHKmttSEBsFQ/edit?usp=sharing"",""จัดที่ดิน!AZ40"")"),0)</f>
        <v>0</v>
      </c>
      <c r="K672" s="55"/>
      <c r="L672" s="469"/>
      <c r="M672" s="55"/>
      <c r="N672" s="468"/>
      <c r="O672" s="55"/>
      <c r="P672" s="55"/>
      <c r="Q672" s="468"/>
      <c r="R672" s="55"/>
      <c r="S672" s="468"/>
      <c r="T672" s="55"/>
      <c r="U672" s="55"/>
    </row>
    <row r="673" spans="1:21" ht="18.75" hidden="1">
      <c r="A673" s="238"/>
      <c r="B673" s="188"/>
      <c r="C673" s="188"/>
      <c r="D673" s="50"/>
      <c r="E673" s="50"/>
      <c r="F673" s="50"/>
      <c r="G673" s="52"/>
      <c r="H673" s="165" t="s">
        <v>46</v>
      </c>
      <c r="I673" s="570">
        <f ca="1">IFERROR(__xludf.DUMMYFUNCTION("IMPORTRANGE(""https://docs.google.com/spreadsheets/d/1eHaY18a8A9IcSdp1K8H6x8fbOy06t2VsZHhMHf-1x7Y/edit?usp=sharing"",""แผน!IL40"")"),0)</f>
        <v>0</v>
      </c>
      <c r="J673" s="212">
        <f ca="1">IFERROR(__xludf.DUMMYFUNCTION("IMPORTRANGE(""https://docs.google.com/spreadsheets/d/1tdoBKaGub7dwA3U6UFTqxio9LNnvDCQjHKmttSEBsFQ/edit?usp=sharing"",""จัดที่ดิน!BA40"")"),0)</f>
        <v>0</v>
      </c>
      <c r="K673" s="255">
        <f ca="1">IF(I673&gt;0,J673*100/I673,0)</f>
        <v>0</v>
      </c>
      <c r="L673" s="469"/>
      <c r="M673" s="55"/>
      <c r="N673" s="468"/>
      <c r="O673" s="55"/>
      <c r="P673" s="55"/>
      <c r="Q673" s="468"/>
      <c r="R673" s="55"/>
      <c r="S673" s="468"/>
      <c r="T673" s="55"/>
      <c r="U673" s="55"/>
    </row>
    <row r="674" spans="1:21" ht="19.5" hidden="1">
      <c r="A674" s="238"/>
      <c r="B674" s="188"/>
      <c r="C674" s="188"/>
      <c r="D674" s="58" t="s">
        <v>249</v>
      </c>
      <c r="E674" s="50"/>
      <c r="F674" s="50"/>
      <c r="G674" s="52"/>
      <c r="H674" s="461" t="s">
        <v>35</v>
      </c>
      <c r="I674" s="569">
        <f ca="1">IFERROR(__xludf.DUMMYFUNCTION("IMPORTRANGE(""https://docs.google.com/spreadsheets/d/1eHaY18a8A9IcSdp1K8H6x8fbOy06t2VsZHhMHf-1x7Y/edit?usp=sharing"",""แผน!IM40"")"),0)</f>
        <v>0</v>
      </c>
      <c r="J674" s="373">
        <f ca="1">J676+J679</f>
        <v>0</v>
      </c>
      <c r="K674" s="540">
        <f ca="1">IF(I674&gt;0,J674*100/I674,0)</f>
        <v>0</v>
      </c>
      <c r="L674" s="469"/>
      <c r="M674" s="55"/>
      <c r="N674" s="468"/>
      <c r="O674" s="55"/>
      <c r="P674" s="55"/>
      <c r="Q674" s="468"/>
      <c r="R674" s="55"/>
      <c r="S674" s="468"/>
      <c r="T674" s="55"/>
      <c r="U674" s="55"/>
    </row>
    <row r="675" spans="1:21" ht="19.5" hidden="1">
      <c r="A675" s="238"/>
      <c r="B675" s="188"/>
      <c r="C675" s="188"/>
      <c r="D675" s="50"/>
      <c r="E675" s="50"/>
      <c r="F675" s="50"/>
      <c r="G675" s="52"/>
      <c r="H675" s="461" t="s">
        <v>46</v>
      </c>
      <c r="I675" s="569">
        <f ca="1">IFERROR(__xludf.DUMMYFUNCTION("IMPORTRANGE(""https://docs.google.com/spreadsheets/d/1eHaY18a8A9IcSdp1K8H6x8fbOy06t2VsZHhMHf-1x7Y/edit?usp=sharing"",""แผน!IN40"")"),0)</f>
        <v>0</v>
      </c>
      <c r="J675" s="373">
        <f ca="1">J678+J681</f>
        <v>0</v>
      </c>
      <c r="K675" s="540">
        <f ca="1">IF(I675&gt;0,J675*100/I675,0)</f>
        <v>0</v>
      </c>
      <c r="L675" s="62"/>
      <c r="M675" s="55"/>
      <c r="N675" s="468"/>
      <c r="O675" s="55"/>
      <c r="P675" s="55"/>
      <c r="Q675" s="55"/>
      <c r="R675" s="55"/>
      <c r="S675" s="468"/>
      <c r="T675" s="55"/>
      <c r="U675" s="55"/>
    </row>
    <row r="676" spans="1:21" ht="18.75" hidden="1">
      <c r="A676" s="238"/>
      <c r="B676" s="188"/>
      <c r="C676" s="188"/>
      <c r="D676" s="50"/>
      <c r="E676" s="58" t="s">
        <v>250</v>
      </c>
      <c r="F676" s="50"/>
      <c r="G676" s="52"/>
      <c r="H676" s="165" t="s">
        <v>35</v>
      </c>
      <c r="I676" s="570">
        <f ca="1">IFERROR(__xludf.DUMMYFUNCTION("IMPORTRANGE(""https://docs.google.com/spreadsheets/d/1eHaY18a8A9IcSdp1K8H6x8fbOy06t2VsZHhMHf-1x7Y/edit?usp=sharing"",""แผน!IO40"")"),0)</f>
        <v>0</v>
      </c>
      <c r="J676" s="212">
        <f ca="1">IFERROR(__xludf.DUMMYFUNCTION("IMPORTRANGE(""https://docs.google.com/spreadsheets/d/1tdoBKaGub7dwA3U6UFTqxio9LNnvDCQjHKmttSEBsFQ/edit?usp=sharing"",""จัดที่ดิน!BF40"")"),0)</f>
        <v>0</v>
      </c>
      <c r="K676" s="255">
        <f ca="1">IF(I676&gt;0,J676*100/I676,0)</f>
        <v>0</v>
      </c>
      <c r="L676" s="62"/>
      <c r="M676" s="55"/>
      <c r="N676" s="468"/>
      <c r="O676" s="55"/>
      <c r="P676" s="55"/>
      <c r="Q676" s="55"/>
      <c r="R676" s="55"/>
      <c r="S676" s="468"/>
      <c r="T676" s="55"/>
      <c r="U676" s="55"/>
    </row>
    <row r="677" spans="1:21" ht="18.75" hidden="1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212">
        <f ca="1">IFERROR(__xludf.DUMMYFUNCTION("IMPORTRANGE(""https://docs.google.com/spreadsheets/d/1tdoBKaGub7dwA3U6UFTqxio9LNnvDCQjHKmttSEBsFQ/edit?usp=sharing"",""จัดที่ดิน!BG40"")"),0)</f>
        <v>0</v>
      </c>
      <c r="K677" s="55"/>
      <c r="L677" s="469"/>
      <c r="M677" s="55"/>
      <c r="N677" s="468"/>
      <c r="O677" s="55"/>
      <c r="P677" s="55"/>
      <c r="Q677" s="468"/>
      <c r="R677" s="55"/>
      <c r="S677" s="468"/>
      <c r="T677" s="55"/>
      <c r="U677" s="55"/>
    </row>
    <row r="678" spans="1:21" ht="18.75" hidden="1">
      <c r="A678" s="238"/>
      <c r="B678" s="188"/>
      <c r="C678" s="188"/>
      <c r="D678" s="50"/>
      <c r="E678" s="50"/>
      <c r="F678" s="50"/>
      <c r="G678" s="52"/>
      <c r="H678" s="165" t="s">
        <v>46</v>
      </c>
      <c r="I678" s="570">
        <f ca="1">IFERROR(__xludf.DUMMYFUNCTION("IMPORTRANGE(""https://docs.google.com/spreadsheets/d/1eHaY18a8A9IcSdp1K8H6x8fbOy06t2VsZHhMHf-1x7Y/edit?usp=sharing"",""แผน!IP40"")"),0)</f>
        <v>0</v>
      </c>
      <c r="J678" s="212">
        <f ca="1">IFERROR(__xludf.DUMMYFUNCTION("IMPORTRANGE(""https://docs.google.com/spreadsheets/d/1tdoBKaGub7dwA3U6UFTqxio9LNnvDCQjHKmttSEBsFQ/edit?usp=sharing"",""จัดที่ดิน!BH40"")"),0)</f>
        <v>0</v>
      </c>
      <c r="K678" s="255">
        <f ca="1">IF(I678&gt;0,J678*100/I678,0)</f>
        <v>0</v>
      </c>
      <c r="L678" s="469"/>
      <c r="M678" s="55"/>
      <c r="N678" s="468"/>
      <c r="O678" s="55"/>
      <c r="P678" s="55"/>
      <c r="Q678" s="468"/>
      <c r="R678" s="55"/>
      <c r="S678" s="468"/>
      <c r="T678" s="55"/>
      <c r="U678" s="55"/>
    </row>
    <row r="679" spans="1:21" ht="18.75" hidden="1">
      <c r="A679" s="238"/>
      <c r="B679" s="188"/>
      <c r="C679" s="188"/>
      <c r="D679" s="50"/>
      <c r="E679" s="58" t="s">
        <v>251</v>
      </c>
      <c r="F679" s="50"/>
      <c r="G679" s="52"/>
      <c r="H679" s="165" t="s">
        <v>35</v>
      </c>
      <c r="I679" s="570">
        <f ca="1">IFERROR(__xludf.DUMMYFUNCTION("IMPORTRANGE(""https://docs.google.com/spreadsheets/d/1eHaY18a8A9IcSdp1K8H6x8fbOy06t2VsZHhMHf-1x7Y/edit?usp=sharing"",""แผน!IQ40"")"),0)</f>
        <v>0</v>
      </c>
      <c r="J679" s="212">
        <f ca="1">IFERROR(__xludf.DUMMYFUNCTION("IMPORTRANGE(""https://docs.google.com/spreadsheets/d/1tdoBKaGub7dwA3U6UFTqxio9LNnvDCQjHKmttSEBsFQ/edit?usp=sharing"",""จัดที่ดิน!BK40"")"),0)</f>
        <v>0</v>
      </c>
      <c r="K679" s="255">
        <f ca="1">IF(I679&gt;0,J679*100/I679,0)</f>
        <v>0</v>
      </c>
      <c r="L679" s="62"/>
      <c r="M679" s="55"/>
      <c r="N679" s="468"/>
      <c r="O679" s="55"/>
      <c r="P679" s="55"/>
      <c r="Q679" s="55"/>
      <c r="R679" s="55"/>
      <c r="S679" s="468"/>
      <c r="T679" s="55"/>
      <c r="U679" s="55"/>
    </row>
    <row r="680" spans="1:21" ht="18.75" hidden="1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212">
        <f ca="1">IFERROR(__xludf.DUMMYFUNCTION("IMPORTRANGE(""https://docs.google.com/spreadsheets/d/1tdoBKaGub7dwA3U6UFTqxio9LNnvDCQjHKmttSEBsFQ/edit?usp=sharing"",""จัดที่ดิน!BL40"")"),0)</f>
        <v>0</v>
      </c>
      <c r="K680" s="55"/>
      <c r="L680" s="469"/>
      <c r="M680" s="55"/>
      <c r="N680" s="468"/>
      <c r="O680" s="55"/>
      <c r="P680" s="55"/>
      <c r="Q680" s="468"/>
      <c r="R680" s="55"/>
      <c r="S680" s="468"/>
      <c r="T680" s="55"/>
      <c r="U680" s="55"/>
    </row>
    <row r="681" spans="1:21" ht="18.75" hidden="1">
      <c r="A681" s="238"/>
      <c r="B681" s="188"/>
      <c r="C681" s="188"/>
      <c r="D681" s="50"/>
      <c r="E681" s="50"/>
      <c r="F681" s="50"/>
      <c r="G681" s="52"/>
      <c r="H681" s="165" t="s">
        <v>46</v>
      </c>
      <c r="I681" s="570">
        <f ca="1">IFERROR(__xludf.DUMMYFUNCTION("IMPORTRANGE(""https://docs.google.com/spreadsheets/d/1eHaY18a8A9IcSdp1K8H6x8fbOy06t2VsZHhMHf-1x7Y/edit?usp=sharing"",""แผน!IR40"")"),0)</f>
        <v>0</v>
      </c>
      <c r="J681" s="212">
        <f ca="1">IFERROR(__xludf.DUMMYFUNCTION("IMPORTRANGE(""https://docs.google.com/spreadsheets/d/1tdoBKaGub7dwA3U6UFTqxio9LNnvDCQjHKmttSEBsFQ/edit?usp=sharing"",""จัดที่ดิน!BM40"")"),0)</f>
        <v>0</v>
      </c>
      <c r="K681" s="255">
        <f ca="1">IF(I681&gt;0,J681*100/I681,0)</f>
        <v>0</v>
      </c>
      <c r="L681" s="469"/>
      <c r="M681" s="55"/>
      <c r="N681" s="468"/>
      <c r="O681" s="55"/>
      <c r="P681" s="55"/>
      <c r="Q681" s="468"/>
      <c r="R681" s="55"/>
      <c r="S681" s="468"/>
      <c r="T681" s="55"/>
      <c r="U681" s="55"/>
    </row>
    <row r="682" spans="1:21" ht="19.5" hidden="1">
      <c r="A682" s="238"/>
      <c r="B682" s="188"/>
      <c r="C682" s="188"/>
      <c r="D682" s="58" t="s">
        <v>252</v>
      </c>
      <c r="E682" s="50"/>
      <c r="F682" s="50"/>
      <c r="G682" s="52"/>
      <c r="H682" s="461" t="s">
        <v>46</v>
      </c>
      <c r="I682" s="569">
        <f ca="1">IFERROR(__xludf.DUMMYFUNCTION("IMPORTRANGE(""https://docs.google.com/spreadsheets/d/1eHaY18a8A9IcSdp1K8H6x8fbOy06t2VsZHhMHf-1x7Y/edit?usp=sharing"",""แผน!IS40"")"),0)</f>
        <v>0</v>
      </c>
      <c r="J682" s="373">
        <f>J685+J688</f>
        <v>0</v>
      </c>
      <c r="K682" s="540">
        <f ca="1">IF(I682&gt;0,J682*100/I682,0)</f>
        <v>0</v>
      </c>
      <c r="L682" s="62"/>
      <c r="M682" s="55"/>
      <c r="N682" s="468"/>
      <c r="O682" s="55"/>
      <c r="P682" s="55"/>
      <c r="Q682" s="55"/>
      <c r="R682" s="55"/>
      <c r="S682" s="468"/>
      <c r="T682" s="55"/>
      <c r="U682" s="55"/>
    </row>
    <row r="683" spans="1:21" ht="18.75" hidden="1">
      <c r="A683" s="238"/>
      <c r="B683" s="188"/>
      <c r="C683" s="188"/>
      <c r="D683" s="50"/>
      <c r="E683" s="58" t="s">
        <v>253</v>
      </c>
      <c r="F683" s="50"/>
      <c r="G683" s="52"/>
      <c r="H683" s="165" t="s">
        <v>35</v>
      </c>
      <c r="I683" s="208"/>
      <c r="J683" s="467">
        <v>0</v>
      </c>
      <c r="K683" s="55"/>
      <c r="L683" s="469"/>
      <c r="M683" s="55"/>
      <c r="N683" s="468"/>
      <c r="O683" s="55"/>
      <c r="P683" s="55"/>
      <c r="Q683" s="468"/>
      <c r="R683" s="55"/>
      <c r="S683" s="468"/>
      <c r="T683" s="55"/>
      <c r="U683" s="55"/>
    </row>
    <row r="684" spans="1:21" ht="18.75" hidden="1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467">
        <v>0</v>
      </c>
      <c r="K684" s="55"/>
      <c r="L684" s="469"/>
      <c r="M684" s="55"/>
      <c r="N684" s="468"/>
      <c r="O684" s="55"/>
      <c r="P684" s="55"/>
      <c r="Q684" s="468"/>
      <c r="R684" s="55"/>
      <c r="S684" s="468"/>
      <c r="T684" s="55"/>
      <c r="U684" s="55"/>
    </row>
    <row r="685" spans="1:21" ht="18.75" hidden="1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467">
        <v>0</v>
      </c>
      <c r="K685" s="55"/>
      <c r="L685" s="469"/>
      <c r="M685" s="55"/>
      <c r="N685" s="468"/>
      <c r="O685" s="55"/>
      <c r="P685" s="55"/>
      <c r="Q685" s="468"/>
      <c r="R685" s="55"/>
      <c r="S685" s="468"/>
      <c r="T685" s="55"/>
      <c r="U685" s="55"/>
    </row>
    <row r="686" spans="1:21" ht="18.75" hidden="1">
      <c r="A686" s="238"/>
      <c r="B686" s="188"/>
      <c r="C686" s="188"/>
      <c r="D686" s="50"/>
      <c r="E686" s="58" t="s">
        <v>254</v>
      </c>
      <c r="F686" s="50"/>
      <c r="G686" s="52"/>
      <c r="H686" s="165" t="s">
        <v>35</v>
      </c>
      <c r="I686" s="208"/>
      <c r="J686" s="467">
        <v>0</v>
      </c>
      <c r="K686" s="55"/>
      <c r="L686" s="469"/>
      <c r="M686" s="55"/>
      <c r="N686" s="468"/>
      <c r="O686" s="55"/>
      <c r="P686" s="55"/>
      <c r="Q686" s="468"/>
      <c r="R686" s="55"/>
      <c r="S686" s="468"/>
      <c r="T686" s="55"/>
      <c r="U686" s="55"/>
    </row>
    <row r="687" spans="1:21" ht="18.75" hidden="1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467">
        <v>0</v>
      </c>
      <c r="K687" s="55"/>
      <c r="L687" s="469"/>
      <c r="M687" s="55"/>
      <c r="N687" s="468"/>
      <c r="O687" s="55"/>
      <c r="P687" s="55"/>
      <c r="Q687" s="468"/>
      <c r="R687" s="55"/>
      <c r="S687" s="468"/>
      <c r="T687" s="55"/>
      <c r="U687" s="55"/>
    </row>
    <row r="688" spans="1:21" ht="19.5" hidden="1">
      <c r="A688" s="281"/>
      <c r="B688" s="470" t="s">
        <v>255</v>
      </c>
      <c r="C688" s="282"/>
      <c r="D688" s="2"/>
      <c r="E688" s="2"/>
      <c r="F688" s="2"/>
      <c r="G688" s="284"/>
      <c r="H688" s="214" t="s">
        <v>46</v>
      </c>
      <c r="I688" s="375"/>
      <c r="J688" s="538">
        <v>0</v>
      </c>
      <c r="K688" s="6"/>
      <c r="L688" s="472"/>
      <c r="M688" s="6"/>
      <c r="N688" s="471"/>
      <c r="O688" s="6"/>
      <c r="P688" s="6"/>
      <c r="Q688" s="471"/>
      <c r="R688" s="6"/>
      <c r="S688" s="471"/>
      <c r="T688" s="6"/>
      <c r="U688" s="6"/>
    </row>
    <row r="689" spans="1:21" ht="19.5">
      <c r="A689" s="442"/>
      <c r="B689" s="443" t="s">
        <v>256</v>
      </c>
      <c r="C689" s="442"/>
      <c r="D689" s="444"/>
      <c r="E689" s="444"/>
      <c r="F689" s="444"/>
      <c r="G689" s="445"/>
      <c r="H689" s="473" t="s">
        <v>35</v>
      </c>
      <c r="I689" s="544">
        <f ca="1">I707</f>
        <v>102</v>
      </c>
      <c r="J689" s="544">
        <f ca="1">J707</f>
        <v>0</v>
      </c>
      <c r="K689" s="543">
        <f ca="1">IF(I689&gt;0,J689*100/I689,0)</f>
        <v>0</v>
      </c>
      <c r="L689" s="449"/>
      <c r="M689" s="448"/>
      <c r="N689" s="448"/>
      <c r="O689" s="448"/>
      <c r="P689" s="448"/>
      <c r="Q689" s="448"/>
      <c r="R689" s="448"/>
      <c r="S689" s="448"/>
      <c r="T689" s="448"/>
      <c r="U689" s="448"/>
    </row>
    <row r="690" spans="1:21" ht="19.5">
      <c r="A690" s="155"/>
      <c r="B690" s="188"/>
      <c r="C690" s="205" t="s">
        <v>18</v>
      </c>
      <c r="D690" s="542" t="s">
        <v>19</v>
      </c>
      <c r="E690" s="529"/>
      <c r="F690" s="529"/>
      <c r="G690" s="530"/>
      <c r="H690" s="252" t="s">
        <v>14</v>
      </c>
      <c r="I690" s="54"/>
      <c r="J690" s="54"/>
      <c r="K690" s="55"/>
      <c r="L690" s="541">
        <f>L691+L692</f>
        <v>0</v>
      </c>
      <c r="M690" s="540">
        <f>M691+M692</f>
        <v>0</v>
      </c>
      <c r="N690" s="540">
        <f>N691+N692</f>
        <v>0</v>
      </c>
      <c r="O690" s="540">
        <f>IF(L690&gt;0,N690*100/L690,0)</f>
        <v>0</v>
      </c>
      <c r="P690" s="540">
        <f>IF(M690&gt;0,N690*100/M690,0)</f>
        <v>0</v>
      </c>
      <c r="Q690" s="540">
        <f ca="1">Q691+Q692</f>
        <v>212180</v>
      </c>
      <c r="R690" s="540">
        <f ca="1">R691+R692</f>
        <v>212180</v>
      </c>
      <c r="S690" s="540">
        <f ca="1">S691+S692</f>
        <v>37080</v>
      </c>
      <c r="T690" s="540">
        <f ca="1">IF(Q690&gt;0,S690*100/Q690,0)</f>
        <v>17.475728155339805</v>
      </c>
      <c r="U690" s="540">
        <f ca="1">IF(R690&gt;0,S690*100/R690,0)</f>
        <v>17.475728155339805</v>
      </c>
    </row>
    <row r="691" spans="1:21" ht="18.75" hidden="1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103">
        <f>L694+L697</f>
        <v>0</v>
      </c>
      <c r="M691" s="102">
        <f>M694+M697</f>
        <v>0</v>
      </c>
      <c r="N691" s="102">
        <f>N694+N697</f>
        <v>0</v>
      </c>
      <c r="O691" s="102">
        <f>IF(L691&gt;0,N691*100/L691,0)</f>
        <v>0</v>
      </c>
      <c r="P691" s="102">
        <f>IF(M691&gt;0,N691*100/M691,0)</f>
        <v>0</v>
      </c>
      <c r="Q691" s="102">
        <f>Q694+Q697</f>
        <v>0</v>
      </c>
      <c r="R691" s="102">
        <f>R694+R697</f>
        <v>0</v>
      </c>
      <c r="S691" s="102">
        <f>S694+S697</f>
        <v>0</v>
      </c>
      <c r="T691" s="102">
        <f>IF(Q691&gt;0,S691*100/Q691,0)</f>
        <v>0</v>
      </c>
      <c r="U691" s="102">
        <f>IF(R691&gt;0,S691*100/R691,0)</f>
        <v>0</v>
      </c>
    </row>
    <row r="692" spans="1:21" ht="18.75" hidden="1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256">
        <f>L695+L698</f>
        <v>0</v>
      </c>
      <c r="M692" s="255">
        <f>M695+M698</f>
        <v>0</v>
      </c>
      <c r="N692" s="255">
        <f>N695+N698</f>
        <v>0</v>
      </c>
      <c r="O692" s="255">
        <f>IF(L692&gt;0,N692*100/L692,0)</f>
        <v>0</v>
      </c>
      <c r="P692" s="255">
        <f>IF(M692&gt;0,N692*100/M692,0)</f>
        <v>0</v>
      </c>
      <c r="Q692" s="255">
        <f ca="1">Q695+Q698</f>
        <v>212180</v>
      </c>
      <c r="R692" s="255">
        <f ca="1">R695+R698</f>
        <v>212180</v>
      </c>
      <c r="S692" s="255">
        <f ca="1">S695+S698</f>
        <v>37080</v>
      </c>
      <c r="T692" s="255">
        <f ca="1">IF(Q692&gt;0,S692*100/Q692,0)</f>
        <v>17.475728155339805</v>
      </c>
      <c r="U692" s="255">
        <f ca="1">IF(R692&gt;0,S692*100/R692,0)</f>
        <v>17.475728155339805</v>
      </c>
    </row>
    <row r="693" spans="1:21" ht="18.75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256">
        <f>L694+L695</f>
        <v>0</v>
      </c>
      <c r="M693" s="255">
        <f>M694+M695</f>
        <v>0</v>
      </c>
      <c r="N693" s="255">
        <f>N694+N695</f>
        <v>0</v>
      </c>
      <c r="O693" s="255">
        <f>IF(L693&gt;0,N693*100/L693,0)</f>
        <v>0</v>
      </c>
      <c r="P693" s="255">
        <f>IF(M693&gt;0,N693*100/M693,0)</f>
        <v>0</v>
      </c>
      <c r="Q693" s="255">
        <f ca="1">Q694+Q695</f>
        <v>212180</v>
      </c>
      <c r="R693" s="255">
        <f ca="1">R694+R695</f>
        <v>212180</v>
      </c>
      <c r="S693" s="255">
        <f ca="1">S694+S695</f>
        <v>37080</v>
      </c>
      <c r="T693" s="255">
        <f ca="1">IF(Q693&gt;0,S693*100/Q693,0)</f>
        <v>17.475728155339805</v>
      </c>
      <c r="U693" s="255">
        <f ca="1">IF(R693&gt;0,S693*100/R693,0)</f>
        <v>17.475728155339805</v>
      </c>
    </row>
    <row r="694" spans="1:21" ht="18.75" hidden="1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103">
        <v>0</v>
      </c>
      <c r="M694" s="102">
        <v>0</v>
      </c>
      <c r="N694" s="102">
        <v>0</v>
      </c>
      <c r="O694" s="102">
        <f>IF(L694&gt;0,N694*100/L694,0)</f>
        <v>0</v>
      </c>
      <c r="P694" s="102">
        <f>IF(M694&gt;0,N694*100/M694,0)</f>
        <v>0</v>
      </c>
      <c r="Q694" s="102">
        <v>0</v>
      </c>
      <c r="R694" s="102">
        <v>0</v>
      </c>
      <c r="S694" s="102">
        <v>0</v>
      </c>
      <c r="T694" s="102">
        <f>IF(Q694&gt;0,S694*100/Q694,0)</f>
        <v>0</v>
      </c>
      <c r="U694" s="102">
        <f>IF(R694&gt;0,S694*100/R694,0)</f>
        <v>0</v>
      </c>
    </row>
    <row r="695" spans="1:21" ht="18.75" hidden="1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256">
        <v>0</v>
      </c>
      <c r="M695" s="255">
        <v>0</v>
      </c>
      <c r="N695" s="255">
        <v>0</v>
      </c>
      <c r="O695" s="255">
        <f>IF(L695&gt;0,N695*100/L695,0)</f>
        <v>0</v>
      </c>
      <c r="P695" s="255">
        <f>IF(M695&gt;0,N695*100/M695,0)</f>
        <v>0</v>
      </c>
      <c r="Q695" s="255">
        <f ca="1">IFERROR(__xludf.DUMMYFUNCTION("IMPORTRANGE(""https://docs.google.com/spreadsheets/d/1ItG2mGa2ceCfYo0BwxsXqNm01IGEUdYcSSLTEv9YCik/edit?usp=sharing"",""เบิกจ่ายกองทุน!L40"")"),212180)</f>
        <v>212180</v>
      </c>
      <c r="R695" s="255">
        <f ca="1">IFERROR(__xludf.DUMMYFUNCTION("IMPORTRANGE(""https://docs.google.com/spreadsheets/d/1ItG2mGa2ceCfYo0BwxsXqNm01IGEUdYcSSLTEv9YCik/edit?usp=sharing"",""เบิกจ่ายกองทุน!M40"")"),212180)</f>
        <v>212180</v>
      </c>
      <c r="S695" s="255">
        <f ca="1">IFERROR(__xludf.DUMMYFUNCTION("IMPORTRANGE(""https://docs.google.com/spreadsheets/d/1ItG2mGa2ceCfYo0BwxsXqNm01IGEUdYcSSLTEv9YCik/edit?usp=sharing"",""เบิกจ่ายกองทุน!N40"")"),37080)</f>
        <v>37080</v>
      </c>
      <c r="T695" s="255">
        <f ca="1">IF(Q695&gt;0,S695*100/Q695,0)</f>
        <v>17.475728155339805</v>
      </c>
      <c r="U695" s="255">
        <f ca="1">IF(R695&gt;0,S695*100/R695,0)</f>
        <v>17.475728155339805</v>
      </c>
    </row>
    <row r="696" spans="1:21" ht="18.75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256">
        <f>L697+L698</f>
        <v>0</v>
      </c>
      <c r="M696" s="255">
        <f>M697+M698</f>
        <v>0</v>
      </c>
      <c r="N696" s="255">
        <f>N697+N698</f>
        <v>0</v>
      </c>
      <c r="O696" s="255">
        <f>IF(L696&gt;0,N696*100/L696,0)</f>
        <v>0</v>
      </c>
      <c r="P696" s="255">
        <f>IF(M696&gt;0,N696*100/M696,0)</f>
        <v>0</v>
      </c>
      <c r="Q696" s="255">
        <f>Q697+Q698</f>
        <v>0</v>
      </c>
      <c r="R696" s="255">
        <f>R697+R698</f>
        <v>0</v>
      </c>
      <c r="S696" s="255">
        <f>S697+S698</f>
        <v>0</v>
      </c>
      <c r="T696" s="255">
        <f>IF(Q696&gt;0,S696*100/Q696,0)</f>
        <v>0</v>
      </c>
      <c r="U696" s="255">
        <f>IF(R696&gt;0,S696*100/R696,0)</f>
        <v>0</v>
      </c>
    </row>
    <row r="697" spans="1:21" ht="18.75" hidden="1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103">
        <v>0</v>
      </c>
      <c r="M697" s="102">
        <v>0</v>
      </c>
      <c r="N697" s="102">
        <v>0</v>
      </c>
      <c r="O697" s="102">
        <f>IF(L697&gt;0,N697*100/L697,0)</f>
        <v>0</v>
      </c>
      <c r="P697" s="102">
        <f>IF(M697&gt;0,N697*100/M697,0)</f>
        <v>0</v>
      </c>
      <c r="Q697" s="102">
        <v>0</v>
      </c>
      <c r="R697" s="102">
        <v>0</v>
      </c>
      <c r="S697" s="102">
        <v>0</v>
      </c>
      <c r="T697" s="102">
        <f>IF(Q697&gt;0,S697*100/Q697,0)</f>
        <v>0</v>
      </c>
      <c r="U697" s="102">
        <f>IF(R697&gt;0,S697*100/R697,0)</f>
        <v>0</v>
      </c>
    </row>
    <row r="698" spans="1:21" ht="18.75" hidden="1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256">
        <v>0</v>
      </c>
      <c r="M698" s="255">
        <v>0</v>
      </c>
      <c r="N698" s="255">
        <v>0</v>
      </c>
      <c r="O698" s="255">
        <f>IF(L698&gt;0,N698*100/L698,0)</f>
        <v>0</v>
      </c>
      <c r="P698" s="255">
        <f>IF(M698&gt;0,N698*100/M698,0)</f>
        <v>0</v>
      </c>
      <c r="Q698" s="255">
        <v>0</v>
      </c>
      <c r="R698" s="255">
        <v>0</v>
      </c>
      <c r="S698" s="255">
        <v>0</v>
      </c>
      <c r="T698" s="255">
        <f>IF(Q698&gt;0,S698*100/Q698,0)</f>
        <v>0</v>
      </c>
      <c r="U698" s="255">
        <f>IF(R698&gt;0,S698*100/R698,0)</f>
        <v>0</v>
      </c>
    </row>
    <row r="699" spans="1:21" ht="19.5">
      <c r="A699" s="166"/>
      <c r="B699" s="167"/>
      <c r="C699" s="205" t="s">
        <v>18</v>
      </c>
      <c r="D699" s="566" t="s">
        <v>38</v>
      </c>
      <c r="E699" s="169"/>
      <c r="F699" s="169"/>
      <c r="G699" s="169"/>
      <c r="H699" s="206"/>
      <c r="I699" s="163"/>
      <c r="J699" s="163"/>
      <c r="K699" s="164"/>
      <c r="L699" s="62"/>
      <c r="M699" s="55"/>
      <c r="N699" s="55"/>
      <c r="O699" s="55"/>
      <c r="P699" s="55"/>
      <c r="Q699" s="55"/>
      <c r="R699" s="55"/>
      <c r="S699" s="55"/>
      <c r="T699" s="55"/>
      <c r="U699" s="55"/>
    </row>
    <row r="700" spans="1:21" ht="18.75">
      <c r="A700" s="238"/>
      <c r="B700" s="188"/>
      <c r="C700" s="188"/>
      <c r="D700" s="174"/>
      <c r="E700" s="173" t="s">
        <v>257</v>
      </c>
      <c r="F700" s="174"/>
      <c r="G700" s="171"/>
      <c r="H700" s="165" t="s">
        <v>258</v>
      </c>
      <c r="I700" s="212">
        <f ca="1">IFERROR(__xludf.DUMMYFUNCTION("IMPORTRANGE(""https://docs.google.com/spreadsheets/d/1eHaY18a8A9IcSdp1K8H6x8fbOy06t2VsZHhMHf-1x7Y/edit?usp=sharing"",""แผน!LC40"")"),0)</f>
        <v>0</v>
      </c>
      <c r="J700" s="467">
        <v>0</v>
      </c>
      <c r="K700" s="565">
        <f ca="1">IF(I700&gt;0,J700*100/I700,0)</f>
        <v>0</v>
      </c>
      <c r="L700" s="172"/>
      <c r="M700" s="164"/>
      <c r="N700" s="55"/>
      <c r="O700" s="164"/>
      <c r="P700" s="164"/>
      <c r="Q700" s="164"/>
      <c r="R700" s="164"/>
      <c r="S700" s="55"/>
      <c r="T700" s="164"/>
      <c r="U700" s="164"/>
    </row>
    <row r="701" spans="1:21" ht="19.5">
      <c r="A701" s="238"/>
      <c r="B701" s="188"/>
      <c r="C701" s="188"/>
      <c r="D701" s="174"/>
      <c r="E701" s="476" t="s">
        <v>259</v>
      </c>
      <c r="F701" s="174"/>
      <c r="G701" s="171"/>
      <c r="H701" s="158" t="s">
        <v>35</v>
      </c>
      <c r="I701" s="373">
        <f ca="1">I703+I705</f>
        <v>106</v>
      </c>
      <c r="J701" s="373">
        <f ca="1">J703+J705</f>
        <v>2</v>
      </c>
      <c r="K701" s="540">
        <f ca="1">IF(I701&gt;0,J701*100/I701,0)</f>
        <v>1.8867924528301887</v>
      </c>
      <c r="L701" s="172"/>
      <c r="M701" s="164"/>
      <c r="N701" s="164"/>
      <c r="O701" s="164"/>
      <c r="P701" s="164"/>
      <c r="Q701" s="164"/>
      <c r="R701" s="164"/>
      <c r="S701" s="164"/>
      <c r="T701" s="164"/>
      <c r="U701" s="164"/>
    </row>
    <row r="702" spans="1:21" ht="19.5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73">
        <v>0</v>
      </c>
      <c r="J702" s="373">
        <f ca="1">J704+J706</f>
        <v>0.38</v>
      </c>
      <c r="K702" s="540">
        <f>IF(I702&gt;0,J702*100/I702,0)</f>
        <v>0</v>
      </c>
      <c r="L702" s="172"/>
      <c r="M702" s="164"/>
      <c r="N702" s="164"/>
      <c r="O702" s="164"/>
      <c r="P702" s="164"/>
      <c r="Q702" s="164"/>
      <c r="R702" s="164"/>
      <c r="S702" s="164"/>
      <c r="T702" s="164"/>
      <c r="U702" s="164"/>
    </row>
    <row r="703" spans="1:21" ht="18.75">
      <c r="A703" s="238"/>
      <c r="B703" s="188"/>
      <c r="C703" s="188"/>
      <c r="D703" s="174"/>
      <c r="E703" s="174"/>
      <c r="F703" s="173" t="s">
        <v>260</v>
      </c>
      <c r="G703" s="171"/>
      <c r="H703" s="165" t="s">
        <v>35</v>
      </c>
      <c r="I703" s="212">
        <f ca="1">IFERROR(__xludf.DUMMYFUNCTION("IMPORTRANGE(""https://docs.google.com/spreadsheets/d/1eHaY18a8A9IcSdp1K8H6x8fbOy06t2VsZHhMHf-1x7Y/edit?usp=sharing"",""แผน!LJ40"")"),102)</f>
        <v>102</v>
      </c>
      <c r="J703" s="212">
        <f ca="1">IFERROR(__xludf.DUMMYFUNCTION("IMPORTRANGE(""https://docs.google.com/spreadsheets/d/1tdoBKaGub7dwA3U6UFTqxio9LNnvDCQjHKmttSEBsFQ/edit?usp=sharing"",""จัดที่ดิน!AP40"")"),2)</f>
        <v>2</v>
      </c>
      <c r="K703" s="255">
        <f ca="1">IF(I703&gt;0,J703*100/I703,0)</f>
        <v>1.9607843137254901</v>
      </c>
      <c r="L703" s="172"/>
      <c r="M703" s="164"/>
      <c r="N703" s="164"/>
      <c r="O703" s="164"/>
      <c r="P703" s="164"/>
      <c r="Q703" s="164"/>
      <c r="R703" s="164"/>
      <c r="S703" s="164"/>
      <c r="T703" s="164"/>
      <c r="U703" s="164"/>
    </row>
    <row r="704" spans="1:21" ht="18.75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212">
        <f ca="1">IFERROR(__xludf.DUMMYFUNCTION("IMPORTRANGE(""https://docs.google.com/spreadsheets/d/1tdoBKaGub7dwA3U6UFTqxio9LNnvDCQjHKmttSEBsFQ/edit?usp=sharing"",""จัดที่ดิน!AQ40"")"),0.38)</f>
        <v>0.38</v>
      </c>
      <c r="K704" s="255">
        <f>IF(I704&gt;0,J704*100/I704,0)</f>
        <v>0</v>
      </c>
      <c r="L704" s="172"/>
      <c r="M704" s="164"/>
      <c r="N704" s="164"/>
      <c r="O704" s="164"/>
      <c r="P704" s="164"/>
      <c r="Q704" s="164"/>
      <c r="R704" s="164"/>
      <c r="S704" s="164"/>
      <c r="T704" s="164"/>
      <c r="U704" s="164"/>
    </row>
    <row r="705" spans="1:21" ht="18.75">
      <c r="A705" s="238"/>
      <c r="B705" s="188"/>
      <c r="C705" s="188"/>
      <c r="D705" s="174"/>
      <c r="E705" s="174"/>
      <c r="F705" s="173" t="s">
        <v>261</v>
      </c>
      <c r="G705" s="171"/>
      <c r="H705" s="165" t="s">
        <v>35</v>
      </c>
      <c r="I705" s="212">
        <f ca="1">IFERROR(__xludf.DUMMYFUNCTION("IMPORTRANGE(""https://docs.google.com/spreadsheets/d/1eHaY18a8A9IcSdp1K8H6x8fbOy06t2VsZHhMHf-1x7Y/edit?usp=sharing"",""แผน!LK40"")"),4)</f>
        <v>4</v>
      </c>
      <c r="J705" s="212">
        <f ca="1">IFERROR(__xludf.DUMMYFUNCTION("IMPORTRANGE(""https://docs.google.com/spreadsheets/d/1tdoBKaGub7dwA3U6UFTqxio9LNnvDCQjHKmttSEBsFQ/edit?usp=sharing"",""จัดที่ดิน!AR40"")"),0)</f>
        <v>0</v>
      </c>
      <c r="K705" s="565">
        <f ca="1">IF(I705&gt;0,J705*100/I705,0)</f>
        <v>0</v>
      </c>
      <c r="L705" s="172"/>
      <c r="M705" s="164"/>
      <c r="N705" s="164"/>
      <c r="O705" s="164"/>
      <c r="P705" s="164"/>
      <c r="Q705" s="164"/>
      <c r="R705" s="164"/>
      <c r="S705" s="164"/>
      <c r="T705" s="164"/>
      <c r="U705" s="164"/>
    </row>
    <row r="706" spans="1:21" ht="18.75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212">
        <f ca="1">IFERROR(__xludf.DUMMYFUNCTION("IMPORTRANGE(""https://docs.google.com/spreadsheets/d/1tdoBKaGub7dwA3U6UFTqxio9LNnvDCQjHKmttSEBsFQ/edit?usp=sharing"",""จัดที่ดิน!AS40"")"),0)</f>
        <v>0</v>
      </c>
      <c r="K706" s="255">
        <f>IF(I706&gt;0,J706*100/I706,0)</f>
        <v>0</v>
      </c>
      <c r="L706" s="172"/>
      <c r="M706" s="164"/>
      <c r="N706" s="164"/>
      <c r="O706" s="164"/>
      <c r="P706" s="164"/>
      <c r="Q706" s="164"/>
      <c r="R706" s="164"/>
      <c r="S706" s="164"/>
      <c r="T706" s="164"/>
      <c r="U706" s="164"/>
    </row>
    <row r="707" spans="1:21" ht="18.75">
      <c r="A707" s="238"/>
      <c r="B707" s="188"/>
      <c r="C707" s="188"/>
      <c r="D707" s="174"/>
      <c r="E707" s="173" t="s">
        <v>262</v>
      </c>
      <c r="F707" s="174"/>
      <c r="G707" s="171"/>
      <c r="H707" s="162" t="s">
        <v>35</v>
      </c>
      <c r="I707" s="212">
        <f ca="1">IFERROR(__xludf.DUMMYFUNCTION("IMPORTRANGE(""https://docs.google.com/spreadsheets/d/1eHaY18a8A9IcSdp1K8H6x8fbOy06t2VsZHhMHf-1x7Y/edit?usp=sharing"",""แผน!LJ40"")"),102)</f>
        <v>102</v>
      </c>
      <c r="J707" s="212">
        <f ca="1">IFERROR(__xludf.DUMMYFUNCTION("IMPORTRANGE(""https://docs.google.com/spreadsheets/d/1tdoBKaGub7dwA3U6UFTqxio9LNnvDCQjHKmttSEBsFQ/edit?usp=sharing"",""จัดที่ดิน!BN40"")"),0)</f>
        <v>0</v>
      </c>
      <c r="K707" s="255">
        <f ca="1">IF(I707&gt;0,J707*100/I707,0)</f>
        <v>0</v>
      </c>
      <c r="L707" s="172"/>
      <c r="M707" s="164"/>
      <c r="N707" s="164"/>
      <c r="O707" s="164"/>
      <c r="P707" s="164"/>
      <c r="Q707" s="164"/>
      <c r="R707" s="164"/>
      <c r="S707" s="164"/>
      <c r="T707" s="164"/>
      <c r="U707" s="164"/>
    </row>
    <row r="708" spans="1:21" ht="18.75">
      <c r="A708" s="238"/>
      <c r="B708" s="188"/>
      <c r="C708" s="188"/>
      <c r="D708" s="174"/>
      <c r="E708" s="477" t="s">
        <v>263</v>
      </c>
      <c r="F708" s="174"/>
      <c r="G708" s="171"/>
      <c r="H708" s="162" t="s">
        <v>46</v>
      </c>
      <c r="I708" s="212">
        <v>0</v>
      </c>
      <c r="J708" s="212">
        <f ca="1">IFERROR(__xludf.DUMMYFUNCTION("IMPORTRANGE(""https://docs.google.com/spreadsheets/d/1tdoBKaGub7dwA3U6UFTqxio9LNnvDCQjHKmttSEBsFQ/edit?usp=sharing"",""จัดที่ดิน!BO40"")"),0)</f>
        <v>0</v>
      </c>
      <c r="K708" s="255">
        <f>IF(I708&gt;0,J708*100/I708,0)</f>
        <v>0</v>
      </c>
      <c r="L708" s="172"/>
      <c r="M708" s="164"/>
      <c r="N708" s="164"/>
      <c r="O708" s="164"/>
      <c r="P708" s="164"/>
      <c r="Q708" s="164"/>
      <c r="R708" s="164"/>
      <c r="S708" s="164"/>
      <c r="T708" s="164"/>
      <c r="U708" s="164"/>
    </row>
    <row r="709" spans="1:21" ht="18.75">
      <c r="A709" s="238"/>
      <c r="B709" s="188"/>
      <c r="C709" s="188"/>
      <c r="D709" s="50"/>
      <c r="E709" s="58" t="s">
        <v>264</v>
      </c>
      <c r="F709" s="50"/>
      <c r="G709" s="52"/>
      <c r="H709" s="203" t="s">
        <v>35</v>
      </c>
      <c r="I709" s="212">
        <f ca="1">IFERROR(__xludf.DUMMYFUNCTION("IMPORTRANGE(""https://docs.google.com/spreadsheets/d/1eHaY18a8A9IcSdp1K8H6x8fbOy06t2VsZHhMHf-1x7Y/edit?usp=sharing"",""แผน!LK40"")"),4)</f>
        <v>4</v>
      </c>
      <c r="J709" s="212">
        <f ca="1">IFERROR(__xludf.DUMMYFUNCTION("IMPORTRANGE(""https://docs.google.com/spreadsheets/d/1tdoBKaGub7dwA3U6UFTqxio9LNnvDCQjHKmttSEBsFQ/edit?usp=sharing"",""จัดที่ดิน!BP40"")"),2)</f>
        <v>2</v>
      </c>
      <c r="K709" s="255">
        <f ca="1">IF(I709&gt;0,J709*100/I709,0)</f>
        <v>50</v>
      </c>
      <c r="L709" s="62"/>
      <c r="M709" s="55"/>
      <c r="N709" s="55"/>
      <c r="O709" s="55"/>
      <c r="P709" s="55"/>
      <c r="Q709" s="55"/>
      <c r="R709" s="55"/>
      <c r="S709" s="55"/>
      <c r="T709" s="55"/>
      <c r="U709" s="55"/>
    </row>
    <row r="710" spans="1:21" ht="18.75">
      <c r="A710" s="238"/>
      <c r="B710" s="188"/>
      <c r="C710" s="188"/>
      <c r="D710" s="50"/>
      <c r="E710" s="477" t="s">
        <v>265</v>
      </c>
      <c r="F710" s="50"/>
      <c r="G710" s="52"/>
      <c r="H710" s="203" t="s">
        <v>46</v>
      </c>
      <c r="I710" s="212">
        <v>0</v>
      </c>
      <c r="J710" s="212">
        <f ca="1">IFERROR(__xludf.DUMMYFUNCTION("IMPORTRANGE(""https://docs.google.com/spreadsheets/d/1tdoBKaGub7dwA3U6UFTqxio9LNnvDCQjHKmttSEBsFQ/edit?usp=sharing"",""จัดที่ดิน!BQ40"")"),0)</f>
        <v>0</v>
      </c>
      <c r="K710" s="255">
        <f>IF(I710&gt;0,J710*100/I710,0)</f>
        <v>0</v>
      </c>
      <c r="L710" s="62"/>
      <c r="M710" s="55"/>
      <c r="N710" s="55"/>
      <c r="O710" s="55"/>
      <c r="P710" s="55"/>
      <c r="Q710" s="55"/>
      <c r="R710" s="55"/>
      <c r="S710" s="55"/>
      <c r="T710" s="55"/>
      <c r="U710" s="55"/>
    </row>
    <row r="711" spans="1:21" ht="12.75" hidden="1">
      <c r="A711" s="407"/>
      <c r="B711" s="360"/>
      <c r="C711" s="360"/>
      <c r="D711" s="408"/>
      <c r="E711" s="408"/>
      <c r="F711" s="408"/>
      <c r="G711" s="409"/>
      <c r="H711" s="361"/>
      <c r="I711" s="362"/>
      <c r="J711" s="362"/>
      <c r="K711" s="363"/>
      <c r="L711" s="364"/>
      <c r="M711" s="363"/>
      <c r="N711" s="363"/>
      <c r="O711" s="363"/>
      <c r="P711" s="363"/>
      <c r="Q711" s="363"/>
      <c r="R711" s="363"/>
      <c r="S711" s="363"/>
      <c r="T711" s="363"/>
      <c r="U711" s="363"/>
    </row>
    <row r="712" spans="1:21" ht="19.5" hidden="1">
      <c r="A712" s="442"/>
      <c r="B712" s="478" t="s">
        <v>266</v>
      </c>
      <c r="C712" s="442"/>
      <c r="D712" s="444"/>
      <c r="E712" s="444"/>
      <c r="F712" s="444"/>
      <c r="G712" s="445"/>
      <c r="H712" s="479" t="s">
        <v>46</v>
      </c>
      <c r="I712" s="447"/>
      <c r="J712" s="447">
        <f>J724</f>
        <v>0</v>
      </c>
      <c r="K712" s="564">
        <f>IF(I712&gt;0,J712*100/I712,0)</f>
        <v>0</v>
      </c>
      <c r="L712" s="449"/>
      <c r="M712" s="448"/>
      <c r="N712" s="448"/>
      <c r="O712" s="448"/>
      <c r="P712" s="448"/>
      <c r="Q712" s="448"/>
      <c r="R712" s="448"/>
      <c r="S712" s="448"/>
      <c r="T712" s="448"/>
      <c r="U712" s="448"/>
    </row>
    <row r="713" spans="1:21" ht="19.5" hidden="1">
      <c r="A713" s="442"/>
      <c r="B713" s="478" t="s">
        <v>267</v>
      </c>
      <c r="C713" s="442"/>
      <c r="D713" s="444"/>
      <c r="E713" s="444"/>
      <c r="F713" s="444"/>
      <c r="G713" s="445"/>
      <c r="H713" s="446"/>
      <c r="I713" s="447"/>
      <c r="J713" s="447"/>
      <c r="K713" s="448"/>
      <c r="L713" s="449"/>
      <c r="M713" s="448"/>
      <c r="N713" s="448"/>
      <c r="O713" s="448"/>
      <c r="P713" s="448"/>
      <c r="Q713" s="448"/>
      <c r="R713" s="448"/>
      <c r="S713" s="448"/>
      <c r="T713" s="448"/>
      <c r="U713" s="448"/>
    </row>
    <row r="714" spans="1:21" ht="19.5" hidden="1">
      <c r="A714" s="155"/>
      <c r="B714" s="188"/>
      <c r="C714" s="358" t="s">
        <v>18</v>
      </c>
      <c r="D714" s="563" t="s">
        <v>19</v>
      </c>
      <c r="E714" s="529"/>
      <c r="F714" s="529"/>
      <c r="G714" s="530"/>
      <c r="H714" s="418" t="s">
        <v>14</v>
      </c>
      <c r="I714" s="54"/>
      <c r="J714" s="54"/>
      <c r="K714" s="55"/>
      <c r="L714" s="541">
        <f>L715+L716</f>
        <v>0</v>
      </c>
      <c r="M714" s="540">
        <f>M715+M716</f>
        <v>0</v>
      </c>
      <c r="N714" s="540">
        <f>N715+N716</f>
        <v>0</v>
      </c>
      <c r="O714" s="540">
        <f>IF(L714&gt;0,N714*100/L714,0)</f>
        <v>0</v>
      </c>
      <c r="P714" s="540">
        <f>IF(M714&gt;0,N714*100/M714,0)</f>
        <v>0</v>
      </c>
      <c r="Q714" s="540">
        <f>Q715+Q716</f>
        <v>0</v>
      </c>
      <c r="R714" s="540">
        <f>R715+R716</f>
        <v>0</v>
      </c>
      <c r="S714" s="540">
        <f>S715+S716</f>
        <v>0</v>
      </c>
      <c r="T714" s="540">
        <f>IF(Q714&gt;0,S714*100/Q714,0)</f>
        <v>0</v>
      </c>
      <c r="U714" s="540">
        <f>IF(R714&gt;0,S714*100/R714,0)</f>
        <v>0</v>
      </c>
    </row>
    <row r="715" spans="1:21" ht="18.75" hidden="1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103">
        <f>L718+L721</f>
        <v>0</v>
      </c>
      <c r="M715" s="102">
        <f>M718+M721</f>
        <v>0</v>
      </c>
      <c r="N715" s="102">
        <f>N718+N721</f>
        <v>0</v>
      </c>
      <c r="O715" s="102">
        <f>IF(L715&gt;0,N715*100/L715,0)</f>
        <v>0</v>
      </c>
      <c r="P715" s="102">
        <f>IF(M715&gt;0,N715*100/M715,0)</f>
        <v>0</v>
      </c>
      <c r="Q715" s="102">
        <f>Q718+Q721</f>
        <v>0</v>
      </c>
      <c r="R715" s="102">
        <f>R718+R721</f>
        <v>0</v>
      </c>
      <c r="S715" s="102">
        <f>S718+S721</f>
        <v>0</v>
      </c>
      <c r="T715" s="102">
        <f>IF(Q715&gt;0,S715*100/Q715,0)</f>
        <v>0</v>
      </c>
      <c r="U715" s="102">
        <f>IF(R715&gt;0,S715*100/R715,0)</f>
        <v>0</v>
      </c>
    </row>
    <row r="716" spans="1:21" ht="18.75" hidden="1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256">
        <f>L719+L722</f>
        <v>0</v>
      </c>
      <c r="M716" s="255">
        <f>M719+M722</f>
        <v>0</v>
      </c>
      <c r="N716" s="255">
        <f>N719+N722</f>
        <v>0</v>
      </c>
      <c r="O716" s="255">
        <f>IF(L716&gt;0,N716*100/L716,0)</f>
        <v>0</v>
      </c>
      <c r="P716" s="255">
        <f>IF(M716&gt;0,N716*100/M716,0)</f>
        <v>0</v>
      </c>
      <c r="Q716" s="255">
        <f>Q719+Q722</f>
        <v>0</v>
      </c>
      <c r="R716" s="255">
        <f>R719+R722</f>
        <v>0</v>
      </c>
      <c r="S716" s="255">
        <f>S719+S722</f>
        <v>0</v>
      </c>
      <c r="T716" s="255">
        <f>IF(Q716&gt;0,S716*100/Q716,0)</f>
        <v>0</v>
      </c>
      <c r="U716" s="255">
        <f>IF(R716&gt;0,S716*100/R716,0)</f>
        <v>0</v>
      </c>
    </row>
    <row r="717" spans="1:21" ht="19.5" hidden="1">
      <c r="A717" s="155"/>
      <c r="B717" s="188"/>
      <c r="C717" s="188"/>
      <c r="D717" s="562" t="s">
        <v>22</v>
      </c>
      <c r="E717" s="50"/>
      <c r="F717" s="50"/>
      <c r="G717" s="52"/>
      <c r="H717" s="418" t="s">
        <v>14</v>
      </c>
      <c r="I717" s="163"/>
      <c r="J717" s="163"/>
      <c r="K717" s="164"/>
      <c r="L717" s="256">
        <f>L718+L719</f>
        <v>0</v>
      </c>
      <c r="M717" s="255">
        <f>M718+M719</f>
        <v>0</v>
      </c>
      <c r="N717" s="255">
        <f>N718+N719</f>
        <v>0</v>
      </c>
      <c r="O717" s="255">
        <f>IF(L717&gt;0,N717*100/L717,0)</f>
        <v>0</v>
      </c>
      <c r="P717" s="255">
        <f>IF(M717&gt;0,N717*100/M717,0)</f>
        <v>0</v>
      </c>
      <c r="Q717" s="255">
        <f>Q718+Q719</f>
        <v>0</v>
      </c>
      <c r="R717" s="255">
        <f>R718+R719</f>
        <v>0</v>
      </c>
      <c r="S717" s="255">
        <f>S718+S719</f>
        <v>0</v>
      </c>
      <c r="T717" s="255">
        <f>IF(Q717&gt;0,S717*100/Q717,0)</f>
        <v>0</v>
      </c>
      <c r="U717" s="255">
        <f>IF(R717&gt;0,S717*100/R717,0)</f>
        <v>0</v>
      </c>
    </row>
    <row r="718" spans="1:21" ht="18.75" hidden="1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103">
        <v>0</v>
      </c>
      <c r="M718" s="102">
        <v>0</v>
      </c>
      <c r="N718" s="102">
        <v>0</v>
      </c>
      <c r="O718" s="102">
        <f>IF(L718&gt;0,N718*100/L718,0)</f>
        <v>0</v>
      </c>
      <c r="P718" s="102">
        <f>IF(M718&gt;0,N718*100/M718,0)</f>
        <v>0</v>
      </c>
      <c r="Q718" s="102">
        <v>0</v>
      </c>
      <c r="R718" s="102">
        <v>0</v>
      </c>
      <c r="S718" s="102">
        <v>0</v>
      </c>
      <c r="T718" s="102">
        <f>IF(Q718&gt;0,S718*100/Q718,0)</f>
        <v>0</v>
      </c>
      <c r="U718" s="102">
        <f>IF(R718&gt;0,S718*100/R718,0)</f>
        <v>0</v>
      </c>
    </row>
    <row r="719" spans="1:21" ht="18.75" hidden="1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256">
        <v>0</v>
      </c>
      <c r="M719" s="255">
        <v>0</v>
      </c>
      <c r="N719" s="255">
        <v>0</v>
      </c>
      <c r="O719" s="255">
        <f>IF(L719&gt;0,N719*100/L719,0)</f>
        <v>0</v>
      </c>
      <c r="P719" s="255">
        <f>IF(M719&gt;0,N719*100/M719,0)</f>
        <v>0</v>
      </c>
      <c r="Q719" s="255">
        <v>0</v>
      </c>
      <c r="R719" s="255">
        <v>0</v>
      </c>
      <c r="S719" s="255">
        <v>0</v>
      </c>
      <c r="T719" s="255">
        <f>IF(Q719&gt;0,S719*100/Q719,0)</f>
        <v>0</v>
      </c>
      <c r="U719" s="255">
        <f>IF(R719&gt;0,S719*100/R719,0)</f>
        <v>0</v>
      </c>
    </row>
    <row r="720" spans="1:21" ht="19.5" hidden="1">
      <c r="A720" s="155"/>
      <c r="B720" s="188"/>
      <c r="C720" s="188"/>
      <c r="D720" s="562" t="s">
        <v>23</v>
      </c>
      <c r="E720" s="50"/>
      <c r="F720" s="50"/>
      <c r="G720" s="52"/>
      <c r="H720" s="420" t="s">
        <v>14</v>
      </c>
      <c r="I720" s="163"/>
      <c r="J720" s="163"/>
      <c r="K720" s="164"/>
      <c r="L720" s="256">
        <f>L721+L722</f>
        <v>0</v>
      </c>
      <c r="M720" s="255">
        <f>M721+M722</f>
        <v>0</v>
      </c>
      <c r="N720" s="255">
        <f>N721+N722</f>
        <v>0</v>
      </c>
      <c r="O720" s="255">
        <f>IF(L720&gt;0,N720*100/L720,0)</f>
        <v>0</v>
      </c>
      <c r="P720" s="255">
        <f>IF(M720&gt;0,N720*100/M720,0)</f>
        <v>0</v>
      </c>
      <c r="Q720" s="255">
        <f>Q721+Q722</f>
        <v>0</v>
      </c>
      <c r="R720" s="255">
        <f>R721+R722</f>
        <v>0</v>
      </c>
      <c r="S720" s="255">
        <f>S721+S722</f>
        <v>0</v>
      </c>
      <c r="T720" s="255">
        <f>IF(Q720&gt;0,S720*100/Q720,0)</f>
        <v>0</v>
      </c>
      <c r="U720" s="255">
        <f>IF(R720&gt;0,S720*100/R720,0)</f>
        <v>0</v>
      </c>
    </row>
    <row r="721" spans="1:21" ht="18.75" hidden="1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103">
        <v>0</v>
      </c>
      <c r="M721" s="102">
        <v>0</v>
      </c>
      <c r="N721" s="102">
        <v>0</v>
      </c>
      <c r="O721" s="102">
        <f>IF(L721&gt;0,N721*100/L721,0)</f>
        <v>0</v>
      </c>
      <c r="P721" s="102">
        <f>IF(M721&gt;0,N721*100/M721,0)</f>
        <v>0</v>
      </c>
      <c r="Q721" s="102">
        <v>0</v>
      </c>
      <c r="R721" s="102">
        <v>0</v>
      </c>
      <c r="S721" s="102">
        <v>0</v>
      </c>
      <c r="T721" s="102">
        <f>IF(Q721&gt;0,S721*100/Q721,0)</f>
        <v>0</v>
      </c>
      <c r="U721" s="102">
        <f>IF(R721&gt;0,S721*100/R721,0)</f>
        <v>0</v>
      </c>
    </row>
    <row r="722" spans="1:21" ht="18.75" hidden="1">
      <c r="A722" s="155"/>
      <c r="B722" s="188"/>
      <c r="C722" s="188"/>
      <c r="D722" s="50"/>
      <c r="E722" s="186" t="s">
        <v>21</v>
      </c>
      <c r="F722" s="50"/>
      <c r="G722" s="52"/>
      <c r="H722" s="421" t="s">
        <v>14</v>
      </c>
      <c r="I722" s="163"/>
      <c r="J722" s="163"/>
      <c r="K722" s="164"/>
      <c r="L722" s="256">
        <v>0</v>
      </c>
      <c r="M722" s="255">
        <v>0</v>
      </c>
      <c r="N722" s="255">
        <v>0</v>
      </c>
      <c r="O722" s="255">
        <f>IF(L722&gt;0,N722*100/L722,0)</f>
        <v>0</v>
      </c>
      <c r="P722" s="255">
        <f>IF(M722&gt;0,N722*100/M722,0)</f>
        <v>0</v>
      </c>
      <c r="Q722" s="255">
        <v>0</v>
      </c>
      <c r="R722" s="255">
        <v>0</v>
      </c>
      <c r="S722" s="255">
        <v>0</v>
      </c>
      <c r="T722" s="255">
        <f>IF(Q722&gt;0,S722*100/Q722,0)</f>
        <v>0</v>
      </c>
      <c r="U722" s="255">
        <f>IF(R722&gt;0,S722*100/R722,0)</f>
        <v>0</v>
      </c>
    </row>
    <row r="723" spans="1:21" ht="19.5" hidden="1">
      <c r="A723" s="166"/>
      <c r="B723" s="167"/>
      <c r="C723" s="358" t="s">
        <v>18</v>
      </c>
      <c r="D723" s="561" t="s">
        <v>38</v>
      </c>
      <c r="E723" s="169"/>
      <c r="F723" s="169"/>
      <c r="G723" s="170"/>
      <c r="H723" s="206"/>
      <c r="I723" s="163"/>
      <c r="J723" s="163"/>
      <c r="K723" s="164"/>
      <c r="L723" s="172"/>
      <c r="M723" s="164"/>
      <c r="N723" s="164"/>
      <c r="O723" s="164"/>
      <c r="P723" s="164"/>
      <c r="Q723" s="164"/>
      <c r="R723" s="164"/>
      <c r="S723" s="164"/>
      <c r="T723" s="164"/>
      <c r="U723" s="164"/>
    </row>
    <row r="724" spans="1:21" ht="18.75" hidden="1">
      <c r="A724" s="238"/>
      <c r="B724" s="188"/>
      <c r="C724" s="188"/>
      <c r="D724" s="50"/>
      <c r="E724" s="186" t="s">
        <v>268</v>
      </c>
      <c r="F724" s="50"/>
      <c r="G724" s="52"/>
      <c r="H724" s="189" t="s">
        <v>46</v>
      </c>
      <c r="I724" s="483">
        <v>0</v>
      </c>
      <c r="J724" s="54"/>
      <c r="K724" s="55"/>
      <c r="L724" s="62"/>
      <c r="M724" s="55"/>
      <c r="N724" s="55"/>
      <c r="O724" s="55"/>
      <c r="P724" s="55"/>
      <c r="Q724" s="55"/>
      <c r="R724" s="55"/>
      <c r="S724" s="55"/>
      <c r="T724" s="55"/>
      <c r="U724" s="55"/>
    </row>
    <row r="725" spans="1:21" ht="18.75" hidden="1">
      <c r="A725" s="374"/>
      <c r="B725" s="5"/>
      <c r="C725" s="5"/>
      <c r="D725" s="4"/>
      <c r="E725" s="484" t="s">
        <v>269</v>
      </c>
      <c r="F725" s="4"/>
      <c r="G725" s="65"/>
      <c r="H725" s="485" t="s">
        <v>46</v>
      </c>
      <c r="I725" s="486">
        <v>0</v>
      </c>
      <c r="J725" s="67"/>
      <c r="K725" s="6"/>
      <c r="L725" s="68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>
      <c r="A726" s="442"/>
      <c r="B726" s="443" t="s">
        <v>270</v>
      </c>
      <c r="C726" s="442"/>
      <c r="D726" s="444"/>
      <c r="E726" s="444"/>
      <c r="F726" s="444"/>
      <c r="G726" s="445"/>
      <c r="H726" s="473" t="s">
        <v>35</v>
      </c>
      <c r="I726" s="544">
        <f ca="1">IFERROR(__xludf.DUMMYFUNCTION("IMPORTRANGE(""https://docs.google.com/spreadsheets/d/1eHaY18a8A9IcSdp1K8H6x8fbOy06t2VsZHhMHf-1x7Y/edit?usp=sharing"",""แผน!GA40"")"),128)</f>
        <v>128</v>
      </c>
      <c r="J726" s="544">
        <f>J742+J746+J749</f>
        <v>128</v>
      </c>
      <c r="K726" s="543">
        <f ca="1">IF(I726&gt;0,J726*100/I726,0)</f>
        <v>100</v>
      </c>
      <c r="L726" s="449"/>
      <c r="M726" s="448"/>
      <c r="N726" s="448"/>
      <c r="O726" s="448"/>
      <c r="P726" s="448"/>
      <c r="Q726" s="448"/>
      <c r="R726" s="448"/>
      <c r="S726" s="448"/>
      <c r="T726" s="448"/>
      <c r="U726" s="448"/>
    </row>
    <row r="727" spans="1:21" ht="19.5">
      <c r="A727" s="487"/>
      <c r="B727" s="442"/>
      <c r="C727" s="442"/>
      <c r="D727" s="444"/>
      <c r="E727" s="444"/>
      <c r="F727" s="444"/>
      <c r="G727" s="445"/>
      <c r="H727" s="473" t="s">
        <v>46</v>
      </c>
      <c r="I727" s="544">
        <f ca="1">IFERROR(__xludf.DUMMYFUNCTION("IMPORTRANGE(""https://docs.google.com/spreadsheets/d/1eHaY18a8A9IcSdp1K8H6x8fbOy06t2VsZHhMHf-1x7Y/edit?usp=sharing"",""แผน!FZ40"")"),1250)</f>
        <v>1250</v>
      </c>
      <c r="J727" s="544">
        <f>J752+J755</f>
        <v>0</v>
      </c>
      <c r="K727" s="543">
        <f ca="1">IF(I727&gt;0,J727*100/I727,0)</f>
        <v>0</v>
      </c>
      <c r="L727" s="449"/>
      <c r="M727" s="448"/>
      <c r="N727" s="448"/>
      <c r="O727" s="448"/>
      <c r="P727" s="448"/>
      <c r="Q727" s="448"/>
      <c r="R727" s="448"/>
      <c r="S727" s="448"/>
      <c r="T727" s="448"/>
      <c r="U727" s="448"/>
    </row>
    <row r="728" spans="1:21" ht="19.5">
      <c r="A728" s="155"/>
      <c r="B728" s="188"/>
      <c r="C728" s="205" t="s">
        <v>18</v>
      </c>
      <c r="D728" s="542" t="s">
        <v>19</v>
      </c>
      <c r="E728" s="529"/>
      <c r="F728" s="529"/>
      <c r="G728" s="530"/>
      <c r="H728" s="252" t="s">
        <v>14</v>
      </c>
      <c r="I728" s="54"/>
      <c r="J728" s="54"/>
      <c r="K728" s="55"/>
      <c r="L728" s="541">
        <f>L729+L730</f>
        <v>0</v>
      </c>
      <c r="M728" s="540">
        <f>M729+M730</f>
        <v>0</v>
      </c>
      <c r="N728" s="540">
        <f>N729+N730</f>
        <v>0</v>
      </c>
      <c r="O728" s="540">
        <f>IF(L728&gt;0,N728*100/L728,0)</f>
        <v>0</v>
      </c>
      <c r="P728" s="540">
        <f>IF(M728&gt;0,N728*100/M728,0)</f>
        <v>0</v>
      </c>
      <c r="Q728" s="540">
        <f ca="1">Q729+Q730</f>
        <v>1008470</v>
      </c>
      <c r="R728" s="540">
        <f ca="1">R729+R730</f>
        <v>1008470</v>
      </c>
      <c r="S728" s="540">
        <f ca="1">S729+S730</f>
        <v>199740</v>
      </c>
      <c r="T728" s="540">
        <f ca="1">IF(Q728&gt;0,S728*100/Q728,0)</f>
        <v>19.806241137564825</v>
      </c>
      <c r="U728" s="540">
        <f ca="1">IF(R728&gt;0,S728*100/R728,0)</f>
        <v>19.806241137564825</v>
      </c>
    </row>
    <row r="729" spans="1:21" ht="18.75" hidden="1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103">
        <f>L732+L735</f>
        <v>0</v>
      </c>
      <c r="M729" s="102">
        <f>M732+M735</f>
        <v>0</v>
      </c>
      <c r="N729" s="102">
        <f>N732+N735</f>
        <v>0</v>
      </c>
      <c r="O729" s="102">
        <f>IF(L729&gt;0,N729*100/L729,0)</f>
        <v>0</v>
      </c>
      <c r="P729" s="102">
        <f>IF(M729&gt;0,N729*100/M729,0)</f>
        <v>0</v>
      </c>
      <c r="Q729" s="102">
        <f>Q732+Q735</f>
        <v>0</v>
      </c>
      <c r="R729" s="102">
        <f>R732+R735</f>
        <v>0</v>
      </c>
      <c r="S729" s="102">
        <f>S732+S735</f>
        <v>0</v>
      </c>
      <c r="T729" s="102">
        <f>IF(Q729&gt;0,S729*100/Q729,0)</f>
        <v>0</v>
      </c>
      <c r="U729" s="102">
        <f>IF(R729&gt;0,S729*100/R729,0)</f>
        <v>0</v>
      </c>
    </row>
    <row r="730" spans="1:21" ht="18.75" hidden="1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256">
        <f>L733+L736</f>
        <v>0</v>
      </c>
      <c r="M730" s="255">
        <f>M733+M736</f>
        <v>0</v>
      </c>
      <c r="N730" s="255">
        <f>N733+N736</f>
        <v>0</v>
      </c>
      <c r="O730" s="255">
        <f>IF(L730&gt;0,N730*100/L730,0)</f>
        <v>0</v>
      </c>
      <c r="P730" s="255">
        <f>IF(M730&gt;0,N730*100/M730,0)</f>
        <v>0</v>
      </c>
      <c r="Q730" s="255">
        <f ca="1">Q733+Q736</f>
        <v>1008470</v>
      </c>
      <c r="R730" s="255">
        <f ca="1">R733+R736</f>
        <v>1008470</v>
      </c>
      <c r="S730" s="255">
        <f ca="1">S733+S736</f>
        <v>199740</v>
      </c>
      <c r="T730" s="255">
        <f ca="1">IF(Q730&gt;0,S730*100/Q730,0)</f>
        <v>19.806241137564825</v>
      </c>
      <c r="U730" s="255">
        <f ca="1">IF(R730&gt;0,S730*100/R730,0)</f>
        <v>19.806241137564825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256">
        <f>L732+L733</f>
        <v>0</v>
      </c>
      <c r="M731" s="255">
        <f>M732+M733</f>
        <v>0</v>
      </c>
      <c r="N731" s="255">
        <f>N732+N733</f>
        <v>0</v>
      </c>
      <c r="O731" s="255">
        <f>IF(L731&gt;0,N731*100/L731,0)</f>
        <v>0</v>
      </c>
      <c r="P731" s="255">
        <f>IF(M731&gt;0,N731*100/M731,0)</f>
        <v>0</v>
      </c>
      <c r="Q731" s="255">
        <f ca="1">Q732+Q733</f>
        <v>1008470</v>
      </c>
      <c r="R731" s="255">
        <f ca="1">R732+R733</f>
        <v>1008470</v>
      </c>
      <c r="S731" s="255">
        <f ca="1">S732+S733</f>
        <v>199740</v>
      </c>
      <c r="T731" s="255">
        <f ca="1">IF(Q731&gt;0,S731*100/Q731,0)</f>
        <v>19.806241137564825</v>
      </c>
      <c r="U731" s="255">
        <f ca="1">IF(R731&gt;0,S731*100/R731,0)</f>
        <v>19.806241137564825</v>
      </c>
    </row>
    <row r="732" spans="1:21" ht="18.75" hidden="1">
      <c r="A732" s="155"/>
      <c r="B732" s="188"/>
      <c r="C732" s="188"/>
      <c r="D732" s="174"/>
      <c r="E732" s="186" t="s">
        <v>159</v>
      </c>
      <c r="F732" s="50"/>
      <c r="G732" s="52"/>
      <c r="H732" s="189" t="s">
        <v>14</v>
      </c>
      <c r="I732" s="54"/>
      <c r="J732" s="54"/>
      <c r="K732" s="55"/>
      <c r="L732" s="103">
        <v>0</v>
      </c>
      <c r="M732" s="102">
        <v>0</v>
      </c>
      <c r="N732" s="102">
        <v>0</v>
      </c>
      <c r="O732" s="102">
        <f>IF(L732&gt;0,N732*100/L732,0)</f>
        <v>0</v>
      </c>
      <c r="P732" s="102">
        <f>IF(M732&gt;0,N732*100/M732,0)</f>
        <v>0</v>
      </c>
      <c r="Q732" s="102">
        <v>0</v>
      </c>
      <c r="R732" s="102">
        <v>0</v>
      </c>
      <c r="S732" s="102">
        <v>0</v>
      </c>
      <c r="T732" s="102">
        <f>IF(Q732&gt;0,S732*100/Q732,0)</f>
        <v>0</v>
      </c>
      <c r="U732" s="102">
        <f>IF(R732&gt;0,S732*100/R732,0)</f>
        <v>0</v>
      </c>
    </row>
    <row r="733" spans="1:21" ht="18.75" hidden="1">
      <c r="A733" s="155"/>
      <c r="B733" s="188"/>
      <c r="C733" s="188"/>
      <c r="D733" s="174"/>
      <c r="E733" s="58" t="s">
        <v>160</v>
      </c>
      <c r="F733" s="50"/>
      <c r="G733" s="52"/>
      <c r="H733" s="162" t="s">
        <v>14</v>
      </c>
      <c r="I733" s="54"/>
      <c r="J733" s="54"/>
      <c r="K733" s="55"/>
      <c r="L733" s="256">
        <v>0</v>
      </c>
      <c r="M733" s="255">
        <v>0</v>
      </c>
      <c r="N733" s="255">
        <v>0</v>
      </c>
      <c r="O733" s="255">
        <f>IF(L733&gt;0,N733*100/L733,0)</f>
        <v>0</v>
      </c>
      <c r="P733" s="255">
        <f>IF(M733&gt;0,N733*100/M733,0)</f>
        <v>0</v>
      </c>
      <c r="Q733" s="255">
        <f ca="1">IFERROR(__xludf.DUMMYFUNCTION("IMPORTRANGE(""https://docs.google.com/spreadsheets/d/1ItG2mGa2ceCfYo0BwxsXqNm01IGEUdYcSSLTEv9YCik/edit?usp=sharing"",""เบิกจ่ายกองทุน!O40"")"),1008470)</f>
        <v>1008470</v>
      </c>
      <c r="R733" s="255">
        <f ca="1">IFERROR(__xludf.DUMMYFUNCTION("IMPORTRANGE(""https://docs.google.com/spreadsheets/d/1ItG2mGa2ceCfYo0BwxsXqNm01IGEUdYcSSLTEv9YCik/edit?usp=sharing"",""เบิกจ่ายกองทุน!P40"")"),1008470)</f>
        <v>1008470</v>
      </c>
      <c r="S733" s="255">
        <f ca="1">IFERROR(__xludf.DUMMYFUNCTION("IMPORTRANGE(""https://docs.google.com/spreadsheets/d/1ItG2mGa2ceCfYo0BwxsXqNm01IGEUdYcSSLTEv9YCik/edit?usp=sharing"",""เบิกจ่ายกองทุน!Q40"")"),199740)</f>
        <v>199740</v>
      </c>
      <c r="T733" s="255">
        <f ca="1">IF(Q733&gt;0,S733*100/Q733,0)</f>
        <v>19.806241137564825</v>
      </c>
      <c r="U733" s="255">
        <f ca="1">IF(R733&gt;0,S733*100/R733,0)</f>
        <v>19.806241137564825</v>
      </c>
    </row>
    <row r="734" spans="1:21" ht="18.75">
      <c r="A734" s="155"/>
      <c r="B734" s="188"/>
      <c r="C734" s="188"/>
      <c r="D734" s="51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256">
        <f>L735+L736</f>
        <v>0</v>
      </c>
      <c r="M734" s="255">
        <f>M735+M736</f>
        <v>0</v>
      </c>
      <c r="N734" s="255">
        <f>N735+N736</f>
        <v>0</v>
      </c>
      <c r="O734" s="255">
        <f>IF(L734&gt;0,N734*100/L734,0)</f>
        <v>0</v>
      </c>
      <c r="P734" s="255">
        <f>IF(M734&gt;0,N734*100/M734,0)</f>
        <v>0</v>
      </c>
      <c r="Q734" s="255">
        <f>Q735+Q736</f>
        <v>0</v>
      </c>
      <c r="R734" s="255">
        <f>R735+R736</f>
        <v>0</v>
      </c>
      <c r="S734" s="255">
        <f>S735+S736</f>
        <v>0</v>
      </c>
      <c r="T734" s="255">
        <f>IF(Q734&gt;0,S734*100/Q734,0)</f>
        <v>0</v>
      </c>
      <c r="U734" s="255">
        <f>IF(R734&gt;0,S734*100/R734,0)</f>
        <v>0</v>
      </c>
    </row>
    <row r="735" spans="1:21" ht="18.75" hidden="1">
      <c r="A735" s="155"/>
      <c r="B735" s="188"/>
      <c r="C735" s="188"/>
      <c r="D735" s="188"/>
      <c r="E735" s="358" t="s">
        <v>20</v>
      </c>
      <c r="F735" s="188"/>
      <c r="G735" s="52"/>
      <c r="H735" s="189" t="s">
        <v>14</v>
      </c>
      <c r="I735" s="163"/>
      <c r="J735" s="163"/>
      <c r="K735" s="164"/>
      <c r="L735" s="103">
        <v>0</v>
      </c>
      <c r="M735" s="102">
        <v>0</v>
      </c>
      <c r="N735" s="102">
        <v>0</v>
      </c>
      <c r="O735" s="102">
        <f>IF(L735&gt;0,N735*100/L735,0)</f>
        <v>0</v>
      </c>
      <c r="P735" s="102">
        <f>IF(M735&gt;0,N735*100/M735,0)</f>
        <v>0</v>
      </c>
      <c r="Q735" s="102">
        <v>0</v>
      </c>
      <c r="R735" s="102">
        <v>0</v>
      </c>
      <c r="S735" s="102">
        <v>0</v>
      </c>
      <c r="T735" s="102">
        <f>IF(Q735&gt;0,S735*100/Q735,0)</f>
        <v>0</v>
      </c>
      <c r="U735" s="102">
        <f>IF(R735&gt;0,S735*100/R735,0)</f>
        <v>0</v>
      </c>
    </row>
    <row r="736" spans="1:21" ht="18.75" hidden="1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256">
        <v>0</v>
      </c>
      <c r="M736" s="255">
        <v>0</v>
      </c>
      <c r="N736" s="255">
        <v>0</v>
      </c>
      <c r="O736" s="255">
        <f>IF(L736&gt;0,N736*100/L736,0)</f>
        <v>0</v>
      </c>
      <c r="P736" s="255">
        <f>IF(M736&gt;0,N736*100/M736,0)</f>
        <v>0</v>
      </c>
      <c r="Q736" s="255">
        <v>0</v>
      </c>
      <c r="R736" s="255">
        <v>0</v>
      </c>
      <c r="S736" s="255">
        <v>0</v>
      </c>
      <c r="T736" s="255">
        <f>IF(Q736&gt;0,S736*100/Q736,0)</f>
        <v>0</v>
      </c>
      <c r="U736" s="255">
        <f>IF(R736&gt;0,S736*100/R736,0)</f>
        <v>0</v>
      </c>
    </row>
    <row r="737" spans="1:21" ht="19.5">
      <c r="A737" s="166"/>
      <c r="B737" s="167"/>
      <c r="C737" s="205" t="s">
        <v>18</v>
      </c>
      <c r="D737" s="560" t="s">
        <v>38</v>
      </c>
      <c r="E737" s="232"/>
      <c r="F737" s="169"/>
      <c r="G737" s="170"/>
      <c r="H737" s="206"/>
      <c r="I737" s="54"/>
      <c r="J737" s="54"/>
      <c r="K737" s="55"/>
      <c r="L737" s="62"/>
      <c r="M737" s="55"/>
      <c r="N737" s="55"/>
      <c r="O737" s="55"/>
      <c r="P737" s="55"/>
      <c r="Q737" s="55"/>
      <c r="R737" s="55"/>
      <c r="S737" s="55"/>
      <c r="T737" s="55"/>
      <c r="U737" s="55"/>
    </row>
    <row r="738" spans="1:21" ht="19.5">
      <c r="A738" s="166"/>
      <c r="B738" s="167"/>
      <c r="C738" s="167"/>
      <c r="D738" s="488" t="s">
        <v>121</v>
      </c>
      <c r="E738" s="167"/>
      <c r="F738" s="167"/>
      <c r="G738" s="171"/>
      <c r="H738" s="208"/>
      <c r="I738" s="54"/>
      <c r="J738" s="54"/>
      <c r="K738" s="55"/>
      <c r="L738" s="62"/>
      <c r="M738" s="55"/>
      <c r="N738" s="55"/>
      <c r="O738" s="55"/>
      <c r="P738" s="55"/>
      <c r="Q738" s="55"/>
      <c r="R738" s="55"/>
      <c r="S738" s="55"/>
      <c r="T738" s="55"/>
      <c r="U738" s="55"/>
    </row>
    <row r="739" spans="1:21" ht="18.75">
      <c r="A739" s="166"/>
      <c r="B739" s="167"/>
      <c r="C739" s="167"/>
      <c r="D739" s="167"/>
      <c r="E739" s="460" t="s">
        <v>271</v>
      </c>
      <c r="F739" s="167"/>
      <c r="G739" s="171"/>
      <c r="H739" s="208"/>
      <c r="I739" s="54"/>
      <c r="J739" s="54"/>
      <c r="K739" s="55"/>
      <c r="L739" s="62"/>
      <c r="M739" s="55"/>
      <c r="N739" s="55"/>
      <c r="O739" s="55"/>
      <c r="P739" s="55"/>
      <c r="Q739" s="55"/>
      <c r="R739" s="55"/>
      <c r="S739" s="55"/>
      <c r="T739" s="55"/>
      <c r="U739" s="55"/>
    </row>
    <row r="740" spans="1:21" ht="18.75">
      <c r="A740" s="554"/>
      <c r="B740" s="553"/>
      <c r="C740" s="553"/>
      <c r="D740" s="553"/>
      <c r="E740" s="553"/>
      <c r="F740" s="558" t="s">
        <v>272</v>
      </c>
      <c r="G740" s="550"/>
      <c r="H740" s="549" t="s">
        <v>46</v>
      </c>
      <c r="I740" s="556">
        <f ca="1">IFERROR(__xludf.DUMMYFUNCTION("IMPORTRANGE(""https://docs.google.com/spreadsheets/d/1eHaY18a8A9IcSdp1K8H6x8fbOy06t2VsZHhMHf-1x7Y/edit?usp=sharing"",""แผน!GB40"")"),1000)</f>
        <v>1000</v>
      </c>
      <c r="J740" s="547">
        <v>1000</v>
      </c>
      <c r="K740" s="555">
        <f ca="1">IF(I740&gt;0,J740*100/I740,0)</f>
        <v>100</v>
      </c>
      <c r="L740" s="546"/>
      <c r="M740" s="545"/>
      <c r="N740" s="545"/>
      <c r="O740" s="545"/>
      <c r="P740" s="545"/>
      <c r="Q740" s="545"/>
      <c r="R740" s="545"/>
      <c r="S740" s="545"/>
      <c r="T740" s="545"/>
      <c r="U740" s="545"/>
    </row>
    <row r="741" spans="1:21" ht="18.75">
      <c r="A741" s="554"/>
      <c r="B741" s="553"/>
      <c r="C741" s="553"/>
      <c r="D741" s="553"/>
      <c r="E741" s="553"/>
      <c r="F741" s="558" t="s">
        <v>307</v>
      </c>
      <c r="G741" s="550"/>
      <c r="H741" s="549" t="s">
        <v>35</v>
      </c>
      <c r="I741" s="548"/>
      <c r="J741" s="547">
        <v>0</v>
      </c>
      <c r="K741" s="545"/>
      <c r="L741" s="546"/>
      <c r="M741" s="545"/>
      <c r="N741" s="545"/>
      <c r="O741" s="545"/>
      <c r="P741" s="545"/>
      <c r="Q741" s="545"/>
      <c r="R741" s="545"/>
      <c r="S741" s="545"/>
      <c r="T741" s="545"/>
      <c r="U741" s="545"/>
    </row>
    <row r="742" spans="1:21" ht="18.75">
      <c r="A742" s="554"/>
      <c r="B742" s="553"/>
      <c r="C742" s="553"/>
      <c r="D742" s="553"/>
      <c r="E742" s="553"/>
      <c r="F742" s="558" t="s">
        <v>306</v>
      </c>
      <c r="G742" s="550"/>
      <c r="H742" s="549" t="s">
        <v>35</v>
      </c>
      <c r="I742" s="556">
        <f ca="1">IFERROR(__xludf.DUMMYFUNCTION("IMPORTRANGE(""https://docs.google.com/spreadsheets/d/1eHaY18a8A9IcSdp1K8H6x8fbOy06t2VsZHhMHf-1x7Y/edit?usp=sharing"",""แผน!GC40"")"),100)</f>
        <v>100</v>
      </c>
      <c r="J742" s="547">
        <v>100</v>
      </c>
      <c r="K742" s="555">
        <f ca="1">IF(I742&gt;0,J742*100/I742,0)</f>
        <v>100</v>
      </c>
      <c r="L742" s="546"/>
      <c r="M742" s="545"/>
      <c r="N742" s="545"/>
      <c r="O742" s="545"/>
      <c r="P742" s="545"/>
      <c r="Q742" s="545"/>
      <c r="R742" s="545"/>
      <c r="S742" s="545"/>
      <c r="T742" s="545"/>
      <c r="U742" s="545"/>
    </row>
    <row r="743" spans="1:21" ht="18.75">
      <c r="A743" s="554"/>
      <c r="B743" s="553"/>
      <c r="C743" s="553"/>
      <c r="D743" s="553"/>
      <c r="E743" s="558" t="s">
        <v>275</v>
      </c>
      <c r="F743" s="553"/>
      <c r="G743" s="550"/>
      <c r="H743" s="557"/>
      <c r="I743" s="548"/>
      <c r="J743" s="548"/>
      <c r="K743" s="545"/>
      <c r="L743" s="546"/>
      <c r="M743" s="545"/>
      <c r="N743" s="545"/>
      <c r="O743" s="545"/>
      <c r="P743" s="545"/>
      <c r="Q743" s="545"/>
      <c r="R743" s="545"/>
      <c r="S743" s="545"/>
      <c r="T743" s="545"/>
      <c r="U743" s="545"/>
    </row>
    <row r="744" spans="1:21" ht="18.75">
      <c r="A744" s="554"/>
      <c r="B744" s="553"/>
      <c r="C744" s="553"/>
      <c r="D744" s="553"/>
      <c r="E744" s="553"/>
      <c r="F744" s="558" t="s">
        <v>272</v>
      </c>
      <c r="G744" s="550"/>
      <c r="H744" s="549" t="s">
        <v>46</v>
      </c>
      <c r="I744" s="556">
        <f ca="1">IFERROR(__xludf.DUMMYFUNCTION("IMPORTRANGE(""https://docs.google.com/spreadsheets/d/1eHaY18a8A9IcSdp1K8H6x8fbOy06t2VsZHhMHf-1x7Y/edit?usp=sharing"",""แผน!GD40"")"),250)</f>
        <v>250</v>
      </c>
      <c r="J744" s="547">
        <v>250</v>
      </c>
      <c r="K744" s="555">
        <f ca="1">IF(I744&gt;0,J744*100/I744,0)</f>
        <v>100</v>
      </c>
      <c r="L744" s="546"/>
      <c r="M744" s="545"/>
      <c r="N744" s="545"/>
      <c r="O744" s="545"/>
      <c r="P744" s="545"/>
      <c r="Q744" s="545"/>
      <c r="R744" s="545"/>
      <c r="S744" s="545"/>
      <c r="T744" s="545"/>
      <c r="U744" s="545"/>
    </row>
    <row r="745" spans="1:21" ht="18.75">
      <c r="A745" s="554"/>
      <c r="B745" s="553"/>
      <c r="C745" s="553"/>
      <c r="D745" s="553"/>
      <c r="E745" s="553"/>
      <c r="F745" s="558" t="s">
        <v>305</v>
      </c>
      <c r="G745" s="550"/>
      <c r="H745" s="549" t="s">
        <v>35</v>
      </c>
      <c r="I745" s="548"/>
      <c r="J745" s="547">
        <v>0</v>
      </c>
      <c r="K745" s="545"/>
      <c r="L745" s="546"/>
      <c r="M745" s="545"/>
      <c r="N745" s="545"/>
      <c r="O745" s="545"/>
      <c r="P745" s="545"/>
      <c r="Q745" s="545"/>
      <c r="R745" s="545"/>
      <c r="S745" s="545"/>
      <c r="T745" s="545"/>
      <c r="U745" s="545"/>
    </row>
    <row r="746" spans="1:21" ht="18.75">
      <c r="A746" s="554"/>
      <c r="B746" s="553"/>
      <c r="C746" s="553"/>
      <c r="D746" s="553"/>
      <c r="E746" s="553"/>
      <c r="F746" s="558" t="s">
        <v>304</v>
      </c>
      <c r="G746" s="550"/>
      <c r="H746" s="549" t="s">
        <v>35</v>
      </c>
      <c r="I746" s="556">
        <f ca="1">IFERROR(__xludf.DUMMYFUNCTION("IMPORTRANGE(""https://docs.google.com/spreadsheets/d/1eHaY18a8A9IcSdp1K8H6x8fbOy06t2VsZHhMHf-1x7Y/edit?usp=sharing"",""แผน!GE40"")"),25)</f>
        <v>25</v>
      </c>
      <c r="J746" s="547">
        <v>25</v>
      </c>
      <c r="K746" s="555">
        <f ca="1">IF(I746&gt;0,J746*100/I746,0)</f>
        <v>100</v>
      </c>
      <c r="L746" s="546"/>
      <c r="M746" s="545"/>
      <c r="N746" s="545"/>
      <c r="O746" s="545"/>
      <c r="P746" s="545"/>
      <c r="Q746" s="545"/>
      <c r="R746" s="545"/>
      <c r="S746" s="545"/>
      <c r="T746" s="545"/>
      <c r="U746" s="545"/>
    </row>
    <row r="747" spans="1:21" ht="18.75">
      <c r="A747" s="554"/>
      <c r="B747" s="553"/>
      <c r="C747" s="553"/>
      <c r="D747" s="553"/>
      <c r="E747" s="558" t="s">
        <v>278</v>
      </c>
      <c r="F747" s="552"/>
      <c r="G747" s="550"/>
      <c r="H747" s="557"/>
      <c r="I747" s="548"/>
      <c r="J747" s="548"/>
      <c r="K747" s="545"/>
      <c r="L747" s="546"/>
      <c r="M747" s="545"/>
      <c r="N747" s="545"/>
      <c r="O747" s="545"/>
      <c r="P747" s="545"/>
      <c r="Q747" s="545"/>
      <c r="R747" s="545"/>
      <c r="S747" s="545"/>
      <c r="T747" s="545"/>
      <c r="U747" s="545"/>
    </row>
    <row r="748" spans="1:21" ht="18.75">
      <c r="A748" s="554"/>
      <c r="B748" s="553"/>
      <c r="C748" s="553"/>
      <c r="D748" s="553"/>
      <c r="E748" s="553"/>
      <c r="F748" s="558" t="s">
        <v>303</v>
      </c>
      <c r="G748" s="550"/>
      <c r="H748" s="549" t="s">
        <v>35</v>
      </c>
      <c r="I748" s="548"/>
      <c r="J748" s="547">
        <v>0</v>
      </c>
      <c r="K748" s="545"/>
      <c r="L748" s="546"/>
      <c r="M748" s="545"/>
      <c r="N748" s="545"/>
      <c r="O748" s="545"/>
      <c r="P748" s="545"/>
      <c r="Q748" s="545"/>
      <c r="R748" s="545"/>
      <c r="S748" s="545"/>
      <c r="T748" s="545"/>
      <c r="U748" s="545"/>
    </row>
    <row r="749" spans="1:21" ht="18.75">
      <c r="A749" s="554"/>
      <c r="B749" s="553"/>
      <c r="C749" s="553"/>
      <c r="D749" s="553"/>
      <c r="E749" s="553"/>
      <c r="F749" s="558" t="s">
        <v>302</v>
      </c>
      <c r="G749" s="550"/>
      <c r="H749" s="549" t="s">
        <v>35</v>
      </c>
      <c r="I749" s="556">
        <f ca="1">IFERROR(__xludf.DUMMYFUNCTION("IMPORTRANGE(""https://docs.google.com/spreadsheets/d/1eHaY18a8A9IcSdp1K8H6x8fbOy06t2VsZHhMHf-1x7Y/edit?usp=sharing"",""แผน!GF40"")"),3)</f>
        <v>3</v>
      </c>
      <c r="J749" s="547">
        <v>3</v>
      </c>
      <c r="K749" s="555">
        <f ca="1">IF(I749&gt;0,J749*100/I749,0)</f>
        <v>100</v>
      </c>
      <c r="L749" s="546"/>
      <c r="M749" s="545"/>
      <c r="N749" s="545"/>
      <c r="O749" s="545"/>
      <c r="P749" s="545"/>
      <c r="Q749" s="545"/>
      <c r="R749" s="545"/>
      <c r="S749" s="545"/>
      <c r="T749" s="545"/>
      <c r="U749" s="545"/>
    </row>
    <row r="750" spans="1:21" ht="19.5">
      <c r="A750" s="554"/>
      <c r="B750" s="553"/>
      <c r="C750" s="553"/>
      <c r="D750" s="559" t="s">
        <v>50</v>
      </c>
      <c r="E750" s="553"/>
      <c r="F750" s="552"/>
      <c r="G750" s="550"/>
      <c r="H750" s="557"/>
      <c r="I750" s="548"/>
      <c r="J750" s="548"/>
      <c r="K750" s="545"/>
      <c r="L750" s="546"/>
      <c r="M750" s="545"/>
      <c r="N750" s="545"/>
      <c r="O750" s="545"/>
      <c r="P750" s="545"/>
      <c r="Q750" s="545"/>
      <c r="R750" s="545"/>
      <c r="S750" s="545"/>
      <c r="T750" s="545"/>
      <c r="U750" s="545"/>
    </row>
    <row r="751" spans="1:21" ht="18.75">
      <c r="A751" s="554"/>
      <c r="B751" s="553"/>
      <c r="C751" s="553"/>
      <c r="D751" s="553"/>
      <c r="E751" s="558" t="s">
        <v>271</v>
      </c>
      <c r="F751" s="552"/>
      <c r="G751" s="550"/>
      <c r="H751" s="557"/>
      <c r="I751" s="548"/>
      <c r="J751" s="548"/>
      <c r="K751" s="545"/>
      <c r="L751" s="546"/>
      <c r="M751" s="545"/>
      <c r="N751" s="545"/>
      <c r="O751" s="545"/>
      <c r="P751" s="545"/>
      <c r="Q751" s="545"/>
      <c r="R751" s="545"/>
      <c r="S751" s="545"/>
      <c r="T751" s="545"/>
      <c r="U751" s="545"/>
    </row>
    <row r="752" spans="1:21" ht="18.75">
      <c r="A752" s="554"/>
      <c r="B752" s="553"/>
      <c r="C752" s="553"/>
      <c r="D752" s="553"/>
      <c r="E752" s="553"/>
      <c r="F752" s="551" t="s">
        <v>301</v>
      </c>
      <c r="G752" s="550"/>
      <c r="H752" s="549" t="s">
        <v>46</v>
      </c>
      <c r="I752" s="556">
        <f ca="1">IFERROR(__xludf.DUMMYFUNCTION("IMPORTRANGE(""https://docs.google.com/spreadsheets/d/1eHaY18a8A9IcSdp1K8H6x8fbOy06t2VsZHhMHf-1x7Y/edit?usp=sharing"",""แผน!GB40"")"),1000)</f>
        <v>1000</v>
      </c>
      <c r="J752" s="547">
        <v>0</v>
      </c>
      <c r="K752" s="555">
        <f ca="1">IF(I752&gt;0,J752*100/I752,0)</f>
        <v>0</v>
      </c>
      <c r="L752" s="546"/>
      <c r="M752" s="545"/>
      <c r="N752" s="545"/>
      <c r="O752" s="545"/>
      <c r="P752" s="545"/>
      <c r="Q752" s="545"/>
      <c r="R752" s="545"/>
      <c r="S752" s="545"/>
      <c r="T752" s="545"/>
      <c r="U752" s="545"/>
    </row>
    <row r="753" spans="1:21" ht="18.75">
      <c r="A753" s="554"/>
      <c r="B753" s="553"/>
      <c r="C753" s="553"/>
      <c r="D753" s="553"/>
      <c r="E753" s="553"/>
      <c r="F753" s="551" t="s">
        <v>300</v>
      </c>
      <c r="G753" s="550"/>
      <c r="H753" s="549" t="s">
        <v>46</v>
      </c>
      <c r="I753" s="548"/>
      <c r="J753" s="547">
        <v>0</v>
      </c>
      <c r="K753" s="545"/>
      <c r="L753" s="546"/>
      <c r="M753" s="545"/>
      <c r="N753" s="545"/>
      <c r="O753" s="545"/>
      <c r="P753" s="545"/>
      <c r="Q753" s="545"/>
      <c r="R753" s="545"/>
      <c r="S753" s="545"/>
      <c r="T753" s="545"/>
      <c r="U753" s="545"/>
    </row>
    <row r="754" spans="1:21" ht="18.75">
      <c r="A754" s="554"/>
      <c r="B754" s="553"/>
      <c r="C754" s="553"/>
      <c r="D754" s="553"/>
      <c r="E754" s="558" t="s">
        <v>275</v>
      </c>
      <c r="F754" s="552"/>
      <c r="G754" s="550"/>
      <c r="H754" s="557"/>
      <c r="I754" s="548"/>
      <c r="J754" s="548"/>
      <c r="K754" s="545"/>
      <c r="L754" s="546"/>
      <c r="M754" s="545"/>
      <c r="N754" s="545"/>
      <c r="O754" s="545"/>
      <c r="P754" s="545"/>
      <c r="Q754" s="545"/>
      <c r="R754" s="545"/>
      <c r="S754" s="545"/>
      <c r="T754" s="545"/>
      <c r="U754" s="545"/>
    </row>
    <row r="755" spans="1:21" ht="18.75">
      <c r="A755" s="554"/>
      <c r="B755" s="553"/>
      <c r="C755" s="553"/>
      <c r="D755" s="553"/>
      <c r="E755" s="552"/>
      <c r="F755" s="551" t="s">
        <v>299</v>
      </c>
      <c r="G755" s="550"/>
      <c r="H755" s="549" t="s">
        <v>46</v>
      </c>
      <c r="I755" s="556">
        <f ca="1">IFERROR(__xludf.DUMMYFUNCTION("IMPORTRANGE(""https://docs.google.com/spreadsheets/d/1eHaY18a8A9IcSdp1K8H6x8fbOy06t2VsZHhMHf-1x7Y/edit?usp=sharing"",""แผน!GD40"")"),250)</f>
        <v>250</v>
      </c>
      <c r="J755" s="547">
        <v>0</v>
      </c>
      <c r="K755" s="555">
        <f ca="1">IF(I755&gt;0,J755*100/I755,0)</f>
        <v>0</v>
      </c>
      <c r="L755" s="546"/>
      <c r="M755" s="545"/>
      <c r="N755" s="545"/>
      <c r="O755" s="545"/>
      <c r="P755" s="545"/>
      <c r="Q755" s="545"/>
      <c r="R755" s="545"/>
      <c r="S755" s="545"/>
      <c r="T755" s="545"/>
      <c r="U755" s="545"/>
    </row>
    <row r="756" spans="1:21" ht="18.75">
      <c r="A756" s="554"/>
      <c r="B756" s="553"/>
      <c r="C756" s="553"/>
      <c r="D756" s="553"/>
      <c r="E756" s="552"/>
      <c r="F756" s="551" t="s">
        <v>298</v>
      </c>
      <c r="G756" s="550"/>
      <c r="H756" s="549" t="s">
        <v>46</v>
      </c>
      <c r="I756" s="548"/>
      <c r="J756" s="547">
        <v>0</v>
      </c>
      <c r="K756" s="545"/>
      <c r="L756" s="546"/>
      <c r="M756" s="545"/>
      <c r="N756" s="545"/>
      <c r="O756" s="545"/>
      <c r="P756" s="545"/>
      <c r="Q756" s="545"/>
      <c r="R756" s="545"/>
      <c r="S756" s="545"/>
      <c r="T756" s="545"/>
      <c r="U756" s="545"/>
    </row>
    <row r="757" spans="1:21" ht="18.75">
      <c r="A757" s="489"/>
      <c r="B757" s="489"/>
      <c r="C757" s="489"/>
      <c r="D757" s="489"/>
      <c r="E757" s="490" t="s">
        <v>285</v>
      </c>
      <c r="F757" s="491"/>
      <c r="G757" s="492"/>
      <c r="H757" s="493" t="s">
        <v>35</v>
      </c>
      <c r="I757" s="494"/>
      <c r="J757" s="495">
        <v>0</v>
      </c>
      <c r="K757" s="496"/>
      <c r="L757" s="496"/>
      <c r="M757" s="496"/>
      <c r="N757" s="496"/>
      <c r="O757" s="496"/>
      <c r="P757" s="496"/>
      <c r="Q757" s="496"/>
      <c r="R757" s="496"/>
      <c r="S757" s="496"/>
      <c r="T757" s="496"/>
      <c r="U757" s="496"/>
    </row>
    <row r="758" spans="1:21" ht="19.5">
      <c r="A758" s="442"/>
      <c r="B758" s="443" t="s">
        <v>286</v>
      </c>
      <c r="C758" s="442"/>
      <c r="D758" s="444"/>
      <c r="E758" s="444"/>
      <c r="F758" s="444"/>
      <c r="G758" s="445"/>
      <c r="H758" s="473" t="s">
        <v>35</v>
      </c>
      <c r="I758" s="544">
        <f ca="1">I772</f>
        <v>70</v>
      </c>
      <c r="J758" s="544">
        <f>J772</f>
        <v>0</v>
      </c>
      <c r="K758" s="543">
        <f ca="1">IF(I758&gt;0,J758*100/I758,0)</f>
        <v>0</v>
      </c>
      <c r="L758" s="449"/>
      <c r="M758" s="448"/>
      <c r="N758" s="448"/>
      <c r="O758" s="448"/>
      <c r="P758" s="448"/>
      <c r="Q758" s="448"/>
      <c r="R758" s="448"/>
      <c r="S758" s="448"/>
      <c r="T758" s="448"/>
      <c r="U758" s="448"/>
    </row>
    <row r="759" spans="1:21" ht="19.5">
      <c r="A759" s="487"/>
      <c r="B759" s="442"/>
      <c r="C759" s="442"/>
      <c r="D759" s="444"/>
      <c r="E759" s="444"/>
      <c r="F759" s="444"/>
      <c r="G759" s="445"/>
      <c r="H759" s="473" t="s">
        <v>46</v>
      </c>
      <c r="I759" s="544">
        <f ca="1">I774</f>
        <v>140</v>
      </c>
      <c r="J759" s="544">
        <f>J774</f>
        <v>0</v>
      </c>
      <c r="K759" s="543">
        <f ca="1">IF(I759&gt;0,J759*100/I759,0)</f>
        <v>0</v>
      </c>
      <c r="L759" s="449"/>
      <c r="M759" s="448"/>
      <c r="N759" s="448"/>
      <c r="O759" s="448"/>
      <c r="P759" s="448"/>
      <c r="Q759" s="448"/>
      <c r="R759" s="448"/>
      <c r="S759" s="448"/>
      <c r="T759" s="448"/>
      <c r="U759" s="448"/>
    </row>
    <row r="760" spans="1:21" ht="19.5">
      <c r="A760" s="155"/>
      <c r="B760" s="188"/>
      <c r="C760" s="205" t="s">
        <v>18</v>
      </c>
      <c r="D760" s="542" t="s">
        <v>19</v>
      </c>
      <c r="E760" s="529"/>
      <c r="F760" s="529"/>
      <c r="G760" s="530"/>
      <c r="H760" s="252" t="s">
        <v>14</v>
      </c>
      <c r="I760" s="54"/>
      <c r="J760" s="54"/>
      <c r="K760" s="55"/>
      <c r="L760" s="541">
        <f>L761+L762</f>
        <v>0</v>
      </c>
      <c r="M760" s="540">
        <f>M761+M762</f>
        <v>0</v>
      </c>
      <c r="N760" s="540">
        <f>N761+N762</f>
        <v>0</v>
      </c>
      <c r="O760" s="540">
        <f>IF(L760&gt;0,N760*100/L760,0)</f>
        <v>0</v>
      </c>
      <c r="P760" s="540">
        <f>IF(M760&gt;0,N760*100/M760,0)</f>
        <v>0</v>
      </c>
      <c r="Q760" s="540">
        <f ca="1">Q761+Q762</f>
        <v>462400</v>
      </c>
      <c r="R760" s="540">
        <f ca="1">R761+R762</f>
        <v>462400</v>
      </c>
      <c r="S760" s="540">
        <f ca="1">S761+S762</f>
        <v>27440</v>
      </c>
      <c r="T760" s="540">
        <f ca="1">IF(Q760&gt;0,S760*100/Q760,0)</f>
        <v>5.9342560553633215</v>
      </c>
      <c r="U760" s="540">
        <f ca="1">IF(R760&gt;0,S760*100/R760,0)</f>
        <v>5.9342560553633215</v>
      </c>
    </row>
    <row r="761" spans="1:21" ht="18.75" hidden="1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103">
        <f>L764+L767</f>
        <v>0</v>
      </c>
      <c r="M761" s="102">
        <f>M764+M767</f>
        <v>0</v>
      </c>
      <c r="N761" s="102">
        <f>N764+N767</f>
        <v>0</v>
      </c>
      <c r="O761" s="102">
        <f>IF(L761&gt;0,N761*100/L761,0)</f>
        <v>0</v>
      </c>
      <c r="P761" s="102">
        <f>IF(M761&gt;0,N761*100/M761,0)</f>
        <v>0</v>
      </c>
      <c r="Q761" s="102">
        <f>Q764+Q767</f>
        <v>0</v>
      </c>
      <c r="R761" s="102">
        <f>R764+R767</f>
        <v>0</v>
      </c>
      <c r="S761" s="102">
        <f>S764+S767</f>
        <v>0</v>
      </c>
      <c r="T761" s="102">
        <f>IF(Q761&gt;0,S761*100/Q761,0)</f>
        <v>0</v>
      </c>
      <c r="U761" s="102">
        <f>IF(R761&gt;0,S761*100/R761,0)</f>
        <v>0</v>
      </c>
    </row>
    <row r="762" spans="1:21" ht="18.75" hidden="1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256">
        <f>L765+L768</f>
        <v>0</v>
      </c>
      <c r="M762" s="255">
        <f>M765+M768</f>
        <v>0</v>
      </c>
      <c r="N762" s="255">
        <f>N765+N768</f>
        <v>0</v>
      </c>
      <c r="O762" s="255">
        <f>IF(L762&gt;0,N762*100/L762,0)</f>
        <v>0</v>
      </c>
      <c r="P762" s="255">
        <f>IF(M762&gt;0,N762*100/M762,0)</f>
        <v>0</v>
      </c>
      <c r="Q762" s="255">
        <f ca="1">Q765+Q768</f>
        <v>462400</v>
      </c>
      <c r="R762" s="255">
        <f ca="1">R765+R768</f>
        <v>462400</v>
      </c>
      <c r="S762" s="255">
        <f ca="1">S765+S768</f>
        <v>27440</v>
      </c>
      <c r="T762" s="255">
        <f ca="1">IF(Q762&gt;0,S762*100/Q762,0)</f>
        <v>5.9342560553633215</v>
      </c>
      <c r="U762" s="255">
        <f ca="1">IF(R762&gt;0,S762*100/R762,0)</f>
        <v>5.9342560553633215</v>
      </c>
    </row>
    <row r="763" spans="1:21" ht="18.75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256">
        <f>L764+L765</f>
        <v>0</v>
      </c>
      <c r="M763" s="255">
        <f>M764+M765</f>
        <v>0</v>
      </c>
      <c r="N763" s="255">
        <f>N764+N765</f>
        <v>0</v>
      </c>
      <c r="O763" s="255">
        <f>IF(L763&gt;0,N763*100/L763,0)</f>
        <v>0</v>
      </c>
      <c r="P763" s="255">
        <f>IF(M763&gt;0,N763*100/M763,0)</f>
        <v>0</v>
      </c>
      <c r="Q763" s="255">
        <f ca="1">Q764+Q765</f>
        <v>462400</v>
      </c>
      <c r="R763" s="255">
        <f ca="1">R764+R765</f>
        <v>462400</v>
      </c>
      <c r="S763" s="255">
        <f ca="1">S764+S765</f>
        <v>27440</v>
      </c>
      <c r="T763" s="255">
        <f ca="1">IF(Q763&gt;0,S763*100/Q763,0)</f>
        <v>5.9342560553633215</v>
      </c>
      <c r="U763" s="255">
        <f ca="1">IF(R763&gt;0,S763*100/R763,0)</f>
        <v>5.9342560553633215</v>
      </c>
    </row>
    <row r="764" spans="1:21" ht="18.75" hidden="1">
      <c r="A764" s="155"/>
      <c r="B764" s="188"/>
      <c r="C764" s="202"/>
      <c r="D764" s="174"/>
      <c r="E764" s="186" t="s">
        <v>159</v>
      </c>
      <c r="F764" s="50"/>
      <c r="G764" s="52"/>
      <c r="H764" s="189" t="s">
        <v>14</v>
      </c>
      <c r="I764" s="54"/>
      <c r="J764" s="54"/>
      <c r="K764" s="55"/>
      <c r="L764" s="103">
        <v>0</v>
      </c>
      <c r="M764" s="102">
        <v>0</v>
      </c>
      <c r="N764" s="102">
        <v>0</v>
      </c>
      <c r="O764" s="102">
        <f>IF(L764&gt;0,N764*100/L764,0)</f>
        <v>0</v>
      </c>
      <c r="P764" s="102">
        <f>IF(M764&gt;0,N764*100/M764,0)</f>
        <v>0</v>
      </c>
      <c r="Q764" s="102">
        <v>0</v>
      </c>
      <c r="R764" s="102">
        <v>0</v>
      </c>
      <c r="S764" s="102">
        <v>0</v>
      </c>
      <c r="T764" s="102">
        <f>IF(Q764&gt;0,S764*100/Q764,0)</f>
        <v>0</v>
      </c>
      <c r="U764" s="102">
        <f>IF(R764&gt;0,S764*100/R764,0)</f>
        <v>0</v>
      </c>
    </row>
    <row r="765" spans="1:21" ht="18.75" hidden="1">
      <c r="A765" s="155"/>
      <c r="B765" s="188"/>
      <c r="C765" s="202"/>
      <c r="D765" s="174"/>
      <c r="E765" s="58" t="s">
        <v>160</v>
      </c>
      <c r="F765" s="50"/>
      <c r="G765" s="52"/>
      <c r="H765" s="162" t="s">
        <v>14</v>
      </c>
      <c r="I765" s="54"/>
      <c r="J765" s="54"/>
      <c r="K765" s="55"/>
      <c r="L765" s="256">
        <v>0</v>
      </c>
      <c r="M765" s="255">
        <v>0</v>
      </c>
      <c r="N765" s="255">
        <v>0</v>
      </c>
      <c r="O765" s="255">
        <f>IF(L765&gt;0,N765*100/L765,0)</f>
        <v>0</v>
      </c>
      <c r="P765" s="255">
        <f>IF(M765&gt;0,N765*100/M765,0)</f>
        <v>0</v>
      </c>
      <c r="Q765" s="255">
        <f ca="1">IFERROR(__xludf.DUMMYFUNCTION("IMPORTRANGE(""https://docs.google.com/spreadsheets/d/1ItG2mGa2ceCfYo0BwxsXqNm01IGEUdYcSSLTEv9YCik/edit?usp=sharing"",""เบิกจ่ายกองทุน!U40"")"),462400)</f>
        <v>462400</v>
      </c>
      <c r="R765" s="255">
        <f ca="1">IFERROR(__xludf.DUMMYFUNCTION("IMPORTRANGE(""https://docs.google.com/spreadsheets/d/1ItG2mGa2ceCfYo0BwxsXqNm01IGEUdYcSSLTEv9YCik/edit?usp=sharing"",""เบิกจ่ายกองทุน!V40"")"),462400)</f>
        <v>462400</v>
      </c>
      <c r="S765" s="255">
        <f ca="1">IFERROR(__xludf.DUMMYFUNCTION("IMPORTRANGE(""https://docs.google.com/spreadsheets/d/1ItG2mGa2ceCfYo0BwxsXqNm01IGEUdYcSSLTEv9YCik/edit?usp=sharing"",""เบิกจ่ายกองทุน!W40"")"),27440)</f>
        <v>27440</v>
      </c>
      <c r="T765" s="255">
        <f ca="1">IF(Q765&gt;0,S765*100/Q765,0)</f>
        <v>5.9342560553633215</v>
      </c>
      <c r="U765" s="255">
        <f ca="1">IF(R765&gt;0,S765*100/R765,0)</f>
        <v>5.9342560553633215</v>
      </c>
    </row>
    <row r="766" spans="1:21" ht="18.75">
      <c r="A766" s="155"/>
      <c r="B766" s="188"/>
      <c r="C766" s="188"/>
      <c r="D766" s="51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256">
        <f>L767+L768</f>
        <v>0</v>
      </c>
      <c r="M766" s="255">
        <f>M767+M768</f>
        <v>0</v>
      </c>
      <c r="N766" s="255">
        <f>N767+N768</f>
        <v>0</v>
      </c>
      <c r="O766" s="255">
        <f>IF(L766&gt;0,N766*100/L766,0)</f>
        <v>0</v>
      </c>
      <c r="P766" s="255">
        <f>IF(M766&gt;0,N766*100/M766,0)</f>
        <v>0</v>
      </c>
      <c r="Q766" s="255">
        <f>Q767+Q768</f>
        <v>0</v>
      </c>
      <c r="R766" s="255">
        <f>R767+R768</f>
        <v>0</v>
      </c>
      <c r="S766" s="255">
        <f>S767+S768</f>
        <v>0</v>
      </c>
      <c r="T766" s="255">
        <f>IF(Q766&gt;0,S766*100/Q766,0)</f>
        <v>0</v>
      </c>
      <c r="U766" s="255">
        <f>IF(R766&gt;0,S766*100/R766,0)</f>
        <v>0</v>
      </c>
    </row>
    <row r="767" spans="1:21" ht="18.75" hidden="1">
      <c r="A767" s="155"/>
      <c r="B767" s="188"/>
      <c r="C767" s="188"/>
      <c r="D767" s="188"/>
      <c r="E767" s="358" t="s">
        <v>20</v>
      </c>
      <c r="F767" s="50"/>
      <c r="G767" s="52"/>
      <c r="H767" s="189" t="s">
        <v>14</v>
      </c>
      <c r="I767" s="163"/>
      <c r="J767" s="163"/>
      <c r="K767" s="164"/>
      <c r="L767" s="103">
        <v>0</v>
      </c>
      <c r="M767" s="102">
        <v>0</v>
      </c>
      <c r="N767" s="102">
        <v>0</v>
      </c>
      <c r="O767" s="102">
        <f>IF(L767&gt;0,N767*100/L767,0)</f>
        <v>0</v>
      </c>
      <c r="P767" s="102">
        <f>IF(M767&gt;0,N767*100/M767,0)</f>
        <v>0</v>
      </c>
      <c r="Q767" s="102">
        <v>0</v>
      </c>
      <c r="R767" s="102">
        <v>0</v>
      </c>
      <c r="S767" s="102">
        <v>0</v>
      </c>
      <c r="T767" s="102">
        <f>IF(Q767&gt;0,S767*100/Q767,0)</f>
        <v>0</v>
      </c>
      <c r="U767" s="102">
        <f>IF(R767&gt;0,S767*100/R767,0)</f>
        <v>0</v>
      </c>
    </row>
    <row r="768" spans="1:21" ht="18.75" hidden="1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256">
        <v>0</v>
      </c>
      <c r="M768" s="255">
        <v>0</v>
      </c>
      <c r="N768" s="255">
        <v>0</v>
      </c>
      <c r="O768" s="255">
        <f>IF(L768&gt;0,N768*100/L768,0)</f>
        <v>0</v>
      </c>
      <c r="P768" s="255">
        <f>IF(M768&gt;0,N768*100/M768,0)</f>
        <v>0</v>
      </c>
      <c r="Q768" s="255">
        <v>0</v>
      </c>
      <c r="R768" s="255">
        <v>0</v>
      </c>
      <c r="S768" s="255">
        <v>0</v>
      </c>
      <c r="T768" s="255">
        <f>IF(Q768&gt;0,S768*100/Q768,0)</f>
        <v>0</v>
      </c>
      <c r="U768" s="255">
        <f>IF(R768&gt;0,S768*100/R768,0)</f>
        <v>0</v>
      </c>
    </row>
    <row r="769" spans="1:21" ht="19.5">
      <c r="A769" s="166"/>
      <c r="B769" s="167"/>
      <c r="C769" s="497" t="s">
        <v>18</v>
      </c>
      <c r="D769" s="539" t="s">
        <v>38</v>
      </c>
      <c r="E769" s="232"/>
      <c r="F769" s="169"/>
      <c r="G769" s="170"/>
      <c r="H769" s="206"/>
      <c r="I769" s="54"/>
      <c r="J769" s="54"/>
      <c r="K769" s="55"/>
      <c r="L769" s="62"/>
      <c r="M769" s="55"/>
      <c r="N769" s="55"/>
      <c r="O769" s="55"/>
      <c r="P769" s="55"/>
      <c r="Q769" s="55"/>
      <c r="R769" s="55"/>
      <c r="S769" s="55"/>
      <c r="T769" s="55"/>
      <c r="U769" s="55"/>
    </row>
    <row r="770" spans="1:21" ht="18.75" hidden="1">
      <c r="A770" s="166"/>
      <c r="B770" s="167"/>
      <c r="C770" s="167"/>
      <c r="D770" s="423" t="s">
        <v>287</v>
      </c>
      <c r="E770" s="167"/>
      <c r="F770" s="174"/>
      <c r="G770" s="171"/>
      <c r="H770" s="421" t="s">
        <v>35</v>
      </c>
      <c r="I770" s="483">
        <f ca="1">IFERROR(__xludf.DUMMYFUNCTION("IMPORTRANGE(""https://docs.google.com/spreadsheets/d/1eHaY18a8A9IcSdp1K8H6x8fbOy06t2VsZHhMHf-1x7Y/edit?usp=sharing"",""แผน!FI40"")"),0)</f>
        <v>0</v>
      </c>
      <c r="J770" s="483">
        <v>0</v>
      </c>
      <c r="K770" s="102">
        <f ca="1">IF(I770&gt;0,J770*100/I770,0)</f>
        <v>0</v>
      </c>
      <c r="L770" s="62"/>
      <c r="M770" s="55"/>
      <c r="N770" s="55"/>
      <c r="O770" s="55"/>
      <c r="P770" s="55"/>
      <c r="Q770" s="55"/>
      <c r="R770" s="55"/>
      <c r="S770" s="55"/>
      <c r="T770" s="55"/>
      <c r="U770" s="55"/>
    </row>
    <row r="771" spans="1:21" ht="18.75" hidden="1">
      <c r="A771" s="166"/>
      <c r="B771" s="167"/>
      <c r="C771" s="167"/>
      <c r="D771" s="423" t="s">
        <v>288</v>
      </c>
      <c r="E771" s="167"/>
      <c r="F771" s="174"/>
      <c r="G771" s="171"/>
      <c r="H771" s="206"/>
      <c r="I771" s="54"/>
      <c r="J771" s="54"/>
      <c r="K771" s="55"/>
      <c r="L771" s="62"/>
      <c r="M771" s="55"/>
      <c r="N771" s="55"/>
      <c r="O771" s="55"/>
      <c r="P771" s="55"/>
      <c r="Q771" s="55"/>
      <c r="R771" s="55"/>
      <c r="S771" s="55"/>
      <c r="T771" s="55"/>
      <c r="U771" s="55"/>
    </row>
    <row r="772" spans="1:21" ht="18.75">
      <c r="A772" s="166"/>
      <c r="B772" s="167"/>
      <c r="C772" s="167"/>
      <c r="D772" s="460" t="s">
        <v>289</v>
      </c>
      <c r="E772" s="167"/>
      <c r="F772" s="174"/>
      <c r="G772" s="171"/>
      <c r="H772" s="165" t="s">
        <v>35</v>
      </c>
      <c r="I772" s="212">
        <f ca="1">IFERROR(__xludf.DUMMYFUNCTION("IMPORTRANGE(""https://docs.google.com/spreadsheets/d/1eHaY18a8A9IcSdp1K8H6x8fbOy06t2VsZHhMHf-1x7Y/edit?usp=sharing"",""แผน!FQ40"")"),70)</f>
        <v>70</v>
      </c>
      <c r="J772" s="467">
        <v>0</v>
      </c>
      <c r="K772" s="255">
        <f ca="1">IF(I772&gt;0,J772*100/I772,0)</f>
        <v>0</v>
      </c>
      <c r="L772" s="62"/>
      <c r="M772" s="55"/>
      <c r="N772" s="55"/>
      <c r="O772" s="55"/>
      <c r="P772" s="55"/>
      <c r="Q772" s="55"/>
      <c r="R772" s="55"/>
      <c r="S772" s="55"/>
      <c r="T772" s="55"/>
      <c r="U772" s="55"/>
    </row>
    <row r="773" spans="1:21" ht="18.75">
      <c r="A773" s="166"/>
      <c r="B773" s="167"/>
      <c r="C773" s="167"/>
      <c r="D773" s="460" t="s">
        <v>290</v>
      </c>
      <c r="E773" s="167"/>
      <c r="F773" s="174"/>
      <c r="G773" s="171"/>
      <c r="H773" s="206"/>
      <c r="I773" s="54"/>
      <c r="J773" s="54"/>
      <c r="K773" s="55"/>
      <c r="L773" s="62"/>
      <c r="M773" s="55"/>
      <c r="N773" s="55"/>
      <c r="O773" s="55"/>
      <c r="P773" s="55"/>
      <c r="Q773" s="55"/>
      <c r="R773" s="55"/>
      <c r="S773" s="55"/>
      <c r="T773" s="55"/>
      <c r="U773" s="55"/>
    </row>
    <row r="774" spans="1:21" ht="18.75">
      <c r="A774" s="166"/>
      <c r="B774" s="167"/>
      <c r="C774" s="167"/>
      <c r="D774" s="460" t="s">
        <v>291</v>
      </c>
      <c r="E774" s="167"/>
      <c r="F774" s="174"/>
      <c r="G774" s="171"/>
      <c r="H774" s="165" t="s">
        <v>46</v>
      </c>
      <c r="I774" s="212">
        <f ca="1">IFERROR(__xludf.DUMMYFUNCTION("IMPORTRANGE(""https://docs.google.com/spreadsheets/d/1eHaY18a8A9IcSdp1K8H6x8fbOy06t2VsZHhMHf-1x7Y/edit?usp=sharing"",""แผน!FR40"")"),140)</f>
        <v>140</v>
      </c>
      <c r="J774" s="467">
        <v>0</v>
      </c>
      <c r="K774" s="255">
        <f ca="1">IF(I774&gt;0,J774*100/I774,0)</f>
        <v>0</v>
      </c>
      <c r="L774" s="62"/>
      <c r="M774" s="55"/>
      <c r="N774" s="55"/>
      <c r="O774" s="55"/>
      <c r="P774" s="55"/>
      <c r="Q774" s="55"/>
      <c r="R774" s="55"/>
      <c r="S774" s="55"/>
      <c r="T774" s="55"/>
      <c r="U774" s="55"/>
    </row>
    <row r="775" spans="1:21" ht="18.75">
      <c r="A775" s="166"/>
      <c r="B775" s="167"/>
      <c r="C775" s="167"/>
      <c r="D775" s="460" t="s">
        <v>50</v>
      </c>
      <c r="E775" s="174"/>
      <c r="F775" s="50"/>
      <c r="G775" s="52"/>
      <c r="H775" s="165" t="s">
        <v>46</v>
      </c>
      <c r="I775" s="212">
        <f ca="1">IFERROR(__xludf.DUMMYFUNCTION("IMPORTRANGE(""https://docs.google.com/spreadsheets/d/1eHaY18a8A9IcSdp1K8H6x8fbOy06t2VsZHhMHf-1x7Y/edit?usp=sharing"",""แผน!FS40"")"),140)</f>
        <v>140</v>
      </c>
      <c r="J775" s="467">
        <v>0</v>
      </c>
      <c r="K775" s="55"/>
      <c r="L775" s="62"/>
      <c r="M775" s="55"/>
      <c r="N775" s="55"/>
      <c r="O775" s="55"/>
      <c r="P775" s="55"/>
      <c r="Q775" s="55"/>
      <c r="R775" s="55"/>
      <c r="S775" s="55"/>
      <c r="T775" s="55"/>
      <c r="U775" s="55"/>
    </row>
    <row r="776" spans="1:21" ht="18.75">
      <c r="A776" s="281"/>
      <c r="B776" s="282"/>
      <c r="C776" s="282"/>
      <c r="D776" s="282"/>
      <c r="E776" s="2"/>
      <c r="F776" s="2"/>
      <c r="G776" s="65"/>
      <c r="H776" s="214" t="s">
        <v>35</v>
      </c>
      <c r="I776" s="216">
        <f ca="1">IFERROR(__xludf.DUMMYFUNCTION("IMPORTRANGE(""https://docs.google.com/spreadsheets/d/1eHaY18a8A9IcSdp1K8H6x8fbOy06t2VsZHhMHf-1x7Y/edit?usp=sharing"",""แผน!FT40"")"),70)</f>
        <v>70</v>
      </c>
      <c r="J776" s="538">
        <v>0</v>
      </c>
      <c r="K776" s="6"/>
      <c r="L776" s="68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>
      <c r="A777" s="537" t="s">
        <v>292</v>
      </c>
      <c r="B777" s="500"/>
      <c r="C777" s="500"/>
      <c r="D777" s="499"/>
      <c r="E777" s="500"/>
      <c r="F777" s="500"/>
      <c r="G777" s="501"/>
      <c r="H777" s="536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503"/>
      <c r="J777" s="504"/>
      <c r="K777" s="505"/>
      <c r="L777" s="505"/>
      <c r="M777" s="505"/>
      <c r="N777" s="505"/>
      <c r="O777" s="505"/>
      <c r="P777" s="505"/>
      <c r="Q777" s="505"/>
      <c r="R777" s="505"/>
      <c r="S777" s="505"/>
      <c r="T777" s="505"/>
      <c r="U777" s="505"/>
    </row>
    <row r="778" spans="1:21" ht="18.75">
      <c r="A778" s="49"/>
      <c r="B778" s="58" t="s">
        <v>293</v>
      </c>
      <c r="C778" s="50"/>
      <c r="D778" s="188"/>
      <c r="E778" s="50"/>
      <c r="F778" s="50"/>
      <c r="G778" s="52"/>
      <c r="H778" s="53" t="s">
        <v>14</v>
      </c>
      <c r="I778" s="212">
        <f ca="1">IFERROR(__xludf.DUMMYFUNCTION("IMPORTRANGE(""https://docs.google.com/spreadsheets/d/10OvvATaaLtwErnr3qtWFcTmtbfpFEt5Bsqel9sXx0uE/edit?usp=sharing"",""งานกองทุน!D40"")"),6889940.61)</f>
        <v>6889940.6100000003</v>
      </c>
      <c r="J778" s="212">
        <f ca="1">IFERROR(__xludf.DUMMYFUNCTION("IMPORTRANGE(""https://docs.google.com/spreadsheets/d/10OvvATaaLtwErnr3qtWFcTmtbfpFEt5Bsqel9sXx0uE/edit?usp=sharing"",""งานกองทุน!F40"")"),3133808.28)</f>
        <v>3133808.28</v>
      </c>
      <c r="K778" s="255">
        <f ca="1">IF(I778&gt;0,J778*100/I778,0)</f>
        <v>45.48382137650966</v>
      </c>
      <c r="L778" s="55"/>
      <c r="M778" s="55"/>
      <c r="N778" s="55"/>
      <c r="O778" s="55"/>
      <c r="P778" s="55"/>
      <c r="Q778" s="55"/>
      <c r="R778" s="55"/>
      <c r="S778" s="55"/>
      <c r="T778" s="55"/>
      <c r="U778" s="55"/>
    </row>
    <row r="779" spans="1:21" ht="18.75">
      <c r="A779" s="49"/>
      <c r="B779" s="50"/>
      <c r="C779" s="50"/>
      <c r="D779" s="188"/>
      <c r="E779" s="50"/>
      <c r="F779" s="50"/>
      <c r="G779" s="52"/>
      <c r="H779" s="53" t="s">
        <v>35</v>
      </c>
      <c r="I779" s="212">
        <f ca="1">IFERROR(__xludf.DUMMYFUNCTION("IMPORTRANGE(""https://docs.google.com/spreadsheets/d/10OvvATaaLtwErnr3qtWFcTmtbfpFEt5Bsqel9sXx0uE/edit?usp=sharing"",""งานกองทุน!C40"")"),531)</f>
        <v>531</v>
      </c>
      <c r="J779" s="212">
        <f ca="1">IFERROR(__xludf.DUMMYFUNCTION("IMPORTRANGE(""https://docs.google.com/spreadsheets/d/10OvvATaaLtwErnr3qtWFcTmtbfpFEt5Bsqel9sXx0uE/edit?usp=sharing"",""งานกองทุน!E40"")"),255)</f>
        <v>255</v>
      </c>
      <c r="K779" s="255">
        <f ca="1">IF(I779&gt;0,J779*100/I779,0)</f>
        <v>48.022598870056498</v>
      </c>
      <c r="L779" s="55"/>
      <c r="M779" s="55"/>
      <c r="N779" s="55"/>
      <c r="O779" s="55"/>
      <c r="P779" s="55"/>
      <c r="Q779" s="55"/>
      <c r="R779" s="55"/>
      <c r="S779" s="55"/>
      <c r="T779" s="55"/>
      <c r="U779" s="55"/>
    </row>
    <row r="780" spans="1:21" ht="18.75">
      <c r="A780" s="49"/>
      <c r="B780" s="58" t="s">
        <v>294</v>
      </c>
      <c r="C780" s="50"/>
      <c r="D780" s="188"/>
      <c r="E780" s="50"/>
      <c r="F780" s="50"/>
      <c r="G780" s="52"/>
      <c r="H780" s="53" t="s">
        <v>14</v>
      </c>
      <c r="I780" s="212">
        <f ca="1">IFERROR(__xludf.DUMMYFUNCTION("IMPORTRANGE(""https://docs.google.com/spreadsheets/d/10OvvATaaLtwErnr3qtWFcTmtbfpFEt5Bsqel9sXx0uE/edit?usp=sharing"",""งานกองทุน!I40"")"),3807304.34)</f>
        <v>3807304.34</v>
      </c>
      <c r="J780" s="212">
        <f ca="1">IFERROR(__xludf.DUMMYFUNCTION("IMPORTRANGE(""https://docs.google.com/spreadsheets/d/10OvvATaaLtwErnr3qtWFcTmtbfpFEt5Bsqel9sXx0uE/edit?usp=sharing"",""งานกองทุน!K40"")"),400104.68)</f>
        <v>400104.68</v>
      </c>
      <c r="K780" s="255">
        <f ca="1">IF(I780&gt;0,J780*100/I780,0)</f>
        <v>10.508870430883389</v>
      </c>
      <c r="L780" s="55"/>
      <c r="M780" s="55"/>
      <c r="N780" s="55"/>
      <c r="O780" s="55"/>
      <c r="P780" s="55"/>
      <c r="Q780" s="55"/>
      <c r="R780" s="55"/>
      <c r="S780" s="55"/>
      <c r="T780" s="55"/>
      <c r="U780" s="55"/>
    </row>
    <row r="781" spans="1:21" ht="18.75">
      <c r="A781" s="49"/>
      <c r="B781" s="50"/>
      <c r="C781" s="50"/>
      <c r="D781" s="188"/>
      <c r="E781" s="50"/>
      <c r="F781" s="50"/>
      <c r="G781" s="52"/>
      <c r="H781" s="53" t="s">
        <v>35</v>
      </c>
      <c r="I781" s="212">
        <f ca="1">IFERROR(__xludf.DUMMYFUNCTION("IMPORTRANGE(""https://docs.google.com/spreadsheets/d/10OvvATaaLtwErnr3qtWFcTmtbfpFEt5Bsqel9sXx0uE/edit?usp=sharing"",""งานกองทุน!H40"")"),215)</f>
        <v>215</v>
      </c>
      <c r="J781" s="212">
        <f ca="1">IFERROR(__xludf.DUMMYFUNCTION("IMPORTRANGE(""https://docs.google.com/spreadsheets/d/10OvvATaaLtwErnr3qtWFcTmtbfpFEt5Bsqel9sXx0uE/edit?usp=sharing"",""งานกองทุน!J40"")"),50)</f>
        <v>50</v>
      </c>
      <c r="K781" s="255">
        <f ca="1">IF(I781&gt;0,J781*100/I781,0)</f>
        <v>23.255813953488371</v>
      </c>
      <c r="L781" s="55"/>
      <c r="M781" s="55"/>
      <c r="N781" s="55"/>
      <c r="O781" s="55"/>
      <c r="P781" s="55"/>
      <c r="Q781" s="55"/>
      <c r="R781" s="55"/>
      <c r="S781" s="55"/>
      <c r="T781" s="55"/>
      <c r="U781" s="55"/>
    </row>
    <row r="782" spans="1:21" ht="18.75">
      <c r="A782" s="49"/>
      <c r="B782" s="58" t="s">
        <v>295</v>
      </c>
      <c r="C782" s="50"/>
      <c r="D782" s="188"/>
      <c r="E782" s="50"/>
      <c r="F782" s="50"/>
      <c r="G782" s="52"/>
      <c r="H782" s="53" t="s">
        <v>14</v>
      </c>
      <c r="I782" s="212">
        <f ca="1">IFERROR(__xludf.DUMMYFUNCTION("IMPORTRANGE(""https://docs.google.com/spreadsheets/d/10OvvATaaLtwErnr3qtWFcTmtbfpFEt5Bsqel9sXx0uE/edit?usp=sharing"",""งานกองทุน!N40"")"),2204.3)</f>
        <v>2204.3000000000002</v>
      </c>
      <c r="J782" s="212">
        <f ca="1">IFERROR(__xludf.DUMMYFUNCTION("IMPORTRANGE(""https://docs.google.com/spreadsheets/d/10OvvATaaLtwErnr3qtWFcTmtbfpFEt5Bsqel9sXx0uE/edit?usp=sharing"",""งานกองทุน!P40"")"),88157.16)</f>
        <v>88157.16</v>
      </c>
      <c r="K782" s="255">
        <f ca="1">IF(I782&gt;0,J782*100/I782,0)</f>
        <v>3999.3267704033024</v>
      </c>
      <c r="L782" s="55"/>
      <c r="M782" s="55"/>
      <c r="N782" s="55"/>
      <c r="O782" s="55"/>
      <c r="P782" s="55"/>
      <c r="Q782" s="55"/>
      <c r="R782" s="55"/>
      <c r="S782" s="55"/>
      <c r="T782" s="55"/>
      <c r="U782" s="55"/>
    </row>
    <row r="783" spans="1:21" ht="18.75">
      <c r="A783" s="49"/>
      <c r="B783" s="50"/>
      <c r="C783" s="50"/>
      <c r="D783" s="188"/>
      <c r="E783" s="50"/>
      <c r="F783" s="50"/>
      <c r="G783" s="52"/>
      <c r="H783" s="53" t="s">
        <v>35</v>
      </c>
      <c r="I783" s="212">
        <f ca="1">IFERROR(__xludf.DUMMYFUNCTION("IMPORTRANGE(""https://docs.google.com/spreadsheets/d/10OvvATaaLtwErnr3qtWFcTmtbfpFEt5Bsqel9sXx0uE/edit?usp=sharing"",""งานกองทุน!M40"")"),4)</f>
        <v>4</v>
      </c>
      <c r="J783" s="212">
        <f ca="1">IFERROR(__xludf.DUMMYFUNCTION("IMPORTRANGE(""https://docs.google.com/spreadsheets/d/10OvvATaaLtwErnr3qtWFcTmtbfpFEt5Bsqel9sXx0uE/edit?usp=sharing"",""งานกองทุน!O40"")"),2)</f>
        <v>2</v>
      </c>
      <c r="K783" s="255">
        <f ca="1">IF(I783&gt;0,J783*100/I783,0)</f>
        <v>50</v>
      </c>
      <c r="L783" s="55"/>
      <c r="M783" s="55"/>
      <c r="N783" s="55"/>
      <c r="O783" s="55"/>
      <c r="P783" s="55"/>
      <c r="Q783" s="55"/>
      <c r="R783" s="55"/>
      <c r="S783" s="55"/>
      <c r="T783" s="55"/>
      <c r="U783" s="55"/>
    </row>
    <row r="784" spans="1:21" ht="18.75">
      <c r="A784" s="49"/>
      <c r="B784" s="58" t="s">
        <v>296</v>
      </c>
      <c r="C784" s="50"/>
      <c r="D784" s="188"/>
      <c r="E784" s="50"/>
      <c r="F784" s="50"/>
      <c r="G784" s="52"/>
      <c r="H784" s="53" t="s">
        <v>14</v>
      </c>
      <c r="I784" s="212">
        <f ca="1">IFERROR(__xludf.DUMMYFUNCTION("IMPORTRANGE(""https://docs.google.com/spreadsheets/d/10OvvATaaLtwErnr3qtWFcTmtbfpFEt5Bsqel9sXx0uE/edit?usp=sharing"",""งานกองทุน!S40"")"),6160000)</f>
        <v>6160000</v>
      </c>
      <c r="J784" s="212">
        <f ca="1">IFERROR(__xludf.DUMMYFUNCTION("IMPORTRANGE(""https://docs.google.com/spreadsheets/d/10OvvATaaLtwErnr3qtWFcTmtbfpFEt5Bsqel9sXx0uE/edit?usp=sharing"",""งานกองทุน!U40"")"),3645000)</f>
        <v>3645000</v>
      </c>
      <c r="K784" s="255">
        <f ca="1">IF(I784&gt;0,J784*100/I784,0)</f>
        <v>59.172077922077925</v>
      </c>
      <c r="L784" s="55"/>
      <c r="M784" s="55"/>
      <c r="N784" s="55"/>
      <c r="O784" s="55"/>
      <c r="P784" s="55"/>
      <c r="Q784" s="55"/>
      <c r="R784" s="55"/>
      <c r="S784" s="55"/>
      <c r="T784" s="55"/>
      <c r="U784" s="55"/>
    </row>
    <row r="785" spans="1:21" ht="18.75">
      <c r="A785" s="63"/>
      <c r="B785" s="4"/>
      <c r="C785" s="4"/>
      <c r="D785" s="5"/>
      <c r="E785" s="4"/>
      <c r="F785" s="4"/>
      <c r="G785" s="65"/>
      <c r="H785" s="66" t="s">
        <v>35</v>
      </c>
      <c r="I785" s="216">
        <f ca="1">IFERROR(__xludf.DUMMYFUNCTION("IMPORTRANGE(""https://docs.google.com/spreadsheets/d/10OvvATaaLtwErnr3qtWFcTmtbfpFEt5Bsqel9sXx0uE/edit?usp=sharing"",""งานกองทุน!R40"")"),220)</f>
        <v>220</v>
      </c>
      <c r="J785" s="216">
        <f ca="1">IFERROR(__xludf.DUMMYFUNCTION("IMPORTRANGE(""https://docs.google.com/spreadsheets/d/10OvvATaaLtwErnr3qtWFcTmtbfpFEt5Bsqel9sXx0uE/edit?usp=sharing"",""งานกองทุน!T40"")"),106)</f>
        <v>106</v>
      </c>
      <c r="K785" s="506">
        <f ca="1">IF(I785&gt;0,J785*100/I785,0)</f>
        <v>48.18181818181818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6.5">
      <c r="A787" s="535" t="s">
        <v>297</v>
      </c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6.5">
      <c r="A788" s="535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</v>
      </c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6.5">
      <c r="A789" s="535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</v>
      </c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</sheetData>
  <mergeCells count="26">
    <mergeCell ref="A1:U1"/>
    <mergeCell ref="A2:U2"/>
    <mergeCell ref="A3:U3"/>
    <mergeCell ref="L4:P4"/>
    <mergeCell ref="Q4:U4"/>
    <mergeCell ref="A5:G6"/>
    <mergeCell ref="H5:H6"/>
    <mergeCell ref="I5:K5"/>
    <mergeCell ref="L5:M5"/>
    <mergeCell ref="N5:P5"/>
    <mergeCell ref="D616:G616"/>
    <mergeCell ref="D642:G642"/>
    <mergeCell ref="D690:G690"/>
    <mergeCell ref="D714:G714"/>
    <mergeCell ref="Q5:R5"/>
    <mergeCell ref="S5:U5"/>
    <mergeCell ref="D728:G728"/>
    <mergeCell ref="D760:G760"/>
    <mergeCell ref="A7:G7"/>
    <mergeCell ref="A17:G17"/>
    <mergeCell ref="A30:G30"/>
    <mergeCell ref="A56:G56"/>
    <mergeCell ref="B57:G57"/>
    <mergeCell ref="D413:G413"/>
    <mergeCell ref="D493:F493"/>
    <mergeCell ref="D599:G599"/>
  </mergeCells>
  <printOptions horizontalCentered="1"/>
  <pageMargins left="0.23622047244094491" right="0.23622047244094491" top="0.55118110236220474" bottom="0.55118110236220474" header="0" footer="0"/>
  <pageSetup paperSize="9" scale="29" fitToHeight="0" pageOrder="overThenDown" orientation="portrait" cellComments="atEnd" horizontalDpi="4294967293" verticalDpi="4294967293" r:id="rId1"/>
  <headerFooter>
    <oddFooter>&amp;Cหน้า 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0AF6E1-CD69-4434-AE1C-3FEC87762AB4}">
  <sheetPr>
    <outlinePr summaryBelow="0" summaryRight="0"/>
    <pageSetUpPr fitToPage="1"/>
  </sheetPr>
  <dimension ref="A1:U789"/>
  <sheetViews>
    <sheetView view="pageBreakPreview" zoomScale="60" zoomScaleNormal="60" workbookViewId="0">
      <pane xSplit="8" ySplit="17" topLeftCell="I18" activePane="bottomRight" state="frozen"/>
      <selection activeCell="T32" sqref="T32"/>
      <selection pane="topRight" activeCell="T32" sqref="T32"/>
      <selection pane="bottomLeft" activeCell="T32" sqref="T32"/>
      <selection pane="bottomRight" activeCell="G87" sqref="G87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10" width="16.85546875" bestFit="1" customWidth="1"/>
    <col min="11" max="11" width="12.5703125" bestFit="1" customWidth="1"/>
    <col min="12" max="14" width="21.28515625" bestFit="1" customWidth="1"/>
    <col min="15" max="15" width="20.140625" bestFit="1" customWidth="1"/>
    <col min="16" max="16" width="22" bestFit="1" customWidth="1"/>
    <col min="17" max="18" width="21.28515625" bestFit="1" customWidth="1"/>
    <col min="19" max="19" width="18.7109375" bestFit="1" customWidth="1"/>
    <col min="20" max="20" width="20.140625" bestFit="1" customWidth="1"/>
    <col min="21" max="21" width="22" bestFit="1" customWidth="1"/>
  </cols>
  <sheetData>
    <row r="1" spans="1:21" ht="19.5">
      <c r="A1" s="894" t="s">
        <v>0</v>
      </c>
      <c r="B1" s="894"/>
      <c r="C1" s="894"/>
      <c r="D1" s="894"/>
      <c r="E1" s="894"/>
      <c r="F1" s="894"/>
      <c r="G1" s="894"/>
      <c r="H1" s="894"/>
      <c r="I1" s="894"/>
      <c r="J1" s="894"/>
      <c r="K1" s="894"/>
      <c r="L1" s="894"/>
      <c r="M1" s="894"/>
      <c r="N1" s="894"/>
      <c r="O1" s="894"/>
      <c r="P1" s="894"/>
      <c r="Q1" s="894"/>
      <c r="R1" s="894"/>
      <c r="S1" s="894"/>
      <c r="T1" s="894"/>
      <c r="U1" s="894"/>
    </row>
    <row r="2" spans="1:21" ht="19.5">
      <c r="A2" s="894" t="s">
        <v>321</v>
      </c>
      <c r="B2" s="894"/>
      <c r="C2" s="894"/>
      <c r="D2" s="894"/>
      <c r="E2" s="894"/>
      <c r="F2" s="894"/>
      <c r="G2" s="894"/>
      <c r="H2" s="894"/>
      <c r="I2" s="894"/>
      <c r="J2" s="894"/>
      <c r="K2" s="894"/>
      <c r="L2" s="894"/>
      <c r="M2" s="894"/>
      <c r="N2" s="894"/>
      <c r="O2" s="894"/>
      <c r="P2" s="894"/>
      <c r="Q2" s="894"/>
      <c r="R2" s="894"/>
      <c r="S2" s="894"/>
      <c r="T2" s="894"/>
      <c r="U2" s="894"/>
    </row>
    <row r="3" spans="1:21" ht="19.5">
      <c r="A3" s="894" t="s">
        <v>339</v>
      </c>
      <c r="B3" s="894"/>
      <c r="C3" s="894"/>
      <c r="D3" s="894"/>
      <c r="E3" s="894"/>
      <c r="F3" s="894"/>
      <c r="G3" s="894"/>
      <c r="H3" s="894"/>
      <c r="I3" s="894"/>
      <c r="J3" s="894"/>
      <c r="K3" s="894"/>
      <c r="L3" s="894"/>
      <c r="M3" s="894"/>
      <c r="N3" s="894"/>
      <c r="O3" s="894"/>
      <c r="P3" s="894"/>
      <c r="Q3" s="894"/>
      <c r="R3" s="894"/>
      <c r="S3" s="894"/>
      <c r="T3" s="894"/>
      <c r="U3" s="894"/>
    </row>
    <row r="4" spans="1:21" ht="19.5">
      <c r="A4" s="4"/>
      <c r="B4" s="4"/>
      <c r="C4" s="4"/>
      <c r="D4" s="4"/>
      <c r="E4" s="4"/>
      <c r="F4" s="4"/>
      <c r="G4" s="4"/>
      <c r="H4" s="4"/>
      <c r="I4" s="4"/>
      <c r="J4" s="5"/>
      <c r="K4" s="766"/>
      <c r="L4" s="765" t="s">
        <v>2</v>
      </c>
      <c r="M4" s="514"/>
      <c r="N4" s="514"/>
      <c r="O4" s="514"/>
      <c r="P4" s="512"/>
      <c r="Q4" s="518" t="s">
        <v>3</v>
      </c>
      <c r="R4" s="514"/>
      <c r="S4" s="514"/>
      <c r="T4" s="514"/>
      <c r="U4" s="512"/>
    </row>
    <row r="5" spans="1:21" ht="19.5">
      <c r="A5" s="764" t="s">
        <v>4</v>
      </c>
      <c r="B5" s="516"/>
      <c r="C5" s="516"/>
      <c r="D5" s="516"/>
      <c r="E5" s="516"/>
      <c r="F5" s="516"/>
      <c r="G5" s="763"/>
      <c r="H5" s="772" t="s">
        <v>5</v>
      </c>
      <c r="I5" s="761" t="s">
        <v>6</v>
      </c>
      <c r="J5" s="514"/>
      <c r="K5" s="512"/>
      <c r="L5" s="760" t="s">
        <v>7</v>
      </c>
      <c r="M5" s="512"/>
      <c r="N5" s="513" t="s">
        <v>8</v>
      </c>
      <c r="O5" s="514"/>
      <c r="P5" s="512"/>
      <c r="Q5" s="511" t="s">
        <v>7</v>
      </c>
      <c r="R5" s="512"/>
      <c r="S5" s="513" t="s">
        <v>8</v>
      </c>
      <c r="T5" s="514"/>
      <c r="U5" s="512"/>
    </row>
    <row r="6" spans="1:21" ht="19.5">
      <c r="A6" s="522"/>
      <c r="B6" s="514"/>
      <c r="C6" s="514"/>
      <c r="D6" s="514"/>
      <c r="E6" s="514"/>
      <c r="F6" s="514"/>
      <c r="G6" s="512"/>
      <c r="H6" s="512"/>
      <c r="I6" s="9" t="s">
        <v>9</v>
      </c>
      <c r="J6" s="10" t="s">
        <v>10</v>
      </c>
      <c r="K6" s="9" t="s">
        <v>11</v>
      </c>
      <c r="L6" s="758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 hidden="1">
      <c r="A7" s="750"/>
      <c r="B7" s="514"/>
      <c r="C7" s="514"/>
      <c r="D7" s="514"/>
      <c r="E7" s="514"/>
      <c r="F7" s="514"/>
      <c r="G7" s="512"/>
      <c r="H7" s="17"/>
      <c r="I7" s="18"/>
      <c r="J7" s="18"/>
      <c r="K7" s="19"/>
      <c r="L7" s="28"/>
      <c r="M7" s="19"/>
      <c r="N7" s="19"/>
      <c r="O7" s="19"/>
      <c r="P7" s="19"/>
      <c r="Q7" s="19"/>
      <c r="R7" s="19"/>
      <c r="S7" s="19"/>
      <c r="T7" s="19"/>
      <c r="U7" s="19"/>
    </row>
    <row r="8" spans="1:21" ht="12.75" hidden="1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6"/>
      <c r="M8" s="25"/>
      <c r="N8" s="25"/>
      <c r="O8" s="25"/>
      <c r="P8" s="25"/>
      <c r="Q8" s="25"/>
      <c r="R8" s="25"/>
      <c r="S8" s="25"/>
      <c r="T8" s="25"/>
      <c r="U8" s="25"/>
    </row>
    <row r="9" spans="1:21" ht="12.75" hidden="1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6"/>
      <c r="M9" s="25"/>
      <c r="N9" s="25"/>
      <c r="O9" s="25"/>
      <c r="P9" s="25"/>
      <c r="Q9" s="25"/>
      <c r="R9" s="25"/>
      <c r="S9" s="25"/>
      <c r="T9" s="25"/>
      <c r="U9" s="25"/>
    </row>
    <row r="10" spans="1:21" ht="12.75" hidden="1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6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2.75" hidden="1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6"/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2.75" hidden="1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6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2.75" hidden="1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6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2.75" hidden="1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2.75" hidden="1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6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2.75" hidden="1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28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9.5">
      <c r="A17" s="532" t="s">
        <v>311</v>
      </c>
      <c r="B17" s="514"/>
      <c r="C17" s="514"/>
      <c r="D17" s="514"/>
      <c r="E17" s="514"/>
      <c r="F17" s="514"/>
      <c r="G17" s="512"/>
      <c r="H17" s="29"/>
      <c r="I17" s="30"/>
      <c r="J17" s="30"/>
      <c r="K17" s="31"/>
      <c r="L17" s="32"/>
      <c r="M17" s="31"/>
      <c r="N17" s="31"/>
      <c r="O17" s="31"/>
      <c r="P17" s="31"/>
      <c r="Q17" s="31"/>
      <c r="R17" s="31"/>
      <c r="S17" s="31"/>
      <c r="T17" s="31"/>
      <c r="U17" s="31"/>
    </row>
    <row r="18" spans="1:21" ht="19.5">
      <c r="A18" s="33"/>
      <c r="B18" s="34"/>
      <c r="C18" s="35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757">
        <f ca="1">L19+L20</f>
        <v>2050835</v>
      </c>
      <c r="M18" s="720">
        <f ca="1">M19+M20</f>
        <v>2102778.1799999997</v>
      </c>
      <c r="N18" s="720">
        <f ca="1">N19+N20</f>
        <v>1672550.54</v>
      </c>
      <c r="O18" s="720">
        <f ca="1">IF(L18&gt;0,N18*100/L18,0)</f>
        <v>81.554612633390789</v>
      </c>
      <c r="P18" s="720">
        <f ca="1">IF(M18&gt;0,N18*100/M18,0)</f>
        <v>79.540036885868787</v>
      </c>
      <c r="Q18" s="720">
        <f ca="1">Q19+Q20</f>
        <v>2661973.39</v>
      </c>
      <c r="R18" s="720">
        <f ca="1">R19+R20</f>
        <v>2675973</v>
      </c>
      <c r="S18" s="720">
        <f ca="1">S19+S20</f>
        <v>488497</v>
      </c>
      <c r="T18" s="720">
        <f ca="1">IF(Q18&gt;0,S18*100/Q18,0)</f>
        <v>18.35093475521181</v>
      </c>
      <c r="U18" s="720">
        <f ca="1">IF(R18&gt;0,S18*100/R18,0)</f>
        <v>18.254930075901363</v>
      </c>
    </row>
    <row r="19" spans="1:21" ht="18.75" hidden="1">
      <c r="A19" s="33"/>
      <c r="B19" s="34"/>
      <c r="C19" s="34"/>
      <c r="D19" s="34"/>
      <c r="E19" s="756" t="s">
        <v>20</v>
      </c>
      <c r="F19" s="34"/>
      <c r="G19" s="37"/>
      <c r="H19" s="755" t="s">
        <v>14</v>
      </c>
      <c r="I19" s="39"/>
      <c r="J19" s="39"/>
      <c r="K19" s="40"/>
      <c r="L19" s="754">
        <f>L22+L25</f>
        <v>0</v>
      </c>
      <c r="M19" s="753">
        <f>M22+M25</f>
        <v>0</v>
      </c>
      <c r="N19" s="753">
        <f>N22+N25</f>
        <v>0</v>
      </c>
      <c r="O19" s="753">
        <f>IF(L19&gt;0,N19*100/L19,0)</f>
        <v>0</v>
      </c>
      <c r="P19" s="753">
        <f>IF(M19&gt;0,N19*100/M19,0)</f>
        <v>0</v>
      </c>
      <c r="Q19" s="753">
        <f>Q22+Q25</f>
        <v>0</v>
      </c>
      <c r="R19" s="753">
        <f>R22+R25</f>
        <v>0</v>
      </c>
      <c r="S19" s="753">
        <f>S22+S25</f>
        <v>0</v>
      </c>
      <c r="T19" s="753">
        <f>IF(Q19&gt;0,S19*100/Q19,0)</f>
        <v>0</v>
      </c>
      <c r="U19" s="753">
        <f>IF(R19&gt;0,S19*100/R19,0)</f>
        <v>0</v>
      </c>
    </row>
    <row r="20" spans="1:21" ht="18.75" hidden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752">
        <f ca="1">L23+L26</f>
        <v>2050835</v>
      </c>
      <c r="M20" s="751">
        <f ca="1">M23+M26</f>
        <v>2102778.1799999997</v>
      </c>
      <c r="N20" s="751">
        <f ca="1">N23+N26</f>
        <v>1672550.54</v>
      </c>
      <c r="O20" s="751">
        <f ca="1">IF(L20&gt;0,N20*100/L20,0)</f>
        <v>81.554612633390789</v>
      </c>
      <c r="P20" s="751">
        <f ca="1">IF(M20&gt;0,N20*100/M20,0)</f>
        <v>79.540036885868787</v>
      </c>
      <c r="Q20" s="751">
        <f ca="1">Q23+Q26</f>
        <v>2661973.39</v>
      </c>
      <c r="R20" s="751">
        <f ca="1">R23+R26</f>
        <v>2675973</v>
      </c>
      <c r="S20" s="751">
        <f ca="1">S23+S26</f>
        <v>488497</v>
      </c>
      <c r="T20" s="751">
        <f ca="1">IF(Q20&gt;0,S20*100/Q20,0)</f>
        <v>18.35093475521181</v>
      </c>
      <c r="U20" s="751">
        <f ca="1">IF(R20&gt;0,S20*100/R20,0)</f>
        <v>18.254930075901363</v>
      </c>
    </row>
    <row r="21" spans="1:21" ht="18.75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256">
        <f ca="1">L22+L23</f>
        <v>2050835</v>
      </c>
      <c r="M21" s="255">
        <f ca="1">M22+M23</f>
        <v>2102778.1799999997</v>
      </c>
      <c r="N21" s="255">
        <f ca="1">N22+N23</f>
        <v>1672550.54</v>
      </c>
      <c r="O21" s="255">
        <f ca="1">IF(L21&gt;0,N21*100/L21,0)</f>
        <v>81.554612633390789</v>
      </c>
      <c r="P21" s="255">
        <f ca="1">IF(M21&gt;0,N21*100/M21,0)</f>
        <v>79.540036885868787</v>
      </c>
      <c r="Q21" s="255">
        <f ca="1">Q22+Q23</f>
        <v>2661973.39</v>
      </c>
      <c r="R21" s="255">
        <f ca="1">R22+R23</f>
        <v>2675973</v>
      </c>
      <c r="S21" s="255">
        <f ca="1">S22+S23</f>
        <v>488497</v>
      </c>
      <c r="T21" s="255">
        <f ca="1">IF(Q21&gt;0,S21*100/Q21,0)</f>
        <v>18.35093475521181</v>
      </c>
      <c r="U21" s="255">
        <f ca="1">IF(R21&gt;0,S21*100/R21,0)</f>
        <v>18.254930075901363</v>
      </c>
    </row>
    <row r="22" spans="1:21" ht="18.75" hidden="1">
      <c r="A22" s="49"/>
      <c r="B22" s="50"/>
      <c r="C22" s="50"/>
      <c r="D22" s="50"/>
      <c r="E22" s="186" t="s">
        <v>20</v>
      </c>
      <c r="F22" s="50"/>
      <c r="G22" s="52"/>
      <c r="H22" s="729" t="s">
        <v>14</v>
      </c>
      <c r="I22" s="54"/>
      <c r="J22" s="54"/>
      <c r="K22" s="55"/>
      <c r="L22" s="103">
        <f>L48+L63+L76+L98+L129+L143+L161+L190+L177+L270+L286+L307+L324+L337+L360+L517</f>
        <v>0</v>
      </c>
      <c r="M22" s="102">
        <f>M48+M63+M76+M98+M129+M143+M161+M190+M177+M270+M286+M307+M324+M337+M360+M517</f>
        <v>0</v>
      </c>
      <c r="N22" s="102">
        <f>N48+N63+N76+N98+N129+N143+N161+N190+N177+N270+N286+N307+N324+N337+N360+N517</f>
        <v>0</v>
      </c>
      <c r="O22" s="102">
        <f>IF(L22&gt;0,N22*100/L22,0)</f>
        <v>0</v>
      </c>
      <c r="P22" s="102">
        <f>IF(M22&gt;0,N22*100/M22,0)</f>
        <v>0</v>
      </c>
      <c r="Q22" s="102">
        <f>Q76+Q98+Q121+Q143+Q161+Q177+Q190+Q270+Q286+Q307+Q337+Q379+Q396+Q417+Q497+Q603+Q620+Q646+Q694+Q718+Q732+Q764</f>
        <v>0</v>
      </c>
      <c r="R22" s="102">
        <f>R76+R98+R121+R143+R161+R177+R190+R270+R286+R307+R337+R379+R396+R417+R497+R603+R620+R646+R694+R718+R732+R764</f>
        <v>0</v>
      </c>
      <c r="S22" s="102">
        <f>S76+S98+S121+S143+S161+S177+S190+S270+S286+S307+S337+S379+S396+S417+S497+S603+S620+S646+S694+S718+S732+S764</f>
        <v>0</v>
      </c>
      <c r="T22" s="102">
        <f>IF(Q22&gt;0,S22*100/Q22,0)</f>
        <v>0</v>
      </c>
      <c r="U22" s="102">
        <f>IF(R22&gt;0,S22*100/R22,0)</f>
        <v>0</v>
      </c>
    </row>
    <row r="23" spans="1:21" ht="18.75" hidden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256">
        <f ca="1">L49+L64+L77+L99+L130+L144+L162+L191+L178+L271+L287+L308+L325+L338+L361+L518</f>
        <v>2050835</v>
      </c>
      <c r="M23" s="255">
        <f ca="1">M49+M64+M77+M99+M130+M144+M162+M191+M178+M271+M287+M308+M325+M338+M361+M518</f>
        <v>2102778.1799999997</v>
      </c>
      <c r="N23" s="255">
        <f ca="1">N49+N64+N77+N99+N130+N144+N162+N191+N178+N271+N287+N308+N325+N338+N361+N518</f>
        <v>1672550.54</v>
      </c>
      <c r="O23" s="255">
        <f ca="1">IF(L23&gt;0,N23*100/L23,0)</f>
        <v>81.554612633390789</v>
      </c>
      <c r="P23" s="255">
        <f ca="1">IF(M23&gt;0,N23*100/M23,0)</f>
        <v>79.540036885868787</v>
      </c>
      <c r="Q23" s="255">
        <f ca="1">Q77+Q99+Q122+Q144+Q162+Q178+Q191+Q271+Q287+Q308+Q338+Q380+Q397+Q418+Q498+Q604+Q621+Q647+Q695+Q719+Q733+Q765</f>
        <v>2661973.39</v>
      </c>
      <c r="R23" s="255">
        <f ca="1">R77+R99+R122+R144+R162+R178+R191+R271+R287+R308+R338+R380+R397+R418+R498+R604+R621+R647+R695+R719+R733+R765</f>
        <v>2675973</v>
      </c>
      <c r="S23" s="255">
        <f ca="1">S77+S99+S122+S144+S162+S178+S191+S271+S287+S308+S338+S380+S397+S418+S498+S604+S621+S647+S695+S719+S733+S765</f>
        <v>488497</v>
      </c>
      <c r="T23" s="255">
        <f ca="1">IF(Q23&gt;0,S23*100/Q23,0)</f>
        <v>18.35093475521181</v>
      </c>
      <c r="U23" s="255">
        <f ca="1">IF(R23&gt;0,S23*100/R23,0)</f>
        <v>18.254930075901363</v>
      </c>
    </row>
    <row r="24" spans="1:21" ht="18.75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256">
        <f ca="1">L25+L26</f>
        <v>0</v>
      </c>
      <c r="M24" s="255">
        <f ca="1">M25+M26</f>
        <v>0</v>
      </c>
      <c r="N24" s="255">
        <f ca="1">N25+N26</f>
        <v>0</v>
      </c>
      <c r="O24" s="255">
        <f ca="1">IF(L24&gt;0,N24*100/L24,0)</f>
        <v>0</v>
      </c>
      <c r="P24" s="255">
        <f ca="1">IF(M24&gt;0,N24*100/M24,0)</f>
        <v>0</v>
      </c>
      <c r="Q24" s="255">
        <f>Q25+Q26</f>
        <v>0</v>
      </c>
      <c r="R24" s="255">
        <f>R25+R26</f>
        <v>0</v>
      </c>
      <c r="S24" s="255">
        <f>S25+S26</f>
        <v>0</v>
      </c>
      <c r="T24" s="255">
        <f>IF(Q24&gt;0,S24*100/Q24,0)</f>
        <v>0</v>
      </c>
      <c r="U24" s="255">
        <f>IF(R24&gt;0,S24*100/R24,0)</f>
        <v>0</v>
      </c>
    </row>
    <row r="25" spans="1:21" ht="18.75" hidden="1">
      <c r="A25" s="49"/>
      <c r="B25" s="50"/>
      <c r="C25" s="50"/>
      <c r="D25" s="50"/>
      <c r="E25" s="186" t="s">
        <v>20</v>
      </c>
      <c r="F25" s="50"/>
      <c r="G25" s="52"/>
      <c r="H25" s="729" t="s">
        <v>14</v>
      </c>
      <c r="I25" s="54"/>
      <c r="J25" s="54"/>
      <c r="K25" s="55"/>
      <c r="L25" s="103">
        <f>L51+L66+L79+L101+L132+L146+L164+L193+L180+L273+L289+L310+L327+L340+L363+L520</f>
        <v>0</v>
      </c>
      <c r="M25" s="102">
        <f>M51+M66+M79+M101+M132+M146+M164+M193+M180+M273+M289+M310+M327+M340+M363+M520</f>
        <v>0</v>
      </c>
      <c r="N25" s="102">
        <f>N51+N66+N79+N101+N132+N146+N164+N193+N180+N273+N289+N310+N327+N340+N363+N520</f>
        <v>0</v>
      </c>
      <c r="O25" s="102">
        <f>IF(L25&gt;0,N25*100/L25,0)</f>
        <v>0</v>
      </c>
      <c r="P25" s="102">
        <f>IF(M25&gt;0,N25*100/M25,0)</f>
        <v>0</v>
      </c>
      <c r="Q25" s="102">
        <f>Q79+Q101+Q124+Q146+Q164+Q180+Q193+Q273+Q289+Q310+Q340+Q382+Q399+Q420+Q500+Q606+Q623+Q649+Q697+Q721+Q735+Q767</f>
        <v>0</v>
      </c>
      <c r="R25" s="102">
        <f>R79+R101+R124+R146+R164+R180+R193+R273+R289+R310+R340+R382+R399+R420+R500+R606+R623+R649+R697+R721+R735+R767</f>
        <v>0</v>
      </c>
      <c r="S25" s="102">
        <f>S79+S101+S124+S146+S164+S180+S193+S273+S289+S310+S340+S382+S399+S420+S500+S606+S623+S649+S697+S721+S735+S767</f>
        <v>0</v>
      </c>
      <c r="T25" s="102">
        <f>IF(Q25&gt;0,S25*100/Q25,0)</f>
        <v>0</v>
      </c>
      <c r="U25" s="102">
        <f>IF(R25&gt;0,S25*100/R25,0)</f>
        <v>0</v>
      </c>
    </row>
    <row r="26" spans="1:21" ht="18.75" hidden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256">
        <f ca="1">L52+L67+L80+L102+L133+L147+L165+L194+L181+L274+L290+L311+L328+L341+L364+L521</f>
        <v>0</v>
      </c>
      <c r="M26" s="255">
        <f ca="1">M52+M67+M80+M102+M133+M147+M165+M194+M181+M274+M290+M311+M328+M341+M364+M521</f>
        <v>0</v>
      </c>
      <c r="N26" s="255">
        <f ca="1">N52+N67+N80+N102+N133+N147+N165+N194+N181+N274+N290+N311+N328+N341+N364+N521</f>
        <v>0</v>
      </c>
      <c r="O26" s="255">
        <f ca="1">IF(L26&gt;0,N26*100/L26,0)</f>
        <v>0</v>
      </c>
      <c r="P26" s="255">
        <f ca="1">IF(M26&gt;0,N26*100/M26,0)</f>
        <v>0</v>
      </c>
      <c r="Q26" s="102">
        <f>Q80+Q102+Q125+Q147+Q165+Q181+Q194+Q274+Q290+Q311+Q341+Q383+Q400+Q421+Q501+Q607+Q624+Q650+Q698+Q722+Q736+Q768</f>
        <v>0</v>
      </c>
      <c r="R26" s="102">
        <f>R80+R102+R125+R147+R165+R181+R194+R274+R290+R311+R341+R383+R400+R421+R501+R607+R624+R650+R698+R722+R736+R768</f>
        <v>0</v>
      </c>
      <c r="S26" s="102">
        <f>S80+S102+S125+S147+S165+S181+S194+S274+S290+S311+S341+S383+S400+S421+S501+S607+S624+S650+S698+S722+S736+S768</f>
        <v>0</v>
      </c>
      <c r="T26" s="255">
        <f>IF(Q26&gt;0,S26*100/Q26,0)</f>
        <v>0</v>
      </c>
      <c r="U26" s="255">
        <f>IF(R26&gt;0,S26*100/R26,0)</f>
        <v>0</v>
      </c>
    </row>
    <row r="27" spans="1:21" ht="18.75">
      <c r="A27" s="49"/>
      <c r="B27" s="50"/>
      <c r="C27" s="50"/>
      <c r="D27" s="51" t="s">
        <v>24</v>
      </c>
      <c r="E27" s="50"/>
      <c r="F27" s="50"/>
      <c r="G27" s="52"/>
      <c r="H27" s="53" t="s">
        <v>14</v>
      </c>
      <c r="I27" s="54"/>
      <c r="J27" s="54"/>
      <c r="K27" s="55"/>
      <c r="L27" s="62"/>
      <c r="M27" s="55"/>
      <c r="N27" s="55"/>
      <c r="O27" s="55"/>
      <c r="P27" s="55"/>
      <c r="Q27" s="55"/>
      <c r="R27" s="55"/>
      <c r="S27" s="55"/>
      <c r="T27" s="55"/>
      <c r="U27" s="55"/>
    </row>
    <row r="28" spans="1:21" ht="18.75" hidden="1">
      <c r="A28" s="49"/>
      <c r="B28" s="50"/>
      <c r="C28" s="50"/>
      <c r="D28" s="50"/>
      <c r="E28" s="186" t="s">
        <v>20</v>
      </c>
      <c r="F28" s="50"/>
      <c r="G28" s="52"/>
      <c r="H28" s="729" t="s">
        <v>14</v>
      </c>
      <c r="I28" s="54"/>
      <c r="J28" s="54"/>
      <c r="K28" s="55"/>
      <c r="L28" s="62"/>
      <c r="M28" s="55"/>
      <c r="N28" s="55"/>
      <c r="O28" s="55"/>
      <c r="P28" s="55"/>
      <c r="Q28" s="55"/>
      <c r="R28" s="55"/>
      <c r="S28" s="55"/>
      <c r="T28" s="55"/>
      <c r="U28" s="55"/>
    </row>
    <row r="29" spans="1:21" ht="18.75" hidden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8"/>
      <c r="M29" s="6"/>
      <c r="N29" s="6"/>
      <c r="O29" s="6"/>
      <c r="P29" s="6"/>
      <c r="Q29" s="6"/>
      <c r="R29" s="6"/>
      <c r="S29" s="6"/>
      <c r="T29" s="6"/>
      <c r="U29" s="6"/>
    </row>
    <row r="30" spans="1:21" ht="12.75" hidden="1">
      <c r="A30" s="750"/>
      <c r="B30" s="514"/>
      <c r="C30" s="514"/>
      <c r="D30" s="514"/>
      <c r="E30" s="514"/>
      <c r="F30" s="514"/>
      <c r="G30" s="512"/>
      <c r="H30" s="17"/>
      <c r="I30" s="18"/>
      <c r="J30" s="18"/>
      <c r="K30" s="19"/>
      <c r="L30" s="28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 hidden="1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6"/>
      <c r="M31" s="25"/>
      <c r="N31" s="25"/>
      <c r="O31" s="25"/>
      <c r="P31" s="25"/>
      <c r="Q31" s="25"/>
      <c r="R31" s="25"/>
      <c r="S31" s="25"/>
      <c r="T31" s="25"/>
      <c r="U31" s="25"/>
    </row>
    <row r="32" spans="1:21" ht="12.75" hidden="1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6"/>
      <c r="M32" s="25"/>
      <c r="N32" s="25"/>
      <c r="O32" s="25"/>
      <c r="P32" s="25"/>
      <c r="Q32" s="25"/>
      <c r="R32" s="25"/>
      <c r="S32" s="25"/>
      <c r="T32" s="25"/>
      <c r="U32" s="25"/>
    </row>
    <row r="33" spans="1:21" ht="12.75" hidden="1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6"/>
      <c r="M33" s="25"/>
      <c r="N33" s="25"/>
      <c r="O33" s="25"/>
      <c r="P33" s="25"/>
      <c r="Q33" s="25"/>
      <c r="R33" s="25"/>
      <c r="S33" s="25"/>
      <c r="T33" s="25"/>
      <c r="U33" s="25"/>
    </row>
    <row r="34" spans="1:21" ht="12.75" hidden="1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6"/>
      <c r="M34" s="25"/>
      <c r="N34" s="25"/>
      <c r="O34" s="25"/>
      <c r="P34" s="25"/>
      <c r="Q34" s="25"/>
      <c r="R34" s="25"/>
      <c r="S34" s="25"/>
      <c r="T34" s="25"/>
      <c r="U34" s="25"/>
    </row>
    <row r="35" spans="1:21" ht="12.75" hidden="1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6"/>
      <c r="M35" s="25"/>
      <c r="N35" s="25"/>
      <c r="O35" s="25"/>
      <c r="P35" s="25"/>
      <c r="Q35" s="25"/>
      <c r="R35" s="25"/>
      <c r="S35" s="25"/>
      <c r="T35" s="25"/>
      <c r="U35" s="25"/>
    </row>
    <row r="36" spans="1:21" ht="12.75" hidden="1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6"/>
      <c r="M36" s="25"/>
      <c r="N36" s="25"/>
      <c r="O36" s="25"/>
      <c r="P36" s="25"/>
      <c r="Q36" s="25"/>
      <c r="R36" s="25"/>
      <c r="S36" s="25"/>
      <c r="T36" s="25"/>
      <c r="U36" s="25"/>
    </row>
    <row r="37" spans="1:21" ht="12.75" hidden="1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6"/>
      <c r="M37" s="25"/>
      <c r="N37" s="25"/>
      <c r="O37" s="25"/>
      <c r="P37" s="25"/>
      <c r="Q37" s="25"/>
      <c r="R37" s="25"/>
      <c r="S37" s="25"/>
      <c r="T37" s="25"/>
      <c r="U37" s="25"/>
    </row>
    <row r="38" spans="1:21" ht="12.75" hidden="1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6"/>
      <c r="M38" s="25"/>
      <c r="N38" s="25"/>
      <c r="O38" s="25"/>
      <c r="P38" s="25"/>
      <c r="Q38" s="25"/>
      <c r="R38" s="25"/>
      <c r="S38" s="25"/>
      <c r="T38" s="25"/>
      <c r="U38" s="25"/>
    </row>
    <row r="39" spans="1:21" ht="12.75" hidden="1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28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9.5" hidden="1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749">
        <f ca="1">L44+L59+L72+L94+L125+L139+L157+L173+L186+L266+L282+L303+L320+L333+L356</f>
        <v>2050835</v>
      </c>
      <c r="M40" s="748">
        <f ca="1">M44+M59+M72+M94+M125+M139+M157+M173+M186+M266+M282+M303+M320+M333+M356</f>
        <v>2102778.1799999997</v>
      </c>
      <c r="N40" s="748">
        <f ca="1">N44+N59+N72+N94+N125+N139+N157+N173+N186+N266+N282+N303+N320+N333+N356</f>
        <v>1672550.54</v>
      </c>
      <c r="O40" s="748">
        <f ca="1">IF(L40&gt;0,N40*100/L40,0)</f>
        <v>81.554612633390789</v>
      </c>
      <c r="P40" s="748">
        <f ca="1">IF(M40&gt;0,N40*100/M40,0)</f>
        <v>79.540036885868787</v>
      </c>
      <c r="Q40" s="73"/>
      <c r="R40" s="73"/>
      <c r="S40" s="73"/>
      <c r="T40" s="73"/>
      <c r="U40" s="73"/>
    </row>
    <row r="41" spans="1:21" ht="19.5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78"/>
      <c r="R41" s="78"/>
      <c r="S41" s="78"/>
      <c r="T41" s="78"/>
      <c r="U41" s="79"/>
    </row>
    <row r="42" spans="1:21" ht="19.5">
      <c r="A42" s="80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5"/>
      <c r="M42" s="84"/>
      <c r="N42" s="84"/>
      <c r="O42" s="84"/>
      <c r="P42" s="84"/>
      <c r="Q42" s="84"/>
      <c r="R42" s="84"/>
      <c r="S42" s="84"/>
      <c r="T42" s="84"/>
      <c r="U42" s="84"/>
    </row>
    <row r="43" spans="1:21" ht="12.75" hidden="1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6"/>
      <c r="M43" s="25"/>
      <c r="N43" s="25"/>
      <c r="O43" s="25"/>
      <c r="P43" s="25"/>
      <c r="Q43" s="25"/>
      <c r="R43" s="25"/>
      <c r="S43" s="25"/>
      <c r="T43" s="25"/>
      <c r="U43" s="25"/>
    </row>
    <row r="44" spans="1:21" ht="19.5">
      <c r="A44" s="86"/>
      <c r="B44" s="87"/>
      <c r="C44" s="88" t="s">
        <v>18</v>
      </c>
      <c r="D44" s="747" t="s">
        <v>19</v>
      </c>
      <c r="E44" s="87"/>
      <c r="F44" s="87"/>
      <c r="G44" s="90"/>
      <c r="H44" s="91" t="s">
        <v>14</v>
      </c>
      <c r="I44" s="92"/>
      <c r="J44" s="92"/>
      <c r="K44" s="93"/>
      <c r="L44" s="746">
        <f ca="1">L45+L46</f>
        <v>426570</v>
      </c>
      <c r="M44" s="745">
        <f ca="1">M45+M46</f>
        <v>438073.18</v>
      </c>
      <c r="N44" s="745">
        <f ca="1">N45+N46</f>
        <v>378693</v>
      </c>
      <c r="O44" s="745">
        <f ca="1">IF(L44&gt;0,N44*100/L44,0)</f>
        <v>88.776285252127437</v>
      </c>
      <c r="P44" s="745">
        <f ca="1">IF(M44&gt;0,N44*100/M44,0)</f>
        <v>86.445145991361542</v>
      </c>
      <c r="Q44" s="745">
        <f>Q45+Q46</f>
        <v>0</v>
      </c>
      <c r="R44" s="745">
        <f>R45+R46</f>
        <v>0</v>
      </c>
      <c r="S44" s="745">
        <f>S45+S46</f>
        <v>0</v>
      </c>
      <c r="T44" s="745">
        <f>IF(Q44&gt;0,S44*100/Q44,0)</f>
        <v>0</v>
      </c>
      <c r="U44" s="745">
        <f>IF(R44&gt;0,S44*100/R44,0)</f>
        <v>0</v>
      </c>
    </row>
    <row r="45" spans="1:21" ht="18.75" hidden="1">
      <c r="A45" s="86"/>
      <c r="B45" s="87"/>
      <c r="C45" s="87"/>
      <c r="D45" s="87"/>
      <c r="E45" s="744" t="s">
        <v>20</v>
      </c>
      <c r="F45" s="87"/>
      <c r="G45" s="90"/>
      <c r="H45" s="743" t="s">
        <v>14</v>
      </c>
      <c r="I45" s="92"/>
      <c r="J45" s="92"/>
      <c r="K45" s="93"/>
      <c r="L45" s="742">
        <f>L48+L51</f>
        <v>0</v>
      </c>
      <c r="M45" s="741">
        <f>M48+M51</f>
        <v>0</v>
      </c>
      <c r="N45" s="741">
        <f>N48+N51</f>
        <v>0</v>
      </c>
      <c r="O45" s="741">
        <f>IF(L45&gt;0,N45*100/L45,0)</f>
        <v>0</v>
      </c>
      <c r="P45" s="741">
        <f>IF(M45&gt;0,N45*100/M45,0)</f>
        <v>0</v>
      </c>
      <c r="Q45" s="741">
        <f>Q48+Q51</f>
        <v>0</v>
      </c>
      <c r="R45" s="741">
        <f>R48+R51</f>
        <v>0</v>
      </c>
      <c r="S45" s="741">
        <f>S48+S51</f>
        <v>0</v>
      </c>
      <c r="T45" s="741">
        <f>IF(Q45&gt;0,S45*100/Q45,0)</f>
        <v>0</v>
      </c>
      <c r="U45" s="741">
        <f>IF(R45&gt;0,S45*100/R45,0)</f>
        <v>0</v>
      </c>
    </row>
    <row r="46" spans="1:21" ht="18.75" hidden="1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740">
        <f ca="1">L49+L52</f>
        <v>426570</v>
      </c>
      <c r="M46" s="739">
        <f ca="1">M49+M52</f>
        <v>438073.18</v>
      </c>
      <c r="N46" s="739">
        <f ca="1">N49+N52</f>
        <v>378693</v>
      </c>
      <c r="O46" s="739">
        <f ca="1">IF(L46&gt;0,N46*100/L46,0)</f>
        <v>88.776285252127437</v>
      </c>
      <c r="P46" s="739">
        <f ca="1">IF(M46&gt;0,N46*100/M46,0)</f>
        <v>86.445145991361542</v>
      </c>
      <c r="Q46" s="739">
        <f>Q49+Q52</f>
        <v>0</v>
      </c>
      <c r="R46" s="739">
        <f>R49+R52</f>
        <v>0</v>
      </c>
      <c r="S46" s="739">
        <f>S49+S52</f>
        <v>0</v>
      </c>
      <c r="T46" s="739">
        <f>IF(Q46&gt;0,S46*100/Q46,0)</f>
        <v>0</v>
      </c>
      <c r="U46" s="739">
        <f>IF(R46&gt;0,S46*100/R46,0)</f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256">
        <f ca="1">L48+L49</f>
        <v>426570</v>
      </c>
      <c r="M47" s="255">
        <f ca="1">M48+M49</f>
        <v>438073.18</v>
      </c>
      <c r="N47" s="255">
        <f ca="1">N48+N49</f>
        <v>378693</v>
      </c>
      <c r="O47" s="255">
        <f ca="1">IF(L47&gt;0,N47*100/L47,0)</f>
        <v>88.776285252127437</v>
      </c>
      <c r="P47" s="255">
        <f ca="1">IF(M47&gt;0,N47*100/M47,0)</f>
        <v>86.445145991361542</v>
      </c>
      <c r="Q47" s="255">
        <f>Q48+Q49</f>
        <v>0</v>
      </c>
      <c r="R47" s="255">
        <f>R48+R49</f>
        <v>0</v>
      </c>
      <c r="S47" s="255">
        <f>S48+S49</f>
        <v>0</v>
      </c>
      <c r="T47" s="255">
        <f>IF(Q47&gt;0,S47*100/Q47,0)</f>
        <v>0</v>
      </c>
      <c r="U47" s="255">
        <f>IF(R47&gt;0,S47*100/R47,0)</f>
        <v>0</v>
      </c>
    </row>
    <row r="48" spans="1:21" ht="18.75" hidden="1">
      <c r="A48" s="49"/>
      <c r="B48" s="50"/>
      <c r="C48" s="50"/>
      <c r="D48" s="50"/>
      <c r="E48" s="186" t="s">
        <v>20</v>
      </c>
      <c r="F48" s="50"/>
      <c r="G48" s="52"/>
      <c r="H48" s="729" t="s">
        <v>14</v>
      </c>
      <c r="I48" s="54"/>
      <c r="J48" s="54"/>
      <c r="K48" s="55"/>
      <c r="L48" s="103">
        <v>0</v>
      </c>
      <c r="M48" s="102">
        <v>0</v>
      </c>
      <c r="N48" s="102">
        <v>0</v>
      </c>
      <c r="O48" s="102">
        <f>IF(L48&gt;0,N48*100/L48,0)</f>
        <v>0</v>
      </c>
      <c r="P48" s="102">
        <f>IF(M48&gt;0,N48*100/M48,0)</f>
        <v>0</v>
      </c>
      <c r="Q48" s="102">
        <v>0</v>
      </c>
      <c r="R48" s="102">
        <v>0</v>
      </c>
      <c r="S48" s="102">
        <v>0</v>
      </c>
      <c r="T48" s="102">
        <f>IF(Q48&gt;0,S48*100/Q48,0)</f>
        <v>0</v>
      </c>
      <c r="U48" s="102">
        <f>IF(R48&gt;0,S48*100/R48,0)</f>
        <v>0</v>
      </c>
    </row>
    <row r="49" spans="1:21" ht="18.75" hidden="1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256">
        <f ca="1">IFERROR(__xludf.DUMMYFUNCTION("IMPORTRANGE(""https://docs.google.com/spreadsheets/d/1-uDff_7J0KD5mKrp0Vvzr7lt3OU09vwQwhkpOPPYv2Y/edit?usp=sharing"",""งบพรบ!P41"")"),426570)</f>
        <v>426570</v>
      </c>
      <c r="M49" s="255">
        <f ca="1">IFERROR(__xludf.DUMMYFUNCTION("IMPORTRANGE(""https://docs.google.com/spreadsheets/d/1-uDff_7J0KD5mKrp0Vvzr7lt3OU09vwQwhkpOPPYv2Y/edit?usp=sharing"",""งบพรบ!V41"")"),438073.18)</f>
        <v>438073.18</v>
      </c>
      <c r="N49" s="255">
        <f ca="1">IFERROR(__xludf.DUMMYFUNCTION("IMPORTRANGE(""https://docs.google.com/spreadsheets/d/1-uDff_7J0KD5mKrp0Vvzr7lt3OU09vwQwhkpOPPYv2Y/edit?usp=sharing"",""งบพรบ!Y41"")"),378693)</f>
        <v>378693</v>
      </c>
      <c r="O49" s="255">
        <f ca="1">IF(L49&gt;0,N49*100/L49,0)</f>
        <v>88.776285252127437</v>
      </c>
      <c r="P49" s="255">
        <f ca="1">IF(M49&gt;0,N49*100/M49,0)</f>
        <v>86.445145991361542</v>
      </c>
      <c r="Q49" s="255">
        <v>0</v>
      </c>
      <c r="R49" s="255">
        <v>0</v>
      </c>
      <c r="S49" s="255">
        <v>0</v>
      </c>
      <c r="T49" s="255">
        <f>IF(Q49&gt;0,S49*100/Q49,0)</f>
        <v>0</v>
      </c>
      <c r="U49" s="255">
        <f>IF(R49&gt;0,S49*100/R49,0)</f>
        <v>0</v>
      </c>
    </row>
    <row r="50" spans="1:21" ht="18.75">
      <c r="A50" s="49"/>
      <c r="B50" s="50"/>
      <c r="C50" s="50"/>
      <c r="D50" s="51" t="s">
        <v>23</v>
      </c>
      <c r="E50" s="50"/>
      <c r="F50" s="50"/>
      <c r="G50" s="52"/>
      <c r="H50" s="53" t="s">
        <v>14</v>
      </c>
      <c r="I50" s="54"/>
      <c r="J50" s="54"/>
      <c r="K50" s="55"/>
      <c r="L50" s="256">
        <f ca="1">L51+L52</f>
        <v>0</v>
      </c>
      <c r="M50" s="255">
        <f ca="1">M51+M52</f>
        <v>0</v>
      </c>
      <c r="N50" s="255">
        <f ca="1">N51+N52</f>
        <v>0</v>
      </c>
      <c r="O50" s="255">
        <f ca="1">IF(L50&gt;0,N50*100/L50,0)</f>
        <v>0</v>
      </c>
      <c r="P50" s="255">
        <f ca="1">IF(M50&gt;0,N50*100/M50,0)</f>
        <v>0</v>
      </c>
      <c r="Q50" s="255">
        <f>Q51+Q52</f>
        <v>0</v>
      </c>
      <c r="R50" s="255">
        <f>R51+R52</f>
        <v>0</v>
      </c>
      <c r="S50" s="255">
        <f>S51+S52</f>
        <v>0</v>
      </c>
      <c r="T50" s="255">
        <f>IF(Q50&gt;0,S50*100/Q50,0)</f>
        <v>0</v>
      </c>
      <c r="U50" s="255">
        <f>IF(R50&gt;0,S50*100/R50,0)</f>
        <v>0</v>
      </c>
    </row>
    <row r="51" spans="1:21" ht="18.75" hidden="1">
      <c r="A51" s="49"/>
      <c r="B51" s="50"/>
      <c r="C51" s="50"/>
      <c r="D51" s="50"/>
      <c r="E51" s="186" t="s">
        <v>20</v>
      </c>
      <c r="F51" s="50"/>
      <c r="G51" s="52"/>
      <c r="H51" s="729" t="s">
        <v>14</v>
      </c>
      <c r="I51" s="54"/>
      <c r="J51" s="54"/>
      <c r="K51" s="55"/>
      <c r="L51" s="103">
        <v>0</v>
      </c>
      <c r="M51" s="102">
        <v>0</v>
      </c>
      <c r="N51" s="102">
        <v>0</v>
      </c>
      <c r="O51" s="102">
        <f>IF(L51&gt;0,N51*100/L51,0)</f>
        <v>0</v>
      </c>
      <c r="P51" s="102">
        <f>IF(M51&gt;0,N51*100/M51,0)</f>
        <v>0</v>
      </c>
      <c r="Q51" s="102">
        <v>0</v>
      </c>
      <c r="R51" s="102">
        <v>0</v>
      </c>
      <c r="S51" s="102">
        <v>0</v>
      </c>
      <c r="T51" s="102">
        <f>IF(Q51&gt;0,S51*100/Q51,0)</f>
        <v>0</v>
      </c>
      <c r="U51" s="102">
        <f>IF(R51&gt;0,S51*100/R51,0)</f>
        <v>0</v>
      </c>
    </row>
    <row r="52" spans="1:21" ht="18.75" hidden="1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256">
        <f ca="1">IFERROR(__xludf.DUMMYFUNCTION("IMPORTRANGE(""https://docs.google.com/spreadsheets/d/1-uDff_7J0KD5mKrp0Vvzr7lt3OU09vwQwhkpOPPYv2Y/edit?usp=sharing"",""งบพรบ!S41"")"),0)</f>
        <v>0</v>
      </c>
      <c r="M52" s="255">
        <f ca="1">IFERROR(__xludf.DUMMYFUNCTION("IMPORTRANGE(""https://docs.google.com/spreadsheets/d/1-uDff_7J0KD5mKrp0Vvzr7lt3OU09vwQwhkpOPPYv2Y/edit?usp=sharing"",""งบพรบ!W41"")"),0)</f>
        <v>0</v>
      </c>
      <c r="N52" s="255">
        <f ca="1">IFERROR(__xludf.DUMMYFUNCTION("IMPORTRANGE(""https://docs.google.com/spreadsheets/d/1-uDff_7J0KD5mKrp0Vvzr7lt3OU09vwQwhkpOPPYv2Y/edit?usp=sharing"",""งบพรบ!Z41"")"),0)</f>
        <v>0</v>
      </c>
      <c r="O52" s="255">
        <f ca="1">IF(L52&gt;0,N52*100/L52,0)</f>
        <v>0</v>
      </c>
      <c r="P52" s="255">
        <f ca="1">IF(M52&gt;0,N52*100/M52,0)</f>
        <v>0</v>
      </c>
      <c r="Q52" s="255">
        <v>0</v>
      </c>
      <c r="R52" s="255">
        <v>0</v>
      </c>
      <c r="S52" s="255">
        <v>0</v>
      </c>
      <c r="T52" s="255">
        <f>IF(Q52&gt;0,S52*100/Q52,0)</f>
        <v>0</v>
      </c>
      <c r="U52" s="255">
        <f>IF(R52&gt;0,S52*100/R52,0)</f>
        <v>0</v>
      </c>
    </row>
    <row r="53" spans="1:21" ht="18.75">
      <c r="A53" s="49"/>
      <c r="B53" s="50"/>
      <c r="C53" s="50"/>
      <c r="D53" s="51" t="s">
        <v>24</v>
      </c>
      <c r="E53" s="50"/>
      <c r="F53" s="50"/>
      <c r="G53" s="52"/>
      <c r="H53" s="53" t="s">
        <v>14</v>
      </c>
      <c r="I53" s="54"/>
      <c r="J53" s="54"/>
      <c r="K53" s="55"/>
      <c r="L53" s="62"/>
      <c r="M53" s="55"/>
      <c r="N53" s="55"/>
      <c r="O53" s="55"/>
      <c r="P53" s="55"/>
      <c r="Q53" s="55"/>
      <c r="R53" s="55"/>
      <c r="S53" s="55"/>
      <c r="T53" s="55"/>
      <c r="U53" s="55"/>
    </row>
    <row r="54" spans="1:21" ht="18.75" hidden="1">
      <c r="A54" s="49"/>
      <c r="B54" s="50"/>
      <c r="C54" s="50"/>
      <c r="D54" s="50"/>
      <c r="E54" s="186" t="s">
        <v>20</v>
      </c>
      <c r="F54" s="50"/>
      <c r="G54" s="52"/>
      <c r="H54" s="729" t="s">
        <v>14</v>
      </c>
      <c r="I54" s="54"/>
      <c r="J54" s="54"/>
      <c r="K54" s="55"/>
      <c r="L54" s="62"/>
      <c r="M54" s="55"/>
      <c r="N54" s="55"/>
      <c r="O54" s="55"/>
      <c r="P54" s="55"/>
      <c r="Q54" s="55"/>
      <c r="R54" s="55"/>
      <c r="S54" s="55"/>
      <c r="T54" s="55"/>
      <c r="U54" s="55"/>
    </row>
    <row r="55" spans="1:21" ht="18.75" hidden="1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8"/>
      <c r="M55" s="6"/>
      <c r="N55" s="6"/>
      <c r="O55" s="6"/>
      <c r="P55" s="6"/>
      <c r="Q55" s="6"/>
      <c r="R55" s="6"/>
      <c r="S55" s="6"/>
      <c r="T55" s="6"/>
      <c r="U55" s="6"/>
    </row>
    <row r="56" spans="1:21" ht="19.5">
      <c r="A56" s="533" t="s">
        <v>28</v>
      </c>
      <c r="B56" s="514"/>
      <c r="C56" s="514"/>
      <c r="D56" s="514"/>
      <c r="E56" s="514"/>
      <c r="F56" s="514"/>
      <c r="G56" s="512"/>
      <c r="H56" s="104"/>
      <c r="I56" s="105"/>
      <c r="J56" s="105"/>
      <c r="K56" s="106"/>
      <c r="L56" s="106"/>
      <c r="M56" s="106"/>
      <c r="N56" s="106"/>
      <c r="O56" s="106"/>
      <c r="P56" s="107"/>
      <c r="Q56" s="106"/>
      <c r="R56" s="106"/>
      <c r="S56" s="106"/>
      <c r="T56" s="106"/>
      <c r="U56" s="107"/>
    </row>
    <row r="57" spans="1:21" ht="19.5">
      <c r="A57" s="108"/>
      <c r="B57" s="534" t="s">
        <v>29</v>
      </c>
      <c r="C57" s="529"/>
      <c r="D57" s="529"/>
      <c r="E57" s="529"/>
      <c r="F57" s="529"/>
      <c r="G57" s="530"/>
      <c r="H57" s="109"/>
      <c r="I57" s="110"/>
      <c r="J57" s="110"/>
      <c r="K57" s="111"/>
      <c r="L57" s="112"/>
      <c r="M57" s="111"/>
      <c r="N57" s="111"/>
      <c r="O57" s="111"/>
      <c r="P57" s="111"/>
      <c r="Q57" s="111"/>
      <c r="R57" s="111"/>
      <c r="S57" s="111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9"/>
      <c r="M58" s="118"/>
      <c r="N58" s="118"/>
      <c r="O58" s="118"/>
      <c r="P58" s="118"/>
      <c r="Q58" s="118"/>
      <c r="R58" s="118"/>
      <c r="S58" s="118"/>
      <c r="T58" s="118"/>
      <c r="U58" s="118"/>
    </row>
    <row r="59" spans="1:21" ht="19.5">
      <c r="A59" s="120"/>
      <c r="B59" s="121"/>
      <c r="C59" s="122" t="s">
        <v>18</v>
      </c>
      <c r="D59" s="738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737">
        <f ca="1">L60+L61</f>
        <v>572100</v>
      </c>
      <c r="M59" s="736">
        <f ca="1">M60+M61</f>
        <v>572100</v>
      </c>
      <c r="N59" s="736">
        <f ca="1">N60+N61</f>
        <v>489899.54</v>
      </c>
      <c r="O59" s="736">
        <f ca="1">IF(L59&gt;0,N59*100/L59,0)</f>
        <v>85.631802132494315</v>
      </c>
      <c r="P59" s="736">
        <f ca="1">IF(M59&gt;0,N59*100/M59,0)</f>
        <v>85.631802132494315</v>
      </c>
      <c r="Q59" s="736">
        <f>Q60+Q61</f>
        <v>0</v>
      </c>
      <c r="R59" s="736">
        <f>R60+R61</f>
        <v>0</v>
      </c>
      <c r="S59" s="736">
        <f>S60+S61</f>
        <v>0</v>
      </c>
      <c r="T59" s="736">
        <f>IF(Q59&gt;0,S59*100/Q59,0)</f>
        <v>0</v>
      </c>
      <c r="U59" s="736">
        <f>IF(R59&gt;0,S59*100/R59,0)</f>
        <v>0</v>
      </c>
    </row>
    <row r="60" spans="1:21" ht="18.75" hidden="1">
      <c r="A60" s="120"/>
      <c r="B60" s="121"/>
      <c r="C60" s="121"/>
      <c r="D60" s="121"/>
      <c r="E60" s="735" t="s">
        <v>20</v>
      </c>
      <c r="F60" s="121"/>
      <c r="G60" s="124"/>
      <c r="H60" s="734" t="s">
        <v>14</v>
      </c>
      <c r="I60" s="126"/>
      <c r="J60" s="126"/>
      <c r="K60" s="127"/>
      <c r="L60" s="733">
        <f>L63+L66</f>
        <v>0</v>
      </c>
      <c r="M60" s="732">
        <f>M63+M66</f>
        <v>0</v>
      </c>
      <c r="N60" s="732">
        <f>N63+N66</f>
        <v>0</v>
      </c>
      <c r="O60" s="732">
        <f>IF(L60&gt;0,N60*100/L60,0)</f>
        <v>0</v>
      </c>
      <c r="P60" s="732">
        <f>IF(M60&gt;0,N60*100/M60,0)</f>
        <v>0</v>
      </c>
      <c r="Q60" s="732">
        <f>Q63+Q66</f>
        <v>0</v>
      </c>
      <c r="R60" s="732">
        <f>R63+R66</f>
        <v>0</v>
      </c>
      <c r="S60" s="732">
        <f>S63+S66</f>
        <v>0</v>
      </c>
      <c r="T60" s="732">
        <f>IF(Q60&gt;0,S60*100/Q60,0)</f>
        <v>0</v>
      </c>
      <c r="U60" s="732">
        <f>IF(R60&gt;0,S60*100/R60,0)</f>
        <v>0</v>
      </c>
    </row>
    <row r="61" spans="1:21" ht="18.75" hidden="1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731">
        <f ca="1">L64+L67</f>
        <v>572100</v>
      </c>
      <c r="M61" s="730">
        <f ca="1">M64+M67</f>
        <v>572100</v>
      </c>
      <c r="N61" s="730">
        <f ca="1">N64+N67</f>
        <v>489899.54</v>
      </c>
      <c r="O61" s="730">
        <f ca="1">IF(L61&gt;0,N61*100/L61,0)</f>
        <v>85.631802132494315</v>
      </c>
      <c r="P61" s="730">
        <f ca="1">IF(M61&gt;0,N61*100/M61,0)</f>
        <v>85.631802132494315</v>
      </c>
      <c r="Q61" s="730">
        <f>Q64+Q67</f>
        <v>0</v>
      </c>
      <c r="R61" s="730">
        <f>R64+R67</f>
        <v>0</v>
      </c>
      <c r="S61" s="730">
        <f>S64+S67</f>
        <v>0</v>
      </c>
      <c r="T61" s="730">
        <f>IF(Q61&gt;0,S61*100/Q61,0)</f>
        <v>0</v>
      </c>
      <c r="U61" s="730">
        <f>IF(R61&gt;0,S61*100/R61,0)</f>
        <v>0</v>
      </c>
    </row>
    <row r="62" spans="1:21" ht="18.75">
      <c r="A62" s="49"/>
      <c r="B62" s="50"/>
      <c r="C62" s="50"/>
      <c r="D62" s="51" t="s">
        <v>22</v>
      </c>
      <c r="E62" s="50"/>
      <c r="F62" s="50"/>
      <c r="G62" s="52"/>
      <c r="H62" s="53" t="s">
        <v>14</v>
      </c>
      <c r="I62" s="54"/>
      <c r="J62" s="54"/>
      <c r="K62" s="55"/>
      <c r="L62" s="256">
        <f ca="1">L63+L64</f>
        <v>572100</v>
      </c>
      <c r="M62" s="255">
        <f ca="1">M63+M64</f>
        <v>572100</v>
      </c>
      <c r="N62" s="255">
        <f ca="1">N63+N64</f>
        <v>489899.54</v>
      </c>
      <c r="O62" s="255">
        <f ca="1">IF(L62&gt;0,N62*100/L62,0)</f>
        <v>85.631802132494315</v>
      </c>
      <c r="P62" s="255">
        <f ca="1">IF(M62&gt;0,N62*100/M62,0)</f>
        <v>85.631802132494315</v>
      </c>
      <c r="Q62" s="255">
        <f>Q63+Q64</f>
        <v>0</v>
      </c>
      <c r="R62" s="255">
        <f>R63+R64</f>
        <v>0</v>
      </c>
      <c r="S62" s="255">
        <f>S63+S64</f>
        <v>0</v>
      </c>
      <c r="T62" s="255">
        <f>IF(Q62&gt;0,S62*100/Q62,0)</f>
        <v>0</v>
      </c>
      <c r="U62" s="255">
        <f>IF(R62&gt;0,S62*100/R62,0)</f>
        <v>0</v>
      </c>
    </row>
    <row r="63" spans="1:21" ht="18.75" hidden="1">
      <c r="A63" s="49"/>
      <c r="B63" s="50"/>
      <c r="C63" s="50"/>
      <c r="D63" s="50"/>
      <c r="E63" s="186" t="s">
        <v>20</v>
      </c>
      <c r="F63" s="50"/>
      <c r="G63" s="52"/>
      <c r="H63" s="729" t="s">
        <v>14</v>
      </c>
      <c r="I63" s="54"/>
      <c r="J63" s="54"/>
      <c r="K63" s="55"/>
      <c r="L63" s="103">
        <v>0</v>
      </c>
      <c r="M63" s="102">
        <v>0</v>
      </c>
      <c r="N63" s="102">
        <v>0</v>
      </c>
      <c r="O63" s="102">
        <f>IF(L63&gt;0,N63*100/L63,0)</f>
        <v>0</v>
      </c>
      <c r="P63" s="102">
        <f>IF(M63&gt;0,N63*100/M63,0)</f>
        <v>0</v>
      </c>
      <c r="Q63" s="102">
        <v>0</v>
      </c>
      <c r="R63" s="102">
        <v>0</v>
      </c>
      <c r="S63" s="102">
        <v>0</v>
      </c>
      <c r="T63" s="102">
        <f>IF(Q63&gt;0,S63*100/Q63,0)</f>
        <v>0</v>
      </c>
      <c r="U63" s="102">
        <f>IF(R63&gt;0,S63*100/R63,0)</f>
        <v>0</v>
      </c>
    </row>
    <row r="64" spans="1:21" ht="18.75" hidden="1">
      <c r="A64" s="49"/>
      <c r="B64" s="50"/>
      <c r="C64" s="50"/>
      <c r="D64" s="50"/>
      <c r="E64" s="58" t="s">
        <v>21</v>
      </c>
      <c r="F64" s="50"/>
      <c r="G64" s="52"/>
      <c r="H64" s="53" t="s">
        <v>14</v>
      </c>
      <c r="I64" s="54"/>
      <c r="J64" s="54"/>
      <c r="K64" s="55"/>
      <c r="L64" s="256">
        <f ca="1">IFERROR(__xludf.DUMMYFUNCTION("IMPORTRANGE(""https://docs.google.com/spreadsheets/d/1-uDff_7J0KD5mKrp0Vvzr7lt3OU09vwQwhkpOPPYv2Y/edit?usp=sharing"",""งบพรบ!AC41"")"),572100)</f>
        <v>572100</v>
      </c>
      <c r="M64" s="255">
        <f ca="1">IFERROR(__xludf.DUMMYFUNCTION("IMPORTRANGE(""https://docs.google.com/spreadsheets/d/1-uDff_7J0KD5mKrp0Vvzr7lt3OU09vwQwhkpOPPYv2Y/edit?usp=sharing"",""งบพรบ!AH41"")"),572100)</f>
        <v>572100</v>
      </c>
      <c r="N64" s="255">
        <f ca="1">IFERROR(__xludf.DUMMYFUNCTION("IMPORTRANGE(""https://docs.google.com/spreadsheets/d/1-uDff_7J0KD5mKrp0Vvzr7lt3OU09vwQwhkpOPPYv2Y/edit?usp=sharing"",""งบพรบ!AJ41"")"),489899.54)</f>
        <v>489899.54</v>
      </c>
      <c r="O64" s="255">
        <f ca="1">IF(L64&gt;0,N64*100/L64,0)</f>
        <v>85.631802132494315</v>
      </c>
      <c r="P64" s="255">
        <f ca="1">IF(M64&gt;0,N64*100/M64,0)</f>
        <v>85.631802132494315</v>
      </c>
      <c r="Q64" s="255">
        <v>0</v>
      </c>
      <c r="R64" s="255">
        <v>0</v>
      </c>
      <c r="S64" s="255">
        <v>0</v>
      </c>
      <c r="T64" s="255">
        <f>IF(Q64&gt;0,S64*100/Q64,0)</f>
        <v>0</v>
      </c>
      <c r="U64" s="255">
        <f>IF(R64&gt;0,S64*100/R64,0)</f>
        <v>0</v>
      </c>
    </row>
    <row r="65" spans="1:21" ht="18.75">
      <c r="A65" s="49"/>
      <c r="B65" s="50"/>
      <c r="C65" s="50"/>
      <c r="D65" s="51" t="s">
        <v>23</v>
      </c>
      <c r="E65" s="50"/>
      <c r="F65" s="50"/>
      <c r="G65" s="52"/>
      <c r="H65" s="53" t="s">
        <v>14</v>
      </c>
      <c r="I65" s="54"/>
      <c r="J65" s="54"/>
      <c r="K65" s="55"/>
      <c r="L65" s="256">
        <f ca="1">L66+L67</f>
        <v>0</v>
      </c>
      <c r="M65" s="255">
        <f ca="1">M66+M67</f>
        <v>0</v>
      </c>
      <c r="N65" s="255">
        <f ca="1">N66+N67</f>
        <v>0</v>
      </c>
      <c r="O65" s="255">
        <f ca="1">IF(L65&gt;0,N65*100/L65,0)</f>
        <v>0</v>
      </c>
      <c r="P65" s="255">
        <f ca="1">IF(M65&gt;0,N65*100/M65,0)</f>
        <v>0</v>
      </c>
      <c r="Q65" s="255">
        <f>Q66+Q67</f>
        <v>0</v>
      </c>
      <c r="R65" s="255">
        <f>R66+R67</f>
        <v>0</v>
      </c>
      <c r="S65" s="255">
        <f>S66+S67</f>
        <v>0</v>
      </c>
      <c r="T65" s="255">
        <f>IF(Q65&gt;0,S65*100/Q65,0)</f>
        <v>0</v>
      </c>
      <c r="U65" s="255">
        <f>IF(R65&gt;0,S65*100/R65,0)</f>
        <v>0</v>
      </c>
    </row>
    <row r="66" spans="1:21" ht="18.75" hidden="1">
      <c r="A66" s="49"/>
      <c r="B66" s="50"/>
      <c r="C66" s="50"/>
      <c r="D66" s="50"/>
      <c r="E66" s="186" t="s">
        <v>20</v>
      </c>
      <c r="F66" s="50"/>
      <c r="G66" s="52"/>
      <c r="H66" s="729" t="s">
        <v>14</v>
      </c>
      <c r="I66" s="54"/>
      <c r="J66" s="54"/>
      <c r="K66" s="55"/>
      <c r="L66" s="103">
        <v>0</v>
      </c>
      <c r="M66" s="102">
        <v>0</v>
      </c>
      <c r="N66" s="102">
        <v>0</v>
      </c>
      <c r="O66" s="102">
        <f>IF(L66&gt;0,N66*100/L66,0)</f>
        <v>0</v>
      </c>
      <c r="P66" s="102">
        <f>IF(M66&gt;0,N66*100/M66,0)</f>
        <v>0</v>
      </c>
      <c r="Q66" s="102">
        <v>0</v>
      </c>
      <c r="R66" s="102">
        <v>0</v>
      </c>
      <c r="S66" s="102">
        <v>0</v>
      </c>
      <c r="T66" s="102">
        <f>IF(Q66&gt;0,S66*100/Q66,0)</f>
        <v>0</v>
      </c>
      <c r="U66" s="102">
        <f>IF(R66&gt;0,S66*100/R66,0)</f>
        <v>0</v>
      </c>
    </row>
    <row r="67" spans="1:21" ht="18.75" hidden="1">
      <c r="A67" s="63"/>
      <c r="B67" s="4"/>
      <c r="C67" s="4"/>
      <c r="D67" s="4"/>
      <c r="E67" s="64" t="s">
        <v>21</v>
      </c>
      <c r="F67" s="4"/>
      <c r="G67" s="65"/>
      <c r="H67" s="66" t="s">
        <v>14</v>
      </c>
      <c r="I67" s="67"/>
      <c r="J67" s="67"/>
      <c r="K67" s="6"/>
      <c r="L67" s="728">
        <f ca="1">IFERROR(__xludf.DUMMYFUNCTION("IMPORTRANGE(""https://docs.google.com/spreadsheets/d/1-uDff_7J0KD5mKrp0Vvzr7lt3OU09vwQwhkpOPPYv2Y/edit?usp=sharing"",""งบพรบ!AF41"")"),0)</f>
        <v>0</v>
      </c>
      <c r="M67" s="506">
        <f ca="1">IFERROR(__xludf.DUMMYFUNCTION("IMPORTRANGE(""https://docs.google.com/spreadsheets/d/1-uDff_7J0KD5mKrp0Vvzr7lt3OU09vwQwhkpOPPYv2Y/edit?usp=sharing"",""งบพรบ!AI41"")"),0)</f>
        <v>0</v>
      </c>
      <c r="N67" s="506">
        <f ca="1">IFERROR(__xludf.DUMMYFUNCTION("IMPORTRANGE(""https://docs.google.com/spreadsheets/d/1-uDff_7J0KD5mKrp0Vvzr7lt3OU09vwQwhkpOPPYv2Y/edit?usp=sharing"",""งบพรบ!AK41"")"),0)</f>
        <v>0</v>
      </c>
      <c r="O67" s="506">
        <f ca="1">IF(L67&gt;0,N67*100/L67,0)</f>
        <v>0</v>
      </c>
      <c r="P67" s="506">
        <f ca="1">IF(M67&gt;0,N67*100/M67,0)</f>
        <v>0</v>
      </c>
      <c r="Q67" s="506">
        <v>0</v>
      </c>
      <c r="R67" s="506">
        <v>0</v>
      </c>
      <c r="S67" s="506">
        <v>0</v>
      </c>
      <c r="T67" s="506">
        <f>IF(Q67&gt;0,S67*100/Q67,0)</f>
        <v>0</v>
      </c>
      <c r="U67" s="506">
        <f>IF(R67&gt;0,S67*100/R67,0)</f>
        <v>0</v>
      </c>
    </row>
    <row r="68" spans="1:21" ht="19.5">
      <c r="A68" s="137" t="s">
        <v>31</v>
      </c>
      <c r="B68" s="138"/>
      <c r="C68" s="138"/>
      <c r="D68" s="138"/>
      <c r="E68" s="139"/>
      <c r="F68" s="139"/>
      <c r="G68" s="139"/>
      <c r="H68" s="139"/>
      <c r="I68" s="140"/>
      <c r="J68" s="140"/>
      <c r="K68" s="141"/>
      <c r="L68" s="141"/>
      <c r="M68" s="141"/>
      <c r="N68" s="141"/>
      <c r="O68" s="141"/>
      <c r="P68" s="142"/>
      <c r="Q68" s="141"/>
      <c r="R68" s="141"/>
      <c r="S68" s="141"/>
      <c r="T68" s="141"/>
      <c r="U68" s="142"/>
    </row>
    <row r="69" spans="1:21" ht="19.5">
      <c r="A69" s="143" t="s">
        <v>32</v>
      </c>
      <c r="B69" s="144"/>
      <c r="C69" s="145"/>
      <c r="D69" s="144"/>
      <c r="E69" s="144"/>
      <c r="F69" s="144"/>
      <c r="G69" s="146"/>
      <c r="H69" s="146"/>
      <c r="I69" s="147"/>
      <c r="J69" s="147"/>
      <c r="K69" s="148"/>
      <c r="L69" s="149"/>
      <c r="M69" s="148"/>
      <c r="N69" s="148"/>
      <c r="O69" s="148"/>
      <c r="P69" s="148"/>
      <c r="Q69" s="148"/>
      <c r="R69" s="148"/>
      <c r="S69" s="148"/>
      <c r="T69" s="148"/>
      <c r="U69" s="148"/>
    </row>
    <row r="70" spans="1:21" ht="19.5">
      <c r="A70" s="150"/>
      <c r="B70" s="35" t="s">
        <v>33</v>
      </c>
      <c r="C70" s="34"/>
      <c r="D70" s="151"/>
      <c r="E70" s="34"/>
      <c r="F70" s="34"/>
      <c r="G70" s="37"/>
      <c r="H70" s="152" t="s">
        <v>34</v>
      </c>
      <c r="I70" s="721">
        <f ca="1">I82</f>
        <v>1</v>
      </c>
      <c r="J70" s="721">
        <f>J82</f>
        <v>0</v>
      </c>
      <c r="K70" s="720">
        <f ca="1">IF(I70&gt;0,J70*100/I70,0)</f>
        <v>0</v>
      </c>
      <c r="L70" s="154"/>
      <c r="M70" s="40"/>
      <c r="N70" s="40"/>
      <c r="O70" s="40"/>
      <c r="P70" s="40"/>
      <c r="Q70" s="40"/>
      <c r="R70" s="40"/>
      <c r="S70" s="40"/>
      <c r="T70" s="40"/>
      <c r="U70" s="40"/>
    </row>
    <row r="71" spans="1:21" ht="19.5">
      <c r="A71" s="150"/>
      <c r="B71" s="34"/>
      <c r="C71" s="34"/>
      <c r="D71" s="151"/>
      <c r="E71" s="34"/>
      <c r="F71" s="34"/>
      <c r="G71" s="37"/>
      <c r="H71" s="152" t="s">
        <v>35</v>
      </c>
      <c r="I71" s="721">
        <f ca="1">I83</f>
        <v>40</v>
      </c>
      <c r="J71" s="721">
        <f>J83</f>
        <v>0</v>
      </c>
      <c r="K71" s="720">
        <f ca="1">IF(I71&gt;0,J71*100/I71,0)</f>
        <v>0</v>
      </c>
      <c r="L71" s="154"/>
      <c r="M71" s="40"/>
      <c r="N71" s="40"/>
      <c r="O71" s="40"/>
      <c r="P71" s="40"/>
      <c r="Q71" s="40"/>
      <c r="R71" s="40"/>
      <c r="S71" s="40"/>
      <c r="T71" s="40"/>
      <c r="U71" s="40"/>
    </row>
    <row r="72" spans="1:21" ht="19.5">
      <c r="A72" s="155"/>
      <c r="B72" s="50"/>
      <c r="C72" s="156" t="s">
        <v>18</v>
      </c>
      <c r="D72" s="575" t="s">
        <v>19</v>
      </c>
      <c r="E72" s="50"/>
      <c r="F72" s="50"/>
      <c r="G72" s="52"/>
      <c r="H72" s="158" t="s">
        <v>14</v>
      </c>
      <c r="I72" s="54"/>
      <c r="J72" s="54"/>
      <c r="K72" s="55"/>
      <c r="L72" s="541">
        <f ca="1">L73+L74</f>
        <v>382900</v>
      </c>
      <c r="M72" s="540">
        <f ca="1">M73+M74</f>
        <v>382900</v>
      </c>
      <c r="N72" s="540">
        <f ca="1">N73+N74</f>
        <v>312366</v>
      </c>
      <c r="O72" s="540">
        <f ca="1">IF(L72&gt;0,N72*100/L72,0)</f>
        <v>81.579002350483151</v>
      </c>
      <c r="P72" s="540">
        <f ca="1">IF(M72&gt;0,N72*100/M72,0)</f>
        <v>81.579002350483151</v>
      </c>
      <c r="Q72" s="540">
        <f ca="1">Q73+Q74</f>
        <v>543460</v>
      </c>
      <c r="R72" s="540">
        <f ca="1">R73+R74</f>
        <v>543460</v>
      </c>
      <c r="S72" s="540">
        <f ca="1">S73+S74</f>
        <v>8730</v>
      </c>
      <c r="T72" s="540">
        <f ca="1">IF(Q72&gt;0,S72*100/Q72,0)</f>
        <v>1.6063739741655321</v>
      </c>
      <c r="U72" s="540">
        <f ca="1">IF(R72&gt;0,S72*100/R72,0)</f>
        <v>1.6063739741655321</v>
      </c>
    </row>
    <row r="73" spans="1:21" ht="18.75" hidden="1">
      <c r="A73" s="155"/>
      <c r="B73" s="50"/>
      <c r="C73" s="50"/>
      <c r="D73" s="50"/>
      <c r="E73" s="186" t="s">
        <v>20</v>
      </c>
      <c r="F73" s="50"/>
      <c r="G73" s="52"/>
      <c r="H73" s="187" t="s">
        <v>14</v>
      </c>
      <c r="I73" s="54"/>
      <c r="J73" s="54"/>
      <c r="K73" s="55"/>
      <c r="L73" s="103">
        <f>L76+L79</f>
        <v>0</v>
      </c>
      <c r="M73" s="102">
        <f>M76+M79</f>
        <v>0</v>
      </c>
      <c r="N73" s="102">
        <f>N76+N79</f>
        <v>0</v>
      </c>
      <c r="O73" s="102">
        <f>IF(L73&gt;0,N73*100/L73,0)</f>
        <v>0</v>
      </c>
      <c r="P73" s="102">
        <f>IF(M73&gt;0,N73*100/M73,0)</f>
        <v>0</v>
      </c>
      <c r="Q73" s="102">
        <f>Q76+Q79</f>
        <v>0</v>
      </c>
      <c r="R73" s="102">
        <f>R76+R79</f>
        <v>0</v>
      </c>
      <c r="S73" s="102">
        <f>S76+S79</f>
        <v>0</v>
      </c>
      <c r="T73" s="102">
        <f>IF(Q73&gt;0,S73*100/Q73,0)</f>
        <v>0</v>
      </c>
      <c r="U73" s="102">
        <f>IF(R73&gt;0,S73*100/R73,0)</f>
        <v>0</v>
      </c>
    </row>
    <row r="74" spans="1:21" ht="18.75" hidden="1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256">
        <f ca="1">L77+L80</f>
        <v>382900</v>
      </c>
      <c r="M74" s="255">
        <f ca="1">M77+M80</f>
        <v>382900</v>
      </c>
      <c r="N74" s="255">
        <f ca="1">N77+N80</f>
        <v>312366</v>
      </c>
      <c r="O74" s="255">
        <f ca="1">IF(L74&gt;0,N74*100/L74,0)</f>
        <v>81.579002350483151</v>
      </c>
      <c r="P74" s="255">
        <f ca="1">IF(M74&gt;0,N74*100/M74,0)</f>
        <v>81.579002350483151</v>
      </c>
      <c r="Q74" s="255">
        <f ca="1">Q77+Q80</f>
        <v>543460</v>
      </c>
      <c r="R74" s="255">
        <f ca="1">R77+R80</f>
        <v>543460</v>
      </c>
      <c r="S74" s="255">
        <f ca="1">S77+S80</f>
        <v>8730</v>
      </c>
      <c r="T74" s="255">
        <f ca="1">IF(Q74&gt;0,S74*100/Q74,0)</f>
        <v>1.6063739741655321</v>
      </c>
      <c r="U74" s="255">
        <f ca="1">IF(R74&gt;0,S74*100/R74,0)</f>
        <v>1.6063739741655321</v>
      </c>
    </row>
    <row r="75" spans="1:21" ht="18.75">
      <c r="A75" s="155"/>
      <c r="B75" s="50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256">
        <f ca="1">L76+L77</f>
        <v>382900</v>
      </c>
      <c r="M75" s="255">
        <f ca="1">M76+M77</f>
        <v>382900</v>
      </c>
      <c r="N75" s="255">
        <f ca="1">N76+N77</f>
        <v>312366</v>
      </c>
      <c r="O75" s="255">
        <f ca="1">IF(L75&gt;0,N75*100/L75,0)</f>
        <v>81.579002350483151</v>
      </c>
      <c r="P75" s="255">
        <f ca="1">IF(M75&gt;0,N75*100/M75,0)</f>
        <v>81.579002350483151</v>
      </c>
      <c r="Q75" s="255">
        <f ca="1">Q76+Q77</f>
        <v>543460</v>
      </c>
      <c r="R75" s="255">
        <f ca="1">R76+R77</f>
        <v>543460</v>
      </c>
      <c r="S75" s="255">
        <f ca="1">S76+S77</f>
        <v>8730</v>
      </c>
      <c r="T75" s="255">
        <f ca="1">IF(Q75&gt;0,S75*100/Q75,0)</f>
        <v>1.6063739741655321</v>
      </c>
      <c r="U75" s="255">
        <f ca="1">IF(R75&gt;0,S75*100/R75,0)</f>
        <v>1.6063739741655321</v>
      </c>
    </row>
    <row r="76" spans="1:21" ht="18.75" hidden="1">
      <c r="A76" s="155"/>
      <c r="B76" s="50"/>
      <c r="C76" s="50"/>
      <c r="D76" s="50"/>
      <c r="E76" s="186" t="s">
        <v>36</v>
      </c>
      <c r="F76" s="50"/>
      <c r="G76" s="52"/>
      <c r="H76" s="189" t="s">
        <v>14</v>
      </c>
      <c r="I76" s="163"/>
      <c r="J76" s="163"/>
      <c r="K76" s="164"/>
      <c r="L76" s="103">
        <v>0</v>
      </c>
      <c r="M76" s="102">
        <v>0</v>
      </c>
      <c r="N76" s="102">
        <v>0</v>
      </c>
      <c r="O76" s="102">
        <f>IF(L76&gt;0,N76*100/L76,0)</f>
        <v>0</v>
      </c>
      <c r="P76" s="102">
        <f>IF(M76&gt;0,N76*100/M76,0)</f>
        <v>0</v>
      </c>
      <c r="Q76" s="102">
        <v>0</v>
      </c>
      <c r="R76" s="102">
        <v>0</v>
      </c>
      <c r="S76" s="102">
        <v>0</v>
      </c>
      <c r="T76" s="102">
        <f>IF(Q76&gt;0,S76*100/Q76,0)</f>
        <v>0</v>
      </c>
      <c r="U76" s="102">
        <f>IF(R76&gt;0,S76*100/R76,0)</f>
        <v>0</v>
      </c>
    </row>
    <row r="77" spans="1:21" ht="18.75" hidden="1">
      <c r="A77" s="155"/>
      <c r="B77" s="50"/>
      <c r="C77" s="50"/>
      <c r="D77" s="50"/>
      <c r="E77" s="58" t="s">
        <v>37</v>
      </c>
      <c r="F77" s="50"/>
      <c r="G77" s="52"/>
      <c r="H77" s="162" t="s">
        <v>14</v>
      </c>
      <c r="I77" s="163"/>
      <c r="J77" s="163"/>
      <c r="K77" s="164"/>
      <c r="L77" s="256">
        <f ca="1">IFERROR(__xludf.DUMMYFUNCTION("IMPORTRANGE(""https://docs.google.com/spreadsheets/d/1-uDff_7J0KD5mKrp0Vvzr7lt3OU09vwQwhkpOPPYv2Y/edit?usp=sharing"",""งบพรบ!AM41"")"),382900)</f>
        <v>382900</v>
      </c>
      <c r="M77" s="255">
        <f ca="1">IFERROR(__xludf.DUMMYFUNCTION("IMPORTRANGE(""https://docs.google.com/spreadsheets/d/1-uDff_7J0KD5mKrp0Vvzr7lt3OU09vwQwhkpOPPYv2Y/edit?usp=sharing"",""งบพรบ!AR41"")"),382900)</f>
        <v>382900</v>
      </c>
      <c r="N77" s="255">
        <f ca="1">IFERROR(__xludf.DUMMYFUNCTION("IMPORTRANGE(""https://docs.google.com/spreadsheets/d/1-uDff_7J0KD5mKrp0Vvzr7lt3OU09vwQwhkpOPPYv2Y/edit?usp=sharing"",""งบพรบ!AT41"")"),312366)</f>
        <v>312366</v>
      </c>
      <c r="O77" s="255">
        <f ca="1">IF(L77&gt;0,N77*100/L77,0)</f>
        <v>81.579002350483151</v>
      </c>
      <c r="P77" s="255">
        <f ca="1">IF(M77&gt;0,N77*100/M77,0)</f>
        <v>81.579002350483151</v>
      </c>
      <c r="Q77" s="255">
        <f ca="1">IFERROR(__xludf.DUMMYFUNCTION("IMPORTRANGE(""https://docs.google.com/spreadsheets/d/1ItG2mGa2ceCfYo0BwxsXqNm01IGEUdYcSSLTEv9YCik/edit?usp=sharing"",""เบิกจ่ายกองทุน!AS41"")"),543460)</f>
        <v>543460</v>
      </c>
      <c r="R77" s="255">
        <f ca="1">IFERROR(__xludf.DUMMYFUNCTION("IMPORTRANGE(""https://docs.google.com/spreadsheets/d/1ItG2mGa2ceCfYo0BwxsXqNm01IGEUdYcSSLTEv9YCik/edit?usp=sharing"",""เบิกจ่ายกองทุน!AT41"")"),543460)</f>
        <v>543460</v>
      </c>
      <c r="S77" s="255">
        <f ca="1">IFERROR(__xludf.DUMMYFUNCTION("IMPORTRANGE(""https://docs.google.com/spreadsheets/d/1ItG2mGa2ceCfYo0BwxsXqNm01IGEUdYcSSLTEv9YCik/edit?usp=sharing"",""เบิกจ่ายกองทุน!AU41"")"),8730)</f>
        <v>8730</v>
      </c>
      <c r="T77" s="255">
        <f ca="1">IF(Q77&gt;0,S77*100/Q77,0)</f>
        <v>1.6063739741655321</v>
      </c>
      <c r="U77" s="255">
        <f ca="1">IF(R77&gt;0,S77*100/R77,0)</f>
        <v>1.6063739741655321</v>
      </c>
    </row>
    <row r="78" spans="1:21" ht="18.75">
      <c r="A78" s="155"/>
      <c r="B78" s="50"/>
      <c r="C78" s="50"/>
      <c r="D78" s="51" t="s">
        <v>23</v>
      </c>
      <c r="E78" s="50"/>
      <c r="F78" s="50"/>
      <c r="G78" s="52"/>
      <c r="H78" s="165" t="s">
        <v>14</v>
      </c>
      <c r="I78" s="163"/>
      <c r="J78" s="163"/>
      <c r="K78" s="164"/>
      <c r="L78" s="256">
        <f ca="1">L79+L80</f>
        <v>0</v>
      </c>
      <c r="M78" s="255">
        <f ca="1">M79+M80</f>
        <v>0</v>
      </c>
      <c r="N78" s="255">
        <f ca="1">N79+N80</f>
        <v>0</v>
      </c>
      <c r="O78" s="255">
        <f ca="1">IF(L78&gt;0,N78*100/L78,0)</f>
        <v>0</v>
      </c>
      <c r="P78" s="255">
        <f ca="1">IF(M78&gt;0,N78*100/M78,0)</f>
        <v>0</v>
      </c>
      <c r="Q78" s="255">
        <f>Q79+Q80</f>
        <v>0</v>
      </c>
      <c r="R78" s="255">
        <f>R79+R80</f>
        <v>0</v>
      </c>
      <c r="S78" s="255">
        <f>S79+S80</f>
        <v>0</v>
      </c>
      <c r="T78" s="255">
        <f>IF(Q78&gt;0,S78*100/Q78,0)</f>
        <v>0</v>
      </c>
      <c r="U78" s="255">
        <f>IF(R78&gt;0,S78*100/R78,0)</f>
        <v>0</v>
      </c>
    </row>
    <row r="79" spans="1:21" ht="18.75" hidden="1">
      <c r="A79" s="155"/>
      <c r="B79" s="50"/>
      <c r="C79" s="50"/>
      <c r="D79" s="50"/>
      <c r="E79" s="186" t="s">
        <v>20</v>
      </c>
      <c r="F79" s="50"/>
      <c r="G79" s="52"/>
      <c r="H79" s="189" t="s">
        <v>14</v>
      </c>
      <c r="I79" s="163"/>
      <c r="J79" s="163"/>
      <c r="K79" s="164"/>
      <c r="L79" s="103">
        <v>0</v>
      </c>
      <c r="M79" s="255">
        <v>0</v>
      </c>
      <c r="N79" s="255">
        <v>0</v>
      </c>
      <c r="O79" s="102">
        <f>IF(L79&gt;0,N79*100/L79,0)</f>
        <v>0</v>
      </c>
      <c r="P79" s="102">
        <f>IF(M79&gt;0,N79*100/M79,0)</f>
        <v>0</v>
      </c>
      <c r="Q79" s="102">
        <v>0</v>
      </c>
      <c r="R79" s="255">
        <v>0</v>
      </c>
      <c r="S79" s="255">
        <v>0</v>
      </c>
      <c r="T79" s="102">
        <f>IF(Q79&gt;0,S79*100/Q79,0)</f>
        <v>0</v>
      </c>
      <c r="U79" s="102">
        <f>IF(R79&gt;0,S79*100/R79,0)</f>
        <v>0</v>
      </c>
    </row>
    <row r="80" spans="1:21" ht="18.75" hidden="1">
      <c r="A80" s="155"/>
      <c r="B80" s="50"/>
      <c r="C80" s="50"/>
      <c r="D80" s="50"/>
      <c r="E80" s="58" t="s">
        <v>21</v>
      </c>
      <c r="F80" s="50"/>
      <c r="G80" s="52"/>
      <c r="H80" s="165" t="s">
        <v>14</v>
      </c>
      <c r="I80" s="163"/>
      <c r="J80" s="163"/>
      <c r="K80" s="164"/>
      <c r="L80" s="256">
        <f ca="1">IFERROR(__xludf.DUMMYFUNCTION("IMPORTRANGE(""https://docs.google.com/spreadsheets/d/1-uDff_7J0KD5mKrp0Vvzr7lt3OU09vwQwhkpOPPYv2Y/edit?usp=sharing"",""งบพรบ!AP41"")"),0)</f>
        <v>0</v>
      </c>
      <c r="M80" s="255">
        <f ca="1">IFERROR(__xludf.DUMMYFUNCTION("IMPORTRANGE(""https://docs.google.com/spreadsheets/d/1-uDff_7J0KD5mKrp0Vvzr7lt3OU09vwQwhkpOPPYv2Y/edit?usp=sharing"",""งบพรบ!AS41"")"),0)</f>
        <v>0</v>
      </c>
      <c r="N80" s="255">
        <f ca="1">IFERROR(__xludf.DUMMYFUNCTION("IMPORTRANGE(""https://docs.google.com/spreadsheets/d/1-uDff_7J0KD5mKrp0Vvzr7lt3OU09vwQwhkpOPPYv2Y/edit?usp=sharing"",""งบพรบ!AU41"")"),0)</f>
        <v>0</v>
      </c>
      <c r="O80" s="255">
        <f ca="1">IF(L80&gt;0,N80*100/L80,0)</f>
        <v>0</v>
      </c>
      <c r="P80" s="255">
        <f ca="1">IF(M80&gt;0,N80*100/M80,0)</f>
        <v>0</v>
      </c>
      <c r="Q80" s="255">
        <v>0</v>
      </c>
      <c r="R80" s="255">
        <v>0</v>
      </c>
      <c r="S80" s="255">
        <v>0</v>
      </c>
      <c r="T80" s="255">
        <f>IF(Q80&gt;0,S80*100/Q80,0)</f>
        <v>0</v>
      </c>
      <c r="U80" s="255">
        <f>IF(R80&gt;0,S80*100/R80,0)</f>
        <v>0</v>
      </c>
    </row>
    <row r="81" spans="1:21" ht="19.5">
      <c r="A81" s="166"/>
      <c r="B81" s="167"/>
      <c r="C81" s="156" t="s">
        <v>18</v>
      </c>
      <c r="D81" s="566" t="s">
        <v>38</v>
      </c>
      <c r="E81" s="169"/>
      <c r="F81" s="169"/>
      <c r="G81" s="170"/>
      <c r="H81" s="171"/>
      <c r="I81" s="163"/>
      <c r="J81" s="163"/>
      <c r="K81" s="164"/>
      <c r="L81" s="172"/>
      <c r="M81" s="164"/>
      <c r="N81" s="164"/>
      <c r="O81" s="164"/>
      <c r="P81" s="164"/>
      <c r="Q81" s="164"/>
      <c r="R81" s="164"/>
      <c r="S81" s="164"/>
      <c r="T81" s="164"/>
      <c r="U81" s="164"/>
    </row>
    <row r="82" spans="1:21" ht="19.5">
      <c r="A82" s="166"/>
      <c r="B82" s="167"/>
      <c r="C82" s="167"/>
      <c r="D82" s="173" t="s">
        <v>39</v>
      </c>
      <c r="E82" s="174"/>
      <c r="F82" s="174"/>
      <c r="G82" s="171"/>
      <c r="H82" s="175" t="s">
        <v>34</v>
      </c>
      <c r="I82" s="373">
        <f ca="1">I84+I86+I88</f>
        <v>1</v>
      </c>
      <c r="J82" s="373">
        <f>J84+J86+J88</f>
        <v>0</v>
      </c>
      <c r="K82" s="642">
        <f ca="1">IF(I82&gt;0,J82*100/I82,0)</f>
        <v>0</v>
      </c>
      <c r="L82" s="172"/>
      <c r="M82" s="164"/>
      <c r="N82" s="164"/>
      <c r="O82" s="164"/>
      <c r="P82" s="164"/>
      <c r="Q82" s="164"/>
      <c r="R82" s="164"/>
      <c r="S82" s="164"/>
      <c r="T82" s="164"/>
      <c r="U82" s="164"/>
    </row>
    <row r="83" spans="1:21" ht="19.5">
      <c r="A83" s="166"/>
      <c r="B83" s="167"/>
      <c r="C83" s="167"/>
      <c r="D83" s="167"/>
      <c r="E83" s="174"/>
      <c r="F83" s="174"/>
      <c r="G83" s="171"/>
      <c r="H83" s="175" t="s">
        <v>35</v>
      </c>
      <c r="I83" s="373">
        <f ca="1">I85+I87+I89</f>
        <v>40</v>
      </c>
      <c r="J83" s="373">
        <f>J85+J87+J89</f>
        <v>0</v>
      </c>
      <c r="K83" s="642">
        <f ca="1">IF(I83&gt;0,J83*100/I83,0)</f>
        <v>0</v>
      </c>
      <c r="L83" s="172"/>
      <c r="M83" s="164"/>
      <c r="N83" s="164"/>
      <c r="O83" s="164"/>
      <c r="P83" s="164"/>
      <c r="Q83" s="164"/>
      <c r="R83" s="164"/>
      <c r="S83" s="164"/>
      <c r="T83" s="164"/>
      <c r="U83" s="164"/>
    </row>
    <row r="84" spans="1:21" ht="18.75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641">
        <f ca="1">IFERROR(__xludf.DUMMYFUNCTION("IMPORTRANGE(""https://docs.google.com/spreadsheets/d/1eHaY18a8A9IcSdp1K8H6x8fbOy06t2VsZHhMHf-1x7Y/edit?usp=sharing"",""แผน!H41"")"),0)</f>
        <v>0</v>
      </c>
      <c r="J84" s="467">
        <v>0</v>
      </c>
      <c r="K84" s="565">
        <f ca="1">IF(I84&gt;0,J84*100/I84,0)</f>
        <v>0</v>
      </c>
      <c r="L84" s="172"/>
      <c r="M84" s="164"/>
      <c r="N84" s="164"/>
      <c r="O84" s="164"/>
      <c r="P84" s="164"/>
      <c r="Q84" s="164"/>
      <c r="R84" s="164"/>
      <c r="S84" s="164"/>
      <c r="T84" s="164"/>
      <c r="U84" s="164"/>
    </row>
    <row r="85" spans="1:21" ht="18.75">
      <c r="A85" s="166"/>
      <c r="B85" s="167"/>
      <c r="C85" s="167"/>
      <c r="D85" s="167"/>
      <c r="E85" s="174"/>
      <c r="F85" s="174"/>
      <c r="G85" s="171"/>
      <c r="H85" s="179" t="s">
        <v>35</v>
      </c>
      <c r="I85" s="641">
        <f ca="1">IFERROR(__xludf.DUMMYFUNCTION("IMPORTRANGE(""https://docs.google.com/spreadsheets/d/1eHaY18a8A9IcSdp1K8H6x8fbOy06t2VsZHhMHf-1x7Y/edit?usp=sharing"",""แผน!I41"")"),0)</f>
        <v>0</v>
      </c>
      <c r="J85" s="467">
        <v>0</v>
      </c>
      <c r="K85" s="565">
        <f ca="1">IF(I85&gt;0,J85*100/I85,0)</f>
        <v>0</v>
      </c>
      <c r="L85" s="172"/>
      <c r="M85" s="164"/>
      <c r="N85" s="164"/>
      <c r="O85" s="164"/>
      <c r="P85" s="164"/>
      <c r="Q85" s="164"/>
      <c r="R85" s="164"/>
      <c r="S85" s="164"/>
      <c r="T85" s="164"/>
      <c r="U85" s="164"/>
    </row>
    <row r="86" spans="1:21" ht="18.75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641">
        <f ca="1">IFERROR(__xludf.DUMMYFUNCTION("IMPORTRANGE(""https://docs.google.com/spreadsheets/d/1eHaY18a8A9IcSdp1K8H6x8fbOy06t2VsZHhMHf-1x7Y/edit?usp=sharing"",""แผน!F41"")"),0)</f>
        <v>0</v>
      </c>
      <c r="J86" s="467">
        <v>0</v>
      </c>
      <c r="K86" s="565">
        <f ca="1">IF(I86&gt;0,J86*100/I86,0)</f>
        <v>0</v>
      </c>
      <c r="L86" s="172"/>
      <c r="M86" s="164"/>
      <c r="N86" s="164"/>
      <c r="O86" s="164"/>
      <c r="P86" s="164"/>
      <c r="Q86" s="164"/>
      <c r="R86" s="164"/>
      <c r="S86" s="164"/>
      <c r="T86" s="164"/>
      <c r="U86" s="164"/>
    </row>
    <row r="87" spans="1:21" ht="18.75">
      <c r="A87" s="166"/>
      <c r="B87" s="167"/>
      <c r="C87" s="167"/>
      <c r="D87" s="167"/>
      <c r="E87" s="174"/>
      <c r="F87" s="174"/>
      <c r="G87" s="171"/>
      <c r="H87" s="179" t="s">
        <v>35</v>
      </c>
      <c r="I87" s="641">
        <f ca="1">IFERROR(__xludf.DUMMYFUNCTION("IMPORTRANGE(""https://docs.google.com/spreadsheets/d/1eHaY18a8A9IcSdp1K8H6x8fbOy06t2VsZHhMHf-1x7Y/edit?usp=sharing"",""แผน!G41"")"),0)</f>
        <v>0</v>
      </c>
      <c r="J87" s="467">
        <v>0</v>
      </c>
      <c r="K87" s="565">
        <f ca="1">IF(I87&gt;0,J87*100/I87,0)</f>
        <v>0</v>
      </c>
      <c r="L87" s="172"/>
      <c r="M87" s="164"/>
      <c r="N87" s="164"/>
      <c r="O87" s="164"/>
      <c r="P87" s="164"/>
      <c r="Q87" s="164"/>
      <c r="R87" s="164"/>
      <c r="S87" s="164"/>
      <c r="T87" s="164"/>
      <c r="U87" s="164"/>
    </row>
    <row r="88" spans="1:21" ht="18.75">
      <c r="A88" s="166"/>
      <c r="B88" s="167"/>
      <c r="C88" s="167"/>
      <c r="D88" s="167"/>
      <c r="E88" s="178" t="s">
        <v>42</v>
      </c>
      <c r="F88" s="174"/>
      <c r="G88" s="171"/>
      <c r="H88" s="179" t="s">
        <v>34</v>
      </c>
      <c r="I88" s="641">
        <f ca="1">IFERROR(__xludf.DUMMYFUNCTION("IMPORTRANGE(""https://docs.google.com/spreadsheets/d/1eHaY18a8A9IcSdp1K8H6x8fbOy06t2VsZHhMHf-1x7Y/edit?usp=sharing"",""แผน!D41"")"),1)</f>
        <v>1</v>
      </c>
      <c r="J88" s="467">
        <v>0</v>
      </c>
      <c r="K88" s="565">
        <f ca="1">IF(I88&gt;0,J88*100/I88,0)</f>
        <v>0</v>
      </c>
      <c r="L88" s="172"/>
      <c r="M88" s="164"/>
      <c r="N88" s="164"/>
      <c r="O88" s="164"/>
      <c r="P88" s="164"/>
      <c r="Q88" s="164"/>
      <c r="R88" s="164"/>
      <c r="S88" s="164"/>
      <c r="T88" s="164"/>
      <c r="U88" s="164"/>
    </row>
    <row r="89" spans="1:21" ht="18.75">
      <c r="A89" s="166"/>
      <c r="B89" s="167"/>
      <c r="C89" s="167"/>
      <c r="D89" s="167"/>
      <c r="E89" s="174"/>
      <c r="F89" s="174"/>
      <c r="G89" s="171"/>
      <c r="H89" s="179" t="s">
        <v>35</v>
      </c>
      <c r="I89" s="641">
        <f ca="1">IFERROR(__xludf.DUMMYFUNCTION("IMPORTRANGE(""https://docs.google.com/spreadsheets/d/1eHaY18a8A9IcSdp1K8H6x8fbOy06t2VsZHhMHf-1x7Y/edit?usp=sharing"",""แผน!E41"")"),40)</f>
        <v>40</v>
      </c>
      <c r="J89" s="467">
        <v>0</v>
      </c>
      <c r="K89" s="565">
        <f ca="1">IF(I89&gt;0,J89*100/I89,0)</f>
        <v>0</v>
      </c>
      <c r="L89" s="172"/>
      <c r="M89" s="164"/>
      <c r="N89" s="164"/>
      <c r="O89" s="164"/>
      <c r="P89" s="164"/>
      <c r="Q89" s="164"/>
      <c r="R89" s="164"/>
      <c r="S89" s="164"/>
      <c r="T89" s="164"/>
      <c r="U89" s="164"/>
    </row>
    <row r="90" spans="1:21" ht="18.75">
      <c r="A90" s="166"/>
      <c r="B90" s="167"/>
      <c r="C90" s="167"/>
      <c r="D90" s="173" t="s">
        <v>43</v>
      </c>
      <c r="E90" s="174"/>
      <c r="F90" s="174"/>
      <c r="G90" s="171"/>
      <c r="H90" s="183" t="s">
        <v>34</v>
      </c>
      <c r="I90" s="641">
        <f ca="1">IFERROR(__xludf.DUMMYFUNCTION("IMPORTRANGE(""https://docs.google.com/spreadsheets/d/1eHaY18a8A9IcSdp1K8H6x8fbOy06t2VsZHhMHf-1x7Y/edit?usp=sharing"",""แผน!J41"")"),1)</f>
        <v>1</v>
      </c>
      <c r="J90" s="467">
        <v>0</v>
      </c>
      <c r="K90" s="565">
        <f ca="1">IF(I90&gt;0,J90*100/I90,0)</f>
        <v>0</v>
      </c>
      <c r="L90" s="172"/>
      <c r="M90" s="164"/>
      <c r="N90" s="164"/>
      <c r="O90" s="164"/>
      <c r="P90" s="164"/>
      <c r="Q90" s="164"/>
      <c r="R90" s="164"/>
      <c r="S90" s="164"/>
      <c r="T90" s="164"/>
      <c r="U90" s="164"/>
    </row>
    <row r="91" spans="1:21" ht="19.5">
      <c r="A91" s="143" t="s">
        <v>44</v>
      </c>
      <c r="B91" s="144"/>
      <c r="C91" s="145"/>
      <c r="D91" s="144"/>
      <c r="E91" s="144"/>
      <c r="F91" s="144"/>
      <c r="G91" s="146"/>
      <c r="H91" s="146"/>
      <c r="I91" s="147"/>
      <c r="J91" s="147"/>
      <c r="K91" s="148"/>
      <c r="L91" s="149"/>
      <c r="M91" s="148"/>
      <c r="N91" s="148"/>
      <c r="O91" s="148"/>
      <c r="P91" s="148"/>
      <c r="Q91" s="148"/>
      <c r="R91" s="148"/>
      <c r="S91" s="148"/>
      <c r="T91" s="148"/>
      <c r="U91" s="148"/>
    </row>
    <row r="92" spans="1:21" ht="19.5">
      <c r="A92" s="150"/>
      <c r="B92" s="35" t="s">
        <v>45</v>
      </c>
      <c r="C92" s="34"/>
      <c r="D92" s="151"/>
      <c r="E92" s="34"/>
      <c r="F92" s="34"/>
      <c r="G92" s="37"/>
      <c r="H92" s="152" t="s">
        <v>46</v>
      </c>
      <c r="I92" s="721">
        <f ca="1">I108</f>
        <v>60</v>
      </c>
      <c r="J92" s="721">
        <f>J108</f>
        <v>60</v>
      </c>
      <c r="K92" s="720">
        <f ca="1">IF(I92&gt;0,J92*100/I92,0)</f>
        <v>100</v>
      </c>
      <c r="L92" s="154"/>
      <c r="M92" s="40"/>
      <c r="N92" s="40"/>
      <c r="O92" s="40"/>
      <c r="P92" s="40"/>
      <c r="Q92" s="40"/>
      <c r="R92" s="40"/>
      <c r="S92" s="40"/>
      <c r="T92" s="40"/>
      <c r="U92" s="40"/>
    </row>
    <row r="93" spans="1:21" ht="19.5">
      <c r="A93" s="150"/>
      <c r="B93" s="34"/>
      <c r="C93" s="34"/>
      <c r="D93" s="151"/>
      <c r="E93" s="34"/>
      <c r="F93" s="34"/>
      <c r="G93" s="37"/>
      <c r="H93" s="152" t="s">
        <v>35</v>
      </c>
      <c r="I93" s="721">
        <f ca="1">I109</f>
        <v>20</v>
      </c>
      <c r="J93" s="721">
        <f>J109</f>
        <v>20</v>
      </c>
      <c r="K93" s="720">
        <f ca="1">IF(I93&gt;0,J93*100/I93,0)</f>
        <v>100</v>
      </c>
      <c r="L93" s="154"/>
      <c r="M93" s="40"/>
      <c r="N93" s="40"/>
      <c r="O93" s="40"/>
      <c r="P93" s="40"/>
      <c r="Q93" s="40"/>
      <c r="R93" s="40"/>
      <c r="S93" s="40"/>
      <c r="T93" s="40"/>
      <c r="U93" s="40"/>
    </row>
    <row r="94" spans="1:21" ht="19.5">
      <c r="A94" s="155"/>
      <c r="B94" s="50"/>
      <c r="C94" s="156" t="s">
        <v>18</v>
      </c>
      <c r="D94" s="575" t="s">
        <v>19</v>
      </c>
      <c r="E94" s="50"/>
      <c r="F94" s="50"/>
      <c r="G94" s="52"/>
      <c r="H94" s="158" t="s">
        <v>14</v>
      </c>
      <c r="I94" s="54"/>
      <c r="J94" s="54"/>
      <c r="K94" s="55"/>
      <c r="L94" s="541">
        <f ca="1">L95+L96</f>
        <v>0</v>
      </c>
      <c r="M94" s="540">
        <f ca="1">M95+M96</f>
        <v>39000</v>
      </c>
      <c r="N94" s="540">
        <f ca="1">N95+N96</f>
        <v>12000</v>
      </c>
      <c r="O94" s="540">
        <f ca="1">IF(L94&gt;0,N94*100/L94,0)</f>
        <v>0</v>
      </c>
      <c r="P94" s="540">
        <f ca="1">IF(M94&gt;0,N94*100/M94,0)</f>
        <v>30.76923076923077</v>
      </c>
      <c r="Q94" s="540">
        <f ca="1">Q95+Q96</f>
        <v>129840</v>
      </c>
      <c r="R94" s="540">
        <f ca="1">R95+R96</f>
        <v>129840</v>
      </c>
      <c r="S94" s="540">
        <f ca="1">S95+S96</f>
        <v>57220</v>
      </c>
      <c r="T94" s="540">
        <f ca="1">IF(Q94&gt;0,S94*100/Q94,0)</f>
        <v>44.069624152803449</v>
      </c>
      <c r="U94" s="540">
        <f ca="1">IF(R94&gt;0,S94*100/R94,0)</f>
        <v>44.069624152803449</v>
      </c>
    </row>
    <row r="95" spans="1:21" ht="18.75" hidden="1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103">
        <f>L98+L101</f>
        <v>0</v>
      </c>
      <c r="M95" s="102">
        <f>M98+M101</f>
        <v>0</v>
      </c>
      <c r="N95" s="102">
        <f>N98+N101</f>
        <v>0</v>
      </c>
      <c r="O95" s="102">
        <f>IF(L95&gt;0,N95*100/L95,0)</f>
        <v>0</v>
      </c>
      <c r="P95" s="102">
        <f>IF(M95&gt;0,N95*100/M95,0)</f>
        <v>0</v>
      </c>
      <c r="Q95" s="102">
        <f>Q98+Q101</f>
        <v>0</v>
      </c>
      <c r="R95" s="102">
        <f>R98+R101</f>
        <v>0</v>
      </c>
      <c r="S95" s="102">
        <f>S98+S101</f>
        <v>0</v>
      </c>
      <c r="T95" s="102">
        <f>IF(Q95&gt;0,S95*100/Q95,0)</f>
        <v>0</v>
      </c>
      <c r="U95" s="102">
        <f>IF(R95&gt;0,S95*100/R95,0)</f>
        <v>0</v>
      </c>
    </row>
    <row r="96" spans="1:21" ht="18.75" hidden="1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256">
        <f ca="1">L99+L102</f>
        <v>0</v>
      </c>
      <c r="M96" s="255">
        <f ca="1">M99+M102</f>
        <v>39000</v>
      </c>
      <c r="N96" s="255">
        <f ca="1">N99+N102</f>
        <v>12000</v>
      </c>
      <c r="O96" s="255">
        <f ca="1">IF(L96&gt;0,N96*100/L96,0)</f>
        <v>0</v>
      </c>
      <c r="P96" s="255">
        <f ca="1">IF(M96&gt;0,N96*100/M96,0)</f>
        <v>30.76923076923077</v>
      </c>
      <c r="Q96" s="255">
        <f ca="1">Q99+Q102</f>
        <v>129840</v>
      </c>
      <c r="R96" s="255">
        <f ca="1">R99+R102</f>
        <v>129840</v>
      </c>
      <c r="S96" s="255">
        <f ca="1">S99+S102</f>
        <v>57220</v>
      </c>
      <c r="T96" s="255">
        <f ca="1">IF(Q96&gt;0,S96*100/Q96,0)</f>
        <v>44.069624152803449</v>
      </c>
      <c r="U96" s="255">
        <f ca="1">IF(R96&gt;0,S96*100/R96,0)</f>
        <v>44.069624152803449</v>
      </c>
    </row>
    <row r="97" spans="1:21" ht="18.75">
      <c r="A97" s="155"/>
      <c r="B97" s="50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256">
        <f ca="1">L98+L99</f>
        <v>0</v>
      </c>
      <c r="M97" s="255">
        <f ca="1">M98+M99</f>
        <v>39000</v>
      </c>
      <c r="N97" s="255">
        <f ca="1">N98+N99</f>
        <v>12000</v>
      </c>
      <c r="O97" s="255">
        <f ca="1">IF(L97&gt;0,N97*100/L97,0)</f>
        <v>0</v>
      </c>
      <c r="P97" s="255">
        <f ca="1">IF(M97&gt;0,N97*100/M97,0)</f>
        <v>30.76923076923077</v>
      </c>
      <c r="Q97" s="255">
        <f ca="1">Q98+Q99</f>
        <v>129840</v>
      </c>
      <c r="R97" s="255">
        <f ca="1">R98+R99</f>
        <v>129840</v>
      </c>
      <c r="S97" s="255">
        <f ca="1">S98+S99</f>
        <v>57220</v>
      </c>
      <c r="T97" s="255">
        <f ca="1">IF(Q97&gt;0,S97*100/Q97,0)</f>
        <v>44.069624152803449</v>
      </c>
      <c r="U97" s="255">
        <f ca="1">IF(R97&gt;0,S97*100/R97,0)</f>
        <v>44.069624152803449</v>
      </c>
    </row>
    <row r="98" spans="1:21" ht="18.75" hidden="1">
      <c r="A98" s="155"/>
      <c r="B98" s="50"/>
      <c r="C98" s="50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103">
        <v>0</v>
      </c>
      <c r="M98" s="102">
        <v>0</v>
      </c>
      <c r="N98" s="102">
        <v>0</v>
      </c>
      <c r="O98" s="102">
        <f>IF(L98&gt;0,N98*100/L98,0)</f>
        <v>0</v>
      </c>
      <c r="P98" s="102">
        <f>IF(M98&gt;0,N98*100/M98,0)</f>
        <v>0</v>
      </c>
      <c r="Q98" s="102">
        <v>0</v>
      </c>
      <c r="R98" s="102">
        <v>0</v>
      </c>
      <c r="S98" s="102">
        <v>0</v>
      </c>
      <c r="T98" s="102">
        <f>IF(Q98&gt;0,S98*100/Q98,0)</f>
        <v>0</v>
      </c>
      <c r="U98" s="102">
        <f>IF(R98&gt;0,S98*100/R98,0)</f>
        <v>0</v>
      </c>
    </row>
    <row r="99" spans="1:21" ht="18.75" hidden="1">
      <c r="A99" s="155"/>
      <c r="B99" s="50"/>
      <c r="C99" s="50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256">
        <f ca="1">IFERROR(__xludf.DUMMYFUNCTION("IMPORTRANGE(""https://docs.google.com/spreadsheets/d/1-uDff_7J0KD5mKrp0Vvzr7lt3OU09vwQwhkpOPPYv2Y/edit?usp=sharing"",""งบพรบ!AW41"")"),0)</f>
        <v>0</v>
      </c>
      <c r="M99" s="255">
        <f ca="1">IFERROR(__xludf.DUMMYFUNCTION("IMPORTRANGE(""https://docs.google.com/spreadsheets/d/1-uDff_7J0KD5mKrp0Vvzr7lt3OU09vwQwhkpOPPYv2Y/edit?usp=sharing"",""งบพรบ!BB41"")"),39000)</f>
        <v>39000</v>
      </c>
      <c r="N99" s="255">
        <f ca="1">IFERROR(__xludf.DUMMYFUNCTION("IMPORTRANGE(""https://docs.google.com/spreadsheets/d/1-uDff_7J0KD5mKrp0Vvzr7lt3OU09vwQwhkpOPPYv2Y/edit?usp=sharing"",""งบพรบ!BD41"")"),12000)</f>
        <v>12000</v>
      </c>
      <c r="O99" s="255">
        <f ca="1">IF(L99&gt;0,N99*100/L99,0)</f>
        <v>0</v>
      </c>
      <c r="P99" s="255">
        <f ca="1">IF(M99&gt;0,N99*100/M99,0)</f>
        <v>30.76923076923077</v>
      </c>
      <c r="Q99" s="255">
        <f ca="1">IFERROR(__xludf.DUMMYFUNCTION("IMPORTRANGE(""https://docs.google.com/spreadsheets/d/1ItG2mGa2ceCfYo0BwxsXqNm01IGEUdYcSSLTEv9YCik/edit?usp=sharing"",""เบิกจ่ายกองทุน!AD41"")"),129840)</f>
        <v>129840</v>
      </c>
      <c r="R99" s="255">
        <f ca="1">IFERROR(__xludf.DUMMYFUNCTION("IMPORTRANGE(""https://docs.google.com/spreadsheets/d/1ItG2mGa2ceCfYo0BwxsXqNm01IGEUdYcSSLTEv9YCik/edit?usp=sharing"",""เบิกจ่ายกองทุน!AE41"")"),129840)</f>
        <v>129840</v>
      </c>
      <c r="S99" s="255">
        <f ca="1">IFERROR(__xludf.DUMMYFUNCTION("IMPORTRANGE(""https://docs.google.com/spreadsheets/d/1ItG2mGa2ceCfYo0BwxsXqNm01IGEUdYcSSLTEv9YCik/edit?usp=sharing"",""เบิกจ่ายกองทุน!AF41"")"),57220)</f>
        <v>57220</v>
      </c>
      <c r="T99" s="255">
        <f ca="1">IF(Q99&gt;0,S99*100/Q99,0)</f>
        <v>44.069624152803449</v>
      </c>
      <c r="U99" s="255">
        <f ca="1">IF(R99&gt;0,S99*100/R99,0)</f>
        <v>44.069624152803449</v>
      </c>
    </row>
    <row r="100" spans="1:21" ht="18.75">
      <c r="A100" s="155"/>
      <c r="B100" s="50"/>
      <c r="C100" s="50"/>
      <c r="D100" s="51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256">
        <f ca="1">L101+L102</f>
        <v>0</v>
      </c>
      <c r="M100" s="255">
        <f ca="1">M101+M102</f>
        <v>0</v>
      </c>
      <c r="N100" s="255">
        <f ca="1">N101+N102</f>
        <v>0</v>
      </c>
      <c r="O100" s="255">
        <f ca="1">IF(L100&gt;0,N100*100/L100,0)</f>
        <v>0</v>
      </c>
      <c r="P100" s="255">
        <f ca="1">IF(M100&gt;0,N100*100/M100,0)</f>
        <v>0</v>
      </c>
      <c r="Q100" s="255">
        <f>Q101+Q102</f>
        <v>0</v>
      </c>
      <c r="R100" s="255">
        <f>R101+R102</f>
        <v>0</v>
      </c>
      <c r="S100" s="255">
        <f>S101+S102</f>
        <v>0</v>
      </c>
      <c r="T100" s="255">
        <f>IF(Q100&gt;0,S100*100/Q100,0)</f>
        <v>0</v>
      </c>
      <c r="U100" s="255">
        <f>IF(R100&gt;0,S100*100/R100,0)</f>
        <v>0</v>
      </c>
    </row>
    <row r="101" spans="1:21" ht="18.75" hidden="1">
      <c r="A101" s="155"/>
      <c r="B101" s="50"/>
      <c r="C101" s="50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103">
        <v>0</v>
      </c>
      <c r="M101" s="102">
        <v>0</v>
      </c>
      <c r="N101" s="102">
        <v>0</v>
      </c>
      <c r="O101" s="102">
        <f>IF(L101&gt;0,N101*100/L101,0)</f>
        <v>0</v>
      </c>
      <c r="P101" s="102">
        <f>IF(M101&gt;0,N101*100/M101,0)</f>
        <v>0</v>
      </c>
      <c r="Q101" s="102">
        <v>0</v>
      </c>
      <c r="R101" s="102">
        <v>0</v>
      </c>
      <c r="S101" s="102">
        <v>0</v>
      </c>
      <c r="T101" s="102">
        <f>IF(Q101&gt;0,S101*100/Q101,0)</f>
        <v>0</v>
      </c>
      <c r="U101" s="102">
        <f>IF(R101&gt;0,S101*100/R101,0)</f>
        <v>0</v>
      </c>
    </row>
    <row r="102" spans="1:21" ht="18.75" hidden="1">
      <c r="A102" s="155"/>
      <c r="B102" s="50"/>
      <c r="C102" s="50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256">
        <f ca="1">IFERROR(__xludf.DUMMYFUNCTION("IMPORTRANGE(""https://docs.google.com/spreadsheets/d/1-uDff_7J0KD5mKrp0Vvzr7lt3OU09vwQwhkpOPPYv2Y/edit?usp=sharing"",""งบพรบ!AZ41"")"),0)</f>
        <v>0</v>
      </c>
      <c r="M102" s="255">
        <f ca="1">IFERROR(__xludf.DUMMYFUNCTION("IMPORTRANGE(""https://docs.google.com/spreadsheets/d/1-uDff_7J0KD5mKrp0Vvzr7lt3OU09vwQwhkpOPPYv2Y/edit?usp=sharing"",""งบพรบ!BC41"")"),0)</f>
        <v>0</v>
      </c>
      <c r="N102" s="255">
        <f ca="1">IFERROR(__xludf.DUMMYFUNCTION("IMPORTRANGE(""https://docs.google.com/spreadsheets/d/1-uDff_7J0KD5mKrp0Vvzr7lt3OU09vwQwhkpOPPYv2Y/edit?usp=sharing"",""งบพรบ!BE41"")"),0)</f>
        <v>0</v>
      </c>
      <c r="O102" s="255">
        <f ca="1">IF(L102&gt;0,N102*100/L102,0)</f>
        <v>0</v>
      </c>
      <c r="P102" s="255">
        <f ca="1">IF(M102&gt;0,N102*100/M102,0)</f>
        <v>0</v>
      </c>
      <c r="Q102" s="255">
        <v>0</v>
      </c>
      <c r="R102" s="255">
        <v>0</v>
      </c>
      <c r="S102" s="255">
        <v>0</v>
      </c>
      <c r="T102" s="255">
        <f>IF(Q102&gt;0,S102*100/Q102,0)</f>
        <v>0</v>
      </c>
      <c r="U102" s="255">
        <f>IF(R102&gt;0,S102*100/R102,0)</f>
        <v>0</v>
      </c>
    </row>
    <row r="103" spans="1:21" ht="19.5">
      <c r="A103" s="166"/>
      <c r="B103" s="167"/>
      <c r="C103" s="156" t="s">
        <v>18</v>
      </c>
      <c r="D103" s="566" t="s">
        <v>38</v>
      </c>
      <c r="E103" s="169"/>
      <c r="F103" s="169"/>
      <c r="G103" s="170"/>
      <c r="H103" s="171"/>
      <c r="I103" s="163"/>
      <c r="J103" s="54"/>
      <c r="K103" s="55"/>
      <c r="L103" s="62"/>
      <c r="M103" s="55"/>
      <c r="N103" s="55"/>
      <c r="O103" s="164"/>
      <c r="P103" s="164"/>
      <c r="Q103" s="55"/>
      <c r="R103" s="55"/>
      <c r="S103" s="55"/>
      <c r="T103" s="164"/>
      <c r="U103" s="164"/>
    </row>
    <row r="104" spans="1:21" ht="12.75" hidden="1">
      <c r="A104" s="192"/>
      <c r="B104" s="193"/>
      <c r="C104" s="193"/>
      <c r="D104" s="22"/>
      <c r="E104" s="22"/>
      <c r="F104" s="22"/>
      <c r="G104" s="23"/>
      <c r="H104" s="23"/>
      <c r="I104" s="24"/>
      <c r="J104" s="24"/>
      <c r="K104" s="25"/>
      <c r="L104" s="26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2.75" hidden="1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6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2.75" hidden="1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9.5" hidden="1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62"/>
      <c r="M107" s="55"/>
      <c r="N107" s="55"/>
      <c r="O107" s="164"/>
      <c r="P107" s="164"/>
      <c r="Q107" s="55"/>
      <c r="R107" s="55"/>
      <c r="S107" s="55"/>
      <c r="T107" s="164"/>
      <c r="U107" s="164"/>
    </row>
    <row r="108" spans="1:21" ht="18.75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212">
        <f ca="1">IFERROR(__xludf.DUMMYFUNCTION("IMPORTRANGE(""https://docs.google.com/spreadsheets/d/1eHaY18a8A9IcSdp1K8H6x8fbOy06t2VsZHhMHf-1x7Y/edit?usp=sharing"",""แผน!N41"")"),60)</f>
        <v>60</v>
      </c>
      <c r="J108" s="467">
        <v>60</v>
      </c>
      <c r="K108" s="255">
        <f ca="1">IF(I108&gt;0,J108*100/I108,0)</f>
        <v>100</v>
      </c>
      <c r="L108" s="62"/>
      <c r="M108" s="55"/>
      <c r="N108" s="55"/>
      <c r="O108" s="164"/>
      <c r="P108" s="164"/>
      <c r="Q108" s="55"/>
      <c r="R108" s="55"/>
      <c r="S108" s="55"/>
      <c r="T108" s="164"/>
      <c r="U108" s="164"/>
    </row>
    <row r="109" spans="1:21" ht="18.75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212">
        <f ca="1">IFERROR(__xludf.DUMMYFUNCTION("IMPORTRANGE(""https://docs.google.com/spreadsheets/d/1eHaY18a8A9IcSdp1K8H6x8fbOy06t2VsZHhMHf-1x7Y/edit?usp=sharing"",""แผน!O41"")"),20)</f>
        <v>20</v>
      </c>
      <c r="J109" s="467">
        <v>20</v>
      </c>
      <c r="K109" s="255">
        <f ca="1">IF(I109&gt;0,J109*100/I109,0)</f>
        <v>100</v>
      </c>
      <c r="L109" s="62"/>
      <c r="M109" s="55"/>
      <c r="N109" s="55"/>
      <c r="O109" s="164"/>
      <c r="P109" s="164"/>
      <c r="Q109" s="55"/>
      <c r="R109" s="55"/>
      <c r="S109" s="55"/>
      <c r="T109" s="164"/>
      <c r="U109" s="164"/>
    </row>
    <row r="110" spans="1:21" ht="12.75" hidden="1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6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2.75" hidden="1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6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2.75" hidden="1">
      <c r="A112" s="192"/>
      <c r="B112" s="193"/>
      <c r="C112" s="193"/>
      <c r="D112" s="22"/>
      <c r="E112" s="22"/>
      <c r="F112" s="22"/>
      <c r="G112" s="23"/>
      <c r="H112" s="23"/>
      <c r="I112" s="24"/>
      <c r="J112" s="24"/>
      <c r="K112" s="25"/>
      <c r="L112" s="26"/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8.75">
      <c r="A113" s="771"/>
      <c r="B113" s="489"/>
      <c r="C113" s="489"/>
      <c r="D113" s="345" t="s">
        <v>50</v>
      </c>
      <c r="E113" s="491"/>
      <c r="F113" s="491"/>
      <c r="G113" s="492"/>
      <c r="H113" s="770" t="s">
        <v>46</v>
      </c>
      <c r="I113" s="769">
        <f ca="1">IFERROR(__xludf.DUMMYFUNCTION("IMPORTRANGE(""https://docs.google.com/spreadsheets/d/1eHaY18a8A9IcSdp1K8H6x8fbOy06t2VsZHhMHf-1x7Y/edit?usp=sharing"",""แผน!N41"")"),60)</f>
        <v>60</v>
      </c>
      <c r="J113" s="495">
        <v>0</v>
      </c>
      <c r="K113" s="708">
        <f ca="1">IF(I113&gt;0,J113*100/I113,0)</f>
        <v>0</v>
      </c>
      <c r="L113" s="350"/>
      <c r="M113" s="350"/>
      <c r="N113" s="350"/>
      <c r="O113" s="496"/>
      <c r="P113" s="496"/>
      <c r="Q113" s="350"/>
      <c r="R113" s="350"/>
      <c r="S113" s="350"/>
      <c r="T113" s="496"/>
      <c r="U113" s="496"/>
    </row>
    <row r="114" spans="1:21" ht="18.75">
      <c r="A114" s="166"/>
      <c r="B114" s="167"/>
      <c r="C114" s="167"/>
      <c r="D114" s="174"/>
      <c r="E114" s="174"/>
      <c r="F114" s="174"/>
      <c r="G114" s="171"/>
      <c r="H114" s="179" t="s">
        <v>35</v>
      </c>
      <c r="I114" s="641">
        <f ca="1">IFERROR(__xludf.DUMMYFUNCTION("IMPORTRANGE(""https://docs.google.com/spreadsheets/d/1eHaY18a8A9IcSdp1K8H6x8fbOy06t2VsZHhMHf-1x7Y/edit?usp=sharing"",""แผน!O41"")"),20)</f>
        <v>20</v>
      </c>
      <c r="J114" s="467">
        <v>0</v>
      </c>
      <c r="K114" s="255">
        <f ca="1">IF(I114&gt;0,J114*100/I114,0)</f>
        <v>0</v>
      </c>
      <c r="L114" s="55"/>
      <c r="M114" s="55"/>
      <c r="N114" s="55"/>
      <c r="O114" s="164"/>
      <c r="P114" s="164"/>
      <c r="Q114" s="55"/>
      <c r="R114" s="55"/>
      <c r="S114" s="55"/>
      <c r="T114" s="164"/>
      <c r="U114" s="164"/>
    </row>
    <row r="115" spans="1:21" ht="19.5">
      <c r="A115" s="727" t="s">
        <v>51</v>
      </c>
      <c r="B115" s="724"/>
      <c r="C115" s="726"/>
      <c r="D115" s="725"/>
      <c r="E115" s="725"/>
      <c r="F115" s="725"/>
      <c r="G115" s="725"/>
      <c r="H115" s="724"/>
      <c r="I115" s="723"/>
      <c r="J115" s="723"/>
      <c r="K115" s="722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721">
        <f ca="1">I127</f>
        <v>20</v>
      </c>
      <c r="J116" s="721">
        <f>J127</f>
        <v>20</v>
      </c>
      <c r="K116" s="720">
        <f ca="1">IF(I116&gt;0,J116*100/I116,0)</f>
        <v>100</v>
      </c>
      <c r="L116" s="154"/>
      <c r="M116" s="40"/>
      <c r="N116" s="40"/>
      <c r="O116" s="40"/>
      <c r="P116" s="40"/>
      <c r="Q116" s="40"/>
      <c r="R116" s="40"/>
      <c r="S116" s="40"/>
      <c r="T116" s="40"/>
      <c r="U116" s="40"/>
    </row>
    <row r="117" spans="1:21" ht="19.5">
      <c r="A117" s="155"/>
      <c r="B117" s="188"/>
      <c r="C117" s="191" t="s">
        <v>18</v>
      </c>
      <c r="D117" s="575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541">
        <f ca="1">L118+L119</f>
        <v>0</v>
      </c>
      <c r="M117" s="540">
        <f ca="1">M118+M119</f>
        <v>0</v>
      </c>
      <c r="N117" s="540">
        <f ca="1">N118+N119</f>
        <v>0</v>
      </c>
      <c r="O117" s="540">
        <f ca="1">IF(L117&gt;0,N117*100/L117,0)</f>
        <v>0</v>
      </c>
      <c r="P117" s="540">
        <f ca="1">IF(M117&gt;0,N117*100/M117,0)</f>
        <v>0</v>
      </c>
      <c r="Q117" s="540">
        <f ca="1">Q118+Q119</f>
        <v>209360</v>
      </c>
      <c r="R117" s="540">
        <f ca="1">R118+R119</f>
        <v>209360</v>
      </c>
      <c r="S117" s="540">
        <f ca="1">S118+S119</f>
        <v>98162</v>
      </c>
      <c r="T117" s="540">
        <f ca="1">IF(Q117&gt;0,S117*100/Q117,0)</f>
        <v>46.886702330913259</v>
      </c>
      <c r="U117" s="540">
        <f ca="1">IF(R117&gt;0,S117*100/R117,0)</f>
        <v>46.886702330913259</v>
      </c>
    </row>
    <row r="118" spans="1:21" ht="18.75" hidden="1">
      <c r="A118" s="155"/>
      <c r="B118" s="188"/>
      <c r="C118" s="188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103">
        <f>L121+L124</f>
        <v>0</v>
      </c>
      <c r="M118" s="102">
        <f>M121+M124</f>
        <v>0</v>
      </c>
      <c r="N118" s="102">
        <f>N121+N124</f>
        <v>0</v>
      </c>
      <c r="O118" s="102">
        <f>IF(L118&gt;0,N118*100/L118,0)</f>
        <v>0</v>
      </c>
      <c r="P118" s="102">
        <f>IF(M118&gt;0,N118*100/M118,0)</f>
        <v>0</v>
      </c>
      <c r="Q118" s="102">
        <f>Q121+Q124</f>
        <v>0</v>
      </c>
      <c r="R118" s="102">
        <f>R121+R124</f>
        <v>0</v>
      </c>
      <c r="S118" s="102">
        <f>S121+S124</f>
        <v>0</v>
      </c>
      <c r="T118" s="102">
        <f>IF(Q118&gt;0,S118*100/Q118,0)</f>
        <v>0</v>
      </c>
      <c r="U118" s="102">
        <f>IF(R118&gt;0,S118*100/R118,0)</f>
        <v>0</v>
      </c>
    </row>
    <row r="119" spans="1:21" ht="18.75" hidden="1">
      <c r="A119" s="155"/>
      <c r="B119" s="188"/>
      <c r="C119" s="188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256">
        <f ca="1">L122+L125</f>
        <v>0</v>
      </c>
      <c r="M119" s="255">
        <f ca="1">M122+M125</f>
        <v>0</v>
      </c>
      <c r="N119" s="255">
        <f ca="1">N122+N125</f>
        <v>0</v>
      </c>
      <c r="O119" s="255">
        <f ca="1">IF(L119&gt;0,N119*100/L119,0)</f>
        <v>0</v>
      </c>
      <c r="P119" s="255">
        <f ca="1">IF(M119&gt;0,N119*100/M119,0)</f>
        <v>0</v>
      </c>
      <c r="Q119" s="255">
        <f ca="1">Q122+Q125</f>
        <v>209360</v>
      </c>
      <c r="R119" s="255">
        <f ca="1">R122+R125</f>
        <v>209360</v>
      </c>
      <c r="S119" s="255">
        <f ca="1">S122+S125</f>
        <v>98162</v>
      </c>
      <c r="T119" s="255">
        <f ca="1">IF(Q119&gt;0,S119*100/Q119,0)</f>
        <v>46.886702330913259</v>
      </c>
      <c r="U119" s="255">
        <f ca="1">IF(R119&gt;0,S119*100/R119,0)</f>
        <v>46.886702330913259</v>
      </c>
    </row>
    <row r="120" spans="1:21" ht="18.75">
      <c r="A120" s="155"/>
      <c r="B120" s="188"/>
      <c r="C120" s="202"/>
      <c r="D120" s="602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256">
        <f ca="1">L121+L122</f>
        <v>0</v>
      </c>
      <c r="M120" s="255">
        <f ca="1">M121+M122</f>
        <v>0</v>
      </c>
      <c r="N120" s="255">
        <f ca="1">N121+N122</f>
        <v>0</v>
      </c>
      <c r="O120" s="255">
        <f ca="1">IF(L120&gt;0,N120*100/L120,0)</f>
        <v>0</v>
      </c>
      <c r="P120" s="255">
        <f ca="1">IF(M120&gt;0,N120*100/M120,0)</f>
        <v>0</v>
      </c>
      <c r="Q120" s="255">
        <f ca="1">Q121+Q122</f>
        <v>209360</v>
      </c>
      <c r="R120" s="255">
        <f ca="1">R121+R122</f>
        <v>209360</v>
      </c>
      <c r="S120" s="255">
        <f ca="1">S121+S122</f>
        <v>98162</v>
      </c>
      <c r="T120" s="255">
        <f ca="1">IF(Q120&gt;0,S120*100/Q120,0)</f>
        <v>46.886702330913259</v>
      </c>
      <c r="U120" s="255">
        <f ca="1">IF(R120&gt;0,S120*100/R120,0)</f>
        <v>46.886702330913259</v>
      </c>
    </row>
    <row r="121" spans="1:21" ht="18.75" hidden="1">
      <c r="A121" s="155"/>
      <c r="B121" s="188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103">
        <v>0</v>
      </c>
      <c r="M121" s="102">
        <v>0</v>
      </c>
      <c r="N121" s="102">
        <v>0</v>
      </c>
      <c r="O121" s="102">
        <f>IF(L121&gt;0,N121*100/L121,0)</f>
        <v>0</v>
      </c>
      <c r="P121" s="102">
        <f>IF(M121&gt;0,N121*100/M121,0)</f>
        <v>0</v>
      </c>
      <c r="Q121" s="102">
        <v>0</v>
      </c>
      <c r="R121" s="102">
        <v>0</v>
      </c>
      <c r="S121" s="102">
        <v>0</v>
      </c>
      <c r="T121" s="102">
        <f>IF(Q121&gt;0,S121*100/Q121,0)</f>
        <v>0</v>
      </c>
      <c r="U121" s="102">
        <f>IF(R121&gt;0,S121*100/R121,0)</f>
        <v>0</v>
      </c>
    </row>
    <row r="122" spans="1:21" ht="18.75" hidden="1">
      <c r="A122" s="155"/>
      <c r="B122" s="188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256">
        <f ca="1">IFERROR(__xludf.DUMMYFUNCTION("IMPORTRANGE(""https://docs.google.com/spreadsheets/d/1-uDff_7J0KD5mKrp0Vvzr7lt3OU09vwQwhkpOPPYv2Y/edit?usp=sharing"",""งบพรบ!BG41"")"),0)</f>
        <v>0</v>
      </c>
      <c r="M122" s="255">
        <f ca="1">IFERROR(__xludf.DUMMYFUNCTION("IMPORTRANGE(""https://docs.google.com/spreadsheets/d/1-uDff_7J0KD5mKrp0Vvzr7lt3OU09vwQwhkpOPPYv2Y/edit?usp=sharing"",""งบพรบ!BL41"")"),0)</f>
        <v>0</v>
      </c>
      <c r="N122" s="255">
        <f ca="1">IFERROR(__xludf.DUMMYFUNCTION("IMPORTRANGE(""https://docs.google.com/spreadsheets/d/1-uDff_7J0KD5mKrp0Vvzr7lt3OU09vwQwhkpOPPYv2Y/edit?usp=sharing"",""งบพรบ!BN41"")"),0)</f>
        <v>0</v>
      </c>
      <c r="O122" s="255">
        <f ca="1">IF(L122&gt;0,N122*100/L122,0)</f>
        <v>0</v>
      </c>
      <c r="P122" s="255">
        <f ca="1">IF(M122&gt;0,N122*100/M122,0)</f>
        <v>0</v>
      </c>
      <c r="Q122" s="255">
        <f ca="1">IFERROR(__xludf.DUMMYFUNCTION("IMPORTRANGE(""https://docs.google.com/spreadsheets/d/1ItG2mGa2ceCfYo0BwxsXqNm01IGEUdYcSSLTEv9YCik/edit?usp=sharing"",""เบิกจ่ายกองทุน!R41"")"),209360)</f>
        <v>209360</v>
      </c>
      <c r="R122" s="255">
        <f ca="1">IFERROR(__xludf.DUMMYFUNCTION("IMPORTRANGE(""https://docs.google.com/spreadsheets/d/1ItG2mGa2ceCfYo0BwxsXqNm01IGEUdYcSSLTEv9YCik/edit?usp=sharing"",""เบิกจ่ายกองทุน!S41"")"),209360)</f>
        <v>209360</v>
      </c>
      <c r="S122" s="255">
        <f ca="1">IFERROR(__xludf.DUMMYFUNCTION("IMPORTRANGE(""https://docs.google.com/spreadsheets/d/1ItG2mGa2ceCfYo0BwxsXqNm01IGEUdYcSSLTEv9YCik/edit?usp=sharing"",""เบิกจ่ายกองทุน!T41"")"),98162)</f>
        <v>98162</v>
      </c>
      <c r="T122" s="255">
        <f ca="1">IF(Q122&gt;0,S122*100/Q122,0)</f>
        <v>46.886702330913259</v>
      </c>
      <c r="U122" s="255">
        <f ca="1">IF(R122&gt;0,S122*100/R122,0)</f>
        <v>46.886702330913259</v>
      </c>
    </row>
    <row r="123" spans="1:21" ht="18.75">
      <c r="A123" s="155"/>
      <c r="B123" s="50"/>
      <c r="C123" s="202"/>
      <c r="D123" s="602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256">
        <f ca="1">L124+L125</f>
        <v>0</v>
      </c>
      <c r="M123" s="255">
        <f ca="1">M124+M125</f>
        <v>0</v>
      </c>
      <c r="N123" s="255">
        <f ca="1">N124+N125</f>
        <v>0</v>
      </c>
      <c r="O123" s="255">
        <f ca="1">IF(L123&gt;0,N123*100/L123,0)</f>
        <v>0</v>
      </c>
      <c r="P123" s="255">
        <f ca="1">IF(M123&gt;0,N123*100/M123,0)</f>
        <v>0</v>
      </c>
      <c r="Q123" s="255">
        <f>Q124+Q125</f>
        <v>0</v>
      </c>
      <c r="R123" s="255">
        <f>R124+R125</f>
        <v>0</v>
      </c>
      <c r="S123" s="255">
        <f>S124+S125</f>
        <v>0</v>
      </c>
      <c r="T123" s="255">
        <f>IF(Q123&gt;0,S123*100/Q123,0)</f>
        <v>0</v>
      </c>
      <c r="U123" s="255">
        <f>IF(R123&gt;0,S123*100/R123,0)</f>
        <v>0</v>
      </c>
    </row>
    <row r="124" spans="1:21" ht="18.75" hidden="1">
      <c r="A124" s="155"/>
      <c r="B124" s="50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103">
        <v>0</v>
      </c>
      <c r="M124" s="102">
        <v>0</v>
      </c>
      <c r="N124" s="102">
        <v>0</v>
      </c>
      <c r="O124" s="102">
        <f>IF(L124&gt;0,N124*100/L124,0)</f>
        <v>0</v>
      </c>
      <c r="P124" s="102">
        <f>IF(M124&gt;0,N124*100/M124,0)</f>
        <v>0</v>
      </c>
      <c r="Q124" s="102">
        <v>0</v>
      </c>
      <c r="R124" s="102">
        <v>0</v>
      </c>
      <c r="S124" s="102">
        <v>0</v>
      </c>
      <c r="T124" s="102">
        <f>IF(Q124&gt;0,S124*100/Q124,0)</f>
        <v>0</v>
      </c>
      <c r="U124" s="102">
        <f>IF(R124&gt;0,S124*100/R124,0)</f>
        <v>0</v>
      </c>
    </row>
    <row r="125" spans="1:21" ht="18.75" hidden="1">
      <c r="A125" s="155"/>
      <c r="B125" s="50"/>
      <c r="C125" s="50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256">
        <f ca="1">IFERROR(__xludf.DUMMYFUNCTION("IMPORTRANGE(""https://docs.google.com/spreadsheets/d/1-uDff_7J0KD5mKrp0Vvzr7lt3OU09vwQwhkpOPPYv2Y/edit?usp=sharing"",""งบพรบ!BJ41"")"),0)</f>
        <v>0</v>
      </c>
      <c r="M125" s="255">
        <f ca="1">IFERROR(__xludf.DUMMYFUNCTION("IMPORTRANGE(""https://docs.google.com/spreadsheets/d/1-uDff_7J0KD5mKrp0Vvzr7lt3OU09vwQwhkpOPPYv2Y/edit?usp=sharing"",""งบพรบ!BM41"")"),0)</f>
        <v>0</v>
      </c>
      <c r="N125" s="255">
        <f ca="1">IFERROR(__xludf.DUMMYFUNCTION("IMPORTRANGE(""https://docs.google.com/spreadsheets/d/1-uDff_7J0KD5mKrp0Vvzr7lt3OU09vwQwhkpOPPYv2Y/edit?usp=sharing"",""งบพรบ!BO41"")"),0)</f>
        <v>0</v>
      </c>
      <c r="O125" s="255">
        <f ca="1">IF(L125&gt;0,N125*100/L125,0)</f>
        <v>0</v>
      </c>
      <c r="P125" s="255">
        <f ca="1">IF(M125&gt;0,N125*100/M125,0)</f>
        <v>0</v>
      </c>
      <c r="Q125" s="255">
        <v>0</v>
      </c>
      <c r="R125" s="255">
        <v>0</v>
      </c>
      <c r="S125" s="255">
        <v>0</v>
      </c>
      <c r="T125" s="255">
        <f>IF(Q125&gt;0,S125*100/Q125,0)</f>
        <v>0</v>
      </c>
      <c r="U125" s="255">
        <f>IF(R125&gt;0,S125*100/R125,0)</f>
        <v>0</v>
      </c>
    </row>
    <row r="126" spans="1:21" ht="19.5">
      <c r="A126" s="166"/>
      <c r="B126" s="167"/>
      <c r="C126" s="205" t="s">
        <v>18</v>
      </c>
      <c r="D126" s="566" t="s">
        <v>38</v>
      </c>
      <c r="E126" s="169"/>
      <c r="F126" s="169"/>
      <c r="G126" s="170"/>
      <c r="H126" s="206"/>
      <c r="I126" s="54"/>
      <c r="J126" s="54"/>
      <c r="K126" s="55"/>
      <c r="L126" s="62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212">
        <f ca="1">IFERROR(__xludf.DUMMYFUNCTION("IMPORTRANGE(""https://docs.google.com/spreadsheets/d/1eHaY18a8A9IcSdp1K8H6x8fbOy06t2VsZHhMHf-1x7Y/edit?usp=sharing"",""แผน!FF41"")"),20)</f>
        <v>20</v>
      </c>
      <c r="J127" s="467">
        <v>20</v>
      </c>
      <c r="K127" s="255">
        <f ca="1">IF(I127&gt;0,J127*100/I127,0)</f>
        <v>100</v>
      </c>
      <c r="L127" s="62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212">
        <f ca="1">IFERROR(__xludf.DUMMYFUNCTION("IMPORTRANGE(""https://docs.google.com/spreadsheets/d/1eHaY18a8A9IcSdp1K8H6x8fbOy06t2VsZHhMHf-1x7Y/edit?usp=sharing"",""แผน!FG41"")"),0)</f>
        <v>0</v>
      </c>
      <c r="J128" s="467">
        <v>0</v>
      </c>
      <c r="K128" s="255">
        <f ca="1">IF(I128&gt;0,J128*100/I128,0)</f>
        <v>0</v>
      </c>
      <c r="L128" s="62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212">
        <f ca="1">IFERROR(__xludf.DUMMYFUNCTION("IMPORTRANGE(""https://docs.google.com/spreadsheets/d/1eHaY18a8A9IcSdp1K8H6x8fbOy06t2VsZHhMHf-1x7Y/edit?usp=sharing"",""แผน!FH41"")"),20)</f>
        <v>20</v>
      </c>
      <c r="J129" s="467">
        <v>20</v>
      </c>
      <c r="K129" s="255">
        <f ca="1">IF(I129&gt;0,J129*100/I129,0)</f>
        <v>100</v>
      </c>
      <c r="L129" s="62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212">
        <f ca="1">IFERROR(__xludf.DUMMYFUNCTION("IMPORTRANGE(""https://docs.google.com/spreadsheets/d/1eHaY18a8A9IcSdp1K8H6x8fbOy06t2VsZHhMHf-1x7Y/edit?usp=sharing"",""แผน!FI41"")"),0)</f>
        <v>0</v>
      </c>
      <c r="J130" s="467">
        <v>0</v>
      </c>
      <c r="K130" s="255">
        <f ca="1">IF(I130&gt;0,J130*100/I130,0)</f>
        <v>0</v>
      </c>
      <c r="L130" s="62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8.75" hidden="1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62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8.75" hidden="1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62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2.75" hidden="1">
      <c r="A133" s="192"/>
      <c r="B133" s="193"/>
      <c r="C133" s="193"/>
      <c r="D133" s="22"/>
      <c r="E133" s="22"/>
      <c r="F133" s="22"/>
      <c r="G133" s="23"/>
      <c r="H133" s="209"/>
      <c r="I133" s="24"/>
      <c r="J133" s="24"/>
      <c r="K133" s="25"/>
      <c r="L133" s="26"/>
      <c r="M133" s="25"/>
      <c r="N133" s="25"/>
      <c r="O133" s="25"/>
      <c r="P133" s="25"/>
      <c r="Q133" s="25"/>
      <c r="R133" s="25"/>
      <c r="S133" s="25"/>
      <c r="T133" s="25"/>
      <c r="U133" s="25"/>
    </row>
    <row r="134" spans="1:21" ht="19.5">
      <c r="A134" s="143" t="s">
        <v>58</v>
      </c>
      <c r="B134" s="144"/>
      <c r="C134" s="196"/>
      <c r="D134" s="144"/>
      <c r="E134" s="144"/>
      <c r="F134" s="144"/>
      <c r="G134" s="144"/>
      <c r="H134" s="144"/>
      <c r="I134" s="197"/>
      <c r="J134" s="197"/>
      <c r="K134" s="19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</row>
    <row r="135" spans="1:21" ht="19.5">
      <c r="A135" s="150"/>
      <c r="B135" s="35" t="s">
        <v>59</v>
      </c>
      <c r="C135" s="200"/>
      <c r="D135" s="151"/>
      <c r="E135" s="34"/>
      <c r="F135" s="34"/>
      <c r="G135" s="34"/>
      <c r="H135" s="34"/>
      <c r="I135" s="210"/>
      <c r="J135" s="39"/>
      <c r="K135" s="40"/>
      <c r="L135" s="154"/>
      <c r="M135" s="40"/>
      <c r="N135" s="40"/>
      <c r="O135" s="40"/>
      <c r="P135" s="40"/>
      <c r="Q135" s="40"/>
      <c r="R135" s="40"/>
      <c r="S135" s="40"/>
      <c r="T135" s="40"/>
      <c r="U135" s="40"/>
    </row>
    <row r="136" spans="1:21" ht="19.5">
      <c r="A136" s="150"/>
      <c r="B136" s="34"/>
      <c r="C136" s="211" t="s">
        <v>60</v>
      </c>
      <c r="D136" s="151"/>
      <c r="E136" s="34"/>
      <c r="F136" s="34"/>
      <c r="G136" s="37"/>
      <c r="H136" s="152" t="s">
        <v>61</v>
      </c>
      <c r="I136" s="721">
        <f ca="1">I154</f>
        <v>0</v>
      </c>
      <c r="J136" s="721">
        <f>J154</f>
        <v>0</v>
      </c>
      <c r="K136" s="720">
        <f ca="1">IF(I136&gt;0,J136*100/I136,0)</f>
        <v>0</v>
      </c>
      <c r="L136" s="154"/>
      <c r="M136" s="40"/>
      <c r="N136" s="40"/>
      <c r="O136" s="40"/>
      <c r="P136" s="40"/>
      <c r="Q136" s="40"/>
      <c r="R136" s="40"/>
      <c r="S136" s="40"/>
      <c r="T136" s="40"/>
      <c r="U136" s="40"/>
    </row>
    <row r="137" spans="1:21" ht="19.5">
      <c r="A137" s="150"/>
      <c r="B137" s="34"/>
      <c r="C137" s="211" t="s">
        <v>62</v>
      </c>
      <c r="D137" s="151"/>
      <c r="E137" s="34"/>
      <c r="F137" s="34"/>
      <c r="G137" s="37"/>
      <c r="H137" s="152" t="s">
        <v>35</v>
      </c>
      <c r="I137" s="721">
        <f ca="1">I152</f>
        <v>20</v>
      </c>
      <c r="J137" s="721">
        <f>J152</f>
        <v>20</v>
      </c>
      <c r="K137" s="720">
        <f ca="1">IF(I137&gt;0,J137*100/I137,0)</f>
        <v>100</v>
      </c>
      <c r="L137" s="154"/>
      <c r="M137" s="40"/>
      <c r="N137" s="40"/>
      <c r="O137" s="40"/>
      <c r="P137" s="40"/>
      <c r="Q137" s="40"/>
      <c r="R137" s="40"/>
      <c r="S137" s="40"/>
      <c r="T137" s="40"/>
      <c r="U137" s="40"/>
    </row>
    <row r="138" spans="1:21" ht="19.5">
      <c r="A138" s="150"/>
      <c r="B138" s="34"/>
      <c r="C138" s="200"/>
      <c r="D138" s="151"/>
      <c r="E138" s="34"/>
      <c r="F138" s="34"/>
      <c r="G138" s="37"/>
      <c r="H138" s="152" t="s">
        <v>54</v>
      </c>
      <c r="I138" s="721">
        <f ca="1">I153</f>
        <v>2</v>
      </c>
      <c r="J138" s="721">
        <f>J153</f>
        <v>2</v>
      </c>
      <c r="K138" s="720">
        <f ca="1">IF(I138&gt;0,J138*100/I138,0)</f>
        <v>100</v>
      </c>
      <c r="L138" s="154"/>
      <c r="M138" s="40"/>
      <c r="N138" s="40"/>
      <c r="O138" s="40"/>
      <c r="P138" s="40"/>
      <c r="Q138" s="40"/>
      <c r="R138" s="40"/>
      <c r="S138" s="40"/>
      <c r="T138" s="40"/>
      <c r="U138" s="40"/>
    </row>
    <row r="139" spans="1:21" ht="19.5">
      <c r="A139" s="155"/>
      <c r="B139" s="50"/>
      <c r="C139" s="156" t="s">
        <v>18</v>
      </c>
      <c r="D139" s="575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541">
        <f ca="1">L140+L141</f>
        <v>31600</v>
      </c>
      <c r="M139" s="540">
        <f ca="1">M140+M141</f>
        <v>26600</v>
      </c>
      <c r="N139" s="540">
        <f ca="1">N140+N141</f>
        <v>21480</v>
      </c>
      <c r="O139" s="540">
        <f ca="1">IF(L139&gt;0,N139*100/L139,0)</f>
        <v>67.974683544303801</v>
      </c>
      <c r="P139" s="540">
        <f ca="1">IF(M139&gt;0,N139*100/M139,0)</f>
        <v>80.751879699248121</v>
      </c>
      <c r="Q139" s="540">
        <f ca="1">Q140+Q141</f>
        <v>0</v>
      </c>
      <c r="R139" s="540">
        <f ca="1">R140+R141</f>
        <v>0</v>
      </c>
      <c r="S139" s="540">
        <f ca="1">S140+S141</f>
        <v>0</v>
      </c>
      <c r="T139" s="540">
        <f ca="1">IF(Q139&gt;0,S139*100/Q139,0)</f>
        <v>0</v>
      </c>
      <c r="U139" s="540">
        <f ca="1">IF(R139&gt;0,S139*100/R139,0)</f>
        <v>0</v>
      </c>
    </row>
    <row r="140" spans="1:21" ht="18.75" hidden="1">
      <c r="A140" s="155"/>
      <c r="B140" s="50"/>
      <c r="C140" s="50"/>
      <c r="D140" s="50"/>
      <c r="E140" s="186" t="s">
        <v>20</v>
      </c>
      <c r="F140" s="50"/>
      <c r="G140" s="52"/>
      <c r="H140" s="187" t="s">
        <v>14</v>
      </c>
      <c r="I140" s="54"/>
      <c r="J140" s="54"/>
      <c r="K140" s="55"/>
      <c r="L140" s="103">
        <f>L143+L146</f>
        <v>0</v>
      </c>
      <c r="M140" s="102">
        <f>M143+M146</f>
        <v>0</v>
      </c>
      <c r="N140" s="102">
        <f>N143+N146</f>
        <v>0</v>
      </c>
      <c r="O140" s="102">
        <f>IF(L140&gt;0,N140*100/L140,0)</f>
        <v>0</v>
      </c>
      <c r="P140" s="102">
        <f>IF(M140&gt;0,N140*100/M140,0)</f>
        <v>0</v>
      </c>
      <c r="Q140" s="102">
        <f>Q143+Q146</f>
        <v>0</v>
      </c>
      <c r="R140" s="102">
        <f>R143+R146</f>
        <v>0</v>
      </c>
      <c r="S140" s="102">
        <f>S143+S146</f>
        <v>0</v>
      </c>
      <c r="T140" s="102">
        <f>IF(Q140&gt;0,S140*100/Q140,0)</f>
        <v>0</v>
      </c>
      <c r="U140" s="102">
        <f>IF(R140&gt;0,S140*100/R140,0)</f>
        <v>0</v>
      </c>
    </row>
    <row r="141" spans="1:21" ht="18.75" hidden="1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256">
        <f ca="1">L144+L147</f>
        <v>31600</v>
      </c>
      <c r="M141" s="255">
        <f ca="1">M144+M147</f>
        <v>26600</v>
      </c>
      <c r="N141" s="255">
        <f ca="1">N144+N147</f>
        <v>21480</v>
      </c>
      <c r="O141" s="255">
        <f ca="1">IF(L141&gt;0,N141*100/L141,0)</f>
        <v>67.974683544303801</v>
      </c>
      <c r="P141" s="255">
        <f ca="1">IF(M141&gt;0,N141*100/M141,0)</f>
        <v>80.751879699248121</v>
      </c>
      <c r="Q141" s="255">
        <f ca="1">Q144+Q147</f>
        <v>0</v>
      </c>
      <c r="R141" s="255">
        <f ca="1">R144+R147</f>
        <v>0</v>
      </c>
      <c r="S141" s="255">
        <f ca="1">S144+S147</f>
        <v>0</v>
      </c>
      <c r="T141" s="255">
        <f ca="1">IF(Q141&gt;0,S141*100/Q141,0)</f>
        <v>0</v>
      </c>
      <c r="U141" s="255">
        <f ca="1">IF(R141&gt;0,S141*100/R141,0)</f>
        <v>0</v>
      </c>
    </row>
    <row r="142" spans="1:21" ht="18.75">
      <c r="A142" s="155"/>
      <c r="B142" s="50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256">
        <f ca="1">L143+L144</f>
        <v>31600</v>
      </c>
      <c r="M142" s="255">
        <f ca="1">M143+M144</f>
        <v>26600</v>
      </c>
      <c r="N142" s="255">
        <f ca="1">N143+N144</f>
        <v>21480</v>
      </c>
      <c r="O142" s="255">
        <f ca="1">IF(L142&gt;0,N142*100/L142,0)</f>
        <v>67.974683544303801</v>
      </c>
      <c r="P142" s="255">
        <f ca="1">IF(M142&gt;0,N142*100/M142,0)</f>
        <v>80.751879699248121</v>
      </c>
      <c r="Q142" s="255">
        <f ca="1">Q143+Q144</f>
        <v>0</v>
      </c>
      <c r="R142" s="255">
        <f ca="1">R143+R144</f>
        <v>0</v>
      </c>
      <c r="S142" s="255">
        <f ca="1">S143+S144</f>
        <v>0</v>
      </c>
      <c r="T142" s="255">
        <f ca="1">IF(Q142&gt;0,S142*100/Q142,0)</f>
        <v>0</v>
      </c>
      <c r="U142" s="255">
        <f ca="1">IF(R142&gt;0,S142*100/R142,0)</f>
        <v>0</v>
      </c>
    </row>
    <row r="143" spans="1:21" ht="18.75" hidden="1">
      <c r="A143" s="155"/>
      <c r="B143" s="50"/>
      <c r="C143" s="50"/>
      <c r="D143" s="50"/>
      <c r="E143" s="186" t="s">
        <v>36</v>
      </c>
      <c r="F143" s="50"/>
      <c r="G143" s="52"/>
      <c r="H143" s="189" t="s">
        <v>14</v>
      </c>
      <c r="I143" s="163"/>
      <c r="J143" s="163"/>
      <c r="K143" s="164"/>
      <c r="L143" s="103">
        <v>0</v>
      </c>
      <c r="M143" s="102">
        <v>0</v>
      </c>
      <c r="N143" s="102">
        <v>0</v>
      </c>
      <c r="O143" s="102">
        <f>IF(L143&gt;0,N143*100/L143,0)</f>
        <v>0</v>
      </c>
      <c r="P143" s="102">
        <f>IF(M143&gt;0,N143*100/M143,0)</f>
        <v>0</v>
      </c>
      <c r="Q143" s="102">
        <v>0</v>
      </c>
      <c r="R143" s="102">
        <v>0</v>
      </c>
      <c r="S143" s="102">
        <v>0</v>
      </c>
      <c r="T143" s="102">
        <f>IF(Q143&gt;0,S143*100/Q143,0)</f>
        <v>0</v>
      </c>
      <c r="U143" s="102">
        <f>IF(R143&gt;0,S143*100/R143,0)</f>
        <v>0</v>
      </c>
    </row>
    <row r="144" spans="1:21" ht="18.75" hidden="1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256">
        <f ca="1">IFERROR(__xludf.DUMMYFUNCTION("IMPORTRANGE(""https://docs.google.com/spreadsheets/d/1-uDff_7J0KD5mKrp0Vvzr7lt3OU09vwQwhkpOPPYv2Y/edit?usp=sharing"",""งบพรบ!BQ41"")"),31600)</f>
        <v>31600</v>
      </c>
      <c r="M144" s="255">
        <f ca="1">IFERROR(__xludf.DUMMYFUNCTION("IMPORTRANGE(""https://docs.google.com/spreadsheets/d/1-uDff_7J0KD5mKrp0Vvzr7lt3OU09vwQwhkpOPPYv2Y/edit?usp=sharing"",""งบพรบ!BV41"")"),26600)</f>
        <v>26600</v>
      </c>
      <c r="N144" s="255">
        <f ca="1">IFERROR(__xludf.DUMMYFUNCTION("IMPORTRANGE(""https://docs.google.com/spreadsheets/d/1-uDff_7J0KD5mKrp0Vvzr7lt3OU09vwQwhkpOPPYv2Y/edit?usp=sharing"",""งบพรบ!BX41"")"),21480)</f>
        <v>21480</v>
      </c>
      <c r="O144" s="255">
        <f ca="1">IF(L144&gt;0,N144*100/L144,0)</f>
        <v>67.974683544303801</v>
      </c>
      <c r="P144" s="255">
        <f ca="1">IF(M144&gt;0,N144*100/M144,0)</f>
        <v>80.751879699248121</v>
      </c>
      <c r="Q144" s="255">
        <f ca="1">IFERROR(__xludf.DUMMYFUNCTION("IMPORTRANGE(""https://docs.google.com/spreadsheets/d/1ItG2mGa2ceCfYo0BwxsXqNm01IGEUdYcSSLTEv9YCik/edit?usp=sharing"",""เบิกจ่ายกองทุน!BB41"")"),0)</f>
        <v>0</v>
      </c>
      <c r="R144" s="255">
        <f ca="1">IFERROR(__xludf.DUMMYFUNCTION("IMPORTRANGE(""https://docs.google.com/spreadsheets/d/1ItG2mGa2ceCfYo0BwxsXqNm01IGEUdYcSSLTEv9YCik/edit?usp=sharing"",""เบิกจ่ายกองทุน!BC41"")"),0)</f>
        <v>0</v>
      </c>
      <c r="S144" s="255">
        <f ca="1">IFERROR(__xludf.DUMMYFUNCTION("IMPORTRANGE(""https://docs.google.com/spreadsheets/d/1ItG2mGa2ceCfYo0BwxsXqNm01IGEUdYcSSLTEv9YCik/edit?usp=sharing"",""เบิกจ่ายกองทุน!BD41"")"),0)</f>
        <v>0</v>
      </c>
      <c r="T144" s="255">
        <f ca="1">IF(Q144&gt;0,S144*100/Q144,0)</f>
        <v>0</v>
      </c>
      <c r="U144" s="255">
        <f ca="1">IF(R144&gt;0,S144*100/R144,0)</f>
        <v>0</v>
      </c>
    </row>
    <row r="145" spans="1:21" ht="18.75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256">
        <f ca="1">L146+L147</f>
        <v>0</v>
      </c>
      <c r="M145" s="255">
        <f ca="1">M146+M147</f>
        <v>0</v>
      </c>
      <c r="N145" s="255">
        <f ca="1">N146+N147</f>
        <v>0</v>
      </c>
      <c r="O145" s="255">
        <f ca="1">IF(L145&gt;0,N145*100/L145,0)</f>
        <v>0</v>
      </c>
      <c r="P145" s="255">
        <f ca="1">IF(M145&gt;0,N145*100/M145,0)</f>
        <v>0</v>
      </c>
      <c r="Q145" s="255">
        <f>Q146+Q147</f>
        <v>0</v>
      </c>
      <c r="R145" s="255">
        <f>R146+R147</f>
        <v>0</v>
      </c>
      <c r="S145" s="255">
        <f>S146+S147</f>
        <v>0</v>
      </c>
      <c r="T145" s="255">
        <f>IF(Q145&gt;0,S145*100/Q145,0)</f>
        <v>0</v>
      </c>
      <c r="U145" s="255">
        <f>IF(R145&gt;0,S145*100/R145,0)</f>
        <v>0</v>
      </c>
    </row>
    <row r="146" spans="1:21" ht="18.75" hidden="1">
      <c r="A146" s="155"/>
      <c r="B146" s="50"/>
      <c r="C146" s="50"/>
      <c r="D146" s="50"/>
      <c r="E146" s="186" t="s">
        <v>20</v>
      </c>
      <c r="F146" s="50"/>
      <c r="G146" s="52"/>
      <c r="H146" s="189" t="s">
        <v>14</v>
      </c>
      <c r="I146" s="163"/>
      <c r="J146" s="163"/>
      <c r="K146" s="164"/>
      <c r="L146" s="103">
        <v>0</v>
      </c>
      <c r="M146" s="102">
        <v>0</v>
      </c>
      <c r="N146" s="102">
        <v>0</v>
      </c>
      <c r="O146" s="102">
        <f>IF(L146&gt;0,N146*100/L146,0)</f>
        <v>0</v>
      </c>
      <c r="P146" s="102">
        <f>IF(M146&gt;0,N146*100/M146,0)</f>
        <v>0</v>
      </c>
      <c r="Q146" s="102">
        <v>0</v>
      </c>
      <c r="R146" s="102">
        <v>0</v>
      </c>
      <c r="S146" s="102">
        <v>0</v>
      </c>
      <c r="T146" s="102">
        <f>IF(Q146&gt;0,S146*100/Q146,0)</f>
        <v>0</v>
      </c>
      <c r="U146" s="102">
        <f>IF(R146&gt;0,S146*100/R146,0)</f>
        <v>0</v>
      </c>
    </row>
    <row r="147" spans="1:21" ht="18.75" hidden="1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256">
        <f ca="1">IFERROR(__xludf.DUMMYFUNCTION("IMPORTRANGE(""https://docs.google.com/spreadsheets/d/1-uDff_7J0KD5mKrp0Vvzr7lt3OU09vwQwhkpOPPYv2Y/edit?usp=sharing"",""งบพรบ!BT41"")"),0)</f>
        <v>0</v>
      </c>
      <c r="M147" s="255">
        <f ca="1">IFERROR(__xludf.DUMMYFUNCTION("IMPORTRANGE(""https://docs.google.com/spreadsheets/d/1-uDff_7J0KD5mKrp0Vvzr7lt3OU09vwQwhkpOPPYv2Y/edit?usp=sharing"",""งบพรบ!BW41"")"),0)</f>
        <v>0</v>
      </c>
      <c r="N147" s="255">
        <f ca="1">IFERROR(__xludf.DUMMYFUNCTION("IMPORTRANGE(""https://docs.google.com/spreadsheets/d/1-uDff_7J0KD5mKrp0Vvzr7lt3OU09vwQwhkpOPPYv2Y/edit?usp=sharing"",""งบพรบ!BY41"")"),0)</f>
        <v>0</v>
      </c>
      <c r="O147" s="255">
        <f ca="1">IF(L147&gt;0,N147*100/L147,0)</f>
        <v>0</v>
      </c>
      <c r="P147" s="255">
        <f ca="1">IF(M147&gt;0,N147*100/M147,0)</f>
        <v>0</v>
      </c>
      <c r="Q147" s="255">
        <v>0</v>
      </c>
      <c r="R147" s="255">
        <v>0</v>
      </c>
      <c r="S147" s="255">
        <v>0</v>
      </c>
      <c r="T147" s="255">
        <f>IF(Q147&gt;0,S147*100/Q147,0)</f>
        <v>0</v>
      </c>
      <c r="U147" s="255">
        <f>IF(R147&gt;0,S147*100/R147,0)</f>
        <v>0</v>
      </c>
    </row>
    <row r="148" spans="1:21" ht="19.5">
      <c r="A148" s="166"/>
      <c r="B148" s="167"/>
      <c r="C148" s="156" t="s">
        <v>18</v>
      </c>
      <c r="D148" s="566" t="s">
        <v>38</v>
      </c>
      <c r="E148" s="169"/>
      <c r="F148" s="169"/>
      <c r="G148" s="170"/>
      <c r="H148" s="206"/>
      <c r="I148" s="54"/>
      <c r="J148" s="54"/>
      <c r="K148" s="55"/>
      <c r="L148" s="62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8.75">
      <c r="A149" s="155"/>
      <c r="B149" s="50"/>
      <c r="C149" s="50"/>
      <c r="D149" s="58" t="s">
        <v>63</v>
      </c>
      <c r="E149" s="50"/>
      <c r="F149" s="50"/>
      <c r="G149" s="52"/>
      <c r="H149" s="206"/>
      <c r="I149" s="54"/>
      <c r="J149" s="467">
        <v>0</v>
      </c>
      <c r="K149" s="55"/>
      <c r="L149" s="62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9.5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212">
        <f ca="1">IFERROR(__xludf.DUMMYFUNCTION("IMPORTRANGE(""https://docs.google.com/spreadsheets/d/1eHaY18a8A9IcSdp1K8H6x8fbOy06t2VsZHhMHf-1x7Y/edit?usp=sharing"",""แผน!U41"")"),0)</f>
        <v>0</v>
      </c>
      <c r="J150" s="467">
        <v>0</v>
      </c>
      <c r="K150" s="255">
        <f ca="1">IF(I150&gt;0,J150*100/I150,0)</f>
        <v>0</v>
      </c>
      <c r="L150" s="62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8.75">
      <c r="A151" s="155"/>
      <c r="B151" s="50"/>
      <c r="C151" s="50"/>
      <c r="D151" s="174"/>
      <c r="E151" s="50"/>
      <c r="F151" s="50"/>
      <c r="G151" s="52"/>
      <c r="H151" s="165" t="s">
        <v>54</v>
      </c>
      <c r="I151" s="212">
        <f ca="1">IFERROR(__xludf.DUMMYFUNCTION("IMPORTRANGE(""https://docs.google.com/spreadsheets/d/1eHaY18a8A9IcSdp1K8H6x8fbOy06t2VsZHhMHf-1x7Y/edit?usp=sharing"",""แผน!V41"")"),0)</f>
        <v>0</v>
      </c>
      <c r="J151" s="467">
        <v>0</v>
      </c>
      <c r="K151" s="255">
        <f ca="1">IF(I151&gt;0,J151*100/I151,0)</f>
        <v>0</v>
      </c>
      <c r="L151" s="62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9.5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212">
        <f ca="1">IFERROR(__xludf.DUMMYFUNCTION("IMPORTRANGE(""https://docs.google.com/spreadsheets/d/1eHaY18a8A9IcSdp1K8H6x8fbOy06t2VsZHhMHf-1x7Y/edit?usp=sharing"",""แผน!W41"")"),20)</f>
        <v>20</v>
      </c>
      <c r="J152" s="467">
        <v>20</v>
      </c>
      <c r="K152" s="255">
        <f ca="1">IF(I152&gt;0,J152*100/I152,0)</f>
        <v>100</v>
      </c>
      <c r="L152" s="62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8.75">
      <c r="A153" s="155"/>
      <c r="B153" s="50"/>
      <c r="C153" s="50"/>
      <c r="D153" s="50"/>
      <c r="E153" s="50"/>
      <c r="F153" s="50"/>
      <c r="G153" s="52"/>
      <c r="H153" s="165" t="s">
        <v>54</v>
      </c>
      <c r="I153" s="212">
        <f ca="1">IFERROR(__xludf.DUMMYFUNCTION("IMPORTRANGE(""https://docs.google.com/spreadsheets/d/1eHaY18a8A9IcSdp1K8H6x8fbOy06t2VsZHhMHf-1x7Y/edit?usp=sharing"",""แผน!X41"")"),2)</f>
        <v>2</v>
      </c>
      <c r="J153" s="467">
        <v>2</v>
      </c>
      <c r="K153" s="255">
        <f ca="1">IF(I153&gt;0,J153*100/I153,0)</f>
        <v>100</v>
      </c>
      <c r="L153" s="62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8.75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212">
        <f ca="1">IFERROR(__xludf.DUMMYFUNCTION("IMPORTRANGE(""https://docs.google.com/spreadsheets/d/1eHaY18a8A9IcSdp1K8H6x8fbOy06t2VsZHhMHf-1x7Y/edit?usp=sharing"",""แผน!Y41"")"),0)</f>
        <v>0</v>
      </c>
      <c r="J154" s="467">
        <v>0</v>
      </c>
      <c r="K154" s="255">
        <f ca="1">IF(I154&gt;0,J154*100/I154,0)</f>
        <v>0</v>
      </c>
      <c r="L154" s="62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9.5" hidden="1">
      <c r="A155" s="143" t="s">
        <v>67</v>
      </c>
      <c r="B155" s="144"/>
      <c r="C155" s="196"/>
      <c r="D155" s="144"/>
      <c r="E155" s="144"/>
      <c r="F155" s="144"/>
      <c r="G155" s="144"/>
      <c r="H155" s="144"/>
      <c r="I155" s="197"/>
      <c r="J155" s="197"/>
      <c r="K155" s="19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</row>
    <row r="156" spans="1:21" ht="19.5" hidden="1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721">
        <f ca="1">I169</f>
        <v>0</v>
      </c>
      <c r="J156" s="721">
        <f>J169</f>
        <v>0</v>
      </c>
      <c r="K156" s="720">
        <f ca="1">IF(I156&gt;0,J156*100/I156,0)</f>
        <v>0</v>
      </c>
      <c r="L156" s="154"/>
      <c r="M156" s="40"/>
      <c r="N156" s="40"/>
      <c r="O156" s="40"/>
      <c r="P156" s="40"/>
      <c r="Q156" s="40"/>
      <c r="R156" s="40"/>
      <c r="S156" s="40"/>
      <c r="T156" s="40"/>
      <c r="U156" s="40"/>
    </row>
    <row r="157" spans="1:21" ht="19.5" hidden="1">
      <c r="A157" s="155"/>
      <c r="B157" s="50"/>
      <c r="C157" s="156" t="s">
        <v>18</v>
      </c>
      <c r="D157" s="575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541">
        <f ca="1">L158+L159</f>
        <v>0</v>
      </c>
      <c r="M157" s="540">
        <f ca="1">M158+M159</f>
        <v>5120</v>
      </c>
      <c r="N157" s="540">
        <f ca="1">N158+N159</f>
        <v>0</v>
      </c>
      <c r="O157" s="540">
        <f ca="1">IF(L157&gt;0,N157*100/L157,0)</f>
        <v>0</v>
      </c>
      <c r="P157" s="540">
        <f ca="1">IF(M157&gt;0,N157*100/M157,0)</f>
        <v>0</v>
      </c>
      <c r="Q157" s="540">
        <f ca="1">Q158+Q159</f>
        <v>0</v>
      </c>
      <c r="R157" s="540">
        <f ca="1">R158+R159</f>
        <v>0</v>
      </c>
      <c r="S157" s="540">
        <f ca="1">S158+S159</f>
        <v>0</v>
      </c>
      <c r="T157" s="540">
        <f ca="1">IF(Q157&gt;0,S157*100/Q157,0)</f>
        <v>0</v>
      </c>
      <c r="U157" s="540">
        <f ca="1">IF(R157&gt;0,S157*100/R157,0)</f>
        <v>0</v>
      </c>
    </row>
    <row r="158" spans="1:21" ht="18.75" hidden="1">
      <c r="A158" s="155"/>
      <c r="B158" s="50"/>
      <c r="C158" s="50"/>
      <c r="D158" s="50"/>
      <c r="E158" s="186" t="s">
        <v>20</v>
      </c>
      <c r="F158" s="50"/>
      <c r="G158" s="52"/>
      <c r="H158" s="187" t="s">
        <v>14</v>
      </c>
      <c r="I158" s="54"/>
      <c r="J158" s="54"/>
      <c r="K158" s="55"/>
      <c r="L158" s="103">
        <f>L161+L164</f>
        <v>0</v>
      </c>
      <c r="M158" s="102">
        <f>M161+M164</f>
        <v>0</v>
      </c>
      <c r="N158" s="102">
        <f>N161+N164</f>
        <v>0</v>
      </c>
      <c r="O158" s="102">
        <f>IF(L158&gt;0,N158*100/L158,0)</f>
        <v>0</v>
      </c>
      <c r="P158" s="102">
        <f>IF(M158&gt;0,N158*100/M158,0)</f>
        <v>0</v>
      </c>
      <c r="Q158" s="102">
        <f>Q161+Q164</f>
        <v>0</v>
      </c>
      <c r="R158" s="102">
        <f>R161+R164</f>
        <v>0</v>
      </c>
      <c r="S158" s="102">
        <f>S161+S164</f>
        <v>0</v>
      </c>
      <c r="T158" s="102">
        <f>IF(Q158&gt;0,S158*100/Q158,0)</f>
        <v>0</v>
      </c>
      <c r="U158" s="102">
        <f>IF(R158&gt;0,S158*100/R158,0)</f>
        <v>0</v>
      </c>
    </row>
    <row r="159" spans="1:21" ht="18.75" hidden="1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256">
        <f ca="1">L162+L165</f>
        <v>0</v>
      </c>
      <c r="M159" s="255">
        <f ca="1">M162+M165</f>
        <v>5120</v>
      </c>
      <c r="N159" s="255">
        <f ca="1">N162+N165</f>
        <v>0</v>
      </c>
      <c r="O159" s="255">
        <f ca="1">IF(L159&gt;0,N159*100/L159,0)</f>
        <v>0</v>
      </c>
      <c r="P159" s="255">
        <f ca="1">IF(M159&gt;0,N159*100/M159,0)</f>
        <v>0</v>
      </c>
      <c r="Q159" s="255">
        <f ca="1">Q162+Q165</f>
        <v>0</v>
      </c>
      <c r="R159" s="255">
        <f ca="1">R162+R165</f>
        <v>0</v>
      </c>
      <c r="S159" s="255">
        <f ca="1">S162+S165</f>
        <v>0</v>
      </c>
      <c r="T159" s="255">
        <f ca="1">IF(Q159&gt;0,S159*100/Q159,0)</f>
        <v>0</v>
      </c>
      <c r="U159" s="255">
        <f ca="1">IF(R159&gt;0,S159*100/R159,0)</f>
        <v>0</v>
      </c>
    </row>
    <row r="160" spans="1:21" ht="18.75" hidden="1">
      <c r="A160" s="155"/>
      <c r="B160" s="50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256">
        <f ca="1">L161+L162</f>
        <v>0</v>
      </c>
      <c r="M160" s="255">
        <f ca="1">M161+M162</f>
        <v>5120</v>
      </c>
      <c r="N160" s="255">
        <f ca="1">N161+N162</f>
        <v>0</v>
      </c>
      <c r="O160" s="255">
        <f ca="1">IF(L160&gt;0,N160*100/L160,0)</f>
        <v>0</v>
      </c>
      <c r="P160" s="255">
        <f ca="1">IF(M160&gt;0,N160*100/M160,0)</f>
        <v>0</v>
      </c>
      <c r="Q160" s="255">
        <f ca="1">Q161+Q162</f>
        <v>0</v>
      </c>
      <c r="R160" s="255">
        <f ca="1">R161+R162</f>
        <v>0</v>
      </c>
      <c r="S160" s="255">
        <f ca="1">S161+S162</f>
        <v>0</v>
      </c>
      <c r="T160" s="255">
        <f ca="1">IF(Q160&gt;0,S160*100/Q160,0)</f>
        <v>0</v>
      </c>
      <c r="U160" s="255">
        <f ca="1">IF(R160&gt;0,S160*100/R160,0)</f>
        <v>0</v>
      </c>
    </row>
    <row r="161" spans="1:21" ht="18.75" hidden="1">
      <c r="A161" s="155"/>
      <c r="B161" s="50"/>
      <c r="C161" s="50"/>
      <c r="D161" s="50"/>
      <c r="E161" s="186" t="s">
        <v>36</v>
      </c>
      <c r="F161" s="50"/>
      <c r="G161" s="52"/>
      <c r="H161" s="189" t="s">
        <v>14</v>
      </c>
      <c r="I161" s="163"/>
      <c r="J161" s="163"/>
      <c r="K161" s="164"/>
      <c r="L161" s="103">
        <v>0</v>
      </c>
      <c r="M161" s="102">
        <v>0</v>
      </c>
      <c r="N161" s="102">
        <v>0</v>
      </c>
      <c r="O161" s="102">
        <f>IF(L161&gt;0,N161*100/L161,0)</f>
        <v>0</v>
      </c>
      <c r="P161" s="102">
        <f>IF(M161&gt;0,N161*100/M161,0)</f>
        <v>0</v>
      </c>
      <c r="Q161" s="102">
        <v>0</v>
      </c>
      <c r="R161" s="102">
        <v>0</v>
      </c>
      <c r="S161" s="102">
        <v>0</v>
      </c>
      <c r="T161" s="102">
        <f>IF(Q161&gt;0,S161*100/Q161,0)</f>
        <v>0</v>
      </c>
      <c r="U161" s="102">
        <f>IF(R161&gt;0,S161*100/R161,0)</f>
        <v>0</v>
      </c>
    </row>
    <row r="162" spans="1:21" ht="18.75" hidden="1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256">
        <f ca="1">IFERROR(__xludf.DUMMYFUNCTION("IMPORTRANGE(""https://docs.google.com/spreadsheets/d/1-uDff_7J0KD5mKrp0Vvzr7lt3OU09vwQwhkpOPPYv2Y/edit?usp=sharing"",""งบพรบ!CA41"")"),0)</f>
        <v>0</v>
      </c>
      <c r="M162" s="255">
        <f ca="1">IFERROR(__xludf.DUMMYFUNCTION("IMPORTRANGE(""https://docs.google.com/spreadsheets/d/1-uDff_7J0KD5mKrp0Vvzr7lt3OU09vwQwhkpOPPYv2Y/edit?usp=sharing"",""งบพรบ!CF41"")"),5120)</f>
        <v>5120</v>
      </c>
      <c r="N162" s="255">
        <f ca="1">IFERROR(__xludf.DUMMYFUNCTION("IMPORTRANGE(""https://docs.google.com/spreadsheets/d/1-uDff_7J0KD5mKrp0Vvzr7lt3OU09vwQwhkpOPPYv2Y/edit?usp=sharing"",""งบพรบ!CH41"")"),0)</f>
        <v>0</v>
      </c>
      <c r="O162" s="255">
        <f ca="1">IF(L162&gt;0,N162*100/L162,0)</f>
        <v>0</v>
      </c>
      <c r="P162" s="255">
        <f ca="1">IF(M162&gt;0,N162*100/M162,0)</f>
        <v>0</v>
      </c>
      <c r="Q162" s="255">
        <f ca="1">IFERROR(__xludf.DUMMYFUNCTION("IMPORTRANGE(""https://docs.google.com/spreadsheets/d/1ItG2mGa2ceCfYo0BwxsXqNm01IGEUdYcSSLTEv9YCik/edit?usp=sharing"",""เบิกจ่ายกองทุน!AG41"")"),0)</f>
        <v>0</v>
      </c>
      <c r="R162" s="255">
        <f ca="1">IFERROR(__xludf.DUMMYFUNCTION("IMPORTRANGE(""https://docs.google.com/spreadsheets/d/1ItG2mGa2ceCfYo0BwxsXqNm01IGEUdYcSSLTEv9YCik/edit?usp=sharing"",""เบิกจ่ายกองทุน!AH41"")"),0)</f>
        <v>0</v>
      </c>
      <c r="S162" s="255">
        <f ca="1">IFERROR(__xludf.DUMMYFUNCTION("IMPORTRANGE(""https://docs.google.com/spreadsheets/d/1ItG2mGa2ceCfYo0BwxsXqNm01IGEUdYcSSLTEv9YCik/edit?usp=sharing"",""เบิกจ่ายกองทุน!AI41"")"),0)</f>
        <v>0</v>
      </c>
      <c r="T162" s="255">
        <f ca="1">IF(Q162&gt;0,S162*100/Q162,0)</f>
        <v>0</v>
      </c>
      <c r="U162" s="255">
        <f ca="1">IF(R162&gt;0,S162*100/R162,0)</f>
        <v>0</v>
      </c>
    </row>
    <row r="163" spans="1:21" ht="18.75" hidden="1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256">
        <f ca="1">L164+L165</f>
        <v>0</v>
      </c>
      <c r="M163" s="255">
        <f ca="1">M164+M165</f>
        <v>0</v>
      </c>
      <c r="N163" s="255">
        <f ca="1">N164+N165</f>
        <v>0</v>
      </c>
      <c r="O163" s="255">
        <f ca="1">IF(L163&gt;0,N163*100/L163,0)</f>
        <v>0</v>
      </c>
      <c r="P163" s="255">
        <f ca="1">IF(M163&gt;0,N163*100/M163,0)</f>
        <v>0</v>
      </c>
      <c r="Q163" s="255">
        <f>Q164+Q165</f>
        <v>0</v>
      </c>
      <c r="R163" s="255">
        <f>R164+R165</f>
        <v>0</v>
      </c>
      <c r="S163" s="255">
        <f>S164+S165</f>
        <v>0</v>
      </c>
      <c r="T163" s="255">
        <f>IF(Q163&gt;0,S163*100/Q163,0)</f>
        <v>0</v>
      </c>
      <c r="U163" s="255">
        <f>IF(R163&gt;0,S163*100/R163,0)</f>
        <v>0</v>
      </c>
    </row>
    <row r="164" spans="1:21" ht="18.75" hidden="1">
      <c r="A164" s="155"/>
      <c r="B164" s="50"/>
      <c r="C164" s="50"/>
      <c r="D164" s="50"/>
      <c r="E164" s="186" t="s">
        <v>20</v>
      </c>
      <c r="F164" s="50"/>
      <c r="G164" s="52"/>
      <c r="H164" s="189" t="s">
        <v>14</v>
      </c>
      <c r="I164" s="163"/>
      <c r="J164" s="163"/>
      <c r="K164" s="164"/>
      <c r="L164" s="103">
        <v>0</v>
      </c>
      <c r="M164" s="102">
        <v>0</v>
      </c>
      <c r="N164" s="102">
        <v>0</v>
      </c>
      <c r="O164" s="102">
        <f>IF(L164&gt;0,N164*100/L164,0)</f>
        <v>0</v>
      </c>
      <c r="P164" s="102">
        <f>IF(M164&gt;0,N164*100/M164,0)</f>
        <v>0</v>
      </c>
      <c r="Q164" s="102">
        <v>0</v>
      </c>
      <c r="R164" s="102">
        <v>0</v>
      </c>
      <c r="S164" s="102">
        <v>0</v>
      </c>
      <c r="T164" s="102">
        <f>IF(Q164&gt;0,S164*100/Q164,0)</f>
        <v>0</v>
      </c>
      <c r="U164" s="102">
        <f>IF(R164&gt;0,S164*100/R164,0)</f>
        <v>0</v>
      </c>
    </row>
    <row r="165" spans="1:21" ht="18.75" hidden="1">
      <c r="A165" s="155"/>
      <c r="B165" s="50"/>
      <c r="C165" s="50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256">
        <f ca="1">IFERROR(__xludf.DUMMYFUNCTION("IMPORTRANGE(""https://docs.google.com/spreadsheets/d/1-uDff_7J0KD5mKrp0Vvzr7lt3OU09vwQwhkpOPPYv2Y/edit?usp=sharing"",""งบพรบ!CD41"")"),0)</f>
        <v>0</v>
      </c>
      <c r="M165" s="255">
        <f ca="1">IFERROR(__xludf.DUMMYFUNCTION("IMPORTRANGE(""https://docs.google.com/spreadsheets/d/1-uDff_7J0KD5mKrp0Vvzr7lt3OU09vwQwhkpOPPYv2Y/edit?usp=sharing"",""งบพรบ!CG41"")"),0)</f>
        <v>0</v>
      </c>
      <c r="N165" s="255">
        <f ca="1">IFERROR(__xludf.DUMMYFUNCTION("IMPORTRANGE(""https://docs.google.com/spreadsheets/d/1-uDff_7J0KD5mKrp0Vvzr7lt3OU09vwQwhkpOPPYv2Y/edit?usp=sharing"",""งบพรบ!CI41"")"),0)</f>
        <v>0</v>
      </c>
      <c r="O165" s="255">
        <f ca="1">IF(L165&gt;0,N165*100/L165,0)</f>
        <v>0</v>
      </c>
      <c r="P165" s="255">
        <f ca="1">IF(M165&gt;0,N165*100/M165,0)</f>
        <v>0</v>
      </c>
      <c r="Q165" s="255">
        <v>0</v>
      </c>
      <c r="R165" s="255">
        <v>0</v>
      </c>
      <c r="S165" s="255">
        <v>0</v>
      </c>
      <c r="T165" s="255">
        <f>IF(Q165&gt;0,S165*100/Q165,0)</f>
        <v>0</v>
      </c>
      <c r="U165" s="255">
        <f>IF(R165&gt;0,S165*100/R165,0)</f>
        <v>0</v>
      </c>
    </row>
    <row r="166" spans="1:21" ht="19.5" hidden="1">
      <c r="A166" s="166"/>
      <c r="B166" s="167"/>
      <c r="C166" s="156" t="s">
        <v>18</v>
      </c>
      <c r="D166" s="566" t="s">
        <v>38</v>
      </c>
      <c r="E166" s="169"/>
      <c r="F166" s="169"/>
      <c r="G166" s="170"/>
      <c r="H166" s="206"/>
      <c r="I166" s="54"/>
      <c r="J166" s="54"/>
      <c r="K166" s="55"/>
      <c r="L166" s="62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8.75" hidden="1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212">
        <f ca="1">IFERROR(__xludf.DUMMYFUNCTION("IMPORTRANGE(""https://docs.google.com/spreadsheets/d/1eHaY18a8A9IcSdp1K8H6x8fbOy06t2VsZHhMHf-1x7Y/edit?usp=sharing"",""แผน!Z41"")"),0)</f>
        <v>0</v>
      </c>
      <c r="J167" s="467">
        <v>0</v>
      </c>
      <c r="K167" s="255">
        <f ca="1">IF(I167&gt;0,J167*100/I167,0)</f>
        <v>0</v>
      </c>
      <c r="L167" s="62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8.75" hidden="1">
      <c r="A168" s="155"/>
      <c r="B168" s="50"/>
      <c r="C168" s="50"/>
      <c r="D168" s="186" t="s">
        <v>70</v>
      </c>
      <c r="E168" s="50"/>
      <c r="F168" s="50"/>
      <c r="G168" s="52"/>
      <c r="H168" s="421" t="s">
        <v>35</v>
      </c>
      <c r="I168" s="483">
        <f ca="1">IFERROR(__xludf.DUMMYFUNCTION("IMPORTRANGE(""https://docs.google.com/spreadsheets/d/1eHaY18a8A9IcSdp1K8H6x8fbOy06t2VsZHhMHf-1x7Y/edit?usp=sharing"",""แผน!Z41"")"),0)</f>
        <v>0</v>
      </c>
      <c r="J168" s="589">
        <v>0</v>
      </c>
      <c r="K168" s="102">
        <f ca="1">IF(I168&gt;0,J168*100/I168,0)</f>
        <v>0</v>
      </c>
      <c r="L168" s="62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8.75" hidden="1">
      <c r="A169" s="213"/>
      <c r="B169" s="4"/>
      <c r="C169" s="4"/>
      <c r="D169" s="484" t="s">
        <v>71</v>
      </c>
      <c r="E169" s="4"/>
      <c r="F169" s="4"/>
      <c r="G169" s="65"/>
      <c r="H169" s="719" t="s">
        <v>35</v>
      </c>
      <c r="I169" s="486">
        <f ca="1">IFERROR(__xludf.DUMMYFUNCTION("IMPORTRANGE(""https://docs.google.com/spreadsheets/d/1eHaY18a8A9IcSdp1K8H6x8fbOy06t2VsZHhMHf-1x7Y/edit?usp=sharing"",""แผน!Z41"")"),0)</f>
        <v>0</v>
      </c>
      <c r="J169" s="586">
        <v>0</v>
      </c>
      <c r="K169" s="585">
        <f ca="1">IF(I169&gt;0,J169*100/I169,0)</f>
        <v>0</v>
      </c>
      <c r="L169" s="68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9"/>
      <c r="I170" s="220"/>
      <c r="J170" s="220"/>
      <c r="K170" s="221"/>
      <c r="L170" s="221"/>
      <c r="M170" s="221"/>
      <c r="N170" s="221"/>
      <c r="O170" s="221"/>
      <c r="P170" s="222"/>
      <c r="Q170" s="221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226"/>
      <c r="I171" s="227"/>
      <c r="J171" s="227"/>
      <c r="K171" s="228"/>
      <c r="L171" s="229"/>
      <c r="M171" s="228"/>
      <c r="N171" s="228"/>
      <c r="O171" s="228"/>
      <c r="P171" s="228"/>
      <c r="Q171" s="228"/>
      <c r="R171" s="228"/>
      <c r="S171" s="228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233" t="s">
        <v>35</v>
      </c>
      <c r="I172" s="718">
        <f ca="1">I183+I184</f>
        <v>7</v>
      </c>
      <c r="J172" s="718">
        <f>J183+J184</f>
        <v>7</v>
      </c>
      <c r="K172" s="717">
        <f ca="1">IF(I172&gt;0,J172*100/I172,0)</f>
        <v>100</v>
      </c>
      <c r="L172" s="237"/>
      <c r="M172" s="236"/>
      <c r="N172" s="236"/>
      <c r="O172" s="236"/>
      <c r="P172" s="236"/>
      <c r="Q172" s="236"/>
      <c r="R172" s="236"/>
      <c r="S172" s="236"/>
      <c r="T172" s="236"/>
      <c r="U172" s="236"/>
    </row>
    <row r="173" spans="1:21" ht="19.5">
      <c r="A173" s="155"/>
      <c r="B173" s="50"/>
      <c r="C173" s="156" t="s">
        <v>18</v>
      </c>
      <c r="D173" s="575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541">
        <f ca="1">L174+L175</f>
        <v>19590</v>
      </c>
      <c r="M173" s="540">
        <f ca="1">M174+M175</f>
        <v>34910</v>
      </c>
      <c r="N173" s="540">
        <f ca="1">N174+N175</f>
        <v>33740</v>
      </c>
      <c r="O173" s="540">
        <f ca="1">IF(L173&gt;0,N173*100/L173,0)</f>
        <v>172.23072996426748</v>
      </c>
      <c r="P173" s="540">
        <f ca="1">IF(M173&gt;0,N173*100/M173,0)</f>
        <v>96.648524778000578</v>
      </c>
      <c r="Q173" s="540">
        <f ca="1">Q174+Q175</f>
        <v>0</v>
      </c>
      <c r="R173" s="540">
        <f ca="1">R174+R175</f>
        <v>0</v>
      </c>
      <c r="S173" s="540">
        <f ca="1">S174+S175</f>
        <v>0</v>
      </c>
      <c r="T173" s="540">
        <f ca="1">IF(Q173&gt;0,S173*100/Q173,0)</f>
        <v>0</v>
      </c>
      <c r="U173" s="540">
        <f ca="1">IF(R173&gt;0,S173*100/R173,0)</f>
        <v>0</v>
      </c>
    </row>
    <row r="174" spans="1:21" ht="18.75" hidden="1">
      <c r="A174" s="155"/>
      <c r="B174" s="50"/>
      <c r="C174" s="50"/>
      <c r="D174" s="50"/>
      <c r="E174" s="186" t="s">
        <v>20</v>
      </c>
      <c r="F174" s="50"/>
      <c r="G174" s="52"/>
      <c r="H174" s="187" t="s">
        <v>14</v>
      </c>
      <c r="I174" s="54"/>
      <c r="J174" s="54"/>
      <c r="K174" s="55"/>
      <c r="L174" s="103">
        <f>L177+L180</f>
        <v>0</v>
      </c>
      <c r="M174" s="102">
        <f>M177+M180</f>
        <v>0</v>
      </c>
      <c r="N174" s="102">
        <f>N177+N180</f>
        <v>0</v>
      </c>
      <c r="O174" s="102">
        <f>IF(L174&gt;0,N174*100/L174,0)</f>
        <v>0</v>
      </c>
      <c r="P174" s="102">
        <f>IF(M174&gt;0,N174*100/M174,0)</f>
        <v>0</v>
      </c>
      <c r="Q174" s="102">
        <f>Q177+Q180</f>
        <v>0</v>
      </c>
      <c r="R174" s="102">
        <f>R177+R180</f>
        <v>0</v>
      </c>
      <c r="S174" s="102">
        <f>S177+S180</f>
        <v>0</v>
      </c>
      <c r="T174" s="102">
        <f>IF(Q174&gt;0,S174*100/Q174,0)</f>
        <v>0</v>
      </c>
      <c r="U174" s="102">
        <f>IF(R174&gt;0,S174*100/R174,0)</f>
        <v>0</v>
      </c>
    </row>
    <row r="175" spans="1:21" ht="18.75" hidden="1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256">
        <f ca="1">L178+L181</f>
        <v>19590</v>
      </c>
      <c r="M175" s="255">
        <f ca="1">M178+M181</f>
        <v>34910</v>
      </c>
      <c r="N175" s="255">
        <f ca="1">N178+N181</f>
        <v>33740</v>
      </c>
      <c r="O175" s="255">
        <f ca="1">IF(L175&gt;0,N175*100/L175,0)</f>
        <v>172.23072996426748</v>
      </c>
      <c r="P175" s="255">
        <f ca="1">IF(M175&gt;0,N175*100/M175,0)</f>
        <v>96.648524778000578</v>
      </c>
      <c r="Q175" s="255">
        <f ca="1">Q178+Q181</f>
        <v>0</v>
      </c>
      <c r="R175" s="255">
        <f ca="1">R178+R181</f>
        <v>0</v>
      </c>
      <c r="S175" s="255">
        <f ca="1">S178+S181</f>
        <v>0</v>
      </c>
      <c r="T175" s="255">
        <f ca="1">IF(Q175&gt;0,S175*100/Q175,0)</f>
        <v>0</v>
      </c>
      <c r="U175" s="255">
        <f ca="1">IF(R175&gt;0,S175*100/R175,0)</f>
        <v>0</v>
      </c>
    </row>
    <row r="176" spans="1:21" ht="18.75">
      <c r="A176" s="155"/>
      <c r="B176" s="50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256">
        <f ca="1">L177+L178</f>
        <v>19590</v>
      </c>
      <c r="M176" s="255">
        <f ca="1">M177+M178</f>
        <v>34910</v>
      </c>
      <c r="N176" s="255">
        <f ca="1">N177+N178</f>
        <v>33740</v>
      </c>
      <c r="O176" s="255">
        <f ca="1">IF(L176&gt;0,N176*100/L176,0)</f>
        <v>172.23072996426748</v>
      </c>
      <c r="P176" s="255">
        <f ca="1">IF(M176&gt;0,N176*100/M176,0)</f>
        <v>96.648524778000578</v>
      </c>
      <c r="Q176" s="255">
        <f ca="1">Q177+Q178</f>
        <v>0</v>
      </c>
      <c r="R176" s="255">
        <f ca="1">R177+R178</f>
        <v>0</v>
      </c>
      <c r="S176" s="255">
        <f ca="1">S177+S178</f>
        <v>0</v>
      </c>
      <c r="T176" s="255">
        <f ca="1">IF(Q176&gt;0,S176*100/Q176,0)</f>
        <v>0</v>
      </c>
      <c r="U176" s="255">
        <f ca="1">IF(R176&gt;0,S176*100/R176,0)</f>
        <v>0</v>
      </c>
    </row>
    <row r="177" spans="1:21" ht="18.75" hidden="1">
      <c r="A177" s="155"/>
      <c r="B177" s="50"/>
      <c r="C177" s="50"/>
      <c r="D177" s="50"/>
      <c r="E177" s="186" t="s">
        <v>36</v>
      </c>
      <c r="F177" s="50"/>
      <c r="G177" s="52"/>
      <c r="H177" s="189" t="s">
        <v>14</v>
      </c>
      <c r="I177" s="163"/>
      <c r="J177" s="163"/>
      <c r="K177" s="164"/>
      <c r="L177" s="103">
        <v>0</v>
      </c>
      <c r="M177" s="102">
        <v>0</v>
      </c>
      <c r="N177" s="102">
        <v>0</v>
      </c>
      <c r="O177" s="102">
        <f>IF(L177&gt;0,N177*100/L177,0)</f>
        <v>0</v>
      </c>
      <c r="P177" s="102">
        <f>IF(M177&gt;0,N177*100/M177,0)</f>
        <v>0</v>
      </c>
      <c r="Q177" s="102">
        <v>0</v>
      </c>
      <c r="R177" s="102">
        <v>0</v>
      </c>
      <c r="S177" s="102">
        <v>0</v>
      </c>
      <c r="T177" s="102">
        <f>IF(Q177&gt;0,S177*100/Q177,0)</f>
        <v>0</v>
      </c>
      <c r="U177" s="102">
        <f>IF(R177&gt;0,S177*100/R177,0)</f>
        <v>0</v>
      </c>
    </row>
    <row r="178" spans="1:21" ht="18.75" hidden="1">
      <c r="A178" s="155"/>
      <c r="B178" s="50"/>
      <c r="C178" s="50"/>
      <c r="D178" s="50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256">
        <f ca="1">IFERROR(__xludf.DUMMYFUNCTION("IMPORTRANGE(""https://docs.google.com/spreadsheets/d/1-uDff_7J0KD5mKrp0Vvzr7lt3OU09vwQwhkpOPPYv2Y/edit?usp=sharing"",""งบพรบ!CK41"")"),19590)</f>
        <v>19590</v>
      </c>
      <c r="M178" s="255">
        <f ca="1">IFERROR(__xludf.DUMMYFUNCTION("IMPORTRANGE(""https://docs.google.com/spreadsheets/d/1-uDff_7J0KD5mKrp0Vvzr7lt3OU09vwQwhkpOPPYv2Y/edit?usp=sharing"",""งบพรบ!CP41"")"),34910)</f>
        <v>34910</v>
      </c>
      <c r="N178" s="255">
        <f ca="1">IFERROR(__xludf.DUMMYFUNCTION("IMPORTRANGE(""https://docs.google.com/spreadsheets/d/1-uDff_7J0KD5mKrp0Vvzr7lt3OU09vwQwhkpOPPYv2Y/edit?usp=sharing"",""งบพรบ!CR41"")"),33740)</f>
        <v>33740</v>
      </c>
      <c r="O178" s="255">
        <f ca="1">IF(L178&gt;0,N178*100/L178,0)</f>
        <v>172.23072996426748</v>
      </c>
      <c r="P178" s="255">
        <f ca="1">IF(M178&gt;0,N178*100/M178,0)</f>
        <v>96.648524778000578</v>
      </c>
      <c r="Q178" s="255">
        <f ca="1">IFERROR(__xludf.DUMMYFUNCTION("IMPORTRANGE(""https://docs.google.com/spreadsheets/d/1ItG2mGa2ceCfYo0BwxsXqNm01IGEUdYcSSLTEv9YCik/edit?usp=sharing"",""เบิกจ่ายกองทุน!BE41"")"),0)</f>
        <v>0</v>
      </c>
      <c r="R178" s="255">
        <f ca="1">IFERROR(__xludf.DUMMYFUNCTION("IMPORTRANGE(""https://docs.google.com/spreadsheets/d/1ItG2mGa2ceCfYo0BwxsXqNm01IGEUdYcSSLTEv9YCik/edit?usp=sharing"",""เบิกจ่ายกองทุน!BF41"")"),0)</f>
        <v>0</v>
      </c>
      <c r="S178" s="255">
        <f ca="1">IFERROR(__xludf.DUMMYFUNCTION("IMPORTRANGE(""https://docs.google.com/spreadsheets/d/1ItG2mGa2ceCfYo0BwxsXqNm01IGEUdYcSSLTEv9YCik/edit?usp=sharing"",""เบิกจ่ายกองทุน!BG41"")"),0)</f>
        <v>0</v>
      </c>
      <c r="T178" s="255">
        <f ca="1">IF(Q178&gt;0,S178*100/Q178,0)</f>
        <v>0</v>
      </c>
      <c r="U178" s="255">
        <f ca="1">IF(R178&gt;0,S178*100/R178,0)</f>
        <v>0</v>
      </c>
    </row>
    <row r="179" spans="1:21" ht="18.75">
      <c r="A179" s="155"/>
      <c r="B179" s="50"/>
      <c r="C179" s="50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256">
        <f ca="1">L180+L181</f>
        <v>0</v>
      </c>
      <c r="M179" s="255">
        <f ca="1">M180+M181</f>
        <v>0</v>
      </c>
      <c r="N179" s="255">
        <f ca="1">N180+N181</f>
        <v>0</v>
      </c>
      <c r="O179" s="255">
        <f ca="1">IF(L179&gt;0,N179*100/L179,0)</f>
        <v>0</v>
      </c>
      <c r="P179" s="255">
        <f ca="1">IF(M179&gt;0,N179*100/M179,0)</f>
        <v>0</v>
      </c>
      <c r="Q179" s="255">
        <f>Q180+Q181</f>
        <v>0</v>
      </c>
      <c r="R179" s="255">
        <f>R180+R181</f>
        <v>0</v>
      </c>
      <c r="S179" s="255">
        <f>S180+S181</f>
        <v>0</v>
      </c>
      <c r="T179" s="255">
        <f>IF(Q179&gt;0,S179*100/Q179,0)</f>
        <v>0</v>
      </c>
      <c r="U179" s="255">
        <f>IF(R179&gt;0,S179*100/R179,0)</f>
        <v>0</v>
      </c>
    </row>
    <row r="180" spans="1:21" ht="18.75" hidden="1">
      <c r="A180" s="155"/>
      <c r="B180" s="50"/>
      <c r="C180" s="50"/>
      <c r="D180" s="50"/>
      <c r="E180" s="186" t="s">
        <v>20</v>
      </c>
      <c r="F180" s="50"/>
      <c r="G180" s="52"/>
      <c r="H180" s="189" t="s">
        <v>14</v>
      </c>
      <c r="I180" s="163"/>
      <c r="J180" s="163"/>
      <c r="K180" s="164"/>
      <c r="L180" s="103">
        <v>0</v>
      </c>
      <c r="M180" s="102">
        <v>0</v>
      </c>
      <c r="N180" s="102">
        <v>0</v>
      </c>
      <c r="O180" s="102">
        <f>IF(L180&gt;0,N180*100/L180,0)</f>
        <v>0</v>
      </c>
      <c r="P180" s="102">
        <f>IF(M180&gt;0,N180*100/M180,0)</f>
        <v>0</v>
      </c>
      <c r="Q180" s="102">
        <v>0</v>
      </c>
      <c r="R180" s="102">
        <v>0</v>
      </c>
      <c r="S180" s="102">
        <v>0</v>
      </c>
      <c r="T180" s="102">
        <f>IF(Q180&gt;0,S180*100/Q180,0)</f>
        <v>0</v>
      </c>
      <c r="U180" s="102">
        <f>IF(R180&gt;0,S180*100/R180,0)</f>
        <v>0</v>
      </c>
    </row>
    <row r="181" spans="1:21" ht="18.75" hidden="1">
      <c r="A181" s="155"/>
      <c r="B181" s="50"/>
      <c r="C181" s="50"/>
      <c r="D181" s="50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256">
        <f ca="1">IFERROR(__xludf.DUMMYFUNCTION("IMPORTRANGE(""https://docs.google.com/spreadsheets/d/1-uDff_7J0KD5mKrp0Vvzr7lt3OU09vwQwhkpOPPYv2Y/edit?usp=sharing"",""งบพรบ!CN41"")"),0)</f>
        <v>0</v>
      </c>
      <c r="M181" s="255">
        <f ca="1">IFERROR(__xludf.DUMMYFUNCTION("IMPORTRANGE(""https://docs.google.com/spreadsheets/d/1-uDff_7J0KD5mKrp0Vvzr7lt3OU09vwQwhkpOPPYv2Y/edit?usp=sharing"",""งบพรบ!CQ41"")"),0)</f>
        <v>0</v>
      </c>
      <c r="N181" s="255">
        <f ca="1">IFERROR(__xludf.DUMMYFUNCTION("IMPORTRANGE(""https://docs.google.com/spreadsheets/d/1-uDff_7J0KD5mKrp0Vvzr7lt3OU09vwQwhkpOPPYv2Y/edit?usp=sharing"",""งบพรบ!CS41"")"),0)</f>
        <v>0</v>
      </c>
      <c r="O181" s="255">
        <f ca="1">IF(L181&gt;0,N181*100/L181,0)</f>
        <v>0</v>
      </c>
      <c r="P181" s="255">
        <f ca="1">IF(M181&gt;0,N181*100/M181,0)</f>
        <v>0</v>
      </c>
      <c r="Q181" s="255">
        <v>0</v>
      </c>
      <c r="R181" s="255">
        <v>0</v>
      </c>
      <c r="S181" s="255">
        <v>0</v>
      </c>
      <c r="T181" s="255">
        <f>IF(Q181&gt;0,S181*100/Q181,0)</f>
        <v>0</v>
      </c>
      <c r="U181" s="255">
        <f>IF(R181&gt;0,S181*100/R181,0)</f>
        <v>0</v>
      </c>
    </row>
    <row r="182" spans="1:21" ht="19.5">
      <c r="A182" s="166"/>
      <c r="B182" s="167"/>
      <c r="C182" s="156" t="s">
        <v>18</v>
      </c>
      <c r="D182" s="566" t="s">
        <v>38</v>
      </c>
      <c r="E182" s="169"/>
      <c r="F182" s="169"/>
      <c r="G182" s="170"/>
      <c r="H182" s="206"/>
      <c r="I182" s="54"/>
      <c r="J182" s="54"/>
      <c r="K182" s="55"/>
      <c r="L182" s="62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40" t="s">
        <v>35</v>
      </c>
      <c r="I183" s="212">
        <f ca="1">IFERROR(__xludf.DUMMYFUNCTION("IMPORTRANGE(""https://docs.google.com/spreadsheets/d/1eHaY18a8A9IcSdp1K8H6x8fbOy06t2VsZHhMHf-1x7Y/edit?usp=sharing"",""แผน!AA41"")"),7)</f>
        <v>7</v>
      </c>
      <c r="J183" s="467">
        <v>7</v>
      </c>
      <c r="K183" s="255">
        <f ca="1">IF(I183&gt;0,J183*100/I183,0)</f>
        <v>100</v>
      </c>
      <c r="L183" s="62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8.75" hidden="1">
      <c r="A184" s="238"/>
      <c r="B184" s="188"/>
      <c r="C184" s="188"/>
      <c r="D184" s="358" t="s">
        <v>76</v>
      </c>
      <c r="E184" s="50"/>
      <c r="F184" s="50"/>
      <c r="G184" s="52"/>
      <c r="H184" s="590" t="s">
        <v>35</v>
      </c>
      <c r="I184" s="483">
        <v>0</v>
      </c>
      <c r="J184" s="483">
        <v>0</v>
      </c>
      <c r="K184" s="102">
        <f>IF(I184&gt;0,J184*100/I184,0)</f>
        <v>0</v>
      </c>
      <c r="L184" s="62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233" t="s">
        <v>35</v>
      </c>
      <c r="I185" s="718">
        <f ca="1">I230+I231</f>
        <v>0</v>
      </c>
      <c r="J185" s="718">
        <f>J230+J231</f>
        <v>0</v>
      </c>
      <c r="K185" s="717">
        <f ca="1">IF(I185&gt;0,J185*100/I185,0)</f>
        <v>0</v>
      </c>
      <c r="L185" s="237"/>
      <c r="M185" s="236"/>
      <c r="N185" s="236"/>
      <c r="O185" s="236"/>
      <c r="P185" s="236"/>
      <c r="Q185" s="236"/>
      <c r="R185" s="236"/>
      <c r="S185" s="236"/>
      <c r="T185" s="236"/>
      <c r="U185" s="236"/>
    </row>
    <row r="186" spans="1:21" ht="19.5">
      <c r="A186" s="155"/>
      <c r="B186" s="50"/>
      <c r="C186" s="156" t="s">
        <v>18</v>
      </c>
      <c r="D186" s="575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541">
        <f ca="1">L187+L188</f>
        <v>52500</v>
      </c>
      <c r="M186" s="540">
        <f ca="1">M187+M188</f>
        <v>28500</v>
      </c>
      <c r="N186" s="540">
        <f ca="1">N187+N188</f>
        <v>0</v>
      </c>
      <c r="O186" s="540">
        <f ca="1">IF(L186&gt;0,N186*100/L186,0)</f>
        <v>0</v>
      </c>
      <c r="P186" s="540">
        <f ca="1">IF(M186&gt;0,N186*100/M186,0)</f>
        <v>0</v>
      </c>
      <c r="Q186" s="540">
        <f ca="1">Q187+Q188</f>
        <v>77700</v>
      </c>
      <c r="R186" s="540">
        <f ca="1">R187+R188</f>
        <v>91700</v>
      </c>
      <c r="S186" s="540">
        <f ca="1">S187+S188</f>
        <v>21128</v>
      </c>
      <c r="T186" s="540">
        <f ca="1">IF(Q186&gt;0,S186*100/Q186,0)</f>
        <v>27.19176319176319</v>
      </c>
      <c r="U186" s="540">
        <f ca="1">IF(R186&gt;0,S186*100/R186,0)</f>
        <v>23.040348964013088</v>
      </c>
    </row>
    <row r="187" spans="1:21" ht="18.75" hidden="1">
      <c r="A187" s="155"/>
      <c r="B187" s="50"/>
      <c r="C187" s="50"/>
      <c r="D187" s="50"/>
      <c r="E187" s="186" t="s">
        <v>20</v>
      </c>
      <c r="F187" s="50"/>
      <c r="G187" s="52"/>
      <c r="H187" s="187" t="s">
        <v>14</v>
      </c>
      <c r="I187" s="54"/>
      <c r="J187" s="54"/>
      <c r="K187" s="55"/>
      <c r="L187" s="103">
        <f>L190+L193</f>
        <v>0</v>
      </c>
      <c r="M187" s="102">
        <f>M190+M193</f>
        <v>0</v>
      </c>
      <c r="N187" s="102">
        <f>N190+N193</f>
        <v>0</v>
      </c>
      <c r="O187" s="102">
        <f>IF(L187&gt;0,N187*100/L187,0)</f>
        <v>0</v>
      </c>
      <c r="P187" s="102">
        <f>IF(M187&gt;0,N187*100/M187,0)</f>
        <v>0</v>
      </c>
      <c r="Q187" s="102">
        <f>Q190+Q193</f>
        <v>0</v>
      </c>
      <c r="R187" s="102">
        <f>R190+R193</f>
        <v>0</v>
      </c>
      <c r="S187" s="102">
        <f>S190+S193</f>
        <v>0</v>
      </c>
      <c r="T187" s="102">
        <f>IF(Q187&gt;0,S187*100/Q187,0)</f>
        <v>0</v>
      </c>
      <c r="U187" s="102">
        <f>IF(R187&gt;0,S187*100/R187,0)</f>
        <v>0</v>
      </c>
    </row>
    <row r="188" spans="1:21" ht="18.75" hidden="1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256">
        <f ca="1">L191+L194</f>
        <v>52500</v>
      </c>
      <c r="M188" s="255">
        <f ca="1">M191+M194</f>
        <v>28500</v>
      </c>
      <c r="N188" s="255">
        <f ca="1">N191+N194</f>
        <v>0</v>
      </c>
      <c r="O188" s="255">
        <f ca="1">IF(L188&gt;0,N188*100/L188,0)</f>
        <v>0</v>
      </c>
      <c r="P188" s="255">
        <f ca="1">IF(M188&gt;0,N188*100/M188,0)</f>
        <v>0</v>
      </c>
      <c r="Q188" s="255">
        <f ca="1">Q191+Q194</f>
        <v>77700</v>
      </c>
      <c r="R188" s="255">
        <f ca="1">R191+R194</f>
        <v>91700</v>
      </c>
      <c r="S188" s="255">
        <f ca="1">S191+S194</f>
        <v>21128</v>
      </c>
      <c r="T188" s="255">
        <f ca="1">IF(Q188&gt;0,S188*100/Q188,0)</f>
        <v>27.19176319176319</v>
      </c>
      <c r="U188" s="255">
        <f ca="1">IF(R188&gt;0,S188*100/R188,0)</f>
        <v>23.040348964013088</v>
      </c>
    </row>
    <row r="189" spans="1:21" ht="18.75">
      <c r="A189" s="155"/>
      <c r="B189" s="50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256">
        <f ca="1">L190+L191</f>
        <v>52500</v>
      </c>
      <c r="M189" s="255">
        <f ca="1">M190+M191</f>
        <v>28500</v>
      </c>
      <c r="N189" s="255">
        <f ca="1">N190+N191</f>
        <v>0</v>
      </c>
      <c r="O189" s="255">
        <f ca="1">IF(L189&gt;0,N189*100/L189,0)</f>
        <v>0</v>
      </c>
      <c r="P189" s="255">
        <f ca="1">IF(M189&gt;0,N189*100/M189,0)</f>
        <v>0</v>
      </c>
      <c r="Q189" s="255">
        <f ca="1">Q190+Q191</f>
        <v>77700</v>
      </c>
      <c r="R189" s="255">
        <f ca="1">R190+R191</f>
        <v>91700</v>
      </c>
      <c r="S189" s="255">
        <f ca="1">S190+S191</f>
        <v>21128</v>
      </c>
      <c r="T189" s="255">
        <f ca="1">IF(Q189&gt;0,S189*100/Q189,0)</f>
        <v>27.19176319176319</v>
      </c>
      <c r="U189" s="255">
        <f ca="1">IF(R189&gt;0,S189*100/R189,0)</f>
        <v>23.040348964013088</v>
      </c>
    </row>
    <row r="190" spans="1:21" ht="18.75" hidden="1">
      <c r="A190" s="155"/>
      <c r="B190" s="50"/>
      <c r="C190" s="50"/>
      <c r="D190" s="50"/>
      <c r="E190" s="186" t="s">
        <v>36</v>
      </c>
      <c r="F190" s="50"/>
      <c r="G190" s="52"/>
      <c r="H190" s="189" t="s">
        <v>14</v>
      </c>
      <c r="I190" s="163"/>
      <c r="J190" s="163"/>
      <c r="K190" s="164"/>
      <c r="L190" s="103">
        <v>0</v>
      </c>
      <c r="M190" s="102">
        <v>0</v>
      </c>
      <c r="N190" s="102">
        <v>0</v>
      </c>
      <c r="O190" s="102">
        <f>IF(L190&gt;0,N190*100/L190,0)</f>
        <v>0</v>
      </c>
      <c r="P190" s="102">
        <f>IF(M190&gt;0,N190*100/M190,0)</f>
        <v>0</v>
      </c>
      <c r="Q190" s="102">
        <v>0</v>
      </c>
      <c r="R190" s="102">
        <v>0</v>
      </c>
      <c r="S190" s="102">
        <v>0</v>
      </c>
      <c r="T190" s="102">
        <f>IF(Q190&gt;0,S190*100/Q190,0)</f>
        <v>0</v>
      </c>
      <c r="U190" s="102">
        <f>IF(R190&gt;0,S190*100/R190,0)</f>
        <v>0</v>
      </c>
    </row>
    <row r="191" spans="1:21" ht="18.75" hidden="1">
      <c r="A191" s="155"/>
      <c r="B191" s="50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256">
        <f ca="1">IFERROR(__xludf.DUMMYFUNCTION("IMPORTRANGE(""https://docs.google.com/spreadsheets/d/1-uDff_7J0KD5mKrp0Vvzr7lt3OU09vwQwhkpOPPYv2Y/edit?usp=sharing"",""งบพรบ!CU41"")"),52500)</f>
        <v>52500</v>
      </c>
      <c r="M191" s="255">
        <f ca="1">IFERROR(__xludf.DUMMYFUNCTION("IMPORTRANGE(""https://docs.google.com/spreadsheets/d/1-uDff_7J0KD5mKrp0Vvzr7lt3OU09vwQwhkpOPPYv2Y/edit?usp=sharing"",""งบพรบ!CZ41"")"),28500)</f>
        <v>28500</v>
      </c>
      <c r="N191" s="255">
        <f ca="1">IFERROR(__xludf.DUMMYFUNCTION("IMPORTRANGE(""https://docs.google.com/spreadsheets/d/1-uDff_7J0KD5mKrp0Vvzr7lt3OU09vwQwhkpOPPYv2Y/edit?usp=sharing"",""งบพรบ!DB41"")"),0)</f>
        <v>0</v>
      </c>
      <c r="O191" s="255">
        <f ca="1">IF(L191&gt;0,N191*100/L191,0)</f>
        <v>0</v>
      </c>
      <c r="P191" s="255">
        <f ca="1">IF(M191&gt;0,N191*100/M191,0)</f>
        <v>0</v>
      </c>
      <c r="Q191" s="255">
        <f ca="1">IFERROR(__xludf.DUMMYFUNCTION("IMPORTRANGE(""https://docs.google.com/spreadsheets/d/1ItG2mGa2ceCfYo0BwxsXqNm01IGEUdYcSSLTEv9YCik/edit?usp=sharing"",""เบิกจ่ายกองทุน!AV41"")"),77700)</f>
        <v>77700</v>
      </c>
      <c r="R191" s="255">
        <f ca="1">IFERROR(__xludf.DUMMYFUNCTION("IMPORTRANGE(""https://docs.google.com/spreadsheets/d/1ItG2mGa2ceCfYo0BwxsXqNm01IGEUdYcSSLTEv9YCik/edit?usp=sharing"",""เบิกจ่ายกองทุน!AW41"")"),91700)</f>
        <v>91700</v>
      </c>
      <c r="S191" s="255">
        <f ca="1">IFERROR(__xludf.DUMMYFUNCTION("IMPORTRANGE(""https://docs.google.com/spreadsheets/d/1ItG2mGa2ceCfYo0BwxsXqNm01IGEUdYcSSLTEv9YCik/edit?usp=sharing"",""เบิกจ่ายกองทุน!AX41"")"),21128)</f>
        <v>21128</v>
      </c>
      <c r="T191" s="255">
        <f ca="1">IF(Q191&gt;0,S191*100/Q191,0)</f>
        <v>27.19176319176319</v>
      </c>
      <c r="U191" s="255">
        <f ca="1">IF(R191&gt;0,S191*100/R191,0)</f>
        <v>23.040348964013088</v>
      </c>
    </row>
    <row r="192" spans="1:21" ht="18.75">
      <c r="A192" s="155"/>
      <c r="B192" s="50"/>
      <c r="C192" s="50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256">
        <f ca="1">L193+L194</f>
        <v>0</v>
      </c>
      <c r="M192" s="255">
        <f ca="1">M193+M194</f>
        <v>0</v>
      </c>
      <c r="N192" s="255">
        <f ca="1">N193+N194</f>
        <v>0</v>
      </c>
      <c r="O192" s="255">
        <f ca="1">IF(L192&gt;0,N192*100/L192,0)</f>
        <v>0</v>
      </c>
      <c r="P192" s="255">
        <f ca="1">IF(M192&gt;0,N192*100/M192,0)</f>
        <v>0</v>
      </c>
      <c r="Q192" s="255">
        <f>Q193+Q194</f>
        <v>0</v>
      </c>
      <c r="R192" s="255">
        <f>R193+R194</f>
        <v>0</v>
      </c>
      <c r="S192" s="255">
        <f>S193+S194</f>
        <v>0</v>
      </c>
      <c r="T192" s="255">
        <f>IF(Q192&gt;0,S192*100/Q192,0)</f>
        <v>0</v>
      </c>
      <c r="U192" s="255">
        <f>IF(R192&gt;0,S192*100/R192,0)</f>
        <v>0</v>
      </c>
    </row>
    <row r="193" spans="1:21" ht="18.75" hidden="1">
      <c r="A193" s="155"/>
      <c r="B193" s="50"/>
      <c r="C193" s="50"/>
      <c r="D193" s="50"/>
      <c r="E193" s="186" t="s">
        <v>20</v>
      </c>
      <c r="F193" s="50"/>
      <c r="G193" s="52"/>
      <c r="H193" s="189" t="s">
        <v>14</v>
      </c>
      <c r="I193" s="163"/>
      <c r="J193" s="163"/>
      <c r="K193" s="164"/>
      <c r="L193" s="103">
        <v>0</v>
      </c>
      <c r="M193" s="102">
        <v>0</v>
      </c>
      <c r="N193" s="102">
        <v>0</v>
      </c>
      <c r="O193" s="102">
        <f>IF(L193&gt;0,N193*100/L193,0)</f>
        <v>0</v>
      </c>
      <c r="P193" s="102">
        <f>IF(M193&gt;0,N193*100/M193,0)</f>
        <v>0</v>
      </c>
      <c r="Q193" s="102">
        <v>0</v>
      </c>
      <c r="R193" s="102">
        <v>0</v>
      </c>
      <c r="S193" s="102">
        <v>0</v>
      </c>
      <c r="T193" s="102">
        <f>IF(Q193&gt;0,S193*100/Q193,0)</f>
        <v>0</v>
      </c>
      <c r="U193" s="102">
        <f>IF(R193&gt;0,S193*100/R193,0)</f>
        <v>0</v>
      </c>
    </row>
    <row r="194" spans="1:21" ht="18.75" hidden="1">
      <c r="A194" s="155"/>
      <c r="B194" s="50"/>
      <c r="C194" s="50"/>
      <c r="D194" s="50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256">
        <f ca="1">IFERROR(__xludf.DUMMYFUNCTION("IMPORTRANGE(""https://docs.google.com/spreadsheets/d/1-uDff_7J0KD5mKrp0Vvzr7lt3OU09vwQwhkpOPPYv2Y/edit?usp=sharing"",""งบพรบ!CX41"")"),0)</f>
        <v>0</v>
      </c>
      <c r="M194" s="255">
        <f ca="1">IFERROR(__xludf.DUMMYFUNCTION("IMPORTRANGE(""https://docs.google.com/spreadsheets/d/1-uDff_7J0KD5mKrp0Vvzr7lt3OU09vwQwhkpOPPYv2Y/edit?usp=sharing"",""งบพรบ!DA41"")"),0)</f>
        <v>0</v>
      </c>
      <c r="N194" s="255">
        <f ca="1">IFERROR(__xludf.DUMMYFUNCTION("IMPORTRANGE(""https://docs.google.com/spreadsheets/d/1-uDff_7J0KD5mKrp0Vvzr7lt3OU09vwQwhkpOPPYv2Y/edit?usp=sharing"",""งบพรบ!DC41"")"),0)</f>
        <v>0</v>
      </c>
      <c r="O194" s="255">
        <f ca="1">IF(L194&gt;0,N194*100/L194,0)</f>
        <v>0</v>
      </c>
      <c r="P194" s="255">
        <f ca="1">IF(M194&gt;0,N194*100/M194,0)</f>
        <v>0</v>
      </c>
      <c r="Q194" s="255">
        <v>0</v>
      </c>
      <c r="R194" s="255">
        <v>0</v>
      </c>
      <c r="S194" s="255">
        <v>0</v>
      </c>
      <c r="T194" s="255">
        <f>IF(Q194&gt;0,S194*100/Q194,0)</f>
        <v>0</v>
      </c>
      <c r="U194" s="255">
        <f>IF(R194&gt;0,S194*100/R194,0)</f>
        <v>0</v>
      </c>
    </row>
    <row r="195" spans="1:21" ht="19.5">
      <c r="A195" s="241"/>
      <c r="B195" s="242"/>
      <c r="C195" s="243" t="s">
        <v>78</v>
      </c>
      <c r="D195" s="244"/>
      <c r="E195" s="244"/>
      <c r="F195" s="244"/>
      <c r="G195" s="245"/>
      <c r="H195" s="246" t="s">
        <v>79</v>
      </c>
      <c r="I195" s="339">
        <f ca="1">I198</f>
        <v>4</v>
      </c>
      <c r="J195" s="339">
        <f>J198</f>
        <v>2</v>
      </c>
      <c r="K195" s="340">
        <f ca="1">IF(I195&gt;0,J195*100/I195,0)</f>
        <v>50</v>
      </c>
      <c r="L195" s="250"/>
      <c r="M195" s="249"/>
      <c r="N195" s="249"/>
      <c r="O195" s="249"/>
      <c r="P195" s="249"/>
      <c r="Q195" s="249"/>
      <c r="R195" s="249"/>
      <c r="S195" s="249"/>
      <c r="T195" s="249"/>
      <c r="U195" s="249"/>
    </row>
    <row r="196" spans="1:21" ht="19.5">
      <c r="A196" s="155"/>
      <c r="B196" s="50"/>
      <c r="C196" s="156" t="s">
        <v>18</v>
      </c>
      <c r="D196" s="713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541">
        <f ca="1">IFERROR(__xludf.DUMMYFUNCTION("IMPORTRANGE(""https://docs.google.com/spreadsheets/d/1eHaY18a8A9IcSdp1K8H6x8fbOy06t2VsZHhMHf-1x7Y/edit?usp=sharing"",""แผน!AB41"")"),6000)</f>
        <v>6000</v>
      </c>
      <c r="M196" s="55"/>
      <c r="N196" s="716">
        <v>0</v>
      </c>
      <c r="O196" s="540">
        <f ca="1">IF(L196&gt;0,N196*100/L196,0)</f>
        <v>0</v>
      </c>
      <c r="P196" s="540">
        <f>IF(M196&gt;0,N196*100/M196,0)</f>
        <v>0</v>
      </c>
      <c r="Q196" s="55"/>
      <c r="R196" s="55"/>
      <c r="S196" s="55"/>
      <c r="T196" s="55"/>
      <c r="U196" s="55"/>
    </row>
    <row r="197" spans="1:21" ht="19.5">
      <c r="A197" s="166"/>
      <c r="B197" s="167"/>
      <c r="C197" s="156" t="s">
        <v>18</v>
      </c>
      <c r="D197" s="566" t="s">
        <v>38</v>
      </c>
      <c r="E197" s="169"/>
      <c r="F197" s="169"/>
      <c r="G197" s="170"/>
      <c r="H197" s="171"/>
      <c r="I197" s="54"/>
      <c r="J197" s="54"/>
      <c r="K197" s="55"/>
      <c r="L197" s="62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8.75">
      <c r="A198" s="166"/>
      <c r="B198" s="167"/>
      <c r="C198" s="167"/>
      <c r="D198" s="178" t="s">
        <v>80</v>
      </c>
      <c r="E198" s="174"/>
      <c r="F198" s="174"/>
      <c r="G198" s="171"/>
      <c r="H198" s="179" t="s">
        <v>79</v>
      </c>
      <c r="I198" s="212">
        <f ca="1">IFERROR(__xludf.DUMMYFUNCTION("IMPORTRANGE(""https://docs.google.com/spreadsheets/d/1eHaY18a8A9IcSdp1K8H6x8fbOy06t2VsZHhMHf-1x7Y/edit?usp=sharing"",""แผน!AE41"")"),4)</f>
        <v>4</v>
      </c>
      <c r="J198" s="467">
        <v>2</v>
      </c>
      <c r="K198" s="255">
        <f ca="1">IF(I198&gt;0,J198*100/I198,0)</f>
        <v>50</v>
      </c>
      <c r="L198" s="62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8.75">
      <c r="A199" s="166"/>
      <c r="B199" s="167"/>
      <c r="C199" s="167"/>
      <c r="D199" s="178" t="s">
        <v>81</v>
      </c>
      <c r="E199" s="174"/>
      <c r="F199" s="174"/>
      <c r="G199" s="171"/>
      <c r="H199" s="240" t="s">
        <v>35</v>
      </c>
      <c r="I199" s="54"/>
      <c r="J199" s="212">
        <f>J200+J201</f>
        <v>26</v>
      </c>
      <c r="K199" s="55"/>
      <c r="L199" s="62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467">
        <f>12+14</f>
        <v>26</v>
      </c>
      <c r="K200" s="55"/>
      <c r="L200" s="62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40" t="s">
        <v>35</v>
      </c>
      <c r="I201" s="54"/>
      <c r="J201" s="467">
        <v>0</v>
      </c>
      <c r="K201" s="55"/>
      <c r="L201" s="62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254" t="s">
        <v>85</v>
      </c>
      <c r="I202" s="339">
        <f ca="1">I209</f>
        <v>2</v>
      </c>
      <c r="J202" s="339">
        <f>J209</f>
        <v>0</v>
      </c>
      <c r="K202" s="340">
        <f ca="1">IF(I202&gt;0,J202*100/I202,0)</f>
        <v>0</v>
      </c>
      <c r="L202" s="250"/>
      <c r="M202" s="249"/>
      <c r="N202" s="249"/>
      <c r="O202" s="249"/>
      <c r="P202" s="249"/>
      <c r="Q202" s="249"/>
      <c r="R202" s="249"/>
      <c r="S202" s="249"/>
      <c r="T202" s="249"/>
      <c r="U202" s="249"/>
    </row>
    <row r="203" spans="1:21" ht="19.5">
      <c r="A203" s="155"/>
      <c r="B203" s="50"/>
      <c r="C203" s="156" t="s">
        <v>18</v>
      </c>
      <c r="D203" s="713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541">
        <f ca="1">L204+L205+L206+L207</f>
        <v>10000</v>
      </c>
      <c r="M203" s="55"/>
      <c r="N203" s="540">
        <f>N204+N205+N206+N207</f>
        <v>0</v>
      </c>
      <c r="O203" s="540">
        <f ca="1">IF(L203&gt;0,N203*100/L203,0)</f>
        <v>0</v>
      </c>
      <c r="P203" s="540">
        <f>IF(M203&gt;0,N203*100/M203,0)</f>
        <v>0</v>
      </c>
      <c r="Q203" s="715">
        <f ca="1">Q204+Q205+Q206+Q207</f>
        <v>28000</v>
      </c>
      <c r="R203" s="350"/>
      <c r="S203" s="714">
        <f>S204+S205+S206+S207</f>
        <v>0</v>
      </c>
      <c r="T203" s="714">
        <f ca="1">IF(Q203&gt;0,S203*100/Q203,0)</f>
        <v>0</v>
      </c>
      <c r="U203" s="714">
        <f>IF(R203&gt;0,S203*100/R203,0)</f>
        <v>0</v>
      </c>
    </row>
    <row r="204" spans="1:21" ht="18.75">
      <c r="A204" s="155"/>
      <c r="B204" s="188"/>
      <c r="C204" s="50"/>
      <c r="D204" s="712" t="s">
        <v>310</v>
      </c>
      <c r="E204" s="50"/>
      <c r="F204" s="50"/>
      <c r="G204" s="52"/>
      <c r="H204" s="162" t="s">
        <v>14</v>
      </c>
      <c r="I204" s="163"/>
      <c r="J204" s="163"/>
      <c r="K204" s="164"/>
      <c r="L204" s="256">
        <f ca="1">IFERROR(__xludf.DUMMYFUNCTION("IMPORTRANGE(""https://docs.google.com/spreadsheets/d/1eHaY18a8A9IcSdp1K8H6x8fbOy06t2VsZHhMHf-1x7Y/edit?usp=sharing"",""แผน!AG41"")"),2000)</f>
        <v>2000</v>
      </c>
      <c r="M204" s="55"/>
      <c r="N204" s="702">
        <v>0</v>
      </c>
      <c r="O204" s="164"/>
      <c r="P204" s="55"/>
      <c r="Q204" s="256">
        <v>0</v>
      </c>
      <c r="R204" s="55"/>
      <c r="S204" s="255">
        <v>0</v>
      </c>
      <c r="T204" s="164"/>
      <c r="U204" s="55"/>
    </row>
    <row r="205" spans="1:21" ht="18.75">
      <c r="A205" s="238"/>
      <c r="B205" s="188"/>
      <c r="C205" s="50"/>
      <c r="D205" s="58" t="s">
        <v>308</v>
      </c>
      <c r="E205" s="50"/>
      <c r="F205" s="50"/>
      <c r="G205" s="52"/>
      <c r="H205" s="53" t="s">
        <v>14</v>
      </c>
      <c r="I205" s="54"/>
      <c r="J205" s="54"/>
      <c r="K205" s="55"/>
      <c r="L205" s="256">
        <f ca="1">IFERROR(__xludf.DUMMYFUNCTION("IMPORTRANGE(""https://docs.google.com/spreadsheets/d/1eHaY18a8A9IcSdp1K8H6x8fbOy06t2VsZHhMHf-1x7Y/edit?usp=sharing"",""แผน!AH41"")"),0)</f>
        <v>0</v>
      </c>
      <c r="M205" s="55"/>
      <c r="N205" s="702">
        <v>0</v>
      </c>
      <c r="O205" s="164"/>
      <c r="P205" s="55"/>
      <c r="Q205" s="256">
        <v>0</v>
      </c>
      <c r="R205" s="55"/>
      <c r="S205" s="255">
        <v>0</v>
      </c>
      <c r="T205" s="164"/>
      <c r="U205" s="55"/>
    </row>
    <row r="206" spans="1:21" ht="18.75">
      <c r="A206" s="238"/>
      <c r="B206" s="188"/>
      <c r="C206" s="50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256">
        <f ca="1">IFERROR(__xludf.DUMMYFUNCTION("IMPORTRANGE(""https://docs.google.com/spreadsheets/d/1eHaY18a8A9IcSdp1K8H6x8fbOy06t2VsZHhMHf-1x7Y/edit?usp=sharing"",""แผน!AI41"")"),0)</f>
        <v>0</v>
      </c>
      <c r="M206" s="55"/>
      <c r="N206" s="702">
        <v>0</v>
      </c>
      <c r="O206" s="164"/>
      <c r="P206" s="55"/>
      <c r="Q206" s="256">
        <f ca="1">IFERROR(__xludf.DUMMYFUNCTION("IMPORTRANGE(""https://docs.google.com/spreadsheets/d/1eHaY18a8A9IcSdp1K8H6x8fbOy06t2VsZHhMHf-1x7Y/edit?usp=sharing"",""แผน!LV41"")"),28000)</f>
        <v>28000</v>
      </c>
      <c r="R206" s="55"/>
      <c r="S206" s="702">
        <v>0</v>
      </c>
      <c r="T206" s="164"/>
      <c r="U206" s="55"/>
    </row>
    <row r="207" spans="1:21" ht="18.75">
      <c r="A207" s="238"/>
      <c r="B207" s="188"/>
      <c r="C207" s="50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256">
        <f ca="1">IFERROR(__xludf.DUMMYFUNCTION("IMPORTRANGE(""https://docs.google.com/spreadsheets/d/1eHaY18a8A9IcSdp1K8H6x8fbOy06t2VsZHhMHf-1x7Y/edit?usp=sharing"",""แผน!AJ41"")"),8000)</f>
        <v>8000</v>
      </c>
      <c r="M207" s="55"/>
      <c r="N207" s="702">
        <v>0</v>
      </c>
      <c r="O207" s="164"/>
      <c r="P207" s="55"/>
      <c r="Q207" s="256">
        <v>0</v>
      </c>
      <c r="R207" s="55"/>
      <c r="S207" s="255">
        <v>0</v>
      </c>
      <c r="T207" s="164"/>
      <c r="U207" s="55"/>
    </row>
    <row r="208" spans="1:21" ht="19.5">
      <c r="A208" s="166"/>
      <c r="B208" s="167"/>
      <c r="C208" s="156" t="s">
        <v>18</v>
      </c>
      <c r="D208" s="566" t="s">
        <v>38</v>
      </c>
      <c r="E208" s="169"/>
      <c r="F208" s="169"/>
      <c r="G208" s="170"/>
      <c r="H208" s="171"/>
      <c r="I208" s="163"/>
      <c r="J208" s="163"/>
      <c r="K208" s="164"/>
      <c r="L208" s="172"/>
      <c r="M208" s="164"/>
      <c r="N208" s="164"/>
      <c r="O208" s="164"/>
      <c r="P208" s="164"/>
      <c r="Q208" s="172"/>
      <c r="R208" s="164"/>
      <c r="S208" s="164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257" t="s">
        <v>85</v>
      </c>
      <c r="I209" s="212">
        <f ca="1">IFERROR(__xludf.DUMMYFUNCTION("IMPORTRANGE(""https://docs.google.com/spreadsheets/d/1eHaY18a8A9IcSdp1K8H6x8fbOy06t2VsZHhMHf-1x7Y/edit?usp=sharing"",""แผน!AK41"")"),2)</f>
        <v>2</v>
      </c>
      <c r="J209" s="467">
        <v>0</v>
      </c>
      <c r="K209" s="565">
        <f ca="1">IF(I209&gt;0,J209*100/I209,0)</f>
        <v>0</v>
      </c>
      <c r="L209" s="62"/>
      <c r="M209" s="55"/>
      <c r="N209" s="55"/>
      <c r="O209" s="55"/>
      <c r="P209" s="55"/>
      <c r="Q209" s="62"/>
      <c r="R209" s="55"/>
      <c r="S209" s="55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171"/>
      <c r="I210" s="54"/>
      <c r="J210" s="54"/>
      <c r="K210" s="164"/>
      <c r="L210" s="62"/>
      <c r="M210" s="55"/>
      <c r="N210" s="55"/>
      <c r="O210" s="55"/>
      <c r="P210" s="55"/>
      <c r="Q210" s="62"/>
      <c r="R210" s="55"/>
      <c r="S210" s="55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257" t="s">
        <v>85</v>
      </c>
      <c r="I211" s="212">
        <f ca="1">IFERROR(__xludf.DUMMYFUNCTION("IMPORTRANGE(""https://docs.google.com/spreadsheets/d/1eHaY18a8A9IcSdp1K8H6x8fbOy06t2VsZHhMHf-1x7Y/edit?usp=sharing"",""แผน!JX41"")"),2)</f>
        <v>2</v>
      </c>
      <c r="J211" s="467">
        <v>0</v>
      </c>
      <c r="K211" s="565">
        <f ca="1">IF(I211&gt;0,J211*100/I211,0)</f>
        <v>0</v>
      </c>
      <c r="L211" s="62"/>
      <c r="M211" s="55"/>
      <c r="N211" s="55"/>
      <c r="O211" s="55"/>
      <c r="P211" s="55"/>
      <c r="Q211" s="62"/>
      <c r="R211" s="55"/>
      <c r="S211" s="55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79" t="s">
        <v>93</v>
      </c>
      <c r="I212" s="212">
        <f ca="1">IFERROR(__xludf.DUMMYFUNCTION("IMPORTRANGE(""https://docs.google.com/spreadsheets/d/1eHaY18a8A9IcSdp1K8H6x8fbOy06t2VsZHhMHf-1x7Y/edit?usp=sharing"",""แผน!JY41"")"),0)</f>
        <v>0</v>
      </c>
      <c r="J212" s="467">
        <v>0</v>
      </c>
      <c r="K212" s="565">
        <f ca="1">IF(I212&gt;0,J212*100/I212,0)</f>
        <v>0</v>
      </c>
      <c r="L212" s="62"/>
      <c r="M212" s="55"/>
      <c r="N212" s="55"/>
      <c r="O212" s="55"/>
      <c r="P212" s="55"/>
      <c r="Q212" s="62"/>
      <c r="R212" s="55"/>
      <c r="S212" s="55"/>
      <c r="T212" s="55"/>
      <c r="U212" s="55"/>
    </row>
    <row r="213" spans="1:21" ht="19.5">
      <c r="A213" s="241"/>
      <c r="B213" s="242"/>
      <c r="C213" s="243" t="s">
        <v>94</v>
      </c>
      <c r="D213" s="244"/>
      <c r="E213" s="244"/>
      <c r="F213" s="244"/>
      <c r="G213" s="245"/>
      <c r="H213" s="254" t="s">
        <v>85</v>
      </c>
      <c r="I213" s="339">
        <f ca="1">I220</f>
        <v>1</v>
      </c>
      <c r="J213" s="339">
        <f>J220</f>
        <v>1</v>
      </c>
      <c r="K213" s="340">
        <f ca="1">IF(I213&gt;0,J213*100/I213,0)</f>
        <v>100</v>
      </c>
      <c r="L213" s="250"/>
      <c r="M213" s="249"/>
      <c r="N213" s="249"/>
      <c r="O213" s="249"/>
      <c r="P213" s="249"/>
      <c r="Q213" s="250"/>
      <c r="R213" s="249"/>
      <c r="S213" s="249"/>
      <c r="T213" s="249"/>
      <c r="U213" s="249"/>
    </row>
    <row r="214" spans="1:21" ht="19.5">
      <c r="A214" s="155"/>
      <c r="B214" s="50"/>
      <c r="C214" s="156" t="s">
        <v>18</v>
      </c>
      <c r="D214" s="713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541">
        <f ca="1">L215+L216+L217</f>
        <v>6000</v>
      </c>
      <c r="M214" s="55"/>
      <c r="N214" s="540">
        <f>N215+N216+N217</f>
        <v>0</v>
      </c>
      <c r="O214" s="540">
        <f ca="1">IF(L214&gt;0,N214*100/L214,0)</f>
        <v>0</v>
      </c>
      <c r="P214" s="540">
        <f>IF(M214&gt;0,N214*100/M214,0)</f>
        <v>0</v>
      </c>
      <c r="Q214" s="541">
        <f ca="1">Q215+Q216+Q217</f>
        <v>49700</v>
      </c>
      <c r="R214" s="55"/>
      <c r="S214" s="540">
        <f>S215+S216+S217</f>
        <v>0</v>
      </c>
      <c r="T214" s="540">
        <f ca="1">IF(Q214&gt;0,S214*100/Q214,0)</f>
        <v>0</v>
      </c>
      <c r="U214" s="540">
        <f>IF(R214&gt;0,S214*100/R214,0)</f>
        <v>0</v>
      </c>
    </row>
    <row r="215" spans="1:21" ht="18.75">
      <c r="A215" s="155"/>
      <c r="B215" s="188"/>
      <c r="C215" s="50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256">
        <f ca="1">IFERROR(__xludf.DUMMYFUNCTION("IMPORTRANGE(""https://docs.google.com/spreadsheets/d/1eHaY18a8A9IcSdp1K8H6x8fbOy06t2VsZHhMHf-1x7Y/edit?usp=sharing"",""แผน!AM41"")"),1000)</f>
        <v>1000</v>
      </c>
      <c r="M215" s="55"/>
      <c r="N215" s="702">
        <v>0</v>
      </c>
      <c r="O215" s="164"/>
      <c r="P215" s="55"/>
      <c r="Q215" s="256">
        <v>0</v>
      </c>
      <c r="R215" s="55"/>
      <c r="S215" s="255">
        <v>0</v>
      </c>
      <c r="T215" s="164"/>
      <c r="U215" s="55"/>
    </row>
    <row r="216" spans="1:21" ht="18.75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256">
        <f ca="1">IFERROR(__xludf.DUMMYFUNCTION("IMPORTRANGE(""https://docs.google.com/spreadsheets/d/1eHaY18a8A9IcSdp1K8H6x8fbOy06t2VsZHhMHf-1x7Y/edit?usp=sharing"",""แผน!AN41"")"),5000)</f>
        <v>5000</v>
      </c>
      <c r="M216" s="55"/>
      <c r="N216" s="702">
        <v>0</v>
      </c>
      <c r="O216" s="164"/>
      <c r="P216" s="55"/>
      <c r="Q216" s="256">
        <v>0</v>
      </c>
      <c r="R216" s="55"/>
      <c r="S216" s="255">
        <v>0</v>
      </c>
      <c r="T216" s="164"/>
      <c r="U216" s="55"/>
    </row>
    <row r="217" spans="1:21" ht="18.75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256">
        <f ca="1">IFERROR(__xludf.DUMMYFUNCTION("IMPORTRANGE(""https://docs.google.com/spreadsheets/d/1eHaY18a8A9IcSdp1K8H6x8fbOy06t2VsZHhMHf-1x7Y/edit?usp=sharing"",""แผน!AO41"")"),0)</f>
        <v>0</v>
      </c>
      <c r="M217" s="55"/>
      <c r="N217" s="702">
        <v>0</v>
      </c>
      <c r="O217" s="164"/>
      <c r="P217" s="55"/>
      <c r="Q217" s="256">
        <f ca="1">IFERROR(__xludf.DUMMYFUNCTION("IMPORTRANGE(""https://docs.google.com/spreadsheets/d/1eHaY18a8A9IcSdp1K8H6x8fbOy06t2VsZHhMHf-1x7Y/edit?usp=sharing"",""แผน!LY41"")"),49700)</f>
        <v>49700</v>
      </c>
      <c r="R217" s="55"/>
      <c r="S217" s="702">
        <v>0</v>
      </c>
      <c r="T217" s="164"/>
      <c r="U217" s="55"/>
    </row>
    <row r="218" spans="1:21" ht="19.5">
      <c r="A218" s="166"/>
      <c r="B218" s="167"/>
      <c r="C218" s="191" t="s">
        <v>18</v>
      </c>
      <c r="D218" s="566" t="s">
        <v>38</v>
      </c>
      <c r="E218" s="169"/>
      <c r="F218" s="169"/>
      <c r="G218" s="170"/>
      <c r="H218" s="171"/>
      <c r="I218" s="163"/>
      <c r="J218" s="54"/>
      <c r="K218" s="55"/>
      <c r="L218" s="62"/>
      <c r="M218" s="55"/>
      <c r="N218" s="55"/>
      <c r="O218" s="164"/>
      <c r="P218" s="164"/>
      <c r="Q218" s="62"/>
      <c r="R218" s="55"/>
      <c r="S218" s="55"/>
      <c r="T218" s="164"/>
      <c r="U218" s="164"/>
    </row>
    <row r="219" spans="1:21" ht="18.75">
      <c r="A219" s="166"/>
      <c r="B219" s="167"/>
      <c r="C219" s="167"/>
      <c r="D219" s="173" t="s">
        <v>96</v>
      </c>
      <c r="E219" s="174"/>
      <c r="F219" s="174"/>
      <c r="G219" s="171"/>
      <c r="H219" s="257" t="s">
        <v>85</v>
      </c>
      <c r="I219" s="212">
        <f ca="1">IFERROR(__xludf.DUMMYFUNCTION("IMPORTRANGE(""https://docs.google.com/spreadsheets/d/1eHaY18a8A9IcSdp1K8H6x8fbOy06t2VsZHhMHf-1x7Y/edit?usp=sharing"",""แผน!AP41"")"),1)</f>
        <v>1</v>
      </c>
      <c r="J219" s="467">
        <v>0</v>
      </c>
      <c r="K219" s="255">
        <f ca="1">IF(I219&gt;0,J219*100/I219,0)</f>
        <v>0</v>
      </c>
      <c r="L219" s="62"/>
      <c r="M219" s="55"/>
      <c r="N219" s="55"/>
      <c r="O219" s="55"/>
      <c r="P219" s="55"/>
      <c r="Q219" s="62"/>
      <c r="R219" s="55"/>
      <c r="S219" s="55"/>
      <c r="T219" s="55"/>
      <c r="U219" s="55"/>
    </row>
    <row r="220" spans="1:21" ht="18.75">
      <c r="A220" s="166"/>
      <c r="B220" s="167"/>
      <c r="C220" s="167"/>
      <c r="D220" s="173" t="s">
        <v>97</v>
      </c>
      <c r="E220" s="174"/>
      <c r="F220" s="174"/>
      <c r="G220" s="171"/>
      <c r="H220" s="257" t="s">
        <v>85</v>
      </c>
      <c r="I220" s="212">
        <f ca="1">IFERROR(__xludf.DUMMYFUNCTION("IMPORTRANGE(""https://docs.google.com/spreadsheets/d/1eHaY18a8A9IcSdp1K8H6x8fbOy06t2VsZHhMHf-1x7Y/edit?usp=sharing"",""แผน!AP41"")"),1)</f>
        <v>1</v>
      </c>
      <c r="J220" s="467">
        <v>1</v>
      </c>
      <c r="K220" s="255">
        <f ca="1">IF(I220&gt;0,J220*100/I220,0)</f>
        <v>100</v>
      </c>
      <c r="L220" s="62"/>
      <c r="M220" s="55"/>
      <c r="N220" s="55"/>
      <c r="O220" s="55"/>
      <c r="P220" s="55"/>
      <c r="Q220" s="62"/>
      <c r="R220" s="55"/>
      <c r="S220" s="55"/>
      <c r="T220" s="55"/>
      <c r="U220" s="55"/>
    </row>
    <row r="221" spans="1:21" ht="19.5">
      <c r="A221" s="241"/>
      <c r="B221" s="242"/>
      <c r="C221" s="243" t="s">
        <v>98</v>
      </c>
      <c r="D221" s="244"/>
      <c r="E221" s="244"/>
      <c r="F221" s="244"/>
      <c r="G221" s="245"/>
      <c r="H221" s="246" t="s">
        <v>99</v>
      </c>
      <c r="I221" s="339">
        <f ca="1">I229</f>
        <v>30000</v>
      </c>
      <c r="J221" s="339">
        <f>J229</f>
        <v>0</v>
      </c>
      <c r="K221" s="340">
        <f ca="1">IF(I221&gt;0,J221*100/I221,0)</f>
        <v>0</v>
      </c>
      <c r="L221" s="250"/>
      <c r="M221" s="249"/>
      <c r="N221" s="249"/>
      <c r="O221" s="249"/>
      <c r="P221" s="249"/>
      <c r="Q221" s="249"/>
      <c r="R221" s="249"/>
      <c r="S221" s="249"/>
      <c r="T221" s="249"/>
      <c r="U221" s="249"/>
    </row>
    <row r="222" spans="1:21" ht="19.5">
      <c r="A222" s="155"/>
      <c r="B222" s="50"/>
      <c r="C222" s="156" t="s">
        <v>18</v>
      </c>
      <c r="D222" s="713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541">
        <f ca="1">L223+L224+L225</f>
        <v>6500</v>
      </c>
      <c r="M222" s="55"/>
      <c r="N222" s="540">
        <f>N223+N224+N225</f>
        <v>0</v>
      </c>
      <c r="O222" s="540">
        <f ca="1">IF(L222&gt;0,N222*100/L222,0)</f>
        <v>0</v>
      </c>
      <c r="P222" s="540">
        <f>IF(M222&gt;0,N222*100/M222,0)</f>
        <v>0</v>
      </c>
      <c r="Q222" s="55"/>
      <c r="R222" s="55"/>
      <c r="S222" s="55"/>
      <c r="T222" s="55"/>
      <c r="U222" s="55"/>
    </row>
    <row r="223" spans="1:21" ht="18.75">
      <c r="A223" s="155"/>
      <c r="B223" s="188"/>
      <c r="C223" s="50"/>
      <c r="D223" s="712" t="s">
        <v>309</v>
      </c>
      <c r="E223" s="50"/>
      <c r="F223" s="50"/>
      <c r="G223" s="52"/>
      <c r="H223" s="162" t="s">
        <v>14</v>
      </c>
      <c r="I223" s="163"/>
      <c r="J223" s="163"/>
      <c r="K223" s="164"/>
      <c r="L223" s="256">
        <f ca="1">IFERROR(__xludf.DUMMYFUNCTION("IMPORTRANGE(""https://docs.google.com/spreadsheets/d/1eHaY18a8A9IcSdp1K8H6x8fbOy06t2VsZHhMHf-1x7Y/edit?usp=sharing"",""แผน!AR41"")"),2500)</f>
        <v>2500</v>
      </c>
      <c r="M223" s="55"/>
      <c r="N223" s="702">
        <v>0</v>
      </c>
      <c r="O223" s="164"/>
      <c r="P223" s="55"/>
      <c r="Q223" s="55"/>
      <c r="R223" s="55"/>
      <c r="S223" s="55"/>
      <c r="T223" s="164"/>
      <c r="U223" s="55"/>
    </row>
    <row r="224" spans="1:21" ht="18.75">
      <c r="A224" s="238"/>
      <c r="B224" s="188"/>
      <c r="C224" s="188"/>
      <c r="D224" s="58" t="s">
        <v>308</v>
      </c>
      <c r="E224" s="50"/>
      <c r="F224" s="50"/>
      <c r="G224" s="52"/>
      <c r="H224" s="162" t="s">
        <v>14</v>
      </c>
      <c r="I224" s="54"/>
      <c r="J224" s="54"/>
      <c r="K224" s="55"/>
      <c r="L224" s="256">
        <f ca="1">IFERROR(__xludf.DUMMYFUNCTION("IMPORTRANGE(""https://docs.google.com/spreadsheets/d/1eHaY18a8A9IcSdp1K8H6x8fbOy06t2VsZHhMHf-1x7Y/edit?usp=sharing"",""แผน!AS41"")"),4000)</f>
        <v>4000</v>
      </c>
      <c r="M224" s="55"/>
      <c r="N224" s="702">
        <v>0</v>
      </c>
      <c r="O224" s="164"/>
      <c r="P224" s="55"/>
      <c r="Q224" s="55"/>
      <c r="R224" s="55"/>
      <c r="S224" s="55"/>
      <c r="T224" s="164"/>
      <c r="U224" s="55"/>
    </row>
    <row r="225" spans="1:21" ht="18.75">
      <c r="A225" s="238"/>
      <c r="B225" s="188"/>
      <c r="C225" s="188"/>
      <c r="D225" s="58" t="s">
        <v>88</v>
      </c>
      <c r="E225" s="50"/>
      <c r="F225" s="50"/>
      <c r="G225" s="52"/>
      <c r="H225" s="162" t="s">
        <v>14</v>
      </c>
      <c r="I225" s="54"/>
      <c r="J225" s="54"/>
      <c r="K225" s="55"/>
      <c r="L225" s="256">
        <f ca="1">IFERROR(__xludf.DUMMYFUNCTION("IMPORTRANGE(""https://docs.google.com/spreadsheets/d/1eHaY18a8A9IcSdp1K8H6x8fbOy06t2VsZHhMHf-1x7Y/edit?usp=sharing"",""แผน!AT41"")"),0)</f>
        <v>0</v>
      </c>
      <c r="M225" s="55"/>
      <c r="N225" s="702">
        <v>0</v>
      </c>
      <c r="O225" s="164"/>
      <c r="P225" s="55"/>
      <c r="Q225" s="55"/>
      <c r="R225" s="55"/>
      <c r="S225" s="55"/>
      <c r="T225" s="164"/>
      <c r="U225" s="55"/>
    </row>
    <row r="226" spans="1:21" ht="19.5">
      <c r="A226" s="166"/>
      <c r="B226" s="167"/>
      <c r="C226" s="191" t="s">
        <v>18</v>
      </c>
      <c r="D226" s="566" t="s">
        <v>38</v>
      </c>
      <c r="E226" s="169"/>
      <c r="F226" s="169"/>
      <c r="G226" s="170"/>
      <c r="H226" s="171"/>
      <c r="I226" s="163"/>
      <c r="J226" s="163"/>
      <c r="K226" s="164"/>
      <c r="L226" s="172"/>
      <c r="M226" s="164"/>
      <c r="N226" s="164"/>
      <c r="O226" s="164"/>
      <c r="P226" s="164"/>
      <c r="Q226" s="164"/>
      <c r="R226" s="164"/>
      <c r="S226" s="164"/>
      <c r="T226" s="164"/>
      <c r="U226" s="164"/>
    </row>
    <row r="227" spans="1:21" ht="18.75">
      <c r="A227" s="166"/>
      <c r="B227" s="167"/>
      <c r="C227" s="167"/>
      <c r="D227" s="58" t="s">
        <v>101</v>
      </c>
      <c r="E227" s="174"/>
      <c r="F227" s="174"/>
      <c r="G227" s="171"/>
      <c r="H227" s="171"/>
      <c r="I227" s="54"/>
      <c r="J227" s="54"/>
      <c r="K227" s="164"/>
      <c r="L227" s="172"/>
      <c r="M227" s="164"/>
      <c r="N227" s="164"/>
      <c r="O227" s="164"/>
      <c r="P227" s="164"/>
      <c r="Q227" s="164"/>
      <c r="R227" s="164"/>
      <c r="S227" s="164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79" t="s">
        <v>99</v>
      </c>
      <c r="I228" s="212">
        <f ca="1">IFERROR(__xludf.DUMMYFUNCTION("IMPORTRANGE(""https://docs.google.com/spreadsheets/d/1eHaY18a8A9IcSdp1K8H6x8fbOy06t2VsZHhMHf-1x7Y/edit?usp=sharing"",""แผน!AV41"")"),30000)</f>
        <v>30000</v>
      </c>
      <c r="J228" s="467">
        <v>0</v>
      </c>
      <c r="K228" s="565">
        <f ca="1">IF(I228&gt;0,J228*100/I228,0)</f>
        <v>0</v>
      </c>
      <c r="L228" s="172"/>
      <c r="M228" s="164"/>
      <c r="N228" s="164"/>
      <c r="O228" s="164"/>
      <c r="P228" s="164"/>
      <c r="Q228" s="164"/>
      <c r="R228" s="164"/>
      <c r="S228" s="164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79" t="s">
        <v>99</v>
      </c>
      <c r="I229" s="212">
        <f ca="1">IFERROR(__xludf.DUMMYFUNCTION("IMPORTRANGE(""https://docs.google.com/spreadsheets/d/1eHaY18a8A9IcSdp1K8H6x8fbOy06t2VsZHhMHf-1x7Y/edit?usp=sharing"",""แผน!AV41"")"),30000)</f>
        <v>30000</v>
      </c>
      <c r="J229" s="467">
        <v>0</v>
      </c>
      <c r="K229" s="565">
        <f ca="1">IF(I229&gt;0,J229*100/I229,0)</f>
        <v>0</v>
      </c>
      <c r="L229" s="62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79" t="s">
        <v>35</v>
      </c>
      <c r="I230" s="212">
        <f ca="1">IFERROR(__xludf.DUMMYFUNCTION("IMPORTRANGE(""https://docs.google.com/spreadsheets/d/1eHaY18a8A9IcSdp1K8H6x8fbOy06t2VsZHhMHf-1x7Y/edit?usp=sharing"",""แผน!AU41"")"),0)</f>
        <v>0</v>
      </c>
      <c r="J230" s="467">
        <v>0</v>
      </c>
      <c r="K230" s="565">
        <f ca="1">IF(I230&gt;0,J230*100/I230,0)</f>
        <v>0</v>
      </c>
      <c r="L230" s="62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9.5" hidden="1">
      <c r="A231" s="241"/>
      <c r="B231" s="242"/>
      <c r="C231" s="243" t="s">
        <v>105</v>
      </c>
      <c r="D231" s="244"/>
      <c r="E231" s="244"/>
      <c r="F231" s="244"/>
      <c r="G231" s="245"/>
      <c r="H231" s="246" t="s">
        <v>35</v>
      </c>
      <c r="I231" s="339">
        <f ca="1">I242+I253</f>
        <v>0</v>
      </c>
      <c r="J231" s="339">
        <f>J242+J253</f>
        <v>0</v>
      </c>
      <c r="K231" s="340">
        <f ca="1">IF(I231&gt;0,J231*100/I231,0)</f>
        <v>0</v>
      </c>
      <c r="L231" s="250"/>
      <c r="M231" s="249"/>
      <c r="N231" s="249"/>
      <c r="O231" s="249"/>
      <c r="P231" s="249"/>
      <c r="Q231" s="249"/>
      <c r="R231" s="249"/>
      <c r="S231" s="249"/>
      <c r="T231" s="249"/>
      <c r="U231" s="249"/>
    </row>
    <row r="232" spans="1:21" ht="19.5" hidden="1">
      <c r="A232" s="155"/>
      <c r="B232" s="50"/>
      <c r="C232" s="156" t="s">
        <v>18</v>
      </c>
      <c r="D232" s="575" t="s">
        <v>19</v>
      </c>
      <c r="E232" s="50"/>
      <c r="F232" s="50"/>
      <c r="G232" s="52"/>
      <c r="H232" s="252" t="s">
        <v>14</v>
      </c>
      <c r="I232" s="163"/>
      <c r="J232" s="163"/>
      <c r="K232" s="164"/>
      <c r="L232" s="711">
        <f ca="1">L243+L254</f>
        <v>0</v>
      </c>
      <c r="M232" s="55"/>
      <c r="N232" s="710">
        <f>N243+N254</f>
        <v>0</v>
      </c>
      <c r="O232" s="55"/>
      <c r="P232" s="55"/>
      <c r="Q232" s="55"/>
      <c r="R232" s="55"/>
      <c r="S232" s="55"/>
      <c r="T232" s="55"/>
      <c r="U232" s="55"/>
    </row>
    <row r="233" spans="1:21" ht="18.75" hidden="1">
      <c r="A233" s="155"/>
      <c r="B233" s="188"/>
      <c r="C233" s="50"/>
      <c r="D233" s="58" t="s">
        <v>86</v>
      </c>
      <c r="E233" s="50"/>
      <c r="F233" s="50"/>
      <c r="G233" s="52"/>
      <c r="H233" s="162" t="s">
        <v>14</v>
      </c>
      <c r="I233" s="163"/>
      <c r="J233" s="163"/>
      <c r="K233" s="164"/>
      <c r="L233" s="103">
        <f ca="1">L244+L255</f>
        <v>0</v>
      </c>
      <c r="M233" s="55"/>
      <c r="N233" s="102">
        <f>N244+N255</f>
        <v>0</v>
      </c>
      <c r="O233" s="55"/>
      <c r="P233" s="55"/>
      <c r="Q233" s="709">
        <v>0</v>
      </c>
      <c r="R233" s="708">
        <v>0</v>
      </c>
      <c r="S233" s="708">
        <v>0</v>
      </c>
      <c r="T233" s="55"/>
      <c r="U233" s="55"/>
    </row>
    <row r="234" spans="1:21" ht="18.75" hidden="1">
      <c r="A234" s="238"/>
      <c r="B234" s="188"/>
      <c r="C234" s="188"/>
      <c r="D234" s="58" t="s">
        <v>88</v>
      </c>
      <c r="E234" s="50"/>
      <c r="F234" s="50"/>
      <c r="G234" s="52"/>
      <c r="H234" s="162" t="s">
        <v>14</v>
      </c>
      <c r="I234" s="54"/>
      <c r="J234" s="54"/>
      <c r="K234" s="55"/>
      <c r="L234" s="103">
        <f ca="1">L245+L256</f>
        <v>0</v>
      </c>
      <c r="M234" s="55"/>
      <c r="N234" s="102">
        <f>N245+N256</f>
        <v>0</v>
      </c>
      <c r="O234" s="55"/>
      <c r="P234" s="55"/>
      <c r="Q234" s="256">
        <v>0</v>
      </c>
      <c r="R234" s="255">
        <v>0</v>
      </c>
      <c r="S234" s="255">
        <v>0</v>
      </c>
      <c r="T234" s="55"/>
      <c r="U234" s="55"/>
    </row>
    <row r="235" spans="1:21" ht="18.75" hidden="1">
      <c r="A235" s="238"/>
      <c r="B235" s="188"/>
      <c r="C235" s="188"/>
      <c r="D235" s="58" t="s">
        <v>106</v>
      </c>
      <c r="E235" s="50"/>
      <c r="F235" s="50"/>
      <c r="G235" s="52"/>
      <c r="H235" s="162" t="s">
        <v>14</v>
      </c>
      <c r="I235" s="54"/>
      <c r="J235" s="54"/>
      <c r="K235" s="55"/>
      <c r="L235" s="103">
        <f ca="1">L246+L257</f>
        <v>0</v>
      </c>
      <c r="M235" s="55"/>
      <c r="N235" s="102">
        <f>N246+N257</f>
        <v>0</v>
      </c>
      <c r="O235" s="55"/>
      <c r="P235" s="55"/>
      <c r="Q235" s="256">
        <v>0</v>
      </c>
      <c r="R235" s="255">
        <v>0</v>
      </c>
      <c r="S235" s="255">
        <v>0</v>
      </c>
      <c r="T235" s="55"/>
      <c r="U235" s="55"/>
    </row>
    <row r="236" spans="1:21" ht="18.75" hidden="1">
      <c r="A236" s="238"/>
      <c r="B236" s="188"/>
      <c r="C236" s="188"/>
      <c r="D236" s="58" t="s">
        <v>107</v>
      </c>
      <c r="E236" s="50"/>
      <c r="F236" s="50"/>
      <c r="G236" s="52"/>
      <c r="H236" s="162" t="s">
        <v>14</v>
      </c>
      <c r="I236" s="54"/>
      <c r="J236" s="54"/>
      <c r="K236" s="55"/>
      <c r="L236" s="103">
        <f ca="1">L247+L258</f>
        <v>0</v>
      </c>
      <c r="M236" s="55"/>
      <c r="N236" s="102">
        <f>N247+N258</f>
        <v>0</v>
      </c>
      <c r="O236" s="55"/>
      <c r="P236" s="55"/>
      <c r="Q236" s="256">
        <v>0</v>
      </c>
      <c r="R236" s="255">
        <v>0</v>
      </c>
      <c r="S236" s="255">
        <v>0</v>
      </c>
      <c r="T236" s="55"/>
      <c r="U236" s="55"/>
    </row>
    <row r="237" spans="1:21" ht="19.5" hidden="1">
      <c r="A237" s="166"/>
      <c r="B237" s="167"/>
      <c r="C237" s="191" t="s">
        <v>18</v>
      </c>
      <c r="D237" s="566" t="s">
        <v>38</v>
      </c>
      <c r="E237" s="169"/>
      <c r="F237" s="169"/>
      <c r="G237" s="170"/>
      <c r="H237" s="171"/>
      <c r="I237" s="163"/>
      <c r="J237" s="54"/>
      <c r="K237" s="55"/>
      <c r="L237" s="62"/>
      <c r="M237" s="55"/>
      <c r="N237" s="55"/>
      <c r="O237" s="164"/>
      <c r="P237" s="164"/>
      <c r="Q237" s="55"/>
      <c r="R237" s="55"/>
      <c r="S237" s="55"/>
      <c r="T237" s="164"/>
      <c r="U237" s="164"/>
    </row>
    <row r="238" spans="1:21" ht="18.75" hidden="1">
      <c r="A238" s="166"/>
      <c r="B238" s="167"/>
      <c r="C238" s="167"/>
      <c r="D238" s="178" t="s">
        <v>108</v>
      </c>
      <c r="E238" s="174"/>
      <c r="F238" s="174"/>
      <c r="G238" s="171"/>
      <c r="H238" s="179" t="s">
        <v>35</v>
      </c>
      <c r="I238" s="212">
        <f ca="1">I249+I260</f>
        <v>0</v>
      </c>
      <c r="J238" s="212">
        <f>J249+J260</f>
        <v>0</v>
      </c>
      <c r="K238" s="255">
        <f ca="1">IF(I238&gt;0,J238*100/I238,0)</f>
        <v>0</v>
      </c>
      <c r="L238" s="62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ht="18.75" hidden="1">
      <c r="A239" s="166"/>
      <c r="B239" s="167"/>
      <c r="C239" s="167"/>
      <c r="D239" s="266" t="s">
        <v>43</v>
      </c>
      <c r="E239" s="174"/>
      <c r="F239" s="174"/>
      <c r="G239" s="171"/>
      <c r="H239" s="171"/>
      <c r="I239" s="54"/>
      <c r="J239" s="54"/>
      <c r="K239" s="55"/>
      <c r="L239" s="62"/>
      <c r="M239" s="55"/>
      <c r="N239" s="55"/>
      <c r="O239" s="164"/>
      <c r="P239" s="164"/>
      <c r="Q239" s="55"/>
      <c r="R239" s="55"/>
      <c r="S239" s="55"/>
      <c r="T239" s="164"/>
      <c r="U239" s="164"/>
    </row>
    <row r="240" spans="1:21" ht="18.75" hidden="1">
      <c r="A240" s="166"/>
      <c r="B240" s="167"/>
      <c r="C240" s="167"/>
      <c r="D240" s="167"/>
      <c r="E240" s="173" t="s">
        <v>109</v>
      </c>
      <c r="F240" s="174"/>
      <c r="G240" s="171"/>
      <c r="H240" s="179" t="s">
        <v>35</v>
      </c>
      <c r="I240" s="212">
        <f>I251+I262</f>
        <v>0</v>
      </c>
      <c r="J240" s="212">
        <f>J251+J262</f>
        <v>0</v>
      </c>
      <c r="K240" s="255">
        <f>IF(I240&gt;0,J240*100/I240,0)</f>
        <v>0</v>
      </c>
      <c r="L240" s="62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ht="18.75" hidden="1">
      <c r="A241" s="166"/>
      <c r="B241" s="167"/>
      <c r="C241" s="167"/>
      <c r="D241" s="167"/>
      <c r="E241" s="173" t="s">
        <v>110</v>
      </c>
      <c r="F241" s="174"/>
      <c r="G241" s="171"/>
      <c r="H241" s="179" t="s">
        <v>61</v>
      </c>
      <c r="I241" s="212">
        <f>I252+I263</f>
        <v>0</v>
      </c>
      <c r="J241" s="212">
        <f>J252+J263</f>
        <v>0</v>
      </c>
      <c r="K241" s="255">
        <f>IF(I241&gt;0,J241*100/I241,0)</f>
        <v>0</v>
      </c>
      <c r="L241" s="62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ht="19.5" hidden="1">
      <c r="A242" s="241"/>
      <c r="B242" s="242"/>
      <c r="C242" s="707" t="s">
        <v>111</v>
      </c>
      <c r="D242" s="244"/>
      <c r="E242" s="244"/>
      <c r="F242" s="244"/>
      <c r="G242" s="245"/>
      <c r="H242" s="706" t="s">
        <v>35</v>
      </c>
      <c r="I242" s="705">
        <f ca="1">I249</f>
        <v>0</v>
      </c>
      <c r="J242" s="705">
        <f>J249</f>
        <v>0</v>
      </c>
      <c r="K242" s="704">
        <f ca="1">IF(I242&gt;0,J242*100/I242,0)</f>
        <v>0</v>
      </c>
      <c r="L242" s="250"/>
      <c r="M242" s="249"/>
      <c r="N242" s="249"/>
      <c r="O242" s="249"/>
      <c r="P242" s="249"/>
      <c r="Q242" s="249"/>
      <c r="R242" s="249"/>
      <c r="S242" s="249"/>
      <c r="T242" s="249"/>
      <c r="U242" s="249"/>
    </row>
    <row r="243" spans="1:21" ht="19.5" hidden="1">
      <c r="A243" s="155"/>
      <c r="B243" s="50"/>
      <c r="C243" s="591" t="s">
        <v>18</v>
      </c>
      <c r="D243" s="562" t="s">
        <v>19</v>
      </c>
      <c r="E243" s="50"/>
      <c r="F243" s="50"/>
      <c r="G243" s="52"/>
      <c r="H243" s="418" t="s">
        <v>14</v>
      </c>
      <c r="I243" s="163"/>
      <c r="J243" s="163"/>
      <c r="K243" s="164"/>
      <c r="L243" s="541">
        <f ca="1">L244+L245+L246+L247</f>
        <v>0</v>
      </c>
      <c r="M243" s="55"/>
      <c r="N243" s="540">
        <f>N244+N245+N246+N247</f>
        <v>0</v>
      </c>
      <c r="O243" s="540">
        <f ca="1">IF(L243&gt;0,N243*100/L243,0)</f>
        <v>0</v>
      </c>
      <c r="P243" s="540">
        <f>IF(M243&gt;0,N243*100/M243,0)</f>
        <v>0</v>
      </c>
      <c r="Q243" s="55"/>
      <c r="R243" s="55"/>
      <c r="S243" s="55"/>
      <c r="T243" s="55"/>
      <c r="U243" s="55"/>
    </row>
    <row r="244" spans="1:21" ht="18.75" hidden="1">
      <c r="A244" s="155"/>
      <c r="B244" s="188"/>
      <c r="C244" s="50"/>
      <c r="D244" s="186" t="s">
        <v>86</v>
      </c>
      <c r="E244" s="50"/>
      <c r="F244" s="50"/>
      <c r="G244" s="52"/>
      <c r="H244" s="189" t="s">
        <v>14</v>
      </c>
      <c r="I244" s="163"/>
      <c r="J244" s="163"/>
      <c r="K244" s="164"/>
      <c r="L244" s="256">
        <f ca="1">IFERROR(__xludf.DUMMYFUNCTION("IMPORTRANGE(""https://docs.google.com/spreadsheets/d/1eHaY18a8A9IcSdp1K8H6x8fbOy06t2VsZHhMHf-1x7Y/edit?usp=sharing"",""แผน!AX41"")"),0)</f>
        <v>0</v>
      </c>
      <c r="M244" s="55"/>
      <c r="N244" s="702">
        <v>0</v>
      </c>
      <c r="O244" s="55"/>
      <c r="P244" s="55"/>
      <c r="Q244" s="55"/>
      <c r="R244" s="55"/>
      <c r="S244" s="55"/>
      <c r="T244" s="55"/>
      <c r="U244" s="55"/>
    </row>
    <row r="245" spans="1:21" ht="18.75" hidden="1">
      <c r="A245" s="238"/>
      <c r="B245" s="188"/>
      <c r="C245" s="188"/>
      <c r="D245" s="186" t="s">
        <v>88</v>
      </c>
      <c r="E245" s="50"/>
      <c r="F245" s="50"/>
      <c r="G245" s="52"/>
      <c r="H245" s="189" t="s">
        <v>14</v>
      </c>
      <c r="I245" s="54"/>
      <c r="J245" s="54"/>
      <c r="K245" s="55"/>
      <c r="L245" s="256">
        <f ca="1">IFERROR(__xludf.DUMMYFUNCTION("IMPORTRANGE(""https://docs.google.com/spreadsheets/d/1eHaY18a8A9IcSdp1K8H6x8fbOy06t2VsZHhMHf-1x7Y/edit?usp=sharing"",""แผน!AY41"")"),0)</f>
        <v>0</v>
      </c>
      <c r="M245" s="55"/>
      <c r="N245" s="702">
        <v>0</v>
      </c>
      <c r="O245" s="55"/>
      <c r="P245" s="55"/>
      <c r="Q245" s="55"/>
      <c r="R245" s="55"/>
      <c r="S245" s="55"/>
      <c r="T245" s="55"/>
      <c r="U245" s="55"/>
    </row>
    <row r="246" spans="1:21" ht="18.75" hidden="1">
      <c r="A246" s="238"/>
      <c r="B246" s="188"/>
      <c r="C246" s="188"/>
      <c r="D246" s="186" t="s">
        <v>106</v>
      </c>
      <c r="E246" s="50"/>
      <c r="F246" s="50"/>
      <c r="G246" s="52"/>
      <c r="H246" s="189" t="s">
        <v>14</v>
      </c>
      <c r="I246" s="54"/>
      <c r="J246" s="54"/>
      <c r="K246" s="55"/>
      <c r="L246" s="256">
        <f ca="1">IFERROR(__xludf.DUMMYFUNCTION("IMPORTRANGE(""https://docs.google.com/spreadsheets/d/1eHaY18a8A9IcSdp1K8H6x8fbOy06t2VsZHhMHf-1x7Y/edit?usp=sharing"",""แผน!AZ41"")"),0)</f>
        <v>0</v>
      </c>
      <c r="M246" s="55"/>
      <c r="N246" s="702">
        <v>0</v>
      </c>
      <c r="O246" s="55"/>
      <c r="P246" s="55"/>
      <c r="Q246" s="55"/>
      <c r="R246" s="55"/>
      <c r="S246" s="55"/>
      <c r="T246" s="55"/>
      <c r="U246" s="55"/>
    </row>
    <row r="247" spans="1:21" ht="18.75" hidden="1">
      <c r="A247" s="238"/>
      <c r="B247" s="188"/>
      <c r="C247" s="188"/>
      <c r="D247" s="186" t="s">
        <v>107</v>
      </c>
      <c r="E247" s="50"/>
      <c r="F247" s="50"/>
      <c r="G247" s="52"/>
      <c r="H247" s="189" t="s">
        <v>14</v>
      </c>
      <c r="I247" s="54"/>
      <c r="J247" s="54"/>
      <c r="K247" s="55"/>
      <c r="L247" s="256">
        <f ca="1">IFERROR(__xludf.DUMMYFUNCTION("IMPORTRANGE(""https://docs.google.com/spreadsheets/d/1eHaY18a8A9IcSdp1K8H6x8fbOy06t2VsZHhMHf-1x7Y/edit?usp=sharing"",""แผน!BA41"")"),0)</f>
        <v>0</v>
      </c>
      <c r="M247" s="55"/>
      <c r="N247" s="702">
        <v>0</v>
      </c>
      <c r="O247" s="55"/>
      <c r="P247" s="55"/>
      <c r="Q247" s="55"/>
      <c r="R247" s="55"/>
      <c r="S247" s="55"/>
      <c r="T247" s="55"/>
      <c r="U247" s="55"/>
    </row>
    <row r="248" spans="1:21" ht="19.5" hidden="1">
      <c r="A248" s="166"/>
      <c r="B248" s="167"/>
      <c r="C248" s="701" t="s">
        <v>18</v>
      </c>
      <c r="D248" s="574" t="s">
        <v>38</v>
      </c>
      <c r="E248" s="169"/>
      <c r="F248" s="169"/>
      <c r="G248" s="170"/>
      <c r="H248" s="171"/>
      <c r="I248" s="163"/>
      <c r="J248" s="54"/>
      <c r="K248" s="55"/>
      <c r="L248" s="62"/>
      <c r="M248" s="55"/>
      <c r="N248" s="55"/>
      <c r="O248" s="164"/>
      <c r="P248" s="164"/>
      <c r="Q248" s="55"/>
      <c r="R248" s="55"/>
      <c r="S248" s="55"/>
      <c r="T248" s="164"/>
      <c r="U248" s="164"/>
    </row>
    <row r="249" spans="1:21" ht="18.75" hidden="1">
      <c r="A249" s="166"/>
      <c r="B249" s="167"/>
      <c r="C249" s="167"/>
      <c r="D249" s="207" t="s">
        <v>108</v>
      </c>
      <c r="E249" s="174"/>
      <c r="F249" s="174"/>
      <c r="G249" s="171"/>
      <c r="H249" s="698" t="s">
        <v>35</v>
      </c>
      <c r="I249" s="483">
        <f ca="1">IFERROR(__xludf.DUMMYFUNCTION("IMPORTRANGE(""https://docs.google.com/spreadsheets/d/1eHaY18a8A9IcSdp1K8H6x8fbOy06t2VsZHhMHf-1x7Y/edit?usp=sharing"",""แผน!BG41"")"),0)</f>
        <v>0</v>
      </c>
      <c r="J249" s="589">
        <v>0</v>
      </c>
      <c r="K249" s="102">
        <f ca="1">IF(I249&gt;0,J249*100/I249,0)</f>
        <v>0</v>
      </c>
      <c r="L249" s="62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8.75" hidden="1">
      <c r="A250" s="166"/>
      <c r="B250" s="167"/>
      <c r="C250" s="167"/>
      <c r="D250" s="700" t="s">
        <v>43</v>
      </c>
      <c r="E250" s="174"/>
      <c r="F250" s="174"/>
      <c r="G250" s="171"/>
      <c r="H250" s="171"/>
      <c r="I250" s="54"/>
      <c r="J250" s="54"/>
      <c r="K250" s="55"/>
      <c r="L250" s="62"/>
      <c r="M250" s="55"/>
      <c r="N250" s="55"/>
      <c r="O250" s="164"/>
      <c r="P250" s="164"/>
      <c r="Q250" s="55"/>
      <c r="R250" s="55"/>
      <c r="S250" s="55"/>
      <c r="T250" s="164"/>
      <c r="U250" s="164"/>
    </row>
    <row r="251" spans="1:21" ht="18.75" hidden="1">
      <c r="A251" s="166"/>
      <c r="B251" s="167"/>
      <c r="C251" s="167"/>
      <c r="D251" s="167"/>
      <c r="E251" s="699" t="s">
        <v>109</v>
      </c>
      <c r="F251" s="174"/>
      <c r="G251" s="171"/>
      <c r="H251" s="698" t="s">
        <v>35</v>
      </c>
      <c r="I251" s="483">
        <v>0</v>
      </c>
      <c r="J251" s="589">
        <v>0</v>
      </c>
      <c r="K251" s="102">
        <f>IF(I251&gt;0,J251*100/I251,0)</f>
        <v>0</v>
      </c>
      <c r="L251" s="62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8.75" hidden="1">
      <c r="A252" s="166"/>
      <c r="B252" s="167"/>
      <c r="C252" s="167"/>
      <c r="D252" s="167"/>
      <c r="E252" s="699" t="s">
        <v>110</v>
      </c>
      <c r="F252" s="174"/>
      <c r="G252" s="171"/>
      <c r="H252" s="698" t="s">
        <v>61</v>
      </c>
      <c r="I252" s="483">
        <v>0</v>
      </c>
      <c r="J252" s="589">
        <v>0</v>
      </c>
      <c r="K252" s="102">
        <f>IF(I252&gt;0,J252*100/I252,0)</f>
        <v>0</v>
      </c>
      <c r="L252" s="62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9.5" hidden="1">
      <c r="A253" s="241"/>
      <c r="B253" s="242"/>
      <c r="C253" s="707" t="s">
        <v>112</v>
      </c>
      <c r="D253" s="244"/>
      <c r="E253" s="244"/>
      <c r="F253" s="244"/>
      <c r="G253" s="245"/>
      <c r="H253" s="706" t="s">
        <v>35</v>
      </c>
      <c r="I253" s="705">
        <f ca="1">I260</f>
        <v>0</v>
      </c>
      <c r="J253" s="705">
        <f>J260</f>
        <v>0</v>
      </c>
      <c r="K253" s="704">
        <f ca="1">IF(I253&gt;0,J253*100/I253,0)</f>
        <v>0</v>
      </c>
      <c r="L253" s="250"/>
      <c r="M253" s="249"/>
      <c r="N253" s="249"/>
      <c r="O253" s="249"/>
      <c r="P253" s="249"/>
      <c r="Q253" s="249"/>
      <c r="R253" s="249"/>
      <c r="S253" s="249"/>
      <c r="T253" s="249"/>
      <c r="U253" s="249"/>
    </row>
    <row r="254" spans="1:21" ht="19.5" hidden="1">
      <c r="A254" s="155"/>
      <c r="B254" s="50"/>
      <c r="C254" s="591" t="s">
        <v>18</v>
      </c>
      <c r="D254" s="703" t="s">
        <v>19</v>
      </c>
      <c r="E254" s="50"/>
      <c r="F254" s="50"/>
      <c r="G254" s="52"/>
      <c r="H254" s="418" t="s">
        <v>14</v>
      </c>
      <c r="I254" s="163"/>
      <c r="J254" s="163"/>
      <c r="K254" s="164"/>
      <c r="L254" s="541">
        <f ca="1">L255+L256+L257+L258</f>
        <v>0</v>
      </c>
      <c r="M254" s="55"/>
      <c r="N254" s="540">
        <f>N255+N256+N257+N258</f>
        <v>0</v>
      </c>
      <c r="O254" s="540">
        <f ca="1">IF(L254&gt;0,N254*100/L254,0)</f>
        <v>0</v>
      </c>
      <c r="P254" s="540">
        <f>IF(M254&gt;0,N254*100/M254,0)</f>
        <v>0</v>
      </c>
      <c r="Q254" s="55"/>
      <c r="R254" s="55"/>
      <c r="S254" s="55"/>
      <c r="T254" s="55"/>
      <c r="U254" s="55"/>
    </row>
    <row r="255" spans="1:21" ht="18.75" hidden="1">
      <c r="A255" s="155"/>
      <c r="B255" s="188"/>
      <c r="C255" s="50"/>
      <c r="D255" s="186" t="s">
        <v>86</v>
      </c>
      <c r="E255" s="50"/>
      <c r="F255" s="50"/>
      <c r="G255" s="52"/>
      <c r="H255" s="189" t="s">
        <v>14</v>
      </c>
      <c r="I255" s="163"/>
      <c r="J255" s="163"/>
      <c r="K255" s="164"/>
      <c r="L255" s="256">
        <f ca="1">IFERROR(__xludf.DUMMYFUNCTION("IMPORTRANGE(""https://docs.google.com/spreadsheets/d/1eHaY18a8A9IcSdp1K8H6x8fbOy06t2VsZHhMHf-1x7Y/edit?usp=sharing"",""แผน!BB41"")"),0)</f>
        <v>0</v>
      </c>
      <c r="M255" s="55"/>
      <c r="N255" s="702">
        <v>0</v>
      </c>
      <c r="O255" s="55"/>
      <c r="P255" s="55"/>
      <c r="Q255" s="55"/>
      <c r="R255" s="55"/>
      <c r="S255" s="55"/>
      <c r="T255" s="55"/>
      <c r="U255" s="55"/>
    </row>
    <row r="256" spans="1:21" ht="18.75" hidden="1">
      <c r="A256" s="238"/>
      <c r="B256" s="188"/>
      <c r="C256" s="188"/>
      <c r="D256" s="186" t="s">
        <v>88</v>
      </c>
      <c r="E256" s="50"/>
      <c r="F256" s="50"/>
      <c r="G256" s="52"/>
      <c r="H256" s="189" t="s">
        <v>14</v>
      </c>
      <c r="I256" s="54"/>
      <c r="J256" s="54"/>
      <c r="K256" s="55"/>
      <c r="L256" s="256">
        <f ca="1">IFERROR(__xludf.DUMMYFUNCTION("IMPORTRANGE(""https://docs.google.com/spreadsheets/d/1eHaY18a8A9IcSdp1K8H6x8fbOy06t2VsZHhMHf-1x7Y/edit?usp=sharing"",""แผน!BC41"")"),0)</f>
        <v>0</v>
      </c>
      <c r="M256" s="55"/>
      <c r="N256" s="702">
        <v>0</v>
      </c>
      <c r="O256" s="55"/>
      <c r="P256" s="55"/>
      <c r="Q256" s="55"/>
      <c r="R256" s="55"/>
      <c r="S256" s="55"/>
      <c r="T256" s="55"/>
      <c r="U256" s="55"/>
    </row>
    <row r="257" spans="1:21" ht="18.75" hidden="1">
      <c r="A257" s="238"/>
      <c r="B257" s="188"/>
      <c r="C257" s="188"/>
      <c r="D257" s="186" t="s">
        <v>106</v>
      </c>
      <c r="E257" s="50"/>
      <c r="F257" s="50"/>
      <c r="G257" s="52"/>
      <c r="H257" s="189" t="s">
        <v>14</v>
      </c>
      <c r="I257" s="54"/>
      <c r="J257" s="54"/>
      <c r="K257" s="55"/>
      <c r="L257" s="256">
        <f ca="1">IFERROR(__xludf.DUMMYFUNCTION("IMPORTRANGE(""https://docs.google.com/spreadsheets/d/1eHaY18a8A9IcSdp1K8H6x8fbOy06t2VsZHhMHf-1x7Y/edit?usp=sharing"",""แผน!BD41"")"),0)</f>
        <v>0</v>
      </c>
      <c r="M257" s="55"/>
      <c r="N257" s="702">
        <v>0</v>
      </c>
      <c r="O257" s="55"/>
      <c r="P257" s="55"/>
      <c r="Q257" s="55"/>
      <c r="R257" s="55"/>
      <c r="S257" s="55"/>
      <c r="T257" s="55"/>
      <c r="U257" s="55"/>
    </row>
    <row r="258" spans="1:21" ht="18.75" hidden="1">
      <c r="A258" s="238"/>
      <c r="B258" s="188"/>
      <c r="C258" s="188"/>
      <c r="D258" s="186" t="s">
        <v>107</v>
      </c>
      <c r="E258" s="50"/>
      <c r="F258" s="50"/>
      <c r="G258" s="52"/>
      <c r="H258" s="189" t="s">
        <v>14</v>
      </c>
      <c r="I258" s="54"/>
      <c r="J258" s="54"/>
      <c r="K258" s="55"/>
      <c r="L258" s="256">
        <f ca="1">IFERROR(__xludf.DUMMYFUNCTION("IMPORTRANGE(""https://docs.google.com/spreadsheets/d/1eHaY18a8A9IcSdp1K8H6x8fbOy06t2VsZHhMHf-1x7Y/edit?usp=sharing"",""แผน!BE41"")"),0)</f>
        <v>0</v>
      </c>
      <c r="M258" s="55"/>
      <c r="N258" s="702">
        <v>0</v>
      </c>
      <c r="O258" s="55"/>
      <c r="P258" s="55"/>
      <c r="Q258" s="55"/>
      <c r="R258" s="55"/>
      <c r="S258" s="55"/>
      <c r="T258" s="55"/>
      <c r="U258" s="55"/>
    </row>
    <row r="259" spans="1:21" ht="19.5" hidden="1">
      <c r="A259" s="166"/>
      <c r="B259" s="167"/>
      <c r="C259" s="701" t="s">
        <v>18</v>
      </c>
      <c r="D259" s="574" t="s">
        <v>38</v>
      </c>
      <c r="E259" s="169"/>
      <c r="F259" s="169"/>
      <c r="G259" s="170"/>
      <c r="H259" s="171"/>
      <c r="I259" s="163"/>
      <c r="J259" s="54"/>
      <c r="K259" s="55"/>
      <c r="L259" s="62"/>
      <c r="M259" s="55"/>
      <c r="N259" s="55"/>
      <c r="O259" s="164"/>
      <c r="P259" s="164"/>
      <c r="Q259" s="55"/>
      <c r="R259" s="55"/>
      <c r="S259" s="55"/>
      <c r="T259" s="164"/>
      <c r="U259" s="164"/>
    </row>
    <row r="260" spans="1:21" ht="18.75" hidden="1">
      <c r="A260" s="166"/>
      <c r="B260" s="167"/>
      <c r="C260" s="167"/>
      <c r="D260" s="207" t="s">
        <v>108</v>
      </c>
      <c r="E260" s="174"/>
      <c r="F260" s="174"/>
      <c r="G260" s="171"/>
      <c r="H260" s="698" t="s">
        <v>35</v>
      </c>
      <c r="I260" s="483">
        <f ca="1">IFERROR(__xludf.DUMMYFUNCTION("IMPORTRANGE(""https://docs.google.com/spreadsheets/d/1eHaY18a8A9IcSdp1K8H6x8fbOy06t2VsZHhMHf-1x7Y/edit?usp=sharing"",""แผน!BH41"")"),0)</f>
        <v>0</v>
      </c>
      <c r="J260" s="589">
        <v>0</v>
      </c>
      <c r="K260" s="102">
        <f ca="1">IF(I260&gt;0,J260*100/I260,0)</f>
        <v>0</v>
      </c>
      <c r="L260" s="62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8.75" hidden="1">
      <c r="A261" s="166"/>
      <c r="B261" s="167"/>
      <c r="C261" s="167"/>
      <c r="D261" s="700" t="s">
        <v>43</v>
      </c>
      <c r="E261" s="174"/>
      <c r="F261" s="174"/>
      <c r="G261" s="171"/>
      <c r="H261" s="171"/>
      <c r="I261" s="54"/>
      <c r="J261" s="54"/>
      <c r="K261" s="55"/>
      <c r="L261" s="62"/>
      <c r="M261" s="55"/>
      <c r="N261" s="55"/>
      <c r="O261" s="164"/>
      <c r="P261" s="164"/>
      <c r="Q261" s="55"/>
      <c r="R261" s="55"/>
      <c r="S261" s="55"/>
      <c r="T261" s="164"/>
      <c r="U261" s="164"/>
    </row>
    <row r="262" spans="1:21" ht="18.75" hidden="1">
      <c r="A262" s="166"/>
      <c r="B262" s="167"/>
      <c r="C262" s="167"/>
      <c r="D262" s="167"/>
      <c r="E262" s="699" t="s">
        <v>109</v>
      </c>
      <c r="F262" s="174"/>
      <c r="G262" s="171"/>
      <c r="H262" s="698" t="s">
        <v>35</v>
      </c>
      <c r="I262" s="54"/>
      <c r="J262" s="589">
        <v>0</v>
      </c>
      <c r="K262" s="102">
        <f>IF(I262&gt;0,J262*100/I262,0)</f>
        <v>0</v>
      </c>
      <c r="L262" s="62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8.75" hidden="1">
      <c r="A263" s="166"/>
      <c r="B263" s="167"/>
      <c r="C263" s="167"/>
      <c r="D263" s="167"/>
      <c r="E263" s="699" t="s">
        <v>110</v>
      </c>
      <c r="F263" s="174"/>
      <c r="G263" s="171"/>
      <c r="H263" s="698" t="s">
        <v>61</v>
      </c>
      <c r="I263" s="54"/>
      <c r="J263" s="589">
        <v>0</v>
      </c>
      <c r="K263" s="102">
        <f>IF(I263&gt;0,J263*100/I263,0)</f>
        <v>0</v>
      </c>
      <c r="L263" s="62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9.5">
      <c r="A264" s="697" t="s">
        <v>113</v>
      </c>
      <c r="B264" s="696"/>
      <c r="C264" s="696"/>
      <c r="D264" s="695"/>
      <c r="E264" s="695"/>
      <c r="F264" s="695"/>
      <c r="G264" s="694"/>
      <c r="H264" s="694"/>
      <c r="I264" s="785"/>
      <c r="J264" s="785"/>
      <c r="K264" s="784"/>
      <c r="L264" s="692"/>
      <c r="M264" s="691"/>
      <c r="N264" s="691"/>
      <c r="O264" s="691"/>
      <c r="P264" s="691"/>
      <c r="Q264" s="691"/>
      <c r="R264" s="691"/>
      <c r="S264" s="691"/>
      <c r="T264" s="691"/>
      <c r="U264" s="691"/>
    </row>
    <row r="265" spans="1:21" ht="19.5">
      <c r="A265" s="690"/>
      <c r="B265" s="689" t="s">
        <v>114</v>
      </c>
      <c r="C265" s="688"/>
      <c r="D265" s="661"/>
      <c r="E265" s="661"/>
      <c r="F265" s="661"/>
      <c r="G265" s="660"/>
      <c r="H265" s="687" t="s">
        <v>35</v>
      </c>
      <c r="I265" s="686">
        <f ca="1">I276</f>
        <v>30</v>
      </c>
      <c r="J265" s="686">
        <f>J276</f>
        <v>0</v>
      </c>
      <c r="K265" s="685">
        <f ca="1">IF(I265&gt;0,J265*100/I265,0)</f>
        <v>0</v>
      </c>
      <c r="L265" s="684"/>
      <c r="M265" s="683"/>
      <c r="N265" s="683"/>
      <c r="O265" s="683"/>
      <c r="P265" s="683"/>
      <c r="Q265" s="683"/>
      <c r="R265" s="683"/>
      <c r="S265" s="683"/>
      <c r="T265" s="683"/>
      <c r="U265" s="683"/>
    </row>
    <row r="266" spans="1:21" ht="19.5">
      <c r="A266" s="668"/>
      <c r="B266" s="667"/>
      <c r="C266" s="682" t="s">
        <v>18</v>
      </c>
      <c r="D266" s="681" t="s">
        <v>19</v>
      </c>
      <c r="E266" s="667"/>
      <c r="F266" s="667"/>
      <c r="G266" s="666"/>
      <c r="H266" s="680" t="s">
        <v>14</v>
      </c>
      <c r="I266" s="548"/>
      <c r="J266" s="548"/>
      <c r="K266" s="545"/>
      <c r="L266" s="679">
        <f ca="1">L267+L268</f>
        <v>0</v>
      </c>
      <c r="M266" s="678">
        <f ca="1">M267+M268</f>
        <v>5000</v>
      </c>
      <c r="N266" s="678">
        <f ca="1">N267+N268</f>
        <v>5000</v>
      </c>
      <c r="O266" s="678">
        <f ca="1">IF(L266&gt;0,N266*100/L266,0)</f>
        <v>0</v>
      </c>
      <c r="P266" s="678">
        <f ca="1">IF(M266&gt;0,N266*100/M266,0)</f>
        <v>100</v>
      </c>
      <c r="Q266" s="678">
        <f ca="1">Q267+Q268</f>
        <v>61780</v>
      </c>
      <c r="R266" s="678">
        <f ca="1">R267+R268</f>
        <v>61780</v>
      </c>
      <c r="S266" s="678">
        <f ca="1">S267+S268</f>
        <v>0</v>
      </c>
      <c r="T266" s="678">
        <f ca="1">IF(Q266&gt;0,S266*100/Q266,0)</f>
        <v>0</v>
      </c>
      <c r="U266" s="678">
        <f ca="1">IF(R266&gt;0,S266*100/R266,0)</f>
        <v>0</v>
      </c>
    </row>
    <row r="267" spans="1:21" ht="18.75" hidden="1">
      <c r="A267" s="673"/>
      <c r="B267" s="672"/>
      <c r="C267" s="672"/>
      <c r="D267" s="672"/>
      <c r="E267" s="186" t="s">
        <v>20</v>
      </c>
      <c r="F267" s="672"/>
      <c r="G267" s="671"/>
      <c r="H267" s="187" t="s">
        <v>14</v>
      </c>
      <c r="I267" s="677"/>
      <c r="J267" s="677"/>
      <c r="K267" s="676"/>
      <c r="L267" s="103">
        <f>L270+L273</f>
        <v>0</v>
      </c>
      <c r="M267" s="102">
        <f>M270+M273</f>
        <v>0</v>
      </c>
      <c r="N267" s="102">
        <f>N270+N273</f>
        <v>0</v>
      </c>
      <c r="O267" s="102">
        <f>IF(L267&gt;0,N267*100/L267,0)</f>
        <v>0</v>
      </c>
      <c r="P267" s="102">
        <f>IF(M267&gt;0,N267*100/M267,0)</f>
        <v>0</v>
      </c>
      <c r="Q267" s="102">
        <f>Q270+Q273</f>
        <v>0</v>
      </c>
      <c r="R267" s="102">
        <f>R270+R273</f>
        <v>0</v>
      </c>
      <c r="S267" s="102">
        <f>S270+S273</f>
        <v>0</v>
      </c>
      <c r="T267" s="102">
        <f>IF(Q267&gt;0,S267*100/Q267,0)</f>
        <v>0</v>
      </c>
      <c r="U267" s="102">
        <f>IF(R267&gt;0,S267*100/R267,0)</f>
        <v>0</v>
      </c>
    </row>
    <row r="268" spans="1:21" ht="18.75" hidden="1">
      <c r="A268" s="668"/>
      <c r="B268" s="667"/>
      <c r="C268" s="667"/>
      <c r="D268" s="667"/>
      <c r="E268" s="663" t="s">
        <v>21</v>
      </c>
      <c r="F268" s="667"/>
      <c r="G268" s="666"/>
      <c r="H268" s="549" t="s">
        <v>14</v>
      </c>
      <c r="I268" s="548"/>
      <c r="J268" s="548"/>
      <c r="K268" s="545"/>
      <c r="L268" s="664">
        <f ca="1">L271+L274</f>
        <v>0</v>
      </c>
      <c r="M268" s="555">
        <f ca="1">M271+M274</f>
        <v>5000</v>
      </c>
      <c r="N268" s="555">
        <f ca="1">N271+N274</f>
        <v>5000</v>
      </c>
      <c r="O268" s="555">
        <f ca="1">IF(L268&gt;0,N268*100/L268,0)</f>
        <v>0</v>
      </c>
      <c r="P268" s="555">
        <f ca="1">IF(M268&gt;0,N268*100/M268,0)</f>
        <v>100</v>
      </c>
      <c r="Q268" s="555">
        <f ca="1">Q271+Q274</f>
        <v>61780</v>
      </c>
      <c r="R268" s="555">
        <f ca="1">R271+R274</f>
        <v>61780</v>
      </c>
      <c r="S268" s="555">
        <f ca="1">S271+S274</f>
        <v>0</v>
      </c>
      <c r="T268" s="555">
        <f ca="1">IF(Q268&gt;0,S268*100/Q268,0)</f>
        <v>0</v>
      </c>
      <c r="U268" s="555">
        <f ca="1">IF(R268&gt;0,S268*100/R268,0)</f>
        <v>0</v>
      </c>
    </row>
    <row r="269" spans="1:21" ht="18.75">
      <c r="A269" s="668"/>
      <c r="B269" s="667"/>
      <c r="C269" s="667"/>
      <c r="D269" s="674" t="s">
        <v>22</v>
      </c>
      <c r="E269" s="667"/>
      <c r="F269" s="667"/>
      <c r="G269" s="666"/>
      <c r="H269" s="675" t="s">
        <v>14</v>
      </c>
      <c r="I269" s="659"/>
      <c r="J269" s="659"/>
      <c r="K269" s="657"/>
      <c r="L269" s="664">
        <f ca="1">L270+L271</f>
        <v>0</v>
      </c>
      <c r="M269" s="555">
        <f ca="1">M270+M271</f>
        <v>5000</v>
      </c>
      <c r="N269" s="555">
        <f ca="1">N270+N271</f>
        <v>5000</v>
      </c>
      <c r="O269" s="555">
        <f ca="1">IF(L269&gt;0,N269*100/L269,0)</f>
        <v>0</v>
      </c>
      <c r="P269" s="555">
        <f ca="1">IF(M269&gt;0,N269*100/M269,0)</f>
        <v>100</v>
      </c>
      <c r="Q269" s="555">
        <f ca="1">Q270+Q271</f>
        <v>61780</v>
      </c>
      <c r="R269" s="555">
        <f ca="1">R270+R271</f>
        <v>61780</v>
      </c>
      <c r="S269" s="555">
        <f ca="1">S270+S271</f>
        <v>0</v>
      </c>
      <c r="T269" s="555">
        <f ca="1">IF(Q269&gt;0,S269*100/Q269,0)</f>
        <v>0</v>
      </c>
      <c r="U269" s="555">
        <f ca="1">IF(R269&gt;0,S269*100/R269,0)</f>
        <v>0</v>
      </c>
    </row>
    <row r="270" spans="1:21" ht="18.75" hidden="1">
      <c r="A270" s="673"/>
      <c r="B270" s="672"/>
      <c r="C270" s="672"/>
      <c r="D270" s="672"/>
      <c r="E270" s="186" t="s">
        <v>36</v>
      </c>
      <c r="F270" s="672"/>
      <c r="G270" s="671"/>
      <c r="H270" s="189" t="s">
        <v>14</v>
      </c>
      <c r="I270" s="670"/>
      <c r="J270" s="670"/>
      <c r="K270" s="669"/>
      <c r="L270" s="103">
        <v>0</v>
      </c>
      <c r="M270" s="102">
        <v>0</v>
      </c>
      <c r="N270" s="102">
        <v>0</v>
      </c>
      <c r="O270" s="102">
        <f>IF(L270&gt;0,N270*100/L270,0)</f>
        <v>0</v>
      </c>
      <c r="P270" s="102">
        <f>IF(M270&gt;0,N270*100/M270,0)</f>
        <v>0</v>
      </c>
      <c r="Q270" s="102">
        <v>0</v>
      </c>
      <c r="R270" s="102">
        <v>0</v>
      </c>
      <c r="S270" s="102">
        <v>0</v>
      </c>
      <c r="T270" s="102">
        <f>IF(Q270&gt;0,S270*100/Q270,0)</f>
        <v>0</v>
      </c>
      <c r="U270" s="102">
        <f>IF(R270&gt;0,S270*100/R270,0)</f>
        <v>0</v>
      </c>
    </row>
    <row r="271" spans="1:21" ht="18.75" hidden="1">
      <c r="A271" s="668"/>
      <c r="B271" s="667"/>
      <c r="C271" s="667"/>
      <c r="D271" s="667"/>
      <c r="E271" s="663" t="s">
        <v>37</v>
      </c>
      <c r="F271" s="667"/>
      <c r="G271" s="666"/>
      <c r="H271" s="675" t="s">
        <v>14</v>
      </c>
      <c r="I271" s="659"/>
      <c r="J271" s="659"/>
      <c r="K271" s="657"/>
      <c r="L271" s="664">
        <f ca="1">IFERROR(__xludf.DUMMYFUNCTION("IMPORTRANGE(""https://docs.google.com/spreadsheets/d/1-uDff_7J0KD5mKrp0Vvzr7lt3OU09vwQwhkpOPPYv2Y/edit?usp=sharing"",""งบพรบ!DE41"")"),0)</f>
        <v>0</v>
      </c>
      <c r="M271" s="555">
        <f ca="1">IFERROR(__xludf.DUMMYFUNCTION("IMPORTRANGE(""https://docs.google.com/spreadsheets/d/1-uDff_7J0KD5mKrp0Vvzr7lt3OU09vwQwhkpOPPYv2Y/edit?usp=sharing"",""งบพรบ!DJ41"")"),5000)</f>
        <v>5000</v>
      </c>
      <c r="N271" s="555">
        <f ca="1">IFERROR(__xludf.DUMMYFUNCTION("IMPORTRANGE(""https://docs.google.com/spreadsheets/d/1-uDff_7J0KD5mKrp0Vvzr7lt3OU09vwQwhkpOPPYv2Y/edit?usp=sharing"",""งบพรบ!DL41"")"),5000)</f>
        <v>5000</v>
      </c>
      <c r="O271" s="555">
        <f ca="1">IF(L271&gt;0,N271*100/L271,0)</f>
        <v>0</v>
      </c>
      <c r="P271" s="555">
        <f ca="1">IF(M271&gt;0,N271*100/M271,0)</f>
        <v>100</v>
      </c>
      <c r="Q271" s="555">
        <f ca="1">IFERROR(__xludf.DUMMYFUNCTION("IMPORTRANGE(""https://docs.google.com/spreadsheets/d/1ItG2mGa2ceCfYo0BwxsXqNm01IGEUdYcSSLTEv9YCik/edit?usp=sharing"",""เบิกจ่ายกองทุน!AJ41"")"),61780)</f>
        <v>61780</v>
      </c>
      <c r="R271" s="555">
        <f ca="1">IFERROR(__xludf.DUMMYFUNCTION("IMPORTRANGE(""https://docs.google.com/spreadsheets/d/1ItG2mGa2ceCfYo0BwxsXqNm01IGEUdYcSSLTEv9YCik/edit?usp=sharing"",""เบิกจ่ายกองทุน!AK41"")"),61780)</f>
        <v>61780</v>
      </c>
      <c r="S271" s="555">
        <f ca="1">IFERROR(__xludf.DUMMYFUNCTION("IMPORTRANGE(""https://docs.google.com/spreadsheets/d/1ItG2mGa2ceCfYo0BwxsXqNm01IGEUdYcSSLTEv9YCik/edit?usp=sharing"",""เบิกจ่ายกองทุน!AL41"")"),0)</f>
        <v>0</v>
      </c>
      <c r="T271" s="555">
        <f ca="1">IF(Q271&gt;0,S271*100/Q271,0)</f>
        <v>0</v>
      </c>
      <c r="U271" s="555">
        <f ca="1">IF(R271&gt;0,S271*100/R271,0)</f>
        <v>0</v>
      </c>
    </row>
    <row r="272" spans="1:21" ht="18.75">
      <c r="A272" s="668"/>
      <c r="B272" s="667"/>
      <c r="C272" s="667"/>
      <c r="D272" s="674" t="s">
        <v>23</v>
      </c>
      <c r="E272" s="667"/>
      <c r="F272" s="667"/>
      <c r="G272" s="666"/>
      <c r="H272" s="665" t="s">
        <v>14</v>
      </c>
      <c r="I272" s="659"/>
      <c r="J272" s="659"/>
      <c r="K272" s="657"/>
      <c r="L272" s="664">
        <f ca="1">L273+L274</f>
        <v>0</v>
      </c>
      <c r="M272" s="555">
        <f ca="1">M273+M274</f>
        <v>0</v>
      </c>
      <c r="N272" s="555">
        <f ca="1">N273+N274</f>
        <v>0</v>
      </c>
      <c r="O272" s="555">
        <f ca="1">IF(L272&gt;0,N272*100/L272,0)</f>
        <v>0</v>
      </c>
      <c r="P272" s="555">
        <f ca="1">IF(M272&gt;0,N272*100/M272,0)</f>
        <v>0</v>
      </c>
      <c r="Q272" s="555">
        <f>Q273+Q274</f>
        <v>0</v>
      </c>
      <c r="R272" s="555">
        <f>R273+R274</f>
        <v>0</v>
      </c>
      <c r="S272" s="555">
        <f>S273+S274</f>
        <v>0</v>
      </c>
      <c r="T272" s="555">
        <f>IF(Q272&gt;0,S272*100/Q272,0)</f>
        <v>0</v>
      </c>
      <c r="U272" s="555">
        <f>IF(R272&gt;0,S272*100/R272,0)</f>
        <v>0</v>
      </c>
    </row>
    <row r="273" spans="1:21" ht="18.75" hidden="1">
      <c r="A273" s="673"/>
      <c r="B273" s="672"/>
      <c r="C273" s="672"/>
      <c r="D273" s="672"/>
      <c r="E273" s="186" t="s">
        <v>20</v>
      </c>
      <c r="F273" s="672"/>
      <c r="G273" s="671"/>
      <c r="H273" s="189" t="s">
        <v>14</v>
      </c>
      <c r="I273" s="670"/>
      <c r="J273" s="670"/>
      <c r="K273" s="669"/>
      <c r="L273" s="103">
        <v>0</v>
      </c>
      <c r="M273" s="102">
        <v>0</v>
      </c>
      <c r="N273" s="102">
        <v>0</v>
      </c>
      <c r="O273" s="102">
        <f>IF(L273&gt;0,N273*100/L273,0)</f>
        <v>0</v>
      </c>
      <c r="P273" s="102">
        <f>IF(M273&gt;0,N273*100/M273,0)</f>
        <v>0</v>
      </c>
      <c r="Q273" s="102">
        <v>0</v>
      </c>
      <c r="R273" s="102">
        <v>0</v>
      </c>
      <c r="S273" s="102">
        <v>0</v>
      </c>
      <c r="T273" s="102">
        <f>IF(Q273&gt;0,S273*100/Q273,0)</f>
        <v>0</v>
      </c>
      <c r="U273" s="102">
        <f>IF(R273&gt;0,S273*100/R273,0)</f>
        <v>0</v>
      </c>
    </row>
    <row r="274" spans="1:21" ht="18.75" hidden="1">
      <c r="A274" s="668"/>
      <c r="B274" s="667"/>
      <c r="C274" s="667"/>
      <c r="D274" s="667"/>
      <c r="E274" s="663" t="s">
        <v>21</v>
      </c>
      <c r="F274" s="667"/>
      <c r="G274" s="666"/>
      <c r="H274" s="665" t="s">
        <v>14</v>
      </c>
      <c r="I274" s="659"/>
      <c r="J274" s="659"/>
      <c r="K274" s="657"/>
      <c r="L274" s="664">
        <f ca="1">IFERROR(__xludf.DUMMYFUNCTION("IMPORTRANGE(""https://docs.google.com/spreadsheets/d/1-uDff_7J0KD5mKrp0Vvzr7lt3OU09vwQwhkpOPPYv2Y/edit?usp=sharing"",""งบพรบ!DH41"")"),0)</f>
        <v>0</v>
      </c>
      <c r="M274" s="555">
        <f ca="1">IFERROR(__xludf.DUMMYFUNCTION("IMPORTRANGE(""https://docs.google.com/spreadsheets/d/1-uDff_7J0KD5mKrp0Vvzr7lt3OU09vwQwhkpOPPYv2Y/edit?usp=sharing"",""งบพรบ!DK41"")"),0)</f>
        <v>0</v>
      </c>
      <c r="N274" s="555">
        <f ca="1">IFERROR(__xludf.DUMMYFUNCTION("IMPORTRANGE(""https://docs.google.com/spreadsheets/d/1-uDff_7J0KD5mKrp0Vvzr7lt3OU09vwQwhkpOPPYv2Y/edit?usp=sharing"",""งบพรบ!DM41"")"),0)</f>
        <v>0</v>
      </c>
      <c r="O274" s="555">
        <f ca="1">IF(L274&gt;0,N274*100/L274,0)</f>
        <v>0</v>
      </c>
      <c r="P274" s="555">
        <f ca="1">IF(M274&gt;0,N274*100/M274,0)</f>
        <v>0</v>
      </c>
      <c r="Q274" s="555">
        <v>0</v>
      </c>
      <c r="R274" s="555">
        <v>0</v>
      </c>
      <c r="S274" s="555">
        <v>0</v>
      </c>
      <c r="T274" s="555">
        <f>IF(Q274&gt;0,S274*100/Q274,0)</f>
        <v>0</v>
      </c>
      <c r="U274" s="555">
        <f>IF(R274&gt;0,S274*100/R274,0)</f>
        <v>0</v>
      </c>
    </row>
    <row r="275" spans="1:21" ht="19.5">
      <c r="A275" s="554"/>
      <c r="B275" s="553"/>
      <c r="C275" s="663" t="s">
        <v>18</v>
      </c>
      <c r="D275" s="662" t="s">
        <v>38</v>
      </c>
      <c r="E275" s="661"/>
      <c r="F275" s="661"/>
      <c r="G275" s="660"/>
      <c r="H275" s="550"/>
      <c r="I275" s="659"/>
      <c r="J275" s="659"/>
      <c r="K275" s="657"/>
      <c r="L275" s="658"/>
      <c r="M275" s="657"/>
      <c r="N275" s="657"/>
      <c r="O275" s="657"/>
      <c r="P275" s="657"/>
      <c r="Q275" s="657"/>
      <c r="R275" s="657"/>
      <c r="S275" s="657"/>
      <c r="T275" s="657"/>
      <c r="U275" s="657"/>
    </row>
    <row r="276" spans="1:21" ht="18.75">
      <c r="A276" s="783"/>
      <c r="B276" s="343"/>
      <c r="C276" s="343"/>
      <c r="D276" s="782" t="s">
        <v>115</v>
      </c>
      <c r="E276" s="344"/>
      <c r="F276" s="344"/>
      <c r="G276" s="346"/>
      <c r="H276" s="347" t="s">
        <v>35</v>
      </c>
      <c r="I276" s="349">
        <f ca="1">IFERROR(__xludf.DUMMYFUNCTION("IMPORTRANGE(""https://docs.google.com/spreadsheets/d/1eHaY18a8A9IcSdp1K8H6x8fbOy06t2VsZHhMHf-1x7Y/edit?usp=sharing"",""แผน!EC41"")"),30)</f>
        <v>30</v>
      </c>
      <c r="J276" s="495">
        <v>0</v>
      </c>
      <c r="K276" s="708">
        <f ca="1">IF(I276&gt;0,J276*100/I276,0)</f>
        <v>0</v>
      </c>
      <c r="L276" s="62"/>
      <c r="M276" s="55"/>
      <c r="N276" s="55"/>
      <c r="O276" s="55"/>
      <c r="P276" s="55"/>
      <c r="Q276" s="55"/>
      <c r="R276" s="55"/>
      <c r="S276" s="55"/>
      <c r="T276" s="55"/>
      <c r="U276" s="55"/>
    </row>
    <row r="277" spans="1:21" ht="18.75" hidden="1">
      <c r="A277" s="281"/>
      <c r="B277" s="282"/>
      <c r="C277" s="282"/>
      <c r="D277" s="647" t="s">
        <v>116</v>
      </c>
      <c r="E277" s="2"/>
      <c r="F277" s="2"/>
      <c r="G277" s="284"/>
      <c r="H277" s="646" t="s">
        <v>35</v>
      </c>
      <c r="I277" s="486">
        <v>0</v>
      </c>
      <c r="J277" s="486">
        <v>0</v>
      </c>
      <c r="K277" s="645">
        <v>0</v>
      </c>
      <c r="L277" s="287"/>
      <c r="M277" s="286"/>
      <c r="N277" s="286"/>
      <c r="O277" s="286"/>
      <c r="P277" s="286"/>
      <c r="Q277" s="286"/>
      <c r="R277" s="286"/>
      <c r="S277" s="286"/>
      <c r="T277" s="286"/>
      <c r="U277" s="286"/>
    </row>
    <row r="278" spans="1:21" ht="19.5" hidden="1">
      <c r="A278" s="288" t="s">
        <v>117</v>
      </c>
      <c r="B278" s="289"/>
      <c r="C278" s="289"/>
      <c r="D278" s="289"/>
      <c r="E278" s="290"/>
      <c r="F278" s="290"/>
      <c r="G278" s="290"/>
      <c r="H278" s="290"/>
      <c r="I278" s="291"/>
      <c r="J278" s="291"/>
      <c r="K278" s="292"/>
      <c r="L278" s="292"/>
      <c r="M278" s="292"/>
      <c r="N278" s="292"/>
      <c r="O278" s="292"/>
      <c r="P278" s="293"/>
      <c r="Q278" s="292"/>
      <c r="R278" s="292"/>
      <c r="S278" s="292"/>
      <c r="T278" s="292"/>
      <c r="U278" s="293"/>
    </row>
    <row r="279" spans="1:21" ht="19.5" hidden="1">
      <c r="A279" s="294" t="s">
        <v>118</v>
      </c>
      <c r="B279" s="295"/>
      <c r="C279" s="296"/>
      <c r="D279" s="295"/>
      <c r="E279" s="295"/>
      <c r="F279" s="295"/>
      <c r="G279" s="295"/>
      <c r="H279" s="295"/>
      <c r="I279" s="297"/>
      <c r="J279" s="298"/>
      <c r="K279" s="299"/>
      <c r="L279" s="300"/>
      <c r="M279" s="299"/>
      <c r="N279" s="299"/>
      <c r="O279" s="299"/>
      <c r="P279" s="299"/>
      <c r="Q279" s="299"/>
      <c r="R279" s="299"/>
      <c r="S279" s="299"/>
      <c r="T279" s="299"/>
      <c r="U279" s="299"/>
    </row>
    <row r="280" spans="1:21" ht="19.5" hidden="1">
      <c r="A280" s="301"/>
      <c r="B280" s="302" t="s">
        <v>119</v>
      </c>
      <c r="C280" s="303"/>
      <c r="D280" s="304"/>
      <c r="E280" s="303"/>
      <c r="F280" s="303"/>
      <c r="G280" s="305"/>
      <c r="H280" s="306" t="s">
        <v>35</v>
      </c>
      <c r="I280" s="644">
        <f ca="1">I293</f>
        <v>0</v>
      </c>
      <c r="J280" s="644">
        <f>J293</f>
        <v>0</v>
      </c>
      <c r="K280" s="643">
        <f ca="1">IF(I280&gt;0,J280*100/I280,0)</f>
        <v>0</v>
      </c>
      <c r="L280" s="310"/>
      <c r="M280" s="309"/>
      <c r="N280" s="309"/>
      <c r="O280" s="309"/>
      <c r="P280" s="309"/>
      <c r="Q280" s="309"/>
      <c r="R280" s="309"/>
      <c r="S280" s="309"/>
      <c r="T280" s="309"/>
      <c r="U280" s="309"/>
    </row>
    <row r="281" spans="1:21" ht="19.5" hidden="1">
      <c r="A281" s="301"/>
      <c r="B281" s="303"/>
      <c r="C281" s="303"/>
      <c r="D281" s="304"/>
      <c r="E281" s="303"/>
      <c r="F281" s="303"/>
      <c r="G281" s="305"/>
      <c r="H281" s="306" t="s">
        <v>46</v>
      </c>
      <c r="I281" s="644">
        <f ca="1">I292</f>
        <v>0</v>
      </c>
      <c r="J281" s="644">
        <f>J292</f>
        <v>0</v>
      </c>
      <c r="K281" s="643">
        <f ca="1">IF(I281&gt;0,J281*100/I281,0)</f>
        <v>0</v>
      </c>
      <c r="L281" s="310"/>
      <c r="M281" s="309"/>
      <c r="N281" s="309"/>
      <c r="O281" s="309"/>
      <c r="P281" s="309"/>
      <c r="Q281" s="309"/>
      <c r="R281" s="309"/>
      <c r="S281" s="309"/>
      <c r="T281" s="309"/>
      <c r="U281" s="309"/>
    </row>
    <row r="282" spans="1:21" ht="19.5" hidden="1">
      <c r="A282" s="155"/>
      <c r="B282" s="50"/>
      <c r="C282" s="156" t="s">
        <v>18</v>
      </c>
      <c r="D282" s="575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541">
        <f ca="1">L283+L284</f>
        <v>0</v>
      </c>
      <c r="M282" s="540">
        <f ca="1">M283+M284</f>
        <v>0</v>
      </c>
      <c r="N282" s="540">
        <f ca="1">N283+N284</f>
        <v>0</v>
      </c>
      <c r="O282" s="540">
        <f ca="1">IF(L282&gt;0,N282*100/L282,0)</f>
        <v>0</v>
      </c>
      <c r="P282" s="540">
        <f ca="1">IF(M282&gt;0,N282*100/M282,0)</f>
        <v>0</v>
      </c>
      <c r="Q282" s="540">
        <f>Q283+Q284</f>
        <v>0</v>
      </c>
      <c r="R282" s="540">
        <f>R283+R284</f>
        <v>0</v>
      </c>
      <c r="S282" s="540">
        <f>S283+S284</f>
        <v>0</v>
      </c>
      <c r="T282" s="540">
        <f>IF(Q282&gt;0,S282*100/Q282,0)</f>
        <v>0</v>
      </c>
      <c r="U282" s="540">
        <f>IF(R282&gt;0,S282*100/R282,0)</f>
        <v>0</v>
      </c>
    </row>
    <row r="283" spans="1:21" ht="18.75" hidden="1">
      <c r="A283" s="155"/>
      <c r="B283" s="50"/>
      <c r="C283" s="50"/>
      <c r="D283" s="50"/>
      <c r="E283" s="186" t="s">
        <v>20</v>
      </c>
      <c r="F283" s="50"/>
      <c r="G283" s="52"/>
      <c r="H283" s="187" t="s">
        <v>14</v>
      </c>
      <c r="I283" s="54"/>
      <c r="J283" s="54"/>
      <c r="K283" s="55"/>
      <c r="L283" s="103">
        <f>L286+L289</f>
        <v>0</v>
      </c>
      <c r="M283" s="102">
        <f>M286+M289</f>
        <v>0</v>
      </c>
      <c r="N283" s="102">
        <f>N286+N289</f>
        <v>0</v>
      </c>
      <c r="O283" s="102">
        <f>IF(L283&gt;0,N283*100/L283,0)</f>
        <v>0</v>
      </c>
      <c r="P283" s="102">
        <f>IF(M283&gt;0,N283*100/M283,0)</f>
        <v>0</v>
      </c>
      <c r="Q283" s="102">
        <f>Q286+Q289</f>
        <v>0</v>
      </c>
      <c r="R283" s="102">
        <f>R286+R289</f>
        <v>0</v>
      </c>
      <c r="S283" s="102">
        <f>S286+S289</f>
        <v>0</v>
      </c>
      <c r="T283" s="102">
        <f>IF(Q283&gt;0,S283*100/Q283,0)</f>
        <v>0</v>
      </c>
      <c r="U283" s="102">
        <f>IF(R283&gt;0,S283*100/R283,0)</f>
        <v>0</v>
      </c>
    </row>
    <row r="284" spans="1:21" ht="18.75" hidden="1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256">
        <f ca="1">L287+L290</f>
        <v>0</v>
      </c>
      <c r="M284" s="255">
        <f ca="1">M287+M290</f>
        <v>0</v>
      </c>
      <c r="N284" s="255">
        <f ca="1">N287+N290</f>
        <v>0</v>
      </c>
      <c r="O284" s="255">
        <f ca="1">IF(L284&gt;0,N284*100/L284,0)</f>
        <v>0</v>
      </c>
      <c r="P284" s="255">
        <f ca="1">IF(M284&gt;0,N284*100/M284,0)</f>
        <v>0</v>
      </c>
      <c r="Q284" s="255">
        <f>Q287+Q290</f>
        <v>0</v>
      </c>
      <c r="R284" s="255">
        <f>R287+R290</f>
        <v>0</v>
      </c>
      <c r="S284" s="255">
        <f>S287+S290</f>
        <v>0</v>
      </c>
      <c r="T284" s="255">
        <f>IF(Q284&gt;0,S284*100/Q284,0)</f>
        <v>0</v>
      </c>
      <c r="U284" s="255">
        <f>IF(R284&gt;0,S284*100/R284,0)</f>
        <v>0</v>
      </c>
    </row>
    <row r="285" spans="1:21" ht="18.75" hidden="1">
      <c r="A285" s="155"/>
      <c r="B285" s="50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256">
        <f ca="1">L286+L287</f>
        <v>0</v>
      </c>
      <c r="M285" s="255">
        <f ca="1">M286+M287</f>
        <v>0</v>
      </c>
      <c r="N285" s="255">
        <f ca="1">N286+N287</f>
        <v>0</v>
      </c>
      <c r="O285" s="255">
        <f ca="1">IF(L285&gt;0,N285*100/L285,0)</f>
        <v>0</v>
      </c>
      <c r="P285" s="255">
        <f ca="1">IF(M285&gt;0,N285*100/M285,0)</f>
        <v>0</v>
      </c>
      <c r="Q285" s="255">
        <f>Q286+Q287</f>
        <v>0</v>
      </c>
      <c r="R285" s="255">
        <f>R286+R287</f>
        <v>0</v>
      </c>
      <c r="S285" s="255">
        <f>S286+S287</f>
        <v>0</v>
      </c>
      <c r="T285" s="255">
        <f>IF(Q285&gt;0,S285*100/Q285,0)</f>
        <v>0</v>
      </c>
      <c r="U285" s="255">
        <f>IF(R285&gt;0,S285*100/R285,0)</f>
        <v>0</v>
      </c>
    </row>
    <row r="286" spans="1:21" ht="18.75" hidden="1">
      <c r="A286" s="155"/>
      <c r="B286" s="50"/>
      <c r="C286" s="50"/>
      <c r="D286" s="50"/>
      <c r="E286" s="186" t="s">
        <v>36</v>
      </c>
      <c r="F286" s="50"/>
      <c r="G286" s="52"/>
      <c r="H286" s="189" t="s">
        <v>14</v>
      </c>
      <c r="I286" s="163"/>
      <c r="J286" s="163"/>
      <c r="K286" s="164"/>
      <c r="L286" s="103">
        <v>0</v>
      </c>
      <c r="M286" s="102">
        <v>0</v>
      </c>
      <c r="N286" s="102">
        <v>0</v>
      </c>
      <c r="O286" s="102">
        <f>IF(L286&gt;0,N286*100/L286,0)</f>
        <v>0</v>
      </c>
      <c r="P286" s="102">
        <f>IF(M286&gt;0,N286*100/M286,0)</f>
        <v>0</v>
      </c>
      <c r="Q286" s="102">
        <v>0</v>
      </c>
      <c r="R286" s="102">
        <v>0</v>
      </c>
      <c r="S286" s="102">
        <v>0</v>
      </c>
      <c r="T286" s="102">
        <f>IF(Q286&gt;0,S286*100/Q286,0)</f>
        <v>0</v>
      </c>
      <c r="U286" s="102">
        <f>IF(R286&gt;0,S286*100/R286,0)</f>
        <v>0</v>
      </c>
    </row>
    <row r="287" spans="1:21" ht="18.75" hidden="1">
      <c r="A287" s="155"/>
      <c r="B287" s="50"/>
      <c r="C287" s="50"/>
      <c r="D287" s="50"/>
      <c r="E287" s="58" t="s">
        <v>37</v>
      </c>
      <c r="F287" s="50"/>
      <c r="G287" s="52"/>
      <c r="H287" s="162" t="s">
        <v>14</v>
      </c>
      <c r="I287" s="163"/>
      <c r="J287" s="163"/>
      <c r="K287" s="164"/>
      <c r="L287" s="256">
        <f ca="1">IFERROR(__xludf.DUMMYFUNCTION("IMPORTRANGE(""https://docs.google.com/spreadsheets/d/1-uDff_7J0KD5mKrp0Vvzr7lt3OU09vwQwhkpOPPYv2Y/edit?usp=sharing"",""งบพรบ!DO41"")"),0)</f>
        <v>0</v>
      </c>
      <c r="M287" s="255">
        <f ca="1">IFERROR(__xludf.DUMMYFUNCTION("IMPORTRANGE(""https://docs.google.com/spreadsheets/d/1-uDff_7J0KD5mKrp0Vvzr7lt3OU09vwQwhkpOPPYv2Y/edit?usp=sharing"",""งบพรบ!DT41"")"),0)</f>
        <v>0</v>
      </c>
      <c r="N287" s="255">
        <f ca="1">IFERROR(__xludf.DUMMYFUNCTION("IMPORTRANGE(""https://docs.google.com/spreadsheets/d/1-uDff_7J0KD5mKrp0Vvzr7lt3OU09vwQwhkpOPPYv2Y/edit?usp=sharing"",""งบพรบ!DV41"")"),0)</f>
        <v>0</v>
      </c>
      <c r="O287" s="255">
        <f ca="1">IF(L287&gt;0,N287*100/L287,0)</f>
        <v>0</v>
      </c>
      <c r="P287" s="255">
        <f ca="1">IF(M287&gt;0,N287*100/M287,0)</f>
        <v>0</v>
      </c>
      <c r="Q287" s="255">
        <v>0</v>
      </c>
      <c r="R287" s="255">
        <v>0</v>
      </c>
      <c r="S287" s="255">
        <v>0</v>
      </c>
      <c r="T287" s="102">
        <f>IF(Q287&gt;0,S287*100/Q287,0)</f>
        <v>0</v>
      </c>
      <c r="U287" s="102">
        <f>IF(R287&gt;0,S287*100/R287,0)</f>
        <v>0</v>
      </c>
    </row>
    <row r="288" spans="1:21" ht="18.75" hidden="1">
      <c r="A288" s="155"/>
      <c r="B288" s="50"/>
      <c r="C288" s="50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256">
        <f ca="1">L289+L290</f>
        <v>0</v>
      </c>
      <c r="M288" s="255">
        <f ca="1">M289+M290</f>
        <v>0</v>
      </c>
      <c r="N288" s="255">
        <f ca="1">N289+N290</f>
        <v>0</v>
      </c>
      <c r="O288" s="255">
        <f ca="1">IF(L288&gt;0,N288*100/L288,0)</f>
        <v>0</v>
      </c>
      <c r="P288" s="255">
        <f ca="1">IF(M288&gt;0,N288*100/M288,0)</f>
        <v>0</v>
      </c>
      <c r="Q288" s="255">
        <f>Q289+Q290</f>
        <v>0</v>
      </c>
      <c r="R288" s="255">
        <f>R289+R290</f>
        <v>0</v>
      </c>
      <c r="S288" s="255">
        <f>S289+S290</f>
        <v>0</v>
      </c>
      <c r="T288" s="255">
        <f>IF(Q288&gt;0,S288*100/Q288,0)</f>
        <v>0</v>
      </c>
      <c r="U288" s="255">
        <f>IF(R288&gt;0,S288*100/R288,0)</f>
        <v>0</v>
      </c>
    </row>
    <row r="289" spans="1:21" ht="18.75" hidden="1">
      <c r="A289" s="155"/>
      <c r="B289" s="50"/>
      <c r="C289" s="50"/>
      <c r="D289" s="50"/>
      <c r="E289" s="186" t="s">
        <v>20</v>
      </c>
      <c r="F289" s="50"/>
      <c r="G289" s="52"/>
      <c r="H289" s="189" t="s">
        <v>14</v>
      </c>
      <c r="I289" s="163"/>
      <c r="J289" s="163"/>
      <c r="K289" s="164"/>
      <c r="L289" s="103">
        <v>0</v>
      </c>
      <c r="M289" s="102">
        <v>0</v>
      </c>
      <c r="N289" s="102">
        <v>0</v>
      </c>
      <c r="O289" s="102">
        <f>IF(L289&gt;0,N289*100/L289,0)</f>
        <v>0</v>
      </c>
      <c r="P289" s="102">
        <f>IF(M289&gt;0,N289*100/M289,0)</f>
        <v>0</v>
      </c>
      <c r="Q289" s="102">
        <v>0</v>
      </c>
      <c r="R289" s="102">
        <v>0</v>
      </c>
      <c r="S289" s="102">
        <v>0</v>
      </c>
      <c r="T289" s="102">
        <f>IF(Q289&gt;0,S289*100/Q289,0)</f>
        <v>0</v>
      </c>
      <c r="U289" s="102">
        <f>IF(R289&gt;0,S289*100/R289,0)</f>
        <v>0</v>
      </c>
    </row>
    <row r="290" spans="1:21" ht="18.75" hidden="1">
      <c r="A290" s="155"/>
      <c r="B290" s="50"/>
      <c r="C290" s="50"/>
      <c r="D290" s="50"/>
      <c r="E290" s="58" t="s">
        <v>21</v>
      </c>
      <c r="F290" s="50"/>
      <c r="G290" s="52"/>
      <c r="H290" s="165" t="s">
        <v>14</v>
      </c>
      <c r="I290" s="163"/>
      <c r="J290" s="163"/>
      <c r="K290" s="164"/>
      <c r="L290" s="256">
        <f ca="1">IFERROR(__xludf.DUMMYFUNCTION("IMPORTRANGE(""https://docs.google.com/spreadsheets/d/1-uDff_7J0KD5mKrp0Vvzr7lt3OU09vwQwhkpOPPYv2Y/edit?usp=sharing"",""งบพรบ!DR41"")"),0)</f>
        <v>0</v>
      </c>
      <c r="M290" s="255">
        <f ca="1">IFERROR(__xludf.DUMMYFUNCTION("IMPORTRANGE(""https://docs.google.com/spreadsheets/d/1-uDff_7J0KD5mKrp0Vvzr7lt3OU09vwQwhkpOPPYv2Y/edit?usp=sharing"",""งบพรบ!DU41"")"),0)</f>
        <v>0</v>
      </c>
      <c r="N290" s="255">
        <f ca="1">IFERROR(__xludf.DUMMYFUNCTION("IMPORTRANGE(""https://docs.google.com/spreadsheets/d/1-uDff_7J0KD5mKrp0Vvzr7lt3OU09vwQwhkpOPPYv2Y/edit?usp=sharing"",""งบพรบ!DW41"")"),0)</f>
        <v>0</v>
      </c>
      <c r="O290" s="255">
        <f ca="1">IF(L290&gt;0,N290*100/L290,0)</f>
        <v>0</v>
      </c>
      <c r="P290" s="255">
        <f ca="1">IF(M290&gt;0,N290*100/M290,0)</f>
        <v>0</v>
      </c>
      <c r="Q290" s="255">
        <v>0</v>
      </c>
      <c r="R290" s="255">
        <v>0</v>
      </c>
      <c r="S290" s="255">
        <v>0</v>
      </c>
      <c r="T290" s="255">
        <f>IF(Q290&gt;0,S290*100/Q290,0)</f>
        <v>0</v>
      </c>
      <c r="U290" s="255">
        <f>IF(R290&gt;0,S290*100/R290,0)</f>
        <v>0</v>
      </c>
    </row>
    <row r="291" spans="1:21" ht="19.5" hidden="1">
      <c r="A291" s="166"/>
      <c r="B291" s="167"/>
      <c r="C291" s="156" t="s">
        <v>18</v>
      </c>
      <c r="D291" s="566" t="s">
        <v>38</v>
      </c>
      <c r="E291" s="169"/>
      <c r="F291" s="169"/>
      <c r="G291" s="170"/>
      <c r="H291" s="171"/>
      <c r="I291" s="163"/>
      <c r="J291" s="163"/>
      <c r="K291" s="164"/>
      <c r="L291" s="172"/>
      <c r="M291" s="164"/>
      <c r="N291" s="164"/>
      <c r="O291" s="164"/>
      <c r="P291" s="164"/>
      <c r="Q291" s="164"/>
      <c r="R291" s="164"/>
      <c r="S291" s="164"/>
      <c r="T291" s="164"/>
      <c r="U291" s="164"/>
    </row>
    <row r="292" spans="1:21" ht="18.75" hidden="1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212">
        <f ca="1">IFERROR(__xludf.DUMMYFUNCTION("IMPORTRANGE(""https://docs.google.com/spreadsheets/d/1eHaY18a8A9IcSdp1K8H6x8fbOy06t2VsZHhMHf-1x7Y/edit?usp=sharing"",""แผน!EE41"")"),0)</f>
        <v>0</v>
      </c>
      <c r="J292" s="467">
        <v>0</v>
      </c>
      <c r="K292" s="565">
        <f ca="1">IF(I292&gt;0,J292*100/I292,0)</f>
        <v>0</v>
      </c>
      <c r="L292" s="172"/>
      <c r="M292" s="164"/>
      <c r="N292" s="164"/>
      <c r="O292" s="164"/>
      <c r="P292" s="164"/>
      <c r="Q292" s="164"/>
      <c r="R292" s="164"/>
      <c r="S292" s="164"/>
      <c r="T292" s="164"/>
      <c r="U292" s="164"/>
    </row>
    <row r="293" spans="1:21" ht="19.5" hidden="1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373">
        <f ca="1">IFERROR(__xludf.DUMMYFUNCTION("IMPORTRANGE(""https://docs.google.com/spreadsheets/d/1eHaY18a8A9IcSdp1K8H6x8fbOy06t2VsZHhMHf-1x7Y/edit?usp=sharing"",""แผน!ED41"")"),0)</f>
        <v>0</v>
      </c>
      <c r="J293" s="373">
        <f>J296</f>
        <v>0</v>
      </c>
      <c r="K293" s="642">
        <f ca="1">IF(I293&gt;0,J293*100/I293,0)</f>
        <v>0</v>
      </c>
      <c r="L293" s="172"/>
      <c r="M293" s="164"/>
      <c r="N293" s="164"/>
      <c r="O293" s="164"/>
      <c r="P293" s="164"/>
      <c r="Q293" s="164"/>
      <c r="R293" s="164"/>
      <c r="S293" s="164"/>
      <c r="T293" s="164"/>
      <c r="U293" s="164"/>
    </row>
    <row r="294" spans="1:21" ht="19.5" hidden="1">
      <c r="A294" s="166"/>
      <c r="B294" s="167"/>
      <c r="C294" s="167"/>
      <c r="D294" s="174"/>
      <c r="E294" s="194" t="s">
        <v>122</v>
      </c>
      <c r="F294" s="174"/>
      <c r="G294" s="171"/>
      <c r="H294" s="171"/>
      <c r="I294" s="163"/>
      <c r="J294" s="54"/>
      <c r="K294" s="164"/>
      <c r="L294" s="172"/>
      <c r="M294" s="164"/>
      <c r="N294" s="164"/>
      <c r="O294" s="164"/>
      <c r="P294" s="164"/>
      <c r="Q294" s="164"/>
      <c r="R294" s="164"/>
      <c r="S294" s="164"/>
      <c r="T294" s="164"/>
      <c r="U294" s="164"/>
    </row>
    <row r="295" spans="1:21" ht="19.5" hidden="1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641">
        <f ca="1">IFERROR(__xludf.DUMMYFUNCTION("IMPORTRANGE(""https://docs.google.com/spreadsheets/d/1eHaY18a8A9IcSdp1K8H6x8fbOy06t2VsZHhMHf-1x7Y/edit?usp=sharing"",""แผน!ED41"")"),0)</f>
        <v>0</v>
      </c>
      <c r="J295" s="467">
        <v>0</v>
      </c>
      <c r="K295" s="565">
        <f ca="1">IF(I295&gt;0,J295*100/I295,0)</f>
        <v>0</v>
      </c>
      <c r="L295" s="172"/>
      <c r="M295" s="164"/>
      <c r="N295" s="164"/>
      <c r="O295" s="164"/>
      <c r="P295" s="164"/>
      <c r="Q295" s="164"/>
      <c r="R295" s="164"/>
      <c r="S295" s="164"/>
      <c r="T295" s="164"/>
      <c r="U295" s="164"/>
    </row>
    <row r="296" spans="1:21" ht="19.5" hidden="1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641">
        <f ca="1">IFERROR(__xludf.DUMMYFUNCTION("IMPORTRANGE(""https://docs.google.com/spreadsheets/d/1eHaY18a8A9IcSdp1K8H6x8fbOy06t2VsZHhMHf-1x7Y/edit?usp=sharing"",""แผน!ED41"")"),0)</f>
        <v>0</v>
      </c>
      <c r="J296" s="467">
        <v>0</v>
      </c>
      <c r="K296" s="565">
        <f ca="1">IF(I296&gt;0,J296*100/I296,0)</f>
        <v>0</v>
      </c>
      <c r="L296" s="172"/>
      <c r="M296" s="164"/>
      <c r="N296" s="164"/>
      <c r="O296" s="164"/>
      <c r="P296" s="164"/>
      <c r="Q296" s="164"/>
      <c r="R296" s="164"/>
      <c r="S296" s="164"/>
      <c r="T296" s="164"/>
      <c r="U296" s="164"/>
    </row>
    <row r="297" spans="1:21" ht="12.75" hidden="1">
      <c r="A297" s="192"/>
      <c r="B297" s="193"/>
      <c r="C297" s="193"/>
      <c r="D297" s="22"/>
      <c r="E297" s="22"/>
      <c r="F297" s="22"/>
      <c r="G297" s="23"/>
      <c r="H297" s="23"/>
      <c r="I297" s="24"/>
      <c r="J297" s="24"/>
      <c r="K297" s="25"/>
      <c r="L297" s="26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2.75" hidden="1">
      <c r="A298" s="192"/>
      <c r="B298" s="193"/>
      <c r="C298" s="193"/>
      <c r="D298" s="22"/>
      <c r="E298" s="22"/>
      <c r="F298" s="22"/>
      <c r="G298" s="23"/>
      <c r="H298" s="23"/>
      <c r="I298" s="24"/>
      <c r="J298" s="24"/>
      <c r="K298" s="25"/>
      <c r="L298" s="26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2.75" hidden="1">
      <c r="A299" s="311"/>
      <c r="B299" s="312"/>
      <c r="C299" s="312"/>
      <c r="D299" s="27"/>
      <c r="E299" s="27"/>
      <c r="F299" s="27"/>
      <c r="G299" s="17"/>
      <c r="H299" s="17"/>
      <c r="I299" s="18"/>
      <c r="J299" s="18"/>
      <c r="K299" s="19"/>
      <c r="L299" s="28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>
      <c r="A300" s="313" t="s">
        <v>125</v>
      </c>
      <c r="B300" s="314"/>
      <c r="C300" s="314"/>
      <c r="D300" s="314"/>
      <c r="E300" s="315"/>
      <c r="F300" s="315"/>
      <c r="G300" s="315"/>
      <c r="H300" s="315"/>
      <c r="I300" s="316"/>
      <c r="J300" s="316"/>
      <c r="K300" s="317"/>
      <c r="L300" s="317"/>
      <c r="M300" s="317"/>
      <c r="N300" s="317"/>
      <c r="O300" s="317"/>
      <c r="P300" s="318"/>
      <c r="Q300" s="317"/>
      <c r="R300" s="317"/>
      <c r="S300" s="317"/>
      <c r="T300" s="317"/>
      <c r="U300" s="318"/>
    </row>
    <row r="301" spans="1:21" ht="19.5">
      <c r="A301" s="319" t="s">
        <v>126</v>
      </c>
      <c r="B301" s="320"/>
      <c r="C301" s="320"/>
      <c r="D301" s="321"/>
      <c r="E301" s="321"/>
      <c r="F301" s="321"/>
      <c r="G301" s="322"/>
      <c r="H301" s="322"/>
      <c r="I301" s="323"/>
      <c r="J301" s="323"/>
      <c r="K301" s="324"/>
      <c r="L301" s="325"/>
      <c r="M301" s="324"/>
      <c r="N301" s="324"/>
      <c r="O301" s="324"/>
      <c r="P301" s="324"/>
      <c r="Q301" s="324"/>
      <c r="R301" s="324"/>
      <c r="S301" s="324"/>
      <c r="T301" s="324"/>
      <c r="U301" s="324"/>
    </row>
    <row r="302" spans="1:21" ht="19.5">
      <c r="A302" s="326"/>
      <c r="B302" s="327" t="s">
        <v>127</v>
      </c>
      <c r="C302" s="328"/>
      <c r="D302" s="328"/>
      <c r="E302" s="328"/>
      <c r="F302" s="328"/>
      <c r="G302" s="329"/>
      <c r="H302" s="330" t="s">
        <v>35</v>
      </c>
      <c r="I302" s="605">
        <f ca="1">I314</f>
        <v>30</v>
      </c>
      <c r="J302" s="605">
        <f>J314</f>
        <v>0</v>
      </c>
      <c r="K302" s="604">
        <f ca="1">IF(I302&gt;0,J302*100/I302,0)</f>
        <v>0</v>
      </c>
      <c r="L302" s="334"/>
      <c r="M302" s="333"/>
      <c r="N302" s="333"/>
      <c r="O302" s="333"/>
      <c r="P302" s="333"/>
      <c r="Q302" s="333"/>
      <c r="R302" s="333"/>
      <c r="S302" s="333"/>
      <c r="T302" s="333"/>
      <c r="U302" s="333"/>
    </row>
    <row r="303" spans="1:21" ht="19.5">
      <c r="A303" s="155"/>
      <c r="B303" s="50"/>
      <c r="C303" s="156" t="s">
        <v>18</v>
      </c>
      <c r="D303" s="575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541">
        <f ca="1">L304+L305</f>
        <v>0</v>
      </c>
      <c r="M303" s="540">
        <f ca="1">M304+M305</f>
        <v>0</v>
      </c>
      <c r="N303" s="540">
        <f ca="1">N304+N305</f>
        <v>0</v>
      </c>
      <c r="O303" s="540">
        <f ca="1">IF(L303&gt;0,N303*100/L303,0)</f>
        <v>0</v>
      </c>
      <c r="P303" s="540">
        <f ca="1">IF(M303&gt;0,N303*100/M303,0)</f>
        <v>0</v>
      </c>
      <c r="Q303" s="540">
        <f ca="1">Q304+Q305</f>
        <v>260958.39</v>
      </c>
      <c r="R303" s="540">
        <f ca="1">R304+R305</f>
        <v>260958</v>
      </c>
      <c r="S303" s="540">
        <f ca="1">S304+S305</f>
        <v>0</v>
      </c>
      <c r="T303" s="540">
        <f ca="1">IF(Q303&gt;0,S303*100/Q303,0)</f>
        <v>0</v>
      </c>
      <c r="U303" s="540">
        <f ca="1">IF(R303&gt;0,S303*100/R303,0)</f>
        <v>0</v>
      </c>
    </row>
    <row r="304" spans="1:21" ht="18.75" hidden="1">
      <c r="A304" s="155"/>
      <c r="B304" s="50"/>
      <c r="C304" s="50"/>
      <c r="D304" s="50"/>
      <c r="E304" s="186" t="s">
        <v>20</v>
      </c>
      <c r="F304" s="50"/>
      <c r="G304" s="52"/>
      <c r="H304" s="187" t="s">
        <v>14</v>
      </c>
      <c r="I304" s="54"/>
      <c r="J304" s="54"/>
      <c r="K304" s="55"/>
      <c r="L304" s="103">
        <f>L307+L310</f>
        <v>0</v>
      </c>
      <c r="M304" s="102">
        <f>M307+M310</f>
        <v>0</v>
      </c>
      <c r="N304" s="102">
        <f>N307+N310</f>
        <v>0</v>
      </c>
      <c r="O304" s="102">
        <f>IF(L304&gt;0,N304*100/L304,0)</f>
        <v>0</v>
      </c>
      <c r="P304" s="102">
        <f>IF(M304&gt;0,N304*100/M304,0)</f>
        <v>0</v>
      </c>
      <c r="Q304" s="102">
        <f>Q307+Q310</f>
        <v>0</v>
      </c>
      <c r="R304" s="102">
        <f>R307+R310</f>
        <v>0</v>
      </c>
      <c r="S304" s="102">
        <f>S307+S310</f>
        <v>0</v>
      </c>
      <c r="T304" s="102">
        <f>IF(Q304&gt;0,S304*100/Q304,0)</f>
        <v>0</v>
      </c>
      <c r="U304" s="102">
        <f>IF(R304&gt;0,S304*100/R304,0)</f>
        <v>0</v>
      </c>
    </row>
    <row r="305" spans="1:21" ht="18.75" hidden="1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256">
        <f ca="1">L308+L311</f>
        <v>0</v>
      </c>
      <c r="M305" s="255">
        <f ca="1">M308+M311</f>
        <v>0</v>
      </c>
      <c r="N305" s="255">
        <f ca="1">N308+N311</f>
        <v>0</v>
      </c>
      <c r="O305" s="255">
        <f ca="1">IF(L305&gt;0,N305*100/L305,0)</f>
        <v>0</v>
      </c>
      <c r="P305" s="255">
        <f ca="1">IF(M305&gt;0,N305*100/M305,0)</f>
        <v>0</v>
      </c>
      <c r="Q305" s="255">
        <f ca="1">Q308+Q311</f>
        <v>260958.39</v>
      </c>
      <c r="R305" s="255">
        <f ca="1">R308+R311</f>
        <v>260958</v>
      </c>
      <c r="S305" s="255">
        <f ca="1">S308+S311</f>
        <v>0</v>
      </c>
      <c r="T305" s="255">
        <f ca="1">IF(Q305&gt;0,S305*100/Q305,0)</f>
        <v>0</v>
      </c>
      <c r="U305" s="255">
        <f ca="1">IF(R305&gt;0,S305*100/R305,0)</f>
        <v>0</v>
      </c>
    </row>
    <row r="306" spans="1:21" ht="18.75">
      <c r="A306" s="155"/>
      <c r="B306" s="50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256">
        <f ca="1">L307+L308</f>
        <v>0</v>
      </c>
      <c r="M306" s="255">
        <f ca="1">M307+M308</f>
        <v>0</v>
      </c>
      <c r="N306" s="255">
        <f ca="1">N307+N308</f>
        <v>0</v>
      </c>
      <c r="O306" s="255">
        <f ca="1">IF(L306&gt;0,N306*100/L306,0)</f>
        <v>0</v>
      </c>
      <c r="P306" s="255">
        <f ca="1">IF(M306&gt;0,N306*100/M306,0)</f>
        <v>0</v>
      </c>
      <c r="Q306" s="255">
        <f ca="1">Q307+Q308</f>
        <v>260958.39</v>
      </c>
      <c r="R306" s="255">
        <f ca="1">R307+R308</f>
        <v>260958</v>
      </c>
      <c r="S306" s="255">
        <f ca="1">S307+S308</f>
        <v>0</v>
      </c>
      <c r="T306" s="255">
        <f ca="1">IF(Q306&gt;0,S306*100/Q306,0)</f>
        <v>0</v>
      </c>
      <c r="U306" s="255">
        <f ca="1">IF(R306&gt;0,S306*100/R306,0)</f>
        <v>0</v>
      </c>
    </row>
    <row r="307" spans="1:21" ht="18.75" hidden="1">
      <c r="A307" s="155"/>
      <c r="B307" s="50"/>
      <c r="C307" s="50"/>
      <c r="D307" s="50"/>
      <c r="E307" s="186" t="s">
        <v>36</v>
      </c>
      <c r="F307" s="50"/>
      <c r="G307" s="52"/>
      <c r="H307" s="189" t="s">
        <v>14</v>
      </c>
      <c r="I307" s="163"/>
      <c r="J307" s="163"/>
      <c r="K307" s="164"/>
      <c r="L307" s="103">
        <v>0</v>
      </c>
      <c r="M307" s="102">
        <v>0</v>
      </c>
      <c r="N307" s="102">
        <v>0</v>
      </c>
      <c r="O307" s="102">
        <f>IF(L307&gt;0,N307*100/L307,0)</f>
        <v>0</v>
      </c>
      <c r="P307" s="102">
        <f>IF(M307&gt;0,N307*100/M307,0)</f>
        <v>0</v>
      </c>
      <c r="Q307" s="102">
        <v>0</v>
      </c>
      <c r="R307" s="102">
        <v>0</v>
      </c>
      <c r="S307" s="102">
        <v>0</v>
      </c>
      <c r="T307" s="102">
        <f>IF(Q307&gt;0,S307*100/Q307,0)</f>
        <v>0</v>
      </c>
      <c r="U307" s="102">
        <f>IF(R307&gt;0,S307*100/R307,0)</f>
        <v>0</v>
      </c>
    </row>
    <row r="308" spans="1:21" ht="18.75" hidden="1">
      <c r="A308" s="155"/>
      <c r="B308" s="50"/>
      <c r="C308" s="50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256">
        <f ca="1">IFERROR(__xludf.DUMMYFUNCTION("IMPORTRANGE(""https://docs.google.com/spreadsheets/d/1-uDff_7J0KD5mKrp0Vvzr7lt3OU09vwQwhkpOPPYv2Y/edit?usp=sharing"",""งบพรบ!DY41"")"),0)</f>
        <v>0</v>
      </c>
      <c r="M308" s="255">
        <f ca="1">IFERROR(__xludf.DUMMYFUNCTION("IMPORTRANGE(""https://docs.google.com/spreadsheets/d/1-uDff_7J0KD5mKrp0Vvzr7lt3OU09vwQwhkpOPPYv2Y/edit?usp=sharing"",""งบพรบ!ED41"")"),0)</f>
        <v>0</v>
      </c>
      <c r="N308" s="255">
        <f ca="1">IFERROR(__xludf.DUMMYFUNCTION("IMPORTRANGE(""https://docs.google.com/spreadsheets/d/1-uDff_7J0KD5mKrp0Vvzr7lt3OU09vwQwhkpOPPYv2Y/edit?usp=sharing"",""งบพรบ!EF41"")"),0)</f>
        <v>0</v>
      </c>
      <c r="O308" s="255">
        <f ca="1">IF(L308&gt;0,N308*100/L308,0)</f>
        <v>0</v>
      </c>
      <c r="P308" s="255">
        <f ca="1">IF(M308&gt;0,N308*100/M308,0)</f>
        <v>0</v>
      </c>
      <c r="Q308" s="255">
        <f ca="1">IFERROR(__xludf.DUMMYFUNCTION("IMPORTRANGE(""https://docs.google.com/spreadsheets/d/1ItG2mGa2ceCfYo0BwxsXqNm01IGEUdYcSSLTEv9YCik/edit?usp=sharing"",""เบิกจ่ายกองทุน!AP41"")"),260958.39)</f>
        <v>260958.39</v>
      </c>
      <c r="R308" s="255">
        <f ca="1">IFERROR(__xludf.DUMMYFUNCTION("IMPORTRANGE(""https://docs.google.com/spreadsheets/d/1ItG2mGa2ceCfYo0BwxsXqNm01IGEUdYcSSLTEv9YCik/edit?usp=sharing"",""เบิกจ่ายกองทุน!AQ41"")"),260958)</f>
        <v>260958</v>
      </c>
      <c r="S308" s="255">
        <f ca="1">IFERROR(__xludf.DUMMYFUNCTION("IMPORTRANGE(""https://docs.google.com/spreadsheets/d/1ItG2mGa2ceCfYo0BwxsXqNm01IGEUdYcSSLTEv9YCik/edit?usp=sharing"",""เบิกจ่ายกองทุน!AR41"")"),0)</f>
        <v>0</v>
      </c>
      <c r="T308" s="255">
        <f ca="1">IF(Q308&gt;0,S308*100/Q308,0)</f>
        <v>0</v>
      </c>
      <c r="U308" s="255">
        <f ca="1">IF(R308&gt;0,S308*100/R308,0)</f>
        <v>0</v>
      </c>
    </row>
    <row r="309" spans="1:21" ht="18.75">
      <c r="A309" s="155"/>
      <c r="B309" s="50"/>
      <c r="C309" s="50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256">
        <f ca="1">L310+L311</f>
        <v>0</v>
      </c>
      <c r="M309" s="255">
        <f ca="1">M310+M311</f>
        <v>0</v>
      </c>
      <c r="N309" s="255">
        <f ca="1">N310+N311</f>
        <v>0</v>
      </c>
      <c r="O309" s="255">
        <f ca="1">IF(L309&gt;0,N309*100/L309,0)</f>
        <v>0</v>
      </c>
      <c r="P309" s="255">
        <f ca="1">IF(M309&gt;0,N309*100/M309,0)</f>
        <v>0</v>
      </c>
      <c r="Q309" s="255">
        <f>Q310+Q311</f>
        <v>0</v>
      </c>
      <c r="R309" s="255">
        <f>R310+R311</f>
        <v>0</v>
      </c>
      <c r="S309" s="255">
        <f>S310+S311</f>
        <v>0</v>
      </c>
      <c r="T309" s="255">
        <f>IF(Q309&gt;0,S309*100/Q309,0)</f>
        <v>0</v>
      </c>
      <c r="U309" s="255">
        <f>IF(R309&gt;0,S309*100/R309,0)</f>
        <v>0</v>
      </c>
    </row>
    <row r="310" spans="1:21" ht="18.75" hidden="1">
      <c r="A310" s="155"/>
      <c r="B310" s="50"/>
      <c r="C310" s="50"/>
      <c r="D310" s="50"/>
      <c r="E310" s="186" t="s">
        <v>20</v>
      </c>
      <c r="F310" s="50"/>
      <c r="G310" s="52"/>
      <c r="H310" s="189" t="s">
        <v>14</v>
      </c>
      <c r="I310" s="163"/>
      <c r="J310" s="163"/>
      <c r="K310" s="164"/>
      <c r="L310" s="103">
        <v>0</v>
      </c>
      <c r="M310" s="102">
        <v>0</v>
      </c>
      <c r="N310" s="102">
        <v>0</v>
      </c>
      <c r="O310" s="102">
        <f>IF(L310&gt;0,N310*100/L310,0)</f>
        <v>0</v>
      </c>
      <c r="P310" s="102">
        <f>IF(M310&gt;0,N310*100/M310,0)</f>
        <v>0</v>
      </c>
      <c r="Q310" s="102">
        <v>0</v>
      </c>
      <c r="R310" s="102">
        <v>0</v>
      </c>
      <c r="S310" s="102">
        <v>0</v>
      </c>
      <c r="T310" s="102">
        <f>IF(Q310&gt;0,S310*100/Q310,0)</f>
        <v>0</v>
      </c>
      <c r="U310" s="102">
        <f>IF(R310&gt;0,S310*100/R310,0)</f>
        <v>0</v>
      </c>
    </row>
    <row r="311" spans="1:21" ht="18.75" hidden="1">
      <c r="A311" s="155"/>
      <c r="B311" s="50"/>
      <c r="C311" s="50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256">
        <f ca="1">IFERROR(__xludf.DUMMYFUNCTION("IMPORTRANGE(""https://docs.google.com/spreadsheets/d/1-uDff_7J0KD5mKrp0Vvzr7lt3OU09vwQwhkpOPPYv2Y/edit?usp=sharing"",""งบพรบ!EB41"")"),0)</f>
        <v>0</v>
      </c>
      <c r="M311" s="255">
        <f ca="1">IFERROR(__xludf.DUMMYFUNCTION("IMPORTRANGE(""https://docs.google.com/spreadsheets/d/1-uDff_7J0KD5mKrp0Vvzr7lt3OU09vwQwhkpOPPYv2Y/edit?usp=sharing"",""งบพรบ!EE41"")"),0)</f>
        <v>0</v>
      </c>
      <c r="N311" s="255">
        <f ca="1">IFERROR(__xludf.DUMMYFUNCTION("IMPORTRANGE(""https://docs.google.com/spreadsheets/d/1-uDff_7J0KD5mKrp0Vvzr7lt3OU09vwQwhkpOPPYv2Y/edit?usp=sharing"",""งบพรบ!EG41"")"),0)</f>
        <v>0</v>
      </c>
      <c r="O311" s="255">
        <f ca="1">IF(L311&gt;0,N311*100/L311,0)</f>
        <v>0</v>
      </c>
      <c r="P311" s="255">
        <f ca="1">IF(M311&gt;0,N311*100/M311,0)</f>
        <v>0</v>
      </c>
      <c r="Q311" s="255">
        <v>0</v>
      </c>
      <c r="R311" s="255">
        <v>0</v>
      </c>
      <c r="S311" s="255">
        <v>0</v>
      </c>
      <c r="T311" s="255">
        <f>IF(Q311&gt;0,S311*100/Q311,0)</f>
        <v>0</v>
      </c>
      <c r="U311" s="255">
        <f>IF(R311&gt;0,S311*100/R311,0)</f>
        <v>0</v>
      </c>
    </row>
    <row r="312" spans="1:21" ht="19.5">
      <c r="A312" s="166"/>
      <c r="B312" s="167"/>
      <c r="C312" s="156" t="s">
        <v>18</v>
      </c>
      <c r="D312" s="566" t="s">
        <v>38</v>
      </c>
      <c r="E312" s="169"/>
      <c r="F312" s="169"/>
      <c r="G312" s="170"/>
      <c r="H312" s="171"/>
      <c r="I312" s="54"/>
      <c r="J312" s="54"/>
      <c r="K312" s="55"/>
      <c r="L312" s="62"/>
      <c r="M312" s="55"/>
      <c r="N312" s="55"/>
      <c r="O312" s="55"/>
      <c r="P312" s="55"/>
      <c r="Q312" s="55"/>
      <c r="R312" s="55"/>
      <c r="S312" s="55"/>
      <c r="T312" s="55"/>
      <c r="U312" s="55"/>
    </row>
    <row r="313" spans="1:21" ht="18.75" hidden="1">
      <c r="A313" s="192"/>
      <c r="B313" s="193"/>
      <c r="C313" s="193"/>
      <c r="D313" s="640"/>
      <c r="E313" s="22"/>
      <c r="F313" s="22"/>
      <c r="G313" s="23"/>
      <c r="H313" s="23"/>
      <c r="I313" s="24"/>
      <c r="J313" s="638"/>
      <c r="K313" s="25"/>
      <c r="L313" s="26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8.75">
      <c r="A314" s="166"/>
      <c r="B314" s="167"/>
      <c r="C314" s="167"/>
      <c r="D314" s="178" t="s">
        <v>121</v>
      </c>
      <c r="E314" s="174"/>
      <c r="F314" s="174"/>
      <c r="G314" s="171"/>
      <c r="H314" s="179" t="s">
        <v>35</v>
      </c>
      <c r="I314" s="212">
        <f ca="1">IFERROR(__xludf.DUMMYFUNCTION("IMPORTRANGE(""https://docs.google.com/spreadsheets/d/1eHaY18a8A9IcSdp1K8H6x8fbOy06t2VsZHhMHf-1x7Y/edit?usp=sharing"",""แผน!EF41"")"),30)</f>
        <v>30</v>
      </c>
      <c r="J314" s="467">
        <v>0</v>
      </c>
      <c r="K314" s="255">
        <f ca="1">IF(I314&gt;0,J314*100/I314,0)</f>
        <v>0</v>
      </c>
      <c r="L314" s="62"/>
      <c r="M314" s="55"/>
      <c r="N314" s="55"/>
      <c r="O314" s="55"/>
      <c r="P314" s="55"/>
      <c r="Q314" s="55"/>
      <c r="R314" s="55"/>
      <c r="S314" s="55"/>
      <c r="T314" s="55"/>
      <c r="U314" s="55"/>
    </row>
    <row r="315" spans="1:21" ht="18.75" hidden="1">
      <c r="A315" s="192"/>
      <c r="B315" s="193"/>
      <c r="C315" s="193"/>
      <c r="D315" s="640"/>
      <c r="E315" s="22"/>
      <c r="F315" s="22"/>
      <c r="G315" s="23"/>
      <c r="H315" s="639"/>
      <c r="I315" s="638"/>
      <c r="J315" s="638"/>
      <c r="K315" s="637"/>
      <c r="L315" s="26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8.75" hidden="1">
      <c r="A316" s="192"/>
      <c r="B316" s="193"/>
      <c r="C316" s="193"/>
      <c r="D316" s="640"/>
      <c r="E316" s="22"/>
      <c r="F316" s="22"/>
      <c r="G316" s="23"/>
      <c r="H316" s="639"/>
      <c r="I316" s="638"/>
      <c r="J316" s="638"/>
      <c r="K316" s="637"/>
      <c r="L316" s="26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8.75" hidden="1">
      <c r="A317" s="192"/>
      <c r="B317" s="193"/>
      <c r="C317" s="193"/>
      <c r="D317" s="636"/>
      <c r="E317" s="22"/>
      <c r="F317" s="22"/>
      <c r="G317" s="23"/>
      <c r="H317" s="635"/>
      <c r="I317" s="634"/>
      <c r="J317" s="634"/>
      <c r="K317" s="633"/>
      <c r="L317" s="26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9.5" hidden="1">
      <c r="A318" s="319" t="s">
        <v>131</v>
      </c>
      <c r="B318" s="320"/>
      <c r="C318" s="320"/>
      <c r="D318" s="321"/>
      <c r="E318" s="320"/>
      <c r="F318" s="320"/>
      <c r="G318" s="320"/>
      <c r="H318" s="321"/>
      <c r="I318" s="323"/>
      <c r="J318" s="323"/>
      <c r="K318" s="324"/>
      <c r="L318" s="325"/>
      <c r="M318" s="324"/>
      <c r="N318" s="324"/>
      <c r="O318" s="324"/>
      <c r="P318" s="324"/>
      <c r="Q318" s="324"/>
      <c r="R318" s="324"/>
      <c r="S318" s="324"/>
      <c r="T318" s="324"/>
      <c r="U318" s="324"/>
    </row>
    <row r="319" spans="1:21" ht="19.5" hidden="1">
      <c r="A319" s="335"/>
      <c r="B319" s="327" t="s">
        <v>132</v>
      </c>
      <c r="C319" s="336"/>
      <c r="D319" s="337"/>
      <c r="E319" s="328"/>
      <c r="F319" s="328"/>
      <c r="G319" s="329"/>
      <c r="H319" s="330" t="s">
        <v>133</v>
      </c>
      <c r="I319" s="605">
        <f ca="1">I330</f>
        <v>0</v>
      </c>
      <c r="J319" s="605">
        <f>J330</f>
        <v>0</v>
      </c>
      <c r="K319" s="604">
        <f ca="1">IF(I319&gt;0,J319*100/I319,0)</f>
        <v>0</v>
      </c>
      <c r="L319" s="334"/>
      <c r="M319" s="333"/>
      <c r="N319" s="333"/>
      <c r="O319" s="333"/>
      <c r="P319" s="333"/>
      <c r="Q319" s="333"/>
      <c r="R319" s="333"/>
      <c r="S319" s="333"/>
      <c r="T319" s="333"/>
      <c r="U319" s="333"/>
    </row>
    <row r="320" spans="1:21" ht="19.5" hidden="1">
      <c r="A320" s="155"/>
      <c r="B320" s="50"/>
      <c r="C320" s="156" t="s">
        <v>18</v>
      </c>
      <c r="D320" s="575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541">
        <f ca="1">L321+L322</f>
        <v>0</v>
      </c>
      <c r="M320" s="540">
        <f ca="1">M321+M322</f>
        <v>0</v>
      </c>
      <c r="N320" s="540">
        <f ca="1">N321+N322</f>
        <v>0</v>
      </c>
      <c r="O320" s="540">
        <f ca="1">IF(L320&gt;0,N320*100/L320,0)</f>
        <v>0</v>
      </c>
      <c r="P320" s="540">
        <f ca="1">IF(M320&gt;0,N320*100/M320,0)</f>
        <v>0</v>
      </c>
      <c r="Q320" s="540">
        <f>Q321+Q322</f>
        <v>0</v>
      </c>
      <c r="R320" s="540">
        <f>R321+R322</f>
        <v>0</v>
      </c>
      <c r="S320" s="540">
        <f>S321+S322</f>
        <v>0</v>
      </c>
      <c r="T320" s="540">
        <f>IF(Q320&gt;0,S320*100/Q320,0)</f>
        <v>0</v>
      </c>
      <c r="U320" s="540">
        <f>IF(R320&gt;0,S320*100/R320,0)</f>
        <v>0</v>
      </c>
    </row>
    <row r="321" spans="1:21" ht="18.75" hidden="1">
      <c r="A321" s="155"/>
      <c r="B321" s="50"/>
      <c r="C321" s="50"/>
      <c r="D321" s="50"/>
      <c r="E321" s="186" t="s">
        <v>20</v>
      </c>
      <c r="F321" s="50"/>
      <c r="G321" s="52"/>
      <c r="H321" s="187" t="s">
        <v>14</v>
      </c>
      <c r="I321" s="54"/>
      <c r="J321" s="54"/>
      <c r="K321" s="55"/>
      <c r="L321" s="103">
        <f>L324+L327</f>
        <v>0</v>
      </c>
      <c r="M321" s="102">
        <f>M324+M327</f>
        <v>0</v>
      </c>
      <c r="N321" s="102">
        <f>N324+N327</f>
        <v>0</v>
      </c>
      <c r="O321" s="102">
        <f>IF(L321&gt;0,N321*100/L321,0)</f>
        <v>0</v>
      </c>
      <c r="P321" s="102">
        <f>IF(M321&gt;0,N321*100/M321,0)</f>
        <v>0</v>
      </c>
      <c r="Q321" s="102">
        <f>Q324+Q327</f>
        <v>0</v>
      </c>
      <c r="R321" s="102">
        <f>R324+R327</f>
        <v>0</v>
      </c>
      <c r="S321" s="102">
        <f>S324+S327</f>
        <v>0</v>
      </c>
      <c r="T321" s="102">
        <f>IF(Q321&gt;0,S321*100/Q321,0)</f>
        <v>0</v>
      </c>
      <c r="U321" s="102">
        <f>IF(R321&gt;0,S321*100/R321,0)</f>
        <v>0</v>
      </c>
    </row>
    <row r="322" spans="1:21" ht="18.75" hidden="1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256">
        <f ca="1">L325+L328</f>
        <v>0</v>
      </c>
      <c r="M322" s="255">
        <f ca="1">M325+M328</f>
        <v>0</v>
      </c>
      <c r="N322" s="255">
        <f ca="1">N325+N328</f>
        <v>0</v>
      </c>
      <c r="O322" s="255">
        <f ca="1">IF(L322&gt;0,N322*100/L322,0)</f>
        <v>0</v>
      </c>
      <c r="P322" s="255">
        <f ca="1">IF(M322&gt;0,N322*100/M322,0)</f>
        <v>0</v>
      </c>
      <c r="Q322" s="255">
        <f>Q325+Q328</f>
        <v>0</v>
      </c>
      <c r="R322" s="255">
        <f>R325+R328</f>
        <v>0</v>
      </c>
      <c r="S322" s="255">
        <f>S325+S328</f>
        <v>0</v>
      </c>
      <c r="T322" s="255">
        <f>IF(Q322&gt;0,S322*100/Q322,0)</f>
        <v>0</v>
      </c>
      <c r="U322" s="255">
        <f>IF(R322&gt;0,S322*100/R322,0)</f>
        <v>0</v>
      </c>
    </row>
    <row r="323" spans="1:21" ht="18.75" hidden="1">
      <c r="A323" s="155"/>
      <c r="B323" s="50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256">
        <f ca="1">L324+L325</f>
        <v>0</v>
      </c>
      <c r="M323" s="255">
        <f ca="1">M324+M325</f>
        <v>0</v>
      </c>
      <c r="N323" s="255">
        <f ca="1">N324+N325</f>
        <v>0</v>
      </c>
      <c r="O323" s="255">
        <f ca="1">IF(L323&gt;0,N323*100/L323,0)</f>
        <v>0</v>
      </c>
      <c r="P323" s="255">
        <f ca="1">IF(M323&gt;0,N323*100/M323,0)</f>
        <v>0</v>
      </c>
      <c r="Q323" s="255">
        <f>Q324+Q325</f>
        <v>0</v>
      </c>
      <c r="R323" s="255">
        <f>R324+R325</f>
        <v>0</v>
      </c>
      <c r="S323" s="255">
        <f>S324+S325</f>
        <v>0</v>
      </c>
      <c r="T323" s="255">
        <f>IF(Q323&gt;0,S323*100/Q323,0)</f>
        <v>0</v>
      </c>
      <c r="U323" s="255">
        <f>IF(R323&gt;0,S323*100/R323,0)</f>
        <v>0</v>
      </c>
    </row>
    <row r="324" spans="1:21" ht="18.75" hidden="1">
      <c r="A324" s="155"/>
      <c r="B324" s="50"/>
      <c r="C324" s="50"/>
      <c r="D324" s="50"/>
      <c r="E324" s="186" t="s">
        <v>36</v>
      </c>
      <c r="F324" s="50"/>
      <c r="G324" s="52"/>
      <c r="H324" s="189" t="s">
        <v>14</v>
      </c>
      <c r="I324" s="163"/>
      <c r="J324" s="163"/>
      <c r="K324" s="164"/>
      <c r="L324" s="103">
        <v>0</v>
      </c>
      <c r="M324" s="102">
        <v>0</v>
      </c>
      <c r="N324" s="102">
        <v>0</v>
      </c>
      <c r="O324" s="102">
        <f>IF(L324&gt;0,N324*100/L324,0)</f>
        <v>0</v>
      </c>
      <c r="P324" s="102">
        <f>IF(M324&gt;0,N324*100/M324,0)</f>
        <v>0</v>
      </c>
      <c r="Q324" s="102">
        <v>0</v>
      </c>
      <c r="R324" s="102">
        <v>0</v>
      </c>
      <c r="S324" s="102">
        <v>0</v>
      </c>
      <c r="T324" s="102">
        <f>IF(Q324&gt;0,S324*100/Q324,0)</f>
        <v>0</v>
      </c>
      <c r="U324" s="102">
        <f>IF(R324&gt;0,S324*100/R324,0)</f>
        <v>0</v>
      </c>
    </row>
    <row r="325" spans="1:21" ht="18.75" hidden="1">
      <c r="A325" s="155"/>
      <c r="B325" s="50"/>
      <c r="C325" s="50"/>
      <c r="D325" s="50"/>
      <c r="E325" s="58" t="s">
        <v>37</v>
      </c>
      <c r="F325" s="50"/>
      <c r="G325" s="52"/>
      <c r="H325" s="162" t="s">
        <v>14</v>
      </c>
      <c r="I325" s="163"/>
      <c r="J325" s="163"/>
      <c r="K325" s="164"/>
      <c r="L325" s="256">
        <f ca="1">IFERROR(__xludf.DUMMYFUNCTION("IMPORTRANGE(""https://docs.google.com/spreadsheets/d/1-uDff_7J0KD5mKrp0Vvzr7lt3OU09vwQwhkpOPPYv2Y/edit?usp=sharing"",""งบพรบ!EI41"")"),0)</f>
        <v>0</v>
      </c>
      <c r="M325" s="255">
        <f ca="1">IFERROR(__xludf.DUMMYFUNCTION("IMPORTRANGE(""https://docs.google.com/spreadsheets/d/1-uDff_7J0KD5mKrp0Vvzr7lt3OU09vwQwhkpOPPYv2Y/edit?usp=sharing"",""งบพรบ!EN41"")"),0)</f>
        <v>0</v>
      </c>
      <c r="N325" s="255">
        <f ca="1">IFERROR(__xludf.DUMMYFUNCTION("IMPORTRANGE(""https://docs.google.com/spreadsheets/d/1-uDff_7J0KD5mKrp0Vvzr7lt3OU09vwQwhkpOPPYv2Y/edit?usp=sharing"",""งบพรบ!EP41"")"),0)</f>
        <v>0</v>
      </c>
      <c r="O325" s="255">
        <f ca="1">IF(L325&gt;0,N325*100/L325,0)</f>
        <v>0</v>
      </c>
      <c r="P325" s="255">
        <f ca="1">IF(M325&gt;0,N325*100/M325,0)</f>
        <v>0</v>
      </c>
      <c r="Q325" s="255">
        <v>0</v>
      </c>
      <c r="R325" s="255">
        <v>0</v>
      </c>
      <c r="S325" s="255">
        <v>0</v>
      </c>
      <c r="T325" s="255">
        <f>IF(Q325&gt;0,S325*100/Q325,0)</f>
        <v>0</v>
      </c>
      <c r="U325" s="255">
        <f>IF(R325&gt;0,S325*100/R325,0)</f>
        <v>0</v>
      </c>
    </row>
    <row r="326" spans="1:21" ht="18.75" hidden="1">
      <c r="A326" s="155"/>
      <c r="B326" s="50"/>
      <c r="C326" s="50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256">
        <f ca="1">L327+L328</f>
        <v>0</v>
      </c>
      <c r="M326" s="255">
        <f ca="1">M327+M328</f>
        <v>0</v>
      </c>
      <c r="N326" s="255">
        <f ca="1">N327+N328</f>
        <v>0</v>
      </c>
      <c r="O326" s="255">
        <f ca="1">IF(L326&gt;0,N326*100/L326,0)</f>
        <v>0</v>
      </c>
      <c r="P326" s="255">
        <f ca="1">IF(M326&gt;0,N326*100/M326,0)</f>
        <v>0</v>
      </c>
      <c r="Q326" s="255">
        <f>Q327+Q328</f>
        <v>0</v>
      </c>
      <c r="R326" s="255">
        <f>R327+R328</f>
        <v>0</v>
      </c>
      <c r="S326" s="255">
        <f>S327+S328</f>
        <v>0</v>
      </c>
      <c r="T326" s="255">
        <f>IF(Q326&gt;0,S326*100/Q326,0)</f>
        <v>0</v>
      </c>
      <c r="U326" s="255">
        <f>IF(R326&gt;0,S326*100/R326,0)</f>
        <v>0</v>
      </c>
    </row>
    <row r="327" spans="1:21" ht="18.75" hidden="1">
      <c r="A327" s="155"/>
      <c r="B327" s="50"/>
      <c r="C327" s="50"/>
      <c r="D327" s="50"/>
      <c r="E327" s="186" t="s">
        <v>20</v>
      </c>
      <c r="F327" s="50"/>
      <c r="G327" s="52"/>
      <c r="H327" s="189" t="s">
        <v>14</v>
      </c>
      <c r="I327" s="163"/>
      <c r="J327" s="163"/>
      <c r="K327" s="164"/>
      <c r="L327" s="103">
        <v>0</v>
      </c>
      <c r="M327" s="102">
        <v>0</v>
      </c>
      <c r="N327" s="102">
        <v>0</v>
      </c>
      <c r="O327" s="102">
        <f>IF(L327&gt;0,N327*100/L327,0)</f>
        <v>0</v>
      </c>
      <c r="P327" s="102">
        <f>IF(M327&gt;0,N327*100/M327,0)</f>
        <v>0</v>
      </c>
      <c r="Q327" s="102">
        <v>0</v>
      </c>
      <c r="R327" s="102">
        <v>0</v>
      </c>
      <c r="S327" s="102">
        <v>0</v>
      </c>
      <c r="T327" s="102">
        <f>IF(Q327&gt;0,S327*100/Q327,0)</f>
        <v>0</v>
      </c>
      <c r="U327" s="102">
        <f>IF(R327&gt;0,S327*100/R327,0)</f>
        <v>0</v>
      </c>
    </row>
    <row r="328" spans="1:21" ht="18.75" hidden="1">
      <c r="A328" s="155"/>
      <c r="B328" s="50"/>
      <c r="C328" s="50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256">
        <f ca="1">IFERROR(__xludf.DUMMYFUNCTION("IMPORTRANGE(""https://docs.google.com/spreadsheets/d/1-uDff_7J0KD5mKrp0Vvzr7lt3OU09vwQwhkpOPPYv2Y/edit?usp=sharing"",""งบพรบ!EL41"")"),0)</f>
        <v>0</v>
      </c>
      <c r="M328" s="255">
        <f ca="1">IFERROR(__xludf.DUMMYFUNCTION("IMPORTRANGE(""https://docs.google.com/spreadsheets/d/1-uDff_7J0KD5mKrp0Vvzr7lt3OU09vwQwhkpOPPYv2Y/edit?usp=sharing"",""งบพรบ!EO41"")"),0)</f>
        <v>0</v>
      </c>
      <c r="N328" s="255">
        <f ca="1">IFERROR(__xludf.DUMMYFUNCTION("IMPORTRANGE(""https://docs.google.com/spreadsheets/d/1-uDff_7J0KD5mKrp0Vvzr7lt3OU09vwQwhkpOPPYv2Y/edit?usp=sharing"",""งบพรบ!EQ41"")"),0)</f>
        <v>0</v>
      </c>
      <c r="O328" s="255">
        <f ca="1">IF(L328&gt;0,N328*100/L328,0)</f>
        <v>0</v>
      </c>
      <c r="P328" s="255">
        <f ca="1">IF(M328&gt;0,N328*100/M328,0)</f>
        <v>0</v>
      </c>
      <c r="Q328" s="255">
        <v>0</v>
      </c>
      <c r="R328" s="255">
        <v>0</v>
      </c>
      <c r="S328" s="255">
        <v>0</v>
      </c>
      <c r="T328" s="255">
        <f>IF(Q328&gt;0,S328*100/Q328,0)</f>
        <v>0</v>
      </c>
      <c r="U328" s="255">
        <f>IF(R328&gt;0,S328*100/R328,0)</f>
        <v>0</v>
      </c>
    </row>
    <row r="329" spans="1:21" ht="19.5" hidden="1">
      <c r="A329" s="166"/>
      <c r="B329" s="167"/>
      <c r="C329" s="156" t="s">
        <v>18</v>
      </c>
      <c r="D329" s="566" t="s">
        <v>38</v>
      </c>
      <c r="E329" s="169"/>
      <c r="F329" s="169"/>
      <c r="G329" s="170"/>
      <c r="H329" s="171"/>
      <c r="I329" s="163"/>
      <c r="J329" s="54"/>
      <c r="K329" s="55"/>
      <c r="L329" s="62"/>
      <c r="M329" s="55"/>
      <c r="N329" s="55"/>
      <c r="O329" s="164"/>
      <c r="P329" s="164"/>
      <c r="Q329" s="55"/>
      <c r="R329" s="55"/>
      <c r="S329" s="55"/>
      <c r="T329" s="164"/>
      <c r="U329" s="164"/>
    </row>
    <row r="330" spans="1:21" ht="18.75" hidden="1">
      <c r="A330" s="166"/>
      <c r="B330" s="167"/>
      <c r="C330" s="167"/>
      <c r="D330" s="173" t="s">
        <v>134</v>
      </c>
      <c r="E330" s="174"/>
      <c r="F330" s="174"/>
      <c r="G330" s="171"/>
      <c r="H330" s="53" t="s">
        <v>133</v>
      </c>
      <c r="I330" s="212">
        <f ca="1">IFERROR(__xludf.DUMMYFUNCTION("IMPORTRANGE(""https://docs.google.com/spreadsheets/d/1eHaY18a8A9IcSdp1K8H6x8fbOy06t2VsZHhMHf-1x7Y/edit?usp=sharing"",""แผน!EJ41"")"),0)</f>
        <v>0</v>
      </c>
      <c r="J330" s="467">
        <v>0</v>
      </c>
      <c r="K330" s="255">
        <f ca="1">IF(I330&gt;0,J330*100/I330,0)</f>
        <v>0</v>
      </c>
      <c r="L330" s="62"/>
      <c r="M330" s="55"/>
      <c r="N330" s="55"/>
      <c r="O330" s="164"/>
      <c r="P330" s="164"/>
      <c r="Q330" s="55"/>
      <c r="R330" s="55"/>
      <c r="S330" s="55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1"/>
      <c r="I331" s="323"/>
      <c r="J331" s="323"/>
      <c r="K331" s="324"/>
      <c r="L331" s="325"/>
      <c r="M331" s="324"/>
      <c r="N331" s="324"/>
      <c r="O331" s="324"/>
      <c r="P331" s="324"/>
      <c r="Q331" s="324"/>
      <c r="R331" s="324"/>
      <c r="S331" s="324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30" t="s">
        <v>35</v>
      </c>
      <c r="I332" s="632">
        <f ca="1">I344</f>
        <v>2140</v>
      </c>
      <c r="J332" s="631">
        <f ca="1">J344+J347+J348+J349+J353+J354</f>
        <v>2689</v>
      </c>
      <c r="K332" s="630">
        <f ca="1">IF(I332&gt;0,J332*100/I332,0)</f>
        <v>125.65420560747664</v>
      </c>
      <c r="L332" s="334"/>
      <c r="M332" s="333"/>
      <c r="N332" s="333"/>
      <c r="O332" s="333"/>
      <c r="P332" s="333"/>
      <c r="Q332" s="333"/>
      <c r="R332" s="333"/>
      <c r="S332" s="333"/>
      <c r="T332" s="333"/>
      <c r="U332" s="333"/>
    </row>
    <row r="333" spans="1:21" ht="19.5">
      <c r="A333" s="155"/>
      <c r="B333" s="50"/>
      <c r="C333" s="156" t="s">
        <v>18</v>
      </c>
      <c r="D333" s="575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541">
        <f ca="1">L334+L335</f>
        <v>215200</v>
      </c>
      <c r="M333" s="540">
        <f ca="1">M334+M335</f>
        <v>220200</v>
      </c>
      <c r="N333" s="540">
        <f ca="1">N334+N335</f>
        <v>195969</v>
      </c>
      <c r="O333" s="540">
        <f ca="1">IF(L333&gt;0,N333*100/L333,0)</f>
        <v>91.063661710037181</v>
      </c>
      <c r="P333" s="540">
        <f ca="1">IF(M333&gt;0,N333*100/M333,0)</f>
        <v>88.995912806539508</v>
      </c>
      <c r="Q333" s="540">
        <f>Q334+Q335</f>
        <v>0</v>
      </c>
      <c r="R333" s="540">
        <f>R334+R335</f>
        <v>0</v>
      </c>
      <c r="S333" s="540">
        <f>S334+S335</f>
        <v>0</v>
      </c>
      <c r="T333" s="540">
        <f>IF(Q333&gt;0,S333*100/Q333,0)</f>
        <v>0</v>
      </c>
      <c r="U333" s="540">
        <f>IF(R333&gt;0,S333*100/R333,0)</f>
        <v>0</v>
      </c>
    </row>
    <row r="334" spans="1:21" ht="18.75" hidden="1">
      <c r="A334" s="155"/>
      <c r="B334" s="50"/>
      <c r="C334" s="50"/>
      <c r="D334" s="50"/>
      <c r="E334" s="186" t="s">
        <v>20</v>
      </c>
      <c r="F334" s="50"/>
      <c r="G334" s="52"/>
      <c r="H334" s="187" t="s">
        <v>14</v>
      </c>
      <c r="I334" s="54"/>
      <c r="J334" s="54"/>
      <c r="K334" s="55"/>
      <c r="L334" s="103">
        <f>L337+L340</f>
        <v>0</v>
      </c>
      <c r="M334" s="102">
        <f>M337+M340</f>
        <v>0</v>
      </c>
      <c r="N334" s="102">
        <f>N337+N340</f>
        <v>0</v>
      </c>
      <c r="O334" s="102">
        <f>IF(L334&gt;0,N334*100/L334,0)</f>
        <v>0</v>
      </c>
      <c r="P334" s="102">
        <f>IF(M334&gt;0,N334*100/M334,0)</f>
        <v>0</v>
      </c>
      <c r="Q334" s="102">
        <f>Q337+Q340</f>
        <v>0</v>
      </c>
      <c r="R334" s="102">
        <f>R337+R340</f>
        <v>0</v>
      </c>
      <c r="S334" s="102">
        <f>S337+S340</f>
        <v>0</v>
      </c>
      <c r="T334" s="102">
        <f>IF(Q334&gt;0,S334*100/Q334,0)</f>
        <v>0</v>
      </c>
      <c r="U334" s="102">
        <f>IF(R334&gt;0,S334*100/R334,0)</f>
        <v>0</v>
      </c>
    </row>
    <row r="335" spans="1:21" ht="18.75" hidden="1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256">
        <f ca="1">L338+L341</f>
        <v>215200</v>
      </c>
      <c r="M335" s="255">
        <f ca="1">M338+M341</f>
        <v>220200</v>
      </c>
      <c r="N335" s="255">
        <f ca="1">N338+N341</f>
        <v>195969</v>
      </c>
      <c r="O335" s="255">
        <f ca="1">IF(L335&gt;0,N335*100/L335,0)</f>
        <v>91.063661710037181</v>
      </c>
      <c r="P335" s="255">
        <f ca="1">IF(M335&gt;0,N335*100/M335,0)</f>
        <v>88.995912806539508</v>
      </c>
      <c r="Q335" s="255">
        <f>Q338+Q341</f>
        <v>0</v>
      </c>
      <c r="R335" s="255">
        <f>R338+R341</f>
        <v>0</v>
      </c>
      <c r="S335" s="255">
        <f>S338+S341</f>
        <v>0</v>
      </c>
      <c r="T335" s="255">
        <f>IF(Q335&gt;0,S335*100/Q335,0)</f>
        <v>0</v>
      </c>
      <c r="U335" s="255">
        <f>IF(R335&gt;0,S335*100/R335,0)</f>
        <v>0</v>
      </c>
    </row>
    <row r="336" spans="1:21" ht="18.75">
      <c r="A336" s="155"/>
      <c r="B336" s="50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256">
        <f ca="1">L337+L338</f>
        <v>215200</v>
      </c>
      <c r="M336" s="255">
        <f ca="1">M337+M338</f>
        <v>220200</v>
      </c>
      <c r="N336" s="255">
        <f ca="1">N337+N338</f>
        <v>195969</v>
      </c>
      <c r="O336" s="255">
        <f ca="1">IF(L336&gt;0,N336*100/L336,0)</f>
        <v>91.063661710037181</v>
      </c>
      <c r="P336" s="255">
        <f ca="1">IF(M336&gt;0,N336*100/M336,0)</f>
        <v>88.995912806539508</v>
      </c>
      <c r="Q336" s="255">
        <f>Q337+Q338</f>
        <v>0</v>
      </c>
      <c r="R336" s="255">
        <f>R337+R338</f>
        <v>0</v>
      </c>
      <c r="S336" s="255">
        <f>S337+S338</f>
        <v>0</v>
      </c>
      <c r="T336" s="255">
        <f>IF(Q336&gt;0,S336*100/Q336,0)</f>
        <v>0</v>
      </c>
      <c r="U336" s="255">
        <f>IF(R336&gt;0,S336*100/R336,0)</f>
        <v>0</v>
      </c>
    </row>
    <row r="337" spans="1:21" ht="18.75" hidden="1">
      <c r="A337" s="155"/>
      <c r="B337" s="50"/>
      <c r="C337" s="50"/>
      <c r="D337" s="50"/>
      <c r="E337" s="186" t="s">
        <v>36</v>
      </c>
      <c r="F337" s="50"/>
      <c r="G337" s="52"/>
      <c r="H337" s="189" t="s">
        <v>14</v>
      </c>
      <c r="I337" s="163"/>
      <c r="J337" s="163"/>
      <c r="K337" s="164"/>
      <c r="L337" s="103">
        <v>0</v>
      </c>
      <c r="M337" s="102">
        <v>0</v>
      </c>
      <c r="N337" s="102">
        <v>0</v>
      </c>
      <c r="O337" s="102">
        <f>IF(L337&gt;0,N337*100/L337,0)</f>
        <v>0</v>
      </c>
      <c r="P337" s="102">
        <f>IF(M337&gt;0,N337*100/M337,0)</f>
        <v>0</v>
      </c>
      <c r="Q337" s="102">
        <v>0</v>
      </c>
      <c r="R337" s="102">
        <v>0</v>
      </c>
      <c r="S337" s="102">
        <v>0</v>
      </c>
      <c r="T337" s="102">
        <f>IF(Q337&gt;0,S337*100/Q337,0)</f>
        <v>0</v>
      </c>
      <c r="U337" s="102">
        <f>IF(R337&gt;0,S337*100/R337,0)</f>
        <v>0</v>
      </c>
    </row>
    <row r="338" spans="1:21" ht="18.75" hidden="1">
      <c r="A338" s="155"/>
      <c r="B338" s="50"/>
      <c r="C338" s="50"/>
      <c r="D338" s="50"/>
      <c r="E338" s="58" t="s">
        <v>37</v>
      </c>
      <c r="F338" s="50"/>
      <c r="G338" s="52"/>
      <c r="H338" s="162" t="s">
        <v>14</v>
      </c>
      <c r="I338" s="163"/>
      <c r="J338" s="163"/>
      <c r="K338" s="164"/>
      <c r="L338" s="256">
        <f ca="1">IFERROR(__xludf.DUMMYFUNCTION("IMPORTRANGE(""https://docs.google.com/spreadsheets/d/1-uDff_7J0KD5mKrp0Vvzr7lt3OU09vwQwhkpOPPYv2Y/edit?usp=sharing"",""งบพรบ!ES41"")"),215200)</f>
        <v>215200</v>
      </c>
      <c r="M338" s="255">
        <f ca="1">IFERROR(__xludf.DUMMYFUNCTION("IMPORTRANGE(""https://docs.google.com/spreadsheets/d/1-uDff_7J0KD5mKrp0Vvzr7lt3OU09vwQwhkpOPPYv2Y/edit?usp=sharing"",""งบพรบ!EX41"")"),220200)</f>
        <v>220200</v>
      </c>
      <c r="N338" s="255">
        <f ca="1">IFERROR(__xludf.DUMMYFUNCTION("IMPORTRANGE(""https://docs.google.com/spreadsheets/d/1-uDff_7J0KD5mKrp0Vvzr7lt3OU09vwQwhkpOPPYv2Y/edit?usp=sharing"",""งบพรบ!EZ41"")"),195969)</f>
        <v>195969</v>
      </c>
      <c r="O338" s="255">
        <f ca="1">IF(L338&gt;0,N338*100/L338,0)</f>
        <v>91.063661710037181</v>
      </c>
      <c r="P338" s="255">
        <f ca="1">IF(M338&gt;0,N338*100/M338,0)</f>
        <v>88.995912806539508</v>
      </c>
      <c r="Q338" s="255">
        <v>0</v>
      </c>
      <c r="R338" s="255">
        <v>0</v>
      </c>
      <c r="S338" s="255">
        <v>0</v>
      </c>
      <c r="T338" s="255">
        <f>IF(Q338&gt;0,S338*100/Q338,0)</f>
        <v>0</v>
      </c>
      <c r="U338" s="255">
        <f>IF(R338&gt;0,S338*100/R338,0)</f>
        <v>0</v>
      </c>
    </row>
    <row r="339" spans="1:21" ht="18.75">
      <c r="A339" s="155"/>
      <c r="B339" s="50"/>
      <c r="C339" s="50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256">
        <f ca="1">L340+L341</f>
        <v>0</v>
      </c>
      <c r="M339" s="255">
        <f ca="1">M340+M341</f>
        <v>0</v>
      </c>
      <c r="N339" s="255">
        <f ca="1">N340+N341</f>
        <v>0</v>
      </c>
      <c r="O339" s="255">
        <f ca="1">IF(L339&gt;0,N339*100/L339,0)</f>
        <v>0</v>
      </c>
      <c r="P339" s="255">
        <f ca="1">IF(M339&gt;0,N339*100/M339,0)</f>
        <v>0</v>
      </c>
      <c r="Q339" s="255">
        <f>Q340+Q341</f>
        <v>0</v>
      </c>
      <c r="R339" s="255">
        <f>R340+R341</f>
        <v>0</v>
      </c>
      <c r="S339" s="255">
        <f>S340+S341</f>
        <v>0</v>
      </c>
      <c r="T339" s="255">
        <f>IF(Q339&gt;0,S339*100/Q339,0)</f>
        <v>0</v>
      </c>
      <c r="U339" s="255">
        <f>IF(R339&gt;0,S339*100/R339,0)</f>
        <v>0</v>
      </c>
    </row>
    <row r="340" spans="1:21" ht="18.75" hidden="1">
      <c r="A340" s="155"/>
      <c r="B340" s="50"/>
      <c r="C340" s="50"/>
      <c r="D340" s="50"/>
      <c r="E340" s="186" t="s">
        <v>20</v>
      </c>
      <c r="F340" s="50"/>
      <c r="G340" s="52"/>
      <c r="H340" s="189" t="s">
        <v>14</v>
      </c>
      <c r="I340" s="163"/>
      <c r="J340" s="163"/>
      <c r="K340" s="164"/>
      <c r="L340" s="103">
        <v>0</v>
      </c>
      <c r="M340" s="102">
        <v>0</v>
      </c>
      <c r="N340" s="102">
        <v>0</v>
      </c>
      <c r="O340" s="102">
        <f>IF(L340&gt;0,N340*100/L340,0)</f>
        <v>0</v>
      </c>
      <c r="P340" s="102">
        <f>IF(M340&gt;0,N340*100/M340,0)</f>
        <v>0</v>
      </c>
      <c r="Q340" s="102">
        <v>0</v>
      </c>
      <c r="R340" s="102">
        <v>0</v>
      </c>
      <c r="S340" s="102">
        <v>0</v>
      </c>
      <c r="T340" s="102">
        <f>IF(Q340&gt;0,S340*100/Q340,0)</f>
        <v>0</v>
      </c>
      <c r="U340" s="102">
        <f>IF(R340&gt;0,S340*100/R340,0)</f>
        <v>0</v>
      </c>
    </row>
    <row r="341" spans="1:21" ht="18.75" hidden="1">
      <c r="A341" s="155"/>
      <c r="B341" s="50"/>
      <c r="C341" s="50"/>
      <c r="D341" s="50"/>
      <c r="E341" s="58" t="s">
        <v>21</v>
      </c>
      <c r="F341" s="50"/>
      <c r="G341" s="52"/>
      <c r="H341" s="165" t="s">
        <v>14</v>
      </c>
      <c r="I341" s="163"/>
      <c r="J341" s="163"/>
      <c r="K341" s="164"/>
      <c r="L341" s="256">
        <f ca="1">IFERROR(__xludf.DUMMYFUNCTION("IMPORTRANGE(""https://docs.google.com/spreadsheets/d/1-uDff_7J0KD5mKrp0Vvzr7lt3OU09vwQwhkpOPPYv2Y/edit?usp=sharing"",""งบพรบ!EV41"")"),0)</f>
        <v>0</v>
      </c>
      <c r="M341" s="255">
        <f ca="1">IFERROR(__xludf.DUMMYFUNCTION("IMPORTRANGE(""https://docs.google.com/spreadsheets/d/1-uDff_7J0KD5mKrp0Vvzr7lt3OU09vwQwhkpOPPYv2Y/edit?usp=sharing"",""งบพรบ!EY41"")"),0)</f>
        <v>0</v>
      </c>
      <c r="N341" s="255">
        <f ca="1">IFERROR(__xludf.DUMMYFUNCTION("IMPORTRANGE(""https://docs.google.com/spreadsheets/d/1-uDff_7J0KD5mKrp0Vvzr7lt3OU09vwQwhkpOPPYv2Y/edit?usp=sharing"",""งบพรบ!FA41"")"),0)</f>
        <v>0</v>
      </c>
      <c r="O341" s="255">
        <f ca="1">IF(L341&gt;0,N341*100/L341,0)</f>
        <v>0</v>
      </c>
      <c r="P341" s="255">
        <f ca="1">IF(M341&gt;0,N341*100/M341,0)</f>
        <v>0</v>
      </c>
      <c r="Q341" s="255">
        <v>0</v>
      </c>
      <c r="R341" s="255">
        <v>0</v>
      </c>
      <c r="S341" s="255">
        <v>0</v>
      </c>
      <c r="T341" s="255">
        <f>IF(Q341&gt;0,S341*100/Q341,0)</f>
        <v>0</v>
      </c>
      <c r="U341" s="255">
        <f>IF(R341&gt;0,S341*100/R341,0)</f>
        <v>0</v>
      </c>
    </row>
    <row r="342" spans="1:21" ht="19.5">
      <c r="A342" s="166"/>
      <c r="B342" s="167"/>
      <c r="C342" s="156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62"/>
      <c r="M342" s="55"/>
      <c r="N342" s="55"/>
      <c r="O342" s="164"/>
      <c r="P342" s="164"/>
      <c r="Q342" s="55"/>
      <c r="R342" s="55"/>
      <c r="S342" s="55"/>
      <c r="T342" s="164"/>
      <c r="U342" s="164"/>
    </row>
    <row r="343" spans="1:21" ht="19.5">
      <c r="A343" s="629"/>
      <c r="B343" s="626"/>
      <c r="C343" s="628"/>
      <c r="D343" s="626"/>
      <c r="E343" s="627" t="s">
        <v>137</v>
      </c>
      <c r="F343" s="626"/>
      <c r="G343" s="625"/>
      <c r="H343" s="624" t="s">
        <v>35</v>
      </c>
      <c r="I343" s="623">
        <v>0</v>
      </c>
      <c r="J343" s="623">
        <f ca="1">J344+J347+J348+J349</f>
        <v>1505</v>
      </c>
      <c r="K343" s="622">
        <v>0</v>
      </c>
      <c r="L343" s="250"/>
      <c r="M343" s="249"/>
      <c r="N343" s="249"/>
      <c r="O343" s="249"/>
      <c r="P343" s="249"/>
      <c r="Q343" s="249"/>
      <c r="R343" s="249"/>
      <c r="S343" s="249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40" t="s">
        <v>35</v>
      </c>
      <c r="I344" s="212">
        <f ca="1">IFERROR(__xludf.DUMMYFUNCTION("IMPORTRANGE(""https://docs.google.com/spreadsheets/d/1eHaY18a8A9IcSdp1K8H6x8fbOy06t2VsZHhMHf-1x7Y/edit?usp=sharing"",""แผน!EK41"")"),2140)</f>
        <v>2140</v>
      </c>
      <c r="J344" s="212">
        <f ca="1">IFERROR(__xludf.DUMMYFUNCTION("IMPORTRANGE(""https://docs.google.com/spreadsheets/d/1awYsYK3VOup2i3Pq_Yjnu8DRu_mYwSBnCR2QPthd0rU/edit?usp=sharing"",""ศูนย์ยกเว้นโฉนด!D41"")"),1388)</f>
        <v>1388</v>
      </c>
      <c r="K344" s="255">
        <f ca="1">IF(I344&gt;0,J344*100/I344,0)</f>
        <v>64.859813084112147</v>
      </c>
      <c r="L344" s="62"/>
      <c r="M344" s="55"/>
      <c r="N344" s="55"/>
      <c r="O344" s="55"/>
      <c r="P344" s="55"/>
      <c r="Q344" s="55"/>
      <c r="R344" s="55"/>
      <c r="S344" s="55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62"/>
      <c r="M345" s="55"/>
      <c r="N345" s="55"/>
      <c r="O345" s="55"/>
      <c r="P345" s="55"/>
      <c r="Q345" s="55"/>
      <c r="R345" s="55"/>
      <c r="S345" s="55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212">
        <f ca="1">IFERROR(__xludf.DUMMYFUNCTION("IMPORTRANGE(""https://docs.google.com/spreadsheets/d/1eHaY18a8A9IcSdp1K8H6x8fbOy06t2VsZHhMHf-1x7Y/edit?usp=sharing"",""แผน!EL41"")"),5)</f>
        <v>5</v>
      </c>
      <c r="J346" s="212">
        <f ca="1">IFERROR(__xludf.DUMMYFUNCTION("IMPORTRANGE(""https://docs.google.com/spreadsheets/d/1awYsYK3VOup2i3Pq_Yjnu8DRu_mYwSBnCR2QPthd0rU/edit?usp=sharing"",""ศูนย์รวม!E41"")"),10)</f>
        <v>10</v>
      </c>
      <c r="K346" s="255">
        <f ca="1">IF(I346&gt;0,J346*100/I346,0)</f>
        <v>200</v>
      </c>
      <c r="L346" s="62"/>
      <c r="M346" s="55"/>
      <c r="N346" s="55"/>
      <c r="O346" s="55"/>
      <c r="P346" s="55"/>
      <c r="Q346" s="55"/>
      <c r="R346" s="55"/>
      <c r="S346" s="55"/>
      <c r="T346" s="55"/>
      <c r="U346" s="55"/>
    </row>
    <row r="347" spans="1:21" ht="18.75">
      <c r="A347" s="238"/>
      <c r="B347" s="50"/>
      <c r="C347" s="188"/>
      <c r="D347" s="174"/>
      <c r="E347" s="174"/>
      <c r="F347" s="178" t="s">
        <v>142</v>
      </c>
      <c r="G347" s="52"/>
      <c r="H347" s="203" t="s">
        <v>35</v>
      </c>
      <c r="I347" s="54"/>
      <c r="J347" s="212">
        <f ca="1">IFERROR(__xludf.DUMMYFUNCTION("IMPORTRANGE(""https://docs.google.com/spreadsheets/d/1awYsYK3VOup2i3Pq_Yjnu8DRu_mYwSBnCR2QPthd0rU/edit?usp=sharing"",""ศูนย์ยกเว้นโฉนด!F41"")"),115)</f>
        <v>115</v>
      </c>
      <c r="K347" s="55"/>
      <c r="L347" s="62"/>
      <c r="M347" s="55"/>
      <c r="N347" s="55"/>
      <c r="O347" s="55"/>
      <c r="P347" s="55"/>
      <c r="Q347" s="55"/>
      <c r="R347" s="55"/>
      <c r="S347" s="55"/>
      <c r="T347" s="55"/>
      <c r="U347" s="55"/>
    </row>
    <row r="348" spans="1:21" ht="18.75">
      <c r="A348" s="238"/>
      <c r="B348" s="50"/>
      <c r="C348" s="188"/>
      <c r="D348" s="174"/>
      <c r="E348" s="178" t="s">
        <v>143</v>
      </c>
      <c r="F348" s="174"/>
      <c r="G348" s="52"/>
      <c r="H348" s="203" t="s">
        <v>35</v>
      </c>
      <c r="I348" s="54"/>
      <c r="J348" s="212">
        <f ca="1">IFERROR(__xludf.DUMMYFUNCTION("IMPORTRANGE(""https://docs.google.com/spreadsheets/d/1awYsYK3VOup2i3Pq_Yjnu8DRu_mYwSBnCR2QPthd0rU/edit?usp=sharing"",""ศูนย์ยกเว้นโฉนด!G41"")"),2)</f>
        <v>2</v>
      </c>
      <c r="K348" s="55"/>
      <c r="L348" s="62"/>
      <c r="M348" s="55"/>
      <c r="N348" s="55"/>
      <c r="O348" s="55"/>
      <c r="P348" s="55"/>
      <c r="Q348" s="55"/>
      <c r="R348" s="55"/>
      <c r="S348" s="55"/>
      <c r="T348" s="55"/>
      <c r="U348" s="55"/>
    </row>
    <row r="349" spans="1:21" ht="18.75">
      <c r="A349" s="238"/>
      <c r="B349" s="50"/>
      <c r="C349" s="188"/>
      <c r="D349" s="167"/>
      <c r="E349" s="178" t="s">
        <v>144</v>
      </c>
      <c r="F349" s="174"/>
      <c r="G349" s="52"/>
      <c r="H349" s="203" t="s">
        <v>35</v>
      </c>
      <c r="I349" s="54"/>
      <c r="J349" s="212">
        <f ca="1">IFERROR(__xludf.DUMMYFUNCTION("IMPORTRANGE(""https://docs.google.com/spreadsheets/d/1awYsYK3VOup2i3Pq_Yjnu8DRu_mYwSBnCR2QPthd0rU/edit?usp=sharing"",""ศูนย์ยกเว้นโฉนด!H41"")"),0)</f>
        <v>0</v>
      </c>
      <c r="K349" s="55"/>
      <c r="L349" s="62"/>
      <c r="M349" s="55"/>
      <c r="N349" s="55"/>
      <c r="O349" s="55"/>
      <c r="P349" s="55"/>
      <c r="Q349" s="55"/>
      <c r="R349" s="55"/>
      <c r="S349" s="55"/>
      <c r="T349" s="55"/>
      <c r="U349" s="55"/>
    </row>
    <row r="350" spans="1:21" ht="16.5">
      <c r="A350" s="18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0" s="50"/>
      <c r="F350" s="50"/>
      <c r="G350" s="52"/>
      <c r="H350" s="208"/>
      <c r="I350" s="54"/>
      <c r="J350" s="54"/>
      <c r="K350" s="55"/>
      <c r="L350" s="62"/>
      <c r="M350" s="55"/>
      <c r="N350" s="55"/>
      <c r="O350" s="55"/>
      <c r="P350" s="55"/>
      <c r="Q350" s="55"/>
      <c r="R350" s="55"/>
      <c r="S350" s="55"/>
      <c r="T350" s="55"/>
      <c r="U350" s="55"/>
    </row>
    <row r="351" spans="1:21" ht="19.5">
      <c r="A351" s="241"/>
      <c r="B351" s="244"/>
      <c r="C351" s="242"/>
      <c r="D351" s="244"/>
      <c r="E351" s="621" t="s">
        <v>145</v>
      </c>
      <c r="F351" s="244"/>
      <c r="G351" s="245"/>
      <c r="H351" s="246" t="s">
        <v>35</v>
      </c>
      <c r="I351" s="339">
        <v>0</v>
      </c>
      <c r="J351" s="339">
        <f ca="1">J352+J353+J354</f>
        <v>2714</v>
      </c>
      <c r="K351" s="340">
        <v>0</v>
      </c>
      <c r="L351" s="250"/>
      <c r="M351" s="249"/>
      <c r="N351" s="249"/>
      <c r="O351" s="249"/>
      <c r="P351" s="249"/>
      <c r="Q351" s="249"/>
      <c r="R351" s="249"/>
      <c r="S351" s="249"/>
      <c r="T351" s="249"/>
      <c r="U351" s="249"/>
    </row>
    <row r="352" spans="1:21" ht="18.75">
      <c r="A352" s="188"/>
      <c r="B352" s="50"/>
      <c r="C352" s="188"/>
      <c r="D352" s="174"/>
      <c r="E352" s="178" t="s">
        <v>146</v>
      </c>
      <c r="F352" s="50"/>
      <c r="G352" s="52"/>
      <c r="H352" s="161" t="s">
        <v>35</v>
      </c>
      <c r="I352" s="54"/>
      <c r="J352" s="212">
        <f ca="1">IFERROR(__xludf.DUMMYFUNCTION("IMPORTRANGE(""https://docs.google.com/spreadsheets/d/1awYsYK3VOup2i3Pq_Yjnu8DRu_mYwSBnCR2QPthd0rU/edit?usp=sharing"",""โฉนดM3!G41"")"),1530)</f>
        <v>1530</v>
      </c>
      <c r="K352" s="55"/>
      <c r="L352" s="62"/>
      <c r="M352" s="55"/>
      <c r="N352" s="55"/>
      <c r="O352" s="55"/>
      <c r="P352" s="55"/>
      <c r="Q352" s="55"/>
      <c r="R352" s="55"/>
      <c r="S352" s="55"/>
      <c r="T352" s="55"/>
      <c r="U352" s="55"/>
    </row>
    <row r="353" spans="1:21" ht="18.75">
      <c r="A353" s="18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212">
        <f ca="1">IFERROR(__xludf.DUMMYFUNCTION("IMPORTRANGE(""https://docs.google.com/spreadsheets/d/1awYsYK3VOup2i3Pq_Yjnu8DRu_mYwSBnCR2QPthd0rU/edit?usp=sharing"",""โฉนดM3!H41"")"),1183)</f>
        <v>1183</v>
      </c>
      <c r="K353" s="55"/>
      <c r="L353" s="62"/>
      <c r="M353" s="55"/>
      <c r="N353" s="55"/>
      <c r="O353" s="55"/>
      <c r="P353" s="55"/>
      <c r="Q353" s="55"/>
      <c r="R353" s="55"/>
      <c r="S353" s="55"/>
      <c r="T353" s="55"/>
      <c r="U353" s="55"/>
    </row>
    <row r="354" spans="1:21" ht="18.75">
      <c r="A354" s="343"/>
      <c r="B354" s="344"/>
      <c r="C354" s="343"/>
      <c r="D354" s="343"/>
      <c r="E354" s="345" t="s">
        <v>148</v>
      </c>
      <c r="F354" s="344"/>
      <c r="G354" s="346"/>
      <c r="H354" s="347" t="s">
        <v>35</v>
      </c>
      <c r="I354" s="348"/>
      <c r="J354" s="349">
        <f ca="1">IFERROR(__xludf.DUMMYFUNCTION("IMPORTRANGE(""https://docs.google.com/spreadsheets/d/1awYsYK3VOup2i3Pq_Yjnu8DRu_mYwSBnCR2QPthd0rU/edit?usp=sharing"",""โฉนดM3!I41"")"),1)</f>
        <v>1</v>
      </c>
      <c r="K354" s="350"/>
      <c r="L354" s="350"/>
      <c r="M354" s="350"/>
      <c r="N354" s="350"/>
      <c r="O354" s="350"/>
      <c r="P354" s="350"/>
      <c r="Q354" s="350"/>
      <c r="R354" s="350"/>
      <c r="S354" s="350"/>
      <c r="T354" s="350"/>
      <c r="U354" s="350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29"/>
      <c r="I355" s="351"/>
      <c r="J355" s="351"/>
      <c r="K355" s="333"/>
      <c r="L355" s="334"/>
      <c r="M355" s="333"/>
      <c r="N355" s="333"/>
      <c r="O355" s="333"/>
      <c r="P355" s="333"/>
      <c r="Q355" s="333"/>
      <c r="R355" s="333"/>
      <c r="S355" s="333"/>
      <c r="T355" s="333"/>
      <c r="U355" s="333"/>
    </row>
    <row r="356" spans="1:21" ht="19.5">
      <c r="A356" s="155"/>
      <c r="B356" s="50"/>
      <c r="C356" s="156" t="s">
        <v>18</v>
      </c>
      <c r="D356" s="575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541">
        <f ca="1">L357+L358</f>
        <v>350375</v>
      </c>
      <c r="M356" s="540">
        <f ca="1">M357+M358</f>
        <v>350375</v>
      </c>
      <c r="N356" s="540">
        <f ca="1">N357+N358</f>
        <v>223403</v>
      </c>
      <c r="O356" s="540">
        <f ca="1">IF(L356&gt;0,N356*100/L356,0)</f>
        <v>63.761113093114517</v>
      </c>
      <c r="P356" s="540">
        <f ca="1">IF(M356&gt;0,N356*100/M356,0)</f>
        <v>63.761113093114517</v>
      </c>
      <c r="Q356" s="540">
        <f>Q357+Q358</f>
        <v>0</v>
      </c>
      <c r="R356" s="540">
        <f>R357+R358</f>
        <v>0</v>
      </c>
      <c r="S356" s="540">
        <f>S357+S358</f>
        <v>0</v>
      </c>
      <c r="T356" s="540">
        <f>IF(Q356&gt;0,S356*100/Q356,0)</f>
        <v>0</v>
      </c>
      <c r="U356" s="540">
        <f>IF(R356&gt;0,S356*100/R356,0)</f>
        <v>0</v>
      </c>
    </row>
    <row r="357" spans="1:21" ht="18.75" hidden="1">
      <c r="A357" s="155"/>
      <c r="B357" s="50"/>
      <c r="C357" s="50"/>
      <c r="D357" s="50"/>
      <c r="E357" s="186" t="s">
        <v>20</v>
      </c>
      <c r="F357" s="50"/>
      <c r="G357" s="52"/>
      <c r="H357" s="187" t="s">
        <v>14</v>
      </c>
      <c r="I357" s="54"/>
      <c r="J357" s="54"/>
      <c r="K357" s="55"/>
      <c r="L357" s="103">
        <f>L360+L363</f>
        <v>0</v>
      </c>
      <c r="M357" s="102">
        <f>M360+M363</f>
        <v>0</v>
      </c>
      <c r="N357" s="102">
        <f>N360+N363</f>
        <v>0</v>
      </c>
      <c r="O357" s="102">
        <f>IF(L357&gt;0,N357*100/L357,0)</f>
        <v>0</v>
      </c>
      <c r="P357" s="102">
        <f>IF(M357&gt;0,N357*100/M357,0)</f>
        <v>0</v>
      </c>
      <c r="Q357" s="102">
        <f>Q360+Q363</f>
        <v>0</v>
      </c>
      <c r="R357" s="102">
        <f>R360+R363</f>
        <v>0</v>
      </c>
      <c r="S357" s="102">
        <f>S360+S363</f>
        <v>0</v>
      </c>
      <c r="T357" s="102">
        <f>IF(Q357&gt;0,S357*100/Q357,0)</f>
        <v>0</v>
      </c>
      <c r="U357" s="102">
        <f>IF(R357&gt;0,S357*100/R357,0)</f>
        <v>0</v>
      </c>
    </row>
    <row r="358" spans="1:21" ht="18.75" hidden="1">
      <c r="A358" s="155"/>
      <c r="B358" s="50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256">
        <f ca="1">L361+L364</f>
        <v>350375</v>
      </c>
      <c r="M358" s="255">
        <f ca="1">M361+M364</f>
        <v>350375</v>
      </c>
      <c r="N358" s="255">
        <f ca="1">N361+N364</f>
        <v>223403</v>
      </c>
      <c r="O358" s="255">
        <f ca="1">IF(L358&gt;0,N358*100/L358,0)</f>
        <v>63.761113093114517</v>
      </c>
      <c r="P358" s="255">
        <f ca="1">IF(M358&gt;0,N358*100/M358,0)</f>
        <v>63.761113093114517</v>
      </c>
      <c r="Q358" s="255">
        <f>Q361+Q364</f>
        <v>0</v>
      </c>
      <c r="R358" s="255">
        <f>R361+R364</f>
        <v>0</v>
      </c>
      <c r="S358" s="255">
        <f>S361+S364</f>
        <v>0</v>
      </c>
      <c r="T358" s="255">
        <f>IF(Q358&gt;0,S358*100/Q358,0)</f>
        <v>0</v>
      </c>
      <c r="U358" s="255">
        <f>IF(R358&gt;0,S358*100/R358,0)</f>
        <v>0</v>
      </c>
    </row>
    <row r="359" spans="1:21" ht="18.75">
      <c r="A359" s="155"/>
      <c r="B359" s="50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256">
        <f ca="1">L360+L361</f>
        <v>350375</v>
      </c>
      <c r="M359" s="255">
        <f ca="1">M360+M361</f>
        <v>350375</v>
      </c>
      <c r="N359" s="255">
        <f ca="1">N360+N361</f>
        <v>223403</v>
      </c>
      <c r="O359" s="255">
        <f ca="1">IF(L359&gt;0,N359*100/L359,0)</f>
        <v>63.761113093114517</v>
      </c>
      <c r="P359" s="255">
        <f ca="1">IF(M359&gt;0,N359*100/M359,0)</f>
        <v>63.761113093114517</v>
      </c>
      <c r="Q359" s="255">
        <f>Q360+Q361</f>
        <v>0</v>
      </c>
      <c r="R359" s="255">
        <f>R360+R361</f>
        <v>0</v>
      </c>
      <c r="S359" s="255">
        <f>S360+S361</f>
        <v>0</v>
      </c>
      <c r="T359" s="255">
        <f>IF(Q359&gt;0,S359*100/Q359,0)</f>
        <v>0</v>
      </c>
      <c r="U359" s="255">
        <f>IF(R359&gt;0,S359*100/R359,0)</f>
        <v>0</v>
      </c>
    </row>
    <row r="360" spans="1:21" ht="18.75" hidden="1">
      <c r="A360" s="155"/>
      <c r="B360" s="50"/>
      <c r="C360" s="50"/>
      <c r="D360" s="50"/>
      <c r="E360" s="186" t="s">
        <v>36</v>
      </c>
      <c r="F360" s="50"/>
      <c r="G360" s="52"/>
      <c r="H360" s="189" t="s">
        <v>14</v>
      </c>
      <c r="I360" s="163"/>
      <c r="J360" s="163"/>
      <c r="K360" s="164"/>
      <c r="L360" s="103">
        <v>0</v>
      </c>
      <c r="M360" s="102">
        <v>0</v>
      </c>
      <c r="N360" s="102">
        <v>0</v>
      </c>
      <c r="O360" s="102">
        <f>IF(L360&gt;0,N360*100/L360,0)</f>
        <v>0</v>
      </c>
      <c r="P360" s="102">
        <f>IF(M360&gt;0,N360*100/M360,0)</f>
        <v>0</v>
      </c>
      <c r="Q360" s="102">
        <v>0</v>
      </c>
      <c r="R360" s="102">
        <v>0</v>
      </c>
      <c r="S360" s="102">
        <v>0</v>
      </c>
      <c r="T360" s="102">
        <f>IF(Q360&gt;0,S360*100/Q360,0)</f>
        <v>0</v>
      </c>
      <c r="U360" s="102">
        <f>IF(R360&gt;0,S360*100/R360,0)</f>
        <v>0</v>
      </c>
    </row>
    <row r="361" spans="1:21" ht="18.75" hidden="1">
      <c r="A361" s="155"/>
      <c r="B361" s="50"/>
      <c r="C361" s="50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256">
        <f ca="1">IFERROR(__xludf.DUMMYFUNCTION("IMPORTRANGE(""https://docs.google.com/spreadsheets/d/1-uDff_7J0KD5mKrp0Vvzr7lt3OU09vwQwhkpOPPYv2Y/edit?usp=sharing"",""งบพรบ!FC41"")"),350375)</f>
        <v>350375</v>
      </c>
      <c r="M361" s="255">
        <f ca="1">IFERROR(__xludf.DUMMYFUNCTION("IMPORTRANGE(""https://docs.google.com/spreadsheets/d/1-uDff_7J0KD5mKrp0Vvzr7lt3OU09vwQwhkpOPPYv2Y/edit?usp=sharing"",""งบพรบ!FH41"")"),350375)</f>
        <v>350375</v>
      </c>
      <c r="N361" s="255">
        <f ca="1">IFERROR(__xludf.DUMMYFUNCTION("IMPORTRANGE(""https://docs.google.com/spreadsheets/d/1-uDff_7J0KD5mKrp0Vvzr7lt3OU09vwQwhkpOPPYv2Y/edit?usp=sharing"",""งบพรบ!FJ41"")"),223403)</f>
        <v>223403</v>
      </c>
      <c r="O361" s="255">
        <f ca="1">IF(L361&gt;0,N361*100/L361,0)</f>
        <v>63.761113093114517</v>
      </c>
      <c r="P361" s="255">
        <f ca="1">IF(M361&gt;0,N361*100/M361,0)</f>
        <v>63.761113093114517</v>
      </c>
      <c r="Q361" s="255">
        <v>0</v>
      </c>
      <c r="R361" s="255">
        <v>0</v>
      </c>
      <c r="S361" s="255">
        <v>0</v>
      </c>
      <c r="T361" s="255">
        <f>IF(Q361&gt;0,S361*100/Q361,0)</f>
        <v>0</v>
      </c>
      <c r="U361" s="255">
        <f>IF(R361&gt;0,S361*100/R361,0)</f>
        <v>0</v>
      </c>
    </row>
    <row r="362" spans="1:21" ht="18.75">
      <c r="A362" s="155"/>
      <c r="B362" s="50"/>
      <c r="C362" s="50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256">
        <f ca="1">L363+L364</f>
        <v>0</v>
      </c>
      <c r="M362" s="255">
        <f ca="1">M363+M364</f>
        <v>0</v>
      </c>
      <c r="N362" s="255">
        <f ca="1">N363+N364</f>
        <v>0</v>
      </c>
      <c r="O362" s="255">
        <f ca="1">IF(L362&gt;0,N362*100/L362,0)</f>
        <v>0</v>
      </c>
      <c r="P362" s="255">
        <f ca="1">IF(M362&gt;0,N362*100/M362,0)</f>
        <v>0</v>
      </c>
      <c r="Q362" s="255">
        <f>Q363+Q364</f>
        <v>0</v>
      </c>
      <c r="R362" s="255">
        <f>R363+R364</f>
        <v>0</v>
      </c>
      <c r="S362" s="255">
        <f>S363+S364</f>
        <v>0</v>
      </c>
      <c r="T362" s="255">
        <f>IF(Q362&gt;0,S362*100/Q362,0)</f>
        <v>0</v>
      </c>
      <c r="U362" s="255">
        <f>IF(R362&gt;0,S362*100/R362,0)</f>
        <v>0</v>
      </c>
    </row>
    <row r="363" spans="1:21" ht="18.75" hidden="1">
      <c r="A363" s="155"/>
      <c r="B363" s="50"/>
      <c r="C363" s="50"/>
      <c r="D363" s="50"/>
      <c r="E363" s="186" t="s">
        <v>20</v>
      </c>
      <c r="F363" s="50"/>
      <c r="G363" s="52"/>
      <c r="H363" s="189" t="s">
        <v>14</v>
      </c>
      <c r="I363" s="163"/>
      <c r="J363" s="163"/>
      <c r="K363" s="164"/>
      <c r="L363" s="103">
        <v>0</v>
      </c>
      <c r="M363" s="102">
        <v>0</v>
      </c>
      <c r="N363" s="102">
        <v>0</v>
      </c>
      <c r="O363" s="102">
        <f>IF(L363&gt;0,N363*100/L363,0)</f>
        <v>0</v>
      </c>
      <c r="P363" s="102">
        <f>IF(M363&gt;0,N363*100/M363,0)</f>
        <v>0</v>
      </c>
      <c r="Q363" s="102">
        <v>0</v>
      </c>
      <c r="R363" s="102">
        <v>0</v>
      </c>
      <c r="S363" s="102">
        <v>0</v>
      </c>
      <c r="T363" s="102">
        <f>IF(Q363&gt;0,S363*100/Q363,0)</f>
        <v>0</v>
      </c>
      <c r="U363" s="102">
        <f>IF(R363&gt;0,S363*100/R363,0)</f>
        <v>0</v>
      </c>
    </row>
    <row r="364" spans="1:21" ht="18.75" hidden="1">
      <c r="A364" s="155"/>
      <c r="B364" s="50"/>
      <c r="C364" s="50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256">
        <f ca="1">IFERROR(__xludf.DUMMYFUNCTION("IMPORTRANGE(""https://docs.google.com/spreadsheets/d/1-uDff_7J0KD5mKrp0Vvzr7lt3OU09vwQwhkpOPPYv2Y/edit?usp=sharing"",""งบพรบ!FF41"")"),0)</f>
        <v>0</v>
      </c>
      <c r="M364" s="255">
        <f ca="1">IFERROR(__xludf.DUMMYFUNCTION("IMPORTRANGE(""https://docs.google.com/spreadsheets/d/1-uDff_7J0KD5mKrp0Vvzr7lt3OU09vwQwhkpOPPYv2Y/edit?usp=sharing"",""งบพรบ!FI41"")"),0)</f>
        <v>0</v>
      </c>
      <c r="N364" s="255">
        <f ca="1">IFERROR(__xludf.DUMMYFUNCTION("IMPORTRANGE(""https://docs.google.com/spreadsheets/d/1-uDff_7J0KD5mKrp0Vvzr7lt3OU09vwQwhkpOPPYv2Y/edit?usp=sharing"",""งบพรบ!FK41"")"),0)</f>
        <v>0</v>
      </c>
      <c r="O364" s="255">
        <f ca="1">IF(L364&gt;0,N364*100/L364,0)</f>
        <v>0</v>
      </c>
      <c r="P364" s="255">
        <f ca="1">IF(M364&gt;0,N364*100/M364,0)</f>
        <v>0</v>
      </c>
      <c r="Q364" s="255">
        <v>0</v>
      </c>
      <c r="R364" s="255">
        <v>0</v>
      </c>
      <c r="S364" s="255">
        <v>0</v>
      </c>
      <c r="T364" s="255">
        <f>IF(Q364&gt;0,S364*100/Q364,0)</f>
        <v>0</v>
      </c>
      <c r="U364" s="255">
        <f>IF(R364&gt;0,S364*100/R364,0)</f>
        <v>0</v>
      </c>
    </row>
    <row r="365" spans="1:21" ht="19.5">
      <c r="A365" s="241"/>
      <c r="B365" s="242"/>
      <c r="C365" s="244"/>
      <c r="D365" s="621" t="s">
        <v>150</v>
      </c>
      <c r="E365" s="244"/>
      <c r="F365" s="244"/>
      <c r="G365" s="245"/>
      <c r="H365" s="254" t="s">
        <v>35</v>
      </c>
      <c r="I365" s="339">
        <f ca="1">I371</f>
        <v>402</v>
      </c>
      <c r="J365" s="339">
        <f ca="1">J371</f>
        <v>408</v>
      </c>
      <c r="K365" s="340">
        <f ca="1">IF(I365&gt;0,J365*100/I365,0)</f>
        <v>101.49253731343283</v>
      </c>
      <c r="L365" s="250"/>
      <c r="M365" s="249"/>
      <c r="N365" s="249"/>
      <c r="O365" s="249"/>
      <c r="P365" s="249"/>
      <c r="Q365" s="249"/>
      <c r="R365" s="249"/>
      <c r="S365" s="249"/>
      <c r="T365" s="249"/>
      <c r="U365" s="249"/>
    </row>
    <row r="366" spans="1:21" ht="19.5">
      <c r="A366" s="166"/>
      <c r="B366" s="167"/>
      <c r="C366" s="156" t="s">
        <v>18</v>
      </c>
      <c r="D366" s="566" t="s">
        <v>38</v>
      </c>
      <c r="E366" s="169"/>
      <c r="F366" s="169"/>
      <c r="G366" s="170"/>
      <c r="H366" s="171"/>
      <c r="I366" s="54"/>
      <c r="J366" s="54"/>
      <c r="K366" s="55"/>
      <c r="L366" s="172"/>
      <c r="M366" s="164"/>
      <c r="N366" s="164"/>
      <c r="O366" s="164"/>
      <c r="P366" s="164"/>
      <c r="Q366" s="164"/>
      <c r="R366" s="164"/>
      <c r="S366" s="164"/>
      <c r="T366" s="164"/>
      <c r="U366" s="164"/>
    </row>
    <row r="367" spans="1:21" ht="18.75">
      <c r="A367" s="166"/>
      <c r="B367" s="174"/>
      <c r="C367" s="167"/>
      <c r="D367" s="174"/>
      <c r="E367" s="173" t="s">
        <v>151</v>
      </c>
      <c r="F367" s="174"/>
      <c r="G367" s="171"/>
      <c r="H367" s="183" t="s">
        <v>35</v>
      </c>
      <c r="I367" s="212">
        <v>0</v>
      </c>
      <c r="J367" s="212">
        <f ca="1">IFERROR(__xludf.DUMMYFUNCTION("IMPORTRANGE(""https://docs.google.com/spreadsheets/d/1tdoBKaGub7dwA3U6UFTqxio9LNnvDCQjHKmttSEBsFQ/edit?usp=sharing"",""จัดที่ดิน!AB41"")"),111)</f>
        <v>111</v>
      </c>
      <c r="K367" s="255">
        <f>IF(I367&gt;0,J367*100/I367,0)</f>
        <v>0</v>
      </c>
      <c r="L367" s="172"/>
      <c r="M367" s="164"/>
      <c r="N367" s="164"/>
      <c r="O367" s="164"/>
      <c r="P367" s="164"/>
      <c r="Q367" s="164"/>
      <c r="R367" s="164"/>
      <c r="S367" s="164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212">
        <f ca="1">IFERROR(__xludf.DUMMYFUNCTION("IMPORTRANGE(""https://docs.google.com/spreadsheets/d/1eHaY18a8A9IcSdp1K8H6x8fbOy06t2VsZHhMHf-1x7Y/edit?usp=sharing"",""แผน!EW41"")"),1105)</f>
        <v>1105</v>
      </c>
      <c r="J368" s="620">
        <f ca="1">IFERROR(__xludf.DUMMYFUNCTION("IMPORTRANGE(""https://docs.google.com/spreadsheets/d/1tdoBKaGub7dwA3U6UFTqxio9LNnvDCQjHKmttSEBsFQ/edit?usp=sharing"",""จัดที่ดิน!AC41"")"),973.99)</f>
        <v>973.99</v>
      </c>
      <c r="K368" s="255">
        <f ca="1">IF(I368&gt;0,J368*100/I368,0)</f>
        <v>88.143891402714928</v>
      </c>
      <c r="L368" s="172"/>
      <c r="M368" s="164"/>
      <c r="N368" s="164"/>
      <c r="O368" s="164"/>
      <c r="P368" s="164"/>
      <c r="Q368" s="164"/>
      <c r="R368" s="164"/>
      <c r="S368" s="164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79" t="s">
        <v>35</v>
      </c>
      <c r="I369" s="212">
        <f ca="1">IFERROR(__xludf.DUMMYFUNCTION("IMPORTRANGE(""https://docs.google.com/spreadsheets/d/1eHaY18a8A9IcSdp1K8H6x8fbOy06t2VsZHhMHf-1x7Y/edit?usp=sharing"",""แผน!EX41"")"),402)</f>
        <v>402</v>
      </c>
      <c r="J369" s="212">
        <f ca="1">IFERROR(__xludf.DUMMYFUNCTION("IMPORTRANGE(""https://docs.google.com/spreadsheets/d/1tdoBKaGub7dwA3U6UFTqxio9LNnvDCQjHKmttSEBsFQ/edit?usp=sharing"",""จัดที่ดิน!AD41"")"),434)</f>
        <v>434</v>
      </c>
      <c r="K369" s="255">
        <f ca="1">IF(I369&gt;0,J369*100/I369,0)</f>
        <v>107.96019900497512</v>
      </c>
      <c r="L369" s="172"/>
      <c r="M369" s="164"/>
      <c r="N369" s="164"/>
      <c r="O369" s="164"/>
      <c r="P369" s="164"/>
      <c r="Q369" s="164"/>
      <c r="R369" s="164"/>
      <c r="S369" s="164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79" t="s">
        <v>46</v>
      </c>
      <c r="I370" s="212">
        <v>0</v>
      </c>
      <c r="J370" s="620">
        <f ca="1">IFERROR(__xludf.DUMMYFUNCTION("IMPORTRANGE(""https://docs.google.com/spreadsheets/d/1tdoBKaGub7dwA3U6UFTqxio9LNnvDCQjHKmttSEBsFQ/edit?usp=sharing"",""จัดที่ดิน!AE41"")"),4652.96999999999)</f>
        <v>4652.9699999999903</v>
      </c>
      <c r="K370" s="255">
        <f>IF(I370&gt;0,J370*100/I370,0)</f>
        <v>0</v>
      </c>
      <c r="L370" s="172"/>
      <c r="M370" s="164"/>
      <c r="N370" s="164"/>
      <c r="O370" s="164"/>
      <c r="P370" s="164"/>
      <c r="Q370" s="164"/>
      <c r="R370" s="164"/>
      <c r="S370" s="164"/>
      <c r="T370" s="164"/>
      <c r="U370" s="164"/>
    </row>
    <row r="371" spans="1:21" ht="18.75">
      <c r="A371" s="166"/>
      <c r="B371" s="174"/>
      <c r="C371" s="167"/>
      <c r="D371" s="174"/>
      <c r="E371" s="352" t="s">
        <v>153</v>
      </c>
      <c r="F371" s="174"/>
      <c r="G371" s="171"/>
      <c r="H371" s="179" t="s">
        <v>35</v>
      </c>
      <c r="I371" s="212">
        <f ca="1">IFERROR(__xludf.DUMMYFUNCTION("IMPORTRANGE(""https://docs.google.com/spreadsheets/d/1eHaY18a8A9IcSdp1K8H6x8fbOy06t2VsZHhMHf-1x7Y/edit?usp=sharing"",""แผน!EY41"")"),402)</f>
        <v>402</v>
      </c>
      <c r="J371" s="212">
        <f ca="1">IFERROR(__xludf.DUMMYFUNCTION("IMPORTRANGE(""https://docs.google.com/spreadsheets/d/1tdoBKaGub7dwA3U6UFTqxio9LNnvDCQjHKmttSEBsFQ/edit?usp=sharing"",""จัดที่ดิน!AF41"")"),408)</f>
        <v>408</v>
      </c>
      <c r="K371" s="255">
        <f ca="1">IF(I371&gt;0,J371*100/I371,0)</f>
        <v>101.49253731343283</v>
      </c>
      <c r="L371" s="172"/>
      <c r="M371" s="164"/>
      <c r="N371" s="164"/>
      <c r="O371" s="164"/>
      <c r="P371" s="164"/>
      <c r="Q371" s="164"/>
      <c r="R371" s="164"/>
      <c r="S371" s="164"/>
      <c r="T371" s="164"/>
      <c r="U371" s="164"/>
    </row>
    <row r="372" spans="1:21" ht="18.75">
      <c r="A372" s="166"/>
      <c r="B372" s="174"/>
      <c r="C372" s="167"/>
      <c r="D372" s="174"/>
      <c r="E372" s="174"/>
      <c r="F372" s="174"/>
      <c r="G372" s="171"/>
      <c r="H372" s="179" t="s">
        <v>46</v>
      </c>
      <c r="I372" s="212">
        <v>0</v>
      </c>
      <c r="J372" s="620">
        <f ca="1">IFERROR(__xludf.DUMMYFUNCTION("IMPORTRANGE(""https://docs.google.com/spreadsheets/d/1tdoBKaGub7dwA3U6UFTqxio9LNnvDCQjHKmttSEBsFQ/edit?usp=sharing"",""จัดที่ดิน!AG41"")"),4303.57)</f>
        <v>4303.57</v>
      </c>
      <c r="K372" s="255">
        <f>IF(I372&gt;0,J372*100/I372,0)</f>
        <v>0</v>
      </c>
      <c r="L372" s="172"/>
      <c r="M372" s="164"/>
      <c r="N372" s="164"/>
      <c r="O372" s="164"/>
      <c r="P372" s="164"/>
      <c r="Q372" s="164"/>
      <c r="R372" s="164"/>
      <c r="S372" s="164"/>
      <c r="T372" s="164"/>
      <c r="U372" s="164"/>
    </row>
    <row r="373" spans="1:21" ht="16.5">
      <c r="A373" s="5"/>
      <c r="B373" s="4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พ.ค. 67 เวลา 07.29 น.]")</f>
        <v xml:space="preserve"> [ข้อมูลจาก ระบบ ALRO Land Online ข้อมูล ณ 1 พ.ค. 67 เวลา 07.29 น.]</v>
      </c>
      <c r="E373" s="4"/>
      <c r="F373" s="4"/>
      <c r="G373" s="65"/>
      <c r="H373" s="65"/>
      <c r="I373" s="67"/>
      <c r="J373" s="67"/>
      <c r="K373" s="6"/>
      <c r="L373" s="68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>
      <c r="A374" s="619"/>
      <c r="B374" s="618" t="s">
        <v>154</v>
      </c>
      <c r="C374" s="617"/>
      <c r="D374" s="616"/>
      <c r="E374" s="615"/>
      <c r="F374" s="615"/>
      <c r="G374" s="614"/>
      <c r="H374" s="613" t="s">
        <v>46</v>
      </c>
      <c r="I374" s="612">
        <f ca="1">I386+I388</f>
        <v>1500</v>
      </c>
      <c r="J374" s="612">
        <f ca="1">J386+J388</f>
        <v>0</v>
      </c>
      <c r="K374" s="611">
        <f ca="1">IF(I374&gt;0,J374*100/I374,0)</f>
        <v>0</v>
      </c>
      <c r="L374" s="334"/>
      <c r="M374" s="333"/>
      <c r="N374" s="333"/>
      <c r="O374" s="333"/>
      <c r="P374" s="333"/>
      <c r="Q374" s="333"/>
      <c r="R374" s="333"/>
      <c r="S374" s="333"/>
      <c r="T374" s="333"/>
      <c r="U374" s="333"/>
    </row>
    <row r="375" spans="1:21" ht="19.5">
      <c r="A375" s="155"/>
      <c r="B375" s="188"/>
      <c r="C375" s="191" t="s">
        <v>18</v>
      </c>
      <c r="D375" s="608" t="s">
        <v>19</v>
      </c>
      <c r="E375" s="50"/>
      <c r="F375" s="50"/>
      <c r="G375" s="52"/>
      <c r="H375" s="158" t="s">
        <v>14</v>
      </c>
      <c r="I375" s="54"/>
      <c r="J375" s="54"/>
      <c r="K375" s="55"/>
      <c r="L375" s="541">
        <f>L376+L377</f>
        <v>0</v>
      </c>
      <c r="M375" s="540">
        <f>M376+M377</f>
        <v>0</v>
      </c>
      <c r="N375" s="540">
        <f>N376+N377</f>
        <v>0</v>
      </c>
      <c r="O375" s="540">
        <f>IF(L375&gt;0,N375*100/L375,0)</f>
        <v>0</v>
      </c>
      <c r="P375" s="540">
        <f>IF(M375&gt;0,N375*100/M375,0)</f>
        <v>0</v>
      </c>
      <c r="Q375" s="540">
        <f ca="1">Q376+Q377</f>
        <v>93750</v>
      </c>
      <c r="R375" s="540">
        <f ca="1">R376+R377</f>
        <v>93750</v>
      </c>
      <c r="S375" s="540">
        <f ca="1">S376+S377</f>
        <v>0</v>
      </c>
      <c r="T375" s="540">
        <f ca="1">IF(Q375&gt;0,S375*100/Q375,0)</f>
        <v>0</v>
      </c>
      <c r="U375" s="540">
        <f ca="1">IF(R375&gt;0,S375*100/R375,0)</f>
        <v>0</v>
      </c>
    </row>
    <row r="376" spans="1:21" ht="18.75" hidden="1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103">
        <f>L379+L382</f>
        <v>0</v>
      </c>
      <c r="M376" s="102">
        <f>M379+M382</f>
        <v>0</v>
      </c>
      <c r="N376" s="102">
        <f>N379+N382</f>
        <v>0</v>
      </c>
      <c r="O376" s="102">
        <f>IF(L376&gt;0,N376*100/L376,0)</f>
        <v>0</v>
      </c>
      <c r="P376" s="102">
        <f>IF(M376&gt;0,N376*100/M376,0)</f>
        <v>0</v>
      </c>
      <c r="Q376" s="102">
        <f>Q379+Q382</f>
        <v>0</v>
      </c>
      <c r="R376" s="102">
        <f>R379+R382</f>
        <v>0</v>
      </c>
      <c r="S376" s="102">
        <f>S379+S382</f>
        <v>0</v>
      </c>
      <c r="T376" s="102">
        <f>IF(Q376&gt;0,S376*100/Q376,0)</f>
        <v>0</v>
      </c>
      <c r="U376" s="102">
        <f>IF(R376&gt;0,S376*100/R376,0)</f>
        <v>0</v>
      </c>
    </row>
    <row r="377" spans="1:21" ht="18.75" hidden="1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256">
        <f>L380+L383</f>
        <v>0</v>
      </c>
      <c r="M377" s="255">
        <f>M380+M383</f>
        <v>0</v>
      </c>
      <c r="N377" s="255">
        <f>N380+N383</f>
        <v>0</v>
      </c>
      <c r="O377" s="255">
        <f>IF(L377&gt;0,N377*100/L377,0)</f>
        <v>0</v>
      </c>
      <c r="P377" s="255">
        <f>IF(M377&gt;0,N377*100/M377,0)</f>
        <v>0</v>
      </c>
      <c r="Q377" s="255">
        <f ca="1">Q380+Q383</f>
        <v>93750</v>
      </c>
      <c r="R377" s="255">
        <f ca="1">R380+R383</f>
        <v>93750</v>
      </c>
      <c r="S377" s="255">
        <f ca="1">S380+S383</f>
        <v>0</v>
      </c>
      <c r="T377" s="255">
        <f ca="1">IF(Q377&gt;0,S377*100/Q377,0)</f>
        <v>0</v>
      </c>
      <c r="U377" s="255">
        <f ca="1">IF(R377&gt;0,S377*100/R377,0)</f>
        <v>0</v>
      </c>
    </row>
    <row r="378" spans="1:21" ht="18.75">
      <c r="A378" s="155"/>
      <c r="B378" s="188"/>
      <c r="C378" s="188"/>
      <c r="D378" s="602" t="s">
        <v>22</v>
      </c>
      <c r="E378" s="50"/>
      <c r="F378" s="50"/>
      <c r="G378" s="52"/>
      <c r="H378" s="162" t="s">
        <v>14</v>
      </c>
      <c r="I378" s="163"/>
      <c r="J378" s="163"/>
      <c r="K378" s="164"/>
      <c r="L378" s="256">
        <f>L379+L380</f>
        <v>0</v>
      </c>
      <c r="M378" s="255">
        <f>M379+M380</f>
        <v>0</v>
      </c>
      <c r="N378" s="255">
        <f>N379+N380</f>
        <v>0</v>
      </c>
      <c r="O378" s="255">
        <f>IF(L378&gt;0,N378*100/L378,0)</f>
        <v>0</v>
      </c>
      <c r="P378" s="255">
        <f>IF(M378&gt;0,N378*100/M378,0)</f>
        <v>0</v>
      </c>
      <c r="Q378" s="255">
        <f ca="1">Q379+Q380</f>
        <v>93750</v>
      </c>
      <c r="R378" s="255">
        <f ca="1">R379+R380</f>
        <v>93750</v>
      </c>
      <c r="S378" s="255">
        <f ca="1">S379+S380</f>
        <v>0</v>
      </c>
      <c r="T378" s="255">
        <f ca="1">IF(Q378&gt;0,S378*100/Q378,0)</f>
        <v>0</v>
      </c>
      <c r="U378" s="255">
        <f ca="1">IF(R378&gt;0,S378*100/R378,0)</f>
        <v>0</v>
      </c>
    </row>
    <row r="379" spans="1:21" ht="18.75" hidden="1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103">
        <v>0</v>
      </c>
      <c r="M379" s="102">
        <v>0</v>
      </c>
      <c r="N379" s="102">
        <v>0</v>
      </c>
      <c r="O379" s="102">
        <f>IF(L379&gt;0,N379*100/L379,0)</f>
        <v>0</v>
      </c>
      <c r="P379" s="102">
        <f>IF(M379&gt;0,N379*100/M379,0)</f>
        <v>0</v>
      </c>
      <c r="Q379" s="102">
        <v>0</v>
      </c>
      <c r="R379" s="102">
        <v>0</v>
      </c>
      <c r="S379" s="102">
        <v>0</v>
      </c>
      <c r="T379" s="102">
        <f>IF(Q379&gt;0,S379*100/Q379,0)</f>
        <v>0</v>
      </c>
      <c r="U379" s="102">
        <f>IF(R379&gt;0,S379*100/R379,0)</f>
        <v>0</v>
      </c>
    </row>
    <row r="380" spans="1:21" ht="18.75" hidden="1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256">
        <v>0</v>
      </c>
      <c r="M380" s="255">
        <v>0</v>
      </c>
      <c r="N380" s="255">
        <v>0</v>
      </c>
      <c r="O380" s="255">
        <f>IF(L380&gt;0,N380*100/L380,0)</f>
        <v>0</v>
      </c>
      <c r="P380" s="255">
        <f>IF(M380&gt;0,N380*100/M380,0)</f>
        <v>0</v>
      </c>
      <c r="Q380" s="255">
        <f ca="1">IFERROR(__xludf.DUMMYFUNCTION("IMPORTRANGE(""https://docs.google.com/spreadsheets/d/1ItG2mGa2ceCfYo0BwxsXqNm01IGEUdYcSSLTEv9YCik/edit?usp=sharing"",""เบิกจ่ายกองทุน!AY41"")"),93750)</f>
        <v>93750</v>
      </c>
      <c r="R380" s="255">
        <f ca="1">IFERROR(__xludf.DUMMYFUNCTION("IMPORTRANGE(""https://docs.google.com/spreadsheets/d/1ItG2mGa2ceCfYo0BwxsXqNm01IGEUdYcSSLTEv9YCik/edit?usp=sharing"",""เบิกจ่ายกองทุน!AZ41"")"),93750)</f>
        <v>93750</v>
      </c>
      <c r="S380" s="255">
        <f ca="1">IFERROR(__xludf.DUMMYFUNCTION("IMPORTRANGE(""https://docs.google.com/spreadsheets/d/1ItG2mGa2ceCfYo0BwxsXqNm01IGEUdYcSSLTEv9YCik/edit?usp=sharing"",""เบิกจ่ายกองทุน!BA41"")"),0)</f>
        <v>0</v>
      </c>
      <c r="T380" s="255">
        <f ca="1">IF(Q380&gt;0,S380*100/Q380,0)</f>
        <v>0</v>
      </c>
      <c r="U380" s="255">
        <f ca="1">IF(R380&gt;0,S380*100/R380,0)</f>
        <v>0</v>
      </c>
    </row>
    <row r="381" spans="1:21" ht="18.75">
      <c r="A381" s="155"/>
      <c r="B381" s="188"/>
      <c r="C381" s="188"/>
      <c r="D381" s="602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256">
        <f>L382+L383</f>
        <v>0</v>
      </c>
      <c r="M381" s="255">
        <f>M382+M383</f>
        <v>0</v>
      </c>
      <c r="N381" s="255">
        <f>N382+N383</f>
        <v>0</v>
      </c>
      <c r="O381" s="255">
        <f>IF(L381&gt;0,N381*100/L381,0)</f>
        <v>0</v>
      </c>
      <c r="P381" s="255">
        <f>IF(M381&gt;0,N381*100/M381,0)</f>
        <v>0</v>
      </c>
      <c r="Q381" s="255">
        <f>Q382+Q383</f>
        <v>0</v>
      </c>
      <c r="R381" s="255">
        <f>R382+R383</f>
        <v>0</v>
      </c>
      <c r="S381" s="255">
        <f>S382+S383</f>
        <v>0</v>
      </c>
      <c r="T381" s="255">
        <f>IF(Q381&gt;0,S381*100/Q381,0)</f>
        <v>0</v>
      </c>
      <c r="U381" s="255">
        <f>IF(R381&gt;0,S381*100/R381,0)</f>
        <v>0</v>
      </c>
    </row>
    <row r="382" spans="1:21" ht="18.75" hidden="1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103">
        <v>0</v>
      </c>
      <c r="M382" s="102">
        <v>0</v>
      </c>
      <c r="N382" s="102">
        <v>0</v>
      </c>
      <c r="O382" s="102">
        <f>IF(L382&gt;0,N382*100/L382,0)</f>
        <v>0</v>
      </c>
      <c r="P382" s="102">
        <f>IF(M382&gt;0,N382*100/M382,0)</f>
        <v>0</v>
      </c>
      <c r="Q382" s="102">
        <v>0</v>
      </c>
      <c r="R382" s="102">
        <v>0</v>
      </c>
      <c r="S382" s="102">
        <v>0</v>
      </c>
      <c r="T382" s="102">
        <f>IF(Q382&gt;0,S382*100/Q382,0)</f>
        <v>0</v>
      </c>
      <c r="U382" s="102">
        <f>IF(R382&gt;0,S382*100/R382,0)</f>
        <v>0</v>
      </c>
    </row>
    <row r="383" spans="1:21" ht="18.75" hidden="1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256">
        <v>0</v>
      </c>
      <c r="M383" s="255">
        <v>0</v>
      </c>
      <c r="N383" s="255">
        <v>0</v>
      </c>
      <c r="O383" s="255">
        <f>IF(L383&gt;0,N383*100/L383,0)</f>
        <v>0</v>
      </c>
      <c r="P383" s="255">
        <f>IF(M383&gt;0,N383*100/M383,0)</f>
        <v>0</v>
      </c>
      <c r="Q383" s="255">
        <v>0</v>
      </c>
      <c r="R383" s="255">
        <v>0</v>
      </c>
      <c r="S383" s="255">
        <v>0</v>
      </c>
      <c r="T383" s="255">
        <f>IF(Q383&gt;0,S383*100/Q383,0)</f>
        <v>0</v>
      </c>
      <c r="U383" s="255">
        <f>IF(R383&gt;0,S383*100/R383,0)</f>
        <v>0</v>
      </c>
    </row>
    <row r="384" spans="1:21" ht="19.5">
      <c r="A384" s="166"/>
      <c r="B384" s="167"/>
      <c r="C384" s="191" t="s">
        <v>18</v>
      </c>
      <c r="D384" s="560" t="s">
        <v>38</v>
      </c>
      <c r="E384" s="169"/>
      <c r="F384" s="169"/>
      <c r="G384" s="170"/>
      <c r="H384" s="206"/>
      <c r="I384" s="163"/>
      <c r="J384" s="54"/>
      <c r="K384" s="55"/>
      <c r="L384" s="62"/>
      <c r="M384" s="55"/>
      <c r="N384" s="55"/>
      <c r="O384" s="164"/>
      <c r="P384" s="164"/>
      <c r="Q384" s="55"/>
      <c r="R384" s="55"/>
      <c r="S384" s="55"/>
      <c r="T384" s="164"/>
      <c r="U384" s="164"/>
    </row>
    <row r="385" spans="1:21" ht="18.75">
      <c r="A385" s="238"/>
      <c r="B385" s="188"/>
      <c r="C385" s="188"/>
      <c r="D385" s="188"/>
      <c r="E385" s="58" t="s">
        <v>155</v>
      </c>
      <c r="F385" s="50"/>
      <c r="G385" s="52"/>
      <c r="H385" s="161" t="s">
        <v>34</v>
      </c>
      <c r="I385" s="212">
        <v>0</v>
      </c>
      <c r="J385" s="212">
        <f ca="1">IFERROR(__xludf.DUMMYFUNCTION("IMPORTRANGE(""https://docs.google.com/spreadsheets/d/1w5rwWK1o49a35cNtocGL0gxDwhFSTZUQu90BiH9_zqM/edit?usp=sharing"",""RTK!H41"")"),0)</f>
        <v>0</v>
      </c>
      <c r="K385" s="255">
        <f>IF(I385&gt;0,J385*100/I385,0)</f>
        <v>0</v>
      </c>
      <c r="L385" s="62"/>
      <c r="M385" s="55"/>
      <c r="N385" s="55"/>
      <c r="O385" s="55"/>
      <c r="P385" s="55"/>
      <c r="Q385" s="55"/>
      <c r="R385" s="55"/>
      <c r="S385" s="55"/>
      <c r="T385" s="55"/>
      <c r="U385" s="55"/>
    </row>
    <row r="386" spans="1:21" ht="18.75">
      <c r="A386" s="188"/>
      <c r="B386" s="188"/>
      <c r="C386" s="188"/>
      <c r="D386" s="188"/>
      <c r="E386" s="188"/>
      <c r="F386" s="188"/>
      <c r="G386" s="208"/>
      <c r="H386" s="161" t="s">
        <v>46</v>
      </c>
      <c r="I386" s="212">
        <f ca="1">IFERROR(__xludf.DUMMYFUNCTION("IMPORTRANGE(""https://docs.google.com/spreadsheets/d/1w5rwWK1o49a35cNtocGL0gxDwhFSTZUQu90BiH9_zqM/edit?usp=sharing"",""RTK!G41"")"),1500)</f>
        <v>1500</v>
      </c>
      <c r="J386" s="212">
        <f ca="1">IFERROR(__xludf.DUMMYFUNCTION("IMPORTRANGE(""https://docs.google.com/spreadsheets/d/1w5rwWK1o49a35cNtocGL0gxDwhFSTZUQu90BiH9_zqM/edit?usp=sharing"",""RTK!I41"")"),0)</f>
        <v>0</v>
      </c>
      <c r="K386" s="255">
        <f ca="1">IF(I386&gt;0,J386*100/I386,0)</f>
        <v>0</v>
      </c>
      <c r="L386" s="62"/>
      <c r="M386" s="55"/>
      <c r="N386" s="55"/>
      <c r="O386" s="55"/>
      <c r="P386" s="55"/>
      <c r="Q386" s="55"/>
      <c r="R386" s="55"/>
      <c r="S386" s="55"/>
      <c r="T386" s="55"/>
      <c r="U386" s="55"/>
    </row>
    <row r="387" spans="1:21" ht="18.75">
      <c r="A387" s="609"/>
      <c r="B387" s="609"/>
      <c r="C387" s="609"/>
      <c r="D387" s="609"/>
      <c r="E387" s="610" t="s">
        <v>156</v>
      </c>
      <c r="F387" s="609"/>
      <c r="G387" s="557"/>
      <c r="H387" s="549" t="s">
        <v>34</v>
      </c>
      <c r="I387" s="556">
        <v>0</v>
      </c>
      <c r="J387" s="556">
        <f ca="1">IFERROR(__xludf.DUMMYFUNCTION("IMPORTRANGE(""https://docs.google.com/spreadsheets/d/1w5rwWK1o49a35cNtocGL0gxDwhFSTZUQu90BiH9_zqM/edit?usp=sharing"",""RTK!L41"")"),0)</f>
        <v>0</v>
      </c>
      <c r="K387" s="555">
        <f>IF(I387&gt;0,J387*100/I387,0)</f>
        <v>0</v>
      </c>
      <c r="L387" s="546"/>
      <c r="M387" s="545"/>
      <c r="N387" s="545"/>
      <c r="O387" s="545"/>
      <c r="P387" s="545"/>
      <c r="Q387" s="545"/>
      <c r="R387" s="545"/>
      <c r="S387" s="545"/>
      <c r="T387" s="545"/>
      <c r="U387" s="545"/>
    </row>
    <row r="388" spans="1:21" ht="18.75">
      <c r="A388" s="609"/>
      <c r="B388" s="609"/>
      <c r="C388" s="609"/>
      <c r="D388" s="609"/>
      <c r="E388" s="609"/>
      <c r="F388" s="609"/>
      <c r="G388" s="557"/>
      <c r="H388" s="549" t="s">
        <v>46</v>
      </c>
      <c r="I388" s="556">
        <f ca="1">IFERROR(__xludf.DUMMYFUNCTION("IMPORTRANGE(""https://docs.google.com/spreadsheets/d/1w5rwWK1o49a35cNtocGL0gxDwhFSTZUQu90BiH9_zqM/edit?usp=sharing"",""RTK!K41"")"),0)</f>
        <v>0</v>
      </c>
      <c r="J388" s="556">
        <f ca="1">IFERROR(__xludf.DUMMYFUNCTION("IMPORTRANGE(""https://docs.google.com/spreadsheets/d/1w5rwWK1o49a35cNtocGL0gxDwhFSTZUQu90BiH9_zqM/edit?usp=sharing"",""RTK!M41"")"),0)</f>
        <v>0</v>
      </c>
      <c r="K388" s="555">
        <f ca="1">IF(I388&gt;0,J388*100/I388,0)</f>
        <v>0</v>
      </c>
      <c r="L388" s="546"/>
      <c r="M388" s="545"/>
      <c r="N388" s="545"/>
      <c r="O388" s="545"/>
      <c r="P388" s="545"/>
      <c r="Q388" s="545"/>
      <c r="R388" s="545"/>
      <c r="S388" s="545"/>
      <c r="T388" s="545"/>
      <c r="U388" s="545"/>
    </row>
    <row r="389" spans="1:21" ht="12.75" hidden="1">
      <c r="A389" s="259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5"/>
      <c r="M389" s="264"/>
      <c r="N389" s="264"/>
      <c r="O389" s="264"/>
      <c r="P389" s="264"/>
      <c r="Q389" s="264"/>
      <c r="R389" s="264"/>
      <c r="S389" s="264"/>
      <c r="T389" s="264"/>
      <c r="U389" s="264"/>
    </row>
    <row r="390" spans="1:21" ht="12.75" hidden="1">
      <c r="A390" s="360"/>
      <c r="B390" s="360"/>
      <c r="C390" s="360"/>
      <c r="D390" s="360"/>
      <c r="E390" s="360"/>
      <c r="F390" s="360"/>
      <c r="G390" s="361"/>
      <c r="H390" s="361"/>
      <c r="I390" s="362"/>
      <c r="J390" s="362"/>
      <c r="K390" s="363"/>
      <c r="L390" s="364"/>
      <c r="M390" s="363"/>
      <c r="N390" s="363"/>
      <c r="O390" s="363"/>
      <c r="P390" s="363"/>
      <c r="Q390" s="363"/>
      <c r="R390" s="363"/>
      <c r="S390" s="363"/>
      <c r="T390" s="363"/>
      <c r="U390" s="363"/>
    </row>
    <row r="391" spans="1:21" ht="19.5" hidden="1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51">
        <f>I402</f>
        <v>0</v>
      </c>
      <c r="J391" s="351">
        <f>J402</f>
        <v>0</v>
      </c>
      <c r="K391" s="604">
        <f>IF(I391&gt;0,J391*100/I391,0)</f>
        <v>0</v>
      </c>
      <c r="L391" s="334"/>
      <c r="M391" s="333"/>
      <c r="N391" s="333"/>
      <c r="O391" s="333"/>
      <c r="P391" s="333"/>
      <c r="Q391" s="333"/>
      <c r="R391" s="333"/>
      <c r="S391" s="333"/>
      <c r="T391" s="333"/>
      <c r="U391" s="333"/>
    </row>
    <row r="392" spans="1:21" ht="19.5" hidden="1">
      <c r="A392" s="155"/>
      <c r="B392" s="188"/>
      <c r="C392" s="191" t="s">
        <v>18</v>
      </c>
      <c r="D392" s="608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541">
        <f>L393+L394</f>
        <v>0</v>
      </c>
      <c r="M392" s="540">
        <f>M393+M394</f>
        <v>0</v>
      </c>
      <c r="N392" s="540">
        <f>N393+N394</f>
        <v>0</v>
      </c>
      <c r="O392" s="540">
        <f>IF(L392&gt;0,N392*100/L392,0)</f>
        <v>0</v>
      </c>
      <c r="P392" s="540">
        <f>IF(M392&gt;0,N392*100/M392,0)</f>
        <v>0</v>
      </c>
      <c r="Q392" s="540">
        <f>Q393+Q394</f>
        <v>0</v>
      </c>
      <c r="R392" s="540">
        <f>R393+R394</f>
        <v>0</v>
      </c>
      <c r="S392" s="540">
        <f>S393+S394</f>
        <v>0</v>
      </c>
      <c r="T392" s="540">
        <f>IF(Q392&gt;0,S392*100/Q392,0)</f>
        <v>0</v>
      </c>
      <c r="U392" s="540">
        <f>IF(R392&gt;0,S392*100/R392,0)</f>
        <v>0</v>
      </c>
    </row>
    <row r="393" spans="1:21" ht="18.75" hidden="1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103">
        <f>L396+L399</f>
        <v>0</v>
      </c>
      <c r="M393" s="102">
        <f>M396+M399</f>
        <v>0</v>
      </c>
      <c r="N393" s="102">
        <f>N396+N399</f>
        <v>0</v>
      </c>
      <c r="O393" s="102">
        <f>IF(L393&gt;0,N393*100/L393,0)</f>
        <v>0</v>
      </c>
      <c r="P393" s="102">
        <f>IF(M393&gt;0,N393*100/M393,0)</f>
        <v>0</v>
      </c>
      <c r="Q393" s="102">
        <f>Q396+Q399</f>
        <v>0</v>
      </c>
      <c r="R393" s="102">
        <f>R396+R399</f>
        <v>0</v>
      </c>
      <c r="S393" s="102">
        <f>S396+S399</f>
        <v>0</v>
      </c>
      <c r="T393" s="102">
        <f>IF(Q393&gt;0,S393*100/Q393,0)</f>
        <v>0</v>
      </c>
      <c r="U393" s="102">
        <f>IF(R393&gt;0,S393*100/R393,0)</f>
        <v>0</v>
      </c>
    </row>
    <row r="394" spans="1:21" ht="18.75" hidden="1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256">
        <f>L397+L400</f>
        <v>0</v>
      </c>
      <c r="M394" s="255">
        <f>M397+M400</f>
        <v>0</v>
      </c>
      <c r="N394" s="255">
        <f>N397+N400</f>
        <v>0</v>
      </c>
      <c r="O394" s="255">
        <f>IF(L394&gt;0,N394*100/L394,0)</f>
        <v>0</v>
      </c>
      <c r="P394" s="255">
        <f>IF(M394&gt;0,N394*100/M394,0)</f>
        <v>0</v>
      </c>
      <c r="Q394" s="255">
        <f>Q397+Q400</f>
        <v>0</v>
      </c>
      <c r="R394" s="255">
        <f>R397+R400</f>
        <v>0</v>
      </c>
      <c r="S394" s="255">
        <f>S397+S400</f>
        <v>0</v>
      </c>
      <c r="T394" s="255">
        <f>IF(Q394&gt;0,S394*100/Q394,0)</f>
        <v>0</v>
      </c>
      <c r="U394" s="255">
        <f>IF(R394&gt;0,S394*100/R394,0)</f>
        <v>0</v>
      </c>
    </row>
    <row r="395" spans="1:21" ht="18.75" hidden="1">
      <c r="A395" s="155"/>
      <c r="B395" s="188"/>
      <c r="C395" s="188"/>
      <c r="D395" s="602" t="s">
        <v>22</v>
      </c>
      <c r="E395" s="50"/>
      <c r="F395" s="50"/>
      <c r="G395" s="52"/>
      <c r="H395" s="162" t="s">
        <v>14</v>
      </c>
      <c r="I395" s="163"/>
      <c r="J395" s="163"/>
      <c r="K395" s="164"/>
      <c r="L395" s="256">
        <f>L396+L397</f>
        <v>0</v>
      </c>
      <c r="M395" s="255">
        <f>M396+M397</f>
        <v>0</v>
      </c>
      <c r="N395" s="255">
        <f>N396+N397</f>
        <v>0</v>
      </c>
      <c r="O395" s="255">
        <f>IF(L395&gt;0,N395*100/L395,0)</f>
        <v>0</v>
      </c>
      <c r="P395" s="255">
        <f>IF(M395&gt;0,N395*100/M395,0)</f>
        <v>0</v>
      </c>
      <c r="Q395" s="255">
        <f>Q396+Q397</f>
        <v>0</v>
      </c>
      <c r="R395" s="255">
        <f>R396+R397</f>
        <v>0</v>
      </c>
      <c r="S395" s="255">
        <f>S396+S397</f>
        <v>0</v>
      </c>
      <c r="T395" s="255">
        <f>IF(Q395&gt;0,S395*100/Q395,0)</f>
        <v>0</v>
      </c>
      <c r="U395" s="255">
        <f>IF(R395&gt;0,S395*100/R395,0)</f>
        <v>0</v>
      </c>
    </row>
    <row r="396" spans="1:21" ht="18.75" hidden="1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103">
        <v>0</v>
      </c>
      <c r="M396" s="102">
        <v>0</v>
      </c>
      <c r="N396" s="102">
        <v>0</v>
      </c>
      <c r="O396" s="102">
        <f>IF(L396&gt;0,N396*100/L396,0)</f>
        <v>0</v>
      </c>
      <c r="P396" s="102">
        <f>IF(M396&gt;0,N396*100/M396,0)</f>
        <v>0</v>
      </c>
      <c r="Q396" s="102">
        <v>0</v>
      </c>
      <c r="R396" s="102">
        <v>0</v>
      </c>
      <c r="S396" s="102">
        <v>0</v>
      </c>
      <c r="T396" s="102">
        <f>IF(Q396&gt;0,S396*100/Q396,0)</f>
        <v>0</v>
      </c>
      <c r="U396" s="102">
        <f>IF(R396&gt;0,S396*100/R396,0)</f>
        <v>0</v>
      </c>
    </row>
    <row r="397" spans="1:21" ht="18.75" hidden="1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256">
        <v>0</v>
      </c>
      <c r="M397" s="255">
        <v>0</v>
      </c>
      <c r="N397" s="255">
        <v>0</v>
      </c>
      <c r="O397" s="255">
        <f>IF(L397&gt;0,N397*100/L397,0)</f>
        <v>0</v>
      </c>
      <c r="P397" s="255">
        <f>IF(M397&gt;0,N397*100/M397,0)</f>
        <v>0</v>
      </c>
      <c r="Q397" s="255">
        <v>0</v>
      </c>
      <c r="R397" s="255">
        <v>0</v>
      </c>
      <c r="S397" s="255">
        <v>0</v>
      </c>
      <c r="T397" s="255">
        <f>IF(Q397&gt;0,S397*100/Q397,0)</f>
        <v>0</v>
      </c>
      <c r="U397" s="255">
        <f>IF(R397&gt;0,S397*100/R397,0)</f>
        <v>0</v>
      </c>
    </row>
    <row r="398" spans="1:21" ht="18.75" hidden="1">
      <c r="A398" s="155"/>
      <c r="B398" s="188"/>
      <c r="C398" s="188"/>
      <c r="D398" s="602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256">
        <f>L399+L400</f>
        <v>0</v>
      </c>
      <c r="M398" s="255">
        <f>M399+M400</f>
        <v>0</v>
      </c>
      <c r="N398" s="255">
        <f>N399+N400</f>
        <v>0</v>
      </c>
      <c r="O398" s="255">
        <f>IF(L398&gt;0,N398*100/L398,0)</f>
        <v>0</v>
      </c>
      <c r="P398" s="255">
        <f>IF(M398&gt;0,N398*100/M398,0)</f>
        <v>0</v>
      </c>
      <c r="Q398" s="255">
        <f>Q399+Q400</f>
        <v>0</v>
      </c>
      <c r="R398" s="255">
        <f>R399+R400</f>
        <v>0</v>
      </c>
      <c r="S398" s="255">
        <f>S399+S400</f>
        <v>0</v>
      </c>
      <c r="T398" s="255">
        <f>IF(Q398&gt;0,S398*100/Q398,0)</f>
        <v>0</v>
      </c>
      <c r="U398" s="255">
        <f>IF(R398&gt;0,S398*100/R398,0)</f>
        <v>0</v>
      </c>
    </row>
    <row r="399" spans="1:21" ht="18.75" hidden="1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103">
        <v>0</v>
      </c>
      <c r="M399" s="102">
        <v>0</v>
      </c>
      <c r="N399" s="102">
        <v>0</v>
      </c>
      <c r="O399" s="102">
        <f>IF(L399&gt;0,N399*100/L399,0)</f>
        <v>0</v>
      </c>
      <c r="P399" s="102">
        <f>IF(M399&gt;0,N399*100/M399,0)</f>
        <v>0</v>
      </c>
      <c r="Q399" s="102">
        <v>0</v>
      </c>
      <c r="R399" s="102">
        <v>0</v>
      </c>
      <c r="S399" s="102">
        <v>0</v>
      </c>
      <c r="T399" s="102">
        <f>IF(Q399&gt;0,S399*100/Q399,0)</f>
        <v>0</v>
      </c>
      <c r="U399" s="102">
        <f>IF(R399&gt;0,S399*100/R399,0)</f>
        <v>0</v>
      </c>
    </row>
    <row r="400" spans="1:21" ht="18.75" hidden="1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256">
        <v>0</v>
      </c>
      <c r="M400" s="255">
        <v>0</v>
      </c>
      <c r="N400" s="255">
        <v>0</v>
      </c>
      <c r="O400" s="255">
        <f>IF(L400&gt;0,N400*100/L400,0)</f>
        <v>0</v>
      </c>
      <c r="P400" s="255">
        <f>IF(M400&gt;0,N400*100/M400,0)</f>
        <v>0</v>
      </c>
      <c r="Q400" s="255">
        <v>0</v>
      </c>
      <c r="R400" s="255">
        <v>0</v>
      </c>
      <c r="S400" s="255">
        <v>0</v>
      </c>
      <c r="T400" s="255">
        <f>IF(Q400&gt;0,S400*100/Q400,0)</f>
        <v>0</v>
      </c>
      <c r="U400" s="255">
        <f>IF(R400&gt;0,S400*100/R400,0)</f>
        <v>0</v>
      </c>
    </row>
    <row r="401" spans="1:21" ht="19.5" hidden="1">
      <c r="A401" s="166"/>
      <c r="B401" s="167"/>
      <c r="C401" s="191" t="s">
        <v>18</v>
      </c>
      <c r="D401" s="560" t="s">
        <v>38</v>
      </c>
      <c r="E401" s="169"/>
      <c r="F401" s="169"/>
      <c r="G401" s="170"/>
      <c r="H401" s="206"/>
      <c r="I401" s="163"/>
      <c r="J401" s="54"/>
      <c r="K401" s="55"/>
      <c r="L401" s="62"/>
      <c r="M401" s="55"/>
      <c r="N401" s="55"/>
      <c r="O401" s="164"/>
      <c r="P401" s="164"/>
      <c r="Q401" s="55"/>
      <c r="R401" s="55"/>
      <c r="S401" s="55"/>
      <c r="T401" s="164"/>
      <c r="U401" s="164"/>
    </row>
    <row r="402" spans="1:21" ht="12.75" hidden="1">
      <c r="A402" s="258"/>
      <c r="B402" s="259"/>
      <c r="C402" s="259"/>
      <c r="D402" s="259"/>
      <c r="E402" s="260"/>
      <c r="F402" s="260"/>
      <c r="G402" s="261"/>
      <c r="H402" s="262"/>
      <c r="I402" s="263"/>
      <c r="J402" s="263"/>
      <c r="K402" s="264"/>
      <c r="L402" s="265"/>
      <c r="M402" s="264"/>
      <c r="N402" s="264"/>
      <c r="O402" s="264"/>
      <c r="P402" s="264"/>
      <c r="Q402" s="264"/>
      <c r="R402" s="264"/>
      <c r="S402" s="264"/>
      <c r="T402" s="264"/>
      <c r="U402" s="264"/>
    </row>
    <row r="403" spans="1:21" ht="12.75" hidden="1">
      <c r="A403" s="259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5"/>
      <c r="M403" s="264"/>
      <c r="N403" s="264"/>
      <c r="O403" s="264"/>
      <c r="P403" s="264"/>
      <c r="Q403" s="264"/>
      <c r="R403" s="264"/>
      <c r="S403" s="264"/>
      <c r="T403" s="264"/>
      <c r="U403" s="264"/>
    </row>
    <row r="404" spans="1:21" ht="12.75" hidden="1">
      <c r="A404" s="259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5"/>
      <c r="M404" s="264"/>
      <c r="N404" s="264"/>
      <c r="O404" s="264"/>
      <c r="P404" s="264"/>
      <c r="Q404" s="264"/>
      <c r="R404" s="264"/>
      <c r="S404" s="264"/>
      <c r="T404" s="264"/>
      <c r="U404" s="264"/>
    </row>
    <row r="405" spans="1:21" ht="12.75" hidden="1">
      <c r="A405" s="259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5"/>
      <c r="M405" s="264"/>
      <c r="N405" s="264"/>
      <c r="O405" s="264"/>
      <c r="P405" s="264"/>
      <c r="Q405" s="264"/>
      <c r="R405" s="264"/>
      <c r="S405" s="264"/>
      <c r="T405" s="264"/>
      <c r="U405" s="264"/>
    </row>
    <row r="406" spans="1:21" ht="12.75" hidden="1">
      <c r="A406" s="259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5"/>
      <c r="M406" s="264"/>
      <c r="N406" s="264"/>
      <c r="O406" s="264"/>
      <c r="P406" s="264"/>
      <c r="Q406" s="264"/>
      <c r="R406" s="264"/>
      <c r="S406" s="264"/>
      <c r="T406" s="264"/>
      <c r="U406" s="264"/>
    </row>
    <row r="407" spans="1:21" ht="12.75" hidden="1">
      <c r="A407" s="259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5"/>
      <c r="M407" s="264"/>
      <c r="N407" s="264"/>
      <c r="O407" s="264"/>
      <c r="P407" s="264"/>
      <c r="Q407" s="264"/>
      <c r="R407" s="264"/>
      <c r="S407" s="264"/>
      <c r="T407" s="264"/>
      <c r="U407" s="264"/>
    </row>
    <row r="408" spans="1:21" ht="12.75" hidden="1">
      <c r="A408" s="259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5"/>
      <c r="M408" s="264"/>
      <c r="N408" s="264"/>
      <c r="O408" s="264"/>
      <c r="P408" s="264"/>
      <c r="Q408" s="264"/>
      <c r="R408" s="264"/>
      <c r="S408" s="264"/>
      <c r="T408" s="264"/>
      <c r="U408" s="264"/>
    </row>
    <row r="409" spans="1:21" ht="12.75" hidden="1">
      <c r="A409" s="259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5"/>
      <c r="M409" s="264"/>
      <c r="N409" s="264"/>
      <c r="O409" s="264"/>
      <c r="P409" s="264"/>
      <c r="Q409" s="264"/>
      <c r="R409" s="264"/>
      <c r="S409" s="264"/>
      <c r="T409" s="264"/>
      <c r="U409" s="264"/>
    </row>
    <row r="410" spans="1:21" ht="12.75" hidden="1">
      <c r="A410" s="259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5"/>
      <c r="M410" s="264"/>
      <c r="N410" s="264"/>
      <c r="O410" s="264"/>
      <c r="P410" s="264"/>
      <c r="Q410" s="264"/>
      <c r="R410" s="264"/>
      <c r="S410" s="264"/>
      <c r="T410" s="264"/>
      <c r="U410" s="264"/>
    </row>
    <row r="411" spans="1:21" ht="12.75" hidden="1">
      <c r="A411" s="360"/>
      <c r="B411" s="360"/>
      <c r="C411" s="360"/>
      <c r="D411" s="360"/>
      <c r="E411" s="360"/>
      <c r="F411" s="360"/>
      <c r="G411" s="361"/>
      <c r="H411" s="361"/>
      <c r="I411" s="362"/>
      <c r="J411" s="362"/>
      <c r="K411" s="363"/>
      <c r="L411" s="364"/>
      <c r="M411" s="363"/>
      <c r="N411" s="363"/>
      <c r="O411" s="363"/>
      <c r="P411" s="363"/>
      <c r="Q411" s="363"/>
      <c r="R411" s="363"/>
      <c r="S411" s="363"/>
      <c r="T411" s="363"/>
      <c r="U411" s="363"/>
    </row>
    <row r="412" spans="1:21" ht="19.5" hidden="1">
      <c r="A412" s="337"/>
      <c r="B412" s="354" t="s">
        <v>158</v>
      </c>
      <c r="C412" s="337"/>
      <c r="D412" s="337"/>
      <c r="E412" s="337"/>
      <c r="F412" s="337"/>
      <c r="G412" s="365"/>
      <c r="H412" s="366" t="s">
        <v>46</v>
      </c>
      <c r="I412" s="605">
        <f ca="1">I423</f>
        <v>0</v>
      </c>
      <c r="J412" s="605">
        <f>J423</f>
        <v>0</v>
      </c>
      <c r="K412" s="604">
        <f ca="1">IF(I412&gt;0,J412*100/I412,0)</f>
        <v>0</v>
      </c>
      <c r="L412" s="334"/>
      <c r="M412" s="333"/>
      <c r="N412" s="333"/>
      <c r="O412" s="333"/>
      <c r="P412" s="333"/>
      <c r="Q412" s="333"/>
      <c r="R412" s="333"/>
      <c r="S412" s="333"/>
      <c r="T412" s="333"/>
      <c r="U412" s="333"/>
    </row>
    <row r="413" spans="1:21" ht="19.5" hidden="1">
      <c r="A413" s="155"/>
      <c r="B413" s="188"/>
      <c r="C413" s="367" t="s">
        <v>18</v>
      </c>
      <c r="D413" s="603" t="s">
        <v>19</v>
      </c>
      <c r="E413" s="514"/>
      <c r="F413" s="514"/>
      <c r="G413" s="512"/>
      <c r="H413" s="368" t="s">
        <v>14</v>
      </c>
      <c r="I413" s="54"/>
      <c r="J413" s="54"/>
      <c r="K413" s="55"/>
      <c r="L413" s="541">
        <f>L414+L415</f>
        <v>0</v>
      </c>
      <c r="M413" s="540">
        <f>M414+M415</f>
        <v>0</v>
      </c>
      <c r="N413" s="540">
        <f>N414+N415</f>
        <v>0</v>
      </c>
      <c r="O413" s="540">
        <f>IF(L413&gt;0,N413*100/L413,0)</f>
        <v>0</v>
      </c>
      <c r="P413" s="540">
        <f>IF(M413&gt;0,N413*100/M413,0)</f>
        <v>0</v>
      </c>
      <c r="Q413" s="540">
        <f ca="1">Q414+Q415</f>
        <v>0</v>
      </c>
      <c r="R413" s="540">
        <f ca="1">R414+R415</f>
        <v>0</v>
      </c>
      <c r="S413" s="540">
        <f ca="1">S414+S415</f>
        <v>0</v>
      </c>
      <c r="T413" s="540">
        <f ca="1">IF(Q413&gt;0,S413*100/Q413,0)</f>
        <v>0</v>
      </c>
      <c r="U413" s="540">
        <f ca="1">IF(R413&gt;0,S413*100/R413,0)</f>
        <v>0</v>
      </c>
    </row>
    <row r="414" spans="1:21" ht="18.75" hidden="1">
      <c r="A414" s="155"/>
      <c r="B414" s="188"/>
      <c r="C414" s="188"/>
      <c r="D414" s="188"/>
      <c r="E414" s="358" t="s">
        <v>159</v>
      </c>
      <c r="F414" s="188"/>
      <c r="G414" s="208"/>
      <c r="H414" s="204" t="s">
        <v>14</v>
      </c>
      <c r="I414" s="54"/>
      <c r="J414" s="54"/>
      <c r="K414" s="55"/>
      <c r="L414" s="103">
        <f>L417+L420</f>
        <v>0</v>
      </c>
      <c r="M414" s="102">
        <f>M417+M420</f>
        <v>0</v>
      </c>
      <c r="N414" s="102">
        <f>N417+N420</f>
        <v>0</v>
      </c>
      <c r="O414" s="102">
        <f>IF(L414&gt;0,N414*100/L414,0)</f>
        <v>0</v>
      </c>
      <c r="P414" s="102">
        <f>IF(M414&gt;0,N414*100/M414,0)</f>
        <v>0</v>
      </c>
      <c r="Q414" s="102">
        <f>Q417+Q420</f>
        <v>0</v>
      </c>
      <c r="R414" s="102">
        <f>R417+R420</f>
        <v>0</v>
      </c>
      <c r="S414" s="102">
        <f>S417+S420</f>
        <v>0</v>
      </c>
      <c r="T414" s="102">
        <f>IF(Q414&gt;0,S414*100/Q414,0)</f>
        <v>0</v>
      </c>
      <c r="U414" s="102">
        <f>IF(R414&gt;0,S414*100/R414,0)</f>
        <v>0</v>
      </c>
    </row>
    <row r="415" spans="1:21" ht="18.75" hidden="1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256">
        <f>L418+L421</f>
        <v>0</v>
      </c>
      <c r="M415" s="255">
        <f>M418+M421</f>
        <v>0</v>
      </c>
      <c r="N415" s="255">
        <f>N418+N421</f>
        <v>0</v>
      </c>
      <c r="O415" s="255">
        <f>IF(L415&gt;0,N415*100/L415,0)</f>
        <v>0</v>
      </c>
      <c r="P415" s="255">
        <f>IF(M415&gt;0,N415*100/M415,0)</f>
        <v>0</v>
      </c>
      <c r="Q415" s="255">
        <f ca="1">Q418+Q421</f>
        <v>0</v>
      </c>
      <c r="R415" s="255">
        <f ca="1">R418+R421</f>
        <v>0</v>
      </c>
      <c r="S415" s="255">
        <f ca="1">S418+S421</f>
        <v>0</v>
      </c>
      <c r="T415" s="255">
        <f ca="1">IF(Q415&gt;0,S415*100/Q415,0)</f>
        <v>0</v>
      </c>
      <c r="U415" s="255">
        <f ca="1">IF(R415&gt;0,S415*100/R415,0)</f>
        <v>0</v>
      </c>
    </row>
    <row r="416" spans="1:21" ht="19.5" hidden="1">
      <c r="A416" s="155"/>
      <c r="B416" s="188"/>
      <c r="C416" s="188"/>
      <c r="D416" s="608" t="s">
        <v>22</v>
      </c>
      <c r="E416" s="188"/>
      <c r="F416" s="188"/>
      <c r="G416" s="208"/>
      <c r="H416" s="368" t="s">
        <v>14</v>
      </c>
      <c r="I416" s="54"/>
      <c r="J416" s="54"/>
      <c r="K416" s="55"/>
      <c r="L416" s="256">
        <f>L417+L418</f>
        <v>0</v>
      </c>
      <c r="M416" s="255">
        <f>M417+M418</f>
        <v>0</v>
      </c>
      <c r="N416" s="255">
        <f>N417+N418</f>
        <v>0</v>
      </c>
      <c r="O416" s="255">
        <f>IF(L416&gt;0,N416*100/L416,0)</f>
        <v>0</v>
      </c>
      <c r="P416" s="255">
        <f>IF(M416&gt;0,N416*100/M416,0)</f>
        <v>0</v>
      </c>
      <c r="Q416" s="255">
        <f ca="1">Q417+Q418</f>
        <v>0</v>
      </c>
      <c r="R416" s="255">
        <f ca="1">R417+R418</f>
        <v>0</v>
      </c>
      <c r="S416" s="255">
        <f ca="1">S417+S418</f>
        <v>0</v>
      </c>
      <c r="T416" s="255">
        <f ca="1">IF(Q416&gt;0,S416*100/Q416,0)</f>
        <v>0</v>
      </c>
      <c r="U416" s="255">
        <f ca="1">IF(R416&gt;0,S416*100/R416,0)</f>
        <v>0</v>
      </c>
    </row>
    <row r="417" spans="1:21" ht="18.75" hidden="1">
      <c r="A417" s="155"/>
      <c r="B417" s="188"/>
      <c r="C417" s="188"/>
      <c r="D417" s="188"/>
      <c r="E417" s="358" t="s">
        <v>159</v>
      </c>
      <c r="F417" s="188"/>
      <c r="G417" s="208"/>
      <c r="H417" s="204" t="s">
        <v>14</v>
      </c>
      <c r="I417" s="54"/>
      <c r="J417" s="54"/>
      <c r="K417" s="55"/>
      <c r="L417" s="103">
        <v>0</v>
      </c>
      <c r="M417" s="102">
        <v>0</v>
      </c>
      <c r="N417" s="102">
        <v>0</v>
      </c>
      <c r="O417" s="102">
        <f>IF(L417&gt;0,N417*100/L417,0)</f>
        <v>0</v>
      </c>
      <c r="P417" s="102">
        <f>IF(M417&gt;0,N417*100/M417,0)</f>
        <v>0</v>
      </c>
      <c r="Q417" s="102">
        <v>0</v>
      </c>
      <c r="R417" s="102">
        <v>0</v>
      </c>
      <c r="S417" s="102">
        <v>0</v>
      </c>
      <c r="T417" s="102">
        <f>IF(Q417&gt;0,S417*100/Q417,0)</f>
        <v>0</v>
      </c>
      <c r="U417" s="102">
        <f>IF(R417&gt;0,S417*100/R417,0)</f>
        <v>0</v>
      </c>
    </row>
    <row r="418" spans="1:21" ht="18.75" hidden="1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256">
        <v>0</v>
      </c>
      <c r="M418" s="255">
        <v>0</v>
      </c>
      <c r="N418" s="255">
        <v>0</v>
      </c>
      <c r="O418" s="255">
        <f>IF(L418&gt;0,N418*100/L418,0)</f>
        <v>0</v>
      </c>
      <c r="P418" s="255">
        <f>IF(M418&gt;0,N418*100/M418,0)</f>
        <v>0</v>
      </c>
      <c r="Q418" s="255">
        <f ca="1">IFERROR(__xludf.DUMMYFUNCTION("IMPORTRANGE(""https://docs.google.com/spreadsheets/d/1ItG2mGa2ceCfYo0BwxsXqNm01IGEUdYcSSLTEv9YCik/edit?usp=sharing"",""เบิกจ่ายกองทุน!BH41"")"),0)</f>
        <v>0</v>
      </c>
      <c r="R418" s="255">
        <f ca="1">IFERROR(__xludf.DUMMYFUNCTION("IMPORTRANGE(""https://docs.google.com/spreadsheets/d/1ItG2mGa2ceCfYo0BwxsXqNm01IGEUdYcSSLTEv9YCik/edit?usp=sharing"",""เบิกจ่ายกองทุน!BI41"")"),0)</f>
        <v>0</v>
      </c>
      <c r="S418" s="255">
        <f ca="1">IFERROR(__xludf.DUMMYFUNCTION("IMPORTRANGE(""https://docs.google.com/spreadsheets/d/1ItG2mGa2ceCfYo0BwxsXqNm01IGEUdYcSSLTEv9YCik/edit?usp=sharing"",""เบิกจ่ายกองทุน!BJ41"")"),0)</f>
        <v>0</v>
      </c>
      <c r="T418" s="255">
        <f ca="1">IF(Q418&gt;0,S418*100/Q418,0)</f>
        <v>0</v>
      </c>
      <c r="U418" s="255">
        <f ca="1">IF(R418&gt;0,S418*100/R418,0)</f>
        <v>0</v>
      </c>
    </row>
    <row r="419" spans="1:21" ht="19.5" hidden="1">
      <c r="A419" s="155"/>
      <c r="B419" s="188"/>
      <c r="C419" s="188"/>
      <c r="D419" s="608" t="s">
        <v>23</v>
      </c>
      <c r="E419" s="188"/>
      <c r="F419" s="188"/>
      <c r="G419" s="208"/>
      <c r="H419" s="158" t="s">
        <v>14</v>
      </c>
      <c r="I419" s="54"/>
      <c r="J419" s="54"/>
      <c r="K419" s="55"/>
      <c r="L419" s="256">
        <f>L420+L421</f>
        <v>0</v>
      </c>
      <c r="M419" s="255">
        <f>M420+M421</f>
        <v>0</v>
      </c>
      <c r="N419" s="255">
        <f>N420+N421</f>
        <v>0</v>
      </c>
      <c r="O419" s="255">
        <f>IF(L419&gt;0,N419*100/L419,0)</f>
        <v>0</v>
      </c>
      <c r="P419" s="255">
        <f>IF(M419&gt;0,N419*100/M419,0)</f>
        <v>0</v>
      </c>
      <c r="Q419" s="255">
        <f>Q420+Q421</f>
        <v>0</v>
      </c>
      <c r="R419" s="255">
        <f>R420+R421</f>
        <v>0</v>
      </c>
      <c r="S419" s="255">
        <f>S420+S421</f>
        <v>0</v>
      </c>
      <c r="T419" s="255">
        <f>IF(Q419&gt;0,S419*100/Q419,0)</f>
        <v>0</v>
      </c>
      <c r="U419" s="255">
        <f>IF(R419&gt;0,S419*100/R419,0)</f>
        <v>0</v>
      </c>
    </row>
    <row r="420" spans="1:21" ht="18.75" hidden="1">
      <c r="A420" s="155"/>
      <c r="B420" s="188"/>
      <c r="C420" s="188"/>
      <c r="D420" s="188"/>
      <c r="E420" s="358" t="s">
        <v>20</v>
      </c>
      <c r="F420" s="188"/>
      <c r="G420" s="208"/>
      <c r="H420" s="204" t="s">
        <v>14</v>
      </c>
      <c r="I420" s="54"/>
      <c r="J420" s="54"/>
      <c r="K420" s="55"/>
      <c r="L420" s="103">
        <v>0</v>
      </c>
      <c r="M420" s="102">
        <v>0</v>
      </c>
      <c r="N420" s="102">
        <v>0</v>
      </c>
      <c r="O420" s="102">
        <f>IF(L420&gt;0,N420*100/L420,0)</f>
        <v>0</v>
      </c>
      <c r="P420" s="102">
        <f>IF(M420&gt;0,N420*100/M420,0)</f>
        <v>0</v>
      </c>
      <c r="Q420" s="102">
        <v>0</v>
      </c>
      <c r="R420" s="102">
        <v>0</v>
      </c>
      <c r="S420" s="102">
        <v>0</v>
      </c>
      <c r="T420" s="102">
        <f>IF(Q420&gt;0,S420*100/Q420,0)</f>
        <v>0</v>
      </c>
      <c r="U420" s="102">
        <f>IF(R420&gt;0,S420*100/R420,0)</f>
        <v>0</v>
      </c>
    </row>
    <row r="421" spans="1:21" ht="18.75" hidden="1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256">
        <v>0</v>
      </c>
      <c r="M421" s="255">
        <v>0</v>
      </c>
      <c r="N421" s="255">
        <v>0</v>
      </c>
      <c r="O421" s="255">
        <f>IF(L421&gt;0,N421*100/L421,0)</f>
        <v>0</v>
      </c>
      <c r="P421" s="255">
        <f>IF(M421&gt;0,N421*100/M421,0)</f>
        <v>0</v>
      </c>
      <c r="Q421" s="255">
        <v>0</v>
      </c>
      <c r="R421" s="255">
        <v>0</v>
      </c>
      <c r="S421" s="255">
        <v>0</v>
      </c>
      <c r="T421" s="255">
        <f>IF(Q421&gt;0,S421*100/Q421,0)</f>
        <v>0</v>
      </c>
      <c r="U421" s="255">
        <f>IF(R421&gt;0,S421*100/R421,0)</f>
        <v>0</v>
      </c>
    </row>
    <row r="422" spans="1:21" ht="19.5" hidden="1">
      <c r="A422" s="238"/>
      <c r="B422" s="188"/>
      <c r="C422" s="367" t="s">
        <v>18</v>
      </c>
      <c r="D422" s="607" t="s">
        <v>38</v>
      </c>
      <c r="E422" s="188"/>
      <c r="F422" s="188"/>
      <c r="G422" s="208"/>
      <c r="H422" s="208"/>
      <c r="I422" s="54"/>
      <c r="J422" s="54"/>
      <c r="K422" s="55"/>
      <c r="L422" s="62"/>
      <c r="M422" s="55"/>
      <c r="N422" s="55"/>
      <c r="O422" s="55"/>
      <c r="P422" s="55"/>
      <c r="Q422" s="55"/>
      <c r="R422" s="55"/>
      <c r="S422" s="55"/>
      <c r="T422" s="55"/>
      <c r="U422" s="55"/>
    </row>
    <row r="423" spans="1:21" ht="19.5" hidden="1">
      <c r="A423" s="238"/>
      <c r="B423" s="191" t="s">
        <v>161</v>
      </c>
      <c r="C423" s="188"/>
      <c r="D423" s="188"/>
      <c r="E423" s="188"/>
      <c r="F423" s="188"/>
      <c r="G423" s="208"/>
      <c r="H423" s="368" t="s">
        <v>46</v>
      </c>
      <c r="I423" s="373">
        <f ca="1">I440</f>
        <v>0</v>
      </c>
      <c r="J423" s="373">
        <f>J440</f>
        <v>0</v>
      </c>
      <c r="K423" s="540">
        <f ca="1">IF(I423&gt;0,J423*100/I423,0)</f>
        <v>0</v>
      </c>
      <c r="L423" s="62"/>
      <c r="M423" s="55"/>
      <c r="N423" s="55"/>
      <c r="O423" s="55"/>
      <c r="P423" s="55"/>
      <c r="Q423" s="55"/>
      <c r="R423" s="55"/>
      <c r="S423" s="55"/>
      <c r="T423" s="55"/>
      <c r="U423" s="55"/>
    </row>
    <row r="424" spans="1:21" ht="19.5" hidden="1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373">
        <f ca="1">IFERROR(__xludf.DUMMYFUNCTION("IMPORTRANGE(""https://docs.google.com/spreadsheets/d/1eHaY18a8A9IcSdp1K8H6x8fbOy06t2VsZHhMHf-1x7Y/edit?usp=sharing"",""แผน!HJ41"")"),0)</f>
        <v>0</v>
      </c>
      <c r="J424" s="373">
        <f>J426+J428+J430</f>
        <v>0</v>
      </c>
      <c r="K424" s="540">
        <f ca="1">IF(I424&gt;0,J424*100/I424,0)</f>
        <v>0</v>
      </c>
      <c r="L424" s="62"/>
      <c r="M424" s="55"/>
      <c r="N424" s="55"/>
      <c r="O424" s="55"/>
      <c r="P424" s="55"/>
      <c r="Q424" s="55"/>
      <c r="R424" s="55"/>
      <c r="S424" s="55"/>
      <c r="T424" s="55"/>
      <c r="U424" s="55"/>
    </row>
    <row r="425" spans="1:21" ht="19.5" hidden="1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373">
        <f ca="1">IFERROR(__xludf.DUMMYFUNCTION("IMPORTRANGE(""https://docs.google.com/spreadsheets/d/1eHaY18a8A9IcSdp1K8H6x8fbOy06t2VsZHhMHf-1x7Y/edit?usp=sharing"",""แผน!HK41"")"),0)</f>
        <v>0</v>
      </c>
      <c r="J425" s="373">
        <f>J427+J429+J431</f>
        <v>0</v>
      </c>
      <c r="K425" s="540">
        <f ca="1">IF(I425&gt;0,J425*100/I425,0)</f>
        <v>0</v>
      </c>
      <c r="L425" s="62"/>
      <c r="M425" s="55"/>
      <c r="N425" s="55"/>
      <c r="O425" s="55"/>
      <c r="P425" s="55"/>
      <c r="Q425" s="55"/>
      <c r="R425" s="55"/>
      <c r="S425" s="55"/>
      <c r="T425" s="55"/>
      <c r="U425" s="55"/>
    </row>
    <row r="426" spans="1:21" ht="18.75" hidden="1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54"/>
      <c r="K426" s="55"/>
      <c r="L426" s="62"/>
      <c r="M426" s="55"/>
      <c r="N426" s="55"/>
      <c r="O426" s="55"/>
      <c r="P426" s="55"/>
      <c r="Q426" s="55"/>
      <c r="R426" s="55"/>
      <c r="S426" s="55"/>
      <c r="T426" s="55"/>
      <c r="U426" s="55"/>
    </row>
    <row r="427" spans="1:21" ht="18.75" hidden="1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54"/>
      <c r="K427" s="55"/>
      <c r="L427" s="62"/>
      <c r="M427" s="55"/>
      <c r="N427" s="55"/>
      <c r="O427" s="55"/>
      <c r="P427" s="55"/>
      <c r="Q427" s="55"/>
      <c r="R427" s="55"/>
      <c r="S427" s="55"/>
      <c r="T427" s="55"/>
      <c r="U427" s="55"/>
    </row>
    <row r="428" spans="1:21" ht="18.75" hidden="1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54"/>
      <c r="K428" s="55"/>
      <c r="L428" s="62"/>
      <c r="M428" s="55"/>
      <c r="N428" s="55"/>
      <c r="O428" s="55"/>
      <c r="P428" s="55"/>
      <c r="Q428" s="55"/>
      <c r="R428" s="55"/>
      <c r="S428" s="55"/>
      <c r="T428" s="55"/>
      <c r="U428" s="55"/>
    </row>
    <row r="429" spans="1:21" ht="18.75" hidden="1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54"/>
      <c r="K429" s="55"/>
      <c r="L429" s="62"/>
      <c r="M429" s="55"/>
      <c r="N429" s="55"/>
      <c r="O429" s="55"/>
      <c r="P429" s="55"/>
      <c r="Q429" s="55"/>
      <c r="R429" s="55"/>
      <c r="S429" s="55"/>
      <c r="T429" s="55"/>
      <c r="U429" s="55"/>
    </row>
    <row r="430" spans="1:21" ht="18.75" hidden="1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54"/>
      <c r="K430" s="55"/>
      <c r="L430" s="62"/>
      <c r="M430" s="55"/>
      <c r="N430" s="55"/>
      <c r="O430" s="55"/>
      <c r="P430" s="55"/>
      <c r="Q430" s="55"/>
      <c r="R430" s="55"/>
      <c r="S430" s="55"/>
      <c r="T430" s="55"/>
      <c r="U430" s="55"/>
    </row>
    <row r="431" spans="1:21" ht="18.75" hidden="1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54"/>
      <c r="K431" s="55"/>
      <c r="L431" s="62"/>
      <c r="M431" s="55"/>
      <c r="N431" s="55"/>
      <c r="O431" s="55"/>
      <c r="P431" s="55"/>
      <c r="Q431" s="55"/>
      <c r="R431" s="55"/>
      <c r="S431" s="55"/>
      <c r="T431" s="55"/>
      <c r="U431" s="55"/>
    </row>
    <row r="432" spans="1:21" ht="19.5" hidden="1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373">
        <f ca="1">IFERROR(__xludf.DUMMYFUNCTION("IMPORTRANGE(""https://docs.google.com/spreadsheets/d/1eHaY18a8A9IcSdp1K8H6x8fbOy06t2VsZHhMHf-1x7Y/edit?usp=sharing"",""แผน!HJ41"")"),0)</f>
        <v>0</v>
      </c>
      <c r="J432" s="373">
        <f>J434+J436+J438</f>
        <v>0</v>
      </c>
      <c r="K432" s="540">
        <f ca="1">IF(I432&gt;0,J432*100/I432,0)</f>
        <v>0</v>
      </c>
      <c r="L432" s="62"/>
      <c r="M432" s="55"/>
      <c r="N432" s="55"/>
      <c r="O432" s="55"/>
      <c r="P432" s="55"/>
      <c r="Q432" s="55"/>
      <c r="R432" s="55"/>
      <c r="S432" s="55"/>
      <c r="T432" s="55"/>
      <c r="U432" s="55"/>
    </row>
    <row r="433" spans="1:21" ht="19.5" hidden="1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373">
        <f ca="1">IFERROR(__xludf.DUMMYFUNCTION("IMPORTRANGE(""https://docs.google.com/spreadsheets/d/1eHaY18a8A9IcSdp1K8H6x8fbOy06t2VsZHhMHf-1x7Y/edit?usp=sharing"",""แผน!HK41"")"),0)</f>
        <v>0</v>
      </c>
      <c r="J433" s="373">
        <f>J435+J437+J439</f>
        <v>0</v>
      </c>
      <c r="K433" s="540">
        <f ca="1">IF(I433&gt;0,J433*100/I433,0)</f>
        <v>0</v>
      </c>
      <c r="L433" s="62"/>
      <c r="M433" s="55"/>
      <c r="N433" s="55"/>
      <c r="O433" s="55"/>
      <c r="P433" s="55"/>
      <c r="Q433" s="55"/>
      <c r="R433" s="55"/>
      <c r="S433" s="55"/>
      <c r="T433" s="55"/>
      <c r="U433" s="55"/>
    </row>
    <row r="434" spans="1:21" ht="18.75" hidden="1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54"/>
      <c r="K434" s="55"/>
      <c r="L434" s="62"/>
      <c r="M434" s="55"/>
      <c r="N434" s="55"/>
      <c r="O434" s="55"/>
      <c r="P434" s="55"/>
      <c r="Q434" s="55"/>
      <c r="R434" s="55"/>
      <c r="S434" s="55"/>
      <c r="T434" s="55"/>
      <c r="U434" s="55"/>
    </row>
    <row r="435" spans="1:21" ht="18.75" hidden="1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54"/>
      <c r="K435" s="55"/>
      <c r="L435" s="62"/>
      <c r="M435" s="55"/>
      <c r="N435" s="55"/>
      <c r="O435" s="55"/>
      <c r="P435" s="55"/>
      <c r="Q435" s="55"/>
      <c r="R435" s="55"/>
      <c r="S435" s="55"/>
      <c r="T435" s="55"/>
      <c r="U435" s="55"/>
    </row>
    <row r="436" spans="1:21" ht="18.75" hidden="1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54"/>
      <c r="K436" s="55"/>
      <c r="L436" s="62"/>
      <c r="M436" s="55"/>
      <c r="N436" s="55"/>
      <c r="O436" s="55"/>
      <c r="P436" s="55"/>
      <c r="Q436" s="55"/>
      <c r="R436" s="55"/>
      <c r="S436" s="55"/>
      <c r="T436" s="55"/>
      <c r="U436" s="55"/>
    </row>
    <row r="437" spans="1:21" ht="18.75" hidden="1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54"/>
      <c r="K437" s="55"/>
      <c r="L437" s="62"/>
      <c r="M437" s="55"/>
      <c r="N437" s="55"/>
      <c r="O437" s="55"/>
      <c r="P437" s="55"/>
      <c r="Q437" s="55"/>
      <c r="R437" s="55"/>
      <c r="S437" s="55"/>
      <c r="T437" s="55"/>
      <c r="U437" s="55"/>
    </row>
    <row r="438" spans="1:21" ht="18.75" hidden="1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54"/>
      <c r="K438" s="55"/>
      <c r="L438" s="62"/>
      <c r="M438" s="55"/>
      <c r="N438" s="55"/>
      <c r="O438" s="55"/>
      <c r="P438" s="55"/>
      <c r="Q438" s="55"/>
      <c r="R438" s="55"/>
      <c r="S438" s="55"/>
      <c r="T438" s="55"/>
      <c r="U438" s="55"/>
    </row>
    <row r="439" spans="1:21" ht="18.75" hidden="1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54"/>
      <c r="K439" s="55"/>
      <c r="L439" s="62"/>
      <c r="M439" s="55"/>
      <c r="N439" s="55"/>
      <c r="O439" s="55"/>
      <c r="P439" s="55"/>
      <c r="Q439" s="55"/>
      <c r="R439" s="55"/>
      <c r="S439" s="55"/>
      <c r="T439" s="55"/>
      <c r="U439" s="55"/>
    </row>
    <row r="440" spans="1:21" ht="19.5" hidden="1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373">
        <f ca="1">IFERROR(__xludf.DUMMYFUNCTION("IMPORTRANGE(""https://docs.google.com/spreadsheets/d/1eHaY18a8A9IcSdp1K8H6x8fbOy06t2VsZHhMHf-1x7Y/edit?usp=sharing"",""แผน!HJ41"")"),0)</f>
        <v>0</v>
      </c>
      <c r="J440" s="373">
        <f>J442+J444+J446+J452+J454</f>
        <v>0</v>
      </c>
      <c r="K440" s="540">
        <f ca="1">IF(I440&gt;0,J440*100/I440,0)</f>
        <v>0</v>
      </c>
      <c r="L440" s="62"/>
      <c r="M440" s="55"/>
      <c r="N440" s="55"/>
      <c r="O440" s="55"/>
      <c r="P440" s="55"/>
      <c r="Q440" s="55"/>
      <c r="R440" s="55"/>
      <c r="S440" s="55"/>
      <c r="T440" s="55"/>
      <c r="U440" s="55"/>
    </row>
    <row r="441" spans="1:21" ht="19.5" hidden="1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373">
        <f ca="1">IFERROR(__xludf.DUMMYFUNCTION("IMPORTRANGE(""https://docs.google.com/spreadsheets/d/1eHaY18a8A9IcSdp1K8H6x8fbOy06t2VsZHhMHf-1x7Y/edit?usp=sharing"",""แผน!HK41"")"),0)</f>
        <v>0</v>
      </c>
      <c r="J441" s="373">
        <f>J443+J445+J447+J453+J455</f>
        <v>0</v>
      </c>
      <c r="K441" s="540">
        <f ca="1">IF(I441&gt;0,J441*100/I441,0)</f>
        <v>0</v>
      </c>
      <c r="L441" s="62"/>
      <c r="M441" s="55"/>
      <c r="N441" s="55"/>
      <c r="O441" s="55"/>
      <c r="P441" s="55"/>
      <c r="Q441" s="55"/>
      <c r="R441" s="55"/>
      <c r="S441" s="55"/>
      <c r="T441" s="55"/>
      <c r="U441" s="55"/>
    </row>
    <row r="442" spans="1:21" ht="18.75" hidden="1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54"/>
      <c r="K442" s="55"/>
      <c r="L442" s="62"/>
      <c r="M442" s="55"/>
      <c r="N442" s="55"/>
      <c r="O442" s="55"/>
      <c r="P442" s="55"/>
      <c r="Q442" s="55"/>
      <c r="R442" s="55"/>
      <c r="S442" s="55"/>
      <c r="T442" s="55"/>
      <c r="U442" s="55"/>
    </row>
    <row r="443" spans="1:21" ht="18.75" hidden="1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54"/>
      <c r="K443" s="55"/>
      <c r="L443" s="62"/>
      <c r="M443" s="55"/>
      <c r="N443" s="55"/>
      <c r="O443" s="55"/>
      <c r="P443" s="55"/>
      <c r="Q443" s="55"/>
      <c r="R443" s="55"/>
      <c r="S443" s="55"/>
      <c r="T443" s="55"/>
      <c r="U443" s="55"/>
    </row>
    <row r="444" spans="1:21" ht="18.75" hidden="1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54"/>
      <c r="K444" s="55"/>
      <c r="L444" s="62"/>
      <c r="M444" s="55"/>
      <c r="N444" s="55"/>
      <c r="O444" s="55"/>
      <c r="P444" s="55"/>
      <c r="Q444" s="55"/>
      <c r="R444" s="55"/>
      <c r="S444" s="55"/>
      <c r="T444" s="55"/>
      <c r="U444" s="55"/>
    </row>
    <row r="445" spans="1:21" ht="18.75" hidden="1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54"/>
      <c r="K445" s="55"/>
      <c r="L445" s="62"/>
      <c r="M445" s="55"/>
      <c r="N445" s="55"/>
      <c r="O445" s="55"/>
      <c r="P445" s="55"/>
      <c r="Q445" s="55"/>
      <c r="R445" s="55"/>
      <c r="S445" s="55"/>
      <c r="T445" s="55"/>
      <c r="U445" s="55"/>
    </row>
    <row r="446" spans="1:21" ht="19.5" hidden="1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373">
        <f>J448+J450</f>
        <v>0</v>
      </c>
      <c r="K446" s="55"/>
      <c r="L446" s="62"/>
      <c r="M446" s="55"/>
      <c r="N446" s="55"/>
      <c r="O446" s="55"/>
      <c r="P446" s="55"/>
      <c r="Q446" s="55"/>
      <c r="R446" s="55"/>
      <c r="S446" s="55"/>
      <c r="T446" s="55"/>
      <c r="U446" s="55"/>
    </row>
    <row r="447" spans="1:21" ht="19.5" hidden="1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373">
        <f>J449+J451</f>
        <v>0</v>
      </c>
      <c r="K447" s="55"/>
      <c r="L447" s="62"/>
      <c r="M447" s="55"/>
      <c r="N447" s="55"/>
      <c r="O447" s="55"/>
      <c r="P447" s="55"/>
      <c r="Q447" s="55"/>
      <c r="R447" s="55"/>
      <c r="S447" s="55"/>
      <c r="T447" s="55"/>
      <c r="U447" s="55"/>
    </row>
    <row r="448" spans="1:21" ht="18.75" hidden="1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54"/>
      <c r="K448" s="55"/>
      <c r="L448" s="62"/>
      <c r="M448" s="55"/>
      <c r="N448" s="55"/>
      <c r="O448" s="55"/>
      <c r="P448" s="55"/>
      <c r="Q448" s="55"/>
      <c r="R448" s="55"/>
      <c r="S448" s="55"/>
      <c r="T448" s="55"/>
      <c r="U448" s="55"/>
    </row>
    <row r="449" spans="1:21" ht="18.75" hidden="1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54"/>
      <c r="K449" s="55"/>
      <c r="L449" s="62"/>
      <c r="M449" s="55"/>
      <c r="N449" s="55"/>
      <c r="O449" s="55"/>
      <c r="P449" s="55"/>
      <c r="Q449" s="55"/>
      <c r="R449" s="55"/>
      <c r="S449" s="55"/>
      <c r="T449" s="55"/>
      <c r="U449" s="55"/>
    </row>
    <row r="450" spans="1:21" ht="18.75" hidden="1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54"/>
      <c r="K450" s="55"/>
      <c r="L450" s="62"/>
      <c r="M450" s="55"/>
      <c r="N450" s="55"/>
      <c r="O450" s="55"/>
      <c r="P450" s="55"/>
      <c r="Q450" s="55"/>
      <c r="R450" s="55"/>
      <c r="S450" s="55"/>
      <c r="T450" s="55"/>
      <c r="U450" s="55"/>
    </row>
    <row r="451" spans="1:21" ht="18.75" hidden="1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54"/>
      <c r="K451" s="55"/>
      <c r="L451" s="62"/>
      <c r="M451" s="55"/>
      <c r="N451" s="55"/>
      <c r="O451" s="55"/>
      <c r="P451" s="55"/>
      <c r="Q451" s="55"/>
      <c r="R451" s="55"/>
      <c r="S451" s="55"/>
      <c r="T451" s="55"/>
      <c r="U451" s="55"/>
    </row>
    <row r="452" spans="1:21" ht="18.75" hidden="1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54"/>
      <c r="K452" s="55"/>
      <c r="L452" s="62"/>
      <c r="M452" s="55"/>
      <c r="N452" s="55"/>
      <c r="O452" s="55"/>
      <c r="P452" s="55"/>
      <c r="Q452" s="55"/>
      <c r="R452" s="55"/>
      <c r="S452" s="55"/>
      <c r="T452" s="55"/>
      <c r="U452" s="55"/>
    </row>
    <row r="453" spans="1:21" ht="18.75" hidden="1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54"/>
      <c r="K453" s="55"/>
      <c r="L453" s="62"/>
      <c r="M453" s="55"/>
      <c r="N453" s="55"/>
      <c r="O453" s="55"/>
      <c r="P453" s="55"/>
      <c r="Q453" s="55"/>
      <c r="R453" s="55"/>
      <c r="S453" s="55"/>
      <c r="T453" s="55"/>
      <c r="U453" s="55"/>
    </row>
    <row r="454" spans="1:21" ht="18.75" hidden="1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606"/>
      <c r="K454" s="55"/>
      <c r="L454" s="62"/>
      <c r="M454" s="55"/>
      <c r="N454" s="55"/>
      <c r="O454" s="55"/>
      <c r="P454" s="55"/>
      <c r="Q454" s="55"/>
      <c r="R454" s="55"/>
      <c r="S454" s="55"/>
      <c r="T454" s="55"/>
      <c r="U454" s="55"/>
    </row>
    <row r="455" spans="1:21" ht="18.75" hidden="1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54"/>
      <c r="K455" s="55"/>
      <c r="L455" s="62"/>
      <c r="M455" s="55"/>
      <c r="N455" s="55"/>
      <c r="O455" s="55"/>
      <c r="P455" s="55"/>
      <c r="Q455" s="55"/>
      <c r="R455" s="55"/>
      <c r="S455" s="55"/>
      <c r="T455" s="55"/>
      <c r="U455" s="55"/>
    </row>
    <row r="456" spans="1:21" ht="19.5" hidden="1">
      <c r="A456" s="238"/>
      <c r="B456" s="191" t="s">
        <v>178</v>
      </c>
      <c r="C456" s="188"/>
      <c r="D456" s="188"/>
      <c r="E456" s="188"/>
      <c r="F456" s="188"/>
      <c r="G456" s="208"/>
      <c r="H456" s="368" t="s">
        <v>46</v>
      </c>
      <c r="I456" s="373">
        <f ca="1">I457</f>
        <v>0</v>
      </c>
      <c r="J456" s="373">
        <f>J457</f>
        <v>0</v>
      </c>
      <c r="K456" s="540">
        <f ca="1">IF(I456&gt;0,J456*100/I456,0)</f>
        <v>0</v>
      </c>
      <c r="L456" s="62"/>
      <c r="M456" s="55"/>
      <c r="N456" s="55"/>
      <c r="O456" s="55"/>
      <c r="P456" s="55"/>
      <c r="Q456" s="55"/>
      <c r="R456" s="55"/>
      <c r="S456" s="55"/>
      <c r="T456" s="55"/>
      <c r="U456" s="55"/>
    </row>
    <row r="457" spans="1:21" ht="19.5" hidden="1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373">
        <f ca="1">IFERROR(__xludf.DUMMYFUNCTION("IMPORTRANGE(""https://docs.google.com/spreadsheets/d/1eHaY18a8A9IcSdp1K8H6x8fbOy06t2VsZHhMHf-1x7Y/edit?usp=sharing"",""แผน!HL41"")"),0)</f>
        <v>0</v>
      </c>
      <c r="J457" s="373">
        <f>J459+J467+J473</f>
        <v>0</v>
      </c>
      <c r="K457" s="540">
        <f ca="1">IF(I457&gt;0,J457*100/I457,0)</f>
        <v>0</v>
      </c>
      <c r="L457" s="62"/>
      <c r="M457" s="55"/>
      <c r="N457" s="55"/>
      <c r="O457" s="55"/>
      <c r="P457" s="55"/>
      <c r="Q457" s="55"/>
      <c r="R457" s="55"/>
      <c r="S457" s="55"/>
      <c r="T457" s="55"/>
      <c r="U457" s="55"/>
    </row>
    <row r="458" spans="1:21" ht="19.5" hidden="1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373">
        <f ca="1">IFERROR(__xludf.DUMMYFUNCTION("IMPORTRANGE(""https://docs.google.com/spreadsheets/d/1eHaY18a8A9IcSdp1K8H6x8fbOy06t2VsZHhMHf-1x7Y/edit?usp=sharing"",""แผน!HM41"")"),0)</f>
        <v>0</v>
      </c>
      <c r="J458" s="373">
        <f>J460+J468+J474</f>
        <v>0</v>
      </c>
      <c r="K458" s="540">
        <f ca="1">IF(I458&gt;0,J458*100/I458,0)</f>
        <v>0</v>
      </c>
      <c r="L458" s="62"/>
      <c r="M458" s="55"/>
      <c r="N458" s="55"/>
      <c r="O458" s="55"/>
      <c r="P458" s="55"/>
      <c r="Q458" s="55"/>
      <c r="R458" s="55"/>
      <c r="S458" s="55"/>
      <c r="T458" s="55"/>
      <c r="U458" s="55"/>
    </row>
    <row r="459" spans="1:21" ht="18.75" hidden="1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212">
        <f>J461+J463</f>
        <v>0</v>
      </c>
      <c r="K459" s="55"/>
      <c r="L459" s="62"/>
      <c r="M459" s="55"/>
      <c r="N459" s="55"/>
      <c r="O459" s="55"/>
      <c r="P459" s="55"/>
      <c r="Q459" s="55"/>
      <c r="R459" s="55"/>
      <c r="S459" s="55"/>
      <c r="T459" s="55"/>
      <c r="U459" s="55"/>
    </row>
    <row r="460" spans="1:21" ht="18.75" hidden="1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212">
        <f>J462+J464</f>
        <v>0</v>
      </c>
      <c r="K460" s="55"/>
      <c r="L460" s="62"/>
      <c r="M460" s="55"/>
      <c r="N460" s="55"/>
      <c r="O460" s="55"/>
      <c r="P460" s="55"/>
      <c r="Q460" s="55"/>
      <c r="R460" s="55"/>
      <c r="S460" s="55"/>
      <c r="T460" s="55"/>
      <c r="U460" s="55"/>
    </row>
    <row r="461" spans="1:21" ht="18.75" hidden="1">
      <c r="A461" s="238"/>
      <c r="B461" s="188"/>
      <c r="C461" s="188"/>
      <c r="D461" s="371" t="s">
        <v>181</v>
      </c>
      <c r="E461" s="188"/>
      <c r="F461" s="188"/>
      <c r="G461" s="208"/>
      <c r="H461" s="161" t="s">
        <v>46</v>
      </c>
      <c r="I461" s="54"/>
      <c r="J461" s="54"/>
      <c r="K461" s="55"/>
      <c r="L461" s="62"/>
      <c r="M461" s="55"/>
      <c r="N461" s="55"/>
      <c r="O461" s="55"/>
      <c r="P461" s="55"/>
      <c r="Q461" s="55"/>
      <c r="R461" s="55"/>
      <c r="S461" s="55"/>
      <c r="T461" s="55"/>
      <c r="U461" s="55"/>
    </row>
    <row r="462" spans="1:21" ht="18.75" hidden="1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54"/>
      <c r="K462" s="55"/>
      <c r="L462" s="62"/>
      <c r="M462" s="55"/>
      <c r="N462" s="55"/>
      <c r="O462" s="55"/>
      <c r="P462" s="55"/>
      <c r="Q462" s="55"/>
      <c r="R462" s="55"/>
      <c r="S462" s="55"/>
      <c r="T462" s="55"/>
      <c r="U462" s="55"/>
    </row>
    <row r="463" spans="1:21" ht="18.75" hidden="1">
      <c r="A463" s="238"/>
      <c r="B463" s="188"/>
      <c r="C463" s="188"/>
      <c r="D463" s="371" t="s">
        <v>182</v>
      </c>
      <c r="E463" s="188"/>
      <c r="F463" s="188"/>
      <c r="G463" s="208"/>
      <c r="H463" s="161" t="s">
        <v>46</v>
      </c>
      <c r="I463" s="54"/>
      <c r="J463" s="54"/>
      <c r="K463" s="55"/>
      <c r="L463" s="62"/>
      <c r="M463" s="55"/>
      <c r="N463" s="55"/>
      <c r="O463" s="55"/>
      <c r="P463" s="55"/>
      <c r="Q463" s="55"/>
      <c r="R463" s="55"/>
      <c r="S463" s="55"/>
      <c r="T463" s="55"/>
      <c r="U463" s="55"/>
    </row>
    <row r="464" spans="1:21" ht="18.75" hidden="1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54"/>
      <c r="K464" s="55"/>
      <c r="L464" s="62"/>
      <c r="M464" s="55"/>
      <c r="N464" s="55"/>
      <c r="O464" s="55"/>
      <c r="P464" s="55"/>
      <c r="Q464" s="55"/>
      <c r="R464" s="55"/>
      <c r="S464" s="55"/>
      <c r="T464" s="55"/>
      <c r="U464" s="55"/>
    </row>
    <row r="465" spans="1:21" ht="18.75" hidden="1">
      <c r="A465" s="238"/>
      <c r="B465" s="188"/>
      <c r="C465" s="188"/>
      <c r="D465" s="371" t="s">
        <v>183</v>
      </c>
      <c r="E465" s="188"/>
      <c r="F465" s="188"/>
      <c r="G465" s="208"/>
      <c r="H465" s="161" t="s">
        <v>46</v>
      </c>
      <c r="I465" s="54"/>
      <c r="J465" s="54"/>
      <c r="K465" s="55"/>
      <c r="L465" s="62"/>
      <c r="M465" s="55"/>
      <c r="N465" s="55"/>
      <c r="O465" s="55"/>
      <c r="P465" s="55"/>
      <c r="Q465" s="55"/>
      <c r="R465" s="55"/>
      <c r="S465" s="55"/>
      <c r="T465" s="55"/>
      <c r="U465" s="55"/>
    </row>
    <row r="466" spans="1:21" ht="18.75" hidden="1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54"/>
      <c r="K466" s="55"/>
      <c r="L466" s="62"/>
      <c r="M466" s="55"/>
      <c r="N466" s="55"/>
      <c r="O466" s="55"/>
      <c r="P466" s="55"/>
      <c r="Q466" s="55"/>
      <c r="R466" s="55"/>
      <c r="S466" s="55"/>
      <c r="T466" s="55"/>
      <c r="U466" s="55"/>
    </row>
    <row r="467" spans="1:21" ht="18.75" hidden="1">
      <c r="A467" s="238"/>
      <c r="B467" s="188"/>
      <c r="C467" s="371" t="s">
        <v>184</v>
      </c>
      <c r="D467" s="188"/>
      <c r="E467" s="188"/>
      <c r="F467" s="188"/>
      <c r="G467" s="208"/>
      <c r="H467" s="161" t="s">
        <v>46</v>
      </c>
      <c r="I467" s="54"/>
      <c r="J467" s="212">
        <f>J469+J471</f>
        <v>0</v>
      </c>
      <c r="K467" s="55"/>
      <c r="L467" s="62"/>
      <c r="M467" s="55"/>
      <c r="N467" s="55"/>
      <c r="O467" s="55"/>
      <c r="P467" s="55"/>
      <c r="Q467" s="55"/>
      <c r="R467" s="55"/>
      <c r="S467" s="55"/>
      <c r="T467" s="55"/>
      <c r="U467" s="55"/>
    </row>
    <row r="468" spans="1:21" ht="18.75" hidden="1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212">
        <f>J470+J472</f>
        <v>0</v>
      </c>
      <c r="K468" s="55"/>
      <c r="L468" s="62"/>
      <c r="M468" s="55"/>
      <c r="N468" s="55"/>
      <c r="O468" s="55"/>
      <c r="P468" s="55"/>
      <c r="Q468" s="55"/>
      <c r="R468" s="55"/>
      <c r="S468" s="55"/>
      <c r="T468" s="55"/>
      <c r="U468" s="55"/>
    </row>
    <row r="469" spans="1:21" ht="18.75" hidden="1">
      <c r="A469" s="238"/>
      <c r="B469" s="188"/>
      <c r="C469" s="188"/>
      <c r="D469" s="371" t="s">
        <v>185</v>
      </c>
      <c r="E469" s="188"/>
      <c r="F469" s="188"/>
      <c r="G469" s="208"/>
      <c r="H469" s="161" t="s">
        <v>46</v>
      </c>
      <c r="I469" s="54"/>
      <c r="J469" s="54"/>
      <c r="K469" s="55"/>
      <c r="L469" s="62"/>
      <c r="M469" s="55"/>
      <c r="N469" s="55"/>
      <c r="O469" s="55"/>
      <c r="P469" s="55"/>
      <c r="Q469" s="55"/>
      <c r="R469" s="55"/>
      <c r="S469" s="55"/>
      <c r="T469" s="55"/>
      <c r="U469" s="55"/>
    </row>
    <row r="470" spans="1:21" ht="18.75" hidden="1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54"/>
      <c r="K470" s="55"/>
      <c r="L470" s="62"/>
      <c r="M470" s="55"/>
      <c r="N470" s="55"/>
      <c r="O470" s="55"/>
      <c r="P470" s="55"/>
      <c r="Q470" s="55"/>
      <c r="R470" s="55"/>
      <c r="S470" s="55"/>
      <c r="T470" s="55"/>
      <c r="U470" s="55"/>
    </row>
    <row r="471" spans="1:21" ht="18.75" hidden="1">
      <c r="A471" s="238"/>
      <c r="B471" s="188"/>
      <c r="C471" s="188"/>
      <c r="D471" s="371" t="s">
        <v>186</v>
      </c>
      <c r="E471" s="188"/>
      <c r="F471" s="188"/>
      <c r="G471" s="208"/>
      <c r="H471" s="161" t="s">
        <v>46</v>
      </c>
      <c r="I471" s="54"/>
      <c r="J471" s="54"/>
      <c r="K471" s="55"/>
      <c r="L471" s="62"/>
      <c r="M471" s="55"/>
      <c r="N471" s="55"/>
      <c r="O471" s="55"/>
      <c r="P471" s="55"/>
      <c r="Q471" s="55"/>
      <c r="R471" s="55"/>
      <c r="S471" s="55"/>
      <c r="T471" s="55"/>
      <c r="U471" s="55"/>
    </row>
    <row r="472" spans="1:21" ht="18.75" hidden="1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54"/>
      <c r="K472" s="55"/>
      <c r="L472" s="62"/>
      <c r="M472" s="55"/>
      <c r="N472" s="55"/>
      <c r="O472" s="55"/>
      <c r="P472" s="55"/>
      <c r="Q472" s="55"/>
      <c r="R472" s="55"/>
      <c r="S472" s="55"/>
      <c r="T472" s="55"/>
      <c r="U472" s="55"/>
    </row>
    <row r="473" spans="1:21" ht="18.75" hidden="1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54"/>
      <c r="K473" s="55"/>
      <c r="L473" s="62"/>
      <c r="M473" s="55"/>
      <c r="N473" s="55"/>
      <c r="O473" s="55"/>
      <c r="P473" s="55"/>
      <c r="Q473" s="55"/>
      <c r="R473" s="55"/>
      <c r="S473" s="55"/>
      <c r="T473" s="55"/>
      <c r="U473" s="55"/>
    </row>
    <row r="474" spans="1:21" ht="18.75" hidden="1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54"/>
      <c r="K474" s="55"/>
      <c r="L474" s="62"/>
      <c r="M474" s="55"/>
      <c r="N474" s="55"/>
      <c r="O474" s="55"/>
      <c r="P474" s="55"/>
      <c r="Q474" s="55"/>
      <c r="R474" s="55"/>
      <c r="S474" s="55"/>
      <c r="T474" s="55"/>
      <c r="U474" s="55"/>
    </row>
    <row r="475" spans="1:21" ht="19.5" hidden="1">
      <c r="A475" s="238"/>
      <c r="B475" s="372" t="s">
        <v>188</v>
      </c>
      <c r="C475" s="188"/>
      <c r="D475" s="188"/>
      <c r="E475" s="188"/>
      <c r="F475" s="188"/>
      <c r="G475" s="208"/>
      <c r="H475" s="158" t="s">
        <v>46</v>
      </c>
      <c r="I475" s="373">
        <v>0</v>
      </c>
      <c r="J475" s="373">
        <f>J478+J480</f>
        <v>0</v>
      </c>
      <c r="K475" s="540">
        <f>IF(I475&gt;0,J475*100/I475,0)</f>
        <v>0</v>
      </c>
      <c r="L475" s="62"/>
      <c r="M475" s="55"/>
      <c r="N475" s="55"/>
      <c r="O475" s="55"/>
      <c r="P475" s="55"/>
      <c r="Q475" s="55"/>
      <c r="R475" s="55"/>
      <c r="S475" s="55"/>
      <c r="T475" s="55"/>
      <c r="U475" s="55"/>
    </row>
    <row r="476" spans="1:21" ht="19.5" hidden="1">
      <c r="A476" s="238"/>
      <c r="B476" s="188"/>
      <c r="C476" s="191" t="s">
        <v>189</v>
      </c>
      <c r="D476" s="188"/>
      <c r="E476" s="188"/>
      <c r="F476" s="188"/>
      <c r="G476" s="208"/>
      <c r="H476" s="158" t="s">
        <v>46</v>
      </c>
      <c r="I476" s="373">
        <v>0</v>
      </c>
      <c r="J476" s="373">
        <f>J478+J480</f>
        <v>0</v>
      </c>
      <c r="K476" s="540">
        <f>IF(I476&gt;0,J476*100/I476,0)</f>
        <v>0</v>
      </c>
      <c r="L476" s="62"/>
      <c r="M476" s="55"/>
      <c r="N476" s="55"/>
      <c r="O476" s="55"/>
      <c r="P476" s="55"/>
      <c r="Q476" s="55"/>
      <c r="R476" s="55"/>
      <c r="S476" s="55"/>
      <c r="T476" s="55"/>
      <c r="U476" s="55"/>
    </row>
    <row r="477" spans="1:21" ht="19.5" hidden="1">
      <c r="A477" s="238"/>
      <c r="B477" s="188"/>
      <c r="C477" s="239" t="s">
        <v>190</v>
      </c>
      <c r="D477" s="188"/>
      <c r="E477" s="188"/>
      <c r="F477" s="188"/>
      <c r="G477" s="208"/>
      <c r="H477" s="158" t="s">
        <v>34</v>
      </c>
      <c r="I477" s="373">
        <v>0</v>
      </c>
      <c r="J477" s="373">
        <f>J479+J481</f>
        <v>0</v>
      </c>
      <c r="K477" s="540">
        <f>IF(I477&gt;0,J477*100/I477,0)</f>
        <v>0</v>
      </c>
      <c r="L477" s="62"/>
      <c r="M477" s="55"/>
      <c r="N477" s="55"/>
      <c r="O477" s="55"/>
      <c r="P477" s="55"/>
      <c r="Q477" s="55"/>
      <c r="R477" s="55"/>
      <c r="S477" s="55"/>
      <c r="T477" s="55"/>
      <c r="U477" s="55"/>
    </row>
    <row r="478" spans="1:21" ht="18.75" hidden="1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54"/>
      <c r="K478" s="55"/>
      <c r="L478" s="62"/>
      <c r="M478" s="55"/>
      <c r="N478" s="55"/>
      <c r="O478" s="55"/>
      <c r="P478" s="55"/>
      <c r="Q478" s="55"/>
      <c r="R478" s="55"/>
      <c r="S478" s="55"/>
      <c r="T478" s="55"/>
      <c r="U478" s="55"/>
    </row>
    <row r="479" spans="1:21" ht="18.75" hidden="1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54"/>
      <c r="K479" s="55"/>
      <c r="L479" s="62"/>
      <c r="M479" s="55"/>
      <c r="N479" s="55"/>
      <c r="O479" s="55"/>
      <c r="P479" s="55"/>
      <c r="Q479" s="55"/>
      <c r="R479" s="55"/>
      <c r="S479" s="55"/>
      <c r="T479" s="55"/>
      <c r="U479" s="55"/>
    </row>
    <row r="480" spans="1:21" ht="18.75" hidden="1">
      <c r="A480" s="238"/>
      <c r="B480" s="188"/>
      <c r="C480" s="188"/>
      <c r="D480" s="371" t="s">
        <v>192</v>
      </c>
      <c r="E480" s="188"/>
      <c r="F480" s="188"/>
      <c r="G480" s="208"/>
      <c r="H480" s="161" t="s">
        <v>46</v>
      </c>
      <c r="I480" s="54"/>
      <c r="J480" s="54"/>
      <c r="K480" s="55"/>
      <c r="L480" s="62"/>
      <c r="M480" s="55"/>
      <c r="N480" s="55"/>
      <c r="O480" s="55"/>
      <c r="P480" s="55"/>
      <c r="Q480" s="55"/>
      <c r="R480" s="55"/>
      <c r="S480" s="55"/>
      <c r="T480" s="55"/>
      <c r="U480" s="55"/>
    </row>
    <row r="481" spans="1:21" ht="18.75" hidden="1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54"/>
      <c r="K481" s="55"/>
      <c r="L481" s="62"/>
      <c r="M481" s="55"/>
      <c r="N481" s="55"/>
      <c r="O481" s="55"/>
      <c r="P481" s="55"/>
      <c r="Q481" s="55"/>
      <c r="R481" s="55"/>
      <c r="S481" s="55"/>
      <c r="T481" s="55"/>
      <c r="U481" s="55"/>
    </row>
    <row r="482" spans="1:21" ht="18.75" hidden="1">
      <c r="A482" s="238"/>
      <c r="B482" s="188"/>
      <c r="C482" s="188"/>
      <c r="D482" s="371" t="s">
        <v>193</v>
      </c>
      <c r="E482" s="188"/>
      <c r="F482" s="188"/>
      <c r="G482" s="208"/>
      <c r="H482" s="161" t="s">
        <v>46</v>
      </c>
      <c r="I482" s="54"/>
      <c r="J482" s="212">
        <f ca="1">IFERROR(__xludf.DUMMYFUNCTION("IMPORTRANGE(""https://docs.google.com/spreadsheets/d/1eHaY18a8A9IcSdp1K8H6x8fbOy06t2VsZHhMHf-1x7Y/edit?usp=sharing"",""แผน!HN41"")"),0)</f>
        <v>0</v>
      </c>
      <c r="K482" s="55"/>
      <c r="L482" s="62"/>
      <c r="M482" s="55"/>
      <c r="N482" s="55"/>
      <c r="O482" s="55"/>
      <c r="P482" s="55"/>
      <c r="Q482" s="55"/>
      <c r="R482" s="55"/>
      <c r="S482" s="55"/>
      <c r="T482" s="55"/>
      <c r="U482" s="55"/>
    </row>
    <row r="483" spans="1:21" ht="18.75" hidden="1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212">
        <f ca="1">IFERROR(__xludf.DUMMYFUNCTION("IMPORTRANGE(""https://docs.google.com/spreadsheets/d/1eHaY18a8A9IcSdp1K8H6x8fbOy06t2VsZHhMHf-1x7Y/edit?usp=sharing"",""แผน!HO41"")"),0)</f>
        <v>0</v>
      </c>
      <c r="K483" s="55"/>
      <c r="L483" s="62"/>
      <c r="M483" s="55"/>
      <c r="N483" s="55"/>
      <c r="O483" s="55"/>
      <c r="P483" s="55"/>
      <c r="Q483" s="55"/>
      <c r="R483" s="55"/>
      <c r="S483" s="55"/>
      <c r="T483" s="55"/>
      <c r="U483" s="55"/>
    </row>
    <row r="484" spans="1:21" ht="19.5" hidden="1">
      <c r="A484" s="238"/>
      <c r="B484" s="188"/>
      <c r="C484" s="191" t="s">
        <v>194</v>
      </c>
      <c r="D484" s="188"/>
      <c r="E484" s="188"/>
      <c r="F484" s="188"/>
      <c r="G484" s="208"/>
      <c r="H484" s="158" t="s">
        <v>46</v>
      </c>
      <c r="I484" s="54">
        <f>J480</f>
        <v>0</v>
      </c>
      <c r="J484" s="373">
        <f>J486+J488+J490</f>
        <v>0</v>
      </c>
      <c r="K484" s="540">
        <f>IF(I484&gt;0,J484*100/I484,0)</f>
        <v>0</v>
      </c>
      <c r="L484" s="62"/>
      <c r="M484" s="55"/>
      <c r="N484" s="55"/>
      <c r="O484" s="55"/>
      <c r="P484" s="55"/>
      <c r="Q484" s="55"/>
      <c r="R484" s="55"/>
      <c r="S484" s="55"/>
      <c r="T484" s="55"/>
      <c r="U484" s="55"/>
    </row>
    <row r="485" spans="1:21" ht="19.5" hidden="1">
      <c r="A485" s="238"/>
      <c r="B485" s="188"/>
      <c r="C485" s="239" t="s">
        <v>195</v>
      </c>
      <c r="D485" s="188"/>
      <c r="E485" s="188"/>
      <c r="F485" s="188"/>
      <c r="G485" s="208"/>
      <c r="H485" s="158" t="s">
        <v>34</v>
      </c>
      <c r="I485" s="54">
        <f>J481</f>
        <v>0</v>
      </c>
      <c r="J485" s="373">
        <f>J487+J489+J491</f>
        <v>0</v>
      </c>
      <c r="K485" s="540">
        <f>IF(I485&gt;0,J485*100/I485,0)</f>
        <v>0</v>
      </c>
      <c r="L485" s="62"/>
      <c r="M485" s="55"/>
      <c r="N485" s="55"/>
      <c r="O485" s="55"/>
      <c r="P485" s="55"/>
      <c r="Q485" s="55"/>
      <c r="R485" s="55"/>
      <c r="S485" s="55"/>
      <c r="T485" s="55"/>
      <c r="U485" s="55"/>
    </row>
    <row r="486" spans="1:21" ht="18.75" hidden="1">
      <c r="A486" s="238"/>
      <c r="B486" s="188"/>
      <c r="C486" s="188"/>
      <c r="D486" s="371" t="s">
        <v>196</v>
      </c>
      <c r="E486" s="188"/>
      <c r="F486" s="188"/>
      <c r="G486" s="208"/>
      <c r="H486" s="161" t="s">
        <v>46</v>
      </c>
      <c r="I486" s="54"/>
      <c r="J486" s="54"/>
      <c r="K486" s="55"/>
      <c r="L486" s="62"/>
      <c r="M486" s="55"/>
      <c r="N486" s="55"/>
      <c r="O486" s="55"/>
      <c r="P486" s="55"/>
      <c r="Q486" s="55"/>
      <c r="R486" s="55"/>
      <c r="S486" s="55"/>
      <c r="T486" s="55"/>
      <c r="U486" s="55"/>
    </row>
    <row r="487" spans="1:21" ht="18.75" hidden="1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54"/>
      <c r="K487" s="55"/>
      <c r="L487" s="62"/>
      <c r="M487" s="55"/>
      <c r="N487" s="55"/>
      <c r="O487" s="55"/>
      <c r="P487" s="55"/>
      <c r="Q487" s="55"/>
      <c r="R487" s="55"/>
      <c r="S487" s="55"/>
      <c r="T487" s="55"/>
      <c r="U487" s="55"/>
    </row>
    <row r="488" spans="1:21" ht="18.75" hidden="1">
      <c r="A488" s="238"/>
      <c r="B488" s="188"/>
      <c r="C488" s="188"/>
      <c r="D488" s="371" t="s">
        <v>197</v>
      </c>
      <c r="E488" s="188"/>
      <c r="F488" s="188"/>
      <c r="G488" s="208"/>
      <c r="H488" s="161" t="s">
        <v>46</v>
      </c>
      <c r="I488" s="54"/>
      <c r="J488" s="54"/>
      <c r="K488" s="55"/>
      <c r="L488" s="62"/>
      <c r="M488" s="55"/>
      <c r="N488" s="55"/>
      <c r="O488" s="55"/>
      <c r="P488" s="55"/>
      <c r="Q488" s="55"/>
      <c r="R488" s="55"/>
      <c r="S488" s="55"/>
      <c r="T488" s="55"/>
      <c r="U488" s="55"/>
    </row>
    <row r="489" spans="1:21" ht="18.75" hidden="1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54"/>
      <c r="K489" s="55"/>
      <c r="L489" s="62"/>
      <c r="M489" s="55"/>
      <c r="N489" s="55"/>
      <c r="O489" s="55"/>
      <c r="P489" s="55"/>
      <c r="Q489" s="55"/>
      <c r="R489" s="55"/>
      <c r="S489" s="55"/>
      <c r="T489" s="55"/>
      <c r="U489" s="55"/>
    </row>
    <row r="490" spans="1:21" ht="18.75" hidden="1">
      <c r="A490" s="238"/>
      <c r="B490" s="188"/>
      <c r="C490" s="188"/>
      <c r="D490" s="371" t="s">
        <v>198</v>
      </c>
      <c r="E490" s="188"/>
      <c r="F490" s="188"/>
      <c r="G490" s="208"/>
      <c r="H490" s="161" t="s">
        <v>46</v>
      </c>
      <c r="I490" s="54"/>
      <c r="J490" s="54"/>
      <c r="K490" s="55"/>
      <c r="L490" s="62"/>
      <c r="M490" s="55"/>
      <c r="N490" s="55"/>
      <c r="O490" s="55"/>
      <c r="P490" s="55"/>
      <c r="Q490" s="55"/>
      <c r="R490" s="55"/>
      <c r="S490" s="55"/>
      <c r="T490" s="55"/>
      <c r="U490" s="55"/>
    </row>
    <row r="491" spans="1:21" ht="18.75" hidden="1">
      <c r="A491" s="374"/>
      <c r="B491" s="5"/>
      <c r="C491" s="5"/>
      <c r="D491" s="5"/>
      <c r="E491" s="5"/>
      <c r="F491" s="5"/>
      <c r="G491" s="375"/>
      <c r="H491" s="376" t="s">
        <v>34</v>
      </c>
      <c r="I491" s="67"/>
      <c r="J491" s="67"/>
      <c r="K491" s="6"/>
      <c r="L491" s="68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 hidden="1">
      <c r="A492" s="335"/>
      <c r="B492" s="354" t="s">
        <v>199</v>
      </c>
      <c r="C492" s="337"/>
      <c r="D492" s="337"/>
      <c r="E492" s="328"/>
      <c r="F492" s="328"/>
      <c r="G492" s="329"/>
      <c r="H492" s="366" t="s">
        <v>35</v>
      </c>
      <c r="I492" s="605">
        <f ca="1">I503</f>
        <v>0</v>
      </c>
      <c r="J492" s="605">
        <f ca="1">J503</f>
        <v>0</v>
      </c>
      <c r="K492" s="604">
        <f ca="1">IF(I492&gt;0,J492*100/I492,0)</f>
        <v>0</v>
      </c>
      <c r="L492" s="334"/>
      <c r="M492" s="333"/>
      <c r="N492" s="333"/>
      <c r="O492" s="333"/>
      <c r="P492" s="333"/>
      <c r="Q492" s="333"/>
      <c r="R492" s="333"/>
      <c r="S492" s="333"/>
      <c r="T492" s="333"/>
      <c r="U492" s="333"/>
    </row>
    <row r="493" spans="1:21" ht="19.5" hidden="1">
      <c r="A493" s="155"/>
      <c r="B493" s="188"/>
      <c r="C493" s="205" t="s">
        <v>18</v>
      </c>
      <c r="D493" s="603" t="s">
        <v>19</v>
      </c>
      <c r="E493" s="514"/>
      <c r="F493" s="514"/>
      <c r="G493" s="52"/>
      <c r="H493" s="252" t="s">
        <v>14</v>
      </c>
      <c r="I493" s="54"/>
      <c r="J493" s="54"/>
      <c r="K493" s="55"/>
      <c r="L493" s="541">
        <f>L494+L495</f>
        <v>0</v>
      </c>
      <c r="M493" s="540">
        <f>M494+M495</f>
        <v>0</v>
      </c>
      <c r="N493" s="540">
        <f>N494+N495</f>
        <v>0</v>
      </c>
      <c r="O493" s="540">
        <f>IF(L493&gt;0,N493*100/L493,0)</f>
        <v>0</v>
      </c>
      <c r="P493" s="540">
        <f>IF(M493&gt;0,N493*100/M493,0)</f>
        <v>0</v>
      </c>
      <c r="Q493" s="540">
        <f ca="1">Q494+Q495</f>
        <v>0</v>
      </c>
      <c r="R493" s="540">
        <f ca="1">R494+R495</f>
        <v>0</v>
      </c>
      <c r="S493" s="540">
        <f ca="1">S494+S495</f>
        <v>0</v>
      </c>
      <c r="T493" s="540">
        <f ca="1">IF(Q493&gt;0,S493*100/Q493,0)</f>
        <v>0</v>
      </c>
      <c r="U493" s="540">
        <f ca="1">IF(R493&gt;0,S493*100/R493,0)</f>
        <v>0</v>
      </c>
    </row>
    <row r="494" spans="1:21" ht="18.75" hidden="1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103">
        <f>L497+L500</f>
        <v>0</v>
      </c>
      <c r="M494" s="102">
        <f>M497+M500</f>
        <v>0</v>
      </c>
      <c r="N494" s="102">
        <f>N497+N500</f>
        <v>0</v>
      </c>
      <c r="O494" s="102">
        <f>IF(L494&gt;0,N494*100/L494,0)</f>
        <v>0</v>
      </c>
      <c r="P494" s="102">
        <f>IF(M494&gt;0,N494*100/M494,0)</f>
        <v>0</v>
      </c>
      <c r="Q494" s="102">
        <f>Q497+Q500</f>
        <v>0</v>
      </c>
      <c r="R494" s="102">
        <f>R497+R500</f>
        <v>0</v>
      </c>
      <c r="S494" s="102">
        <f>S497+S500</f>
        <v>0</v>
      </c>
      <c r="T494" s="102">
        <f>IF(Q494&gt;0,S494*100/Q494,0)</f>
        <v>0</v>
      </c>
      <c r="U494" s="102">
        <f>IF(R494&gt;0,S494*100/R494,0)</f>
        <v>0</v>
      </c>
    </row>
    <row r="495" spans="1:21" ht="18.75" hidden="1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256">
        <f>L498+L501</f>
        <v>0</v>
      </c>
      <c r="M495" s="255">
        <f>M498+M501</f>
        <v>0</v>
      </c>
      <c r="N495" s="255">
        <f>N498+N501</f>
        <v>0</v>
      </c>
      <c r="O495" s="255">
        <f>IF(L495&gt;0,N495*100/L495,0)</f>
        <v>0</v>
      </c>
      <c r="P495" s="255">
        <f>IF(M495&gt;0,N495*100/M495,0)</f>
        <v>0</v>
      </c>
      <c r="Q495" s="255">
        <f ca="1">Q498+Q501</f>
        <v>0</v>
      </c>
      <c r="R495" s="255">
        <f ca="1">R498+R501</f>
        <v>0</v>
      </c>
      <c r="S495" s="255">
        <f ca="1">S498+S501</f>
        <v>0</v>
      </c>
      <c r="T495" s="255">
        <f ca="1">IF(Q495&gt;0,S495*100/Q495,0)</f>
        <v>0</v>
      </c>
      <c r="U495" s="255">
        <f ca="1">IF(R495&gt;0,S495*100/R495,0)</f>
        <v>0</v>
      </c>
    </row>
    <row r="496" spans="1:21" ht="18.75" hidden="1">
      <c r="A496" s="155"/>
      <c r="B496" s="188"/>
      <c r="C496" s="188"/>
      <c r="D496" s="602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256">
        <f>L497+L498</f>
        <v>0</v>
      </c>
      <c r="M496" s="255">
        <f>M497+M498</f>
        <v>0</v>
      </c>
      <c r="N496" s="255">
        <f>N497+N498</f>
        <v>0</v>
      </c>
      <c r="O496" s="255">
        <f>IF(L496&gt;0,N496*100/L496,0)</f>
        <v>0</v>
      </c>
      <c r="P496" s="255">
        <f>IF(M496&gt;0,N496*100/M496,0)</f>
        <v>0</v>
      </c>
      <c r="Q496" s="255">
        <f ca="1">Q497+Q498</f>
        <v>0</v>
      </c>
      <c r="R496" s="255">
        <f ca="1">R497+R498</f>
        <v>0</v>
      </c>
      <c r="S496" s="255">
        <f ca="1">S497+S498</f>
        <v>0</v>
      </c>
      <c r="T496" s="255">
        <f ca="1">IF(Q496&gt;0,S496*100/Q496,0)</f>
        <v>0</v>
      </c>
      <c r="U496" s="255">
        <f ca="1">IF(R496&gt;0,S496*100/R496,0)</f>
        <v>0</v>
      </c>
    </row>
    <row r="497" spans="1:21" ht="18.75" hidden="1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103">
        <v>0</v>
      </c>
      <c r="M497" s="102">
        <v>0</v>
      </c>
      <c r="N497" s="102">
        <v>0</v>
      </c>
      <c r="O497" s="102">
        <f>IF(L497&gt;0,N497*100/L497,0)</f>
        <v>0</v>
      </c>
      <c r="P497" s="102">
        <f>IF(M497&gt;0,N497*100/M497,0)</f>
        <v>0</v>
      </c>
      <c r="Q497" s="102">
        <v>0</v>
      </c>
      <c r="R497" s="102">
        <v>0</v>
      </c>
      <c r="S497" s="102">
        <v>0</v>
      </c>
      <c r="T497" s="102">
        <f>IF(Q497&gt;0,S497*100/Q497,0)</f>
        <v>0</v>
      </c>
      <c r="U497" s="102">
        <f>IF(R497&gt;0,S497*100/R497,0)</f>
        <v>0</v>
      </c>
    </row>
    <row r="498" spans="1:21" ht="18.75" hidden="1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256">
        <v>0</v>
      </c>
      <c r="M498" s="255">
        <v>0</v>
      </c>
      <c r="N498" s="255">
        <v>0</v>
      </c>
      <c r="O498" s="255">
        <f>IF(L498&gt;0,N498*100/L498,0)</f>
        <v>0</v>
      </c>
      <c r="P498" s="255">
        <f>IF(M498&gt;0,N498*100/M498,0)</f>
        <v>0</v>
      </c>
      <c r="Q498" s="255">
        <f ca="1">IFERROR(__xludf.DUMMYFUNCTION("IMPORTRANGE(""https://docs.google.com/spreadsheets/d/1ItG2mGa2ceCfYo0BwxsXqNm01IGEUdYcSSLTEv9YCik/edit?usp=sharing"",""เบิกจ่ายกองทุน!X41"")"),0)</f>
        <v>0</v>
      </c>
      <c r="R498" s="255">
        <f ca="1">IFERROR(__xludf.DUMMYFUNCTION("IMPORTRANGE(""https://docs.google.com/spreadsheets/d/1ItG2mGa2ceCfYo0BwxsXqNm01IGEUdYcSSLTEv9YCik/edit?usp=sharing"",""เบิกจ่ายกองทุน!Y41"")"),0)</f>
        <v>0</v>
      </c>
      <c r="S498" s="255">
        <f ca="1">IFERROR(__xludf.DUMMYFUNCTION("IMPORTRANGE(""https://docs.google.com/spreadsheets/d/1ItG2mGa2ceCfYo0BwxsXqNm01IGEUdYcSSLTEv9YCik/edit?usp=sharing"",""เบิกจ่ายกองทุน!Z41"")"),0)</f>
        <v>0</v>
      </c>
      <c r="T498" s="255">
        <f ca="1">IF(Q498&gt;0,S498*100/Q498,0)</f>
        <v>0</v>
      </c>
      <c r="U498" s="255">
        <f ca="1">IF(R498&gt;0,S498*100/R498,0)</f>
        <v>0</v>
      </c>
    </row>
    <row r="499" spans="1:21" ht="18.75" hidden="1">
      <c r="A499" s="155"/>
      <c r="B499" s="188"/>
      <c r="C499" s="188"/>
      <c r="D499" s="602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256">
        <f>L500+L501</f>
        <v>0</v>
      </c>
      <c r="M499" s="255">
        <f>M500+M501</f>
        <v>0</v>
      </c>
      <c r="N499" s="255">
        <f>N500+N501</f>
        <v>0</v>
      </c>
      <c r="O499" s="255">
        <f>IF(L499&gt;0,N499*100/L499,0)</f>
        <v>0</v>
      </c>
      <c r="P499" s="255">
        <f>IF(M499&gt;0,N499*100/M499,0)</f>
        <v>0</v>
      </c>
      <c r="Q499" s="255">
        <f>Q500+Q501</f>
        <v>0</v>
      </c>
      <c r="R499" s="255">
        <f>R500+R501</f>
        <v>0</v>
      </c>
      <c r="S499" s="255">
        <f>S500+S501</f>
        <v>0</v>
      </c>
      <c r="T499" s="255">
        <f>IF(Q499&gt;0,S499*100/Q499,0)</f>
        <v>0</v>
      </c>
      <c r="U499" s="255">
        <f>IF(R499&gt;0,S499*100/R499,0)</f>
        <v>0</v>
      </c>
    </row>
    <row r="500" spans="1:21" ht="18.75" hidden="1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103">
        <v>0</v>
      </c>
      <c r="M500" s="102">
        <v>0</v>
      </c>
      <c r="N500" s="102">
        <v>0</v>
      </c>
      <c r="O500" s="102">
        <f>IF(L500&gt;0,N500*100/L500,0)</f>
        <v>0</v>
      </c>
      <c r="P500" s="102">
        <f>IF(M500&gt;0,N500*100/M500,0)</f>
        <v>0</v>
      </c>
      <c r="Q500" s="102">
        <v>0</v>
      </c>
      <c r="R500" s="102">
        <v>0</v>
      </c>
      <c r="S500" s="102">
        <v>0</v>
      </c>
      <c r="T500" s="102">
        <f>IF(Q500&gt;0,S500*100/Q500,0)</f>
        <v>0</v>
      </c>
      <c r="U500" s="102">
        <f>IF(R500&gt;0,S500*100/R500,0)</f>
        <v>0</v>
      </c>
    </row>
    <row r="501" spans="1:21" ht="18.75" hidden="1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256">
        <v>0</v>
      </c>
      <c r="M501" s="255">
        <v>0</v>
      </c>
      <c r="N501" s="255">
        <v>0</v>
      </c>
      <c r="O501" s="255">
        <f>IF(L501&gt;0,N501*100/L501,0)</f>
        <v>0</v>
      </c>
      <c r="P501" s="255">
        <f>IF(M501&gt;0,N501*100/M501,0)</f>
        <v>0</v>
      </c>
      <c r="Q501" s="255">
        <v>0</v>
      </c>
      <c r="R501" s="255">
        <v>0</v>
      </c>
      <c r="S501" s="255">
        <v>0</v>
      </c>
      <c r="T501" s="255">
        <f>IF(Q501&gt;0,S501*100/Q501,0)</f>
        <v>0</v>
      </c>
      <c r="U501" s="255">
        <f>IF(R501&gt;0,S501*100/R501,0)</f>
        <v>0</v>
      </c>
    </row>
    <row r="502" spans="1:21" ht="19.5" hidden="1">
      <c r="A502" s="166"/>
      <c r="B502" s="167"/>
      <c r="C502" s="205" t="s">
        <v>18</v>
      </c>
      <c r="D502" s="560" t="s">
        <v>38</v>
      </c>
      <c r="E502" s="169"/>
      <c r="F502" s="169"/>
      <c r="G502" s="170"/>
      <c r="H502" s="206"/>
      <c r="I502" s="163"/>
      <c r="J502" s="163"/>
      <c r="K502" s="164"/>
      <c r="L502" s="172"/>
      <c r="M502" s="164"/>
      <c r="N502" s="164"/>
      <c r="O502" s="164"/>
      <c r="P502" s="164"/>
      <c r="Q502" s="164"/>
      <c r="R502" s="164"/>
      <c r="S502" s="164"/>
      <c r="T502" s="164"/>
      <c r="U502" s="164"/>
    </row>
    <row r="503" spans="1:21" ht="19.5" hidden="1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373">
        <f ca="1">IFERROR(__xludf.DUMMYFUNCTION("IMPORTRANGE(""https://docs.google.com/spreadsheets/d/1eHaY18a8A9IcSdp1K8H6x8fbOy06t2VsZHhMHf-1x7Y/edit?usp=sharing"",""แผน!GX41"")"),0)</f>
        <v>0</v>
      </c>
      <c r="J503" s="373">
        <f ca="1">IF(AND(J504=I504,J505=I505,J506=I506,J507=I507),I503,0)</f>
        <v>0</v>
      </c>
      <c r="K503" s="540">
        <f ca="1">IF(I503&gt;0,J503*100/I503,0)</f>
        <v>0</v>
      </c>
      <c r="L503" s="62"/>
      <c r="M503" s="55"/>
      <c r="N503" s="55"/>
      <c r="O503" s="55"/>
      <c r="P503" s="55"/>
      <c r="Q503" s="55"/>
      <c r="R503" s="55"/>
      <c r="S503" s="55"/>
      <c r="T503" s="55"/>
      <c r="U503" s="55"/>
    </row>
    <row r="504" spans="1:21" ht="18.75" hidden="1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212">
        <f ca="1">IFERROR(__xludf.DUMMYFUNCTION("IMPORTRANGE(""https://docs.google.com/spreadsheets/d/1eHaY18a8A9IcSdp1K8H6x8fbOy06t2VsZHhMHf-1x7Y/edit?usp=sharing"",""แผน!GY41"")"),0)</f>
        <v>0</v>
      </c>
      <c r="J504" s="467">
        <v>0</v>
      </c>
      <c r="K504" s="255">
        <f ca="1">IF(I504&gt;0,J504*100/I504,0)</f>
        <v>0</v>
      </c>
      <c r="L504" s="62"/>
      <c r="M504" s="55"/>
      <c r="N504" s="55"/>
      <c r="O504" s="55"/>
      <c r="P504" s="55"/>
      <c r="Q504" s="55"/>
      <c r="R504" s="55"/>
      <c r="S504" s="55"/>
      <c r="T504" s="55"/>
      <c r="U504" s="55"/>
    </row>
    <row r="505" spans="1:21" ht="18.75" hidden="1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212">
        <f ca="1">IFERROR(__xludf.DUMMYFUNCTION("IMPORTRANGE(""https://docs.google.com/spreadsheets/d/1eHaY18a8A9IcSdp1K8H6x8fbOy06t2VsZHhMHf-1x7Y/edit?usp=sharing"",""แผน!GZ41"")"),0)</f>
        <v>0</v>
      </c>
      <c r="J505" s="467">
        <v>0</v>
      </c>
      <c r="K505" s="255">
        <f ca="1">IF(I505&gt;0,J505*100/I505,0)</f>
        <v>0</v>
      </c>
      <c r="L505" s="62"/>
      <c r="M505" s="55"/>
      <c r="N505" s="55"/>
      <c r="O505" s="55"/>
      <c r="P505" s="55"/>
      <c r="Q505" s="55"/>
      <c r="R505" s="55"/>
      <c r="S505" s="55"/>
      <c r="T505" s="55"/>
      <c r="U505" s="55"/>
    </row>
    <row r="506" spans="1:21" ht="18.75" hidden="1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212">
        <f ca="1">IFERROR(__xludf.DUMMYFUNCTION("IMPORTRANGE(""https://docs.google.com/spreadsheets/d/1eHaY18a8A9IcSdp1K8H6x8fbOy06t2VsZHhMHf-1x7Y/edit?usp=sharing"",""แผน!HA41"")"),0)</f>
        <v>0</v>
      </c>
      <c r="J506" s="467">
        <v>0</v>
      </c>
      <c r="K506" s="255">
        <f ca="1">IF(I506&gt;0,J506*100/I506,0)</f>
        <v>0</v>
      </c>
      <c r="L506" s="62"/>
      <c r="M506" s="55"/>
      <c r="N506" s="55"/>
      <c r="O506" s="55"/>
      <c r="P506" s="55"/>
      <c r="Q506" s="55"/>
      <c r="R506" s="55"/>
      <c r="S506" s="55"/>
      <c r="T506" s="55"/>
      <c r="U506" s="55"/>
    </row>
    <row r="507" spans="1:21" ht="18.75" hidden="1">
      <c r="A507" s="238"/>
      <c r="B507" s="188"/>
      <c r="C507" s="188"/>
      <c r="D507" s="188"/>
      <c r="E507" s="377" t="s">
        <v>204</v>
      </c>
      <c r="F507" s="50"/>
      <c r="G507" s="52"/>
      <c r="H507" s="161" t="s">
        <v>35</v>
      </c>
      <c r="I507" s="212">
        <f ca="1">IFERROR(__xludf.DUMMYFUNCTION("IMPORTRANGE(""https://docs.google.com/spreadsheets/d/1eHaY18a8A9IcSdp1K8H6x8fbOy06t2VsZHhMHf-1x7Y/edit?usp=sharing"",""แผน!HB41"")"),0)</f>
        <v>0</v>
      </c>
      <c r="J507" s="467">
        <v>0</v>
      </c>
      <c r="K507" s="255">
        <f ca="1">IF(I507&gt;0,J507*100/I507,0)</f>
        <v>0</v>
      </c>
      <c r="L507" s="62"/>
      <c r="M507" s="55"/>
      <c r="N507" s="55"/>
      <c r="O507" s="55"/>
      <c r="P507" s="55"/>
      <c r="Q507" s="55"/>
      <c r="R507" s="55"/>
      <c r="S507" s="55"/>
      <c r="T507" s="55"/>
      <c r="U507" s="55"/>
    </row>
    <row r="508" spans="1:21" ht="18.75" hidden="1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255">
        <f>IF(I508&gt;0,J508*100/I508,0)</f>
        <v>0</v>
      </c>
      <c r="L508" s="62"/>
      <c r="M508" s="55"/>
      <c r="N508" s="55"/>
      <c r="O508" s="55"/>
      <c r="P508" s="55"/>
      <c r="Q508" s="55"/>
      <c r="R508" s="55"/>
      <c r="S508" s="55"/>
      <c r="T508" s="55"/>
      <c r="U508" s="55"/>
    </row>
    <row r="509" spans="1:21" ht="19.5" hidden="1">
      <c r="A509" s="374"/>
      <c r="B509" s="5"/>
      <c r="C509" s="5"/>
      <c r="D509" s="378" t="s">
        <v>50</v>
      </c>
      <c r="E509" s="4"/>
      <c r="F509" s="4"/>
      <c r="G509" s="65"/>
      <c r="H509" s="376" t="s">
        <v>35</v>
      </c>
      <c r="I509" s="216">
        <f ca="1">IFERROR(__xludf.DUMMYFUNCTION("IMPORTRANGE(""https://docs.google.com/spreadsheets/d/1eHaY18a8A9IcSdp1K8H6x8fbOy06t2VsZHhMHf-1x7Y/edit?usp=sharing"",""แผน!HC41"")"),0)</f>
        <v>0</v>
      </c>
      <c r="J509" s="538">
        <v>0</v>
      </c>
      <c r="K509" s="506">
        <f ca="1">IF(I509&gt;0,J509*100/I509,0)</f>
        <v>0</v>
      </c>
      <c r="L509" s="68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 hidden="1">
      <c r="A510" s="601" t="s">
        <v>206</v>
      </c>
      <c r="B510" s="381"/>
      <c r="C510" s="381"/>
      <c r="D510" s="381"/>
      <c r="E510" s="382"/>
      <c r="F510" s="382"/>
      <c r="G510" s="382"/>
      <c r="H510" s="382"/>
      <c r="I510" s="383"/>
      <c r="J510" s="383"/>
      <c r="K510" s="384"/>
      <c r="L510" s="600"/>
      <c r="M510" s="386"/>
      <c r="N510" s="386"/>
      <c r="O510" s="386"/>
      <c r="P510" s="386"/>
      <c r="Q510" s="386"/>
      <c r="R510" s="386"/>
      <c r="S510" s="386"/>
      <c r="T510" s="386"/>
      <c r="U510" s="386"/>
    </row>
    <row r="511" spans="1:21" ht="19.5" hidden="1">
      <c r="A511" s="599" t="s">
        <v>207</v>
      </c>
      <c r="B511" s="388"/>
      <c r="C511" s="388"/>
      <c r="D511" s="389"/>
      <c r="E511" s="388"/>
      <c r="F511" s="388"/>
      <c r="G511" s="388"/>
      <c r="H511" s="390"/>
      <c r="I511" s="391"/>
      <c r="J511" s="391"/>
      <c r="K511" s="392"/>
      <c r="L511" s="598"/>
      <c r="M511" s="394"/>
      <c r="N511" s="394"/>
      <c r="O511" s="394"/>
      <c r="P511" s="394"/>
      <c r="Q511" s="394"/>
      <c r="R511" s="394"/>
      <c r="S511" s="394"/>
      <c r="T511" s="394"/>
      <c r="U511" s="394"/>
    </row>
    <row r="512" spans="1:21" ht="19.5" hidden="1">
      <c r="A512" s="395"/>
      <c r="B512" s="597" t="s">
        <v>208</v>
      </c>
      <c r="C512" s="397"/>
      <c r="D512" s="398"/>
      <c r="E512" s="398"/>
      <c r="F512" s="398"/>
      <c r="G512" s="399"/>
      <c r="H512" s="596" t="s">
        <v>61</v>
      </c>
      <c r="I512" s="595">
        <f>I524</f>
        <v>0</v>
      </c>
      <c r="J512" s="595">
        <f>J524</f>
        <v>0</v>
      </c>
      <c r="K512" s="594">
        <f>IF(I512&gt;0,J512*100/I512,0)</f>
        <v>0</v>
      </c>
      <c r="L512" s="404"/>
      <c r="M512" s="403"/>
      <c r="N512" s="403"/>
      <c r="O512" s="403"/>
      <c r="P512" s="403"/>
      <c r="Q512" s="403"/>
      <c r="R512" s="403"/>
      <c r="S512" s="403"/>
      <c r="T512" s="403"/>
      <c r="U512" s="403"/>
    </row>
    <row r="513" spans="1:21" ht="19.5" hidden="1">
      <c r="A513" s="155"/>
      <c r="B513" s="50"/>
      <c r="C513" s="591" t="s">
        <v>18</v>
      </c>
      <c r="D513" s="562" t="s">
        <v>19</v>
      </c>
      <c r="E513" s="50"/>
      <c r="F513" s="50"/>
      <c r="G513" s="52"/>
      <c r="H513" s="593" t="s">
        <v>14</v>
      </c>
      <c r="I513" s="54"/>
      <c r="J513" s="54"/>
      <c r="K513" s="55"/>
      <c r="L513" s="541">
        <f ca="1">L514+L515</f>
        <v>0</v>
      </c>
      <c r="M513" s="540">
        <f ca="1">M514+M515</f>
        <v>0</v>
      </c>
      <c r="N513" s="540">
        <f ca="1">N514+N515</f>
        <v>0</v>
      </c>
      <c r="O513" s="540">
        <f ca="1">IF(L513&gt;0,N513*100/L513,0)</f>
        <v>0</v>
      </c>
      <c r="P513" s="540">
        <f ca="1">IF(M513&gt;0,N513*100/M513,0)</f>
        <v>0</v>
      </c>
      <c r="Q513" s="540">
        <f>Q514+Q515</f>
        <v>0</v>
      </c>
      <c r="R513" s="540">
        <f>R514+R515</f>
        <v>0</v>
      </c>
      <c r="S513" s="540">
        <f>S514+S515</f>
        <v>0</v>
      </c>
      <c r="T513" s="540">
        <f>IF(Q513&gt;0,S513*100/Q513,0)</f>
        <v>0</v>
      </c>
      <c r="U513" s="540">
        <f>IF(R513&gt;0,S513*100/R513,0)</f>
        <v>0</v>
      </c>
    </row>
    <row r="514" spans="1:21" ht="18.75" hidden="1">
      <c r="A514" s="155"/>
      <c r="B514" s="50"/>
      <c r="C514" s="50"/>
      <c r="D514" s="50"/>
      <c r="E514" s="186" t="s">
        <v>20</v>
      </c>
      <c r="F514" s="50"/>
      <c r="G514" s="52"/>
      <c r="H514" s="187" t="s">
        <v>14</v>
      </c>
      <c r="I514" s="54"/>
      <c r="J514" s="54"/>
      <c r="K514" s="55"/>
      <c r="L514" s="103">
        <f>L517+L520</f>
        <v>0</v>
      </c>
      <c r="M514" s="102">
        <f>M517+M520</f>
        <v>0</v>
      </c>
      <c r="N514" s="102">
        <f>N517+N520</f>
        <v>0</v>
      </c>
      <c r="O514" s="102">
        <f>IF(L514&gt;0,N514*100/L514,0)</f>
        <v>0</v>
      </c>
      <c r="P514" s="102">
        <f>IF(M514&gt;0,N514*100/M514,0)</f>
        <v>0</v>
      </c>
      <c r="Q514" s="102">
        <f>Q517+Q520</f>
        <v>0</v>
      </c>
      <c r="R514" s="102">
        <f>R517+R520</f>
        <v>0</v>
      </c>
      <c r="S514" s="102">
        <f>S517+S520</f>
        <v>0</v>
      </c>
      <c r="T514" s="102">
        <f>IF(Q514&gt;0,S514*100/Q514,0)</f>
        <v>0</v>
      </c>
      <c r="U514" s="102">
        <f>IF(R514&gt;0,S514*100/R514,0)</f>
        <v>0</v>
      </c>
    </row>
    <row r="515" spans="1:21" ht="18.75" hidden="1">
      <c r="A515" s="155"/>
      <c r="B515" s="50"/>
      <c r="C515" s="50"/>
      <c r="D515" s="50"/>
      <c r="E515" s="186" t="s">
        <v>21</v>
      </c>
      <c r="F515" s="50"/>
      <c r="G515" s="52"/>
      <c r="H515" s="187" t="s">
        <v>14</v>
      </c>
      <c r="I515" s="54"/>
      <c r="J515" s="54"/>
      <c r="K515" s="55"/>
      <c r="L515" s="256">
        <f ca="1">L518+L521</f>
        <v>0</v>
      </c>
      <c r="M515" s="255">
        <f ca="1">M518+M521</f>
        <v>0</v>
      </c>
      <c r="N515" s="255">
        <f ca="1">N518+N521</f>
        <v>0</v>
      </c>
      <c r="O515" s="255">
        <f ca="1">IF(L515&gt;0,N515*100/L515,0)</f>
        <v>0</v>
      </c>
      <c r="P515" s="255">
        <f ca="1">IF(M515&gt;0,N515*100/M515,0)</f>
        <v>0</v>
      </c>
      <c r="Q515" s="255">
        <f>Q518+Q521</f>
        <v>0</v>
      </c>
      <c r="R515" s="255">
        <f>R518+R521</f>
        <v>0</v>
      </c>
      <c r="S515" s="255">
        <f>S518+S521</f>
        <v>0</v>
      </c>
      <c r="T515" s="255">
        <f>IF(Q515&gt;0,S515*100/Q515,0)</f>
        <v>0</v>
      </c>
      <c r="U515" s="255">
        <f>IF(R515&gt;0,S515*100/R515,0)</f>
        <v>0</v>
      </c>
    </row>
    <row r="516" spans="1:21" ht="18.75" hidden="1">
      <c r="A516" s="155"/>
      <c r="B516" s="50"/>
      <c r="C516" s="50"/>
      <c r="D516" s="592" t="s">
        <v>22</v>
      </c>
      <c r="E516" s="50"/>
      <c r="F516" s="50"/>
      <c r="G516" s="52"/>
      <c r="H516" s="189" t="s">
        <v>14</v>
      </c>
      <c r="I516" s="163"/>
      <c r="J516" s="163"/>
      <c r="K516" s="164"/>
      <c r="L516" s="256">
        <f ca="1">L517+L518</f>
        <v>0</v>
      </c>
      <c r="M516" s="255">
        <f ca="1">M517+M518</f>
        <v>0</v>
      </c>
      <c r="N516" s="255">
        <f ca="1">N517+N518</f>
        <v>0</v>
      </c>
      <c r="O516" s="255">
        <f ca="1">IF(L516&gt;0,N516*100/L516,0)</f>
        <v>0</v>
      </c>
      <c r="P516" s="255">
        <f ca="1">IF(M516&gt;0,N516*100/M516,0)</f>
        <v>0</v>
      </c>
      <c r="Q516" s="255">
        <f>Q517+Q518</f>
        <v>0</v>
      </c>
      <c r="R516" s="255">
        <f>R517+R518</f>
        <v>0</v>
      </c>
      <c r="S516" s="255">
        <f>S517+S518</f>
        <v>0</v>
      </c>
      <c r="T516" s="255">
        <f>IF(Q516&gt;0,S516*100/Q516,0)</f>
        <v>0</v>
      </c>
      <c r="U516" s="255">
        <f>IF(R516&gt;0,S516*100/R516,0)</f>
        <v>0</v>
      </c>
    </row>
    <row r="517" spans="1:21" ht="18.75" hidden="1">
      <c r="A517" s="155"/>
      <c r="B517" s="50"/>
      <c r="C517" s="50"/>
      <c r="D517" s="50"/>
      <c r="E517" s="186" t="s">
        <v>36</v>
      </c>
      <c r="F517" s="50"/>
      <c r="G517" s="52"/>
      <c r="H517" s="189" t="s">
        <v>14</v>
      </c>
      <c r="I517" s="163"/>
      <c r="J517" s="163"/>
      <c r="K517" s="164"/>
      <c r="L517" s="103">
        <v>0</v>
      </c>
      <c r="M517" s="102">
        <v>0</v>
      </c>
      <c r="N517" s="102">
        <v>0</v>
      </c>
      <c r="O517" s="102">
        <f>IF(L517&gt;0,N517*100/L517,0)</f>
        <v>0</v>
      </c>
      <c r="P517" s="102">
        <f>IF(M517&gt;0,N517*100/M517,0)</f>
        <v>0</v>
      </c>
      <c r="Q517" s="102">
        <v>0</v>
      </c>
      <c r="R517" s="102">
        <v>0</v>
      </c>
      <c r="S517" s="102">
        <v>0</v>
      </c>
      <c r="T517" s="102">
        <f>IF(Q517&gt;0,S517*100/Q517,0)</f>
        <v>0</v>
      </c>
      <c r="U517" s="102">
        <f>IF(R517&gt;0,S517*100/R517,0)</f>
        <v>0</v>
      </c>
    </row>
    <row r="518" spans="1:21" ht="18.75" hidden="1">
      <c r="A518" s="155"/>
      <c r="B518" s="50"/>
      <c r="C518" s="50"/>
      <c r="D518" s="50"/>
      <c r="E518" s="186" t="s">
        <v>37</v>
      </c>
      <c r="F518" s="50"/>
      <c r="G518" s="52"/>
      <c r="H518" s="189" t="s">
        <v>14</v>
      </c>
      <c r="I518" s="163"/>
      <c r="J518" s="163"/>
      <c r="K518" s="164"/>
      <c r="L518" s="256">
        <f ca="1">IFERROR(__xludf.DUMMYFUNCTION("IMPORTRANGE(""https://docs.google.com/spreadsheets/d/1-uDff_7J0KD5mKrp0Vvzr7lt3OU09vwQwhkpOPPYv2Y/edit?usp=sharing"",""งบพรบ!FM41"")"),0)</f>
        <v>0</v>
      </c>
      <c r="M518" s="255">
        <f ca="1">IFERROR(__xludf.DUMMYFUNCTION("IMPORTRANGE(""https://docs.google.com/spreadsheets/d/1-uDff_7J0KD5mKrp0Vvzr7lt3OU09vwQwhkpOPPYv2Y/edit?usp=sharing"",""งบพรบ!FR41"")"),0)</f>
        <v>0</v>
      </c>
      <c r="N518" s="255">
        <f ca="1">IFERROR(__xludf.DUMMYFUNCTION("IMPORTRANGE(""https://docs.google.com/spreadsheets/d/1-uDff_7J0KD5mKrp0Vvzr7lt3OU09vwQwhkpOPPYv2Y/edit?usp=sharing"",""งบพรบ!FT41"")"),0)</f>
        <v>0</v>
      </c>
      <c r="O518" s="255">
        <f ca="1">IF(L518&gt;0,N518*100/L518,0)</f>
        <v>0</v>
      </c>
      <c r="P518" s="255">
        <f ca="1">IF(M518&gt;0,N518*100/M518,0)</f>
        <v>0</v>
      </c>
      <c r="Q518" s="255">
        <v>0</v>
      </c>
      <c r="R518" s="255">
        <v>0</v>
      </c>
      <c r="S518" s="255">
        <v>0</v>
      </c>
      <c r="T518" s="255">
        <f>IF(Q518&gt;0,S518*100/Q518,0)</f>
        <v>0</v>
      </c>
      <c r="U518" s="255">
        <f>IF(R518&gt;0,S518*100/R518,0)</f>
        <v>0</v>
      </c>
    </row>
    <row r="519" spans="1:21" ht="18.75" hidden="1">
      <c r="A519" s="155"/>
      <c r="B519" s="50"/>
      <c r="C519" s="50"/>
      <c r="D519" s="592" t="s">
        <v>23</v>
      </c>
      <c r="E519" s="50"/>
      <c r="F519" s="50"/>
      <c r="G519" s="52"/>
      <c r="H519" s="421" t="s">
        <v>14</v>
      </c>
      <c r="I519" s="163"/>
      <c r="J519" s="163"/>
      <c r="K519" s="164"/>
      <c r="L519" s="256">
        <f ca="1">L520+L521</f>
        <v>0</v>
      </c>
      <c r="M519" s="255">
        <f ca="1">M520+M521</f>
        <v>0</v>
      </c>
      <c r="N519" s="255">
        <f ca="1">N520+N521</f>
        <v>0</v>
      </c>
      <c r="O519" s="255">
        <f ca="1">IF(L519&gt;0,N519*100/L519,0)</f>
        <v>0</v>
      </c>
      <c r="P519" s="255">
        <f ca="1">IF(M519&gt;0,N519*100/M519,0)</f>
        <v>0</v>
      </c>
      <c r="Q519" s="255">
        <f>Q520+Q521</f>
        <v>0</v>
      </c>
      <c r="R519" s="255">
        <f>R520+R521</f>
        <v>0</v>
      </c>
      <c r="S519" s="255">
        <f>S520+S521</f>
        <v>0</v>
      </c>
      <c r="T519" s="255">
        <f>IF(Q519&gt;0,S519*100/Q519,0)</f>
        <v>0</v>
      </c>
      <c r="U519" s="255">
        <f>IF(R519&gt;0,S519*100/R519,0)</f>
        <v>0</v>
      </c>
    </row>
    <row r="520" spans="1:21" ht="18.75" hidden="1">
      <c r="A520" s="155"/>
      <c r="B520" s="50"/>
      <c r="C520" s="50"/>
      <c r="D520" s="50"/>
      <c r="E520" s="186" t="s">
        <v>20</v>
      </c>
      <c r="F520" s="50"/>
      <c r="G520" s="52"/>
      <c r="H520" s="189" t="s">
        <v>14</v>
      </c>
      <c r="I520" s="163"/>
      <c r="J520" s="163"/>
      <c r="K520" s="164"/>
      <c r="L520" s="103">
        <v>0</v>
      </c>
      <c r="M520" s="102">
        <v>0</v>
      </c>
      <c r="N520" s="102">
        <v>0</v>
      </c>
      <c r="O520" s="102">
        <f>IF(L520&gt;0,N520*100/L520,0)</f>
        <v>0</v>
      </c>
      <c r="P520" s="102">
        <f>IF(M520&gt;0,N520*100/M520,0)</f>
        <v>0</v>
      </c>
      <c r="Q520" s="102">
        <v>0</v>
      </c>
      <c r="R520" s="102">
        <v>0</v>
      </c>
      <c r="S520" s="102">
        <v>0</v>
      </c>
      <c r="T520" s="102">
        <f>IF(Q520&gt;0,S520*100/Q520,0)</f>
        <v>0</v>
      </c>
      <c r="U520" s="102">
        <f>IF(R520&gt;0,S520*100/R520,0)</f>
        <v>0</v>
      </c>
    </row>
    <row r="521" spans="1:21" ht="18.75" hidden="1">
      <c r="A521" s="155"/>
      <c r="B521" s="50"/>
      <c r="C521" s="50"/>
      <c r="D521" s="50"/>
      <c r="E521" s="186" t="s">
        <v>21</v>
      </c>
      <c r="F521" s="50"/>
      <c r="G521" s="52"/>
      <c r="H521" s="421" t="s">
        <v>14</v>
      </c>
      <c r="I521" s="163"/>
      <c r="J521" s="163"/>
      <c r="K521" s="164"/>
      <c r="L521" s="256">
        <f ca="1">IFERROR(__xludf.DUMMYFUNCTION("IMPORTRANGE(""https://docs.google.com/spreadsheets/d/1-uDff_7J0KD5mKrp0Vvzr7lt3OU09vwQwhkpOPPYv2Y/edit?usp=sharing"",""งบพรบ!FP41"")"),0)</f>
        <v>0</v>
      </c>
      <c r="M521" s="255">
        <f ca="1">IFERROR(__xludf.DUMMYFUNCTION("IMPORTRANGE(""https://docs.google.com/spreadsheets/d/1-uDff_7J0KD5mKrp0Vvzr7lt3OU09vwQwhkpOPPYv2Y/edit?usp=sharing"",""งบพรบ!FS41"")"),0)</f>
        <v>0</v>
      </c>
      <c r="N521" s="255">
        <f ca="1">IFERROR(__xludf.DUMMYFUNCTION("IMPORTRANGE(""https://docs.google.com/spreadsheets/d/1-uDff_7J0KD5mKrp0Vvzr7lt3OU09vwQwhkpOPPYv2Y/edit?usp=sharing"",""งบพรบ!FU41"")"),0)</f>
        <v>0</v>
      </c>
      <c r="O521" s="255">
        <f ca="1">IF(L521&gt;0,N521*100/L521,0)</f>
        <v>0</v>
      </c>
      <c r="P521" s="255">
        <f ca="1">IF(M521&gt;0,N521*100/M521,0)</f>
        <v>0</v>
      </c>
      <c r="Q521" s="255">
        <v>0</v>
      </c>
      <c r="R521" s="255">
        <v>0</v>
      </c>
      <c r="S521" s="255">
        <v>0</v>
      </c>
      <c r="T521" s="255">
        <f>IF(Q521&gt;0,S521*100/Q521,0)</f>
        <v>0</v>
      </c>
      <c r="U521" s="255">
        <f>IF(R521&gt;0,S521*100/R521,0)</f>
        <v>0</v>
      </c>
    </row>
    <row r="522" spans="1:21" ht="19.5" hidden="1">
      <c r="A522" s="166"/>
      <c r="B522" s="167"/>
      <c r="C522" s="591" t="s">
        <v>18</v>
      </c>
      <c r="D522" s="574" t="s">
        <v>38</v>
      </c>
      <c r="E522" s="169"/>
      <c r="F522" s="169"/>
      <c r="G522" s="170"/>
      <c r="H522" s="171"/>
      <c r="I522" s="163"/>
      <c r="J522" s="54"/>
      <c r="K522" s="55"/>
      <c r="L522" s="62"/>
      <c r="M522" s="55"/>
      <c r="N522" s="55"/>
      <c r="O522" s="164"/>
      <c r="P522" s="164"/>
      <c r="Q522" s="55"/>
      <c r="R522" s="55"/>
      <c r="S522" s="55"/>
      <c r="T522" s="164"/>
      <c r="U522" s="164"/>
    </row>
    <row r="523" spans="1:21" ht="18.75" hidden="1">
      <c r="A523" s="238"/>
      <c r="B523" s="50"/>
      <c r="C523" s="188"/>
      <c r="D523" s="207" t="s">
        <v>209</v>
      </c>
      <c r="E523" s="167"/>
      <c r="F523" s="50"/>
      <c r="G523" s="52"/>
      <c r="H523" s="590" t="s">
        <v>11</v>
      </c>
      <c r="I523" s="483">
        <v>0</v>
      </c>
      <c r="J523" s="589">
        <v>0</v>
      </c>
      <c r="K523" s="102">
        <f>IF(I523&gt;0,J523*100/I523,0)</f>
        <v>0</v>
      </c>
      <c r="L523" s="62"/>
      <c r="M523" s="55"/>
      <c r="N523" s="55"/>
      <c r="O523" s="55"/>
      <c r="P523" s="55"/>
      <c r="Q523" s="55"/>
      <c r="R523" s="55"/>
      <c r="S523" s="55"/>
      <c r="T523" s="55"/>
      <c r="U523" s="55"/>
    </row>
    <row r="524" spans="1:21" ht="18.75" hidden="1">
      <c r="A524" s="374"/>
      <c r="B524" s="4"/>
      <c r="C524" s="5"/>
      <c r="D524" s="588" t="s">
        <v>210</v>
      </c>
      <c r="E524" s="282"/>
      <c r="F524" s="4"/>
      <c r="G524" s="65"/>
      <c r="H524" s="587" t="s">
        <v>61</v>
      </c>
      <c r="I524" s="486">
        <v>0</v>
      </c>
      <c r="J524" s="586">
        <v>0</v>
      </c>
      <c r="K524" s="585">
        <f>IF(I524&gt;0,J524*100/I524,0)</f>
        <v>0</v>
      </c>
      <c r="L524" s="62"/>
      <c r="M524" s="55"/>
      <c r="N524" s="55"/>
      <c r="O524" s="55"/>
      <c r="P524" s="55"/>
      <c r="Q524" s="55"/>
      <c r="R524" s="55"/>
      <c r="S524" s="55"/>
      <c r="T524" s="55"/>
      <c r="U524" s="55"/>
    </row>
    <row r="525" spans="1:21" ht="12.75" hidden="1">
      <c r="A525" s="584"/>
      <c r="B525" s="583"/>
      <c r="C525" s="583"/>
      <c r="D525" s="582"/>
      <c r="E525" s="582"/>
      <c r="F525" s="582"/>
      <c r="G525" s="581"/>
      <c r="H525" s="580"/>
      <c r="I525" s="579"/>
      <c r="J525" s="579"/>
      <c r="K525" s="578"/>
      <c r="L525" s="265"/>
      <c r="M525" s="264"/>
      <c r="N525" s="264"/>
      <c r="O525" s="264"/>
      <c r="P525" s="264"/>
      <c r="Q525" s="264"/>
      <c r="R525" s="264"/>
      <c r="S525" s="264"/>
      <c r="T525" s="264"/>
      <c r="U525" s="264"/>
    </row>
    <row r="526" spans="1:21" ht="12.75" hidden="1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5"/>
      <c r="M526" s="264"/>
      <c r="N526" s="264"/>
      <c r="O526" s="264"/>
      <c r="P526" s="264"/>
      <c r="Q526" s="264"/>
      <c r="R526" s="264"/>
      <c r="S526" s="264"/>
      <c r="T526" s="264"/>
      <c r="U526" s="264"/>
    </row>
    <row r="527" spans="1:21" ht="12.75" hidden="1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5"/>
      <c r="M527" s="264"/>
      <c r="N527" s="264"/>
      <c r="O527" s="264"/>
      <c r="P527" s="264"/>
      <c r="Q527" s="264"/>
      <c r="R527" s="264"/>
      <c r="S527" s="264"/>
      <c r="T527" s="264"/>
      <c r="U527" s="264"/>
    </row>
    <row r="528" spans="1:21" ht="12.75" hidden="1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5"/>
      <c r="M528" s="264"/>
      <c r="N528" s="264"/>
      <c r="O528" s="264"/>
      <c r="P528" s="264"/>
      <c r="Q528" s="264"/>
      <c r="R528" s="264"/>
      <c r="S528" s="264"/>
      <c r="T528" s="264"/>
      <c r="U528" s="264"/>
    </row>
    <row r="529" spans="1:21" ht="12.75" hidden="1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5"/>
      <c r="M529" s="264"/>
      <c r="N529" s="264"/>
      <c r="O529" s="264"/>
      <c r="P529" s="264"/>
      <c r="Q529" s="264"/>
      <c r="R529" s="264"/>
      <c r="S529" s="264"/>
      <c r="T529" s="264"/>
      <c r="U529" s="264"/>
    </row>
    <row r="530" spans="1:21" ht="12.75" hidden="1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5"/>
      <c r="M530" s="264"/>
      <c r="N530" s="264"/>
      <c r="O530" s="264"/>
      <c r="P530" s="264"/>
      <c r="Q530" s="264"/>
      <c r="R530" s="264"/>
      <c r="S530" s="264"/>
      <c r="T530" s="264"/>
      <c r="U530" s="264"/>
    </row>
    <row r="531" spans="1:21" ht="12.75" hidden="1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5"/>
      <c r="M531" s="264"/>
      <c r="N531" s="264"/>
      <c r="O531" s="264"/>
      <c r="P531" s="264"/>
      <c r="Q531" s="264"/>
      <c r="R531" s="264"/>
      <c r="S531" s="264"/>
      <c r="T531" s="264"/>
      <c r="U531" s="264"/>
    </row>
    <row r="532" spans="1:21" ht="12.75" hidden="1">
      <c r="A532" s="407"/>
      <c r="B532" s="360"/>
      <c r="C532" s="360"/>
      <c r="D532" s="408"/>
      <c r="E532" s="408"/>
      <c r="F532" s="408"/>
      <c r="G532" s="409"/>
      <c r="H532" s="361"/>
      <c r="I532" s="362"/>
      <c r="J532" s="362"/>
      <c r="K532" s="363"/>
      <c r="L532" s="364"/>
      <c r="M532" s="363"/>
      <c r="N532" s="363"/>
      <c r="O532" s="363"/>
      <c r="P532" s="363"/>
      <c r="Q532" s="363"/>
      <c r="R532" s="363"/>
      <c r="S532" s="363"/>
      <c r="T532" s="363"/>
      <c r="U532" s="363"/>
    </row>
    <row r="533" spans="1:21" ht="19.5" hidden="1">
      <c r="A533" s="395"/>
      <c r="B533" s="396" t="s">
        <v>211</v>
      </c>
      <c r="C533" s="397"/>
      <c r="D533" s="398"/>
      <c r="E533" s="398"/>
      <c r="F533" s="398"/>
      <c r="G533" s="399"/>
      <c r="H533" s="410" t="s">
        <v>61</v>
      </c>
      <c r="I533" s="577">
        <f>I545</f>
        <v>0</v>
      </c>
      <c r="J533" s="577">
        <f>J545</f>
        <v>0</v>
      </c>
      <c r="K533" s="576">
        <f>IF(I533&gt;0,J533*100/I533,0)</f>
        <v>0</v>
      </c>
      <c r="L533" s="404"/>
      <c r="M533" s="403"/>
      <c r="N533" s="403"/>
      <c r="O533" s="403"/>
      <c r="P533" s="403"/>
      <c r="Q533" s="403"/>
      <c r="R533" s="403"/>
      <c r="S533" s="403"/>
      <c r="T533" s="403"/>
      <c r="U533" s="403"/>
    </row>
    <row r="534" spans="1:21" ht="19.5" hidden="1">
      <c r="A534" s="155"/>
      <c r="B534" s="50"/>
      <c r="C534" s="156" t="s">
        <v>18</v>
      </c>
      <c r="D534" s="575" t="s">
        <v>19</v>
      </c>
      <c r="E534" s="50"/>
      <c r="F534" s="50"/>
      <c r="G534" s="52"/>
      <c r="H534" s="158" t="s">
        <v>14</v>
      </c>
      <c r="I534" s="54"/>
      <c r="J534" s="54"/>
      <c r="K534" s="55"/>
      <c r="L534" s="541">
        <f>L535+L536</f>
        <v>0</v>
      </c>
      <c r="M534" s="540">
        <f>M535+M536</f>
        <v>0</v>
      </c>
      <c r="N534" s="540">
        <f>N535+N536</f>
        <v>0</v>
      </c>
      <c r="O534" s="540">
        <f>IF(L534&gt;0,N534*100/L534,0)</f>
        <v>0</v>
      </c>
      <c r="P534" s="540">
        <f>IF(M534&gt;0,N534*100/M534,0)</f>
        <v>0</v>
      </c>
      <c r="Q534" s="540">
        <f>Q535+Q536</f>
        <v>0</v>
      </c>
      <c r="R534" s="540">
        <f>R535+R536</f>
        <v>0</v>
      </c>
      <c r="S534" s="540">
        <f>S535+S536</f>
        <v>0</v>
      </c>
      <c r="T534" s="540">
        <f>IF(Q534&gt;0,S534*100/Q534,0)</f>
        <v>0</v>
      </c>
      <c r="U534" s="540">
        <f>IF(R534&gt;0,S534*100/R534,0)</f>
        <v>0</v>
      </c>
    </row>
    <row r="535" spans="1:21" ht="18.75" hidden="1">
      <c r="A535" s="155"/>
      <c r="B535" s="188"/>
      <c r="C535" s="50"/>
      <c r="D535" s="50"/>
      <c r="E535" s="186" t="s">
        <v>20</v>
      </c>
      <c r="F535" s="50"/>
      <c r="G535" s="52"/>
      <c r="H535" s="187" t="s">
        <v>14</v>
      </c>
      <c r="I535" s="54"/>
      <c r="J535" s="54"/>
      <c r="K535" s="55"/>
      <c r="L535" s="103">
        <f>L538+L541</f>
        <v>0</v>
      </c>
      <c r="M535" s="102">
        <f>M538+M541</f>
        <v>0</v>
      </c>
      <c r="N535" s="102">
        <f>N538+N541</f>
        <v>0</v>
      </c>
      <c r="O535" s="102">
        <f>IF(L535&gt;0,N535*100/L535,0)</f>
        <v>0</v>
      </c>
      <c r="P535" s="102">
        <f>IF(M535&gt;0,N535*100/M535,0)</f>
        <v>0</v>
      </c>
      <c r="Q535" s="102">
        <f>Q538+Q541</f>
        <v>0</v>
      </c>
      <c r="R535" s="102">
        <f>R538+R541</f>
        <v>0</v>
      </c>
      <c r="S535" s="102">
        <f>S538+S541</f>
        <v>0</v>
      </c>
      <c r="T535" s="102">
        <f>IF(Q535&gt;0,S535*100/Q535,0)</f>
        <v>0</v>
      </c>
      <c r="U535" s="102">
        <f>IF(R535&gt;0,S535*100/R535,0)</f>
        <v>0</v>
      </c>
    </row>
    <row r="536" spans="1:21" ht="18.75" hidden="1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256">
        <f>L539+L542</f>
        <v>0</v>
      </c>
      <c r="M536" s="255">
        <f>M539+M542</f>
        <v>0</v>
      </c>
      <c r="N536" s="255">
        <f>N539+N542</f>
        <v>0</v>
      </c>
      <c r="O536" s="255">
        <f>IF(L536&gt;0,N536*100/L536,0)</f>
        <v>0</v>
      </c>
      <c r="P536" s="255">
        <f>IF(M536&gt;0,N536*100/M536,0)</f>
        <v>0</v>
      </c>
      <c r="Q536" s="255">
        <f>Q539+Q542</f>
        <v>0</v>
      </c>
      <c r="R536" s="255">
        <f>R539+R542</f>
        <v>0</v>
      </c>
      <c r="S536" s="255">
        <f>S539+S542</f>
        <v>0</v>
      </c>
      <c r="T536" s="255">
        <f>IF(Q536&gt;0,S536*100/Q536,0)</f>
        <v>0</v>
      </c>
      <c r="U536" s="255">
        <f>IF(R536&gt;0,S536*100/R536,0)</f>
        <v>0</v>
      </c>
    </row>
    <row r="537" spans="1:21" ht="18.75" hidden="1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256">
        <f>L538+L539</f>
        <v>0</v>
      </c>
      <c r="M537" s="255">
        <f>M538+M539</f>
        <v>0</v>
      </c>
      <c r="N537" s="255">
        <f>N538+N539</f>
        <v>0</v>
      </c>
      <c r="O537" s="255">
        <f>IF(L537&gt;0,N537*100/L537,0)</f>
        <v>0</v>
      </c>
      <c r="P537" s="255">
        <f>IF(M537&gt;0,N537*100/M537,0)</f>
        <v>0</v>
      </c>
      <c r="Q537" s="255">
        <f>Q538+Q539</f>
        <v>0</v>
      </c>
      <c r="R537" s="255">
        <f>R538+R539</f>
        <v>0</v>
      </c>
      <c r="S537" s="255">
        <f>S538+S539</f>
        <v>0</v>
      </c>
      <c r="T537" s="255">
        <f>IF(Q537&gt;0,S537*100/Q537,0)</f>
        <v>0</v>
      </c>
      <c r="U537" s="255">
        <f>IF(R537&gt;0,S537*100/R537,0)</f>
        <v>0</v>
      </c>
    </row>
    <row r="538" spans="1:21" ht="18.75" hidden="1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103">
        <v>0</v>
      </c>
      <c r="M538" s="102">
        <v>0</v>
      </c>
      <c r="N538" s="102">
        <v>0</v>
      </c>
      <c r="O538" s="102">
        <f>IF(L538&gt;0,N538*100/L538,0)</f>
        <v>0</v>
      </c>
      <c r="P538" s="102">
        <f>IF(M538&gt;0,N538*100/M538,0)</f>
        <v>0</v>
      </c>
      <c r="Q538" s="102">
        <v>0</v>
      </c>
      <c r="R538" s="102">
        <v>0</v>
      </c>
      <c r="S538" s="102">
        <v>0</v>
      </c>
      <c r="T538" s="102">
        <f>IF(Q538&gt;0,S538*100/Q538,0)</f>
        <v>0</v>
      </c>
      <c r="U538" s="102">
        <f>IF(R538&gt;0,S538*100/R538,0)</f>
        <v>0</v>
      </c>
    </row>
    <row r="539" spans="1:21" ht="18.75" hidden="1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256">
        <v>0</v>
      </c>
      <c r="M539" s="255">
        <v>0</v>
      </c>
      <c r="N539" s="255">
        <v>0</v>
      </c>
      <c r="O539" s="255">
        <f>IF(L539&gt;0,N539*100/L539,0)</f>
        <v>0</v>
      </c>
      <c r="P539" s="255">
        <f>IF(M539&gt;0,N539*100/M539,0)</f>
        <v>0</v>
      </c>
      <c r="Q539" s="255">
        <v>0</v>
      </c>
      <c r="R539" s="255">
        <v>0</v>
      </c>
      <c r="S539" s="255">
        <v>0</v>
      </c>
      <c r="T539" s="255">
        <f>IF(Q539&gt;0,S539*100/Q539,0)</f>
        <v>0</v>
      </c>
      <c r="U539" s="255">
        <f>IF(R539&gt;0,S539*100/R539,0)</f>
        <v>0</v>
      </c>
    </row>
    <row r="540" spans="1:21" ht="18.75" hidden="1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256">
        <f>L541+L542</f>
        <v>0</v>
      </c>
      <c r="M540" s="255">
        <f>M541+M542</f>
        <v>0</v>
      </c>
      <c r="N540" s="255">
        <f>N541+N542</f>
        <v>0</v>
      </c>
      <c r="O540" s="255">
        <f>IF(L540&gt;0,N540*100/L540,0)</f>
        <v>0</v>
      </c>
      <c r="P540" s="255">
        <f>IF(M540&gt;0,N540*100/M540,0)</f>
        <v>0</v>
      </c>
      <c r="Q540" s="255">
        <f>Q541+Q542</f>
        <v>0</v>
      </c>
      <c r="R540" s="255">
        <f>R541+R542</f>
        <v>0</v>
      </c>
      <c r="S540" s="255">
        <f>S541+S542</f>
        <v>0</v>
      </c>
      <c r="T540" s="255">
        <f>IF(Q540&gt;0,S540*100/Q540,0)</f>
        <v>0</v>
      </c>
      <c r="U540" s="255">
        <f>IF(R540&gt;0,S540*100/R540,0)</f>
        <v>0</v>
      </c>
    </row>
    <row r="541" spans="1:21" ht="18.75" hidden="1">
      <c r="A541" s="155"/>
      <c r="B541" s="50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103">
        <v>0</v>
      </c>
      <c r="M541" s="102">
        <v>0</v>
      </c>
      <c r="N541" s="102">
        <v>0</v>
      </c>
      <c r="O541" s="102">
        <f>IF(L541&gt;0,N541*100/L541,0)</f>
        <v>0</v>
      </c>
      <c r="P541" s="102">
        <f>IF(M541&gt;0,N541*100/M541,0)</f>
        <v>0</v>
      </c>
      <c r="Q541" s="102">
        <v>0</v>
      </c>
      <c r="R541" s="102">
        <v>0</v>
      </c>
      <c r="S541" s="102">
        <v>0</v>
      </c>
      <c r="T541" s="102">
        <f>IF(Q541&gt;0,S541*100/Q541,0)</f>
        <v>0</v>
      </c>
      <c r="U541" s="102">
        <f>IF(R541&gt;0,S541*100/R541,0)</f>
        <v>0</v>
      </c>
    </row>
    <row r="542" spans="1:21" ht="18.75" hidden="1">
      <c r="A542" s="155"/>
      <c r="B542" s="50"/>
      <c r="C542" s="50"/>
      <c r="D542" s="50"/>
      <c r="E542" s="58" t="s">
        <v>21</v>
      </c>
      <c r="F542" s="50"/>
      <c r="G542" s="52"/>
      <c r="H542" s="165" t="s">
        <v>14</v>
      </c>
      <c r="I542" s="163"/>
      <c r="J542" s="163"/>
      <c r="K542" s="164"/>
      <c r="L542" s="256">
        <v>0</v>
      </c>
      <c r="M542" s="255">
        <v>0</v>
      </c>
      <c r="N542" s="255">
        <v>0</v>
      </c>
      <c r="O542" s="255">
        <f>IF(L542&gt;0,N542*100/L542,0)</f>
        <v>0</v>
      </c>
      <c r="P542" s="255">
        <f>IF(M542&gt;0,N542*100/M542,0)</f>
        <v>0</v>
      </c>
      <c r="Q542" s="255">
        <v>0</v>
      </c>
      <c r="R542" s="255">
        <v>0</v>
      </c>
      <c r="S542" s="255">
        <v>0</v>
      </c>
      <c r="T542" s="255">
        <f>IF(Q542&gt;0,S542*100/Q542,0)</f>
        <v>0</v>
      </c>
      <c r="U542" s="255">
        <f>IF(R542&gt;0,S542*100/R542,0)</f>
        <v>0</v>
      </c>
    </row>
    <row r="543" spans="1:21" ht="19.5" hidden="1">
      <c r="A543" s="166"/>
      <c r="B543" s="167"/>
      <c r="C543" s="411" t="s">
        <v>18</v>
      </c>
      <c r="D543" s="566" t="s">
        <v>38</v>
      </c>
      <c r="E543" s="169"/>
      <c r="F543" s="169"/>
      <c r="G543" s="170"/>
      <c r="H543" s="171"/>
      <c r="I543" s="163"/>
      <c r="J543" s="54"/>
      <c r="K543" s="55"/>
      <c r="L543" s="62"/>
      <c r="M543" s="55"/>
      <c r="N543" s="55"/>
      <c r="O543" s="164"/>
      <c r="P543" s="164"/>
      <c r="Q543" s="55"/>
      <c r="R543" s="55"/>
      <c r="S543" s="55"/>
      <c r="T543" s="164"/>
      <c r="U543" s="164"/>
    </row>
    <row r="544" spans="1:21" ht="12.75" hidden="1">
      <c r="A544" s="258"/>
      <c r="B544" s="260"/>
      <c r="C544" s="259"/>
      <c r="D544" s="260"/>
      <c r="E544" s="259"/>
      <c r="F544" s="260"/>
      <c r="G544" s="261"/>
      <c r="H544" s="261"/>
      <c r="I544" s="263"/>
      <c r="J544" s="263"/>
      <c r="K544" s="264"/>
      <c r="L544" s="265"/>
      <c r="M544" s="264"/>
      <c r="N544" s="264"/>
      <c r="O544" s="264"/>
      <c r="P544" s="264"/>
      <c r="Q544" s="264"/>
      <c r="R544" s="264"/>
      <c r="S544" s="264"/>
      <c r="T544" s="264"/>
      <c r="U544" s="264"/>
    </row>
    <row r="545" spans="1:21" ht="12.75" hidden="1">
      <c r="A545" s="258"/>
      <c r="B545" s="260"/>
      <c r="C545" s="259"/>
      <c r="D545" s="260"/>
      <c r="E545" s="259"/>
      <c r="F545" s="260"/>
      <c r="G545" s="261"/>
      <c r="H545" s="261"/>
      <c r="I545" s="263"/>
      <c r="J545" s="263"/>
      <c r="K545" s="264"/>
      <c r="L545" s="265"/>
      <c r="M545" s="264"/>
      <c r="N545" s="264"/>
      <c r="O545" s="264"/>
      <c r="P545" s="264"/>
      <c r="Q545" s="264"/>
      <c r="R545" s="264"/>
      <c r="S545" s="264"/>
      <c r="T545" s="264"/>
      <c r="U545" s="264"/>
    </row>
    <row r="546" spans="1:21" ht="12.75" hidden="1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5"/>
      <c r="M546" s="264"/>
      <c r="N546" s="264"/>
      <c r="O546" s="264"/>
      <c r="P546" s="264"/>
      <c r="Q546" s="264"/>
      <c r="R546" s="264"/>
      <c r="S546" s="264"/>
      <c r="T546" s="264"/>
      <c r="U546" s="264"/>
    </row>
    <row r="547" spans="1:21" ht="12.75" hidden="1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5"/>
      <c r="M547" s="264"/>
      <c r="N547" s="264"/>
      <c r="O547" s="264"/>
      <c r="P547" s="264"/>
      <c r="Q547" s="264"/>
      <c r="R547" s="264"/>
      <c r="S547" s="264"/>
      <c r="T547" s="264"/>
      <c r="U547" s="264"/>
    </row>
    <row r="548" spans="1:21" ht="12.75" hidden="1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5"/>
      <c r="M548" s="264"/>
      <c r="N548" s="264"/>
      <c r="O548" s="264"/>
      <c r="P548" s="264"/>
      <c r="Q548" s="264"/>
      <c r="R548" s="264"/>
      <c r="S548" s="264"/>
      <c r="T548" s="264"/>
      <c r="U548" s="264"/>
    </row>
    <row r="549" spans="1:21" ht="12.75" hidden="1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5"/>
      <c r="M549" s="264"/>
      <c r="N549" s="264"/>
      <c r="O549" s="264"/>
      <c r="P549" s="264"/>
      <c r="Q549" s="264"/>
      <c r="R549" s="264"/>
      <c r="S549" s="264"/>
      <c r="T549" s="264"/>
      <c r="U549" s="264"/>
    </row>
    <row r="550" spans="1:21" ht="12.75" hidden="1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5"/>
      <c r="M550" s="264"/>
      <c r="N550" s="264"/>
      <c r="O550" s="264"/>
      <c r="P550" s="264"/>
      <c r="Q550" s="264"/>
      <c r="R550" s="264"/>
      <c r="S550" s="264"/>
      <c r="T550" s="264"/>
      <c r="U550" s="264"/>
    </row>
    <row r="551" spans="1:21" ht="12.75" hidden="1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5"/>
      <c r="M551" s="264"/>
      <c r="N551" s="264"/>
      <c r="O551" s="264"/>
      <c r="P551" s="264"/>
      <c r="Q551" s="264"/>
      <c r="R551" s="264"/>
      <c r="S551" s="264"/>
      <c r="T551" s="264"/>
      <c r="U551" s="264"/>
    </row>
    <row r="552" spans="1:21" ht="12.75" hidden="1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5"/>
      <c r="M552" s="264"/>
      <c r="N552" s="264"/>
      <c r="O552" s="264"/>
      <c r="P552" s="264"/>
      <c r="Q552" s="264"/>
      <c r="R552" s="264"/>
      <c r="S552" s="264"/>
      <c r="T552" s="264"/>
      <c r="U552" s="264"/>
    </row>
    <row r="553" spans="1:21" ht="12.75" hidden="1">
      <c r="A553" s="407"/>
      <c r="B553" s="360"/>
      <c r="C553" s="360"/>
      <c r="D553" s="408"/>
      <c r="E553" s="408"/>
      <c r="F553" s="408"/>
      <c r="G553" s="409"/>
      <c r="H553" s="361"/>
      <c r="I553" s="362"/>
      <c r="J553" s="362"/>
      <c r="K553" s="363"/>
      <c r="L553" s="364"/>
      <c r="M553" s="363"/>
      <c r="N553" s="363"/>
      <c r="O553" s="363"/>
      <c r="P553" s="363"/>
      <c r="Q553" s="363"/>
      <c r="R553" s="363"/>
      <c r="S553" s="363"/>
      <c r="T553" s="363"/>
      <c r="U553" s="363"/>
    </row>
    <row r="554" spans="1:21" ht="19.5" hidden="1">
      <c r="A554" s="395"/>
      <c r="B554" s="396" t="s">
        <v>212</v>
      </c>
      <c r="C554" s="397"/>
      <c r="D554" s="398"/>
      <c r="E554" s="398"/>
      <c r="F554" s="398"/>
      <c r="G554" s="399"/>
      <c r="H554" s="410" t="s">
        <v>61</v>
      </c>
      <c r="I554" s="577">
        <f>I566</f>
        <v>0</v>
      </c>
      <c r="J554" s="577">
        <f>J566</f>
        <v>0</v>
      </c>
      <c r="K554" s="576">
        <f>IF(I554&gt;0,J554*100/I554,0)</f>
        <v>0</v>
      </c>
      <c r="L554" s="404"/>
      <c r="M554" s="403"/>
      <c r="N554" s="403"/>
      <c r="O554" s="403"/>
      <c r="P554" s="403"/>
      <c r="Q554" s="403"/>
      <c r="R554" s="403"/>
      <c r="S554" s="403"/>
      <c r="T554" s="403"/>
      <c r="U554" s="403"/>
    </row>
    <row r="555" spans="1:21" ht="19.5" hidden="1">
      <c r="A555" s="155"/>
      <c r="B555" s="50"/>
      <c r="C555" s="156" t="s">
        <v>18</v>
      </c>
      <c r="D555" s="575" t="s">
        <v>19</v>
      </c>
      <c r="E555" s="50"/>
      <c r="F555" s="50"/>
      <c r="G555" s="52"/>
      <c r="H555" s="158" t="s">
        <v>14</v>
      </c>
      <c r="I555" s="54"/>
      <c r="J555" s="54"/>
      <c r="K555" s="55"/>
      <c r="L555" s="541">
        <f>L556+L557</f>
        <v>0</v>
      </c>
      <c r="M555" s="540">
        <f>M556+M557</f>
        <v>0</v>
      </c>
      <c r="N555" s="540">
        <f>N556+N557</f>
        <v>0</v>
      </c>
      <c r="O555" s="540">
        <f>IF(L555&gt;0,N555*100/L555,0)</f>
        <v>0</v>
      </c>
      <c r="P555" s="540">
        <f>IF(M555&gt;0,N555*100/M555,0)</f>
        <v>0</v>
      </c>
      <c r="Q555" s="540">
        <f>Q556+Q557</f>
        <v>0</v>
      </c>
      <c r="R555" s="540">
        <f>R556+R557</f>
        <v>0</v>
      </c>
      <c r="S555" s="540">
        <f>S556+S557</f>
        <v>0</v>
      </c>
      <c r="T555" s="540">
        <f>IF(Q555&gt;0,S555*100/Q555,0)</f>
        <v>0</v>
      </c>
      <c r="U555" s="540">
        <f>IF(R555&gt;0,S555*100/R555,0)</f>
        <v>0</v>
      </c>
    </row>
    <row r="556" spans="1:21" ht="18.75" hidden="1">
      <c r="A556" s="155"/>
      <c r="B556" s="188"/>
      <c r="C556" s="50"/>
      <c r="D556" s="50"/>
      <c r="E556" s="186" t="s">
        <v>20</v>
      </c>
      <c r="F556" s="50"/>
      <c r="G556" s="52"/>
      <c r="H556" s="187" t="s">
        <v>14</v>
      </c>
      <c r="I556" s="54"/>
      <c r="J556" s="54"/>
      <c r="K556" s="55"/>
      <c r="L556" s="103">
        <f>L559+L562</f>
        <v>0</v>
      </c>
      <c r="M556" s="102">
        <f>M559+M562</f>
        <v>0</v>
      </c>
      <c r="N556" s="102">
        <f>N559+N562</f>
        <v>0</v>
      </c>
      <c r="O556" s="102">
        <f>IF(L556&gt;0,N556*100/L556,0)</f>
        <v>0</v>
      </c>
      <c r="P556" s="102">
        <f>IF(M556&gt;0,N556*100/M556,0)</f>
        <v>0</v>
      </c>
      <c r="Q556" s="102">
        <f>Q559+Q562</f>
        <v>0</v>
      </c>
      <c r="R556" s="102">
        <f>R559+R562</f>
        <v>0</v>
      </c>
      <c r="S556" s="102">
        <f>S559+S562</f>
        <v>0</v>
      </c>
      <c r="T556" s="102">
        <f>IF(Q556&gt;0,S556*100/Q556,0)</f>
        <v>0</v>
      </c>
      <c r="U556" s="102">
        <f>IF(R556&gt;0,S556*100/R556,0)</f>
        <v>0</v>
      </c>
    </row>
    <row r="557" spans="1:21" ht="18.75" hidden="1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256">
        <f>L560+L563</f>
        <v>0</v>
      </c>
      <c r="M557" s="255">
        <f>M560+M563</f>
        <v>0</v>
      </c>
      <c r="N557" s="255">
        <f>N560+N563</f>
        <v>0</v>
      </c>
      <c r="O557" s="255">
        <f>IF(L557&gt;0,N557*100/L557,0)</f>
        <v>0</v>
      </c>
      <c r="P557" s="255">
        <f>IF(M557&gt;0,N557*100/M557,0)</f>
        <v>0</v>
      </c>
      <c r="Q557" s="255">
        <f>Q560+Q563</f>
        <v>0</v>
      </c>
      <c r="R557" s="255">
        <f>R560+R563</f>
        <v>0</v>
      </c>
      <c r="S557" s="255">
        <f>S560+S563</f>
        <v>0</v>
      </c>
      <c r="T557" s="255">
        <f>IF(Q557&gt;0,S557*100/Q557,0)</f>
        <v>0</v>
      </c>
      <c r="U557" s="255">
        <f>IF(R557&gt;0,S557*100/R557,0)</f>
        <v>0</v>
      </c>
    </row>
    <row r="558" spans="1:21" ht="18.75" hidden="1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256">
        <f>L559+L560</f>
        <v>0</v>
      </c>
      <c r="M558" s="255">
        <f>M559+M560</f>
        <v>0</v>
      </c>
      <c r="N558" s="255">
        <f>N559+N560</f>
        <v>0</v>
      </c>
      <c r="O558" s="255">
        <f>IF(L558&gt;0,N558*100/L558,0)</f>
        <v>0</v>
      </c>
      <c r="P558" s="255">
        <f>IF(M558&gt;0,N558*100/M558,0)</f>
        <v>0</v>
      </c>
      <c r="Q558" s="255">
        <f>Q559+Q560</f>
        <v>0</v>
      </c>
      <c r="R558" s="255">
        <f>R559+R560</f>
        <v>0</v>
      </c>
      <c r="S558" s="255">
        <f>S559+S560</f>
        <v>0</v>
      </c>
      <c r="T558" s="255">
        <f>IF(Q558&gt;0,S558*100/Q558,0)</f>
        <v>0</v>
      </c>
      <c r="U558" s="255">
        <f>IF(R558&gt;0,S558*100/R558,0)</f>
        <v>0</v>
      </c>
    </row>
    <row r="559" spans="1:21" ht="18.75" hidden="1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103">
        <v>0</v>
      </c>
      <c r="M559" s="102">
        <v>0</v>
      </c>
      <c r="N559" s="102">
        <v>0</v>
      </c>
      <c r="O559" s="102">
        <f>IF(L559&gt;0,N559*100/L559,0)</f>
        <v>0</v>
      </c>
      <c r="P559" s="102">
        <f>IF(M559&gt;0,N559*100/M559,0)</f>
        <v>0</v>
      </c>
      <c r="Q559" s="102">
        <v>0</v>
      </c>
      <c r="R559" s="102">
        <v>0</v>
      </c>
      <c r="S559" s="102">
        <v>0</v>
      </c>
      <c r="T559" s="102">
        <f>IF(Q559&gt;0,S559*100/Q559,0)</f>
        <v>0</v>
      </c>
      <c r="U559" s="102">
        <f>IF(R559&gt;0,S559*100/R559,0)</f>
        <v>0</v>
      </c>
    </row>
    <row r="560" spans="1:21" ht="18.75" hidden="1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256">
        <v>0</v>
      </c>
      <c r="M560" s="255">
        <v>0</v>
      </c>
      <c r="N560" s="255">
        <v>0</v>
      </c>
      <c r="O560" s="255">
        <f>IF(L560&gt;0,N560*100/L560,0)</f>
        <v>0</v>
      </c>
      <c r="P560" s="255">
        <f>IF(M560&gt;0,N560*100/M560,0)</f>
        <v>0</v>
      </c>
      <c r="Q560" s="255">
        <v>0</v>
      </c>
      <c r="R560" s="255">
        <v>0</v>
      </c>
      <c r="S560" s="255">
        <v>0</v>
      </c>
      <c r="T560" s="255">
        <f>IF(Q560&gt;0,S560*100/Q560,0)</f>
        <v>0</v>
      </c>
      <c r="U560" s="255">
        <f>IF(R560&gt;0,S560*100/R560,0)</f>
        <v>0</v>
      </c>
    </row>
    <row r="561" spans="1:21" ht="18.75" hidden="1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256">
        <f>L562+L563</f>
        <v>0</v>
      </c>
      <c r="M561" s="255">
        <f>M562+M563</f>
        <v>0</v>
      </c>
      <c r="N561" s="255">
        <f>N562+N563</f>
        <v>0</v>
      </c>
      <c r="O561" s="255">
        <f>IF(L561&gt;0,N561*100/L561,0)</f>
        <v>0</v>
      </c>
      <c r="P561" s="255">
        <f>IF(M561&gt;0,N561*100/M561,0)</f>
        <v>0</v>
      </c>
      <c r="Q561" s="255">
        <f>Q562+Q563</f>
        <v>0</v>
      </c>
      <c r="R561" s="255">
        <f>R562+R563</f>
        <v>0</v>
      </c>
      <c r="S561" s="255">
        <f>S562+S563</f>
        <v>0</v>
      </c>
      <c r="T561" s="255">
        <f>IF(Q561&gt;0,S561*100/Q561,0)</f>
        <v>0</v>
      </c>
      <c r="U561" s="255">
        <f>IF(R561&gt;0,S561*100/R561,0)</f>
        <v>0</v>
      </c>
    </row>
    <row r="562" spans="1:21" ht="18.75" hidden="1">
      <c r="A562" s="155"/>
      <c r="B562" s="50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103">
        <v>0</v>
      </c>
      <c r="M562" s="102">
        <v>0</v>
      </c>
      <c r="N562" s="102">
        <v>0</v>
      </c>
      <c r="O562" s="102">
        <f>IF(L562&gt;0,N562*100/L562,0)</f>
        <v>0</v>
      </c>
      <c r="P562" s="102">
        <f>IF(M562&gt;0,N562*100/M562,0)</f>
        <v>0</v>
      </c>
      <c r="Q562" s="102">
        <v>0</v>
      </c>
      <c r="R562" s="102">
        <v>0</v>
      </c>
      <c r="S562" s="102">
        <v>0</v>
      </c>
      <c r="T562" s="102">
        <f>IF(Q562&gt;0,S562*100/Q562,0)</f>
        <v>0</v>
      </c>
      <c r="U562" s="102">
        <f>IF(R562&gt;0,S562*100/R562,0)</f>
        <v>0</v>
      </c>
    </row>
    <row r="563" spans="1:21" ht="18.75" hidden="1">
      <c r="A563" s="155"/>
      <c r="B563" s="50"/>
      <c r="C563" s="50"/>
      <c r="D563" s="50"/>
      <c r="E563" s="58" t="s">
        <v>21</v>
      </c>
      <c r="F563" s="50"/>
      <c r="G563" s="52"/>
      <c r="H563" s="165" t="s">
        <v>14</v>
      </c>
      <c r="I563" s="163"/>
      <c r="J563" s="163"/>
      <c r="K563" s="164"/>
      <c r="L563" s="256">
        <v>0</v>
      </c>
      <c r="M563" s="255">
        <v>0</v>
      </c>
      <c r="N563" s="255">
        <v>0</v>
      </c>
      <c r="O563" s="255">
        <f>IF(L563&gt;0,N563*100/L563,0)</f>
        <v>0</v>
      </c>
      <c r="P563" s="255">
        <f>IF(M563&gt;0,N563*100/M563,0)</f>
        <v>0</v>
      </c>
      <c r="Q563" s="255">
        <v>0</v>
      </c>
      <c r="R563" s="255">
        <v>0</v>
      </c>
      <c r="S563" s="255">
        <v>0</v>
      </c>
      <c r="T563" s="255">
        <f>IF(Q563&gt;0,S563*100/Q563,0)</f>
        <v>0</v>
      </c>
      <c r="U563" s="255">
        <f>IF(R563&gt;0,S563*100/R563,0)</f>
        <v>0</v>
      </c>
    </row>
    <row r="564" spans="1:21" ht="19.5" hidden="1">
      <c r="A564" s="166"/>
      <c r="B564" s="167"/>
      <c r="C564" s="411" t="s">
        <v>18</v>
      </c>
      <c r="D564" s="566" t="s">
        <v>38</v>
      </c>
      <c r="E564" s="169"/>
      <c r="F564" s="169"/>
      <c r="G564" s="170"/>
      <c r="H564" s="171"/>
      <c r="I564" s="163"/>
      <c r="J564" s="54"/>
      <c r="K564" s="55"/>
      <c r="L564" s="62"/>
      <c r="M564" s="55"/>
      <c r="N564" s="55"/>
      <c r="O564" s="164"/>
      <c r="P564" s="164"/>
      <c r="Q564" s="55"/>
      <c r="R564" s="55"/>
      <c r="S564" s="55"/>
      <c r="T564" s="164"/>
      <c r="U564" s="164"/>
    </row>
    <row r="565" spans="1:21" ht="12.75" hidden="1">
      <c r="A565" s="258"/>
      <c r="B565" s="260"/>
      <c r="C565" s="259"/>
      <c r="D565" s="260"/>
      <c r="E565" s="259"/>
      <c r="F565" s="260"/>
      <c r="G565" s="261"/>
      <c r="H565" s="261"/>
      <c r="I565" s="263"/>
      <c r="J565" s="263"/>
      <c r="K565" s="264"/>
      <c r="L565" s="265"/>
      <c r="M565" s="264"/>
      <c r="N565" s="264"/>
      <c r="O565" s="264"/>
      <c r="P565" s="264"/>
      <c r="Q565" s="264"/>
      <c r="R565" s="264"/>
      <c r="S565" s="264"/>
      <c r="T565" s="264"/>
      <c r="U565" s="264"/>
    </row>
    <row r="566" spans="1:21" ht="12.75" hidden="1">
      <c r="A566" s="258"/>
      <c r="B566" s="260"/>
      <c r="C566" s="259"/>
      <c r="D566" s="260"/>
      <c r="E566" s="259"/>
      <c r="F566" s="260"/>
      <c r="G566" s="261"/>
      <c r="H566" s="261"/>
      <c r="I566" s="263"/>
      <c r="J566" s="263"/>
      <c r="K566" s="264"/>
      <c r="L566" s="265"/>
      <c r="M566" s="264"/>
      <c r="N566" s="264"/>
      <c r="O566" s="264"/>
      <c r="P566" s="264"/>
      <c r="Q566" s="264"/>
      <c r="R566" s="264"/>
      <c r="S566" s="264"/>
      <c r="T566" s="264"/>
      <c r="U566" s="264"/>
    </row>
    <row r="567" spans="1:21" ht="12.75" hidden="1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5"/>
      <c r="M567" s="264"/>
      <c r="N567" s="264"/>
      <c r="O567" s="264"/>
      <c r="P567" s="264"/>
      <c r="Q567" s="264"/>
      <c r="R567" s="264"/>
      <c r="S567" s="264"/>
      <c r="T567" s="264"/>
      <c r="U567" s="264"/>
    </row>
    <row r="568" spans="1:21" ht="12.75" hidden="1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5"/>
      <c r="M568" s="264"/>
      <c r="N568" s="264"/>
      <c r="O568" s="264"/>
      <c r="P568" s="264"/>
      <c r="Q568" s="264"/>
      <c r="R568" s="264"/>
      <c r="S568" s="264"/>
      <c r="T568" s="264"/>
      <c r="U568" s="264"/>
    </row>
    <row r="569" spans="1:21" ht="12.75" hidden="1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5"/>
      <c r="M569" s="264"/>
      <c r="N569" s="264"/>
      <c r="O569" s="264"/>
      <c r="P569" s="264"/>
      <c r="Q569" s="264"/>
      <c r="R569" s="264"/>
      <c r="S569" s="264"/>
      <c r="T569" s="264"/>
      <c r="U569" s="264"/>
    </row>
    <row r="570" spans="1:21" ht="12.75" hidden="1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5"/>
      <c r="M570" s="264"/>
      <c r="N570" s="264"/>
      <c r="O570" s="264"/>
      <c r="P570" s="264"/>
      <c r="Q570" s="264"/>
      <c r="R570" s="264"/>
      <c r="S570" s="264"/>
      <c r="T570" s="264"/>
      <c r="U570" s="264"/>
    </row>
    <row r="571" spans="1:21" ht="12.75" hidden="1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5"/>
      <c r="M571" s="264"/>
      <c r="N571" s="264"/>
      <c r="O571" s="264"/>
      <c r="P571" s="264"/>
      <c r="Q571" s="264"/>
      <c r="R571" s="264"/>
      <c r="S571" s="264"/>
      <c r="T571" s="264"/>
      <c r="U571" s="264"/>
    </row>
    <row r="572" spans="1:21" ht="12.75" hidden="1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5"/>
      <c r="M572" s="264"/>
      <c r="N572" s="264"/>
      <c r="O572" s="264"/>
      <c r="P572" s="264"/>
      <c r="Q572" s="264"/>
      <c r="R572" s="264"/>
      <c r="S572" s="264"/>
      <c r="T572" s="264"/>
      <c r="U572" s="264"/>
    </row>
    <row r="573" spans="1:21" ht="12.75" hidden="1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5"/>
      <c r="M573" s="264"/>
      <c r="N573" s="264"/>
      <c r="O573" s="264"/>
      <c r="P573" s="264"/>
      <c r="Q573" s="264"/>
      <c r="R573" s="264"/>
      <c r="S573" s="264"/>
      <c r="T573" s="264"/>
      <c r="U573" s="264"/>
    </row>
    <row r="574" spans="1:21" ht="12.75" hidden="1">
      <c r="A574" s="407"/>
      <c r="B574" s="360"/>
      <c r="C574" s="360"/>
      <c r="D574" s="408"/>
      <c r="E574" s="408"/>
      <c r="F574" s="408"/>
      <c r="G574" s="409"/>
      <c r="H574" s="361"/>
      <c r="I574" s="362"/>
      <c r="J574" s="362"/>
      <c r="K574" s="363"/>
      <c r="L574" s="364"/>
      <c r="M574" s="363"/>
      <c r="N574" s="363"/>
      <c r="O574" s="363"/>
      <c r="P574" s="363"/>
      <c r="Q574" s="363"/>
      <c r="R574" s="363"/>
      <c r="S574" s="363"/>
      <c r="T574" s="363"/>
      <c r="U574" s="363"/>
    </row>
    <row r="575" spans="1:21" ht="19.5" hidden="1">
      <c r="A575" s="395"/>
      <c r="B575" s="396" t="s">
        <v>213</v>
      </c>
      <c r="C575" s="397"/>
      <c r="D575" s="398"/>
      <c r="E575" s="398"/>
      <c r="F575" s="398"/>
      <c r="G575" s="399"/>
      <c r="H575" s="410" t="s">
        <v>61</v>
      </c>
      <c r="I575" s="577">
        <f>I587</f>
        <v>0</v>
      </c>
      <c r="J575" s="577">
        <f>J587</f>
        <v>0</v>
      </c>
      <c r="K575" s="576">
        <f>IF(I575&gt;0,J575*100/I575,0)</f>
        <v>0</v>
      </c>
      <c r="L575" s="404"/>
      <c r="M575" s="403"/>
      <c r="N575" s="403"/>
      <c r="O575" s="403"/>
      <c r="P575" s="403"/>
      <c r="Q575" s="403"/>
      <c r="R575" s="403"/>
      <c r="S575" s="403"/>
      <c r="T575" s="403"/>
      <c r="U575" s="403"/>
    </row>
    <row r="576" spans="1:21" ht="19.5" hidden="1">
      <c r="A576" s="155"/>
      <c r="B576" s="50"/>
      <c r="C576" s="156" t="s">
        <v>18</v>
      </c>
      <c r="D576" s="575" t="s">
        <v>19</v>
      </c>
      <c r="E576" s="50"/>
      <c r="F576" s="50"/>
      <c r="G576" s="52"/>
      <c r="H576" s="158" t="s">
        <v>14</v>
      </c>
      <c r="I576" s="54"/>
      <c r="J576" s="54"/>
      <c r="K576" s="55"/>
      <c r="L576" s="541">
        <f>L577+L578</f>
        <v>0</v>
      </c>
      <c r="M576" s="540">
        <f>M577+M578</f>
        <v>0</v>
      </c>
      <c r="N576" s="540">
        <f>N577+N578</f>
        <v>0</v>
      </c>
      <c r="O576" s="540">
        <f>IF(L576&gt;0,N576*100/L576,0)</f>
        <v>0</v>
      </c>
      <c r="P576" s="540">
        <f>IF(M576&gt;0,N576*100/M576,0)</f>
        <v>0</v>
      </c>
      <c r="Q576" s="540">
        <f>Q577+Q578</f>
        <v>0</v>
      </c>
      <c r="R576" s="540">
        <f>R577+R578</f>
        <v>0</v>
      </c>
      <c r="S576" s="540">
        <f>S577+S578</f>
        <v>0</v>
      </c>
      <c r="T576" s="540">
        <f>IF(Q576&gt;0,S576*100/Q576,0)</f>
        <v>0</v>
      </c>
      <c r="U576" s="540">
        <f>IF(R576&gt;0,S576*100/R576,0)</f>
        <v>0</v>
      </c>
    </row>
    <row r="577" spans="1:21" ht="18.75" hidden="1">
      <c r="A577" s="155"/>
      <c r="B577" s="188"/>
      <c r="C577" s="50"/>
      <c r="D577" s="50"/>
      <c r="E577" s="186" t="s">
        <v>20</v>
      </c>
      <c r="F577" s="50"/>
      <c r="G577" s="52"/>
      <c r="H577" s="187" t="s">
        <v>14</v>
      </c>
      <c r="I577" s="54"/>
      <c r="J577" s="54"/>
      <c r="K577" s="55"/>
      <c r="L577" s="103">
        <f>L580+L583</f>
        <v>0</v>
      </c>
      <c r="M577" s="102">
        <f>M580+M583</f>
        <v>0</v>
      </c>
      <c r="N577" s="102">
        <f>N580+N583</f>
        <v>0</v>
      </c>
      <c r="O577" s="102">
        <f>IF(L577&gt;0,N577*100/L577,0)</f>
        <v>0</v>
      </c>
      <c r="P577" s="102">
        <f>IF(M577&gt;0,N577*100/M577,0)</f>
        <v>0</v>
      </c>
      <c r="Q577" s="102">
        <f>Q580+Q583</f>
        <v>0</v>
      </c>
      <c r="R577" s="102">
        <f>R580+R583</f>
        <v>0</v>
      </c>
      <c r="S577" s="102">
        <f>S580+S583</f>
        <v>0</v>
      </c>
      <c r="T577" s="102">
        <f>IF(Q577&gt;0,S577*100/Q577,0)</f>
        <v>0</v>
      </c>
      <c r="U577" s="102">
        <f>IF(R577&gt;0,S577*100/R577,0)</f>
        <v>0</v>
      </c>
    </row>
    <row r="578" spans="1:21" ht="18.75" hidden="1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256">
        <f>L581+L584</f>
        <v>0</v>
      </c>
      <c r="M578" s="255">
        <f>M581+M584</f>
        <v>0</v>
      </c>
      <c r="N578" s="255">
        <f>N581+N584</f>
        <v>0</v>
      </c>
      <c r="O578" s="255">
        <f>IF(L578&gt;0,N578*100/L578,0)</f>
        <v>0</v>
      </c>
      <c r="P578" s="255">
        <f>IF(M578&gt;0,N578*100/M578,0)</f>
        <v>0</v>
      </c>
      <c r="Q578" s="255">
        <f>Q581+Q584</f>
        <v>0</v>
      </c>
      <c r="R578" s="255">
        <f>R581+R584</f>
        <v>0</v>
      </c>
      <c r="S578" s="255">
        <f>S581+S584</f>
        <v>0</v>
      </c>
      <c r="T578" s="255">
        <f>IF(Q578&gt;0,S578*100/Q578,0)</f>
        <v>0</v>
      </c>
      <c r="U578" s="255">
        <f>IF(R578&gt;0,S578*100/R578,0)</f>
        <v>0</v>
      </c>
    </row>
    <row r="579" spans="1:21" ht="18.75" hidden="1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256">
        <f>L580+L581</f>
        <v>0</v>
      </c>
      <c r="M579" s="255">
        <f>M580+M581</f>
        <v>0</v>
      </c>
      <c r="N579" s="255">
        <f>N580+N581</f>
        <v>0</v>
      </c>
      <c r="O579" s="255">
        <f>IF(L579&gt;0,N579*100/L579,0)</f>
        <v>0</v>
      </c>
      <c r="P579" s="255">
        <f>IF(M579&gt;0,N579*100/M579,0)</f>
        <v>0</v>
      </c>
      <c r="Q579" s="255">
        <f>Q580+Q581</f>
        <v>0</v>
      </c>
      <c r="R579" s="255">
        <f>R580+R581</f>
        <v>0</v>
      </c>
      <c r="S579" s="255">
        <f>S580+S581</f>
        <v>0</v>
      </c>
      <c r="T579" s="255">
        <f>IF(Q579&gt;0,S579*100/Q579,0)</f>
        <v>0</v>
      </c>
      <c r="U579" s="255">
        <f>IF(R579&gt;0,S579*100/R579,0)</f>
        <v>0</v>
      </c>
    </row>
    <row r="580" spans="1:21" ht="18.75" hidden="1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103">
        <v>0</v>
      </c>
      <c r="M580" s="102">
        <v>0</v>
      </c>
      <c r="N580" s="102">
        <v>0</v>
      </c>
      <c r="O580" s="102">
        <f>IF(L580&gt;0,N580*100/L580,0)</f>
        <v>0</v>
      </c>
      <c r="P580" s="102">
        <f>IF(M580&gt;0,N580*100/M580,0)</f>
        <v>0</v>
      </c>
      <c r="Q580" s="102">
        <v>0</v>
      </c>
      <c r="R580" s="102">
        <v>0</v>
      </c>
      <c r="S580" s="102">
        <v>0</v>
      </c>
      <c r="T580" s="102">
        <f>IF(Q580&gt;0,S580*100/Q580,0)</f>
        <v>0</v>
      </c>
      <c r="U580" s="102">
        <f>IF(R580&gt;0,S580*100/R580,0)</f>
        <v>0</v>
      </c>
    </row>
    <row r="581" spans="1:21" ht="18.75" hidden="1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256">
        <v>0</v>
      </c>
      <c r="M581" s="255">
        <v>0</v>
      </c>
      <c r="N581" s="255">
        <v>0</v>
      </c>
      <c r="O581" s="255">
        <f>IF(L581&gt;0,N581*100/L581,0)</f>
        <v>0</v>
      </c>
      <c r="P581" s="255">
        <f>IF(M581&gt;0,N581*100/M581,0)</f>
        <v>0</v>
      </c>
      <c r="Q581" s="255">
        <v>0</v>
      </c>
      <c r="R581" s="255">
        <v>0</v>
      </c>
      <c r="S581" s="255">
        <v>0</v>
      </c>
      <c r="T581" s="255">
        <f>IF(Q581&gt;0,S581*100/Q581,0)</f>
        <v>0</v>
      </c>
      <c r="U581" s="255">
        <f>IF(R581&gt;0,S581*100/R581,0)</f>
        <v>0</v>
      </c>
    </row>
    <row r="582" spans="1:21" ht="18.75" hidden="1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256">
        <f>L583+L584</f>
        <v>0</v>
      </c>
      <c r="M582" s="255">
        <f>M583+M584</f>
        <v>0</v>
      </c>
      <c r="N582" s="255">
        <f>N583+N584</f>
        <v>0</v>
      </c>
      <c r="O582" s="255">
        <f>IF(L582&gt;0,N582*100/L582,0)</f>
        <v>0</v>
      </c>
      <c r="P582" s="255">
        <f>IF(M582&gt;0,N582*100/M582,0)</f>
        <v>0</v>
      </c>
      <c r="Q582" s="255">
        <f>Q583+Q584</f>
        <v>0</v>
      </c>
      <c r="R582" s="255">
        <f>R583+R584</f>
        <v>0</v>
      </c>
      <c r="S582" s="255">
        <f>S583+S584</f>
        <v>0</v>
      </c>
      <c r="T582" s="255">
        <f>IF(Q582&gt;0,S582*100/Q582,0)</f>
        <v>0</v>
      </c>
      <c r="U582" s="255">
        <f>IF(R582&gt;0,S582*100/R582,0)</f>
        <v>0</v>
      </c>
    </row>
    <row r="583" spans="1:21" ht="18.75" hidden="1">
      <c r="A583" s="155"/>
      <c r="B583" s="50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103">
        <v>0</v>
      </c>
      <c r="M583" s="102">
        <v>0</v>
      </c>
      <c r="N583" s="102">
        <v>0</v>
      </c>
      <c r="O583" s="102">
        <f>IF(L583&gt;0,N583*100/L583,0)</f>
        <v>0</v>
      </c>
      <c r="P583" s="102">
        <f>IF(M583&gt;0,N583*100/M583,0)</f>
        <v>0</v>
      </c>
      <c r="Q583" s="102">
        <v>0</v>
      </c>
      <c r="R583" s="102">
        <v>0</v>
      </c>
      <c r="S583" s="102">
        <v>0</v>
      </c>
      <c r="T583" s="102">
        <f>IF(Q583&gt;0,S583*100/Q583,0)</f>
        <v>0</v>
      </c>
      <c r="U583" s="102">
        <f>IF(R583&gt;0,S583*100/R583,0)</f>
        <v>0</v>
      </c>
    </row>
    <row r="584" spans="1:21" ht="18.75" hidden="1">
      <c r="A584" s="155"/>
      <c r="B584" s="50"/>
      <c r="C584" s="50"/>
      <c r="D584" s="50"/>
      <c r="E584" s="58" t="s">
        <v>21</v>
      </c>
      <c r="F584" s="50"/>
      <c r="G584" s="52"/>
      <c r="H584" s="165" t="s">
        <v>14</v>
      </c>
      <c r="I584" s="163"/>
      <c r="J584" s="163"/>
      <c r="K584" s="164"/>
      <c r="L584" s="256">
        <v>0</v>
      </c>
      <c r="M584" s="255">
        <v>0</v>
      </c>
      <c r="N584" s="255">
        <v>0</v>
      </c>
      <c r="O584" s="255">
        <f>IF(L584&gt;0,N584*100/L584,0)</f>
        <v>0</v>
      </c>
      <c r="P584" s="255">
        <f>IF(M584&gt;0,N584*100/M584,0)</f>
        <v>0</v>
      </c>
      <c r="Q584" s="255">
        <v>0</v>
      </c>
      <c r="R584" s="255">
        <v>0</v>
      </c>
      <c r="S584" s="255">
        <v>0</v>
      </c>
      <c r="T584" s="255">
        <f>IF(Q584&gt;0,S584*100/Q584,0)</f>
        <v>0</v>
      </c>
      <c r="U584" s="255">
        <f>IF(R584&gt;0,S584*100/R584,0)</f>
        <v>0</v>
      </c>
    </row>
    <row r="585" spans="1:21" ht="19.5" hidden="1">
      <c r="A585" s="166"/>
      <c r="B585" s="167"/>
      <c r="C585" s="411" t="s">
        <v>18</v>
      </c>
      <c r="D585" s="566" t="s">
        <v>38</v>
      </c>
      <c r="E585" s="169"/>
      <c r="F585" s="169"/>
      <c r="G585" s="170"/>
      <c r="H585" s="171"/>
      <c r="I585" s="163"/>
      <c r="J585" s="54"/>
      <c r="K585" s="55"/>
      <c r="L585" s="62"/>
      <c r="M585" s="55"/>
      <c r="N585" s="55"/>
      <c r="O585" s="164"/>
      <c r="P585" s="164"/>
      <c r="Q585" s="55"/>
      <c r="R585" s="55"/>
      <c r="S585" s="55"/>
      <c r="T585" s="164"/>
      <c r="U585" s="164"/>
    </row>
    <row r="586" spans="1:21" ht="12.75" hidden="1">
      <c r="A586" s="258"/>
      <c r="B586" s="260"/>
      <c r="C586" s="259"/>
      <c r="D586" s="260"/>
      <c r="E586" s="259"/>
      <c r="F586" s="260"/>
      <c r="G586" s="261"/>
      <c r="H586" s="261"/>
      <c r="I586" s="263"/>
      <c r="J586" s="263"/>
      <c r="K586" s="264"/>
      <c r="L586" s="265"/>
      <c r="M586" s="264"/>
      <c r="N586" s="264"/>
      <c r="O586" s="264"/>
      <c r="P586" s="264"/>
      <c r="Q586" s="264"/>
      <c r="R586" s="264"/>
      <c r="S586" s="264"/>
      <c r="T586" s="264"/>
      <c r="U586" s="264"/>
    </row>
    <row r="587" spans="1:21" ht="12.75" hidden="1">
      <c r="A587" s="258"/>
      <c r="B587" s="260"/>
      <c r="C587" s="259"/>
      <c r="D587" s="260"/>
      <c r="E587" s="259"/>
      <c r="F587" s="260"/>
      <c r="G587" s="261"/>
      <c r="H587" s="261"/>
      <c r="I587" s="263"/>
      <c r="J587" s="263"/>
      <c r="K587" s="264"/>
      <c r="L587" s="265"/>
      <c r="M587" s="264"/>
      <c r="N587" s="264"/>
      <c r="O587" s="264"/>
      <c r="P587" s="264"/>
      <c r="Q587" s="264"/>
      <c r="R587" s="264"/>
      <c r="S587" s="264"/>
      <c r="T587" s="264"/>
      <c r="U587" s="264"/>
    </row>
    <row r="588" spans="1:21" ht="12.75" hidden="1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5"/>
      <c r="M588" s="264"/>
      <c r="N588" s="264"/>
      <c r="O588" s="264"/>
      <c r="P588" s="264"/>
      <c r="Q588" s="264"/>
      <c r="R588" s="264"/>
      <c r="S588" s="264"/>
      <c r="T588" s="264"/>
      <c r="U588" s="264"/>
    </row>
    <row r="589" spans="1:21" ht="12.75" hidden="1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5"/>
      <c r="M589" s="264"/>
      <c r="N589" s="264"/>
      <c r="O589" s="264"/>
      <c r="P589" s="264"/>
      <c r="Q589" s="264"/>
      <c r="R589" s="264"/>
      <c r="S589" s="264"/>
      <c r="T589" s="264"/>
      <c r="U589" s="264"/>
    </row>
    <row r="590" spans="1:21" ht="12.75" hidden="1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5"/>
      <c r="M590" s="264"/>
      <c r="N590" s="264"/>
      <c r="O590" s="264"/>
      <c r="P590" s="264"/>
      <c r="Q590" s="264"/>
      <c r="R590" s="264"/>
      <c r="S590" s="264"/>
      <c r="T590" s="264"/>
      <c r="U590" s="264"/>
    </row>
    <row r="591" spans="1:21" ht="12.75" hidden="1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5"/>
      <c r="M591" s="264"/>
      <c r="N591" s="264"/>
      <c r="O591" s="264"/>
      <c r="P591" s="264"/>
      <c r="Q591" s="264"/>
      <c r="R591" s="264"/>
      <c r="S591" s="264"/>
      <c r="T591" s="264"/>
      <c r="U591" s="264"/>
    </row>
    <row r="592" spans="1:21" ht="12.75" hidden="1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5"/>
      <c r="M592" s="264"/>
      <c r="N592" s="264"/>
      <c r="O592" s="264"/>
      <c r="P592" s="264"/>
      <c r="Q592" s="264"/>
      <c r="R592" s="264"/>
      <c r="S592" s="264"/>
      <c r="T592" s="264"/>
      <c r="U592" s="264"/>
    </row>
    <row r="593" spans="1:21" ht="12.75" hidden="1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5"/>
      <c r="M593" s="264"/>
      <c r="N593" s="264"/>
      <c r="O593" s="264"/>
      <c r="P593" s="264"/>
      <c r="Q593" s="264"/>
      <c r="R593" s="264"/>
      <c r="S593" s="264"/>
      <c r="T593" s="264"/>
      <c r="U593" s="264"/>
    </row>
    <row r="594" spans="1:21" ht="12.75" hidden="1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5"/>
      <c r="M594" s="264"/>
      <c r="N594" s="264"/>
      <c r="O594" s="264"/>
      <c r="P594" s="264"/>
      <c r="Q594" s="264"/>
      <c r="R594" s="264"/>
      <c r="S594" s="264"/>
      <c r="T594" s="264"/>
      <c r="U594" s="264"/>
    </row>
    <row r="595" spans="1:21" ht="12.75" hidden="1">
      <c r="A595" s="407"/>
      <c r="B595" s="360"/>
      <c r="C595" s="360"/>
      <c r="D595" s="408"/>
      <c r="E595" s="408"/>
      <c r="F595" s="408"/>
      <c r="G595" s="409"/>
      <c r="H595" s="361"/>
      <c r="I595" s="362"/>
      <c r="J595" s="362"/>
      <c r="K595" s="363"/>
      <c r="L595" s="364"/>
      <c r="M595" s="363"/>
      <c r="N595" s="363"/>
      <c r="O595" s="363"/>
      <c r="P595" s="363"/>
      <c r="Q595" s="363"/>
      <c r="R595" s="363"/>
      <c r="S595" s="363"/>
      <c r="T595" s="363"/>
      <c r="U595" s="363"/>
    </row>
    <row r="596" spans="1:21" ht="19.5" hidden="1">
      <c r="A596" s="412" t="s">
        <v>214</v>
      </c>
      <c r="B596" s="144"/>
      <c r="C596" s="196"/>
      <c r="D596" s="144"/>
      <c r="E596" s="144"/>
      <c r="F596" s="144"/>
      <c r="G596" s="144"/>
      <c r="H596" s="145"/>
      <c r="I596" s="197"/>
      <c r="J596" s="197"/>
      <c r="K596" s="19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8"/>
    </row>
    <row r="597" spans="1:21" ht="19.5" hidden="1">
      <c r="A597" s="150"/>
      <c r="B597" s="413" t="s">
        <v>215</v>
      </c>
      <c r="C597" s="200"/>
      <c r="D597" s="151"/>
      <c r="E597" s="34"/>
      <c r="F597" s="34"/>
      <c r="G597" s="34"/>
      <c r="H597" s="414" t="s">
        <v>99</v>
      </c>
      <c r="I597" s="210"/>
      <c r="J597" s="39"/>
      <c r="K597" s="40"/>
      <c r="L597" s="154"/>
      <c r="M597" s="40"/>
      <c r="N597" s="40"/>
      <c r="O597" s="40"/>
      <c r="P597" s="40"/>
      <c r="Q597" s="40"/>
      <c r="R597" s="40"/>
      <c r="S597" s="40"/>
      <c r="T597" s="40"/>
      <c r="U597" s="40"/>
    </row>
    <row r="598" spans="1:21" ht="19.5" hidden="1">
      <c r="A598" s="415"/>
      <c r="B598" s="416" t="s">
        <v>216</v>
      </c>
      <c r="C598" s="151"/>
      <c r="D598" s="34"/>
      <c r="E598" s="34"/>
      <c r="F598" s="34"/>
      <c r="G598" s="37"/>
      <c r="H598" s="417" t="s">
        <v>35</v>
      </c>
      <c r="I598" s="39"/>
      <c r="J598" s="39"/>
      <c r="K598" s="40"/>
      <c r="L598" s="154"/>
      <c r="M598" s="40"/>
      <c r="N598" s="40"/>
      <c r="O598" s="40"/>
      <c r="P598" s="40"/>
      <c r="Q598" s="40"/>
      <c r="R598" s="40"/>
      <c r="S598" s="40"/>
      <c r="T598" s="40"/>
      <c r="U598" s="40"/>
    </row>
    <row r="599" spans="1:21" ht="19.5" hidden="1">
      <c r="A599" s="155"/>
      <c r="B599" s="188"/>
      <c r="C599" s="205" t="s">
        <v>18</v>
      </c>
      <c r="D599" s="563" t="s">
        <v>19</v>
      </c>
      <c r="E599" s="529"/>
      <c r="F599" s="529"/>
      <c r="G599" s="530"/>
      <c r="H599" s="418" t="s">
        <v>14</v>
      </c>
      <c r="I599" s="54"/>
      <c r="J599" s="54"/>
      <c r="K599" s="55"/>
      <c r="L599" s="541">
        <f>L600+L601</f>
        <v>0</v>
      </c>
      <c r="M599" s="540">
        <f>M600+M601</f>
        <v>0</v>
      </c>
      <c r="N599" s="540">
        <f>N600+N601</f>
        <v>0</v>
      </c>
      <c r="O599" s="540">
        <f>IF(L599&gt;0,N599*100/L599,0)</f>
        <v>0</v>
      </c>
      <c r="P599" s="540">
        <f>IF(M599&gt;0,N599*100/M599,0)</f>
        <v>0</v>
      </c>
      <c r="Q599" s="540">
        <f>Q600+Q601</f>
        <v>0</v>
      </c>
      <c r="R599" s="540">
        <f>R600+R601</f>
        <v>0</v>
      </c>
      <c r="S599" s="540">
        <f>S600+S601</f>
        <v>0</v>
      </c>
      <c r="T599" s="540">
        <f>IF(Q599&gt;0,S599*100/Q599,0)</f>
        <v>0</v>
      </c>
      <c r="U599" s="540">
        <f>IF(R599&gt;0,S599*100/R599,0)</f>
        <v>0</v>
      </c>
    </row>
    <row r="600" spans="1:21" ht="18.75" hidden="1">
      <c r="A600" s="155"/>
      <c r="B600" s="188"/>
      <c r="C600" s="188"/>
      <c r="D600" s="174"/>
      <c r="E600" s="186" t="s">
        <v>159</v>
      </c>
      <c r="F600" s="50"/>
      <c r="G600" s="52"/>
      <c r="H600" s="189" t="s">
        <v>14</v>
      </c>
      <c r="I600" s="54"/>
      <c r="J600" s="54"/>
      <c r="K600" s="55"/>
      <c r="L600" s="103">
        <f>L603+L606</f>
        <v>0</v>
      </c>
      <c r="M600" s="102">
        <f>M603+M606</f>
        <v>0</v>
      </c>
      <c r="N600" s="102">
        <f>N603+N606</f>
        <v>0</v>
      </c>
      <c r="O600" s="102">
        <f>IF(L600&gt;0,N600*100/L600,0)</f>
        <v>0</v>
      </c>
      <c r="P600" s="102">
        <f>IF(M600&gt;0,N600*100/M600,0)</f>
        <v>0</v>
      </c>
      <c r="Q600" s="102">
        <f>Q603+Q606</f>
        <v>0</v>
      </c>
      <c r="R600" s="102">
        <f>R603+R606</f>
        <v>0</v>
      </c>
      <c r="S600" s="102">
        <f>S603+S606</f>
        <v>0</v>
      </c>
      <c r="T600" s="102">
        <f>IF(Q600&gt;0,S600*100/Q600,0)</f>
        <v>0</v>
      </c>
      <c r="U600" s="102">
        <f>IF(R600&gt;0,S600*100/R600,0)</f>
        <v>0</v>
      </c>
    </row>
    <row r="601" spans="1:21" ht="18.75" hidden="1">
      <c r="A601" s="155"/>
      <c r="B601" s="188"/>
      <c r="C601" s="188"/>
      <c r="D601" s="174"/>
      <c r="E601" s="186" t="s">
        <v>160</v>
      </c>
      <c r="F601" s="50"/>
      <c r="G601" s="52"/>
      <c r="H601" s="189" t="s">
        <v>14</v>
      </c>
      <c r="I601" s="54"/>
      <c r="J601" s="54"/>
      <c r="K601" s="55"/>
      <c r="L601" s="256">
        <f>L604+L607</f>
        <v>0</v>
      </c>
      <c r="M601" s="255">
        <f>M604+M607</f>
        <v>0</v>
      </c>
      <c r="N601" s="255">
        <f>N604+N607</f>
        <v>0</v>
      </c>
      <c r="O601" s="255">
        <f>IF(L601&gt;0,N601*100/L601,0)</f>
        <v>0</v>
      </c>
      <c r="P601" s="255">
        <f>IF(M601&gt;0,N601*100/M601,0)</f>
        <v>0</v>
      </c>
      <c r="Q601" s="255">
        <f>Q604+Q607</f>
        <v>0</v>
      </c>
      <c r="R601" s="255">
        <f>R604+R607</f>
        <v>0</v>
      </c>
      <c r="S601" s="255">
        <f>S604+S607</f>
        <v>0</v>
      </c>
      <c r="T601" s="255">
        <f>IF(Q601&gt;0,S601*100/Q601,0)</f>
        <v>0</v>
      </c>
      <c r="U601" s="255">
        <f>IF(R601&gt;0,S601*100/R601,0)</f>
        <v>0</v>
      </c>
    </row>
    <row r="602" spans="1:21" ht="19.5" hidden="1">
      <c r="A602" s="155"/>
      <c r="B602" s="188"/>
      <c r="C602" s="188"/>
      <c r="D602" s="562" t="s">
        <v>22</v>
      </c>
      <c r="E602" s="50"/>
      <c r="F602" s="50"/>
      <c r="G602" s="52"/>
      <c r="H602" s="418" t="s">
        <v>14</v>
      </c>
      <c r="I602" s="163"/>
      <c r="J602" s="163"/>
      <c r="K602" s="164"/>
      <c r="L602" s="256">
        <f>L603+L604</f>
        <v>0</v>
      </c>
      <c r="M602" s="255">
        <f>M603+M604</f>
        <v>0</v>
      </c>
      <c r="N602" s="255">
        <f>N603+N604</f>
        <v>0</v>
      </c>
      <c r="O602" s="255">
        <f>IF(L602&gt;0,N602*100/L602,0)</f>
        <v>0</v>
      </c>
      <c r="P602" s="255">
        <f>IF(M602&gt;0,N602*100/M602,0)</f>
        <v>0</v>
      </c>
      <c r="Q602" s="255">
        <f>Q603+Q604</f>
        <v>0</v>
      </c>
      <c r="R602" s="255">
        <f>R603+R604</f>
        <v>0</v>
      </c>
      <c r="S602" s="255">
        <f>S603+S604</f>
        <v>0</v>
      </c>
      <c r="T602" s="255">
        <f>IF(Q602&gt;0,S602*100/Q602,0)</f>
        <v>0</v>
      </c>
      <c r="U602" s="255">
        <f>IF(R602&gt;0,S602*100/R602,0)</f>
        <v>0</v>
      </c>
    </row>
    <row r="603" spans="1:21" ht="18.75" hidden="1">
      <c r="A603" s="155"/>
      <c r="B603" s="188"/>
      <c r="C603" s="188"/>
      <c r="D603" s="174"/>
      <c r="E603" s="186" t="s">
        <v>159</v>
      </c>
      <c r="F603" s="50"/>
      <c r="G603" s="52"/>
      <c r="H603" s="189" t="s">
        <v>14</v>
      </c>
      <c r="I603" s="54"/>
      <c r="J603" s="54"/>
      <c r="K603" s="55"/>
      <c r="L603" s="103">
        <v>0</v>
      </c>
      <c r="M603" s="102">
        <v>0</v>
      </c>
      <c r="N603" s="102">
        <v>0</v>
      </c>
      <c r="O603" s="102">
        <f>IF(L603&gt;0,N603*100/L603,0)</f>
        <v>0</v>
      </c>
      <c r="P603" s="102">
        <f>IF(M603&gt;0,N603*100/M603,0)</f>
        <v>0</v>
      </c>
      <c r="Q603" s="102">
        <v>0</v>
      </c>
      <c r="R603" s="102">
        <v>0</v>
      </c>
      <c r="S603" s="102">
        <v>0</v>
      </c>
      <c r="T603" s="102">
        <f>IF(Q603&gt;0,S603*100/Q603,0)</f>
        <v>0</v>
      </c>
      <c r="U603" s="102">
        <f>IF(R603&gt;0,S603*100/R603,0)</f>
        <v>0</v>
      </c>
    </row>
    <row r="604" spans="1:21" ht="18.75" hidden="1">
      <c r="A604" s="155"/>
      <c r="B604" s="188"/>
      <c r="C604" s="188"/>
      <c r="D604" s="174"/>
      <c r="E604" s="186" t="s">
        <v>160</v>
      </c>
      <c r="F604" s="50"/>
      <c r="G604" s="52"/>
      <c r="H604" s="189" t="s">
        <v>14</v>
      </c>
      <c r="I604" s="54"/>
      <c r="J604" s="54"/>
      <c r="K604" s="55"/>
      <c r="L604" s="256">
        <v>0</v>
      </c>
      <c r="M604" s="255">
        <v>0</v>
      </c>
      <c r="N604" s="255">
        <v>0</v>
      </c>
      <c r="O604" s="255">
        <f>IF(L604&gt;0,N604*100/L604,0)</f>
        <v>0</v>
      </c>
      <c r="P604" s="255">
        <f>IF(M604&gt;0,N604*100/M604,0)</f>
        <v>0</v>
      </c>
      <c r="Q604" s="255">
        <v>0</v>
      </c>
      <c r="R604" s="255">
        <v>0</v>
      </c>
      <c r="S604" s="255">
        <v>0</v>
      </c>
      <c r="T604" s="255">
        <f>IF(Q604&gt;0,S604*100/Q604,0)</f>
        <v>0</v>
      </c>
      <c r="U604" s="255">
        <f>IF(R604&gt;0,S604*100/R604,0)</f>
        <v>0</v>
      </c>
    </row>
    <row r="605" spans="1:21" ht="19.5" hidden="1">
      <c r="A605" s="155"/>
      <c r="B605" s="188"/>
      <c r="C605" s="188"/>
      <c r="D605" s="562" t="s">
        <v>23</v>
      </c>
      <c r="E605" s="188"/>
      <c r="F605" s="50"/>
      <c r="G605" s="52"/>
      <c r="H605" s="420" t="s">
        <v>14</v>
      </c>
      <c r="I605" s="163"/>
      <c r="J605" s="163"/>
      <c r="K605" s="164"/>
      <c r="L605" s="256">
        <f>L606+L607</f>
        <v>0</v>
      </c>
      <c r="M605" s="255">
        <f>M606+M607</f>
        <v>0</v>
      </c>
      <c r="N605" s="255">
        <f>N606+N607</f>
        <v>0</v>
      </c>
      <c r="O605" s="255">
        <f>IF(L605&gt;0,N605*100/L605,0)</f>
        <v>0</v>
      </c>
      <c r="P605" s="255">
        <f>IF(M605&gt;0,N605*100/M605,0)</f>
        <v>0</v>
      </c>
      <c r="Q605" s="255">
        <f>Q606+Q607</f>
        <v>0</v>
      </c>
      <c r="R605" s="255">
        <f>R606+R607</f>
        <v>0</v>
      </c>
      <c r="S605" s="255">
        <f>S606+S607</f>
        <v>0</v>
      </c>
      <c r="T605" s="255">
        <f>IF(Q605&gt;0,S605*100/Q605,0)</f>
        <v>0</v>
      </c>
      <c r="U605" s="255">
        <f>IF(R605&gt;0,S605*100/R605,0)</f>
        <v>0</v>
      </c>
    </row>
    <row r="606" spans="1:21" ht="18.75" hidden="1">
      <c r="A606" s="155"/>
      <c r="B606" s="188"/>
      <c r="C606" s="188"/>
      <c r="D606" s="188"/>
      <c r="E606" s="358" t="s">
        <v>20</v>
      </c>
      <c r="F606" s="50"/>
      <c r="G606" s="52"/>
      <c r="H606" s="189" t="s">
        <v>14</v>
      </c>
      <c r="I606" s="163"/>
      <c r="J606" s="163"/>
      <c r="K606" s="164"/>
      <c r="L606" s="103">
        <v>0</v>
      </c>
      <c r="M606" s="102">
        <v>0</v>
      </c>
      <c r="N606" s="102">
        <v>0</v>
      </c>
      <c r="O606" s="102">
        <f>IF(L606&gt;0,N606*100/L606,0)</f>
        <v>0</v>
      </c>
      <c r="P606" s="102">
        <f>IF(M606&gt;0,N606*100/M606,0)</f>
        <v>0</v>
      </c>
      <c r="Q606" s="102">
        <v>0</v>
      </c>
      <c r="R606" s="102">
        <v>0</v>
      </c>
      <c r="S606" s="102">
        <v>0</v>
      </c>
      <c r="T606" s="102">
        <f>IF(Q606&gt;0,S606*100/Q606,0)</f>
        <v>0</v>
      </c>
      <c r="U606" s="102">
        <f>IF(R606&gt;0,S606*100/R606,0)</f>
        <v>0</v>
      </c>
    </row>
    <row r="607" spans="1:21" ht="18.75" hidden="1">
      <c r="A607" s="155"/>
      <c r="B607" s="188"/>
      <c r="C607" s="188"/>
      <c r="D607" s="50"/>
      <c r="E607" s="358" t="s">
        <v>21</v>
      </c>
      <c r="F607" s="50"/>
      <c r="G607" s="52"/>
      <c r="H607" s="421" t="s">
        <v>14</v>
      </c>
      <c r="I607" s="163"/>
      <c r="J607" s="163"/>
      <c r="K607" s="164"/>
      <c r="L607" s="256">
        <v>0</v>
      </c>
      <c r="M607" s="255">
        <v>0</v>
      </c>
      <c r="N607" s="255">
        <v>0</v>
      </c>
      <c r="O607" s="255">
        <f>IF(L607&gt;0,N607*100/L607,0)</f>
        <v>0</v>
      </c>
      <c r="P607" s="255">
        <f>IF(M607&gt;0,N607*100/M607,0)</f>
        <v>0</v>
      </c>
      <c r="Q607" s="255">
        <v>0</v>
      </c>
      <c r="R607" s="255">
        <v>0</v>
      </c>
      <c r="S607" s="255">
        <v>0</v>
      </c>
      <c r="T607" s="255">
        <f>IF(Q607&gt;0,S607*100/Q607,0)</f>
        <v>0</v>
      </c>
      <c r="U607" s="255">
        <f>IF(R607&gt;0,S607*100/R607,0)</f>
        <v>0</v>
      </c>
    </row>
    <row r="608" spans="1:21" ht="19.5" hidden="1">
      <c r="A608" s="166"/>
      <c r="B608" s="167"/>
      <c r="C608" s="205" t="s">
        <v>18</v>
      </c>
      <c r="D608" s="574" t="s">
        <v>38</v>
      </c>
      <c r="E608" s="169"/>
      <c r="F608" s="169"/>
      <c r="G608" s="170"/>
      <c r="H608" s="206"/>
      <c r="I608" s="163"/>
      <c r="J608" s="163"/>
      <c r="K608" s="164"/>
      <c r="L608" s="62"/>
      <c r="M608" s="55"/>
      <c r="N608" s="55"/>
      <c r="O608" s="55"/>
      <c r="P608" s="55"/>
      <c r="Q608" s="55"/>
      <c r="R608" s="55"/>
      <c r="S608" s="55"/>
      <c r="T608" s="55"/>
      <c r="U608" s="55"/>
    </row>
    <row r="609" spans="1:21" ht="18.75" hidden="1">
      <c r="A609" s="166"/>
      <c r="B609" s="167"/>
      <c r="C609" s="167"/>
      <c r="D609" s="423" t="s">
        <v>217</v>
      </c>
      <c r="E609" s="174"/>
      <c r="F609" s="174"/>
      <c r="G609" s="171"/>
      <c r="H609" s="189" t="s">
        <v>99</v>
      </c>
      <c r="I609" s="54"/>
      <c r="J609" s="54"/>
      <c r="K609" s="164"/>
      <c r="L609" s="62"/>
      <c r="M609" s="55"/>
      <c r="N609" s="55"/>
      <c r="O609" s="55"/>
      <c r="P609" s="55"/>
      <c r="Q609" s="55"/>
      <c r="R609" s="55"/>
      <c r="S609" s="55"/>
      <c r="T609" s="55"/>
      <c r="U609" s="55"/>
    </row>
    <row r="610" spans="1:21" ht="19.5" hidden="1">
      <c r="A610" s="166"/>
      <c r="B610" s="167"/>
      <c r="C610" s="167"/>
      <c r="D610" s="423" t="s">
        <v>218</v>
      </c>
      <c r="E610" s="174"/>
      <c r="F610" s="174"/>
      <c r="G610" s="171"/>
      <c r="H610" s="418" t="s">
        <v>35</v>
      </c>
      <c r="I610" s="54"/>
      <c r="J610" s="54"/>
      <c r="K610" s="164"/>
      <c r="L610" s="62"/>
      <c r="M610" s="55"/>
      <c r="N610" s="55"/>
      <c r="O610" s="55"/>
      <c r="P610" s="55"/>
      <c r="Q610" s="55"/>
      <c r="R610" s="55"/>
      <c r="S610" s="55"/>
      <c r="T610" s="55"/>
      <c r="U610" s="55"/>
    </row>
    <row r="611" spans="1:21" ht="18.75" hidden="1">
      <c r="A611" s="166"/>
      <c r="B611" s="167"/>
      <c r="C611" s="167"/>
      <c r="D611" s="167"/>
      <c r="E611" s="423" t="s">
        <v>219</v>
      </c>
      <c r="F611" s="174"/>
      <c r="G611" s="171"/>
      <c r="H611" s="421" t="s">
        <v>35</v>
      </c>
      <c r="I611" s="54"/>
      <c r="J611" s="54"/>
      <c r="K611" s="164"/>
      <c r="L611" s="62"/>
      <c r="M611" s="55"/>
      <c r="N611" s="55"/>
      <c r="O611" s="55"/>
      <c r="P611" s="55"/>
      <c r="Q611" s="55"/>
      <c r="R611" s="55"/>
      <c r="S611" s="55"/>
      <c r="T611" s="55"/>
      <c r="U611" s="55"/>
    </row>
    <row r="612" spans="1:21" ht="19.5" hidden="1" thickBot="1">
      <c r="A612" s="424"/>
      <c r="B612" s="425"/>
      <c r="C612" s="425"/>
      <c r="D612" s="425"/>
      <c r="E612" s="426" t="s">
        <v>220</v>
      </c>
      <c r="F612" s="427"/>
      <c r="G612" s="428"/>
      <c r="H612" s="429" t="s">
        <v>35</v>
      </c>
      <c r="I612" s="430"/>
      <c r="J612" s="430"/>
      <c r="K612" s="431"/>
      <c r="L612" s="433"/>
      <c r="M612" s="432"/>
      <c r="N612" s="432"/>
      <c r="O612" s="432"/>
      <c r="P612" s="432"/>
      <c r="Q612" s="432"/>
      <c r="R612" s="432"/>
      <c r="S612" s="432"/>
      <c r="T612" s="432"/>
      <c r="U612" s="432"/>
    </row>
    <row r="613" spans="1:21" ht="19.5" hidden="1">
      <c r="A613" s="434" t="s">
        <v>221</v>
      </c>
      <c r="B613" s="435"/>
      <c r="C613" s="435"/>
      <c r="D613" s="436"/>
      <c r="E613" s="436"/>
      <c r="F613" s="436"/>
      <c r="G613" s="437"/>
      <c r="H613" s="438"/>
      <c r="I613" s="439"/>
      <c r="J613" s="439"/>
      <c r="K613" s="440"/>
      <c r="L613" s="441"/>
      <c r="M613" s="440"/>
      <c r="N613" s="440"/>
      <c r="O613" s="440"/>
      <c r="P613" s="440"/>
      <c r="Q613" s="440"/>
      <c r="R613" s="440"/>
      <c r="S613" s="440"/>
      <c r="T613" s="440"/>
      <c r="U613" s="440"/>
    </row>
    <row r="614" spans="1:21" ht="19.5">
      <c r="A614" s="442"/>
      <c r="B614" s="443" t="s">
        <v>222</v>
      </c>
      <c r="C614" s="442"/>
      <c r="D614" s="444"/>
      <c r="E614" s="444"/>
      <c r="F614" s="444"/>
      <c r="G614" s="445"/>
      <c r="H614" s="446"/>
      <c r="I614" s="447"/>
      <c r="J614" s="447"/>
      <c r="K614" s="448"/>
      <c r="L614" s="449"/>
      <c r="M614" s="448"/>
      <c r="N614" s="448"/>
      <c r="O614" s="448"/>
      <c r="P614" s="448"/>
      <c r="Q614" s="448"/>
      <c r="R614" s="448"/>
      <c r="S614" s="448"/>
      <c r="T614" s="448"/>
      <c r="U614" s="448"/>
    </row>
    <row r="615" spans="1:21" ht="19.5">
      <c r="A615" s="450"/>
      <c r="B615" s="451" t="s">
        <v>223</v>
      </c>
      <c r="C615" s="450"/>
      <c r="D615" s="452"/>
      <c r="E615" s="452"/>
      <c r="F615" s="452"/>
      <c r="G615" s="453"/>
      <c r="H615" s="454" t="s">
        <v>46</v>
      </c>
      <c r="I615" s="573">
        <f ca="1">I626</f>
        <v>100</v>
      </c>
      <c r="J615" s="573">
        <f>J626</f>
        <v>0</v>
      </c>
      <c r="K615" s="572">
        <f ca="1">IF(I615&gt;0,J615*100/I615,0)</f>
        <v>0</v>
      </c>
      <c r="L615" s="458"/>
      <c r="M615" s="457"/>
      <c r="N615" s="457"/>
      <c r="O615" s="457"/>
      <c r="P615" s="457"/>
      <c r="Q615" s="457"/>
      <c r="R615" s="457"/>
      <c r="S615" s="457"/>
      <c r="T615" s="457"/>
      <c r="U615" s="457"/>
    </row>
    <row r="616" spans="1:21" ht="19.5">
      <c r="A616" s="155"/>
      <c r="B616" s="188"/>
      <c r="C616" s="205" t="s">
        <v>18</v>
      </c>
      <c r="D616" s="542" t="s">
        <v>19</v>
      </c>
      <c r="E616" s="529"/>
      <c r="F616" s="529"/>
      <c r="G616" s="530"/>
      <c r="H616" s="252" t="s">
        <v>14</v>
      </c>
      <c r="I616" s="54"/>
      <c r="J616" s="54"/>
      <c r="K616" s="55"/>
      <c r="L616" s="541">
        <f>L617+L618</f>
        <v>0</v>
      </c>
      <c r="M616" s="540">
        <f>M617+M618</f>
        <v>0</v>
      </c>
      <c r="N616" s="540">
        <f>N617+N618</f>
        <v>0</v>
      </c>
      <c r="O616" s="540">
        <f>IF(L616&gt;0,N616*100/L616,0)</f>
        <v>0</v>
      </c>
      <c r="P616" s="540">
        <f>IF(M616&gt;0,N616*100/M616,0)</f>
        <v>0</v>
      </c>
      <c r="Q616" s="540">
        <f ca="1">Q617+Q618</f>
        <v>12325</v>
      </c>
      <c r="R616" s="540">
        <f ca="1">R617+R618</f>
        <v>12325</v>
      </c>
      <c r="S616" s="540">
        <f ca="1">S617+S618</f>
        <v>482</v>
      </c>
      <c r="T616" s="540">
        <f ca="1">IF(Q616&gt;0,S616*100/Q616,0)</f>
        <v>3.9107505070993915</v>
      </c>
      <c r="U616" s="540">
        <f ca="1">IF(R616&gt;0,S616*100/R616,0)</f>
        <v>3.9107505070993915</v>
      </c>
    </row>
    <row r="617" spans="1:21" ht="18.75" hidden="1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103">
        <f>L620+L623</f>
        <v>0</v>
      </c>
      <c r="M617" s="102">
        <f>M620+M623</f>
        <v>0</v>
      </c>
      <c r="N617" s="102">
        <f>N620+N623</f>
        <v>0</v>
      </c>
      <c r="O617" s="102">
        <f>IF(L617&gt;0,N617*100/L617,0)</f>
        <v>0</v>
      </c>
      <c r="P617" s="102">
        <f>IF(M617&gt;0,N617*100/M617,0)</f>
        <v>0</v>
      </c>
      <c r="Q617" s="102">
        <f>Q620+Q623</f>
        <v>0</v>
      </c>
      <c r="R617" s="102">
        <f>R620+R623</f>
        <v>0</v>
      </c>
      <c r="S617" s="102">
        <f>S620+S623</f>
        <v>0</v>
      </c>
      <c r="T617" s="102">
        <f>IF(Q617&gt;0,S617*100/Q617,0)</f>
        <v>0</v>
      </c>
      <c r="U617" s="102">
        <f>IF(R617&gt;0,S617*100/R617,0)</f>
        <v>0</v>
      </c>
    </row>
    <row r="618" spans="1:21" ht="18.75" hidden="1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256">
        <f>L621+L624</f>
        <v>0</v>
      </c>
      <c r="M618" s="255">
        <f>M621+M624</f>
        <v>0</v>
      </c>
      <c r="N618" s="255">
        <f>N621+N624</f>
        <v>0</v>
      </c>
      <c r="O618" s="255">
        <f>IF(L618&gt;0,N618*100/L618,0)</f>
        <v>0</v>
      </c>
      <c r="P618" s="255">
        <f>IF(M618&gt;0,N618*100/M618,0)</f>
        <v>0</v>
      </c>
      <c r="Q618" s="255">
        <f ca="1">Q621+Q624</f>
        <v>12325</v>
      </c>
      <c r="R618" s="255">
        <f ca="1">R621+R624</f>
        <v>12325</v>
      </c>
      <c r="S618" s="255">
        <f ca="1">S621+S624</f>
        <v>482</v>
      </c>
      <c r="T618" s="255">
        <f ca="1">IF(Q618&gt;0,S618*100/Q618,0)</f>
        <v>3.9107505070993915</v>
      </c>
      <c r="U618" s="255">
        <f ca="1">IF(R618&gt;0,S618*100/R618,0)</f>
        <v>3.9107505070993915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256">
        <f>L620+L621</f>
        <v>0</v>
      </c>
      <c r="M619" s="255">
        <f>M620+M621</f>
        <v>0</v>
      </c>
      <c r="N619" s="255">
        <f>N620+N621</f>
        <v>0</v>
      </c>
      <c r="O619" s="255">
        <f>IF(L619&gt;0,N619*100/L619,0)</f>
        <v>0</v>
      </c>
      <c r="P619" s="255">
        <f>IF(M619&gt;0,N619*100/M619,0)</f>
        <v>0</v>
      </c>
      <c r="Q619" s="255">
        <f ca="1">Q620+Q621</f>
        <v>12325</v>
      </c>
      <c r="R619" s="255">
        <f ca="1">R620+R621</f>
        <v>12325</v>
      </c>
      <c r="S619" s="255">
        <f ca="1">S620+S621</f>
        <v>482</v>
      </c>
      <c r="T619" s="255">
        <f ca="1">IF(Q619&gt;0,S619*100/Q619,0)</f>
        <v>3.9107505070993915</v>
      </c>
      <c r="U619" s="255">
        <f ca="1">IF(R619&gt;0,S619*100/R619,0)</f>
        <v>3.9107505070993915</v>
      </c>
    </row>
    <row r="620" spans="1:21" ht="18.75" hidden="1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103">
        <v>0</v>
      </c>
      <c r="M620" s="102">
        <v>0</v>
      </c>
      <c r="N620" s="102">
        <v>0</v>
      </c>
      <c r="O620" s="102">
        <f>IF(L620&gt;0,N620*100/L620,0)</f>
        <v>0</v>
      </c>
      <c r="P620" s="102">
        <f>IF(M620&gt;0,N620*100/M620,0)</f>
        <v>0</v>
      </c>
      <c r="Q620" s="102">
        <v>0</v>
      </c>
      <c r="R620" s="102">
        <v>0</v>
      </c>
      <c r="S620" s="102">
        <v>0</v>
      </c>
      <c r="T620" s="102">
        <f>IF(Q620&gt;0,S620*100/Q620,0)</f>
        <v>0</v>
      </c>
      <c r="U620" s="102">
        <f>IF(R620&gt;0,S620*100/R620,0)</f>
        <v>0</v>
      </c>
    </row>
    <row r="621" spans="1:21" ht="18.75" hidden="1">
      <c r="A621" s="155"/>
      <c r="B621" s="188"/>
      <c r="C621" s="188"/>
      <c r="D621" s="174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256">
        <v>0</v>
      </c>
      <c r="M621" s="255">
        <v>0</v>
      </c>
      <c r="N621" s="255">
        <v>0</v>
      </c>
      <c r="O621" s="255">
        <f>IF(L621&gt;0,N621*100/L621,0)</f>
        <v>0</v>
      </c>
      <c r="P621" s="255">
        <f>IF(M621&gt;0,N621*100/M621,0)</f>
        <v>0</v>
      </c>
      <c r="Q621" s="255">
        <f ca="1">IFERROR(__xludf.DUMMYFUNCTION("IMPORTRANGE(""https://docs.google.com/spreadsheets/d/1ItG2mGa2ceCfYo0BwxsXqNm01IGEUdYcSSLTEv9YCik/edit?usp=sharing"",""เบิกจ่ายกองทุน!F41"")"),12325)</f>
        <v>12325</v>
      </c>
      <c r="R621" s="255">
        <f ca="1">IFERROR(__xludf.DUMMYFUNCTION("IMPORTRANGE(""https://docs.google.com/spreadsheets/d/1ItG2mGa2ceCfYo0BwxsXqNm01IGEUdYcSSLTEv9YCik/edit?usp=sharing"",""เบิกจ่ายกองทุน!G41"")"),12325)</f>
        <v>12325</v>
      </c>
      <c r="S621" s="255">
        <f ca="1">IFERROR(__xludf.DUMMYFUNCTION("IMPORTRANGE(""https://docs.google.com/spreadsheets/d/1ItG2mGa2ceCfYo0BwxsXqNm01IGEUdYcSSLTEv9YCik/edit?usp=sharing"",""เบิกจ่ายกองทุน!H41"")"),482)</f>
        <v>482</v>
      </c>
      <c r="T621" s="255">
        <f ca="1">IF(Q621&gt;0,S621*100/Q621,0)</f>
        <v>3.9107505070993915</v>
      </c>
      <c r="U621" s="255">
        <f ca="1">IF(R621&gt;0,S621*100/R621,0)</f>
        <v>3.9107505070993915</v>
      </c>
    </row>
    <row r="622" spans="1:21" ht="18.75">
      <c r="A622" s="155"/>
      <c r="B622" s="188"/>
      <c r="C622" s="188"/>
      <c r="D622" s="51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256">
        <f>L623+L624</f>
        <v>0</v>
      </c>
      <c r="M622" s="255">
        <f>M623+M624</f>
        <v>0</v>
      </c>
      <c r="N622" s="255">
        <f>N623+N624</f>
        <v>0</v>
      </c>
      <c r="O622" s="255">
        <f>IF(L622&gt;0,N622*100/L622,0)</f>
        <v>0</v>
      </c>
      <c r="P622" s="255">
        <f>IF(M622&gt;0,N622*100/M622,0)</f>
        <v>0</v>
      </c>
      <c r="Q622" s="255">
        <f>Q623+Q624</f>
        <v>0</v>
      </c>
      <c r="R622" s="255">
        <f>R623+R624</f>
        <v>0</v>
      </c>
      <c r="S622" s="255">
        <f>S623+S624</f>
        <v>0</v>
      </c>
      <c r="T622" s="255">
        <f>IF(Q622&gt;0,S622*100/Q622,0)</f>
        <v>0</v>
      </c>
      <c r="U622" s="255">
        <f>IF(R622&gt;0,S622*100/R622,0)</f>
        <v>0</v>
      </c>
    </row>
    <row r="623" spans="1:21" ht="18.75" hidden="1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103">
        <v>0</v>
      </c>
      <c r="M623" s="102">
        <v>0</v>
      </c>
      <c r="N623" s="102">
        <v>0</v>
      </c>
      <c r="O623" s="102">
        <f>IF(L623&gt;0,N623*100/L623,0)</f>
        <v>0</v>
      </c>
      <c r="P623" s="102">
        <f>IF(M623&gt;0,N623*100/M623,0)</f>
        <v>0</v>
      </c>
      <c r="Q623" s="102">
        <v>0</v>
      </c>
      <c r="R623" s="102">
        <v>0</v>
      </c>
      <c r="S623" s="102">
        <v>0</v>
      </c>
      <c r="T623" s="102">
        <f>IF(Q623&gt;0,S623*100/Q623,0)</f>
        <v>0</v>
      </c>
      <c r="U623" s="102">
        <f>IF(R623&gt;0,S623*100/R623,0)</f>
        <v>0</v>
      </c>
    </row>
    <row r="624" spans="1:21" ht="18.75" hidden="1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256">
        <v>0</v>
      </c>
      <c r="M624" s="255">
        <v>0</v>
      </c>
      <c r="N624" s="255">
        <v>0</v>
      </c>
      <c r="O624" s="255">
        <f>IF(L624&gt;0,N624*100/L624,0)</f>
        <v>0</v>
      </c>
      <c r="P624" s="255">
        <f>IF(M624&gt;0,N624*100/M624,0)</f>
        <v>0</v>
      </c>
      <c r="Q624" s="255">
        <v>0</v>
      </c>
      <c r="R624" s="255">
        <v>0</v>
      </c>
      <c r="S624" s="255">
        <v>0</v>
      </c>
      <c r="T624" s="255">
        <f>IF(Q624&gt;0,S624*100/Q624,0)</f>
        <v>0</v>
      </c>
      <c r="U624" s="255">
        <f>IF(R624&gt;0,S624*100/R624,0)</f>
        <v>0</v>
      </c>
    </row>
    <row r="625" spans="1:21" ht="19.5">
      <c r="A625" s="166"/>
      <c r="B625" s="167"/>
      <c r="C625" s="205" t="s">
        <v>18</v>
      </c>
      <c r="D625" s="539" t="s">
        <v>38</v>
      </c>
      <c r="E625" s="169"/>
      <c r="F625" s="169"/>
      <c r="G625" s="170"/>
      <c r="H625" s="206"/>
      <c r="I625" s="163"/>
      <c r="J625" s="163"/>
      <c r="K625" s="164"/>
      <c r="L625" s="172"/>
      <c r="M625" s="164"/>
      <c r="N625" s="164"/>
      <c r="O625" s="164"/>
      <c r="P625" s="164"/>
      <c r="Q625" s="164"/>
      <c r="R625" s="164"/>
      <c r="S625" s="164"/>
      <c r="T625" s="164"/>
      <c r="U625" s="164"/>
    </row>
    <row r="626" spans="1:21" ht="19.5">
      <c r="A626" s="166"/>
      <c r="B626" s="167"/>
      <c r="C626" s="167"/>
      <c r="D626" s="460" t="s">
        <v>224</v>
      </c>
      <c r="E626" s="174"/>
      <c r="F626" s="174"/>
      <c r="G626" s="171"/>
      <c r="H626" s="461" t="s">
        <v>46</v>
      </c>
      <c r="I626" s="373">
        <f ca="1">IFERROR(__xludf.DUMMYFUNCTION("IMPORTRANGE(""https://docs.google.com/spreadsheets/d/1eHaY18a8A9IcSdp1K8H6x8fbOy06t2VsZHhMHf-1x7Y/edit?usp=sharing"",""แผน!ID41"")"),100)</f>
        <v>100</v>
      </c>
      <c r="J626" s="373">
        <f>J632</f>
        <v>0</v>
      </c>
      <c r="K626" s="540">
        <f ca="1">IF(I626&gt;0,J626*100/I626,0)</f>
        <v>0</v>
      </c>
      <c r="L626" s="172"/>
      <c r="M626" s="164"/>
      <c r="N626" s="164"/>
      <c r="O626" s="164"/>
      <c r="P626" s="164"/>
      <c r="Q626" s="164"/>
      <c r="R626" s="164"/>
      <c r="S626" s="164"/>
      <c r="T626" s="164"/>
      <c r="U626" s="164"/>
    </row>
    <row r="627" spans="1:21" ht="18.75">
      <c r="A627" s="166"/>
      <c r="B627" s="167"/>
      <c r="C627" s="167"/>
      <c r="D627" s="167"/>
      <c r="E627" s="178" t="s">
        <v>225</v>
      </c>
      <c r="F627" s="174"/>
      <c r="G627" s="171"/>
      <c r="H627" s="165" t="s">
        <v>61</v>
      </c>
      <c r="I627" s="212">
        <f ca="1">IFERROR(__xludf.DUMMYFUNCTION("IMPORTRANGE(""https://docs.google.com/spreadsheets/d/1eHaY18a8A9IcSdp1K8H6x8fbOy06t2VsZHhMHf-1x7Y/edit?usp=sharing"",""แผน!IC41"")"),1)</f>
        <v>1</v>
      </c>
      <c r="J627" s="467">
        <v>1</v>
      </c>
      <c r="K627" s="255">
        <f ca="1">IF(I627&gt;0,(J627*100)/I627,0)</f>
        <v>100</v>
      </c>
      <c r="L627" s="172"/>
      <c r="M627" s="164"/>
      <c r="N627" s="164"/>
      <c r="O627" s="164"/>
      <c r="P627" s="164"/>
      <c r="Q627" s="164"/>
      <c r="R627" s="164"/>
      <c r="S627" s="164"/>
      <c r="T627" s="164"/>
      <c r="U627" s="164"/>
    </row>
    <row r="628" spans="1:21" ht="18.75">
      <c r="A628" s="166"/>
      <c r="B628" s="167"/>
      <c r="C628" s="167"/>
      <c r="D628" s="167"/>
      <c r="E628" s="178" t="s">
        <v>226</v>
      </c>
      <c r="F628" s="174"/>
      <c r="G628" s="171"/>
      <c r="H628" s="165" t="s">
        <v>61</v>
      </c>
      <c r="I628" s="212">
        <f ca="1">IFERROR(__xludf.DUMMYFUNCTION("IMPORTRANGE(""https://docs.google.com/spreadsheets/d/1eHaY18a8A9IcSdp1K8H6x8fbOy06t2VsZHhMHf-1x7Y/edit?usp=sharing"",""แผน!IC41"")"),1)</f>
        <v>1</v>
      </c>
      <c r="J628" s="467">
        <v>1</v>
      </c>
      <c r="K628" s="255">
        <f ca="1">IF(I628&gt;0,(J628*100)/I628,0)</f>
        <v>100</v>
      </c>
      <c r="L628" s="172"/>
      <c r="M628" s="164"/>
      <c r="N628" s="164"/>
      <c r="O628" s="164"/>
      <c r="P628" s="164"/>
      <c r="Q628" s="164"/>
      <c r="R628" s="164"/>
      <c r="S628" s="164"/>
      <c r="T628" s="164"/>
      <c r="U628" s="164"/>
    </row>
    <row r="629" spans="1:21" ht="18.75">
      <c r="A629" s="166"/>
      <c r="B629" s="167"/>
      <c r="C629" s="167"/>
      <c r="D629" s="167"/>
      <c r="E629" s="178" t="s">
        <v>227</v>
      </c>
      <c r="F629" s="174"/>
      <c r="G629" s="171"/>
      <c r="H629" s="165" t="s">
        <v>46</v>
      </c>
      <c r="I629" s="54"/>
      <c r="J629" s="467">
        <v>0</v>
      </c>
      <c r="K629" s="255">
        <f ca="1">IF(I$626&gt;0,J629*100/I$626,0)</f>
        <v>0</v>
      </c>
      <c r="L629" s="172"/>
      <c r="M629" s="164"/>
      <c r="N629" s="164"/>
      <c r="O629" s="164"/>
      <c r="P629" s="164"/>
      <c r="Q629" s="164"/>
      <c r="R629" s="164"/>
      <c r="S629" s="164"/>
      <c r="T629" s="164"/>
      <c r="U629" s="164"/>
    </row>
    <row r="630" spans="1:21" ht="18.75">
      <c r="A630" s="166"/>
      <c r="B630" s="167"/>
      <c r="C630" s="167"/>
      <c r="D630" s="167"/>
      <c r="E630" s="178" t="s">
        <v>228</v>
      </c>
      <c r="F630" s="174"/>
      <c r="G630" s="171"/>
      <c r="H630" s="165" t="s">
        <v>46</v>
      </c>
      <c r="I630" s="54"/>
      <c r="J630" s="467">
        <v>0</v>
      </c>
      <c r="K630" s="255">
        <f ca="1">IF(I$626&gt;0,J630*100/I$626,0)</f>
        <v>0</v>
      </c>
      <c r="L630" s="172"/>
      <c r="M630" s="164"/>
      <c r="N630" s="164"/>
      <c r="O630" s="164"/>
      <c r="P630" s="164"/>
      <c r="Q630" s="164"/>
      <c r="R630" s="164"/>
      <c r="S630" s="164"/>
      <c r="T630" s="164"/>
      <c r="U630" s="164"/>
    </row>
    <row r="631" spans="1:21" ht="18.75">
      <c r="A631" s="166"/>
      <c r="B631" s="167"/>
      <c r="C631" s="167"/>
      <c r="D631" s="167"/>
      <c r="E631" s="178" t="s">
        <v>229</v>
      </c>
      <c r="F631" s="174"/>
      <c r="G631" s="171"/>
      <c r="H631" s="165" t="s">
        <v>46</v>
      </c>
      <c r="I631" s="54"/>
      <c r="J631" s="467">
        <v>0</v>
      </c>
      <c r="K631" s="255">
        <f ca="1">IF(I$626&gt;0,J631*100/I$626,0)</f>
        <v>0</v>
      </c>
      <c r="L631" s="172"/>
      <c r="M631" s="164"/>
      <c r="N631" s="164"/>
      <c r="O631" s="164"/>
      <c r="P631" s="164"/>
      <c r="Q631" s="164"/>
      <c r="R631" s="164"/>
      <c r="S631" s="164"/>
      <c r="T631" s="164"/>
      <c r="U631" s="164"/>
    </row>
    <row r="632" spans="1:21" ht="19.5">
      <c r="A632" s="166"/>
      <c r="B632" s="167"/>
      <c r="C632" s="167"/>
      <c r="D632" s="167"/>
      <c r="E632" s="178" t="s">
        <v>230</v>
      </c>
      <c r="F632" s="174"/>
      <c r="G632" s="171"/>
      <c r="H632" s="165" t="s">
        <v>46</v>
      </c>
      <c r="I632" s="54"/>
      <c r="J632" s="373">
        <f>J633+J634</f>
        <v>0</v>
      </c>
      <c r="K632" s="540">
        <f ca="1">IF(I626&gt;0,J632*100/I626,0)</f>
        <v>0</v>
      </c>
      <c r="L632" s="172"/>
      <c r="M632" s="164"/>
      <c r="N632" s="164"/>
      <c r="O632" s="164"/>
      <c r="P632" s="164"/>
      <c r="Q632" s="164"/>
      <c r="R632" s="164"/>
      <c r="S632" s="164"/>
      <c r="T632" s="164"/>
      <c r="U632" s="164"/>
    </row>
    <row r="633" spans="1:21" ht="18.75">
      <c r="A633" s="166"/>
      <c r="B633" s="167"/>
      <c r="C633" s="167"/>
      <c r="D633" s="167"/>
      <c r="E633" s="174"/>
      <c r="F633" s="178" t="s">
        <v>231</v>
      </c>
      <c r="G633" s="171"/>
      <c r="H633" s="165" t="s">
        <v>46</v>
      </c>
      <c r="I633" s="54"/>
      <c r="J633" s="467">
        <v>0</v>
      </c>
      <c r="K633" s="55"/>
      <c r="L633" s="172"/>
      <c r="M633" s="164"/>
      <c r="N633" s="164"/>
      <c r="O633" s="164"/>
      <c r="P633" s="164"/>
      <c r="Q633" s="164"/>
      <c r="R633" s="164"/>
      <c r="S633" s="164"/>
      <c r="T633" s="164"/>
      <c r="U633" s="164"/>
    </row>
    <row r="634" spans="1:21" ht="18.75">
      <c r="A634" s="166"/>
      <c r="B634" s="167"/>
      <c r="C634" s="167"/>
      <c r="D634" s="167"/>
      <c r="E634" s="174"/>
      <c r="F634" s="178" t="s">
        <v>232</v>
      </c>
      <c r="G634" s="171"/>
      <c r="H634" s="165" t="s">
        <v>46</v>
      </c>
      <c r="I634" s="54"/>
      <c r="J634" s="467">
        <v>0</v>
      </c>
      <c r="K634" s="55"/>
      <c r="L634" s="172"/>
      <c r="M634" s="164"/>
      <c r="N634" s="164"/>
      <c r="O634" s="164"/>
      <c r="P634" s="164"/>
      <c r="Q634" s="164"/>
      <c r="R634" s="164"/>
      <c r="S634" s="164"/>
      <c r="T634" s="164"/>
      <c r="U634" s="164"/>
    </row>
    <row r="635" spans="1:21" ht="19.5">
      <c r="A635" s="166"/>
      <c r="B635" s="167"/>
      <c r="C635" s="167"/>
      <c r="D635" s="460" t="s">
        <v>233</v>
      </c>
      <c r="E635" s="174"/>
      <c r="F635" s="174"/>
      <c r="G635" s="171"/>
      <c r="H635" s="165" t="s">
        <v>46</v>
      </c>
      <c r="I635" s="373">
        <f ca="1">IFERROR(__xludf.DUMMYFUNCTION("IMPORTRANGE(""https://docs.google.com/spreadsheets/d/1eHaY18a8A9IcSdp1K8H6x8fbOy06t2VsZHhMHf-1x7Y/edit?usp=sharing"",""แผน!IE41"")"),0)</f>
        <v>0</v>
      </c>
      <c r="J635" s="373">
        <f>J636</f>
        <v>0</v>
      </c>
      <c r="K635" s="540">
        <f ca="1">IF(I635&gt;0,J635*100/I635,0)</f>
        <v>0</v>
      </c>
      <c r="L635" s="172"/>
      <c r="M635" s="164"/>
      <c r="N635" s="164"/>
      <c r="O635" s="164"/>
      <c r="P635" s="164"/>
      <c r="Q635" s="164"/>
      <c r="R635" s="164"/>
      <c r="S635" s="164"/>
      <c r="T635" s="164"/>
      <c r="U635" s="164"/>
    </row>
    <row r="636" spans="1:21" ht="18.75">
      <c r="A636" s="166"/>
      <c r="B636" s="167"/>
      <c r="C636" s="167"/>
      <c r="D636" s="167"/>
      <c r="E636" s="178" t="s">
        <v>234</v>
      </c>
      <c r="F636" s="174"/>
      <c r="G636" s="171"/>
      <c r="H636" s="165" t="s">
        <v>46</v>
      </c>
      <c r="I636" s="54"/>
      <c r="J636" s="212">
        <f>J637+J638</f>
        <v>0</v>
      </c>
      <c r="K636" s="55"/>
      <c r="L636" s="172"/>
      <c r="M636" s="164"/>
      <c r="N636" s="164"/>
      <c r="O636" s="164"/>
      <c r="P636" s="164"/>
      <c r="Q636" s="164"/>
      <c r="R636" s="164"/>
      <c r="S636" s="164"/>
      <c r="T636" s="164"/>
      <c r="U636" s="164"/>
    </row>
    <row r="637" spans="1:21" ht="18.75">
      <c r="A637" s="166"/>
      <c r="B637" s="167"/>
      <c r="C637" s="167"/>
      <c r="D637" s="167"/>
      <c r="E637" s="174"/>
      <c r="F637" s="178" t="s">
        <v>231</v>
      </c>
      <c r="G637" s="171"/>
      <c r="H637" s="165" t="s">
        <v>46</v>
      </c>
      <c r="I637" s="54"/>
      <c r="J637" s="467">
        <v>0</v>
      </c>
      <c r="K637" s="55"/>
      <c r="L637" s="172"/>
      <c r="M637" s="164"/>
      <c r="N637" s="164"/>
      <c r="O637" s="164"/>
      <c r="P637" s="164"/>
      <c r="Q637" s="164"/>
      <c r="R637" s="164"/>
      <c r="S637" s="164"/>
      <c r="T637" s="164"/>
      <c r="U637" s="164"/>
    </row>
    <row r="638" spans="1:21" ht="18.75">
      <c r="A638" s="166"/>
      <c r="B638" s="167"/>
      <c r="C638" s="167"/>
      <c r="D638" s="167"/>
      <c r="E638" s="174"/>
      <c r="F638" s="178" t="s">
        <v>232</v>
      </c>
      <c r="G638" s="171"/>
      <c r="H638" s="165" t="s">
        <v>46</v>
      </c>
      <c r="I638" s="54"/>
      <c r="J638" s="467">
        <v>0</v>
      </c>
      <c r="K638" s="55"/>
      <c r="L638" s="172"/>
      <c r="M638" s="164"/>
      <c r="N638" s="164"/>
      <c r="O638" s="164"/>
      <c r="P638" s="164"/>
      <c r="Q638" s="164"/>
      <c r="R638" s="164"/>
      <c r="S638" s="164"/>
      <c r="T638" s="164"/>
      <c r="U638" s="164"/>
    </row>
    <row r="639" spans="1:21" ht="18.75">
      <c r="A639" s="166"/>
      <c r="B639" s="167"/>
      <c r="C639" s="167"/>
      <c r="D639" s="167"/>
      <c r="E639" s="178" t="s">
        <v>235</v>
      </c>
      <c r="F639" s="174"/>
      <c r="G639" s="171"/>
      <c r="H639" s="165" t="s">
        <v>46</v>
      </c>
      <c r="I639" s="54"/>
      <c r="J639" s="467">
        <v>0</v>
      </c>
      <c r="K639" s="55"/>
      <c r="L639" s="172"/>
      <c r="M639" s="164"/>
      <c r="N639" s="164"/>
      <c r="O639" s="164"/>
      <c r="P639" s="164"/>
      <c r="Q639" s="164"/>
      <c r="R639" s="164"/>
      <c r="S639" s="164"/>
      <c r="T639" s="164"/>
      <c r="U639" s="164"/>
    </row>
    <row r="640" spans="1:21" ht="18.75">
      <c r="A640" s="166"/>
      <c r="B640" s="167"/>
      <c r="C640" s="167"/>
      <c r="D640" s="167"/>
      <c r="E640" s="174"/>
      <c r="F640" s="178" t="s">
        <v>236</v>
      </c>
      <c r="G640" s="171"/>
      <c r="H640" s="165" t="s">
        <v>46</v>
      </c>
      <c r="I640" s="54"/>
      <c r="J640" s="467">
        <v>0</v>
      </c>
      <c r="K640" s="55"/>
      <c r="L640" s="172"/>
      <c r="M640" s="164"/>
      <c r="N640" s="164"/>
      <c r="O640" s="164"/>
      <c r="P640" s="164"/>
      <c r="Q640" s="164"/>
      <c r="R640" s="164"/>
      <c r="S640" s="164"/>
      <c r="T640" s="164"/>
      <c r="U640" s="164"/>
    </row>
    <row r="641" spans="1:21" ht="19.5" hidden="1">
      <c r="A641" s="450"/>
      <c r="B641" s="451" t="s">
        <v>237</v>
      </c>
      <c r="C641" s="450"/>
      <c r="D641" s="452"/>
      <c r="E641" s="452"/>
      <c r="F641" s="452"/>
      <c r="G641" s="453"/>
      <c r="H641" s="462"/>
      <c r="I641" s="463"/>
      <c r="J641" s="463"/>
      <c r="K641" s="457"/>
      <c r="L641" s="458"/>
      <c r="M641" s="457"/>
      <c r="N641" s="457"/>
      <c r="O641" s="457"/>
      <c r="P641" s="457"/>
      <c r="Q641" s="457"/>
      <c r="R641" s="457"/>
      <c r="S641" s="457"/>
      <c r="T641" s="457"/>
      <c r="U641" s="457"/>
    </row>
    <row r="642" spans="1:21" ht="19.5" hidden="1">
      <c r="A642" s="155"/>
      <c r="B642" s="188"/>
      <c r="C642" s="239" t="s">
        <v>18</v>
      </c>
      <c r="D642" s="542" t="s">
        <v>19</v>
      </c>
      <c r="E642" s="529"/>
      <c r="F642" s="529"/>
      <c r="G642" s="530"/>
      <c r="H642" s="252" t="s">
        <v>14</v>
      </c>
      <c r="I642" s="54"/>
      <c r="J642" s="54"/>
      <c r="K642" s="55"/>
      <c r="L642" s="541">
        <f>L643+L644</f>
        <v>0</v>
      </c>
      <c r="M642" s="540">
        <f>M643+M644</f>
        <v>0</v>
      </c>
      <c r="N642" s="540">
        <f>N643+N644</f>
        <v>0</v>
      </c>
      <c r="O642" s="540">
        <f>IF(L642&gt;0,N642*100/L642,0)</f>
        <v>0</v>
      </c>
      <c r="P642" s="540">
        <f>IF(M642&gt;0,N642*100/M642,0)</f>
        <v>0</v>
      </c>
      <c r="Q642" s="540">
        <f ca="1">Q643+Q644</f>
        <v>0</v>
      </c>
      <c r="R642" s="540">
        <f ca="1">R643+R644</f>
        <v>0</v>
      </c>
      <c r="S642" s="540">
        <f ca="1">S643+S644</f>
        <v>0</v>
      </c>
      <c r="T642" s="540">
        <f ca="1">IF(Q642&gt;0,S642*100/Q642,0)</f>
        <v>0</v>
      </c>
      <c r="U642" s="540">
        <f ca="1">IF(R642&gt;0,S642*100/R642,0)</f>
        <v>0</v>
      </c>
    </row>
    <row r="643" spans="1:21" ht="18.75" hidden="1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103">
        <f>L646+L649</f>
        <v>0</v>
      </c>
      <c r="M643" s="102">
        <f>M646+M649</f>
        <v>0</v>
      </c>
      <c r="N643" s="102">
        <f>N646+N649</f>
        <v>0</v>
      </c>
      <c r="O643" s="102">
        <f>IF(L643&gt;0,N643*100/L643,0)</f>
        <v>0</v>
      </c>
      <c r="P643" s="102">
        <f>IF(M643&gt;0,N643*100/M643,0)</f>
        <v>0</v>
      </c>
      <c r="Q643" s="102">
        <f>Q646+Q649</f>
        <v>0</v>
      </c>
      <c r="R643" s="102">
        <f>R646+R649</f>
        <v>0</v>
      </c>
      <c r="S643" s="102">
        <f>S646+S649</f>
        <v>0</v>
      </c>
      <c r="T643" s="102">
        <f>IF(Q643&gt;0,S643*100/Q643,0)</f>
        <v>0</v>
      </c>
      <c r="U643" s="102">
        <f>IF(R643&gt;0,S643*100/R643,0)</f>
        <v>0</v>
      </c>
    </row>
    <row r="644" spans="1:21" ht="18.75" hidden="1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256">
        <f>L647+L650</f>
        <v>0</v>
      </c>
      <c r="M644" s="255">
        <f>M647+M650</f>
        <v>0</v>
      </c>
      <c r="N644" s="255">
        <f>N647+N650</f>
        <v>0</v>
      </c>
      <c r="O644" s="255">
        <f>IF(L644&gt;0,N644*100/L644,0)</f>
        <v>0</v>
      </c>
      <c r="P644" s="255">
        <f>IF(M644&gt;0,N644*100/M644,0)</f>
        <v>0</v>
      </c>
      <c r="Q644" s="255">
        <f ca="1">Q647+Q650</f>
        <v>0</v>
      </c>
      <c r="R644" s="255">
        <f ca="1">R647+R650</f>
        <v>0</v>
      </c>
      <c r="S644" s="255">
        <f ca="1">S647+S650</f>
        <v>0</v>
      </c>
      <c r="T644" s="255">
        <f ca="1">IF(Q644&gt;0,S644*100/Q644,0)</f>
        <v>0</v>
      </c>
      <c r="U644" s="255">
        <f ca="1">IF(R644&gt;0,S644*100/R644,0)</f>
        <v>0</v>
      </c>
    </row>
    <row r="645" spans="1:21" ht="18.75" hidden="1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256">
        <f>L646+L647</f>
        <v>0</v>
      </c>
      <c r="M645" s="255">
        <f>M646+M647</f>
        <v>0</v>
      </c>
      <c r="N645" s="255">
        <f>N646+N647</f>
        <v>0</v>
      </c>
      <c r="O645" s="255">
        <f>IF(L645&gt;0,N645*100/L645,0)</f>
        <v>0</v>
      </c>
      <c r="P645" s="255">
        <f>IF(M645&gt;0,N645*100/M645,0)</f>
        <v>0</v>
      </c>
      <c r="Q645" s="255">
        <f ca="1">Q646+Q647</f>
        <v>0</v>
      </c>
      <c r="R645" s="255">
        <f ca="1">R646+R647</f>
        <v>0</v>
      </c>
      <c r="S645" s="255">
        <f ca="1">S646+S647</f>
        <v>0</v>
      </c>
      <c r="T645" s="255">
        <f ca="1">IF(Q645&gt;0,S645*100/Q645,0)</f>
        <v>0</v>
      </c>
      <c r="U645" s="255">
        <f ca="1">IF(R645&gt;0,S645*100/R645,0)</f>
        <v>0</v>
      </c>
    </row>
    <row r="646" spans="1:21" ht="18.75" hidden="1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103">
        <v>0</v>
      </c>
      <c r="M646" s="102">
        <v>0</v>
      </c>
      <c r="N646" s="102">
        <v>0</v>
      </c>
      <c r="O646" s="102">
        <f>IF(L646&gt;0,N646*100/L646,0)</f>
        <v>0</v>
      </c>
      <c r="P646" s="102">
        <f>IF(M646&gt;0,N646*100/M646,0)</f>
        <v>0</v>
      </c>
      <c r="Q646" s="102">
        <v>0</v>
      </c>
      <c r="R646" s="102">
        <v>0</v>
      </c>
      <c r="S646" s="102">
        <v>0</v>
      </c>
      <c r="T646" s="102">
        <f>IF(Q646&gt;0,S646*100/Q646,0)</f>
        <v>0</v>
      </c>
      <c r="U646" s="102">
        <f>IF(R646&gt;0,S646*100/R646,0)</f>
        <v>0</v>
      </c>
    </row>
    <row r="647" spans="1:21" ht="18.75" hidden="1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256">
        <v>0</v>
      </c>
      <c r="M647" s="255">
        <v>0</v>
      </c>
      <c r="N647" s="255">
        <v>0</v>
      </c>
      <c r="O647" s="255">
        <f>IF(L647&gt;0,N647*100/L647,0)</f>
        <v>0</v>
      </c>
      <c r="P647" s="255">
        <f>IF(M647&gt;0,N647*100/M647,0)</f>
        <v>0</v>
      </c>
      <c r="Q647" s="255">
        <f ca="1">IFERROR(__xludf.DUMMYFUNCTION("IMPORTRANGE(""https://docs.google.com/spreadsheets/d/1ItG2mGa2ceCfYo0BwxsXqNm01IGEUdYcSSLTEv9YCik/edit?usp=sharing"",""เบิกจ่ายกองทุน!I41"")"),0)</f>
        <v>0</v>
      </c>
      <c r="R647" s="255">
        <f ca="1">IFERROR(__xludf.DUMMYFUNCTION("IMPORTRANGE(""https://docs.google.com/spreadsheets/d/1ItG2mGa2ceCfYo0BwxsXqNm01IGEUdYcSSLTEv9YCik/edit?usp=sharing"",""เบิกจ่ายกองทุน!J41"")"),0)</f>
        <v>0</v>
      </c>
      <c r="S647" s="255">
        <f ca="1">IFERROR(__xludf.DUMMYFUNCTION("IMPORTRANGE(""https://docs.google.com/spreadsheets/d/1ItG2mGa2ceCfYo0BwxsXqNm01IGEUdYcSSLTEv9YCik/edit?usp=sharing"",""เบิกจ่ายกองทุน!K41"")"),0)</f>
        <v>0</v>
      </c>
      <c r="T647" s="255">
        <f ca="1">IF(Q647&gt;0,S647*100/Q647,0)</f>
        <v>0</v>
      </c>
      <c r="U647" s="255">
        <f ca="1">IF(R647&gt;0,S647*100/R647,0)</f>
        <v>0</v>
      </c>
    </row>
    <row r="648" spans="1:21" ht="18.75" hidden="1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256">
        <f>L649+L650</f>
        <v>0</v>
      </c>
      <c r="M648" s="255">
        <f>M649+M650</f>
        <v>0</v>
      </c>
      <c r="N648" s="255">
        <f>N649+N650</f>
        <v>0</v>
      </c>
      <c r="O648" s="255">
        <f>IF(L648&gt;0,N648*100/L648,0)</f>
        <v>0</v>
      </c>
      <c r="P648" s="255">
        <f>IF(M648&gt;0,N648*100/M648,0)</f>
        <v>0</v>
      </c>
      <c r="Q648" s="255">
        <f>Q649+Q650</f>
        <v>0</v>
      </c>
      <c r="R648" s="255">
        <f>R649+R650</f>
        <v>0</v>
      </c>
      <c r="S648" s="255">
        <f>S649+S650</f>
        <v>0</v>
      </c>
      <c r="T648" s="255">
        <f>IF(Q648&gt;0,S648*100/Q648,0)</f>
        <v>0</v>
      </c>
      <c r="U648" s="255">
        <f>IF(R648&gt;0,S648*100/R648,0)</f>
        <v>0</v>
      </c>
    </row>
    <row r="649" spans="1:21" ht="18.75" hidden="1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103">
        <v>0</v>
      </c>
      <c r="M649" s="102">
        <v>0</v>
      </c>
      <c r="N649" s="102">
        <v>0</v>
      </c>
      <c r="O649" s="102">
        <f>IF(L649&gt;0,N649*100/L649,0)</f>
        <v>0</v>
      </c>
      <c r="P649" s="102">
        <f>IF(M649&gt;0,N649*100/M649,0)</f>
        <v>0</v>
      </c>
      <c r="Q649" s="102">
        <v>0</v>
      </c>
      <c r="R649" s="102">
        <v>0</v>
      </c>
      <c r="S649" s="102">
        <v>0</v>
      </c>
      <c r="T649" s="102">
        <f>IF(Q649&gt;0,S649*100/Q649,0)</f>
        <v>0</v>
      </c>
      <c r="U649" s="102">
        <f>IF(R649&gt;0,S649*100/R649,0)</f>
        <v>0</v>
      </c>
    </row>
    <row r="650" spans="1:21" ht="18.75" hidden="1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256">
        <v>0</v>
      </c>
      <c r="M650" s="255">
        <v>0</v>
      </c>
      <c r="N650" s="255">
        <v>0</v>
      </c>
      <c r="O650" s="255">
        <f>IF(L650&gt;0,N650*100/L650,0)</f>
        <v>0</v>
      </c>
      <c r="P650" s="255">
        <f>IF(M650&gt;0,N650*100/M650,0)</f>
        <v>0</v>
      </c>
      <c r="Q650" s="255">
        <v>0</v>
      </c>
      <c r="R650" s="255">
        <v>0</v>
      </c>
      <c r="S650" s="255">
        <v>0</v>
      </c>
      <c r="T650" s="255">
        <f>IF(Q650&gt;0,S650*100/Q650,0)</f>
        <v>0</v>
      </c>
      <c r="U650" s="255">
        <f>IF(R650&gt;0,S650*100/R650,0)</f>
        <v>0</v>
      </c>
    </row>
    <row r="651" spans="1:21" ht="19.5" hidden="1">
      <c r="A651" s="166"/>
      <c r="B651" s="167"/>
      <c r="C651" s="239" t="s">
        <v>18</v>
      </c>
      <c r="D651" s="571" t="s">
        <v>38</v>
      </c>
      <c r="E651" s="169"/>
      <c r="F651" s="169"/>
      <c r="G651" s="170"/>
      <c r="H651" s="206"/>
      <c r="I651" s="163"/>
      <c r="J651" s="163"/>
      <c r="K651" s="164"/>
      <c r="L651" s="172"/>
      <c r="M651" s="164"/>
      <c r="N651" s="164"/>
      <c r="O651" s="164"/>
      <c r="P651" s="164"/>
      <c r="Q651" s="55"/>
      <c r="R651" s="55"/>
      <c r="S651" s="55"/>
      <c r="T651" s="164"/>
      <c r="U651" s="164"/>
    </row>
    <row r="652" spans="1:21" ht="18.75" hidden="1">
      <c r="A652" s="238"/>
      <c r="B652" s="188"/>
      <c r="C652" s="188"/>
      <c r="D652" s="58" t="s">
        <v>238</v>
      </c>
      <c r="E652" s="50"/>
      <c r="F652" s="50"/>
      <c r="G652" s="52"/>
      <c r="H652" s="165" t="s">
        <v>46</v>
      </c>
      <c r="I652" s="570">
        <f ca="1">IFERROR(__xludf.DUMMYFUNCTION("IMPORTRANGE(""https://docs.google.com/spreadsheets/d/1eHaY18a8A9IcSdp1K8H6x8fbOy06t2VsZHhMHf-1x7Y/edit?usp=sharing"",""แผน!IF41"")"),0)</f>
        <v>0</v>
      </c>
      <c r="J652" s="212">
        <f ca="1">IFERROR(__xludf.DUMMYFUNCTION("IMPORTRANGE(""https://docs.google.com/spreadsheets/d/1tdoBKaGub7dwA3U6UFTqxio9LNnvDCQjHKmttSEBsFQ/edit?usp=sharing"",""จัดที่ดิน!AU41"")"),0)</f>
        <v>0</v>
      </c>
      <c r="K652" s="255">
        <f ca="1">IF(I652&gt;0,J652*100/I652,0)</f>
        <v>0</v>
      </c>
      <c r="L652" s="62"/>
      <c r="M652" s="55"/>
      <c r="N652" s="468"/>
      <c r="O652" s="55"/>
      <c r="P652" s="55"/>
      <c r="Q652" s="55"/>
      <c r="R652" s="55"/>
      <c r="S652" s="468"/>
      <c r="T652" s="55"/>
      <c r="U652" s="55"/>
    </row>
    <row r="653" spans="1:21" ht="18.75" hidden="1">
      <c r="A653" s="238"/>
      <c r="B653" s="188"/>
      <c r="C653" s="188"/>
      <c r="D653" s="58" t="s">
        <v>239</v>
      </c>
      <c r="E653" s="50"/>
      <c r="F653" s="50"/>
      <c r="G653" s="52"/>
      <c r="H653" s="165" t="s">
        <v>35</v>
      </c>
      <c r="I653" s="570">
        <f ca="1">IFERROR(__xludf.DUMMYFUNCTION("IMPORTRANGE(""https://docs.google.com/spreadsheets/d/1eHaY18a8A9IcSdp1K8H6x8fbOy06t2VsZHhMHf-1x7Y/edit?usp=sharing"",""แผน!IG41"")"),0)</f>
        <v>0</v>
      </c>
      <c r="J653" s="212">
        <f ca="1">IFERROR(__xludf.DUMMYFUNCTION("IMPORTRANGE(""https://docs.google.com/spreadsheets/d/1tdoBKaGub7dwA3U6UFTqxio9LNnvDCQjHKmttSEBsFQ/edit?usp=sharing"",""จัดที่ดิน!AW41"")"),0)</f>
        <v>0</v>
      </c>
      <c r="K653" s="255">
        <f ca="1">IF(I653&gt;0,J653*100/I653,0)</f>
        <v>0</v>
      </c>
      <c r="L653" s="62"/>
      <c r="M653" s="55"/>
      <c r="N653" s="468"/>
      <c r="O653" s="55"/>
      <c r="P653" s="55"/>
      <c r="Q653" s="55"/>
      <c r="R653" s="55"/>
      <c r="S653" s="468"/>
      <c r="T653" s="55"/>
      <c r="U653" s="55"/>
    </row>
    <row r="654" spans="1:21" ht="19.5" hidden="1">
      <c r="A654" s="238"/>
      <c r="B654" s="188"/>
      <c r="C654" s="188"/>
      <c r="D654" s="58" t="s">
        <v>240</v>
      </c>
      <c r="E654" s="50"/>
      <c r="F654" s="50"/>
      <c r="G654" s="52"/>
      <c r="H654" s="461" t="s">
        <v>46</v>
      </c>
      <c r="I654" s="569">
        <f ca="1">IFERROR(__xludf.DUMMYFUNCTION("IMPORTRANGE(""https://docs.google.com/spreadsheets/d/1eHaY18a8A9IcSdp1K8H6x8fbOy06t2VsZHhMHf-1x7Y/edit?usp=sharing"",""แผน!IH41"")"),0)</f>
        <v>0</v>
      </c>
      <c r="J654" s="373">
        <f>J657+J660</f>
        <v>0</v>
      </c>
      <c r="K654" s="540">
        <f ca="1">IF(I654&gt;0,J654*100/I654,0)</f>
        <v>0</v>
      </c>
      <c r="L654" s="62"/>
      <c r="M654" s="55"/>
      <c r="N654" s="468"/>
      <c r="O654" s="55"/>
      <c r="P654" s="55"/>
      <c r="Q654" s="55"/>
      <c r="R654" s="55"/>
      <c r="S654" s="468"/>
      <c r="T654" s="55"/>
      <c r="U654" s="55"/>
    </row>
    <row r="655" spans="1:21" ht="18.75" hidden="1">
      <c r="A655" s="238"/>
      <c r="B655" s="188"/>
      <c r="C655" s="188"/>
      <c r="D655" s="50"/>
      <c r="E655" s="58" t="s">
        <v>241</v>
      </c>
      <c r="F655" s="50"/>
      <c r="G655" s="52"/>
      <c r="H655" s="165" t="s">
        <v>35</v>
      </c>
      <c r="I655" s="208"/>
      <c r="J655" s="467">
        <v>0</v>
      </c>
      <c r="K655" s="55"/>
      <c r="L655" s="62"/>
      <c r="M655" s="55"/>
      <c r="N655" s="468"/>
      <c r="O655" s="55"/>
      <c r="P655" s="55"/>
      <c r="Q655" s="55"/>
      <c r="R655" s="55"/>
      <c r="S655" s="468"/>
      <c r="T655" s="55"/>
      <c r="U655" s="55"/>
    </row>
    <row r="656" spans="1:21" ht="18.75" hidden="1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67">
        <v>0</v>
      </c>
      <c r="K656" s="55"/>
      <c r="L656" s="62"/>
      <c r="M656" s="55"/>
      <c r="N656" s="468"/>
      <c r="O656" s="55"/>
      <c r="P656" s="55"/>
      <c r="Q656" s="55"/>
      <c r="R656" s="55"/>
      <c r="S656" s="468"/>
      <c r="T656" s="55"/>
      <c r="U656" s="55"/>
    </row>
    <row r="657" spans="1:21" ht="18.75" hidden="1">
      <c r="A657" s="238"/>
      <c r="B657" s="188"/>
      <c r="C657" s="188"/>
      <c r="D657" s="50"/>
      <c r="E657" s="50"/>
      <c r="F657" s="50"/>
      <c r="G657" s="52"/>
      <c r="H657" s="165" t="s">
        <v>46</v>
      </c>
      <c r="I657" s="570">
        <f ca="1">IFERROR(__xludf.DUMMYFUNCTION("IMPORTRANGE(""https://docs.google.com/spreadsheets/d/1eHaY18a8A9IcSdp1K8H6x8fbOy06t2VsZHhMHf-1x7Y/edit?usp=sharing"",""แผน!II41"")"),0)</f>
        <v>0</v>
      </c>
      <c r="J657" s="467">
        <v>0</v>
      </c>
      <c r="K657" s="55"/>
      <c r="L657" s="62"/>
      <c r="M657" s="55"/>
      <c r="N657" s="468"/>
      <c r="O657" s="55"/>
      <c r="P657" s="55"/>
      <c r="Q657" s="55"/>
      <c r="R657" s="55"/>
      <c r="S657" s="468"/>
      <c r="T657" s="55"/>
      <c r="U657" s="55"/>
    </row>
    <row r="658" spans="1:21" ht="18.75" hidden="1">
      <c r="A658" s="238"/>
      <c r="B658" s="188"/>
      <c r="C658" s="188"/>
      <c r="D658" s="50"/>
      <c r="E658" s="58" t="s">
        <v>242</v>
      </c>
      <c r="F658" s="50"/>
      <c r="G658" s="52"/>
      <c r="H658" s="165" t="s">
        <v>35</v>
      </c>
      <c r="I658" s="208"/>
      <c r="J658" s="467">
        <v>0</v>
      </c>
      <c r="K658" s="55"/>
      <c r="L658" s="62"/>
      <c r="M658" s="55"/>
      <c r="N658" s="468"/>
      <c r="O658" s="55"/>
      <c r="P658" s="55"/>
      <c r="Q658" s="55"/>
      <c r="R658" s="55"/>
      <c r="S658" s="468"/>
      <c r="T658" s="55"/>
      <c r="U658" s="55"/>
    </row>
    <row r="659" spans="1:21" ht="18.75" hidden="1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67">
        <v>0</v>
      </c>
      <c r="K659" s="55"/>
      <c r="L659" s="62"/>
      <c r="M659" s="55"/>
      <c r="N659" s="468"/>
      <c r="O659" s="55"/>
      <c r="P659" s="55"/>
      <c r="Q659" s="55"/>
      <c r="R659" s="55"/>
      <c r="S659" s="468"/>
      <c r="T659" s="55"/>
      <c r="U659" s="55"/>
    </row>
    <row r="660" spans="1:21" ht="18.75" hidden="1">
      <c r="A660" s="238"/>
      <c r="B660" s="188"/>
      <c r="C660" s="188"/>
      <c r="D660" s="50"/>
      <c r="E660" s="50"/>
      <c r="F660" s="50"/>
      <c r="G660" s="52"/>
      <c r="H660" s="165" t="s">
        <v>46</v>
      </c>
      <c r="I660" s="570">
        <f ca="1">IFERROR(__xludf.DUMMYFUNCTION("IMPORTRANGE(""https://docs.google.com/spreadsheets/d/1eHaY18a8A9IcSdp1K8H6x8fbOy06t2VsZHhMHf-1x7Y/edit?usp=sharing"",""แผน!IJ41"")"),0)</f>
        <v>0</v>
      </c>
      <c r="J660" s="467">
        <v>0</v>
      </c>
      <c r="K660" s="55"/>
      <c r="L660" s="62"/>
      <c r="M660" s="55"/>
      <c r="N660" s="468"/>
      <c r="O660" s="55"/>
      <c r="P660" s="55"/>
      <c r="Q660" s="55"/>
      <c r="R660" s="55"/>
      <c r="S660" s="468"/>
      <c r="T660" s="55"/>
      <c r="U660" s="55"/>
    </row>
    <row r="661" spans="1:21" ht="19.5" hidden="1">
      <c r="A661" s="238"/>
      <c r="B661" s="188"/>
      <c r="C661" s="188"/>
      <c r="D661" s="377" t="s">
        <v>243</v>
      </c>
      <c r="E661" s="50"/>
      <c r="F661" s="50"/>
      <c r="G661" s="52"/>
      <c r="H661" s="461" t="s">
        <v>46</v>
      </c>
      <c r="I661" s="569">
        <f ca="1">IFERROR(__xludf.DUMMYFUNCTION("IMPORTRANGE(""https://docs.google.com/spreadsheets/d/1eHaY18a8A9IcSdp1K8H6x8fbOy06t2VsZHhMHf-1x7Y/edit?usp=sharing"",""แผน!IK41"")"),0)</f>
        <v>0</v>
      </c>
      <c r="J661" s="373">
        <f>J667+J670</f>
        <v>0</v>
      </c>
      <c r="K661" s="540">
        <f ca="1">IF(I661&gt;0,J661*100/I661,0)</f>
        <v>0</v>
      </c>
      <c r="L661" s="62"/>
      <c r="M661" s="55"/>
      <c r="N661" s="468"/>
      <c r="O661" s="55"/>
      <c r="P661" s="55"/>
      <c r="Q661" s="55"/>
      <c r="R661" s="55"/>
      <c r="S661" s="468"/>
      <c r="T661" s="55"/>
      <c r="U661" s="55"/>
    </row>
    <row r="662" spans="1:21" ht="18.75" hidden="1">
      <c r="A662" s="238"/>
      <c r="B662" s="188"/>
      <c r="C662" s="188"/>
      <c r="D662" s="50"/>
      <c r="E662" s="58" t="s">
        <v>244</v>
      </c>
      <c r="F662" s="50"/>
      <c r="G662" s="52"/>
      <c r="H662" s="165" t="s">
        <v>34</v>
      </c>
      <c r="I662" s="208"/>
      <c r="J662" s="467">
        <v>0</v>
      </c>
      <c r="K662" s="55"/>
      <c r="L662" s="469"/>
      <c r="M662" s="55"/>
      <c r="N662" s="468"/>
      <c r="O662" s="55"/>
      <c r="P662" s="55"/>
      <c r="Q662" s="468"/>
      <c r="R662" s="55"/>
      <c r="S662" s="468"/>
      <c r="T662" s="55"/>
      <c r="U662" s="55"/>
    </row>
    <row r="663" spans="1:21" ht="18.75" hidden="1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67">
        <v>0</v>
      </c>
      <c r="K663" s="55"/>
      <c r="L663" s="469"/>
      <c r="M663" s="55"/>
      <c r="N663" s="468"/>
      <c r="O663" s="55"/>
      <c r="P663" s="55"/>
      <c r="Q663" s="468"/>
      <c r="R663" s="55"/>
      <c r="S663" s="468"/>
      <c r="T663" s="55"/>
      <c r="U663" s="55"/>
    </row>
    <row r="664" spans="1:21" ht="18.75" hidden="1">
      <c r="A664" s="238"/>
      <c r="B664" s="188"/>
      <c r="C664" s="188"/>
      <c r="D664" s="50"/>
      <c r="E664" s="58" t="s">
        <v>245</v>
      </c>
      <c r="F664" s="50"/>
      <c r="G664" s="52"/>
      <c r="H664" s="206"/>
      <c r="I664" s="208"/>
      <c r="J664" s="54"/>
      <c r="K664" s="55"/>
      <c r="L664" s="469"/>
      <c r="M664" s="55"/>
      <c r="N664" s="468"/>
      <c r="O664" s="55"/>
      <c r="P664" s="55"/>
      <c r="Q664" s="468"/>
      <c r="R664" s="55"/>
      <c r="S664" s="468"/>
      <c r="T664" s="55"/>
      <c r="U664" s="55"/>
    </row>
    <row r="665" spans="1:21" ht="18.75" hidden="1">
      <c r="A665" s="238"/>
      <c r="B665" s="188"/>
      <c r="C665" s="188"/>
      <c r="D665" s="50"/>
      <c r="E665" s="50"/>
      <c r="F665" s="58" t="s">
        <v>246</v>
      </c>
      <c r="G665" s="52"/>
      <c r="H665" s="165" t="s">
        <v>35</v>
      </c>
      <c r="I665" s="208"/>
      <c r="J665" s="467">
        <v>0</v>
      </c>
      <c r="K665" s="55"/>
      <c r="L665" s="469"/>
      <c r="M665" s="55"/>
      <c r="N665" s="468"/>
      <c r="O665" s="55"/>
      <c r="P665" s="55"/>
      <c r="Q665" s="468"/>
      <c r="R665" s="55"/>
      <c r="S665" s="468"/>
      <c r="T665" s="55"/>
      <c r="U665" s="55"/>
    </row>
    <row r="666" spans="1:21" ht="18.75" hidden="1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67">
        <v>0</v>
      </c>
      <c r="K666" s="55"/>
      <c r="L666" s="469"/>
      <c r="M666" s="55"/>
      <c r="N666" s="468"/>
      <c r="O666" s="55"/>
      <c r="P666" s="55"/>
      <c r="Q666" s="468"/>
      <c r="R666" s="55"/>
      <c r="S666" s="468"/>
      <c r="T666" s="55"/>
      <c r="U666" s="55"/>
    </row>
    <row r="667" spans="1:21" ht="18.75" hidden="1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67">
        <v>0</v>
      </c>
      <c r="K667" s="55"/>
      <c r="L667" s="469"/>
      <c r="M667" s="55"/>
      <c r="N667" s="468"/>
      <c r="O667" s="55"/>
      <c r="P667" s="55"/>
      <c r="Q667" s="468"/>
      <c r="R667" s="55"/>
      <c r="S667" s="468"/>
      <c r="T667" s="55"/>
      <c r="U667" s="55"/>
    </row>
    <row r="668" spans="1:21" ht="18.75" hidden="1">
      <c r="A668" s="238"/>
      <c r="B668" s="188"/>
      <c r="C668" s="188"/>
      <c r="D668" s="50"/>
      <c r="E668" s="50"/>
      <c r="F668" s="58" t="s">
        <v>247</v>
      </c>
      <c r="G668" s="52"/>
      <c r="H668" s="165" t="s">
        <v>35</v>
      </c>
      <c r="I668" s="208"/>
      <c r="J668" s="467">
        <v>0</v>
      </c>
      <c r="K668" s="55"/>
      <c r="L668" s="469"/>
      <c r="M668" s="55"/>
      <c r="N668" s="468"/>
      <c r="O668" s="55"/>
      <c r="P668" s="55"/>
      <c r="Q668" s="468"/>
      <c r="R668" s="55"/>
      <c r="S668" s="468"/>
      <c r="T668" s="55"/>
      <c r="U668" s="55"/>
    </row>
    <row r="669" spans="1:21" ht="18.75" hidden="1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67">
        <v>0</v>
      </c>
      <c r="K669" s="55"/>
      <c r="L669" s="469"/>
      <c r="M669" s="55"/>
      <c r="N669" s="468"/>
      <c r="O669" s="55"/>
      <c r="P669" s="55"/>
      <c r="Q669" s="468"/>
      <c r="R669" s="55"/>
      <c r="S669" s="468"/>
      <c r="T669" s="55"/>
      <c r="U669" s="55"/>
    </row>
    <row r="670" spans="1:21" ht="18.75" hidden="1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67">
        <v>0</v>
      </c>
      <c r="K670" s="55"/>
      <c r="L670" s="469"/>
      <c r="M670" s="55"/>
      <c r="N670" s="468"/>
      <c r="O670" s="55"/>
      <c r="P670" s="55"/>
      <c r="Q670" s="468"/>
      <c r="R670" s="55"/>
      <c r="S670" s="468"/>
      <c r="T670" s="55"/>
      <c r="U670" s="55"/>
    </row>
    <row r="671" spans="1:21" ht="18.75" hidden="1">
      <c r="A671" s="238"/>
      <c r="B671" s="188"/>
      <c r="C671" s="188"/>
      <c r="D671" s="58" t="s">
        <v>248</v>
      </c>
      <c r="E671" s="50"/>
      <c r="F671" s="50"/>
      <c r="G671" s="52"/>
      <c r="H671" s="165" t="s">
        <v>35</v>
      </c>
      <c r="I671" s="208"/>
      <c r="J671" s="212">
        <f ca="1">IFERROR(__xludf.DUMMYFUNCTION("IMPORTRANGE(""https://docs.google.com/spreadsheets/d/1tdoBKaGub7dwA3U6UFTqxio9LNnvDCQjHKmttSEBsFQ/edit?usp=sharing"",""จัดที่ดิน!AY41"")"),0)</f>
        <v>0</v>
      </c>
      <c r="K671" s="55"/>
      <c r="L671" s="62"/>
      <c r="M671" s="55"/>
      <c r="N671" s="468"/>
      <c r="O671" s="55"/>
      <c r="P671" s="55"/>
      <c r="Q671" s="55"/>
      <c r="R671" s="55"/>
      <c r="S671" s="468"/>
      <c r="T671" s="55"/>
      <c r="U671" s="55"/>
    </row>
    <row r="672" spans="1:21" ht="18.75" hidden="1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212">
        <f ca="1">IFERROR(__xludf.DUMMYFUNCTION("IMPORTRANGE(""https://docs.google.com/spreadsheets/d/1tdoBKaGub7dwA3U6UFTqxio9LNnvDCQjHKmttSEBsFQ/edit?usp=sharing"",""จัดที่ดิน!AZ41"")"),0)</f>
        <v>0</v>
      </c>
      <c r="K672" s="55"/>
      <c r="L672" s="469"/>
      <c r="M672" s="55"/>
      <c r="N672" s="468"/>
      <c r="O672" s="55"/>
      <c r="P672" s="55"/>
      <c r="Q672" s="468"/>
      <c r="R672" s="55"/>
      <c r="S672" s="468"/>
      <c r="T672" s="55"/>
      <c r="U672" s="55"/>
    </row>
    <row r="673" spans="1:21" ht="18.75" hidden="1">
      <c r="A673" s="238"/>
      <c r="B673" s="188"/>
      <c r="C673" s="188"/>
      <c r="D673" s="50"/>
      <c r="E673" s="50"/>
      <c r="F673" s="50"/>
      <c r="G673" s="52"/>
      <c r="H673" s="165" t="s">
        <v>46</v>
      </c>
      <c r="I673" s="570">
        <f ca="1">IFERROR(__xludf.DUMMYFUNCTION("IMPORTRANGE(""https://docs.google.com/spreadsheets/d/1eHaY18a8A9IcSdp1K8H6x8fbOy06t2VsZHhMHf-1x7Y/edit?usp=sharing"",""แผน!IL41"")"),0)</f>
        <v>0</v>
      </c>
      <c r="J673" s="212">
        <f ca="1">IFERROR(__xludf.DUMMYFUNCTION("IMPORTRANGE(""https://docs.google.com/spreadsheets/d/1tdoBKaGub7dwA3U6UFTqxio9LNnvDCQjHKmttSEBsFQ/edit?usp=sharing"",""จัดที่ดิน!BA41"")"),0)</f>
        <v>0</v>
      </c>
      <c r="K673" s="255">
        <f ca="1">IF(I673&gt;0,J673*100/I673,0)</f>
        <v>0</v>
      </c>
      <c r="L673" s="469"/>
      <c r="M673" s="55"/>
      <c r="N673" s="468"/>
      <c r="O673" s="55"/>
      <c r="P673" s="55"/>
      <c r="Q673" s="468"/>
      <c r="R673" s="55"/>
      <c r="S673" s="468"/>
      <c r="T673" s="55"/>
      <c r="U673" s="55"/>
    </row>
    <row r="674" spans="1:21" ht="19.5" hidden="1">
      <c r="A674" s="238"/>
      <c r="B674" s="188"/>
      <c r="C674" s="188"/>
      <c r="D674" s="58" t="s">
        <v>249</v>
      </c>
      <c r="E674" s="50"/>
      <c r="F674" s="50"/>
      <c r="G674" s="52"/>
      <c r="H674" s="461" t="s">
        <v>35</v>
      </c>
      <c r="I674" s="569">
        <f ca="1">IFERROR(__xludf.DUMMYFUNCTION("IMPORTRANGE(""https://docs.google.com/spreadsheets/d/1eHaY18a8A9IcSdp1K8H6x8fbOy06t2VsZHhMHf-1x7Y/edit?usp=sharing"",""แผน!IM41"")"),0)</f>
        <v>0</v>
      </c>
      <c r="J674" s="373">
        <f ca="1">J676+J679</f>
        <v>0</v>
      </c>
      <c r="K674" s="540">
        <f ca="1">IF(I674&gt;0,J674*100/I674,0)</f>
        <v>0</v>
      </c>
      <c r="L674" s="469"/>
      <c r="M674" s="55"/>
      <c r="N674" s="468"/>
      <c r="O674" s="55"/>
      <c r="P674" s="55"/>
      <c r="Q674" s="468"/>
      <c r="R674" s="55"/>
      <c r="S674" s="468"/>
      <c r="T674" s="55"/>
      <c r="U674" s="55"/>
    </row>
    <row r="675" spans="1:21" ht="19.5" hidden="1">
      <c r="A675" s="238"/>
      <c r="B675" s="188"/>
      <c r="C675" s="188"/>
      <c r="D675" s="50"/>
      <c r="E675" s="50"/>
      <c r="F675" s="50"/>
      <c r="G675" s="52"/>
      <c r="H675" s="461" t="s">
        <v>46</v>
      </c>
      <c r="I675" s="569">
        <f ca="1">IFERROR(__xludf.DUMMYFUNCTION("IMPORTRANGE(""https://docs.google.com/spreadsheets/d/1eHaY18a8A9IcSdp1K8H6x8fbOy06t2VsZHhMHf-1x7Y/edit?usp=sharing"",""แผน!IN41"")"),0)</f>
        <v>0</v>
      </c>
      <c r="J675" s="373">
        <f ca="1">J678+J681</f>
        <v>0</v>
      </c>
      <c r="K675" s="540">
        <f ca="1">IF(I675&gt;0,J675*100/I675,0)</f>
        <v>0</v>
      </c>
      <c r="L675" s="62"/>
      <c r="M675" s="55"/>
      <c r="N675" s="468"/>
      <c r="O675" s="55"/>
      <c r="P675" s="55"/>
      <c r="Q675" s="55"/>
      <c r="R675" s="55"/>
      <c r="S675" s="468"/>
      <c r="T675" s="55"/>
      <c r="U675" s="55"/>
    </row>
    <row r="676" spans="1:21" ht="18.75" hidden="1">
      <c r="A676" s="238"/>
      <c r="B676" s="188"/>
      <c r="C676" s="188"/>
      <c r="D676" s="50"/>
      <c r="E676" s="58" t="s">
        <v>250</v>
      </c>
      <c r="F676" s="50"/>
      <c r="G676" s="52"/>
      <c r="H676" s="165" t="s">
        <v>35</v>
      </c>
      <c r="I676" s="570">
        <f ca="1">IFERROR(__xludf.DUMMYFUNCTION("IMPORTRANGE(""https://docs.google.com/spreadsheets/d/1eHaY18a8A9IcSdp1K8H6x8fbOy06t2VsZHhMHf-1x7Y/edit?usp=sharing"",""แผน!IO41"")"),0)</f>
        <v>0</v>
      </c>
      <c r="J676" s="212">
        <f ca="1">IFERROR(__xludf.DUMMYFUNCTION("IMPORTRANGE(""https://docs.google.com/spreadsheets/d/1tdoBKaGub7dwA3U6UFTqxio9LNnvDCQjHKmttSEBsFQ/edit?usp=sharing"",""จัดที่ดิน!BF41"")"),0)</f>
        <v>0</v>
      </c>
      <c r="K676" s="255">
        <f ca="1">IF(I676&gt;0,J676*100/I676,0)</f>
        <v>0</v>
      </c>
      <c r="L676" s="62"/>
      <c r="M676" s="55"/>
      <c r="N676" s="468"/>
      <c r="O676" s="55"/>
      <c r="P676" s="55"/>
      <c r="Q676" s="55"/>
      <c r="R676" s="55"/>
      <c r="S676" s="468"/>
      <c r="T676" s="55"/>
      <c r="U676" s="55"/>
    </row>
    <row r="677" spans="1:21" ht="18.75" hidden="1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212">
        <f ca="1">IFERROR(__xludf.DUMMYFUNCTION("IMPORTRANGE(""https://docs.google.com/spreadsheets/d/1tdoBKaGub7dwA3U6UFTqxio9LNnvDCQjHKmttSEBsFQ/edit?usp=sharing"",""จัดที่ดิน!BG41"")"),0)</f>
        <v>0</v>
      </c>
      <c r="K677" s="55"/>
      <c r="L677" s="469"/>
      <c r="M677" s="55"/>
      <c r="N677" s="468"/>
      <c r="O677" s="55"/>
      <c r="P677" s="55"/>
      <c r="Q677" s="468"/>
      <c r="R677" s="55"/>
      <c r="S677" s="468"/>
      <c r="T677" s="55"/>
      <c r="U677" s="55"/>
    </row>
    <row r="678" spans="1:21" ht="18.75" hidden="1">
      <c r="A678" s="238"/>
      <c r="B678" s="188"/>
      <c r="C678" s="188"/>
      <c r="D678" s="50"/>
      <c r="E678" s="50"/>
      <c r="F678" s="50"/>
      <c r="G678" s="52"/>
      <c r="H678" s="165" t="s">
        <v>46</v>
      </c>
      <c r="I678" s="570">
        <f ca="1">IFERROR(__xludf.DUMMYFUNCTION("IMPORTRANGE(""https://docs.google.com/spreadsheets/d/1eHaY18a8A9IcSdp1K8H6x8fbOy06t2VsZHhMHf-1x7Y/edit?usp=sharing"",""แผน!IP41"")"),0)</f>
        <v>0</v>
      </c>
      <c r="J678" s="212">
        <f ca="1">IFERROR(__xludf.DUMMYFUNCTION("IMPORTRANGE(""https://docs.google.com/spreadsheets/d/1tdoBKaGub7dwA3U6UFTqxio9LNnvDCQjHKmttSEBsFQ/edit?usp=sharing"",""จัดที่ดิน!BH41"")"),0)</f>
        <v>0</v>
      </c>
      <c r="K678" s="255">
        <f ca="1">IF(I678&gt;0,J678*100/I678,0)</f>
        <v>0</v>
      </c>
      <c r="L678" s="469"/>
      <c r="M678" s="55"/>
      <c r="N678" s="468"/>
      <c r="O678" s="55"/>
      <c r="P678" s="55"/>
      <c r="Q678" s="468"/>
      <c r="R678" s="55"/>
      <c r="S678" s="468"/>
      <c r="T678" s="55"/>
      <c r="U678" s="55"/>
    </row>
    <row r="679" spans="1:21" ht="18.75" hidden="1">
      <c r="A679" s="238"/>
      <c r="B679" s="188"/>
      <c r="C679" s="188"/>
      <c r="D679" s="50"/>
      <c r="E679" s="58" t="s">
        <v>251</v>
      </c>
      <c r="F679" s="50"/>
      <c r="G679" s="52"/>
      <c r="H679" s="165" t="s">
        <v>35</v>
      </c>
      <c r="I679" s="570">
        <f ca="1">IFERROR(__xludf.DUMMYFUNCTION("IMPORTRANGE(""https://docs.google.com/spreadsheets/d/1eHaY18a8A9IcSdp1K8H6x8fbOy06t2VsZHhMHf-1x7Y/edit?usp=sharing"",""แผน!IQ41"")"),0)</f>
        <v>0</v>
      </c>
      <c r="J679" s="212">
        <f ca="1">IFERROR(__xludf.DUMMYFUNCTION("IMPORTRANGE(""https://docs.google.com/spreadsheets/d/1tdoBKaGub7dwA3U6UFTqxio9LNnvDCQjHKmttSEBsFQ/edit?usp=sharing"",""จัดที่ดิน!BK41"")"),0)</f>
        <v>0</v>
      </c>
      <c r="K679" s="255">
        <f ca="1">IF(I679&gt;0,J679*100/I679,0)</f>
        <v>0</v>
      </c>
      <c r="L679" s="62"/>
      <c r="M679" s="55"/>
      <c r="N679" s="468"/>
      <c r="O679" s="55"/>
      <c r="P679" s="55"/>
      <c r="Q679" s="55"/>
      <c r="R679" s="55"/>
      <c r="S679" s="468"/>
      <c r="T679" s="55"/>
      <c r="U679" s="55"/>
    </row>
    <row r="680" spans="1:21" ht="18.75" hidden="1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212">
        <f ca="1">IFERROR(__xludf.DUMMYFUNCTION("IMPORTRANGE(""https://docs.google.com/spreadsheets/d/1tdoBKaGub7dwA3U6UFTqxio9LNnvDCQjHKmttSEBsFQ/edit?usp=sharing"",""จัดที่ดิน!BL41"")"),0)</f>
        <v>0</v>
      </c>
      <c r="K680" s="55"/>
      <c r="L680" s="469"/>
      <c r="M680" s="55"/>
      <c r="N680" s="468"/>
      <c r="O680" s="55"/>
      <c r="P680" s="55"/>
      <c r="Q680" s="468"/>
      <c r="R680" s="55"/>
      <c r="S680" s="468"/>
      <c r="T680" s="55"/>
      <c r="U680" s="55"/>
    </row>
    <row r="681" spans="1:21" ht="18.75" hidden="1">
      <c r="A681" s="238"/>
      <c r="B681" s="188"/>
      <c r="C681" s="188"/>
      <c r="D681" s="50"/>
      <c r="E681" s="50"/>
      <c r="F681" s="50"/>
      <c r="G681" s="52"/>
      <c r="H681" s="165" t="s">
        <v>46</v>
      </c>
      <c r="I681" s="570">
        <f ca="1">IFERROR(__xludf.DUMMYFUNCTION("IMPORTRANGE(""https://docs.google.com/spreadsheets/d/1eHaY18a8A9IcSdp1K8H6x8fbOy06t2VsZHhMHf-1x7Y/edit?usp=sharing"",""แผน!IR41"")"),0)</f>
        <v>0</v>
      </c>
      <c r="J681" s="212">
        <f ca="1">IFERROR(__xludf.DUMMYFUNCTION("IMPORTRANGE(""https://docs.google.com/spreadsheets/d/1tdoBKaGub7dwA3U6UFTqxio9LNnvDCQjHKmttSEBsFQ/edit?usp=sharing"",""จัดที่ดิน!BM41"")"),0)</f>
        <v>0</v>
      </c>
      <c r="K681" s="255">
        <f ca="1">IF(I681&gt;0,J681*100/I681,0)</f>
        <v>0</v>
      </c>
      <c r="L681" s="469"/>
      <c r="M681" s="55"/>
      <c r="N681" s="468"/>
      <c r="O681" s="55"/>
      <c r="P681" s="55"/>
      <c r="Q681" s="468"/>
      <c r="R681" s="55"/>
      <c r="S681" s="468"/>
      <c r="T681" s="55"/>
      <c r="U681" s="55"/>
    </row>
    <row r="682" spans="1:21" ht="19.5" hidden="1">
      <c r="A682" s="238"/>
      <c r="B682" s="188"/>
      <c r="C682" s="188"/>
      <c r="D682" s="58" t="s">
        <v>252</v>
      </c>
      <c r="E682" s="50"/>
      <c r="F682" s="50"/>
      <c r="G682" s="52"/>
      <c r="H682" s="461" t="s">
        <v>46</v>
      </c>
      <c r="I682" s="569">
        <f ca="1">IFERROR(__xludf.DUMMYFUNCTION("IMPORTRANGE(""https://docs.google.com/spreadsheets/d/1eHaY18a8A9IcSdp1K8H6x8fbOy06t2VsZHhMHf-1x7Y/edit?usp=sharing"",""แผน!IS41"")"),0)</f>
        <v>0</v>
      </c>
      <c r="J682" s="373">
        <f>J685+J688</f>
        <v>0</v>
      </c>
      <c r="K682" s="540">
        <f ca="1">IF(I682&gt;0,J682*100/I682,0)</f>
        <v>0</v>
      </c>
      <c r="L682" s="62"/>
      <c r="M682" s="55"/>
      <c r="N682" s="468"/>
      <c r="O682" s="55"/>
      <c r="P682" s="55"/>
      <c r="Q682" s="55"/>
      <c r="R682" s="55"/>
      <c r="S682" s="468"/>
      <c r="T682" s="55"/>
      <c r="U682" s="55"/>
    </row>
    <row r="683" spans="1:21" ht="18.75" hidden="1">
      <c r="A683" s="238"/>
      <c r="B683" s="188"/>
      <c r="C683" s="188"/>
      <c r="D683" s="50"/>
      <c r="E683" s="58" t="s">
        <v>253</v>
      </c>
      <c r="F683" s="50"/>
      <c r="G683" s="52"/>
      <c r="H683" s="165" t="s">
        <v>35</v>
      </c>
      <c r="I683" s="208"/>
      <c r="J683" s="467">
        <v>0</v>
      </c>
      <c r="K683" s="55"/>
      <c r="L683" s="469"/>
      <c r="M683" s="55"/>
      <c r="N683" s="468"/>
      <c r="O683" s="55"/>
      <c r="P683" s="55"/>
      <c r="Q683" s="468"/>
      <c r="R683" s="55"/>
      <c r="S683" s="468"/>
      <c r="T683" s="55"/>
      <c r="U683" s="55"/>
    </row>
    <row r="684" spans="1:21" ht="18.75" hidden="1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467">
        <v>0</v>
      </c>
      <c r="K684" s="55"/>
      <c r="L684" s="469"/>
      <c r="M684" s="55"/>
      <c r="N684" s="468"/>
      <c r="O684" s="55"/>
      <c r="P684" s="55"/>
      <c r="Q684" s="468"/>
      <c r="R684" s="55"/>
      <c r="S684" s="468"/>
      <c r="T684" s="55"/>
      <c r="U684" s="55"/>
    </row>
    <row r="685" spans="1:21" ht="18.75" hidden="1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467">
        <v>0</v>
      </c>
      <c r="K685" s="55"/>
      <c r="L685" s="469"/>
      <c r="M685" s="55"/>
      <c r="N685" s="468"/>
      <c r="O685" s="55"/>
      <c r="P685" s="55"/>
      <c r="Q685" s="468"/>
      <c r="R685" s="55"/>
      <c r="S685" s="468"/>
      <c r="T685" s="55"/>
      <c r="U685" s="55"/>
    </row>
    <row r="686" spans="1:21" ht="18.75" hidden="1">
      <c r="A686" s="238"/>
      <c r="B686" s="188"/>
      <c r="C686" s="188"/>
      <c r="D686" s="50"/>
      <c r="E686" s="58" t="s">
        <v>254</v>
      </c>
      <c r="F686" s="50"/>
      <c r="G686" s="52"/>
      <c r="H686" s="165" t="s">
        <v>35</v>
      </c>
      <c r="I686" s="208"/>
      <c r="J686" s="467">
        <v>0</v>
      </c>
      <c r="K686" s="55"/>
      <c r="L686" s="469"/>
      <c r="M686" s="55"/>
      <c r="N686" s="468"/>
      <c r="O686" s="55"/>
      <c r="P686" s="55"/>
      <c r="Q686" s="468"/>
      <c r="R686" s="55"/>
      <c r="S686" s="468"/>
      <c r="T686" s="55"/>
      <c r="U686" s="55"/>
    </row>
    <row r="687" spans="1:21" ht="18.75" hidden="1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467">
        <v>0</v>
      </c>
      <c r="K687" s="55"/>
      <c r="L687" s="469"/>
      <c r="M687" s="55"/>
      <c r="N687" s="468"/>
      <c r="O687" s="55"/>
      <c r="P687" s="55"/>
      <c r="Q687" s="468"/>
      <c r="R687" s="55"/>
      <c r="S687" s="468"/>
      <c r="T687" s="55"/>
      <c r="U687" s="55"/>
    </row>
    <row r="688" spans="1:21" ht="19.5" hidden="1">
      <c r="A688" s="281"/>
      <c r="B688" s="470" t="s">
        <v>255</v>
      </c>
      <c r="C688" s="282"/>
      <c r="D688" s="2"/>
      <c r="E688" s="2"/>
      <c r="F688" s="2"/>
      <c r="G688" s="284"/>
      <c r="H688" s="214" t="s">
        <v>46</v>
      </c>
      <c r="I688" s="375"/>
      <c r="J688" s="538">
        <v>0</v>
      </c>
      <c r="K688" s="6"/>
      <c r="L688" s="472"/>
      <c r="M688" s="6"/>
      <c r="N688" s="471"/>
      <c r="O688" s="6"/>
      <c r="P688" s="6"/>
      <c r="Q688" s="471"/>
      <c r="R688" s="6"/>
      <c r="S688" s="471"/>
      <c r="T688" s="6"/>
      <c r="U688" s="6"/>
    </row>
    <row r="689" spans="1:21" ht="19.5">
      <c r="A689" s="442"/>
      <c r="B689" s="443" t="s">
        <v>256</v>
      </c>
      <c r="C689" s="442"/>
      <c r="D689" s="444"/>
      <c r="E689" s="444"/>
      <c r="F689" s="444"/>
      <c r="G689" s="445"/>
      <c r="H689" s="473" t="s">
        <v>35</v>
      </c>
      <c r="I689" s="544">
        <f ca="1">I707</f>
        <v>105</v>
      </c>
      <c r="J689" s="544">
        <f ca="1">J707</f>
        <v>0</v>
      </c>
      <c r="K689" s="543">
        <f ca="1">IF(I689&gt;0,J689*100/I689,0)</f>
        <v>0</v>
      </c>
      <c r="L689" s="449"/>
      <c r="M689" s="448"/>
      <c r="N689" s="448"/>
      <c r="O689" s="448"/>
      <c r="P689" s="448"/>
      <c r="Q689" s="448"/>
      <c r="R689" s="448"/>
      <c r="S689" s="448"/>
      <c r="T689" s="448"/>
      <c r="U689" s="448"/>
    </row>
    <row r="690" spans="1:21" ht="19.5">
      <c r="A690" s="155"/>
      <c r="B690" s="188"/>
      <c r="C690" s="205" t="s">
        <v>18</v>
      </c>
      <c r="D690" s="542" t="s">
        <v>19</v>
      </c>
      <c r="E690" s="529"/>
      <c r="F690" s="529"/>
      <c r="G690" s="530"/>
      <c r="H690" s="252" t="s">
        <v>14</v>
      </c>
      <c r="I690" s="54"/>
      <c r="J690" s="54"/>
      <c r="K690" s="55"/>
      <c r="L690" s="541">
        <f>L691+L692</f>
        <v>0</v>
      </c>
      <c r="M690" s="540">
        <f>M691+M692</f>
        <v>0</v>
      </c>
      <c r="N690" s="540">
        <f>N691+N692</f>
        <v>0</v>
      </c>
      <c r="O690" s="540">
        <f>IF(L690&gt;0,N690*100/L690,0)</f>
        <v>0</v>
      </c>
      <c r="P690" s="540">
        <f>IF(M690&gt;0,N690*100/M690,0)</f>
        <v>0</v>
      </c>
      <c r="Q690" s="540">
        <f ca="1">Q691+Q692</f>
        <v>224460</v>
      </c>
      <c r="R690" s="540">
        <f ca="1">R691+R692</f>
        <v>224460</v>
      </c>
      <c r="S690" s="540">
        <f ca="1">S691+S692</f>
        <v>70110</v>
      </c>
      <c r="T690" s="540">
        <f ca="1">IF(Q690&gt;0,S690*100/Q690,0)</f>
        <v>31.234963913392143</v>
      </c>
      <c r="U690" s="540">
        <f ca="1">IF(R690&gt;0,S690*100/R690,0)</f>
        <v>31.234963913392143</v>
      </c>
    </row>
    <row r="691" spans="1:21" ht="18.75" hidden="1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103">
        <f>L694+L697</f>
        <v>0</v>
      </c>
      <c r="M691" s="102">
        <f>M694+M697</f>
        <v>0</v>
      </c>
      <c r="N691" s="102">
        <f>N694+N697</f>
        <v>0</v>
      </c>
      <c r="O691" s="102">
        <f>IF(L691&gt;0,N691*100/L691,0)</f>
        <v>0</v>
      </c>
      <c r="P691" s="102">
        <f>IF(M691&gt;0,N691*100/M691,0)</f>
        <v>0</v>
      </c>
      <c r="Q691" s="102">
        <f>Q694+Q697</f>
        <v>0</v>
      </c>
      <c r="R691" s="102">
        <f>R694+R697</f>
        <v>0</v>
      </c>
      <c r="S691" s="102">
        <f>S694+S697</f>
        <v>0</v>
      </c>
      <c r="T691" s="102">
        <f>IF(Q691&gt;0,S691*100/Q691,0)</f>
        <v>0</v>
      </c>
      <c r="U691" s="102">
        <f>IF(R691&gt;0,S691*100/R691,0)</f>
        <v>0</v>
      </c>
    </row>
    <row r="692" spans="1:21" ht="18.75" hidden="1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256">
        <f>L695+L698</f>
        <v>0</v>
      </c>
      <c r="M692" s="255">
        <f>M695+M698</f>
        <v>0</v>
      </c>
      <c r="N692" s="255">
        <f>N695+N698</f>
        <v>0</v>
      </c>
      <c r="O692" s="255">
        <f>IF(L692&gt;0,N692*100/L692,0)</f>
        <v>0</v>
      </c>
      <c r="P692" s="255">
        <f>IF(M692&gt;0,N692*100/M692,0)</f>
        <v>0</v>
      </c>
      <c r="Q692" s="255">
        <f ca="1">Q695+Q698</f>
        <v>224460</v>
      </c>
      <c r="R692" s="255">
        <f ca="1">R695+R698</f>
        <v>224460</v>
      </c>
      <c r="S692" s="255">
        <f ca="1">S695+S698</f>
        <v>70110</v>
      </c>
      <c r="T692" s="255">
        <f ca="1">IF(Q692&gt;0,S692*100/Q692,0)</f>
        <v>31.234963913392143</v>
      </c>
      <c r="U692" s="255">
        <f ca="1">IF(R692&gt;0,S692*100/R692,0)</f>
        <v>31.234963913392143</v>
      </c>
    </row>
    <row r="693" spans="1:21" ht="18.75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256">
        <f>L694+L695</f>
        <v>0</v>
      </c>
      <c r="M693" s="255">
        <f>M694+M695</f>
        <v>0</v>
      </c>
      <c r="N693" s="255">
        <f>N694+N695</f>
        <v>0</v>
      </c>
      <c r="O693" s="255">
        <f>IF(L693&gt;0,N693*100/L693,0)</f>
        <v>0</v>
      </c>
      <c r="P693" s="255">
        <f>IF(M693&gt;0,N693*100/M693,0)</f>
        <v>0</v>
      </c>
      <c r="Q693" s="255">
        <f ca="1">Q694+Q695</f>
        <v>224460</v>
      </c>
      <c r="R693" s="255">
        <f ca="1">R694+R695</f>
        <v>224460</v>
      </c>
      <c r="S693" s="255">
        <f ca="1">S694+S695</f>
        <v>70110</v>
      </c>
      <c r="T693" s="255">
        <f ca="1">IF(Q693&gt;0,S693*100/Q693,0)</f>
        <v>31.234963913392143</v>
      </c>
      <c r="U693" s="255">
        <f ca="1">IF(R693&gt;0,S693*100/R693,0)</f>
        <v>31.234963913392143</v>
      </c>
    </row>
    <row r="694" spans="1:21" ht="18.75" hidden="1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103">
        <v>0</v>
      </c>
      <c r="M694" s="102">
        <v>0</v>
      </c>
      <c r="N694" s="102">
        <v>0</v>
      </c>
      <c r="O694" s="102">
        <f>IF(L694&gt;0,N694*100/L694,0)</f>
        <v>0</v>
      </c>
      <c r="P694" s="102">
        <f>IF(M694&gt;0,N694*100/M694,0)</f>
        <v>0</v>
      </c>
      <c r="Q694" s="102">
        <v>0</v>
      </c>
      <c r="R694" s="102">
        <v>0</v>
      </c>
      <c r="S694" s="102">
        <v>0</v>
      </c>
      <c r="T694" s="102">
        <f>IF(Q694&gt;0,S694*100/Q694,0)</f>
        <v>0</v>
      </c>
      <c r="U694" s="102">
        <f>IF(R694&gt;0,S694*100/R694,0)</f>
        <v>0</v>
      </c>
    </row>
    <row r="695" spans="1:21" ht="18.75" hidden="1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256">
        <v>0</v>
      </c>
      <c r="M695" s="255">
        <v>0</v>
      </c>
      <c r="N695" s="255">
        <v>0</v>
      </c>
      <c r="O695" s="255">
        <f>IF(L695&gt;0,N695*100/L695,0)</f>
        <v>0</v>
      </c>
      <c r="P695" s="255">
        <f>IF(M695&gt;0,N695*100/M695,0)</f>
        <v>0</v>
      </c>
      <c r="Q695" s="255">
        <f ca="1">IFERROR(__xludf.DUMMYFUNCTION("IMPORTRANGE(""https://docs.google.com/spreadsheets/d/1ItG2mGa2ceCfYo0BwxsXqNm01IGEUdYcSSLTEv9YCik/edit?usp=sharing"",""เบิกจ่ายกองทุน!L41"")"),224460)</f>
        <v>224460</v>
      </c>
      <c r="R695" s="255">
        <f ca="1">IFERROR(__xludf.DUMMYFUNCTION("IMPORTRANGE(""https://docs.google.com/spreadsheets/d/1ItG2mGa2ceCfYo0BwxsXqNm01IGEUdYcSSLTEv9YCik/edit?usp=sharing"",""เบิกจ่ายกองทุน!M41"")"),224460)</f>
        <v>224460</v>
      </c>
      <c r="S695" s="255">
        <f ca="1">IFERROR(__xludf.DUMMYFUNCTION("IMPORTRANGE(""https://docs.google.com/spreadsheets/d/1ItG2mGa2ceCfYo0BwxsXqNm01IGEUdYcSSLTEv9YCik/edit?usp=sharing"",""เบิกจ่ายกองทุน!N41"")"),70110)</f>
        <v>70110</v>
      </c>
      <c r="T695" s="255">
        <f ca="1">IF(Q695&gt;0,S695*100/Q695,0)</f>
        <v>31.234963913392143</v>
      </c>
      <c r="U695" s="255">
        <f ca="1">IF(R695&gt;0,S695*100/R695,0)</f>
        <v>31.234963913392143</v>
      </c>
    </row>
    <row r="696" spans="1:21" ht="18.75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256">
        <f>L697+L698</f>
        <v>0</v>
      </c>
      <c r="M696" s="255">
        <f>M697+M698</f>
        <v>0</v>
      </c>
      <c r="N696" s="255">
        <f>N697+N698</f>
        <v>0</v>
      </c>
      <c r="O696" s="255">
        <f>IF(L696&gt;0,N696*100/L696,0)</f>
        <v>0</v>
      </c>
      <c r="P696" s="255">
        <f>IF(M696&gt;0,N696*100/M696,0)</f>
        <v>0</v>
      </c>
      <c r="Q696" s="255">
        <f>Q697+Q698</f>
        <v>0</v>
      </c>
      <c r="R696" s="255">
        <f>R697+R698</f>
        <v>0</v>
      </c>
      <c r="S696" s="255">
        <f>S697+S698</f>
        <v>0</v>
      </c>
      <c r="T696" s="255">
        <f>IF(Q696&gt;0,S696*100/Q696,0)</f>
        <v>0</v>
      </c>
      <c r="U696" s="255">
        <f>IF(R696&gt;0,S696*100/R696,0)</f>
        <v>0</v>
      </c>
    </row>
    <row r="697" spans="1:21" ht="18.75" hidden="1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103">
        <v>0</v>
      </c>
      <c r="M697" s="102">
        <v>0</v>
      </c>
      <c r="N697" s="102">
        <v>0</v>
      </c>
      <c r="O697" s="102">
        <f>IF(L697&gt;0,N697*100/L697,0)</f>
        <v>0</v>
      </c>
      <c r="P697" s="102">
        <f>IF(M697&gt;0,N697*100/M697,0)</f>
        <v>0</v>
      </c>
      <c r="Q697" s="102">
        <v>0</v>
      </c>
      <c r="R697" s="102">
        <v>0</v>
      </c>
      <c r="S697" s="102">
        <v>0</v>
      </c>
      <c r="T697" s="102">
        <f>IF(Q697&gt;0,S697*100/Q697,0)</f>
        <v>0</v>
      </c>
      <c r="U697" s="102">
        <f>IF(R697&gt;0,S697*100/R697,0)</f>
        <v>0</v>
      </c>
    </row>
    <row r="698" spans="1:21" ht="18.75" hidden="1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256">
        <v>0</v>
      </c>
      <c r="M698" s="255">
        <v>0</v>
      </c>
      <c r="N698" s="255">
        <v>0</v>
      </c>
      <c r="O698" s="255">
        <f>IF(L698&gt;0,N698*100/L698,0)</f>
        <v>0</v>
      </c>
      <c r="P698" s="255">
        <f>IF(M698&gt;0,N698*100/M698,0)</f>
        <v>0</v>
      </c>
      <c r="Q698" s="255">
        <v>0</v>
      </c>
      <c r="R698" s="255">
        <v>0</v>
      </c>
      <c r="S698" s="255">
        <v>0</v>
      </c>
      <c r="T698" s="255">
        <f>IF(Q698&gt;0,S698*100/Q698,0)</f>
        <v>0</v>
      </c>
      <c r="U698" s="255">
        <f>IF(R698&gt;0,S698*100/R698,0)</f>
        <v>0</v>
      </c>
    </row>
    <row r="699" spans="1:21" ht="19.5">
      <c r="A699" s="166"/>
      <c r="B699" s="167"/>
      <c r="C699" s="205" t="s">
        <v>18</v>
      </c>
      <c r="D699" s="566" t="s">
        <v>38</v>
      </c>
      <c r="E699" s="169"/>
      <c r="F699" s="169"/>
      <c r="G699" s="169"/>
      <c r="H699" s="206"/>
      <c r="I699" s="163"/>
      <c r="J699" s="163"/>
      <c r="K699" s="164"/>
      <c r="L699" s="62"/>
      <c r="M699" s="55"/>
      <c r="N699" s="55"/>
      <c r="O699" s="55"/>
      <c r="P699" s="55"/>
      <c r="Q699" s="55"/>
      <c r="R699" s="55"/>
      <c r="S699" s="55"/>
      <c r="T699" s="55"/>
      <c r="U699" s="55"/>
    </row>
    <row r="700" spans="1:21" ht="18.75">
      <c r="A700" s="238"/>
      <c r="B700" s="188"/>
      <c r="C700" s="188"/>
      <c r="D700" s="174"/>
      <c r="E700" s="173" t="s">
        <v>257</v>
      </c>
      <c r="F700" s="174"/>
      <c r="G700" s="171"/>
      <c r="H700" s="165" t="s">
        <v>258</v>
      </c>
      <c r="I700" s="212">
        <f ca="1">IFERROR(__xludf.DUMMYFUNCTION("IMPORTRANGE(""https://docs.google.com/spreadsheets/d/1eHaY18a8A9IcSdp1K8H6x8fbOy06t2VsZHhMHf-1x7Y/edit?usp=sharing"",""แผน!LC41"")"),0)</f>
        <v>0</v>
      </c>
      <c r="J700" s="467">
        <v>0</v>
      </c>
      <c r="K700" s="565">
        <f ca="1">IF(I700&gt;0,J700*100/I700,0)</f>
        <v>0</v>
      </c>
      <c r="L700" s="172"/>
      <c r="M700" s="164"/>
      <c r="N700" s="55"/>
      <c r="O700" s="164"/>
      <c r="P700" s="164"/>
      <c r="Q700" s="164"/>
      <c r="R700" s="164"/>
      <c r="S700" s="55"/>
      <c r="T700" s="164"/>
      <c r="U700" s="164"/>
    </row>
    <row r="701" spans="1:21" ht="19.5">
      <c r="A701" s="238"/>
      <c r="B701" s="188"/>
      <c r="C701" s="188"/>
      <c r="D701" s="174"/>
      <c r="E701" s="476" t="s">
        <v>259</v>
      </c>
      <c r="F701" s="174"/>
      <c r="G701" s="171"/>
      <c r="H701" s="158" t="s">
        <v>35</v>
      </c>
      <c r="I701" s="373">
        <f ca="1">I703+I705</f>
        <v>112</v>
      </c>
      <c r="J701" s="373">
        <f ca="1">J703+J705</f>
        <v>0</v>
      </c>
      <c r="K701" s="540">
        <f ca="1">IF(I701&gt;0,J701*100/I701,0)</f>
        <v>0</v>
      </c>
      <c r="L701" s="172"/>
      <c r="M701" s="164"/>
      <c r="N701" s="164"/>
      <c r="O701" s="164"/>
      <c r="P701" s="164"/>
      <c r="Q701" s="164"/>
      <c r="R701" s="164"/>
      <c r="S701" s="164"/>
      <c r="T701" s="164"/>
      <c r="U701" s="164"/>
    </row>
    <row r="702" spans="1:21" ht="19.5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73">
        <v>0</v>
      </c>
      <c r="J702" s="373">
        <f ca="1">J704+J706</f>
        <v>0</v>
      </c>
      <c r="K702" s="540">
        <f>IF(I702&gt;0,J702*100/I702,0)</f>
        <v>0</v>
      </c>
      <c r="L702" s="172"/>
      <c r="M702" s="164"/>
      <c r="N702" s="164"/>
      <c r="O702" s="164"/>
      <c r="P702" s="164"/>
      <c r="Q702" s="164"/>
      <c r="R702" s="164"/>
      <c r="S702" s="164"/>
      <c r="T702" s="164"/>
      <c r="U702" s="164"/>
    </row>
    <row r="703" spans="1:21" ht="18.75">
      <c r="A703" s="238"/>
      <c r="B703" s="188"/>
      <c r="C703" s="188"/>
      <c r="D703" s="174"/>
      <c r="E703" s="174"/>
      <c r="F703" s="173" t="s">
        <v>260</v>
      </c>
      <c r="G703" s="171"/>
      <c r="H703" s="165" t="s">
        <v>35</v>
      </c>
      <c r="I703" s="212">
        <f ca="1">IFERROR(__xludf.DUMMYFUNCTION("IMPORTRANGE(""https://docs.google.com/spreadsheets/d/1eHaY18a8A9IcSdp1K8H6x8fbOy06t2VsZHhMHf-1x7Y/edit?usp=sharing"",""แผน!LJ41"")"),105)</f>
        <v>105</v>
      </c>
      <c r="J703" s="212">
        <f ca="1">IFERROR(__xludf.DUMMYFUNCTION("IMPORTRANGE(""https://docs.google.com/spreadsheets/d/1tdoBKaGub7dwA3U6UFTqxio9LNnvDCQjHKmttSEBsFQ/edit?usp=sharing"",""จัดที่ดิน!AP41"")"),0)</f>
        <v>0</v>
      </c>
      <c r="K703" s="255">
        <f ca="1">IF(I703&gt;0,J703*100/I703,0)</f>
        <v>0</v>
      </c>
      <c r="L703" s="172"/>
      <c r="M703" s="164"/>
      <c r="N703" s="164"/>
      <c r="O703" s="164"/>
      <c r="P703" s="164"/>
      <c r="Q703" s="164"/>
      <c r="R703" s="164"/>
      <c r="S703" s="164"/>
      <c r="T703" s="164"/>
      <c r="U703" s="164"/>
    </row>
    <row r="704" spans="1:21" ht="18.75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212">
        <f ca="1">IFERROR(__xludf.DUMMYFUNCTION("IMPORTRANGE(""https://docs.google.com/spreadsheets/d/1tdoBKaGub7dwA3U6UFTqxio9LNnvDCQjHKmttSEBsFQ/edit?usp=sharing"",""จัดที่ดิน!AQ41"")"),0)</f>
        <v>0</v>
      </c>
      <c r="K704" s="255">
        <f>IF(I704&gt;0,J704*100/I704,0)</f>
        <v>0</v>
      </c>
      <c r="L704" s="172"/>
      <c r="M704" s="164"/>
      <c r="N704" s="164"/>
      <c r="O704" s="164"/>
      <c r="P704" s="164"/>
      <c r="Q704" s="164"/>
      <c r="R704" s="164"/>
      <c r="S704" s="164"/>
      <c r="T704" s="164"/>
      <c r="U704" s="164"/>
    </row>
    <row r="705" spans="1:21" ht="18.75">
      <c r="A705" s="238"/>
      <c r="B705" s="188"/>
      <c r="C705" s="188"/>
      <c r="D705" s="174"/>
      <c r="E705" s="174"/>
      <c r="F705" s="173" t="s">
        <v>261</v>
      </c>
      <c r="G705" s="171"/>
      <c r="H705" s="165" t="s">
        <v>35</v>
      </c>
      <c r="I705" s="212">
        <f ca="1">IFERROR(__xludf.DUMMYFUNCTION("IMPORTRANGE(""https://docs.google.com/spreadsheets/d/1eHaY18a8A9IcSdp1K8H6x8fbOy06t2VsZHhMHf-1x7Y/edit?usp=sharing"",""แผน!LK41"")"),7)</f>
        <v>7</v>
      </c>
      <c r="J705" s="212">
        <f ca="1">IFERROR(__xludf.DUMMYFUNCTION("IMPORTRANGE(""https://docs.google.com/spreadsheets/d/1tdoBKaGub7dwA3U6UFTqxio9LNnvDCQjHKmttSEBsFQ/edit?usp=sharing"",""จัดที่ดิน!AR41"")"),0)</f>
        <v>0</v>
      </c>
      <c r="K705" s="565">
        <f ca="1">IF(I705&gt;0,J705*100/I705,0)</f>
        <v>0</v>
      </c>
      <c r="L705" s="172"/>
      <c r="M705" s="164"/>
      <c r="N705" s="164"/>
      <c r="O705" s="164"/>
      <c r="P705" s="164"/>
      <c r="Q705" s="164"/>
      <c r="R705" s="164"/>
      <c r="S705" s="164"/>
      <c r="T705" s="164"/>
      <c r="U705" s="164"/>
    </row>
    <row r="706" spans="1:21" ht="18.75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212">
        <f ca="1">IFERROR(__xludf.DUMMYFUNCTION("IMPORTRANGE(""https://docs.google.com/spreadsheets/d/1tdoBKaGub7dwA3U6UFTqxio9LNnvDCQjHKmttSEBsFQ/edit?usp=sharing"",""จัดที่ดิน!AS41"")"),0)</f>
        <v>0</v>
      </c>
      <c r="K706" s="255">
        <f>IF(I706&gt;0,J706*100/I706,0)</f>
        <v>0</v>
      </c>
      <c r="L706" s="172"/>
      <c r="M706" s="164"/>
      <c r="N706" s="164"/>
      <c r="O706" s="164"/>
      <c r="P706" s="164"/>
      <c r="Q706" s="164"/>
      <c r="R706" s="164"/>
      <c r="S706" s="164"/>
      <c r="T706" s="164"/>
      <c r="U706" s="164"/>
    </row>
    <row r="707" spans="1:21" ht="18.75">
      <c r="A707" s="238"/>
      <c r="B707" s="188"/>
      <c r="C707" s="188"/>
      <c r="D707" s="174"/>
      <c r="E707" s="173" t="s">
        <v>262</v>
      </c>
      <c r="F707" s="174"/>
      <c r="G707" s="171"/>
      <c r="H707" s="162" t="s">
        <v>35</v>
      </c>
      <c r="I707" s="212">
        <f ca="1">IFERROR(__xludf.DUMMYFUNCTION("IMPORTRANGE(""https://docs.google.com/spreadsheets/d/1eHaY18a8A9IcSdp1K8H6x8fbOy06t2VsZHhMHf-1x7Y/edit?usp=sharing"",""แผน!LJ41"")"),105)</f>
        <v>105</v>
      </c>
      <c r="J707" s="212">
        <f ca="1">IFERROR(__xludf.DUMMYFUNCTION("IMPORTRANGE(""https://docs.google.com/spreadsheets/d/1tdoBKaGub7dwA3U6UFTqxio9LNnvDCQjHKmttSEBsFQ/edit?usp=sharing"",""จัดที่ดิน!BN41"")"),0)</f>
        <v>0</v>
      </c>
      <c r="K707" s="255">
        <f ca="1">IF(I707&gt;0,J707*100/I707,0)</f>
        <v>0</v>
      </c>
      <c r="L707" s="172"/>
      <c r="M707" s="164"/>
      <c r="N707" s="164"/>
      <c r="O707" s="164"/>
      <c r="P707" s="164"/>
      <c r="Q707" s="164"/>
      <c r="R707" s="164"/>
      <c r="S707" s="164"/>
      <c r="T707" s="164"/>
      <c r="U707" s="164"/>
    </row>
    <row r="708" spans="1:21" ht="18.75">
      <c r="A708" s="238"/>
      <c r="B708" s="188"/>
      <c r="C708" s="188"/>
      <c r="D708" s="174"/>
      <c r="E708" s="477" t="s">
        <v>263</v>
      </c>
      <c r="F708" s="174"/>
      <c r="G708" s="171"/>
      <c r="H708" s="162" t="s">
        <v>46</v>
      </c>
      <c r="I708" s="212">
        <v>0</v>
      </c>
      <c r="J708" s="212">
        <f ca="1">IFERROR(__xludf.DUMMYFUNCTION("IMPORTRANGE(""https://docs.google.com/spreadsheets/d/1tdoBKaGub7dwA3U6UFTqxio9LNnvDCQjHKmttSEBsFQ/edit?usp=sharing"",""จัดที่ดิน!BO41"")"),0)</f>
        <v>0</v>
      </c>
      <c r="K708" s="255">
        <f>IF(I708&gt;0,J708*100/I708,0)</f>
        <v>0</v>
      </c>
      <c r="L708" s="172"/>
      <c r="M708" s="164"/>
      <c r="N708" s="164"/>
      <c r="O708" s="164"/>
      <c r="P708" s="164"/>
      <c r="Q708" s="164"/>
      <c r="R708" s="164"/>
      <c r="S708" s="164"/>
      <c r="T708" s="164"/>
      <c r="U708" s="164"/>
    </row>
    <row r="709" spans="1:21" ht="18.75">
      <c r="A709" s="238"/>
      <c r="B709" s="188"/>
      <c r="C709" s="188"/>
      <c r="D709" s="50"/>
      <c r="E709" s="58" t="s">
        <v>264</v>
      </c>
      <c r="F709" s="50"/>
      <c r="G709" s="52"/>
      <c r="H709" s="203" t="s">
        <v>35</v>
      </c>
      <c r="I709" s="212">
        <f ca="1">IFERROR(__xludf.DUMMYFUNCTION("IMPORTRANGE(""https://docs.google.com/spreadsheets/d/1eHaY18a8A9IcSdp1K8H6x8fbOy06t2VsZHhMHf-1x7Y/edit?usp=sharing"",""แผน!LK41"")"),7)</f>
        <v>7</v>
      </c>
      <c r="J709" s="212">
        <f ca="1">IFERROR(__xludf.DUMMYFUNCTION("IMPORTRANGE(""https://docs.google.com/spreadsheets/d/1tdoBKaGub7dwA3U6UFTqxio9LNnvDCQjHKmttSEBsFQ/edit?usp=sharing"",""จัดที่ดิน!BP41"")"),0)</f>
        <v>0</v>
      </c>
      <c r="K709" s="255">
        <f ca="1">IF(I709&gt;0,J709*100/I709,0)</f>
        <v>0</v>
      </c>
      <c r="L709" s="62"/>
      <c r="M709" s="55"/>
      <c r="N709" s="55"/>
      <c r="O709" s="55"/>
      <c r="P709" s="55"/>
      <c r="Q709" s="55"/>
      <c r="R709" s="55"/>
      <c r="S709" s="55"/>
      <c r="T709" s="55"/>
      <c r="U709" s="55"/>
    </row>
    <row r="710" spans="1:21" ht="18.75">
      <c r="A710" s="238"/>
      <c r="B710" s="188"/>
      <c r="C710" s="188"/>
      <c r="D710" s="50"/>
      <c r="E710" s="477" t="s">
        <v>265</v>
      </c>
      <c r="F710" s="50"/>
      <c r="G710" s="52"/>
      <c r="H710" s="203" t="s">
        <v>46</v>
      </c>
      <c r="I710" s="212">
        <v>0</v>
      </c>
      <c r="J710" s="212">
        <f ca="1">IFERROR(__xludf.DUMMYFUNCTION("IMPORTRANGE(""https://docs.google.com/spreadsheets/d/1tdoBKaGub7dwA3U6UFTqxio9LNnvDCQjHKmttSEBsFQ/edit?usp=sharing"",""จัดที่ดิน!BQ41"")"),0)</f>
        <v>0</v>
      </c>
      <c r="K710" s="255">
        <f>IF(I710&gt;0,J710*100/I710,0)</f>
        <v>0</v>
      </c>
      <c r="L710" s="62"/>
      <c r="M710" s="55"/>
      <c r="N710" s="55"/>
      <c r="O710" s="55"/>
      <c r="P710" s="55"/>
      <c r="Q710" s="55"/>
      <c r="R710" s="55"/>
      <c r="S710" s="55"/>
      <c r="T710" s="55"/>
      <c r="U710" s="55"/>
    </row>
    <row r="711" spans="1:21" ht="12.75" hidden="1">
      <c r="A711" s="407"/>
      <c r="B711" s="360"/>
      <c r="C711" s="360"/>
      <c r="D711" s="408"/>
      <c r="E711" s="408"/>
      <c r="F711" s="408"/>
      <c r="G711" s="409"/>
      <c r="H711" s="361"/>
      <c r="I711" s="362"/>
      <c r="J711" s="362"/>
      <c r="K711" s="363"/>
      <c r="L711" s="364"/>
      <c r="M711" s="363"/>
      <c r="N711" s="363"/>
      <c r="O711" s="363"/>
      <c r="P711" s="363"/>
      <c r="Q711" s="363"/>
      <c r="R711" s="363"/>
      <c r="S711" s="363"/>
      <c r="T711" s="363"/>
      <c r="U711" s="363"/>
    </row>
    <row r="712" spans="1:21" ht="19.5" hidden="1">
      <c r="A712" s="442"/>
      <c r="B712" s="478" t="s">
        <v>266</v>
      </c>
      <c r="C712" s="442"/>
      <c r="D712" s="444"/>
      <c r="E712" s="444"/>
      <c r="F712" s="444"/>
      <c r="G712" s="445"/>
      <c r="H712" s="479" t="s">
        <v>46</v>
      </c>
      <c r="I712" s="447"/>
      <c r="J712" s="447">
        <f>J724</f>
        <v>0</v>
      </c>
      <c r="K712" s="564">
        <f>IF(I712&gt;0,J712*100/I712,0)</f>
        <v>0</v>
      </c>
      <c r="L712" s="449"/>
      <c r="M712" s="448"/>
      <c r="N712" s="448"/>
      <c r="O712" s="448"/>
      <c r="P712" s="448"/>
      <c r="Q712" s="448"/>
      <c r="R712" s="448"/>
      <c r="S712" s="448"/>
      <c r="T712" s="448"/>
      <c r="U712" s="448"/>
    </row>
    <row r="713" spans="1:21" ht="19.5" hidden="1">
      <c r="A713" s="442"/>
      <c r="B713" s="478" t="s">
        <v>267</v>
      </c>
      <c r="C713" s="442"/>
      <c r="D713" s="444"/>
      <c r="E713" s="444"/>
      <c r="F713" s="444"/>
      <c r="G713" s="445"/>
      <c r="H713" s="446"/>
      <c r="I713" s="447"/>
      <c r="J713" s="447"/>
      <c r="K713" s="448"/>
      <c r="L713" s="449"/>
      <c r="M713" s="448"/>
      <c r="N713" s="448"/>
      <c r="O713" s="448"/>
      <c r="P713" s="448"/>
      <c r="Q713" s="448"/>
      <c r="R713" s="448"/>
      <c r="S713" s="448"/>
      <c r="T713" s="448"/>
      <c r="U713" s="448"/>
    </row>
    <row r="714" spans="1:21" ht="19.5" hidden="1">
      <c r="A714" s="155"/>
      <c r="B714" s="188"/>
      <c r="C714" s="358" t="s">
        <v>18</v>
      </c>
      <c r="D714" s="563" t="s">
        <v>19</v>
      </c>
      <c r="E714" s="529"/>
      <c r="F714" s="529"/>
      <c r="G714" s="530"/>
      <c r="H714" s="418" t="s">
        <v>14</v>
      </c>
      <c r="I714" s="54"/>
      <c r="J714" s="54"/>
      <c r="K714" s="55"/>
      <c r="L714" s="541">
        <f>L715+L716</f>
        <v>0</v>
      </c>
      <c r="M714" s="540">
        <f>M715+M716</f>
        <v>0</v>
      </c>
      <c r="N714" s="540">
        <f>N715+N716</f>
        <v>0</v>
      </c>
      <c r="O714" s="540">
        <f>IF(L714&gt;0,N714*100/L714,0)</f>
        <v>0</v>
      </c>
      <c r="P714" s="540">
        <f>IF(M714&gt;0,N714*100/M714,0)</f>
        <v>0</v>
      </c>
      <c r="Q714" s="540">
        <f>Q715+Q716</f>
        <v>0</v>
      </c>
      <c r="R714" s="540">
        <f>R715+R716</f>
        <v>0</v>
      </c>
      <c r="S714" s="540">
        <f>S715+S716</f>
        <v>0</v>
      </c>
      <c r="T714" s="540">
        <f>IF(Q714&gt;0,S714*100/Q714,0)</f>
        <v>0</v>
      </c>
      <c r="U714" s="540">
        <f>IF(R714&gt;0,S714*100/R714,0)</f>
        <v>0</v>
      </c>
    </row>
    <row r="715" spans="1:21" ht="18.75" hidden="1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103">
        <f>L718+L721</f>
        <v>0</v>
      </c>
      <c r="M715" s="102">
        <f>M718+M721</f>
        <v>0</v>
      </c>
      <c r="N715" s="102">
        <f>N718+N721</f>
        <v>0</v>
      </c>
      <c r="O715" s="102">
        <f>IF(L715&gt;0,N715*100/L715,0)</f>
        <v>0</v>
      </c>
      <c r="P715" s="102">
        <f>IF(M715&gt;0,N715*100/M715,0)</f>
        <v>0</v>
      </c>
      <c r="Q715" s="102">
        <f>Q718+Q721</f>
        <v>0</v>
      </c>
      <c r="R715" s="102">
        <f>R718+R721</f>
        <v>0</v>
      </c>
      <c r="S715" s="102">
        <f>S718+S721</f>
        <v>0</v>
      </c>
      <c r="T715" s="102">
        <f>IF(Q715&gt;0,S715*100/Q715,0)</f>
        <v>0</v>
      </c>
      <c r="U715" s="102">
        <f>IF(R715&gt;0,S715*100/R715,0)</f>
        <v>0</v>
      </c>
    </row>
    <row r="716" spans="1:21" ht="18.75" hidden="1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256">
        <f>L719+L722</f>
        <v>0</v>
      </c>
      <c r="M716" s="255">
        <f>M719+M722</f>
        <v>0</v>
      </c>
      <c r="N716" s="255">
        <f>N719+N722</f>
        <v>0</v>
      </c>
      <c r="O716" s="255">
        <f>IF(L716&gt;0,N716*100/L716,0)</f>
        <v>0</v>
      </c>
      <c r="P716" s="255">
        <f>IF(M716&gt;0,N716*100/M716,0)</f>
        <v>0</v>
      </c>
      <c r="Q716" s="255">
        <f>Q719+Q722</f>
        <v>0</v>
      </c>
      <c r="R716" s="255">
        <f>R719+R722</f>
        <v>0</v>
      </c>
      <c r="S716" s="255">
        <f>S719+S722</f>
        <v>0</v>
      </c>
      <c r="T716" s="255">
        <f>IF(Q716&gt;0,S716*100/Q716,0)</f>
        <v>0</v>
      </c>
      <c r="U716" s="255">
        <f>IF(R716&gt;0,S716*100/R716,0)</f>
        <v>0</v>
      </c>
    </row>
    <row r="717" spans="1:21" ht="19.5" hidden="1">
      <c r="A717" s="155"/>
      <c r="B717" s="188"/>
      <c r="C717" s="188"/>
      <c r="D717" s="562" t="s">
        <v>22</v>
      </c>
      <c r="E717" s="50"/>
      <c r="F717" s="50"/>
      <c r="G717" s="52"/>
      <c r="H717" s="418" t="s">
        <v>14</v>
      </c>
      <c r="I717" s="163"/>
      <c r="J717" s="163"/>
      <c r="K717" s="164"/>
      <c r="L717" s="256">
        <f>L718+L719</f>
        <v>0</v>
      </c>
      <c r="M717" s="255">
        <f>M718+M719</f>
        <v>0</v>
      </c>
      <c r="N717" s="255">
        <f>N718+N719</f>
        <v>0</v>
      </c>
      <c r="O717" s="255">
        <f>IF(L717&gt;0,N717*100/L717,0)</f>
        <v>0</v>
      </c>
      <c r="P717" s="255">
        <f>IF(M717&gt;0,N717*100/M717,0)</f>
        <v>0</v>
      </c>
      <c r="Q717" s="255">
        <f>Q718+Q719</f>
        <v>0</v>
      </c>
      <c r="R717" s="255">
        <f>R718+R719</f>
        <v>0</v>
      </c>
      <c r="S717" s="255">
        <f>S718+S719</f>
        <v>0</v>
      </c>
      <c r="T717" s="255">
        <f>IF(Q717&gt;0,S717*100/Q717,0)</f>
        <v>0</v>
      </c>
      <c r="U717" s="255">
        <f>IF(R717&gt;0,S717*100/R717,0)</f>
        <v>0</v>
      </c>
    </row>
    <row r="718" spans="1:21" ht="18.75" hidden="1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103">
        <v>0</v>
      </c>
      <c r="M718" s="102">
        <v>0</v>
      </c>
      <c r="N718" s="102">
        <v>0</v>
      </c>
      <c r="O718" s="102">
        <f>IF(L718&gt;0,N718*100/L718,0)</f>
        <v>0</v>
      </c>
      <c r="P718" s="102">
        <f>IF(M718&gt;0,N718*100/M718,0)</f>
        <v>0</v>
      </c>
      <c r="Q718" s="102">
        <v>0</v>
      </c>
      <c r="R718" s="102">
        <v>0</v>
      </c>
      <c r="S718" s="102">
        <v>0</v>
      </c>
      <c r="T718" s="102">
        <f>IF(Q718&gt;0,S718*100/Q718,0)</f>
        <v>0</v>
      </c>
      <c r="U718" s="102">
        <f>IF(R718&gt;0,S718*100/R718,0)</f>
        <v>0</v>
      </c>
    </row>
    <row r="719" spans="1:21" ht="18.75" hidden="1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256">
        <v>0</v>
      </c>
      <c r="M719" s="255">
        <v>0</v>
      </c>
      <c r="N719" s="255">
        <v>0</v>
      </c>
      <c r="O719" s="255">
        <f>IF(L719&gt;0,N719*100/L719,0)</f>
        <v>0</v>
      </c>
      <c r="P719" s="255">
        <f>IF(M719&gt;0,N719*100/M719,0)</f>
        <v>0</v>
      </c>
      <c r="Q719" s="255">
        <v>0</v>
      </c>
      <c r="R719" s="255">
        <v>0</v>
      </c>
      <c r="S719" s="255">
        <v>0</v>
      </c>
      <c r="T719" s="255">
        <f>IF(Q719&gt;0,S719*100/Q719,0)</f>
        <v>0</v>
      </c>
      <c r="U719" s="255">
        <f>IF(R719&gt;0,S719*100/R719,0)</f>
        <v>0</v>
      </c>
    </row>
    <row r="720" spans="1:21" ht="19.5" hidden="1">
      <c r="A720" s="155"/>
      <c r="B720" s="188"/>
      <c r="C720" s="188"/>
      <c r="D720" s="562" t="s">
        <v>23</v>
      </c>
      <c r="E720" s="50"/>
      <c r="F720" s="50"/>
      <c r="G720" s="52"/>
      <c r="H720" s="420" t="s">
        <v>14</v>
      </c>
      <c r="I720" s="163"/>
      <c r="J720" s="163"/>
      <c r="K720" s="164"/>
      <c r="L720" s="256">
        <f>L721+L722</f>
        <v>0</v>
      </c>
      <c r="M720" s="255">
        <f>M721+M722</f>
        <v>0</v>
      </c>
      <c r="N720" s="255">
        <f>N721+N722</f>
        <v>0</v>
      </c>
      <c r="O720" s="255">
        <f>IF(L720&gt;0,N720*100/L720,0)</f>
        <v>0</v>
      </c>
      <c r="P720" s="255">
        <f>IF(M720&gt;0,N720*100/M720,0)</f>
        <v>0</v>
      </c>
      <c r="Q720" s="255">
        <f>Q721+Q722</f>
        <v>0</v>
      </c>
      <c r="R720" s="255">
        <f>R721+R722</f>
        <v>0</v>
      </c>
      <c r="S720" s="255">
        <f>S721+S722</f>
        <v>0</v>
      </c>
      <c r="T720" s="255">
        <f>IF(Q720&gt;0,S720*100/Q720,0)</f>
        <v>0</v>
      </c>
      <c r="U720" s="255">
        <f>IF(R720&gt;0,S720*100/R720,0)</f>
        <v>0</v>
      </c>
    </row>
    <row r="721" spans="1:21" ht="18.75" hidden="1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103">
        <v>0</v>
      </c>
      <c r="M721" s="102">
        <v>0</v>
      </c>
      <c r="N721" s="102">
        <v>0</v>
      </c>
      <c r="O721" s="102">
        <f>IF(L721&gt;0,N721*100/L721,0)</f>
        <v>0</v>
      </c>
      <c r="P721" s="102">
        <f>IF(M721&gt;0,N721*100/M721,0)</f>
        <v>0</v>
      </c>
      <c r="Q721" s="102">
        <v>0</v>
      </c>
      <c r="R721" s="102">
        <v>0</v>
      </c>
      <c r="S721" s="102">
        <v>0</v>
      </c>
      <c r="T721" s="102">
        <f>IF(Q721&gt;0,S721*100/Q721,0)</f>
        <v>0</v>
      </c>
      <c r="U721" s="102">
        <f>IF(R721&gt;0,S721*100/R721,0)</f>
        <v>0</v>
      </c>
    </row>
    <row r="722" spans="1:21" ht="18.75" hidden="1">
      <c r="A722" s="155"/>
      <c r="B722" s="188"/>
      <c r="C722" s="188"/>
      <c r="D722" s="50"/>
      <c r="E722" s="186" t="s">
        <v>21</v>
      </c>
      <c r="F722" s="50"/>
      <c r="G722" s="52"/>
      <c r="H722" s="421" t="s">
        <v>14</v>
      </c>
      <c r="I722" s="163"/>
      <c r="J722" s="163"/>
      <c r="K722" s="164"/>
      <c r="L722" s="256">
        <v>0</v>
      </c>
      <c r="M722" s="255">
        <v>0</v>
      </c>
      <c r="N722" s="255">
        <v>0</v>
      </c>
      <c r="O722" s="255">
        <f>IF(L722&gt;0,N722*100/L722,0)</f>
        <v>0</v>
      </c>
      <c r="P722" s="255">
        <f>IF(M722&gt;0,N722*100/M722,0)</f>
        <v>0</v>
      </c>
      <c r="Q722" s="255">
        <v>0</v>
      </c>
      <c r="R722" s="255">
        <v>0</v>
      </c>
      <c r="S722" s="255">
        <v>0</v>
      </c>
      <c r="T722" s="255">
        <f>IF(Q722&gt;0,S722*100/Q722,0)</f>
        <v>0</v>
      </c>
      <c r="U722" s="255">
        <f>IF(R722&gt;0,S722*100/R722,0)</f>
        <v>0</v>
      </c>
    </row>
    <row r="723" spans="1:21" ht="19.5" hidden="1">
      <c r="A723" s="166"/>
      <c r="B723" s="167"/>
      <c r="C723" s="358" t="s">
        <v>18</v>
      </c>
      <c r="D723" s="561" t="s">
        <v>38</v>
      </c>
      <c r="E723" s="169"/>
      <c r="F723" s="169"/>
      <c r="G723" s="170"/>
      <c r="H723" s="206"/>
      <c r="I723" s="163"/>
      <c r="J723" s="163"/>
      <c r="K723" s="164"/>
      <c r="L723" s="172"/>
      <c r="M723" s="164"/>
      <c r="N723" s="164"/>
      <c r="O723" s="164"/>
      <c r="P723" s="164"/>
      <c r="Q723" s="164"/>
      <c r="R723" s="164"/>
      <c r="S723" s="164"/>
      <c r="T723" s="164"/>
      <c r="U723" s="164"/>
    </row>
    <row r="724" spans="1:21" ht="18.75" hidden="1">
      <c r="A724" s="238"/>
      <c r="B724" s="188"/>
      <c r="C724" s="188"/>
      <c r="D724" s="50"/>
      <c r="E724" s="186" t="s">
        <v>268</v>
      </c>
      <c r="F724" s="50"/>
      <c r="G724" s="52"/>
      <c r="H724" s="189" t="s">
        <v>46</v>
      </c>
      <c r="I724" s="483">
        <v>0</v>
      </c>
      <c r="J724" s="54"/>
      <c r="K724" s="55"/>
      <c r="L724" s="62"/>
      <c r="M724" s="55"/>
      <c r="N724" s="55"/>
      <c r="O724" s="55"/>
      <c r="P724" s="55"/>
      <c r="Q724" s="55"/>
      <c r="R724" s="55"/>
      <c r="S724" s="55"/>
      <c r="T724" s="55"/>
      <c r="U724" s="55"/>
    </row>
    <row r="725" spans="1:21" ht="18.75" hidden="1">
      <c r="A725" s="374"/>
      <c r="B725" s="5"/>
      <c r="C725" s="5"/>
      <c r="D725" s="4"/>
      <c r="E725" s="484" t="s">
        <v>269</v>
      </c>
      <c r="F725" s="4"/>
      <c r="G725" s="65"/>
      <c r="H725" s="485" t="s">
        <v>46</v>
      </c>
      <c r="I725" s="486">
        <v>0</v>
      </c>
      <c r="J725" s="67"/>
      <c r="K725" s="6"/>
      <c r="L725" s="68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>
      <c r="A726" s="442"/>
      <c r="B726" s="443" t="s">
        <v>270</v>
      </c>
      <c r="C726" s="442"/>
      <c r="D726" s="444"/>
      <c r="E726" s="444"/>
      <c r="F726" s="444"/>
      <c r="G726" s="445"/>
      <c r="H726" s="473" t="s">
        <v>35</v>
      </c>
      <c r="I726" s="544">
        <f ca="1">IFERROR(__xludf.DUMMYFUNCTION("IMPORTRANGE(""https://docs.google.com/spreadsheets/d/1eHaY18a8A9IcSdp1K8H6x8fbOy06t2VsZHhMHf-1x7Y/edit?usp=sharing"",""แผน!GA41"")"),51)</f>
        <v>51</v>
      </c>
      <c r="J726" s="544">
        <f>J742+J746+J749</f>
        <v>51</v>
      </c>
      <c r="K726" s="543">
        <f ca="1">IF(I726&gt;0,J726*100/I726,0)</f>
        <v>100</v>
      </c>
      <c r="L726" s="449"/>
      <c r="M726" s="448"/>
      <c r="N726" s="448"/>
      <c r="O726" s="448"/>
      <c r="P726" s="448"/>
      <c r="Q726" s="448"/>
      <c r="R726" s="448"/>
      <c r="S726" s="448"/>
      <c r="T726" s="448"/>
      <c r="U726" s="448"/>
    </row>
    <row r="727" spans="1:21" ht="19.5">
      <c r="A727" s="487"/>
      <c r="B727" s="442"/>
      <c r="C727" s="442"/>
      <c r="D727" s="444"/>
      <c r="E727" s="444"/>
      <c r="F727" s="444"/>
      <c r="G727" s="445"/>
      <c r="H727" s="473" t="s">
        <v>46</v>
      </c>
      <c r="I727" s="544">
        <f ca="1">IFERROR(__xludf.DUMMYFUNCTION("IMPORTRANGE(""https://docs.google.com/spreadsheets/d/1eHaY18a8A9IcSdp1K8H6x8fbOy06t2VsZHhMHf-1x7Y/edit?usp=sharing"",""แผน!FZ41"")"),500)</f>
        <v>500</v>
      </c>
      <c r="J727" s="544">
        <f>J752+J755</f>
        <v>0</v>
      </c>
      <c r="K727" s="543">
        <f ca="1">IF(I727&gt;0,J727*100/I727,0)</f>
        <v>0</v>
      </c>
      <c r="L727" s="449"/>
      <c r="M727" s="448"/>
      <c r="N727" s="448"/>
      <c r="O727" s="448"/>
      <c r="P727" s="448"/>
      <c r="Q727" s="448"/>
      <c r="R727" s="448"/>
      <c r="S727" s="448"/>
      <c r="T727" s="448"/>
      <c r="U727" s="448"/>
    </row>
    <row r="728" spans="1:21" ht="19.5">
      <c r="A728" s="155"/>
      <c r="B728" s="188"/>
      <c r="C728" s="205" t="s">
        <v>18</v>
      </c>
      <c r="D728" s="542" t="s">
        <v>19</v>
      </c>
      <c r="E728" s="529"/>
      <c r="F728" s="529"/>
      <c r="G728" s="530"/>
      <c r="H728" s="252" t="s">
        <v>14</v>
      </c>
      <c r="I728" s="54"/>
      <c r="J728" s="54"/>
      <c r="K728" s="55"/>
      <c r="L728" s="541">
        <f>L729+L730</f>
        <v>0</v>
      </c>
      <c r="M728" s="540">
        <f>M729+M730</f>
        <v>0</v>
      </c>
      <c r="N728" s="540">
        <f>N729+N730</f>
        <v>0</v>
      </c>
      <c r="O728" s="540">
        <f>IF(L728&gt;0,N728*100/L728,0)</f>
        <v>0</v>
      </c>
      <c r="P728" s="540">
        <f>IF(M728&gt;0,N728*100/M728,0)</f>
        <v>0</v>
      </c>
      <c r="Q728" s="540">
        <f ca="1">Q729+Q730</f>
        <v>379090</v>
      </c>
      <c r="R728" s="540">
        <f ca="1">R729+R730</f>
        <v>379090</v>
      </c>
      <c r="S728" s="540">
        <f ca="1">S729+S730</f>
        <v>11502</v>
      </c>
      <c r="T728" s="540">
        <f ca="1">IF(Q728&gt;0,S728*100/Q728,0)</f>
        <v>3.034107995462819</v>
      </c>
      <c r="U728" s="540">
        <f ca="1">IF(R728&gt;0,S728*100/R728,0)</f>
        <v>3.034107995462819</v>
      </c>
    </row>
    <row r="729" spans="1:21" ht="18.75" hidden="1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103">
        <f>L732+L735</f>
        <v>0</v>
      </c>
      <c r="M729" s="102">
        <f>M732+M735</f>
        <v>0</v>
      </c>
      <c r="N729" s="102">
        <f>N732+N735</f>
        <v>0</v>
      </c>
      <c r="O729" s="102">
        <f>IF(L729&gt;0,N729*100/L729,0)</f>
        <v>0</v>
      </c>
      <c r="P729" s="102">
        <f>IF(M729&gt;0,N729*100/M729,0)</f>
        <v>0</v>
      </c>
      <c r="Q729" s="102">
        <f>Q732+Q735</f>
        <v>0</v>
      </c>
      <c r="R729" s="102">
        <f>R732+R735</f>
        <v>0</v>
      </c>
      <c r="S729" s="102">
        <f>S732+S735</f>
        <v>0</v>
      </c>
      <c r="T729" s="102">
        <f>IF(Q729&gt;0,S729*100/Q729,0)</f>
        <v>0</v>
      </c>
      <c r="U729" s="102">
        <f>IF(R729&gt;0,S729*100/R729,0)</f>
        <v>0</v>
      </c>
    </row>
    <row r="730" spans="1:21" ht="18.75" hidden="1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256">
        <f>L733+L736</f>
        <v>0</v>
      </c>
      <c r="M730" s="255">
        <f>M733+M736</f>
        <v>0</v>
      </c>
      <c r="N730" s="255">
        <f>N733+N736</f>
        <v>0</v>
      </c>
      <c r="O730" s="255">
        <f>IF(L730&gt;0,N730*100/L730,0)</f>
        <v>0</v>
      </c>
      <c r="P730" s="255">
        <f>IF(M730&gt;0,N730*100/M730,0)</f>
        <v>0</v>
      </c>
      <c r="Q730" s="255">
        <f ca="1">Q733+Q736</f>
        <v>379090</v>
      </c>
      <c r="R730" s="255">
        <f ca="1">R733+R736</f>
        <v>379090</v>
      </c>
      <c r="S730" s="255">
        <f ca="1">S733+S736</f>
        <v>11502</v>
      </c>
      <c r="T730" s="255">
        <f ca="1">IF(Q730&gt;0,S730*100/Q730,0)</f>
        <v>3.034107995462819</v>
      </c>
      <c r="U730" s="255">
        <f ca="1">IF(R730&gt;0,S730*100/R730,0)</f>
        <v>3.034107995462819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256">
        <f>L732+L733</f>
        <v>0</v>
      </c>
      <c r="M731" s="255">
        <f>M732+M733</f>
        <v>0</v>
      </c>
      <c r="N731" s="255">
        <f>N732+N733</f>
        <v>0</v>
      </c>
      <c r="O731" s="255">
        <f>IF(L731&gt;0,N731*100/L731,0)</f>
        <v>0</v>
      </c>
      <c r="P731" s="255">
        <f>IF(M731&gt;0,N731*100/M731,0)</f>
        <v>0</v>
      </c>
      <c r="Q731" s="255">
        <f ca="1">Q732+Q733</f>
        <v>379090</v>
      </c>
      <c r="R731" s="255">
        <f ca="1">R732+R733</f>
        <v>379090</v>
      </c>
      <c r="S731" s="255">
        <f ca="1">S732+S733</f>
        <v>11502</v>
      </c>
      <c r="T731" s="255">
        <f ca="1">IF(Q731&gt;0,S731*100/Q731,0)</f>
        <v>3.034107995462819</v>
      </c>
      <c r="U731" s="255">
        <f ca="1">IF(R731&gt;0,S731*100/R731,0)</f>
        <v>3.034107995462819</v>
      </c>
    </row>
    <row r="732" spans="1:21" ht="18.75" hidden="1">
      <c r="A732" s="155"/>
      <c r="B732" s="188"/>
      <c r="C732" s="188"/>
      <c r="D732" s="174"/>
      <c r="E732" s="186" t="s">
        <v>159</v>
      </c>
      <c r="F732" s="50"/>
      <c r="G732" s="52"/>
      <c r="H732" s="189" t="s">
        <v>14</v>
      </c>
      <c r="I732" s="54"/>
      <c r="J732" s="54"/>
      <c r="K732" s="55"/>
      <c r="L732" s="103">
        <v>0</v>
      </c>
      <c r="M732" s="102">
        <v>0</v>
      </c>
      <c r="N732" s="102">
        <v>0</v>
      </c>
      <c r="O732" s="102">
        <f>IF(L732&gt;0,N732*100/L732,0)</f>
        <v>0</v>
      </c>
      <c r="P732" s="102">
        <f>IF(M732&gt;0,N732*100/M732,0)</f>
        <v>0</v>
      </c>
      <c r="Q732" s="102">
        <v>0</v>
      </c>
      <c r="R732" s="102">
        <v>0</v>
      </c>
      <c r="S732" s="102">
        <v>0</v>
      </c>
      <c r="T732" s="102">
        <f>IF(Q732&gt;0,S732*100/Q732,0)</f>
        <v>0</v>
      </c>
      <c r="U732" s="102">
        <f>IF(R732&gt;0,S732*100/R732,0)</f>
        <v>0</v>
      </c>
    </row>
    <row r="733" spans="1:21" ht="18.75" hidden="1">
      <c r="A733" s="155"/>
      <c r="B733" s="188"/>
      <c r="C733" s="188"/>
      <c r="D733" s="174"/>
      <c r="E733" s="58" t="s">
        <v>160</v>
      </c>
      <c r="F733" s="50"/>
      <c r="G733" s="52"/>
      <c r="H733" s="162" t="s">
        <v>14</v>
      </c>
      <c r="I733" s="54"/>
      <c r="J733" s="54"/>
      <c r="K733" s="55"/>
      <c r="L733" s="256">
        <v>0</v>
      </c>
      <c r="M733" s="255">
        <v>0</v>
      </c>
      <c r="N733" s="255">
        <v>0</v>
      </c>
      <c r="O733" s="255">
        <f>IF(L733&gt;0,N733*100/L733,0)</f>
        <v>0</v>
      </c>
      <c r="P733" s="255">
        <f>IF(M733&gt;0,N733*100/M733,0)</f>
        <v>0</v>
      </c>
      <c r="Q733" s="255">
        <f ca="1">IFERROR(__xludf.DUMMYFUNCTION("IMPORTRANGE(""https://docs.google.com/spreadsheets/d/1ItG2mGa2ceCfYo0BwxsXqNm01IGEUdYcSSLTEv9YCik/edit?usp=sharing"",""เบิกจ่ายกองทุน!O41"")"),379090)</f>
        <v>379090</v>
      </c>
      <c r="R733" s="255">
        <f ca="1">IFERROR(__xludf.DUMMYFUNCTION("IMPORTRANGE(""https://docs.google.com/spreadsheets/d/1ItG2mGa2ceCfYo0BwxsXqNm01IGEUdYcSSLTEv9YCik/edit?usp=sharing"",""เบิกจ่ายกองทุน!P41"")"),379090)</f>
        <v>379090</v>
      </c>
      <c r="S733" s="255">
        <f ca="1">IFERROR(__xludf.DUMMYFUNCTION("IMPORTRANGE(""https://docs.google.com/spreadsheets/d/1ItG2mGa2ceCfYo0BwxsXqNm01IGEUdYcSSLTEv9YCik/edit?usp=sharing"",""เบิกจ่ายกองทุน!Q41"")"),11502)</f>
        <v>11502</v>
      </c>
      <c r="T733" s="255">
        <f ca="1">IF(Q733&gt;0,S733*100/Q733,0)</f>
        <v>3.034107995462819</v>
      </c>
      <c r="U733" s="255">
        <f ca="1">IF(R733&gt;0,S733*100/R733,0)</f>
        <v>3.034107995462819</v>
      </c>
    </row>
    <row r="734" spans="1:21" ht="18.75">
      <c r="A734" s="155"/>
      <c r="B734" s="188"/>
      <c r="C734" s="188"/>
      <c r="D734" s="51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256">
        <f>L735+L736</f>
        <v>0</v>
      </c>
      <c r="M734" s="255">
        <f>M735+M736</f>
        <v>0</v>
      </c>
      <c r="N734" s="255">
        <f>N735+N736</f>
        <v>0</v>
      </c>
      <c r="O734" s="255">
        <f>IF(L734&gt;0,N734*100/L734,0)</f>
        <v>0</v>
      </c>
      <c r="P734" s="255">
        <f>IF(M734&gt;0,N734*100/M734,0)</f>
        <v>0</v>
      </c>
      <c r="Q734" s="255">
        <f>Q735+Q736</f>
        <v>0</v>
      </c>
      <c r="R734" s="255">
        <f>R735+R736</f>
        <v>0</v>
      </c>
      <c r="S734" s="255">
        <f>S735+S736</f>
        <v>0</v>
      </c>
      <c r="T734" s="255">
        <f>IF(Q734&gt;0,S734*100/Q734,0)</f>
        <v>0</v>
      </c>
      <c r="U734" s="255">
        <f>IF(R734&gt;0,S734*100/R734,0)</f>
        <v>0</v>
      </c>
    </row>
    <row r="735" spans="1:21" ht="18.75" hidden="1">
      <c r="A735" s="155"/>
      <c r="B735" s="188"/>
      <c r="C735" s="188"/>
      <c r="D735" s="188"/>
      <c r="E735" s="358" t="s">
        <v>20</v>
      </c>
      <c r="F735" s="188"/>
      <c r="G735" s="52"/>
      <c r="H735" s="189" t="s">
        <v>14</v>
      </c>
      <c r="I735" s="163"/>
      <c r="J735" s="163"/>
      <c r="K735" s="164"/>
      <c r="L735" s="103">
        <v>0</v>
      </c>
      <c r="M735" s="102">
        <v>0</v>
      </c>
      <c r="N735" s="102">
        <v>0</v>
      </c>
      <c r="O735" s="102">
        <f>IF(L735&gt;0,N735*100/L735,0)</f>
        <v>0</v>
      </c>
      <c r="P735" s="102">
        <f>IF(M735&gt;0,N735*100/M735,0)</f>
        <v>0</v>
      </c>
      <c r="Q735" s="102">
        <v>0</v>
      </c>
      <c r="R735" s="102">
        <v>0</v>
      </c>
      <c r="S735" s="102">
        <v>0</v>
      </c>
      <c r="T735" s="102">
        <f>IF(Q735&gt;0,S735*100/Q735,0)</f>
        <v>0</v>
      </c>
      <c r="U735" s="102">
        <f>IF(R735&gt;0,S735*100/R735,0)</f>
        <v>0</v>
      </c>
    </row>
    <row r="736" spans="1:21" ht="18.75" hidden="1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256">
        <v>0</v>
      </c>
      <c r="M736" s="255">
        <v>0</v>
      </c>
      <c r="N736" s="255">
        <v>0</v>
      </c>
      <c r="O736" s="255">
        <f>IF(L736&gt;0,N736*100/L736,0)</f>
        <v>0</v>
      </c>
      <c r="P736" s="255">
        <f>IF(M736&gt;0,N736*100/M736,0)</f>
        <v>0</v>
      </c>
      <c r="Q736" s="255">
        <v>0</v>
      </c>
      <c r="R736" s="255">
        <v>0</v>
      </c>
      <c r="S736" s="255">
        <v>0</v>
      </c>
      <c r="T736" s="255">
        <f>IF(Q736&gt;0,S736*100/Q736,0)</f>
        <v>0</v>
      </c>
      <c r="U736" s="255">
        <f>IF(R736&gt;0,S736*100/R736,0)</f>
        <v>0</v>
      </c>
    </row>
    <row r="737" spans="1:21" ht="19.5">
      <c r="A737" s="166"/>
      <c r="B737" s="167"/>
      <c r="C737" s="205" t="s">
        <v>18</v>
      </c>
      <c r="D737" s="560" t="s">
        <v>38</v>
      </c>
      <c r="E737" s="232"/>
      <c r="F737" s="169"/>
      <c r="G737" s="170"/>
      <c r="H737" s="206"/>
      <c r="I737" s="54"/>
      <c r="J737" s="54"/>
      <c r="K737" s="55"/>
      <c r="L737" s="62"/>
      <c r="M737" s="55"/>
      <c r="N737" s="55"/>
      <c r="O737" s="55"/>
      <c r="P737" s="55"/>
      <c r="Q737" s="55"/>
      <c r="R737" s="55"/>
      <c r="S737" s="55"/>
      <c r="T737" s="55"/>
      <c r="U737" s="55"/>
    </row>
    <row r="738" spans="1:21" ht="19.5">
      <c r="A738" s="166"/>
      <c r="B738" s="167"/>
      <c r="C738" s="167"/>
      <c r="D738" s="488" t="s">
        <v>121</v>
      </c>
      <c r="E738" s="167"/>
      <c r="F738" s="167"/>
      <c r="G738" s="171"/>
      <c r="H738" s="208"/>
      <c r="I738" s="54"/>
      <c r="J738" s="54"/>
      <c r="K738" s="55"/>
      <c r="L738" s="62"/>
      <c r="M738" s="55"/>
      <c r="N738" s="55"/>
      <c r="O738" s="55"/>
      <c r="P738" s="55"/>
      <c r="Q738" s="55"/>
      <c r="R738" s="55"/>
      <c r="S738" s="55"/>
      <c r="T738" s="55"/>
      <c r="U738" s="55"/>
    </row>
    <row r="739" spans="1:21" ht="18.75">
      <c r="A739" s="166"/>
      <c r="B739" s="167"/>
      <c r="C739" s="167"/>
      <c r="D739" s="167"/>
      <c r="E739" s="460" t="s">
        <v>271</v>
      </c>
      <c r="F739" s="167"/>
      <c r="G739" s="171"/>
      <c r="H739" s="208"/>
      <c r="I739" s="54"/>
      <c r="J739" s="54"/>
      <c r="K739" s="55"/>
      <c r="L739" s="62"/>
      <c r="M739" s="55"/>
      <c r="N739" s="55"/>
      <c r="O739" s="55"/>
      <c r="P739" s="55"/>
      <c r="Q739" s="55"/>
      <c r="R739" s="55"/>
      <c r="S739" s="55"/>
      <c r="T739" s="55"/>
      <c r="U739" s="55"/>
    </row>
    <row r="740" spans="1:21" ht="18.75">
      <c r="A740" s="166"/>
      <c r="B740" s="167"/>
      <c r="C740" s="167"/>
      <c r="D740" s="167"/>
      <c r="E740" s="167"/>
      <c r="F740" s="460" t="s">
        <v>272</v>
      </c>
      <c r="G740" s="171"/>
      <c r="H740" s="161" t="s">
        <v>46</v>
      </c>
      <c r="I740" s="212">
        <f ca="1">IFERROR(__xludf.DUMMYFUNCTION("IMPORTRANGE(""https://docs.google.com/spreadsheets/d/1eHaY18a8A9IcSdp1K8H6x8fbOy06t2VsZHhMHf-1x7Y/edit?usp=sharing"",""แผน!GB41"")"),400)</f>
        <v>400</v>
      </c>
      <c r="J740" s="467">
        <v>400</v>
      </c>
      <c r="K740" s="255">
        <f ca="1">IF(I740&gt;0,J740*100/I740,0)</f>
        <v>100</v>
      </c>
      <c r="L740" s="62"/>
      <c r="M740" s="55"/>
      <c r="N740" s="55"/>
      <c r="O740" s="55"/>
      <c r="P740" s="55"/>
      <c r="Q740" s="55"/>
      <c r="R740" s="55"/>
      <c r="S740" s="55"/>
      <c r="T740" s="55"/>
      <c r="U740" s="55"/>
    </row>
    <row r="741" spans="1:21" ht="18.75">
      <c r="A741" s="554"/>
      <c r="B741" s="553"/>
      <c r="C741" s="553"/>
      <c r="D741" s="553"/>
      <c r="E741" s="553"/>
      <c r="F741" s="558" t="s">
        <v>307</v>
      </c>
      <c r="G741" s="550"/>
      <c r="H741" s="549" t="s">
        <v>35</v>
      </c>
      <c r="I741" s="548"/>
      <c r="J741" s="547">
        <v>0</v>
      </c>
      <c r="K741" s="545"/>
      <c r="L741" s="546"/>
      <c r="M741" s="545"/>
      <c r="N741" s="545"/>
      <c r="O741" s="545"/>
      <c r="P741" s="545"/>
      <c r="Q741" s="545"/>
      <c r="R741" s="545"/>
      <c r="S741" s="545"/>
      <c r="T741" s="545"/>
      <c r="U741" s="545"/>
    </row>
    <row r="742" spans="1:21" ht="18.75">
      <c r="A742" s="554"/>
      <c r="B742" s="553"/>
      <c r="C742" s="553"/>
      <c r="D742" s="553"/>
      <c r="E742" s="553"/>
      <c r="F742" s="558" t="s">
        <v>306</v>
      </c>
      <c r="G742" s="550"/>
      <c r="H742" s="549" t="s">
        <v>35</v>
      </c>
      <c r="I742" s="556">
        <f ca="1">IFERROR(__xludf.DUMMYFUNCTION("IMPORTRANGE(""https://docs.google.com/spreadsheets/d/1eHaY18a8A9IcSdp1K8H6x8fbOy06t2VsZHhMHf-1x7Y/edit?usp=sharing"",""แผน!GC41"")"),40)</f>
        <v>40</v>
      </c>
      <c r="J742" s="547">
        <v>40</v>
      </c>
      <c r="K742" s="555">
        <f ca="1">IF(I742&gt;0,J742*100/I742,0)</f>
        <v>100</v>
      </c>
      <c r="L742" s="546"/>
      <c r="M742" s="545"/>
      <c r="N742" s="545"/>
      <c r="O742" s="545"/>
      <c r="P742" s="545"/>
      <c r="Q742" s="545"/>
      <c r="R742" s="545"/>
      <c r="S742" s="545"/>
      <c r="T742" s="545"/>
      <c r="U742" s="545"/>
    </row>
    <row r="743" spans="1:21" ht="18.75">
      <c r="A743" s="554"/>
      <c r="B743" s="553"/>
      <c r="C743" s="553"/>
      <c r="D743" s="553"/>
      <c r="E743" s="558" t="s">
        <v>275</v>
      </c>
      <c r="F743" s="553"/>
      <c r="G743" s="550"/>
      <c r="H743" s="557"/>
      <c r="I743" s="548"/>
      <c r="J743" s="548"/>
      <c r="K743" s="545"/>
      <c r="L743" s="546"/>
      <c r="M743" s="545"/>
      <c r="N743" s="545"/>
      <c r="O743" s="545"/>
      <c r="P743" s="545"/>
      <c r="Q743" s="545"/>
      <c r="R743" s="545"/>
      <c r="S743" s="545"/>
      <c r="T743" s="545"/>
      <c r="U743" s="545"/>
    </row>
    <row r="744" spans="1:21" ht="18.75">
      <c r="A744" s="554"/>
      <c r="B744" s="553"/>
      <c r="C744" s="553"/>
      <c r="D744" s="553"/>
      <c r="E744" s="553"/>
      <c r="F744" s="558" t="s">
        <v>272</v>
      </c>
      <c r="G744" s="550"/>
      <c r="H744" s="549" t="s">
        <v>46</v>
      </c>
      <c r="I744" s="556">
        <f ca="1">IFERROR(__xludf.DUMMYFUNCTION("IMPORTRANGE(""https://docs.google.com/spreadsheets/d/1eHaY18a8A9IcSdp1K8H6x8fbOy06t2VsZHhMHf-1x7Y/edit?usp=sharing"",""แผน!GD41"")"),100)</f>
        <v>100</v>
      </c>
      <c r="J744" s="547">
        <v>100</v>
      </c>
      <c r="K744" s="555">
        <f ca="1">IF(I744&gt;0,J744*100/I744,0)</f>
        <v>100</v>
      </c>
      <c r="L744" s="546"/>
      <c r="M744" s="545"/>
      <c r="N744" s="545"/>
      <c r="O744" s="545"/>
      <c r="P744" s="545"/>
      <c r="Q744" s="545"/>
      <c r="R744" s="545"/>
      <c r="S744" s="545"/>
      <c r="T744" s="545"/>
      <c r="U744" s="545"/>
    </row>
    <row r="745" spans="1:21" ht="18.75">
      <c r="A745" s="554"/>
      <c r="B745" s="553"/>
      <c r="C745" s="553"/>
      <c r="D745" s="553"/>
      <c r="E745" s="553"/>
      <c r="F745" s="558" t="s">
        <v>305</v>
      </c>
      <c r="G745" s="550"/>
      <c r="H745" s="549" t="s">
        <v>35</v>
      </c>
      <c r="I745" s="548"/>
      <c r="J745" s="547">
        <v>10</v>
      </c>
      <c r="K745" s="545"/>
      <c r="L745" s="546"/>
      <c r="M745" s="545"/>
      <c r="N745" s="545"/>
      <c r="O745" s="545"/>
      <c r="P745" s="545"/>
      <c r="Q745" s="545"/>
      <c r="R745" s="545"/>
      <c r="S745" s="545"/>
      <c r="T745" s="545"/>
      <c r="U745" s="545"/>
    </row>
    <row r="746" spans="1:21" ht="18.75">
      <c r="A746" s="554"/>
      <c r="B746" s="553"/>
      <c r="C746" s="553"/>
      <c r="D746" s="553"/>
      <c r="E746" s="553"/>
      <c r="F746" s="558" t="s">
        <v>304</v>
      </c>
      <c r="G746" s="550"/>
      <c r="H746" s="549" t="s">
        <v>35</v>
      </c>
      <c r="I746" s="556">
        <f ca="1">IFERROR(__xludf.DUMMYFUNCTION("IMPORTRANGE(""https://docs.google.com/spreadsheets/d/1eHaY18a8A9IcSdp1K8H6x8fbOy06t2VsZHhMHf-1x7Y/edit?usp=sharing"",""แผน!GE41"")"),10)</f>
        <v>10</v>
      </c>
      <c r="J746" s="547">
        <v>10</v>
      </c>
      <c r="K746" s="555">
        <f ca="1">IF(I746&gt;0,J746*100/I746,0)</f>
        <v>100</v>
      </c>
      <c r="L746" s="546"/>
      <c r="M746" s="545"/>
      <c r="N746" s="545"/>
      <c r="O746" s="545"/>
      <c r="P746" s="545"/>
      <c r="Q746" s="545"/>
      <c r="R746" s="545"/>
      <c r="S746" s="545"/>
      <c r="T746" s="545"/>
      <c r="U746" s="545"/>
    </row>
    <row r="747" spans="1:21" ht="18.75">
      <c r="A747" s="554"/>
      <c r="B747" s="553"/>
      <c r="C747" s="553"/>
      <c r="D747" s="553"/>
      <c r="E747" s="558" t="s">
        <v>278</v>
      </c>
      <c r="F747" s="552"/>
      <c r="G747" s="550"/>
      <c r="H747" s="557"/>
      <c r="I747" s="548"/>
      <c r="J747" s="548"/>
      <c r="K747" s="545"/>
      <c r="L747" s="546"/>
      <c r="M747" s="545"/>
      <c r="N747" s="545"/>
      <c r="O747" s="545"/>
      <c r="P747" s="545"/>
      <c r="Q747" s="545"/>
      <c r="R747" s="545"/>
      <c r="S747" s="545"/>
      <c r="T747" s="545"/>
      <c r="U747" s="545"/>
    </row>
    <row r="748" spans="1:21" ht="18.75">
      <c r="A748" s="554"/>
      <c r="B748" s="553"/>
      <c r="C748" s="553"/>
      <c r="D748" s="553"/>
      <c r="E748" s="553"/>
      <c r="F748" s="558" t="s">
        <v>303</v>
      </c>
      <c r="G748" s="550"/>
      <c r="H748" s="549" t="s">
        <v>35</v>
      </c>
      <c r="I748" s="548"/>
      <c r="J748" s="547">
        <v>1</v>
      </c>
      <c r="K748" s="545"/>
      <c r="L748" s="546"/>
      <c r="M748" s="545"/>
      <c r="N748" s="545"/>
      <c r="O748" s="545"/>
      <c r="P748" s="545"/>
      <c r="Q748" s="545"/>
      <c r="R748" s="545"/>
      <c r="S748" s="545"/>
      <c r="T748" s="545"/>
      <c r="U748" s="545"/>
    </row>
    <row r="749" spans="1:21" ht="18.75">
      <c r="A749" s="554"/>
      <c r="B749" s="553"/>
      <c r="C749" s="553"/>
      <c r="D749" s="553"/>
      <c r="E749" s="553"/>
      <c r="F749" s="558" t="s">
        <v>302</v>
      </c>
      <c r="G749" s="550"/>
      <c r="H749" s="549" t="s">
        <v>35</v>
      </c>
      <c r="I749" s="556">
        <f ca="1">IFERROR(__xludf.DUMMYFUNCTION("IMPORTRANGE(""https://docs.google.com/spreadsheets/d/1eHaY18a8A9IcSdp1K8H6x8fbOy06t2VsZHhMHf-1x7Y/edit?usp=sharing"",""แผน!GF41"")"),1)</f>
        <v>1</v>
      </c>
      <c r="J749" s="547">
        <v>1</v>
      </c>
      <c r="K749" s="555">
        <f ca="1">IF(I749&gt;0,J749*100/I749,0)</f>
        <v>100</v>
      </c>
      <c r="L749" s="546"/>
      <c r="M749" s="545"/>
      <c r="N749" s="545"/>
      <c r="O749" s="545"/>
      <c r="P749" s="545"/>
      <c r="Q749" s="545"/>
      <c r="R749" s="545"/>
      <c r="S749" s="545"/>
      <c r="T749" s="545"/>
      <c r="U749" s="545"/>
    </row>
    <row r="750" spans="1:21" ht="19.5">
      <c r="A750" s="554"/>
      <c r="B750" s="553"/>
      <c r="C750" s="553"/>
      <c r="D750" s="559" t="s">
        <v>50</v>
      </c>
      <c r="E750" s="553"/>
      <c r="F750" s="552"/>
      <c r="G750" s="550"/>
      <c r="H750" s="557"/>
      <c r="I750" s="548"/>
      <c r="J750" s="548"/>
      <c r="K750" s="545"/>
      <c r="L750" s="546"/>
      <c r="M750" s="545"/>
      <c r="N750" s="545"/>
      <c r="O750" s="545"/>
      <c r="P750" s="545"/>
      <c r="Q750" s="545"/>
      <c r="R750" s="545"/>
      <c r="S750" s="545"/>
      <c r="T750" s="545"/>
      <c r="U750" s="545"/>
    </row>
    <row r="751" spans="1:21" ht="18.75">
      <c r="A751" s="554"/>
      <c r="B751" s="553"/>
      <c r="C751" s="553"/>
      <c r="D751" s="553"/>
      <c r="E751" s="558" t="s">
        <v>271</v>
      </c>
      <c r="F751" s="552"/>
      <c r="G751" s="550"/>
      <c r="H751" s="557"/>
      <c r="I751" s="548"/>
      <c r="J751" s="548"/>
      <c r="K751" s="545"/>
      <c r="L751" s="546"/>
      <c r="M751" s="545"/>
      <c r="N751" s="545"/>
      <c r="O751" s="545"/>
      <c r="P751" s="545"/>
      <c r="Q751" s="545"/>
      <c r="R751" s="545"/>
      <c r="S751" s="545"/>
      <c r="T751" s="545"/>
      <c r="U751" s="545"/>
    </row>
    <row r="752" spans="1:21" ht="18.75">
      <c r="A752" s="554"/>
      <c r="B752" s="553"/>
      <c r="C752" s="553"/>
      <c r="D752" s="553"/>
      <c r="E752" s="553"/>
      <c r="F752" s="551" t="s">
        <v>301</v>
      </c>
      <c r="G752" s="550"/>
      <c r="H752" s="549" t="s">
        <v>46</v>
      </c>
      <c r="I752" s="556">
        <f ca="1">IFERROR(__xludf.DUMMYFUNCTION("IMPORTRANGE(""https://docs.google.com/spreadsheets/d/1eHaY18a8A9IcSdp1K8H6x8fbOy06t2VsZHhMHf-1x7Y/edit?usp=sharing"",""แผน!GB41"")"),400)</f>
        <v>400</v>
      </c>
      <c r="J752" s="547">
        <v>0</v>
      </c>
      <c r="K752" s="555">
        <f ca="1">IF(I752&gt;0,J752*100/I752,0)</f>
        <v>0</v>
      </c>
      <c r="L752" s="546"/>
      <c r="M752" s="545"/>
      <c r="N752" s="545"/>
      <c r="O752" s="545"/>
      <c r="P752" s="545"/>
      <c r="Q752" s="545"/>
      <c r="R752" s="545"/>
      <c r="S752" s="545"/>
      <c r="T752" s="545"/>
      <c r="U752" s="545"/>
    </row>
    <row r="753" spans="1:21" ht="18.75">
      <c r="A753" s="554"/>
      <c r="B753" s="553"/>
      <c r="C753" s="553"/>
      <c r="D753" s="553"/>
      <c r="E753" s="553"/>
      <c r="F753" s="551" t="s">
        <v>300</v>
      </c>
      <c r="G753" s="550"/>
      <c r="H753" s="549" t="s">
        <v>46</v>
      </c>
      <c r="I753" s="548"/>
      <c r="J753" s="547">
        <v>0</v>
      </c>
      <c r="K753" s="545"/>
      <c r="L753" s="546"/>
      <c r="M753" s="545"/>
      <c r="N753" s="545"/>
      <c r="O753" s="545"/>
      <c r="P753" s="545"/>
      <c r="Q753" s="545"/>
      <c r="R753" s="545"/>
      <c r="S753" s="545"/>
      <c r="T753" s="545"/>
      <c r="U753" s="545"/>
    </row>
    <row r="754" spans="1:21" ht="18.75">
      <c r="A754" s="554"/>
      <c r="B754" s="553"/>
      <c r="C754" s="553"/>
      <c r="D754" s="553"/>
      <c r="E754" s="558" t="s">
        <v>275</v>
      </c>
      <c r="F754" s="552"/>
      <c r="G754" s="550"/>
      <c r="H754" s="557"/>
      <c r="I754" s="548"/>
      <c r="J754" s="548"/>
      <c r="K754" s="545"/>
      <c r="L754" s="546"/>
      <c r="M754" s="545"/>
      <c r="N754" s="545"/>
      <c r="O754" s="545"/>
      <c r="P754" s="545"/>
      <c r="Q754" s="545"/>
      <c r="R754" s="545"/>
      <c r="S754" s="545"/>
      <c r="T754" s="545"/>
      <c r="U754" s="545"/>
    </row>
    <row r="755" spans="1:21" ht="18.75">
      <c r="A755" s="554"/>
      <c r="B755" s="553"/>
      <c r="C755" s="553"/>
      <c r="D755" s="553"/>
      <c r="E755" s="552"/>
      <c r="F755" s="551" t="s">
        <v>299</v>
      </c>
      <c r="G755" s="550"/>
      <c r="H755" s="549" t="s">
        <v>46</v>
      </c>
      <c r="I755" s="556">
        <f ca="1">IFERROR(__xludf.DUMMYFUNCTION("IMPORTRANGE(""https://docs.google.com/spreadsheets/d/1eHaY18a8A9IcSdp1K8H6x8fbOy06t2VsZHhMHf-1x7Y/edit?usp=sharing"",""แผน!GD41"")"),100)</f>
        <v>100</v>
      </c>
      <c r="J755" s="547">
        <v>0</v>
      </c>
      <c r="K755" s="555">
        <f ca="1">IF(I755&gt;0,J755*100/I755,0)</f>
        <v>0</v>
      </c>
      <c r="L755" s="546"/>
      <c r="M755" s="545"/>
      <c r="N755" s="545"/>
      <c r="O755" s="545"/>
      <c r="P755" s="545"/>
      <c r="Q755" s="545"/>
      <c r="R755" s="545"/>
      <c r="S755" s="545"/>
      <c r="T755" s="545"/>
      <c r="U755" s="545"/>
    </row>
    <row r="756" spans="1:21" ht="18.75">
      <c r="A756" s="554"/>
      <c r="B756" s="553"/>
      <c r="C756" s="553"/>
      <c r="D756" s="553"/>
      <c r="E756" s="552"/>
      <c r="F756" s="551" t="s">
        <v>298</v>
      </c>
      <c r="G756" s="550"/>
      <c r="H756" s="549" t="s">
        <v>46</v>
      </c>
      <c r="I756" s="548"/>
      <c r="J756" s="547">
        <v>0</v>
      </c>
      <c r="K756" s="545"/>
      <c r="L756" s="546"/>
      <c r="M756" s="545"/>
      <c r="N756" s="545"/>
      <c r="O756" s="545"/>
      <c r="P756" s="545"/>
      <c r="Q756" s="545"/>
      <c r="R756" s="545"/>
      <c r="S756" s="545"/>
      <c r="T756" s="545"/>
      <c r="U756" s="545"/>
    </row>
    <row r="757" spans="1:21" ht="18.75">
      <c r="A757" s="489"/>
      <c r="B757" s="489"/>
      <c r="C757" s="489"/>
      <c r="D757" s="491"/>
      <c r="E757" s="490" t="s">
        <v>285</v>
      </c>
      <c r="F757" s="491"/>
      <c r="G757" s="492"/>
      <c r="H757" s="493" t="s">
        <v>35</v>
      </c>
      <c r="I757" s="494"/>
      <c r="J757" s="495">
        <v>0</v>
      </c>
      <c r="K757" s="496"/>
      <c r="L757" s="496"/>
      <c r="M757" s="496"/>
      <c r="N757" s="496"/>
      <c r="O757" s="496"/>
      <c r="P757" s="496"/>
      <c r="Q757" s="496"/>
      <c r="R757" s="496"/>
      <c r="S757" s="496"/>
      <c r="T757" s="496"/>
      <c r="U757" s="496"/>
    </row>
    <row r="758" spans="1:21" ht="19.5">
      <c r="A758" s="442"/>
      <c r="B758" s="443" t="s">
        <v>286</v>
      </c>
      <c r="C758" s="442"/>
      <c r="D758" s="444"/>
      <c r="E758" s="444"/>
      <c r="F758" s="444"/>
      <c r="G758" s="445"/>
      <c r="H758" s="473" t="s">
        <v>35</v>
      </c>
      <c r="I758" s="544">
        <f ca="1">I772</f>
        <v>65</v>
      </c>
      <c r="J758" s="544">
        <f>J772</f>
        <v>65</v>
      </c>
      <c r="K758" s="543">
        <f ca="1">IF(I758&gt;0,J758*100/I758,0)</f>
        <v>100</v>
      </c>
      <c r="L758" s="449"/>
      <c r="M758" s="448"/>
      <c r="N758" s="448"/>
      <c r="O758" s="448"/>
      <c r="P758" s="448"/>
      <c r="Q758" s="448"/>
      <c r="R758" s="448"/>
      <c r="S758" s="448"/>
      <c r="T758" s="448"/>
      <c r="U758" s="448"/>
    </row>
    <row r="759" spans="1:21" ht="19.5">
      <c r="A759" s="487"/>
      <c r="B759" s="442"/>
      <c r="C759" s="442"/>
      <c r="D759" s="444"/>
      <c r="E759" s="444"/>
      <c r="F759" s="444"/>
      <c r="G759" s="445"/>
      <c r="H759" s="473" t="s">
        <v>46</v>
      </c>
      <c r="I759" s="544">
        <f ca="1">I774</f>
        <v>325</v>
      </c>
      <c r="J759" s="544">
        <f>J774</f>
        <v>325</v>
      </c>
      <c r="K759" s="543">
        <f ca="1">IF(I759&gt;0,J759*100/I759,0)</f>
        <v>100</v>
      </c>
      <c r="L759" s="449"/>
      <c r="M759" s="448"/>
      <c r="N759" s="448"/>
      <c r="O759" s="448"/>
      <c r="P759" s="448"/>
      <c r="Q759" s="448"/>
      <c r="R759" s="448"/>
      <c r="S759" s="448"/>
      <c r="T759" s="448"/>
      <c r="U759" s="448"/>
    </row>
    <row r="760" spans="1:21" ht="19.5">
      <c r="A760" s="155"/>
      <c r="B760" s="188"/>
      <c r="C760" s="205" t="s">
        <v>18</v>
      </c>
      <c r="D760" s="542" t="s">
        <v>19</v>
      </c>
      <c r="E760" s="529"/>
      <c r="F760" s="529"/>
      <c r="G760" s="530"/>
      <c r="H760" s="252" t="s">
        <v>14</v>
      </c>
      <c r="I760" s="54"/>
      <c r="J760" s="54"/>
      <c r="K760" s="55"/>
      <c r="L760" s="541">
        <f>L761+L762</f>
        <v>0</v>
      </c>
      <c r="M760" s="540">
        <f>M761+M762</f>
        <v>0</v>
      </c>
      <c r="N760" s="540">
        <f>N761+N762</f>
        <v>0</v>
      </c>
      <c r="O760" s="540">
        <f>IF(L760&gt;0,N760*100/L760,0)</f>
        <v>0</v>
      </c>
      <c r="P760" s="540">
        <f>IF(M760&gt;0,N760*100/M760,0)</f>
        <v>0</v>
      </c>
      <c r="Q760" s="540">
        <f ca="1">Q761+Q762</f>
        <v>669250</v>
      </c>
      <c r="R760" s="540">
        <f ca="1">R761+R762</f>
        <v>669250</v>
      </c>
      <c r="S760" s="540">
        <f ca="1">S761+S762</f>
        <v>221163</v>
      </c>
      <c r="T760" s="540">
        <f ca="1">IF(Q760&gt;0,S760*100/Q760,0)</f>
        <v>33.046395218528204</v>
      </c>
      <c r="U760" s="540">
        <f ca="1">IF(R760&gt;0,S760*100/R760,0)</f>
        <v>33.046395218528204</v>
      </c>
    </row>
    <row r="761" spans="1:21" ht="18.75" hidden="1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103">
        <f>L764+L767</f>
        <v>0</v>
      </c>
      <c r="M761" s="102">
        <f>M764+M767</f>
        <v>0</v>
      </c>
      <c r="N761" s="102">
        <f>N764+N767</f>
        <v>0</v>
      </c>
      <c r="O761" s="102">
        <f>IF(L761&gt;0,N761*100/L761,0)</f>
        <v>0</v>
      </c>
      <c r="P761" s="102">
        <f>IF(M761&gt;0,N761*100/M761,0)</f>
        <v>0</v>
      </c>
      <c r="Q761" s="102">
        <f>Q764+Q767</f>
        <v>0</v>
      </c>
      <c r="R761" s="102">
        <f>R764+R767</f>
        <v>0</v>
      </c>
      <c r="S761" s="102">
        <f>S764+S767</f>
        <v>0</v>
      </c>
      <c r="T761" s="102">
        <f>IF(Q761&gt;0,S761*100/Q761,0)</f>
        <v>0</v>
      </c>
      <c r="U761" s="102">
        <f>IF(R761&gt;0,S761*100/R761,0)</f>
        <v>0</v>
      </c>
    </row>
    <row r="762" spans="1:21" ht="18.75" hidden="1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256">
        <f>L765+L768</f>
        <v>0</v>
      </c>
      <c r="M762" s="255">
        <f>M765+M768</f>
        <v>0</v>
      </c>
      <c r="N762" s="255">
        <f>N765+N768</f>
        <v>0</v>
      </c>
      <c r="O762" s="255">
        <f>IF(L762&gt;0,N762*100/L762,0)</f>
        <v>0</v>
      </c>
      <c r="P762" s="255">
        <f>IF(M762&gt;0,N762*100/M762,0)</f>
        <v>0</v>
      </c>
      <c r="Q762" s="255">
        <f ca="1">Q765+Q768</f>
        <v>669250</v>
      </c>
      <c r="R762" s="255">
        <f ca="1">R765+R768</f>
        <v>669250</v>
      </c>
      <c r="S762" s="255">
        <f ca="1">S765+S768</f>
        <v>221163</v>
      </c>
      <c r="T762" s="255">
        <f ca="1">IF(Q762&gt;0,S762*100/Q762,0)</f>
        <v>33.046395218528204</v>
      </c>
      <c r="U762" s="255">
        <f ca="1">IF(R762&gt;0,S762*100/R762,0)</f>
        <v>33.046395218528204</v>
      </c>
    </row>
    <row r="763" spans="1:21" ht="18.75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256">
        <f>L764+L765</f>
        <v>0</v>
      </c>
      <c r="M763" s="255">
        <f>M764+M765</f>
        <v>0</v>
      </c>
      <c r="N763" s="255">
        <f>N764+N765</f>
        <v>0</v>
      </c>
      <c r="O763" s="255">
        <f>IF(L763&gt;0,N763*100/L763,0)</f>
        <v>0</v>
      </c>
      <c r="P763" s="255">
        <f>IF(M763&gt;0,N763*100/M763,0)</f>
        <v>0</v>
      </c>
      <c r="Q763" s="255">
        <f ca="1">Q764+Q765</f>
        <v>669250</v>
      </c>
      <c r="R763" s="255">
        <f ca="1">R764+R765</f>
        <v>669250</v>
      </c>
      <c r="S763" s="255">
        <f ca="1">S764+S765</f>
        <v>221163</v>
      </c>
      <c r="T763" s="255">
        <f ca="1">IF(Q763&gt;0,S763*100/Q763,0)</f>
        <v>33.046395218528204</v>
      </c>
      <c r="U763" s="255">
        <f ca="1">IF(R763&gt;0,S763*100/R763,0)</f>
        <v>33.046395218528204</v>
      </c>
    </row>
    <row r="764" spans="1:21" ht="18.75" hidden="1">
      <c r="A764" s="155"/>
      <c r="B764" s="188"/>
      <c r="C764" s="202"/>
      <c r="D764" s="174"/>
      <c r="E764" s="186" t="s">
        <v>159</v>
      </c>
      <c r="F764" s="50"/>
      <c r="G764" s="52"/>
      <c r="H764" s="189" t="s">
        <v>14</v>
      </c>
      <c r="I764" s="54"/>
      <c r="J764" s="54"/>
      <c r="K764" s="55"/>
      <c r="L764" s="103">
        <v>0</v>
      </c>
      <c r="M764" s="102">
        <v>0</v>
      </c>
      <c r="N764" s="102">
        <v>0</v>
      </c>
      <c r="O764" s="102">
        <f>IF(L764&gt;0,N764*100/L764,0)</f>
        <v>0</v>
      </c>
      <c r="P764" s="102">
        <f>IF(M764&gt;0,N764*100/M764,0)</f>
        <v>0</v>
      </c>
      <c r="Q764" s="102">
        <v>0</v>
      </c>
      <c r="R764" s="102">
        <v>0</v>
      </c>
      <c r="S764" s="102">
        <v>0</v>
      </c>
      <c r="T764" s="102">
        <f>IF(Q764&gt;0,S764*100/Q764,0)</f>
        <v>0</v>
      </c>
      <c r="U764" s="102">
        <f>IF(R764&gt;0,S764*100/R764,0)</f>
        <v>0</v>
      </c>
    </row>
    <row r="765" spans="1:21" ht="18.75" hidden="1">
      <c r="A765" s="155"/>
      <c r="B765" s="188"/>
      <c r="C765" s="202"/>
      <c r="D765" s="174"/>
      <c r="E765" s="58" t="s">
        <v>160</v>
      </c>
      <c r="F765" s="50"/>
      <c r="G765" s="52"/>
      <c r="H765" s="162" t="s">
        <v>14</v>
      </c>
      <c r="I765" s="54"/>
      <c r="J765" s="54"/>
      <c r="K765" s="55"/>
      <c r="L765" s="256">
        <v>0</v>
      </c>
      <c r="M765" s="255">
        <v>0</v>
      </c>
      <c r="N765" s="255">
        <v>0</v>
      </c>
      <c r="O765" s="255">
        <f>IF(L765&gt;0,N765*100/L765,0)</f>
        <v>0</v>
      </c>
      <c r="P765" s="255">
        <f>IF(M765&gt;0,N765*100/M765,0)</f>
        <v>0</v>
      </c>
      <c r="Q765" s="255">
        <f ca="1">IFERROR(__xludf.DUMMYFUNCTION("IMPORTRANGE(""https://docs.google.com/spreadsheets/d/1ItG2mGa2ceCfYo0BwxsXqNm01IGEUdYcSSLTEv9YCik/edit?usp=sharing"",""เบิกจ่ายกองทุน!U41"")"),669250)</f>
        <v>669250</v>
      </c>
      <c r="R765" s="255">
        <f ca="1">IFERROR(__xludf.DUMMYFUNCTION("IMPORTRANGE(""https://docs.google.com/spreadsheets/d/1ItG2mGa2ceCfYo0BwxsXqNm01IGEUdYcSSLTEv9YCik/edit?usp=sharing"",""เบิกจ่ายกองทุน!V41"")"),669250)</f>
        <v>669250</v>
      </c>
      <c r="S765" s="255">
        <f ca="1">IFERROR(__xludf.DUMMYFUNCTION("IMPORTRANGE(""https://docs.google.com/spreadsheets/d/1ItG2mGa2ceCfYo0BwxsXqNm01IGEUdYcSSLTEv9YCik/edit?usp=sharing"",""เบิกจ่ายกองทุน!W41"")"),221163)</f>
        <v>221163</v>
      </c>
      <c r="T765" s="255">
        <f ca="1">IF(Q765&gt;0,S765*100/Q765,0)</f>
        <v>33.046395218528204</v>
      </c>
      <c r="U765" s="255">
        <f ca="1">IF(R765&gt;0,S765*100/R765,0)</f>
        <v>33.046395218528204</v>
      </c>
    </row>
    <row r="766" spans="1:21" ht="18.75">
      <c r="A766" s="155"/>
      <c r="B766" s="188"/>
      <c r="C766" s="188"/>
      <c r="D766" s="51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256">
        <f>L767+L768</f>
        <v>0</v>
      </c>
      <c r="M766" s="255">
        <f>M767+M768</f>
        <v>0</v>
      </c>
      <c r="N766" s="255">
        <f>N767+N768</f>
        <v>0</v>
      </c>
      <c r="O766" s="255">
        <f>IF(L766&gt;0,N766*100/L766,0)</f>
        <v>0</v>
      </c>
      <c r="P766" s="255">
        <f>IF(M766&gt;0,N766*100/M766,0)</f>
        <v>0</v>
      </c>
      <c r="Q766" s="255">
        <f>Q767+Q768</f>
        <v>0</v>
      </c>
      <c r="R766" s="255">
        <f>R767+R768</f>
        <v>0</v>
      </c>
      <c r="S766" s="255">
        <f>S767+S768</f>
        <v>0</v>
      </c>
      <c r="T766" s="255">
        <f>IF(Q766&gt;0,S766*100/Q766,0)</f>
        <v>0</v>
      </c>
      <c r="U766" s="255">
        <f>IF(R766&gt;0,S766*100/R766,0)</f>
        <v>0</v>
      </c>
    </row>
    <row r="767" spans="1:21" ht="18.75" hidden="1">
      <c r="A767" s="155"/>
      <c r="B767" s="188"/>
      <c r="C767" s="188"/>
      <c r="D767" s="188"/>
      <c r="E767" s="358" t="s">
        <v>20</v>
      </c>
      <c r="F767" s="50"/>
      <c r="G767" s="52"/>
      <c r="H767" s="189" t="s">
        <v>14</v>
      </c>
      <c r="I767" s="163"/>
      <c r="J767" s="163"/>
      <c r="K767" s="164"/>
      <c r="L767" s="103">
        <v>0</v>
      </c>
      <c r="M767" s="102">
        <v>0</v>
      </c>
      <c r="N767" s="102">
        <v>0</v>
      </c>
      <c r="O767" s="102">
        <f>IF(L767&gt;0,N767*100/L767,0)</f>
        <v>0</v>
      </c>
      <c r="P767" s="102">
        <f>IF(M767&gt;0,N767*100/M767,0)</f>
        <v>0</v>
      </c>
      <c r="Q767" s="102">
        <v>0</v>
      </c>
      <c r="R767" s="102">
        <v>0</v>
      </c>
      <c r="S767" s="102">
        <v>0</v>
      </c>
      <c r="T767" s="102">
        <f>IF(Q767&gt;0,S767*100/Q767,0)</f>
        <v>0</v>
      </c>
      <c r="U767" s="102">
        <f>IF(R767&gt;0,S767*100/R767,0)</f>
        <v>0</v>
      </c>
    </row>
    <row r="768" spans="1:21" ht="18.75" hidden="1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256">
        <v>0</v>
      </c>
      <c r="M768" s="255">
        <v>0</v>
      </c>
      <c r="N768" s="255">
        <v>0</v>
      </c>
      <c r="O768" s="255">
        <f>IF(L768&gt;0,N768*100/L768,0)</f>
        <v>0</v>
      </c>
      <c r="P768" s="255">
        <f>IF(M768&gt;0,N768*100/M768,0)</f>
        <v>0</v>
      </c>
      <c r="Q768" s="255">
        <v>0</v>
      </c>
      <c r="R768" s="255">
        <v>0</v>
      </c>
      <c r="S768" s="255">
        <v>0</v>
      </c>
      <c r="T768" s="255">
        <f>IF(Q768&gt;0,S768*100/Q768,0)</f>
        <v>0</v>
      </c>
      <c r="U768" s="255">
        <f>IF(R768&gt;0,S768*100/R768,0)</f>
        <v>0</v>
      </c>
    </row>
    <row r="769" spans="1:21" ht="19.5">
      <c r="A769" s="166"/>
      <c r="B769" s="167"/>
      <c r="C769" s="497" t="s">
        <v>18</v>
      </c>
      <c r="D769" s="539" t="s">
        <v>38</v>
      </c>
      <c r="E769" s="232"/>
      <c r="F769" s="169"/>
      <c r="G769" s="170"/>
      <c r="H769" s="206"/>
      <c r="I769" s="54"/>
      <c r="J769" s="54"/>
      <c r="K769" s="55"/>
      <c r="L769" s="62"/>
      <c r="M769" s="55"/>
      <c r="N769" s="55"/>
      <c r="O769" s="55"/>
      <c r="P769" s="55"/>
      <c r="Q769" s="55"/>
      <c r="R769" s="55"/>
      <c r="S769" s="55"/>
      <c r="T769" s="55"/>
      <c r="U769" s="55"/>
    </row>
    <row r="770" spans="1:21" ht="18.75" hidden="1">
      <c r="A770" s="166"/>
      <c r="B770" s="167"/>
      <c r="C770" s="167"/>
      <c r="D770" s="423" t="s">
        <v>287</v>
      </c>
      <c r="E770" s="167"/>
      <c r="F770" s="174"/>
      <c r="G770" s="171"/>
      <c r="H770" s="421" t="s">
        <v>35</v>
      </c>
      <c r="I770" s="483">
        <f ca="1">IFERROR(__xludf.DUMMYFUNCTION("IMPORTRANGE(""https://docs.google.com/spreadsheets/d/1eHaY18a8A9IcSdp1K8H6x8fbOy06t2VsZHhMHf-1x7Y/edit?usp=sharing"",""แผน!FI41"")"),0)</f>
        <v>0</v>
      </c>
      <c r="J770" s="483">
        <v>0</v>
      </c>
      <c r="K770" s="102">
        <f ca="1">IF(I770&gt;0,J770*100/I770,0)</f>
        <v>0</v>
      </c>
      <c r="L770" s="62"/>
      <c r="M770" s="55"/>
      <c r="N770" s="55"/>
      <c r="O770" s="55"/>
      <c r="P770" s="55"/>
      <c r="Q770" s="55"/>
      <c r="R770" s="55"/>
      <c r="S770" s="55"/>
      <c r="T770" s="55"/>
      <c r="U770" s="55"/>
    </row>
    <row r="771" spans="1:21" ht="18.75" hidden="1">
      <c r="A771" s="166"/>
      <c r="B771" s="167"/>
      <c r="C771" s="167"/>
      <c r="D771" s="423" t="s">
        <v>288</v>
      </c>
      <c r="E771" s="167"/>
      <c r="F771" s="174"/>
      <c r="G771" s="171"/>
      <c r="H771" s="206"/>
      <c r="I771" s="54"/>
      <c r="J771" s="54"/>
      <c r="K771" s="55"/>
      <c r="L771" s="62"/>
      <c r="M771" s="55"/>
      <c r="N771" s="55"/>
      <c r="O771" s="55"/>
      <c r="P771" s="55"/>
      <c r="Q771" s="55"/>
      <c r="R771" s="55"/>
      <c r="S771" s="55"/>
      <c r="T771" s="55"/>
      <c r="U771" s="55"/>
    </row>
    <row r="772" spans="1:21" ht="18.75">
      <c r="A772" s="166"/>
      <c r="B772" s="167"/>
      <c r="C772" s="167"/>
      <c r="D772" s="460" t="s">
        <v>289</v>
      </c>
      <c r="E772" s="167"/>
      <c r="F772" s="174"/>
      <c r="G772" s="171"/>
      <c r="H772" s="165" t="s">
        <v>35</v>
      </c>
      <c r="I772" s="212">
        <f ca="1">IFERROR(__xludf.DUMMYFUNCTION("IMPORTRANGE(""https://docs.google.com/spreadsheets/d/1eHaY18a8A9IcSdp1K8H6x8fbOy06t2VsZHhMHf-1x7Y/edit?usp=sharing"",""แผน!FQ41"")"),65)</f>
        <v>65</v>
      </c>
      <c r="J772" s="467">
        <v>65</v>
      </c>
      <c r="K772" s="255">
        <f ca="1">IF(I772&gt;0,J772*100/I772,0)</f>
        <v>100</v>
      </c>
      <c r="L772" s="62"/>
      <c r="M772" s="55"/>
      <c r="N772" s="55"/>
      <c r="O772" s="55"/>
      <c r="P772" s="55"/>
      <c r="Q772" s="55"/>
      <c r="R772" s="55"/>
      <c r="S772" s="55"/>
      <c r="T772" s="55"/>
      <c r="U772" s="55"/>
    </row>
    <row r="773" spans="1:21" ht="18.75">
      <c r="A773" s="166"/>
      <c r="B773" s="167"/>
      <c r="C773" s="167"/>
      <c r="D773" s="460" t="s">
        <v>290</v>
      </c>
      <c r="E773" s="167"/>
      <c r="F773" s="174"/>
      <c r="G773" s="171"/>
      <c r="H773" s="206"/>
      <c r="I773" s="54"/>
      <c r="J773" s="54"/>
      <c r="K773" s="55"/>
      <c r="L773" s="62"/>
      <c r="M773" s="55"/>
      <c r="N773" s="55"/>
      <c r="O773" s="55"/>
      <c r="P773" s="55"/>
      <c r="Q773" s="55"/>
      <c r="R773" s="55"/>
      <c r="S773" s="55"/>
      <c r="T773" s="55"/>
      <c r="U773" s="55"/>
    </row>
    <row r="774" spans="1:21" ht="18.75">
      <c r="A774" s="166"/>
      <c r="B774" s="167"/>
      <c r="C774" s="167"/>
      <c r="D774" s="460" t="s">
        <v>291</v>
      </c>
      <c r="E774" s="167"/>
      <c r="F774" s="174"/>
      <c r="G774" s="171"/>
      <c r="H774" s="165" t="s">
        <v>46</v>
      </c>
      <c r="I774" s="212">
        <f ca="1">IFERROR(__xludf.DUMMYFUNCTION("IMPORTRANGE(""https://docs.google.com/spreadsheets/d/1eHaY18a8A9IcSdp1K8H6x8fbOy06t2VsZHhMHf-1x7Y/edit?usp=sharing"",""แผน!FR41"")"),325)</f>
        <v>325</v>
      </c>
      <c r="J774" s="467">
        <v>325</v>
      </c>
      <c r="K774" s="255">
        <f ca="1">IF(I774&gt;0,J774*100/I774,0)</f>
        <v>100</v>
      </c>
      <c r="L774" s="62"/>
      <c r="M774" s="55"/>
      <c r="N774" s="55"/>
      <c r="O774" s="55"/>
      <c r="P774" s="55"/>
      <c r="Q774" s="55"/>
      <c r="R774" s="55"/>
      <c r="S774" s="55"/>
      <c r="T774" s="55"/>
      <c r="U774" s="55"/>
    </row>
    <row r="775" spans="1:21" ht="18.75">
      <c r="A775" s="166"/>
      <c r="B775" s="167"/>
      <c r="C775" s="167"/>
      <c r="D775" s="460" t="s">
        <v>50</v>
      </c>
      <c r="E775" s="174"/>
      <c r="F775" s="50"/>
      <c r="G775" s="52"/>
      <c r="H775" s="165" t="s">
        <v>46</v>
      </c>
      <c r="I775" s="212">
        <f ca="1">IFERROR(__xludf.DUMMYFUNCTION("IMPORTRANGE(""https://docs.google.com/spreadsheets/d/1eHaY18a8A9IcSdp1K8H6x8fbOy06t2VsZHhMHf-1x7Y/edit?usp=sharing"",""แผน!FS41"")"),325)</f>
        <v>325</v>
      </c>
      <c r="J775" s="467">
        <v>0</v>
      </c>
      <c r="K775" s="55"/>
      <c r="L775" s="62"/>
      <c r="M775" s="55"/>
      <c r="N775" s="55"/>
      <c r="O775" s="55"/>
      <c r="P775" s="55"/>
      <c r="Q775" s="55"/>
      <c r="R775" s="55"/>
      <c r="S775" s="55"/>
      <c r="T775" s="55"/>
      <c r="U775" s="55"/>
    </row>
    <row r="776" spans="1:21" ht="18.75">
      <c r="A776" s="281"/>
      <c r="B776" s="282"/>
      <c r="C776" s="282"/>
      <c r="D776" s="282"/>
      <c r="E776" s="2"/>
      <c r="F776" s="2"/>
      <c r="G776" s="65"/>
      <c r="H776" s="214" t="s">
        <v>35</v>
      </c>
      <c r="I776" s="216">
        <f ca="1">IFERROR(__xludf.DUMMYFUNCTION("IMPORTRANGE(""https://docs.google.com/spreadsheets/d/1eHaY18a8A9IcSdp1K8H6x8fbOy06t2VsZHhMHf-1x7Y/edit?usp=sharing"",""แผน!FT41"")"),65)</f>
        <v>65</v>
      </c>
      <c r="J776" s="538">
        <v>0</v>
      </c>
      <c r="K776" s="6"/>
      <c r="L776" s="68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>
      <c r="A777" s="537" t="s">
        <v>292</v>
      </c>
      <c r="B777" s="500"/>
      <c r="C777" s="500"/>
      <c r="D777" s="499"/>
      <c r="E777" s="500"/>
      <c r="F777" s="500"/>
      <c r="G777" s="501"/>
      <c r="H777" s="536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503"/>
      <c r="J777" s="504"/>
      <c r="K777" s="505"/>
      <c r="L777" s="505"/>
      <c r="M777" s="505"/>
      <c r="N777" s="505"/>
      <c r="O777" s="505"/>
      <c r="P777" s="505"/>
      <c r="Q777" s="505"/>
      <c r="R777" s="505"/>
      <c r="S777" s="505"/>
      <c r="T777" s="505"/>
      <c r="U777" s="505"/>
    </row>
    <row r="778" spans="1:21" ht="18.75">
      <c r="A778" s="49"/>
      <c r="B778" s="58" t="s">
        <v>293</v>
      </c>
      <c r="C778" s="50"/>
      <c r="D778" s="188"/>
      <c r="E778" s="50"/>
      <c r="F778" s="50"/>
      <c r="G778" s="52"/>
      <c r="H778" s="53" t="s">
        <v>14</v>
      </c>
      <c r="I778" s="212">
        <f ca="1">IFERROR(__xludf.DUMMYFUNCTION("IMPORTRANGE(""https://docs.google.com/spreadsheets/d/10OvvATaaLtwErnr3qtWFcTmtbfpFEt5Bsqel9sXx0uE/edit?usp=sharing"",""งานกองทุน!D41"")"),6568353.9)</f>
        <v>6568353.9000000004</v>
      </c>
      <c r="J778" s="212">
        <f ca="1">IFERROR(__xludf.DUMMYFUNCTION("IMPORTRANGE(""https://docs.google.com/spreadsheets/d/10OvvATaaLtwErnr3qtWFcTmtbfpFEt5Bsqel9sXx0uE/edit?usp=sharing"",""งานกองทุน!F41"")"),2833391.17)</f>
        <v>2833391.17</v>
      </c>
      <c r="K778" s="255">
        <f ca="1">IF(I778&gt;0,J778*100/I778,0)</f>
        <v>43.137005300521338</v>
      </c>
      <c r="L778" s="55"/>
      <c r="M778" s="55"/>
      <c r="N778" s="55"/>
      <c r="O778" s="55"/>
      <c r="P778" s="55"/>
      <c r="Q778" s="55"/>
      <c r="R778" s="55"/>
      <c r="S778" s="55"/>
      <c r="T778" s="55"/>
      <c r="U778" s="55"/>
    </row>
    <row r="779" spans="1:21" ht="18.75">
      <c r="A779" s="49"/>
      <c r="B779" s="50"/>
      <c r="C779" s="50"/>
      <c r="D779" s="188"/>
      <c r="E779" s="50"/>
      <c r="F779" s="50"/>
      <c r="G779" s="52"/>
      <c r="H779" s="53" t="s">
        <v>35</v>
      </c>
      <c r="I779" s="212">
        <f ca="1">IFERROR(__xludf.DUMMYFUNCTION("IMPORTRANGE(""https://docs.google.com/spreadsheets/d/10OvvATaaLtwErnr3qtWFcTmtbfpFEt5Bsqel9sXx0uE/edit?usp=sharing"",""งานกองทุน!C41"")"),583)</f>
        <v>583</v>
      </c>
      <c r="J779" s="212">
        <f ca="1">IFERROR(__xludf.DUMMYFUNCTION("IMPORTRANGE(""https://docs.google.com/spreadsheets/d/10OvvATaaLtwErnr3qtWFcTmtbfpFEt5Bsqel9sXx0uE/edit?usp=sharing"",""งานกองทุน!E41"")"),237)</f>
        <v>237</v>
      </c>
      <c r="K779" s="255">
        <f ca="1">IF(I779&gt;0,J779*100/I779,0)</f>
        <v>40.651801029159522</v>
      </c>
      <c r="L779" s="55"/>
      <c r="M779" s="55"/>
      <c r="N779" s="55"/>
      <c r="O779" s="55"/>
      <c r="P779" s="55"/>
      <c r="Q779" s="55"/>
      <c r="R779" s="55"/>
      <c r="S779" s="55"/>
      <c r="T779" s="55"/>
      <c r="U779" s="55"/>
    </row>
    <row r="780" spans="1:21" ht="18.75">
      <c r="A780" s="49"/>
      <c r="B780" s="58" t="s">
        <v>294</v>
      </c>
      <c r="C780" s="50"/>
      <c r="D780" s="188"/>
      <c r="E780" s="50"/>
      <c r="F780" s="50"/>
      <c r="G780" s="52"/>
      <c r="H780" s="53" t="s">
        <v>14</v>
      </c>
      <c r="I780" s="212">
        <f ca="1">IFERROR(__xludf.DUMMYFUNCTION("IMPORTRANGE(""https://docs.google.com/spreadsheets/d/10OvvATaaLtwErnr3qtWFcTmtbfpFEt5Bsqel9sXx0uE/edit?usp=sharing"",""งานกองทุน!I41"")"),6420715.78)</f>
        <v>6420715.7800000003</v>
      </c>
      <c r="J780" s="212">
        <f ca="1">IFERROR(__xludf.DUMMYFUNCTION("IMPORTRANGE(""https://docs.google.com/spreadsheets/d/10OvvATaaLtwErnr3qtWFcTmtbfpFEt5Bsqel9sXx0uE/edit?usp=sharing"",""งานกองทุน!K41"")"),1376452.84)</f>
        <v>1376452.84</v>
      </c>
      <c r="K780" s="255">
        <f ca="1">IF(I780&gt;0,J780*100/I780,0)</f>
        <v>21.437685254462391</v>
      </c>
      <c r="L780" s="55"/>
      <c r="M780" s="55"/>
      <c r="N780" s="55"/>
      <c r="O780" s="55"/>
      <c r="P780" s="55"/>
      <c r="Q780" s="55"/>
      <c r="R780" s="55"/>
      <c r="S780" s="55"/>
      <c r="T780" s="55"/>
      <c r="U780" s="55"/>
    </row>
    <row r="781" spans="1:21" ht="18.75">
      <c r="A781" s="49"/>
      <c r="B781" s="50"/>
      <c r="C781" s="50"/>
      <c r="D781" s="188"/>
      <c r="E781" s="50"/>
      <c r="F781" s="50"/>
      <c r="G781" s="52"/>
      <c r="H781" s="53" t="s">
        <v>35</v>
      </c>
      <c r="I781" s="212">
        <f ca="1">IFERROR(__xludf.DUMMYFUNCTION("IMPORTRANGE(""https://docs.google.com/spreadsheets/d/10OvvATaaLtwErnr3qtWFcTmtbfpFEt5Bsqel9sXx0uE/edit?usp=sharing"",""งานกองทุน!H41"")"),353)</f>
        <v>353</v>
      </c>
      <c r="J781" s="212">
        <f ca="1">IFERROR(__xludf.DUMMYFUNCTION("IMPORTRANGE(""https://docs.google.com/spreadsheets/d/10OvvATaaLtwErnr3qtWFcTmtbfpFEt5Bsqel9sXx0uE/edit?usp=sharing"",""งานกองทุน!J41"")"),128)</f>
        <v>128</v>
      </c>
      <c r="K781" s="255">
        <f ca="1">IF(I781&gt;0,J781*100/I781,0)</f>
        <v>36.260623229461757</v>
      </c>
      <c r="L781" s="55"/>
      <c r="M781" s="55"/>
      <c r="N781" s="55"/>
      <c r="O781" s="55"/>
      <c r="P781" s="55"/>
      <c r="Q781" s="55"/>
      <c r="R781" s="55"/>
      <c r="S781" s="55"/>
      <c r="T781" s="55"/>
      <c r="U781" s="55"/>
    </row>
    <row r="782" spans="1:21" ht="18.75">
      <c r="A782" s="49"/>
      <c r="B782" s="58" t="s">
        <v>295</v>
      </c>
      <c r="C782" s="50"/>
      <c r="D782" s="188"/>
      <c r="E782" s="50"/>
      <c r="F782" s="50"/>
      <c r="G782" s="52"/>
      <c r="H782" s="53" t="s">
        <v>14</v>
      </c>
      <c r="I782" s="212">
        <f ca="1">IFERROR(__xludf.DUMMYFUNCTION("IMPORTRANGE(""https://docs.google.com/spreadsheets/d/10OvvATaaLtwErnr3qtWFcTmtbfpFEt5Bsqel9sXx0uE/edit?usp=sharing"",""งานกองทุน!N41"")"),0)</f>
        <v>0</v>
      </c>
      <c r="J782" s="212">
        <f ca="1">IFERROR(__xludf.DUMMYFUNCTION("IMPORTRANGE(""https://docs.google.com/spreadsheets/d/10OvvATaaLtwErnr3qtWFcTmtbfpFEt5Bsqel9sXx0uE/edit?usp=sharing"",""งานกองทุน!P41"")"),29043.56)</f>
        <v>29043.56</v>
      </c>
      <c r="K782" s="255">
        <f ca="1">IF(I782&gt;0,J782*100/I782,0)</f>
        <v>0</v>
      </c>
      <c r="L782" s="55"/>
      <c r="M782" s="55"/>
      <c r="N782" s="55"/>
      <c r="O782" s="55"/>
      <c r="P782" s="55"/>
      <c r="Q782" s="55"/>
      <c r="R782" s="55"/>
      <c r="S782" s="55"/>
      <c r="T782" s="55"/>
      <c r="U782" s="55"/>
    </row>
    <row r="783" spans="1:21" ht="18.75">
      <c r="A783" s="49"/>
      <c r="B783" s="50"/>
      <c r="C783" s="50"/>
      <c r="D783" s="188"/>
      <c r="E783" s="50"/>
      <c r="F783" s="50"/>
      <c r="G783" s="52"/>
      <c r="H783" s="53" t="s">
        <v>35</v>
      </c>
      <c r="I783" s="212">
        <f ca="1">IFERROR(__xludf.DUMMYFUNCTION("IMPORTRANGE(""https://docs.google.com/spreadsheets/d/10OvvATaaLtwErnr3qtWFcTmtbfpFEt5Bsqel9sXx0uE/edit?usp=sharing"",""งานกองทุน!M41"")"),0)</f>
        <v>0</v>
      </c>
      <c r="J783" s="212">
        <f ca="1">IFERROR(__xludf.DUMMYFUNCTION("IMPORTRANGE(""https://docs.google.com/spreadsheets/d/10OvvATaaLtwErnr3qtWFcTmtbfpFEt5Bsqel9sXx0uE/edit?usp=sharing"",""งานกองทุน!O41"")"),2)</f>
        <v>2</v>
      </c>
      <c r="K783" s="255">
        <f ca="1">IF(I783&gt;0,J783*100/I783,0)</f>
        <v>0</v>
      </c>
      <c r="L783" s="55"/>
      <c r="M783" s="55"/>
      <c r="N783" s="55"/>
      <c r="O783" s="55"/>
      <c r="P783" s="55"/>
      <c r="Q783" s="55"/>
      <c r="R783" s="55"/>
      <c r="S783" s="55"/>
      <c r="T783" s="55"/>
      <c r="U783" s="55"/>
    </row>
    <row r="784" spans="1:21" ht="18.75">
      <c r="A784" s="49"/>
      <c r="B784" s="58" t="s">
        <v>296</v>
      </c>
      <c r="C784" s="50"/>
      <c r="D784" s="188"/>
      <c r="E784" s="50"/>
      <c r="F784" s="50"/>
      <c r="G784" s="52"/>
      <c r="H784" s="53" t="s">
        <v>14</v>
      </c>
      <c r="I784" s="212">
        <f ca="1">IFERROR(__xludf.DUMMYFUNCTION("IMPORTRANGE(""https://docs.google.com/spreadsheets/d/10OvvATaaLtwErnr3qtWFcTmtbfpFEt5Bsqel9sXx0uE/edit?usp=sharing"",""งานกองทุน!S41"")"),8764000)</f>
        <v>8764000</v>
      </c>
      <c r="J784" s="212">
        <f ca="1">IFERROR(__xludf.DUMMYFUNCTION("IMPORTRANGE(""https://docs.google.com/spreadsheets/d/10OvvATaaLtwErnr3qtWFcTmtbfpFEt5Bsqel9sXx0uE/edit?usp=sharing"",""งานกองทุน!U41"")"),4815000)</f>
        <v>4815000</v>
      </c>
      <c r="K784" s="255">
        <f ca="1">IF(I784&gt;0,J784*100/I784,0)</f>
        <v>54.940666362391603</v>
      </c>
      <c r="L784" s="55"/>
      <c r="M784" s="55"/>
      <c r="N784" s="55"/>
      <c r="O784" s="55"/>
      <c r="P784" s="55"/>
      <c r="Q784" s="55"/>
      <c r="R784" s="55"/>
      <c r="S784" s="55"/>
      <c r="T784" s="55"/>
      <c r="U784" s="55"/>
    </row>
    <row r="785" spans="1:21" ht="18.75">
      <c r="A785" s="63"/>
      <c r="B785" s="4"/>
      <c r="C785" s="4"/>
      <c r="D785" s="5"/>
      <c r="E785" s="4"/>
      <c r="F785" s="4"/>
      <c r="G785" s="65"/>
      <c r="H785" s="66" t="s">
        <v>35</v>
      </c>
      <c r="I785" s="216">
        <f ca="1">IFERROR(__xludf.DUMMYFUNCTION("IMPORTRANGE(""https://docs.google.com/spreadsheets/d/10OvvATaaLtwErnr3qtWFcTmtbfpFEt5Bsqel9sXx0uE/edit?usp=sharing"",""งานกองทุน!R41"")"),313)</f>
        <v>313</v>
      </c>
      <c r="J785" s="216">
        <f ca="1">IFERROR(__xludf.DUMMYFUNCTION("IMPORTRANGE(""https://docs.google.com/spreadsheets/d/10OvvATaaLtwErnr3qtWFcTmtbfpFEt5Bsqel9sXx0uE/edit?usp=sharing"",""งานกองทุน!T41"")"),128)</f>
        <v>128</v>
      </c>
      <c r="K785" s="506">
        <f ca="1">IF(I785&gt;0,J785*100/I785,0)</f>
        <v>40.894568690095845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6.5">
      <c r="A787" s="535" t="s">
        <v>297</v>
      </c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6.5">
      <c r="A788" s="535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</v>
      </c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6.5">
      <c r="A789" s="535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</v>
      </c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</sheetData>
  <mergeCells count="26">
    <mergeCell ref="A1:U1"/>
    <mergeCell ref="A2:U2"/>
    <mergeCell ref="A3:U3"/>
    <mergeCell ref="L4:P4"/>
    <mergeCell ref="Q4:U4"/>
    <mergeCell ref="A5:G6"/>
    <mergeCell ref="H5:H6"/>
    <mergeCell ref="I5:K5"/>
    <mergeCell ref="L5:M5"/>
    <mergeCell ref="N5:P5"/>
    <mergeCell ref="D616:G616"/>
    <mergeCell ref="D642:G642"/>
    <mergeCell ref="D690:G690"/>
    <mergeCell ref="D714:G714"/>
    <mergeCell ref="Q5:R5"/>
    <mergeCell ref="S5:U5"/>
    <mergeCell ref="D728:G728"/>
    <mergeCell ref="D760:G760"/>
    <mergeCell ref="A7:G7"/>
    <mergeCell ref="A17:G17"/>
    <mergeCell ref="A30:G30"/>
    <mergeCell ref="A56:G56"/>
    <mergeCell ref="B57:G57"/>
    <mergeCell ref="D413:G413"/>
    <mergeCell ref="D493:F493"/>
    <mergeCell ref="D599:G599"/>
  </mergeCells>
  <printOptions horizontalCentered="1"/>
  <pageMargins left="0.23622047244094491" right="0.23622047244094491" top="0.55118110236220474" bottom="0.55118110236220474" header="0" footer="0"/>
  <pageSetup paperSize="9" scale="29" fitToHeight="0" pageOrder="overThenDown" orientation="portrait" cellComments="atEnd" horizontalDpi="4294967293" verticalDpi="4294967293" r:id="rId1"/>
  <headerFooter>
    <oddFooter>&amp;Cหน้า 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EE4DCF-1A0E-4E3F-B614-D2D9B3AF6E3F}">
  <sheetPr>
    <outlinePr summaryBelow="0" summaryRight="0"/>
    <pageSetUpPr fitToPage="1"/>
  </sheetPr>
  <dimension ref="A1:U789"/>
  <sheetViews>
    <sheetView view="pageBreakPreview" zoomScale="60" zoomScaleNormal="60" workbookViewId="0">
      <pane xSplit="8" ySplit="17" topLeftCell="I18" activePane="bottomRight" state="frozen"/>
      <selection activeCell="T32" sqref="T32"/>
      <selection pane="topRight" activeCell="T32" sqref="T32"/>
      <selection pane="bottomLeft" activeCell="T32" sqref="T32"/>
      <selection pane="bottomRight" activeCell="T32" sqref="T32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bestFit="1" customWidth="1"/>
    <col min="12" max="14" width="21.28515625" bestFit="1" customWidth="1"/>
    <col min="15" max="15" width="20.140625" bestFit="1" customWidth="1"/>
    <col min="16" max="16" width="22" bestFit="1" customWidth="1"/>
    <col min="17" max="18" width="21.28515625" bestFit="1" customWidth="1"/>
    <col min="19" max="19" width="18.7109375" bestFit="1" customWidth="1"/>
    <col min="20" max="20" width="20.140625" bestFit="1" customWidth="1"/>
    <col min="21" max="21" width="22" bestFit="1" customWidth="1"/>
  </cols>
  <sheetData>
    <row r="1" spans="1:21" ht="19.5">
      <c r="A1" s="894" t="s">
        <v>0</v>
      </c>
      <c r="B1" s="894"/>
      <c r="C1" s="894"/>
      <c r="D1" s="894"/>
      <c r="E1" s="894"/>
      <c r="F1" s="894"/>
      <c r="G1" s="894"/>
      <c r="H1" s="894"/>
      <c r="I1" s="894"/>
      <c r="J1" s="894"/>
      <c r="K1" s="894"/>
      <c r="L1" s="894"/>
      <c r="M1" s="894"/>
      <c r="N1" s="894"/>
      <c r="O1" s="894"/>
      <c r="P1" s="894"/>
      <c r="Q1" s="894"/>
      <c r="R1" s="894"/>
      <c r="S1" s="894"/>
      <c r="T1" s="894"/>
      <c r="U1" s="894"/>
    </row>
    <row r="2" spans="1:21" ht="19.5">
      <c r="A2" s="894" t="s">
        <v>322</v>
      </c>
      <c r="B2" s="894"/>
      <c r="C2" s="894"/>
      <c r="D2" s="894"/>
      <c r="E2" s="894"/>
      <c r="F2" s="894"/>
      <c r="G2" s="894"/>
      <c r="H2" s="894"/>
      <c r="I2" s="894"/>
      <c r="J2" s="894"/>
      <c r="K2" s="894"/>
      <c r="L2" s="894"/>
      <c r="M2" s="894"/>
      <c r="N2" s="894"/>
      <c r="O2" s="894"/>
      <c r="P2" s="894"/>
      <c r="Q2" s="894"/>
      <c r="R2" s="894"/>
      <c r="S2" s="894"/>
      <c r="T2" s="894"/>
      <c r="U2" s="894"/>
    </row>
    <row r="3" spans="1:21" ht="19.5">
      <c r="A3" s="894" t="s">
        <v>339</v>
      </c>
      <c r="B3" s="894"/>
      <c r="C3" s="894"/>
      <c r="D3" s="894"/>
      <c r="E3" s="894"/>
      <c r="F3" s="894"/>
      <c r="G3" s="894"/>
      <c r="H3" s="894"/>
      <c r="I3" s="894"/>
      <c r="J3" s="894"/>
      <c r="K3" s="894"/>
      <c r="L3" s="894"/>
      <c r="M3" s="894"/>
      <c r="N3" s="894"/>
      <c r="O3" s="894"/>
      <c r="P3" s="894"/>
      <c r="Q3" s="894"/>
      <c r="R3" s="894"/>
      <c r="S3" s="894"/>
      <c r="T3" s="894"/>
      <c r="U3" s="894"/>
    </row>
    <row r="4" spans="1:21" ht="19.5">
      <c r="A4" s="4"/>
      <c r="B4" s="4"/>
      <c r="C4" s="4"/>
      <c r="D4" s="4"/>
      <c r="E4" s="4"/>
      <c r="F4" s="4"/>
      <c r="G4" s="4"/>
      <c r="H4" s="4"/>
      <c r="I4" s="4"/>
      <c r="J4" s="5"/>
      <c r="K4" s="766"/>
      <c r="L4" s="765" t="s">
        <v>2</v>
      </c>
      <c r="M4" s="514"/>
      <c r="N4" s="514"/>
      <c r="O4" s="514"/>
      <c r="P4" s="512"/>
      <c r="Q4" s="518" t="s">
        <v>3</v>
      </c>
      <c r="R4" s="514"/>
      <c r="S4" s="514"/>
      <c r="T4" s="514"/>
      <c r="U4" s="512"/>
    </row>
    <row r="5" spans="1:21" ht="19.5">
      <c r="A5" s="764" t="s">
        <v>4</v>
      </c>
      <c r="B5" s="516"/>
      <c r="C5" s="516"/>
      <c r="D5" s="516"/>
      <c r="E5" s="516"/>
      <c r="F5" s="516"/>
      <c r="G5" s="763"/>
      <c r="H5" s="772" t="s">
        <v>5</v>
      </c>
      <c r="I5" s="761" t="s">
        <v>6</v>
      </c>
      <c r="J5" s="514"/>
      <c r="K5" s="512"/>
      <c r="L5" s="760" t="s">
        <v>7</v>
      </c>
      <c r="M5" s="512"/>
      <c r="N5" s="513" t="s">
        <v>8</v>
      </c>
      <c r="O5" s="514"/>
      <c r="P5" s="512"/>
      <c r="Q5" s="511" t="s">
        <v>7</v>
      </c>
      <c r="R5" s="512"/>
      <c r="S5" s="513" t="s">
        <v>8</v>
      </c>
      <c r="T5" s="514"/>
      <c r="U5" s="512"/>
    </row>
    <row r="6" spans="1:21" ht="19.5">
      <c r="A6" s="522"/>
      <c r="B6" s="514"/>
      <c r="C6" s="514"/>
      <c r="D6" s="514"/>
      <c r="E6" s="514"/>
      <c r="F6" s="514"/>
      <c r="G6" s="512"/>
      <c r="H6" s="512"/>
      <c r="I6" s="9" t="s">
        <v>9</v>
      </c>
      <c r="J6" s="10" t="s">
        <v>10</v>
      </c>
      <c r="K6" s="9" t="s">
        <v>11</v>
      </c>
      <c r="L6" s="758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 hidden="1">
      <c r="A7" s="750"/>
      <c r="B7" s="514"/>
      <c r="C7" s="514"/>
      <c r="D7" s="514"/>
      <c r="E7" s="514"/>
      <c r="F7" s="514"/>
      <c r="G7" s="512"/>
      <c r="H7" s="17"/>
      <c r="I7" s="18"/>
      <c r="J7" s="18"/>
      <c r="K7" s="19"/>
      <c r="L7" s="28"/>
      <c r="M7" s="19"/>
      <c r="N7" s="19"/>
      <c r="O7" s="19"/>
      <c r="P7" s="19"/>
      <c r="Q7" s="19"/>
      <c r="R7" s="19"/>
      <c r="S7" s="19"/>
      <c r="T7" s="19"/>
      <c r="U7" s="19"/>
    </row>
    <row r="8" spans="1:21" ht="12.75" hidden="1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6"/>
      <c r="M8" s="25"/>
      <c r="N8" s="25"/>
      <c r="O8" s="25"/>
      <c r="P8" s="25"/>
      <c r="Q8" s="25"/>
      <c r="R8" s="25"/>
      <c r="S8" s="25"/>
      <c r="T8" s="25"/>
      <c r="U8" s="25"/>
    </row>
    <row r="9" spans="1:21" ht="12.75" hidden="1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6"/>
      <c r="M9" s="25"/>
      <c r="N9" s="25"/>
      <c r="O9" s="25"/>
      <c r="P9" s="25"/>
      <c r="Q9" s="25"/>
      <c r="R9" s="25"/>
      <c r="S9" s="25"/>
      <c r="T9" s="25"/>
      <c r="U9" s="25"/>
    </row>
    <row r="10" spans="1:21" ht="12.75" hidden="1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6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2.75" hidden="1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6"/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2.75" hidden="1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6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2.75" hidden="1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6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2.75" hidden="1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2.75" hidden="1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6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2.75" hidden="1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28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9.5">
      <c r="A17" s="532" t="s">
        <v>311</v>
      </c>
      <c r="B17" s="514"/>
      <c r="C17" s="514"/>
      <c r="D17" s="514"/>
      <c r="E17" s="514"/>
      <c r="F17" s="514"/>
      <c r="G17" s="512"/>
      <c r="H17" s="29"/>
      <c r="I17" s="30"/>
      <c r="J17" s="30"/>
      <c r="K17" s="31"/>
      <c r="L17" s="32"/>
      <c r="M17" s="31"/>
      <c r="N17" s="31"/>
      <c r="O17" s="31"/>
      <c r="P17" s="31"/>
      <c r="Q17" s="31"/>
      <c r="R17" s="31"/>
      <c r="S17" s="31"/>
      <c r="T17" s="31"/>
      <c r="U17" s="31"/>
    </row>
    <row r="18" spans="1:21" ht="19.5">
      <c r="A18" s="33"/>
      <c r="B18" s="34"/>
      <c r="C18" s="35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757">
        <f ca="1">L19+L20</f>
        <v>2723459</v>
      </c>
      <c r="M18" s="720">
        <f ca="1">M19+M20</f>
        <v>2751899</v>
      </c>
      <c r="N18" s="720">
        <f ca="1">N19+N20</f>
        <v>2398713.13</v>
      </c>
      <c r="O18" s="720">
        <f ca="1">IF(L18&gt;0,N18*100/L18,0)</f>
        <v>88.075977277425508</v>
      </c>
      <c r="P18" s="720">
        <f ca="1">IF(M18&gt;0,N18*100/M18,0)</f>
        <v>87.165740094385725</v>
      </c>
      <c r="Q18" s="720">
        <f ca="1">Q19+Q20</f>
        <v>3888308.99</v>
      </c>
      <c r="R18" s="720">
        <f ca="1">R19+R20</f>
        <v>3544559</v>
      </c>
      <c r="S18" s="720">
        <f ca="1">S19+S20</f>
        <v>558892</v>
      </c>
      <c r="T18" s="720">
        <f ca="1">IF(Q18&gt;0,S18*100/Q18,0)</f>
        <v>14.373651925229327</v>
      </c>
      <c r="U18" s="720">
        <f ca="1">IF(R18&gt;0,S18*100/R18,0)</f>
        <v>15.767603247681869</v>
      </c>
    </row>
    <row r="19" spans="1:21" ht="18.75" hidden="1">
      <c r="A19" s="33"/>
      <c r="B19" s="34"/>
      <c r="C19" s="34"/>
      <c r="D19" s="34"/>
      <c r="E19" s="756" t="s">
        <v>20</v>
      </c>
      <c r="F19" s="34"/>
      <c r="G19" s="37"/>
      <c r="H19" s="755" t="s">
        <v>14</v>
      </c>
      <c r="I19" s="39"/>
      <c r="J19" s="39"/>
      <c r="K19" s="40"/>
      <c r="L19" s="754">
        <f>L22+L25</f>
        <v>0</v>
      </c>
      <c r="M19" s="753">
        <f>M22+M25</f>
        <v>0</v>
      </c>
      <c r="N19" s="753">
        <f>N22+N25</f>
        <v>0</v>
      </c>
      <c r="O19" s="753">
        <f>IF(L19&gt;0,N19*100/L19,0)</f>
        <v>0</v>
      </c>
      <c r="P19" s="753">
        <f>IF(M19&gt;0,N19*100/M19,0)</f>
        <v>0</v>
      </c>
      <c r="Q19" s="753">
        <f>Q22+Q25</f>
        <v>0</v>
      </c>
      <c r="R19" s="753">
        <f>R22+R25</f>
        <v>0</v>
      </c>
      <c r="S19" s="753">
        <f>S22+S25</f>
        <v>0</v>
      </c>
      <c r="T19" s="753">
        <f>IF(Q19&gt;0,S19*100/Q19,0)</f>
        <v>0</v>
      </c>
      <c r="U19" s="753">
        <f>IF(R19&gt;0,S19*100/R19,0)</f>
        <v>0</v>
      </c>
    </row>
    <row r="20" spans="1:21" ht="18.75" hidden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752">
        <f ca="1">L23+L26</f>
        <v>2723459</v>
      </c>
      <c r="M20" s="751">
        <f ca="1">M23+M26</f>
        <v>2751899</v>
      </c>
      <c r="N20" s="751">
        <f ca="1">N23+N26</f>
        <v>2398713.13</v>
      </c>
      <c r="O20" s="751">
        <f ca="1">IF(L20&gt;0,N20*100/L20,0)</f>
        <v>88.075977277425508</v>
      </c>
      <c r="P20" s="751">
        <f ca="1">IF(M20&gt;0,N20*100/M20,0)</f>
        <v>87.165740094385725</v>
      </c>
      <c r="Q20" s="751">
        <f ca="1">Q23+Q26</f>
        <v>3888308.99</v>
      </c>
      <c r="R20" s="751">
        <f ca="1">R23+R26</f>
        <v>3544559</v>
      </c>
      <c r="S20" s="751">
        <f ca="1">S23+S26</f>
        <v>558892</v>
      </c>
      <c r="T20" s="751">
        <f ca="1">IF(Q20&gt;0,S20*100/Q20,0)</f>
        <v>14.373651925229327</v>
      </c>
      <c r="U20" s="751">
        <f ca="1">IF(R20&gt;0,S20*100/R20,0)</f>
        <v>15.767603247681869</v>
      </c>
    </row>
    <row r="21" spans="1:21" ht="18.75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256">
        <f ca="1">L22+L23</f>
        <v>2723459</v>
      </c>
      <c r="M21" s="255">
        <f ca="1">M22+M23</f>
        <v>2751899</v>
      </c>
      <c r="N21" s="255">
        <f ca="1">N22+N23</f>
        <v>2398713.13</v>
      </c>
      <c r="O21" s="255">
        <f ca="1">IF(L21&gt;0,N21*100/L21,0)</f>
        <v>88.075977277425508</v>
      </c>
      <c r="P21" s="255">
        <f ca="1">IF(M21&gt;0,N21*100/M21,0)</f>
        <v>87.165740094385725</v>
      </c>
      <c r="Q21" s="255">
        <f ca="1">Q22+Q23</f>
        <v>3888308.99</v>
      </c>
      <c r="R21" s="255">
        <f ca="1">R22+R23</f>
        <v>3544559</v>
      </c>
      <c r="S21" s="255">
        <f ca="1">S22+S23</f>
        <v>558892</v>
      </c>
      <c r="T21" s="255">
        <f ca="1">IF(Q21&gt;0,S21*100/Q21,0)</f>
        <v>14.373651925229327</v>
      </c>
      <c r="U21" s="255">
        <f ca="1">IF(R21&gt;0,S21*100/R21,0)</f>
        <v>15.767603247681869</v>
      </c>
    </row>
    <row r="22" spans="1:21" ht="18.75" hidden="1">
      <c r="A22" s="49"/>
      <c r="B22" s="50"/>
      <c r="C22" s="50"/>
      <c r="D22" s="50"/>
      <c r="E22" s="186" t="s">
        <v>20</v>
      </c>
      <c r="F22" s="50"/>
      <c r="G22" s="52"/>
      <c r="H22" s="729" t="s">
        <v>14</v>
      </c>
      <c r="I22" s="54"/>
      <c r="J22" s="54"/>
      <c r="K22" s="55"/>
      <c r="L22" s="103">
        <f>L48+L63+L76+L98+L129+L143+L161+L190+L177+L270+L286+L307+L324+L337+L360+L517</f>
        <v>0</v>
      </c>
      <c r="M22" s="102">
        <f>M48+M63+M76+M98+M129+M143+M161+M190+M177+M270+M286+M307+M324+M337+M360+M517</f>
        <v>0</v>
      </c>
      <c r="N22" s="102">
        <f>N48+N63+N76+N98+N129+N143+N161+N190+N177+N270+N286+N307+N324+N337+N360+N517</f>
        <v>0</v>
      </c>
      <c r="O22" s="102">
        <f>IF(L22&gt;0,N22*100/L22,0)</f>
        <v>0</v>
      </c>
      <c r="P22" s="102">
        <f>IF(M22&gt;0,N22*100/M22,0)</f>
        <v>0</v>
      </c>
      <c r="Q22" s="102">
        <f>Q76+Q98+Q121+Q143+Q161+Q177+Q190+Q270+Q286+Q307+Q337+Q379+Q396+Q417+Q497+Q603+Q620+Q646+Q694+Q718+Q732+Q764</f>
        <v>0</v>
      </c>
      <c r="R22" s="102">
        <f>R76+R98+R121+R143+R161+R177+R190+R270+R286+R307+R337+R379+R396+R417+R497+R603+R620+R646+R694+R718+R732+R764</f>
        <v>0</v>
      </c>
      <c r="S22" s="102">
        <f>S76+S98+S121+S143+S161+S177+S190+S270+S286+S307+S337+S379+S396+S417+S497+S603+S620+S646+S694+S718+S732+S764</f>
        <v>0</v>
      </c>
      <c r="T22" s="102">
        <f>IF(Q22&gt;0,S22*100/Q22,0)</f>
        <v>0</v>
      </c>
      <c r="U22" s="102">
        <f>IF(R22&gt;0,S22*100/R22,0)</f>
        <v>0</v>
      </c>
    </row>
    <row r="23" spans="1:21" ht="18.75" hidden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256">
        <f ca="1">L49+L64+L77+L99+L130+L144+L162+L191+L178+L271+L287+L308+L325+L338+L361+L518</f>
        <v>2723459</v>
      </c>
      <c r="M23" s="255">
        <f ca="1">M49+M64+M77+M99+M130+M144+M162+M191+M178+M271+M287+M308+M325+M338+M361+M518</f>
        <v>2751899</v>
      </c>
      <c r="N23" s="255">
        <f ca="1">N49+N64+N77+N99+N130+N144+N162+N191+N178+N271+N287+N308+N325+N338+N361+N518</f>
        <v>2398713.13</v>
      </c>
      <c r="O23" s="255">
        <f ca="1">IF(L23&gt;0,N23*100/L23,0)</f>
        <v>88.075977277425508</v>
      </c>
      <c r="P23" s="255">
        <f ca="1">IF(M23&gt;0,N23*100/M23,0)</f>
        <v>87.165740094385725</v>
      </c>
      <c r="Q23" s="255">
        <f ca="1">Q77+Q99+Q122+Q144+Q162+Q178+Q191+Q271+Q287+Q308+Q338+Q380+Q397+Q418+Q498+Q604+Q621+Q647+Q695+Q719+Q733+Q765</f>
        <v>3888308.99</v>
      </c>
      <c r="R23" s="255">
        <f ca="1">R77+R99+R122+R144+R162+R178+R191+R271+R287+R308+R338+R380+R397+R418+R498+R604+R621+R647+R695+R719+R733+R765</f>
        <v>3544559</v>
      </c>
      <c r="S23" s="255">
        <f ca="1">S77+S99+S122+S144+S162+S178+S191+S271+S287+S308+S338+S380+S397+S418+S498+S604+S621+S647+S695+S719+S733+S765</f>
        <v>558892</v>
      </c>
      <c r="T23" s="255">
        <f ca="1">IF(Q23&gt;0,S23*100/Q23,0)</f>
        <v>14.373651925229327</v>
      </c>
      <c r="U23" s="255">
        <f ca="1">IF(R23&gt;0,S23*100/R23,0)</f>
        <v>15.767603247681869</v>
      </c>
    </row>
    <row r="24" spans="1:21" ht="18.75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256">
        <f ca="1">L25+L26</f>
        <v>0</v>
      </c>
      <c r="M24" s="255">
        <f ca="1">M25+M26</f>
        <v>0</v>
      </c>
      <c r="N24" s="255">
        <f ca="1">N25+N26</f>
        <v>0</v>
      </c>
      <c r="O24" s="255">
        <f ca="1">IF(L24&gt;0,N24*100/L24,0)</f>
        <v>0</v>
      </c>
      <c r="P24" s="255">
        <f ca="1">IF(M24&gt;0,N24*100/M24,0)</f>
        <v>0</v>
      </c>
      <c r="Q24" s="255">
        <f>Q25+Q26</f>
        <v>0</v>
      </c>
      <c r="R24" s="255">
        <f>R25+R26</f>
        <v>0</v>
      </c>
      <c r="S24" s="255">
        <f>S25+S26</f>
        <v>0</v>
      </c>
      <c r="T24" s="255">
        <f>IF(Q24&gt;0,S24*100/Q24,0)</f>
        <v>0</v>
      </c>
      <c r="U24" s="255">
        <f>IF(R24&gt;0,S24*100/R24,0)</f>
        <v>0</v>
      </c>
    </row>
    <row r="25" spans="1:21" ht="18.75" hidden="1">
      <c r="A25" s="49"/>
      <c r="B25" s="50"/>
      <c r="C25" s="50"/>
      <c r="D25" s="50"/>
      <c r="E25" s="186" t="s">
        <v>20</v>
      </c>
      <c r="F25" s="50"/>
      <c r="G25" s="52"/>
      <c r="H25" s="729" t="s">
        <v>14</v>
      </c>
      <c r="I25" s="54"/>
      <c r="J25" s="54"/>
      <c r="K25" s="55"/>
      <c r="L25" s="103">
        <f>L51+L66+L79+L101+L132+L146+L164+L193+L180+L273+L289+L310+L327+L340+L363+L520</f>
        <v>0</v>
      </c>
      <c r="M25" s="102">
        <f>M51+M66+M79+M101+M132+M146+M164+M193+M180+M273+M289+M310+M327+M340+M363+M520</f>
        <v>0</v>
      </c>
      <c r="N25" s="102">
        <f>N51+N66+N79+N101+N132+N146+N164+N193+N180+N273+N289+N310+N327+N340+N363+N520</f>
        <v>0</v>
      </c>
      <c r="O25" s="102">
        <f>IF(L25&gt;0,N25*100/L25,0)</f>
        <v>0</v>
      </c>
      <c r="P25" s="102">
        <f>IF(M25&gt;0,N25*100/M25,0)</f>
        <v>0</v>
      </c>
      <c r="Q25" s="102">
        <f>Q79+Q101+Q124+Q146+Q164+Q180+Q193+Q273+Q289+Q310+Q340+Q382+Q399+Q420+Q500+Q606+Q623+Q649+Q697+Q721+Q735+Q767</f>
        <v>0</v>
      </c>
      <c r="R25" s="102">
        <f>R79+R101+R124+R146+R164+R180+R193+R273+R289+R310+R340+R382+R399+R420+R500+R606+R623+R649+R697+R721+R735+R767</f>
        <v>0</v>
      </c>
      <c r="S25" s="102">
        <f>S79+S101+S124+S146+S164+S180+S193+S273+S289+S310+S340+S382+S399+S420+S500+S606+S623+S649+S697+S721+S735+S767</f>
        <v>0</v>
      </c>
      <c r="T25" s="102">
        <f>IF(Q25&gt;0,S25*100/Q25,0)</f>
        <v>0</v>
      </c>
      <c r="U25" s="102">
        <f>IF(R25&gt;0,S25*100/R25,0)</f>
        <v>0</v>
      </c>
    </row>
    <row r="26" spans="1:21" ht="18.75" hidden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256">
        <f ca="1">L52+L67+L80+L102+L133+L147+L165+L194+L181+L274+L290+L311+L328+L341+L364+L521</f>
        <v>0</v>
      </c>
      <c r="M26" s="255">
        <f ca="1">M52+M67+M80+M102+M133+M147+M165+M194+M181+M274+M290+M311+M328+M341+M364+M521</f>
        <v>0</v>
      </c>
      <c r="N26" s="255">
        <f ca="1">N52+N67+N80+N102+N133+N147+N165+N194+N181+N274+N290+N311+N328+N341+N364+N521</f>
        <v>0</v>
      </c>
      <c r="O26" s="255">
        <f ca="1">IF(L26&gt;0,N26*100/L26,0)</f>
        <v>0</v>
      </c>
      <c r="P26" s="255">
        <f ca="1">IF(M26&gt;0,N26*100/M26,0)</f>
        <v>0</v>
      </c>
      <c r="Q26" s="102">
        <f>Q80+Q102+Q125+Q147+Q165+Q181+Q194+Q274+Q290+Q311+Q341+Q383+Q400+Q421+Q501+Q607+Q624+Q650+Q698+Q722+Q736+Q768</f>
        <v>0</v>
      </c>
      <c r="R26" s="102">
        <f>R80+R102+R125+R147+R165+R181+R194+R274+R290+R311+R341+R383+R400+R421+R501+R607+R624+R650+R698+R722+R736+R768</f>
        <v>0</v>
      </c>
      <c r="S26" s="102">
        <f>S80+S102+S125+S147+S165+S181+S194+S274+S290+S311+S341+S383+S400+S421+S501+S607+S624+S650+S698+S722+S736+S768</f>
        <v>0</v>
      </c>
      <c r="T26" s="255">
        <f>IF(Q26&gt;0,S26*100/Q26,0)</f>
        <v>0</v>
      </c>
      <c r="U26" s="255">
        <f>IF(R26&gt;0,S26*100/R26,0)</f>
        <v>0</v>
      </c>
    </row>
    <row r="27" spans="1:21" ht="18.75">
      <c r="A27" s="49"/>
      <c r="B27" s="50"/>
      <c r="C27" s="50"/>
      <c r="D27" s="51" t="s">
        <v>24</v>
      </c>
      <c r="E27" s="50"/>
      <c r="F27" s="50"/>
      <c r="G27" s="52"/>
      <c r="H27" s="53" t="s">
        <v>14</v>
      </c>
      <c r="I27" s="54"/>
      <c r="J27" s="54"/>
      <c r="K27" s="55"/>
      <c r="L27" s="62"/>
      <c r="M27" s="55"/>
      <c r="N27" s="55"/>
      <c r="O27" s="55"/>
      <c r="P27" s="55"/>
      <c r="Q27" s="55"/>
      <c r="R27" s="55"/>
      <c r="S27" s="55"/>
      <c r="T27" s="55"/>
      <c r="U27" s="55"/>
    </row>
    <row r="28" spans="1:21" ht="18.75" hidden="1">
      <c r="A28" s="49"/>
      <c r="B28" s="50"/>
      <c r="C28" s="50"/>
      <c r="D28" s="50"/>
      <c r="E28" s="186" t="s">
        <v>20</v>
      </c>
      <c r="F28" s="50"/>
      <c r="G28" s="52"/>
      <c r="H28" s="729" t="s">
        <v>14</v>
      </c>
      <c r="I28" s="54"/>
      <c r="J28" s="54"/>
      <c r="K28" s="55"/>
      <c r="L28" s="62"/>
      <c r="M28" s="55"/>
      <c r="N28" s="55"/>
      <c r="O28" s="55"/>
      <c r="P28" s="55"/>
      <c r="Q28" s="55"/>
      <c r="R28" s="55"/>
      <c r="S28" s="55"/>
      <c r="T28" s="55"/>
      <c r="U28" s="55"/>
    </row>
    <row r="29" spans="1:21" ht="18.75" hidden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8"/>
      <c r="M29" s="6"/>
      <c r="N29" s="6"/>
      <c r="O29" s="6"/>
      <c r="P29" s="6"/>
      <c r="Q29" s="6"/>
      <c r="R29" s="6"/>
      <c r="S29" s="6"/>
      <c r="T29" s="6"/>
      <c r="U29" s="6"/>
    </row>
    <row r="30" spans="1:21" ht="12.75" hidden="1">
      <c r="A30" s="750"/>
      <c r="B30" s="514"/>
      <c r="C30" s="514"/>
      <c r="D30" s="514"/>
      <c r="E30" s="514"/>
      <c r="F30" s="514"/>
      <c r="G30" s="512"/>
      <c r="H30" s="17"/>
      <c r="I30" s="18"/>
      <c r="J30" s="18"/>
      <c r="K30" s="19"/>
      <c r="L30" s="28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 hidden="1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6"/>
      <c r="M31" s="25"/>
      <c r="N31" s="25"/>
      <c r="O31" s="25"/>
      <c r="P31" s="25"/>
      <c r="Q31" s="25"/>
      <c r="R31" s="25"/>
      <c r="S31" s="25"/>
      <c r="T31" s="25"/>
      <c r="U31" s="25"/>
    </row>
    <row r="32" spans="1:21" ht="12.75" hidden="1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6"/>
      <c r="M32" s="25"/>
      <c r="N32" s="25"/>
      <c r="O32" s="25"/>
      <c r="P32" s="25"/>
      <c r="Q32" s="25"/>
      <c r="R32" s="25"/>
      <c r="S32" s="25"/>
      <c r="T32" s="25"/>
      <c r="U32" s="25"/>
    </row>
    <row r="33" spans="1:21" ht="12.75" hidden="1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6"/>
      <c r="M33" s="25"/>
      <c r="N33" s="25"/>
      <c r="O33" s="25"/>
      <c r="P33" s="25"/>
      <c r="Q33" s="25"/>
      <c r="R33" s="25"/>
      <c r="S33" s="25"/>
      <c r="T33" s="25"/>
      <c r="U33" s="25"/>
    </row>
    <row r="34" spans="1:21" ht="12.75" hidden="1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6"/>
      <c r="M34" s="25"/>
      <c r="N34" s="25"/>
      <c r="O34" s="25"/>
      <c r="P34" s="25"/>
      <c r="Q34" s="25"/>
      <c r="R34" s="25"/>
      <c r="S34" s="25"/>
      <c r="T34" s="25"/>
      <c r="U34" s="25"/>
    </row>
    <row r="35" spans="1:21" ht="12.75" hidden="1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6"/>
      <c r="M35" s="25"/>
      <c r="N35" s="25"/>
      <c r="O35" s="25"/>
      <c r="P35" s="25"/>
      <c r="Q35" s="25"/>
      <c r="R35" s="25"/>
      <c r="S35" s="25"/>
      <c r="T35" s="25"/>
      <c r="U35" s="25"/>
    </row>
    <row r="36" spans="1:21" ht="12.75" hidden="1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6"/>
      <c r="M36" s="25"/>
      <c r="N36" s="25"/>
      <c r="O36" s="25"/>
      <c r="P36" s="25"/>
      <c r="Q36" s="25"/>
      <c r="R36" s="25"/>
      <c r="S36" s="25"/>
      <c r="T36" s="25"/>
      <c r="U36" s="25"/>
    </row>
    <row r="37" spans="1:21" ht="12.75" hidden="1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6"/>
      <c r="M37" s="25"/>
      <c r="N37" s="25"/>
      <c r="O37" s="25"/>
      <c r="P37" s="25"/>
      <c r="Q37" s="25"/>
      <c r="R37" s="25"/>
      <c r="S37" s="25"/>
      <c r="T37" s="25"/>
      <c r="U37" s="25"/>
    </row>
    <row r="38" spans="1:21" ht="12.75" hidden="1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6"/>
      <c r="M38" s="25"/>
      <c r="N38" s="25"/>
      <c r="O38" s="25"/>
      <c r="P38" s="25"/>
      <c r="Q38" s="25"/>
      <c r="R38" s="25"/>
      <c r="S38" s="25"/>
      <c r="T38" s="25"/>
      <c r="U38" s="25"/>
    </row>
    <row r="39" spans="1:21" ht="12.75" hidden="1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28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9.5" hidden="1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749">
        <f ca="1">L44+L59+L72+L94+L125+L139+L157+L173+L186+L266+L282+L303+L320+L333+L356</f>
        <v>2723459</v>
      </c>
      <c r="M40" s="748">
        <f ca="1">M44+M59+M72+M94+M125+M139+M157+M173+M186+M266+M282+M303+M320+M333+M356</f>
        <v>2751899</v>
      </c>
      <c r="N40" s="748">
        <f ca="1">N44+N59+N72+N94+N125+N139+N157+N173+N186+N266+N282+N303+N320+N333+N356</f>
        <v>2398713.13</v>
      </c>
      <c r="O40" s="748">
        <f ca="1">IF(L40&gt;0,N40*100/L40,0)</f>
        <v>88.075977277425508</v>
      </c>
      <c r="P40" s="748">
        <f ca="1">IF(M40&gt;0,N40*100/M40,0)</f>
        <v>87.165740094385725</v>
      </c>
      <c r="Q40" s="73"/>
      <c r="R40" s="73"/>
      <c r="S40" s="73"/>
      <c r="T40" s="73"/>
      <c r="U40" s="73"/>
    </row>
    <row r="41" spans="1:21" ht="19.5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78"/>
      <c r="R41" s="78"/>
      <c r="S41" s="78"/>
      <c r="T41" s="78"/>
      <c r="U41" s="79"/>
    </row>
    <row r="42" spans="1:21" ht="19.5">
      <c r="A42" s="80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5"/>
      <c r="M42" s="84"/>
      <c r="N42" s="84"/>
      <c r="O42" s="84"/>
      <c r="P42" s="84"/>
      <c r="Q42" s="84"/>
      <c r="R42" s="84"/>
      <c r="S42" s="84"/>
      <c r="T42" s="84"/>
      <c r="U42" s="84"/>
    </row>
    <row r="43" spans="1:21" ht="12.75" hidden="1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6"/>
      <c r="M43" s="25"/>
      <c r="N43" s="25"/>
      <c r="O43" s="25"/>
      <c r="P43" s="25"/>
      <c r="Q43" s="25"/>
      <c r="R43" s="25"/>
      <c r="S43" s="25"/>
      <c r="T43" s="25"/>
      <c r="U43" s="25"/>
    </row>
    <row r="44" spans="1:21" ht="19.5">
      <c r="A44" s="86"/>
      <c r="B44" s="87"/>
      <c r="C44" s="88" t="s">
        <v>18</v>
      </c>
      <c r="D44" s="747" t="s">
        <v>19</v>
      </c>
      <c r="E44" s="87"/>
      <c r="F44" s="87"/>
      <c r="G44" s="90"/>
      <c r="H44" s="91" t="s">
        <v>14</v>
      </c>
      <c r="I44" s="92"/>
      <c r="J44" s="92"/>
      <c r="K44" s="93"/>
      <c r="L44" s="746">
        <f ca="1">L45+L46</f>
        <v>625704</v>
      </c>
      <c r="M44" s="745">
        <f ca="1">M45+M46</f>
        <v>642564</v>
      </c>
      <c r="N44" s="745">
        <f ca="1">N45+N46</f>
        <v>561140</v>
      </c>
      <c r="O44" s="745">
        <f ca="1">IF(L44&gt;0,N44*100/L44,0)</f>
        <v>89.681382890312349</v>
      </c>
      <c r="P44" s="745">
        <f ca="1">IF(M44&gt;0,N44*100/M44,0)</f>
        <v>87.328266133801463</v>
      </c>
      <c r="Q44" s="745">
        <f>Q45+Q46</f>
        <v>0</v>
      </c>
      <c r="R44" s="745">
        <f>R45+R46</f>
        <v>0</v>
      </c>
      <c r="S44" s="745">
        <f>S45+S46</f>
        <v>0</v>
      </c>
      <c r="T44" s="745">
        <f>IF(Q44&gt;0,S44*100/Q44,0)</f>
        <v>0</v>
      </c>
      <c r="U44" s="745">
        <f>IF(R44&gt;0,S44*100/R44,0)</f>
        <v>0</v>
      </c>
    </row>
    <row r="45" spans="1:21" ht="18.75" hidden="1">
      <c r="A45" s="86"/>
      <c r="B45" s="87"/>
      <c r="C45" s="87"/>
      <c r="D45" s="87"/>
      <c r="E45" s="744" t="s">
        <v>20</v>
      </c>
      <c r="F45" s="87"/>
      <c r="G45" s="90"/>
      <c r="H45" s="743" t="s">
        <v>14</v>
      </c>
      <c r="I45" s="92"/>
      <c r="J45" s="92"/>
      <c r="K45" s="93"/>
      <c r="L45" s="742">
        <f>L48+L51</f>
        <v>0</v>
      </c>
      <c r="M45" s="741">
        <f>M48+M51</f>
        <v>0</v>
      </c>
      <c r="N45" s="741">
        <f>N48+N51</f>
        <v>0</v>
      </c>
      <c r="O45" s="741">
        <f>IF(L45&gt;0,N45*100/L45,0)</f>
        <v>0</v>
      </c>
      <c r="P45" s="741">
        <f>IF(M45&gt;0,N45*100/M45,0)</f>
        <v>0</v>
      </c>
      <c r="Q45" s="741">
        <f>Q48+Q51</f>
        <v>0</v>
      </c>
      <c r="R45" s="741">
        <f>R48+R51</f>
        <v>0</v>
      </c>
      <c r="S45" s="741">
        <f>S48+S51</f>
        <v>0</v>
      </c>
      <c r="T45" s="741">
        <f>IF(Q45&gt;0,S45*100/Q45,0)</f>
        <v>0</v>
      </c>
      <c r="U45" s="741">
        <f>IF(R45&gt;0,S45*100/R45,0)</f>
        <v>0</v>
      </c>
    </row>
    <row r="46" spans="1:21" ht="18.75" hidden="1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740">
        <f ca="1">L49+L52</f>
        <v>625704</v>
      </c>
      <c r="M46" s="739">
        <f ca="1">M49+M52</f>
        <v>642564</v>
      </c>
      <c r="N46" s="739">
        <f ca="1">N49+N52</f>
        <v>561140</v>
      </c>
      <c r="O46" s="739">
        <f ca="1">IF(L46&gt;0,N46*100/L46,0)</f>
        <v>89.681382890312349</v>
      </c>
      <c r="P46" s="739">
        <f ca="1">IF(M46&gt;0,N46*100/M46,0)</f>
        <v>87.328266133801463</v>
      </c>
      <c r="Q46" s="739">
        <f>Q49+Q52</f>
        <v>0</v>
      </c>
      <c r="R46" s="739">
        <f>R49+R52</f>
        <v>0</v>
      </c>
      <c r="S46" s="739">
        <f>S49+S52</f>
        <v>0</v>
      </c>
      <c r="T46" s="739">
        <f>IF(Q46&gt;0,S46*100/Q46,0)</f>
        <v>0</v>
      </c>
      <c r="U46" s="739">
        <f>IF(R46&gt;0,S46*100/R46,0)</f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256">
        <f ca="1">L48+L49</f>
        <v>625704</v>
      </c>
      <c r="M47" s="255">
        <f ca="1">M48+M49</f>
        <v>642564</v>
      </c>
      <c r="N47" s="255">
        <f ca="1">N48+N49</f>
        <v>561140</v>
      </c>
      <c r="O47" s="255">
        <f ca="1">IF(L47&gt;0,N47*100/L47,0)</f>
        <v>89.681382890312349</v>
      </c>
      <c r="P47" s="255">
        <f ca="1">IF(M47&gt;0,N47*100/M47,0)</f>
        <v>87.328266133801463</v>
      </c>
      <c r="Q47" s="255">
        <f>Q48+Q49</f>
        <v>0</v>
      </c>
      <c r="R47" s="255">
        <f>R48+R49</f>
        <v>0</v>
      </c>
      <c r="S47" s="255">
        <f>S48+S49</f>
        <v>0</v>
      </c>
      <c r="T47" s="255">
        <f>IF(Q47&gt;0,S47*100/Q47,0)</f>
        <v>0</v>
      </c>
      <c r="U47" s="255">
        <f>IF(R47&gt;0,S47*100/R47,0)</f>
        <v>0</v>
      </c>
    </row>
    <row r="48" spans="1:21" ht="18.75" hidden="1">
      <c r="A48" s="49"/>
      <c r="B48" s="50"/>
      <c r="C48" s="50"/>
      <c r="D48" s="50"/>
      <c r="E48" s="186" t="s">
        <v>20</v>
      </c>
      <c r="F48" s="50"/>
      <c r="G48" s="52"/>
      <c r="H48" s="729" t="s">
        <v>14</v>
      </c>
      <c r="I48" s="54"/>
      <c r="J48" s="54"/>
      <c r="K48" s="55"/>
      <c r="L48" s="103">
        <v>0</v>
      </c>
      <c r="M48" s="102">
        <v>0</v>
      </c>
      <c r="N48" s="102">
        <v>0</v>
      </c>
      <c r="O48" s="102">
        <f>IF(L48&gt;0,N48*100/L48,0)</f>
        <v>0</v>
      </c>
      <c r="P48" s="102">
        <f>IF(M48&gt;0,N48*100/M48,0)</f>
        <v>0</v>
      </c>
      <c r="Q48" s="102">
        <v>0</v>
      </c>
      <c r="R48" s="102">
        <v>0</v>
      </c>
      <c r="S48" s="102">
        <v>0</v>
      </c>
      <c r="T48" s="102">
        <f>IF(Q48&gt;0,S48*100/Q48,0)</f>
        <v>0</v>
      </c>
      <c r="U48" s="102">
        <f>IF(R48&gt;0,S48*100/R48,0)</f>
        <v>0</v>
      </c>
    </row>
    <row r="49" spans="1:21" ht="18.75" hidden="1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256">
        <f ca="1">IFERROR(__xludf.DUMMYFUNCTION("IMPORTRANGE(""https://docs.google.com/spreadsheets/d/1-uDff_7J0KD5mKrp0Vvzr7lt3OU09vwQwhkpOPPYv2Y/edit?usp=sharing"",""งบพรบ!P42"")"),625704)</f>
        <v>625704</v>
      </c>
      <c r="M49" s="255">
        <f ca="1">IFERROR(__xludf.DUMMYFUNCTION("IMPORTRANGE(""https://docs.google.com/spreadsheets/d/1-uDff_7J0KD5mKrp0Vvzr7lt3OU09vwQwhkpOPPYv2Y/edit?usp=sharing"",""งบพรบ!V42"")"),642564)</f>
        <v>642564</v>
      </c>
      <c r="N49" s="255">
        <f ca="1">IFERROR(__xludf.DUMMYFUNCTION("IMPORTRANGE(""https://docs.google.com/spreadsheets/d/1-uDff_7J0KD5mKrp0Vvzr7lt3OU09vwQwhkpOPPYv2Y/edit?usp=sharing"",""งบพรบ!Y42"")"),561140)</f>
        <v>561140</v>
      </c>
      <c r="O49" s="255">
        <f ca="1">IF(L49&gt;0,N49*100/L49,0)</f>
        <v>89.681382890312349</v>
      </c>
      <c r="P49" s="255">
        <f ca="1">IF(M49&gt;0,N49*100/M49,0)</f>
        <v>87.328266133801463</v>
      </c>
      <c r="Q49" s="255">
        <v>0</v>
      </c>
      <c r="R49" s="255">
        <v>0</v>
      </c>
      <c r="S49" s="255">
        <v>0</v>
      </c>
      <c r="T49" s="255">
        <f>IF(Q49&gt;0,S49*100/Q49,0)</f>
        <v>0</v>
      </c>
      <c r="U49" s="255">
        <f>IF(R49&gt;0,S49*100/R49,0)</f>
        <v>0</v>
      </c>
    </row>
    <row r="50" spans="1:21" ht="18.75">
      <c r="A50" s="49"/>
      <c r="B50" s="50"/>
      <c r="C50" s="50"/>
      <c r="D50" s="51" t="s">
        <v>23</v>
      </c>
      <c r="E50" s="50"/>
      <c r="F50" s="50"/>
      <c r="G50" s="52"/>
      <c r="H50" s="53" t="s">
        <v>14</v>
      </c>
      <c r="I50" s="54"/>
      <c r="J50" s="54"/>
      <c r="K50" s="55"/>
      <c r="L50" s="256">
        <f ca="1">L51+L52</f>
        <v>0</v>
      </c>
      <c r="M50" s="255">
        <f ca="1">M51+M52</f>
        <v>0</v>
      </c>
      <c r="N50" s="255">
        <f ca="1">N51+N52</f>
        <v>0</v>
      </c>
      <c r="O50" s="255">
        <f ca="1">IF(L50&gt;0,N50*100/L50,0)</f>
        <v>0</v>
      </c>
      <c r="P50" s="255">
        <f ca="1">IF(M50&gt;0,N50*100/M50,0)</f>
        <v>0</v>
      </c>
      <c r="Q50" s="255">
        <f>Q51+Q52</f>
        <v>0</v>
      </c>
      <c r="R50" s="255">
        <f>R51+R52</f>
        <v>0</v>
      </c>
      <c r="S50" s="255">
        <f>S51+S52</f>
        <v>0</v>
      </c>
      <c r="T50" s="255">
        <f>IF(Q50&gt;0,S50*100/Q50,0)</f>
        <v>0</v>
      </c>
      <c r="U50" s="255">
        <f>IF(R50&gt;0,S50*100/R50,0)</f>
        <v>0</v>
      </c>
    </row>
    <row r="51" spans="1:21" ht="18.75" hidden="1">
      <c r="A51" s="49"/>
      <c r="B51" s="50"/>
      <c r="C51" s="50"/>
      <c r="D51" s="50"/>
      <c r="E51" s="186" t="s">
        <v>20</v>
      </c>
      <c r="F51" s="50"/>
      <c r="G51" s="52"/>
      <c r="H51" s="729" t="s">
        <v>14</v>
      </c>
      <c r="I51" s="54"/>
      <c r="J51" s="54"/>
      <c r="K51" s="55"/>
      <c r="L51" s="103">
        <v>0</v>
      </c>
      <c r="M51" s="102">
        <v>0</v>
      </c>
      <c r="N51" s="102">
        <v>0</v>
      </c>
      <c r="O51" s="102">
        <f>IF(L51&gt;0,N51*100/L51,0)</f>
        <v>0</v>
      </c>
      <c r="P51" s="102">
        <f>IF(M51&gt;0,N51*100/M51,0)</f>
        <v>0</v>
      </c>
      <c r="Q51" s="102">
        <v>0</v>
      </c>
      <c r="R51" s="102">
        <v>0</v>
      </c>
      <c r="S51" s="102">
        <v>0</v>
      </c>
      <c r="T51" s="102">
        <f>IF(Q51&gt;0,S51*100/Q51,0)</f>
        <v>0</v>
      </c>
      <c r="U51" s="102">
        <f>IF(R51&gt;0,S51*100/R51,0)</f>
        <v>0</v>
      </c>
    </row>
    <row r="52" spans="1:21" ht="18.75" hidden="1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256">
        <f ca="1">IFERROR(__xludf.DUMMYFUNCTION("IMPORTRANGE(""https://docs.google.com/spreadsheets/d/1-uDff_7J0KD5mKrp0Vvzr7lt3OU09vwQwhkpOPPYv2Y/edit?usp=sharing"",""งบพรบ!S42"")"),0)</f>
        <v>0</v>
      </c>
      <c r="M52" s="255">
        <f ca="1">IFERROR(__xludf.DUMMYFUNCTION("IMPORTRANGE(""https://docs.google.com/spreadsheets/d/1-uDff_7J0KD5mKrp0Vvzr7lt3OU09vwQwhkpOPPYv2Y/edit?usp=sharing"",""งบพรบ!W42"")"),0)</f>
        <v>0</v>
      </c>
      <c r="N52" s="255">
        <f ca="1">IFERROR(__xludf.DUMMYFUNCTION("IMPORTRANGE(""https://docs.google.com/spreadsheets/d/1-uDff_7J0KD5mKrp0Vvzr7lt3OU09vwQwhkpOPPYv2Y/edit?usp=sharing"",""งบพรบ!Z42"")"),0)</f>
        <v>0</v>
      </c>
      <c r="O52" s="255">
        <f ca="1">IF(L52&gt;0,N52*100/L52,0)</f>
        <v>0</v>
      </c>
      <c r="P52" s="255">
        <f ca="1">IF(M52&gt;0,N52*100/M52,0)</f>
        <v>0</v>
      </c>
      <c r="Q52" s="255">
        <v>0</v>
      </c>
      <c r="R52" s="255">
        <v>0</v>
      </c>
      <c r="S52" s="255">
        <v>0</v>
      </c>
      <c r="T52" s="255">
        <f>IF(Q52&gt;0,S52*100/Q52,0)</f>
        <v>0</v>
      </c>
      <c r="U52" s="255">
        <f>IF(R52&gt;0,S52*100/R52,0)</f>
        <v>0</v>
      </c>
    </row>
    <row r="53" spans="1:21" ht="18.75">
      <c r="A53" s="49"/>
      <c r="B53" s="50"/>
      <c r="C53" s="50"/>
      <c r="D53" s="51" t="s">
        <v>24</v>
      </c>
      <c r="E53" s="50"/>
      <c r="F53" s="50"/>
      <c r="G53" s="52"/>
      <c r="H53" s="53" t="s">
        <v>14</v>
      </c>
      <c r="I53" s="54"/>
      <c r="J53" s="54"/>
      <c r="K53" s="55"/>
      <c r="L53" s="62"/>
      <c r="M53" s="55"/>
      <c r="N53" s="55"/>
      <c r="O53" s="55"/>
      <c r="P53" s="55"/>
      <c r="Q53" s="55"/>
      <c r="R53" s="55"/>
      <c r="S53" s="55"/>
      <c r="T53" s="55"/>
      <c r="U53" s="55"/>
    </row>
    <row r="54" spans="1:21" ht="18.75" hidden="1">
      <c r="A54" s="49"/>
      <c r="B54" s="50"/>
      <c r="C54" s="50"/>
      <c r="D54" s="50"/>
      <c r="E54" s="186" t="s">
        <v>20</v>
      </c>
      <c r="F54" s="50"/>
      <c r="G54" s="52"/>
      <c r="H54" s="729" t="s">
        <v>14</v>
      </c>
      <c r="I54" s="54"/>
      <c r="J54" s="54"/>
      <c r="K54" s="55"/>
      <c r="L54" s="62"/>
      <c r="M54" s="55"/>
      <c r="N54" s="55"/>
      <c r="O54" s="55"/>
      <c r="P54" s="55"/>
      <c r="Q54" s="55"/>
      <c r="R54" s="55"/>
      <c r="S54" s="55"/>
      <c r="T54" s="55"/>
      <c r="U54" s="55"/>
    </row>
    <row r="55" spans="1:21" ht="18.75" hidden="1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8"/>
      <c r="M55" s="6"/>
      <c r="N55" s="6"/>
      <c r="O55" s="6"/>
      <c r="P55" s="6"/>
      <c r="Q55" s="6"/>
      <c r="R55" s="6"/>
      <c r="S55" s="6"/>
      <c r="T55" s="6"/>
      <c r="U55" s="6"/>
    </row>
    <row r="56" spans="1:21" ht="19.5">
      <c r="A56" s="533" t="s">
        <v>28</v>
      </c>
      <c r="B56" s="514"/>
      <c r="C56" s="514"/>
      <c r="D56" s="514"/>
      <c r="E56" s="514"/>
      <c r="F56" s="514"/>
      <c r="G56" s="512"/>
      <c r="H56" s="104"/>
      <c r="I56" s="105"/>
      <c r="J56" s="105"/>
      <c r="K56" s="106"/>
      <c r="L56" s="106"/>
      <c r="M56" s="106"/>
      <c r="N56" s="106"/>
      <c r="O56" s="106"/>
      <c r="P56" s="107"/>
      <c r="Q56" s="106"/>
      <c r="R56" s="106"/>
      <c r="S56" s="106"/>
      <c r="T56" s="106"/>
      <c r="U56" s="107"/>
    </row>
    <row r="57" spans="1:21" ht="19.5">
      <c r="A57" s="108"/>
      <c r="B57" s="534" t="s">
        <v>29</v>
      </c>
      <c r="C57" s="529"/>
      <c r="D57" s="529"/>
      <c r="E57" s="529"/>
      <c r="F57" s="529"/>
      <c r="G57" s="530"/>
      <c r="H57" s="109"/>
      <c r="I57" s="110"/>
      <c r="J57" s="110"/>
      <c r="K57" s="111"/>
      <c r="L57" s="112"/>
      <c r="M57" s="111"/>
      <c r="N57" s="111"/>
      <c r="O57" s="111"/>
      <c r="P57" s="111"/>
      <c r="Q57" s="111"/>
      <c r="R57" s="111"/>
      <c r="S57" s="111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9"/>
      <c r="M58" s="118"/>
      <c r="N58" s="118"/>
      <c r="O58" s="118"/>
      <c r="P58" s="118"/>
      <c r="Q58" s="118"/>
      <c r="R58" s="118"/>
      <c r="S58" s="118"/>
      <c r="T58" s="118"/>
      <c r="U58" s="118"/>
    </row>
    <row r="59" spans="1:21" ht="19.5">
      <c r="A59" s="120"/>
      <c r="B59" s="121"/>
      <c r="C59" s="122" t="s">
        <v>18</v>
      </c>
      <c r="D59" s="738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737">
        <f ca="1">L60+L61</f>
        <v>612100</v>
      </c>
      <c r="M59" s="736">
        <f ca="1">M60+M61</f>
        <v>612100</v>
      </c>
      <c r="N59" s="736">
        <f ca="1">N60+N61</f>
        <v>594344.07999999996</v>
      </c>
      <c r="O59" s="736">
        <f ca="1">IF(L59&gt;0,N59*100/L59,0)</f>
        <v>97.099179872569835</v>
      </c>
      <c r="P59" s="736">
        <f ca="1">IF(M59&gt;0,N59*100/M59,0)</f>
        <v>97.099179872569835</v>
      </c>
      <c r="Q59" s="736">
        <f>Q60+Q61</f>
        <v>0</v>
      </c>
      <c r="R59" s="736">
        <f>R60+R61</f>
        <v>0</v>
      </c>
      <c r="S59" s="736">
        <f>S60+S61</f>
        <v>0</v>
      </c>
      <c r="T59" s="736">
        <f>IF(Q59&gt;0,S59*100/Q59,0)</f>
        <v>0</v>
      </c>
      <c r="U59" s="736">
        <f>IF(R59&gt;0,S59*100/R59,0)</f>
        <v>0</v>
      </c>
    </row>
    <row r="60" spans="1:21" ht="18.75" hidden="1">
      <c r="A60" s="120"/>
      <c r="B60" s="121"/>
      <c r="C60" s="121"/>
      <c r="D60" s="121"/>
      <c r="E60" s="735" t="s">
        <v>20</v>
      </c>
      <c r="F60" s="121"/>
      <c r="G60" s="124"/>
      <c r="H60" s="734" t="s">
        <v>14</v>
      </c>
      <c r="I60" s="126"/>
      <c r="J60" s="126"/>
      <c r="K60" s="127"/>
      <c r="L60" s="733">
        <f>L63+L66</f>
        <v>0</v>
      </c>
      <c r="M60" s="732">
        <f>M63+M66</f>
        <v>0</v>
      </c>
      <c r="N60" s="732">
        <f>N63+N66</f>
        <v>0</v>
      </c>
      <c r="O60" s="732">
        <f>IF(L60&gt;0,N60*100/L60,0)</f>
        <v>0</v>
      </c>
      <c r="P60" s="732">
        <f>IF(M60&gt;0,N60*100/M60,0)</f>
        <v>0</v>
      </c>
      <c r="Q60" s="732">
        <f>Q63+Q66</f>
        <v>0</v>
      </c>
      <c r="R60" s="732">
        <f>R63+R66</f>
        <v>0</v>
      </c>
      <c r="S60" s="732">
        <f>S63+S66</f>
        <v>0</v>
      </c>
      <c r="T60" s="732">
        <f>IF(Q60&gt;0,S60*100/Q60,0)</f>
        <v>0</v>
      </c>
      <c r="U60" s="732">
        <f>IF(R60&gt;0,S60*100/R60,0)</f>
        <v>0</v>
      </c>
    </row>
    <row r="61" spans="1:21" ht="18.75" hidden="1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731">
        <f ca="1">L64+L67</f>
        <v>612100</v>
      </c>
      <c r="M61" s="730">
        <f ca="1">M64+M67</f>
        <v>612100</v>
      </c>
      <c r="N61" s="730">
        <f ca="1">N64+N67</f>
        <v>594344.07999999996</v>
      </c>
      <c r="O61" s="730">
        <f ca="1">IF(L61&gt;0,N61*100/L61,0)</f>
        <v>97.099179872569835</v>
      </c>
      <c r="P61" s="730">
        <f ca="1">IF(M61&gt;0,N61*100/M61,0)</f>
        <v>97.099179872569835</v>
      </c>
      <c r="Q61" s="730">
        <f>Q64+Q67</f>
        <v>0</v>
      </c>
      <c r="R61" s="730">
        <f>R64+R67</f>
        <v>0</v>
      </c>
      <c r="S61" s="730">
        <f>S64+S67</f>
        <v>0</v>
      </c>
      <c r="T61" s="730">
        <f>IF(Q61&gt;0,S61*100/Q61,0)</f>
        <v>0</v>
      </c>
      <c r="U61" s="730">
        <f>IF(R61&gt;0,S61*100/R61,0)</f>
        <v>0</v>
      </c>
    </row>
    <row r="62" spans="1:21" ht="18.75">
      <c r="A62" s="49"/>
      <c r="B62" s="50"/>
      <c r="C62" s="50"/>
      <c r="D62" s="51" t="s">
        <v>22</v>
      </c>
      <c r="E62" s="50"/>
      <c r="F62" s="50"/>
      <c r="G62" s="52"/>
      <c r="H62" s="53" t="s">
        <v>14</v>
      </c>
      <c r="I62" s="54"/>
      <c r="J62" s="54"/>
      <c r="K62" s="55"/>
      <c r="L62" s="256">
        <f ca="1">L63+L64</f>
        <v>612100</v>
      </c>
      <c r="M62" s="255">
        <f ca="1">M63+M64</f>
        <v>612100</v>
      </c>
      <c r="N62" s="255">
        <f ca="1">N63+N64</f>
        <v>594344.07999999996</v>
      </c>
      <c r="O62" s="255">
        <f ca="1">IF(L62&gt;0,N62*100/L62,0)</f>
        <v>97.099179872569835</v>
      </c>
      <c r="P62" s="255">
        <f ca="1">IF(M62&gt;0,N62*100/M62,0)</f>
        <v>97.099179872569835</v>
      </c>
      <c r="Q62" s="255">
        <f>Q63+Q64</f>
        <v>0</v>
      </c>
      <c r="R62" s="255">
        <f>R63+R64</f>
        <v>0</v>
      </c>
      <c r="S62" s="255">
        <f>S63+S64</f>
        <v>0</v>
      </c>
      <c r="T62" s="255">
        <f>IF(Q62&gt;0,S62*100/Q62,0)</f>
        <v>0</v>
      </c>
      <c r="U62" s="255">
        <f>IF(R62&gt;0,S62*100/R62,0)</f>
        <v>0</v>
      </c>
    </row>
    <row r="63" spans="1:21" ht="18.75" hidden="1">
      <c r="A63" s="49"/>
      <c r="B63" s="50"/>
      <c r="C63" s="50"/>
      <c r="D63" s="50"/>
      <c r="E63" s="186" t="s">
        <v>20</v>
      </c>
      <c r="F63" s="50"/>
      <c r="G63" s="52"/>
      <c r="H63" s="729" t="s">
        <v>14</v>
      </c>
      <c r="I63" s="54"/>
      <c r="J63" s="54"/>
      <c r="K63" s="55"/>
      <c r="L63" s="103">
        <v>0</v>
      </c>
      <c r="M63" s="102">
        <v>0</v>
      </c>
      <c r="N63" s="102">
        <v>0</v>
      </c>
      <c r="O63" s="102">
        <f>IF(L63&gt;0,N63*100/L63,0)</f>
        <v>0</v>
      </c>
      <c r="P63" s="102">
        <f>IF(M63&gt;0,N63*100/M63,0)</f>
        <v>0</v>
      </c>
      <c r="Q63" s="102">
        <v>0</v>
      </c>
      <c r="R63" s="102">
        <v>0</v>
      </c>
      <c r="S63" s="102">
        <v>0</v>
      </c>
      <c r="T63" s="102">
        <f>IF(Q63&gt;0,S63*100/Q63,0)</f>
        <v>0</v>
      </c>
      <c r="U63" s="102">
        <f>IF(R63&gt;0,S63*100/R63,0)</f>
        <v>0</v>
      </c>
    </row>
    <row r="64" spans="1:21" ht="18.75" hidden="1">
      <c r="A64" s="49"/>
      <c r="B64" s="50"/>
      <c r="C64" s="50"/>
      <c r="D64" s="50"/>
      <c r="E64" s="58" t="s">
        <v>21</v>
      </c>
      <c r="F64" s="50"/>
      <c r="G64" s="52"/>
      <c r="H64" s="53" t="s">
        <v>14</v>
      </c>
      <c r="I64" s="54"/>
      <c r="J64" s="54"/>
      <c r="K64" s="55"/>
      <c r="L64" s="256">
        <f ca="1">IFERROR(__xludf.DUMMYFUNCTION("IMPORTRANGE(""https://docs.google.com/spreadsheets/d/1-uDff_7J0KD5mKrp0Vvzr7lt3OU09vwQwhkpOPPYv2Y/edit?usp=sharing"",""งบพรบ!AC42"")"),612100)</f>
        <v>612100</v>
      </c>
      <c r="M64" s="255">
        <f ca="1">IFERROR(__xludf.DUMMYFUNCTION("IMPORTRANGE(""https://docs.google.com/spreadsheets/d/1-uDff_7J0KD5mKrp0Vvzr7lt3OU09vwQwhkpOPPYv2Y/edit?usp=sharing"",""งบพรบ!AH42"")"),612100)</f>
        <v>612100</v>
      </c>
      <c r="N64" s="255">
        <f ca="1">IFERROR(__xludf.DUMMYFUNCTION("IMPORTRANGE(""https://docs.google.com/spreadsheets/d/1-uDff_7J0KD5mKrp0Vvzr7lt3OU09vwQwhkpOPPYv2Y/edit?usp=sharing"",""งบพรบ!AJ42"")"),594344.08)</f>
        <v>594344.07999999996</v>
      </c>
      <c r="O64" s="255">
        <f ca="1">IF(L64&gt;0,N64*100/L64,0)</f>
        <v>97.099179872569835</v>
      </c>
      <c r="P64" s="255">
        <f ca="1">IF(M64&gt;0,N64*100/M64,0)</f>
        <v>97.099179872569835</v>
      </c>
      <c r="Q64" s="255">
        <v>0</v>
      </c>
      <c r="R64" s="255">
        <v>0</v>
      </c>
      <c r="S64" s="255">
        <v>0</v>
      </c>
      <c r="T64" s="255">
        <f>IF(Q64&gt;0,S64*100/Q64,0)</f>
        <v>0</v>
      </c>
      <c r="U64" s="255">
        <f>IF(R64&gt;0,S64*100/R64,0)</f>
        <v>0</v>
      </c>
    </row>
    <row r="65" spans="1:21" ht="18.75">
      <c r="A65" s="49"/>
      <c r="B65" s="50"/>
      <c r="C65" s="50"/>
      <c r="D65" s="51" t="s">
        <v>23</v>
      </c>
      <c r="E65" s="50"/>
      <c r="F65" s="50"/>
      <c r="G65" s="52"/>
      <c r="H65" s="53" t="s">
        <v>14</v>
      </c>
      <c r="I65" s="54"/>
      <c r="J65" s="54"/>
      <c r="K65" s="55"/>
      <c r="L65" s="256">
        <f ca="1">L66+L67</f>
        <v>0</v>
      </c>
      <c r="M65" s="255">
        <f ca="1">M66+M67</f>
        <v>0</v>
      </c>
      <c r="N65" s="255">
        <f ca="1">N66+N67</f>
        <v>0</v>
      </c>
      <c r="O65" s="255">
        <f ca="1">IF(L65&gt;0,N65*100/L65,0)</f>
        <v>0</v>
      </c>
      <c r="P65" s="255">
        <f ca="1">IF(M65&gt;0,N65*100/M65,0)</f>
        <v>0</v>
      </c>
      <c r="Q65" s="255">
        <f>Q66+Q67</f>
        <v>0</v>
      </c>
      <c r="R65" s="255">
        <f>R66+R67</f>
        <v>0</v>
      </c>
      <c r="S65" s="255">
        <f>S66+S67</f>
        <v>0</v>
      </c>
      <c r="T65" s="255">
        <f>IF(Q65&gt;0,S65*100/Q65,0)</f>
        <v>0</v>
      </c>
      <c r="U65" s="255">
        <f>IF(R65&gt;0,S65*100/R65,0)</f>
        <v>0</v>
      </c>
    </row>
    <row r="66" spans="1:21" ht="18.75" hidden="1">
      <c r="A66" s="49"/>
      <c r="B66" s="50"/>
      <c r="C66" s="50"/>
      <c r="D66" s="50"/>
      <c r="E66" s="186" t="s">
        <v>20</v>
      </c>
      <c r="F66" s="50"/>
      <c r="G66" s="52"/>
      <c r="H66" s="729" t="s">
        <v>14</v>
      </c>
      <c r="I66" s="54"/>
      <c r="J66" s="54"/>
      <c r="K66" s="55"/>
      <c r="L66" s="103">
        <v>0</v>
      </c>
      <c r="M66" s="102">
        <v>0</v>
      </c>
      <c r="N66" s="102">
        <v>0</v>
      </c>
      <c r="O66" s="102">
        <f>IF(L66&gt;0,N66*100/L66,0)</f>
        <v>0</v>
      </c>
      <c r="P66" s="102">
        <f>IF(M66&gt;0,N66*100/M66,0)</f>
        <v>0</v>
      </c>
      <c r="Q66" s="102">
        <v>0</v>
      </c>
      <c r="R66" s="102">
        <v>0</v>
      </c>
      <c r="S66" s="102">
        <v>0</v>
      </c>
      <c r="T66" s="102">
        <f>IF(Q66&gt;0,S66*100/Q66,0)</f>
        <v>0</v>
      </c>
      <c r="U66" s="102">
        <f>IF(R66&gt;0,S66*100/R66,0)</f>
        <v>0</v>
      </c>
    </row>
    <row r="67" spans="1:21" ht="18.75" hidden="1">
      <c r="A67" s="63"/>
      <c r="B67" s="4"/>
      <c r="C67" s="4"/>
      <c r="D67" s="4"/>
      <c r="E67" s="64" t="s">
        <v>21</v>
      </c>
      <c r="F67" s="4"/>
      <c r="G67" s="65"/>
      <c r="H67" s="66" t="s">
        <v>14</v>
      </c>
      <c r="I67" s="67"/>
      <c r="J67" s="67"/>
      <c r="K67" s="6"/>
      <c r="L67" s="728">
        <f ca="1">IFERROR(__xludf.DUMMYFUNCTION("IMPORTRANGE(""https://docs.google.com/spreadsheets/d/1-uDff_7J0KD5mKrp0Vvzr7lt3OU09vwQwhkpOPPYv2Y/edit?usp=sharing"",""งบพรบ!AF42"")"),0)</f>
        <v>0</v>
      </c>
      <c r="M67" s="506">
        <f ca="1">IFERROR(__xludf.DUMMYFUNCTION("IMPORTRANGE(""https://docs.google.com/spreadsheets/d/1-uDff_7J0KD5mKrp0Vvzr7lt3OU09vwQwhkpOPPYv2Y/edit?usp=sharing"",""งบพรบ!AI42"")"),0)</f>
        <v>0</v>
      </c>
      <c r="N67" s="506">
        <f ca="1">IFERROR(__xludf.DUMMYFUNCTION("IMPORTRANGE(""https://docs.google.com/spreadsheets/d/1-uDff_7J0KD5mKrp0Vvzr7lt3OU09vwQwhkpOPPYv2Y/edit?usp=sharing"",""งบพรบ!AK42"")"),0)</f>
        <v>0</v>
      </c>
      <c r="O67" s="506">
        <f ca="1">IF(L67&gt;0,N67*100/L67,0)</f>
        <v>0</v>
      </c>
      <c r="P67" s="506">
        <f ca="1">IF(M67&gt;0,N67*100/M67,0)</f>
        <v>0</v>
      </c>
      <c r="Q67" s="506">
        <v>0</v>
      </c>
      <c r="R67" s="506">
        <v>0</v>
      </c>
      <c r="S67" s="506">
        <v>0</v>
      </c>
      <c r="T67" s="506">
        <f>IF(Q67&gt;0,S67*100/Q67,0)</f>
        <v>0</v>
      </c>
      <c r="U67" s="506">
        <f>IF(R67&gt;0,S67*100/R67,0)</f>
        <v>0</v>
      </c>
    </row>
    <row r="68" spans="1:21" ht="19.5">
      <c r="A68" s="137" t="s">
        <v>31</v>
      </c>
      <c r="B68" s="138"/>
      <c r="C68" s="138"/>
      <c r="D68" s="138"/>
      <c r="E68" s="139"/>
      <c r="F68" s="139"/>
      <c r="G68" s="139"/>
      <c r="H68" s="139"/>
      <c r="I68" s="140"/>
      <c r="J68" s="140"/>
      <c r="K68" s="141"/>
      <c r="L68" s="141"/>
      <c r="M68" s="141"/>
      <c r="N68" s="141"/>
      <c r="O68" s="141"/>
      <c r="P68" s="142"/>
      <c r="Q68" s="141"/>
      <c r="R68" s="141"/>
      <c r="S68" s="141"/>
      <c r="T68" s="141"/>
      <c r="U68" s="142"/>
    </row>
    <row r="69" spans="1:21" ht="19.5">
      <c r="A69" s="143" t="s">
        <v>32</v>
      </c>
      <c r="B69" s="144"/>
      <c r="C69" s="145"/>
      <c r="D69" s="144"/>
      <c r="E69" s="144"/>
      <c r="F69" s="144"/>
      <c r="G69" s="146"/>
      <c r="H69" s="146"/>
      <c r="I69" s="147"/>
      <c r="J69" s="147"/>
      <c r="K69" s="148"/>
      <c r="L69" s="149"/>
      <c r="M69" s="148"/>
      <c r="N69" s="148"/>
      <c r="O69" s="148"/>
      <c r="P69" s="148"/>
      <c r="Q69" s="148"/>
      <c r="R69" s="148"/>
      <c r="S69" s="148"/>
      <c r="T69" s="148"/>
      <c r="U69" s="148"/>
    </row>
    <row r="70" spans="1:21" ht="19.5">
      <c r="A70" s="150"/>
      <c r="B70" s="35" t="s">
        <v>33</v>
      </c>
      <c r="C70" s="34"/>
      <c r="D70" s="151"/>
      <c r="E70" s="34"/>
      <c r="F70" s="34"/>
      <c r="G70" s="37"/>
      <c r="H70" s="152" t="s">
        <v>34</v>
      </c>
      <c r="I70" s="721">
        <f ca="1">I82</f>
        <v>1</v>
      </c>
      <c r="J70" s="721">
        <f>J82</f>
        <v>0</v>
      </c>
      <c r="K70" s="720">
        <f ca="1">IF(I70&gt;0,J70*100/I70,0)</f>
        <v>0</v>
      </c>
      <c r="L70" s="154"/>
      <c r="M70" s="40"/>
      <c r="N70" s="40"/>
      <c r="O70" s="40"/>
      <c r="P70" s="40"/>
      <c r="Q70" s="40"/>
      <c r="R70" s="40"/>
      <c r="S70" s="40"/>
      <c r="T70" s="40"/>
      <c r="U70" s="40"/>
    </row>
    <row r="71" spans="1:21" ht="19.5">
      <c r="A71" s="150"/>
      <c r="B71" s="34"/>
      <c r="C71" s="34"/>
      <c r="D71" s="151"/>
      <c r="E71" s="34"/>
      <c r="F71" s="34"/>
      <c r="G71" s="37"/>
      <c r="H71" s="152" t="s">
        <v>35</v>
      </c>
      <c r="I71" s="721">
        <f ca="1">I83</f>
        <v>35</v>
      </c>
      <c r="J71" s="721">
        <f>J83</f>
        <v>0</v>
      </c>
      <c r="K71" s="720">
        <f ca="1">IF(I71&gt;0,J71*100/I71,0)</f>
        <v>0</v>
      </c>
      <c r="L71" s="154"/>
      <c r="M71" s="40"/>
      <c r="N71" s="40"/>
      <c r="O71" s="40"/>
      <c r="P71" s="40"/>
      <c r="Q71" s="40"/>
      <c r="R71" s="40"/>
      <c r="S71" s="40"/>
      <c r="T71" s="40"/>
      <c r="U71" s="40"/>
    </row>
    <row r="72" spans="1:21" ht="19.5">
      <c r="A72" s="155"/>
      <c r="B72" s="50"/>
      <c r="C72" s="156" t="s">
        <v>18</v>
      </c>
      <c r="D72" s="575" t="s">
        <v>19</v>
      </c>
      <c r="E72" s="50"/>
      <c r="F72" s="50"/>
      <c r="G72" s="52"/>
      <c r="H72" s="158" t="s">
        <v>14</v>
      </c>
      <c r="I72" s="54"/>
      <c r="J72" s="54"/>
      <c r="K72" s="55"/>
      <c r="L72" s="541">
        <f ca="1">L73+L74</f>
        <v>90000</v>
      </c>
      <c r="M72" s="540">
        <f ca="1">M73+M74</f>
        <v>90000</v>
      </c>
      <c r="N72" s="540">
        <f ca="1">N73+N74</f>
        <v>38274</v>
      </c>
      <c r="O72" s="540">
        <f ca="1">IF(L72&gt;0,N72*100/L72,0)</f>
        <v>42.526666666666664</v>
      </c>
      <c r="P72" s="540">
        <f ca="1">IF(M72&gt;0,N72*100/M72,0)</f>
        <v>42.526666666666664</v>
      </c>
      <c r="Q72" s="540">
        <f ca="1">Q73+Q74</f>
        <v>435800</v>
      </c>
      <c r="R72" s="540">
        <f ca="1">R73+R74</f>
        <v>435800</v>
      </c>
      <c r="S72" s="540">
        <f ca="1">S73+S74</f>
        <v>18120</v>
      </c>
      <c r="T72" s="540">
        <f ca="1">IF(Q72&gt;0,S72*100/Q72,0)</f>
        <v>4.1578705828361633</v>
      </c>
      <c r="U72" s="540">
        <f ca="1">IF(R72&gt;0,S72*100/R72,0)</f>
        <v>4.1578705828361633</v>
      </c>
    </row>
    <row r="73" spans="1:21" ht="18.75" hidden="1">
      <c r="A73" s="155"/>
      <c r="B73" s="50"/>
      <c r="C73" s="50"/>
      <c r="D73" s="50"/>
      <c r="E73" s="186" t="s">
        <v>20</v>
      </c>
      <c r="F73" s="50"/>
      <c r="G73" s="52"/>
      <c r="H73" s="187" t="s">
        <v>14</v>
      </c>
      <c r="I73" s="54"/>
      <c r="J73" s="54"/>
      <c r="K73" s="55"/>
      <c r="L73" s="103">
        <f>L76+L79</f>
        <v>0</v>
      </c>
      <c r="M73" s="102">
        <f>M76+M79</f>
        <v>0</v>
      </c>
      <c r="N73" s="102">
        <f>N76+N79</f>
        <v>0</v>
      </c>
      <c r="O73" s="102">
        <f>IF(L73&gt;0,N73*100/L73,0)</f>
        <v>0</v>
      </c>
      <c r="P73" s="102">
        <f>IF(M73&gt;0,N73*100/M73,0)</f>
        <v>0</v>
      </c>
      <c r="Q73" s="102">
        <f>Q76+Q79</f>
        <v>0</v>
      </c>
      <c r="R73" s="102">
        <f>R76+R79</f>
        <v>0</v>
      </c>
      <c r="S73" s="102">
        <f>S76+S79</f>
        <v>0</v>
      </c>
      <c r="T73" s="102">
        <f>IF(Q73&gt;0,S73*100/Q73,0)</f>
        <v>0</v>
      </c>
      <c r="U73" s="102">
        <f>IF(R73&gt;0,S73*100/R73,0)</f>
        <v>0</v>
      </c>
    </row>
    <row r="74" spans="1:21" ht="18.75" hidden="1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256">
        <f ca="1">L77+L80</f>
        <v>90000</v>
      </c>
      <c r="M74" s="255">
        <f ca="1">M77+M80</f>
        <v>90000</v>
      </c>
      <c r="N74" s="255">
        <f ca="1">N77+N80</f>
        <v>38274</v>
      </c>
      <c r="O74" s="255">
        <f ca="1">IF(L74&gt;0,N74*100/L74,0)</f>
        <v>42.526666666666664</v>
      </c>
      <c r="P74" s="255">
        <f ca="1">IF(M74&gt;0,N74*100/M74,0)</f>
        <v>42.526666666666664</v>
      </c>
      <c r="Q74" s="255">
        <f ca="1">Q77+Q80</f>
        <v>435800</v>
      </c>
      <c r="R74" s="255">
        <f ca="1">R77+R80</f>
        <v>435800</v>
      </c>
      <c r="S74" s="255">
        <f ca="1">S77+S80</f>
        <v>18120</v>
      </c>
      <c r="T74" s="255">
        <f ca="1">IF(Q74&gt;0,S74*100/Q74,0)</f>
        <v>4.1578705828361633</v>
      </c>
      <c r="U74" s="255">
        <f ca="1">IF(R74&gt;0,S74*100/R74,0)</f>
        <v>4.1578705828361633</v>
      </c>
    </row>
    <row r="75" spans="1:21" ht="18.75">
      <c r="A75" s="155"/>
      <c r="B75" s="50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256">
        <f ca="1">L76+L77</f>
        <v>90000</v>
      </c>
      <c r="M75" s="255">
        <f ca="1">M76+M77</f>
        <v>90000</v>
      </c>
      <c r="N75" s="255">
        <f ca="1">N76+N77</f>
        <v>38274</v>
      </c>
      <c r="O75" s="255">
        <f ca="1">IF(L75&gt;0,N75*100/L75,0)</f>
        <v>42.526666666666664</v>
      </c>
      <c r="P75" s="255">
        <f ca="1">IF(M75&gt;0,N75*100/M75,0)</f>
        <v>42.526666666666664</v>
      </c>
      <c r="Q75" s="255">
        <f ca="1">Q76+Q77</f>
        <v>435800</v>
      </c>
      <c r="R75" s="255">
        <f ca="1">R76+R77</f>
        <v>435800</v>
      </c>
      <c r="S75" s="255">
        <f ca="1">S76+S77</f>
        <v>18120</v>
      </c>
      <c r="T75" s="255">
        <f ca="1">IF(Q75&gt;0,S75*100/Q75,0)</f>
        <v>4.1578705828361633</v>
      </c>
      <c r="U75" s="255">
        <f ca="1">IF(R75&gt;0,S75*100/R75,0)</f>
        <v>4.1578705828361633</v>
      </c>
    </row>
    <row r="76" spans="1:21" ht="18.75" hidden="1">
      <c r="A76" s="155"/>
      <c r="B76" s="50"/>
      <c r="C76" s="50"/>
      <c r="D76" s="50"/>
      <c r="E76" s="186" t="s">
        <v>36</v>
      </c>
      <c r="F76" s="50"/>
      <c r="G76" s="52"/>
      <c r="H76" s="189" t="s">
        <v>14</v>
      </c>
      <c r="I76" s="163"/>
      <c r="J76" s="163"/>
      <c r="K76" s="164"/>
      <c r="L76" s="103">
        <v>0</v>
      </c>
      <c r="M76" s="102">
        <v>0</v>
      </c>
      <c r="N76" s="102">
        <v>0</v>
      </c>
      <c r="O76" s="102">
        <f>IF(L76&gt;0,N76*100/L76,0)</f>
        <v>0</v>
      </c>
      <c r="P76" s="102">
        <f>IF(M76&gt;0,N76*100/M76,0)</f>
        <v>0</v>
      </c>
      <c r="Q76" s="102">
        <v>0</v>
      </c>
      <c r="R76" s="102">
        <v>0</v>
      </c>
      <c r="S76" s="102">
        <v>0</v>
      </c>
      <c r="T76" s="102">
        <f>IF(Q76&gt;0,S76*100/Q76,0)</f>
        <v>0</v>
      </c>
      <c r="U76" s="102">
        <f>IF(R76&gt;0,S76*100/R76,0)</f>
        <v>0</v>
      </c>
    </row>
    <row r="77" spans="1:21" ht="18.75" hidden="1">
      <c r="A77" s="155"/>
      <c r="B77" s="50"/>
      <c r="C77" s="50"/>
      <c r="D77" s="50"/>
      <c r="E77" s="58" t="s">
        <v>37</v>
      </c>
      <c r="F77" s="50"/>
      <c r="G77" s="52"/>
      <c r="H77" s="162" t="s">
        <v>14</v>
      </c>
      <c r="I77" s="163"/>
      <c r="J77" s="163"/>
      <c r="K77" s="164"/>
      <c r="L77" s="256">
        <f ca="1">IFERROR(__xludf.DUMMYFUNCTION("IMPORTRANGE(""https://docs.google.com/spreadsheets/d/1-uDff_7J0KD5mKrp0Vvzr7lt3OU09vwQwhkpOPPYv2Y/edit?usp=sharing"",""งบพรบ!AM42"")"),90000)</f>
        <v>90000</v>
      </c>
      <c r="M77" s="255">
        <f ca="1">IFERROR(__xludf.DUMMYFUNCTION("IMPORTRANGE(""https://docs.google.com/spreadsheets/d/1-uDff_7J0KD5mKrp0Vvzr7lt3OU09vwQwhkpOPPYv2Y/edit?usp=sharing"",""งบพรบ!AR42"")"),90000)</f>
        <v>90000</v>
      </c>
      <c r="N77" s="255">
        <f ca="1">IFERROR(__xludf.DUMMYFUNCTION("IMPORTRANGE(""https://docs.google.com/spreadsheets/d/1-uDff_7J0KD5mKrp0Vvzr7lt3OU09vwQwhkpOPPYv2Y/edit?usp=sharing"",""งบพรบ!AT42"")"),38274)</f>
        <v>38274</v>
      </c>
      <c r="O77" s="255">
        <f ca="1">IF(L77&gt;0,N77*100/L77,0)</f>
        <v>42.526666666666664</v>
      </c>
      <c r="P77" s="255">
        <f ca="1">IF(M77&gt;0,N77*100/M77,0)</f>
        <v>42.526666666666664</v>
      </c>
      <c r="Q77" s="255">
        <f ca="1">IFERROR(__xludf.DUMMYFUNCTION("IMPORTRANGE(""https://docs.google.com/spreadsheets/d/1ItG2mGa2ceCfYo0BwxsXqNm01IGEUdYcSSLTEv9YCik/edit?usp=sharing"",""เบิกจ่ายกองทุน!AS42"")"),435800)</f>
        <v>435800</v>
      </c>
      <c r="R77" s="255">
        <f ca="1">IFERROR(__xludf.DUMMYFUNCTION("IMPORTRANGE(""https://docs.google.com/spreadsheets/d/1ItG2mGa2ceCfYo0BwxsXqNm01IGEUdYcSSLTEv9YCik/edit?usp=sharing"",""เบิกจ่ายกองทุน!AT42"")"),435800)</f>
        <v>435800</v>
      </c>
      <c r="S77" s="255">
        <f ca="1">IFERROR(__xludf.DUMMYFUNCTION("IMPORTRANGE(""https://docs.google.com/spreadsheets/d/1ItG2mGa2ceCfYo0BwxsXqNm01IGEUdYcSSLTEv9YCik/edit?usp=sharing"",""เบิกจ่ายกองทุน!AU42"")"),18120)</f>
        <v>18120</v>
      </c>
      <c r="T77" s="255">
        <f ca="1">IF(Q77&gt;0,S77*100/Q77,0)</f>
        <v>4.1578705828361633</v>
      </c>
      <c r="U77" s="255">
        <f ca="1">IF(R77&gt;0,S77*100/R77,0)</f>
        <v>4.1578705828361633</v>
      </c>
    </row>
    <row r="78" spans="1:21" ht="18.75">
      <c r="A78" s="155"/>
      <c r="B78" s="50"/>
      <c r="C78" s="50"/>
      <c r="D78" s="51" t="s">
        <v>23</v>
      </c>
      <c r="E78" s="50"/>
      <c r="F78" s="50"/>
      <c r="G78" s="52"/>
      <c r="H78" s="165" t="s">
        <v>14</v>
      </c>
      <c r="I78" s="163"/>
      <c r="J78" s="163"/>
      <c r="K78" s="164"/>
      <c r="L78" s="256">
        <f ca="1">L79+L80</f>
        <v>0</v>
      </c>
      <c r="M78" s="255">
        <f ca="1">M79+M80</f>
        <v>0</v>
      </c>
      <c r="N78" s="255">
        <f ca="1">N79+N80</f>
        <v>0</v>
      </c>
      <c r="O78" s="255">
        <f ca="1">IF(L78&gt;0,N78*100/L78,0)</f>
        <v>0</v>
      </c>
      <c r="P78" s="255">
        <f ca="1">IF(M78&gt;0,N78*100/M78,0)</f>
        <v>0</v>
      </c>
      <c r="Q78" s="255">
        <f>Q79+Q80</f>
        <v>0</v>
      </c>
      <c r="R78" s="255">
        <f>R79+R80</f>
        <v>0</v>
      </c>
      <c r="S78" s="255">
        <f>S79+S80</f>
        <v>0</v>
      </c>
      <c r="T78" s="255">
        <f>IF(Q78&gt;0,S78*100/Q78,0)</f>
        <v>0</v>
      </c>
      <c r="U78" s="255">
        <f>IF(R78&gt;0,S78*100/R78,0)</f>
        <v>0</v>
      </c>
    </row>
    <row r="79" spans="1:21" ht="18.75" hidden="1">
      <c r="A79" s="155"/>
      <c r="B79" s="50"/>
      <c r="C79" s="50"/>
      <c r="D79" s="50"/>
      <c r="E79" s="186" t="s">
        <v>20</v>
      </c>
      <c r="F79" s="50"/>
      <c r="G79" s="52"/>
      <c r="H79" s="189" t="s">
        <v>14</v>
      </c>
      <c r="I79" s="163"/>
      <c r="J79" s="163"/>
      <c r="K79" s="164"/>
      <c r="L79" s="103">
        <v>0</v>
      </c>
      <c r="M79" s="255">
        <v>0</v>
      </c>
      <c r="N79" s="255">
        <v>0</v>
      </c>
      <c r="O79" s="102">
        <f>IF(L79&gt;0,N79*100/L79,0)</f>
        <v>0</v>
      </c>
      <c r="P79" s="102">
        <f>IF(M79&gt;0,N79*100/M79,0)</f>
        <v>0</v>
      </c>
      <c r="Q79" s="102">
        <v>0</v>
      </c>
      <c r="R79" s="255">
        <v>0</v>
      </c>
      <c r="S79" s="255">
        <v>0</v>
      </c>
      <c r="T79" s="102">
        <f>IF(Q79&gt;0,S79*100/Q79,0)</f>
        <v>0</v>
      </c>
      <c r="U79" s="102">
        <f>IF(R79&gt;0,S79*100/R79,0)</f>
        <v>0</v>
      </c>
    </row>
    <row r="80" spans="1:21" ht="18.75" hidden="1">
      <c r="A80" s="155"/>
      <c r="B80" s="50"/>
      <c r="C80" s="50"/>
      <c r="D80" s="50"/>
      <c r="E80" s="58" t="s">
        <v>21</v>
      </c>
      <c r="F80" s="50"/>
      <c r="G80" s="52"/>
      <c r="H80" s="165" t="s">
        <v>14</v>
      </c>
      <c r="I80" s="163"/>
      <c r="J80" s="163"/>
      <c r="K80" s="164"/>
      <c r="L80" s="256">
        <f ca="1">IFERROR(__xludf.DUMMYFUNCTION("IMPORTRANGE(""https://docs.google.com/spreadsheets/d/1-uDff_7J0KD5mKrp0Vvzr7lt3OU09vwQwhkpOPPYv2Y/edit?usp=sharing"",""งบพรบ!AP42"")"),0)</f>
        <v>0</v>
      </c>
      <c r="M80" s="255">
        <f ca="1">IFERROR(__xludf.DUMMYFUNCTION("IMPORTRANGE(""https://docs.google.com/spreadsheets/d/1-uDff_7J0KD5mKrp0Vvzr7lt3OU09vwQwhkpOPPYv2Y/edit?usp=sharing"",""งบพรบ!AS42"")"),0)</f>
        <v>0</v>
      </c>
      <c r="N80" s="255">
        <f ca="1">IFERROR(__xludf.DUMMYFUNCTION("IMPORTRANGE(""https://docs.google.com/spreadsheets/d/1-uDff_7J0KD5mKrp0Vvzr7lt3OU09vwQwhkpOPPYv2Y/edit?usp=sharing"",""งบพรบ!AU42"")"),0)</f>
        <v>0</v>
      </c>
      <c r="O80" s="255">
        <f ca="1">IF(L80&gt;0,N80*100/L80,0)</f>
        <v>0</v>
      </c>
      <c r="P80" s="255">
        <f ca="1">IF(M80&gt;0,N80*100/M80,0)</f>
        <v>0</v>
      </c>
      <c r="Q80" s="255">
        <v>0</v>
      </c>
      <c r="R80" s="255">
        <v>0</v>
      </c>
      <c r="S80" s="255">
        <v>0</v>
      </c>
      <c r="T80" s="255">
        <f>IF(Q80&gt;0,S80*100/Q80,0)</f>
        <v>0</v>
      </c>
      <c r="U80" s="255">
        <f>IF(R80&gt;0,S80*100/R80,0)</f>
        <v>0</v>
      </c>
    </row>
    <row r="81" spans="1:21" ht="19.5">
      <c r="A81" s="166"/>
      <c r="B81" s="167"/>
      <c r="C81" s="156" t="s">
        <v>18</v>
      </c>
      <c r="D81" s="566" t="s">
        <v>38</v>
      </c>
      <c r="E81" s="169"/>
      <c r="F81" s="169"/>
      <c r="G81" s="170"/>
      <c r="H81" s="171"/>
      <c r="I81" s="163"/>
      <c r="J81" s="163"/>
      <c r="K81" s="164"/>
      <c r="L81" s="172"/>
      <c r="M81" s="164"/>
      <c r="N81" s="164"/>
      <c r="O81" s="164"/>
      <c r="P81" s="164"/>
      <c r="Q81" s="164"/>
      <c r="R81" s="164"/>
      <c r="S81" s="164"/>
      <c r="T81" s="164"/>
      <c r="U81" s="164"/>
    </row>
    <row r="82" spans="1:21" ht="19.5">
      <c r="A82" s="166"/>
      <c r="B82" s="167"/>
      <c r="C82" s="167"/>
      <c r="D82" s="173" t="s">
        <v>39</v>
      </c>
      <c r="E82" s="174"/>
      <c r="F82" s="174"/>
      <c r="G82" s="171"/>
      <c r="H82" s="175" t="s">
        <v>34</v>
      </c>
      <c r="I82" s="373">
        <f ca="1">I84+I86+I88</f>
        <v>1</v>
      </c>
      <c r="J82" s="373">
        <f>J84+J86+J88</f>
        <v>0</v>
      </c>
      <c r="K82" s="642">
        <f ca="1">IF(I82&gt;0,J82*100/I82,0)</f>
        <v>0</v>
      </c>
      <c r="L82" s="172"/>
      <c r="M82" s="164"/>
      <c r="N82" s="164"/>
      <c r="O82" s="164"/>
      <c r="P82" s="164"/>
      <c r="Q82" s="164"/>
      <c r="R82" s="164"/>
      <c r="S82" s="164"/>
      <c r="T82" s="164"/>
      <c r="U82" s="164"/>
    </row>
    <row r="83" spans="1:21" ht="19.5">
      <c r="A83" s="166"/>
      <c r="B83" s="167"/>
      <c r="C83" s="167"/>
      <c r="D83" s="167"/>
      <c r="E83" s="174"/>
      <c r="F83" s="174"/>
      <c r="G83" s="171"/>
      <c r="H83" s="175" t="s">
        <v>35</v>
      </c>
      <c r="I83" s="373">
        <f ca="1">I85+I87+I89</f>
        <v>35</v>
      </c>
      <c r="J83" s="373">
        <f>J85+J87+J89</f>
        <v>0</v>
      </c>
      <c r="K83" s="642">
        <f ca="1">IF(I83&gt;0,J83*100/I83,0)</f>
        <v>0</v>
      </c>
      <c r="L83" s="172"/>
      <c r="M83" s="164"/>
      <c r="N83" s="164"/>
      <c r="O83" s="164"/>
      <c r="P83" s="164"/>
      <c r="Q83" s="164"/>
      <c r="R83" s="164"/>
      <c r="S83" s="164"/>
      <c r="T83" s="164"/>
      <c r="U83" s="164"/>
    </row>
    <row r="84" spans="1:21" ht="18.75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641">
        <f ca="1">IFERROR(__xludf.DUMMYFUNCTION("IMPORTRANGE(""https://docs.google.com/spreadsheets/d/1eHaY18a8A9IcSdp1K8H6x8fbOy06t2VsZHhMHf-1x7Y/edit?usp=sharing"",""แผน!H42"")"),1)</f>
        <v>1</v>
      </c>
      <c r="J84" s="467">
        <v>0</v>
      </c>
      <c r="K84" s="565">
        <f ca="1">IF(I84&gt;0,J84*100/I84,0)</f>
        <v>0</v>
      </c>
      <c r="L84" s="172"/>
      <c r="M84" s="164"/>
      <c r="N84" s="164"/>
      <c r="O84" s="164"/>
      <c r="P84" s="164"/>
      <c r="Q84" s="164"/>
      <c r="R84" s="164"/>
      <c r="S84" s="164"/>
      <c r="T84" s="164"/>
      <c r="U84" s="164"/>
    </row>
    <row r="85" spans="1:21" ht="18.75">
      <c r="A85" s="166"/>
      <c r="B85" s="167"/>
      <c r="C85" s="167"/>
      <c r="D85" s="167"/>
      <c r="E85" s="174"/>
      <c r="F85" s="174"/>
      <c r="G85" s="171"/>
      <c r="H85" s="179" t="s">
        <v>35</v>
      </c>
      <c r="I85" s="641">
        <f ca="1">IFERROR(__xludf.DUMMYFUNCTION("IMPORTRANGE(""https://docs.google.com/spreadsheets/d/1eHaY18a8A9IcSdp1K8H6x8fbOy06t2VsZHhMHf-1x7Y/edit?usp=sharing"",""แผน!I42"")"),35)</f>
        <v>35</v>
      </c>
      <c r="J85" s="467">
        <v>0</v>
      </c>
      <c r="K85" s="565">
        <f ca="1">IF(I85&gt;0,J85*100/I85,0)</f>
        <v>0</v>
      </c>
      <c r="L85" s="172"/>
      <c r="M85" s="164"/>
      <c r="N85" s="164"/>
      <c r="O85" s="164"/>
      <c r="P85" s="164"/>
      <c r="Q85" s="164"/>
      <c r="R85" s="164"/>
      <c r="S85" s="164"/>
      <c r="T85" s="164"/>
      <c r="U85" s="164"/>
    </row>
    <row r="86" spans="1:21" ht="18.75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641">
        <f ca="1">IFERROR(__xludf.DUMMYFUNCTION("IMPORTRANGE(""https://docs.google.com/spreadsheets/d/1eHaY18a8A9IcSdp1K8H6x8fbOy06t2VsZHhMHf-1x7Y/edit?usp=sharing"",""แผน!F42"")"),0)</f>
        <v>0</v>
      </c>
      <c r="J86" s="467">
        <v>0</v>
      </c>
      <c r="K86" s="565">
        <f ca="1">IF(I86&gt;0,J86*100/I86,0)</f>
        <v>0</v>
      </c>
      <c r="L86" s="172"/>
      <c r="M86" s="164"/>
      <c r="N86" s="164"/>
      <c r="O86" s="164"/>
      <c r="P86" s="164"/>
      <c r="Q86" s="164"/>
      <c r="R86" s="164"/>
      <c r="S86" s="164"/>
      <c r="T86" s="164"/>
      <c r="U86" s="164"/>
    </row>
    <row r="87" spans="1:21" ht="18.75">
      <c r="A87" s="166"/>
      <c r="B87" s="167"/>
      <c r="C87" s="167"/>
      <c r="D87" s="167"/>
      <c r="E87" s="174"/>
      <c r="F87" s="174"/>
      <c r="G87" s="171"/>
      <c r="H87" s="179" t="s">
        <v>35</v>
      </c>
      <c r="I87" s="641">
        <f ca="1">IFERROR(__xludf.DUMMYFUNCTION("IMPORTRANGE(""https://docs.google.com/spreadsheets/d/1eHaY18a8A9IcSdp1K8H6x8fbOy06t2VsZHhMHf-1x7Y/edit?usp=sharing"",""แผน!G42"")"),0)</f>
        <v>0</v>
      </c>
      <c r="J87" s="467">
        <v>0</v>
      </c>
      <c r="K87" s="565">
        <f ca="1">IF(I87&gt;0,J87*100/I87,0)</f>
        <v>0</v>
      </c>
      <c r="L87" s="172"/>
      <c r="M87" s="164"/>
      <c r="N87" s="164"/>
      <c r="O87" s="164"/>
      <c r="P87" s="164"/>
      <c r="Q87" s="164"/>
      <c r="R87" s="164"/>
      <c r="S87" s="164"/>
      <c r="T87" s="164"/>
      <c r="U87" s="164"/>
    </row>
    <row r="88" spans="1:21" ht="18.75">
      <c r="A88" s="166"/>
      <c r="B88" s="167"/>
      <c r="C88" s="167"/>
      <c r="D88" s="167"/>
      <c r="E88" s="178" t="s">
        <v>42</v>
      </c>
      <c r="F88" s="174"/>
      <c r="G88" s="171"/>
      <c r="H88" s="179" t="s">
        <v>34</v>
      </c>
      <c r="I88" s="641">
        <f ca="1">IFERROR(__xludf.DUMMYFUNCTION("IMPORTRANGE(""https://docs.google.com/spreadsheets/d/1eHaY18a8A9IcSdp1K8H6x8fbOy06t2VsZHhMHf-1x7Y/edit?usp=sharing"",""แผน!D42"")"),0)</f>
        <v>0</v>
      </c>
      <c r="J88" s="467">
        <v>0</v>
      </c>
      <c r="K88" s="565">
        <f ca="1">IF(I88&gt;0,J88*100/I88,0)</f>
        <v>0</v>
      </c>
      <c r="L88" s="172"/>
      <c r="M88" s="164"/>
      <c r="N88" s="164"/>
      <c r="O88" s="164"/>
      <c r="P88" s="164"/>
      <c r="Q88" s="164"/>
      <c r="R88" s="164"/>
      <c r="S88" s="164"/>
      <c r="T88" s="164"/>
      <c r="U88" s="164"/>
    </row>
    <row r="89" spans="1:21" ht="18.75">
      <c r="A89" s="166"/>
      <c r="B89" s="167"/>
      <c r="C89" s="167"/>
      <c r="D89" s="167"/>
      <c r="E89" s="174"/>
      <c r="F89" s="174"/>
      <c r="G89" s="171"/>
      <c r="H89" s="179" t="s">
        <v>35</v>
      </c>
      <c r="I89" s="641">
        <f ca="1">IFERROR(__xludf.DUMMYFUNCTION("IMPORTRANGE(""https://docs.google.com/spreadsheets/d/1eHaY18a8A9IcSdp1K8H6x8fbOy06t2VsZHhMHf-1x7Y/edit?usp=sharing"",""แผน!E42"")"),0)</f>
        <v>0</v>
      </c>
      <c r="J89" s="467">
        <v>0</v>
      </c>
      <c r="K89" s="565">
        <f ca="1">IF(I89&gt;0,J89*100/I89,0)</f>
        <v>0</v>
      </c>
      <c r="L89" s="172"/>
      <c r="M89" s="164"/>
      <c r="N89" s="164"/>
      <c r="O89" s="164"/>
      <c r="P89" s="164"/>
      <c r="Q89" s="164"/>
      <c r="R89" s="164"/>
      <c r="S89" s="164"/>
      <c r="T89" s="164"/>
      <c r="U89" s="164"/>
    </row>
    <row r="90" spans="1:21" ht="18.75">
      <c r="A90" s="166"/>
      <c r="B90" s="167"/>
      <c r="C90" s="167"/>
      <c r="D90" s="173" t="s">
        <v>43</v>
      </c>
      <c r="E90" s="174"/>
      <c r="F90" s="174"/>
      <c r="G90" s="171"/>
      <c r="H90" s="183" t="s">
        <v>34</v>
      </c>
      <c r="I90" s="641">
        <f ca="1">IFERROR(__xludf.DUMMYFUNCTION("IMPORTRANGE(""https://docs.google.com/spreadsheets/d/1eHaY18a8A9IcSdp1K8H6x8fbOy06t2VsZHhMHf-1x7Y/edit?usp=sharing"",""แผน!J42"")"),1)</f>
        <v>1</v>
      </c>
      <c r="J90" s="467">
        <v>0</v>
      </c>
      <c r="K90" s="565">
        <f ca="1">IF(I90&gt;0,J90*100/I90,0)</f>
        <v>0</v>
      </c>
      <c r="L90" s="172"/>
      <c r="M90" s="164"/>
      <c r="N90" s="164"/>
      <c r="O90" s="164"/>
      <c r="P90" s="164"/>
      <c r="Q90" s="164"/>
      <c r="R90" s="164"/>
      <c r="S90" s="164"/>
      <c r="T90" s="164"/>
      <c r="U90" s="164"/>
    </row>
    <row r="91" spans="1:21" ht="19.5" hidden="1">
      <c r="A91" s="143" t="s">
        <v>44</v>
      </c>
      <c r="B91" s="144"/>
      <c r="C91" s="145"/>
      <c r="D91" s="144"/>
      <c r="E91" s="144"/>
      <c r="F91" s="144"/>
      <c r="G91" s="146"/>
      <c r="H91" s="146"/>
      <c r="I91" s="147"/>
      <c r="J91" s="147"/>
      <c r="K91" s="148"/>
      <c r="L91" s="149"/>
      <c r="M91" s="148"/>
      <c r="N91" s="148"/>
      <c r="O91" s="148"/>
      <c r="P91" s="148"/>
      <c r="Q91" s="148"/>
      <c r="R91" s="148"/>
      <c r="S91" s="148"/>
      <c r="T91" s="148"/>
      <c r="U91" s="148"/>
    </row>
    <row r="92" spans="1:21" ht="19.5" hidden="1">
      <c r="A92" s="150"/>
      <c r="B92" s="35" t="s">
        <v>45</v>
      </c>
      <c r="C92" s="34"/>
      <c r="D92" s="151"/>
      <c r="E92" s="34"/>
      <c r="F92" s="34"/>
      <c r="G92" s="37"/>
      <c r="H92" s="152" t="s">
        <v>46</v>
      </c>
      <c r="I92" s="721">
        <f ca="1">I108</f>
        <v>0</v>
      </c>
      <c r="J92" s="721">
        <f>J108</f>
        <v>0</v>
      </c>
      <c r="K92" s="720">
        <f ca="1">IF(I92&gt;0,J92*100/I92,0)</f>
        <v>0</v>
      </c>
      <c r="L92" s="154"/>
      <c r="M92" s="40"/>
      <c r="N92" s="40"/>
      <c r="O92" s="40"/>
      <c r="P92" s="40"/>
      <c r="Q92" s="40"/>
      <c r="R92" s="40"/>
      <c r="S92" s="40"/>
      <c r="T92" s="40"/>
      <c r="U92" s="40"/>
    </row>
    <row r="93" spans="1:21" ht="19.5" hidden="1">
      <c r="A93" s="150"/>
      <c r="B93" s="34"/>
      <c r="C93" s="34"/>
      <c r="D93" s="151"/>
      <c r="E93" s="34"/>
      <c r="F93" s="34"/>
      <c r="G93" s="37"/>
      <c r="H93" s="152" t="s">
        <v>35</v>
      </c>
      <c r="I93" s="721">
        <f ca="1">I109</f>
        <v>0</v>
      </c>
      <c r="J93" s="721">
        <f>J109</f>
        <v>0</v>
      </c>
      <c r="K93" s="720">
        <f ca="1">IF(I93&gt;0,J93*100/I93,0)</f>
        <v>0</v>
      </c>
      <c r="L93" s="154"/>
      <c r="M93" s="40"/>
      <c r="N93" s="40"/>
      <c r="O93" s="40"/>
      <c r="P93" s="40"/>
      <c r="Q93" s="40"/>
      <c r="R93" s="40"/>
      <c r="S93" s="40"/>
      <c r="T93" s="40"/>
      <c r="U93" s="40"/>
    </row>
    <row r="94" spans="1:21" ht="19.5" hidden="1">
      <c r="A94" s="155"/>
      <c r="B94" s="50"/>
      <c r="C94" s="156" t="s">
        <v>18</v>
      </c>
      <c r="D94" s="575" t="s">
        <v>19</v>
      </c>
      <c r="E94" s="50"/>
      <c r="F94" s="50"/>
      <c r="G94" s="52"/>
      <c r="H94" s="158" t="s">
        <v>14</v>
      </c>
      <c r="I94" s="54"/>
      <c r="J94" s="54"/>
      <c r="K94" s="55"/>
      <c r="L94" s="541">
        <f ca="1">L95+L96</f>
        <v>0</v>
      </c>
      <c r="M94" s="540">
        <f ca="1">M95+M96</f>
        <v>0</v>
      </c>
      <c r="N94" s="540">
        <f ca="1">N95+N96</f>
        <v>0</v>
      </c>
      <c r="O94" s="540">
        <f ca="1">IF(L94&gt;0,N94*100/L94,0)</f>
        <v>0</v>
      </c>
      <c r="P94" s="540">
        <f ca="1">IF(M94&gt;0,N94*100/M94,0)</f>
        <v>0</v>
      </c>
      <c r="Q94" s="540">
        <f ca="1">Q95+Q96</f>
        <v>0</v>
      </c>
      <c r="R94" s="540">
        <f ca="1">R95+R96</f>
        <v>0</v>
      </c>
      <c r="S94" s="540">
        <f ca="1">S95+S96</f>
        <v>0</v>
      </c>
      <c r="T94" s="540">
        <f ca="1">IF(Q94&gt;0,S94*100/Q94,0)</f>
        <v>0</v>
      </c>
      <c r="U94" s="540">
        <f ca="1">IF(R94&gt;0,S94*100/R94,0)</f>
        <v>0</v>
      </c>
    </row>
    <row r="95" spans="1:21" ht="18.75" hidden="1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103">
        <f>L98+L101</f>
        <v>0</v>
      </c>
      <c r="M95" s="102">
        <f>M98+M101</f>
        <v>0</v>
      </c>
      <c r="N95" s="102">
        <f>N98+N101</f>
        <v>0</v>
      </c>
      <c r="O95" s="102">
        <f>IF(L95&gt;0,N95*100/L95,0)</f>
        <v>0</v>
      </c>
      <c r="P95" s="102">
        <f>IF(M95&gt;0,N95*100/M95,0)</f>
        <v>0</v>
      </c>
      <c r="Q95" s="102">
        <f>Q98+Q101</f>
        <v>0</v>
      </c>
      <c r="R95" s="102">
        <f>R98+R101</f>
        <v>0</v>
      </c>
      <c r="S95" s="102">
        <f>S98+S101</f>
        <v>0</v>
      </c>
      <c r="T95" s="102">
        <f>IF(Q95&gt;0,S95*100/Q95,0)</f>
        <v>0</v>
      </c>
      <c r="U95" s="102">
        <f>IF(R95&gt;0,S95*100/R95,0)</f>
        <v>0</v>
      </c>
    </row>
    <row r="96" spans="1:21" ht="18.75" hidden="1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256">
        <f ca="1">L99+L102</f>
        <v>0</v>
      </c>
      <c r="M96" s="255">
        <f ca="1">M99+M102</f>
        <v>0</v>
      </c>
      <c r="N96" s="255">
        <f ca="1">N99+N102</f>
        <v>0</v>
      </c>
      <c r="O96" s="255">
        <f ca="1">IF(L96&gt;0,N96*100/L96,0)</f>
        <v>0</v>
      </c>
      <c r="P96" s="255">
        <f ca="1">IF(M96&gt;0,N96*100/M96,0)</f>
        <v>0</v>
      </c>
      <c r="Q96" s="255">
        <f ca="1">Q99+Q102</f>
        <v>0</v>
      </c>
      <c r="R96" s="255">
        <f ca="1">R99+R102</f>
        <v>0</v>
      </c>
      <c r="S96" s="255">
        <f ca="1">S99+S102</f>
        <v>0</v>
      </c>
      <c r="T96" s="255">
        <f ca="1">IF(Q96&gt;0,S96*100/Q96,0)</f>
        <v>0</v>
      </c>
      <c r="U96" s="255">
        <f ca="1">IF(R96&gt;0,S96*100/R96,0)</f>
        <v>0</v>
      </c>
    </row>
    <row r="97" spans="1:21" ht="18.75" hidden="1">
      <c r="A97" s="155"/>
      <c r="B97" s="50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256">
        <f ca="1">L98+L99</f>
        <v>0</v>
      </c>
      <c r="M97" s="255">
        <f ca="1">M98+M99</f>
        <v>0</v>
      </c>
      <c r="N97" s="255">
        <f ca="1">N98+N99</f>
        <v>0</v>
      </c>
      <c r="O97" s="255">
        <f ca="1">IF(L97&gt;0,N97*100/L97,0)</f>
        <v>0</v>
      </c>
      <c r="P97" s="255">
        <f ca="1">IF(M97&gt;0,N97*100/M97,0)</f>
        <v>0</v>
      </c>
      <c r="Q97" s="255">
        <f ca="1">Q98+Q99</f>
        <v>0</v>
      </c>
      <c r="R97" s="255">
        <f ca="1">R98+R99</f>
        <v>0</v>
      </c>
      <c r="S97" s="255">
        <f ca="1">S98+S99</f>
        <v>0</v>
      </c>
      <c r="T97" s="255">
        <f ca="1">IF(Q97&gt;0,S97*100/Q97,0)</f>
        <v>0</v>
      </c>
      <c r="U97" s="255">
        <f ca="1">IF(R97&gt;0,S97*100/R97,0)</f>
        <v>0</v>
      </c>
    </row>
    <row r="98" spans="1:21" ht="18.75" hidden="1">
      <c r="A98" s="155"/>
      <c r="B98" s="50"/>
      <c r="C98" s="50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103">
        <v>0</v>
      </c>
      <c r="M98" s="102">
        <v>0</v>
      </c>
      <c r="N98" s="102">
        <v>0</v>
      </c>
      <c r="O98" s="102">
        <f>IF(L98&gt;0,N98*100/L98,0)</f>
        <v>0</v>
      </c>
      <c r="P98" s="102">
        <f>IF(M98&gt;0,N98*100/M98,0)</f>
        <v>0</v>
      </c>
      <c r="Q98" s="102">
        <v>0</v>
      </c>
      <c r="R98" s="102">
        <v>0</v>
      </c>
      <c r="S98" s="102">
        <v>0</v>
      </c>
      <c r="T98" s="102">
        <f>IF(Q98&gt;0,S98*100/Q98,0)</f>
        <v>0</v>
      </c>
      <c r="U98" s="102">
        <f>IF(R98&gt;0,S98*100/R98,0)</f>
        <v>0</v>
      </c>
    </row>
    <row r="99" spans="1:21" ht="18.75" hidden="1">
      <c r="A99" s="155"/>
      <c r="B99" s="50"/>
      <c r="C99" s="50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256">
        <f ca="1">IFERROR(__xludf.DUMMYFUNCTION("IMPORTRANGE(""https://docs.google.com/spreadsheets/d/1-uDff_7J0KD5mKrp0Vvzr7lt3OU09vwQwhkpOPPYv2Y/edit?usp=sharing"",""งบพรบ!AW42"")"),0)</f>
        <v>0</v>
      </c>
      <c r="M99" s="255">
        <f ca="1">IFERROR(__xludf.DUMMYFUNCTION("IMPORTRANGE(""https://docs.google.com/spreadsheets/d/1-uDff_7J0KD5mKrp0Vvzr7lt3OU09vwQwhkpOPPYv2Y/edit?usp=sharing"",""งบพรบ!BB42"")"),0)</f>
        <v>0</v>
      </c>
      <c r="N99" s="255">
        <f ca="1">IFERROR(__xludf.DUMMYFUNCTION("IMPORTRANGE(""https://docs.google.com/spreadsheets/d/1-uDff_7J0KD5mKrp0Vvzr7lt3OU09vwQwhkpOPPYv2Y/edit?usp=sharing"",""งบพรบ!BD42"")"),0)</f>
        <v>0</v>
      </c>
      <c r="O99" s="255">
        <f ca="1">IF(L99&gt;0,N99*100/L99,0)</f>
        <v>0</v>
      </c>
      <c r="P99" s="255">
        <f ca="1">IF(M99&gt;0,N99*100/M99,0)</f>
        <v>0</v>
      </c>
      <c r="Q99" s="255">
        <f ca="1">IFERROR(__xludf.DUMMYFUNCTION("IMPORTRANGE(""https://docs.google.com/spreadsheets/d/1ItG2mGa2ceCfYo0BwxsXqNm01IGEUdYcSSLTEv9YCik/edit?usp=sharing"",""เบิกจ่ายกองทุน!AD42"")"),0)</f>
        <v>0</v>
      </c>
      <c r="R99" s="255">
        <f ca="1">IFERROR(__xludf.DUMMYFUNCTION("IMPORTRANGE(""https://docs.google.com/spreadsheets/d/1ItG2mGa2ceCfYo0BwxsXqNm01IGEUdYcSSLTEv9YCik/edit?usp=sharing"",""เบิกจ่ายกองทุน!AE42"")"),0)</f>
        <v>0</v>
      </c>
      <c r="S99" s="255">
        <f ca="1">IFERROR(__xludf.DUMMYFUNCTION("IMPORTRANGE(""https://docs.google.com/spreadsheets/d/1ItG2mGa2ceCfYo0BwxsXqNm01IGEUdYcSSLTEv9YCik/edit?usp=sharing"",""เบิกจ่ายกองทุน!AF42"")"),0)</f>
        <v>0</v>
      </c>
      <c r="T99" s="255">
        <f ca="1">IF(Q99&gt;0,S99*100/Q99,0)</f>
        <v>0</v>
      </c>
      <c r="U99" s="255">
        <f ca="1">IF(R99&gt;0,S99*100/R99,0)</f>
        <v>0</v>
      </c>
    </row>
    <row r="100" spans="1:21" ht="18.75" hidden="1">
      <c r="A100" s="155"/>
      <c r="B100" s="50"/>
      <c r="C100" s="50"/>
      <c r="D100" s="51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256">
        <f ca="1">L101+L102</f>
        <v>0</v>
      </c>
      <c r="M100" s="255">
        <f ca="1">M101+M102</f>
        <v>0</v>
      </c>
      <c r="N100" s="255">
        <f ca="1">N101+N102</f>
        <v>0</v>
      </c>
      <c r="O100" s="255">
        <f ca="1">IF(L100&gt;0,N100*100/L100,0)</f>
        <v>0</v>
      </c>
      <c r="P100" s="255">
        <f ca="1">IF(M100&gt;0,N100*100/M100,0)</f>
        <v>0</v>
      </c>
      <c r="Q100" s="255">
        <f>Q101+Q102</f>
        <v>0</v>
      </c>
      <c r="R100" s="255">
        <f>R101+R102</f>
        <v>0</v>
      </c>
      <c r="S100" s="255">
        <f>S101+S102</f>
        <v>0</v>
      </c>
      <c r="T100" s="255">
        <f>IF(Q100&gt;0,S100*100/Q100,0)</f>
        <v>0</v>
      </c>
      <c r="U100" s="255">
        <f>IF(R100&gt;0,S100*100/R100,0)</f>
        <v>0</v>
      </c>
    </row>
    <row r="101" spans="1:21" ht="18.75" hidden="1">
      <c r="A101" s="155"/>
      <c r="B101" s="50"/>
      <c r="C101" s="50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103">
        <v>0</v>
      </c>
      <c r="M101" s="102">
        <v>0</v>
      </c>
      <c r="N101" s="102">
        <v>0</v>
      </c>
      <c r="O101" s="102">
        <f>IF(L101&gt;0,N101*100/L101,0)</f>
        <v>0</v>
      </c>
      <c r="P101" s="102">
        <f>IF(M101&gt;0,N101*100/M101,0)</f>
        <v>0</v>
      </c>
      <c r="Q101" s="102">
        <v>0</v>
      </c>
      <c r="R101" s="102">
        <v>0</v>
      </c>
      <c r="S101" s="102">
        <v>0</v>
      </c>
      <c r="T101" s="102">
        <f>IF(Q101&gt;0,S101*100/Q101,0)</f>
        <v>0</v>
      </c>
      <c r="U101" s="102">
        <f>IF(R101&gt;0,S101*100/R101,0)</f>
        <v>0</v>
      </c>
    </row>
    <row r="102" spans="1:21" ht="18.75" hidden="1">
      <c r="A102" s="155"/>
      <c r="B102" s="50"/>
      <c r="C102" s="50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256">
        <f ca="1">IFERROR(__xludf.DUMMYFUNCTION("IMPORTRANGE(""https://docs.google.com/spreadsheets/d/1-uDff_7J0KD5mKrp0Vvzr7lt3OU09vwQwhkpOPPYv2Y/edit?usp=sharing"",""งบพรบ!AZ42"")"),0)</f>
        <v>0</v>
      </c>
      <c r="M102" s="255">
        <f ca="1">IFERROR(__xludf.DUMMYFUNCTION("IMPORTRANGE(""https://docs.google.com/spreadsheets/d/1-uDff_7J0KD5mKrp0Vvzr7lt3OU09vwQwhkpOPPYv2Y/edit?usp=sharing"",""งบพรบ!BC42"")"),0)</f>
        <v>0</v>
      </c>
      <c r="N102" s="255">
        <f ca="1">IFERROR(__xludf.DUMMYFUNCTION("IMPORTRANGE(""https://docs.google.com/spreadsheets/d/1-uDff_7J0KD5mKrp0Vvzr7lt3OU09vwQwhkpOPPYv2Y/edit?usp=sharing"",""งบพรบ!BE42"")"),0)</f>
        <v>0</v>
      </c>
      <c r="O102" s="255">
        <f ca="1">IF(L102&gt;0,N102*100/L102,0)</f>
        <v>0</v>
      </c>
      <c r="P102" s="255">
        <f ca="1">IF(M102&gt;0,N102*100/M102,0)</f>
        <v>0</v>
      </c>
      <c r="Q102" s="255">
        <v>0</v>
      </c>
      <c r="R102" s="255">
        <v>0</v>
      </c>
      <c r="S102" s="255">
        <v>0</v>
      </c>
      <c r="T102" s="255">
        <f>IF(Q102&gt;0,S102*100/Q102,0)</f>
        <v>0</v>
      </c>
      <c r="U102" s="255">
        <f>IF(R102&gt;0,S102*100/R102,0)</f>
        <v>0</v>
      </c>
    </row>
    <row r="103" spans="1:21" ht="19.5" hidden="1">
      <c r="A103" s="166"/>
      <c r="B103" s="167"/>
      <c r="C103" s="156" t="s">
        <v>18</v>
      </c>
      <c r="D103" s="566" t="s">
        <v>38</v>
      </c>
      <c r="E103" s="169"/>
      <c r="F103" s="169"/>
      <c r="G103" s="170"/>
      <c r="H103" s="171"/>
      <c r="I103" s="163"/>
      <c r="J103" s="54"/>
      <c r="K103" s="55"/>
      <c r="L103" s="62"/>
      <c r="M103" s="55"/>
      <c r="N103" s="55"/>
      <c r="O103" s="164"/>
      <c r="P103" s="164"/>
      <c r="Q103" s="55"/>
      <c r="R103" s="55"/>
      <c r="S103" s="55"/>
      <c r="T103" s="164"/>
      <c r="U103" s="164"/>
    </row>
    <row r="104" spans="1:21" ht="12.75" hidden="1">
      <c r="A104" s="192"/>
      <c r="B104" s="193"/>
      <c r="C104" s="193"/>
      <c r="D104" s="22"/>
      <c r="E104" s="22"/>
      <c r="F104" s="22"/>
      <c r="G104" s="23"/>
      <c r="H104" s="23"/>
      <c r="I104" s="24"/>
      <c r="J104" s="24"/>
      <c r="K104" s="25"/>
      <c r="L104" s="26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2.75" hidden="1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6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2.75" hidden="1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9.5" hidden="1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62"/>
      <c r="M107" s="55"/>
      <c r="N107" s="55"/>
      <c r="O107" s="164"/>
      <c r="P107" s="164"/>
      <c r="Q107" s="55"/>
      <c r="R107" s="55"/>
      <c r="S107" s="55"/>
      <c r="T107" s="164"/>
      <c r="U107" s="164"/>
    </row>
    <row r="108" spans="1:21" ht="18.75" hidden="1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212">
        <f ca="1">IFERROR(__xludf.DUMMYFUNCTION("IMPORTRANGE(""https://docs.google.com/spreadsheets/d/1eHaY18a8A9IcSdp1K8H6x8fbOy06t2VsZHhMHf-1x7Y/edit?usp=sharing"",""แผน!N42"")"),0)</f>
        <v>0</v>
      </c>
      <c r="J108" s="467">
        <v>0</v>
      </c>
      <c r="K108" s="255">
        <f ca="1">IF(I108&gt;0,J108*100/I108,0)</f>
        <v>0</v>
      </c>
      <c r="L108" s="62"/>
      <c r="M108" s="55"/>
      <c r="N108" s="55"/>
      <c r="O108" s="164"/>
      <c r="P108" s="164"/>
      <c r="Q108" s="55"/>
      <c r="R108" s="55"/>
      <c r="S108" s="55"/>
      <c r="T108" s="164"/>
      <c r="U108" s="164"/>
    </row>
    <row r="109" spans="1:21" ht="18.75" hidden="1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212">
        <f ca="1">IFERROR(__xludf.DUMMYFUNCTION("IMPORTRANGE(""https://docs.google.com/spreadsheets/d/1eHaY18a8A9IcSdp1K8H6x8fbOy06t2VsZHhMHf-1x7Y/edit?usp=sharing"",""แผน!O42"")"),0)</f>
        <v>0</v>
      </c>
      <c r="J109" s="467">
        <v>0</v>
      </c>
      <c r="K109" s="255">
        <f ca="1">IF(I109&gt;0,J109*100/I109,0)</f>
        <v>0</v>
      </c>
      <c r="L109" s="62"/>
      <c r="M109" s="55"/>
      <c r="N109" s="55"/>
      <c r="O109" s="164"/>
      <c r="P109" s="164"/>
      <c r="Q109" s="55"/>
      <c r="R109" s="55"/>
      <c r="S109" s="55"/>
      <c r="T109" s="164"/>
      <c r="U109" s="164"/>
    </row>
    <row r="110" spans="1:21" ht="12.75" hidden="1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6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2.75" hidden="1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6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2.75" hidden="1">
      <c r="A112" s="192"/>
      <c r="B112" s="193"/>
      <c r="C112" s="193"/>
      <c r="D112" s="22"/>
      <c r="E112" s="22"/>
      <c r="F112" s="22"/>
      <c r="G112" s="23"/>
      <c r="H112" s="23"/>
      <c r="I112" s="24"/>
      <c r="J112" s="24"/>
      <c r="K112" s="25"/>
      <c r="L112" s="26"/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2.75" hidden="1">
      <c r="A113" s="192"/>
      <c r="B113" s="193"/>
      <c r="C113" s="193"/>
      <c r="D113" s="22"/>
      <c r="E113" s="22"/>
      <c r="F113" s="22"/>
      <c r="G113" s="23"/>
      <c r="H113" s="23"/>
      <c r="I113" s="24">
        <v>0</v>
      </c>
      <c r="J113" s="24">
        <v>0</v>
      </c>
      <c r="K113" s="25"/>
      <c r="L113" s="26"/>
      <c r="M113" s="25"/>
      <c r="N113" s="25"/>
      <c r="O113" s="25"/>
      <c r="P113" s="25"/>
      <c r="Q113" s="25"/>
      <c r="R113" s="25"/>
      <c r="S113" s="25"/>
      <c r="T113" s="25"/>
      <c r="U113" s="25"/>
    </row>
    <row r="114" spans="1:21" ht="18.75" hidden="1">
      <c r="A114" s="166"/>
      <c r="B114" s="167"/>
      <c r="C114" s="167"/>
      <c r="D114" s="178" t="s">
        <v>50</v>
      </c>
      <c r="E114" s="174"/>
      <c r="F114" s="174"/>
      <c r="G114" s="171"/>
      <c r="H114" s="179" t="s">
        <v>35</v>
      </c>
      <c r="I114" s="641">
        <f ca="1">IFERROR(__xludf.DUMMYFUNCTION("IMPORTRANGE(""https://docs.google.com/spreadsheets/d/1eHaY18a8A9IcSdp1K8H6x8fbOy06t2VsZHhMHf-1x7Y/edit?usp=sharing"",""แผน!R42"")"),0)</f>
        <v>0</v>
      </c>
      <c r="J114" s="467">
        <v>0</v>
      </c>
      <c r="K114" s="255">
        <f ca="1">IF(I114&gt;0,J114*100/I114,0)</f>
        <v>0</v>
      </c>
      <c r="L114" s="62"/>
      <c r="M114" s="55"/>
      <c r="N114" s="55"/>
      <c r="O114" s="164"/>
      <c r="P114" s="164"/>
      <c r="Q114" s="55"/>
      <c r="R114" s="55"/>
      <c r="S114" s="55"/>
      <c r="T114" s="164"/>
      <c r="U114" s="164"/>
    </row>
    <row r="115" spans="1:21" ht="19.5">
      <c r="A115" s="727" t="s">
        <v>51</v>
      </c>
      <c r="B115" s="724"/>
      <c r="C115" s="726"/>
      <c r="D115" s="725"/>
      <c r="E115" s="725"/>
      <c r="F115" s="725"/>
      <c r="G115" s="725"/>
      <c r="H115" s="724"/>
      <c r="I115" s="723"/>
      <c r="J115" s="723"/>
      <c r="K115" s="722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721">
        <f ca="1">I127</f>
        <v>20</v>
      </c>
      <c r="J116" s="721">
        <f>J127</f>
        <v>20</v>
      </c>
      <c r="K116" s="720">
        <f ca="1">IF(I116&gt;0,J116*100/I116,0)</f>
        <v>100</v>
      </c>
      <c r="L116" s="154"/>
      <c r="M116" s="40"/>
      <c r="N116" s="40"/>
      <c r="O116" s="40"/>
      <c r="P116" s="40"/>
      <c r="Q116" s="40"/>
      <c r="R116" s="40"/>
      <c r="S116" s="40"/>
      <c r="T116" s="40"/>
      <c r="U116" s="40"/>
    </row>
    <row r="117" spans="1:21" ht="19.5">
      <c r="A117" s="155"/>
      <c r="B117" s="188"/>
      <c r="C117" s="191" t="s">
        <v>18</v>
      </c>
      <c r="D117" s="575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541">
        <f ca="1">L118+L119</f>
        <v>0</v>
      </c>
      <c r="M117" s="540">
        <f ca="1">M118+M119</f>
        <v>0</v>
      </c>
      <c r="N117" s="540">
        <f ca="1">N118+N119</f>
        <v>0</v>
      </c>
      <c r="O117" s="540">
        <f ca="1">IF(L117&gt;0,N117*100/L117,0)</f>
        <v>0</v>
      </c>
      <c r="P117" s="540">
        <f ca="1">IF(M117&gt;0,N117*100/M117,0)</f>
        <v>0</v>
      </c>
      <c r="Q117" s="540">
        <f ca="1">Q118+Q119</f>
        <v>209360</v>
      </c>
      <c r="R117" s="540">
        <f ca="1">R118+R119</f>
        <v>209360</v>
      </c>
      <c r="S117" s="540">
        <f ca="1">S118+S119</f>
        <v>111619</v>
      </c>
      <c r="T117" s="540">
        <f ca="1">IF(Q117&gt;0,S117*100/Q117,0)</f>
        <v>53.314386702330914</v>
      </c>
      <c r="U117" s="540">
        <f ca="1">IF(R117&gt;0,S117*100/R117,0)</f>
        <v>53.314386702330914</v>
      </c>
    </row>
    <row r="118" spans="1:21" ht="18.75" hidden="1">
      <c r="A118" s="155"/>
      <c r="B118" s="188"/>
      <c r="C118" s="188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103">
        <f>L121+L124</f>
        <v>0</v>
      </c>
      <c r="M118" s="102">
        <f>M121+M124</f>
        <v>0</v>
      </c>
      <c r="N118" s="102">
        <f>N121+N124</f>
        <v>0</v>
      </c>
      <c r="O118" s="102">
        <f>IF(L118&gt;0,N118*100/L118,0)</f>
        <v>0</v>
      </c>
      <c r="P118" s="102">
        <f>IF(M118&gt;0,N118*100/M118,0)</f>
        <v>0</v>
      </c>
      <c r="Q118" s="102">
        <f>Q121+Q124</f>
        <v>0</v>
      </c>
      <c r="R118" s="102">
        <f>R121+R124</f>
        <v>0</v>
      </c>
      <c r="S118" s="102">
        <f>S121+S124</f>
        <v>0</v>
      </c>
      <c r="T118" s="102">
        <f>IF(Q118&gt;0,S118*100/Q118,0)</f>
        <v>0</v>
      </c>
      <c r="U118" s="102">
        <f>IF(R118&gt;0,S118*100/R118,0)</f>
        <v>0</v>
      </c>
    </row>
    <row r="119" spans="1:21" ht="18.75" hidden="1">
      <c r="A119" s="155"/>
      <c r="B119" s="188"/>
      <c r="C119" s="188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256">
        <f ca="1">L122+L125</f>
        <v>0</v>
      </c>
      <c r="M119" s="255">
        <f ca="1">M122+M125</f>
        <v>0</v>
      </c>
      <c r="N119" s="255">
        <f ca="1">N122+N125</f>
        <v>0</v>
      </c>
      <c r="O119" s="255">
        <f ca="1">IF(L119&gt;0,N119*100/L119,0)</f>
        <v>0</v>
      </c>
      <c r="P119" s="255">
        <f ca="1">IF(M119&gt;0,N119*100/M119,0)</f>
        <v>0</v>
      </c>
      <c r="Q119" s="255">
        <f ca="1">Q122+Q125</f>
        <v>209360</v>
      </c>
      <c r="R119" s="255">
        <f ca="1">R122+R125</f>
        <v>209360</v>
      </c>
      <c r="S119" s="255">
        <f ca="1">S122+S125</f>
        <v>111619</v>
      </c>
      <c r="T119" s="255">
        <f ca="1">IF(Q119&gt;0,S119*100/Q119,0)</f>
        <v>53.314386702330914</v>
      </c>
      <c r="U119" s="255">
        <f ca="1">IF(R119&gt;0,S119*100/R119,0)</f>
        <v>53.314386702330914</v>
      </c>
    </row>
    <row r="120" spans="1:21" ht="18.75">
      <c r="A120" s="155"/>
      <c r="B120" s="188"/>
      <c r="C120" s="202"/>
      <c r="D120" s="602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256">
        <f ca="1">L121+L122</f>
        <v>0</v>
      </c>
      <c r="M120" s="255">
        <f ca="1">M121+M122</f>
        <v>0</v>
      </c>
      <c r="N120" s="255">
        <f ca="1">N121+N122</f>
        <v>0</v>
      </c>
      <c r="O120" s="255">
        <f ca="1">IF(L120&gt;0,N120*100/L120,0)</f>
        <v>0</v>
      </c>
      <c r="P120" s="255">
        <f ca="1">IF(M120&gt;0,N120*100/M120,0)</f>
        <v>0</v>
      </c>
      <c r="Q120" s="255">
        <f ca="1">Q121+Q122</f>
        <v>209360</v>
      </c>
      <c r="R120" s="255">
        <f ca="1">R121+R122</f>
        <v>209360</v>
      </c>
      <c r="S120" s="255">
        <f ca="1">S121+S122</f>
        <v>111619</v>
      </c>
      <c r="T120" s="255">
        <f ca="1">IF(Q120&gt;0,S120*100/Q120,0)</f>
        <v>53.314386702330914</v>
      </c>
      <c r="U120" s="255">
        <f ca="1">IF(R120&gt;0,S120*100/R120,0)</f>
        <v>53.314386702330914</v>
      </c>
    </row>
    <row r="121" spans="1:21" ht="18.75" hidden="1">
      <c r="A121" s="155"/>
      <c r="B121" s="188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103">
        <v>0</v>
      </c>
      <c r="M121" s="102">
        <v>0</v>
      </c>
      <c r="N121" s="102">
        <v>0</v>
      </c>
      <c r="O121" s="102">
        <f>IF(L121&gt;0,N121*100/L121,0)</f>
        <v>0</v>
      </c>
      <c r="P121" s="102">
        <f>IF(M121&gt;0,N121*100/M121,0)</f>
        <v>0</v>
      </c>
      <c r="Q121" s="102">
        <v>0</v>
      </c>
      <c r="R121" s="102">
        <v>0</v>
      </c>
      <c r="S121" s="102">
        <v>0</v>
      </c>
      <c r="T121" s="102">
        <f>IF(Q121&gt;0,S121*100/Q121,0)</f>
        <v>0</v>
      </c>
      <c r="U121" s="102">
        <f>IF(R121&gt;0,S121*100/R121,0)</f>
        <v>0</v>
      </c>
    </row>
    <row r="122" spans="1:21" ht="18.75" hidden="1">
      <c r="A122" s="155"/>
      <c r="B122" s="188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256">
        <f ca="1">IFERROR(__xludf.DUMMYFUNCTION("IMPORTRANGE(""https://docs.google.com/spreadsheets/d/1-uDff_7J0KD5mKrp0Vvzr7lt3OU09vwQwhkpOPPYv2Y/edit?usp=sharing"",""งบพรบ!BG42"")"),0)</f>
        <v>0</v>
      </c>
      <c r="M122" s="255">
        <f ca="1">IFERROR(__xludf.DUMMYFUNCTION("IMPORTRANGE(""https://docs.google.com/spreadsheets/d/1-uDff_7J0KD5mKrp0Vvzr7lt3OU09vwQwhkpOPPYv2Y/edit?usp=sharing"",""งบพรบ!BL42"")"),0)</f>
        <v>0</v>
      </c>
      <c r="N122" s="255">
        <f ca="1">IFERROR(__xludf.DUMMYFUNCTION("IMPORTRANGE(""https://docs.google.com/spreadsheets/d/1-uDff_7J0KD5mKrp0Vvzr7lt3OU09vwQwhkpOPPYv2Y/edit?usp=sharing"",""งบพรบ!BN42"")"),0)</f>
        <v>0</v>
      </c>
      <c r="O122" s="255">
        <f ca="1">IF(L122&gt;0,N122*100/L122,0)</f>
        <v>0</v>
      </c>
      <c r="P122" s="255">
        <f ca="1">IF(M122&gt;0,N122*100/M122,0)</f>
        <v>0</v>
      </c>
      <c r="Q122" s="255">
        <f ca="1">IFERROR(__xludf.DUMMYFUNCTION("IMPORTRANGE(""https://docs.google.com/spreadsheets/d/1ItG2mGa2ceCfYo0BwxsXqNm01IGEUdYcSSLTEv9YCik/edit?usp=sharing"",""เบิกจ่ายกองทุน!R42"")"),209360)</f>
        <v>209360</v>
      </c>
      <c r="R122" s="255">
        <f ca="1">IFERROR(__xludf.DUMMYFUNCTION("IMPORTRANGE(""https://docs.google.com/spreadsheets/d/1ItG2mGa2ceCfYo0BwxsXqNm01IGEUdYcSSLTEv9YCik/edit?usp=sharing"",""เบิกจ่ายกองทุน!S42"")"),209360)</f>
        <v>209360</v>
      </c>
      <c r="S122" s="255">
        <f ca="1">IFERROR(__xludf.DUMMYFUNCTION("IMPORTRANGE(""https://docs.google.com/spreadsheets/d/1ItG2mGa2ceCfYo0BwxsXqNm01IGEUdYcSSLTEv9YCik/edit?usp=sharing"",""เบิกจ่ายกองทุน!T42"")"),111619)</f>
        <v>111619</v>
      </c>
      <c r="T122" s="255">
        <f ca="1">IF(Q122&gt;0,S122*100/Q122,0)</f>
        <v>53.314386702330914</v>
      </c>
      <c r="U122" s="255">
        <f ca="1">IF(R122&gt;0,S122*100/R122,0)</f>
        <v>53.314386702330914</v>
      </c>
    </row>
    <row r="123" spans="1:21" ht="18.75">
      <c r="A123" s="155"/>
      <c r="B123" s="50"/>
      <c r="C123" s="202"/>
      <c r="D123" s="602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256">
        <f ca="1">L124+L125</f>
        <v>0</v>
      </c>
      <c r="M123" s="255">
        <f ca="1">M124+M125</f>
        <v>0</v>
      </c>
      <c r="N123" s="255">
        <f ca="1">N124+N125</f>
        <v>0</v>
      </c>
      <c r="O123" s="255">
        <f ca="1">IF(L123&gt;0,N123*100/L123,0)</f>
        <v>0</v>
      </c>
      <c r="P123" s="255">
        <f ca="1">IF(M123&gt;0,N123*100/M123,0)</f>
        <v>0</v>
      </c>
      <c r="Q123" s="255">
        <f>Q124+Q125</f>
        <v>0</v>
      </c>
      <c r="R123" s="255">
        <f>R124+R125</f>
        <v>0</v>
      </c>
      <c r="S123" s="255">
        <f>S124+S125</f>
        <v>0</v>
      </c>
      <c r="T123" s="255">
        <f>IF(Q123&gt;0,S123*100/Q123,0)</f>
        <v>0</v>
      </c>
      <c r="U123" s="255">
        <f>IF(R123&gt;0,S123*100/R123,0)</f>
        <v>0</v>
      </c>
    </row>
    <row r="124" spans="1:21" ht="18.75" hidden="1">
      <c r="A124" s="155"/>
      <c r="B124" s="50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103">
        <v>0</v>
      </c>
      <c r="M124" s="102">
        <v>0</v>
      </c>
      <c r="N124" s="102">
        <v>0</v>
      </c>
      <c r="O124" s="102">
        <f>IF(L124&gt;0,N124*100/L124,0)</f>
        <v>0</v>
      </c>
      <c r="P124" s="102">
        <f>IF(M124&gt;0,N124*100/M124,0)</f>
        <v>0</v>
      </c>
      <c r="Q124" s="102">
        <v>0</v>
      </c>
      <c r="R124" s="102">
        <v>0</v>
      </c>
      <c r="S124" s="102">
        <v>0</v>
      </c>
      <c r="T124" s="102">
        <f>IF(Q124&gt;0,S124*100/Q124,0)</f>
        <v>0</v>
      </c>
      <c r="U124" s="102">
        <f>IF(R124&gt;0,S124*100/R124,0)</f>
        <v>0</v>
      </c>
    </row>
    <row r="125" spans="1:21" ht="18.75" hidden="1">
      <c r="A125" s="155"/>
      <c r="B125" s="50"/>
      <c r="C125" s="50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256">
        <f ca="1">IFERROR(__xludf.DUMMYFUNCTION("IMPORTRANGE(""https://docs.google.com/spreadsheets/d/1-uDff_7J0KD5mKrp0Vvzr7lt3OU09vwQwhkpOPPYv2Y/edit?usp=sharing"",""งบพรบ!BJ42"")"),0)</f>
        <v>0</v>
      </c>
      <c r="M125" s="255">
        <f ca="1">IFERROR(__xludf.DUMMYFUNCTION("IMPORTRANGE(""https://docs.google.com/spreadsheets/d/1-uDff_7J0KD5mKrp0Vvzr7lt3OU09vwQwhkpOPPYv2Y/edit?usp=sharing"",""งบพรบ!BM42"")"),0)</f>
        <v>0</v>
      </c>
      <c r="N125" s="255">
        <f ca="1">IFERROR(__xludf.DUMMYFUNCTION("IMPORTRANGE(""https://docs.google.com/spreadsheets/d/1-uDff_7J0KD5mKrp0Vvzr7lt3OU09vwQwhkpOPPYv2Y/edit?usp=sharing"",""งบพรบ!BO42"")"),0)</f>
        <v>0</v>
      </c>
      <c r="O125" s="255">
        <f ca="1">IF(L125&gt;0,N125*100/L125,0)</f>
        <v>0</v>
      </c>
      <c r="P125" s="255">
        <f ca="1">IF(M125&gt;0,N125*100/M125,0)</f>
        <v>0</v>
      </c>
      <c r="Q125" s="255">
        <v>0</v>
      </c>
      <c r="R125" s="255">
        <v>0</v>
      </c>
      <c r="S125" s="255">
        <v>0</v>
      </c>
      <c r="T125" s="255">
        <f>IF(Q125&gt;0,S125*100/Q125,0)</f>
        <v>0</v>
      </c>
      <c r="U125" s="255">
        <f>IF(R125&gt;0,S125*100/R125,0)</f>
        <v>0</v>
      </c>
    </row>
    <row r="126" spans="1:21" ht="19.5">
      <c r="A126" s="166"/>
      <c r="B126" s="167"/>
      <c r="C126" s="205" t="s">
        <v>18</v>
      </c>
      <c r="D126" s="566" t="s">
        <v>38</v>
      </c>
      <c r="E126" s="169"/>
      <c r="F126" s="169"/>
      <c r="G126" s="170"/>
      <c r="H126" s="206"/>
      <c r="I126" s="54"/>
      <c r="J126" s="54"/>
      <c r="K126" s="55"/>
      <c r="L126" s="62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212">
        <f ca="1">IFERROR(__xludf.DUMMYFUNCTION("IMPORTRANGE(""https://docs.google.com/spreadsheets/d/1eHaY18a8A9IcSdp1K8H6x8fbOy06t2VsZHhMHf-1x7Y/edit?usp=sharing"",""แผน!FF42"")"),20)</f>
        <v>20</v>
      </c>
      <c r="J127" s="467">
        <v>20</v>
      </c>
      <c r="K127" s="255">
        <f ca="1">IF(I127&gt;0,J127*100/I127,0)</f>
        <v>100</v>
      </c>
      <c r="L127" s="62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212">
        <f ca="1">IFERROR(__xludf.DUMMYFUNCTION("IMPORTRANGE(""https://docs.google.com/spreadsheets/d/1eHaY18a8A9IcSdp1K8H6x8fbOy06t2VsZHhMHf-1x7Y/edit?usp=sharing"",""แผน!FG42"")"),0)</f>
        <v>0</v>
      </c>
      <c r="J128" s="467">
        <v>0</v>
      </c>
      <c r="K128" s="255">
        <f ca="1">IF(I128&gt;0,J128*100/I128,0)</f>
        <v>0</v>
      </c>
      <c r="L128" s="62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212">
        <f ca="1">IFERROR(__xludf.DUMMYFUNCTION("IMPORTRANGE(""https://docs.google.com/spreadsheets/d/1eHaY18a8A9IcSdp1K8H6x8fbOy06t2VsZHhMHf-1x7Y/edit?usp=sharing"",""แผน!FH42"")"),20)</f>
        <v>20</v>
      </c>
      <c r="J129" s="467">
        <v>20</v>
      </c>
      <c r="K129" s="255">
        <f ca="1">IF(I129&gt;0,J129*100/I129,0)</f>
        <v>100</v>
      </c>
      <c r="L129" s="62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212">
        <f ca="1">IFERROR(__xludf.DUMMYFUNCTION("IMPORTRANGE(""https://docs.google.com/spreadsheets/d/1eHaY18a8A9IcSdp1K8H6x8fbOy06t2VsZHhMHf-1x7Y/edit?usp=sharing"",""แผน!FI42"")"),0)</f>
        <v>0</v>
      </c>
      <c r="J130" s="467">
        <v>0</v>
      </c>
      <c r="K130" s="255">
        <f ca="1">IF(I130&gt;0,J130*100/I130,0)</f>
        <v>0</v>
      </c>
      <c r="L130" s="62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8.75" hidden="1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62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8.75" hidden="1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62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2.75" hidden="1">
      <c r="A133" s="192"/>
      <c r="B133" s="193"/>
      <c r="C133" s="193"/>
      <c r="D133" s="22"/>
      <c r="E133" s="22"/>
      <c r="F133" s="22"/>
      <c r="G133" s="23"/>
      <c r="H133" s="209"/>
      <c r="I133" s="24"/>
      <c r="J133" s="24"/>
      <c r="K133" s="25"/>
      <c r="L133" s="26"/>
      <c r="M133" s="25"/>
      <c r="N133" s="25"/>
      <c r="O133" s="25"/>
      <c r="P133" s="25"/>
      <c r="Q133" s="25"/>
      <c r="R133" s="25"/>
      <c r="S133" s="25"/>
      <c r="T133" s="25"/>
      <c r="U133" s="25"/>
    </row>
    <row r="134" spans="1:21" ht="19.5" hidden="1">
      <c r="A134" s="143" t="s">
        <v>58</v>
      </c>
      <c r="B134" s="144"/>
      <c r="C134" s="196"/>
      <c r="D134" s="144"/>
      <c r="E134" s="144"/>
      <c r="F134" s="144"/>
      <c r="G134" s="144"/>
      <c r="H134" s="144"/>
      <c r="I134" s="197"/>
      <c r="J134" s="197"/>
      <c r="K134" s="19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</row>
    <row r="135" spans="1:21" ht="19.5" hidden="1">
      <c r="A135" s="150"/>
      <c r="B135" s="35" t="s">
        <v>59</v>
      </c>
      <c r="C135" s="200"/>
      <c r="D135" s="151"/>
      <c r="E135" s="34"/>
      <c r="F135" s="34"/>
      <c r="G135" s="34"/>
      <c r="H135" s="34"/>
      <c r="I135" s="210"/>
      <c r="J135" s="39"/>
      <c r="K135" s="40"/>
      <c r="L135" s="154"/>
      <c r="M135" s="40"/>
      <c r="N135" s="40"/>
      <c r="O135" s="40"/>
      <c r="P135" s="40"/>
      <c r="Q135" s="40"/>
      <c r="R135" s="40"/>
      <c r="S135" s="40"/>
      <c r="T135" s="40"/>
      <c r="U135" s="40"/>
    </row>
    <row r="136" spans="1:21" ht="19.5" hidden="1">
      <c r="A136" s="150"/>
      <c r="B136" s="34"/>
      <c r="C136" s="211" t="s">
        <v>60</v>
      </c>
      <c r="D136" s="151"/>
      <c r="E136" s="34"/>
      <c r="F136" s="34"/>
      <c r="G136" s="37"/>
      <c r="H136" s="152" t="s">
        <v>61</v>
      </c>
      <c r="I136" s="721">
        <f ca="1">I154</f>
        <v>0</v>
      </c>
      <c r="J136" s="721">
        <f>J154</f>
        <v>0</v>
      </c>
      <c r="K136" s="720">
        <f ca="1">IF(I136&gt;0,J136*100/I136,0)</f>
        <v>0</v>
      </c>
      <c r="L136" s="154"/>
      <c r="M136" s="40"/>
      <c r="N136" s="40"/>
      <c r="O136" s="40"/>
      <c r="P136" s="40"/>
      <c r="Q136" s="40"/>
      <c r="R136" s="40"/>
      <c r="S136" s="40"/>
      <c r="T136" s="40"/>
      <c r="U136" s="40"/>
    </row>
    <row r="137" spans="1:21" ht="19.5" hidden="1">
      <c r="A137" s="150"/>
      <c r="B137" s="34"/>
      <c r="C137" s="211" t="s">
        <v>62</v>
      </c>
      <c r="D137" s="151"/>
      <c r="E137" s="34"/>
      <c r="F137" s="34"/>
      <c r="G137" s="37"/>
      <c r="H137" s="152" t="s">
        <v>35</v>
      </c>
      <c r="I137" s="721">
        <f ca="1">I152</f>
        <v>0</v>
      </c>
      <c r="J137" s="721">
        <f>J152</f>
        <v>0</v>
      </c>
      <c r="K137" s="720">
        <f ca="1">IF(I137&gt;0,J137*100/I137,0)</f>
        <v>0</v>
      </c>
      <c r="L137" s="154"/>
      <c r="M137" s="40"/>
      <c r="N137" s="40"/>
      <c r="O137" s="40"/>
      <c r="P137" s="40"/>
      <c r="Q137" s="40"/>
      <c r="R137" s="40"/>
      <c r="S137" s="40"/>
      <c r="T137" s="40"/>
      <c r="U137" s="40"/>
    </row>
    <row r="138" spans="1:21" ht="19.5" hidden="1">
      <c r="A138" s="150"/>
      <c r="B138" s="34"/>
      <c r="C138" s="200"/>
      <c r="D138" s="151"/>
      <c r="E138" s="34"/>
      <c r="F138" s="34"/>
      <c r="G138" s="37"/>
      <c r="H138" s="152" t="s">
        <v>54</v>
      </c>
      <c r="I138" s="721">
        <f ca="1">I153</f>
        <v>0</v>
      </c>
      <c r="J138" s="721">
        <f>J153</f>
        <v>0</v>
      </c>
      <c r="K138" s="720">
        <f ca="1">IF(I138&gt;0,J138*100/I138,0)</f>
        <v>0</v>
      </c>
      <c r="L138" s="154"/>
      <c r="M138" s="40"/>
      <c r="N138" s="40"/>
      <c r="O138" s="40"/>
      <c r="P138" s="40"/>
      <c r="Q138" s="40"/>
      <c r="R138" s="40"/>
      <c r="S138" s="40"/>
      <c r="T138" s="40"/>
      <c r="U138" s="40"/>
    </row>
    <row r="139" spans="1:21" ht="19.5" hidden="1">
      <c r="A139" s="155"/>
      <c r="B139" s="50"/>
      <c r="C139" s="156" t="s">
        <v>18</v>
      </c>
      <c r="D139" s="575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541">
        <f ca="1">L140+L141</f>
        <v>0</v>
      </c>
      <c r="M139" s="540">
        <f ca="1">M140+M141</f>
        <v>0</v>
      </c>
      <c r="N139" s="540">
        <f ca="1">N140+N141</f>
        <v>0</v>
      </c>
      <c r="O139" s="540">
        <f ca="1">IF(L139&gt;0,N139*100/L139,0)</f>
        <v>0</v>
      </c>
      <c r="P139" s="540">
        <f ca="1">IF(M139&gt;0,N139*100/M139,0)</f>
        <v>0</v>
      </c>
      <c r="Q139" s="540">
        <f ca="1">Q140+Q141</f>
        <v>0</v>
      </c>
      <c r="R139" s="540">
        <f ca="1">R140+R141</f>
        <v>0</v>
      </c>
      <c r="S139" s="540">
        <f ca="1">S140+S141</f>
        <v>0</v>
      </c>
      <c r="T139" s="540">
        <f ca="1">IF(Q139&gt;0,S139*100/Q139,0)</f>
        <v>0</v>
      </c>
      <c r="U139" s="540">
        <f ca="1">IF(R139&gt;0,S139*100/R139,0)</f>
        <v>0</v>
      </c>
    </row>
    <row r="140" spans="1:21" ht="18.75" hidden="1">
      <c r="A140" s="155"/>
      <c r="B140" s="50"/>
      <c r="C140" s="50"/>
      <c r="D140" s="50"/>
      <c r="E140" s="186" t="s">
        <v>20</v>
      </c>
      <c r="F140" s="50"/>
      <c r="G140" s="52"/>
      <c r="H140" s="187" t="s">
        <v>14</v>
      </c>
      <c r="I140" s="54"/>
      <c r="J140" s="54"/>
      <c r="K140" s="55"/>
      <c r="L140" s="103">
        <f>L143+L146</f>
        <v>0</v>
      </c>
      <c r="M140" s="102">
        <f>M143+M146</f>
        <v>0</v>
      </c>
      <c r="N140" s="102">
        <f>N143+N146</f>
        <v>0</v>
      </c>
      <c r="O140" s="102">
        <f>IF(L140&gt;0,N140*100/L140,0)</f>
        <v>0</v>
      </c>
      <c r="P140" s="102">
        <f>IF(M140&gt;0,N140*100/M140,0)</f>
        <v>0</v>
      </c>
      <c r="Q140" s="102">
        <f>Q143+Q146</f>
        <v>0</v>
      </c>
      <c r="R140" s="102">
        <f>R143+R146</f>
        <v>0</v>
      </c>
      <c r="S140" s="102">
        <f>S143+S146</f>
        <v>0</v>
      </c>
      <c r="T140" s="102">
        <f>IF(Q140&gt;0,S140*100/Q140,0)</f>
        <v>0</v>
      </c>
      <c r="U140" s="102">
        <f>IF(R140&gt;0,S140*100/R140,0)</f>
        <v>0</v>
      </c>
    </row>
    <row r="141" spans="1:21" ht="18.75" hidden="1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256">
        <f ca="1">L144+L147</f>
        <v>0</v>
      </c>
      <c r="M141" s="255">
        <f ca="1">M144+M147</f>
        <v>0</v>
      </c>
      <c r="N141" s="255">
        <f ca="1">N144+N147</f>
        <v>0</v>
      </c>
      <c r="O141" s="255">
        <f ca="1">IF(L141&gt;0,N141*100/L141,0)</f>
        <v>0</v>
      </c>
      <c r="P141" s="255">
        <f ca="1">IF(M141&gt;0,N141*100/M141,0)</f>
        <v>0</v>
      </c>
      <c r="Q141" s="255">
        <f ca="1">Q144+Q147</f>
        <v>0</v>
      </c>
      <c r="R141" s="255">
        <f ca="1">R144+R147</f>
        <v>0</v>
      </c>
      <c r="S141" s="255">
        <f ca="1">S144+S147</f>
        <v>0</v>
      </c>
      <c r="T141" s="255">
        <f ca="1">IF(Q141&gt;0,S141*100/Q141,0)</f>
        <v>0</v>
      </c>
      <c r="U141" s="255">
        <f ca="1">IF(R141&gt;0,S141*100/R141,0)</f>
        <v>0</v>
      </c>
    </row>
    <row r="142" spans="1:21" ht="18.75" hidden="1">
      <c r="A142" s="155"/>
      <c r="B142" s="50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256">
        <f ca="1">L143+L144</f>
        <v>0</v>
      </c>
      <c r="M142" s="255">
        <f ca="1">M143+M144</f>
        <v>0</v>
      </c>
      <c r="N142" s="255">
        <f ca="1">N143+N144</f>
        <v>0</v>
      </c>
      <c r="O142" s="255">
        <f ca="1">IF(L142&gt;0,N142*100/L142,0)</f>
        <v>0</v>
      </c>
      <c r="P142" s="255">
        <f ca="1">IF(M142&gt;0,N142*100/M142,0)</f>
        <v>0</v>
      </c>
      <c r="Q142" s="255">
        <f ca="1">Q143+Q144</f>
        <v>0</v>
      </c>
      <c r="R142" s="255">
        <f ca="1">R143+R144</f>
        <v>0</v>
      </c>
      <c r="S142" s="255">
        <f ca="1">S143+S144</f>
        <v>0</v>
      </c>
      <c r="T142" s="255">
        <f ca="1">IF(Q142&gt;0,S142*100/Q142,0)</f>
        <v>0</v>
      </c>
      <c r="U142" s="255">
        <f ca="1">IF(R142&gt;0,S142*100/R142,0)</f>
        <v>0</v>
      </c>
    </row>
    <row r="143" spans="1:21" ht="18.75" hidden="1">
      <c r="A143" s="155"/>
      <c r="B143" s="50"/>
      <c r="C143" s="50"/>
      <c r="D143" s="50"/>
      <c r="E143" s="186" t="s">
        <v>36</v>
      </c>
      <c r="F143" s="50"/>
      <c r="G143" s="52"/>
      <c r="H143" s="189" t="s">
        <v>14</v>
      </c>
      <c r="I143" s="163"/>
      <c r="J143" s="163"/>
      <c r="K143" s="164"/>
      <c r="L143" s="103">
        <v>0</v>
      </c>
      <c r="M143" s="102">
        <v>0</v>
      </c>
      <c r="N143" s="102">
        <v>0</v>
      </c>
      <c r="O143" s="102">
        <f>IF(L143&gt;0,N143*100/L143,0)</f>
        <v>0</v>
      </c>
      <c r="P143" s="102">
        <f>IF(M143&gt;0,N143*100/M143,0)</f>
        <v>0</v>
      </c>
      <c r="Q143" s="102">
        <v>0</v>
      </c>
      <c r="R143" s="102">
        <v>0</v>
      </c>
      <c r="S143" s="102">
        <v>0</v>
      </c>
      <c r="T143" s="102">
        <f>IF(Q143&gt;0,S143*100/Q143,0)</f>
        <v>0</v>
      </c>
      <c r="U143" s="102">
        <f>IF(R143&gt;0,S143*100/R143,0)</f>
        <v>0</v>
      </c>
    </row>
    <row r="144" spans="1:21" ht="18.75" hidden="1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256">
        <f ca="1">IFERROR(__xludf.DUMMYFUNCTION("IMPORTRANGE(""https://docs.google.com/spreadsheets/d/1-uDff_7J0KD5mKrp0Vvzr7lt3OU09vwQwhkpOPPYv2Y/edit?usp=sharing"",""งบพรบ!BQ42"")"),0)</f>
        <v>0</v>
      </c>
      <c r="M144" s="255">
        <f ca="1">IFERROR(__xludf.DUMMYFUNCTION("IMPORTRANGE(""https://docs.google.com/spreadsheets/d/1-uDff_7J0KD5mKrp0Vvzr7lt3OU09vwQwhkpOPPYv2Y/edit?usp=sharing"",""งบพรบ!BV42"")"),0)</f>
        <v>0</v>
      </c>
      <c r="N144" s="255">
        <f ca="1">IFERROR(__xludf.DUMMYFUNCTION("IMPORTRANGE(""https://docs.google.com/spreadsheets/d/1-uDff_7J0KD5mKrp0Vvzr7lt3OU09vwQwhkpOPPYv2Y/edit?usp=sharing"",""งบพรบ!BX42"")"),0)</f>
        <v>0</v>
      </c>
      <c r="O144" s="255">
        <f ca="1">IF(L144&gt;0,N144*100/L144,0)</f>
        <v>0</v>
      </c>
      <c r="P144" s="255">
        <f ca="1">IF(M144&gt;0,N144*100/M144,0)</f>
        <v>0</v>
      </c>
      <c r="Q144" s="255">
        <f ca="1">IFERROR(__xludf.DUMMYFUNCTION("IMPORTRANGE(""https://docs.google.com/spreadsheets/d/1ItG2mGa2ceCfYo0BwxsXqNm01IGEUdYcSSLTEv9YCik/edit?usp=sharing"",""เบิกจ่ายกองทุน!BB42"")"),0)</f>
        <v>0</v>
      </c>
      <c r="R144" s="255">
        <f ca="1">IFERROR(__xludf.DUMMYFUNCTION("IMPORTRANGE(""https://docs.google.com/spreadsheets/d/1ItG2mGa2ceCfYo0BwxsXqNm01IGEUdYcSSLTEv9YCik/edit?usp=sharing"",""เบิกจ่ายกองทุน!BC42"")"),0)</f>
        <v>0</v>
      </c>
      <c r="S144" s="255">
        <f ca="1">IFERROR(__xludf.DUMMYFUNCTION("IMPORTRANGE(""https://docs.google.com/spreadsheets/d/1ItG2mGa2ceCfYo0BwxsXqNm01IGEUdYcSSLTEv9YCik/edit?usp=sharing"",""เบิกจ่ายกองทุน!BD42"")"),0)</f>
        <v>0</v>
      </c>
      <c r="T144" s="255">
        <f ca="1">IF(Q144&gt;0,S144*100/Q144,0)</f>
        <v>0</v>
      </c>
      <c r="U144" s="255">
        <f ca="1">IF(R144&gt;0,S144*100/R144,0)</f>
        <v>0</v>
      </c>
    </row>
    <row r="145" spans="1:21" ht="18.75" hidden="1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256">
        <f ca="1">L146+L147</f>
        <v>0</v>
      </c>
      <c r="M145" s="255">
        <f ca="1">M146+M147</f>
        <v>0</v>
      </c>
      <c r="N145" s="255">
        <f ca="1">N146+N147</f>
        <v>0</v>
      </c>
      <c r="O145" s="255">
        <f ca="1">IF(L145&gt;0,N145*100/L145,0)</f>
        <v>0</v>
      </c>
      <c r="P145" s="255">
        <f ca="1">IF(M145&gt;0,N145*100/M145,0)</f>
        <v>0</v>
      </c>
      <c r="Q145" s="255">
        <f>Q146+Q147</f>
        <v>0</v>
      </c>
      <c r="R145" s="255">
        <f>R146+R147</f>
        <v>0</v>
      </c>
      <c r="S145" s="255">
        <f>S146+S147</f>
        <v>0</v>
      </c>
      <c r="T145" s="255">
        <f>IF(Q145&gt;0,S145*100/Q145,0)</f>
        <v>0</v>
      </c>
      <c r="U145" s="255">
        <f>IF(R145&gt;0,S145*100/R145,0)</f>
        <v>0</v>
      </c>
    </row>
    <row r="146" spans="1:21" ht="18.75" hidden="1">
      <c r="A146" s="155"/>
      <c r="B146" s="50"/>
      <c r="C146" s="50"/>
      <c r="D146" s="50"/>
      <c r="E146" s="186" t="s">
        <v>20</v>
      </c>
      <c r="F146" s="50"/>
      <c r="G146" s="52"/>
      <c r="H146" s="189" t="s">
        <v>14</v>
      </c>
      <c r="I146" s="163"/>
      <c r="J146" s="163"/>
      <c r="K146" s="164"/>
      <c r="L146" s="103">
        <v>0</v>
      </c>
      <c r="M146" s="102">
        <v>0</v>
      </c>
      <c r="N146" s="102">
        <v>0</v>
      </c>
      <c r="O146" s="102">
        <f>IF(L146&gt;0,N146*100/L146,0)</f>
        <v>0</v>
      </c>
      <c r="P146" s="102">
        <f>IF(M146&gt;0,N146*100/M146,0)</f>
        <v>0</v>
      </c>
      <c r="Q146" s="102">
        <v>0</v>
      </c>
      <c r="R146" s="102">
        <v>0</v>
      </c>
      <c r="S146" s="102">
        <v>0</v>
      </c>
      <c r="T146" s="102">
        <f>IF(Q146&gt;0,S146*100/Q146,0)</f>
        <v>0</v>
      </c>
      <c r="U146" s="102">
        <f>IF(R146&gt;0,S146*100/R146,0)</f>
        <v>0</v>
      </c>
    </row>
    <row r="147" spans="1:21" ht="18.75" hidden="1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256">
        <f ca="1">IFERROR(__xludf.DUMMYFUNCTION("IMPORTRANGE(""https://docs.google.com/spreadsheets/d/1-uDff_7J0KD5mKrp0Vvzr7lt3OU09vwQwhkpOPPYv2Y/edit?usp=sharing"",""งบพรบ!BT42"")"),0)</f>
        <v>0</v>
      </c>
      <c r="M147" s="255">
        <f ca="1">IFERROR(__xludf.DUMMYFUNCTION("IMPORTRANGE(""https://docs.google.com/spreadsheets/d/1-uDff_7J0KD5mKrp0Vvzr7lt3OU09vwQwhkpOPPYv2Y/edit?usp=sharing"",""งบพรบ!BW42"")"),0)</f>
        <v>0</v>
      </c>
      <c r="N147" s="255">
        <f ca="1">IFERROR(__xludf.DUMMYFUNCTION("IMPORTRANGE(""https://docs.google.com/spreadsheets/d/1-uDff_7J0KD5mKrp0Vvzr7lt3OU09vwQwhkpOPPYv2Y/edit?usp=sharing"",""งบพรบ!BY42"")"),0)</f>
        <v>0</v>
      </c>
      <c r="O147" s="255">
        <f ca="1">IF(L147&gt;0,N147*100/L147,0)</f>
        <v>0</v>
      </c>
      <c r="P147" s="255">
        <f ca="1">IF(M147&gt;0,N147*100/M147,0)</f>
        <v>0</v>
      </c>
      <c r="Q147" s="255">
        <v>0</v>
      </c>
      <c r="R147" s="255">
        <v>0</v>
      </c>
      <c r="S147" s="255">
        <v>0</v>
      </c>
      <c r="T147" s="255">
        <f>IF(Q147&gt;0,S147*100/Q147,0)</f>
        <v>0</v>
      </c>
      <c r="U147" s="255">
        <f>IF(R147&gt;0,S147*100/R147,0)</f>
        <v>0</v>
      </c>
    </row>
    <row r="148" spans="1:21" ht="19.5" hidden="1">
      <c r="A148" s="166"/>
      <c r="B148" s="167"/>
      <c r="C148" s="156" t="s">
        <v>18</v>
      </c>
      <c r="D148" s="566" t="s">
        <v>38</v>
      </c>
      <c r="E148" s="169"/>
      <c r="F148" s="169"/>
      <c r="G148" s="170"/>
      <c r="H148" s="206"/>
      <c r="I148" s="54"/>
      <c r="J148" s="54"/>
      <c r="K148" s="55"/>
      <c r="L148" s="62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8.75" hidden="1">
      <c r="A149" s="155"/>
      <c r="B149" s="50"/>
      <c r="C149" s="50"/>
      <c r="D149" s="58" t="s">
        <v>63</v>
      </c>
      <c r="E149" s="50"/>
      <c r="F149" s="50"/>
      <c r="G149" s="52"/>
      <c r="H149" s="206"/>
      <c r="I149" s="54"/>
      <c r="J149" s="467">
        <v>0</v>
      </c>
      <c r="K149" s="55"/>
      <c r="L149" s="62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9.5" hidden="1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212">
        <f ca="1">IFERROR(__xludf.DUMMYFUNCTION("IMPORTRANGE(""https://docs.google.com/spreadsheets/d/1eHaY18a8A9IcSdp1K8H6x8fbOy06t2VsZHhMHf-1x7Y/edit?usp=sharing"",""แผน!U42"")"),0)</f>
        <v>0</v>
      </c>
      <c r="J150" s="467">
        <v>0</v>
      </c>
      <c r="K150" s="255">
        <f ca="1">IF(I150&gt;0,J150*100/I150,0)</f>
        <v>0</v>
      </c>
      <c r="L150" s="62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8.75" hidden="1">
      <c r="A151" s="155"/>
      <c r="B151" s="50"/>
      <c r="C151" s="50"/>
      <c r="D151" s="174"/>
      <c r="E151" s="50"/>
      <c r="F151" s="50"/>
      <c r="G151" s="52"/>
      <c r="H151" s="165" t="s">
        <v>54</v>
      </c>
      <c r="I151" s="212">
        <f ca="1">IFERROR(__xludf.DUMMYFUNCTION("IMPORTRANGE(""https://docs.google.com/spreadsheets/d/1eHaY18a8A9IcSdp1K8H6x8fbOy06t2VsZHhMHf-1x7Y/edit?usp=sharing"",""แผน!V42"")"),0)</f>
        <v>0</v>
      </c>
      <c r="J151" s="467">
        <v>0</v>
      </c>
      <c r="K151" s="255">
        <f ca="1">IF(I151&gt;0,J151*100/I151,0)</f>
        <v>0</v>
      </c>
      <c r="L151" s="62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9.5" hidden="1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212">
        <f ca="1">IFERROR(__xludf.DUMMYFUNCTION("IMPORTRANGE(""https://docs.google.com/spreadsheets/d/1eHaY18a8A9IcSdp1K8H6x8fbOy06t2VsZHhMHf-1x7Y/edit?usp=sharing"",""แผน!W42"")"),0)</f>
        <v>0</v>
      </c>
      <c r="J152" s="467">
        <v>0</v>
      </c>
      <c r="K152" s="255">
        <f ca="1">IF(I152&gt;0,J152*100/I152,0)</f>
        <v>0</v>
      </c>
      <c r="L152" s="62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8.75" hidden="1">
      <c r="A153" s="155"/>
      <c r="B153" s="50"/>
      <c r="C153" s="50"/>
      <c r="D153" s="50"/>
      <c r="E153" s="50"/>
      <c r="F153" s="50"/>
      <c r="G153" s="52"/>
      <c r="H153" s="165" t="s">
        <v>54</v>
      </c>
      <c r="I153" s="212">
        <f ca="1">IFERROR(__xludf.DUMMYFUNCTION("IMPORTRANGE(""https://docs.google.com/spreadsheets/d/1eHaY18a8A9IcSdp1K8H6x8fbOy06t2VsZHhMHf-1x7Y/edit?usp=sharing"",""แผน!X42"")"),0)</f>
        <v>0</v>
      </c>
      <c r="J153" s="467">
        <v>0</v>
      </c>
      <c r="K153" s="255">
        <f ca="1">IF(I153&gt;0,J153*100/I153,0)</f>
        <v>0</v>
      </c>
      <c r="L153" s="62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8.75" hidden="1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212">
        <f ca="1">IFERROR(__xludf.DUMMYFUNCTION("IMPORTRANGE(""https://docs.google.com/spreadsheets/d/1eHaY18a8A9IcSdp1K8H6x8fbOy06t2VsZHhMHf-1x7Y/edit?usp=sharing"",""แผน!Y42"")"),0)</f>
        <v>0</v>
      </c>
      <c r="J154" s="467">
        <v>0</v>
      </c>
      <c r="K154" s="255">
        <f ca="1">IF(I154&gt;0,J154*100/I154,0)</f>
        <v>0</v>
      </c>
      <c r="L154" s="62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9.5">
      <c r="A155" s="143" t="s">
        <v>67</v>
      </c>
      <c r="B155" s="144"/>
      <c r="C155" s="196"/>
      <c r="D155" s="144"/>
      <c r="E155" s="144"/>
      <c r="F155" s="144"/>
      <c r="G155" s="144"/>
      <c r="H155" s="144"/>
      <c r="I155" s="197"/>
      <c r="J155" s="197"/>
      <c r="K155" s="19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</row>
    <row r="156" spans="1:21" ht="19.5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721">
        <f ca="1">I167</f>
        <v>15</v>
      </c>
      <c r="J156" s="721">
        <f>J167</f>
        <v>15</v>
      </c>
      <c r="K156" s="720">
        <f ca="1">IF(I156&gt;0,J156*100/I156,0)</f>
        <v>100</v>
      </c>
      <c r="L156" s="154"/>
      <c r="M156" s="40"/>
      <c r="N156" s="40"/>
      <c r="O156" s="40"/>
      <c r="P156" s="40"/>
      <c r="Q156" s="40"/>
      <c r="R156" s="40"/>
      <c r="S156" s="40"/>
      <c r="T156" s="40"/>
      <c r="U156" s="40"/>
    </row>
    <row r="157" spans="1:21" ht="19.5">
      <c r="A157" s="155"/>
      <c r="B157" s="50"/>
      <c r="C157" s="156" t="s">
        <v>18</v>
      </c>
      <c r="D157" s="575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541">
        <f ca="1">L158+L159</f>
        <v>4500</v>
      </c>
      <c r="M157" s="540">
        <f ca="1">M158+M159</f>
        <v>6890</v>
      </c>
      <c r="N157" s="540">
        <f ca="1">N158+N159</f>
        <v>6660</v>
      </c>
      <c r="O157" s="540">
        <f ca="1">IF(L157&gt;0,N157*100/L157,0)</f>
        <v>148</v>
      </c>
      <c r="P157" s="540">
        <f ca="1">IF(M157&gt;0,N157*100/M157,0)</f>
        <v>96.661828737300439</v>
      </c>
      <c r="Q157" s="540">
        <f ca="1">Q158+Q159</f>
        <v>0</v>
      </c>
      <c r="R157" s="540">
        <f ca="1">R158+R159</f>
        <v>0</v>
      </c>
      <c r="S157" s="540">
        <f ca="1">S158+S159</f>
        <v>0</v>
      </c>
      <c r="T157" s="540">
        <f ca="1">IF(Q157&gt;0,S157*100/Q157,0)</f>
        <v>0</v>
      </c>
      <c r="U157" s="540">
        <f ca="1">IF(R157&gt;0,S157*100/R157,0)</f>
        <v>0</v>
      </c>
    </row>
    <row r="158" spans="1:21" ht="18.75" hidden="1">
      <c r="A158" s="155"/>
      <c r="B158" s="50"/>
      <c r="C158" s="50"/>
      <c r="D158" s="50"/>
      <c r="E158" s="186" t="s">
        <v>20</v>
      </c>
      <c r="F158" s="50"/>
      <c r="G158" s="52"/>
      <c r="H158" s="187" t="s">
        <v>14</v>
      </c>
      <c r="I158" s="54"/>
      <c r="J158" s="54"/>
      <c r="K158" s="55"/>
      <c r="L158" s="103">
        <f>L161+L164</f>
        <v>0</v>
      </c>
      <c r="M158" s="102">
        <f>M161+M164</f>
        <v>0</v>
      </c>
      <c r="N158" s="102">
        <f>N161+N164</f>
        <v>0</v>
      </c>
      <c r="O158" s="102">
        <f>IF(L158&gt;0,N158*100/L158,0)</f>
        <v>0</v>
      </c>
      <c r="P158" s="102">
        <f>IF(M158&gt;0,N158*100/M158,0)</f>
        <v>0</v>
      </c>
      <c r="Q158" s="102">
        <f>Q161+Q164</f>
        <v>0</v>
      </c>
      <c r="R158" s="102">
        <f>R161+R164</f>
        <v>0</v>
      </c>
      <c r="S158" s="102">
        <f>S161+S164</f>
        <v>0</v>
      </c>
      <c r="T158" s="102">
        <f>IF(Q158&gt;0,S158*100/Q158,0)</f>
        <v>0</v>
      </c>
      <c r="U158" s="102">
        <f>IF(R158&gt;0,S158*100/R158,0)</f>
        <v>0</v>
      </c>
    </row>
    <row r="159" spans="1:21" ht="18.75" hidden="1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256">
        <f ca="1">L162+L165</f>
        <v>4500</v>
      </c>
      <c r="M159" s="255">
        <f ca="1">M162+M165</f>
        <v>6890</v>
      </c>
      <c r="N159" s="255">
        <f ca="1">N162+N165</f>
        <v>6660</v>
      </c>
      <c r="O159" s="255">
        <f ca="1">IF(L159&gt;0,N159*100/L159,0)</f>
        <v>148</v>
      </c>
      <c r="P159" s="255">
        <f ca="1">IF(M159&gt;0,N159*100/M159,0)</f>
        <v>96.661828737300439</v>
      </c>
      <c r="Q159" s="255">
        <f ca="1">Q162+Q165</f>
        <v>0</v>
      </c>
      <c r="R159" s="255">
        <f ca="1">R162+R165</f>
        <v>0</v>
      </c>
      <c r="S159" s="255">
        <f ca="1">S162+S165</f>
        <v>0</v>
      </c>
      <c r="T159" s="255">
        <f ca="1">IF(Q159&gt;0,S159*100/Q159,0)</f>
        <v>0</v>
      </c>
      <c r="U159" s="255">
        <f ca="1">IF(R159&gt;0,S159*100/R159,0)</f>
        <v>0</v>
      </c>
    </row>
    <row r="160" spans="1:21" ht="18.75">
      <c r="A160" s="155"/>
      <c r="B160" s="50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256">
        <f ca="1">L161+L162</f>
        <v>4500</v>
      </c>
      <c r="M160" s="255">
        <f ca="1">M161+M162</f>
        <v>6890</v>
      </c>
      <c r="N160" s="255">
        <f ca="1">N161+N162</f>
        <v>6660</v>
      </c>
      <c r="O160" s="255">
        <f ca="1">IF(L160&gt;0,N160*100/L160,0)</f>
        <v>148</v>
      </c>
      <c r="P160" s="255">
        <f ca="1">IF(M160&gt;0,N160*100/M160,0)</f>
        <v>96.661828737300439</v>
      </c>
      <c r="Q160" s="255">
        <f ca="1">Q161+Q162</f>
        <v>0</v>
      </c>
      <c r="R160" s="255">
        <f ca="1">R161+R162</f>
        <v>0</v>
      </c>
      <c r="S160" s="255">
        <f ca="1">S161+S162</f>
        <v>0</v>
      </c>
      <c r="T160" s="255">
        <f ca="1">IF(Q160&gt;0,S160*100/Q160,0)</f>
        <v>0</v>
      </c>
      <c r="U160" s="255">
        <f ca="1">IF(R160&gt;0,S160*100/R160,0)</f>
        <v>0</v>
      </c>
    </row>
    <row r="161" spans="1:21" ht="18.75" hidden="1">
      <c r="A161" s="155"/>
      <c r="B161" s="50"/>
      <c r="C161" s="50"/>
      <c r="D161" s="50"/>
      <c r="E161" s="186" t="s">
        <v>36</v>
      </c>
      <c r="F161" s="50"/>
      <c r="G161" s="52"/>
      <c r="H161" s="189" t="s">
        <v>14</v>
      </c>
      <c r="I161" s="163"/>
      <c r="J161" s="163"/>
      <c r="K161" s="164"/>
      <c r="L161" s="103">
        <v>0</v>
      </c>
      <c r="M161" s="102">
        <v>0</v>
      </c>
      <c r="N161" s="102">
        <v>0</v>
      </c>
      <c r="O161" s="102">
        <f>IF(L161&gt;0,N161*100/L161,0)</f>
        <v>0</v>
      </c>
      <c r="P161" s="102">
        <f>IF(M161&gt;0,N161*100/M161,0)</f>
        <v>0</v>
      </c>
      <c r="Q161" s="102">
        <v>0</v>
      </c>
      <c r="R161" s="102">
        <v>0</v>
      </c>
      <c r="S161" s="102">
        <v>0</v>
      </c>
      <c r="T161" s="102">
        <f>IF(Q161&gt;0,S161*100/Q161,0)</f>
        <v>0</v>
      </c>
      <c r="U161" s="102">
        <f>IF(R161&gt;0,S161*100/R161,0)</f>
        <v>0</v>
      </c>
    </row>
    <row r="162" spans="1:21" ht="18.75" hidden="1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256">
        <f ca="1">IFERROR(__xludf.DUMMYFUNCTION("IMPORTRANGE(""https://docs.google.com/spreadsheets/d/1-uDff_7J0KD5mKrp0Vvzr7lt3OU09vwQwhkpOPPYv2Y/edit?usp=sharing"",""งบพรบ!CA42"")"),4500)</f>
        <v>4500</v>
      </c>
      <c r="M162" s="255">
        <f ca="1">IFERROR(__xludf.DUMMYFUNCTION("IMPORTRANGE(""https://docs.google.com/spreadsheets/d/1-uDff_7J0KD5mKrp0Vvzr7lt3OU09vwQwhkpOPPYv2Y/edit?usp=sharing"",""งบพรบ!CF42"")"),6890)</f>
        <v>6890</v>
      </c>
      <c r="N162" s="255">
        <f ca="1">IFERROR(__xludf.DUMMYFUNCTION("IMPORTRANGE(""https://docs.google.com/spreadsheets/d/1-uDff_7J0KD5mKrp0Vvzr7lt3OU09vwQwhkpOPPYv2Y/edit?usp=sharing"",""งบพรบ!CH42"")"),6660)</f>
        <v>6660</v>
      </c>
      <c r="O162" s="255">
        <f ca="1">IF(L162&gt;0,N162*100/L162,0)</f>
        <v>148</v>
      </c>
      <c r="P162" s="255">
        <f ca="1">IF(M162&gt;0,N162*100/M162,0)</f>
        <v>96.661828737300439</v>
      </c>
      <c r="Q162" s="255">
        <f ca="1">IFERROR(__xludf.DUMMYFUNCTION("IMPORTRANGE(""https://docs.google.com/spreadsheets/d/1ItG2mGa2ceCfYo0BwxsXqNm01IGEUdYcSSLTEv9YCik/edit?usp=sharing"",""เบิกจ่ายกองทุน!AG42"")"),0)</f>
        <v>0</v>
      </c>
      <c r="R162" s="255">
        <f ca="1">IFERROR(__xludf.DUMMYFUNCTION("IMPORTRANGE(""https://docs.google.com/spreadsheets/d/1ItG2mGa2ceCfYo0BwxsXqNm01IGEUdYcSSLTEv9YCik/edit?usp=sharing"",""เบิกจ่ายกองทุน!AH42"")"),0)</f>
        <v>0</v>
      </c>
      <c r="S162" s="255">
        <f ca="1">IFERROR(__xludf.DUMMYFUNCTION("IMPORTRANGE(""https://docs.google.com/spreadsheets/d/1ItG2mGa2ceCfYo0BwxsXqNm01IGEUdYcSSLTEv9YCik/edit?usp=sharing"",""เบิกจ่ายกองทุน!AI42"")"),0)</f>
        <v>0</v>
      </c>
      <c r="T162" s="255">
        <f ca="1">IF(Q162&gt;0,S162*100/Q162,0)</f>
        <v>0</v>
      </c>
      <c r="U162" s="255">
        <f ca="1">IF(R162&gt;0,S162*100/R162,0)</f>
        <v>0</v>
      </c>
    </row>
    <row r="163" spans="1:21" ht="18.75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256">
        <f ca="1">L164+L165</f>
        <v>0</v>
      </c>
      <c r="M163" s="255">
        <f ca="1">M164+M165</f>
        <v>0</v>
      </c>
      <c r="N163" s="255">
        <f ca="1">N164+N165</f>
        <v>0</v>
      </c>
      <c r="O163" s="255">
        <f ca="1">IF(L163&gt;0,N163*100/L163,0)</f>
        <v>0</v>
      </c>
      <c r="P163" s="255">
        <f ca="1">IF(M163&gt;0,N163*100/M163,0)</f>
        <v>0</v>
      </c>
      <c r="Q163" s="255">
        <f>Q164+Q165</f>
        <v>0</v>
      </c>
      <c r="R163" s="255">
        <f>R164+R165</f>
        <v>0</v>
      </c>
      <c r="S163" s="255">
        <f>S164+S165</f>
        <v>0</v>
      </c>
      <c r="T163" s="255">
        <f>IF(Q163&gt;0,S163*100/Q163,0)</f>
        <v>0</v>
      </c>
      <c r="U163" s="255">
        <f>IF(R163&gt;0,S163*100/R163,0)</f>
        <v>0</v>
      </c>
    </row>
    <row r="164" spans="1:21" ht="18.75" hidden="1">
      <c r="A164" s="155"/>
      <c r="B164" s="50"/>
      <c r="C164" s="50"/>
      <c r="D164" s="50"/>
      <c r="E164" s="186" t="s">
        <v>20</v>
      </c>
      <c r="F164" s="50"/>
      <c r="G164" s="52"/>
      <c r="H164" s="189" t="s">
        <v>14</v>
      </c>
      <c r="I164" s="163"/>
      <c r="J164" s="163"/>
      <c r="K164" s="164"/>
      <c r="L164" s="103">
        <v>0</v>
      </c>
      <c r="M164" s="102">
        <v>0</v>
      </c>
      <c r="N164" s="102">
        <v>0</v>
      </c>
      <c r="O164" s="102">
        <f>IF(L164&gt;0,N164*100/L164,0)</f>
        <v>0</v>
      </c>
      <c r="P164" s="102">
        <f>IF(M164&gt;0,N164*100/M164,0)</f>
        <v>0</v>
      </c>
      <c r="Q164" s="102">
        <v>0</v>
      </c>
      <c r="R164" s="102">
        <v>0</v>
      </c>
      <c r="S164" s="102">
        <v>0</v>
      </c>
      <c r="T164" s="102">
        <f>IF(Q164&gt;0,S164*100/Q164,0)</f>
        <v>0</v>
      </c>
      <c r="U164" s="102">
        <f>IF(R164&gt;0,S164*100/R164,0)</f>
        <v>0</v>
      </c>
    </row>
    <row r="165" spans="1:21" ht="18.75" hidden="1">
      <c r="A165" s="155"/>
      <c r="B165" s="50"/>
      <c r="C165" s="50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256">
        <f ca="1">IFERROR(__xludf.DUMMYFUNCTION("IMPORTRANGE(""https://docs.google.com/spreadsheets/d/1-uDff_7J0KD5mKrp0Vvzr7lt3OU09vwQwhkpOPPYv2Y/edit?usp=sharing"",""งบพรบ!CD42"")"),0)</f>
        <v>0</v>
      </c>
      <c r="M165" s="255">
        <f ca="1">IFERROR(__xludf.DUMMYFUNCTION("IMPORTRANGE(""https://docs.google.com/spreadsheets/d/1-uDff_7J0KD5mKrp0Vvzr7lt3OU09vwQwhkpOPPYv2Y/edit?usp=sharing"",""งบพรบ!CG42"")"),0)</f>
        <v>0</v>
      </c>
      <c r="N165" s="255">
        <f ca="1">IFERROR(__xludf.DUMMYFUNCTION("IMPORTRANGE(""https://docs.google.com/spreadsheets/d/1-uDff_7J0KD5mKrp0Vvzr7lt3OU09vwQwhkpOPPYv2Y/edit?usp=sharing"",""งบพรบ!CI42"")"),0)</f>
        <v>0</v>
      </c>
      <c r="O165" s="255">
        <f ca="1">IF(L165&gt;0,N165*100/L165,0)</f>
        <v>0</v>
      </c>
      <c r="P165" s="255">
        <f ca="1">IF(M165&gt;0,N165*100/M165,0)</f>
        <v>0</v>
      </c>
      <c r="Q165" s="255">
        <v>0</v>
      </c>
      <c r="R165" s="255">
        <v>0</v>
      </c>
      <c r="S165" s="255">
        <v>0</v>
      </c>
      <c r="T165" s="255">
        <f>IF(Q165&gt;0,S165*100/Q165,0)</f>
        <v>0</v>
      </c>
      <c r="U165" s="255">
        <f>IF(R165&gt;0,S165*100/R165,0)</f>
        <v>0</v>
      </c>
    </row>
    <row r="166" spans="1:21" ht="19.5">
      <c r="A166" s="166"/>
      <c r="B166" s="167"/>
      <c r="C166" s="156" t="s">
        <v>18</v>
      </c>
      <c r="D166" s="566" t="s">
        <v>38</v>
      </c>
      <c r="E166" s="169"/>
      <c r="F166" s="169"/>
      <c r="G166" s="170"/>
      <c r="H166" s="206"/>
      <c r="I166" s="54"/>
      <c r="J166" s="54"/>
      <c r="K166" s="55"/>
      <c r="L166" s="62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8.75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212">
        <f ca="1">IFERROR(__xludf.DUMMYFUNCTION("IMPORTRANGE(""https://docs.google.com/spreadsheets/d/1eHaY18a8A9IcSdp1K8H6x8fbOy06t2VsZHhMHf-1x7Y/edit?usp=sharing"",""แผน!Z42"")"),15)</f>
        <v>15</v>
      </c>
      <c r="J167" s="467">
        <v>15</v>
      </c>
      <c r="K167" s="255">
        <f ca="1">IF(I167&gt;0,J167*100/I167,0)</f>
        <v>100</v>
      </c>
      <c r="L167" s="62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8.75" hidden="1">
      <c r="A168" s="155"/>
      <c r="B168" s="50"/>
      <c r="C168" s="50"/>
      <c r="D168" s="186" t="s">
        <v>70</v>
      </c>
      <c r="E168" s="50"/>
      <c r="F168" s="50"/>
      <c r="G168" s="52"/>
      <c r="H168" s="421" t="s">
        <v>35</v>
      </c>
      <c r="I168" s="483">
        <f ca="1">I167</f>
        <v>15</v>
      </c>
      <c r="J168" s="589">
        <v>0</v>
      </c>
      <c r="K168" s="102">
        <f ca="1">IF(I168&gt;0,J168*100/I168,0)</f>
        <v>0</v>
      </c>
      <c r="L168" s="62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8.75" hidden="1">
      <c r="A169" s="213"/>
      <c r="B169" s="4"/>
      <c r="C169" s="4"/>
      <c r="D169" s="484" t="s">
        <v>71</v>
      </c>
      <c r="E169" s="4"/>
      <c r="F169" s="4"/>
      <c r="G169" s="65"/>
      <c r="H169" s="719" t="s">
        <v>35</v>
      </c>
      <c r="I169" s="486">
        <f ca="1">I167</f>
        <v>15</v>
      </c>
      <c r="J169" s="586">
        <v>0</v>
      </c>
      <c r="K169" s="585">
        <f ca="1">IF(I169&gt;0,J169*100/I169,0)</f>
        <v>0</v>
      </c>
      <c r="L169" s="68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9"/>
      <c r="I170" s="220"/>
      <c r="J170" s="220"/>
      <c r="K170" s="221"/>
      <c r="L170" s="221"/>
      <c r="M170" s="221"/>
      <c r="N170" s="221"/>
      <c r="O170" s="221"/>
      <c r="P170" s="222"/>
      <c r="Q170" s="221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226"/>
      <c r="I171" s="227"/>
      <c r="J171" s="227"/>
      <c r="K171" s="228"/>
      <c r="L171" s="229"/>
      <c r="M171" s="228"/>
      <c r="N171" s="228"/>
      <c r="O171" s="228"/>
      <c r="P171" s="228"/>
      <c r="Q171" s="228"/>
      <c r="R171" s="228"/>
      <c r="S171" s="228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233" t="s">
        <v>35</v>
      </c>
      <c r="I172" s="718">
        <f ca="1">I183+I184</f>
        <v>7</v>
      </c>
      <c r="J172" s="718">
        <f>J183+J184</f>
        <v>7</v>
      </c>
      <c r="K172" s="717">
        <f ca="1">IF(I172&gt;0,J172*100/I172,0)</f>
        <v>100</v>
      </c>
      <c r="L172" s="237"/>
      <c r="M172" s="236"/>
      <c r="N172" s="236"/>
      <c r="O172" s="236"/>
      <c r="P172" s="236"/>
      <c r="Q172" s="236"/>
      <c r="R172" s="236"/>
      <c r="S172" s="236"/>
      <c r="T172" s="236"/>
      <c r="U172" s="236"/>
    </row>
    <row r="173" spans="1:21" ht="19.5">
      <c r="A173" s="155"/>
      <c r="B173" s="50"/>
      <c r="C173" s="156" t="s">
        <v>18</v>
      </c>
      <c r="D173" s="575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541">
        <f ca="1">L174+L175</f>
        <v>19590</v>
      </c>
      <c r="M173" s="540">
        <f ca="1">M174+M175</f>
        <v>34780</v>
      </c>
      <c r="N173" s="540">
        <f ca="1">N174+N175</f>
        <v>34780</v>
      </c>
      <c r="O173" s="540">
        <f ca="1">IF(L173&gt;0,N173*100/L173,0)</f>
        <v>177.53956100051047</v>
      </c>
      <c r="P173" s="540">
        <f ca="1">IF(M173&gt;0,N173*100/M173,0)</f>
        <v>100</v>
      </c>
      <c r="Q173" s="540">
        <f ca="1">Q174+Q175</f>
        <v>0</v>
      </c>
      <c r="R173" s="540">
        <f ca="1">R174+R175</f>
        <v>0</v>
      </c>
      <c r="S173" s="540">
        <f ca="1">S174+S175</f>
        <v>0</v>
      </c>
      <c r="T173" s="540">
        <f ca="1">IF(Q173&gt;0,S173*100/Q173,0)</f>
        <v>0</v>
      </c>
      <c r="U173" s="540">
        <f ca="1">IF(R173&gt;0,S173*100/R173,0)</f>
        <v>0</v>
      </c>
    </row>
    <row r="174" spans="1:21" ht="18.75" hidden="1">
      <c r="A174" s="155"/>
      <c r="B174" s="50"/>
      <c r="C174" s="50"/>
      <c r="D174" s="50"/>
      <c r="E174" s="186" t="s">
        <v>20</v>
      </c>
      <c r="F174" s="50"/>
      <c r="G174" s="52"/>
      <c r="H174" s="187" t="s">
        <v>14</v>
      </c>
      <c r="I174" s="54"/>
      <c r="J174" s="54"/>
      <c r="K174" s="55"/>
      <c r="L174" s="103">
        <f>L177+L180</f>
        <v>0</v>
      </c>
      <c r="M174" s="102">
        <f>M177+M180</f>
        <v>0</v>
      </c>
      <c r="N174" s="102">
        <f>N177+N180</f>
        <v>0</v>
      </c>
      <c r="O174" s="102">
        <f>IF(L174&gt;0,N174*100/L174,0)</f>
        <v>0</v>
      </c>
      <c r="P174" s="102">
        <f>IF(M174&gt;0,N174*100/M174,0)</f>
        <v>0</v>
      </c>
      <c r="Q174" s="102">
        <f>Q177+Q180</f>
        <v>0</v>
      </c>
      <c r="R174" s="102">
        <f>R177+R180</f>
        <v>0</v>
      </c>
      <c r="S174" s="102">
        <f>S177+S180</f>
        <v>0</v>
      </c>
      <c r="T174" s="102">
        <f>IF(Q174&gt;0,S174*100/Q174,0)</f>
        <v>0</v>
      </c>
      <c r="U174" s="102">
        <f>IF(R174&gt;0,S174*100/R174,0)</f>
        <v>0</v>
      </c>
    </row>
    <row r="175" spans="1:21" ht="18.75" hidden="1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256">
        <f ca="1">L178+L181</f>
        <v>19590</v>
      </c>
      <c r="M175" s="255">
        <f ca="1">M178+M181</f>
        <v>34780</v>
      </c>
      <c r="N175" s="255">
        <f ca="1">N178+N181</f>
        <v>34780</v>
      </c>
      <c r="O175" s="255">
        <f ca="1">IF(L175&gt;0,N175*100/L175,0)</f>
        <v>177.53956100051047</v>
      </c>
      <c r="P175" s="255">
        <f ca="1">IF(M175&gt;0,N175*100/M175,0)</f>
        <v>100</v>
      </c>
      <c r="Q175" s="255">
        <f ca="1">Q178+Q181</f>
        <v>0</v>
      </c>
      <c r="R175" s="255">
        <f ca="1">R178+R181</f>
        <v>0</v>
      </c>
      <c r="S175" s="255">
        <f ca="1">S178+S181</f>
        <v>0</v>
      </c>
      <c r="T175" s="255">
        <f ca="1">IF(Q175&gt;0,S175*100/Q175,0)</f>
        <v>0</v>
      </c>
      <c r="U175" s="255">
        <f ca="1">IF(R175&gt;0,S175*100/R175,0)</f>
        <v>0</v>
      </c>
    </row>
    <row r="176" spans="1:21" ht="18.75">
      <c r="A176" s="155"/>
      <c r="B176" s="50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256">
        <f ca="1">L177+L178</f>
        <v>19590</v>
      </c>
      <c r="M176" s="255">
        <f ca="1">M177+M178</f>
        <v>34780</v>
      </c>
      <c r="N176" s="255">
        <f ca="1">N177+N178</f>
        <v>34780</v>
      </c>
      <c r="O176" s="255">
        <f ca="1">IF(L176&gt;0,N176*100/L176,0)</f>
        <v>177.53956100051047</v>
      </c>
      <c r="P176" s="255">
        <f ca="1">IF(M176&gt;0,N176*100/M176,0)</f>
        <v>100</v>
      </c>
      <c r="Q176" s="255">
        <f ca="1">Q177+Q178</f>
        <v>0</v>
      </c>
      <c r="R176" s="255">
        <f ca="1">R177+R178</f>
        <v>0</v>
      </c>
      <c r="S176" s="255">
        <f ca="1">S177+S178</f>
        <v>0</v>
      </c>
      <c r="T176" s="255">
        <f ca="1">IF(Q176&gt;0,S176*100/Q176,0)</f>
        <v>0</v>
      </c>
      <c r="U176" s="255">
        <f ca="1">IF(R176&gt;0,S176*100/R176,0)</f>
        <v>0</v>
      </c>
    </row>
    <row r="177" spans="1:21" ht="18.75" hidden="1">
      <c r="A177" s="155"/>
      <c r="B177" s="50"/>
      <c r="C177" s="50"/>
      <c r="D177" s="50"/>
      <c r="E177" s="186" t="s">
        <v>36</v>
      </c>
      <c r="F177" s="50"/>
      <c r="G177" s="52"/>
      <c r="H177" s="189" t="s">
        <v>14</v>
      </c>
      <c r="I177" s="163"/>
      <c r="J177" s="163"/>
      <c r="K177" s="164"/>
      <c r="L177" s="103">
        <v>0</v>
      </c>
      <c r="M177" s="102">
        <v>0</v>
      </c>
      <c r="N177" s="102">
        <v>0</v>
      </c>
      <c r="O177" s="102">
        <f>IF(L177&gt;0,N177*100/L177,0)</f>
        <v>0</v>
      </c>
      <c r="P177" s="102">
        <f>IF(M177&gt;0,N177*100/M177,0)</f>
        <v>0</v>
      </c>
      <c r="Q177" s="102">
        <v>0</v>
      </c>
      <c r="R177" s="102">
        <v>0</v>
      </c>
      <c r="S177" s="102">
        <v>0</v>
      </c>
      <c r="T177" s="102">
        <f>IF(Q177&gt;0,S177*100/Q177,0)</f>
        <v>0</v>
      </c>
      <c r="U177" s="102">
        <f>IF(R177&gt;0,S177*100/R177,0)</f>
        <v>0</v>
      </c>
    </row>
    <row r="178" spans="1:21" ht="18.75" hidden="1">
      <c r="A178" s="155"/>
      <c r="B178" s="50"/>
      <c r="C178" s="50"/>
      <c r="D178" s="50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256">
        <f ca="1">IFERROR(__xludf.DUMMYFUNCTION("IMPORTRANGE(""https://docs.google.com/spreadsheets/d/1-uDff_7J0KD5mKrp0Vvzr7lt3OU09vwQwhkpOPPYv2Y/edit?usp=sharing"",""งบพรบ!CK42"")"),19590)</f>
        <v>19590</v>
      </c>
      <c r="M178" s="255">
        <f ca="1">IFERROR(__xludf.DUMMYFUNCTION("IMPORTRANGE(""https://docs.google.com/spreadsheets/d/1-uDff_7J0KD5mKrp0Vvzr7lt3OU09vwQwhkpOPPYv2Y/edit?usp=sharing"",""งบพรบ!CP42"")"),34780)</f>
        <v>34780</v>
      </c>
      <c r="N178" s="255">
        <f ca="1">IFERROR(__xludf.DUMMYFUNCTION("IMPORTRANGE(""https://docs.google.com/spreadsheets/d/1-uDff_7J0KD5mKrp0Vvzr7lt3OU09vwQwhkpOPPYv2Y/edit?usp=sharing"",""งบพรบ!CR42"")"),34780)</f>
        <v>34780</v>
      </c>
      <c r="O178" s="255">
        <f ca="1">IF(L178&gt;0,N178*100/L178,0)</f>
        <v>177.53956100051047</v>
      </c>
      <c r="P178" s="255">
        <f ca="1">IF(M178&gt;0,N178*100/M178,0)</f>
        <v>100</v>
      </c>
      <c r="Q178" s="255">
        <f ca="1">IFERROR(__xludf.DUMMYFUNCTION("IMPORTRANGE(""https://docs.google.com/spreadsheets/d/1ItG2mGa2ceCfYo0BwxsXqNm01IGEUdYcSSLTEv9YCik/edit?usp=sharing"",""เบิกจ่ายกองทุน!BE42"")"),0)</f>
        <v>0</v>
      </c>
      <c r="R178" s="255">
        <f ca="1">IFERROR(__xludf.DUMMYFUNCTION("IMPORTRANGE(""https://docs.google.com/spreadsheets/d/1ItG2mGa2ceCfYo0BwxsXqNm01IGEUdYcSSLTEv9YCik/edit?usp=sharing"",""เบิกจ่ายกองทุน!BF42"")"),0)</f>
        <v>0</v>
      </c>
      <c r="S178" s="255">
        <f ca="1">IFERROR(__xludf.DUMMYFUNCTION("IMPORTRANGE(""https://docs.google.com/spreadsheets/d/1ItG2mGa2ceCfYo0BwxsXqNm01IGEUdYcSSLTEv9YCik/edit?usp=sharing"",""เบิกจ่ายกองทุน!BG42"")"),0)</f>
        <v>0</v>
      </c>
      <c r="T178" s="255">
        <f ca="1">IF(Q178&gt;0,S178*100/Q178,0)</f>
        <v>0</v>
      </c>
      <c r="U178" s="255">
        <f ca="1">IF(R178&gt;0,S178*100/R178,0)</f>
        <v>0</v>
      </c>
    </row>
    <row r="179" spans="1:21" ht="18.75">
      <c r="A179" s="155"/>
      <c r="B179" s="50"/>
      <c r="C179" s="50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256">
        <f ca="1">L180+L181</f>
        <v>0</v>
      </c>
      <c r="M179" s="255">
        <f ca="1">M180+M181</f>
        <v>0</v>
      </c>
      <c r="N179" s="255">
        <f ca="1">N180+N181</f>
        <v>0</v>
      </c>
      <c r="O179" s="255">
        <f ca="1">IF(L179&gt;0,N179*100/L179,0)</f>
        <v>0</v>
      </c>
      <c r="P179" s="255">
        <f ca="1">IF(M179&gt;0,N179*100/M179,0)</f>
        <v>0</v>
      </c>
      <c r="Q179" s="255">
        <f>Q180+Q181</f>
        <v>0</v>
      </c>
      <c r="R179" s="255">
        <f>R180+R181</f>
        <v>0</v>
      </c>
      <c r="S179" s="255">
        <f>S180+S181</f>
        <v>0</v>
      </c>
      <c r="T179" s="255">
        <f>IF(Q179&gt;0,S179*100/Q179,0)</f>
        <v>0</v>
      </c>
      <c r="U179" s="255">
        <f>IF(R179&gt;0,S179*100/R179,0)</f>
        <v>0</v>
      </c>
    </row>
    <row r="180" spans="1:21" ht="18.75" hidden="1">
      <c r="A180" s="155"/>
      <c r="B180" s="50"/>
      <c r="C180" s="50"/>
      <c r="D180" s="50"/>
      <c r="E180" s="186" t="s">
        <v>20</v>
      </c>
      <c r="F180" s="50"/>
      <c r="G180" s="52"/>
      <c r="H180" s="189" t="s">
        <v>14</v>
      </c>
      <c r="I180" s="163"/>
      <c r="J180" s="163"/>
      <c r="K180" s="164"/>
      <c r="L180" s="103">
        <v>0</v>
      </c>
      <c r="M180" s="102">
        <v>0</v>
      </c>
      <c r="N180" s="102">
        <v>0</v>
      </c>
      <c r="O180" s="102">
        <f>IF(L180&gt;0,N180*100/L180,0)</f>
        <v>0</v>
      </c>
      <c r="P180" s="102">
        <f>IF(M180&gt;0,N180*100/M180,0)</f>
        <v>0</v>
      </c>
      <c r="Q180" s="102">
        <v>0</v>
      </c>
      <c r="R180" s="102">
        <v>0</v>
      </c>
      <c r="S180" s="102">
        <v>0</v>
      </c>
      <c r="T180" s="102">
        <f>IF(Q180&gt;0,S180*100/Q180,0)</f>
        <v>0</v>
      </c>
      <c r="U180" s="102">
        <f>IF(R180&gt;0,S180*100/R180,0)</f>
        <v>0</v>
      </c>
    </row>
    <row r="181" spans="1:21" ht="18.75" hidden="1">
      <c r="A181" s="155"/>
      <c r="B181" s="50"/>
      <c r="C181" s="50"/>
      <c r="D181" s="50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256">
        <f ca="1">IFERROR(__xludf.DUMMYFUNCTION("IMPORTRANGE(""https://docs.google.com/spreadsheets/d/1-uDff_7J0KD5mKrp0Vvzr7lt3OU09vwQwhkpOPPYv2Y/edit?usp=sharing"",""งบพรบ!CN42"")"),0)</f>
        <v>0</v>
      </c>
      <c r="M181" s="255">
        <f ca="1">IFERROR(__xludf.DUMMYFUNCTION("IMPORTRANGE(""https://docs.google.com/spreadsheets/d/1-uDff_7J0KD5mKrp0Vvzr7lt3OU09vwQwhkpOPPYv2Y/edit?usp=sharing"",""งบพรบ!CQ42"")"),0)</f>
        <v>0</v>
      </c>
      <c r="N181" s="255">
        <f ca="1">IFERROR(__xludf.DUMMYFUNCTION("IMPORTRANGE(""https://docs.google.com/spreadsheets/d/1-uDff_7J0KD5mKrp0Vvzr7lt3OU09vwQwhkpOPPYv2Y/edit?usp=sharing"",""งบพรบ!CS42"")"),0)</f>
        <v>0</v>
      </c>
      <c r="O181" s="255">
        <f ca="1">IF(L181&gt;0,N181*100/L181,0)</f>
        <v>0</v>
      </c>
      <c r="P181" s="255">
        <f ca="1">IF(M181&gt;0,N181*100/M181,0)</f>
        <v>0</v>
      </c>
      <c r="Q181" s="255">
        <v>0</v>
      </c>
      <c r="R181" s="255">
        <v>0</v>
      </c>
      <c r="S181" s="255">
        <v>0</v>
      </c>
      <c r="T181" s="255">
        <f>IF(Q181&gt;0,S181*100/Q181,0)</f>
        <v>0</v>
      </c>
      <c r="U181" s="255">
        <f>IF(R181&gt;0,S181*100/R181,0)</f>
        <v>0</v>
      </c>
    </row>
    <row r="182" spans="1:21" ht="19.5">
      <c r="A182" s="166"/>
      <c r="B182" s="167"/>
      <c r="C182" s="156" t="s">
        <v>18</v>
      </c>
      <c r="D182" s="566" t="s">
        <v>38</v>
      </c>
      <c r="E182" s="169"/>
      <c r="F182" s="169"/>
      <c r="G182" s="170"/>
      <c r="H182" s="206"/>
      <c r="I182" s="54"/>
      <c r="J182" s="54"/>
      <c r="K182" s="55"/>
      <c r="L182" s="62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40" t="s">
        <v>35</v>
      </c>
      <c r="I183" s="212">
        <f ca="1">IFERROR(__xludf.DUMMYFUNCTION("IMPORTRANGE(""https://docs.google.com/spreadsheets/d/1eHaY18a8A9IcSdp1K8H6x8fbOy06t2VsZHhMHf-1x7Y/edit?usp=sharing"",""แผน!AA42"")"),7)</f>
        <v>7</v>
      </c>
      <c r="J183" s="467">
        <v>7</v>
      </c>
      <c r="K183" s="255">
        <f ca="1">IF(I183&gt;0,J183*100/I183,0)</f>
        <v>100</v>
      </c>
      <c r="L183" s="62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8.75" hidden="1">
      <c r="A184" s="238"/>
      <c r="B184" s="188"/>
      <c r="C184" s="188"/>
      <c r="D184" s="358" t="s">
        <v>76</v>
      </c>
      <c r="E184" s="50"/>
      <c r="F184" s="50"/>
      <c r="G184" s="52"/>
      <c r="H184" s="590" t="s">
        <v>35</v>
      </c>
      <c r="I184" s="483">
        <v>0</v>
      </c>
      <c r="J184" s="483">
        <v>0</v>
      </c>
      <c r="K184" s="102">
        <f>IF(I184&gt;0,J184*100/I184,0)</f>
        <v>0</v>
      </c>
      <c r="L184" s="62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233" t="s">
        <v>35</v>
      </c>
      <c r="I185" s="718">
        <f ca="1">I230+I231</f>
        <v>0</v>
      </c>
      <c r="J185" s="718">
        <f>J230+J231</f>
        <v>0</v>
      </c>
      <c r="K185" s="717">
        <f ca="1">IF(I185&gt;0,J185*100/I185,0)</f>
        <v>0</v>
      </c>
      <c r="L185" s="237"/>
      <c r="M185" s="236"/>
      <c r="N185" s="236"/>
      <c r="O185" s="236"/>
      <c r="P185" s="236"/>
      <c r="Q185" s="236"/>
      <c r="R185" s="236"/>
      <c r="S185" s="236"/>
      <c r="T185" s="236"/>
      <c r="U185" s="236"/>
    </row>
    <row r="186" spans="1:21" ht="19.5">
      <c r="A186" s="155"/>
      <c r="B186" s="50"/>
      <c r="C186" s="156" t="s">
        <v>18</v>
      </c>
      <c r="D186" s="575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541">
        <f ca="1">L187+L188</f>
        <v>42500</v>
      </c>
      <c r="M186" s="540">
        <f ca="1">M187+M188</f>
        <v>26500</v>
      </c>
      <c r="N186" s="540">
        <f ca="1">N187+N188</f>
        <v>6368</v>
      </c>
      <c r="O186" s="540">
        <f ca="1">IF(L186&gt;0,N186*100/L186,0)</f>
        <v>14.983529411764707</v>
      </c>
      <c r="P186" s="540">
        <f ca="1">IF(M186&gt;0,N186*100/M186,0)</f>
        <v>24.030188679245285</v>
      </c>
      <c r="Q186" s="540">
        <f ca="1">Q187+Q188</f>
        <v>42000</v>
      </c>
      <c r="R186" s="540">
        <f ca="1">R187+R188</f>
        <v>42000</v>
      </c>
      <c r="S186" s="540">
        <f ca="1">S187+S188</f>
        <v>0</v>
      </c>
      <c r="T186" s="540">
        <f ca="1">IF(Q186&gt;0,S186*100/Q186,0)</f>
        <v>0</v>
      </c>
      <c r="U186" s="540">
        <f ca="1">IF(R186&gt;0,S186*100/R186,0)</f>
        <v>0</v>
      </c>
    </row>
    <row r="187" spans="1:21" ht="18.75" hidden="1">
      <c r="A187" s="155"/>
      <c r="B187" s="50"/>
      <c r="C187" s="50"/>
      <c r="D187" s="50"/>
      <c r="E187" s="186" t="s">
        <v>20</v>
      </c>
      <c r="F187" s="50"/>
      <c r="G187" s="52"/>
      <c r="H187" s="187" t="s">
        <v>14</v>
      </c>
      <c r="I187" s="54"/>
      <c r="J187" s="54"/>
      <c r="K187" s="55"/>
      <c r="L187" s="103">
        <f>L190+L193</f>
        <v>0</v>
      </c>
      <c r="M187" s="102">
        <f>M190+M193</f>
        <v>0</v>
      </c>
      <c r="N187" s="102">
        <f>N190+N193</f>
        <v>0</v>
      </c>
      <c r="O187" s="102">
        <f>IF(L187&gt;0,N187*100/L187,0)</f>
        <v>0</v>
      </c>
      <c r="P187" s="102">
        <f>IF(M187&gt;0,N187*100/M187,0)</f>
        <v>0</v>
      </c>
      <c r="Q187" s="102">
        <f>Q190+Q193</f>
        <v>0</v>
      </c>
      <c r="R187" s="102">
        <f>R190+R193</f>
        <v>0</v>
      </c>
      <c r="S187" s="102">
        <f>S190+S193</f>
        <v>0</v>
      </c>
      <c r="T187" s="102">
        <f>IF(Q187&gt;0,S187*100/Q187,0)</f>
        <v>0</v>
      </c>
      <c r="U187" s="102">
        <f>IF(R187&gt;0,S187*100/R187,0)</f>
        <v>0</v>
      </c>
    </row>
    <row r="188" spans="1:21" ht="18.75" hidden="1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256">
        <f ca="1">L191+L194</f>
        <v>42500</v>
      </c>
      <c r="M188" s="255">
        <f ca="1">M191+M194</f>
        <v>26500</v>
      </c>
      <c r="N188" s="255">
        <f ca="1">N191+N194</f>
        <v>6368</v>
      </c>
      <c r="O188" s="255">
        <f ca="1">IF(L188&gt;0,N188*100/L188,0)</f>
        <v>14.983529411764707</v>
      </c>
      <c r="P188" s="255">
        <f ca="1">IF(M188&gt;0,N188*100/M188,0)</f>
        <v>24.030188679245285</v>
      </c>
      <c r="Q188" s="255">
        <f ca="1">Q191+Q194</f>
        <v>42000</v>
      </c>
      <c r="R188" s="255">
        <f ca="1">R191+R194</f>
        <v>42000</v>
      </c>
      <c r="S188" s="255">
        <f ca="1">S191+S194</f>
        <v>0</v>
      </c>
      <c r="T188" s="255">
        <f ca="1">IF(Q188&gt;0,S188*100/Q188,0)</f>
        <v>0</v>
      </c>
      <c r="U188" s="255">
        <f ca="1">IF(R188&gt;0,S188*100/R188,0)</f>
        <v>0</v>
      </c>
    </row>
    <row r="189" spans="1:21" ht="18.75">
      <c r="A189" s="155"/>
      <c r="B189" s="50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256">
        <f ca="1">L190+L191</f>
        <v>42500</v>
      </c>
      <c r="M189" s="255">
        <f ca="1">M190+M191</f>
        <v>26500</v>
      </c>
      <c r="N189" s="255">
        <f ca="1">N190+N191</f>
        <v>6368</v>
      </c>
      <c r="O189" s="255">
        <f ca="1">IF(L189&gt;0,N189*100/L189,0)</f>
        <v>14.983529411764707</v>
      </c>
      <c r="P189" s="255">
        <f ca="1">IF(M189&gt;0,N189*100/M189,0)</f>
        <v>24.030188679245285</v>
      </c>
      <c r="Q189" s="255">
        <f ca="1">Q190+Q191</f>
        <v>42000</v>
      </c>
      <c r="R189" s="255">
        <f ca="1">R190+R191</f>
        <v>42000</v>
      </c>
      <c r="S189" s="255">
        <f ca="1">S190+S191</f>
        <v>0</v>
      </c>
      <c r="T189" s="255">
        <f ca="1">IF(Q189&gt;0,S189*100/Q189,0)</f>
        <v>0</v>
      </c>
      <c r="U189" s="255">
        <f ca="1">IF(R189&gt;0,S189*100/R189,0)</f>
        <v>0</v>
      </c>
    </row>
    <row r="190" spans="1:21" ht="18.75" hidden="1">
      <c r="A190" s="155"/>
      <c r="B190" s="50"/>
      <c r="C190" s="50"/>
      <c r="D190" s="50"/>
      <c r="E190" s="186" t="s">
        <v>36</v>
      </c>
      <c r="F190" s="50"/>
      <c r="G190" s="52"/>
      <c r="H190" s="189" t="s">
        <v>14</v>
      </c>
      <c r="I190" s="163"/>
      <c r="J190" s="163"/>
      <c r="K190" s="164"/>
      <c r="L190" s="103">
        <v>0</v>
      </c>
      <c r="M190" s="102">
        <v>0</v>
      </c>
      <c r="N190" s="102">
        <v>0</v>
      </c>
      <c r="O190" s="102">
        <f>IF(L190&gt;0,N190*100/L190,0)</f>
        <v>0</v>
      </c>
      <c r="P190" s="102">
        <f>IF(M190&gt;0,N190*100/M190,0)</f>
        <v>0</v>
      </c>
      <c r="Q190" s="102">
        <v>0</v>
      </c>
      <c r="R190" s="102">
        <v>0</v>
      </c>
      <c r="S190" s="102">
        <v>0</v>
      </c>
      <c r="T190" s="102">
        <f>IF(Q190&gt;0,S190*100/Q190,0)</f>
        <v>0</v>
      </c>
      <c r="U190" s="102">
        <f>IF(R190&gt;0,S190*100/R190,0)</f>
        <v>0</v>
      </c>
    </row>
    <row r="191" spans="1:21" ht="18.75" hidden="1">
      <c r="A191" s="155"/>
      <c r="B191" s="50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256">
        <f ca="1">IFERROR(__xludf.DUMMYFUNCTION("IMPORTRANGE(""https://docs.google.com/spreadsheets/d/1-uDff_7J0KD5mKrp0Vvzr7lt3OU09vwQwhkpOPPYv2Y/edit?usp=sharing"",""งบพรบ!CU42"")"),42500)</f>
        <v>42500</v>
      </c>
      <c r="M191" s="255">
        <f ca="1">IFERROR(__xludf.DUMMYFUNCTION("IMPORTRANGE(""https://docs.google.com/spreadsheets/d/1-uDff_7J0KD5mKrp0Vvzr7lt3OU09vwQwhkpOPPYv2Y/edit?usp=sharing"",""งบพรบ!CZ42"")"),26500)</f>
        <v>26500</v>
      </c>
      <c r="N191" s="255">
        <f ca="1">IFERROR(__xludf.DUMMYFUNCTION("IMPORTRANGE(""https://docs.google.com/spreadsheets/d/1-uDff_7J0KD5mKrp0Vvzr7lt3OU09vwQwhkpOPPYv2Y/edit?usp=sharing"",""งบพรบ!DB42"")"),6368)</f>
        <v>6368</v>
      </c>
      <c r="O191" s="255">
        <f ca="1">IF(L191&gt;0,N191*100/L191,0)</f>
        <v>14.983529411764707</v>
      </c>
      <c r="P191" s="255">
        <f ca="1">IF(M191&gt;0,N191*100/M191,0)</f>
        <v>24.030188679245285</v>
      </c>
      <c r="Q191" s="255">
        <f ca="1">IFERROR(__xludf.DUMMYFUNCTION("IMPORTRANGE(""https://docs.google.com/spreadsheets/d/1ItG2mGa2ceCfYo0BwxsXqNm01IGEUdYcSSLTEv9YCik/edit?usp=sharing"",""เบิกจ่ายกองทุน!AV42"")"),42000)</f>
        <v>42000</v>
      </c>
      <c r="R191" s="255">
        <f ca="1">IFERROR(__xludf.DUMMYFUNCTION("IMPORTRANGE(""https://docs.google.com/spreadsheets/d/1ItG2mGa2ceCfYo0BwxsXqNm01IGEUdYcSSLTEv9YCik/edit?usp=sharing"",""เบิกจ่ายกองทุน!AW42"")"),42000)</f>
        <v>42000</v>
      </c>
      <c r="S191" s="255">
        <f ca="1">IFERROR(__xludf.DUMMYFUNCTION("IMPORTRANGE(""https://docs.google.com/spreadsheets/d/1ItG2mGa2ceCfYo0BwxsXqNm01IGEUdYcSSLTEv9YCik/edit?usp=sharing"",""เบิกจ่ายกองทุน!AX42"")"),0)</f>
        <v>0</v>
      </c>
      <c r="T191" s="255">
        <f ca="1">IF(Q191&gt;0,S191*100/Q191,0)</f>
        <v>0</v>
      </c>
      <c r="U191" s="255">
        <f ca="1">IF(R191&gt;0,S191*100/R191,0)</f>
        <v>0</v>
      </c>
    </row>
    <row r="192" spans="1:21" ht="18.75">
      <c r="A192" s="155"/>
      <c r="B192" s="50"/>
      <c r="C192" s="50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256">
        <f ca="1">L193+L194</f>
        <v>0</v>
      </c>
      <c r="M192" s="255">
        <f ca="1">M193+M194</f>
        <v>0</v>
      </c>
      <c r="N192" s="255">
        <f ca="1">N193+N194</f>
        <v>0</v>
      </c>
      <c r="O192" s="255">
        <f ca="1">IF(L192&gt;0,N192*100/L192,0)</f>
        <v>0</v>
      </c>
      <c r="P192" s="255">
        <f ca="1">IF(M192&gt;0,N192*100/M192,0)</f>
        <v>0</v>
      </c>
      <c r="Q192" s="255">
        <f>Q193+Q194</f>
        <v>0</v>
      </c>
      <c r="R192" s="255">
        <f>R193+R194</f>
        <v>0</v>
      </c>
      <c r="S192" s="255">
        <f>S193+S194</f>
        <v>0</v>
      </c>
      <c r="T192" s="255">
        <f>IF(Q192&gt;0,S192*100/Q192,0)</f>
        <v>0</v>
      </c>
      <c r="U192" s="255">
        <f>IF(R192&gt;0,S192*100/R192,0)</f>
        <v>0</v>
      </c>
    </row>
    <row r="193" spans="1:21" ht="18.75" hidden="1">
      <c r="A193" s="155"/>
      <c r="B193" s="50"/>
      <c r="C193" s="50"/>
      <c r="D193" s="50"/>
      <c r="E193" s="186" t="s">
        <v>20</v>
      </c>
      <c r="F193" s="50"/>
      <c r="G193" s="52"/>
      <c r="H193" s="189" t="s">
        <v>14</v>
      </c>
      <c r="I193" s="163"/>
      <c r="J193" s="163"/>
      <c r="K193" s="164"/>
      <c r="L193" s="103">
        <v>0</v>
      </c>
      <c r="M193" s="102">
        <v>0</v>
      </c>
      <c r="N193" s="102">
        <v>0</v>
      </c>
      <c r="O193" s="102">
        <f>IF(L193&gt;0,N193*100/L193,0)</f>
        <v>0</v>
      </c>
      <c r="P193" s="102">
        <f>IF(M193&gt;0,N193*100/M193,0)</f>
        <v>0</v>
      </c>
      <c r="Q193" s="102">
        <v>0</v>
      </c>
      <c r="R193" s="102">
        <v>0</v>
      </c>
      <c r="S193" s="102">
        <v>0</v>
      </c>
      <c r="T193" s="102">
        <f>IF(Q193&gt;0,S193*100/Q193,0)</f>
        <v>0</v>
      </c>
      <c r="U193" s="102">
        <f>IF(R193&gt;0,S193*100/R193,0)</f>
        <v>0</v>
      </c>
    </row>
    <row r="194" spans="1:21" ht="18.75" hidden="1">
      <c r="A194" s="155"/>
      <c r="B194" s="50"/>
      <c r="C194" s="50"/>
      <c r="D194" s="50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256">
        <f ca="1">IFERROR(__xludf.DUMMYFUNCTION("IMPORTRANGE(""https://docs.google.com/spreadsheets/d/1-uDff_7J0KD5mKrp0Vvzr7lt3OU09vwQwhkpOPPYv2Y/edit?usp=sharing"",""งบพรบ!CX42"")"),0)</f>
        <v>0</v>
      </c>
      <c r="M194" s="255">
        <f ca="1">IFERROR(__xludf.DUMMYFUNCTION("IMPORTRANGE(""https://docs.google.com/spreadsheets/d/1-uDff_7J0KD5mKrp0Vvzr7lt3OU09vwQwhkpOPPYv2Y/edit?usp=sharing"",""งบพรบ!DA42"")"),0)</f>
        <v>0</v>
      </c>
      <c r="N194" s="255">
        <f ca="1">IFERROR(__xludf.DUMMYFUNCTION("IMPORTRANGE(""https://docs.google.com/spreadsheets/d/1-uDff_7J0KD5mKrp0Vvzr7lt3OU09vwQwhkpOPPYv2Y/edit?usp=sharing"",""งบพรบ!DC42"")"),0)</f>
        <v>0</v>
      </c>
      <c r="O194" s="255">
        <f ca="1">IF(L194&gt;0,N194*100/L194,0)</f>
        <v>0</v>
      </c>
      <c r="P194" s="255">
        <f ca="1">IF(M194&gt;0,N194*100/M194,0)</f>
        <v>0</v>
      </c>
      <c r="Q194" s="255">
        <v>0</v>
      </c>
      <c r="R194" s="255">
        <v>0</v>
      </c>
      <c r="S194" s="255">
        <v>0</v>
      </c>
      <c r="T194" s="255">
        <f>IF(Q194&gt;0,S194*100/Q194,0)</f>
        <v>0</v>
      </c>
      <c r="U194" s="255">
        <f>IF(R194&gt;0,S194*100/R194,0)</f>
        <v>0</v>
      </c>
    </row>
    <row r="195" spans="1:21" ht="19.5">
      <c r="A195" s="241"/>
      <c r="B195" s="242"/>
      <c r="C195" s="243" t="s">
        <v>78</v>
      </c>
      <c r="D195" s="244"/>
      <c r="E195" s="244"/>
      <c r="F195" s="244"/>
      <c r="G195" s="245"/>
      <c r="H195" s="246" t="s">
        <v>79</v>
      </c>
      <c r="I195" s="339">
        <f ca="1">I198</f>
        <v>4</v>
      </c>
      <c r="J195" s="339">
        <f>J198</f>
        <v>2</v>
      </c>
      <c r="K195" s="340">
        <f ca="1">IF(I195&gt;0,J195*100/I195,0)</f>
        <v>50</v>
      </c>
      <c r="L195" s="250"/>
      <c r="M195" s="249"/>
      <c r="N195" s="249"/>
      <c r="O195" s="249"/>
      <c r="P195" s="249"/>
      <c r="Q195" s="249"/>
      <c r="R195" s="249"/>
      <c r="S195" s="249"/>
      <c r="T195" s="249"/>
      <c r="U195" s="249"/>
    </row>
    <row r="196" spans="1:21" ht="19.5">
      <c r="A196" s="155"/>
      <c r="B196" s="50"/>
      <c r="C196" s="156" t="s">
        <v>18</v>
      </c>
      <c r="D196" s="713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541">
        <f ca="1">IFERROR(__xludf.DUMMYFUNCTION("IMPORTRANGE(""https://docs.google.com/spreadsheets/d/1eHaY18a8A9IcSdp1K8H6x8fbOy06t2VsZHhMHf-1x7Y/edit?usp=sharing"",""แผน!AB42"")"),6000)</f>
        <v>6000</v>
      </c>
      <c r="M196" s="55"/>
      <c r="N196" s="716">
        <v>0</v>
      </c>
      <c r="O196" s="540">
        <f ca="1">IF(L196&gt;0,N196*100/L196,0)</f>
        <v>0</v>
      </c>
      <c r="P196" s="540">
        <f>IF(M196&gt;0,N196*100/M196,0)</f>
        <v>0</v>
      </c>
      <c r="Q196" s="55"/>
      <c r="R196" s="55"/>
      <c r="S196" s="55"/>
      <c r="T196" s="55"/>
      <c r="U196" s="55"/>
    </row>
    <row r="197" spans="1:21" ht="19.5">
      <c r="A197" s="166"/>
      <c r="B197" s="167"/>
      <c r="C197" s="156" t="s">
        <v>18</v>
      </c>
      <c r="D197" s="566" t="s">
        <v>38</v>
      </c>
      <c r="E197" s="169"/>
      <c r="F197" s="169"/>
      <c r="G197" s="170"/>
      <c r="H197" s="171"/>
      <c r="I197" s="54"/>
      <c r="J197" s="54"/>
      <c r="K197" s="55"/>
      <c r="L197" s="62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8.75">
      <c r="A198" s="166"/>
      <c r="B198" s="167"/>
      <c r="C198" s="167"/>
      <c r="D198" s="178" t="s">
        <v>80</v>
      </c>
      <c r="E198" s="174"/>
      <c r="F198" s="174"/>
      <c r="G198" s="171"/>
      <c r="H198" s="179" t="s">
        <v>79</v>
      </c>
      <c r="I198" s="212">
        <f ca="1">IFERROR(__xludf.DUMMYFUNCTION("IMPORTRANGE(""https://docs.google.com/spreadsheets/d/1eHaY18a8A9IcSdp1K8H6x8fbOy06t2VsZHhMHf-1x7Y/edit?usp=sharing"",""แผน!AE42"")"),4)</f>
        <v>4</v>
      </c>
      <c r="J198" s="467">
        <v>2</v>
      </c>
      <c r="K198" s="255">
        <f ca="1">IF(I198&gt;0,J198*100/I198,0)</f>
        <v>50</v>
      </c>
      <c r="L198" s="62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8.75">
      <c r="A199" s="166"/>
      <c r="B199" s="167"/>
      <c r="C199" s="167"/>
      <c r="D199" s="178" t="s">
        <v>81</v>
      </c>
      <c r="E199" s="174"/>
      <c r="F199" s="174"/>
      <c r="G199" s="171"/>
      <c r="H199" s="240" t="s">
        <v>35</v>
      </c>
      <c r="I199" s="54"/>
      <c r="J199" s="212">
        <f>J200+J201</f>
        <v>39</v>
      </c>
      <c r="K199" s="55"/>
      <c r="L199" s="62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467">
        <v>39</v>
      </c>
      <c r="K200" s="55"/>
      <c r="L200" s="62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40" t="s">
        <v>35</v>
      </c>
      <c r="I201" s="54"/>
      <c r="J201" s="467">
        <v>0</v>
      </c>
      <c r="K201" s="55"/>
      <c r="L201" s="62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254" t="s">
        <v>85</v>
      </c>
      <c r="I202" s="339">
        <f ca="1">I209</f>
        <v>3</v>
      </c>
      <c r="J202" s="339">
        <f>J209</f>
        <v>0</v>
      </c>
      <c r="K202" s="340">
        <f ca="1">IF(I202&gt;0,J202*100/I202,0)</f>
        <v>0</v>
      </c>
      <c r="L202" s="250"/>
      <c r="M202" s="249"/>
      <c r="N202" s="249"/>
      <c r="O202" s="249"/>
      <c r="P202" s="249"/>
      <c r="Q202" s="249"/>
      <c r="R202" s="249"/>
      <c r="S202" s="249"/>
      <c r="T202" s="249"/>
      <c r="U202" s="249"/>
    </row>
    <row r="203" spans="1:21" ht="19.5">
      <c r="A203" s="155"/>
      <c r="B203" s="50"/>
      <c r="C203" s="156" t="s">
        <v>18</v>
      </c>
      <c r="D203" s="713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541">
        <f ca="1">L204+L205+L206+L207</f>
        <v>10000</v>
      </c>
      <c r="M203" s="55"/>
      <c r="N203" s="540">
        <f>N204+N205+N206+N207</f>
        <v>0</v>
      </c>
      <c r="O203" s="540">
        <f ca="1">IF(L203&gt;0,N203*100/L203,0)</f>
        <v>0</v>
      </c>
      <c r="P203" s="540">
        <f>IF(M203&gt;0,N203*100/M203,0)</f>
        <v>0</v>
      </c>
      <c r="Q203" s="715">
        <f ca="1">Q204+Q205+Q206+Q207</f>
        <v>42000</v>
      </c>
      <c r="R203" s="350"/>
      <c r="S203" s="714">
        <f>S204+S205+S206+S207</f>
        <v>0</v>
      </c>
      <c r="T203" s="714">
        <f ca="1">IF(Q203&gt;0,S203*100/Q203,0)</f>
        <v>0</v>
      </c>
      <c r="U203" s="714">
        <f>IF(R203&gt;0,S203*100/R203,0)</f>
        <v>0</v>
      </c>
    </row>
    <row r="204" spans="1:21" ht="18.75">
      <c r="A204" s="155"/>
      <c r="B204" s="188"/>
      <c r="C204" s="50"/>
      <c r="D204" s="712" t="s">
        <v>310</v>
      </c>
      <c r="E204" s="50"/>
      <c r="F204" s="50"/>
      <c r="G204" s="52"/>
      <c r="H204" s="162" t="s">
        <v>14</v>
      </c>
      <c r="I204" s="163"/>
      <c r="J204" s="163"/>
      <c r="K204" s="164"/>
      <c r="L204" s="256">
        <f ca="1">IFERROR(__xludf.DUMMYFUNCTION("IMPORTRANGE(""https://docs.google.com/spreadsheets/d/1eHaY18a8A9IcSdp1K8H6x8fbOy06t2VsZHhMHf-1x7Y/edit?usp=sharing"",""แผน!AG42"")"),2000)</f>
        <v>2000</v>
      </c>
      <c r="M204" s="55"/>
      <c r="N204" s="702">
        <v>0</v>
      </c>
      <c r="O204" s="164"/>
      <c r="P204" s="55"/>
      <c r="Q204" s="256">
        <v>0</v>
      </c>
      <c r="R204" s="55"/>
      <c r="S204" s="255">
        <v>0</v>
      </c>
      <c r="T204" s="164"/>
      <c r="U204" s="55"/>
    </row>
    <row r="205" spans="1:21" ht="18.75">
      <c r="A205" s="238"/>
      <c r="B205" s="188"/>
      <c r="C205" s="50"/>
      <c r="D205" s="58" t="s">
        <v>308</v>
      </c>
      <c r="E205" s="50"/>
      <c r="F205" s="50"/>
      <c r="G205" s="52"/>
      <c r="H205" s="53" t="s">
        <v>14</v>
      </c>
      <c r="I205" s="54"/>
      <c r="J205" s="54"/>
      <c r="K205" s="55"/>
      <c r="L205" s="256">
        <f ca="1">IFERROR(__xludf.DUMMYFUNCTION("IMPORTRANGE(""https://docs.google.com/spreadsheets/d/1eHaY18a8A9IcSdp1K8H6x8fbOy06t2VsZHhMHf-1x7Y/edit?usp=sharing"",""แผน!AH42"")"),0)</f>
        <v>0</v>
      </c>
      <c r="M205" s="55"/>
      <c r="N205" s="702">
        <v>0</v>
      </c>
      <c r="O205" s="164"/>
      <c r="P205" s="55"/>
      <c r="Q205" s="256">
        <v>0</v>
      </c>
      <c r="R205" s="55"/>
      <c r="S205" s="255">
        <v>0</v>
      </c>
      <c r="T205" s="164"/>
      <c r="U205" s="55"/>
    </row>
    <row r="206" spans="1:21" ht="18.75">
      <c r="A206" s="238"/>
      <c r="B206" s="188"/>
      <c r="C206" s="50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256">
        <f ca="1">IFERROR(__xludf.DUMMYFUNCTION("IMPORTRANGE(""https://docs.google.com/spreadsheets/d/1eHaY18a8A9IcSdp1K8H6x8fbOy06t2VsZHhMHf-1x7Y/edit?usp=sharing"",""แผน!AI42"")"),0)</f>
        <v>0</v>
      </c>
      <c r="M206" s="55"/>
      <c r="N206" s="702">
        <v>0</v>
      </c>
      <c r="O206" s="164"/>
      <c r="P206" s="55"/>
      <c r="Q206" s="256">
        <f ca="1">IFERROR(__xludf.DUMMYFUNCTION("IMPORTRANGE(""https://docs.google.com/spreadsheets/d/1eHaY18a8A9IcSdp1K8H6x8fbOy06t2VsZHhMHf-1x7Y/edit?usp=sharing"",""แผน!LV42"")"),42000)</f>
        <v>42000</v>
      </c>
      <c r="R206" s="55"/>
      <c r="S206" s="702">
        <v>0</v>
      </c>
      <c r="T206" s="164"/>
      <c r="U206" s="55"/>
    </row>
    <row r="207" spans="1:21" ht="18.75">
      <c r="A207" s="238"/>
      <c r="B207" s="188"/>
      <c r="C207" s="50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256">
        <f ca="1">IFERROR(__xludf.DUMMYFUNCTION("IMPORTRANGE(""https://docs.google.com/spreadsheets/d/1eHaY18a8A9IcSdp1K8H6x8fbOy06t2VsZHhMHf-1x7Y/edit?usp=sharing"",""แผน!AJ42"")"),8000)</f>
        <v>8000</v>
      </c>
      <c r="M207" s="55"/>
      <c r="N207" s="702">
        <v>0</v>
      </c>
      <c r="O207" s="164"/>
      <c r="P207" s="55"/>
      <c r="Q207" s="256">
        <v>0</v>
      </c>
      <c r="R207" s="55"/>
      <c r="S207" s="255">
        <v>0</v>
      </c>
      <c r="T207" s="164"/>
      <c r="U207" s="55"/>
    </row>
    <row r="208" spans="1:21" ht="19.5">
      <c r="A208" s="166"/>
      <c r="B208" s="167"/>
      <c r="C208" s="156" t="s">
        <v>18</v>
      </c>
      <c r="D208" s="566" t="s">
        <v>38</v>
      </c>
      <c r="E208" s="169"/>
      <c r="F208" s="169"/>
      <c r="G208" s="170"/>
      <c r="H208" s="171"/>
      <c r="I208" s="163"/>
      <c r="J208" s="163"/>
      <c r="K208" s="164"/>
      <c r="L208" s="172"/>
      <c r="M208" s="164"/>
      <c r="N208" s="164"/>
      <c r="O208" s="164"/>
      <c r="P208" s="164"/>
      <c r="Q208" s="172"/>
      <c r="R208" s="164"/>
      <c r="S208" s="164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257" t="s">
        <v>85</v>
      </c>
      <c r="I209" s="212">
        <f ca="1">IFERROR(__xludf.DUMMYFUNCTION("IMPORTRANGE(""https://docs.google.com/spreadsheets/d/1eHaY18a8A9IcSdp1K8H6x8fbOy06t2VsZHhMHf-1x7Y/edit?usp=sharing"",""แผน!AK42"")"),3)</f>
        <v>3</v>
      </c>
      <c r="J209" s="467">
        <v>0</v>
      </c>
      <c r="K209" s="565">
        <f ca="1">IF(I209&gt;0,J209*100/I209,0)</f>
        <v>0</v>
      </c>
      <c r="L209" s="62"/>
      <c r="M209" s="55"/>
      <c r="N209" s="55"/>
      <c r="O209" s="55"/>
      <c r="P209" s="55"/>
      <c r="Q209" s="62"/>
      <c r="R209" s="55"/>
      <c r="S209" s="55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171"/>
      <c r="I210" s="54"/>
      <c r="J210" s="54"/>
      <c r="K210" s="164"/>
      <c r="L210" s="62"/>
      <c r="M210" s="55"/>
      <c r="N210" s="55"/>
      <c r="O210" s="55"/>
      <c r="P210" s="55"/>
      <c r="Q210" s="62"/>
      <c r="R210" s="55"/>
      <c r="S210" s="55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257" t="s">
        <v>85</v>
      </c>
      <c r="I211" s="212">
        <f ca="1">IFERROR(__xludf.DUMMYFUNCTION("IMPORTRANGE(""https://docs.google.com/spreadsheets/d/1eHaY18a8A9IcSdp1K8H6x8fbOy06t2VsZHhMHf-1x7Y/edit?usp=sharing"",""แผน!JX42"")"),2)</f>
        <v>2</v>
      </c>
      <c r="J211" s="467">
        <v>0</v>
      </c>
      <c r="K211" s="565">
        <f ca="1">IF(I211&gt;0,J211*100/I211,0)</f>
        <v>0</v>
      </c>
      <c r="L211" s="62"/>
      <c r="M211" s="55"/>
      <c r="N211" s="55"/>
      <c r="O211" s="55"/>
      <c r="P211" s="55"/>
      <c r="Q211" s="62"/>
      <c r="R211" s="55"/>
      <c r="S211" s="55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79" t="s">
        <v>93</v>
      </c>
      <c r="I212" s="212">
        <f ca="1">IFERROR(__xludf.DUMMYFUNCTION("IMPORTRANGE(""https://docs.google.com/spreadsheets/d/1eHaY18a8A9IcSdp1K8H6x8fbOy06t2VsZHhMHf-1x7Y/edit?usp=sharing"",""แผน!JY42"")"),0)</f>
        <v>0</v>
      </c>
      <c r="J212" s="467">
        <v>0</v>
      </c>
      <c r="K212" s="565">
        <f ca="1">IF(I212&gt;0,J212*100/I212,0)</f>
        <v>0</v>
      </c>
      <c r="L212" s="62"/>
      <c r="M212" s="55"/>
      <c r="N212" s="55"/>
      <c r="O212" s="55"/>
      <c r="P212" s="55"/>
      <c r="Q212" s="62"/>
      <c r="R212" s="55"/>
      <c r="S212" s="55"/>
      <c r="T212" s="55"/>
      <c r="U212" s="55"/>
    </row>
    <row r="213" spans="1:21" ht="19.5" hidden="1">
      <c r="A213" s="241"/>
      <c r="B213" s="242"/>
      <c r="C213" s="243" t="s">
        <v>94</v>
      </c>
      <c r="D213" s="244"/>
      <c r="E213" s="244"/>
      <c r="F213" s="244"/>
      <c r="G213" s="245"/>
      <c r="H213" s="254" t="s">
        <v>85</v>
      </c>
      <c r="I213" s="339">
        <f ca="1">I220</f>
        <v>0</v>
      </c>
      <c r="J213" s="339">
        <f>J220</f>
        <v>0</v>
      </c>
      <c r="K213" s="340">
        <f ca="1">IF(I213&gt;0,J213*100/I213,0)</f>
        <v>0</v>
      </c>
      <c r="L213" s="250"/>
      <c r="M213" s="249"/>
      <c r="N213" s="249"/>
      <c r="O213" s="249"/>
      <c r="P213" s="249"/>
      <c r="Q213" s="250"/>
      <c r="R213" s="249"/>
      <c r="S213" s="249"/>
      <c r="T213" s="249"/>
      <c r="U213" s="249"/>
    </row>
    <row r="214" spans="1:21" ht="19.5" hidden="1">
      <c r="A214" s="155"/>
      <c r="B214" s="50"/>
      <c r="C214" s="156" t="s">
        <v>18</v>
      </c>
      <c r="D214" s="713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541">
        <f ca="1">L215+L216+L217</f>
        <v>0</v>
      </c>
      <c r="M214" s="55"/>
      <c r="N214" s="540">
        <f>N215+N216+N217</f>
        <v>0</v>
      </c>
      <c r="O214" s="540">
        <f ca="1">IF(L214&gt;0,N214*100/L214,0)</f>
        <v>0</v>
      </c>
      <c r="P214" s="540">
        <f>IF(M214&gt;0,N214*100/M214,0)</f>
        <v>0</v>
      </c>
      <c r="Q214" s="541">
        <f ca="1">Q215+Q216+Q217</f>
        <v>0</v>
      </c>
      <c r="R214" s="55"/>
      <c r="S214" s="540">
        <f>S215+S216+S217</f>
        <v>0</v>
      </c>
      <c r="T214" s="540">
        <f ca="1">IF(Q214&gt;0,S214*100/Q214,0)</f>
        <v>0</v>
      </c>
      <c r="U214" s="540">
        <f>IF(R214&gt;0,S214*100/R214,0)</f>
        <v>0</v>
      </c>
    </row>
    <row r="215" spans="1:21" ht="18.75" hidden="1">
      <c r="A215" s="155"/>
      <c r="B215" s="188"/>
      <c r="C215" s="50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256">
        <f ca="1">IFERROR(__xludf.DUMMYFUNCTION("IMPORTRANGE(""https://docs.google.com/spreadsheets/d/1eHaY18a8A9IcSdp1K8H6x8fbOy06t2VsZHhMHf-1x7Y/edit?usp=sharing"",""แผน!AM42"")"),0)</f>
        <v>0</v>
      </c>
      <c r="M215" s="55"/>
      <c r="N215" s="702">
        <v>0</v>
      </c>
      <c r="O215" s="164"/>
      <c r="P215" s="55"/>
      <c r="Q215" s="256">
        <v>0</v>
      </c>
      <c r="R215" s="55"/>
      <c r="S215" s="255">
        <v>0</v>
      </c>
      <c r="T215" s="164"/>
      <c r="U215" s="55"/>
    </row>
    <row r="216" spans="1:21" ht="18.75" hidden="1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256">
        <f ca="1">IFERROR(__xludf.DUMMYFUNCTION("IMPORTRANGE(""https://docs.google.com/spreadsheets/d/1eHaY18a8A9IcSdp1K8H6x8fbOy06t2VsZHhMHf-1x7Y/edit?usp=sharing"",""แผน!AN42"")"),0)</f>
        <v>0</v>
      </c>
      <c r="M216" s="55"/>
      <c r="N216" s="702">
        <v>0</v>
      </c>
      <c r="O216" s="164"/>
      <c r="P216" s="55"/>
      <c r="Q216" s="256">
        <v>0</v>
      </c>
      <c r="R216" s="55"/>
      <c r="S216" s="255">
        <v>0</v>
      </c>
      <c r="T216" s="164"/>
      <c r="U216" s="55"/>
    </row>
    <row r="217" spans="1:21" ht="18.75" hidden="1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256">
        <f ca="1">IFERROR(__xludf.DUMMYFUNCTION("IMPORTRANGE(""https://docs.google.com/spreadsheets/d/1eHaY18a8A9IcSdp1K8H6x8fbOy06t2VsZHhMHf-1x7Y/edit?usp=sharing"",""แผน!AO42"")"),0)</f>
        <v>0</v>
      </c>
      <c r="M217" s="55"/>
      <c r="N217" s="702">
        <v>0</v>
      </c>
      <c r="O217" s="164"/>
      <c r="P217" s="55"/>
      <c r="Q217" s="256">
        <f ca="1">IFERROR(__xludf.DUMMYFUNCTION("IMPORTRANGE(""https://docs.google.com/spreadsheets/d/1eHaY18a8A9IcSdp1K8H6x8fbOy06t2VsZHhMHf-1x7Y/edit?usp=sharing"",""แผน!LY42"")"),0)</f>
        <v>0</v>
      </c>
      <c r="R217" s="55"/>
      <c r="S217" s="702">
        <v>0</v>
      </c>
      <c r="T217" s="164"/>
      <c r="U217" s="55"/>
    </row>
    <row r="218" spans="1:21" ht="19.5" hidden="1">
      <c r="A218" s="166"/>
      <c r="B218" s="167"/>
      <c r="C218" s="191" t="s">
        <v>18</v>
      </c>
      <c r="D218" s="566" t="s">
        <v>38</v>
      </c>
      <c r="E218" s="169"/>
      <c r="F218" s="169"/>
      <c r="G218" s="170"/>
      <c r="H218" s="171"/>
      <c r="I218" s="163"/>
      <c r="J218" s="54"/>
      <c r="K218" s="55"/>
      <c r="L218" s="62"/>
      <c r="M218" s="55"/>
      <c r="N218" s="55"/>
      <c r="O218" s="164"/>
      <c r="P218" s="164"/>
      <c r="Q218" s="62"/>
      <c r="R218" s="55"/>
      <c r="S218" s="55"/>
      <c r="T218" s="164"/>
      <c r="U218" s="164"/>
    </row>
    <row r="219" spans="1:21" ht="18.75" hidden="1">
      <c r="A219" s="166"/>
      <c r="B219" s="167"/>
      <c r="C219" s="167"/>
      <c r="D219" s="173" t="s">
        <v>96</v>
      </c>
      <c r="E219" s="174"/>
      <c r="F219" s="174"/>
      <c r="G219" s="171"/>
      <c r="H219" s="257" t="s">
        <v>85</v>
      </c>
      <c r="I219" s="212">
        <f ca="1">IFERROR(__xludf.DUMMYFUNCTION("IMPORTRANGE(""https://docs.google.com/spreadsheets/d/1eHaY18a8A9IcSdp1K8H6x8fbOy06t2VsZHhMHf-1x7Y/edit?usp=sharing"",""แผน!AP42"")"),0)</f>
        <v>0</v>
      </c>
      <c r="J219" s="467">
        <v>0</v>
      </c>
      <c r="K219" s="255">
        <f ca="1">IF(I219&gt;0,J219*100/I219,0)</f>
        <v>0</v>
      </c>
      <c r="L219" s="62"/>
      <c r="M219" s="55"/>
      <c r="N219" s="55"/>
      <c r="O219" s="55"/>
      <c r="P219" s="55"/>
      <c r="Q219" s="62"/>
      <c r="R219" s="55"/>
      <c r="S219" s="55"/>
      <c r="T219" s="55"/>
      <c r="U219" s="55"/>
    </row>
    <row r="220" spans="1:21" ht="18.75" hidden="1">
      <c r="A220" s="166"/>
      <c r="B220" s="167"/>
      <c r="C220" s="167"/>
      <c r="D220" s="173" t="s">
        <v>97</v>
      </c>
      <c r="E220" s="174"/>
      <c r="F220" s="174"/>
      <c r="G220" s="171"/>
      <c r="H220" s="257" t="s">
        <v>85</v>
      </c>
      <c r="I220" s="212">
        <f ca="1">IFERROR(__xludf.DUMMYFUNCTION("IMPORTRANGE(""https://docs.google.com/spreadsheets/d/1eHaY18a8A9IcSdp1K8H6x8fbOy06t2VsZHhMHf-1x7Y/edit?usp=sharing"",""แผน!AP42"")"),0)</f>
        <v>0</v>
      </c>
      <c r="J220" s="467">
        <v>0</v>
      </c>
      <c r="K220" s="255">
        <f ca="1">IF(I220&gt;0,J220*100/I220,0)</f>
        <v>0</v>
      </c>
      <c r="L220" s="62"/>
      <c r="M220" s="55"/>
      <c r="N220" s="55"/>
      <c r="O220" s="55"/>
      <c r="P220" s="55"/>
      <c r="Q220" s="62"/>
      <c r="R220" s="55"/>
      <c r="S220" s="55"/>
      <c r="T220" s="55"/>
      <c r="U220" s="55"/>
    </row>
    <row r="221" spans="1:21" ht="19.5">
      <c r="A221" s="241"/>
      <c r="B221" s="242"/>
      <c r="C221" s="243" t="s">
        <v>98</v>
      </c>
      <c r="D221" s="244"/>
      <c r="E221" s="244"/>
      <c r="F221" s="244"/>
      <c r="G221" s="245"/>
      <c r="H221" s="246" t="s">
        <v>99</v>
      </c>
      <c r="I221" s="339">
        <f ca="1">I229</f>
        <v>64000</v>
      </c>
      <c r="J221" s="339">
        <f>J229</f>
        <v>0</v>
      </c>
      <c r="K221" s="340">
        <f ca="1">IF(I221&gt;0,J221*100/I221,0)</f>
        <v>0</v>
      </c>
      <c r="L221" s="250"/>
      <c r="M221" s="249"/>
      <c r="N221" s="249"/>
      <c r="O221" s="249"/>
      <c r="P221" s="249"/>
      <c r="Q221" s="249"/>
      <c r="R221" s="249"/>
      <c r="S221" s="249"/>
      <c r="T221" s="249"/>
      <c r="U221" s="249"/>
    </row>
    <row r="222" spans="1:21" ht="19.5">
      <c r="A222" s="155"/>
      <c r="B222" s="50"/>
      <c r="C222" s="156" t="s">
        <v>18</v>
      </c>
      <c r="D222" s="713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541">
        <f ca="1">L223+L224+L225</f>
        <v>10500</v>
      </c>
      <c r="M222" s="55"/>
      <c r="N222" s="540">
        <f>N223+N224+N225</f>
        <v>0</v>
      </c>
      <c r="O222" s="540">
        <f ca="1">IF(L222&gt;0,N222*100/L222,0)</f>
        <v>0</v>
      </c>
      <c r="P222" s="540">
        <f>IF(M222&gt;0,N222*100/M222,0)</f>
        <v>0</v>
      </c>
      <c r="Q222" s="55"/>
      <c r="R222" s="55"/>
      <c r="S222" s="55"/>
      <c r="T222" s="55"/>
      <c r="U222" s="55"/>
    </row>
    <row r="223" spans="1:21" ht="18.75">
      <c r="A223" s="155"/>
      <c r="B223" s="188"/>
      <c r="C223" s="50"/>
      <c r="D223" s="712" t="s">
        <v>309</v>
      </c>
      <c r="E223" s="50"/>
      <c r="F223" s="50"/>
      <c r="G223" s="52"/>
      <c r="H223" s="162" t="s">
        <v>14</v>
      </c>
      <c r="I223" s="163"/>
      <c r="J223" s="163"/>
      <c r="K223" s="164"/>
      <c r="L223" s="256">
        <f ca="1">IFERROR(__xludf.DUMMYFUNCTION("IMPORTRANGE(""https://docs.google.com/spreadsheets/d/1eHaY18a8A9IcSdp1K8H6x8fbOy06t2VsZHhMHf-1x7Y/edit?usp=sharing"",""แผน!AR42"")"),2500)</f>
        <v>2500</v>
      </c>
      <c r="M223" s="55"/>
      <c r="N223" s="702">
        <v>0</v>
      </c>
      <c r="O223" s="164"/>
      <c r="P223" s="55"/>
      <c r="Q223" s="55"/>
      <c r="R223" s="55"/>
      <c r="S223" s="55"/>
      <c r="T223" s="164"/>
      <c r="U223" s="55"/>
    </row>
    <row r="224" spans="1:21" ht="18.75">
      <c r="A224" s="238"/>
      <c r="B224" s="188"/>
      <c r="C224" s="188"/>
      <c r="D224" s="58" t="s">
        <v>308</v>
      </c>
      <c r="E224" s="50"/>
      <c r="F224" s="50"/>
      <c r="G224" s="52"/>
      <c r="H224" s="162" t="s">
        <v>14</v>
      </c>
      <c r="I224" s="54"/>
      <c r="J224" s="54"/>
      <c r="K224" s="55"/>
      <c r="L224" s="256">
        <f ca="1">IFERROR(__xludf.DUMMYFUNCTION("IMPORTRANGE(""https://docs.google.com/spreadsheets/d/1eHaY18a8A9IcSdp1K8H6x8fbOy06t2VsZHhMHf-1x7Y/edit?usp=sharing"",""แผน!AS42"")"),8000)</f>
        <v>8000</v>
      </c>
      <c r="M224" s="55"/>
      <c r="N224" s="702">
        <v>0</v>
      </c>
      <c r="O224" s="164"/>
      <c r="P224" s="55"/>
      <c r="Q224" s="55"/>
      <c r="R224" s="55"/>
      <c r="S224" s="55"/>
      <c r="T224" s="164"/>
      <c r="U224" s="55"/>
    </row>
    <row r="225" spans="1:21" ht="18.75">
      <c r="A225" s="238"/>
      <c r="B225" s="188"/>
      <c r="C225" s="188"/>
      <c r="D225" s="58" t="s">
        <v>88</v>
      </c>
      <c r="E225" s="50"/>
      <c r="F225" s="50"/>
      <c r="G225" s="52"/>
      <c r="H225" s="162" t="s">
        <v>14</v>
      </c>
      <c r="I225" s="54"/>
      <c r="J225" s="54"/>
      <c r="K225" s="55"/>
      <c r="L225" s="256">
        <f ca="1">IFERROR(__xludf.DUMMYFUNCTION("IMPORTRANGE(""https://docs.google.com/spreadsheets/d/1eHaY18a8A9IcSdp1K8H6x8fbOy06t2VsZHhMHf-1x7Y/edit?usp=sharing"",""แผน!AT42"")"),0)</f>
        <v>0</v>
      </c>
      <c r="M225" s="55"/>
      <c r="N225" s="702">
        <v>0</v>
      </c>
      <c r="O225" s="164"/>
      <c r="P225" s="55"/>
      <c r="Q225" s="55"/>
      <c r="R225" s="55"/>
      <c r="S225" s="55"/>
      <c r="T225" s="164"/>
      <c r="U225" s="55"/>
    </row>
    <row r="226" spans="1:21" ht="19.5">
      <c r="A226" s="166"/>
      <c r="B226" s="167"/>
      <c r="C226" s="191" t="s">
        <v>18</v>
      </c>
      <c r="D226" s="566" t="s">
        <v>38</v>
      </c>
      <c r="E226" s="169"/>
      <c r="F226" s="169"/>
      <c r="G226" s="170"/>
      <c r="H226" s="171"/>
      <c r="I226" s="163"/>
      <c r="J226" s="163"/>
      <c r="K226" s="164"/>
      <c r="L226" s="172"/>
      <c r="M226" s="164"/>
      <c r="N226" s="164"/>
      <c r="O226" s="164"/>
      <c r="P226" s="164"/>
      <c r="Q226" s="164"/>
      <c r="R226" s="164"/>
      <c r="S226" s="164"/>
      <c r="T226" s="164"/>
      <c r="U226" s="164"/>
    </row>
    <row r="227" spans="1:21" ht="18.75">
      <c r="A227" s="166"/>
      <c r="B227" s="167"/>
      <c r="C227" s="167"/>
      <c r="D227" s="58" t="s">
        <v>101</v>
      </c>
      <c r="E227" s="174"/>
      <c r="F227" s="174"/>
      <c r="G227" s="171"/>
      <c r="H227" s="171"/>
      <c r="I227" s="54"/>
      <c r="J227" s="54"/>
      <c r="K227" s="164"/>
      <c r="L227" s="172"/>
      <c r="M227" s="164"/>
      <c r="N227" s="164"/>
      <c r="O227" s="164"/>
      <c r="P227" s="164"/>
      <c r="Q227" s="164"/>
      <c r="R227" s="164"/>
      <c r="S227" s="164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79" t="s">
        <v>99</v>
      </c>
      <c r="I228" s="212">
        <f ca="1">IFERROR(__xludf.DUMMYFUNCTION("IMPORTRANGE(""https://docs.google.com/spreadsheets/d/1eHaY18a8A9IcSdp1K8H6x8fbOy06t2VsZHhMHf-1x7Y/edit?usp=sharing"",""แผน!AV42"")"),64000)</f>
        <v>64000</v>
      </c>
      <c r="J228" s="467">
        <v>0</v>
      </c>
      <c r="K228" s="565">
        <f ca="1">IF(I228&gt;0,J228*100/I228,0)</f>
        <v>0</v>
      </c>
      <c r="L228" s="172"/>
      <c r="M228" s="164"/>
      <c r="N228" s="164"/>
      <c r="O228" s="164"/>
      <c r="P228" s="164"/>
      <c r="Q228" s="164"/>
      <c r="R228" s="164"/>
      <c r="S228" s="164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79" t="s">
        <v>99</v>
      </c>
      <c r="I229" s="212">
        <f ca="1">IFERROR(__xludf.DUMMYFUNCTION("IMPORTRANGE(""https://docs.google.com/spreadsheets/d/1eHaY18a8A9IcSdp1K8H6x8fbOy06t2VsZHhMHf-1x7Y/edit?usp=sharing"",""แผน!AV42"")"),64000)</f>
        <v>64000</v>
      </c>
      <c r="J229" s="467">
        <v>0</v>
      </c>
      <c r="K229" s="565">
        <f ca="1">IF(I229&gt;0,J229*100/I229,0)</f>
        <v>0</v>
      </c>
      <c r="L229" s="62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79" t="s">
        <v>35</v>
      </c>
      <c r="I230" s="212">
        <f ca="1">IFERROR(__xludf.DUMMYFUNCTION("IMPORTRANGE(""https://docs.google.com/spreadsheets/d/1eHaY18a8A9IcSdp1K8H6x8fbOy06t2VsZHhMHf-1x7Y/edit?usp=sharing"",""แผน!AU42"")"),0)</f>
        <v>0</v>
      </c>
      <c r="J230" s="467">
        <v>0</v>
      </c>
      <c r="K230" s="565">
        <f ca="1">IF(I230&gt;0,J230*100/I230,0)</f>
        <v>0</v>
      </c>
      <c r="L230" s="62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9.5" hidden="1">
      <c r="A231" s="241"/>
      <c r="B231" s="242"/>
      <c r="C231" s="243" t="s">
        <v>105</v>
      </c>
      <c r="D231" s="244"/>
      <c r="E231" s="244"/>
      <c r="F231" s="244"/>
      <c r="G231" s="245"/>
      <c r="H231" s="246" t="s">
        <v>35</v>
      </c>
      <c r="I231" s="339">
        <f ca="1">I242+I253</f>
        <v>0</v>
      </c>
      <c r="J231" s="339">
        <f>J242+J253</f>
        <v>0</v>
      </c>
      <c r="K231" s="340">
        <f ca="1">IF(I231&gt;0,J231*100/I231,0)</f>
        <v>0</v>
      </c>
      <c r="L231" s="250"/>
      <c r="M231" s="249"/>
      <c r="N231" s="249"/>
      <c r="O231" s="249"/>
      <c r="P231" s="249"/>
      <c r="Q231" s="249"/>
      <c r="R231" s="249"/>
      <c r="S231" s="249"/>
      <c r="T231" s="249"/>
      <c r="U231" s="249"/>
    </row>
    <row r="232" spans="1:21" ht="19.5" hidden="1">
      <c r="A232" s="155"/>
      <c r="B232" s="50"/>
      <c r="C232" s="156" t="s">
        <v>18</v>
      </c>
      <c r="D232" s="575" t="s">
        <v>19</v>
      </c>
      <c r="E232" s="50"/>
      <c r="F232" s="50"/>
      <c r="G232" s="52"/>
      <c r="H232" s="252" t="s">
        <v>14</v>
      </c>
      <c r="I232" s="163"/>
      <c r="J232" s="163"/>
      <c r="K232" s="164"/>
      <c r="L232" s="711">
        <f ca="1">L243+L254</f>
        <v>0</v>
      </c>
      <c r="M232" s="55"/>
      <c r="N232" s="710">
        <f>N243+N254</f>
        <v>0</v>
      </c>
      <c r="O232" s="55"/>
      <c r="P232" s="55"/>
      <c r="Q232" s="55"/>
      <c r="R232" s="55"/>
      <c r="S232" s="55"/>
      <c r="T232" s="55"/>
      <c r="U232" s="55"/>
    </row>
    <row r="233" spans="1:21" ht="18.75" hidden="1">
      <c r="A233" s="155"/>
      <c r="B233" s="188"/>
      <c r="C233" s="50"/>
      <c r="D233" s="58" t="s">
        <v>86</v>
      </c>
      <c r="E233" s="50"/>
      <c r="F233" s="50"/>
      <c r="G233" s="52"/>
      <c r="H233" s="162" t="s">
        <v>14</v>
      </c>
      <c r="I233" s="163"/>
      <c r="J233" s="163"/>
      <c r="K233" s="164"/>
      <c r="L233" s="103">
        <f ca="1">L244+L255</f>
        <v>0</v>
      </c>
      <c r="M233" s="55"/>
      <c r="N233" s="102">
        <f>N244+N255</f>
        <v>0</v>
      </c>
      <c r="O233" s="55"/>
      <c r="P233" s="55"/>
      <c r="Q233" s="709">
        <v>0</v>
      </c>
      <c r="R233" s="708">
        <v>0</v>
      </c>
      <c r="S233" s="708">
        <v>0</v>
      </c>
      <c r="T233" s="55"/>
      <c r="U233" s="55"/>
    </row>
    <row r="234" spans="1:21" ht="18.75" hidden="1">
      <c r="A234" s="238"/>
      <c r="B234" s="188"/>
      <c r="C234" s="188"/>
      <c r="D234" s="58" t="s">
        <v>88</v>
      </c>
      <c r="E234" s="50"/>
      <c r="F234" s="50"/>
      <c r="G234" s="52"/>
      <c r="H234" s="162" t="s">
        <v>14</v>
      </c>
      <c r="I234" s="54"/>
      <c r="J234" s="54"/>
      <c r="K234" s="55"/>
      <c r="L234" s="103">
        <f ca="1">L245+L256</f>
        <v>0</v>
      </c>
      <c r="M234" s="55"/>
      <c r="N234" s="102">
        <f>N245+N256</f>
        <v>0</v>
      </c>
      <c r="O234" s="55"/>
      <c r="P234" s="55"/>
      <c r="Q234" s="256">
        <v>0</v>
      </c>
      <c r="R234" s="255">
        <v>0</v>
      </c>
      <c r="S234" s="255">
        <v>0</v>
      </c>
      <c r="T234" s="55"/>
      <c r="U234" s="55"/>
    </row>
    <row r="235" spans="1:21" ht="18.75" hidden="1">
      <c r="A235" s="238"/>
      <c r="B235" s="188"/>
      <c r="C235" s="188"/>
      <c r="D235" s="58" t="s">
        <v>106</v>
      </c>
      <c r="E235" s="50"/>
      <c r="F235" s="50"/>
      <c r="G235" s="52"/>
      <c r="H235" s="162" t="s">
        <v>14</v>
      </c>
      <c r="I235" s="54"/>
      <c r="J235" s="54"/>
      <c r="K235" s="55"/>
      <c r="L235" s="103">
        <f ca="1">L246+L257</f>
        <v>0</v>
      </c>
      <c r="M235" s="55"/>
      <c r="N235" s="102">
        <f>N246+N257</f>
        <v>0</v>
      </c>
      <c r="O235" s="55"/>
      <c r="P235" s="55"/>
      <c r="Q235" s="256">
        <v>0</v>
      </c>
      <c r="R235" s="255">
        <v>0</v>
      </c>
      <c r="S235" s="255">
        <v>0</v>
      </c>
      <c r="T235" s="55"/>
      <c r="U235" s="55"/>
    </row>
    <row r="236" spans="1:21" ht="18.75" hidden="1">
      <c r="A236" s="238"/>
      <c r="B236" s="188"/>
      <c r="C236" s="188"/>
      <c r="D236" s="58" t="s">
        <v>107</v>
      </c>
      <c r="E236" s="50"/>
      <c r="F236" s="50"/>
      <c r="G236" s="52"/>
      <c r="H236" s="162" t="s">
        <v>14</v>
      </c>
      <c r="I236" s="54"/>
      <c r="J236" s="54"/>
      <c r="K236" s="55"/>
      <c r="L236" s="103">
        <f ca="1">L247+L258</f>
        <v>0</v>
      </c>
      <c r="M236" s="55"/>
      <c r="N236" s="102">
        <f>N247+N258</f>
        <v>0</v>
      </c>
      <c r="O236" s="55"/>
      <c r="P236" s="55"/>
      <c r="Q236" s="256">
        <v>0</v>
      </c>
      <c r="R236" s="255">
        <v>0</v>
      </c>
      <c r="S236" s="255">
        <v>0</v>
      </c>
      <c r="T236" s="55"/>
      <c r="U236" s="55"/>
    </row>
    <row r="237" spans="1:21" ht="19.5" hidden="1">
      <c r="A237" s="166"/>
      <c r="B237" s="167"/>
      <c r="C237" s="191" t="s">
        <v>18</v>
      </c>
      <c r="D237" s="566" t="s">
        <v>38</v>
      </c>
      <c r="E237" s="169"/>
      <c r="F237" s="169"/>
      <c r="G237" s="170"/>
      <c r="H237" s="171"/>
      <c r="I237" s="163"/>
      <c r="J237" s="54"/>
      <c r="K237" s="55"/>
      <c r="L237" s="62"/>
      <c r="M237" s="55"/>
      <c r="N237" s="55"/>
      <c r="O237" s="164"/>
      <c r="P237" s="164"/>
      <c r="Q237" s="55"/>
      <c r="R237" s="55"/>
      <c r="S237" s="55"/>
      <c r="T237" s="164"/>
      <c r="U237" s="164"/>
    </row>
    <row r="238" spans="1:21" ht="18.75" hidden="1">
      <c r="A238" s="166"/>
      <c r="B238" s="167"/>
      <c r="C238" s="167"/>
      <c r="D238" s="178" t="s">
        <v>108</v>
      </c>
      <c r="E238" s="174"/>
      <c r="F238" s="174"/>
      <c r="G238" s="171"/>
      <c r="H238" s="179" t="s">
        <v>35</v>
      </c>
      <c r="I238" s="212">
        <f ca="1">I249+I260</f>
        <v>0</v>
      </c>
      <c r="J238" s="212">
        <f>J249+J260</f>
        <v>0</v>
      </c>
      <c r="K238" s="255">
        <f ca="1">IF(I238&gt;0,J238*100/I238,0)</f>
        <v>0</v>
      </c>
      <c r="L238" s="62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ht="18.75" hidden="1">
      <c r="A239" s="166"/>
      <c r="B239" s="167"/>
      <c r="C239" s="167"/>
      <c r="D239" s="266" t="s">
        <v>43</v>
      </c>
      <c r="E239" s="174"/>
      <c r="F239" s="174"/>
      <c r="G239" s="171"/>
      <c r="H239" s="171"/>
      <c r="I239" s="54"/>
      <c r="J239" s="54"/>
      <c r="K239" s="55"/>
      <c r="L239" s="62"/>
      <c r="M239" s="55"/>
      <c r="N239" s="55"/>
      <c r="O239" s="164"/>
      <c r="P239" s="164"/>
      <c r="Q239" s="55"/>
      <c r="R239" s="55"/>
      <c r="S239" s="55"/>
      <c r="T239" s="164"/>
      <c r="U239" s="164"/>
    </row>
    <row r="240" spans="1:21" ht="18.75" hidden="1">
      <c r="A240" s="166"/>
      <c r="B240" s="167"/>
      <c r="C240" s="167"/>
      <c r="D240" s="167"/>
      <c r="E240" s="173" t="s">
        <v>109</v>
      </c>
      <c r="F240" s="174"/>
      <c r="G240" s="171"/>
      <c r="H240" s="179" t="s">
        <v>35</v>
      </c>
      <c r="I240" s="212">
        <f>I251+I262</f>
        <v>0</v>
      </c>
      <c r="J240" s="212">
        <f>J251+J262</f>
        <v>0</v>
      </c>
      <c r="K240" s="255">
        <f>IF(I240&gt;0,J240*100/I240,0)</f>
        <v>0</v>
      </c>
      <c r="L240" s="62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ht="18.75" hidden="1">
      <c r="A241" s="166"/>
      <c r="B241" s="167"/>
      <c r="C241" s="167"/>
      <c r="D241" s="167"/>
      <c r="E241" s="173" t="s">
        <v>110</v>
      </c>
      <c r="F241" s="174"/>
      <c r="G241" s="171"/>
      <c r="H241" s="179" t="s">
        <v>61</v>
      </c>
      <c r="I241" s="212">
        <f>I252+I263</f>
        <v>0</v>
      </c>
      <c r="J241" s="212">
        <f>J252+J263</f>
        <v>0</v>
      </c>
      <c r="K241" s="255">
        <f>IF(I241&gt;0,J241*100/I241,0)</f>
        <v>0</v>
      </c>
      <c r="L241" s="62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ht="19.5" hidden="1">
      <c r="A242" s="241"/>
      <c r="B242" s="242"/>
      <c r="C242" s="707" t="s">
        <v>111</v>
      </c>
      <c r="D242" s="244"/>
      <c r="E242" s="244"/>
      <c r="F242" s="244"/>
      <c r="G242" s="245"/>
      <c r="H242" s="706" t="s">
        <v>35</v>
      </c>
      <c r="I242" s="705">
        <f ca="1">I249</f>
        <v>0</v>
      </c>
      <c r="J242" s="705">
        <f>J249</f>
        <v>0</v>
      </c>
      <c r="K242" s="704">
        <f ca="1">IF(I242&gt;0,J242*100/I242,0)</f>
        <v>0</v>
      </c>
      <c r="L242" s="250"/>
      <c r="M242" s="249"/>
      <c r="N242" s="249"/>
      <c r="O242" s="249"/>
      <c r="P242" s="249"/>
      <c r="Q242" s="249"/>
      <c r="R242" s="249"/>
      <c r="S242" s="249"/>
      <c r="T242" s="249"/>
      <c r="U242" s="249"/>
    </row>
    <row r="243" spans="1:21" ht="19.5" hidden="1">
      <c r="A243" s="155"/>
      <c r="B243" s="50"/>
      <c r="C243" s="591" t="s">
        <v>18</v>
      </c>
      <c r="D243" s="562" t="s">
        <v>19</v>
      </c>
      <c r="E243" s="50"/>
      <c r="F243" s="50"/>
      <c r="G243" s="52"/>
      <c r="H243" s="418" t="s">
        <v>14</v>
      </c>
      <c r="I243" s="163"/>
      <c r="J243" s="163"/>
      <c r="K243" s="164"/>
      <c r="L243" s="541">
        <f ca="1">L244+L245+L246+L247</f>
        <v>0</v>
      </c>
      <c r="M243" s="55"/>
      <c r="N243" s="540">
        <f>N244+N245+N246+N247</f>
        <v>0</v>
      </c>
      <c r="O243" s="540">
        <f ca="1">IF(L243&gt;0,N243*100/L243,0)</f>
        <v>0</v>
      </c>
      <c r="P243" s="540">
        <f>IF(M243&gt;0,N243*100/M243,0)</f>
        <v>0</v>
      </c>
      <c r="Q243" s="55"/>
      <c r="R243" s="55"/>
      <c r="S243" s="55"/>
      <c r="T243" s="55"/>
      <c r="U243" s="55"/>
    </row>
    <row r="244" spans="1:21" ht="18.75" hidden="1">
      <c r="A244" s="155"/>
      <c r="B244" s="188"/>
      <c r="C244" s="50"/>
      <c r="D244" s="186" t="s">
        <v>86</v>
      </c>
      <c r="E244" s="50"/>
      <c r="F244" s="50"/>
      <c r="G244" s="52"/>
      <c r="H244" s="189" t="s">
        <v>14</v>
      </c>
      <c r="I244" s="163"/>
      <c r="J244" s="163"/>
      <c r="K244" s="164"/>
      <c r="L244" s="256">
        <f ca="1">IFERROR(__xludf.DUMMYFUNCTION("IMPORTRANGE(""https://docs.google.com/spreadsheets/d/1eHaY18a8A9IcSdp1K8H6x8fbOy06t2VsZHhMHf-1x7Y/edit?usp=sharing"",""แผน!AX42"")"),0)</f>
        <v>0</v>
      </c>
      <c r="M244" s="55"/>
      <c r="N244" s="702">
        <v>0</v>
      </c>
      <c r="O244" s="55"/>
      <c r="P244" s="55"/>
      <c r="Q244" s="55"/>
      <c r="R244" s="55"/>
      <c r="S244" s="55"/>
      <c r="T244" s="55"/>
      <c r="U244" s="55"/>
    </row>
    <row r="245" spans="1:21" ht="18.75" hidden="1">
      <c r="A245" s="238"/>
      <c r="B245" s="188"/>
      <c r="C245" s="188"/>
      <c r="D245" s="186" t="s">
        <v>88</v>
      </c>
      <c r="E245" s="50"/>
      <c r="F245" s="50"/>
      <c r="G245" s="52"/>
      <c r="H245" s="189" t="s">
        <v>14</v>
      </c>
      <c r="I245" s="54"/>
      <c r="J245" s="54"/>
      <c r="K245" s="55"/>
      <c r="L245" s="256">
        <f ca="1">IFERROR(__xludf.DUMMYFUNCTION("IMPORTRANGE(""https://docs.google.com/spreadsheets/d/1eHaY18a8A9IcSdp1K8H6x8fbOy06t2VsZHhMHf-1x7Y/edit?usp=sharing"",""แผน!AY42"")"),0)</f>
        <v>0</v>
      </c>
      <c r="M245" s="55"/>
      <c r="N245" s="702">
        <v>0</v>
      </c>
      <c r="O245" s="55"/>
      <c r="P245" s="55"/>
      <c r="Q245" s="55"/>
      <c r="R245" s="55"/>
      <c r="S245" s="55"/>
      <c r="T245" s="55"/>
      <c r="U245" s="55"/>
    </row>
    <row r="246" spans="1:21" ht="18.75" hidden="1">
      <c r="A246" s="238"/>
      <c r="B246" s="188"/>
      <c r="C246" s="188"/>
      <c r="D246" s="186" t="s">
        <v>106</v>
      </c>
      <c r="E246" s="50"/>
      <c r="F246" s="50"/>
      <c r="G246" s="52"/>
      <c r="H246" s="189" t="s">
        <v>14</v>
      </c>
      <c r="I246" s="54"/>
      <c r="J246" s="54"/>
      <c r="K246" s="55"/>
      <c r="L246" s="256">
        <f ca="1">IFERROR(__xludf.DUMMYFUNCTION("IMPORTRANGE(""https://docs.google.com/spreadsheets/d/1eHaY18a8A9IcSdp1K8H6x8fbOy06t2VsZHhMHf-1x7Y/edit?usp=sharing"",""แผน!AZ42"")"),0)</f>
        <v>0</v>
      </c>
      <c r="M246" s="55"/>
      <c r="N246" s="702">
        <v>0</v>
      </c>
      <c r="O246" s="55"/>
      <c r="P246" s="55"/>
      <c r="Q246" s="55"/>
      <c r="R246" s="55"/>
      <c r="S246" s="55"/>
      <c r="T246" s="55"/>
      <c r="U246" s="55"/>
    </row>
    <row r="247" spans="1:21" ht="18.75" hidden="1">
      <c r="A247" s="238"/>
      <c r="B247" s="188"/>
      <c r="C247" s="188"/>
      <c r="D247" s="186" t="s">
        <v>107</v>
      </c>
      <c r="E247" s="50"/>
      <c r="F247" s="50"/>
      <c r="G247" s="52"/>
      <c r="H247" s="189" t="s">
        <v>14</v>
      </c>
      <c r="I247" s="54"/>
      <c r="J247" s="54"/>
      <c r="K247" s="55"/>
      <c r="L247" s="256">
        <f ca="1">IFERROR(__xludf.DUMMYFUNCTION("IMPORTRANGE(""https://docs.google.com/spreadsheets/d/1eHaY18a8A9IcSdp1K8H6x8fbOy06t2VsZHhMHf-1x7Y/edit?usp=sharing"",""แผน!BA42"")"),0)</f>
        <v>0</v>
      </c>
      <c r="M247" s="55"/>
      <c r="N247" s="702">
        <v>0</v>
      </c>
      <c r="O247" s="55"/>
      <c r="P247" s="55"/>
      <c r="Q247" s="55"/>
      <c r="R247" s="55"/>
      <c r="S247" s="55"/>
      <c r="T247" s="55"/>
      <c r="U247" s="55"/>
    </row>
    <row r="248" spans="1:21" ht="19.5" hidden="1">
      <c r="A248" s="166"/>
      <c r="B248" s="167"/>
      <c r="C248" s="701" t="s">
        <v>18</v>
      </c>
      <c r="D248" s="574" t="s">
        <v>38</v>
      </c>
      <c r="E248" s="169"/>
      <c r="F248" s="169"/>
      <c r="G248" s="170"/>
      <c r="H248" s="171"/>
      <c r="I248" s="163"/>
      <c r="J248" s="54"/>
      <c r="K248" s="55"/>
      <c r="L248" s="62"/>
      <c r="M248" s="55"/>
      <c r="N248" s="55"/>
      <c r="O248" s="164"/>
      <c r="P248" s="164"/>
      <c r="Q248" s="55"/>
      <c r="R248" s="55"/>
      <c r="S248" s="55"/>
      <c r="T248" s="164"/>
      <c r="U248" s="164"/>
    </row>
    <row r="249" spans="1:21" ht="18.75" hidden="1">
      <c r="A249" s="166"/>
      <c r="B249" s="167"/>
      <c r="C249" s="167"/>
      <c r="D249" s="207" t="s">
        <v>108</v>
      </c>
      <c r="E249" s="174"/>
      <c r="F249" s="174"/>
      <c r="G249" s="171"/>
      <c r="H249" s="698" t="s">
        <v>35</v>
      </c>
      <c r="I249" s="483">
        <f ca="1">IFERROR(__xludf.DUMMYFUNCTION("IMPORTRANGE(""https://docs.google.com/spreadsheets/d/1eHaY18a8A9IcSdp1K8H6x8fbOy06t2VsZHhMHf-1x7Y/edit?usp=sharing"",""แผน!BG42"")"),0)</f>
        <v>0</v>
      </c>
      <c r="J249" s="589">
        <v>0</v>
      </c>
      <c r="K249" s="102">
        <f ca="1">IF(I249&gt;0,J249*100/I249,0)</f>
        <v>0</v>
      </c>
      <c r="L249" s="62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8.75" hidden="1">
      <c r="A250" s="166"/>
      <c r="B250" s="167"/>
      <c r="C250" s="167"/>
      <c r="D250" s="700" t="s">
        <v>43</v>
      </c>
      <c r="E250" s="174"/>
      <c r="F250" s="174"/>
      <c r="G250" s="171"/>
      <c r="H250" s="171"/>
      <c r="I250" s="54"/>
      <c r="J250" s="54"/>
      <c r="K250" s="55"/>
      <c r="L250" s="62"/>
      <c r="M250" s="55"/>
      <c r="N250" s="55"/>
      <c r="O250" s="164"/>
      <c r="P250" s="164"/>
      <c r="Q250" s="55"/>
      <c r="R250" s="55"/>
      <c r="S250" s="55"/>
      <c r="T250" s="164"/>
      <c r="U250" s="164"/>
    </row>
    <row r="251" spans="1:21" ht="18.75" hidden="1">
      <c r="A251" s="166"/>
      <c r="B251" s="167"/>
      <c r="C251" s="167"/>
      <c r="D251" s="167"/>
      <c r="E251" s="699" t="s">
        <v>109</v>
      </c>
      <c r="F251" s="174"/>
      <c r="G251" s="171"/>
      <c r="H251" s="698" t="s">
        <v>35</v>
      </c>
      <c r="I251" s="483">
        <v>0</v>
      </c>
      <c r="J251" s="589">
        <v>0</v>
      </c>
      <c r="K251" s="102">
        <f>IF(I251&gt;0,J251*100/I251,0)</f>
        <v>0</v>
      </c>
      <c r="L251" s="62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8.75" hidden="1">
      <c r="A252" s="166"/>
      <c r="B252" s="167"/>
      <c r="C252" s="167"/>
      <c r="D252" s="167"/>
      <c r="E252" s="699" t="s">
        <v>110</v>
      </c>
      <c r="F252" s="174"/>
      <c r="G252" s="171"/>
      <c r="H252" s="698" t="s">
        <v>61</v>
      </c>
      <c r="I252" s="483">
        <v>0</v>
      </c>
      <c r="J252" s="589">
        <v>0</v>
      </c>
      <c r="K252" s="102">
        <f>IF(I252&gt;0,J252*100/I252,0)</f>
        <v>0</v>
      </c>
      <c r="L252" s="62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9.5" hidden="1">
      <c r="A253" s="241"/>
      <c r="B253" s="242"/>
      <c r="C253" s="707" t="s">
        <v>112</v>
      </c>
      <c r="D253" s="244"/>
      <c r="E253" s="244"/>
      <c r="F253" s="244"/>
      <c r="G253" s="245"/>
      <c r="H253" s="706" t="s">
        <v>35</v>
      </c>
      <c r="I253" s="705">
        <f ca="1">I260</f>
        <v>0</v>
      </c>
      <c r="J253" s="705">
        <f>J260</f>
        <v>0</v>
      </c>
      <c r="K253" s="704">
        <f ca="1">IF(I253&gt;0,J253*100/I253,0)</f>
        <v>0</v>
      </c>
      <c r="L253" s="250"/>
      <c r="M253" s="249"/>
      <c r="N253" s="249"/>
      <c r="O253" s="249"/>
      <c r="P253" s="249"/>
      <c r="Q253" s="249"/>
      <c r="R253" s="249"/>
      <c r="S253" s="249"/>
      <c r="T253" s="249"/>
      <c r="U253" s="249"/>
    </row>
    <row r="254" spans="1:21" ht="19.5" hidden="1">
      <c r="A254" s="155"/>
      <c r="B254" s="50"/>
      <c r="C254" s="591" t="s">
        <v>18</v>
      </c>
      <c r="D254" s="703" t="s">
        <v>19</v>
      </c>
      <c r="E254" s="50"/>
      <c r="F254" s="50"/>
      <c r="G254" s="52"/>
      <c r="H254" s="418" t="s">
        <v>14</v>
      </c>
      <c r="I254" s="163"/>
      <c r="J254" s="163"/>
      <c r="K254" s="164"/>
      <c r="L254" s="541">
        <f ca="1">L255+L256+L257+L258</f>
        <v>0</v>
      </c>
      <c r="M254" s="55"/>
      <c r="N254" s="540">
        <f>N255+N256+N257+N258</f>
        <v>0</v>
      </c>
      <c r="O254" s="540">
        <f ca="1">IF(L254&gt;0,N254*100/L254,0)</f>
        <v>0</v>
      </c>
      <c r="P254" s="540">
        <f>IF(M254&gt;0,N254*100/M254,0)</f>
        <v>0</v>
      </c>
      <c r="Q254" s="55"/>
      <c r="R254" s="55"/>
      <c r="S254" s="55"/>
      <c r="T254" s="55"/>
      <c r="U254" s="55"/>
    </row>
    <row r="255" spans="1:21" ht="18.75" hidden="1">
      <c r="A255" s="155"/>
      <c r="B255" s="188"/>
      <c r="C255" s="50"/>
      <c r="D255" s="186" t="s">
        <v>86</v>
      </c>
      <c r="E255" s="50"/>
      <c r="F255" s="50"/>
      <c r="G255" s="52"/>
      <c r="H255" s="189" t="s">
        <v>14</v>
      </c>
      <c r="I255" s="163"/>
      <c r="J255" s="163"/>
      <c r="K255" s="164"/>
      <c r="L255" s="256">
        <f ca="1">IFERROR(__xludf.DUMMYFUNCTION("IMPORTRANGE(""https://docs.google.com/spreadsheets/d/1eHaY18a8A9IcSdp1K8H6x8fbOy06t2VsZHhMHf-1x7Y/edit?usp=sharing"",""แผน!BB42"")"),0)</f>
        <v>0</v>
      </c>
      <c r="M255" s="55"/>
      <c r="N255" s="702">
        <v>0</v>
      </c>
      <c r="O255" s="55"/>
      <c r="P255" s="55"/>
      <c r="Q255" s="55"/>
      <c r="R255" s="55"/>
      <c r="S255" s="55"/>
      <c r="T255" s="55"/>
      <c r="U255" s="55"/>
    </row>
    <row r="256" spans="1:21" ht="18.75" hidden="1">
      <c r="A256" s="238"/>
      <c r="B256" s="188"/>
      <c r="C256" s="188"/>
      <c r="D256" s="186" t="s">
        <v>88</v>
      </c>
      <c r="E256" s="50"/>
      <c r="F256" s="50"/>
      <c r="G256" s="52"/>
      <c r="H256" s="189" t="s">
        <v>14</v>
      </c>
      <c r="I256" s="54"/>
      <c r="J256" s="54"/>
      <c r="K256" s="55"/>
      <c r="L256" s="256">
        <f ca="1">IFERROR(__xludf.DUMMYFUNCTION("IMPORTRANGE(""https://docs.google.com/spreadsheets/d/1eHaY18a8A9IcSdp1K8H6x8fbOy06t2VsZHhMHf-1x7Y/edit?usp=sharing"",""แผน!BC42"")"),0)</f>
        <v>0</v>
      </c>
      <c r="M256" s="55"/>
      <c r="N256" s="702">
        <v>0</v>
      </c>
      <c r="O256" s="55"/>
      <c r="P256" s="55"/>
      <c r="Q256" s="55"/>
      <c r="R256" s="55"/>
      <c r="S256" s="55"/>
      <c r="T256" s="55"/>
      <c r="U256" s="55"/>
    </row>
    <row r="257" spans="1:21" ht="18.75" hidden="1">
      <c r="A257" s="238"/>
      <c r="B257" s="188"/>
      <c r="C257" s="188"/>
      <c r="D257" s="186" t="s">
        <v>106</v>
      </c>
      <c r="E257" s="50"/>
      <c r="F257" s="50"/>
      <c r="G257" s="52"/>
      <c r="H257" s="189" t="s">
        <v>14</v>
      </c>
      <c r="I257" s="54"/>
      <c r="J257" s="54"/>
      <c r="K257" s="55"/>
      <c r="L257" s="256">
        <f ca="1">IFERROR(__xludf.DUMMYFUNCTION("IMPORTRANGE(""https://docs.google.com/spreadsheets/d/1eHaY18a8A9IcSdp1K8H6x8fbOy06t2VsZHhMHf-1x7Y/edit?usp=sharing"",""แผน!BD42"")"),0)</f>
        <v>0</v>
      </c>
      <c r="M257" s="55"/>
      <c r="N257" s="702">
        <v>0</v>
      </c>
      <c r="O257" s="55"/>
      <c r="P257" s="55"/>
      <c r="Q257" s="55"/>
      <c r="R257" s="55"/>
      <c r="S257" s="55"/>
      <c r="T257" s="55"/>
      <c r="U257" s="55"/>
    </row>
    <row r="258" spans="1:21" ht="18.75" hidden="1">
      <c r="A258" s="238"/>
      <c r="B258" s="188"/>
      <c r="C258" s="188"/>
      <c r="D258" s="186" t="s">
        <v>107</v>
      </c>
      <c r="E258" s="50"/>
      <c r="F258" s="50"/>
      <c r="G258" s="52"/>
      <c r="H258" s="189" t="s">
        <v>14</v>
      </c>
      <c r="I258" s="54"/>
      <c r="J258" s="54"/>
      <c r="K258" s="55"/>
      <c r="L258" s="256">
        <f ca="1">IFERROR(__xludf.DUMMYFUNCTION("IMPORTRANGE(""https://docs.google.com/spreadsheets/d/1eHaY18a8A9IcSdp1K8H6x8fbOy06t2VsZHhMHf-1x7Y/edit?usp=sharing"",""แผน!BE42"")"),0)</f>
        <v>0</v>
      </c>
      <c r="M258" s="55"/>
      <c r="N258" s="702">
        <v>0</v>
      </c>
      <c r="O258" s="55"/>
      <c r="P258" s="55"/>
      <c r="Q258" s="55"/>
      <c r="R258" s="55"/>
      <c r="S258" s="55"/>
      <c r="T258" s="55"/>
      <c r="U258" s="55"/>
    </row>
    <row r="259" spans="1:21" ht="19.5" hidden="1">
      <c r="A259" s="166"/>
      <c r="B259" s="167"/>
      <c r="C259" s="701" t="s">
        <v>18</v>
      </c>
      <c r="D259" s="574" t="s">
        <v>38</v>
      </c>
      <c r="E259" s="169"/>
      <c r="F259" s="169"/>
      <c r="G259" s="170"/>
      <c r="H259" s="171"/>
      <c r="I259" s="163"/>
      <c r="J259" s="54"/>
      <c r="K259" s="55"/>
      <c r="L259" s="62"/>
      <c r="M259" s="55"/>
      <c r="N259" s="55"/>
      <c r="O259" s="164"/>
      <c r="P259" s="164"/>
      <c r="Q259" s="55"/>
      <c r="R259" s="55"/>
      <c r="S259" s="55"/>
      <c r="T259" s="164"/>
      <c r="U259" s="164"/>
    </row>
    <row r="260" spans="1:21" ht="18.75" hidden="1">
      <c r="A260" s="166"/>
      <c r="B260" s="167"/>
      <c r="C260" s="167"/>
      <c r="D260" s="207" t="s">
        <v>108</v>
      </c>
      <c r="E260" s="174"/>
      <c r="F260" s="174"/>
      <c r="G260" s="171"/>
      <c r="H260" s="698" t="s">
        <v>35</v>
      </c>
      <c r="I260" s="483">
        <f ca="1">IFERROR(__xludf.DUMMYFUNCTION("IMPORTRANGE(""https://docs.google.com/spreadsheets/d/1eHaY18a8A9IcSdp1K8H6x8fbOy06t2VsZHhMHf-1x7Y/edit?usp=sharing"",""แผน!BH42"")"),0)</f>
        <v>0</v>
      </c>
      <c r="J260" s="589">
        <v>0</v>
      </c>
      <c r="K260" s="102">
        <f ca="1">IF(I260&gt;0,J260*100/I260,0)</f>
        <v>0</v>
      </c>
      <c r="L260" s="62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8.75" hidden="1">
      <c r="A261" s="166"/>
      <c r="B261" s="167"/>
      <c r="C261" s="167"/>
      <c r="D261" s="700" t="s">
        <v>43</v>
      </c>
      <c r="E261" s="174"/>
      <c r="F261" s="174"/>
      <c r="G261" s="171"/>
      <c r="H261" s="171"/>
      <c r="I261" s="54"/>
      <c r="J261" s="54"/>
      <c r="K261" s="55"/>
      <c r="L261" s="62"/>
      <c r="M261" s="55"/>
      <c r="N261" s="55"/>
      <c r="O261" s="164"/>
      <c r="P261" s="164"/>
      <c r="Q261" s="55"/>
      <c r="R261" s="55"/>
      <c r="S261" s="55"/>
      <c r="T261" s="164"/>
      <c r="U261" s="164"/>
    </row>
    <row r="262" spans="1:21" ht="18.75" hidden="1">
      <c r="A262" s="166"/>
      <c r="B262" s="167"/>
      <c r="C262" s="167"/>
      <c r="D262" s="167"/>
      <c r="E262" s="699" t="s">
        <v>109</v>
      </c>
      <c r="F262" s="174"/>
      <c r="G262" s="171"/>
      <c r="H262" s="698" t="s">
        <v>35</v>
      </c>
      <c r="I262" s="54"/>
      <c r="J262" s="589">
        <v>0</v>
      </c>
      <c r="K262" s="102">
        <f>IF(I262&gt;0,J262*100/I262,0)</f>
        <v>0</v>
      </c>
      <c r="L262" s="62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8.75" hidden="1">
      <c r="A263" s="166"/>
      <c r="B263" s="167"/>
      <c r="C263" s="167"/>
      <c r="D263" s="167"/>
      <c r="E263" s="699" t="s">
        <v>110</v>
      </c>
      <c r="F263" s="174"/>
      <c r="G263" s="171"/>
      <c r="H263" s="698" t="s">
        <v>61</v>
      </c>
      <c r="I263" s="54"/>
      <c r="J263" s="589">
        <v>0</v>
      </c>
      <c r="K263" s="102">
        <f>IF(I263&gt;0,J263*100/I263,0)</f>
        <v>0</v>
      </c>
      <c r="L263" s="62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9.5">
      <c r="A264" s="697" t="s">
        <v>113</v>
      </c>
      <c r="B264" s="696"/>
      <c r="C264" s="696"/>
      <c r="D264" s="695"/>
      <c r="E264" s="695"/>
      <c r="F264" s="695"/>
      <c r="G264" s="694"/>
      <c r="H264" s="694"/>
      <c r="I264" s="693"/>
      <c r="J264" s="693"/>
      <c r="K264" s="691"/>
      <c r="L264" s="692"/>
      <c r="M264" s="691"/>
      <c r="N264" s="691"/>
      <c r="O264" s="691"/>
      <c r="P264" s="691"/>
      <c r="Q264" s="691"/>
      <c r="R264" s="691"/>
      <c r="S264" s="691"/>
      <c r="T264" s="691"/>
      <c r="U264" s="691"/>
    </row>
    <row r="265" spans="1:21" ht="19.5">
      <c r="A265" s="690"/>
      <c r="B265" s="689" t="s">
        <v>114</v>
      </c>
      <c r="C265" s="688"/>
      <c r="D265" s="661"/>
      <c r="E265" s="661"/>
      <c r="F265" s="661"/>
      <c r="G265" s="660"/>
      <c r="H265" s="687" t="s">
        <v>35</v>
      </c>
      <c r="I265" s="686">
        <f ca="1">I276</f>
        <v>26</v>
      </c>
      <c r="J265" s="686">
        <f>J276</f>
        <v>26</v>
      </c>
      <c r="K265" s="685">
        <f ca="1">IF(I265&gt;0,J265*100/I265,0)</f>
        <v>100</v>
      </c>
      <c r="L265" s="684"/>
      <c r="M265" s="683"/>
      <c r="N265" s="683"/>
      <c r="O265" s="683"/>
      <c r="P265" s="683"/>
      <c r="Q265" s="683"/>
      <c r="R265" s="683"/>
      <c r="S265" s="683"/>
      <c r="T265" s="683"/>
      <c r="U265" s="683"/>
    </row>
    <row r="266" spans="1:21" ht="19.5">
      <c r="A266" s="668"/>
      <c r="B266" s="667"/>
      <c r="C266" s="682" t="s">
        <v>18</v>
      </c>
      <c r="D266" s="681" t="s">
        <v>19</v>
      </c>
      <c r="E266" s="667"/>
      <c r="F266" s="667"/>
      <c r="G266" s="666"/>
      <c r="H266" s="680" t="s">
        <v>14</v>
      </c>
      <c r="I266" s="548"/>
      <c r="J266" s="548"/>
      <c r="K266" s="545"/>
      <c r="L266" s="679">
        <f ca="1">L267+L268</f>
        <v>0</v>
      </c>
      <c r="M266" s="678">
        <f ca="1">M267+M268</f>
        <v>5000</v>
      </c>
      <c r="N266" s="678">
        <f ca="1">N267+N268</f>
        <v>5000</v>
      </c>
      <c r="O266" s="678">
        <f ca="1">IF(L266&gt;0,N266*100/L266,0)</f>
        <v>0</v>
      </c>
      <c r="P266" s="678">
        <f ca="1">IF(M266&gt;0,N266*100/M266,0)</f>
        <v>100</v>
      </c>
      <c r="Q266" s="678">
        <f ca="1">Q267+Q268</f>
        <v>56220</v>
      </c>
      <c r="R266" s="678">
        <f ca="1">R267+R268</f>
        <v>56220</v>
      </c>
      <c r="S266" s="678">
        <f ca="1">S267+S268</f>
        <v>47361</v>
      </c>
      <c r="T266" s="678">
        <f ca="1">IF(Q266&gt;0,S266*100/Q266,0)</f>
        <v>84.242262540021343</v>
      </c>
      <c r="U266" s="678">
        <f ca="1">IF(R266&gt;0,S266*100/R266,0)</f>
        <v>84.242262540021343</v>
      </c>
    </row>
    <row r="267" spans="1:21" ht="18.75" hidden="1">
      <c r="A267" s="673"/>
      <c r="B267" s="672"/>
      <c r="C267" s="672"/>
      <c r="D267" s="672"/>
      <c r="E267" s="186" t="s">
        <v>20</v>
      </c>
      <c r="F267" s="672"/>
      <c r="G267" s="671"/>
      <c r="H267" s="187" t="s">
        <v>14</v>
      </c>
      <c r="I267" s="677"/>
      <c r="J267" s="677"/>
      <c r="K267" s="676"/>
      <c r="L267" s="103">
        <f>L270+L273</f>
        <v>0</v>
      </c>
      <c r="M267" s="102">
        <f>M270+M273</f>
        <v>0</v>
      </c>
      <c r="N267" s="102">
        <f>N270+N273</f>
        <v>0</v>
      </c>
      <c r="O267" s="102">
        <f>IF(L267&gt;0,N267*100/L267,0)</f>
        <v>0</v>
      </c>
      <c r="P267" s="102">
        <f>IF(M267&gt;0,N267*100/M267,0)</f>
        <v>0</v>
      </c>
      <c r="Q267" s="102">
        <f>Q270+Q273</f>
        <v>0</v>
      </c>
      <c r="R267" s="102">
        <f>R270+R273</f>
        <v>0</v>
      </c>
      <c r="S267" s="102">
        <f>S270+S273</f>
        <v>0</v>
      </c>
      <c r="T267" s="102">
        <f>IF(Q267&gt;0,S267*100/Q267,0)</f>
        <v>0</v>
      </c>
      <c r="U267" s="102">
        <f>IF(R267&gt;0,S267*100/R267,0)</f>
        <v>0</v>
      </c>
    </row>
    <row r="268" spans="1:21" ht="18.75" hidden="1">
      <c r="A268" s="668"/>
      <c r="B268" s="667"/>
      <c r="C268" s="667"/>
      <c r="D268" s="667"/>
      <c r="E268" s="663" t="s">
        <v>21</v>
      </c>
      <c r="F268" s="667"/>
      <c r="G268" s="666"/>
      <c r="H268" s="549" t="s">
        <v>14</v>
      </c>
      <c r="I268" s="548"/>
      <c r="J268" s="548"/>
      <c r="K268" s="545"/>
      <c r="L268" s="664">
        <f ca="1">L271+L274</f>
        <v>0</v>
      </c>
      <c r="M268" s="555">
        <f ca="1">M271+M274</f>
        <v>5000</v>
      </c>
      <c r="N268" s="555">
        <f ca="1">N271+N274</f>
        <v>5000</v>
      </c>
      <c r="O268" s="555">
        <f ca="1">IF(L268&gt;0,N268*100/L268,0)</f>
        <v>0</v>
      </c>
      <c r="P268" s="555">
        <f ca="1">IF(M268&gt;0,N268*100/M268,0)</f>
        <v>100</v>
      </c>
      <c r="Q268" s="555">
        <f ca="1">Q271+Q274</f>
        <v>56220</v>
      </c>
      <c r="R268" s="555">
        <f ca="1">R271+R274</f>
        <v>56220</v>
      </c>
      <c r="S268" s="555">
        <f ca="1">S271+S274</f>
        <v>47361</v>
      </c>
      <c r="T268" s="555">
        <f ca="1">IF(Q268&gt;0,S268*100/Q268,0)</f>
        <v>84.242262540021343</v>
      </c>
      <c r="U268" s="555">
        <f ca="1">IF(R268&gt;0,S268*100/R268,0)</f>
        <v>84.242262540021343</v>
      </c>
    </row>
    <row r="269" spans="1:21" ht="18.75">
      <c r="A269" s="668"/>
      <c r="B269" s="667"/>
      <c r="C269" s="667"/>
      <c r="D269" s="674" t="s">
        <v>22</v>
      </c>
      <c r="E269" s="667"/>
      <c r="F269" s="667"/>
      <c r="G269" s="666"/>
      <c r="H269" s="675" t="s">
        <v>14</v>
      </c>
      <c r="I269" s="659"/>
      <c r="J269" s="659"/>
      <c r="K269" s="657"/>
      <c r="L269" s="664">
        <f ca="1">L270+L271</f>
        <v>0</v>
      </c>
      <c r="M269" s="555">
        <f ca="1">M270+M271</f>
        <v>5000</v>
      </c>
      <c r="N269" s="555">
        <f ca="1">N270+N271</f>
        <v>5000</v>
      </c>
      <c r="O269" s="555">
        <f ca="1">IF(L269&gt;0,N269*100/L269,0)</f>
        <v>0</v>
      </c>
      <c r="P269" s="555">
        <f ca="1">IF(M269&gt;0,N269*100/M269,0)</f>
        <v>100</v>
      </c>
      <c r="Q269" s="555">
        <f ca="1">Q270+Q271</f>
        <v>56220</v>
      </c>
      <c r="R269" s="555">
        <f ca="1">R270+R271</f>
        <v>56220</v>
      </c>
      <c r="S269" s="555">
        <f ca="1">S270+S271</f>
        <v>47361</v>
      </c>
      <c r="T269" s="555">
        <f ca="1">IF(Q269&gt;0,S269*100/Q269,0)</f>
        <v>84.242262540021343</v>
      </c>
      <c r="U269" s="555">
        <f ca="1">IF(R269&gt;0,S269*100/R269,0)</f>
        <v>84.242262540021343</v>
      </c>
    </row>
    <row r="270" spans="1:21" ht="18.75" hidden="1">
      <c r="A270" s="673"/>
      <c r="B270" s="672"/>
      <c r="C270" s="672"/>
      <c r="D270" s="672"/>
      <c r="E270" s="186" t="s">
        <v>36</v>
      </c>
      <c r="F270" s="672"/>
      <c r="G270" s="671"/>
      <c r="H270" s="189" t="s">
        <v>14</v>
      </c>
      <c r="I270" s="670"/>
      <c r="J270" s="670"/>
      <c r="K270" s="669"/>
      <c r="L270" s="103">
        <v>0</v>
      </c>
      <c r="M270" s="102">
        <v>0</v>
      </c>
      <c r="N270" s="102">
        <v>0</v>
      </c>
      <c r="O270" s="102">
        <f>IF(L270&gt;0,N270*100/L270,0)</f>
        <v>0</v>
      </c>
      <c r="P270" s="102">
        <f>IF(M270&gt;0,N270*100/M270,0)</f>
        <v>0</v>
      </c>
      <c r="Q270" s="102">
        <v>0</v>
      </c>
      <c r="R270" s="102">
        <v>0</v>
      </c>
      <c r="S270" s="102">
        <v>0</v>
      </c>
      <c r="T270" s="102">
        <f>IF(Q270&gt;0,S270*100/Q270,0)</f>
        <v>0</v>
      </c>
      <c r="U270" s="102">
        <f>IF(R270&gt;0,S270*100/R270,0)</f>
        <v>0</v>
      </c>
    </row>
    <row r="271" spans="1:21" ht="18.75" hidden="1">
      <c r="A271" s="668"/>
      <c r="B271" s="667"/>
      <c r="C271" s="667"/>
      <c r="D271" s="667"/>
      <c r="E271" s="663" t="s">
        <v>37</v>
      </c>
      <c r="F271" s="667"/>
      <c r="G271" s="666"/>
      <c r="H271" s="675" t="s">
        <v>14</v>
      </c>
      <c r="I271" s="659"/>
      <c r="J271" s="659"/>
      <c r="K271" s="657"/>
      <c r="L271" s="664">
        <f ca="1">IFERROR(__xludf.DUMMYFUNCTION("IMPORTRANGE(""https://docs.google.com/spreadsheets/d/1-uDff_7J0KD5mKrp0Vvzr7lt3OU09vwQwhkpOPPYv2Y/edit?usp=sharing"",""งบพรบ!DE42"")"),0)</f>
        <v>0</v>
      </c>
      <c r="M271" s="555">
        <f ca="1">IFERROR(__xludf.DUMMYFUNCTION("IMPORTRANGE(""https://docs.google.com/spreadsheets/d/1-uDff_7J0KD5mKrp0Vvzr7lt3OU09vwQwhkpOPPYv2Y/edit?usp=sharing"",""งบพรบ!DJ42"")"),5000)</f>
        <v>5000</v>
      </c>
      <c r="N271" s="555">
        <f ca="1">IFERROR(__xludf.DUMMYFUNCTION("IMPORTRANGE(""https://docs.google.com/spreadsheets/d/1-uDff_7J0KD5mKrp0Vvzr7lt3OU09vwQwhkpOPPYv2Y/edit?usp=sharing"",""งบพรบ!DL42"")"),5000)</f>
        <v>5000</v>
      </c>
      <c r="O271" s="555">
        <f ca="1">IF(L271&gt;0,N271*100/L271,0)</f>
        <v>0</v>
      </c>
      <c r="P271" s="555">
        <f ca="1">IF(M271&gt;0,N271*100/M271,0)</f>
        <v>100</v>
      </c>
      <c r="Q271" s="555">
        <f ca="1">IFERROR(__xludf.DUMMYFUNCTION("IMPORTRANGE(""https://docs.google.com/spreadsheets/d/1ItG2mGa2ceCfYo0BwxsXqNm01IGEUdYcSSLTEv9YCik/edit?usp=sharing"",""เบิกจ่ายกองทุน!AJ42"")"),56220)</f>
        <v>56220</v>
      </c>
      <c r="R271" s="555">
        <f ca="1">IFERROR(__xludf.DUMMYFUNCTION("IMPORTRANGE(""https://docs.google.com/spreadsheets/d/1ItG2mGa2ceCfYo0BwxsXqNm01IGEUdYcSSLTEv9YCik/edit?usp=sharing"",""เบิกจ่ายกองทุน!AK42"")"),56220)</f>
        <v>56220</v>
      </c>
      <c r="S271" s="555">
        <f ca="1">IFERROR(__xludf.DUMMYFUNCTION("IMPORTRANGE(""https://docs.google.com/spreadsheets/d/1ItG2mGa2ceCfYo0BwxsXqNm01IGEUdYcSSLTEv9YCik/edit?usp=sharing"",""เบิกจ่ายกองทุน!AL42"")"),47361)</f>
        <v>47361</v>
      </c>
      <c r="T271" s="555">
        <f ca="1">IF(Q271&gt;0,S271*100/Q271,0)</f>
        <v>84.242262540021343</v>
      </c>
      <c r="U271" s="555">
        <f ca="1">IF(R271&gt;0,S271*100/R271,0)</f>
        <v>84.242262540021343</v>
      </c>
    </row>
    <row r="272" spans="1:21" ht="18.75">
      <c r="A272" s="668"/>
      <c r="B272" s="667"/>
      <c r="C272" s="667"/>
      <c r="D272" s="674" t="s">
        <v>23</v>
      </c>
      <c r="E272" s="667"/>
      <c r="F272" s="667"/>
      <c r="G272" s="666"/>
      <c r="H272" s="665" t="s">
        <v>14</v>
      </c>
      <c r="I272" s="659"/>
      <c r="J272" s="659"/>
      <c r="K272" s="657"/>
      <c r="L272" s="664">
        <f ca="1">L273+L274</f>
        <v>0</v>
      </c>
      <c r="M272" s="555">
        <f ca="1">M273+M274</f>
        <v>0</v>
      </c>
      <c r="N272" s="555">
        <f ca="1">N273+N274</f>
        <v>0</v>
      </c>
      <c r="O272" s="555">
        <f ca="1">IF(L272&gt;0,N272*100/L272,0)</f>
        <v>0</v>
      </c>
      <c r="P272" s="555">
        <f ca="1">IF(M272&gt;0,N272*100/M272,0)</f>
        <v>0</v>
      </c>
      <c r="Q272" s="555">
        <f>Q273+Q274</f>
        <v>0</v>
      </c>
      <c r="R272" s="555">
        <f>R273+R274</f>
        <v>0</v>
      </c>
      <c r="S272" s="555">
        <f>S273+S274</f>
        <v>0</v>
      </c>
      <c r="T272" s="555">
        <f>IF(Q272&gt;0,S272*100/Q272,0)</f>
        <v>0</v>
      </c>
      <c r="U272" s="555">
        <f>IF(R272&gt;0,S272*100/R272,0)</f>
        <v>0</v>
      </c>
    </row>
    <row r="273" spans="1:21" ht="18.75" hidden="1">
      <c r="A273" s="673"/>
      <c r="B273" s="672"/>
      <c r="C273" s="672"/>
      <c r="D273" s="672"/>
      <c r="E273" s="186" t="s">
        <v>20</v>
      </c>
      <c r="F273" s="672"/>
      <c r="G273" s="671"/>
      <c r="H273" s="189" t="s">
        <v>14</v>
      </c>
      <c r="I273" s="670"/>
      <c r="J273" s="670"/>
      <c r="K273" s="669"/>
      <c r="L273" s="103">
        <v>0</v>
      </c>
      <c r="M273" s="102">
        <v>0</v>
      </c>
      <c r="N273" s="102">
        <v>0</v>
      </c>
      <c r="O273" s="102">
        <f>IF(L273&gt;0,N273*100/L273,0)</f>
        <v>0</v>
      </c>
      <c r="P273" s="102">
        <f>IF(M273&gt;0,N273*100/M273,0)</f>
        <v>0</v>
      </c>
      <c r="Q273" s="102">
        <v>0</v>
      </c>
      <c r="R273" s="102">
        <v>0</v>
      </c>
      <c r="S273" s="102">
        <v>0</v>
      </c>
      <c r="T273" s="102">
        <f>IF(Q273&gt;0,S273*100/Q273,0)</f>
        <v>0</v>
      </c>
      <c r="U273" s="102">
        <f>IF(R273&gt;0,S273*100/R273,0)</f>
        <v>0</v>
      </c>
    </row>
    <row r="274" spans="1:21" ht="18.75" hidden="1">
      <c r="A274" s="668"/>
      <c r="B274" s="667"/>
      <c r="C274" s="667"/>
      <c r="D274" s="667"/>
      <c r="E274" s="663" t="s">
        <v>21</v>
      </c>
      <c r="F274" s="667"/>
      <c r="G274" s="666"/>
      <c r="H274" s="665" t="s">
        <v>14</v>
      </c>
      <c r="I274" s="659"/>
      <c r="J274" s="659"/>
      <c r="K274" s="657"/>
      <c r="L274" s="664">
        <f ca="1">IFERROR(__xludf.DUMMYFUNCTION("IMPORTRANGE(""https://docs.google.com/spreadsheets/d/1-uDff_7J0KD5mKrp0Vvzr7lt3OU09vwQwhkpOPPYv2Y/edit?usp=sharing"",""งบพรบ!DH42"")"),0)</f>
        <v>0</v>
      </c>
      <c r="M274" s="555">
        <f ca="1">IFERROR(__xludf.DUMMYFUNCTION("IMPORTRANGE(""https://docs.google.com/spreadsheets/d/1-uDff_7J0KD5mKrp0Vvzr7lt3OU09vwQwhkpOPPYv2Y/edit?usp=sharing"",""งบพรบ!DK42"")"),0)</f>
        <v>0</v>
      </c>
      <c r="N274" s="555">
        <f ca="1">IFERROR(__xludf.DUMMYFUNCTION("IMPORTRANGE(""https://docs.google.com/spreadsheets/d/1-uDff_7J0KD5mKrp0Vvzr7lt3OU09vwQwhkpOPPYv2Y/edit?usp=sharing"",""งบพรบ!DM42"")"),0)</f>
        <v>0</v>
      </c>
      <c r="O274" s="555">
        <f ca="1">IF(L274&gt;0,N274*100/L274,0)</f>
        <v>0</v>
      </c>
      <c r="P274" s="555">
        <f ca="1">IF(M274&gt;0,N274*100/M274,0)</f>
        <v>0</v>
      </c>
      <c r="Q274" s="555">
        <v>0</v>
      </c>
      <c r="R274" s="555">
        <v>0</v>
      </c>
      <c r="S274" s="555">
        <v>0</v>
      </c>
      <c r="T274" s="555">
        <f>IF(Q274&gt;0,S274*100/Q274,0)</f>
        <v>0</v>
      </c>
      <c r="U274" s="555">
        <f>IF(R274&gt;0,S274*100/R274,0)</f>
        <v>0</v>
      </c>
    </row>
    <row r="275" spans="1:21" ht="19.5">
      <c r="A275" s="554"/>
      <c r="B275" s="553"/>
      <c r="C275" s="663" t="s">
        <v>18</v>
      </c>
      <c r="D275" s="662" t="s">
        <v>38</v>
      </c>
      <c r="E275" s="661"/>
      <c r="F275" s="661"/>
      <c r="G275" s="660"/>
      <c r="H275" s="550"/>
      <c r="I275" s="659"/>
      <c r="J275" s="659"/>
      <c r="K275" s="657"/>
      <c r="L275" s="658"/>
      <c r="M275" s="657"/>
      <c r="N275" s="657"/>
      <c r="O275" s="657"/>
      <c r="P275" s="657"/>
      <c r="Q275" s="657"/>
      <c r="R275" s="657"/>
      <c r="S275" s="657"/>
      <c r="T275" s="657"/>
      <c r="U275" s="657"/>
    </row>
    <row r="276" spans="1:21" ht="18.75">
      <c r="A276" s="656"/>
      <c r="B276" s="655"/>
      <c r="C276" s="655"/>
      <c r="D276" s="654" t="s">
        <v>115</v>
      </c>
      <c r="E276" s="653"/>
      <c r="F276" s="653"/>
      <c r="G276" s="652"/>
      <c r="H276" s="651" t="s">
        <v>35</v>
      </c>
      <c r="I276" s="650">
        <f ca="1">IFERROR(__xludf.DUMMYFUNCTION("IMPORTRANGE(""https://docs.google.com/spreadsheets/d/1eHaY18a8A9IcSdp1K8H6x8fbOy06t2VsZHhMHf-1x7Y/edit?usp=sharing"",""แผน!EC42"")"),26)</f>
        <v>26</v>
      </c>
      <c r="J276" s="649">
        <v>26</v>
      </c>
      <c r="K276" s="648">
        <f ca="1">IF(I276&gt;0,J276*100/I276,0)</f>
        <v>100</v>
      </c>
      <c r="L276" s="546"/>
      <c r="M276" s="545"/>
      <c r="N276" s="545"/>
      <c r="O276" s="545"/>
      <c r="P276" s="545"/>
      <c r="Q276" s="545"/>
      <c r="R276" s="545"/>
      <c r="S276" s="545"/>
      <c r="T276" s="545"/>
      <c r="U276" s="545"/>
    </row>
    <row r="277" spans="1:21" ht="18.75" hidden="1">
      <c r="A277" s="281"/>
      <c r="B277" s="282"/>
      <c r="C277" s="282"/>
      <c r="D277" s="647" t="s">
        <v>116</v>
      </c>
      <c r="E277" s="2"/>
      <c r="F277" s="2"/>
      <c r="G277" s="284"/>
      <c r="H277" s="646" t="s">
        <v>35</v>
      </c>
      <c r="I277" s="486">
        <v>0</v>
      </c>
      <c r="J277" s="486">
        <v>0</v>
      </c>
      <c r="K277" s="645">
        <v>0</v>
      </c>
      <c r="L277" s="287"/>
      <c r="M277" s="286"/>
      <c r="N277" s="286"/>
      <c r="O277" s="286"/>
      <c r="P277" s="286"/>
      <c r="Q277" s="286"/>
      <c r="R277" s="286"/>
      <c r="S277" s="286"/>
      <c r="T277" s="286"/>
      <c r="U277" s="286"/>
    </row>
    <row r="278" spans="1:21" ht="19.5">
      <c r="A278" s="288" t="s">
        <v>117</v>
      </c>
      <c r="B278" s="289"/>
      <c r="C278" s="289"/>
      <c r="D278" s="289"/>
      <c r="E278" s="290"/>
      <c r="F278" s="290"/>
      <c r="G278" s="290"/>
      <c r="H278" s="290"/>
      <c r="I278" s="291"/>
      <c r="J278" s="291"/>
      <c r="K278" s="292"/>
      <c r="L278" s="292"/>
      <c r="M278" s="292"/>
      <c r="N278" s="292"/>
      <c r="O278" s="292"/>
      <c r="P278" s="293"/>
      <c r="Q278" s="292"/>
      <c r="R278" s="292"/>
      <c r="S278" s="292"/>
      <c r="T278" s="292"/>
      <c r="U278" s="293"/>
    </row>
    <row r="279" spans="1:21" ht="19.5">
      <c r="A279" s="294" t="s">
        <v>118</v>
      </c>
      <c r="B279" s="295"/>
      <c r="C279" s="296"/>
      <c r="D279" s="295"/>
      <c r="E279" s="295"/>
      <c r="F279" s="295"/>
      <c r="G279" s="295"/>
      <c r="H279" s="295"/>
      <c r="I279" s="297"/>
      <c r="J279" s="298"/>
      <c r="K279" s="299"/>
      <c r="L279" s="300"/>
      <c r="M279" s="299"/>
      <c r="N279" s="299"/>
      <c r="O279" s="299"/>
      <c r="P279" s="299"/>
      <c r="Q279" s="299"/>
      <c r="R279" s="299"/>
      <c r="S279" s="299"/>
      <c r="T279" s="299"/>
      <c r="U279" s="299"/>
    </row>
    <row r="280" spans="1:21" ht="19.5">
      <c r="A280" s="301"/>
      <c r="B280" s="302" t="s">
        <v>119</v>
      </c>
      <c r="C280" s="303"/>
      <c r="D280" s="304"/>
      <c r="E280" s="303"/>
      <c r="F280" s="303"/>
      <c r="G280" s="305"/>
      <c r="H280" s="306" t="s">
        <v>35</v>
      </c>
      <c r="I280" s="644">
        <f ca="1">I293</f>
        <v>30</v>
      </c>
      <c r="J280" s="644">
        <f>J293</f>
        <v>30</v>
      </c>
      <c r="K280" s="643">
        <f ca="1">IF(I280&gt;0,J280*100/I280,0)</f>
        <v>100</v>
      </c>
      <c r="L280" s="310"/>
      <c r="M280" s="309"/>
      <c r="N280" s="309"/>
      <c r="O280" s="309"/>
      <c r="P280" s="309"/>
      <c r="Q280" s="309"/>
      <c r="R280" s="309"/>
      <c r="S280" s="309"/>
      <c r="T280" s="309"/>
      <c r="U280" s="309"/>
    </row>
    <row r="281" spans="1:21" ht="19.5">
      <c r="A281" s="301"/>
      <c r="B281" s="303"/>
      <c r="C281" s="303"/>
      <c r="D281" s="304"/>
      <c r="E281" s="303"/>
      <c r="F281" s="303"/>
      <c r="G281" s="305"/>
      <c r="H281" s="306" t="s">
        <v>46</v>
      </c>
      <c r="I281" s="644">
        <f ca="1">I292</f>
        <v>300</v>
      </c>
      <c r="J281" s="644">
        <f>J292</f>
        <v>300</v>
      </c>
      <c r="K281" s="643">
        <f ca="1">IF(I281&gt;0,J281*100/I281,0)</f>
        <v>100</v>
      </c>
      <c r="L281" s="310"/>
      <c r="M281" s="309"/>
      <c r="N281" s="309"/>
      <c r="O281" s="309"/>
      <c r="P281" s="309"/>
      <c r="Q281" s="309"/>
      <c r="R281" s="309"/>
      <c r="S281" s="309"/>
      <c r="T281" s="309"/>
      <c r="U281" s="309"/>
    </row>
    <row r="282" spans="1:21" ht="19.5">
      <c r="A282" s="155"/>
      <c r="B282" s="50"/>
      <c r="C282" s="156" t="s">
        <v>18</v>
      </c>
      <c r="D282" s="575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541">
        <f ca="1">L283+L284</f>
        <v>172920</v>
      </c>
      <c r="M282" s="540">
        <f ca="1">M283+M284</f>
        <v>172920</v>
      </c>
      <c r="N282" s="540">
        <f ca="1">N283+N284</f>
        <v>167195.79999999999</v>
      </c>
      <c r="O282" s="540">
        <f ca="1">IF(L282&gt;0,N282*100/L282,0)</f>
        <v>96.689683090446437</v>
      </c>
      <c r="P282" s="540">
        <f ca="1">IF(M282&gt;0,N282*100/M282,0)</f>
        <v>96.689683090446437</v>
      </c>
      <c r="Q282" s="540">
        <f>Q283+Q284</f>
        <v>0</v>
      </c>
      <c r="R282" s="540">
        <f>R283+R284</f>
        <v>0</v>
      </c>
      <c r="S282" s="540">
        <f>S283+S284</f>
        <v>0</v>
      </c>
      <c r="T282" s="540">
        <f>IF(Q282&gt;0,S282*100/Q282,0)</f>
        <v>0</v>
      </c>
      <c r="U282" s="540">
        <f>IF(R282&gt;0,S282*100/R282,0)</f>
        <v>0</v>
      </c>
    </row>
    <row r="283" spans="1:21" ht="18.75" hidden="1">
      <c r="A283" s="155"/>
      <c r="B283" s="50"/>
      <c r="C283" s="50"/>
      <c r="D283" s="50"/>
      <c r="E283" s="186" t="s">
        <v>20</v>
      </c>
      <c r="F283" s="50"/>
      <c r="G283" s="52"/>
      <c r="H283" s="187" t="s">
        <v>14</v>
      </c>
      <c r="I283" s="54"/>
      <c r="J283" s="54"/>
      <c r="K283" s="55"/>
      <c r="L283" s="103">
        <f>L286+L289</f>
        <v>0</v>
      </c>
      <c r="M283" s="102">
        <f>M286+M289</f>
        <v>0</v>
      </c>
      <c r="N283" s="102">
        <f>N286+N289</f>
        <v>0</v>
      </c>
      <c r="O283" s="102">
        <f>IF(L283&gt;0,N283*100/L283,0)</f>
        <v>0</v>
      </c>
      <c r="P283" s="102">
        <f>IF(M283&gt;0,N283*100/M283,0)</f>
        <v>0</v>
      </c>
      <c r="Q283" s="102">
        <f>Q286+Q289</f>
        <v>0</v>
      </c>
      <c r="R283" s="102">
        <f>R286+R289</f>
        <v>0</v>
      </c>
      <c r="S283" s="102">
        <f>S286+S289</f>
        <v>0</v>
      </c>
      <c r="T283" s="102">
        <f>IF(Q283&gt;0,S283*100/Q283,0)</f>
        <v>0</v>
      </c>
      <c r="U283" s="102">
        <f>IF(R283&gt;0,S283*100/R283,0)</f>
        <v>0</v>
      </c>
    </row>
    <row r="284" spans="1:21" ht="18.75" hidden="1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256">
        <f ca="1">L287+L290</f>
        <v>172920</v>
      </c>
      <c r="M284" s="255">
        <f ca="1">M287+M290</f>
        <v>172920</v>
      </c>
      <c r="N284" s="255">
        <f ca="1">N287+N290</f>
        <v>167195.79999999999</v>
      </c>
      <c r="O284" s="255">
        <f ca="1">IF(L284&gt;0,N284*100/L284,0)</f>
        <v>96.689683090446437</v>
      </c>
      <c r="P284" s="255">
        <f ca="1">IF(M284&gt;0,N284*100/M284,0)</f>
        <v>96.689683090446437</v>
      </c>
      <c r="Q284" s="255">
        <f>Q287+Q290</f>
        <v>0</v>
      </c>
      <c r="R284" s="255">
        <f>R287+R290</f>
        <v>0</v>
      </c>
      <c r="S284" s="255">
        <f>S287+S290</f>
        <v>0</v>
      </c>
      <c r="T284" s="255">
        <f>IF(Q284&gt;0,S284*100/Q284,0)</f>
        <v>0</v>
      </c>
      <c r="U284" s="255">
        <f>IF(R284&gt;0,S284*100/R284,0)</f>
        <v>0</v>
      </c>
    </row>
    <row r="285" spans="1:21" ht="18.75">
      <c r="A285" s="155"/>
      <c r="B285" s="50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256">
        <f ca="1">L286+L287</f>
        <v>172920</v>
      </c>
      <c r="M285" s="255">
        <f ca="1">M286+M287</f>
        <v>172920</v>
      </c>
      <c r="N285" s="255">
        <f ca="1">N286+N287</f>
        <v>167195.79999999999</v>
      </c>
      <c r="O285" s="255">
        <f ca="1">IF(L285&gt;0,N285*100/L285,0)</f>
        <v>96.689683090446437</v>
      </c>
      <c r="P285" s="255">
        <f ca="1">IF(M285&gt;0,N285*100/M285,0)</f>
        <v>96.689683090446437</v>
      </c>
      <c r="Q285" s="255">
        <f>Q286+Q287</f>
        <v>0</v>
      </c>
      <c r="R285" s="255">
        <f>R286+R287</f>
        <v>0</v>
      </c>
      <c r="S285" s="255">
        <f>S286+S287</f>
        <v>0</v>
      </c>
      <c r="T285" s="255">
        <f>IF(Q285&gt;0,S285*100/Q285,0)</f>
        <v>0</v>
      </c>
      <c r="U285" s="255">
        <f>IF(R285&gt;0,S285*100/R285,0)</f>
        <v>0</v>
      </c>
    </row>
    <row r="286" spans="1:21" ht="18.75" hidden="1">
      <c r="A286" s="155"/>
      <c r="B286" s="50"/>
      <c r="C286" s="50"/>
      <c r="D286" s="50"/>
      <c r="E286" s="186" t="s">
        <v>36</v>
      </c>
      <c r="F286" s="50"/>
      <c r="G286" s="52"/>
      <c r="H286" s="189" t="s">
        <v>14</v>
      </c>
      <c r="I286" s="163"/>
      <c r="J286" s="163"/>
      <c r="K286" s="164"/>
      <c r="L286" s="103">
        <v>0</v>
      </c>
      <c r="M286" s="102">
        <v>0</v>
      </c>
      <c r="N286" s="102">
        <v>0</v>
      </c>
      <c r="O286" s="102">
        <f>IF(L286&gt;0,N286*100/L286,0)</f>
        <v>0</v>
      </c>
      <c r="P286" s="102">
        <f>IF(M286&gt;0,N286*100/M286,0)</f>
        <v>0</v>
      </c>
      <c r="Q286" s="102">
        <v>0</v>
      </c>
      <c r="R286" s="102">
        <v>0</v>
      </c>
      <c r="S286" s="102">
        <v>0</v>
      </c>
      <c r="T286" s="102">
        <f>IF(Q286&gt;0,S286*100/Q286,0)</f>
        <v>0</v>
      </c>
      <c r="U286" s="102">
        <f>IF(R286&gt;0,S286*100/R286,0)</f>
        <v>0</v>
      </c>
    </row>
    <row r="287" spans="1:21" ht="18.75" hidden="1">
      <c r="A287" s="155"/>
      <c r="B287" s="50"/>
      <c r="C287" s="50"/>
      <c r="D287" s="50"/>
      <c r="E287" s="58" t="s">
        <v>37</v>
      </c>
      <c r="F287" s="50"/>
      <c r="G287" s="52"/>
      <c r="H287" s="162" t="s">
        <v>14</v>
      </c>
      <c r="I287" s="163"/>
      <c r="J287" s="163"/>
      <c r="K287" s="164"/>
      <c r="L287" s="256">
        <f ca="1">IFERROR(__xludf.DUMMYFUNCTION("IMPORTRANGE(""https://docs.google.com/spreadsheets/d/1-uDff_7J0KD5mKrp0Vvzr7lt3OU09vwQwhkpOPPYv2Y/edit?usp=sharing"",""งบพรบ!DO42"")"),172920)</f>
        <v>172920</v>
      </c>
      <c r="M287" s="255">
        <f ca="1">IFERROR(__xludf.DUMMYFUNCTION("IMPORTRANGE(""https://docs.google.com/spreadsheets/d/1-uDff_7J0KD5mKrp0Vvzr7lt3OU09vwQwhkpOPPYv2Y/edit?usp=sharing"",""งบพรบ!DT42"")"),172920)</f>
        <v>172920</v>
      </c>
      <c r="N287" s="255">
        <f ca="1">IFERROR(__xludf.DUMMYFUNCTION("IMPORTRANGE(""https://docs.google.com/spreadsheets/d/1-uDff_7J0KD5mKrp0Vvzr7lt3OU09vwQwhkpOPPYv2Y/edit?usp=sharing"",""งบพรบ!DV42"")"),167195.8)</f>
        <v>167195.79999999999</v>
      </c>
      <c r="O287" s="255">
        <f ca="1">IF(L287&gt;0,N287*100/L287,0)</f>
        <v>96.689683090446437</v>
      </c>
      <c r="P287" s="255">
        <f ca="1">IF(M287&gt;0,N287*100/M287,0)</f>
        <v>96.689683090446437</v>
      </c>
      <c r="Q287" s="255">
        <v>0</v>
      </c>
      <c r="R287" s="255">
        <v>0</v>
      </c>
      <c r="S287" s="255">
        <v>0</v>
      </c>
      <c r="T287" s="102">
        <f>IF(Q287&gt;0,S287*100/Q287,0)</f>
        <v>0</v>
      </c>
      <c r="U287" s="102">
        <f>IF(R287&gt;0,S287*100/R287,0)</f>
        <v>0</v>
      </c>
    </row>
    <row r="288" spans="1:21" ht="18.75">
      <c r="A288" s="155"/>
      <c r="B288" s="50"/>
      <c r="C288" s="50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256">
        <f ca="1">L289+L290</f>
        <v>0</v>
      </c>
      <c r="M288" s="255">
        <f ca="1">M289+M290</f>
        <v>0</v>
      </c>
      <c r="N288" s="255">
        <f ca="1">N289+N290</f>
        <v>0</v>
      </c>
      <c r="O288" s="255">
        <f ca="1">IF(L288&gt;0,N288*100/L288,0)</f>
        <v>0</v>
      </c>
      <c r="P288" s="255">
        <f ca="1">IF(M288&gt;0,N288*100/M288,0)</f>
        <v>0</v>
      </c>
      <c r="Q288" s="255">
        <f>Q289+Q290</f>
        <v>0</v>
      </c>
      <c r="R288" s="255">
        <f>R289+R290</f>
        <v>0</v>
      </c>
      <c r="S288" s="255">
        <f>S289+S290</f>
        <v>0</v>
      </c>
      <c r="T288" s="255">
        <f>IF(Q288&gt;0,S288*100/Q288,0)</f>
        <v>0</v>
      </c>
      <c r="U288" s="255">
        <f>IF(R288&gt;0,S288*100/R288,0)</f>
        <v>0</v>
      </c>
    </row>
    <row r="289" spans="1:21" ht="18.75" hidden="1">
      <c r="A289" s="155"/>
      <c r="B289" s="50"/>
      <c r="C289" s="50"/>
      <c r="D289" s="50"/>
      <c r="E289" s="186" t="s">
        <v>20</v>
      </c>
      <c r="F289" s="50"/>
      <c r="G289" s="52"/>
      <c r="H289" s="189" t="s">
        <v>14</v>
      </c>
      <c r="I289" s="163"/>
      <c r="J289" s="163"/>
      <c r="K289" s="164"/>
      <c r="L289" s="103">
        <v>0</v>
      </c>
      <c r="M289" s="102">
        <v>0</v>
      </c>
      <c r="N289" s="102">
        <v>0</v>
      </c>
      <c r="O289" s="102">
        <f>IF(L289&gt;0,N289*100/L289,0)</f>
        <v>0</v>
      </c>
      <c r="P289" s="102">
        <f>IF(M289&gt;0,N289*100/M289,0)</f>
        <v>0</v>
      </c>
      <c r="Q289" s="102">
        <v>0</v>
      </c>
      <c r="R289" s="102">
        <v>0</v>
      </c>
      <c r="S289" s="102">
        <v>0</v>
      </c>
      <c r="T289" s="102">
        <f>IF(Q289&gt;0,S289*100/Q289,0)</f>
        <v>0</v>
      </c>
      <c r="U289" s="102">
        <f>IF(R289&gt;0,S289*100/R289,0)</f>
        <v>0</v>
      </c>
    </row>
    <row r="290" spans="1:21" ht="18.75" hidden="1">
      <c r="A290" s="155"/>
      <c r="B290" s="50"/>
      <c r="C290" s="50"/>
      <c r="D290" s="50"/>
      <c r="E290" s="58" t="s">
        <v>21</v>
      </c>
      <c r="F290" s="50"/>
      <c r="G290" s="52"/>
      <c r="H290" s="165" t="s">
        <v>14</v>
      </c>
      <c r="I290" s="163"/>
      <c r="J290" s="163"/>
      <c r="K290" s="164"/>
      <c r="L290" s="256">
        <f ca="1">IFERROR(__xludf.DUMMYFUNCTION("IMPORTRANGE(""https://docs.google.com/spreadsheets/d/1-uDff_7J0KD5mKrp0Vvzr7lt3OU09vwQwhkpOPPYv2Y/edit?usp=sharing"",""งบพรบ!DR42"")"),0)</f>
        <v>0</v>
      </c>
      <c r="M290" s="255">
        <f ca="1">IFERROR(__xludf.DUMMYFUNCTION("IMPORTRANGE(""https://docs.google.com/spreadsheets/d/1-uDff_7J0KD5mKrp0Vvzr7lt3OU09vwQwhkpOPPYv2Y/edit?usp=sharing"",""งบพรบ!DU42"")"),0)</f>
        <v>0</v>
      </c>
      <c r="N290" s="255">
        <f ca="1">IFERROR(__xludf.DUMMYFUNCTION("IMPORTRANGE(""https://docs.google.com/spreadsheets/d/1-uDff_7J0KD5mKrp0Vvzr7lt3OU09vwQwhkpOPPYv2Y/edit?usp=sharing"",""งบพรบ!DW42"")"),0)</f>
        <v>0</v>
      </c>
      <c r="O290" s="255">
        <f ca="1">IF(L290&gt;0,N290*100/L290,0)</f>
        <v>0</v>
      </c>
      <c r="P290" s="255">
        <f ca="1">IF(M290&gt;0,N290*100/M290,0)</f>
        <v>0</v>
      </c>
      <c r="Q290" s="255">
        <v>0</v>
      </c>
      <c r="R290" s="255">
        <v>0</v>
      </c>
      <c r="S290" s="255">
        <v>0</v>
      </c>
      <c r="T290" s="255">
        <f>IF(Q290&gt;0,S290*100/Q290,0)</f>
        <v>0</v>
      </c>
      <c r="U290" s="255">
        <f>IF(R290&gt;0,S290*100/R290,0)</f>
        <v>0</v>
      </c>
    </row>
    <row r="291" spans="1:21" ht="19.5">
      <c r="A291" s="166"/>
      <c r="B291" s="167"/>
      <c r="C291" s="156" t="s">
        <v>18</v>
      </c>
      <c r="D291" s="566" t="s">
        <v>38</v>
      </c>
      <c r="E291" s="169"/>
      <c r="F291" s="169"/>
      <c r="G291" s="170"/>
      <c r="H291" s="171"/>
      <c r="I291" s="163"/>
      <c r="J291" s="163"/>
      <c r="K291" s="164"/>
      <c r="L291" s="172"/>
      <c r="M291" s="164"/>
      <c r="N291" s="164"/>
      <c r="O291" s="164"/>
      <c r="P291" s="164"/>
      <c r="Q291" s="164"/>
      <c r="R291" s="164"/>
      <c r="S291" s="164"/>
      <c r="T291" s="164"/>
      <c r="U291" s="164"/>
    </row>
    <row r="292" spans="1:21" ht="18.75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212">
        <f ca="1">IFERROR(__xludf.DUMMYFUNCTION("IMPORTRANGE(""https://docs.google.com/spreadsheets/d/1eHaY18a8A9IcSdp1K8H6x8fbOy06t2VsZHhMHf-1x7Y/edit?usp=sharing"",""แผน!EE42"")"),300)</f>
        <v>300</v>
      </c>
      <c r="J292" s="467">
        <v>300</v>
      </c>
      <c r="K292" s="565">
        <f ca="1">IF(I292&gt;0,J292*100/I292,0)</f>
        <v>100</v>
      </c>
      <c r="L292" s="172"/>
      <c r="M292" s="164"/>
      <c r="N292" s="164"/>
      <c r="O292" s="164"/>
      <c r="P292" s="164"/>
      <c r="Q292" s="164"/>
      <c r="R292" s="164"/>
      <c r="S292" s="164"/>
      <c r="T292" s="164"/>
      <c r="U292" s="164"/>
    </row>
    <row r="293" spans="1:21" ht="19.5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373">
        <f ca="1">IFERROR(__xludf.DUMMYFUNCTION("IMPORTRANGE(""https://docs.google.com/spreadsheets/d/1eHaY18a8A9IcSdp1K8H6x8fbOy06t2VsZHhMHf-1x7Y/edit?usp=sharing"",""แผน!ED42"")"),30)</f>
        <v>30</v>
      </c>
      <c r="J293" s="373">
        <f>J296</f>
        <v>30</v>
      </c>
      <c r="K293" s="642">
        <f ca="1">IF(I293&gt;0,J293*100/I293,0)</f>
        <v>100</v>
      </c>
      <c r="L293" s="172"/>
      <c r="M293" s="164"/>
      <c r="N293" s="164"/>
      <c r="O293" s="164"/>
      <c r="P293" s="164"/>
      <c r="Q293" s="164"/>
      <c r="R293" s="164"/>
      <c r="S293" s="164"/>
      <c r="T293" s="164"/>
      <c r="U293" s="164"/>
    </row>
    <row r="294" spans="1:21" ht="19.5">
      <c r="A294" s="166"/>
      <c r="B294" s="167"/>
      <c r="C294" s="167"/>
      <c r="D294" s="174"/>
      <c r="E294" s="194" t="s">
        <v>122</v>
      </c>
      <c r="F294" s="174"/>
      <c r="G294" s="171"/>
      <c r="H294" s="171"/>
      <c r="I294" s="163"/>
      <c r="J294" s="54"/>
      <c r="K294" s="164"/>
      <c r="L294" s="172"/>
      <c r="M294" s="164"/>
      <c r="N294" s="164"/>
      <c r="O294" s="164"/>
      <c r="P294" s="164"/>
      <c r="Q294" s="164"/>
      <c r="R294" s="164"/>
      <c r="S294" s="164"/>
      <c r="T294" s="164"/>
      <c r="U294" s="164"/>
    </row>
    <row r="295" spans="1:21" ht="19.5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641">
        <f ca="1">IFERROR(__xludf.DUMMYFUNCTION("IMPORTRANGE(""https://docs.google.com/spreadsheets/d/1eHaY18a8A9IcSdp1K8H6x8fbOy06t2VsZHhMHf-1x7Y/edit?usp=sharing"",""แผน!ED42"")"),30)</f>
        <v>30</v>
      </c>
      <c r="J295" s="467">
        <v>30</v>
      </c>
      <c r="K295" s="565">
        <f ca="1">IF(I295&gt;0,J295*100/I295,0)</f>
        <v>100</v>
      </c>
      <c r="L295" s="172"/>
      <c r="M295" s="164"/>
      <c r="N295" s="164"/>
      <c r="O295" s="164"/>
      <c r="P295" s="164"/>
      <c r="Q295" s="164"/>
      <c r="R295" s="164"/>
      <c r="S295" s="164"/>
      <c r="T295" s="164"/>
      <c r="U295" s="164"/>
    </row>
    <row r="296" spans="1:21" ht="19.5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641">
        <f ca="1">IFERROR(__xludf.DUMMYFUNCTION("IMPORTRANGE(""https://docs.google.com/spreadsheets/d/1eHaY18a8A9IcSdp1K8H6x8fbOy06t2VsZHhMHf-1x7Y/edit?usp=sharing"",""แผน!ED42"")"),30)</f>
        <v>30</v>
      </c>
      <c r="J296" s="467">
        <v>30</v>
      </c>
      <c r="K296" s="565">
        <f ca="1">IF(I296&gt;0,J296*100/I296,0)</f>
        <v>100</v>
      </c>
      <c r="L296" s="172"/>
      <c r="M296" s="164"/>
      <c r="N296" s="164"/>
      <c r="O296" s="164"/>
      <c r="P296" s="164"/>
      <c r="Q296" s="164"/>
      <c r="R296" s="164"/>
      <c r="S296" s="164"/>
      <c r="T296" s="164"/>
      <c r="U296" s="164"/>
    </row>
    <row r="297" spans="1:21" ht="12.75" hidden="1">
      <c r="A297" s="192"/>
      <c r="B297" s="193"/>
      <c r="C297" s="193"/>
      <c r="D297" s="22"/>
      <c r="E297" s="22"/>
      <c r="F297" s="22"/>
      <c r="G297" s="23"/>
      <c r="H297" s="23"/>
      <c r="I297" s="24"/>
      <c r="J297" s="24"/>
      <c r="K297" s="25"/>
      <c r="L297" s="26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2.75" hidden="1">
      <c r="A298" s="192"/>
      <c r="B298" s="193"/>
      <c r="C298" s="193"/>
      <c r="D298" s="22"/>
      <c r="E298" s="22"/>
      <c r="F298" s="22"/>
      <c r="G298" s="23"/>
      <c r="H298" s="23"/>
      <c r="I298" s="24"/>
      <c r="J298" s="24"/>
      <c r="K298" s="25"/>
      <c r="L298" s="26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2.75" hidden="1">
      <c r="A299" s="311"/>
      <c r="B299" s="312"/>
      <c r="C299" s="312"/>
      <c r="D299" s="27"/>
      <c r="E299" s="27"/>
      <c r="F299" s="27"/>
      <c r="G299" s="17"/>
      <c r="H299" s="17"/>
      <c r="I299" s="18"/>
      <c r="J299" s="18"/>
      <c r="K299" s="19"/>
      <c r="L299" s="28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>
      <c r="A300" s="313" t="s">
        <v>125</v>
      </c>
      <c r="B300" s="314"/>
      <c r="C300" s="314"/>
      <c r="D300" s="314"/>
      <c r="E300" s="315"/>
      <c r="F300" s="315"/>
      <c r="G300" s="315"/>
      <c r="H300" s="315"/>
      <c r="I300" s="316"/>
      <c r="J300" s="316"/>
      <c r="K300" s="317"/>
      <c r="L300" s="317"/>
      <c r="M300" s="317"/>
      <c r="N300" s="317"/>
      <c r="O300" s="317"/>
      <c r="P300" s="318"/>
      <c r="Q300" s="317"/>
      <c r="R300" s="317"/>
      <c r="S300" s="317"/>
      <c r="T300" s="317"/>
      <c r="U300" s="318"/>
    </row>
    <row r="301" spans="1:21" ht="19.5">
      <c r="A301" s="319" t="s">
        <v>126</v>
      </c>
      <c r="B301" s="320"/>
      <c r="C301" s="320"/>
      <c r="D301" s="321"/>
      <c r="E301" s="321"/>
      <c r="F301" s="321"/>
      <c r="G301" s="322"/>
      <c r="H301" s="322"/>
      <c r="I301" s="323"/>
      <c r="J301" s="323"/>
      <c r="K301" s="324"/>
      <c r="L301" s="325"/>
      <c r="M301" s="324"/>
      <c r="N301" s="324"/>
      <c r="O301" s="324"/>
      <c r="P301" s="324"/>
      <c r="Q301" s="324"/>
      <c r="R301" s="324"/>
      <c r="S301" s="324"/>
      <c r="T301" s="324"/>
      <c r="U301" s="324"/>
    </row>
    <row r="302" spans="1:21" ht="19.5">
      <c r="A302" s="326"/>
      <c r="B302" s="327" t="s">
        <v>127</v>
      </c>
      <c r="C302" s="328"/>
      <c r="D302" s="328"/>
      <c r="E302" s="328"/>
      <c r="F302" s="328"/>
      <c r="G302" s="329"/>
      <c r="H302" s="330" t="s">
        <v>35</v>
      </c>
      <c r="I302" s="605">
        <f ca="1">I314</f>
        <v>50</v>
      </c>
      <c r="J302" s="605">
        <f>J314</f>
        <v>0</v>
      </c>
      <c r="K302" s="604">
        <f ca="1">IF(I302&gt;0,J302*100/I302,0)</f>
        <v>0</v>
      </c>
      <c r="L302" s="334"/>
      <c r="M302" s="333"/>
      <c r="N302" s="333"/>
      <c r="O302" s="333"/>
      <c r="P302" s="333"/>
      <c r="Q302" s="333"/>
      <c r="R302" s="333"/>
      <c r="S302" s="333"/>
      <c r="T302" s="333"/>
      <c r="U302" s="333"/>
    </row>
    <row r="303" spans="1:21" ht="19.5">
      <c r="A303" s="155"/>
      <c r="B303" s="50"/>
      <c r="C303" s="156" t="s">
        <v>18</v>
      </c>
      <c r="D303" s="575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541">
        <f ca="1">L304+L305</f>
        <v>0</v>
      </c>
      <c r="M303" s="540">
        <f ca="1">M304+M305</f>
        <v>0</v>
      </c>
      <c r="N303" s="540">
        <f ca="1">N304+N305</f>
        <v>0</v>
      </c>
      <c r="O303" s="540">
        <f ca="1">IF(L303&gt;0,N303*100/L303,0)</f>
        <v>0</v>
      </c>
      <c r="P303" s="540">
        <f ca="1">IF(M303&gt;0,N303*100/M303,0)</f>
        <v>0</v>
      </c>
      <c r="Q303" s="540">
        <f ca="1">Q304+Q305</f>
        <v>384158.99</v>
      </c>
      <c r="R303" s="540">
        <f ca="1">R304+R305</f>
        <v>384159</v>
      </c>
      <c r="S303" s="540">
        <f ca="1">S304+S305</f>
        <v>0</v>
      </c>
      <c r="T303" s="540">
        <f ca="1">IF(Q303&gt;0,S303*100/Q303,0)</f>
        <v>0</v>
      </c>
      <c r="U303" s="540">
        <f ca="1">IF(R303&gt;0,S303*100/R303,0)</f>
        <v>0</v>
      </c>
    </row>
    <row r="304" spans="1:21" ht="18.75" hidden="1">
      <c r="A304" s="155"/>
      <c r="B304" s="50"/>
      <c r="C304" s="50"/>
      <c r="D304" s="50"/>
      <c r="E304" s="186" t="s">
        <v>20</v>
      </c>
      <c r="F304" s="50"/>
      <c r="G304" s="52"/>
      <c r="H304" s="187" t="s">
        <v>14</v>
      </c>
      <c r="I304" s="54"/>
      <c r="J304" s="54"/>
      <c r="K304" s="55"/>
      <c r="L304" s="103">
        <f>L307+L310</f>
        <v>0</v>
      </c>
      <c r="M304" s="102">
        <f>M307+M310</f>
        <v>0</v>
      </c>
      <c r="N304" s="102">
        <f>N307+N310</f>
        <v>0</v>
      </c>
      <c r="O304" s="102">
        <f>IF(L304&gt;0,N304*100/L304,0)</f>
        <v>0</v>
      </c>
      <c r="P304" s="102">
        <f>IF(M304&gt;0,N304*100/M304,0)</f>
        <v>0</v>
      </c>
      <c r="Q304" s="102">
        <f>Q307+Q310</f>
        <v>0</v>
      </c>
      <c r="R304" s="102">
        <f>R307+R310</f>
        <v>0</v>
      </c>
      <c r="S304" s="102">
        <f>S307+S310</f>
        <v>0</v>
      </c>
      <c r="T304" s="102">
        <f>IF(Q304&gt;0,S304*100/Q304,0)</f>
        <v>0</v>
      </c>
      <c r="U304" s="102">
        <f>IF(R304&gt;0,S304*100/R304,0)</f>
        <v>0</v>
      </c>
    </row>
    <row r="305" spans="1:21" ht="18.75" hidden="1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256">
        <f ca="1">L308+L311</f>
        <v>0</v>
      </c>
      <c r="M305" s="255">
        <f ca="1">M308+M311</f>
        <v>0</v>
      </c>
      <c r="N305" s="255">
        <f ca="1">N308+N311</f>
        <v>0</v>
      </c>
      <c r="O305" s="255">
        <f ca="1">IF(L305&gt;0,N305*100/L305,0)</f>
        <v>0</v>
      </c>
      <c r="P305" s="255">
        <f ca="1">IF(M305&gt;0,N305*100/M305,0)</f>
        <v>0</v>
      </c>
      <c r="Q305" s="255">
        <f ca="1">Q308+Q311</f>
        <v>384158.99</v>
      </c>
      <c r="R305" s="255">
        <f ca="1">R308+R311</f>
        <v>384159</v>
      </c>
      <c r="S305" s="255">
        <f ca="1">S308+S311</f>
        <v>0</v>
      </c>
      <c r="T305" s="255">
        <f ca="1">IF(Q305&gt;0,S305*100/Q305,0)</f>
        <v>0</v>
      </c>
      <c r="U305" s="255">
        <f ca="1">IF(R305&gt;0,S305*100/R305,0)</f>
        <v>0</v>
      </c>
    </row>
    <row r="306" spans="1:21" ht="18.75">
      <c r="A306" s="155"/>
      <c r="B306" s="50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256">
        <f ca="1">L307+L308</f>
        <v>0</v>
      </c>
      <c r="M306" s="255">
        <f ca="1">M307+M308</f>
        <v>0</v>
      </c>
      <c r="N306" s="255">
        <f ca="1">N307+N308</f>
        <v>0</v>
      </c>
      <c r="O306" s="255">
        <f ca="1">IF(L306&gt;0,N306*100/L306,0)</f>
        <v>0</v>
      </c>
      <c r="P306" s="255">
        <f ca="1">IF(M306&gt;0,N306*100/M306,0)</f>
        <v>0</v>
      </c>
      <c r="Q306" s="255">
        <f ca="1">Q307+Q308</f>
        <v>384158.99</v>
      </c>
      <c r="R306" s="255">
        <f ca="1">R307+R308</f>
        <v>384159</v>
      </c>
      <c r="S306" s="255">
        <f ca="1">S307+S308</f>
        <v>0</v>
      </c>
      <c r="T306" s="255">
        <f ca="1">IF(Q306&gt;0,S306*100/Q306,0)</f>
        <v>0</v>
      </c>
      <c r="U306" s="255">
        <f ca="1">IF(R306&gt;0,S306*100/R306,0)</f>
        <v>0</v>
      </c>
    </row>
    <row r="307" spans="1:21" ht="18.75" hidden="1">
      <c r="A307" s="155"/>
      <c r="B307" s="50"/>
      <c r="C307" s="50"/>
      <c r="D307" s="50"/>
      <c r="E307" s="186" t="s">
        <v>36</v>
      </c>
      <c r="F307" s="50"/>
      <c r="G307" s="52"/>
      <c r="H307" s="189" t="s">
        <v>14</v>
      </c>
      <c r="I307" s="163"/>
      <c r="J307" s="163"/>
      <c r="K307" s="164"/>
      <c r="L307" s="103">
        <v>0</v>
      </c>
      <c r="M307" s="102">
        <v>0</v>
      </c>
      <c r="N307" s="102">
        <v>0</v>
      </c>
      <c r="O307" s="102">
        <f>IF(L307&gt;0,N307*100/L307,0)</f>
        <v>0</v>
      </c>
      <c r="P307" s="102">
        <f>IF(M307&gt;0,N307*100/M307,0)</f>
        <v>0</v>
      </c>
      <c r="Q307" s="102">
        <v>0</v>
      </c>
      <c r="R307" s="102">
        <v>0</v>
      </c>
      <c r="S307" s="102">
        <v>0</v>
      </c>
      <c r="T307" s="102">
        <f>IF(Q307&gt;0,S307*100/Q307,0)</f>
        <v>0</v>
      </c>
      <c r="U307" s="102">
        <f>IF(R307&gt;0,S307*100/R307,0)</f>
        <v>0</v>
      </c>
    </row>
    <row r="308" spans="1:21" ht="18.75" hidden="1">
      <c r="A308" s="155"/>
      <c r="B308" s="50"/>
      <c r="C308" s="50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256">
        <f ca="1">IFERROR(__xludf.DUMMYFUNCTION("IMPORTRANGE(""https://docs.google.com/spreadsheets/d/1-uDff_7J0KD5mKrp0Vvzr7lt3OU09vwQwhkpOPPYv2Y/edit?usp=sharing"",""งบพรบ!DY42"")"),0)</f>
        <v>0</v>
      </c>
      <c r="M308" s="255">
        <f ca="1">IFERROR(__xludf.DUMMYFUNCTION("IMPORTRANGE(""https://docs.google.com/spreadsheets/d/1-uDff_7J0KD5mKrp0Vvzr7lt3OU09vwQwhkpOPPYv2Y/edit?usp=sharing"",""งบพรบ!ED42"")"),0)</f>
        <v>0</v>
      </c>
      <c r="N308" s="255">
        <f ca="1">IFERROR(__xludf.DUMMYFUNCTION("IMPORTRANGE(""https://docs.google.com/spreadsheets/d/1-uDff_7J0KD5mKrp0Vvzr7lt3OU09vwQwhkpOPPYv2Y/edit?usp=sharing"",""งบพรบ!EF42"")"),0)</f>
        <v>0</v>
      </c>
      <c r="O308" s="255">
        <f ca="1">IF(L308&gt;0,N308*100/L308,0)</f>
        <v>0</v>
      </c>
      <c r="P308" s="255">
        <f ca="1">IF(M308&gt;0,N308*100/M308,0)</f>
        <v>0</v>
      </c>
      <c r="Q308" s="255">
        <f ca="1">IFERROR(__xludf.DUMMYFUNCTION("IMPORTRANGE(""https://docs.google.com/spreadsheets/d/1ItG2mGa2ceCfYo0BwxsXqNm01IGEUdYcSSLTEv9YCik/edit?usp=sharing"",""เบิกจ่ายกองทุน!AP42"")"),384158.99)</f>
        <v>384158.99</v>
      </c>
      <c r="R308" s="255">
        <f ca="1">IFERROR(__xludf.DUMMYFUNCTION("IMPORTRANGE(""https://docs.google.com/spreadsheets/d/1ItG2mGa2ceCfYo0BwxsXqNm01IGEUdYcSSLTEv9YCik/edit?usp=sharing"",""เบิกจ่ายกองทุน!AQ42"")"),384159)</f>
        <v>384159</v>
      </c>
      <c r="S308" s="255">
        <f ca="1">IFERROR(__xludf.DUMMYFUNCTION("IMPORTRANGE(""https://docs.google.com/spreadsheets/d/1ItG2mGa2ceCfYo0BwxsXqNm01IGEUdYcSSLTEv9YCik/edit?usp=sharing"",""เบิกจ่ายกองทุน!AR42"")"),0)</f>
        <v>0</v>
      </c>
      <c r="T308" s="255">
        <f ca="1">IF(Q308&gt;0,S308*100/Q308,0)</f>
        <v>0</v>
      </c>
      <c r="U308" s="255">
        <f ca="1">IF(R308&gt;0,S308*100/R308,0)</f>
        <v>0</v>
      </c>
    </row>
    <row r="309" spans="1:21" ht="18.75">
      <c r="A309" s="155"/>
      <c r="B309" s="50"/>
      <c r="C309" s="50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256">
        <f ca="1">L310+L311</f>
        <v>0</v>
      </c>
      <c r="M309" s="255">
        <f ca="1">M310+M311</f>
        <v>0</v>
      </c>
      <c r="N309" s="255">
        <f ca="1">N310+N311</f>
        <v>0</v>
      </c>
      <c r="O309" s="255">
        <f ca="1">IF(L309&gt;0,N309*100/L309,0)</f>
        <v>0</v>
      </c>
      <c r="P309" s="255">
        <f ca="1">IF(M309&gt;0,N309*100/M309,0)</f>
        <v>0</v>
      </c>
      <c r="Q309" s="255">
        <f>Q310+Q311</f>
        <v>0</v>
      </c>
      <c r="R309" s="255">
        <f>R310+R311</f>
        <v>0</v>
      </c>
      <c r="S309" s="255">
        <f>S310+S311</f>
        <v>0</v>
      </c>
      <c r="T309" s="255">
        <f>IF(Q309&gt;0,S309*100/Q309,0)</f>
        <v>0</v>
      </c>
      <c r="U309" s="255">
        <f>IF(R309&gt;0,S309*100/R309,0)</f>
        <v>0</v>
      </c>
    </row>
    <row r="310" spans="1:21" ht="18.75" hidden="1">
      <c r="A310" s="155"/>
      <c r="B310" s="50"/>
      <c r="C310" s="50"/>
      <c r="D310" s="50"/>
      <c r="E310" s="186" t="s">
        <v>20</v>
      </c>
      <c r="F310" s="50"/>
      <c r="G310" s="52"/>
      <c r="H310" s="189" t="s">
        <v>14</v>
      </c>
      <c r="I310" s="163"/>
      <c r="J310" s="163"/>
      <c r="K310" s="164"/>
      <c r="L310" s="103">
        <v>0</v>
      </c>
      <c r="M310" s="102">
        <v>0</v>
      </c>
      <c r="N310" s="102">
        <v>0</v>
      </c>
      <c r="O310" s="102">
        <f>IF(L310&gt;0,N310*100/L310,0)</f>
        <v>0</v>
      </c>
      <c r="P310" s="102">
        <f>IF(M310&gt;0,N310*100/M310,0)</f>
        <v>0</v>
      </c>
      <c r="Q310" s="102">
        <v>0</v>
      </c>
      <c r="R310" s="102">
        <v>0</v>
      </c>
      <c r="S310" s="102">
        <v>0</v>
      </c>
      <c r="T310" s="102">
        <f>IF(Q310&gt;0,S310*100/Q310,0)</f>
        <v>0</v>
      </c>
      <c r="U310" s="102">
        <f>IF(R310&gt;0,S310*100/R310,0)</f>
        <v>0</v>
      </c>
    </row>
    <row r="311" spans="1:21" ht="18.75" hidden="1">
      <c r="A311" s="155"/>
      <c r="B311" s="50"/>
      <c r="C311" s="50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256">
        <f ca="1">IFERROR(__xludf.DUMMYFUNCTION("IMPORTRANGE(""https://docs.google.com/spreadsheets/d/1-uDff_7J0KD5mKrp0Vvzr7lt3OU09vwQwhkpOPPYv2Y/edit?usp=sharing"",""งบพรบ!EB42"")"),0)</f>
        <v>0</v>
      </c>
      <c r="M311" s="255">
        <f ca="1">IFERROR(__xludf.DUMMYFUNCTION("IMPORTRANGE(""https://docs.google.com/spreadsheets/d/1-uDff_7J0KD5mKrp0Vvzr7lt3OU09vwQwhkpOPPYv2Y/edit?usp=sharing"",""งบพรบ!EE42"")"),0)</f>
        <v>0</v>
      </c>
      <c r="N311" s="255">
        <f ca="1">IFERROR(__xludf.DUMMYFUNCTION("IMPORTRANGE(""https://docs.google.com/spreadsheets/d/1-uDff_7J0KD5mKrp0Vvzr7lt3OU09vwQwhkpOPPYv2Y/edit?usp=sharing"",""งบพรบ!EG42"")"),0)</f>
        <v>0</v>
      </c>
      <c r="O311" s="255">
        <f ca="1">IF(L311&gt;0,N311*100/L311,0)</f>
        <v>0</v>
      </c>
      <c r="P311" s="255">
        <f ca="1">IF(M311&gt;0,N311*100/M311,0)</f>
        <v>0</v>
      </c>
      <c r="Q311" s="255">
        <v>0</v>
      </c>
      <c r="R311" s="255">
        <v>0</v>
      </c>
      <c r="S311" s="255">
        <v>0</v>
      </c>
      <c r="T311" s="255">
        <f>IF(Q311&gt;0,S311*100/Q311,0)</f>
        <v>0</v>
      </c>
      <c r="U311" s="255">
        <f>IF(R311&gt;0,S311*100/R311,0)</f>
        <v>0</v>
      </c>
    </row>
    <row r="312" spans="1:21" ht="19.5">
      <c r="A312" s="166"/>
      <c r="B312" s="167"/>
      <c r="C312" s="156" t="s">
        <v>18</v>
      </c>
      <c r="D312" s="566" t="s">
        <v>38</v>
      </c>
      <c r="E312" s="169"/>
      <c r="F312" s="169"/>
      <c r="G312" s="170"/>
      <c r="H312" s="171"/>
      <c r="I312" s="54"/>
      <c r="J312" s="54"/>
      <c r="K312" s="55"/>
      <c r="L312" s="62"/>
      <c r="M312" s="55"/>
      <c r="N312" s="55"/>
      <c r="O312" s="55"/>
      <c r="P312" s="55"/>
      <c r="Q312" s="55"/>
      <c r="R312" s="55"/>
      <c r="S312" s="55"/>
      <c r="T312" s="55"/>
      <c r="U312" s="55"/>
    </row>
    <row r="313" spans="1:21" ht="18.75" hidden="1">
      <c r="A313" s="192"/>
      <c r="B313" s="193"/>
      <c r="C313" s="193"/>
      <c r="D313" s="640"/>
      <c r="E313" s="22"/>
      <c r="F313" s="22"/>
      <c r="G313" s="23"/>
      <c r="H313" s="23"/>
      <c r="I313" s="24"/>
      <c r="J313" s="638"/>
      <c r="K313" s="25"/>
      <c r="L313" s="26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8.75">
      <c r="A314" s="166"/>
      <c r="B314" s="167"/>
      <c r="C314" s="167"/>
      <c r="D314" s="178" t="s">
        <v>121</v>
      </c>
      <c r="E314" s="174"/>
      <c r="F314" s="174"/>
      <c r="G314" s="171"/>
      <c r="H314" s="179" t="s">
        <v>35</v>
      </c>
      <c r="I314" s="212">
        <f ca="1">IFERROR(__xludf.DUMMYFUNCTION("IMPORTRANGE(""https://docs.google.com/spreadsheets/d/1eHaY18a8A9IcSdp1K8H6x8fbOy06t2VsZHhMHf-1x7Y/edit?usp=sharing"",""แผน!EF42"")"),50)</f>
        <v>50</v>
      </c>
      <c r="J314" s="467">
        <v>0</v>
      </c>
      <c r="K314" s="255">
        <f ca="1">IF(I314&gt;0,J314*100/I314,0)</f>
        <v>0</v>
      </c>
      <c r="L314" s="62"/>
      <c r="M314" s="55"/>
      <c r="N314" s="55"/>
      <c r="O314" s="55"/>
      <c r="P314" s="55"/>
      <c r="Q314" s="55"/>
      <c r="R314" s="55"/>
      <c r="S314" s="55"/>
      <c r="T314" s="55"/>
      <c r="U314" s="55"/>
    </row>
    <row r="315" spans="1:21" ht="18.75" hidden="1">
      <c r="A315" s="192"/>
      <c r="B315" s="193"/>
      <c r="C315" s="193"/>
      <c r="D315" s="640"/>
      <c r="E315" s="22"/>
      <c r="F315" s="22"/>
      <c r="G315" s="23"/>
      <c r="H315" s="639"/>
      <c r="I315" s="638"/>
      <c r="J315" s="638"/>
      <c r="K315" s="637"/>
      <c r="L315" s="26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8.75" hidden="1">
      <c r="A316" s="192"/>
      <c r="B316" s="193"/>
      <c r="C316" s="193"/>
      <c r="D316" s="640"/>
      <c r="E316" s="22"/>
      <c r="F316" s="22"/>
      <c r="G316" s="23"/>
      <c r="H316" s="639"/>
      <c r="I316" s="638"/>
      <c r="J316" s="638"/>
      <c r="K316" s="637"/>
      <c r="L316" s="26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8.75" hidden="1">
      <c r="A317" s="192"/>
      <c r="B317" s="193"/>
      <c r="C317" s="193"/>
      <c r="D317" s="636"/>
      <c r="E317" s="22"/>
      <c r="F317" s="22"/>
      <c r="G317" s="23"/>
      <c r="H317" s="635"/>
      <c r="I317" s="638"/>
      <c r="J317" s="634"/>
      <c r="K317" s="633"/>
      <c r="L317" s="26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9.5" hidden="1">
      <c r="A318" s="319" t="s">
        <v>131</v>
      </c>
      <c r="B318" s="320"/>
      <c r="C318" s="320"/>
      <c r="D318" s="321"/>
      <c r="E318" s="320"/>
      <c r="F318" s="320"/>
      <c r="G318" s="320"/>
      <c r="H318" s="321"/>
      <c r="I318" s="323"/>
      <c r="J318" s="323"/>
      <c r="K318" s="324"/>
      <c r="L318" s="325"/>
      <c r="M318" s="324"/>
      <c r="N318" s="324"/>
      <c r="O318" s="324"/>
      <c r="P318" s="324"/>
      <c r="Q318" s="324"/>
      <c r="R318" s="324"/>
      <c r="S318" s="324"/>
      <c r="T318" s="324"/>
      <c r="U318" s="324"/>
    </row>
    <row r="319" spans="1:21" ht="19.5" hidden="1">
      <c r="A319" s="335"/>
      <c r="B319" s="327" t="s">
        <v>132</v>
      </c>
      <c r="C319" s="336"/>
      <c r="D319" s="337"/>
      <c r="E319" s="328"/>
      <c r="F319" s="328"/>
      <c r="G319" s="329"/>
      <c r="H319" s="330" t="s">
        <v>133</v>
      </c>
      <c r="I319" s="605">
        <f ca="1">I330</f>
        <v>0</v>
      </c>
      <c r="J319" s="605">
        <f>J330</f>
        <v>0</v>
      </c>
      <c r="K319" s="604">
        <f ca="1">IF(I319&gt;0,J319*100/I319,0)</f>
        <v>0</v>
      </c>
      <c r="L319" s="334"/>
      <c r="M319" s="333"/>
      <c r="N319" s="333"/>
      <c r="O319" s="333"/>
      <c r="P319" s="333"/>
      <c r="Q319" s="333"/>
      <c r="R319" s="333"/>
      <c r="S319" s="333"/>
      <c r="T319" s="333"/>
      <c r="U319" s="333"/>
    </row>
    <row r="320" spans="1:21" ht="19.5" hidden="1">
      <c r="A320" s="155"/>
      <c r="B320" s="50"/>
      <c r="C320" s="156" t="s">
        <v>18</v>
      </c>
      <c r="D320" s="575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541">
        <f ca="1">L321+L322</f>
        <v>0</v>
      </c>
      <c r="M320" s="540">
        <f ca="1">M321+M322</f>
        <v>0</v>
      </c>
      <c r="N320" s="540">
        <f ca="1">N321+N322</f>
        <v>0</v>
      </c>
      <c r="O320" s="540">
        <f ca="1">IF(L320&gt;0,N320*100/L320,0)</f>
        <v>0</v>
      </c>
      <c r="P320" s="540">
        <f ca="1">IF(M320&gt;0,N320*100/M320,0)</f>
        <v>0</v>
      </c>
      <c r="Q320" s="540">
        <f>Q321+Q322</f>
        <v>0</v>
      </c>
      <c r="R320" s="540">
        <f>R321+R322</f>
        <v>0</v>
      </c>
      <c r="S320" s="540">
        <f>S321+S322</f>
        <v>0</v>
      </c>
      <c r="T320" s="540">
        <f>IF(Q320&gt;0,S320*100/Q320,0)</f>
        <v>0</v>
      </c>
      <c r="U320" s="540">
        <f>IF(R320&gt;0,S320*100/R320,0)</f>
        <v>0</v>
      </c>
    </row>
    <row r="321" spans="1:21" ht="18.75" hidden="1">
      <c r="A321" s="155"/>
      <c r="B321" s="50"/>
      <c r="C321" s="50"/>
      <c r="D321" s="50"/>
      <c r="E321" s="186" t="s">
        <v>20</v>
      </c>
      <c r="F321" s="50"/>
      <c r="G321" s="52"/>
      <c r="H321" s="187" t="s">
        <v>14</v>
      </c>
      <c r="I321" s="54"/>
      <c r="J321" s="54"/>
      <c r="K321" s="55"/>
      <c r="L321" s="103">
        <f>L324+L327</f>
        <v>0</v>
      </c>
      <c r="M321" s="102">
        <f>M324+M327</f>
        <v>0</v>
      </c>
      <c r="N321" s="102">
        <f>N324+N327</f>
        <v>0</v>
      </c>
      <c r="O321" s="102">
        <f>IF(L321&gt;0,N321*100/L321,0)</f>
        <v>0</v>
      </c>
      <c r="P321" s="102">
        <f>IF(M321&gt;0,N321*100/M321,0)</f>
        <v>0</v>
      </c>
      <c r="Q321" s="102">
        <f>Q324+Q327</f>
        <v>0</v>
      </c>
      <c r="R321" s="102">
        <f>R324+R327</f>
        <v>0</v>
      </c>
      <c r="S321" s="102">
        <f>S324+S327</f>
        <v>0</v>
      </c>
      <c r="T321" s="102">
        <f>IF(Q321&gt;0,S321*100/Q321,0)</f>
        <v>0</v>
      </c>
      <c r="U321" s="102">
        <f>IF(R321&gt;0,S321*100/R321,0)</f>
        <v>0</v>
      </c>
    </row>
    <row r="322" spans="1:21" ht="18.75" hidden="1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256">
        <f ca="1">L325+L328</f>
        <v>0</v>
      </c>
      <c r="M322" s="255">
        <f ca="1">M325+M328</f>
        <v>0</v>
      </c>
      <c r="N322" s="255">
        <f ca="1">N325+N328</f>
        <v>0</v>
      </c>
      <c r="O322" s="255">
        <f ca="1">IF(L322&gt;0,N322*100/L322,0)</f>
        <v>0</v>
      </c>
      <c r="P322" s="255">
        <f ca="1">IF(M322&gt;0,N322*100/M322,0)</f>
        <v>0</v>
      </c>
      <c r="Q322" s="255">
        <f>Q325+Q328</f>
        <v>0</v>
      </c>
      <c r="R322" s="255">
        <f>R325+R328</f>
        <v>0</v>
      </c>
      <c r="S322" s="255">
        <f>S325+S328</f>
        <v>0</v>
      </c>
      <c r="T322" s="255">
        <f>IF(Q322&gt;0,S322*100/Q322,0)</f>
        <v>0</v>
      </c>
      <c r="U322" s="255">
        <f>IF(R322&gt;0,S322*100/R322,0)</f>
        <v>0</v>
      </c>
    </row>
    <row r="323" spans="1:21" ht="18.75" hidden="1">
      <c r="A323" s="155"/>
      <c r="B323" s="50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256">
        <f ca="1">L324+L325</f>
        <v>0</v>
      </c>
      <c r="M323" s="255">
        <f ca="1">M324+M325</f>
        <v>0</v>
      </c>
      <c r="N323" s="255">
        <f ca="1">N324+N325</f>
        <v>0</v>
      </c>
      <c r="O323" s="255">
        <f ca="1">IF(L323&gt;0,N323*100/L323,0)</f>
        <v>0</v>
      </c>
      <c r="P323" s="255">
        <f ca="1">IF(M323&gt;0,N323*100/M323,0)</f>
        <v>0</v>
      </c>
      <c r="Q323" s="255">
        <f>Q324+Q325</f>
        <v>0</v>
      </c>
      <c r="R323" s="255">
        <f>R324+R325</f>
        <v>0</v>
      </c>
      <c r="S323" s="255">
        <f>S324+S325</f>
        <v>0</v>
      </c>
      <c r="T323" s="255">
        <f>IF(Q323&gt;0,S323*100/Q323,0)</f>
        <v>0</v>
      </c>
      <c r="U323" s="255">
        <f>IF(R323&gt;0,S323*100/R323,0)</f>
        <v>0</v>
      </c>
    </row>
    <row r="324" spans="1:21" ht="18.75" hidden="1">
      <c r="A324" s="155"/>
      <c r="B324" s="50"/>
      <c r="C324" s="50"/>
      <c r="D324" s="50"/>
      <c r="E324" s="186" t="s">
        <v>36</v>
      </c>
      <c r="F324" s="50"/>
      <c r="G324" s="52"/>
      <c r="H324" s="189" t="s">
        <v>14</v>
      </c>
      <c r="I324" s="163"/>
      <c r="J324" s="163"/>
      <c r="K324" s="164"/>
      <c r="L324" s="103">
        <v>0</v>
      </c>
      <c r="M324" s="102">
        <v>0</v>
      </c>
      <c r="N324" s="102">
        <v>0</v>
      </c>
      <c r="O324" s="102">
        <f>IF(L324&gt;0,N324*100/L324,0)</f>
        <v>0</v>
      </c>
      <c r="P324" s="102">
        <f>IF(M324&gt;0,N324*100/M324,0)</f>
        <v>0</v>
      </c>
      <c r="Q324" s="102">
        <v>0</v>
      </c>
      <c r="R324" s="102">
        <v>0</v>
      </c>
      <c r="S324" s="102">
        <v>0</v>
      </c>
      <c r="T324" s="102">
        <f>IF(Q324&gt;0,S324*100/Q324,0)</f>
        <v>0</v>
      </c>
      <c r="U324" s="102">
        <f>IF(R324&gt;0,S324*100/R324,0)</f>
        <v>0</v>
      </c>
    </row>
    <row r="325" spans="1:21" ht="18.75" hidden="1">
      <c r="A325" s="155"/>
      <c r="B325" s="50"/>
      <c r="C325" s="50"/>
      <c r="D325" s="50"/>
      <c r="E325" s="58" t="s">
        <v>37</v>
      </c>
      <c r="F325" s="50"/>
      <c r="G325" s="52"/>
      <c r="H325" s="162" t="s">
        <v>14</v>
      </c>
      <c r="I325" s="163"/>
      <c r="J325" s="163"/>
      <c r="K325" s="164"/>
      <c r="L325" s="256">
        <f ca="1">IFERROR(__xludf.DUMMYFUNCTION("IMPORTRANGE(""https://docs.google.com/spreadsheets/d/1-uDff_7J0KD5mKrp0Vvzr7lt3OU09vwQwhkpOPPYv2Y/edit?usp=sharing"",""งบพรบ!EI42"")"),0)</f>
        <v>0</v>
      </c>
      <c r="M325" s="255">
        <f ca="1">IFERROR(__xludf.DUMMYFUNCTION("IMPORTRANGE(""https://docs.google.com/spreadsheets/d/1-uDff_7J0KD5mKrp0Vvzr7lt3OU09vwQwhkpOPPYv2Y/edit?usp=sharing"",""งบพรบ!EN42"")"),0)</f>
        <v>0</v>
      </c>
      <c r="N325" s="255">
        <f ca="1">IFERROR(__xludf.DUMMYFUNCTION("IMPORTRANGE(""https://docs.google.com/spreadsheets/d/1-uDff_7J0KD5mKrp0Vvzr7lt3OU09vwQwhkpOPPYv2Y/edit?usp=sharing"",""งบพรบ!EP42"")"),0)</f>
        <v>0</v>
      </c>
      <c r="O325" s="255">
        <f ca="1">IF(L325&gt;0,N325*100/L325,0)</f>
        <v>0</v>
      </c>
      <c r="P325" s="255">
        <f ca="1">IF(M325&gt;0,N325*100/M325,0)</f>
        <v>0</v>
      </c>
      <c r="Q325" s="255">
        <v>0</v>
      </c>
      <c r="R325" s="255">
        <v>0</v>
      </c>
      <c r="S325" s="255">
        <v>0</v>
      </c>
      <c r="T325" s="255">
        <f>IF(Q325&gt;0,S325*100/Q325,0)</f>
        <v>0</v>
      </c>
      <c r="U325" s="255">
        <f>IF(R325&gt;0,S325*100/R325,0)</f>
        <v>0</v>
      </c>
    </row>
    <row r="326" spans="1:21" ht="18.75" hidden="1">
      <c r="A326" s="155"/>
      <c r="B326" s="50"/>
      <c r="C326" s="50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256">
        <f ca="1">L327+L328</f>
        <v>0</v>
      </c>
      <c r="M326" s="255">
        <f ca="1">M327+M328</f>
        <v>0</v>
      </c>
      <c r="N326" s="255">
        <f ca="1">N327+N328</f>
        <v>0</v>
      </c>
      <c r="O326" s="255">
        <f ca="1">IF(L326&gt;0,N326*100/L326,0)</f>
        <v>0</v>
      </c>
      <c r="P326" s="255">
        <f ca="1">IF(M326&gt;0,N326*100/M326,0)</f>
        <v>0</v>
      </c>
      <c r="Q326" s="255">
        <f>Q327+Q328</f>
        <v>0</v>
      </c>
      <c r="R326" s="255">
        <f>R327+R328</f>
        <v>0</v>
      </c>
      <c r="S326" s="255">
        <f>S327+S328</f>
        <v>0</v>
      </c>
      <c r="T326" s="255">
        <f>IF(Q326&gt;0,S326*100/Q326,0)</f>
        <v>0</v>
      </c>
      <c r="U326" s="255">
        <f>IF(R326&gt;0,S326*100/R326,0)</f>
        <v>0</v>
      </c>
    </row>
    <row r="327" spans="1:21" ht="18.75" hidden="1">
      <c r="A327" s="155"/>
      <c r="B327" s="50"/>
      <c r="C327" s="50"/>
      <c r="D327" s="50"/>
      <c r="E327" s="186" t="s">
        <v>20</v>
      </c>
      <c r="F327" s="50"/>
      <c r="G327" s="52"/>
      <c r="H327" s="189" t="s">
        <v>14</v>
      </c>
      <c r="I327" s="163"/>
      <c r="J327" s="163"/>
      <c r="K327" s="164"/>
      <c r="L327" s="103">
        <v>0</v>
      </c>
      <c r="M327" s="102">
        <v>0</v>
      </c>
      <c r="N327" s="102">
        <v>0</v>
      </c>
      <c r="O327" s="102">
        <f>IF(L327&gt;0,N327*100/L327,0)</f>
        <v>0</v>
      </c>
      <c r="P327" s="102">
        <f>IF(M327&gt;0,N327*100/M327,0)</f>
        <v>0</v>
      </c>
      <c r="Q327" s="102">
        <v>0</v>
      </c>
      <c r="R327" s="102">
        <v>0</v>
      </c>
      <c r="S327" s="102">
        <v>0</v>
      </c>
      <c r="T327" s="102">
        <f>IF(Q327&gt;0,S327*100/Q327,0)</f>
        <v>0</v>
      </c>
      <c r="U327" s="102">
        <f>IF(R327&gt;0,S327*100/R327,0)</f>
        <v>0</v>
      </c>
    </row>
    <row r="328" spans="1:21" ht="18.75" hidden="1">
      <c r="A328" s="155"/>
      <c r="B328" s="50"/>
      <c r="C328" s="50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256">
        <f ca="1">IFERROR(__xludf.DUMMYFUNCTION("IMPORTRANGE(""https://docs.google.com/spreadsheets/d/1-uDff_7J0KD5mKrp0Vvzr7lt3OU09vwQwhkpOPPYv2Y/edit?usp=sharing"",""งบพรบ!EL42"")"),0)</f>
        <v>0</v>
      </c>
      <c r="M328" s="255">
        <f ca="1">IFERROR(__xludf.DUMMYFUNCTION("IMPORTRANGE(""https://docs.google.com/spreadsheets/d/1-uDff_7J0KD5mKrp0Vvzr7lt3OU09vwQwhkpOPPYv2Y/edit?usp=sharing"",""งบพรบ!EO42"")"),0)</f>
        <v>0</v>
      </c>
      <c r="N328" s="255">
        <f ca="1">IFERROR(__xludf.DUMMYFUNCTION("IMPORTRANGE(""https://docs.google.com/spreadsheets/d/1-uDff_7J0KD5mKrp0Vvzr7lt3OU09vwQwhkpOPPYv2Y/edit?usp=sharing"",""งบพรบ!EQ42"")"),0)</f>
        <v>0</v>
      </c>
      <c r="O328" s="255">
        <f ca="1">IF(L328&gt;0,N328*100/L328,0)</f>
        <v>0</v>
      </c>
      <c r="P328" s="255">
        <f ca="1">IF(M328&gt;0,N328*100/M328,0)</f>
        <v>0</v>
      </c>
      <c r="Q328" s="255">
        <v>0</v>
      </c>
      <c r="R328" s="255">
        <v>0</v>
      </c>
      <c r="S328" s="255">
        <v>0</v>
      </c>
      <c r="T328" s="255">
        <f>IF(Q328&gt;0,S328*100/Q328,0)</f>
        <v>0</v>
      </c>
      <c r="U328" s="255">
        <f>IF(R328&gt;0,S328*100/R328,0)</f>
        <v>0</v>
      </c>
    </row>
    <row r="329" spans="1:21" ht="19.5" hidden="1">
      <c r="A329" s="166"/>
      <c r="B329" s="167"/>
      <c r="C329" s="156" t="s">
        <v>18</v>
      </c>
      <c r="D329" s="566" t="s">
        <v>38</v>
      </c>
      <c r="E329" s="169"/>
      <c r="F329" s="169"/>
      <c r="G329" s="170"/>
      <c r="H329" s="171"/>
      <c r="I329" s="163"/>
      <c r="J329" s="54"/>
      <c r="K329" s="55"/>
      <c r="L329" s="62"/>
      <c r="M329" s="55"/>
      <c r="N329" s="55"/>
      <c r="O329" s="164"/>
      <c r="P329" s="164"/>
      <c r="Q329" s="55"/>
      <c r="R329" s="55"/>
      <c r="S329" s="55"/>
      <c r="T329" s="164"/>
      <c r="U329" s="164"/>
    </row>
    <row r="330" spans="1:21" ht="18.75" hidden="1">
      <c r="A330" s="166"/>
      <c r="B330" s="167"/>
      <c r="C330" s="167"/>
      <c r="D330" s="173" t="s">
        <v>134</v>
      </c>
      <c r="E330" s="174"/>
      <c r="F330" s="174"/>
      <c r="G330" s="171"/>
      <c r="H330" s="53" t="s">
        <v>133</v>
      </c>
      <c r="I330" s="212">
        <f ca="1">IFERROR(__xludf.DUMMYFUNCTION("IMPORTRANGE(""https://docs.google.com/spreadsheets/d/1eHaY18a8A9IcSdp1K8H6x8fbOy06t2VsZHhMHf-1x7Y/edit?usp=sharing"",""แผน!EJ42"")"),0)</f>
        <v>0</v>
      </c>
      <c r="J330" s="467">
        <v>0</v>
      </c>
      <c r="K330" s="255">
        <f ca="1">IF(I330&gt;0,J330*100/I330,0)</f>
        <v>0</v>
      </c>
      <c r="L330" s="62"/>
      <c r="M330" s="55"/>
      <c r="N330" s="55"/>
      <c r="O330" s="164"/>
      <c r="P330" s="164"/>
      <c r="Q330" s="55"/>
      <c r="R330" s="55"/>
      <c r="S330" s="55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1"/>
      <c r="I331" s="323"/>
      <c r="J331" s="323"/>
      <c r="K331" s="324"/>
      <c r="L331" s="325"/>
      <c r="M331" s="324"/>
      <c r="N331" s="324"/>
      <c r="O331" s="324"/>
      <c r="P331" s="324"/>
      <c r="Q331" s="324"/>
      <c r="R331" s="324"/>
      <c r="S331" s="324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30" t="s">
        <v>35</v>
      </c>
      <c r="I332" s="632">
        <f ca="1">I344</f>
        <v>3740</v>
      </c>
      <c r="J332" s="631">
        <f ca="1">J344+J347+J348+J349+J353</f>
        <v>4452</v>
      </c>
      <c r="K332" s="630">
        <f ca="1">IF(I332&gt;0,J332*100/I332,0)</f>
        <v>119.03743315508021</v>
      </c>
      <c r="L332" s="334"/>
      <c r="M332" s="333"/>
      <c r="N332" s="333"/>
      <c r="O332" s="333"/>
      <c r="P332" s="333"/>
      <c r="Q332" s="333"/>
      <c r="R332" s="333"/>
      <c r="S332" s="333"/>
      <c r="T332" s="333"/>
      <c r="U332" s="333"/>
    </row>
    <row r="333" spans="1:21" ht="19.5">
      <c r="A333" s="155"/>
      <c r="B333" s="50"/>
      <c r="C333" s="156" t="s">
        <v>18</v>
      </c>
      <c r="D333" s="575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541">
        <f ca="1">L334+L335</f>
        <v>116000</v>
      </c>
      <c r="M333" s="540">
        <f ca="1">M334+M335</f>
        <v>121000</v>
      </c>
      <c r="N333" s="540">
        <f ca="1">N334+N335</f>
        <v>91195</v>
      </c>
      <c r="O333" s="540">
        <f ca="1">IF(L333&gt;0,N333*100/L333,0)</f>
        <v>78.616379310344826</v>
      </c>
      <c r="P333" s="540">
        <f ca="1">IF(M333&gt;0,N333*100/M333,0)</f>
        <v>75.367768595041326</v>
      </c>
      <c r="Q333" s="540">
        <f>Q334+Q335</f>
        <v>0</v>
      </c>
      <c r="R333" s="540">
        <f>R334+R335</f>
        <v>0</v>
      </c>
      <c r="S333" s="540">
        <f>S334+S335</f>
        <v>0</v>
      </c>
      <c r="T333" s="540">
        <f>IF(Q333&gt;0,S333*100/Q333,0)</f>
        <v>0</v>
      </c>
      <c r="U333" s="540">
        <f>IF(R333&gt;0,S333*100/R333,0)</f>
        <v>0</v>
      </c>
    </row>
    <row r="334" spans="1:21" ht="18.75" hidden="1">
      <c r="A334" s="155"/>
      <c r="B334" s="50"/>
      <c r="C334" s="50"/>
      <c r="D334" s="50"/>
      <c r="E334" s="186" t="s">
        <v>20</v>
      </c>
      <c r="F334" s="50"/>
      <c r="G334" s="52"/>
      <c r="H334" s="187" t="s">
        <v>14</v>
      </c>
      <c r="I334" s="54"/>
      <c r="J334" s="54"/>
      <c r="K334" s="55"/>
      <c r="L334" s="103">
        <f>L337+L340</f>
        <v>0</v>
      </c>
      <c r="M334" s="102">
        <f>M337+M340</f>
        <v>0</v>
      </c>
      <c r="N334" s="102">
        <f>N337+N340</f>
        <v>0</v>
      </c>
      <c r="O334" s="102">
        <f>IF(L334&gt;0,N334*100/L334,0)</f>
        <v>0</v>
      </c>
      <c r="P334" s="102">
        <f>IF(M334&gt;0,N334*100/M334,0)</f>
        <v>0</v>
      </c>
      <c r="Q334" s="102">
        <f>Q337+Q340</f>
        <v>0</v>
      </c>
      <c r="R334" s="102">
        <f>R337+R340</f>
        <v>0</v>
      </c>
      <c r="S334" s="102">
        <f>S337+S340</f>
        <v>0</v>
      </c>
      <c r="T334" s="102">
        <f>IF(Q334&gt;0,S334*100/Q334,0)</f>
        <v>0</v>
      </c>
      <c r="U334" s="102">
        <f>IF(R334&gt;0,S334*100/R334,0)</f>
        <v>0</v>
      </c>
    </row>
    <row r="335" spans="1:21" ht="18.75" hidden="1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256">
        <f ca="1">L338+L341</f>
        <v>116000</v>
      </c>
      <c r="M335" s="255">
        <f ca="1">M338+M341</f>
        <v>121000</v>
      </c>
      <c r="N335" s="255">
        <f ca="1">N338+N341</f>
        <v>91195</v>
      </c>
      <c r="O335" s="255">
        <f ca="1">IF(L335&gt;0,N335*100/L335,0)</f>
        <v>78.616379310344826</v>
      </c>
      <c r="P335" s="255">
        <f ca="1">IF(M335&gt;0,N335*100/M335,0)</f>
        <v>75.367768595041326</v>
      </c>
      <c r="Q335" s="255">
        <f>Q338+Q341</f>
        <v>0</v>
      </c>
      <c r="R335" s="255">
        <f>R338+R341</f>
        <v>0</v>
      </c>
      <c r="S335" s="255">
        <f>S338+S341</f>
        <v>0</v>
      </c>
      <c r="T335" s="255">
        <f>IF(Q335&gt;0,S335*100/Q335,0)</f>
        <v>0</v>
      </c>
      <c r="U335" s="255">
        <f>IF(R335&gt;0,S335*100/R335,0)</f>
        <v>0</v>
      </c>
    </row>
    <row r="336" spans="1:21" ht="18.75">
      <c r="A336" s="155"/>
      <c r="B336" s="50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256">
        <f ca="1">L337+L338</f>
        <v>116000</v>
      </c>
      <c r="M336" s="255">
        <f ca="1">M337+M338</f>
        <v>121000</v>
      </c>
      <c r="N336" s="255">
        <f ca="1">N337+N338</f>
        <v>91195</v>
      </c>
      <c r="O336" s="255">
        <f ca="1">IF(L336&gt;0,N336*100/L336,0)</f>
        <v>78.616379310344826</v>
      </c>
      <c r="P336" s="255">
        <f ca="1">IF(M336&gt;0,N336*100/M336,0)</f>
        <v>75.367768595041326</v>
      </c>
      <c r="Q336" s="255">
        <f>Q337+Q338</f>
        <v>0</v>
      </c>
      <c r="R336" s="255">
        <f>R337+R338</f>
        <v>0</v>
      </c>
      <c r="S336" s="255">
        <f>S337+S338</f>
        <v>0</v>
      </c>
      <c r="T336" s="255">
        <f>IF(Q336&gt;0,S336*100/Q336,0)</f>
        <v>0</v>
      </c>
      <c r="U336" s="255">
        <f>IF(R336&gt;0,S336*100/R336,0)</f>
        <v>0</v>
      </c>
    </row>
    <row r="337" spans="1:21" ht="18.75" hidden="1">
      <c r="A337" s="155"/>
      <c r="B337" s="50"/>
      <c r="C337" s="50"/>
      <c r="D337" s="50"/>
      <c r="E337" s="186" t="s">
        <v>36</v>
      </c>
      <c r="F337" s="50"/>
      <c r="G337" s="52"/>
      <c r="H337" s="189" t="s">
        <v>14</v>
      </c>
      <c r="I337" s="163"/>
      <c r="J337" s="163"/>
      <c r="K337" s="164"/>
      <c r="L337" s="103">
        <v>0</v>
      </c>
      <c r="M337" s="102">
        <v>0</v>
      </c>
      <c r="N337" s="102">
        <v>0</v>
      </c>
      <c r="O337" s="102">
        <f>IF(L337&gt;0,N337*100/L337,0)</f>
        <v>0</v>
      </c>
      <c r="P337" s="102">
        <f>IF(M337&gt;0,N337*100/M337,0)</f>
        <v>0</v>
      </c>
      <c r="Q337" s="102">
        <v>0</v>
      </c>
      <c r="R337" s="102">
        <v>0</v>
      </c>
      <c r="S337" s="102">
        <v>0</v>
      </c>
      <c r="T337" s="102">
        <f>IF(Q337&gt;0,S337*100/Q337,0)</f>
        <v>0</v>
      </c>
      <c r="U337" s="102">
        <f>IF(R337&gt;0,S337*100/R337,0)</f>
        <v>0</v>
      </c>
    </row>
    <row r="338" spans="1:21" ht="18.75" hidden="1">
      <c r="A338" s="155"/>
      <c r="B338" s="50"/>
      <c r="C338" s="50"/>
      <c r="D338" s="50"/>
      <c r="E338" s="58" t="s">
        <v>37</v>
      </c>
      <c r="F338" s="50"/>
      <c r="G338" s="52"/>
      <c r="H338" s="162" t="s">
        <v>14</v>
      </c>
      <c r="I338" s="163"/>
      <c r="J338" s="163"/>
      <c r="K338" s="164"/>
      <c r="L338" s="256">
        <f ca="1">IFERROR(__xludf.DUMMYFUNCTION("IMPORTRANGE(""https://docs.google.com/spreadsheets/d/1-uDff_7J0KD5mKrp0Vvzr7lt3OU09vwQwhkpOPPYv2Y/edit?usp=sharing"",""งบพรบ!ES42"")"),116000)</f>
        <v>116000</v>
      </c>
      <c r="M338" s="255">
        <f ca="1">IFERROR(__xludf.DUMMYFUNCTION("IMPORTRANGE(""https://docs.google.com/spreadsheets/d/1-uDff_7J0KD5mKrp0Vvzr7lt3OU09vwQwhkpOPPYv2Y/edit?usp=sharing"",""งบพรบ!EX42"")"),121000)</f>
        <v>121000</v>
      </c>
      <c r="N338" s="255">
        <f ca="1">IFERROR(__xludf.DUMMYFUNCTION("IMPORTRANGE(""https://docs.google.com/spreadsheets/d/1-uDff_7J0KD5mKrp0Vvzr7lt3OU09vwQwhkpOPPYv2Y/edit?usp=sharing"",""งบพรบ!EZ42"")"),91195)</f>
        <v>91195</v>
      </c>
      <c r="O338" s="255">
        <f ca="1">IF(L338&gt;0,N338*100/L338,0)</f>
        <v>78.616379310344826</v>
      </c>
      <c r="P338" s="255">
        <f ca="1">IF(M338&gt;0,N338*100/M338,0)</f>
        <v>75.367768595041326</v>
      </c>
      <c r="Q338" s="255">
        <v>0</v>
      </c>
      <c r="R338" s="255">
        <v>0</v>
      </c>
      <c r="S338" s="255">
        <v>0</v>
      </c>
      <c r="T338" s="255">
        <f>IF(Q338&gt;0,S338*100/Q338,0)</f>
        <v>0</v>
      </c>
      <c r="U338" s="255">
        <f>IF(R338&gt;0,S338*100/R338,0)</f>
        <v>0</v>
      </c>
    </row>
    <row r="339" spans="1:21" ht="18.75">
      <c r="A339" s="155"/>
      <c r="B339" s="50"/>
      <c r="C339" s="50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256">
        <f ca="1">L340+L341</f>
        <v>0</v>
      </c>
      <c r="M339" s="255">
        <f ca="1">M340+M341</f>
        <v>0</v>
      </c>
      <c r="N339" s="255">
        <f ca="1">N340+N341</f>
        <v>0</v>
      </c>
      <c r="O339" s="255">
        <f ca="1">IF(L339&gt;0,N339*100/L339,0)</f>
        <v>0</v>
      </c>
      <c r="P339" s="255">
        <f ca="1">IF(M339&gt;0,N339*100/M339,0)</f>
        <v>0</v>
      </c>
      <c r="Q339" s="255">
        <f>Q340+Q341</f>
        <v>0</v>
      </c>
      <c r="R339" s="255">
        <f>R340+R341</f>
        <v>0</v>
      </c>
      <c r="S339" s="255">
        <f>S340+S341</f>
        <v>0</v>
      </c>
      <c r="T339" s="255">
        <f>IF(Q339&gt;0,S339*100/Q339,0)</f>
        <v>0</v>
      </c>
      <c r="U339" s="255">
        <f>IF(R339&gt;0,S339*100/R339,0)</f>
        <v>0</v>
      </c>
    </row>
    <row r="340" spans="1:21" ht="18.75" hidden="1">
      <c r="A340" s="155"/>
      <c r="B340" s="50"/>
      <c r="C340" s="50"/>
      <c r="D340" s="50"/>
      <c r="E340" s="186" t="s">
        <v>20</v>
      </c>
      <c r="F340" s="50"/>
      <c r="G340" s="52"/>
      <c r="H340" s="189" t="s">
        <v>14</v>
      </c>
      <c r="I340" s="163"/>
      <c r="J340" s="163"/>
      <c r="K340" s="164"/>
      <c r="L340" s="103">
        <v>0</v>
      </c>
      <c r="M340" s="102">
        <v>0</v>
      </c>
      <c r="N340" s="102">
        <v>0</v>
      </c>
      <c r="O340" s="102">
        <f>IF(L340&gt;0,N340*100/L340,0)</f>
        <v>0</v>
      </c>
      <c r="P340" s="102">
        <f>IF(M340&gt;0,N340*100/M340,0)</f>
        <v>0</v>
      </c>
      <c r="Q340" s="102">
        <v>0</v>
      </c>
      <c r="R340" s="102">
        <v>0</v>
      </c>
      <c r="S340" s="102">
        <v>0</v>
      </c>
      <c r="T340" s="102">
        <f>IF(Q340&gt;0,S340*100/Q340,0)</f>
        <v>0</v>
      </c>
      <c r="U340" s="102">
        <f>IF(R340&gt;0,S340*100/R340,0)</f>
        <v>0</v>
      </c>
    </row>
    <row r="341" spans="1:21" ht="18.75" hidden="1">
      <c r="A341" s="155"/>
      <c r="B341" s="50"/>
      <c r="C341" s="50"/>
      <c r="D341" s="50"/>
      <c r="E341" s="58" t="s">
        <v>21</v>
      </c>
      <c r="F341" s="50"/>
      <c r="G341" s="52"/>
      <c r="H341" s="165" t="s">
        <v>14</v>
      </c>
      <c r="I341" s="163"/>
      <c r="J341" s="163"/>
      <c r="K341" s="164"/>
      <c r="L341" s="256">
        <f ca="1">IFERROR(__xludf.DUMMYFUNCTION("IMPORTRANGE(""https://docs.google.com/spreadsheets/d/1-uDff_7J0KD5mKrp0Vvzr7lt3OU09vwQwhkpOPPYv2Y/edit?usp=sharing"",""งบพรบ!EV42"")"),0)</f>
        <v>0</v>
      </c>
      <c r="M341" s="255">
        <f ca="1">IFERROR(__xludf.DUMMYFUNCTION("IMPORTRANGE(""https://docs.google.com/spreadsheets/d/1-uDff_7J0KD5mKrp0Vvzr7lt3OU09vwQwhkpOPPYv2Y/edit?usp=sharing"",""งบพรบ!EY42"")"),0)</f>
        <v>0</v>
      </c>
      <c r="N341" s="255">
        <f ca="1">IFERROR(__xludf.DUMMYFUNCTION("IMPORTRANGE(""https://docs.google.com/spreadsheets/d/1-uDff_7J0KD5mKrp0Vvzr7lt3OU09vwQwhkpOPPYv2Y/edit?usp=sharing"",""งบพรบ!FA42"")"),0)</f>
        <v>0</v>
      </c>
      <c r="O341" s="255">
        <f ca="1">IF(L341&gt;0,N341*100/L341,0)</f>
        <v>0</v>
      </c>
      <c r="P341" s="255">
        <f ca="1">IF(M341&gt;0,N341*100/M341,0)</f>
        <v>0</v>
      </c>
      <c r="Q341" s="255">
        <v>0</v>
      </c>
      <c r="R341" s="255">
        <v>0</v>
      </c>
      <c r="S341" s="255">
        <v>0</v>
      </c>
      <c r="T341" s="255">
        <f>IF(Q341&gt;0,S341*100/Q341,0)</f>
        <v>0</v>
      </c>
      <c r="U341" s="255">
        <f>IF(R341&gt;0,S341*100/R341,0)</f>
        <v>0</v>
      </c>
    </row>
    <row r="342" spans="1:21" ht="19.5">
      <c r="A342" s="166"/>
      <c r="B342" s="167"/>
      <c r="C342" s="156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62"/>
      <c r="M342" s="55"/>
      <c r="N342" s="55"/>
      <c r="O342" s="164"/>
      <c r="P342" s="164"/>
      <c r="Q342" s="55"/>
      <c r="R342" s="55"/>
      <c r="S342" s="55"/>
      <c r="T342" s="164"/>
      <c r="U342" s="164"/>
    </row>
    <row r="343" spans="1:21" ht="19.5">
      <c r="A343" s="629"/>
      <c r="B343" s="626"/>
      <c r="C343" s="628"/>
      <c r="D343" s="626"/>
      <c r="E343" s="627" t="s">
        <v>137</v>
      </c>
      <c r="F343" s="626"/>
      <c r="G343" s="625"/>
      <c r="H343" s="624" t="s">
        <v>35</v>
      </c>
      <c r="I343" s="623">
        <v>0</v>
      </c>
      <c r="J343" s="623">
        <f ca="1">J344+J347+J348+J349</f>
        <v>687</v>
      </c>
      <c r="K343" s="622">
        <v>0</v>
      </c>
      <c r="L343" s="250"/>
      <c r="M343" s="249"/>
      <c r="N343" s="249"/>
      <c r="O343" s="249"/>
      <c r="P343" s="249"/>
      <c r="Q343" s="249"/>
      <c r="R343" s="249"/>
      <c r="S343" s="249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40" t="s">
        <v>35</v>
      </c>
      <c r="I344" s="212">
        <f ca="1">IFERROR(__xludf.DUMMYFUNCTION("IMPORTRANGE(""https://docs.google.com/spreadsheets/d/1eHaY18a8A9IcSdp1K8H6x8fbOy06t2VsZHhMHf-1x7Y/edit?usp=sharing"",""แผน!EK42"")"),3740)</f>
        <v>3740</v>
      </c>
      <c r="J344" s="212">
        <f ca="1">IFERROR(__xludf.DUMMYFUNCTION("IMPORTRANGE(""https://docs.google.com/spreadsheets/d/1awYsYK3VOup2i3Pq_Yjnu8DRu_mYwSBnCR2QPthd0rU/edit?usp=sharing"",""ศูนย์ยกเว้นโฉนด!D42"")"),668)</f>
        <v>668</v>
      </c>
      <c r="K344" s="255">
        <f ca="1">IF(I344&gt;0,J344*100/I344,0)</f>
        <v>17.860962566844918</v>
      </c>
      <c r="L344" s="62"/>
      <c r="M344" s="55"/>
      <c r="N344" s="55"/>
      <c r="O344" s="55"/>
      <c r="P344" s="55"/>
      <c r="Q344" s="55"/>
      <c r="R344" s="55"/>
      <c r="S344" s="55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62"/>
      <c r="M345" s="55"/>
      <c r="N345" s="55"/>
      <c r="O345" s="55"/>
      <c r="P345" s="55"/>
      <c r="Q345" s="55"/>
      <c r="R345" s="55"/>
      <c r="S345" s="55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212">
        <f ca="1">IFERROR(__xludf.DUMMYFUNCTION("IMPORTRANGE(""https://docs.google.com/spreadsheets/d/1eHaY18a8A9IcSdp1K8H6x8fbOy06t2VsZHhMHf-1x7Y/edit?usp=sharing"",""แผน!EL42"")"),5)</f>
        <v>5</v>
      </c>
      <c r="J346" s="212">
        <f ca="1">IFERROR(__xludf.DUMMYFUNCTION("IMPORTRANGE(""https://docs.google.com/spreadsheets/d/1awYsYK3VOup2i3Pq_Yjnu8DRu_mYwSBnCR2QPthd0rU/edit?usp=sharing"",""ศูนย์รวม!E42"")"),4)</f>
        <v>4</v>
      </c>
      <c r="K346" s="255">
        <f ca="1">IF(I346&gt;0,J346*100/I346,0)</f>
        <v>80</v>
      </c>
      <c r="L346" s="62"/>
      <c r="M346" s="55"/>
      <c r="N346" s="55"/>
      <c r="O346" s="55"/>
      <c r="P346" s="55"/>
      <c r="Q346" s="55"/>
      <c r="R346" s="55"/>
      <c r="S346" s="55"/>
      <c r="T346" s="55"/>
      <c r="U346" s="55"/>
    </row>
    <row r="347" spans="1:21" ht="18.75">
      <c r="A347" s="238"/>
      <c r="B347" s="50"/>
      <c r="C347" s="188"/>
      <c r="D347" s="174"/>
      <c r="E347" s="174"/>
      <c r="F347" s="178" t="s">
        <v>142</v>
      </c>
      <c r="G347" s="52"/>
      <c r="H347" s="203" t="s">
        <v>35</v>
      </c>
      <c r="I347" s="54"/>
      <c r="J347" s="212">
        <f ca="1">IFERROR(__xludf.DUMMYFUNCTION("IMPORTRANGE(""https://docs.google.com/spreadsheets/d/1awYsYK3VOup2i3Pq_Yjnu8DRu_mYwSBnCR2QPthd0rU/edit?usp=sharing"",""ศูนย์ยกเว้นโฉนด!F42"")"),19)</f>
        <v>19</v>
      </c>
      <c r="K347" s="55"/>
      <c r="L347" s="62"/>
      <c r="M347" s="55"/>
      <c r="N347" s="55"/>
      <c r="O347" s="55"/>
      <c r="P347" s="55"/>
      <c r="Q347" s="55"/>
      <c r="R347" s="55"/>
      <c r="S347" s="55"/>
      <c r="T347" s="55"/>
      <c r="U347" s="55"/>
    </row>
    <row r="348" spans="1:21" ht="18.75">
      <c r="A348" s="238"/>
      <c r="B348" s="50"/>
      <c r="C348" s="188"/>
      <c r="D348" s="174"/>
      <c r="E348" s="178" t="s">
        <v>143</v>
      </c>
      <c r="F348" s="174"/>
      <c r="G348" s="52"/>
      <c r="H348" s="203" t="s">
        <v>35</v>
      </c>
      <c r="I348" s="54"/>
      <c r="J348" s="212">
        <f ca="1">IFERROR(__xludf.DUMMYFUNCTION("IMPORTRANGE(""https://docs.google.com/spreadsheets/d/1awYsYK3VOup2i3Pq_Yjnu8DRu_mYwSBnCR2QPthd0rU/edit?usp=sharing"",""ศูนย์ยกเว้นโฉนด!G42"")"),0)</f>
        <v>0</v>
      </c>
      <c r="K348" s="55"/>
      <c r="L348" s="62"/>
      <c r="M348" s="55"/>
      <c r="N348" s="55"/>
      <c r="O348" s="55"/>
      <c r="P348" s="55"/>
      <c r="Q348" s="55"/>
      <c r="R348" s="55"/>
      <c r="S348" s="55"/>
      <c r="T348" s="55"/>
      <c r="U348" s="55"/>
    </row>
    <row r="349" spans="1:21" ht="18.75">
      <c r="A349" s="238"/>
      <c r="B349" s="50"/>
      <c r="C349" s="188"/>
      <c r="D349" s="167"/>
      <c r="E349" s="178" t="s">
        <v>144</v>
      </c>
      <c r="F349" s="174"/>
      <c r="G349" s="52"/>
      <c r="H349" s="203" t="s">
        <v>35</v>
      </c>
      <c r="I349" s="54"/>
      <c r="J349" s="212">
        <f ca="1">IFERROR(__xludf.DUMMYFUNCTION("IMPORTRANGE(""https://docs.google.com/spreadsheets/d/1awYsYK3VOup2i3Pq_Yjnu8DRu_mYwSBnCR2QPthd0rU/edit?usp=sharing"",""ศูนย์ยกเว้นโฉนด!H42"")"),0)</f>
        <v>0</v>
      </c>
      <c r="K349" s="55"/>
      <c r="L349" s="62"/>
      <c r="M349" s="55"/>
      <c r="N349" s="55"/>
      <c r="O349" s="55"/>
      <c r="P349" s="55"/>
      <c r="Q349" s="55"/>
      <c r="R349" s="55"/>
      <c r="S349" s="55"/>
      <c r="T349" s="55"/>
      <c r="U349" s="55"/>
    </row>
    <row r="350" spans="1:21" ht="16.5">
      <c r="A350" s="18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0" s="50"/>
      <c r="F350" s="50"/>
      <c r="G350" s="52"/>
      <c r="H350" s="208"/>
      <c r="I350" s="54"/>
      <c r="J350" s="54"/>
      <c r="K350" s="55"/>
      <c r="L350" s="62"/>
      <c r="M350" s="55"/>
      <c r="N350" s="55"/>
      <c r="O350" s="55"/>
      <c r="P350" s="55"/>
      <c r="Q350" s="55"/>
      <c r="R350" s="55"/>
      <c r="S350" s="55"/>
      <c r="T350" s="55"/>
      <c r="U350" s="55"/>
    </row>
    <row r="351" spans="1:21" ht="19.5">
      <c r="A351" s="241"/>
      <c r="B351" s="244"/>
      <c r="C351" s="242"/>
      <c r="D351" s="244"/>
      <c r="E351" s="621" t="s">
        <v>145</v>
      </c>
      <c r="F351" s="244"/>
      <c r="G351" s="245"/>
      <c r="H351" s="246" t="s">
        <v>35</v>
      </c>
      <c r="I351" s="339">
        <v>0</v>
      </c>
      <c r="J351" s="339">
        <f ca="1">J352+J353</f>
        <v>9017</v>
      </c>
      <c r="K351" s="340">
        <v>0</v>
      </c>
      <c r="L351" s="250"/>
      <c r="M351" s="249"/>
      <c r="N351" s="249"/>
      <c r="O351" s="249"/>
      <c r="P351" s="249"/>
      <c r="Q351" s="249"/>
      <c r="R351" s="249"/>
      <c r="S351" s="249"/>
      <c r="T351" s="249"/>
      <c r="U351" s="249"/>
    </row>
    <row r="352" spans="1:21" ht="18.75">
      <c r="A352" s="188"/>
      <c r="B352" s="50"/>
      <c r="C352" s="188"/>
      <c r="D352" s="174"/>
      <c r="E352" s="178" t="s">
        <v>146</v>
      </c>
      <c r="F352" s="50"/>
      <c r="G352" s="52"/>
      <c r="H352" s="161" t="s">
        <v>35</v>
      </c>
      <c r="I352" s="54"/>
      <c r="J352" s="212">
        <f ca="1">IFERROR(__xludf.DUMMYFUNCTION("IMPORTRANGE(""https://docs.google.com/spreadsheets/d/1awYsYK3VOup2i3Pq_Yjnu8DRu_mYwSBnCR2QPthd0rU/edit?usp=sharing"",""โฉนดM3!G42"")"),5252)</f>
        <v>5252</v>
      </c>
      <c r="K352" s="55"/>
      <c r="L352" s="62"/>
      <c r="M352" s="55"/>
      <c r="N352" s="55"/>
      <c r="O352" s="55"/>
      <c r="P352" s="55"/>
      <c r="Q352" s="55"/>
      <c r="R352" s="55"/>
      <c r="S352" s="55"/>
      <c r="T352" s="55"/>
      <c r="U352" s="55"/>
    </row>
    <row r="353" spans="1:21" ht="18.75">
      <c r="A353" s="18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212">
        <f ca="1">IFERROR(__xludf.DUMMYFUNCTION("IMPORTRANGE(""https://docs.google.com/spreadsheets/d/1awYsYK3VOup2i3Pq_Yjnu8DRu_mYwSBnCR2QPthd0rU/edit?usp=sharing"",""โฉนดM3!H42"")"),3765)</f>
        <v>3765</v>
      </c>
      <c r="K353" s="55"/>
      <c r="L353" s="62"/>
      <c r="M353" s="55"/>
      <c r="N353" s="55"/>
      <c r="O353" s="55"/>
      <c r="P353" s="55"/>
      <c r="Q353" s="55"/>
      <c r="R353" s="55"/>
      <c r="S353" s="55"/>
      <c r="T353" s="55"/>
      <c r="U353" s="55"/>
    </row>
    <row r="354" spans="1:21" ht="16.5">
      <c r="A354" s="188"/>
      <c r="B354" s="50"/>
      <c r="C354" s="188"/>
      <c r="D354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4" s="50"/>
      <c r="F354" s="50"/>
      <c r="G354" s="52"/>
      <c r="H354" s="208"/>
      <c r="I354" s="54"/>
      <c r="J354" s="54"/>
      <c r="K354" s="55"/>
      <c r="L354" s="62"/>
      <c r="M354" s="55"/>
      <c r="N354" s="55"/>
      <c r="O354" s="55"/>
      <c r="P354" s="55"/>
      <c r="Q354" s="55"/>
      <c r="R354" s="55"/>
      <c r="S354" s="55"/>
      <c r="T354" s="55"/>
      <c r="U354" s="55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29"/>
      <c r="I355" s="351"/>
      <c r="J355" s="351"/>
      <c r="K355" s="333"/>
      <c r="L355" s="334"/>
      <c r="M355" s="333"/>
      <c r="N355" s="333"/>
      <c r="O355" s="333"/>
      <c r="P355" s="333"/>
      <c r="Q355" s="333"/>
      <c r="R355" s="333"/>
      <c r="S355" s="333"/>
      <c r="T355" s="333"/>
      <c r="U355" s="333"/>
    </row>
    <row r="356" spans="1:21" ht="19.5">
      <c r="A356" s="155"/>
      <c r="B356" s="50"/>
      <c r="C356" s="156" t="s">
        <v>18</v>
      </c>
      <c r="D356" s="575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541">
        <f ca="1">L357+L358</f>
        <v>1040145</v>
      </c>
      <c r="M356" s="540">
        <f ca="1">M357+M358</f>
        <v>1040145</v>
      </c>
      <c r="N356" s="540">
        <f ca="1">N357+N358</f>
        <v>893756.25</v>
      </c>
      <c r="O356" s="540">
        <f ca="1">IF(L356&gt;0,N356*100/L356,0)</f>
        <v>85.92612087737767</v>
      </c>
      <c r="P356" s="540">
        <f ca="1">IF(M356&gt;0,N356*100/M356,0)</f>
        <v>85.92612087737767</v>
      </c>
      <c r="Q356" s="540">
        <f>Q357+Q358</f>
        <v>0</v>
      </c>
      <c r="R356" s="540">
        <f>R357+R358</f>
        <v>0</v>
      </c>
      <c r="S356" s="540">
        <f>S357+S358</f>
        <v>0</v>
      </c>
      <c r="T356" s="540">
        <f>IF(Q356&gt;0,S356*100/Q356,0)</f>
        <v>0</v>
      </c>
      <c r="U356" s="540">
        <f>IF(R356&gt;0,S356*100/R356,0)</f>
        <v>0</v>
      </c>
    </row>
    <row r="357" spans="1:21" ht="18.75" hidden="1">
      <c r="A357" s="155"/>
      <c r="B357" s="50"/>
      <c r="C357" s="50"/>
      <c r="D357" s="50"/>
      <c r="E357" s="186" t="s">
        <v>20</v>
      </c>
      <c r="F357" s="50"/>
      <c r="G357" s="52"/>
      <c r="H357" s="187" t="s">
        <v>14</v>
      </c>
      <c r="I357" s="54"/>
      <c r="J357" s="54"/>
      <c r="K357" s="55"/>
      <c r="L357" s="103">
        <f>L360+L363</f>
        <v>0</v>
      </c>
      <c r="M357" s="102">
        <f>M360+M363</f>
        <v>0</v>
      </c>
      <c r="N357" s="102">
        <f>N360+N363</f>
        <v>0</v>
      </c>
      <c r="O357" s="102">
        <f>IF(L357&gt;0,N357*100/L357,0)</f>
        <v>0</v>
      </c>
      <c r="P357" s="102">
        <f>IF(M357&gt;0,N357*100/M357,0)</f>
        <v>0</v>
      </c>
      <c r="Q357" s="102">
        <f>Q360+Q363</f>
        <v>0</v>
      </c>
      <c r="R357" s="102">
        <f>R360+R363</f>
        <v>0</v>
      </c>
      <c r="S357" s="102">
        <f>S360+S363</f>
        <v>0</v>
      </c>
      <c r="T357" s="102">
        <f>IF(Q357&gt;0,S357*100/Q357,0)</f>
        <v>0</v>
      </c>
      <c r="U357" s="102">
        <f>IF(R357&gt;0,S357*100/R357,0)</f>
        <v>0</v>
      </c>
    </row>
    <row r="358" spans="1:21" ht="18.75" hidden="1">
      <c r="A358" s="155"/>
      <c r="B358" s="50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256">
        <f ca="1">L361+L364</f>
        <v>1040145</v>
      </c>
      <c r="M358" s="255">
        <f ca="1">M361+M364</f>
        <v>1040145</v>
      </c>
      <c r="N358" s="255">
        <f ca="1">N361+N364</f>
        <v>893756.25</v>
      </c>
      <c r="O358" s="255">
        <f ca="1">IF(L358&gt;0,N358*100/L358,0)</f>
        <v>85.92612087737767</v>
      </c>
      <c r="P358" s="255">
        <f ca="1">IF(M358&gt;0,N358*100/M358,0)</f>
        <v>85.92612087737767</v>
      </c>
      <c r="Q358" s="255">
        <f>Q361+Q364</f>
        <v>0</v>
      </c>
      <c r="R358" s="255">
        <f>R361+R364</f>
        <v>0</v>
      </c>
      <c r="S358" s="255">
        <f>S361+S364</f>
        <v>0</v>
      </c>
      <c r="T358" s="255">
        <f>IF(Q358&gt;0,S358*100/Q358,0)</f>
        <v>0</v>
      </c>
      <c r="U358" s="255">
        <f>IF(R358&gt;0,S358*100/R358,0)</f>
        <v>0</v>
      </c>
    </row>
    <row r="359" spans="1:21" ht="18.75">
      <c r="A359" s="155"/>
      <c r="B359" s="50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256">
        <f ca="1">L360+L361</f>
        <v>1040145</v>
      </c>
      <c r="M359" s="255">
        <f ca="1">M360+M361</f>
        <v>1040145</v>
      </c>
      <c r="N359" s="255">
        <f ca="1">N360+N361</f>
        <v>893756.25</v>
      </c>
      <c r="O359" s="255">
        <f ca="1">IF(L359&gt;0,N359*100/L359,0)</f>
        <v>85.92612087737767</v>
      </c>
      <c r="P359" s="255">
        <f ca="1">IF(M359&gt;0,N359*100/M359,0)</f>
        <v>85.92612087737767</v>
      </c>
      <c r="Q359" s="255">
        <f>Q360+Q361</f>
        <v>0</v>
      </c>
      <c r="R359" s="255">
        <f>R360+R361</f>
        <v>0</v>
      </c>
      <c r="S359" s="255">
        <f>S360+S361</f>
        <v>0</v>
      </c>
      <c r="T359" s="255">
        <f>IF(Q359&gt;0,S359*100/Q359,0)</f>
        <v>0</v>
      </c>
      <c r="U359" s="255">
        <f>IF(R359&gt;0,S359*100/R359,0)</f>
        <v>0</v>
      </c>
    </row>
    <row r="360" spans="1:21" ht="18.75" hidden="1">
      <c r="A360" s="155"/>
      <c r="B360" s="50"/>
      <c r="C360" s="50"/>
      <c r="D360" s="50"/>
      <c r="E360" s="186" t="s">
        <v>36</v>
      </c>
      <c r="F360" s="50"/>
      <c r="G360" s="52"/>
      <c r="H360" s="189" t="s">
        <v>14</v>
      </c>
      <c r="I360" s="163"/>
      <c r="J360" s="163"/>
      <c r="K360" s="164"/>
      <c r="L360" s="103">
        <v>0</v>
      </c>
      <c r="M360" s="102">
        <v>0</v>
      </c>
      <c r="N360" s="102">
        <v>0</v>
      </c>
      <c r="O360" s="102">
        <f>IF(L360&gt;0,N360*100/L360,0)</f>
        <v>0</v>
      </c>
      <c r="P360" s="102">
        <f>IF(M360&gt;0,N360*100/M360,0)</f>
        <v>0</v>
      </c>
      <c r="Q360" s="102">
        <v>0</v>
      </c>
      <c r="R360" s="102">
        <v>0</v>
      </c>
      <c r="S360" s="102">
        <v>0</v>
      </c>
      <c r="T360" s="102">
        <f>IF(Q360&gt;0,S360*100/Q360,0)</f>
        <v>0</v>
      </c>
      <c r="U360" s="102">
        <f>IF(R360&gt;0,S360*100/R360,0)</f>
        <v>0</v>
      </c>
    </row>
    <row r="361" spans="1:21" ht="18.75" hidden="1">
      <c r="A361" s="155"/>
      <c r="B361" s="50"/>
      <c r="C361" s="50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256">
        <f ca="1">IFERROR(__xludf.DUMMYFUNCTION("IMPORTRANGE(""https://docs.google.com/spreadsheets/d/1-uDff_7J0KD5mKrp0Vvzr7lt3OU09vwQwhkpOPPYv2Y/edit?usp=sharing"",""งบพรบ!FC42"")"),1040145)</f>
        <v>1040145</v>
      </c>
      <c r="M361" s="255">
        <f ca="1">IFERROR(__xludf.DUMMYFUNCTION("IMPORTRANGE(""https://docs.google.com/spreadsheets/d/1-uDff_7J0KD5mKrp0Vvzr7lt3OU09vwQwhkpOPPYv2Y/edit?usp=sharing"",""งบพรบ!FH42"")"),1040145)</f>
        <v>1040145</v>
      </c>
      <c r="N361" s="255">
        <f ca="1">IFERROR(__xludf.DUMMYFUNCTION("IMPORTRANGE(""https://docs.google.com/spreadsheets/d/1-uDff_7J0KD5mKrp0Vvzr7lt3OU09vwQwhkpOPPYv2Y/edit?usp=sharing"",""งบพรบ!FJ42"")"),893756.25)</f>
        <v>893756.25</v>
      </c>
      <c r="O361" s="255">
        <f ca="1">IF(L361&gt;0,N361*100/L361,0)</f>
        <v>85.92612087737767</v>
      </c>
      <c r="P361" s="255">
        <f ca="1">IF(M361&gt;0,N361*100/M361,0)</f>
        <v>85.92612087737767</v>
      </c>
      <c r="Q361" s="255">
        <v>0</v>
      </c>
      <c r="R361" s="255">
        <v>0</v>
      </c>
      <c r="S361" s="255">
        <v>0</v>
      </c>
      <c r="T361" s="255">
        <f>IF(Q361&gt;0,S361*100/Q361,0)</f>
        <v>0</v>
      </c>
      <c r="U361" s="255">
        <f>IF(R361&gt;0,S361*100/R361,0)</f>
        <v>0</v>
      </c>
    </row>
    <row r="362" spans="1:21" ht="18.75">
      <c r="A362" s="155"/>
      <c r="B362" s="50"/>
      <c r="C362" s="50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256">
        <f ca="1">L363+L364</f>
        <v>0</v>
      </c>
      <c r="M362" s="255">
        <f ca="1">M363+M364</f>
        <v>0</v>
      </c>
      <c r="N362" s="255">
        <f ca="1">N363+N364</f>
        <v>0</v>
      </c>
      <c r="O362" s="255">
        <f ca="1">IF(L362&gt;0,N362*100/L362,0)</f>
        <v>0</v>
      </c>
      <c r="P362" s="255">
        <f ca="1">IF(M362&gt;0,N362*100/M362,0)</f>
        <v>0</v>
      </c>
      <c r="Q362" s="255">
        <f>Q363+Q364</f>
        <v>0</v>
      </c>
      <c r="R362" s="255">
        <f>R363+R364</f>
        <v>0</v>
      </c>
      <c r="S362" s="255">
        <f>S363+S364</f>
        <v>0</v>
      </c>
      <c r="T362" s="255">
        <f>IF(Q362&gt;0,S362*100/Q362,0)</f>
        <v>0</v>
      </c>
      <c r="U362" s="255">
        <f>IF(R362&gt;0,S362*100/R362,0)</f>
        <v>0</v>
      </c>
    </row>
    <row r="363" spans="1:21" ht="18.75" hidden="1">
      <c r="A363" s="155"/>
      <c r="B363" s="50"/>
      <c r="C363" s="50"/>
      <c r="D363" s="50"/>
      <c r="E363" s="186" t="s">
        <v>20</v>
      </c>
      <c r="F363" s="50"/>
      <c r="G363" s="52"/>
      <c r="H363" s="189" t="s">
        <v>14</v>
      </c>
      <c r="I363" s="163"/>
      <c r="J363" s="163"/>
      <c r="K363" s="164"/>
      <c r="L363" s="103">
        <v>0</v>
      </c>
      <c r="M363" s="102">
        <v>0</v>
      </c>
      <c r="N363" s="102">
        <v>0</v>
      </c>
      <c r="O363" s="102">
        <f>IF(L363&gt;0,N363*100/L363,0)</f>
        <v>0</v>
      </c>
      <c r="P363" s="102">
        <f>IF(M363&gt;0,N363*100/M363,0)</f>
        <v>0</v>
      </c>
      <c r="Q363" s="102">
        <v>0</v>
      </c>
      <c r="R363" s="102">
        <v>0</v>
      </c>
      <c r="S363" s="102">
        <v>0</v>
      </c>
      <c r="T363" s="102">
        <f>IF(Q363&gt;0,S363*100/Q363,0)</f>
        <v>0</v>
      </c>
      <c r="U363" s="102">
        <f>IF(R363&gt;0,S363*100/R363,0)</f>
        <v>0</v>
      </c>
    </row>
    <row r="364" spans="1:21" ht="18.75" hidden="1">
      <c r="A364" s="155"/>
      <c r="B364" s="50"/>
      <c r="C364" s="50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256">
        <f ca="1">IFERROR(__xludf.DUMMYFUNCTION("IMPORTRANGE(""https://docs.google.com/spreadsheets/d/1-uDff_7J0KD5mKrp0Vvzr7lt3OU09vwQwhkpOPPYv2Y/edit?usp=sharing"",""งบพรบ!FF42"")"),0)</f>
        <v>0</v>
      </c>
      <c r="M364" s="255">
        <f ca="1">IFERROR(__xludf.DUMMYFUNCTION("IMPORTRANGE(""https://docs.google.com/spreadsheets/d/1-uDff_7J0KD5mKrp0Vvzr7lt3OU09vwQwhkpOPPYv2Y/edit?usp=sharing"",""งบพรบ!FI42"")"),0)</f>
        <v>0</v>
      </c>
      <c r="N364" s="255">
        <f ca="1">IFERROR(__xludf.DUMMYFUNCTION("IMPORTRANGE(""https://docs.google.com/spreadsheets/d/1-uDff_7J0KD5mKrp0Vvzr7lt3OU09vwQwhkpOPPYv2Y/edit?usp=sharing"",""งบพรบ!FK42"")"),0)</f>
        <v>0</v>
      </c>
      <c r="O364" s="255">
        <f ca="1">IF(L364&gt;0,N364*100/L364,0)</f>
        <v>0</v>
      </c>
      <c r="P364" s="255">
        <f ca="1">IF(M364&gt;0,N364*100/M364,0)</f>
        <v>0</v>
      </c>
      <c r="Q364" s="255">
        <v>0</v>
      </c>
      <c r="R364" s="255">
        <v>0</v>
      </c>
      <c r="S364" s="255">
        <v>0</v>
      </c>
      <c r="T364" s="255">
        <f>IF(Q364&gt;0,S364*100/Q364,0)</f>
        <v>0</v>
      </c>
      <c r="U364" s="255">
        <f>IF(R364&gt;0,S364*100/R364,0)</f>
        <v>0</v>
      </c>
    </row>
    <row r="365" spans="1:21" ht="19.5">
      <c r="A365" s="241"/>
      <c r="B365" s="242"/>
      <c r="C365" s="244"/>
      <c r="D365" s="621" t="s">
        <v>150</v>
      </c>
      <c r="E365" s="244"/>
      <c r="F365" s="244"/>
      <c r="G365" s="245"/>
      <c r="H365" s="254" t="s">
        <v>35</v>
      </c>
      <c r="I365" s="339">
        <f ca="1">I371</f>
        <v>675</v>
      </c>
      <c r="J365" s="339">
        <f ca="1">J371</f>
        <v>568</v>
      </c>
      <c r="K365" s="340">
        <f ca="1">IF(I365&gt;0,J365*100/I365,0)</f>
        <v>84.148148148148152</v>
      </c>
      <c r="L365" s="250"/>
      <c r="M365" s="249"/>
      <c r="N365" s="249"/>
      <c r="O365" s="249"/>
      <c r="P365" s="249"/>
      <c r="Q365" s="249"/>
      <c r="R365" s="249"/>
      <c r="S365" s="249"/>
      <c r="T365" s="249"/>
      <c r="U365" s="249"/>
    </row>
    <row r="366" spans="1:21" ht="19.5">
      <c r="A366" s="166"/>
      <c r="B366" s="167"/>
      <c r="C366" s="156" t="s">
        <v>18</v>
      </c>
      <c r="D366" s="566" t="s">
        <v>38</v>
      </c>
      <c r="E366" s="169"/>
      <c r="F366" s="169"/>
      <c r="G366" s="170"/>
      <c r="H366" s="171"/>
      <c r="I366" s="54"/>
      <c r="J366" s="54"/>
      <c r="K366" s="55"/>
      <c r="L366" s="172"/>
      <c r="M366" s="164"/>
      <c r="N366" s="164"/>
      <c r="O366" s="164"/>
      <c r="P366" s="164"/>
      <c r="Q366" s="164"/>
      <c r="R366" s="164"/>
      <c r="S366" s="164"/>
      <c r="T366" s="164"/>
      <c r="U366" s="164"/>
    </row>
    <row r="367" spans="1:21" ht="18.75">
      <c r="A367" s="166"/>
      <c r="B367" s="174"/>
      <c r="C367" s="167"/>
      <c r="D367" s="174"/>
      <c r="E367" s="173" t="s">
        <v>151</v>
      </c>
      <c r="F367" s="174"/>
      <c r="G367" s="171"/>
      <c r="H367" s="183" t="s">
        <v>35</v>
      </c>
      <c r="I367" s="212">
        <v>0</v>
      </c>
      <c r="J367" s="212">
        <f ca="1">IFERROR(__xludf.DUMMYFUNCTION("IMPORTRANGE(""https://docs.google.com/spreadsheets/d/1tdoBKaGub7dwA3U6UFTqxio9LNnvDCQjHKmttSEBsFQ/edit?usp=sharing"",""จัดที่ดิน!AB42"")"),262)</f>
        <v>262</v>
      </c>
      <c r="K367" s="255">
        <f>IF(I367&gt;0,J367*100/I367,0)</f>
        <v>0</v>
      </c>
      <c r="L367" s="172"/>
      <c r="M367" s="164"/>
      <c r="N367" s="164"/>
      <c r="O367" s="164"/>
      <c r="P367" s="164"/>
      <c r="Q367" s="164"/>
      <c r="R367" s="164"/>
      <c r="S367" s="164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212">
        <f ca="1">IFERROR(__xludf.DUMMYFUNCTION("IMPORTRANGE(""https://docs.google.com/spreadsheets/d/1eHaY18a8A9IcSdp1K8H6x8fbOy06t2VsZHhMHf-1x7Y/edit?usp=sharing"",""แผน!EW42"")"),1875)</f>
        <v>1875</v>
      </c>
      <c r="J368" s="620">
        <f ca="1">IFERROR(__xludf.DUMMYFUNCTION("IMPORTRANGE(""https://docs.google.com/spreadsheets/d/1tdoBKaGub7dwA3U6UFTqxio9LNnvDCQjHKmttSEBsFQ/edit?usp=sharing"",""จัดที่ดิน!AC42"")"),1899.43)</f>
        <v>1899.43</v>
      </c>
      <c r="K368" s="255">
        <f ca="1">IF(I368&gt;0,J368*100/I368,0)</f>
        <v>101.30293333333333</v>
      </c>
      <c r="L368" s="172"/>
      <c r="M368" s="164"/>
      <c r="N368" s="164"/>
      <c r="O368" s="164"/>
      <c r="P368" s="164"/>
      <c r="Q368" s="164"/>
      <c r="R368" s="164"/>
      <c r="S368" s="164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79" t="s">
        <v>35</v>
      </c>
      <c r="I369" s="212">
        <f ca="1">IFERROR(__xludf.DUMMYFUNCTION("IMPORTRANGE(""https://docs.google.com/spreadsheets/d/1eHaY18a8A9IcSdp1K8H6x8fbOy06t2VsZHhMHf-1x7Y/edit?usp=sharing"",""แผน!EX42"")"),675)</f>
        <v>675</v>
      </c>
      <c r="J369" s="212">
        <f ca="1">IFERROR(__xludf.DUMMYFUNCTION("IMPORTRANGE(""https://docs.google.com/spreadsheets/d/1tdoBKaGub7dwA3U6UFTqxio9LNnvDCQjHKmttSEBsFQ/edit?usp=sharing"",""จัดที่ดิน!AD42"")"),735)</f>
        <v>735</v>
      </c>
      <c r="K369" s="255">
        <f ca="1">IF(I369&gt;0,J369*100/I369,0)</f>
        <v>108.88888888888889</v>
      </c>
      <c r="L369" s="172"/>
      <c r="M369" s="164"/>
      <c r="N369" s="164"/>
      <c r="O369" s="164"/>
      <c r="P369" s="164"/>
      <c r="Q369" s="164"/>
      <c r="R369" s="164"/>
      <c r="S369" s="164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79" t="s">
        <v>46</v>
      </c>
      <c r="I370" s="212">
        <v>0</v>
      </c>
      <c r="J370" s="620">
        <f ca="1">IFERROR(__xludf.DUMMYFUNCTION("IMPORTRANGE(""https://docs.google.com/spreadsheets/d/1tdoBKaGub7dwA3U6UFTqxio9LNnvDCQjHKmttSEBsFQ/edit?usp=sharing"",""จัดที่ดิน!AE42"")"),7898.92)</f>
        <v>7898.92</v>
      </c>
      <c r="K370" s="255">
        <f>IF(I370&gt;0,J370*100/I370,0)</f>
        <v>0</v>
      </c>
      <c r="L370" s="172"/>
      <c r="M370" s="164"/>
      <c r="N370" s="164"/>
      <c r="O370" s="164"/>
      <c r="P370" s="164"/>
      <c r="Q370" s="164"/>
      <c r="R370" s="164"/>
      <c r="S370" s="164"/>
      <c r="T370" s="164"/>
      <c r="U370" s="164"/>
    </row>
    <row r="371" spans="1:21" ht="18.75">
      <c r="A371" s="166"/>
      <c r="B371" s="174"/>
      <c r="C371" s="167"/>
      <c r="D371" s="174"/>
      <c r="E371" s="352" t="s">
        <v>153</v>
      </c>
      <c r="F371" s="174"/>
      <c r="G371" s="171"/>
      <c r="H371" s="179" t="s">
        <v>35</v>
      </c>
      <c r="I371" s="212">
        <f ca="1">IFERROR(__xludf.DUMMYFUNCTION("IMPORTRANGE(""https://docs.google.com/spreadsheets/d/1eHaY18a8A9IcSdp1K8H6x8fbOy06t2VsZHhMHf-1x7Y/edit?usp=sharing"",""แผน!EY42"")"),675)</f>
        <v>675</v>
      </c>
      <c r="J371" s="212">
        <f ca="1">IFERROR(__xludf.DUMMYFUNCTION("IMPORTRANGE(""https://docs.google.com/spreadsheets/d/1tdoBKaGub7dwA3U6UFTqxio9LNnvDCQjHKmttSEBsFQ/edit?usp=sharing"",""จัดที่ดิน!AF42"")"),568)</f>
        <v>568</v>
      </c>
      <c r="K371" s="255">
        <f ca="1">IF(I371&gt;0,J371*100/I371,0)</f>
        <v>84.148148148148152</v>
      </c>
      <c r="L371" s="172"/>
      <c r="M371" s="164"/>
      <c r="N371" s="164"/>
      <c r="O371" s="164"/>
      <c r="P371" s="164"/>
      <c r="Q371" s="164"/>
      <c r="R371" s="164"/>
      <c r="S371" s="164"/>
      <c r="T371" s="164"/>
      <c r="U371" s="164"/>
    </row>
    <row r="372" spans="1:21" ht="18.75">
      <c r="A372" s="166"/>
      <c r="B372" s="174"/>
      <c r="C372" s="167"/>
      <c r="D372" s="174"/>
      <c r="E372" s="174"/>
      <c r="F372" s="174"/>
      <c r="G372" s="171"/>
      <c r="H372" s="179" t="s">
        <v>46</v>
      </c>
      <c r="I372" s="212">
        <v>0</v>
      </c>
      <c r="J372" s="620">
        <f ca="1">IFERROR(__xludf.DUMMYFUNCTION("IMPORTRANGE(""https://docs.google.com/spreadsheets/d/1tdoBKaGub7dwA3U6UFTqxio9LNnvDCQjHKmttSEBsFQ/edit?usp=sharing"",""จัดที่ดิน!AG42"")"),5934.26)</f>
        <v>5934.26</v>
      </c>
      <c r="K372" s="255">
        <f>IF(I372&gt;0,J372*100/I372,0)</f>
        <v>0</v>
      </c>
      <c r="L372" s="172"/>
      <c r="M372" s="164"/>
      <c r="N372" s="164"/>
      <c r="O372" s="164"/>
      <c r="P372" s="164"/>
      <c r="Q372" s="164"/>
      <c r="R372" s="164"/>
      <c r="S372" s="164"/>
      <c r="T372" s="164"/>
      <c r="U372" s="164"/>
    </row>
    <row r="373" spans="1:21" ht="16.5">
      <c r="A373" s="5"/>
      <c r="B373" s="4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พ.ค. 67 เวลา 07.29 น.]")</f>
        <v xml:space="preserve"> [ข้อมูลจาก ระบบ ALRO Land Online ข้อมูล ณ 1 พ.ค. 67 เวลา 07.29 น.]</v>
      </c>
      <c r="E373" s="4"/>
      <c r="F373" s="4"/>
      <c r="G373" s="65"/>
      <c r="H373" s="65"/>
      <c r="I373" s="67"/>
      <c r="J373" s="67"/>
      <c r="K373" s="6"/>
      <c r="L373" s="68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>
      <c r="A374" s="619"/>
      <c r="B374" s="618" t="s">
        <v>154</v>
      </c>
      <c r="C374" s="617"/>
      <c r="D374" s="616"/>
      <c r="E374" s="615"/>
      <c r="F374" s="615"/>
      <c r="G374" s="614"/>
      <c r="H374" s="613" t="s">
        <v>46</v>
      </c>
      <c r="I374" s="612">
        <f ca="1">I386+I388</f>
        <v>5500</v>
      </c>
      <c r="J374" s="612">
        <f ca="1">J386+J388</f>
        <v>0</v>
      </c>
      <c r="K374" s="611">
        <f ca="1">IF(I374&gt;0,J374*100/I374,0)</f>
        <v>0</v>
      </c>
      <c r="L374" s="334"/>
      <c r="M374" s="333"/>
      <c r="N374" s="333"/>
      <c r="O374" s="333"/>
      <c r="P374" s="333"/>
      <c r="Q374" s="333"/>
      <c r="R374" s="333"/>
      <c r="S374" s="333"/>
      <c r="T374" s="333"/>
      <c r="U374" s="333"/>
    </row>
    <row r="375" spans="1:21" ht="19.5">
      <c r="A375" s="155"/>
      <c r="B375" s="188"/>
      <c r="C375" s="191" t="s">
        <v>18</v>
      </c>
      <c r="D375" s="608" t="s">
        <v>19</v>
      </c>
      <c r="E375" s="50"/>
      <c r="F375" s="50"/>
      <c r="G375" s="52"/>
      <c r="H375" s="158" t="s">
        <v>14</v>
      </c>
      <c r="I375" s="54"/>
      <c r="J375" s="54"/>
      <c r="K375" s="55"/>
      <c r="L375" s="541">
        <f>L376+L377</f>
        <v>0</v>
      </c>
      <c r="M375" s="540">
        <f>M376+M377</f>
        <v>0</v>
      </c>
      <c r="N375" s="540">
        <f>N376+N377</f>
        <v>0</v>
      </c>
      <c r="O375" s="540">
        <f>IF(L375&gt;0,N375*100/L375,0)</f>
        <v>0</v>
      </c>
      <c r="P375" s="540">
        <f>IF(M375&gt;0,N375*100/M375,0)</f>
        <v>0</v>
      </c>
      <c r="Q375" s="540">
        <f ca="1">Q376+Q377</f>
        <v>343750</v>
      </c>
      <c r="R375" s="540">
        <f ca="1">R376+R377</f>
        <v>0</v>
      </c>
      <c r="S375" s="540">
        <f ca="1">S376+S377</f>
        <v>0</v>
      </c>
      <c r="T375" s="540">
        <f ca="1">IF(Q375&gt;0,S375*100/Q375,0)</f>
        <v>0</v>
      </c>
      <c r="U375" s="540">
        <f ca="1">IF(R375&gt;0,S375*100/R375,0)</f>
        <v>0</v>
      </c>
    </row>
    <row r="376" spans="1:21" ht="18.75" hidden="1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103">
        <f>L379+L382</f>
        <v>0</v>
      </c>
      <c r="M376" s="102">
        <f>M379+M382</f>
        <v>0</v>
      </c>
      <c r="N376" s="102">
        <f>N379+N382</f>
        <v>0</v>
      </c>
      <c r="O376" s="102">
        <f>IF(L376&gt;0,N376*100/L376,0)</f>
        <v>0</v>
      </c>
      <c r="P376" s="102">
        <f>IF(M376&gt;0,N376*100/M376,0)</f>
        <v>0</v>
      </c>
      <c r="Q376" s="102">
        <f>Q379+Q382</f>
        <v>0</v>
      </c>
      <c r="R376" s="102">
        <f>R379+R382</f>
        <v>0</v>
      </c>
      <c r="S376" s="102">
        <f>S379+S382</f>
        <v>0</v>
      </c>
      <c r="T376" s="102">
        <f>IF(Q376&gt;0,S376*100/Q376,0)</f>
        <v>0</v>
      </c>
      <c r="U376" s="102">
        <f>IF(R376&gt;0,S376*100/R376,0)</f>
        <v>0</v>
      </c>
    </row>
    <row r="377" spans="1:21" ht="18.75" hidden="1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256">
        <f>L380+L383</f>
        <v>0</v>
      </c>
      <c r="M377" s="255">
        <f>M380+M383</f>
        <v>0</v>
      </c>
      <c r="N377" s="255">
        <f>N380+N383</f>
        <v>0</v>
      </c>
      <c r="O377" s="255">
        <f>IF(L377&gt;0,N377*100/L377,0)</f>
        <v>0</v>
      </c>
      <c r="P377" s="255">
        <f>IF(M377&gt;0,N377*100/M377,0)</f>
        <v>0</v>
      </c>
      <c r="Q377" s="255">
        <f ca="1">Q380+Q383</f>
        <v>343750</v>
      </c>
      <c r="R377" s="255">
        <f ca="1">R380+R383</f>
        <v>0</v>
      </c>
      <c r="S377" s="255">
        <f ca="1">S380+S383</f>
        <v>0</v>
      </c>
      <c r="T377" s="255">
        <f ca="1">IF(Q377&gt;0,S377*100/Q377,0)</f>
        <v>0</v>
      </c>
      <c r="U377" s="255">
        <f ca="1">IF(R377&gt;0,S377*100/R377,0)</f>
        <v>0</v>
      </c>
    </row>
    <row r="378" spans="1:21" ht="18.75">
      <c r="A378" s="155"/>
      <c r="B378" s="188"/>
      <c r="C378" s="188"/>
      <c r="D378" s="602" t="s">
        <v>22</v>
      </c>
      <c r="E378" s="50"/>
      <c r="F378" s="50"/>
      <c r="G378" s="52"/>
      <c r="H378" s="162" t="s">
        <v>14</v>
      </c>
      <c r="I378" s="163"/>
      <c r="J378" s="163"/>
      <c r="K378" s="164"/>
      <c r="L378" s="256">
        <f>L379+L380</f>
        <v>0</v>
      </c>
      <c r="M378" s="255">
        <f>M379+M380</f>
        <v>0</v>
      </c>
      <c r="N378" s="255">
        <f>N379+N380</f>
        <v>0</v>
      </c>
      <c r="O378" s="255">
        <f>IF(L378&gt;0,N378*100/L378,0)</f>
        <v>0</v>
      </c>
      <c r="P378" s="255">
        <f>IF(M378&gt;0,N378*100/M378,0)</f>
        <v>0</v>
      </c>
      <c r="Q378" s="255">
        <f ca="1">Q379+Q380</f>
        <v>343750</v>
      </c>
      <c r="R378" s="255">
        <f ca="1">R379+R380</f>
        <v>0</v>
      </c>
      <c r="S378" s="255">
        <f ca="1">S379+S380</f>
        <v>0</v>
      </c>
      <c r="T378" s="255">
        <f ca="1">IF(Q378&gt;0,S378*100/Q378,0)</f>
        <v>0</v>
      </c>
      <c r="U378" s="255">
        <f ca="1">IF(R378&gt;0,S378*100/R378,0)</f>
        <v>0</v>
      </c>
    </row>
    <row r="379" spans="1:21" ht="18.75" hidden="1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103">
        <v>0</v>
      </c>
      <c r="M379" s="102">
        <v>0</v>
      </c>
      <c r="N379" s="102">
        <v>0</v>
      </c>
      <c r="O379" s="102">
        <f>IF(L379&gt;0,N379*100/L379,0)</f>
        <v>0</v>
      </c>
      <c r="P379" s="102">
        <f>IF(M379&gt;0,N379*100/M379,0)</f>
        <v>0</v>
      </c>
      <c r="Q379" s="102">
        <v>0</v>
      </c>
      <c r="R379" s="102">
        <v>0</v>
      </c>
      <c r="S379" s="102">
        <v>0</v>
      </c>
      <c r="T379" s="102">
        <f>IF(Q379&gt;0,S379*100/Q379,0)</f>
        <v>0</v>
      </c>
      <c r="U379" s="102">
        <f>IF(R379&gt;0,S379*100/R379,0)</f>
        <v>0</v>
      </c>
    </row>
    <row r="380" spans="1:21" ht="18.75" hidden="1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256">
        <v>0</v>
      </c>
      <c r="M380" s="255">
        <v>0</v>
      </c>
      <c r="N380" s="255">
        <v>0</v>
      </c>
      <c r="O380" s="255">
        <f>IF(L380&gt;0,N380*100/L380,0)</f>
        <v>0</v>
      </c>
      <c r="P380" s="255">
        <f>IF(M380&gt;0,N380*100/M380,0)</f>
        <v>0</v>
      </c>
      <c r="Q380" s="255">
        <f ca="1">IFERROR(__xludf.DUMMYFUNCTION("IMPORTRANGE(""https://docs.google.com/spreadsheets/d/1ItG2mGa2ceCfYo0BwxsXqNm01IGEUdYcSSLTEv9YCik/edit?usp=sharing"",""เบิกจ่ายกองทุน!AY42"")"),343750)</f>
        <v>343750</v>
      </c>
      <c r="R380" s="255">
        <f ca="1">IFERROR(__xludf.DUMMYFUNCTION("IMPORTRANGE(""https://docs.google.com/spreadsheets/d/1ItG2mGa2ceCfYo0BwxsXqNm01IGEUdYcSSLTEv9YCik/edit?usp=sharing"",""เบิกจ่ายกองทุน!AZ42"")"),0)</f>
        <v>0</v>
      </c>
      <c r="S380" s="255">
        <f ca="1">IFERROR(__xludf.DUMMYFUNCTION("IMPORTRANGE(""https://docs.google.com/spreadsheets/d/1ItG2mGa2ceCfYo0BwxsXqNm01IGEUdYcSSLTEv9YCik/edit?usp=sharing"",""เบิกจ่ายกองทุน!BA42"")"),0)</f>
        <v>0</v>
      </c>
      <c r="T380" s="255">
        <f ca="1">IF(Q380&gt;0,S380*100/Q380,0)</f>
        <v>0</v>
      </c>
      <c r="U380" s="255">
        <f ca="1">IF(R380&gt;0,S380*100/R380,0)</f>
        <v>0</v>
      </c>
    </row>
    <row r="381" spans="1:21" ht="18.75">
      <c r="A381" s="155"/>
      <c r="B381" s="188"/>
      <c r="C381" s="188"/>
      <c r="D381" s="602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256">
        <f>L382+L383</f>
        <v>0</v>
      </c>
      <c r="M381" s="255">
        <f>M382+M383</f>
        <v>0</v>
      </c>
      <c r="N381" s="255">
        <f>N382+N383</f>
        <v>0</v>
      </c>
      <c r="O381" s="255">
        <f>IF(L381&gt;0,N381*100/L381,0)</f>
        <v>0</v>
      </c>
      <c r="P381" s="255">
        <f>IF(M381&gt;0,N381*100/M381,0)</f>
        <v>0</v>
      </c>
      <c r="Q381" s="255">
        <f>Q382+Q383</f>
        <v>0</v>
      </c>
      <c r="R381" s="255">
        <f>R382+R383</f>
        <v>0</v>
      </c>
      <c r="S381" s="255">
        <f>S382+S383</f>
        <v>0</v>
      </c>
      <c r="T381" s="255">
        <f>IF(Q381&gt;0,S381*100/Q381,0)</f>
        <v>0</v>
      </c>
      <c r="U381" s="255">
        <f>IF(R381&gt;0,S381*100/R381,0)</f>
        <v>0</v>
      </c>
    </row>
    <row r="382" spans="1:21" ht="18.75" hidden="1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103">
        <v>0</v>
      </c>
      <c r="M382" s="102">
        <v>0</v>
      </c>
      <c r="N382" s="102">
        <v>0</v>
      </c>
      <c r="O382" s="102">
        <f>IF(L382&gt;0,N382*100/L382,0)</f>
        <v>0</v>
      </c>
      <c r="P382" s="102">
        <f>IF(M382&gt;0,N382*100/M382,0)</f>
        <v>0</v>
      </c>
      <c r="Q382" s="102">
        <v>0</v>
      </c>
      <c r="R382" s="102">
        <v>0</v>
      </c>
      <c r="S382" s="102">
        <v>0</v>
      </c>
      <c r="T382" s="102">
        <f>IF(Q382&gt;0,S382*100/Q382,0)</f>
        <v>0</v>
      </c>
      <c r="U382" s="102">
        <f>IF(R382&gt;0,S382*100/R382,0)</f>
        <v>0</v>
      </c>
    </row>
    <row r="383" spans="1:21" ht="18.75" hidden="1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256">
        <v>0</v>
      </c>
      <c r="M383" s="255">
        <v>0</v>
      </c>
      <c r="N383" s="255">
        <v>0</v>
      </c>
      <c r="O383" s="255">
        <f>IF(L383&gt;0,N383*100/L383,0)</f>
        <v>0</v>
      </c>
      <c r="P383" s="255">
        <f>IF(M383&gt;0,N383*100/M383,0)</f>
        <v>0</v>
      </c>
      <c r="Q383" s="255">
        <v>0</v>
      </c>
      <c r="R383" s="255">
        <v>0</v>
      </c>
      <c r="S383" s="255">
        <v>0</v>
      </c>
      <c r="T383" s="255">
        <f>IF(Q383&gt;0,S383*100/Q383,0)</f>
        <v>0</v>
      </c>
      <c r="U383" s="255">
        <f>IF(R383&gt;0,S383*100/R383,0)</f>
        <v>0</v>
      </c>
    </row>
    <row r="384" spans="1:21" ht="19.5">
      <c r="A384" s="166"/>
      <c r="B384" s="167"/>
      <c r="C384" s="191" t="s">
        <v>18</v>
      </c>
      <c r="D384" s="560" t="s">
        <v>38</v>
      </c>
      <c r="E384" s="169"/>
      <c r="F384" s="169"/>
      <c r="G384" s="170"/>
      <c r="H384" s="206"/>
      <c r="I384" s="163"/>
      <c r="J384" s="54"/>
      <c r="K384" s="55"/>
      <c r="L384" s="62"/>
      <c r="M384" s="55"/>
      <c r="N384" s="55"/>
      <c r="O384" s="164"/>
      <c r="P384" s="164"/>
      <c r="Q384" s="55"/>
      <c r="R384" s="55"/>
      <c r="S384" s="55"/>
      <c r="T384" s="164"/>
      <c r="U384" s="164"/>
    </row>
    <row r="385" spans="1:21" ht="18.75">
      <c r="A385" s="238"/>
      <c r="B385" s="188"/>
      <c r="C385" s="188"/>
      <c r="D385" s="188"/>
      <c r="E385" s="58" t="s">
        <v>155</v>
      </c>
      <c r="F385" s="50"/>
      <c r="G385" s="52"/>
      <c r="H385" s="161" t="s">
        <v>34</v>
      </c>
      <c r="I385" s="212">
        <v>0</v>
      </c>
      <c r="J385" s="212">
        <f ca="1">IFERROR(__xludf.DUMMYFUNCTION("IMPORTRANGE(""https://docs.google.com/spreadsheets/d/1w5rwWK1o49a35cNtocGL0gxDwhFSTZUQu90BiH9_zqM/edit?usp=sharing"",""RTK!H42"")"),0)</f>
        <v>0</v>
      </c>
      <c r="K385" s="255">
        <f>IF(I385&gt;0,J385*100/I385,0)</f>
        <v>0</v>
      </c>
      <c r="L385" s="62"/>
      <c r="M385" s="55"/>
      <c r="N385" s="55"/>
      <c r="O385" s="55"/>
      <c r="P385" s="55"/>
      <c r="Q385" s="55"/>
      <c r="R385" s="55"/>
      <c r="S385" s="55"/>
      <c r="T385" s="55"/>
      <c r="U385" s="55"/>
    </row>
    <row r="386" spans="1:21" ht="18.75">
      <c r="A386" s="188"/>
      <c r="B386" s="188"/>
      <c r="C386" s="188"/>
      <c r="D386" s="188"/>
      <c r="E386" s="188"/>
      <c r="F386" s="188"/>
      <c r="G386" s="208"/>
      <c r="H386" s="161" t="s">
        <v>46</v>
      </c>
      <c r="I386" s="212">
        <f ca="1">IFERROR(__xludf.DUMMYFUNCTION("IMPORTRANGE(""https://docs.google.com/spreadsheets/d/1w5rwWK1o49a35cNtocGL0gxDwhFSTZUQu90BiH9_zqM/edit?usp=sharing"",""RTK!G42"")"),5500)</f>
        <v>5500</v>
      </c>
      <c r="J386" s="212">
        <f ca="1">IFERROR(__xludf.DUMMYFUNCTION("IMPORTRANGE(""https://docs.google.com/spreadsheets/d/1w5rwWK1o49a35cNtocGL0gxDwhFSTZUQu90BiH9_zqM/edit?usp=sharing"",""RTK!I42"")"),0)</f>
        <v>0</v>
      </c>
      <c r="K386" s="255">
        <f ca="1">IF(I386&gt;0,J386*100/I386,0)</f>
        <v>0</v>
      </c>
      <c r="L386" s="62"/>
      <c r="M386" s="55"/>
      <c r="N386" s="55"/>
      <c r="O386" s="55"/>
      <c r="P386" s="55"/>
      <c r="Q386" s="55"/>
      <c r="R386" s="55"/>
      <c r="S386" s="55"/>
      <c r="T386" s="55"/>
      <c r="U386" s="55"/>
    </row>
    <row r="387" spans="1:21" ht="18.75">
      <c r="A387" s="609"/>
      <c r="B387" s="609"/>
      <c r="C387" s="609"/>
      <c r="D387" s="609"/>
      <c r="E387" s="610" t="s">
        <v>156</v>
      </c>
      <c r="F387" s="609"/>
      <c r="G387" s="557"/>
      <c r="H387" s="549" t="s">
        <v>34</v>
      </c>
      <c r="I387" s="556">
        <v>0</v>
      </c>
      <c r="J387" s="556">
        <f ca="1">IFERROR(__xludf.DUMMYFUNCTION("IMPORTRANGE(""https://docs.google.com/spreadsheets/d/1w5rwWK1o49a35cNtocGL0gxDwhFSTZUQu90BiH9_zqM/edit?usp=sharing"",""RTK!L42"")"),0)</f>
        <v>0</v>
      </c>
      <c r="K387" s="555">
        <f>IF(I387&gt;0,J387*100/I387,0)</f>
        <v>0</v>
      </c>
      <c r="L387" s="546"/>
      <c r="M387" s="545"/>
      <c r="N387" s="545"/>
      <c r="O387" s="545"/>
      <c r="P387" s="545"/>
      <c r="Q387" s="545"/>
      <c r="R387" s="545"/>
      <c r="S387" s="545"/>
      <c r="T387" s="545"/>
      <c r="U387" s="545"/>
    </row>
    <row r="388" spans="1:21" ht="18.75">
      <c r="A388" s="609"/>
      <c r="B388" s="609"/>
      <c r="C388" s="609"/>
      <c r="D388" s="609"/>
      <c r="E388" s="609"/>
      <c r="F388" s="609"/>
      <c r="G388" s="557"/>
      <c r="H388" s="549" t="s">
        <v>46</v>
      </c>
      <c r="I388" s="556">
        <f ca="1">IFERROR(__xludf.DUMMYFUNCTION("IMPORTRANGE(""https://docs.google.com/spreadsheets/d/1w5rwWK1o49a35cNtocGL0gxDwhFSTZUQu90BiH9_zqM/edit?usp=sharing"",""RTK!K42"")"),0)</f>
        <v>0</v>
      </c>
      <c r="J388" s="556">
        <f ca="1">IFERROR(__xludf.DUMMYFUNCTION("IMPORTRANGE(""https://docs.google.com/spreadsheets/d/1w5rwWK1o49a35cNtocGL0gxDwhFSTZUQu90BiH9_zqM/edit?usp=sharing"",""RTK!M42"")"),0)</f>
        <v>0</v>
      </c>
      <c r="K388" s="555">
        <f ca="1">IF(I388&gt;0,J388*100/I388,0)</f>
        <v>0</v>
      </c>
      <c r="L388" s="546"/>
      <c r="M388" s="545"/>
      <c r="N388" s="545"/>
      <c r="O388" s="545"/>
      <c r="P388" s="545"/>
      <c r="Q388" s="545"/>
      <c r="R388" s="545"/>
      <c r="S388" s="545"/>
      <c r="T388" s="545"/>
      <c r="U388" s="545"/>
    </row>
    <row r="389" spans="1:21" ht="12.75" hidden="1">
      <c r="A389" s="259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5"/>
      <c r="M389" s="264"/>
      <c r="N389" s="264"/>
      <c r="O389" s="264"/>
      <c r="P389" s="264"/>
      <c r="Q389" s="264"/>
      <c r="R389" s="264"/>
      <c r="S389" s="264"/>
      <c r="T389" s="264"/>
      <c r="U389" s="264"/>
    </row>
    <row r="390" spans="1:21" ht="12.75" hidden="1">
      <c r="A390" s="360"/>
      <c r="B390" s="360"/>
      <c r="C390" s="360"/>
      <c r="D390" s="360"/>
      <c r="E390" s="360"/>
      <c r="F390" s="360"/>
      <c r="G390" s="361"/>
      <c r="H390" s="361"/>
      <c r="I390" s="362"/>
      <c r="J390" s="362"/>
      <c r="K390" s="363"/>
      <c r="L390" s="364"/>
      <c r="M390" s="363"/>
      <c r="N390" s="363"/>
      <c r="O390" s="363"/>
      <c r="P390" s="363"/>
      <c r="Q390" s="363"/>
      <c r="R390" s="363"/>
      <c r="S390" s="363"/>
      <c r="T390" s="363"/>
      <c r="U390" s="363"/>
    </row>
    <row r="391" spans="1:21" ht="19.5" hidden="1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51">
        <f>I402</f>
        <v>0</v>
      </c>
      <c r="J391" s="351">
        <f>J402</f>
        <v>0</v>
      </c>
      <c r="K391" s="604">
        <f>IF(I391&gt;0,J391*100/I391,0)</f>
        <v>0</v>
      </c>
      <c r="L391" s="334"/>
      <c r="M391" s="333"/>
      <c r="N391" s="333"/>
      <c r="O391" s="333"/>
      <c r="P391" s="333"/>
      <c r="Q391" s="333"/>
      <c r="R391" s="333"/>
      <c r="S391" s="333"/>
      <c r="T391" s="333"/>
      <c r="U391" s="333"/>
    </row>
    <row r="392" spans="1:21" ht="19.5" hidden="1">
      <c r="A392" s="155"/>
      <c r="B392" s="188"/>
      <c r="C392" s="191" t="s">
        <v>18</v>
      </c>
      <c r="D392" s="608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541">
        <f>L393+L394</f>
        <v>0</v>
      </c>
      <c r="M392" s="540">
        <f>M393+M394</f>
        <v>0</v>
      </c>
      <c r="N392" s="540">
        <f>N393+N394</f>
        <v>0</v>
      </c>
      <c r="O392" s="540">
        <f>IF(L392&gt;0,N392*100/L392,0)</f>
        <v>0</v>
      </c>
      <c r="P392" s="540">
        <f>IF(M392&gt;0,N392*100/M392,0)</f>
        <v>0</v>
      </c>
      <c r="Q392" s="540">
        <f>Q393+Q394</f>
        <v>0</v>
      </c>
      <c r="R392" s="540">
        <f>R393+R394</f>
        <v>0</v>
      </c>
      <c r="S392" s="540">
        <f>S393+S394</f>
        <v>0</v>
      </c>
      <c r="T392" s="540">
        <f>IF(Q392&gt;0,S392*100/Q392,0)</f>
        <v>0</v>
      </c>
      <c r="U392" s="540">
        <f>IF(R392&gt;0,S392*100/R392,0)</f>
        <v>0</v>
      </c>
    </row>
    <row r="393" spans="1:21" ht="18.75" hidden="1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103">
        <f>L396+L399</f>
        <v>0</v>
      </c>
      <c r="M393" s="102">
        <f>M396+M399</f>
        <v>0</v>
      </c>
      <c r="N393" s="102">
        <f>N396+N399</f>
        <v>0</v>
      </c>
      <c r="O393" s="102">
        <f>IF(L393&gt;0,N393*100/L393,0)</f>
        <v>0</v>
      </c>
      <c r="P393" s="102">
        <f>IF(M393&gt;0,N393*100/M393,0)</f>
        <v>0</v>
      </c>
      <c r="Q393" s="102">
        <f>Q396+Q399</f>
        <v>0</v>
      </c>
      <c r="R393" s="102">
        <f>R396+R399</f>
        <v>0</v>
      </c>
      <c r="S393" s="102">
        <f>S396+S399</f>
        <v>0</v>
      </c>
      <c r="T393" s="102">
        <f>IF(Q393&gt;0,S393*100/Q393,0)</f>
        <v>0</v>
      </c>
      <c r="U393" s="102">
        <f>IF(R393&gt;0,S393*100/R393,0)</f>
        <v>0</v>
      </c>
    </row>
    <row r="394" spans="1:21" ht="18.75" hidden="1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256">
        <f>L397+L400</f>
        <v>0</v>
      </c>
      <c r="M394" s="255">
        <f>M397+M400</f>
        <v>0</v>
      </c>
      <c r="N394" s="255">
        <f>N397+N400</f>
        <v>0</v>
      </c>
      <c r="O394" s="255">
        <f>IF(L394&gt;0,N394*100/L394,0)</f>
        <v>0</v>
      </c>
      <c r="P394" s="255">
        <f>IF(M394&gt;0,N394*100/M394,0)</f>
        <v>0</v>
      </c>
      <c r="Q394" s="255">
        <f>Q397+Q400</f>
        <v>0</v>
      </c>
      <c r="R394" s="255">
        <f>R397+R400</f>
        <v>0</v>
      </c>
      <c r="S394" s="255">
        <f>S397+S400</f>
        <v>0</v>
      </c>
      <c r="T394" s="255">
        <f>IF(Q394&gt;0,S394*100/Q394,0)</f>
        <v>0</v>
      </c>
      <c r="U394" s="255">
        <f>IF(R394&gt;0,S394*100/R394,0)</f>
        <v>0</v>
      </c>
    </row>
    <row r="395" spans="1:21" ht="18.75" hidden="1">
      <c r="A395" s="155"/>
      <c r="B395" s="188"/>
      <c r="C395" s="188"/>
      <c r="D395" s="602" t="s">
        <v>22</v>
      </c>
      <c r="E395" s="50"/>
      <c r="F395" s="50"/>
      <c r="G395" s="52"/>
      <c r="H395" s="162" t="s">
        <v>14</v>
      </c>
      <c r="I395" s="163"/>
      <c r="J395" s="163"/>
      <c r="K395" s="164"/>
      <c r="L395" s="256">
        <f>L396+L397</f>
        <v>0</v>
      </c>
      <c r="M395" s="255">
        <f>M396+M397</f>
        <v>0</v>
      </c>
      <c r="N395" s="255">
        <f>N396+N397</f>
        <v>0</v>
      </c>
      <c r="O395" s="255">
        <f>IF(L395&gt;0,N395*100/L395,0)</f>
        <v>0</v>
      </c>
      <c r="P395" s="255">
        <f>IF(M395&gt;0,N395*100/M395,0)</f>
        <v>0</v>
      </c>
      <c r="Q395" s="255">
        <f>Q396+Q397</f>
        <v>0</v>
      </c>
      <c r="R395" s="255">
        <f>R396+R397</f>
        <v>0</v>
      </c>
      <c r="S395" s="255">
        <f>S396+S397</f>
        <v>0</v>
      </c>
      <c r="T395" s="255">
        <f>IF(Q395&gt;0,S395*100/Q395,0)</f>
        <v>0</v>
      </c>
      <c r="U395" s="255">
        <f>IF(R395&gt;0,S395*100/R395,0)</f>
        <v>0</v>
      </c>
    </row>
    <row r="396" spans="1:21" ht="18.75" hidden="1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103">
        <v>0</v>
      </c>
      <c r="M396" s="102">
        <v>0</v>
      </c>
      <c r="N396" s="102">
        <v>0</v>
      </c>
      <c r="O396" s="102">
        <f>IF(L396&gt;0,N396*100/L396,0)</f>
        <v>0</v>
      </c>
      <c r="P396" s="102">
        <f>IF(M396&gt;0,N396*100/M396,0)</f>
        <v>0</v>
      </c>
      <c r="Q396" s="102">
        <v>0</v>
      </c>
      <c r="R396" s="102">
        <v>0</v>
      </c>
      <c r="S396" s="102">
        <v>0</v>
      </c>
      <c r="T396" s="102">
        <f>IF(Q396&gt;0,S396*100/Q396,0)</f>
        <v>0</v>
      </c>
      <c r="U396" s="102">
        <f>IF(R396&gt;0,S396*100/R396,0)</f>
        <v>0</v>
      </c>
    </row>
    <row r="397" spans="1:21" ht="18.75" hidden="1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256">
        <v>0</v>
      </c>
      <c r="M397" s="255">
        <v>0</v>
      </c>
      <c r="N397" s="255">
        <v>0</v>
      </c>
      <c r="O397" s="255">
        <f>IF(L397&gt;0,N397*100/L397,0)</f>
        <v>0</v>
      </c>
      <c r="P397" s="255">
        <f>IF(M397&gt;0,N397*100/M397,0)</f>
        <v>0</v>
      </c>
      <c r="Q397" s="255">
        <v>0</v>
      </c>
      <c r="R397" s="255">
        <v>0</v>
      </c>
      <c r="S397" s="255">
        <v>0</v>
      </c>
      <c r="T397" s="255">
        <f>IF(Q397&gt;0,S397*100/Q397,0)</f>
        <v>0</v>
      </c>
      <c r="U397" s="255">
        <f>IF(R397&gt;0,S397*100/R397,0)</f>
        <v>0</v>
      </c>
    </row>
    <row r="398" spans="1:21" ht="18.75" hidden="1">
      <c r="A398" s="155"/>
      <c r="B398" s="188"/>
      <c r="C398" s="188"/>
      <c r="D398" s="602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256">
        <f>L399+L400</f>
        <v>0</v>
      </c>
      <c r="M398" s="255">
        <f>M399+M400</f>
        <v>0</v>
      </c>
      <c r="N398" s="255">
        <f>N399+N400</f>
        <v>0</v>
      </c>
      <c r="O398" s="255">
        <f>IF(L398&gt;0,N398*100/L398,0)</f>
        <v>0</v>
      </c>
      <c r="P398" s="255">
        <f>IF(M398&gt;0,N398*100/M398,0)</f>
        <v>0</v>
      </c>
      <c r="Q398" s="255">
        <f>Q399+Q400</f>
        <v>0</v>
      </c>
      <c r="R398" s="255">
        <f>R399+R400</f>
        <v>0</v>
      </c>
      <c r="S398" s="255">
        <f>S399+S400</f>
        <v>0</v>
      </c>
      <c r="T398" s="255">
        <f>IF(Q398&gt;0,S398*100/Q398,0)</f>
        <v>0</v>
      </c>
      <c r="U398" s="255">
        <f>IF(R398&gt;0,S398*100/R398,0)</f>
        <v>0</v>
      </c>
    </row>
    <row r="399" spans="1:21" ht="18.75" hidden="1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103">
        <v>0</v>
      </c>
      <c r="M399" s="102">
        <v>0</v>
      </c>
      <c r="N399" s="102">
        <v>0</v>
      </c>
      <c r="O399" s="102">
        <f>IF(L399&gt;0,N399*100/L399,0)</f>
        <v>0</v>
      </c>
      <c r="P399" s="102">
        <f>IF(M399&gt;0,N399*100/M399,0)</f>
        <v>0</v>
      </c>
      <c r="Q399" s="102">
        <v>0</v>
      </c>
      <c r="R399" s="102">
        <v>0</v>
      </c>
      <c r="S399" s="102">
        <v>0</v>
      </c>
      <c r="T399" s="102">
        <f>IF(Q399&gt;0,S399*100/Q399,0)</f>
        <v>0</v>
      </c>
      <c r="U399" s="102">
        <f>IF(R399&gt;0,S399*100/R399,0)</f>
        <v>0</v>
      </c>
    </row>
    <row r="400" spans="1:21" ht="18.75" hidden="1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256">
        <v>0</v>
      </c>
      <c r="M400" s="255">
        <v>0</v>
      </c>
      <c r="N400" s="255">
        <v>0</v>
      </c>
      <c r="O400" s="255">
        <f>IF(L400&gt;0,N400*100/L400,0)</f>
        <v>0</v>
      </c>
      <c r="P400" s="255">
        <f>IF(M400&gt;0,N400*100/M400,0)</f>
        <v>0</v>
      </c>
      <c r="Q400" s="255">
        <v>0</v>
      </c>
      <c r="R400" s="255">
        <v>0</v>
      </c>
      <c r="S400" s="255">
        <v>0</v>
      </c>
      <c r="T400" s="255">
        <f>IF(Q400&gt;0,S400*100/Q400,0)</f>
        <v>0</v>
      </c>
      <c r="U400" s="255">
        <f>IF(R400&gt;0,S400*100/R400,0)</f>
        <v>0</v>
      </c>
    </row>
    <row r="401" spans="1:21" ht="19.5" hidden="1">
      <c r="A401" s="166"/>
      <c r="B401" s="167"/>
      <c r="C401" s="191" t="s">
        <v>18</v>
      </c>
      <c r="D401" s="560" t="s">
        <v>38</v>
      </c>
      <c r="E401" s="169"/>
      <c r="F401" s="169"/>
      <c r="G401" s="170"/>
      <c r="H401" s="206"/>
      <c r="I401" s="163"/>
      <c r="J401" s="54"/>
      <c r="K401" s="55"/>
      <c r="L401" s="62"/>
      <c r="M401" s="55"/>
      <c r="N401" s="55"/>
      <c r="O401" s="164"/>
      <c r="P401" s="164"/>
      <c r="Q401" s="55"/>
      <c r="R401" s="55"/>
      <c r="S401" s="55"/>
      <c r="T401" s="164"/>
      <c r="U401" s="164"/>
    </row>
    <row r="402" spans="1:21" ht="12.75" hidden="1">
      <c r="A402" s="258"/>
      <c r="B402" s="259"/>
      <c r="C402" s="259"/>
      <c r="D402" s="259"/>
      <c r="E402" s="260"/>
      <c r="F402" s="260"/>
      <c r="G402" s="261"/>
      <c r="H402" s="262"/>
      <c r="I402" s="263"/>
      <c r="J402" s="263"/>
      <c r="K402" s="264"/>
      <c r="L402" s="265"/>
      <c r="M402" s="264"/>
      <c r="N402" s="264"/>
      <c r="O402" s="264"/>
      <c r="P402" s="264"/>
      <c r="Q402" s="264"/>
      <c r="R402" s="264"/>
      <c r="S402" s="264"/>
      <c r="T402" s="264"/>
      <c r="U402" s="264"/>
    </row>
    <row r="403" spans="1:21" ht="12.75" hidden="1">
      <c r="A403" s="259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5"/>
      <c r="M403" s="264"/>
      <c r="N403" s="264"/>
      <c r="O403" s="264"/>
      <c r="P403" s="264"/>
      <c r="Q403" s="264"/>
      <c r="R403" s="264"/>
      <c r="S403" s="264"/>
      <c r="T403" s="264"/>
      <c r="U403" s="264"/>
    </row>
    <row r="404" spans="1:21" ht="12.75" hidden="1">
      <c r="A404" s="259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5"/>
      <c r="M404" s="264"/>
      <c r="N404" s="264"/>
      <c r="O404" s="264"/>
      <c r="P404" s="264"/>
      <c r="Q404" s="264"/>
      <c r="R404" s="264"/>
      <c r="S404" s="264"/>
      <c r="T404" s="264"/>
      <c r="U404" s="264"/>
    </row>
    <row r="405" spans="1:21" ht="12.75" hidden="1">
      <c r="A405" s="259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5"/>
      <c r="M405" s="264"/>
      <c r="N405" s="264"/>
      <c r="O405" s="264"/>
      <c r="P405" s="264"/>
      <c r="Q405" s="264"/>
      <c r="R405" s="264"/>
      <c r="S405" s="264"/>
      <c r="T405" s="264"/>
      <c r="U405" s="264"/>
    </row>
    <row r="406" spans="1:21" ht="12.75" hidden="1">
      <c r="A406" s="259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5"/>
      <c r="M406" s="264"/>
      <c r="N406" s="264"/>
      <c r="O406" s="264"/>
      <c r="P406" s="264"/>
      <c r="Q406" s="264"/>
      <c r="R406" s="264"/>
      <c r="S406" s="264"/>
      <c r="T406" s="264"/>
      <c r="U406" s="264"/>
    </row>
    <row r="407" spans="1:21" ht="12.75" hidden="1">
      <c r="A407" s="259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5"/>
      <c r="M407" s="264"/>
      <c r="N407" s="264"/>
      <c r="O407" s="264"/>
      <c r="P407" s="264"/>
      <c r="Q407" s="264"/>
      <c r="R407" s="264"/>
      <c r="S407" s="264"/>
      <c r="T407" s="264"/>
      <c r="U407" s="264"/>
    </row>
    <row r="408" spans="1:21" ht="12.75" hidden="1">
      <c r="A408" s="259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5"/>
      <c r="M408" s="264"/>
      <c r="N408" s="264"/>
      <c r="O408" s="264"/>
      <c r="P408" s="264"/>
      <c r="Q408" s="264"/>
      <c r="R408" s="264"/>
      <c r="S408" s="264"/>
      <c r="T408" s="264"/>
      <c r="U408" s="264"/>
    </row>
    <row r="409" spans="1:21" ht="12.75" hidden="1">
      <c r="A409" s="259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5"/>
      <c r="M409" s="264"/>
      <c r="N409" s="264"/>
      <c r="O409" s="264"/>
      <c r="P409" s="264"/>
      <c r="Q409" s="264"/>
      <c r="R409" s="264"/>
      <c r="S409" s="264"/>
      <c r="T409" s="264"/>
      <c r="U409" s="264"/>
    </row>
    <row r="410" spans="1:21" ht="12.75" hidden="1">
      <c r="A410" s="259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5"/>
      <c r="M410" s="264"/>
      <c r="N410" s="264"/>
      <c r="O410" s="264"/>
      <c r="P410" s="264"/>
      <c r="Q410" s="264"/>
      <c r="R410" s="264"/>
      <c r="S410" s="264"/>
      <c r="T410" s="264"/>
      <c r="U410" s="264"/>
    </row>
    <row r="411" spans="1:21" ht="12.75" hidden="1">
      <c r="A411" s="360"/>
      <c r="B411" s="360"/>
      <c r="C411" s="360"/>
      <c r="D411" s="360"/>
      <c r="E411" s="360"/>
      <c r="F411" s="360"/>
      <c r="G411" s="361"/>
      <c r="H411" s="361"/>
      <c r="I411" s="362"/>
      <c r="J411" s="362"/>
      <c r="K411" s="363"/>
      <c r="L411" s="364"/>
      <c r="M411" s="363"/>
      <c r="N411" s="363"/>
      <c r="O411" s="363"/>
      <c r="P411" s="363"/>
      <c r="Q411" s="363"/>
      <c r="R411" s="363"/>
      <c r="S411" s="363"/>
      <c r="T411" s="363"/>
      <c r="U411" s="363"/>
    </row>
    <row r="412" spans="1:21" ht="19.5" hidden="1">
      <c r="A412" s="337"/>
      <c r="B412" s="354" t="s">
        <v>158</v>
      </c>
      <c r="C412" s="337"/>
      <c r="D412" s="337"/>
      <c r="E412" s="337"/>
      <c r="F412" s="337"/>
      <c r="G412" s="365"/>
      <c r="H412" s="366" t="s">
        <v>46</v>
      </c>
      <c r="I412" s="605">
        <f ca="1">I423</f>
        <v>0</v>
      </c>
      <c r="J412" s="605">
        <f>J423</f>
        <v>0</v>
      </c>
      <c r="K412" s="604">
        <f ca="1">IF(I412&gt;0,J412*100/I412,0)</f>
        <v>0</v>
      </c>
      <c r="L412" s="334"/>
      <c r="M412" s="333"/>
      <c r="N412" s="333"/>
      <c r="O412" s="333"/>
      <c r="P412" s="333"/>
      <c r="Q412" s="333"/>
      <c r="R412" s="333"/>
      <c r="S412" s="333"/>
      <c r="T412" s="333"/>
      <c r="U412" s="333"/>
    </row>
    <row r="413" spans="1:21" ht="19.5" hidden="1">
      <c r="A413" s="155"/>
      <c r="B413" s="188"/>
      <c r="C413" s="367" t="s">
        <v>18</v>
      </c>
      <c r="D413" s="603" t="s">
        <v>19</v>
      </c>
      <c r="E413" s="514"/>
      <c r="F413" s="514"/>
      <c r="G413" s="512"/>
      <c r="H413" s="368" t="s">
        <v>14</v>
      </c>
      <c r="I413" s="54"/>
      <c r="J413" s="54"/>
      <c r="K413" s="55"/>
      <c r="L413" s="541">
        <f>L414+L415</f>
        <v>0</v>
      </c>
      <c r="M413" s="540">
        <f>M414+M415</f>
        <v>0</v>
      </c>
      <c r="N413" s="540">
        <f>N414+N415</f>
        <v>0</v>
      </c>
      <c r="O413" s="540">
        <f>IF(L413&gt;0,N413*100/L413,0)</f>
        <v>0</v>
      </c>
      <c r="P413" s="540">
        <f>IF(M413&gt;0,N413*100/M413,0)</f>
        <v>0</v>
      </c>
      <c r="Q413" s="540">
        <f ca="1">Q414+Q415</f>
        <v>0</v>
      </c>
      <c r="R413" s="540">
        <f ca="1">R414+R415</f>
        <v>0</v>
      </c>
      <c r="S413" s="540">
        <f ca="1">S414+S415</f>
        <v>0</v>
      </c>
      <c r="T413" s="540">
        <f ca="1">IF(Q413&gt;0,S413*100/Q413,0)</f>
        <v>0</v>
      </c>
      <c r="U413" s="540">
        <f ca="1">IF(R413&gt;0,S413*100/R413,0)</f>
        <v>0</v>
      </c>
    </row>
    <row r="414" spans="1:21" ht="18.75" hidden="1">
      <c r="A414" s="155"/>
      <c r="B414" s="188"/>
      <c r="C414" s="188"/>
      <c r="D414" s="188"/>
      <c r="E414" s="358" t="s">
        <v>159</v>
      </c>
      <c r="F414" s="188"/>
      <c r="G414" s="208"/>
      <c r="H414" s="204" t="s">
        <v>14</v>
      </c>
      <c r="I414" s="54"/>
      <c r="J414" s="54"/>
      <c r="K414" s="55"/>
      <c r="L414" s="103">
        <f>L417+L420</f>
        <v>0</v>
      </c>
      <c r="M414" s="102">
        <f>M417+M420</f>
        <v>0</v>
      </c>
      <c r="N414" s="102">
        <f>N417+N420</f>
        <v>0</v>
      </c>
      <c r="O414" s="102">
        <f>IF(L414&gt;0,N414*100/L414,0)</f>
        <v>0</v>
      </c>
      <c r="P414" s="102">
        <f>IF(M414&gt;0,N414*100/M414,0)</f>
        <v>0</v>
      </c>
      <c r="Q414" s="102">
        <f>Q417+Q420</f>
        <v>0</v>
      </c>
      <c r="R414" s="102">
        <f>R417+R420</f>
        <v>0</v>
      </c>
      <c r="S414" s="102">
        <f>S417+S420</f>
        <v>0</v>
      </c>
      <c r="T414" s="102">
        <f>IF(Q414&gt;0,S414*100/Q414,0)</f>
        <v>0</v>
      </c>
      <c r="U414" s="102">
        <f>IF(R414&gt;0,S414*100/R414,0)</f>
        <v>0</v>
      </c>
    </row>
    <row r="415" spans="1:21" ht="18.75" hidden="1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256">
        <f>L418+L421</f>
        <v>0</v>
      </c>
      <c r="M415" s="255">
        <f>M418+M421</f>
        <v>0</v>
      </c>
      <c r="N415" s="255">
        <f>N418+N421</f>
        <v>0</v>
      </c>
      <c r="O415" s="255">
        <f>IF(L415&gt;0,N415*100/L415,0)</f>
        <v>0</v>
      </c>
      <c r="P415" s="255">
        <f>IF(M415&gt;0,N415*100/M415,0)</f>
        <v>0</v>
      </c>
      <c r="Q415" s="255">
        <f ca="1">Q418+Q421</f>
        <v>0</v>
      </c>
      <c r="R415" s="255">
        <f ca="1">R418+R421</f>
        <v>0</v>
      </c>
      <c r="S415" s="255">
        <f ca="1">S418+S421</f>
        <v>0</v>
      </c>
      <c r="T415" s="255">
        <f ca="1">IF(Q415&gt;0,S415*100/Q415,0)</f>
        <v>0</v>
      </c>
      <c r="U415" s="255">
        <f ca="1">IF(R415&gt;0,S415*100/R415,0)</f>
        <v>0</v>
      </c>
    </row>
    <row r="416" spans="1:21" ht="19.5" hidden="1">
      <c r="A416" s="155"/>
      <c r="B416" s="188"/>
      <c r="C416" s="188"/>
      <c r="D416" s="608" t="s">
        <v>22</v>
      </c>
      <c r="E416" s="188"/>
      <c r="F416" s="188"/>
      <c r="G416" s="208"/>
      <c r="H416" s="368" t="s">
        <v>14</v>
      </c>
      <c r="I416" s="54"/>
      <c r="J416" s="54"/>
      <c r="K416" s="55"/>
      <c r="L416" s="256">
        <f>L417+L418</f>
        <v>0</v>
      </c>
      <c r="M416" s="255">
        <f>M417+M418</f>
        <v>0</v>
      </c>
      <c r="N416" s="255">
        <f>N417+N418</f>
        <v>0</v>
      </c>
      <c r="O416" s="255">
        <f>IF(L416&gt;0,N416*100/L416,0)</f>
        <v>0</v>
      </c>
      <c r="P416" s="255">
        <f>IF(M416&gt;0,N416*100/M416,0)</f>
        <v>0</v>
      </c>
      <c r="Q416" s="255">
        <f ca="1">Q417+Q418</f>
        <v>0</v>
      </c>
      <c r="R416" s="255">
        <f ca="1">R417+R418</f>
        <v>0</v>
      </c>
      <c r="S416" s="255">
        <f ca="1">S417+S418</f>
        <v>0</v>
      </c>
      <c r="T416" s="255">
        <f ca="1">IF(Q416&gt;0,S416*100/Q416,0)</f>
        <v>0</v>
      </c>
      <c r="U416" s="255">
        <f ca="1">IF(R416&gt;0,S416*100/R416,0)</f>
        <v>0</v>
      </c>
    </row>
    <row r="417" spans="1:21" ht="18.75" hidden="1">
      <c r="A417" s="155"/>
      <c r="B417" s="188"/>
      <c r="C417" s="188"/>
      <c r="D417" s="188"/>
      <c r="E417" s="358" t="s">
        <v>159</v>
      </c>
      <c r="F417" s="188"/>
      <c r="G417" s="208"/>
      <c r="H417" s="204" t="s">
        <v>14</v>
      </c>
      <c r="I417" s="54"/>
      <c r="J417" s="54"/>
      <c r="K417" s="55"/>
      <c r="L417" s="103">
        <v>0</v>
      </c>
      <c r="M417" s="102">
        <v>0</v>
      </c>
      <c r="N417" s="102">
        <v>0</v>
      </c>
      <c r="O417" s="102">
        <f>IF(L417&gt;0,N417*100/L417,0)</f>
        <v>0</v>
      </c>
      <c r="P417" s="102">
        <f>IF(M417&gt;0,N417*100/M417,0)</f>
        <v>0</v>
      </c>
      <c r="Q417" s="102">
        <v>0</v>
      </c>
      <c r="R417" s="102">
        <v>0</v>
      </c>
      <c r="S417" s="102">
        <v>0</v>
      </c>
      <c r="T417" s="102">
        <f>IF(Q417&gt;0,S417*100/Q417,0)</f>
        <v>0</v>
      </c>
      <c r="U417" s="102">
        <f>IF(R417&gt;0,S417*100/R417,0)</f>
        <v>0</v>
      </c>
    </row>
    <row r="418" spans="1:21" ht="18.75" hidden="1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256">
        <v>0</v>
      </c>
      <c r="M418" s="255">
        <v>0</v>
      </c>
      <c r="N418" s="255">
        <v>0</v>
      </c>
      <c r="O418" s="255">
        <f>IF(L418&gt;0,N418*100/L418,0)</f>
        <v>0</v>
      </c>
      <c r="P418" s="255">
        <f>IF(M418&gt;0,N418*100/M418,0)</f>
        <v>0</v>
      </c>
      <c r="Q418" s="255">
        <f ca="1">IFERROR(__xludf.DUMMYFUNCTION("IMPORTRANGE(""https://docs.google.com/spreadsheets/d/1ItG2mGa2ceCfYo0BwxsXqNm01IGEUdYcSSLTEv9YCik/edit?usp=sharing"",""เบิกจ่ายกองทุน!BH42"")"),0)</f>
        <v>0</v>
      </c>
      <c r="R418" s="255">
        <f ca="1">IFERROR(__xludf.DUMMYFUNCTION("IMPORTRANGE(""https://docs.google.com/spreadsheets/d/1ItG2mGa2ceCfYo0BwxsXqNm01IGEUdYcSSLTEv9YCik/edit?usp=sharing"",""เบิกจ่ายกองทุน!BI42"")"),0)</f>
        <v>0</v>
      </c>
      <c r="S418" s="255">
        <f ca="1">IFERROR(__xludf.DUMMYFUNCTION("IMPORTRANGE(""https://docs.google.com/spreadsheets/d/1ItG2mGa2ceCfYo0BwxsXqNm01IGEUdYcSSLTEv9YCik/edit?usp=sharing"",""เบิกจ่ายกองทุน!BJ42"")"),0)</f>
        <v>0</v>
      </c>
      <c r="T418" s="255">
        <f ca="1">IF(Q418&gt;0,S418*100/Q418,0)</f>
        <v>0</v>
      </c>
      <c r="U418" s="255">
        <f ca="1">IF(R418&gt;0,S418*100/R418,0)</f>
        <v>0</v>
      </c>
    </row>
    <row r="419" spans="1:21" ht="19.5" hidden="1">
      <c r="A419" s="155"/>
      <c r="B419" s="188"/>
      <c r="C419" s="188"/>
      <c r="D419" s="608" t="s">
        <v>23</v>
      </c>
      <c r="E419" s="188"/>
      <c r="F419" s="188"/>
      <c r="G419" s="208"/>
      <c r="H419" s="158" t="s">
        <v>14</v>
      </c>
      <c r="I419" s="54"/>
      <c r="J419" s="54"/>
      <c r="K419" s="55"/>
      <c r="L419" s="256">
        <f>L420+L421</f>
        <v>0</v>
      </c>
      <c r="M419" s="255">
        <f>M420+M421</f>
        <v>0</v>
      </c>
      <c r="N419" s="255">
        <f>N420+N421</f>
        <v>0</v>
      </c>
      <c r="O419" s="255">
        <f>IF(L419&gt;0,N419*100/L419,0)</f>
        <v>0</v>
      </c>
      <c r="P419" s="255">
        <f>IF(M419&gt;0,N419*100/M419,0)</f>
        <v>0</v>
      </c>
      <c r="Q419" s="255">
        <f>Q420+Q421</f>
        <v>0</v>
      </c>
      <c r="R419" s="255">
        <f>R420+R421</f>
        <v>0</v>
      </c>
      <c r="S419" s="255">
        <f>S420+S421</f>
        <v>0</v>
      </c>
      <c r="T419" s="255">
        <f>IF(Q419&gt;0,S419*100/Q419,0)</f>
        <v>0</v>
      </c>
      <c r="U419" s="255">
        <f>IF(R419&gt;0,S419*100/R419,0)</f>
        <v>0</v>
      </c>
    </row>
    <row r="420" spans="1:21" ht="18.75" hidden="1">
      <c r="A420" s="155"/>
      <c r="B420" s="188"/>
      <c r="C420" s="188"/>
      <c r="D420" s="188"/>
      <c r="E420" s="358" t="s">
        <v>20</v>
      </c>
      <c r="F420" s="188"/>
      <c r="G420" s="208"/>
      <c r="H420" s="204" t="s">
        <v>14</v>
      </c>
      <c r="I420" s="54"/>
      <c r="J420" s="54"/>
      <c r="K420" s="55"/>
      <c r="L420" s="103">
        <v>0</v>
      </c>
      <c r="M420" s="102">
        <v>0</v>
      </c>
      <c r="N420" s="102">
        <v>0</v>
      </c>
      <c r="O420" s="102">
        <f>IF(L420&gt;0,N420*100/L420,0)</f>
        <v>0</v>
      </c>
      <c r="P420" s="102">
        <f>IF(M420&gt;0,N420*100/M420,0)</f>
        <v>0</v>
      </c>
      <c r="Q420" s="102">
        <v>0</v>
      </c>
      <c r="R420" s="102">
        <v>0</v>
      </c>
      <c r="S420" s="102">
        <v>0</v>
      </c>
      <c r="T420" s="102">
        <f>IF(Q420&gt;0,S420*100/Q420,0)</f>
        <v>0</v>
      </c>
      <c r="U420" s="102">
        <f>IF(R420&gt;0,S420*100/R420,0)</f>
        <v>0</v>
      </c>
    </row>
    <row r="421" spans="1:21" ht="18.75" hidden="1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256">
        <v>0</v>
      </c>
      <c r="M421" s="255">
        <v>0</v>
      </c>
      <c r="N421" s="255">
        <v>0</v>
      </c>
      <c r="O421" s="255">
        <f>IF(L421&gt;0,N421*100/L421,0)</f>
        <v>0</v>
      </c>
      <c r="P421" s="255">
        <f>IF(M421&gt;0,N421*100/M421,0)</f>
        <v>0</v>
      </c>
      <c r="Q421" s="255">
        <v>0</v>
      </c>
      <c r="R421" s="255">
        <v>0</v>
      </c>
      <c r="S421" s="255">
        <v>0</v>
      </c>
      <c r="T421" s="255">
        <f>IF(Q421&gt;0,S421*100/Q421,0)</f>
        <v>0</v>
      </c>
      <c r="U421" s="255">
        <f>IF(R421&gt;0,S421*100/R421,0)</f>
        <v>0</v>
      </c>
    </row>
    <row r="422" spans="1:21" ht="19.5" hidden="1">
      <c r="A422" s="238"/>
      <c r="B422" s="188"/>
      <c r="C422" s="367" t="s">
        <v>18</v>
      </c>
      <c r="D422" s="607" t="s">
        <v>38</v>
      </c>
      <c r="E422" s="188"/>
      <c r="F422" s="188"/>
      <c r="G422" s="208"/>
      <c r="H422" s="208"/>
      <c r="I422" s="54"/>
      <c r="J422" s="54"/>
      <c r="K422" s="55"/>
      <c r="L422" s="62"/>
      <c r="M422" s="55"/>
      <c r="N422" s="55"/>
      <c r="O422" s="55"/>
      <c r="P422" s="55"/>
      <c r="Q422" s="55"/>
      <c r="R422" s="55"/>
      <c r="S422" s="55"/>
      <c r="T422" s="55"/>
      <c r="U422" s="55"/>
    </row>
    <row r="423" spans="1:21" ht="19.5" hidden="1">
      <c r="A423" s="238"/>
      <c r="B423" s="191" t="s">
        <v>161</v>
      </c>
      <c r="C423" s="188"/>
      <c r="D423" s="188"/>
      <c r="E423" s="188"/>
      <c r="F423" s="188"/>
      <c r="G423" s="208"/>
      <c r="H423" s="368" t="s">
        <v>46</v>
      </c>
      <c r="I423" s="373">
        <f ca="1">I440</f>
        <v>0</v>
      </c>
      <c r="J423" s="373">
        <f>J440</f>
        <v>0</v>
      </c>
      <c r="K423" s="540">
        <f ca="1">IF(I423&gt;0,J423*100/I423,0)</f>
        <v>0</v>
      </c>
      <c r="L423" s="62"/>
      <c r="M423" s="55"/>
      <c r="N423" s="55"/>
      <c r="O423" s="55"/>
      <c r="P423" s="55"/>
      <c r="Q423" s="55"/>
      <c r="R423" s="55"/>
      <c r="S423" s="55"/>
      <c r="T423" s="55"/>
      <c r="U423" s="55"/>
    </row>
    <row r="424" spans="1:21" ht="19.5" hidden="1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373">
        <f ca="1">IFERROR(__xludf.DUMMYFUNCTION("IMPORTRANGE(""https://docs.google.com/spreadsheets/d/1eHaY18a8A9IcSdp1K8H6x8fbOy06t2VsZHhMHf-1x7Y/edit?usp=sharing"",""แผน!HJ42"")"),0)</f>
        <v>0</v>
      </c>
      <c r="J424" s="373">
        <f>J426+J428+J430</f>
        <v>0</v>
      </c>
      <c r="K424" s="540">
        <f ca="1">IF(I424&gt;0,J424*100/I424,0)</f>
        <v>0</v>
      </c>
      <c r="L424" s="62"/>
      <c r="M424" s="55"/>
      <c r="N424" s="55"/>
      <c r="O424" s="55"/>
      <c r="P424" s="55"/>
      <c r="Q424" s="55"/>
      <c r="R424" s="55"/>
      <c r="S424" s="55"/>
      <c r="T424" s="55"/>
      <c r="U424" s="55"/>
    </row>
    <row r="425" spans="1:21" ht="19.5" hidden="1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373">
        <f ca="1">IFERROR(__xludf.DUMMYFUNCTION("IMPORTRANGE(""https://docs.google.com/spreadsheets/d/1eHaY18a8A9IcSdp1K8H6x8fbOy06t2VsZHhMHf-1x7Y/edit?usp=sharing"",""แผน!HK42"")"),0)</f>
        <v>0</v>
      </c>
      <c r="J425" s="373">
        <f>J427+J429+J431</f>
        <v>0</v>
      </c>
      <c r="K425" s="540">
        <f ca="1">IF(I425&gt;0,J425*100/I425,0)</f>
        <v>0</v>
      </c>
      <c r="L425" s="62"/>
      <c r="M425" s="55"/>
      <c r="N425" s="55"/>
      <c r="O425" s="55"/>
      <c r="P425" s="55"/>
      <c r="Q425" s="55"/>
      <c r="R425" s="55"/>
      <c r="S425" s="55"/>
      <c r="T425" s="55"/>
      <c r="U425" s="55"/>
    </row>
    <row r="426" spans="1:21" ht="18.75" hidden="1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54"/>
      <c r="K426" s="55"/>
      <c r="L426" s="62"/>
      <c r="M426" s="55"/>
      <c r="N426" s="55"/>
      <c r="O426" s="55"/>
      <c r="P426" s="55"/>
      <c r="Q426" s="55"/>
      <c r="R426" s="55"/>
      <c r="S426" s="55"/>
      <c r="T426" s="55"/>
      <c r="U426" s="55"/>
    </row>
    <row r="427" spans="1:21" ht="18.75" hidden="1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54"/>
      <c r="K427" s="55"/>
      <c r="L427" s="62"/>
      <c r="M427" s="55"/>
      <c r="N427" s="55"/>
      <c r="O427" s="55"/>
      <c r="P427" s="55"/>
      <c r="Q427" s="55"/>
      <c r="R427" s="55"/>
      <c r="S427" s="55"/>
      <c r="T427" s="55"/>
      <c r="U427" s="55"/>
    </row>
    <row r="428" spans="1:21" ht="18.75" hidden="1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54"/>
      <c r="K428" s="55"/>
      <c r="L428" s="62"/>
      <c r="M428" s="55"/>
      <c r="N428" s="55"/>
      <c r="O428" s="55"/>
      <c r="P428" s="55"/>
      <c r="Q428" s="55"/>
      <c r="R428" s="55"/>
      <c r="S428" s="55"/>
      <c r="T428" s="55"/>
      <c r="U428" s="55"/>
    </row>
    <row r="429" spans="1:21" ht="18.75" hidden="1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54"/>
      <c r="K429" s="55"/>
      <c r="L429" s="62"/>
      <c r="M429" s="55"/>
      <c r="N429" s="55"/>
      <c r="O429" s="55"/>
      <c r="P429" s="55"/>
      <c r="Q429" s="55"/>
      <c r="R429" s="55"/>
      <c r="S429" s="55"/>
      <c r="T429" s="55"/>
      <c r="U429" s="55"/>
    </row>
    <row r="430" spans="1:21" ht="18.75" hidden="1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54"/>
      <c r="K430" s="55"/>
      <c r="L430" s="62"/>
      <c r="M430" s="55"/>
      <c r="N430" s="55"/>
      <c r="O430" s="55"/>
      <c r="P430" s="55"/>
      <c r="Q430" s="55"/>
      <c r="R430" s="55"/>
      <c r="S430" s="55"/>
      <c r="T430" s="55"/>
      <c r="U430" s="55"/>
    </row>
    <row r="431" spans="1:21" ht="18.75" hidden="1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54"/>
      <c r="K431" s="55"/>
      <c r="L431" s="62"/>
      <c r="M431" s="55"/>
      <c r="N431" s="55"/>
      <c r="O431" s="55"/>
      <c r="P431" s="55"/>
      <c r="Q431" s="55"/>
      <c r="R431" s="55"/>
      <c r="S431" s="55"/>
      <c r="T431" s="55"/>
      <c r="U431" s="55"/>
    </row>
    <row r="432" spans="1:21" ht="19.5" hidden="1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373">
        <f ca="1">IFERROR(__xludf.DUMMYFUNCTION("IMPORTRANGE(""https://docs.google.com/spreadsheets/d/1eHaY18a8A9IcSdp1K8H6x8fbOy06t2VsZHhMHf-1x7Y/edit?usp=sharing"",""แผน!HJ42"")"),0)</f>
        <v>0</v>
      </c>
      <c r="J432" s="373">
        <f>J434+J436+J438</f>
        <v>0</v>
      </c>
      <c r="K432" s="540">
        <f ca="1">IF(I432&gt;0,J432*100/I432,0)</f>
        <v>0</v>
      </c>
      <c r="L432" s="62"/>
      <c r="M432" s="55"/>
      <c r="N432" s="55"/>
      <c r="O432" s="55"/>
      <c r="P432" s="55"/>
      <c r="Q432" s="55"/>
      <c r="R432" s="55"/>
      <c r="S432" s="55"/>
      <c r="T432" s="55"/>
      <c r="U432" s="55"/>
    </row>
    <row r="433" spans="1:21" ht="19.5" hidden="1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373">
        <f ca="1">IFERROR(__xludf.DUMMYFUNCTION("IMPORTRANGE(""https://docs.google.com/spreadsheets/d/1eHaY18a8A9IcSdp1K8H6x8fbOy06t2VsZHhMHf-1x7Y/edit?usp=sharing"",""แผน!HK42"")"),0)</f>
        <v>0</v>
      </c>
      <c r="J433" s="373">
        <f>J435+J437+J439</f>
        <v>0</v>
      </c>
      <c r="K433" s="540">
        <f ca="1">IF(I433&gt;0,J433*100/I433,0)</f>
        <v>0</v>
      </c>
      <c r="L433" s="62"/>
      <c r="M433" s="55"/>
      <c r="N433" s="55"/>
      <c r="O433" s="55"/>
      <c r="P433" s="55"/>
      <c r="Q433" s="55"/>
      <c r="R433" s="55"/>
      <c r="S433" s="55"/>
      <c r="T433" s="55"/>
      <c r="U433" s="55"/>
    </row>
    <row r="434" spans="1:21" ht="18.75" hidden="1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54"/>
      <c r="K434" s="55"/>
      <c r="L434" s="62"/>
      <c r="M434" s="55"/>
      <c r="N434" s="55"/>
      <c r="O434" s="55"/>
      <c r="P434" s="55"/>
      <c r="Q434" s="55"/>
      <c r="R434" s="55"/>
      <c r="S434" s="55"/>
      <c r="T434" s="55"/>
      <c r="U434" s="55"/>
    </row>
    <row r="435" spans="1:21" ht="18.75" hidden="1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54"/>
      <c r="K435" s="55"/>
      <c r="L435" s="62"/>
      <c r="M435" s="55"/>
      <c r="N435" s="55"/>
      <c r="O435" s="55"/>
      <c r="P435" s="55"/>
      <c r="Q435" s="55"/>
      <c r="R435" s="55"/>
      <c r="S435" s="55"/>
      <c r="T435" s="55"/>
      <c r="U435" s="55"/>
    </row>
    <row r="436" spans="1:21" ht="18.75" hidden="1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54"/>
      <c r="K436" s="55"/>
      <c r="L436" s="62"/>
      <c r="M436" s="55"/>
      <c r="N436" s="55"/>
      <c r="O436" s="55"/>
      <c r="P436" s="55"/>
      <c r="Q436" s="55"/>
      <c r="R436" s="55"/>
      <c r="S436" s="55"/>
      <c r="T436" s="55"/>
      <c r="U436" s="55"/>
    </row>
    <row r="437" spans="1:21" ht="18.75" hidden="1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54"/>
      <c r="K437" s="55"/>
      <c r="L437" s="62"/>
      <c r="M437" s="55"/>
      <c r="N437" s="55"/>
      <c r="O437" s="55"/>
      <c r="P437" s="55"/>
      <c r="Q437" s="55"/>
      <c r="R437" s="55"/>
      <c r="S437" s="55"/>
      <c r="T437" s="55"/>
      <c r="U437" s="55"/>
    </row>
    <row r="438" spans="1:21" ht="18.75" hidden="1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54"/>
      <c r="K438" s="55"/>
      <c r="L438" s="62"/>
      <c r="M438" s="55"/>
      <c r="N438" s="55"/>
      <c r="O438" s="55"/>
      <c r="P438" s="55"/>
      <c r="Q438" s="55"/>
      <c r="R438" s="55"/>
      <c r="S438" s="55"/>
      <c r="T438" s="55"/>
      <c r="U438" s="55"/>
    </row>
    <row r="439" spans="1:21" ht="18.75" hidden="1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54"/>
      <c r="K439" s="55"/>
      <c r="L439" s="62"/>
      <c r="M439" s="55"/>
      <c r="N439" s="55"/>
      <c r="O439" s="55"/>
      <c r="P439" s="55"/>
      <c r="Q439" s="55"/>
      <c r="R439" s="55"/>
      <c r="S439" s="55"/>
      <c r="T439" s="55"/>
      <c r="U439" s="55"/>
    </row>
    <row r="440" spans="1:21" ht="19.5" hidden="1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373">
        <f ca="1">IFERROR(__xludf.DUMMYFUNCTION("IMPORTRANGE(""https://docs.google.com/spreadsheets/d/1eHaY18a8A9IcSdp1K8H6x8fbOy06t2VsZHhMHf-1x7Y/edit?usp=sharing"",""แผน!HJ42"")"),0)</f>
        <v>0</v>
      </c>
      <c r="J440" s="373">
        <f>J442+J444+J446+J452+J454</f>
        <v>0</v>
      </c>
      <c r="K440" s="540">
        <f ca="1">IF(I440&gt;0,J440*100/I440,0)</f>
        <v>0</v>
      </c>
      <c r="L440" s="62"/>
      <c r="M440" s="55"/>
      <c r="N440" s="55"/>
      <c r="O440" s="55"/>
      <c r="P440" s="55"/>
      <c r="Q440" s="55"/>
      <c r="R440" s="55"/>
      <c r="S440" s="55"/>
      <c r="T440" s="55"/>
      <c r="U440" s="55"/>
    </row>
    <row r="441" spans="1:21" ht="19.5" hidden="1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373">
        <f ca="1">IFERROR(__xludf.DUMMYFUNCTION("IMPORTRANGE(""https://docs.google.com/spreadsheets/d/1eHaY18a8A9IcSdp1K8H6x8fbOy06t2VsZHhMHf-1x7Y/edit?usp=sharing"",""แผน!HK42"")"),0)</f>
        <v>0</v>
      </c>
      <c r="J441" s="373">
        <f>J443+J445+J447+J453+J455</f>
        <v>0</v>
      </c>
      <c r="K441" s="540">
        <f ca="1">IF(I441&gt;0,J441*100/I441,0)</f>
        <v>0</v>
      </c>
      <c r="L441" s="62"/>
      <c r="M441" s="55"/>
      <c r="N441" s="55"/>
      <c r="O441" s="55"/>
      <c r="P441" s="55"/>
      <c r="Q441" s="55"/>
      <c r="R441" s="55"/>
      <c r="S441" s="55"/>
      <c r="T441" s="55"/>
      <c r="U441" s="55"/>
    </row>
    <row r="442" spans="1:21" ht="18.75" hidden="1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54"/>
      <c r="K442" s="55"/>
      <c r="L442" s="62"/>
      <c r="M442" s="55"/>
      <c r="N442" s="55"/>
      <c r="O442" s="55"/>
      <c r="P442" s="55"/>
      <c r="Q442" s="55"/>
      <c r="R442" s="55"/>
      <c r="S442" s="55"/>
      <c r="T442" s="55"/>
      <c r="U442" s="55"/>
    </row>
    <row r="443" spans="1:21" ht="18.75" hidden="1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54"/>
      <c r="K443" s="55"/>
      <c r="L443" s="62"/>
      <c r="M443" s="55"/>
      <c r="N443" s="55"/>
      <c r="O443" s="55"/>
      <c r="P443" s="55"/>
      <c r="Q443" s="55"/>
      <c r="R443" s="55"/>
      <c r="S443" s="55"/>
      <c r="T443" s="55"/>
      <c r="U443" s="55"/>
    </row>
    <row r="444" spans="1:21" ht="18.75" hidden="1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54"/>
      <c r="K444" s="55"/>
      <c r="L444" s="62"/>
      <c r="M444" s="55"/>
      <c r="N444" s="55"/>
      <c r="O444" s="55"/>
      <c r="P444" s="55"/>
      <c r="Q444" s="55"/>
      <c r="R444" s="55"/>
      <c r="S444" s="55"/>
      <c r="T444" s="55"/>
      <c r="U444" s="55"/>
    </row>
    <row r="445" spans="1:21" ht="18.75" hidden="1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54"/>
      <c r="K445" s="55"/>
      <c r="L445" s="62"/>
      <c r="M445" s="55"/>
      <c r="N445" s="55"/>
      <c r="O445" s="55"/>
      <c r="P445" s="55"/>
      <c r="Q445" s="55"/>
      <c r="R445" s="55"/>
      <c r="S445" s="55"/>
      <c r="T445" s="55"/>
      <c r="U445" s="55"/>
    </row>
    <row r="446" spans="1:21" ht="19.5" hidden="1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373">
        <f>J448+J450</f>
        <v>0</v>
      </c>
      <c r="K446" s="55"/>
      <c r="L446" s="62"/>
      <c r="M446" s="55"/>
      <c r="N446" s="55"/>
      <c r="O446" s="55"/>
      <c r="P446" s="55"/>
      <c r="Q446" s="55"/>
      <c r="R446" s="55"/>
      <c r="S446" s="55"/>
      <c r="T446" s="55"/>
      <c r="U446" s="55"/>
    </row>
    <row r="447" spans="1:21" ht="19.5" hidden="1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373">
        <f>J449+J451</f>
        <v>0</v>
      </c>
      <c r="K447" s="55"/>
      <c r="L447" s="62"/>
      <c r="M447" s="55"/>
      <c r="N447" s="55"/>
      <c r="O447" s="55"/>
      <c r="P447" s="55"/>
      <c r="Q447" s="55"/>
      <c r="R447" s="55"/>
      <c r="S447" s="55"/>
      <c r="T447" s="55"/>
      <c r="U447" s="55"/>
    </row>
    <row r="448" spans="1:21" ht="18.75" hidden="1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54"/>
      <c r="K448" s="55"/>
      <c r="L448" s="62"/>
      <c r="M448" s="55"/>
      <c r="N448" s="55"/>
      <c r="O448" s="55"/>
      <c r="P448" s="55"/>
      <c r="Q448" s="55"/>
      <c r="R448" s="55"/>
      <c r="S448" s="55"/>
      <c r="T448" s="55"/>
      <c r="U448" s="55"/>
    </row>
    <row r="449" spans="1:21" ht="18.75" hidden="1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54"/>
      <c r="K449" s="55"/>
      <c r="L449" s="62"/>
      <c r="M449" s="55"/>
      <c r="N449" s="55"/>
      <c r="O449" s="55"/>
      <c r="P449" s="55"/>
      <c r="Q449" s="55"/>
      <c r="R449" s="55"/>
      <c r="S449" s="55"/>
      <c r="T449" s="55"/>
      <c r="U449" s="55"/>
    </row>
    <row r="450" spans="1:21" ht="18.75" hidden="1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54"/>
      <c r="K450" s="55"/>
      <c r="L450" s="62"/>
      <c r="M450" s="55"/>
      <c r="N450" s="55"/>
      <c r="O450" s="55"/>
      <c r="P450" s="55"/>
      <c r="Q450" s="55"/>
      <c r="R450" s="55"/>
      <c r="S450" s="55"/>
      <c r="T450" s="55"/>
      <c r="U450" s="55"/>
    </row>
    <row r="451" spans="1:21" ht="18.75" hidden="1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54"/>
      <c r="K451" s="55"/>
      <c r="L451" s="62"/>
      <c r="M451" s="55"/>
      <c r="N451" s="55"/>
      <c r="O451" s="55"/>
      <c r="P451" s="55"/>
      <c r="Q451" s="55"/>
      <c r="R451" s="55"/>
      <c r="S451" s="55"/>
      <c r="T451" s="55"/>
      <c r="U451" s="55"/>
    </row>
    <row r="452" spans="1:21" ht="18.75" hidden="1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54"/>
      <c r="K452" s="55"/>
      <c r="L452" s="62"/>
      <c r="M452" s="55"/>
      <c r="N452" s="55"/>
      <c r="O452" s="55"/>
      <c r="P452" s="55"/>
      <c r="Q452" s="55"/>
      <c r="R452" s="55"/>
      <c r="S452" s="55"/>
      <c r="T452" s="55"/>
      <c r="U452" s="55"/>
    </row>
    <row r="453" spans="1:21" ht="18.75" hidden="1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54"/>
      <c r="K453" s="55"/>
      <c r="L453" s="62"/>
      <c r="M453" s="55"/>
      <c r="N453" s="55"/>
      <c r="O453" s="55"/>
      <c r="P453" s="55"/>
      <c r="Q453" s="55"/>
      <c r="R453" s="55"/>
      <c r="S453" s="55"/>
      <c r="T453" s="55"/>
      <c r="U453" s="55"/>
    </row>
    <row r="454" spans="1:21" ht="18.75" hidden="1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606"/>
      <c r="K454" s="55"/>
      <c r="L454" s="62"/>
      <c r="M454" s="55"/>
      <c r="N454" s="55"/>
      <c r="O454" s="55"/>
      <c r="P454" s="55"/>
      <c r="Q454" s="55"/>
      <c r="R454" s="55"/>
      <c r="S454" s="55"/>
      <c r="T454" s="55"/>
      <c r="U454" s="55"/>
    </row>
    <row r="455" spans="1:21" ht="18.75" hidden="1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54"/>
      <c r="K455" s="55"/>
      <c r="L455" s="62"/>
      <c r="M455" s="55"/>
      <c r="N455" s="55"/>
      <c r="O455" s="55"/>
      <c r="P455" s="55"/>
      <c r="Q455" s="55"/>
      <c r="R455" s="55"/>
      <c r="S455" s="55"/>
      <c r="T455" s="55"/>
      <c r="U455" s="55"/>
    </row>
    <row r="456" spans="1:21" ht="19.5" hidden="1">
      <c r="A456" s="238"/>
      <c r="B456" s="191" t="s">
        <v>178</v>
      </c>
      <c r="C456" s="188"/>
      <c r="D456" s="188"/>
      <c r="E456" s="188"/>
      <c r="F456" s="188"/>
      <c r="G456" s="208"/>
      <c r="H456" s="368" t="s">
        <v>46</v>
      </c>
      <c r="I456" s="373">
        <f ca="1">I457</f>
        <v>0</v>
      </c>
      <c r="J456" s="373">
        <f>J457</f>
        <v>0</v>
      </c>
      <c r="K456" s="540">
        <f ca="1">IF(I456&gt;0,J456*100/I456,0)</f>
        <v>0</v>
      </c>
      <c r="L456" s="62"/>
      <c r="M456" s="55"/>
      <c r="N456" s="55"/>
      <c r="O456" s="55"/>
      <c r="P456" s="55"/>
      <c r="Q456" s="55"/>
      <c r="R456" s="55"/>
      <c r="S456" s="55"/>
      <c r="T456" s="55"/>
      <c r="U456" s="55"/>
    </row>
    <row r="457" spans="1:21" ht="19.5" hidden="1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373">
        <f ca="1">IFERROR(__xludf.DUMMYFUNCTION("IMPORTRANGE(""https://docs.google.com/spreadsheets/d/1eHaY18a8A9IcSdp1K8H6x8fbOy06t2VsZHhMHf-1x7Y/edit?usp=sharing"",""แผน!HL42"")"),0)</f>
        <v>0</v>
      </c>
      <c r="J457" s="373">
        <f>J459+J467+J473</f>
        <v>0</v>
      </c>
      <c r="K457" s="540">
        <f ca="1">IF(I457&gt;0,J457*100/I457,0)</f>
        <v>0</v>
      </c>
      <c r="L457" s="62"/>
      <c r="M457" s="55"/>
      <c r="N457" s="55"/>
      <c r="O457" s="55"/>
      <c r="P457" s="55"/>
      <c r="Q457" s="55"/>
      <c r="R457" s="55"/>
      <c r="S457" s="55"/>
      <c r="T457" s="55"/>
      <c r="U457" s="55"/>
    </row>
    <row r="458" spans="1:21" ht="19.5" hidden="1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373">
        <f ca="1">IFERROR(__xludf.DUMMYFUNCTION("IMPORTRANGE(""https://docs.google.com/spreadsheets/d/1eHaY18a8A9IcSdp1K8H6x8fbOy06t2VsZHhMHf-1x7Y/edit?usp=sharing"",""แผน!HM42"")"),0)</f>
        <v>0</v>
      </c>
      <c r="J458" s="373">
        <f>J460+J468+J474</f>
        <v>0</v>
      </c>
      <c r="K458" s="540">
        <f ca="1">IF(I458&gt;0,J458*100/I458,0)</f>
        <v>0</v>
      </c>
      <c r="L458" s="62"/>
      <c r="M458" s="55"/>
      <c r="N458" s="55"/>
      <c r="O458" s="55"/>
      <c r="P458" s="55"/>
      <c r="Q458" s="55"/>
      <c r="R458" s="55"/>
      <c r="S458" s="55"/>
      <c r="T458" s="55"/>
      <c r="U458" s="55"/>
    </row>
    <row r="459" spans="1:21" ht="18.75" hidden="1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212">
        <f>J461+J463</f>
        <v>0</v>
      </c>
      <c r="K459" s="55"/>
      <c r="L459" s="62"/>
      <c r="M459" s="55"/>
      <c r="N459" s="55"/>
      <c r="O459" s="55"/>
      <c r="P459" s="55"/>
      <c r="Q459" s="55"/>
      <c r="R459" s="55"/>
      <c r="S459" s="55"/>
      <c r="T459" s="55"/>
      <c r="U459" s="55"/>
    </row>
    <row r="460" spans="1:21" ht="18.75" hidden="1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212">
        <f>J462+J464</f>
        <v>0</v>
      </c>
      <c r="K460" s="55"/>
      <c r="L460" s="62"/>
      <c r="M460" s="55"/>
      <c r="N460" s="55"/>
      <c r="O460" s="55"/>
      <c r="P460" s="55"/>
      <c r="Q460" s="55"/>
      <c r="R460" s="55"/>
      <c r="S460" s="55"/>
      <c r="T460" s="55"/>
      <c r="U460" s="55"/>
    </row>
    <row r="461" spans="1:21" ht="18.75" hidden="1">
      <c r="A461" s="238"/>
      <c r="B461" s="188"/>
      <c r="C461" s="188"/>
      <c r="D461" s="371" t="s">
        <v>181</v>
      </c>
      <c r="E461" s="188"/>
      <c r="F461" s="188"/>
      <c r="G461" s="208"/>
      <c r="H461" s="161" t="s">
        <v>46</v>
      </c>
      <c r="I461" s="54"/>
      <c r="J461" s="54"/>
      <c r="K461" s="55"/>
      <c r="L461" s="62"/>
      <c r="M461" s="55"/>
      <c r="N461" s="55"/>
      <c r="O461" s="55"/>
      <c r="P461" s="55"/>
      <c r="Q461" s="55"/>
      <c r="R461" s="55"/>
      <c r="S461" s="55"/>
      <c r="T461" s="55"/>
      <c r="U461" s="55"/>
    </row>
    <row r="462" spans="1:21" ht="18.75" hidden="1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54"/>
      <c r="K462" s="55"/>
      <c r="L462" s="62"/>
      <c r="M462" s="55"/>
      <c r="N462" s="55"/>
      <c r="O462" s="55"/>
      <c r="P462" s="55"/>
      <c r="Q462" s="55"/>
      <c r="R462" s="55"/>
      <c r="S462" s="55"/>
      <c r="T462" s="55"/>
      <c r="U462" s="55"/>
    </row>
    <row r="463" spans="1:21" ht="18.75" hidden="1">
      <c r="A463" s="238"/>
      <c r="B463" s="188"/>
      <c r="C463" s="188"/>
      <c r="D463" s="371" t="s">
        <v>182</v>
      </c>
      <c r="E463" s="188"/>
      <c r="F463" s="188"/>
      <c r="G463" s="208"/>
      <c r="H463" s="161" t="s">
        <v>46</v>
      </c>
      <c r="I463" s="54"/>
      <c r="J463" s="54"/>
      <c r="K463" s="55"/>
      <c r="L463" s="62"/>
      <c r="M463" s="55"/>
      <c r="N463" s="55"/>
      <c r="O463" s="55"/>
      <c r="P463" s="55"/>
      <c r="Q463" s="55"/>
      <c r="R463" s="55"/>
      <c r="S463" s="55"/>
      <c r="T463" s="55"/>
      <c r="U463" s="55"/>
    </row>
    <row r="464" spans="1:21" ht="18.75" hidden="1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54"/>
      <c r="K464" s="55"/>
      <c r="L464" s="62"/>
      <c r="M464" s="55"/>
      <c r="N464" s="55"/>
      <c r="O464" s="55"/>
      <c r="P464" s="55"/>
      <c r="Q464" s="55"/>
      <c r="R464" s="55"/>
      <c r="S464" s="55"/>
      <c r="T464" s="55"/>
      <c r="U464" s="55"/>
    </row>
    <row r="465" spans="1:21" ht="18.75" hidden="1">
      <c r="A465" s="238"/>
      <c r="B465" s="188"/>
      <c r="C465" s="188"/>
      <c r="D465" s="371" t="s">
        <v>183</v>
      </c>
      <c r="E465" s="188"/>
      <c r="F465" s="188"/>
      <c r="G465" s="208"/>
      <c r="H465" s="161" t="s">
        <v>46</v>
      </c>
      <c r="I465" s="54"/>
      <c r="J465" s="54"/>
      <c r="K465" s="55"/>
      <c r="L465" s="62"/>
      <c r="M465" s="55"/>
      <c r="N465" s="55"/>
      <c r="O465" s="55"/>
      <c r="P465" s="55"/>
      <c r="Q465" s="55"/>
      <c r="R465" s="55"/>
      <c r="S465" s="55"/>
      <c r="T465" s="55"/>
      <c r="U465" s="55"/>
    </row>
    <row r="466" spans="1:21" ht="18.75" hidden="1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54"/>
      <c r="K466" s="55"/>
      <c r="L466" s="62"/>
      <c r="M466" s="55"/>
      <c r="N466" s="55"/>
      <c r="O466" s="55"/>
      <c r="P466" s="55"/>
      <c r="Q466" s="55"/>
      <c r="R466" s="55"/>
      <c r="S466" s="55"/>
      <c r="T466" s="55"/>
      <c r="U466" s="55"/>
    </row>
    <row r="467" spans="1:21" ht="18.75" hidden="1">
      <c r="A467" s="238"/>
      <c r="B467" s="188"/>
      <c r="C467" s="371" t="s">
        <v>184</v>
      </c>
      <c r="D467" s="188"/>
      <c r="E467" s="188"/>
      <c r="F467" s="188"/>
      <c r="G467" s="208"/>
      <c r="H467" s="161" t="s">
        <v>46</v>
      </c>
      <c r="I467" s="54"/>
      <c r="J467" s="212">
        <f>J469+J471</f>
        <v>0</v>
      </c>
      <c r="K467" s="55"/>
      <c r="L467" s="62"/>
      <c r="M467" s="55"/>
      <c r="N467" s="55"/>
      <c r="O467" s="55"/>
      <c r="P467" s="55"/>
      <c r="Q467" s="55"/>
      <c r="R467" s="55"/>
      <c r="S467" s="55"/>
      <c r="T467" s="55"/>
      <c r="U467" s="55"/>
    </row>
    <row r="468" spans="1:21" ht="18.75" hidden="1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212">
        <f>J470+J472</f>
        <v>0</v>
      </c>
      <c r="K468" s="55"/>
      <c r="L468" s="62"/>
      <c r="M468" s="55"/>
      <c r="N468" s="55"/>
      <c r="O468" s="55"/>
      <c r="P468" s="55"/>
      <c r="Q468" s="55"/>
      <c r="R468" s="55"/>
      <c r="S468" s="55"/>
      <c r="T468" s="55"/>
      <c r="U468" s="55"/>
    </row>
    <row r="469" spans="1:21" ht="18.75" hidden="1">
      <c r="A469" s="238"/>
      <c r="B469" s="188"/>
      <c r="C469" s="188"/>
      <c r="D469" s="371" t="s">
        <v>185</v>
      </c>
      <c r="E469" s="188"/>
      <c r="F469" s="188"/>
      <c r="G469" s="208"/>
      <c r="H469" s="161" t="s">
        <v>46</v>
      </c>
      <c r="I469" s="54"/>
      <c r="J469" s="54"/>
      <c r="K469" s="55"/>
      <c r="L469" s="62"/>
      <c r="M469" s="55"/>
      <c r="N469" s="55"/>
      <c r="O469" s="55"/>
      <c r="P469" s="55"/>
      <c r="Q469" s="55"/>
      <c r="R469" s="55"/>
      <c r="S469" s="55"/>
      <c r="T469" s="55"/>
      <c r="U469" s="55"/>
    </row>
    <row r="470" spans="1:21" ht="18.75" hidden="1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54"/>
      <c r="K470" s="55"/>
      <c r="L470" s="62"/>
      <c r="M470" s="55"/>
      <c r="N470" s="55"/>
      <c r="O470" s="55"/>
      <c r="P470" s="55"/>
      <c r="Q470" s="55"/>
      <c r="R470" s="55"/>
      <c r="S470" s="55"/>
      <c r="T470" s="55"/>
      <c r="U470" s="55"/>
    </row>
    <row r="471" spans="1:21" ht="18.75" hidden="1">
      <c r="A471" s="238"/>
      <c r="B471" s="188"/>
      <c r="C471" s="188"/>
      <c r="D471" s="371" t="s">
        <v>186</v>
      </c>
      <c r="E471" s="188"/>
      <c r="F471" s="188"/>
      <c r="G471" s="208"/>
      <c r="H471" s="161" t="s">
        <v>46</v>
      </c>
      <c r="I471" s="54"/>
      <c r="J471" s="54"/>
      <c r="K471" s="55"/>
      <c r="L471" s="62"/>
      <c r="M471" s="55"/>
      <c r="N471" s="55"/>
      <c r="O471" s="55"/>
      <c r="P471" s="55"/>
      <c r="Q471" s="55"/>
      <c r="R471" s="55"/>
      <c r="S471" s="55"/>
      <c r="T471" s="55"/>
      <c r="U471" s="55"/>
    </row>
    <row r="472" spans="1:21" ht="18.75" hidden="1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54"/>
      <c r="K472" s="55"/>
      <c r="L472" s="62"/>
      <c r="M472" s="55"/>
      <c r="N472" s="55"/>
      <c r="O472" s="55"/>
      <c r="P472" s="55"/>
      <c r="Q472" s="55"/>
      <c r="R472" s="55"/>
      <c r="S472" s="55"/>
      <c r="T472" s="55"/>
      <c r="U472" s="55"/>
    </row>
    <row r="473" spans="1:21" ht="18.75" hidden="1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54"/>
      <c r="K473" s="55"/>
      <c r="L473" s="62"/>
      <c r="M473" s="55"/>
      <c r="N473" s="55"/>
      <c r="O473" s="55"/>
      <c r="P473" s="55"/>
      <c r="Q473" s="55"/>
      <c r="R473" s="55"/>
      <c r="S473" s="55"/>
      <c r="T473" s="55"/>
      <c r="U473" s="55"/>
    </row>
    <row r="474" spans="1:21" ht="18.75" hidden="1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54"/>
      <c r="K474" s="55"/>
      <c r="L474" s="62"/>
      <c r="M474" s="55"/>
      <c r="N474" s="55"/>
      <c r="O474" s="55"/>
      <c r="P474" s="55"/>
      <c r="Q474" s="55"/>
      <c r="R474" s="55"/>
      <c r="S474" s="55"/>
      <c r="T474" s="55"/>
      <c r="U474" s="55"/>
    </row>
    <row r="475" spans="1:21" ht="19.5" hidden="1">
      <c r="A475" s="238"/>
      <c r="B475" s="372" t="s">
        <v>188</v>
      </c>
      <c r="C475" s="188"/>
      <c r="D475" s="188"/>
      <c r="E475" s="188"/>
      <c r="F475" s="188"/>
      <c r="G475" s="208"/>
      <c r="H475" s="158" t="s">
        <v>46</v>
      </c>
      <c r="I475" s="373">
        <v>0</v>
      </c>
      <c r="J475" s="373">
        <f>J478+J480</f>
        <v>0</v>
      </c>
      <c r="K475" s="540">
        <f>IF(I475&gt;0,J475*100/I475,0)</f>
        <v>0</v>
      </c>
      <c r="L475" s="62"/>
      <c r="M475" s="55"/>
      <c r="N475" s="55"/>
      <c r="O475" s="55"/>
      <c r="P475" s="55"/>
      <c r="Q475" s="55"/>
      <c r="R475" s="55"/>
      <c r="S475" s="55"/>
      <c r="T475" s="55"/>
      <c r="U475" s="55"/>
    </row>
    <row r="476" spans="1:21" ht="19.5" hidden="1">
      <c r="A476" s="238"/>
      <c r="B476" s="188"/>
      <c r="C476" s="191" t="s">
        <v>189</v>
      </c>
      <c r="D476" s="188"/>
      <c r="E476" s="188"/>
      <c r="F476" s="188"/>
      <c r="G476" s="208"/>
      <c r="H476" s="158" t="s">
        <v>46</v>
      </c>
      <c r="I476" s="373">
        <v>0</v>
      </c>
      <c r="J476" s="373">
        <f>J478+J480</f>
        <v>0</v>
      </c>
      <c r="K476" s="540">
        <f>IF(I476&gt;0,J476*100/I476,0)</f>
        <v>0</v>
      </c>
      <c r="L476" s="62"/>
      <c r="M476" s="55"/>
      <c r="N476" s="55"/>
      <c r="O476" s="55"/>
      <c r="P476" s="55"/>
      <c r="Q476" s="55"/>
      <c r="R476" s="55"/>
      <c r="S476" s="55"/>
      <c r="T476" s="55"/>
      <c r="U476" s="55"/>
    </row>
    <row r="477" spans="1:21" ht="19.5" hidden="1">
      <c r="A477" s="238"/>
      <c r="B477" s="188"/>
      <c r="C477" s="239" t="s">
        <v>190</v>
      </c>
      <c r="D477" s="188"/>
      <c r="E477" s="188"/>
      <c r="F477" s="188"/>
      <c r="G477" s="208"/>
      <c r="H477" s="158" t="s">
        <v>34</v>
      </c>
      <c r="I477" s="373">
        <v>0</v>
      </c>
      <c r="J477" s="373">
        <f>J479+J481</f>
        <v>0</v>
      </c>
      <c r="K477" s="540">
        <f>IF(I477&gt;0,J477*100/I477,0)</f>
        <v>0</v>
      </c>
      <c r="L477" s="62"/>
      <c r="M477" s="55"/>
      <c r="N477" s="55"/>
      <c r="O477" s="55"/>
      <c r="P477" s="55"/>
      <c r="Q477" s="55"/>
      <c r="R477" s="55"/>
      <c r="S477" s="55"/>
      <c r="T477" s="55"/>
      <c r="U477" s="55"/>
    </row>
    <row r="478" spans="1:21" ht="18.75" hidden="1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54"/>
      <c r="K478" s="55"/>
      <c r="L478" s="62"/>
      <c r="M478" s="55"/>
      <c r="N478" s="55"/>
      <c r="O478" s="55"/>
      <c r="P478" s="55"/>
      <c r="Q478" s="55"/>
      <c r="R478" s="55"/>
      <c r="S478" s="55"/>
      <c r="T478" s="55"/>
      <c r="U478" s="55"/>
    </row>
    <row r="479" spans="1:21" ht="18.75" hidden="1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54"/>
      <c r="K479" s="55"/>
      <c r="L479" s="62"/>
      <c r="M479" s="55"/>
      <c r="N479" s="55"/>
      <c r="O479" s="55"/>
      <c r="P479" s="55"/>
      <c r="Q479" s="55"/>
      <c r="R479" s="55"/>
      <c r="S479" s="55"/>
      <c r="T479" s="55"/>
      <c r="U479" s="55"/>
    </row>
    <row r="480" spans="1:21" ht="18.75" hidden="1">
      <c r="A480" s="238"/>
      <c r="B480" s="188"/>
      <c r="C480" s="188"/>
      <c r="D480" s="371" t="s">
        <v>192</v>
      </c>
      <c r="E480" s="188"/>
      <c r="F480" s="188"/>
      <c r="G480" s="208"/>
      <c r="H480" s="161" t="s">
        <v>46</v>
      </c>
      <c r="I480" s="54"/>
      <c r="J480" s="54"/>
      <c r="K480" s="55"/>
      <c r="L480" s="62"/>
      <c r="M480" s="55"/>
      <c r="N480" s="55"/>
      <c r="O480" s="55"/>
      <c r="P480" s="55"/>
      <c r="Q480" s="55"/>
      <c r="R480" s="55"/>
      <c r="S480" s="55"/>
      <c r="T480" s="55"/>
      <c r="U480" s="55"/>
    </row>
    <row r="481" spans="1:21" ht="18.75" hidden="1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54"/>
      <c r="K481" s="55"/>
      <c r="L481" s="62"/>
      <c r="M481" s="55"/>
      <c r="N481" s="55"/>
      <c r="O481" s="55"/>
      <c r="P481" s="55"/>
      <c r="Q481" s="55"/>
      <c r="R481" s="55"/>
      <c r="S481" s="55"/>
      <c r="T481" s="55"/>
      <c r="U481" s="55"/>
    </row>
    <row r="482" spans="1:21" ht="18.75" hidden="1">
      <c r="A482" s="238"/>
      <c r="B482" s="188"/>
      <c r="C482" s="188"/>
      <c r="D482" s="371" t="s">
        <v>193</v>
      </c>
      <c r="E482" s="188"/>
      <c r="F482" s="188"/>
      <c r="G482" s="208"/>
      <c r="H482" s="161" t="s">
        <v>46</v>
      </c>
      <c r="I482" s="54"/>
      <c r="J482" s="212">
        <f ca="1">IFERROR(__xludf.DUMMYFUNCTION("IMPORTRANGE(""https://docs.google.com/spreadsheets/d/1eHaY18a8A9IcSdp1K8H6x8fbOy06t2VsZHhMHf-1x7Y/edit?usp=sharing"",""แผน!HN42"")"),0)</f>
        <v>0</v>
      </c>
      <c r="K482" s="55"/>
      <c r="L482" s="62"/>
      <c r="M482" s="55"/>
      <c r="N482" s="55"/>
      <c r="O482" s="55"/>
      <c r="P482" s="55"/>
      <c r="Q482" s="55"/>
      <c r="R482" s="55"/>
      <c r="S482" s="55"/>
      <c r="T482" s="55"/>
      <c r="U482" s="55"/>
    </row>
    <row r="483" spans="1:21" ht="18.75" hidden="1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212">
        <f ca="1">IFERROR(__xludf.DUMMYFUNCTION("IMPORTRANGE(""https://docs.google.com/spreadsheets/d/1eHaY18a8A9IcSdp1K8H6x8fbOy06t2VsZHhMHf-1x7Y/edit?usp=sharing"",""แผน!HO42"")"),0)</f>
        <v>0</v>
      </c>
      <c r="K483" s="55"/>
      <c r="L483" s="62"/>
      <c r="M483" s="55"/>
      <c r="N483" s="55"/>
      <c r="O483" s="55"/>
      <c r="P483" s="55"/>
      <c r="Q483" s="55"/>
      <c r="R483" s="55"/>
      <c r="S483" s="55"/>
      <c r="T483" s="55"/>
      <c r="U483" s="55"/>
    </row>
    <row r="484" spans="1:21" ht="19.5" hidden="1">
      <c r="A484" s="238"/>
      <c r="B484" s="188"/>
      <c r="C484" s="191" t="s">
        <v>194</v>
      </c>
      <c r="D484" s="188"/>
      <c r="E484" s="188"/>
      <c r="F484" s="188"/>
      <c r="G484" s="208"/>
      <c r="H484" s="158" t="s">
        <v>46</v>
      </c>
      <c r="I484" s="54">
        <f>J480</f>
        <v>0</v>
      </c>
      <c r="J484" s="373">
        <f>J486+J488+J490</f>
        <v>0</v>
      </c>
      <c r="K484" s="540">
        <f>IF(I484&gt;0,J484*100/I484,0)</f>
        <v>0</v>
      </c>
      <c r="L484" s="62"/>
      <c r="M484" s="55"/>
      <c r="N484" s="55"/>
      <c r="O484" s="55"/>
      <c r="P484" s="55"/>
      <c r="Q484" s="55"/>
      <c r="R484" s="55"/>
      <c r="S484" s="55"/>
      <c r="T484" s="55"/>
      <c r="U484" s="55"/>
    </row>
    <row r="485" spans="1:21" ht="19.5" hidden="1">
      <c r="A485" s="238"/>
      <c r="B485" s="188"/>
      <c r="C485" s="239" t="s">
        <v>195</v>
      </c>
      <c r="D485" s="188"/>
      <c r="E485" s="188"/>
      <c r="F485" s="188"/>
      <c r="G485" s="208"/>
      <c r="H485" s="158" t="s">
        <v>34</v>
      </c>
      <c r="I485" s="54">
        <f>J481</f>
        <v>0</v>
      </c>
      <c r="J485" s="373">
        <f>J487+J489+J491</f>
        <v>0</v>
      </c>
      <c r="K485" s="540">
        <f>IF(I485&gt;0,J485*100/I485,0)</f>
        <v>0</v>
      </c>
      <c r="L485" s="62"/>
      <c r="M485" s="55"/>
      <c r="N485" s="55"/>
      <c r="O485" s="55"/>
      <c r="P485" s="55"/>
      <c r="Q485" s="55"/>
      <c r="R485" s="55"/>
      <c r="S485" s="55"/>
      <c r="T485" s="55"/>
      <c r="U485" s="55"/>
    </row>
    <row r="486" spans="1:21" ht="18.75" hidden="1">
      <c r="A486" s="238"/>
      <c r="B486" s="188"/>
      <c r="C486" s="188"/>
      <c r="D486" s="371" t="s">
        <v>196</v>
      </c>
      <c r="E486" s="188"/>
      <c r="F486" s="188"/>
      <c r="G486" s="208"/>
      <c r="H486" s="161" t="s">
        <v>46</v>
      </c>
      <c r="I486" s="54"/>
      <c r="J486" s="54"/>
      <c r="K486" s="55"/>
      <c r="L486" s="62"/>
      <c r="M486" s="55"/>
      <c r="N486" s="55"/>
      <c r="O486" s="55"/>
      <c r="P486" s="55"/>
      <c r="Q486" s="55"/>
      <c r="R486" s="55"/>
      <c r="S486" s="55"/>
      <c r="T486" s="55"/>
      <c r="U486" s="55"/>
    </row>
    <row r="487" spans="1:21" ht="18.75" hidden="1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54"/>
      <c r="K487" s="55"/>
      <c r="L487" s="62"/>
      <c r="M487" s="55"/>
      <c r="N487" s="55"/>
      <c r="O487" s="55"/>
      <c r="P487" s="55"/>
      <c r="Q487" s="55"/>
      <c r="R487" s="55"/>
      <c r="S487" s="55"/>
      <c r="T487" s="55"/>
      <c r="U487" s="55"/>
    </row>
    <row r="488" spans="1:21" ht="18.75" hidden="1">
      <c r="A488" s="238"/>
      <c r="B488" s="188"/>
      <c r="C488" s="188"/>
      <c r="D488" s="371" t="s">
        <v>197</v>
      </c>
      <c r="E488" s="188"/>
      <c r="F488" s="188"/>
      <c r="G488" s="208"/>
      <c r="H488" s="161" t="s">
        <v>46</v>
      </c>
      <c r="I488" s="54"/>
      <c r="J488" s="54"/>
      <c r="K488" s="55"/>
      <c r="L488" s="62"/>
      <c r="M488" s="55"/>
      <c r="N488" s="55"/>
      <c r="O488" s="55"/>
      <c r="P488" s="55"/>
      <c r="Q488" s="55"/>
      <c r="R488" s="55"/>
      <c r="S488" s="55"/>
      <c r="T488" s="55"/>
      <c r="U488" s="55"/>
    </row>
    <row r="489" spans="1:21" ht="18.75" hidden="1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54"/>
      <c r="K489" s="55"/>
      <c r="L489" s="62"/>
      <c r="M489" s="55"/>
      <c r="N489" s="55"/>
      <c r="O489" s="55"/>
      <c r="P489" s="55"/>
      <c r="Q489" s="55"/>
      <c r="R489" s="55"/>
      <c r="S489" s="55"/>
      <c r="T489" s="55"/>
      <c r="U489" s="55"/>
    </row>
    <row r="490" spans="1:21" ht="18.75" hidden="1">
      <c r="A490" s="238"/>
      <c r="B490" s="188"/>
      <c r="C490" s="188"/>
      <c r="D490" s="371" t="s">
        <v>198</v>
      </c>
      <c r="E490" s="188"/>
      <c r="F490" s="188"/>
      <c r="G490" s="208"/>
      <c r="H490" s="161" t="s">
        <v>46</v>
      </c>
      <c r="I490" s="54"/>
      <c r="J490" s="54"/>
      <c r="K490" s="55"/>
      <c r="L490" s="62"/>
      <c r="M490" s="55"/>
      <c r="N490" s="55"/>
      <c r="O490" s="55"/>
      <c r="P490" s="55"/>
      <c r="Q490" s="55"/>
      <c r="R490" s="55"/>
      <c r="S490" s="55"/>
      <c r="T490" s="55"/>
      <c r="U490" s="55"/>
    </row>
    <row r="491" spans="1:21" ht="18.75" hidden="1">
      <c r="A491" s="374"/>
      <c r="B491" s="5"/>
      <c r="C491" s="5"/>
      <c r="D491" s="5"/>
      <c r="E491" s="5"/>
      <c r="F491" s="5"/>
      <c r="G491" s="375"/>
      <c r="H491" s="376" t="s">
        <v>34</v>
      </c>
      <c r="I491" s="67"/>
      <c r="J491" s="67"/>
      <c r="K491" s="6"/>
      <c r="L491" s="68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 hidden="1">
      <c r="A492" s="335"/>
      <c r="B492" s="354" t="s">
        <v>199</v>
      </c>
      <c r="C492" s="337"/>
      <c r="D492" s="337"/>
      <c r="E492" s="328"/>
      <c r="F492" s="328"/>
      <c r="G492" s="329"/>
      <c r="H492" s="366" t="s">
        <v>35</v>
      </c>
      <c r="I492" s="605">
        <f ca="1">I503</f>
        <v>0</v>
      </c>
      <c r="J492" s="605">
        <f ca="1">J503</f>
        <v>0</v>
      </c>
      <c r="K492" s="604">
        <f ca="1">IF(I492&gt;0,J492*100/I492,0)</f>
        <v>0</v>
      </c>
      <c r="L492" s="334"/>
      <c r="M492" s="333"/>
      <c r="N492" s="333"/>
      <c r="O492" s="333"/>
      <c r="P492" s="333"/>
      <c r="Q492" s="333"/>
      <c r="R492" s="333"/>
      <c r="S492" s="333"/>
      <c r="T492" s="333"/>
      <c r="U492" s="333"/>
    </row>
    <row r="493" spans="1:21" ht="19.5" hidden="1">
      <c r="A493" s="155"/>
      <c r="B493" s="188"/>
      <c r="C493" s="205" t="s">
        <v>18</v>
      </c>
      <c r="D493" s="603" t="s">
        <v>19</v>
      </c>
      <c r="E493" s="514"/>
      <c r="F493" s="514"/>
      <c r="G493" s="52"/>
      <c r="H493" s="252" t="s">
        <v>14</v>
      </c>
      <c r="I493" s="54"/>
      <c r="J493" s="54"/>
      <c r="K493" s="55"/>
      <c r="L493" s="541">
        <f>L494+L495</f>
        <v>0</v>
      </c>
      <c r="M493" s="540">
        <f>M494+M495</f>
        <v>0</v>
      </c>
      <c r="N493" s="540">
        <f>N494+N495</f>
        <v>0</v>
      </c>
      <c r="O493" s="540">
        <f>IF(L493&gt;0,N493*100/L493,0)</f>
        <v>0</v>
      </c>
      <c r="P493" s="540">
        <f>IF(M493&gt;0,N493*100/M493,0)</f>
        <v>0</v>
      </c>
      <c r="Q493" s="540">
        <f ca="1">Q494+Q495</f>
        <v>0</v>
      </c>
      <c r="R493" s="540">
        <f ca="1">R494+R495</f>
        <v>0</v>
      </c>
      <c r="S493" s="540">
        <f ca="1">S494+S495</f>
        <v>0</v>
      </c>
      <c r="T493" s="540">
        <f ca="1">IF(Q493&gt;0,S493*100/Q493,0)</f>
        <v>0</v>
      </c>
      <c r="U493" s="540">
        <f ca="1">IF(R493&gt;0,S493*100/R493,0)</f>
        <v>0</v>
      </c>
    </row>
    <row r="494" spans="1:21" ht="18.75" hidden="1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103">
        <f>L497+L500</f>
        <v>0</v>
      </c>
      <c r="M494" s="102">
        <f>M497+M500</f>
        <v>0</v>
      </c>
      <c r="N494" s="102">
        <f>N497+N500</f>
        <v>0</v>
      </c>
      <c r="O494" s="102">
        <f>IF(L494&gt;0,N494*100/L494,0)</f>
        <v>0</v>
      </c>
      <c r="P494" s="102">
        <f>IF(M494&gt;0,N494*100/M494,0)</f>
        <v>0</v>
      </c>
      <c r="Q494" s="102">
        <f>Q497+Q500</f>
        <v>0</v>
      </c>
      <c r="R494" s="102">
        <f>R497+R500</f>
        <v>0</v>
      </c>
      <c r="S494" s="102">
        <f>S497+S500</f>
        <v>0</v>
      </c>
      <c r="T494" s="102">
        <f>IF(Q494&gt;0,S494*100/Q494,0)</f>
        <v>0</v>
      </c>
      <c r="U494" s="102">
        <f>IF(R494&gt;0,S494*100/R494,0)</f>
        <v>0</v>
      </c>
    </row>
    <row r="495" spans="1:21" ht="18.75" hidden="1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256">
        <f>L498+L501</f>
        <v>0</v>
      </c>
      <c r="M495" s="255">
        <f>M498+M501</f>
        <v>0</v>
      </c>
      <c r="N495" s="255">
        <f>N498+N501</f>
        <v>0</v>
      </c>
      <c r="O495" s="255">
        <f>IF(L495&gt;0,N495*100/L495,0)</f>
        <v>0</v>
      </c>
      <c r="P495" s="255">
        <f>IF(M495&gt;0,N495*100/M495,0)</f>
        <v>0</v>
      </c>
      <c r="Q495" s="255">
        <f ca="1">Q498+Q501</f>
        <v>0</v>
      </c>
      <c r="R495" s="255">
        <f ca="1">R498+R501</f>
        <v>0</v>
      </c>
      <c r="S495" s="255">
        <f ca="1">S498+S501</f>
        <v>0</v>
      </c>
      <c r="T495" s="255">
        <f ca="1">IF(Q495&gt;0,S495*100/Q495,0)</f>
        <v>0</v>
      </c>
      <c r="U495" s="255">
        <f ca="1">IF(R495&gt;0,S495*100/R495,0)</f>
        <v>0</v>
      </c>
    </row>
    <row r="496" spans="1:21" ht="18.75" hidden="1">
      <c r="A496" s="155"/>
      <c r="B496" s="188"/>
      <c r="C496" s="188"/>
      <c r="D496" s="602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256">
        <f>L497+L498</f>
        <v>0</v>
      </c>
      <c r="M496" s="255">
        <f>M497+M498</f>
        <v>0</v>
      </c>
      <c r="N496" s="255">
        <f>N497+N498</f>
        <v>0</v>
      </c>
      <c r="O496" s="255">
        <f>IF(L496&gt;0,N496*100/L496,0)</f>
        <v>0</v>
      </c>
      <c r="P496" s="255">
        <f>IF(M496&gt;0,N496*100/M496,0)</f>
        <v>0</v>
      </c>
      <c r="Q496" s="255">
        <f ca="1">Q497+Q498</f>
        <v>0</v>
      </c>
      <c r="R496" s="255">
        <f ca="1">R497+R498</f>
        <v>0</v>
      </c>
      <c r="S496" s="255">
        <f ca="1">S497+S498</f>
        <v>0</v>
      </c>
      <c r="T496" s="255">
        <f ca="1">IF(Q496&gt;0,S496*100/Q496,0)</f>
        <v>0</v>
      </c>
      <c r="U496" s="255">
        <f ca="1">IF(R496&gt;0,S496*100/R496,0)</f>
        <v>0</v>
      </c>
    </row>
    <row r="497" spans="1:21" ht="18.75" hidden="1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103">
        <v>0</v>
      </c>
      <c r="M497" s="102">
        <v>0</v>
      </c>
      <c r="N497" s="102">
        <v>0</v>
      </c>
      <c r="O497" s="102">
        <f>IF(L497&gt;0,N497*100/L497,0)</f>
        <v>0</v>
      </c>
      <c r="P497" s="102">
        <f>IF(M497&gt;0,N497*100/M497,0)</f>
        <v>0</v>
      </c>
      <c r="Q497" s="102">
        <v>0</v>
      </c>
      <c r="R497" s="102">
        <v>0</v>
      </c>
      <c r="S497" s="102">
        <v>0</v>
      </c>
      <c r="T497" s="102">
        <f>IF(Q497&gt;0,S497*100/Q497,0)</f>
        <v>0</v>
      </c>
      <c r="U497" s="102">
        <f>IF(R497&gt;0,S497*100/R497,0)</f>
        <v>0</v>
      </c>
    </row>
    <row r="498" spans="1:21" ht="18.75" hidden="1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256">
        <v>0</v>
      </c>
      <c r="M498" s="255">
        <v>0</v>
      </c>
      <c r="N498" s="255">
        <v>0</v>
      </c>
      <c r="O498" s="255">
        <f>IF(L498&gt;0,N498*100/L498,0)</f>
        <v>0</v>
      </c>
      <c r="P498" s="255">
        <f>IF(M498&gt;0,N498*100/M498,0)</f>
        <v>0</v>
      </c>
      <c r="Q498" s="255">
        <f ca="1">IFERROR(__xludf.DUMMYFUNCTION("IMPORTRANGE(""https://docs.google.com/spreadsheets/d/1ItG2mGa2ceCfYo0BwxsXqNm01IGEUdYcSSLTEv9YCik/edit?usp=sharing"",""เบิกจ่ายกองทุน!X42"")"),0)</f>
        <v>0</v>
      </c>
      <c r="R498" s="255">
        <f ca="1">IFERROR(__xludf.DUMMYFUNCTION("IMPORTRANGE(""https://docs.google.com/spreadsheets/d/1ItG2mGa2ceCfYo0BwxsXqNm01IGEUdYcSSLTEv9YCik/edit?usp=sharing"",""เบิกจ่ายกองทุน!Y42"")"),0)</f>
        <v>0</v>
      </c>
      <c r="S498" s="255">
        <f ca="1">IFERROR(__xludf.DUMMYFUNCTION("IMPORTRANGE(""https://docs.google.com/spreadsheets/d/1ItG2mGa2ceCfYo0BwxsXqNm01IGEUdYcSSLTEv9YCik/edit?usp=sharing"",""เบิกจ่ายกองทุน!Z42"")"),0)</f>
        <v>0</v>
      </c>
      <c r="T498" s="255">
        <f ca="1">IF(Q498&gt;0,S498*100/Q498,0)</f>
        <v>0</v>
      </c>
      <c r="U498" s="255">
        <f ca="1">IF(R498&gt;0,S498*100/R498,0)</f>
        <v>0</v>
      </c>
    </row>
    <row r="499" spans="1:21" ht="18.75" hidden="1">
      <c r="A499" s="155"/>
      <c r="B499" s="188"/>
      <c r="C499" s="188"/>
      <c r="D499" s="602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256">
        <f>L500+L501</f>
        <v>0</v>
      </c>
      <c r="M499" s="255">
        <f>M500+M501</f>
        <v>0</v>
      </c>
      <c r="N499" s="255">
        <f>N500+N501</f>
        <v>0</v>
      </c>
      <c r="O499" s="255">
        <f>IF(L499&gt;0,N499*100/L499,0)</f>
        <v>0</v>
      </c>
      <c r="P499" s="255">
        <f>IF(M499&gt;0,N499*100/M499,0)</f>
        <v>0</v>
      </c>
      <c r="Q499" s="255">
        <f>Q500+Q501</f>
        <v>0</v>
      </c>
      <c r="R499" s="255">
        <f>R500+R501</f>
        <v>0</v>
      </c>
      <c r="S499" s="255">
        <f>S500+S501</f>
        <v>0</v>
      </c>
      <c r="T499" s="255">
        <f>IF(Q499&gt;0,S499*100/Q499,0)</f>
        <v>0</v>
      </c>
      <c r="U499" s="255">
        <f>IF(R499&gt;0,S499*100/R499,0)</f>
        <v>0</v>
      </c>
    </row>
    <row r="500" spans="1:21" ht="18.75" hidden="1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103">
        <v>0</v>
      </c>
      <c r="M500" s="102">
        <v>0</v>
      </c>
      <c r="N500" s="102">
        <v>0</v>
      </c>
      <c r="O500" s="102">
        <f>IF(L500&gt;0,N500*100/L500,0)</f>
        <v>0</v>
      </c>
      <c r="P500" s="102">
        <f>IF(M500&gt;0,N500*100/M500,0)</f>
        <v>0</v>
      </c>
      <c r="Q500" s="102">
        <v>0</v>
      </c>
      <c r="R500" s="102">
        <v>0</v>
      </c>
      <c r="S500" s="102">
        <v>0</v>
      </c>
      <c r="T500" s="102">
        <f>IF(Q500&gt;0,S500*100/Q500,0)</f>
        <v>0</v>
      </c>
      <c r="U500" s="102">
        <f>IF(R500&gt;0,S500*100/R500,0)</f>
        <v>0</v>
      </c>
    </row>
    <row r="501" spans="1:21" ht="18.75" hidden="1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256">
        <v>0</v>
      </c>
      <c r="M501" s="255">
        <v>0</v>
      </c>
      <c r="N501" s="255">
        <v>0</v>
      </c>
      <c r="O501" s="255">
        <f>IF(L501&gt;0,N501*100/L501,0)</f>
        <v>0</v>
      </c>
      <c r="P501" s="255">
        <f>IF(M501&gt;0,N501*100/M501,0)</f>
        <v>0</v>
      </c>
      <c r="Q501" s="255">
        <v>0</v>
      </c>
      <c r="R501" s="255">
        <v>0</v>
      </c>
      <c r="S501" s="255">
        <v>0</v>
      </c>
      <c r="T501" s="255">
        <f>IF(Q501&gt;0,S501*100/Q501,0)</f>
        <v>0</v>
      </c>
      <c r="U501" s="255">
        <f>IF(R501&gt;0,S501*100/R501,0)</f>
        <v>0</v>
      </c>
    </row>
    <row r="502" spans="1:21" ht="19.5" hidden="1">
      <c r="A502" s="166"/>
      <c r="B502" s="167"/>
      <c r="C502" s="205" t="s">
        <v>18</v>
      </c>
      <c r="D502" s="560" t="s">
        <v>38</v>
      </c>
      <c r="E502" s="169"/>
      <c r="F502" s="169"/>
      <c r="G502" s="170"/>
      <c r="H502" s="206"/>
      <c r="I502" s="163"/>
      <c r="J502" s="163"/>
      <c r="K502" s="164"/>
      <c r="L502" s="172"/>
      <c r="M502" s="164"/>
      <c r="N502" s="164"/>
      <c r="O502" s="164"/>
      <c r="P502" s="164"/>
      <c r="Q502" s="164"/>
      <c r="R502" s="164"/>
      <c r="S502" s="164"/>
      <c r="T502" s="164"/>
      <c r="U502" s="164"/>
    </row>
    <row r="503" spans="1:21" ht="19.5" hidden="1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373">
        <f ca="1">IFERROR(__xludf.DUMMYFUNCTION("IMPORTRANGE(""https://docs.google.com/spreadsheets/d/1eHaY18a8A9IcSdp1K8H6x8fbOy06t2VsZHhMHf-1x7Y/edit?usp=sharing"",""แผน!GX42"")"),0)</f>
        <v>0</v>
      </c>
      <c r="J503" s="373">
        <f ca="1">IF(AND(J504=I504,J505=I505,J506=I506,J507=I507),I503,0)</f>
        <v>0</v>
      </c>
      <c r="K503" s="540">
        <f ca="1">IF(I503&gt;0,J503*100/I503,0)</f>
        <v>0</v>
      </c>
      <c r="L503" s="62"/>
      <c r="M503" s="55"/>
      <c r="N503" s="55"/>
      <c r="O503" s="55"/>
      <c r="P503" s="55"/>
      <c r="Q503" s="55"/>
      <c r="R503" s="55"/>
      <c r="S503" s="55"/>
      <c r="T503" s="55"/>
      <c r="U503" s="55"/>
    </row>
    <row r="504" spans="1:21" ht="18.75" hidden="1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212">
        <f ca="1">IFERROR(__xludf.DUMMYFUNCTION("IMPORTRANGE(""https://docs.google.com/spreadsheets/d/1eHaY18a8A9IcSdp1K8H6x8fbOy06t2VsZHhMHf-1x7Y/edit?usp=sharing"",""แผน!GY42"")"),0)</f>
        <v>0</v>
      </c>
      <c r="J504" s="467">
        <v>0</v>
      </c>
      <c r="K504" s="255">
        <f ca="1">IF(I504&gt;0,J504*100/I504,0)</f>
        <v>0</v>
      </c>
      <c r="L504" s="62"/>
      <c r="M504" s="55"/>
      <c r="N504" s="55"/>
      <c r="O504" s="55"/>
      <c r="P504" s="55"/>
      <c r="Q504" s="55"/>
      <c r="R504" s="55"/>
      <c r="S504" s="55"/>
      <c r="T504" s="55"/>
      <c r="U504" s="55"/>
    </row>
    <row r="505" spans="1:21" ht="18.75" hidden="1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212">
        <f ca="1">IFERROR(__xludf.DUMMYFUNCTION("IMPORTRANGE(""https://docs.google.com/spreadsheets/d/1eHaY18a8A9IcSdp1K8H6x8fbOy06t2VsZHhMHf-1x7Y/edit?usp=sharing"",""แผน!GZ42"")"),0)</f>
        <v>0</v>
      </c>
      <c r="J505" s="467">
        <v>0</v>
      </c>
      <c r="K505" s="255">
        <f ca="1">IF(I505&gt;0,J505*100/I505,0)</f>
        <v>0</v>
      </c>
      <c r="L505" s="62"/>
      <c r="M505" s="55"/>
      <c r="N505" s="55"/>
      <c r="O505" s="55"/>
      <c r="P505" s="55"/>
      <c r="Q505" s="55"/>
      <c r="R505" s="55"/>
      <c r="S505" s="55"/>
      <c r="T505" s="55"/>
      <c r="U505" s="55"/>
    </row>
    <row r="506" spans="1:21" ht="18.75" hidden="1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212">
        <f ca="1">IFERROR(__xludf.DUMMYFUNCTION("IMPORTRANGE(""https://docs.google.com/spreadsheets/d/1eHaY18a8A9IcSdp1K8H6x8fbOy06t2VsZHhMHf-1x7Y/edit?usp=sharing"",""แผน!HA42"")"),0)</f>
        <v>0</v>
      </c>
      <c r="J506" s="467">
        <v>0</v>
      </c>
      <c r="K506" s="255">
        <f ca="1">IF(I506&gt;0,J506*100/I506,0)</f>
        <v>0</v>
      </c>
      <c r="L506" s="62"/>
      <c r="M506" s="55"/>
      <c r="N506" s="55"/>
      <c r="O506" s="55"/>
      <c r="P506" s="55"/>
      <c r="Q506" s="55"/>
      <c r="R506" s="55"/>
      <c r="S506" s="55"/>
      <c r="T506" s="55"/>
      <c r="U506" s="55"/>
    </row>
    <row r="507" spans="1:21" ht="18.75" hidden="1">
      <c r="A507" s="238"/>
      <c r="B507" s="188"/>
      <c r="C507" s="188"/>
      <c r="D507" s="188"/>
      <c r="E507" s="377" t="s">
        <v>204</v>
      </c>
      <c r="F507" s="50"/>
      <c r="G507" s="52"/>
      <c r="H507" s="161" t="s">
        <v>35</v>
      </c>
      <c r="I507" s="212">
        <f ca="1">IFERROR(__xludf.DUMMYFUNCTION("IMPORTRANGE(""https://docs.google.com/spreadsheets/d/1eHaY18a8A9IcSdp1K8H6x8fbOy06t2VsZHhMHf-1x7Y/edit?usp=sharing"",""แผน!HB42"")"),0)</f>
        <v>0</v>
      </c>
      <c r="J507" s="467">
        <v>0</v>
      </c>
      <c r="K507" s="255">
        <f ca="1">IF(I507&gt;0,J507*100/I507,0)</f>
        <v>0</v>
      </c>
      <c r="L507" s="62"/>
      <c r="M507" s="55"/>
      <c r="N507" s="55"/>
      <c r="O507" s="55"/>
      <c r="P507" s="55"/>
      <c r="Q507" s="55"/>
      <c r="R507" s="55"/>
      <c r="S507" s="55"/>
      <c r="T507" s="55"/>
      <c r="U507" s="55"/>
    </row>
    <row r="508" spans="1:21" ht="18.75" hidden="1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255">
        <f>IF(I508&gt;0,J508*100/I508,0)</f>
        <v>0</v>
      </c>
      <c r="L508" s="62"/>
      <c r="M508" s="55"/>
      <c r="N508" s="55"/>
      <c r="O508" s="55"/>
      <c r="P508" s="55"/>
      <c r="Q508" s="55"/>
      <c r="R508" s="55"/>
      <c r="S508" s="55"/>
      <c r="T508" s="55"/>
      <c r="U508" s="55"/>
    </row>
    <row r="509" spans="1:21" ht="19.5" hidden="1">
      <c r="A509" s="374"/>
      <c r="B509" s="5"/>
      <c r="C509" s="5"/>
      <c r="D509" s="378" t="s">
        <v>50</v>
      </c>
      <c r="E509" s="4"/>
      <c r="F509" s="4"/>
      <c r="G509" s="65"/>
      <c r="H509" s="376" t="s">
        <v>35</v>
      </c>
      <c r="I509" s="216">
        <f ca="1">IFERROR(__xludf.DUMMYFUNCTION("IMPORTRANGE(""https://docs.google.com/spreadsheets/d/1eHaY18a8A9IcSdp1K8H6x8fbOy06t2VsZHhMHf-1x7Y/edit?usp=sharing"",""แผน!HC42"")"),0)</f>
        <v>0</v>
      </c>
      <c r="J509" s="538">
        <v>0</v>
      </c>
      <c r="K509" s="506">
        <f ca="1">IF(I509&gt;0,J509*100/I509,0)</f>
        <v>0</v>
      </c>
      <c r="L509" s="68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 hidden="1">
      <c r="A510" s="601" t="s">
        <v>206</v>
      </c>
      <c r="B510" s="381"/>
      <c r="C510" s="381"/>
      <c r="D510" s="381"/>
      <c r="E510" s="382"/>
      <c r="F510" s="382"/>
      <c r="G510" s="382"/>
      <c r="H510" s="382"/>
      <c r="I510" s="383"/>
      <c r="J510" s="383"/>
      <c r="K510" s="384"/>
      <c r="L510" s="600"/>
      <c r="M510" s="386"/>
      <c r="N510" s="386"/>
      <c r="O510" s="386"/>
      <c r="P510" s="386"/>
      <c r="Q510" s="386"/>
      <c r="R510" s="386"/>
      <c r="S510" s="386"/>
      <c r="T510" s="386"/>
      <c r="U510" s="386"/>
    </row>
    <row r="511" spans="1:21" ht="19.5" hidden="1">
      <c r="A511" s="599" t="s">
        <v>207</v>
      </c>
      <c r="B511" s="388"/>
      <c r="C511" s="388"/>
      <c r="D511" s="389"/>
      <c r="E511" s="388"/>
      <c r="F511" s="388"/>
      <c r="G511" s="388"/>
      <c r="H511" s="390"/>
      <c r="I511" s="391"/>
      <c r="J511" s="391"/>
      <c r="K511" s="392"/>
      <c r="L511" s="598"/>
      <c r="M511" s="394"/>
      <c r="N511" s="394"/>
      <c r="O511" s="394"/>
      <c r="P511" s="394"/>
      <c r="Q511" s="394"/>
      <c r="R511" s="394"/>
      <c r="S511" s="394"/>
      <c r="T511" s="394"/>
      <c r="U511" s="394"/>
    </row>
    <row r="512" spans="1:21" ht="19.5" hidden="1">
      <c r="A512" s="395"/>
      <c r="B512" s="597" t="s">
        <v>208</v>
      </c>
      <c r="C512" s="397"/>
      <c r="D512" s="398"/>
      <c r="E512" s="398"/>
      <c r="F512" s="398"/>
      <c r="G512" s="399"/>
      <c r="H512" s="596" t="s">
        <v>61</v>
      </c>
      <c r="I512" s="595">
        <f>I524</f>
        <v>0</v>
      </c>
      <c r="J512" s="595">
        <f>J524</f>
        <v>0</v>
      </c>
      <c r="K512" s="594">
        <f>IF(I512&gt;0,J512*100/I512,0)</f>
        <v>0</v>
      </c>
      <c r="L512" s="404"/>
      <c r="M512" s="403"/>
      <c r="N512" s="403"/>
      <c r="O512" s="403"/>
      <c r="P512" s="403"/>
      <c r="Q512" s="403"/>
      <c r="R512" s="403"/>
      <c r="S512" s="403"/>
      <c r="T512" s="403"/>
      <c r="U512" s="403"/>
    </row>
    <row r="513" spans="1:21" ht="19.5" hidden="1">
      <c r="A513" s="155"/>
      <c r="B513" s="50"/>
      <c r="C513" s="591" t="s">
        <v>18</v>
      </c>
      <c r="D513" s="562" t="s">
        <v>19</v>
      </c>
      <c r="E513" s="50"/>
      <c r="F513" s="50"/>
      <c r="G513" s="52"/>
      <c r="H513" s="593" t="s">
        <v>14</v>
      </c>
      <c r="I513" s="54"/>
      <c r="J513" s="54"/>
      <c r="K513" s="55"/>
      <c r="L513" s="541">
        <f ca="1">L514+L515</f>
        <v>0</v>
      </c>
      <c r="M513" s="540">
        <f ca="1">M514+M515</f>
        <v>0</v>
      </c>
      <c r="N513" s="540">
        <f ca="1">N514+N515</f>
        <v>0</v>
      </c>
      <c r="O513" s="540">
        <f ca="1">IF(L513&gt;0,N513*100/L513,0)</f>
        <v>0</v>
      </c>
      <c r="P513" s="540">
        <f ca="1">IF(M513&gt;0,N513*100/M513,0)</f>
        <v>0</v>
      </c>
      <c r="Q513" s="540">
        <f>Q514+Q515</f>
        <v>0</v>
      </c>
      <c r="R513" s="540">
        <f>R514+R515</f>
        <v>0</v>
      </c>
      <c r="S513" s="540">
        <f>S514+S515</f>
        <v>0</v>
      </c>
      <c r="T513" s="540">
        <f>IF(Q513&gt;0,S513*100/Q513,0)</f>
        <v>0</v>
      </c>
      <c r="U513" s="540">
        <f>IF(R513&gt;0,S513*100/R513,0)</f>
        <v>0</v>
      </c>
    </row>
    <row r="514" spans="1:21" ht="18.75" hidden="1">
      <c r="A514" s="155"/>
      <c r="B514" s="50"/>
      <c r="C514" s="50"/>
      <c r="D514" s="50"/>
      <c r="E514" s="186" t="s">
        <v>20</v>
      </c>
      <c r="F514" s="50"/>
      <c r="G514" s="52"/>
      <c r="H514" s="187" t="s">
        <v>14</v>
      </c>
      <c r="I514" s="54"/>
      <c r="J514" s="54"/>
      <c r="K514" s="55"/>
      <c r="L514" s="103">
        <f>L517+L520</f>
        <v>0</v>
      </c>
      <c r="M514" s="102">
        <f>M517+M520</f>
        <v>0</v>
      </c>
      <c r="N514" s="102">
        <f>N517+N520</f>
        <v>0</v>
      </c>
      <c r="O514" s="102">
        <f>IF(L514&gt;0,N514*100/L514,0)</f>
        <v>0</v>
      </c>
      <c r="P514" s="102">
        <f>IF(M514&gt;0,N514*100/M514,0)</f>
        <v>0</v>
      </c>
      <c r="Q514" s="102">
        <f>Q517+Q520</f>
        <v>0</v>
      </c>
      <c r="R514" s="102">
        <f>R517+R520</f>
        <v>0</v>
      </c>
      <c r="S514" s="102">
        <f>S517+S520</f>
        <v>0</v>
      </c>
      <c r="T514" s="102">
        <f>IF(Q514&gt;0,S514*100/Q514,0)</f>
        <v>0</v>
      </c>
      <c r="U514" s="102">
        <f>IF(R514&gt;0,S514*100/R514,0)</f>
        <v>0</v>
      </c>
    </row>
    <row r="515" spans="1:21" ht="18.75" hidden="1">
      <c r="A515" s="155"/>
      <c r="B515" s="50"/>
      <c r="C515" s="50"/>
      <c r="D515" s="50"/>
      <c r="E515" s="186" t="s">
        <v>21</v>
      </c>
      <c r="F515" s="50"/>
      <c r="G515" s="52"/>
      <c r="H515" s="187" t="s">
        <v>14</v>
      </c>
      <c r="I515" s="54"/>
      <c r="J515" s="54"/>
      <c r="K515" s="55"/>
      <c r="L515" s="256">
        <f ca="1">L518+L521</f>
        <v>0</v>
      </c>
      <c r="M515" s="255">
        <f ca="1">M518+M521</f>
        <v>0</v>
      </c>
      <c r="N515" s="255">
        <f ca="1">N518+N521</f>
        <v>0</v>
      </c>
      <c r="O515" s="255">
        <f ca="1">IF(L515&gt;0,N515*100/L515,0)</f>
        <v>0</v>
      </c>
      <c r="P515" s="255">
        <f ca="1">IF(M515&gt;0,N515*100/M515,0)</f>
        <v>0</v>
      </c>
      <c r="Q515" s="255">
        <f>Q518+Q521</f>
        <v>0</v>
      </c>
      <c r="R515" s="255">
        <f>R518+R521</f>
        <v>0</v>
      </c>
      <c r="S515" s="255">
        <f>S518+S521</f>
        <v>0</v>
      </c>
      <c r="T515" s="255">
        <f>IF(Q515&gt;0,S515*100/Q515,0)</f>
        <v>0</v>
      </c>
      <c r="U515" s="255">
        <f>IF(R515&gt;0,S515*100/R515,0)</f>
        <v>0</v>
      </c>
    </row>
    <row r="516" spans="1:21" ht="18.75" hidden="1">
      <c r="A516" s="155"/>
      <c r="B516" s="50"/>
      <c r="C516" s="50"/>
      <c r="D516" s="592" t="s">
        <v>22</v>
      </c>
      <c r="E516" s="50"/>
      <c r="F516" s="50"/>
      <c r="G516" s="52"/>
      <c r="H516" s="189" t="s">
        <v>14</v>
      </c>
      <c r="I516" s="163"/>
      <c r="J516" s="163"/>
      <c r="K516" s="164"/>
      <c r="L516" s="256">
        <f ca="1">L517+L518</f>
        <v>0</v>
      </c>
      <c r="M516" s="255">
        <f ca="1">M517+M518</f>
        <v>0</v>
      </c>
      <c r="N516" s="255">
        <f ca="1">N517+N518</f>
        <v>0</v>
      </c>
      <c r="O516" s="255">
        <f ca="1">IF(L516&gt;0,N516*100/L516,0)</f>
        <v>0</v>
      </c>
      <c r="P516" s="255">
        <f ca="1">IF(M516&gt;0,N516*100/M516,0)</f>
        <v>0</v>
      </c>
      <c r="Q516" s="255">
        <f>Q517+Q518</f>
        <v>0</v>
      </c>
      <c r="R516" s="255">
        <f>R517+R518</f>
        <v>0</v>
      </c>
      <c r="S516" s="255">
        <f>S517+S518</f>
        <v>0</v>
      </c>
      <c r="T516" s="255">
        <f>IF(Q516&gt;0,S516*100/Q516,0)</f>
        <v>0</v>
      </c>
      <c r="U516" s="255">
        <f>IF(R516&gt;0,S516*100/R516,0)</f>
        <v>0</v>
      </c>
    </row>
    <row r="517" spans="1:21" ht="18.75" hidden="1">
      <c r="A517" s="155"/>
      <c r="B517" s="50"/>
      <c r="C517" s="50"/>
      <c r="D517" s="50"/>
      <c r="E517" s="186" t="s">
        <v>36</v>
      </c>
      <c r="F517" s="50"/>
      <c r="G517" s="52"/>
      <c r="H517" s="189" t="s">
        <v>14</v>
      </c>
      <c r="I517" s="163"/>
      <c r="J517" s="163"/>
      <c r="K517" s="164"/>
      <c r="L517" s="103">
        <v>0</v>
      </c>
      <c r="M517" s="102">
        <v>0</v>
      </c>
      <c r="N517" s="102">
        <v>0</v>
      </c>
      <c r="O517" s="102">
        <f>IF(L517&gt;0,N517*100/L517,0)</f>
        <v>0</v>
      </c>
      <c r="P517" s="102">
        <f>IF(M517&gt;0,N517*100/M517,0)</f>
        <v>0</v>
      </c>
      <c r="Q517" s="102">
        <v>0</v>
      </c>
      <c r="R517" s="102">
        <v>0</v>
      </c>
      <c r="S517" s="102">
        <v>0</v>
      </c>
      <c r="T517" s="102">
        <f>IF(Q517&gt;0,S517*100/Q517,0)</f>
        <v>0</v>
      </c>
      <c r="U517" s="102">
        <f>IF(R517&gt;0,S517*100/R517,0)</f>
        <v>0</v>
      </c>
    </row>
    <row r="518" spans="1:21" ht="18.75" hidden="1">
      <c r="A518" s="155"/>
      <c r="B518" s="50"/>
      <c r="C518" s="50"/>
      <c r="D518" s="50"/>
      <c r="E518" s="186" t="s">
        <v>37</v>
      </c>
      <c r="F518" s="50"/>
      <c r="G518" s="52"/>
      <c r="H518" s="189" t="s">
        <v>14</v>
      </c>
      <c r="I518" s="163"/>
      <c r="J518" s="163"/>
      <c r="K518" s="164"/>
      <c r="L518" s="256">
        <f ca="1">IFERROR(__xludf.DUMMYFUNCTION("IMPORTRANGE(""https://docs.google.com/spreadsheets/d/1-uDff_7J0KD5mKrp0Vvzr7lt3OU09vwQwhkpOPPYv2Y/edit?usp=sharing"",""งบพรบ!FM42"")"),0)</f>
        <v>0</v>
      </c>
      <c r="M518" s="255">
        <f ca="1">IFERROR(__xludf.DUMMYFUNCTION("IMPORTRANGE(""https://docs.google.com/spreadsheets/d/1-uDff_7J0KD5mKrp0Vvzr7lt3OU09vwQwhkpOPPYv2Y/edit?usp=sharing"",""งบพรบ!FR42"")"),0)</f>
        <v>0</v>
      </c>
      <c r="N518" s="255">
        <f ca="1">IFERROR(__xludf.DUMMYFUNCTION("IMPORTRANGE(""https://docs.google.com/spreadsheets/d/1-uDff_7J0KD5mKrp0Vvzr7lt3OU09vwQwhkpOPPYv2Y/edit?usp=sharing"",""งบพรบ!FT42"")"),0)</f>
        <v>0</v>
      </c>
      <c r="O518" s="255">
        <f ca="1">IF(L518&gt;0,N518*100/L518,0)</f>
        <v>0</v>
      </c>
      <c r="P518" s="255">
        <f ca="1">IF(M518&gt;0,N518*100/M518,0)</f>
        <v>0</v>
      </c>
      <c r="Q518" s="255">
        <v>0</v>
      </c>
      <c r="R518" s="255">
        <v>0</v>
      </c>
      <c r="S518" s="255">
        <v>0</v>
      </c>
      <c r="T518" s="255">
        <f>IF(Q518&gt;0,S518*100/Q518,0)</f>
        <v>0</v>
      </c>
      <c r="U518" s="255">
        <f>IF(R518&gt;0,S518*100/R518,0)</f>
        <v>0</v>
      </c>
    </row>
    <row r="519" spans="1:21" ht="18.75" hidden="1">
      <c r="A519" s="155"/>
      <c r="B519" s="50"/>
      <c r="C519" s="50"/>
      <c r="D519" s="592" t="s">
        <v>23</v>
      </c>
      <c r="E519" s="50"/>
      <c r="F519" s="50"/>
      <c r="G519" s="52"/>
      <c r="H519" s="421" t="s">
        <v>14</v>
      </c>
      <c r="I519" s="163"/>
      <c r="J519" s="163"/>
      <c r="K519" s="164"/>
      <c r="L519" s="256">
        <f ca="1">L520+L521</f>
        <v>0</v>
      </c>
      <c r="M519" s="255">
        <f ca="1">M520+M521</f>
        <v>0</v>
      </c>
      <c r="N519" s="255">
        <f ca="1">N520+N521</f>
        <v>0</v>
      </c>
      <c r="O519" s="255">
        <f ca="1">IF(L519&gt;0,N519*100/L519,0)</f>
        <v>0</v>
      </c>
      <c r="P519" s="255">
        <f ca="1">IF(M519&gt;0,N519*100/M519,0)</f>
        <v>0</v>
      </c>
      <c r="Q519" s="255">
        <f>Q520+Q521</f>
        <v>0</v>
      </c>
      <c r="R519" s="255">
        <f>R520+R521</f>
        <v>0</v>
      </c>
      <c r="S519" s="255">
        <f>S520+S521</f>
        <v>0</v>
      </c>
      <c r="T519" s="255">
        <f>IF(Q519&gt;0,S519*100/Q519,0)</f>
        <v>0</v>
      </c>
      <c r="U519" s="255">
        <f>IF(R519&gt;0,S519*100/R519,0)</f>
        <v>0</v>
      </c>
    </row>
    <row r="520" spans="1:21" ht="18.75" hidden="1">
      <c r="A520" s="155"/>
      <c r="B520" s="50"/>
      <c r="C520" s="50"/>
      <c r="D520" s="50"/>
      <c r="E520" s="186" t="s">
        <v>20</v>
      </c>
      <c r="F520" s="50"/>
      <c r="G520" s="52"/>
      <c r="H520" s="189" t="s">
        <v>14</v>
      </c>
      <c r="I520" s="163"/>
      <c r="J520" s="163"/>
      <c r="K520" s="164"/>
      <c r="L520" s="103">
        <v>0</v>
      </c>
      <c r="M520" s="102">
        <v>0</v>
      </c>
      <c r="N520" s="102">
        <v>0</v>
      </c>
      <c r="O520" s="102">
        <f>IF(L520&gt;0,N520*100/L520,0)</f>
        <v>0</v>
      </c>
      <c r="P520" s="102">
        <f>IF(M520&gt;0,N520*100/M520,0)</f>
        <v>0</v>
      </c>
      <c r="Q520" s="102">
        <v>0</v>
      </c>
      <c r="R520" s="102">
        <v>0</v>
      </c>
      <c r="S520" s="102">
        <v>0</v>
      </c>
      <c r="T520" s="102">
        <f>IF(Q520&gt;0,S520*100/Q520,0)</f>
        <v>0</v>
      </c>
      <c r="U520" s="102">
        <f>IF(R520&gt;0,S520*100/R520,0)</f>
        <v>0</v>
      </c>
    </row>
    <row r="521" spans="1:21" ht="18.75" hidden="1">
      <c r="A521" s="155"/>
      <c r="B521" s="50"/>
      <c r="C521" s="50"/>
      <c r="D521" s="50"/>
      <c r="E521" s="186" t="s">
        <v>21</v>
      </c>
      <c r="F521" s="50"/>
      <c r="G521" s="52"/>
      <c r="H521" s="421" t="s">
        <v>14</v>
      </c>
      <c r="I521" s="163"/>
      <c r="J521" s="163"/>
      <c r="K521" s="164"/>
      <c r="L521" s="256">
        <f ca="1">IFERROR(__xludf.DUMMYFUNCTION("IMPORTRANGE(""https://docs.google.com/spreadsheets/d/1-uDff_7J0KD5mKrp0Vvzr7lt3OU09vwQwhkpOPPYv2Y/edit?usp=sharing"",""งบพรบ!FP42"")"),0)</f>
        <v>0</v>
      </c>
      <c r="M521" s="255">
        <f ca="1">IFERROR(__xludf.DUMMYFUNCTION("IMPORTRANGE(""https://docs.google.com/spreadsheets/d/1-uDff_7J0KD5mKrp0Vvzr7lt3OU09vwQwhkpOPPYv2Y/edit?usp=sharing"",""งบพรบ!FS42"")"),0)</f>
        <v>0</v>
      </c>
      <c r="N521" s="255">
        <f ca="1">IFERROR(__xludf.DUMMYFUNCTION("IMPORTRANGE(""https://docs.google.com/spreadsheets/d/1-uDff_7J0KD5mKrp0Vvzr7lt3OU09vwQwhkpOPPYv2Y/edit?usp=sharing"",""งบพรบ!FU42"")"),0)</f>
        <v>0</v>
      </c>
      <c r="O521" s="255">
        <f ca="1">IF(L521&gt;0,N521*100/L521,0)</f>
        <v>0</v>
      </c>
      <c r="P521" s="255">
        <f ca="1">IF(M521&gt;0,N521*100/M521,0)</f>
        <v>0</v>
      </c>
      <c r="Q521" s="255">
        <v>0</v>
      </c>
      <c r="R521" s="255">
        <v>0</v>
      </c>
      <c r="S521" s="255">
        <v>0</v>
      </c>
      <c r="T521" s="255">
        <f>IF(Q521&gt;0,S521*100/Q521,0)</f>
        <v>0</v>
      </c>
      <c r="U521" s="255">
        <f>IF(R521&gt;0,S521*100/R521,0)</f>
        <v>0</v>
      </c>
    </row>
    <row r="522" spans="1:21" ht="19.5" hidden="1">
      <c r="A522" s="166"/>
      <c r="B522" s="167"/>
      <c r="C522" s="591" t="s">
        <v>18</v>
      </c>
      <c r="D522" s="574" t="s">
        <v>38</v>
      </c>
      <c r="E522" s="169"/>
      <c r="F522" s="169"/>
      <c r="G522" s="170"/>
      <c r="H522" s="171"/>
      <c r="I522" s="163"/>
      <c r="J522" s="54"/>
      <c r="K522" s="55"/>
      <c r="L522" s="62"/>
      <c r="M522" s="55"/>
      <c r="N522" s="55"/>
      <c r="O522" s="164"/>
      <c r="P522" s="164"/>
      <c r="Q522" s="55"/>
      <c r="R522" s="55"/>
      <c r="S522" s="55"/>
      <c r="T522" s="164"/>
      <c r="U522" s="164"/>
    </row>
    <row r="523" spans="1:21" ht="18.75" hidden="1">
      <c r="A523" s="238"/>
      <c r="B523" s="50"/>
      <c r="C523" s="188"/>
      <c r="D523" s="207" t="s">
        <v>209</v>
      </c>
      <c r="E523" s="167"/>
      <c r="F523" s="50"/>
      <c r="G523" s="52"/>
      <c r="H523" s="590" t="s">
        <v>11</v>
      </c>
      <c r="I523" s="483">
        <v>0</v>
      </c>
      <c r="J523" s="589">
        <v>0</v>
      </c>
      <c r="K523" s="102">
        <f>IF(I523&gt;0,J523*100/I523,0)</f>
        <v>0</v>
      </c>
      <c r="L523" s="62"/>
      <c r="M523" s="55"/>
      <c r="N523" s="55"/>
      <c r="O523" s="55"/>
      <c r="P523" s="55"/>
      <c r="Q523" s="55"/>
      <c r="R523" s="55"/>
      <c r="S523" s="55"/>
      <c r="T523" s="55"/>
      <c r="U523" s="55"/>
    </row>
    <row r="524" spans="1:21" ht="18.75" hidden="1">
      <c r="A524" s="374"/>
      <c r="B524" s="4"/>
      <c r="C524" s="5"/>
      <c r="D524" s="588" t="s">
        <v>210</v>
      </c>
      <c r="E524" s="282"/>
      <c r="F524" s="4"/>
      <c r="G524" s="65"/>
      <c r="H524" s="587" t="s">
        <v>61</v>
      </c>
      <c r="I524" s="486">
        <v>0</v>
      </c>
      <c r="J524" s="586">
        <v>0</v>
      </c>
      <c r="K524" s="585">
        <f>IF(I524&gt;0,J524*100/I524,0)</f>
        <v>0</v>
      </c>
      <c r="L524" s="62"/>
      <c r="M524" s="55"/>
      <c r="N524" s="55"/>
      <c r="O524" s="55"/>
      <c r="P524" s="55"/>
      <c r="Q524" s="55"/>
      <c r="R524" s="55"/>
      <c r="S524" s="55"/>
      <c r="T524" s="55"/>
      <c r="U524" s="55"/>
    </row>
    <row r="525" spans="1:21" ht="12.75" hidden="1">
      <c r="A525" s="584"/>
      <c r="B525" s="583"/>
      <c r="C525" s="583"/>
      <c r="D525" s="582"/>
      <c r="E525" s="582"/>
      <c r="F525" s="582"/>
      <c r="G525" s="581"/>
      <c r="H525" s="580"/>
      <c r="I525" s="579"/>
      <c r="J525" s="579"/>
      <c r="K525" s="578"/>
      <c r="L525" s="265"/>
      <c r="M525" s="264"/>
      <c r="N525" s="264"/>
      <c r="O525" s="264"/>
      <c r="P525" s="264"/>
      <c r="Q525" s="264"/>
      <c r="R525" s="264"/>
      <c r="S525" s="264"/>
      <c r="T525" s="264"/>
      <c r="U525" s="264"/>
    </row>
    <row r="526" spans="1:21" ht="12.75" hidden="1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5"/>
      <c r="M526" s="264"/>
      <c r="N526" s="264"/>
      <c r="O526" s="264"/>
      <c r="P526" s="264"/>
      <c r="Q526" s="264"/>
      <c r="R526" s="264"/>
      <c r="S526" s="264"/>
      <c r="T526" s="264"/>
      <c r="U526" s="264"/>
    </row>
    <row r="527" spans="1:21" ht="12.75" hidden="1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5"/>
      <c r="M527" s="264"/>
      <c r="N527" s="264"/>
      <c r="O527" s="264"/>
      <c r="P527" s="264"/>
      <c r="Q527" s="264"/>
      <c r="R527" s="264"/>
      <c r="S527" s="264"/>
      <c r="T527" s="264"/>
      <c r="U527" s="264"/>
    </row>
    <row r="528" spans="1:21" ht="12.75" hidden="1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5"/>
      <c r="M528" s="264"/>
      <c r="N528" s="264"/>
      <c r="O528" s="264"/>
      <c r="P528" s="264"/>
      <c r="Q528" s="264"/>
      <c r="R528" s="264"/>
      <c r="S528" s="264"/>
      <c r="T528" s="264"/>
      <c r="U528" s="264"/>
    </row>
    <row r="529" spans="1:21" ht="12.75" hidden="1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5"/>
      <c r="M529" s="264"/>
      <c r="N529" s="264"/>
      <c r="O529" s="264"/>
      <c r="P529" s="264"/>
      <c r="Q529" s="264"/>
      <c r="R529" s="264"/>
      <c r="S529" s="264"/>
      <c r="T529" s="264"/>
      <c r="U529" s="264"/>
    </row>
    <row r="530" spans="1:21" ht="12.75" hidden="1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5"/>
      <c r="M530" s="264"/>
      <c r="N530" s="264"/>
      <c r="O530" s="264"/>
      <c r="P530" s="264"/>
      <c r="Q530" s="264"/>
      <c r="R530" s="264"/>
      <c r="S530" s="264"/>
      <c r="T530" s="264"/>
      <c r="U530" s="264"/>
    </row>
    <row r="531" spans="1:21" ht="12.75" hidden="1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5"/>
      <c r="M531" s="264"/>
      <c r="N531" s="264"/>
      <c r="O531" s="264"/>
      <c r="P531" s="264"/>
      <c r="Q531" s="264"/>
      <c r="R531" s="264"/>
      <c r="S531" s="264"/>
      <c r="T531" s="264"/>
      <c r="U531" s="264"/>
    </row>
    <row r="532" spans="1:21" ht="12.75" hidden="1">
      <c r="A532" s="407"/>
      <c r="B532" s="360"/>
      <c r="C532" s="360"/>
      <c r="D532" s="408"/>
      <c r="E532" s="408"/>
      <c r="F532" s="408"/>
      <c r="G532" s="409"/>
      <c r="H532" s="361"/>
      <c r="I532" s="362"/>
      <c r="J532" s="362"/>
      <c r="K532" s="363"/>
      <c r="L532" s="364"/>
      <c r="M532" s="363"/>
      <c r="N532" s="363"/>
      <c r="O532" s="363"/>
      <c r="P532" s="363"/>
      <c r="Q532" s="363"/>
      <c r="R532" s="363"/>
      <c r="S532" s="363"/>
      <c r="T532" s="363"/>
      <c r="U532" s="363"/>
    </row>
    <row r="533" spans="1:21" ht="19.5" hidden="1">
      <c r="A533" s="395"/>
      <c r="B533" s="396" t="s">
        <v>211</v>
      </c>
      <c r="C533" s="397"/>
      <c r="D533" s="398"/>
      <c r="E533" s="398"/>
      <c r="F533" s="398"/>
      <c r="G533" s="399"/>
      <c r="H533" s="410" t="s">
        <v>61</v>
      </c>
      <c r="I533" s="577">
        <f>I545</f>
        <v>0</v>
      </c>
      <c r="J533" s="577">
        <f>J545</f>
        <v>0</v>
      </c>
      <c r="K533" s="576">
        <f>IF(I533&gt;0,J533*100/I533,0)</f>
        <v>0</v>
      </c>
      <c r="L533" s="404"/>
      <c r="M533" s="403"/>
      <c r="N533" s="403"/>
      <c r="O533" s="403"/>
      <c r="P533" s="403"/>
      <c r="Q533" s="403"/>
      <c r="R533" s="403"/>
      <c r="S533" s="403"/>
      <c r="T533" s="403"/>
      <c r="U533" s="403"/>
    </row>
    <row r="534" spans="1:21" ht="19.5" hidden="1">
      <c r="A534" s="155"/>
      <c r="B534" s="50"/>
      <c r="C534" s="156" t="s">
        <v>18</v>
      </c>
      <c r="D534" s="575" t="s">
        <v>19</v>
      </c>
      <c r="E534" s="50"/>
      <c r="F534" s="50"/>
      <c r="G534" s="52"/>
      <c r="H534" s="158" t="s">
        <v>14</v>
      </c>
      <c r="I534" s="54"/>
      <c r="J534" s="54"/>
      <c r="K534" s="55"/>
      <c r="L534" s="541">
        <f>L535+L536</f>
        <v>0</v>
      </c>
      <c r="M534" s="540">
        <f>M535+M536</f>
        <v>0</v>
      </c>
      <c r="N534" s="540">
        <f>N535+N536</f>
        <v>0</v>
      </c>
      <c r="O534" s="540">
        <f>IF(L534&gt;0,N534*100/L534,0)</f>
        <v>0</v>
      </c>
      <c r="P534" s="540">
        <f>IF(M534&gt;0,N534*100/M534,0)</f>
        <v>0</v>
      </c>
      <c r="Q534" s="540">
        <f>Q535+Q536</f>
        <v>0</v>
      </c>
      <c r="R534" s="540">
        <f>R535+R536</f>
        <v>0</v>
      </c>
      <c r="S534" s="540">
        <f>S535+S536</f>
        <v>0</v>
      </c>
      <c r="T534" s="540">
        <f>IF(Q534&gt;0,S534*100/Q534,0)</f>
        <v>0</v>
      </c>
      <c r="U534" s="540">
        <f>IF(R534&gt;0,S534*100/R534,0)</f>
        <v>0</v>
      </c>
    </row>
    <row r="535" spans="1:21" ht="18.75" hidden="1">
      <c r="A535" s="155"/>
      <c r="B535" s="188"/>
      <c r="C535" s="50"/>
      <c r="D535" s="50"/>
      <c r="E535" s="186" t="s">
        <v>20</v>
      </c>
      <c r="F535" s="50"/>
      <c r="G535" s="52"/>
      <c r="H535" s="187" t="s">
        <v>14</v>
      </c>
      <c r="I535" s="54"/>
      <c r="J535" s="54"/>
      <c r="K535" s="55"/>
      <c r="L535" s="103">
        <f>L538+L541</f>
        <v>0</v>
      </c>
      <c r="M535" s="102">
        <f>M538+M541</f>
        <v>0</v>
      </c>
      <c r="N535" s="102">
        <f>N538+N541</f>
        <v>0</v>
      </c>
      <c r="O535" s="102">
        <f>IF(L535&gt;0,N535*100/L535,0)</f>
        <v>0</v>
      </c>
      <c r="P535" s="102">
        <f>IF(M535&gt;0,N535*100/M535,0)</f>
        <v>0</v>
      </c>
      <c r="Q535" s="102">
        <f>Q538+Q541</f>
        <v>0</v>
      </c>
      <c r="R535" s="102">
        <f>R538+R541</f>
        <v>0</v>
      </c>
      <c r="S535" s="102">
        <f>S538+S541</f>
        <v>0</v>
      </c>
      <c r="T535" s="102">
        <f>IF(Q535&gt;0,S535*100/Q535,0)</f>
        <v>0</v>
      </c>
      <c r="U535" s="102">
        <f>IF(R535&gt;0,S535*100/R535,0)</f>
        <v>0</v>
      </c>
    </row>
    <row r="536" spans="1:21" ht="18.75" hidden="1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256">
        <f>L539+L542</f>
        <v>0</v>
      </c>
      <c r="M536" s="255">
        <f>M539+M542</f>
        <v>0</v>
      </c>
      <c r="N536" s="255">
        <f>N539+N542</f>
        <v>0</v>
      </c>
      <c r="O536" s="255">
        <f>IF(L536&gt;0,N536*100/L536,0)</f>
        <v>0</v>
      </c>
      <c r="P536" s="255">
        <f>IF(M536&gt;0,N536*100/M536,0)</f>
        <v>0</v>
      </c>
      <c r="Q536" s="255">
        <f>Q539+Q542</f>
        <v>0</v>
      </c>
      <c r="R536" s="255">
        <f>R539+R542</f>
        <v>0</v>
      </c>
      <c r="S536" s="255">
        <f>S539+S542</f>
        <v>0</v>
      </c>
      <c r="T536" s="255">
        <f>IF(Q536&gt;0,S536*100/Q536,0)</f>
        <v>0</v>
      </c>
      <c r="U536" s="255">
        <f>IF(R536&gt;0,S536*100/R536,0)</f>
        <v>0</v>
      </c>
    </row>
    <row r="537" spans="1:21" ht="18.75" hidden="1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256">
        <f>L538+L539</f>
        <v>0</v>
      </c>
      <c r="M537" s="255">
        <f>M538+M539</f>
        <v>0</v>
      </c>
      <c r="N537" s="255">
        <f>N538+N539</f>
        <v>0</v>
      </c>
      <c r="O537" s="255">
        <f>IF(L537&gt;0,N537*100/L537,0)</f>
        <v>0</v>
      </c>
      <c r="P537" s="255">
        <f>IF(M537&gt;0,N537*100/M537,0)</f>
        <v>0</v>
      </c>
      <c r="Q537" s="255">
        <f>Q538+Q539</f>
        <v>0</v>
      </c>
      <c r="R537" s="255">
        <f>R538+R539</f>
        <v>0</v>
      </c>
      <c r="S537" s="255">
        <f>S538+S539</f>
        <v>0</v>
      </c>
      <c r="T537" s="255">
        <f>IF(Q537&gt;0,S537*100/Q537,0)</f>
        <v>0</v>
      </c>
      <c r="U537" s="255">
        <f>IF(R537&gt;0,S537*100/R537,0)</f>
        <v>0</v>
      </c>
    </row>
    <row r="538" spans="1:21" ht="18.75" hidden="1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103">
        <v>0</v>
      </c>
      <c r="M538" s="102">
        <v>0</v>
      </c>
      <c r="N538" s="102">
        <v>0</v>
      </c>
      <c r="O538" s="102">
        <f>IF(L538&gt;0,N538*100/L538,0)</f>
        <v>0</v>
      </c>
      <c r="P538" s="102">
        <f>IF(M538&gt;0,N538*100/M538,0)</f>
        <v>0</v>
      </c>
      <c r="Q538" s="102">
        <v>0</v>
      </c>
      <c r="R538" s="102">
        <v>0</v>
      </c>
      <c r="S538" s="102">
        <v>0</v>
      </c>
      <c r="T538" s="102">
        <f>IF(Q538&gt;0,S538*100/Q538,0)</f>
        <v>0</v>
      </c>
      <c r="U538" s="102">
        <f>IF(R538&gt;0,S538*100/R538,0)</f>
        <v>0</v>
      </c>
    </row>
    <row r="539" spans="1:21" ht="18.75" hidden="1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256">
        <v>0</v>
      </c>
      <c r="M539" s="255">
        <v>0</v>
      </c>
      <c r="N539" s="255">
        <v>0</v>
      </c>
      <c r="O539" s="255">
        <f>IF(L539&gt;0,N539*100/L539,0)</f>
        <v>0</v>
      </c>
      <c r="P539" s="255">
        <f>IF(M539&gt;0,N539*100/M539,0)</f>
        <v>0</v>
      </c>
      <c r="Q539" s="255">
        <v>0</v>
      </c>
      <c r="R539" s="255">
        <v>0</v>
      </c>
      <c r="S539" s="255">
        <v>0</v>
      </c>
      <c r="T539" s="255">
        <f>IF(Q539&gt;0,S539*100/Q539,0)</f>
        <v>0</v>
      </c>
      <c r="U539" s="255">
        <f>IF(R539&gt;0,S539*100/R539,0)</f>
        <v>0</v>
      </c>
    </row>
    <row r="540" spans="1:21" ht="18.75" hidden="1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256">
        <f>L541+L542</f>
        <v>0</v>
      </c>
      <c r="M540" s="255">
        <f>M541+M542</f>
        <v>0</v>
      </c>
      <c r="N540" s="255">
        <f>N541+N542</f>
        <v>0</v>
      </c>
      <c r="O540" s="255">
        <f>IF(L540&gt;0,N540*100/L540,0)</f>
        <v>0</v>
      </c>
      <c r="P540" s="255">
        <f>IF(M540&gt;0,N540*100/M540,0)</f>
        <v>0</v>
      </c>
      <c r="Q540" s="255">
        <f>Q541+Q542</f>
        <v>0</v>
      </c>
      <c r="R540" s="255">
        <f>R541+R542</f>
        <v>0</v>
      </c>
      <c r="S540" s="255">
        <f>S541+S542</f>
        <v>0</v>
      </c>
      <c r="T540" s="255">
        <f>IF(Q540&gt;0,S540*100/Q540,0)</f>
        <v>0</v>
      </c>
      <c r="U540" s="255">
        <f>IF(R540&gt;0,S540*100/R540,0)</f>
        <v>0</v>
      </c>
    </row>
    <row r="541" spans="1:21" ht="18.75" hidden="1">
      <c r="A541" s="155"/>
      <c r="B541" s="50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103">
        <v>0</v>
      </c>
      <c r="M541" s="102">
        <v>0</v>
      </c>
      <c r="N541" s="102">
        <v>0</v>
      </c>
      <c r="O541" s="102">
        <f>IF(L541&gt;0,N541*100/L541,0)</f>
        <v>0</v>
      </c>
      <c r="P541" s="102">
        <f>IF(M541&gt;0,N541*100/M541,0)</f>
        <v>0</v>
      </c>
      <c r="Q541" s="102">
        <v>0</v>
      </c>
      <c r="R541" s="102">
        <v>0</v>
      </c>
      <c r="S541" s="102">
        <v>0</v>
      </c>
      <c r="T541" s="102">
        <f>IF(Q541&gt;0,S541*100/Q541,0)</f>
        <v>0</v>
      </c>
      <c r="U541" s="102">
        <f>IF(R541&gt;0,S541*100/R541,0)</f>
        <v>0</v>
      </c>
    </row>
    <row r="542" spans="1:21" ht="18.75" hidden="1">
      <c r="A542" s="155"/>
      <c r="B542" s="50"/>
      <c r="C542" s="50"/>
      <c r="D542" s="50"/>
      <c r="E542" s="58" t="s">
        <v>21</v>
      </c>
      <c r="F542" s="50"/>
      <c r="G542" s="52"/>
      <c r="H542" s="165" t="s">
        <v>14</v>
      </c>
      <c r="I542" s="163"/>
      <c r="J542" s="163"/>
      <c r="K542" s="164"/>
      <c r="L542" s="256">
        <v>0</v>
      </c>
      <c r="M542" s="255">
        <v>0</v>
      </c>
      <c r="N542" s="255">
        <v>0</v>
      </c>
      <c r="O542" s="255">
        <f>IF(L542&gt;0,N542*100/L542,0)</f>
        <v>0</v>
      </c>
      <c r="P542" s="255">
        <f>IF(M542&gt;0,N542*100/M542,0)</f>
        <v>0</v>
      </c>
      <c r="Q542" s="255">
        <v>0</v>
      </c>
      <c r="R542" s="255">
        <v>0</v>
      </c>
      <c r="S542" s="255">
        <v>0</v>
      </c>
      <c r="T542" s="255">
        <f>IF(Q542&gt;0,S542*100/Q542,0)</f>
        <v>0</v>
      </c>
      <c r="U542" s="255">
        <f>IF(R542&gt;0,S542*100/R542,0)</f>
        <v>0</v>
      </c>
    </row>
    <row r="543" spans="1:21" ht="19.5" hidden="1">
      <c r="A543" s="166"/>
      <c r="B543" s="167"/>
      <c r="C543" s="411" t="s">
        <v>18</v>
      </c>
      <c r="D543" s="566" t="s">
        <v>38</v>
      </c>
      <c r="E543" s="169"/>
      <c r="F543" s="169"/>
      <c r="G543" s="170"/>
      <c r="H543" s="171"/>
      <c r="I543" s="163"/>
      <c r="J543" s="54"/>
      <c r="K543" s="55"/>
      <c r="L543" s="62"/>
      <c r="M543" s="55"/>
      <c r="N543" s="55"/>
      <c r="O543" s="164"/>
      <c r="P543" s="164"/>
      <c r="Q543" s="55"/>
      <c r="R543" s="55"/>
      <c r="S543" s="55"/>
      <c r="T543" s="164"/>
      <c r="U543" s="164"/>
    </row>
    <row r="544" spans="1:21" ht="12.75" hidden="1">
      <c r="A544" s="258"/>
      <c r="B544" s="260"/>
      <c r="C544" s="259"/>
      <c r="D544" s="260"/>
      <c r="E544" s="259"/>
      <c r="F544" s="260"/>
      <c r="G544" s="261"/>
      <c r="H544" s="261"/>
      <c r="I544" s="263"/>
      <c r="J544" s="263"/>
      <c r="K544" s="264"/>
      <c r="L544" s="265"/>
      <c r="M544" s="264"/>
      <c r="N544" s="264"/>
      <c r="O544" s="264"/>
      <c r="P544" s="264"/>
      <c r="Q544" s="264"/>
      <c r="R544" s="264"/>
      <c r="S544" s="264"/>
      <c r="T544" s="264"/>
      <c r="U544" s="264"/>
    </row>
    <row r="545" spans="1:21" ht="12.75" hidden="1">
      <c r="A545" s="258"/>
      <c r="B545" s="260"/>
      <c r="C545" s="259"/>
      <c r="D545" s="260"/>
      <c r="E545" s="259"/>
      <c r="F545" s="260"/>
      <c r="G545" s="261"/>
      <c r="H545" s="261"/>
      <c r="I545" s="263"/>
      <c r="J545" s="263"/>
      <c r="K545" s="264"/>
      <c r="L545" s="265"/>
      <c r="M545" s="264"/>
      <c r="N545" s="264"/>
      <c r="O545" s="264"/>
      <c r="P545" s="264"/>
      <c r="Q545" s="264"/>
      <c r="R545" s="264"/>
      <c r="S545" s="264"/>
      <c r="T545" s="264"/>
      <c r="U545" s="264"/>
    </row>
    <row r="546" spans="1:21" ht="12.75" hidden="1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5"/>
      <c r="M546" s="264"/>
      <c r="N546" s="264"/>
      <c r="O546" s="264"/>
      <c r="P546" s="264"/>
      <c r="Q546" s="264"/>
      <c r="R546" s="264"/>
      <c r="S546" s="264"/>
      <c r="T546" s="264"/>
      <c r="U546" s="264"/>
    </row>
    <row r="547" spans="1:21" ht="12.75" hidden="1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5"/>
      <c r="M547" s="264"/>
      <c r="N547" s="264"/>
      <c r="O547" s="264"/>
      <c r="P547" s="264"/>
      <c r="Q547" s="264"/>
      <c r="R547" s="264"/>
      <c r="S547" s="264"/>
      <c r="T547" s="264"/>
      <c r="U547" s="264"/>
    </row>
    <row r="548" spans="1:21" ht="12.75" hidden="1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5"/>
      <c r="M548" s="264"/>
      <c r="N548" s="264"/>
      <c r="O548" s="264"/>
      <c r="P548" s="264"/>
      <c r="Q548" s="264"/>
      <c r="R548" s="264"/>
      <c r="S548" s="264"/>
      <c r="T548" s="264"/>
      <c r="U548" s="264"/>
    </row>
    <row r="549" spans="1:21" ht="12.75" hidden="1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5"/>
      <c r="M549" s="264"/>
      <c r="N549" s="264"/>
      <c r="O549" s="264"/>
      <c r="P549" s="264"/>
      <c r="Q549" s="264"/>
      <c r="R549" s="264"/>
      <c r="S549" s="264"/>
      <c r="T549" s="264"/>
      <c r="U549" s="264"/>
    </row>
    <row r="550" spans="1:21" ht="12.75" hidden="1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5"/>
      <c r="M550" s="264"/>
      <c r="N550" s="264"/>
      <c r="O550" s="264"/>
      <c r="P550" s="264"/>
      <c r="Q550" s="264"/>
      <c r="R550" s="264"/>
      <c r="S550" s="264"/>
      <c r="T550" s="264"/>
      <c r="U550" s="264"/>
    </row>
    <row r="551" spans="1:21" ht="12.75" hidden="1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5"/>
      <c r="M551" s="264"/>
      <c r="N551" s="264"/>
      <c r="O551" s="264"/>
      <c r="P551" s="264"/>
      <c r="Q551" s="264"/>
      <c r="R551" s="264"/>
      <c r="S551" s="264"/>
      <c r="T551" s="264"/>
      <c r="U551" s="264"/>
    </row>
    <row r="552" spans="1:21" ht="12.75" hidden="1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5"/>
      <c r="M552" s="264"/>
      <c r="N552" s="264"/>
      <c r="O552" s="264"/>
      <c r="P552" s="264"/>
      <c r="Q552" s="264"/>
      <c r="R552" s="264"/>
      <c r="S552" s="264"/>
      <c r="T552" s="264"/>
      <c r="U552" s="264"/>
    </row>
    <row r="553" spans="1:21" ht="12.75" hidden="1">
      <c r="A553" s="407"/>
      <c r="B553" s="360"/>
      <c r="C553" s="360"/>
      <c r="D553" s="408"/>
      <c r="E553" s="408"/>
      <c r="F553" s="408"/>
      <c r="G553" s="409"/>
      <c r="H553" s="361"/>
      <c r="I553" s="362"/>
      <c r="J553" s="362"/>
      <c r="K553" s="363"/>
      <c r="L553" s="364"/>
      <c r="M553" s="363"/>
      <c r="N553" s="363"/>
      <c r="O553" s="363"/>
      <c r="P553" s="363"/>
      <c r="Q553" s="363"/>
      <c r="R553" s="363"/>
      <c r="S553" s="363"/>
      <c r="T553" s="363"/>
      <c r="U553" s="363"/>
    </row>
    <row r="554" spans="1:21" ht="19.5" hidden="1">
      <c r="A554" s="395"/>
      <c r="B554" s="396" t="s">
        <v>212</v>
      </c>
      <c r="C554" s="397"/>
      <c r="D554" s="398"/>
      <c r="E554" s="398"/>
      <c r="F554" s="398"/>
      <c r="G554" s="399"/>
      <c r="H554" s="410" t="s">
        <v>61</v>
      </c>
      <c r="I554" s="577">
        <f>I566</f>
        <v>0</v>
      </c>
      <c r="J554" s="577">
        <f>J566</f>
        <v>0</v>
      </c>
      <c r="K554" s="576">
        <f>IF(I554&gt;0,J554*100/I554,0)</f>
        <v>0</v>
      </c>
      <c r="L554" s="404"/>
      <c r="M554" s="403"/>
      <c r="N554" s="403"/>
      <c r="O554" s="403"/>
      <c r="P554" s="403"/>
      <c r="Q554" s="403"/>
      <c r="R554" s="403"/>
      <c r="S554" s="403"/>
      <c r="T554" s="403"/>
      <c r="U554" s="403"/>
    </row>
    <row r="555" spans="1:21" ht="19.5" hidden="1">
      <c r="A555" s="155"/>
      <c r="B555" s="50"/>
      <c r="C555" s="156" t="s">
        <v>18</v>
      </c>
      <c r="D555" s="575" t="s">
        <v>19</v>
      </c>
      <c r="E555" s="50"/>
      <c r="F555" s="50"/>
      <c r="G555" s="52"/>
      <c r="H555" s="158" t="s">
        <v>14</v>
      </c>
      <c r="I555" s="54"/>
      <c r="J555" s="54"/>
      <c r="K555" s="55"/>
      <c r="L555" s="541">
        <f>L556+L557</f>
        <v>0</v>
      </c>
      <c r="M555" s="540">
        <f>M556+M557</f>
        <v>0</v>
      </c>
      <c r="N555" s="540">
        <f>N556+N557</f>
        <v>0</v>
      </c>
      <c r="O555" s="540">
        <f>IF(L555&gt;0,N555*100/L555,0)</f>
        <v>0</v>
      </c>
      <c r="P555" s="540">
        <f>IF(M555&gt;0,N555*100/M555,0)</f>
        <v>0</v>
      </c>
      <c r="Q555" s="540">
        <f>Q556+Q557</f>
        <v>0</v>
      </c>
      <c r="R555" s="540">
        <f>R556+R557</f>
        <v>0</v>
      </c>
      <c r="S555" s="540">
        <f>S556+S557</f>
        <v>0</v>
      </c>
      <c r="T555" s="540">
        <f>IF(Q555&gt;0,S555*100/Q555,0)</f>
        <v>0</v>
      </c>
      <c r="U555" s="540">
        <f>IF(R555&gt;0,S555*100/R555,0)</f>
        <v>0</v>
      </c>
    </row>
    <row r="556" spans="1:21" ht="18.75" hidden="1">
      <c r="A556" s="155"/>
      <c r="B556" s="188"/>
      <c r="C556" s="50"/>
      <c r="D556" s="50"/>
      <c r="E556" s="186" t="s">
        <v>20</v>
      </c>
      <c r="F556" s="50"/>
      <c r="G556" s="52"/>
      <c r="H556" s="187" t="s">
        <v>14</v>
      </c>
      <c r="I556" s="54"/>
      <c r="J556" s="54"/>
      <c r="K556" s="55"/>
      <c r="L556" s="103">
        <f>L559+L562</f>
        <v>0</v>
      </c>
      <c r="M556" s="102">
        <f>M559+M562</f>
        <v>0</v>
      </c>
      <c r="N556" s="102">
        <f>N559+N562</f>
        <v>0</v>
      </c>
      <c r="O556" s="102">
        <f>IF(L556&gt;0,N556*100/L556,0)</f>
        <v>0</v>
      </c>
      <c r="P556" s="102">
        <f>IF(M556&gt;0,N556*100/M556,0)</f>
        <v>0</v>
      </c>
      <c r="Q556" s="102">
        <f>Q559+Q562</f>
        <v>0</v>
      </c>
      <c r="R556" s="102">
        <f>R559+R562</f>
        <v>0</v>
      </c>
      <c r="S556" s="102">
        <f>S559+S562</f>
        <v>0</v>
      </c>
      <c r="T556" s="102">
        <f>IF(Q556&gt;0,S556*100/Q556,0)</f>
        <v>0</v>
      </c>
      <c r="U556" s="102">
        <f>IF(R556&gt;0,S556*100/R556,0)</f>
        <v>0</v>
      </c>
    </row>
    <row r="557" spans="1:21" ht="18.75" hidden="1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256">
        <f>L560+L563</f>
        <v>0</v>
      </c>
      <c r="M557" s="255">
        <f>M560+M563</f>
        <v>0</v>
      </c>
      <c r="N557" s="255">
        <f>N560+N563</f>
        <v>0</v>
      </c>
      <c r="O557" s="255">
        <f>IF(L557&gt;0,N557*100/L557,0)</f>
        <v>0</v>
      </c>
      <c r="P557" s="255">
        <f>IF(M557&gt;0,N557*100/M557,0)</f>
        <v>0</v>
      </c>
      <c r="Q557" s="255">
        <f>Q560+Q563</f>
        <v>0</v>
      </c>
      <c r="R557" s="255">
        <f>R560+R563</f>
        <v>0</v>
      </c>
      <c r="S557" s="255">
        <f>S560+S563</f>
        <v>0</v>
      </c>
      <c r="T557" s="255">
        <f>IF(Q557&gt;0,S557*100/Q557,0)</f>
        <v>0</v>
      </c>
      <c r="U557" s="255">
        <f>IF(R557&gt;0,S557*100/R557,0)</f>
        <v>0</v>
      </c>
    </row>
    <row r="558" spans="1:21" ht="18.75" hidden="1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256">
        <f>L559+L560</f>
        <v>0</v>
      </c>
      <c r="M558" s="255">
        <f>M559+M560</f>
        <v>0</v>
      </c>
      <c r="N558" s="255">
        <f>N559+N560</f>
        <v>0</v>
      </c>
      <c r="O558" s="255">
        <f>IF(L558&gt;0,N558*100/L558,0)</f>
        <v>0</v>
      </c>
      <c r="P558" s="255">
        <f>IF(M558&gt;0,N558*100/M558,0)</f>
        <v>0</v>
      </c>
      <c r="Q558" s="255">
        <f>Q559+Q560</f>
        <v>0</v>
      </c>
      <c r="R558" s="255">
        <f>R559+R560</f>
        <v>0</v>
      </c>
      <c r="S558" s="255">
        <f>S559+S560</f>
        <v>0</v>
      </c>
      <c r="T558" s="255">
        <f>IF(Q558&gt;0,S558*100/Q558,0)</f>
        <v>0</v>
      </c>
      <c r="U558" s="255">
        <f>IF(R558&gt;0,S558*100/R558,0)</f>
        <v>0</v>
      </c>
    </row>
    <row r="559" spans="1:21" ht="18.75" hidden="1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103">
        <v>0</v>
      </c>
      <c r="M559" s="102">
        <v>0</v>
      </c>
      <c r="N559" s="102">
        <v>0</v>
      </c>
      <c r="O559" s="102">
        <f>IF(L559&gt;0,N559*100/L559,0)</f>
        <v>0</v>
      </c>
      <c r="P559" s="102">
        <f>IF(M559&gt;0,N559*100/M559,0)</f>
        <v>0</v>
      </c>
      <c r="Q559" s="102">
        <v>0</v>
      </c>
      <c r="R559" s="102">
        <v>0</v>
      </c>
      <c r="S559" s="102">
        <v>0</v>
      </c>
      <c r="T559" s="102">
        <f>IF(Q559&gt;0,S559*100/Q559,0)</f>
        <v>0</v>
      </c>
      <c r="U559" s="102">
        <f>IF(R559&gt;0,S559*100/R559,0)</f>
        <v>0</v>
      </c>
    </row>
    <row r="560" spans="1:21" ht="18.75" hidden="1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256">
        <v>0</v>
      </c>
      <c r="M560" s="255">
        <v>0</v>
      </c>
      <c r="N560" s="255">
        <v>0</v>
      </c>
      <c r="O560" s="255">
        <f>IF(L560&gt;0,N560*100/L560,0)</f>
        <v>0</v>
      </c>
      <c r="P560" s="255">
        <f>IF(M560&gt;0,N560*100/M560,0)</f>
        <v>0</v>
      </c>
      <c r="Q560" s="255">
        <v>0</v>
      </c>
      <c r="R560" s="255">
        <v>0</v>
      </c>
      <c r="S560" s="255">
        <v>0</v>
      </c>
      <c r="T560" s="255">
        <f>IF(Q560&gt;0,S560*100/Q560,0)</f>
        <v>0</v>
      </c>
      <c r="U560" s="255">
        <f>IF(R560&gt;0,S560*100/R560,0)</f>
        <v>0</v>
      </c>
    </row>
    <row r="561" spans="1:21" ht="18.75" hidden="1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256">
        <f>L562+L563</f>
        <v>0</v>
      </c>
      <c r="M561" s="255">
        <f>M562+M563</f>
        <v>0</v>
      </c>
      <c r="N561" s="255">
        <f>N562+N563</f>
        <v>0</v>
      </c>
      <c r="O561" s="255">
        <f>IF(L561&gt;0,N561*100/L561,0)</f>
        <v>0</v>
      </c>
      <c r="P561" s="255">
        <f>IF(M561&gt;0,N561*100/M561,0)</f>
        <v>0</v>
      </c>
      <c r="Q561" s="255">
        <f>Q562+Q563</f>
        <v>0</v>
      </c>
      <c r="R561" s="255">
        <f>R562+R563</f>
        <v>0</v>
      </c>
      <c r="S561" s="255">
        <f>S562+S563</f>
        <v>0</v>
      </c>
      <c r="T561" s="255">
        <f>IF(Q561&gt;0,S561*100/Q561,0)</f>
        <v>0</v>
      </c>
      <c r="U561" s="255">
        <f>IF(R561&gt;0,S561*100/R561,0)</f>
        <v>0</v>
      </c>
    </row>
    <row r="562" spans="1:21" ht="18.75" hidden="1">
      <c r="A562" s="155"/>
      <c r="B562" s="50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103">
        <v>0</v>
      </c>
      <c r="M562" s="102">
        <v>0</v>
      </c>
      <c r="N562" s="102">
        <v>0</v>
      </c>
      <c r="O562" s="102">
        <f>IF(L562&gt;0,N562*100/L562,0)</f>
        <v>0</v>
      </c>
      <c r="P562" s="102">
        <f>IF(M562&gt;0,N562*100/M562,0)</f>
        <v>0</v>
      </c>
      <c r="Q562" s="102">
        <v>0</v>
      </c>
      <c r="R562" s="102">
        <v>0</v>
      </c>
      <c r="S562" s="102">
        <v>0</v>
      </c>
      <c r="T562" s="102">
        <f>IF(Q562&gt;0,S562*100/Q562,0)</f>
        <v>0</v>
      </c>
      <c r="U562" s="102">
        <f>IF(R562&gt;0,S562*100/R562,0)</f>
        <v>0</v>
      </c>
    </row>
    <row r="563" spans="1:21" ht="18.75" hidden="1">
      <c r="A563" s="155"/>
      <c r="B563" s="50"/>
      <c r="C563" s="50"/>
      <c r="D563" s="50"/>
      <c r="E563" s="58" t="s">
        <v>21</v>
      </c>
      <c r="F563" s="50"/>
      <c r="G563" s="52"/>
      <c r="H563" s="165" t="s">
        <v>14</v>
      </c>
      <c r="I563" s="163"/>
      <c r="J563" s="163"/>
      <c r="K563" s="164"/>
      <c r="L563" s="256">
        <v>0</v>
      </c>
      <c r="M563" s="255">
        <v>0</v>
      </c>
      <c r="N563" s="255">
        <v>0</v>
      </c>
      <c r="O563" s="255">
        <f>IF(L563&gt;0,N563*100/L563,0)</f>
        <v>0</v>
      </c>
      <c r="P563" s="255">
        <f>IF(M563&gt;0,N563*100/M563,0)</f>
        <v>0</v>
      </c>
      <c r="Q563" s="255">
        <v>0</v>
      </c>
      <c r="R563" s="255">
        <v>0</v>
      </c>
      <c r="S563" s="255">
        <v>0</v>
      </c>
      <c r="T563" s="255">
        <f>IF(Q563&gt;0,S563*100/Q563,0)</f>
        <v>0</v>
      </c>
      <c r="U563" s="255">
        <f>IF(R563&gt;0,S563*100/R563,0)</f>
        <v>0</v>
      </c>
    </row>
    <row r="564" spans="1:21" ht="19.5" hidden="1">
      <c r="A564" s="166"/>
      <c r="B564" s="167"/>
      <c r="C564" s="411" t="s">
        <v>18</v>
      </c>
      <c r="D564" s="566" t="s">
        <v>38</v>
      </c>
      <c r="E564" s="169"/>
      <c r="F564" s="169"/>
      <c r="G564" s="170"/>
      <c r="H564" s="171"/>
      <c r="I564" s="163"/>
      <c r="J564" s="54"/>
      <c r="K564" s="55"/>
      <c r="L564" s="62"/>
      <c r="M564" s="55"/>
      <c r="N564" s="55"/>
      <c r="O564" s="164"/>
      <c r="P564" s="164"/>
      <c r="Q564" s="55"/>
      <c r="R564" s="55"/>
      <c r="S564" s="55"/>
      <c r="T564" s="164"/>
      <c r="U564" s="164"/>
    </row>
    <row r="565" spans="1:21" ht="12.75" hidden="1">
      <c r="A565" s="258"/>
      <c r="B565" s="260"/>
      <c r="C565" s="259"/>
      <c r="D565" s="260"/>
      <c r="E565" s="259"/>
      <c r="F565" s="260"/>
      <c r="G565" s="261"/>
      <c r="H565" s="261"/>
      <c r="I565" s="263"/>
      <c r="J565" s="263"/>
      <c r="K565" s="264"/>
      <c r="L565" s="265"/>
      <c r="M565" s="264"/>
      <c r="N565" s="264"/>
      <c r="O565" s="264"/>
      <c r="P565" s="264"/>
      <c r="Q565" s="264"/>
      <c r="R565" s="264"/>
      <c r="S565" s="264"/>
      <c r="T565" s="264"/>
      <c r="U565" s="264"/>
    </row>
    <row r="566" spans="1:21" ht="12.75" hidden="1">
      <c r="A566" s="258"/>
      <c r="B566" s="260"/>
      <c r="C566" s="259"/>
      <c r="D566" s="260"/>
      <c r="E566" s="259"/>
      <c r="F566" s="260"/>
      <c r="G566" s="261"/>
      <c r="H566" s="261"/>
      <c r="I566" s="263"/>
      <c r="J566" s="263"/>
      <c r="K566" s="264"/>
      <c r="L566" s="265"/>
      <c r="M566" s="264"/>
      <c r="N566" s="264"/>
      <c r="O566" s="264"/>
      <c r="P566" s="264"/>
      <c r="Q566" s="264"/>
      <c r="R566" s="264"/>
      <c r="S566" s="264"/>
      <c r="T566" s="264"/>
      <c r="U566" s="264"/>
    </row>
    <row r="567" spans="1:21" ht="12.75" hidden="1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5"/>
      <c r="M567" s="264"/>
      <c r="N567" s="264"/>
      <c r="O567" s="264"/>
      <c r="P567" s="264"/>
      <c r="Q567" s="264"/>
      <c r="R567" s="264"/>
      <c r="S567" s="264"/>
      <c r="T567" s="264"/>
      <c r="U567" s="264"/>
    </row>
    <row r="568" spans="1:21" ht="12.75" hidden="1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5"/>
      <c r="M568" s="264"/>
      <c r="N568" s="264"/>
      <c r="O568" s="264"/>
      <c r="P568" s="264"/>
      <c r="Q568" s="264"/>
      <c r="R568" s="264"/>
      <c r="S568" s="264"/>
      <c r="T568" s="264"/>
      <c r="U568" s="264"/>
    </row>
    <row r="569" spans="1:21" ht="12.75" hidden="1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5"/>
      <c r="M569" s="264"/>
      <c r="N569" s="264"/>
      <c r="O569" s="264"/>
      <c r="P569" s="264"/>
      <c r="Q569" s="264"/>
      <c r="R569" s="264"/>
      <c r="S569" s="264"/>
      <c r="T569" s="264"/>
      <c r="U569" s="264"/>
    </row>
    <row r="570" spans="1:21" ht="12.75" hidden="1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5"/>
      <c r="M570" s="264"/>
      <c r="N570" s="264"/>
      <c r="O570" s="264"/>
      <c r="P570" s="264"/>
      <c r="Q570" s="264"/>
      <c r="R570" s="264"/>
      <c r="S570" s="264"/>
      <c r="T570" s="264"/>
      <c r="U570" s="264"/>
    </row>
    <row r="571" spans="1:21" ht="12.75" hidden="1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5"/>
      <c r="M571" s="264"/>
      <c r="N571" s="264"/>
      <c r="O571" s="264"/>
      <c r="P571" s="264"/>
      <c r="Q571" s="264"/>
      <c r="R571" s="264"/>
      <c r="S571" s="264"/>
      <c r="T571" s="264"/>
      <c r="U571" s="264"/>
    </row>
    <row r="572" spans="1:21" ht="12.75" hidden="1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5"/>
      <c r="M572" s="264"/>
      <c r="N572" s="264"/>
      <c r="O572" s="264"/>
      <c r="P572" s="264"/>
      <c r="Q572" s="264"/>
      <c r="R572" s="264"/>
      <c r="S572" s="264"/>
      <c r="T572" s="264"/>
      <c r="U572" s="264"/>
    </row>
    <row r="573" spans="1:21" ht="12.75" hidden="1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5"/>
      <c r="M573" s="264"/>
      <c r="N573" s="264"/>
      <c r="O573" s="264"/>
      <c r="P573" s="264"/>
      <c r="Q573" s="264"/>
      <c r="R573" s="264"/>
      <c r="S573" s="264"/>
      <c r="T573" s="264"/>
      <c r="U573" s="264"/>
    </row>
    <row r="574" spans="1:21" ht="12.75" hidden="1">
      <c r="A574" s="407"/>
      <c r="B574" s="360"/>
      <c r="C574" s="360"/>
      <c r="D574" s="408"/>
      <c r="E574" s="408"/>
      <c r="F574" s="408"/>
      <c r="G574" s="409"/>
      <c r="H574" s="361"/>
      <c r="I574" s="362"/>
      <c r="J574" s="362"/>
      <c r="K574" s="363"/>
      <c r="L574" s="364"/>
      <c r="M574" s="363"/>
      <c r="N574" s="363"/>
      <c r="O574" s="363"/>
      <c r="P574" s="363"/>
      <c r="Q574" s="363"/>
      <c r="R574" s="363"/>
      <c r="S574" s="363"/>
      <c r="T574" s="363"/>
      <c r="U574" s="363"/>
    </row>
    <row r="575" spans="1:21" ht="19.5" hidden="1">
      <c r="A575" s="395"/>
      <c r="B575" s="396" t="s">
        <v>213</v>
      </c>
      <c r="C575" s="397"/>
      <c r="D575" s="398"/>
      <c r="E575" s="398"/>
      <c r="F575" s="398"/>
      <c r="G575" s="399"/>
      <c r="H575" s="410" t="s">
        <v>61</v>
      </c>
      <c r="I575" s="577">
        <f>I587</f>
        <v>0</v>
      </c>
      <c r="J575" s="577">
        <f>J587</f>
        <v>0</v>
      </c>
      <c r="K575" s="576">
        <f>IF(I575&gt;0,J575*100/I575,0)</f>
        <v>0</v>
      </c>
      <c r="L575" s="404"/>
      <c r="M575" s="403"/>
      <c r="N575" s="403"/>
      <c r="O575" s="403"/>
      <c r="P575" s="403"/>
      <c r="Q575" s="403"/>
      <c r="R575" s="403"/>
      <c r="S575" s="403"/>
      <c r="T575" s="403"/>
      <c r="U575" s="403"/>
    </row>
    <row r="576" spans="1:21" ht="19.5" hidden="1">
      <c r="A576" s="155"/>
      <c r="B576" s="50"/>
      <c r="C576" s="156" t="s">
        <v>18</v>
      </c>
      <c r="D576" s="575" t="s">
        <v>19</v>
      </c>
      <c r="E576" s="50"/>
      <c r="F576" s="50"/>
      <c r="G576" s="52"/>
      <c r="H576" s="158" t="s">
        <v>14</v>
      </c>
      <c r="I576" s="54"/>
      <c r="J576" s="54"/>
      <c r="K576" s="55"/>
      <c r="L576" s="541">
        <f>L577+L578</f>
        <v>0</v>
      </c>
      <c r="M576" s="540">
        <f>M577+M578</f>
        <v>0</v>
      </c>
      <c r="N576" s="540">
        <f>N577+N578</f>
        <v>0</v>
      </c>
      <c r="O576" s="540">
        <f>IF(L576&gt;0,N576*100/L576,0)</f>
        <v>0</v>
      </c>
      <c r="P576" s="540">
        <f>IF(M576&gt;0,N576*100/M576,0)</f>
        <v>0</v>
      </c>
      <c r="Q576" s="540">
        <f>Q577+Q578</f>
        <v>0</v>
      </c>
      <c r="R576" s="540">
        <f>R577+R578</f>
        <v>0</v>
      </c>
      <c r="S576" s="540">
        <f>S577+S578</f>
        <v>0</v>
      </c>
      <c r="T576" s="540">
        <f>IF(Q576&gt;0,S576*100/Q576,0)</f>
        <v>0</v>
      </c>
      <c r="U576" s="540">
        <f>IF(R576&gt;0,S576*100/R576,0)</f>
        <v>0</v>
      </c>
    </row>
    <row r="577" spans="1:21" ht="18.75" hidden="1">
      <c r="A577" s="155"/>
      <c r="B577" s="188"/>
      <c r="C577" s="50"/>
      <c r="D577" s="50"/>
      <c r="E577" s="186" t="s">
        <v>20</v>
      </c>
      <c r="F577" s="50"/>
      <c r="G577" s="52"/>
      <c r="H577" s="187" t="s">
        <v>14</v>
      </c>
      <c r="I577" s="54"/>
      <c r="J577" s="54"/>
      <c r="K577" s="55"/>
      <c r="L577" s="103">
        <f>L580+L583</f>
        <v>0</v>
      </c>
      <c r="M577" s="102">
        <f>M580+M583</f>
        <v>0</v>
      </c>
      <c r="N577" s="102">
        <f>N580+N583</f>
        <v>0</v>
      </c>
      <c r="O577" s="102">
        <f>IF(L577&gt;0,N577*100/L577,0)</f>
        <v>0</v>
      </c>
      <c r="P577" s="102">
        <f>IF(M577&gt;0,N577*100/M577,0)</f>
        <v>0</v>
      </c>
      <c r="Q577" s="102">
        <f>Q580+Q583</f>
        <v>0</v>
      </c>
      <c r="R577" s="102">
        <f>R580+R583</f>
        <v>0</v>
      </c>
      <c r="S577" s="102">
        <f>S580+S583</f>
        <v>0</v>
      </c>
      <c r="T577" s="102">
        <f>IF(Q577&gt;0,S577*100/Q577,0)</f>
        <v>0</v>
      </c>
      <c r="U577" s="102">
        <f>IF(R577&gt;0,S577*100/R577,0)</f>
        <v>0</v>
      </c>
    </row>
    <row r="578" spans="1:21" ht="18.75" hidden="1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256">
        <f>L581+L584</f>
        <v>0</v>
      </c>
      <c r="M578" s="255">
        <f>M581+M584</f>
        <v>0</v>
      </c>
      <c r="N578" s="255">
        <f>N581+N584</f>
        <v>0</v>
      </c>
      <c r="O578" s="255">
        <f>IF(L578&gt;0,N578*100/L578,0)</f>
        <v>0</v>
      </c>
      <c r="P578" s="255">
        <f>IF(M578&gt;0,N578*100/M578,0)</f>
        <v>0</v>
      </c>
      <c r="Q578" s="255">
        <f>Q581+Q584</f>
        <v>0</v>
      </c>
      <c r="R578" s="255">
        <f>R581+R584</f>
        <v>0</v>
      </c>
      <c r="S578" s="255">
        <f>S581+S584</f>
        <v>0</v>
      </c>
      <c r="T578" s="255">
        <f>IF(Q578&gt;0,S578*100/Q578,0)</f>
        <v>0</v>
      </c>
      <c r="U578" s="255">
        <f>IF(R578&gt;0,S578*100/R578,0)</f>
        <v>0</v>
      </c>
    </row>
    <row r="579" spans="1:21" ht="18.75" hidden="1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256">
        <f>L580+L581</f>
        <v>0</v>
      </c>
      <c r="M579" s="255">
        <f>M580+M581</f>
        <v>0</v>
      </c>
      <c r="N579" s="255">
        <f>N580+N581</f>
        <v>0</v>
      </c>
      <c r="O579" s="255">
        <f>IF(L579&gt;0,N579*100/L579,0)</f>
        <v>0</v>
      </c>
      <c r="P579" s="255">
        <f>IF(M579&gt;0,N579*100/M579,0)</f>
        <v>0</v>
      </c>
      <c r="Q579" s="255">
        <f>Q580+Q581</f>
        <v>0</v>
      </c>
      <c r="R579" s="255">
        <f>R580+R581</f>
        <v>0</v>
      </c>
      <c r="S579" s="255">
        <f>S580+S581</f>
        <v>0</v>
      </c>
      <c r="T579" s="255">
        <f>IF(Q579&gt;0,S579*100/Q579,0)</f>
        <v>0</v>
      </c>
      <c r="U579" s="255">
        <f>IF(R579&gt;0,S579*100/R579,0)</f>
        <v>0</v>
      </c>
    </row>
    <row r="580" spans="1:21" ht="18.75" hidden="1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103">
        <v>0</v>
      </c>
      <c r="M580" s="102">
        <v>0</v>
      </c>
      <c r="N580" s="102">
        <v>0</v>
      </c>
      <c r="O580" s="102">
        <f>IF(L580&gt;0,N580*100/L580,0)</f>
        <v>0</v>
      </c>
      <c r="P580" s="102">
        <f>IF(M580&gt;0,N580*100/M580,0)</f>
        <v>0</v>
      </c>
      <c r="Q580" s="102">
        <v>0</v>
      </c>
      <c r="R580" s="102">
        <v>0</v>
      </c>
      <c r="S580" s="102">
        <v>0</v>
      </c>
      <c r="T580" s="102">
        <f>IF(Q580&gt;0,S580*100/Q580,0)</f>
        <v>0</v>
      </c>
      <c r="U580" s="102">
        <f>IF(R580&gt;0,S580*100/R580,0)</f>
        <v>0</v>
      </c>
    </row>
    <row r="581" spans="1:21" ht="18.75" hidden="1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256">
        <v>0</v>
      </c>
      <c r="M581" s="255">
        <v>0</v>
      </c>
      <c r="N581" s="255">
        <v>0</v>
      </c>
      <c r="O581" s="255">
        <f>IF(L581&gt;0,N581*100/L581,0)</f>
        <v>0</v>
      </c>
      <c r="P581" s="255">
        <f>IF(M581&gt;0,N581*100/M581,0)</f>
        <v>0</v>
      </c>
      <c r="Q581" s="255">
        <v>0</v>
      </c>
      <c r="R581" s="255">
        <v>0</v>
      </c>
      <c r="S581" s="255">
        <v>0</v>
      </c>
      <c r="T581" s="255">
        <f>IF(Q581&gt;0,S581*100/Q581,0)</f>
        <v>0</v>
      </c>
      <c r="U581" s="255">
        <f>IF(R581&gt;0,S581*100/R581,0)</f>
        <v>0</v>
      </c>
    </row>
    <row r="582" spans="1:21" ht="18.75" hidden="1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256">
        <f>L583+L584</f>
        <v>0</v>
      </c>
      <c r="M582" s="255">
        <f>M583+M584</f>
        <v>0</v>
      </c>
      <c r="N582" s="255">
        <f>N583+N584</f>
        <v>0</v>
      </c>
      <c r="O582" s="255">
        <f>IF(L582&gt;0,N582*100/L582,0)</f>
        <v>0</v>
      </c>
      <c r="P582" s="255">
        <f>IF(M582&gt;0,N582*100/M582,0)</f>
        <v>0</v>
      </c>
      <c r="Q582" s="255">
        <f>Q583+Q584</f>
        <v>0</v>
      </c>
      <c r="R582" s="255">
        <f>R583+R584</f>
        <v>0</v>
      </c>
      <c r="S582" s="255">
        <f>S583+S584</f>
        <v>0</v>
      </c>
      <c r="T582" s="255">
        <f>IF(Q582&gt;0,S582*100/Q582,0)</f>
        <v>0</v>
      </c>
      <c r="U582" s="255">
        <f>IF(R582&gt;0,S582*100/R582,0)</f>
        <v>0</v>
      </c>
    </row>
    <row r="583" spans="1:21" ht="18.75" hidden="1">
      <c r="A583" s="155"/>
      <c r="B583" s="50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103">
        <v>0</v>
      </c>
      <c r="M583" s="102">
        <v>0</v>
      </c>
      <c r="N583" s="102">
        <v>0</v>
      </c>
      <c r="O583" s="102">
        <f>IF(L583&gt;0,N583*100/L583,0)</f>
        <v>0</v>
      </c>
      <c r="P583" s="102">
        <f>IF(M583&gt;0,N583*100/M583,0)</f>
        <v>0</v>
      </c>
      <c r="Q583" s="102">
        <v>0</v>
      </c>
      <c r="R583" s="102">
        <v>0</v>
      </c>
      <c r="S583" s="102">
        <v>0</v>
      </c>
      <c r="T583" s="102">
        <f>IF(Q583&gt;0,S583*100/Q583,0)</f>
        <v>0</v>
      </c>
      <c r="U583" s="102">
        <f>IF(R583&gt;0,S583*100/R583,0)</f>
        <v>0</v>
      </c>
    </row>
    <row r="584" spans="1:21" ht="18.75" hidden="1">
      <c r="A584" s="155"/>
      <c r="B584" s="50"/>
      <c r="C584" s="50"/>
      <c r="D584" s="50"/>
      <c r="E584" s="58" t="s">
        <v>21</v>
      </c>
      <c r="F584" s="50"/>
      <c r="G584" s="52"/>
      <c r="H584" s="165" t="s">
        <v>14</v>
      </c>
      <c r="I584" s="163"/>
      <c r="J584" s="163"/>
      <c r="K584" s="164"/>
      <c r="L584" s="256">
        <v>0</v>
      </c>
      <c r="M584" s="255">
        <v>0</v>
      </c>
      <c r="N584" s="255">
        <v>0</v>
      </c>
      <c r="O584" s="255">
        <f>IF(L584&gt;0,N584*100/L584,0)</f>
        <v>0</v>
      </c>
      <c r="P584" s="255">
        <f>IF(M584&gt;0,N584*100/M584,0)</f>
        <v>0</v>
      </c>
      <c r="Q584" s="255">
        <v>0</v>
      </c>
      <c r="R584" s="255">
        <v>0</v>
      </c>
      <c r="S584" s="255">
        <v>0</v>
      </c>
      <c r="T584" s="255">
        <f>IF(Q584&gt;0,S584*100/Q584,0)</f>
        <v>0</v>
      </c>
      <c r="U584" s="255">
        <f>IF(R584&gt;0,S584*100/R584,0)</f>
        <v>0</v>
      </c>
    </row>
    <row r="585" spans="1:21" ht="19.5" hidden="1">
      <c r="A585" s="166"/>
      <c r="B585" s="167"/>
      <c r="C585" s="411" t="s">
        <v>18</v>
      </c>
      <c r="D585" s="566" t="s">
        <v>38</v>
      </c>
      <c r="E585" s="169"/>
      <c r="F585" s="169"/>
      <c r="G585" s="170"/>
      <c r="H585" s="171"/>
      <c r="I585" s="163"/>
      <c r="J585" s="54"/>
      <c r="K585" s="55"/>
      <c r="L585" s="62"/>
      <c r="M585" s="55"/>
      <c r="N585" s="55"/>
      <c r="O585" s="164"/>
      <c r="P585" s="164"/>
      <c r="Q585" s="55"/>
      <c r="R585" s="55"/>
      <c r="S585" s="55"/>
      <c r="T585" s="164"/>
      <c r="U585" s="164"/>
    </row>
    <row r="586" spans="1:21" ht="12.75" hidden="1">
      <c r="A586" s="258"/>
      <c r="B586" s="260"/>
      <c r="C586" s="259"/>
      <c r="D586" s="260"/>
      <c r="E586" s="259"/>
      <c r="F586" s="260"/>
      <c r="G586" s="261"/>
      <c r="H586" s="261"/>
      <c r="I586" s="263"/>
      <c r="J586" s="263"/>
      <c r="K586" s="264"/>
      <c r="L586" s="265"/>
      <c r="M586" s="264"/>
      <c r="N586" s="264"/>
      <c r="O586" s="264"/>
      <c r="P586" s="264"/>
      <c r="Q586" s="264"/>
      <c r="R586" s="264"/>
      <c r="S586" s="264"/>
      <c r="T586" s="264"/>
      <c r="U586" s="264"/>
    </row>
    <row r="587" spans="1:21" ht="12.75" hidden="1">
      <c r="A587" s="258"/>
      <c r="B587" s="260"/>
      <c r="C587" s="259"/>
      <c r="D587" s="260"/>
      <c r="E587" s="259"/>
      <c r="F587" s="260"/>
      <c r="G587" s="261"/>
      <c r="H587" s="261"/>
      <c r="I587" s="263"/>
      <c r="J587" s="263"/>
      <c r="K587" s="264"/>
      <c r="L587" s="265"/>
      <c r="M587" s="264"/>
      <c r="N587" s="264"/>
      <c r="O587" s="264"/>
      <c r="P587" s="264"/>
      <c r="Q587" s="264"/>
      <c r="R587" s="264"/>
      <c r="S587" s="264"/>
      <c r="T587" s="264"/>
      <c r="U587" s="264"/>
    </row>
    <row r="588" spans="1:21" ht="12.75" hidden="1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5"/>
      <c r="M588" s="264"/>
      <c r="N588" s="264"/>
      <c r="O588" s="264"/>
      <c r="P588" s="264"/>
      <c r="Q588" s="264"/>
      <c r="R588" s="264"/>
      <c r="S588" s="264"/>
      <c r="T588" s="264"/>
      <c r="U588" s="264"/>
    </row>
    <row r="589" spans="1:21" ht="12.75" hidden="1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5"/>
      <c r="M589" s="264"/>
      <c r="N589" s="264"/>
      <c r="O589" s="264"/>
      <c r="P589" s="264"/>
      <c r="Q589" s="264"/>
      <c r="R589" s="264"/>
      <c r="S589" s="264"/>
      <c r="T589" s="264"/>
      <c r="U589" s="264"/>
    </row>
    <row r="590" spans="1:21" ht="12.75" hidden="1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5"/>
      <c r="M590" s="264"/>
      <c r="N590" s="264"/>
      <c r="O590" s="264"/>
      <c r="P590" s="264"/>
      <c r="Q590" s="264"/>
      <c r="R590" s="264"/>
      <c r="S590" s="264"/>
      <c r="T590" s="264"/>
      <c r="U590" s="264"/>
    </row>
    <row r="591" spans="1:21" ht="12.75" hidden="1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5"/>
      <c r="M591" s="264"/>
      <c r="N591" s="264"/>
      <c r="O591" s="264"/>
      <c r="P591" s="264"/>
      <c r="Q591" s="264"/>
      <c r="R591" s="264"/>
      <c r="S591" s="264"/>
      <c r="T591" s="264"/>
      <c r="U591" s="264"/>
    </row>
    <row r="592" spans="1:21" ht="12.75" hidden="1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5"/>
      <c r="M592" s="264"/>
      <c r="N592" s="264"/>
      <c r="O592" s="264"/>
      <c r="P592" s="264"/>
      <c r="Q592" s="264"/>
      <c r="R592" s="264"/>
      <c r="S592" s="264"/>
      <c r="T592" s="264"/>
      <c r="U592" s="264"/>
    </row>
    <row r="593" spans="1:21" ht="12.75" hidden="1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5"/>
      <c r="M593" s="264"/>
      <c r="N593" s="264"/>
      <c r="O593" s="264"/>
      <c r="P593" s="264"/>
      <c r="Q593" s="264"/>
      <c r="R593" s="264"/>
      <c r="S593" s="264"/>
      <c r="T593" s="264"/>
      <c r="U593" s="264"/>
    </row>
    <row r="594" spans="1:21" ht="12.75" hidden="1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5"/>
      <c r="M594" s="264"/>
      <c r="N594" s="264"/>
      <c r="O594" s="264"/>
      <c r="P594" s="264"/>
      <c r="Q594" s="264"/>
      <c r="R594" s="264"/>
      <c r="S594" s="264"/>
      <c r="T594" s="264"/>
      <c r="U594" s="264"/>
    </row>
    <row r="595" spans="1:21" ht="12.75" hidden="1">
      <c r="A595" s="407"/>
      <c r="B595" s="360"/>
      <c r="C595" s="360"/>
      <c r="D595" s="408"/>
      <c r="E595" s="408"/>
      <c r="F595" s="408"/>
      <c r="G595" s="409"/>
      <c r="H595" s="361"/>
      <c r="I595" s="362"/>
      <c r="J595" s="362"/>
      <c r="K595" s="363"/>
      <c r="L595" s="364"/>
      <c r="M595" s="363"/>
      <c r="N595" s="363"/>
      <c r="O595" s="363"/>
      <c r="P595" s="363"/>
      <c r="Q595" s="363"/>
      <c r="R595" s="363"/>
      <c r="S595" s="363"/>
      <c r="T595" s="363"/>
      <c r="U595" s="363"/>
    </row>
    <row r="596" spans="1:21" ht="19.5" hidden="1">
      <c r="A596" s="412" t="s">
        <v>214</v>
      </c>
      <c r="B596" s="144"/>
      <c r="C596" s="196"/>
      <c r="D596" s="144"/>
      <c r="E596" s="144"/>
      <c r="F596" s="144"/>
      <c r="G596" s="144"/>
      <c r="H596" s="145"/>
      <c r="I596" s="197"/>
      <c r="J596" s="197"/>
      <c r="K596" s="19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8"/>
    </row>
    <row r="597" spans="1:21" ht="19.5" hidden="1">
      <c r="A597" s="150"/>
      <c r="B597" s="413" t="s">
        <v>215</v>
      </c>
      <c r="C597" s="200"/>
      <c r="D597" s="151"/>
      <c r="E597" s="34"/>
      <c r="F597" s="34"/>
      <c r="G597" s="34"/>
      <c r="H597" s="414" t="s">
        <v>99</v>
      </c>
      <c r="I597" s="210"/>
      <c r="J597" s="39"/>
      <c r="K597" s="40"/>
      <c r="L597" s="154"/>
      <c r="M597" s="40"/>
      <c r="N597" s="40"/>
      <c r="O597" s="40"/>
      <c r="P597" s="40"/>
      <c r="Q597" s="40"/>
      <c r="R597" s="40"/>
      <c r="S597" s="40"/>
      <c r="T597" s="40"/>
      <c r="U597" s="40"/>
    </row>
    <row r="598" spans="1:21" ht="19.5" hidden="1">
      <c r="A598" s="415"/>
      <c r="B598" s="416" t="s">
        <v>216</v>
      </c>
      <c r="C598" s="151"/>
      <c r="D598" s="34"/>
      <c r="E598" s="34"/>
      <c r="F598" s="34"/>
      <c r="G598" s="37"/>
      <c r="H598" s="417" t="s">
        <v>35</v>
      </c>
      <c r="I598" s="39"/>
      <c r="J598" s="39"/>
      <c r="K598" s="40"/>
      <c r="L598" s="154"/>
      <c r="M598" s="40"/>
      <c r="N598" s="40"/>
      <c r="O598" s="40"/>
      <c r="P598" s="40"/>
      <c r="Q598" s="40"/>
      <c r="R598" s="40"/>
      <c r="S598" s="40"/>
      <c r="T598" s="40"/>
      <c r="U598" s="40"/>
    </row>
    <row r="599" spans="1:21" ht="19.5" hidden="1">
      <c r="A599" s="155"/>
      <c r="B599" s="188"/>
      <c r="C599" s="205" t="s">
        <v>18</v>
      </c>
      <c r="D599" s="563" t="s">
        <v>19</v>
      </c>
      <c r="E599" s="529"/>
      <c r="F599" s="529"/>
      <c r="G599" s="530"/>
      <c r="H599" s="418" t="s">
        <v>14</v>
      </c>
      <c r="I599" s="54"/>
      <c r="J599" s="54"/>
      <c r="K599" s="55"/>
      <c r="L599" s="541">
        <f>L600+L601</f>
        <v>0</v>
      </c>
      <c r="M599" s="540">
        <f>M600+M601</f>
        <v>0</v>
      </c>
      <c r="N599" s="540">
        <f>N600+N601</f>
        <v>0</v>
      </c>
      <c r="O599" s="540">
        <f>IF(L599&gt;0,N599*100/L599,0)</f>
        <v>0</v>
      </c>
      <c r="P599" s="540">
        <f>IF(M599&gt;0,N599*100/M599,0)</f>
        <v>0</v>
      </c>
      <c r="Q599" s="540">
        <f>Q600+Q601</f>
        <v>0</v>
      </c>
      <c r="R599" s="540">
        <f>R600+R601</f>
        <v>0</v>
      </c>
      <c r="S599" s="540">
        <f>S600+S601</f>
        <v>0</v>
      </c>
      <c r="T599" s="540">
        <f>IF(Q599&gt;0,S599*100/Q599,0)</f>
        <v>0</v>
      </c>
      <c r="U599" s="540">
        <f>IF(R599&gt;0,S599*100/R599,0)</f>
        <v>0</v>
      </c>
    </row>
    <row r="600" spans="1:21" ht="18.75" hidden="1">
      <c r="A600" s="155"/>
      <c r="B600" s="188"/>
      <c r="C600" s="188"/>
      <c r="D600" s="174"/>
      <c r="E600" s="186" t="s">
        <v>159</v>
      </c>
      <c r="F600" s="50"/>
      <c r="G600" s="52"/>
      <c r="H600" s="189" t="s">
        <v>14</v>
      </c>
      <c r="I600" s="54"/>
      <c r="J600" s="54"/>
      <c r="K600" s="55"/>
      <c r="L600" s="103">
        <f>L603+L606</f>
        <v>0</v>
      </c>
      <c r="M600" s="102">
        <f>M603+M606</f>
        <v>0</v>
      </c>
      <c r="N600" s="102">
        <f>N603+N606</f>
        <v>0</v>
      </c>
      <c r="O600" s="102">
        <f>IF(L600&gt;0,N600*100/L600,0)</f>
        <v>0</v>
      </c>
      <c r="P600" s="102">
        <f>IF(M600&gt;0,N600*100/M600,0)</f>
        <v>0</v>
      </c>
      <c r="Q600" s="102">
        <f>Q603+Q606</f>
        <v>0</v>
      </c>
      <c r="R600" s="102">
        <f>R603+R606</f>
        <v>0</v>
      </c>
      <c r="S600" s="102">
        <f>S603+S606</f>
        <v>0</v>
      </c>
      <c r="T600" s="102">
        <f>IF(Q600&gt;0,S600*100/Q600,0)</f>
        <v>0</v>
      </c>
      <c r="U600" s="102">
        <f>IF(R600&gt;0,S600*100/R600,0)</f>
        <v>0</v>
      </c>
    </row>
    <row r="601" spans="1:21" ht="18.75" hidden="1">
      <c r="A601" s="155"/>
      <c r="B601" s="188"/>
      <c r="C601" s="188"/>
      <c r="D601" s="174"/>
      <c r="E601" s="186" t="s">
        <v>160</v>
      </c>
      <c r="F601" s="50"/>
      <c r="G601" s="52"/>
      <c r="H601" s="189" t="s">
        <v>14</v>
      </c>
      <c r="I601" s="54"/>
      <c r="J601" s="54"/>
      <c r="K601" s="55"/>
      <c r="L601" s="256">
        <f>L604+L607</f>
        <v>0</v>
      </c>
      <c r="M601" s="255">
        <f>M604+M607</f>
        <v>0</v>
      </c>
      <c r="N601" s="255">
        <f>N604+N607</f>
        <v>0</v>
      </c>
      <c r="O601" s="255">
        <f>IF(L601&gt;0,N601*100/L601,0)</f>
        <v>0</v>
      </c>
      <c r="P601" s="255">
        <f>IF(M601&gt;0,N601*100/M601,0)</f>
        <v>0</v>
      </c>
      <c r="Q601" s="255">
        <f>Q604+Q607</f>
        <v>0</v>
      </c>
      <c r="R601" s="255">
        <f>R604+R607</f>
        <v>0</v>
      </c>
      <c r="S601" s="255">
        <f>S604+S607</f>
        <v>0</v>
      </c>
      <c r="T601" s="255">
        <f>IF(Q601&gt;0,S601*100/Q601,0)</f>
        <v>0</v>
      </c>
      <c r="U601" s="255">
        <f>IF(R601&gt;0,S601*100/R601,0)</f>
        <v>0</v>
      </c>
    </row>
    <row r="602" spans="1:21" ht="19.5" hidden="1">
      <c r="A602" s="155"/>
      <c r="B602" s="188"/>
      <c r="C602" s="188"/>
      <c r="D602" s="562" t="s">
        <v>22</v>
      </c>
      <c r="E602" s="50"/>
      <c r="F602" s="50"/>
      <c r="G602" s="52"/>
      <c r="H602" s="418" t="s">
        <v>14</v>
      </c>
      <c r="I602" s="163"/>
      <c r="J602" s="163"/>
      <c r="K602" s="164"/>
      <c r="L602" s="256">
        <f>L603+L604</f>
        <v>0</v>
      </c>
      <c r="M602" s="255">
        <f>M603+M604</f>
        <v>0</v>
      </c>
      <c r="N602" s="255">
        <f>N603+N604</f>
        <v>0</v>
      </c>
      <c r="O602" s="255">
        <f>IF(L602&gt;0,N602*100/L602,0)</f>
        <v>0</v>
      </c>
      <c r="P602" s="255">
        <f>IF(M602&gt;0,N602*100/M602,0)</f>
        <v>0</v>
      </c>
      <c r="Q602" s="255">
        <f>Q603+Q604</f>
        <v>0</v>
      </c>
      <c r="R602" s="255">
        <f>R603+R604</f>
        <v>0</v>
      </c>
      <c r="S602" s="255">
        <f>S603+S604</f>
        <v>0</v>
      </c>
      <c r="T602" s="255">
        <f>IF(Q602&gt;0,S602*100/Q602,0)</f>
        <v>0</v>
      </c>
      <c r="U602" s="255">
        <f>IF(R602&gt;0,S602*100/R602,0)</f>
        <v>0</v>
      </c>
    </row>
    <row r="603" spans="1:21" ht="18.75" hidden="1">
      <c r="A603" s="155"/>
      <c r="B603" s="188"/>
      <c r="C603" s="188"/>
      <c r="D603" s="174"/>
      <c r="E603" s="186" t="s">
        <v>159</v>
      </c>
      <c r="F603" s="50"/>
      <c r="G603" s="52"/>
      <c r="H603" s="189" t="s">
        <v>14</v>
      </c>
      <c r="I603" s="54"/>
      <c r="J603" s="54"/>
      <c r="K603" s="55"/>
      <c r="L603" s="103">
        <v>0</v>
      </c>
      <c r="M603" s="102">
        <v>0</v>
      </c>
      <c r="N603" s="102">
        <v>0</v>
      </c>
      <c r="O603" s="102">
        <f>IF(L603&gt;0,N603*100/L603,0)</f>
        <v>0</v>
      </c>
      <c r="P603" s="102">
        <f>IF(M603&gt;0,N603*100/M603,0)</f>
        <v>0</v>
      </c>
      <c r="Q603" s="102">
        <v>0</v>
      </c>
      <c r="R603" s="102">
        <v>0</v>
      </c>
      <c r="S603" s="102">
        <v>0</v>
      </c>
      <c r="T603" s="102">
        <f>IF(Q603&gt;0,S603*100/Q603,0)</f>
        <v>0</v>
      </c>
      <c r="U603" s="102">
        <f>IF(R603&gt;0,S603*100/R603,0)</f>
        <v>0</v>
      </c>
    </row>
    <row r="604" spans="1:21" ht="18.75" hidden="1">
      <c r="A604" s="155"/>
      <c r="B604" s="188"/>
      <c r="C604" s="188"/>
      <c r="D604" s="174"/>
      <c r="E604" s="186" t="s">
        <v>160</v>
      </c>
      <c r="F604" s="50"/>
      <c r="G604" s="52"/>
      <c r="H604" s="189" t="s">
        <v>14</v>
      </c>
      <c r="I604" s="54"/>
      <c r="J604" s="54"/>
      <c r="K604" s="55"/>
      <c r="L604" s="256">
        <v>0</v>
      </c>
      <c r="M604" s="255">
        <v>0</v>
      </c>
      <c r="N604" s="255">
        <v>0</v>
      </c>
      <c r="O604" s="255">
        <f>IF(L604&gt;0,N604*100/L604,0)</f>
        <v>0</v>
      </c>
      <c r="P604" s="255">
        <f>IF(M604&gt;0,N604*100/M604,0)</f>
        <v>0</v>
      </c>
      <c r="Q604" s="255">
        <v>0</v>
      </c>
      <c r="R604" s="255">
        <v>0</v>
      </c>
      <c r="S604" s="255">
        <v>0</v>
      </c>
      <c r="T604" s="255">
        <f>IF(Q604&gt;0,S604*100/Q604,0)</f>
        <v>0</v>
      </c>
      <c r="U604" s="255">
        <f>IF(R604&gt;0,S604*100/R604,0)</f>
        <v>0</v>
      </c>
    </row>
    <row r="605" spans="1:21" ht="19.5" hidden="1">
      <c r="A605" s="155"/>
      <c r="B605" s="188"/>
      <c r="C605" s="188"/>
      <c r="D605" s="562" t="s">
        <v>23</v>
      </c>
      <c r="E605" s="188"/>
      <c r="F605" s="50"/>
      <c r="G605" s="52"/>
      <c r="H605" s="420" t="s">
        <v>14</v>
      </c>
      <c r="I605" s="163"/>
      <c r="J605" s="163"/>
      <c r="K605" s="164"/>
      <c r="L605" s="256">
        <f>L606+L607</f>
        <v>0</v>
      </c>
      <c r="M605" s="255">
        <f>M606+M607</f>
        <v>0</v>
      </c>
      <c r="N605" s="255">
        <f>N606+N607</f>
        <v>0</v>
      </c>
      <c r="O605" s="255">
        <f>IF(L605&gt;0,N605*100/L605,0)</f>
        <v>0</v>
      </c>
      <c r="P605" s="255">
        <f>IF(M605&gt;0,N605*100/M605,0)</f>
        <v>0</v>
      </c>
      <c r="Q605" s="255">
        <f>Q606+Q607</f>
        <v>0</v>
      </c>
      <c r="R605" s="255">
        <f>R606+R607</f>
        <v>0</v>
      </c>
      <c r="S605" s="255">
        <f>S606+S607</f>
        <v>0</v>
      </c>
      <c r="T605" s="255">
        <f>IF(Q605&gt;0,S605*100/Q605,0)</f>
        <v>0</v>
      </c>
      <c r="U605" s="255">
        <f>IF(R605&gt;0,S605*100/R605,0)</f>
        <v>0</v>
      </c>
    </row>
    <row r="606" spans="1:21" ht="18.75" hidden="1">
      <c r="A606" s="155"/>
      <c r="B606" s="188"/>
      <c r="C606" s="188"/>
      <c r="D606" s="188"/>
      <c r="E606" s="358" t="s">
        <v>20</v>
      </c>
      <c r="F606" s="50"/>
      <c r="G606" s="52"/>
      <c r="H606" s="189" t="s">
        <v>14</v>
      </c>
      <c r="I606" s="163"/>
      <c r="J606" s="163"/>
      <c r="K606" s="164"/>
      <c r="L606" s="103">
        <v>0</v>
      </c>
      <c r="M606" s="102">
        <v>0</v>
      </c>
      <c r="N606" s="102">
        <v>0</v>
      </c>
      <c r="O606" s="102">
        <f>IF(L606&gt;0,N606*100/L606,0)</f>
        <v>0</v>
      </c>
      <c r="P606" s="102">
        <f>IF(M606&gt;0,N606*100/M606,0)</f>
        <v>0</v>
      </c>
      <c r="Q606" s="102">
        <v>0</v>
      </c>
      <c r="R606" s="102">
        <v>0</v>
      </c>
      <c r="S606" s="102">
        <v>0</v>
      </c>
      <c r="T606" s="102">
        <f>IF(Q606&gt;0,S606*100/Q606,0)</f>
        <v>0</v>
      </c>
      <c r="U606" s="102">
        <f>IF(R606&gt;0,S606*100/R606,0)</f>
        <v>0</v>
      </c>
    </row>
    <row r="607" spans="1:21" ht="18.75" hidden="1">
      <c r="A607" s="155"/>
      <c r="B607" s="188"/>
      <c r="C607" s="188"/>
      <c r="D607" s="50"/>
      <c r="E607" s="358" t="s">
        <v>21</v>
      </c>
      <c r="F607" s="50"/>
      <c r="G607" s="52"/>
      <c r="H607" s="421" t="s">
        <v>14</v>
      </c>
      <c r="I607" s="163"/>
      <c r="J607" s="163"/>
      <c r="K607" s="164"/>
      <c r="L607" s="256">
        <v>0</v>
      </c>
      <c r="M607" s="255">
        <v>0</v>
      </c>
      <c r="N607" s="255">
        <v>0</v>
      </c>
      <c r="O607" s="255">
        <f>IF(L607&gt;0,N607*100/L607,0)</f>
        <v>0</v>
      </c>
      <c r="P607" s="255">
        <f>IF(M607&gt;0,N607*100/M607,0)</f>
        <v>0</v>
      </c>
      <c r="Q607" s="255">
        <v>0</v>
      </c>
      <c r="R607" s="255">
        <v>0</v>
      </c>
      <c r="S607" s="255">
        <v>0</v>
      </c>
      <c r="T607" s="255">
        <f>IF(Q607&gt;0,S607*100/Q607,0)</f>
        <v>0</v>
      </c>
      <c r="U607" s="255">
        <f>IF(R607&gt;0,S607*100/R607,0)</f>
        <v>0</v>
      </c>
    </row>
    <row r="608" spans="1:21" ht="19.5" hidden="1">
      <c r="A608" s="166"/>
      <c r="B608" s="167"/>
      <c r="C608" s="205" t="s">
        <v>18</v>
      </c>
      <c r="D608" s="574" t="s">
        <v>38</v>
      </c>
      <c r="E608" s="169"/>
      <c r="F608" s="169"/>
      <c r="G608" s="170"/>
      <c r="H608" s="206"/>
      <c r="I608" s="163"/>
      <c r="J608" s="163"/>
      <c r="K608" s="164"/>
      <c r="L608" s="62"/>
      <c r="M608" s="55"/>
      <c r="N608" s="55"/>
      <c r="O608" s="55"/>
      <c r="P608" s="55"/>
      <c r="Q608" s="55"/>
      <c r="R608" s="55"/>
      <c r="S608" s="55"/>
      <c r="T608" s="55"/>
      <c r="U608" s="55"/>
    </row>
    <row r="609" spans="1:21" ht="18.75" hidden="1">
      <c r="A609" s="166"/>
      <c r="B609" s="167"/>
      <c r="C609" s="167"/>
      <c r="D609" s="423" t="s">
        <v>217</v>
      </c>
      <c r="E609" s="174"/>
      <c r="F609" s="174"/>
      <c r="G609" s="171"/>
      <c r="H609" s="189" t="s">
        <v>99</v>
      </c>
      <c r="I609" s="54"/>
      <c r="J609" s="54"/>
      <c r="K609" s="164"/>
      <c r="L609" s="62"/>
      <c r="M609" s="55"/>
      <c r="N609" s="55"/>
      <c r="O609" s="55"/>
      <c r="P609" s="55"/>
      <c r="Q609" s="55"/>
      <c r="R609" s="55"/>
      <c r="S609" s="55"/>
      <c r="T609" s="55"/>
      <c r="U609" s="55"/>
    </row>
    <row r="610" spans="1:21" ht="19.5" hidden="1">
      <c r="A610" s="166"/>
      <c r="B610" s="167"/>
      <c r="C610" s="167"/>
      <c r="D610" s="423" t="s">
        <v>218</v>
      </c>
      <c r="E610" s="174"/>
      <c r="F610" s="174"/>
      <c r="G610" s="171"/>
      <c r="H610" s="418" t="s">
        <v>35</v>
      </c>
      <c r="I610" s="54"/>
      <c r="J610" s="54"/>
      <c r="K610" s="164"/>
      <c r="L610" s="62"/>
      <c r="M610" s="55"/>
      <c r="N610" s="55"/>
      <c r="O610" s="55"/>
      <c r="P610" s="55"/>
      <c r="Q610" s="55"/>
      <c r="R610" s="55"/>
      <c r="S610" s="55"/>
      <c r="T610" s="55"/>
      <c r="U610" s="55"/>
    </row>
    <row r="611" spans="1:21" ht="18.75" hidden="1">
      <c r="A611" s="166"/>
      <c r="B611" s="167"/>
      <c r="C611" s="167"/>
      <c r="D611" s="167"/>
      <c r="E611" s="423" t="s">
        <v>219</v>
      </c>
      <c r="F611" s="174"/>
      <c r="G611" s="171"/>
      <c r="H611" s="421" t="s">
        <v>35</v>
      </c>
      <c r="I611" s="54"/>
      <c r="J611" s="54"/>
      <c r="K611" s="164"/>
      <c r="L611" s="62"/>
      <c r="M611" s="55"/>
      <c r="N611" s="55"/>
      <c r="O611" s="55"/>
      <c r="P611" s="55"/>
      <c r="Q611" s="55"/>
      <c r="R611" s="55"/>
      <c r="S611" s="55"/>
      <c r="T611" s="55"/>
      <c r="U611" s="55"/>
    </row>
    <row r="612" spans="1:21" ht="19.5" hidden="1" thickBot="1">
      <c r="A612" s="424"/>
      <c r="B612" s="425"/>
      <c r="C612" s="425"/>
      <c r="D612" s="425"/>
      <c r="E612" s="426" t="s">
        <v>220</v>
      </c>
      <c r="F612" s="427"/>
      <c r="G612" s="428"/>
      <c r="H612" s="429" t="s">
        <v>35</v>
      </c>
      <c r="I612" s="430"/>
      <c r="J612" s="430"/>
      <c r="K612" s="431"/>
      <c r="L612" s="433"/>
      <c r="M612" s="432"/>
      <c r="N612" s="432"/>
      <c r="O612" s="432"/>
      <c r="P612" s="432"/>
      <c r="Q612" s="432"/>
      <c r="R612" s="432"/>
      <c r="S612" s="432"/>
      <c r="T612" s="432"/>
      <c r="U612" s="432"/>
    </row>
    <row r="613" spans="1:21" ht="19.5" hidden="1">
      <c r="A613" s="434" t="s">
        <v>221</v>
      </c>
      <c r="B613" s="435"/>
      <c r="C613" s="435"/>
      <c r="D613" s="436"/>
      <c r="E613" s="436"/>
      <c r="F613" s="436"/>
      <c r="G613" s="437"/>
      <c r="H613" s="438"/>
      <c r="I613" s="439"/>
      <c r="J613" s="439"/>
      <c r="K613" s="440"/>
      <c r="L613" s="441"/>
      <c r="M613" s="440"/>
      <c r="N613" s="440"/>
      <c r="O613" s="440"/>
      <c r="P613" s="440"/>
      <c r="Q613" s="440"/>
      <c r="R613" s="440"/>
      <c r="S613" s="440"/>
      <c r="T613" s="440"/>
      <c r="U613" s="440"/>
    </row>
    <row r="614" spans="1:21" ht="19.5">
      <c r="A614" s="442"/>
      <c r="B614" s="443" t="s">
        <v>222</v>
      </c>
      <c r="C614" s="442"/>
      <c r="D614" s="444"/>
      <c r="E614" s="444"/>
      <c r="F614" s="444"/>
      <c r="G614" s="445"/>
      <c r="H614" s="446"/>
      <c r="I614" s="447"/>
      <c r="J614" s="447"/>
      <c r="K614" s="448"/>
      <c r="L614" s="449"/>
      <c r="M614" s="448"/>
      <c r="N614" s="448"/>
      <c r="O614" s="448"/>
      <c r="P614" s="448"/>
      <c r="Q614" s="448"/>
      <c r="R614" s="448"/>
      <c r="S614" s="448"/>
      <c r="T614" s="448"/>
      <c r="U614" s="448"/>
    </row>
    <row r="615" spans="1:21" ht="19.5">
      <c r="A615" s="450"/>
      <c r="B615" s="451" t="s">
        <v>223</v>
      </c>
      <c r="C615" s="450"/>
      <c r="D615" s="452"/>
      <c r="E615" s="452"/>
      <c r="F615" s="452"/>
      <c r="G615" s="453"/>
      <c r="H615" s="454" t="s">
        <v>46</v>
      </c>
      <c r="I615" s="573">
        <f ca="1">I626</f>
        <v>50</v>
      </c>
      <c r="J615" s="573">
        <f>J626</f>
        <v>0</v>
      </c>
      <c r="K615" s="572">
        <f ca="1">IF(I615&gt;0,J615*100/I615,0)</f>
        <v>0</v>
      </c>
      <c r="L615" s="458"/>
      <c r="M615" s="457"/>
      <c r="N615" s="457"/>
      <c r="O615" s="457"/>
      <c r="P615" s="457"/>
      <c r="Q615" s="457"/>
      <c r="R615" s="457"/>
      <c r="S615" s="457"/>
      <c r="T615" s="457"/>
      <c r="U615" s="457"/>
    </row>
    <row r="616" spans="1:21" ht="19.5">
      <c r="A616" s="155"/>
      <c r="B616" s="188"/>
      <c r="C616" s="205" t="s">
        <v>18</v>
      </c>
      <c r="D616" s="542" t="s">
        <v>19</v>
      </c>
      <c r="E616" s="529"/>
      <c r="F616" s="529"/>
      <c r="G616" s="530"/>
      <c r="H616" s="252" t="s">
        <v>14</v>
      </c>
      <c r="I616" s="54"/>
      <c r="J616" s="54"/>
      <c r="K616" s="55"/>
      <c r="L616" s="541">
        <f>L617+L618</f>
        <v>0</v>
      </c>
      <c r="M616" s="540">
        <f>M617+M618</f>
        <v>0</v>
      </c>
      <c r="N616" s="540">
        <f>N617+N618</f>
        <v>0</v>
      </c>
      <c r="O616" s="540">
        <f>IF(L616&gt;0,N616*100/L616,0)</f>
        <v>0</v>
      </c>
      <c r="P616" s="540">
        <f>IF(M616&gt;0,N616*100/M616,0)</f>
        <v>0</v>
      </c>
      <c r="Q616" s="540">
        <f ca="1">Q617+Q618</f>
        <v>7000</v>
      </c>
      <c r="R616" s="540">
        <f ca="1">R617+R618</f>
        <v>7000</v>
      </c>
      <c r="S616" s="540">
        <f ca="1">S617+S618</f>
        <v>0</v>
      </c>
      <c r="T616" s="540">
        <f ca="1">IF(Q616&gt;0,S616*100/Q616,0)</f>
        <v>0</v>
      </c>
      <c r="U616" s="540">
        <f ca="1">IF(R616&gt;0,S616*100/R616,0)</f>
        <v>0</v>
      </c>
    </row>
    <row r="617" spans="1:21" ht="18.75" hidden="1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103">
        <f>L620+L623</f>
        <v>0</v>
      </c>
      <c r="M617" s="102">
        <f>M620+M623</f>
        <v>0</v>
      </c>
      <c r="N617" s="102">
        <f>N620+N623</f>
        <v>0</v>
      </c>
      <c r="O617" s="102">
        <f>IF(L617&gt;0,N617*100/L617,0)</f>
        <v>0</v>
      </c>
      <c r="P617" s="102">
        <f>IF(M617&gt;0,N617*100/M617,0)</f>
        <v>0</v>
      </c>
      <c r="Q617" s="102">
        <f>Q620+Q623</f>
        <v>0</v>
      </c>
      <c r="R617" s="102">
        <f>R620+R623</f>
        <v>0</v>
      </c>
      <c r="S617" s="102">
        <f>S620+S623</f>
        <v>0</v>
      </c>
      <c r="T617" s="102">
        <f>IF(Q617&gt;0,S617*100/Q617,0)</f>
        <v>0</v>
      </c>
      <c r="U617" s="102">
        <f>IF(R617&gt;0,S617*100/R617,0)</f>
        <v>0</v>
      </c>
    </row>
    <row r="618" spans="1:21" ht="18.75" hidden="1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256">
        <f>L621+L624</f>
        <v>0</v>
      </c>
      <c r="M618" s="255">
        <f>M621+M624</f>
        <v>0</v>
      </c>
      <c r="N618" s="255">
        <f>N621+N624</f>
        <v>0</v>
      </c>
      <c r="O618" s="255">
        <f>IF(L618&gt;0,N618*100/L618,0)</f>
        <v>0</v>
      </c>
      <c r="P618" s="255">
        <f>IF(M618&gt;0,N618*100/M618,0)</f>
        <v>0</v>
      </c>
      <c r="Q618" s="255">
        <f ca="1">Q621+Q624</f>
        <v>7000</v>
      </c>
      <c r="R618" s="255">
        <f ca="1">R621+R624</f>
        <v>7000</v>
      </c>
      <c r="S618" s="255">
        <f ca="1">S621+S624</f>
        <v>0</v>
      </c>
      <c r="T618" s="255">
        <f ca="1">IF(Q618&gt;0,S618*100/Q618,0)</f>
        <v>0</v>
      </c>
      <c r="U618" s="255">
        <f ca="1">IF(R618&gt;0,S618*100/R618,0)</f>
        <v>0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256">
        <f>L620+L621</f>
        <v>0</v>
      </c>
      <c r="M619" s="255">
        <f>M620+M621</f>
        <v>0</v>
      </c>
      <c r="N619" s="255">
        <f>N620+N621</f>
        <v>0</v>
      </c>
      <c r="O619" s="255">
        <f>IF(L619&gt;0,N619*100/L619,0)</f>
        <v>0</v>
      </c>
      <c r="P619" s="255">
        <f>IF(M619&gt;0,N619*100/M619,0)</f>
        <v>0</v>
      </c>
      <c r="Q619" s="255">
        <f ca="1">Q620+Q621</f>
        <v>7000</v>
      </c>
      <c r="R619" s="255">
        <f ca="1">R620+R621</f>
        <v>7000</v>
      </c>
      <c r="S619" s="255">
        <f ca="1">S620+S621</f>
        <v>0</v>
      </c>
      <c r="T619" s="255">
        <f ca="1">IF(Q619&gt;0,S619*100/Q619,0)</f>
        <v>0</v>
      </c>
      <c r="U619" s="255">
        <f ca="1">IF(R619&gt;0,S619*100/R619,0)</f>
        <v>0</v>
      </c>
    </row>
    <row r="620" spans="1:21" ht="18.75" hidden="1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103">
        <v>0</v>
      </c>
      <c r="M620" s="102">
        <v>0</v>
      </c>
      <c r="N620" s="102">
        <v>0</v>
      </c>
      <c r="O620" s="102">
        <f>IF(L620&gt;0,N620*100/L620,0)</f>
        <v>0</v>
      </c>
      <c r="P620" s="102">
        <f>IF(M620&gt;0,N620*100/M620,0)</f>
        <v>0</v>
      </c>
      <c r="Q620" s="102">
        <v>0</v>
      </c>
      <c r="R620" s="102">
        <v>0</v>
      </c>
      <c r="S620" s="102">
        <v>0</v>
      </c>
      <c r="T620" s="102">
        <f>IF(Q620&gt;0,S620*100/Q620,0)</f>
        <v>0</v>
      </c>
      <c r="U620" s="102">
        <f>IF(R620&gt;0,S620*100/R620,0)</f>
        <v>0</v>
      </c>
    </row>
    <row r="621" spans="1:21" ht="18.75" hidden="1">
      <c r="A621" s="155"/>
      <c r="B621" s="188"/>
      <c r="C621" s="188"/>
      <c r="D621" s="174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256">
        <v>0</v>
      </c>
      <c r="M621" s="255">
        <v>0</v>
      </c>
      <c r="N621" s="255">
        <v>0</v>
      </c>
      <c r="O621" s="255">
        <f>IF(L621&gt;0,N621*100/L621,0)</f>
        <v>0</v>
      </c>
      <c r="P621" s="255">
        <f>IF(M621&gt;0,N621*100/M621,0)</f>
        <v>0</v>
      </c>
      <c r="Q621" s="255">
        <f ca="1">IFERROR(__xludf.DUMMYFUNCTION("IMPORTRANGE(""https://docs.google.com/spreadsheets/d/1ItG2mGa2ceCfYo0BwxsXqNm01IGEUdYcSSLTEv9YCik/edit?usp=sharing"",""เบิกจ่ายกองทุน!F42"")"),7000)</f>
        <v>7000</v>
      </c>
      <c r="R621" s="255">
        <f ca="1">IFERROR(__xludf.DUMMYFUNCTION("IMPORTRANGE(""https://docs.google.com/spreadsheets/d/1ItG2mGa2ceCfYo0BwxsXqNm01IGEUdYcSSLTEv9YCik/edit?usp=sharing"",""เบิกจ่ายกองทุน!G42"")"),7000)</f>
        <v>7000</v>
      </c>
      <c r="S621" s="255">
        <f ca="1">IFERROR(__xludf.DUMMYFUNCTION("IMPORTRANGE(""https://docs.google.com/spreadsheets/d/1ItG2mGa2ceCfYo0BwxsXqNm01IGEUdYcSSLTEv9YCik/edit?usp=sharing"",""เบิกจ่ายกองทุน!H42"")"),0)</f>
        <v>0</v>
      </c>
      <c r="T621" s="255">
        <f ca="1">IF(Q621&gt;0,S621*100/Q621,0)</f>
        <v>0</v>
      </c>
      <c r="U621" s="255">
        <f ca="1">IF(R621&gt;0,S621*100/R621,0)</f>
        <v>0</v>
      </c>
    </row>
    <row r="622" spans="1:21" ht="18.75">
      <c r="A622" s="155"/>
      <c r="B622" s="188"/>
      <c r="C622" s="188"/>
      <c r="D622" s="51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256">
        <f>L623+L624</f>
        <v>0</v>
      </c>
      <c r="M622" s="255">
        <f>M623+M624</f>
        <v>0</v>
      </c>
      <c r="N622" s="255">
        <f>N623+N624</f>
        <v>0</v>
      </c>
      <c r="O622" s="255">
        <f>IF(L622&gt;0,N622*100/L622,0)</f>
        <v>0</v>
      </c>
      <c r="P622" s="255">
        <f>IF(M622&gt;0,N622*100/M622,0)</f>
        <v>0</v>
      </c>
      <c r="Q622" s="255">
        <f>Q623+Q624</f>
        <v>0</v>
      </c>
      <c r="R622" s="255">
        <f>R623+R624</f>
        <v>0</v>
      </c>
      <c r="S622" s="255">
        <f>S623+S624</f>
        <v>0</v>
      </c>
      <c r="T622" s="255">
        <f>IF(Q622&gt;0,S622*100/Q622,0)</f>
        <v>0</v>
      </c>
      <c r="U622" s="255">
        <f>IF(R622&gt;0,S622*100/R622,0)</f>
        <v>0</v>
      </c>
    </row>
    <row r="623" spans="1:21" ht="18.75" hidden="1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103">
        <v>0</v>
      </c>
      <c r="M623" s="102">
        <v>0</v>
      </c>
      <c r="N623" s="102">
        <v>0</v>
      </c>
      <c r="O623" s="102">
        <f>IF(L623&gt;0,N623*100/L623,0)</f>
        <v>0</v>
      </c>
      <c r="P623" s="102">
        <f>IF(M623&gt;0,N623*100/M623,0)</f>
        <v>0</v>
      </c>
      <c r="Q623" s="102">
        <v>0</v>
      </c>
      <c r="R623" s="102">
        <v>0</v>
      </c>
      <c r="S623" s="102">
        <v>0</v>
      </c>
      <c r="T623" s="102">
        <f>IF(Q623&gt;0,S623*100/Q623,0)</f>
        <v>0</v>
      </c>
      <c r="U623" s="102">
        <f>IF(R623&gt;0,S623*100/R623,0)</f>
        <v>0</v>
      </c>
    </row>
    <row r="624" spans="1:21" ht="18.75" hidden="1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256">
        <v>0</v>
      </c>
      <c r="M624" s="255">
        <v>0</v>
      </c>
      <c r="N624" s="255">
        <v>0</v>
      </c>
      <c r="O624" s="255">
        <f>IF(L624&gt;0,N624*100/L624,0)</f>
        <v>0</v>
      </c>
      <c r="P624" s="255">
        <f>IF(M624&gt;0,N624*100/M624,0)</f>
        <v>0</v>
      </c>
      <c r="Q624" s="255">
        <v>0</v>
      </c>
      <c r="R624" s="255">
        <v>0</v>
      </c>
      <c r="S624" s="255">
        <v>0</v>
      </c>
      <c r="T624" s="255">
        <f>IF(Q624&gt;0,S624*100/Q624,0)</f>
        <v>0</v>
      </c>
      <c r="U624" s="255">
        <f>IF(R624&gt;0,S624*100/R624,0)</f>
        <v>0</v>
      </c>
    </row>
    <row r="625" spans="1:21" ht="19.5">
      <c r="A625" s="166"/>
      <c r="B625" s="167"/>
      <c r="C625" s="205" t="s">
        <v>18</v>
      </c>
      <c r="D625" s="539" t="s">
        <v>38</v>
      </c>
      <c r="E625" s="169"/>
      <c r="F625" s="169"/>
      <c r="G625" s="170"/>
      <c r="H625" s="206"/>
      <c r="I625" s="163"/>
      <c r="J625" s="163"/>
      <c r="K625" s="164"/>
      <c r="L625" s="172"/>
      <c r="M625" s="164"/>
      <c r="N625" s="164"/>
      <c r="O625" s="164"/>
      <c r="P625" s="164"/>
      <c r="Q625" s="164"/>
      <c r="R625" s="164"/>
      <c r="S625" s="164"/>
      <c r="T625" s="164"/>
      <c r="U625" s="164"/>
    </row>
    <row r="626" spans="1:21" ht="19.5">
      <c r="A626" s="166"/>
      <c r="B626" s="167"/>
      <c r="C626" s="167"/>
      <c r="D626" s="460" t="s">
        <v>224</v>
      </c>
      <c r="E626" s="174"/>
      <c r="F626" s="174"/>
      <c r="G626" s="171"/>
      <c r="H626" s="461" t="s">
        <v>46</v>
      </c>
      <c r="I626" s="373">
        <f ca="1">IFERROR(__xludf.DUMMYFUNCTION("IMPORTRANGE(""https://docs.google.com/spreadsheets/d/1eHaY18a8A9IcSdp1K8H6x8fbOy06t2VsZHhMHf-1x7Y/edit?usp=sharing"",""แผน!ID42"")"),50)</f>
        <v>50</v>
      </c>
      <c r="J626" s="373">
        <f>J632</f>
        <v>0</v>
      </c>
      <c r="K626" s="540">
        <f ca="1">IF(I626&gt;0,J626*100/I626,0)</f>
        <v>0</v>
      </c>
      <c r="L626" s="172"/>
      <c r="M626" s="164"/>
      <c r="N626" s="164"/>
      <c r="O626" s="164"/>
      <c r="P626" s="164"/>
      <c r="Q626" s="164"/>
      <c r="R626" s="164"/>
      <c r="S626" s="164"/>
      <c r="T626" s="164"/>
      <c r="U626" s="164"/>
    </row>
    <row r="627" spans="1:21" ht="18.75">
      <c r="A627" s="166"/>
      <c r="B627" s="167"/>
      <c r="C627" s="167"/>
      <c r="D627" s="167"/>
      <c r="E627" s="178" t="s">
        <v>225</v>
      </c>
      <c r="F627" s="174"/>
      <c r="G627" s="171"/>
      <c r="H627" s="165" t="s">
        <v>61</v>
      </c>
      <c r="I627" s="212">
        <f ca="1">IFERROR(__xludf.DUMMYFUNCTION("IMPORTRANGE(""https://docs.google.com/spreadsheets/d/1eHaY18a8A9IcSdp1K8H6x8fbOy06t2VsZHhMHf-1x7Y/edit?usp=sharing"",""แผน!IC42"")"),0)</f>
        <v>0</v>
      </c>
      <c r="J627" s="467">
        <v>0</v>
      </c>
      <c r="K627" s="255">
        <f ca="1">IF(I627&gt;0,(J627*100)/I627,0)</f>
        <v>0</v>
      </c>
      <c r="L627" s="172"/>
      <c r="M627" s="164"/>
      <c r="N627" s="164"/>
      <c r="O627" s="164"/>
      <c r="P627" s="164"/>
      <c r="Q627" s="164"/>
      <c r="R627" s="164"/>
      <c r="S627" s="164"/>
      <c r="T627" s="164"/>
      <c r="U627" s="164"/>
    </row>
    <row r="628" spans="1:21" ht="18.75">
      <c r="A628" s="166"/>
      <c r="B628" s="167"/>
      <c r="C628" s="167"/>
      <c r="D628" s="167"/>
      <c r="E628" s="178" t="s">
        <v>226</v>
      </c>
      <c r="F628" s="174"/>
      <c r="G628" s="171"/>
      <c r="H628" s="165" t="s">
        <v>61</v>
      </c>
      <c r="I628" s="212">
        <f ca="1">IFERROR(__xludf.DUMMYFUNCTION("IMPORTRANGE(""https://docs.google.com/spreadsheets/d/1eHaY18a8A9IcSdp1K8H6x8fbOy06t2VsZHhMHf-1x7Y/edit?usp=sharing"",""แผน!IC42"")"),0)</f>
        <v>0</v>
      </c>
      <c r="J628" s="467">
        <v>0</v>
      </c>
      <c r="K628" s="255">
        <f ca="1">IF(I628&gt;0,(J628*100)/I628,0)</f>
        <v>0</v>
      </c>
      <c r="L628" s="172"/>
      <c r="M628" s="164"/>
      <c r="N628" s="164"/>
      <c r="O628" s="164"/>
      <c r="P628" s="164"/>
      <c r="Q628" s="164"/>
      <c r="R628" s="164"/>
      <c r="S628" s="164"/>
      <c r="T628" s="164"/>
      <c r="U628" s="164"/>
    </row>
    <row r="629" spans="1:21" ht="18.75">
      <c r="A629" s="166"/>
      <c r="B629" s="167"/>
      <c r="C629" s="167"/>
      <c r="D629" s="167"/>
      <c r="E629" s="178" t="s">
        <v>227</v>
      </c>
      <c r="F629" s="174"/>
      <c r="G629" s="171"/>
      <c r="H629" s="165" t="s">
        <v>46</v>
      </c>
      <c r="I629" s="54"/>
      <c r="J629" s="467">
        <v>41</v>
      </c>
      <c r="K629" s="255">
        <f ca="1">IF(I$626&gt;0,J629*100/I$626,0)</f>
        <v>82</v>
      </c>
      <c r="L629" s="172"/>
      <c r="M629" s="164"/>
      <c r="N629" s="164"/>
      <c r="O629" s="164"/>
      <c r="P629" s="164"/>
      <c r="Q629" s="164"/>
      <c r="R629" s="164"/>
      <c r="S629" s="164"/>
      <c r="T629" s="164"/>
      <c r="U629" s="164"/>
    </row>
    <row r="630" spans="1:21" ht="18.75">
      <c r="A630" s="166"/>
      <c r="B630" s="167"/>
      <c r="C630" s="167"/>
      <c r="D630" s="167"/>
      <c r="E630" s="178" t="s">
        <v>228</v>
      </c>
      <c r="F630" s="174"/>
      <c r="G630" s="171"/>
      <c r="H630" s="165" t="s">
        <v>46</v>
      </c>
      <c r="I630" s="54"/>
      <c r="J630" s="467">
        <v>0</v>
      </c>
      <c r="K630" s="255">
        <f ca="1">IF(I$626&gt;0,J630*100/I$626,0)</f>
        <v>0</v>
      </c>
      <c r="L630" s="172"/>
      <c r="M630" s="164"/>
      <c r="N630" s="164"/>
      <c r="O630" s="164"/>
      <c r="P630" s="164"/>
      <c r="Q630" s="164"/>
      <c r="R630" s="164"/>
      <c r="S630" s="164"/>
      <c r="T630" s="164"/>
      <c r="U630" s="164"/>
    </row>
    <row r="631" spans="1:21" ht="18.75">
      <c r="A631" s="166"/>
      <c r="B631" s="167"/>
      <c r="C631" s="167"/>
      <c r="D631" s="167"/>
      <c r="E631" s="178" t="s">
        <v>229</v>
      </c>
      <c r="F631" s="174"/>
      <c r="G631" s="171"/>
      <c r="H631" s="165" t="s">
        <v>46</v>
      </c>
      <c r="I631" s="54"/>
      <c r="J631" s="467">
        <v>0</v>
      </c>
      <c r="K631" s="255">
        <f ca="1">IF(I$626&gt;0,J631*100/I$626,0)</f>
        <v>0</v>
      </c>
      <c r="L631" s="172"/>
      <c r="M631" s="164"/>
      <c r="N631" s="164"/>
      <c r="O631" s="164"/>
      <c r="P631" s="164"/>
      <c r="Q631" s="164"/>
      <c r="R631" s="164"/>
      <c r="S631" s="164"/>
      <c r="T631" s="164"/>
      <c r="U631" s="164"/>
    </row>
    <row r="632" spans="1:21" ht="19.5">
      <c r="A632" s="166"/>
      <c r="B632" s="167"/>
      <c r="C632" s="167"/>
      <c r="D632" s="167"/>
      <c r="E632" s="178" t="s">
        <v>230</v>
      </c>
      <c r="F632" s="174"/>
      <c r="G632" s="171"/>
      <c r="H632" s="165" t="s">
        <v>46</v>
      </c>
      <c r="I632" s="54"/>
      <c r="J632" s="373">
        <f>J633+J634</f>
        <v>0</v>
      </c>
      <c r="K632" s="540">
        <f ca="1">IF(I626&gt;0,J632*100/I626,0)</f>
        <v>0</v>
      </c>
      <c r="L632" s="172"/>
      <c r="M632" s="164"/>
      <c r="N632" s="164"/>
      <c r="O632" s="164"/>
      <c r="P632" s="164"/>
      <c r="Q632" s="164"/>
      <c r="R632" s="164"/>
      <c r="S632" s="164"/>
      <c r="T632" s="164"/>
      <c r="U632" s="164"/>
    </row>
    <row r="633" spans="1:21" ht="18.75">
      <c r="A633" s="166"/>
      <c r="B633" s="167"/>
      <c r="C633" s="167"/>
      <c r="D633" s="167"/>
      <c r="E633" s="174"/>
      <c r="F633" s="178" t="s">
        <v>231</v>
      </c>
      <c r="G633" s="171"/>
      <c r="H633" s="165" t="s">
        <v>46</v>
      </c>
      <c r="I633" s="54"/>
      <c r="J633" s="467">
        <v>0</v>
      </c>
      <c r="K633" s="55"/>
      <c r="L633" s="172"/>
      <c r="M633" s="164"/>
      <c r="N633" s="164"/>
      <c r="O633" s="164"/>
      <c r="P633" s="164"/>
      <c r="Q633" s="164"/>
      <c r="R633" s="164"/>
      <c r="S633" s="164"/>
      <c r="T633" s="164"/>
      <c r="U633" s="164"/>
    </row>
    <row r="634" spans="1:21" ht="18.75">
      <c r="A634" s="166"/>
      <c r="B634" s="167"/>
      <c r="C634" s="167"/>
      <c r="D634" s="167"/>
      <c r="E634" s="174"/>
      <c r="F634" s="178" t="s">
        <v>232</v>
      </c>
      <c r="G634" s="171"/>
      <c r="H634" s="165" t="s">
        <v>46</v>
      </c>
      <c r="I634" s="54"/>
      <c r="J634" s="467">
        <v>0</v>
      </c>
      <c r="K634" s="55"/>
      <c r="L634" s="172"/>
      <c r="M634" s="164"/>
      <c r="N634" s="164"/>
      <c r="O634" s="164"/>
      <c r="P634" s="164"/>
      <c r="Q634" s="164"/>
      <c r="R634" s="164"/>
      <c r="S634" s="164"/>
      <c r="T634" s="164"/>
      <c r="U634" s="164"/>
    </row>
    <row r="635" spans="1:21" ht="19.5">
      <c r="A635" s="166"/>
      <c r="B635" s="167"/>
      <c r="C635" s="167"/>
      <c r="D635" s="460" t="s">
        <v>233</v>
      </c>
      <c r="E635" s="174"/>
      <c r="F635" s="174"/>
      <c r="G635" s="171"/>
      <c r="H635" s="165" t="s">
        <v>46</v>
      </c>
      <c r="I635" s="373">
        <f ca="1">IFERROR(__xludf.DUMMYFUNCTION("IMPORTRANGE(""https://docs.google.com/spreadsheets/d/1eHaY18a8A9IcSdp1K8H6x8fbOy06t2VsZHhMHf-1x7Y/edit?usp=sharing"",""แผน!IE42"")"),0)</f>
        <v>0</v>
      </c>
      <c r="J635" s="373">
        <f>J636</f>
        <v>179</v>
      </c>
      <c r="K635" s="540">
        <f ca="1">IF(I635&gt;0,J635*100/I635,0)</f>
        <v>0</v>
      </c>
      <c r="L635" s="172"/>
      <c r="M635" s="164"/>
      <c r="N635" s="164"/>
      <c r="O635" s="164"/>
      <c r="P635" s="164"/>
      <c r="Q635" s="164"/>
      <c r="R635" s="164"/>
      <c r="S635" s="164"/>
      <c r="T635" s="164"/>
      <c r="U635" s="164"/>
    </row>
    <row r="636" spans="1:21" ht="18.75">
      <c r="A636" s="166"/>
      <c r="B636" s="167"/>
      <c r="C636" s="167"/>
      <c r="D636" s="167"/>
      <c r="E636" s="178" t="s">
        <v>234</v>
      </c>
      <c r="F636" s="174"/>
      <c r="G636" s="171"/>
      <c r="H636" s="165" t="s">
        <v>46</v>
      </c>
      <c r="I636" s="54"/>
      <c r="J636" s="212">
        <f>J637+J638</f>
        <v>179</v>
      </c>
      <c r="K636" s="55"/>
      <c r="L636" s="172"/>
      <c r="M636" s="164"/>
      <c r="N636" s="164"/>
      <c r="O636" s="164"/>
      <c r="P636" s="164"/>
      <c r="Q636" s="164"/>
      <c r="R636" s="164"/>
      <c r="S636" s="164"/>
      <c r="T636" s="164"/>
      <c r="U636" s="164"/>
    </row>
    <row r="637" spans="1:21" ht="18.75">
      <c r="A637" s="166"/>
      <c r="B637" s="167"/>
      <c r="C637" s="167"/>
      <c r="D637" s="167"/>
      <c r="E637" s="174"/>
      <c r="F637" s="178" t="s">
        <v>231</v>
      </c>
      <c r="G637" s="171"/>
      <c r="H637" s="165" t="s">
        <v>46</v>
      </c>
      <c r="I637" s="54"/>
      <c r="J637" s="467">
        <v>0</v>
      </c>
      <c r="K637" s="55"/>
      <c r="L637" s="172"/>
      <c r="M637" s="164"/>
      <c r="N637" s="164"/>
      <c r="O637" s="164"/>
      <c r="P637" s="164"/>
      <c r="Q637" s="164"/>
      <c r="R637" s="164"/>
      <c r="S637" s="164"/>
      <c r="T637" s="164"/>
      <c r="U637" s="164"/>
    </row>
    <row r="638" spans="1:21" ht="18.75">
      <c r="A638" s="166"/>
      <c r="B638" s="167"/>
      <c r="C638" s="167"/>
      <c r="D638" s="167"/>
      <c r="E638" s="174"/>
      <c r="F638" s="178" t="s">
        <v>232</v>
      </c>
      <c r="G638" s="171"/>
      <c r="H638" s="165" t="s">
        <v>46</v>
      </c>
      <c r="I638" s="54"/>
      <c r="J638" s="467">
        <v>179</v>
      </c>
      <c r="K638" s="55"/>
      <c r="L638" s="172"/>
      <c r="M638" s="164"/>
      <c r="N638" s="164"/>
      <c r="O638" s="164"/>
      <c r="P638" s="164"/>
      <c r="Q638" s="164"/>
      <c r="R638" s="164"/>
      <c r="S638" s="164"/>
      <c r="T638" s="164"/>
      <c r="U638" s="164"/>
    </row>
    <row r="639" spans="1:21" ht="18.75">
      <c r="A639" s="166"/>
      <c r="B639" s="167"/>
      <c r="C639" s="167"/>
      <c r="D639" s="167"/>
      <c r="E639" s="178" t="s">
        <v>235</v>
      </c>
      <c r="F639" s="174"/>
      <c r="G639" s="171"/>
      <c r="H639" s="165" t="s">
        <v>46</v>
      </c>
      <c r="I639" s="54"/>
      <c r="J639" s="467">
        <v>0</v>
      </c>
      <c r="K639" s="55"/>
      <c r="L639" s="172"/>
      <c r="M639" s="164"/>
      <c r="N639" s="164"/>
      <c r="O639" s="164"/>
      <c r="P639" s="164"/>
      <c r="Q639" s="164"/>
      <c r="R639" s="164"/>
      <c r="S639" s="164"/>
      <c r="T639" s="164"/>
      <c r="U639" s="164"/>
    </row>
    <row r="640" spans="1:21" ht="18.75">
      <c r="A640" s="166"/>
      <c r="B640" s="167"/>
      <c r="C640" s="167"/>
      <c r="D640" s="167"/>
      <c r="E640" s="174"/>
      <c r="F640" s="178" t="s">
        <v>236</v>
      </c>
      <c r="G640" s="171"/>
      <c r="H640" s="165" t="s">
        <v>46</v>
      </c>
      <c r="I640" s="54"/>
      <c r="J640" s="467">
        <v>0</v>
      </c>
      <c r="K640" s="55"/>
      <c r="L640" s="172"/>
      <c r="M640" s="164"/>
      <c r="N640" s="164"/>
      <c r="O640" s="164"/>
      <c r="P640" s="164"/>
      <c r="Q640" s="164"/>
      <c r="R640" s="164"/>
      <c r="S640" s="164"/>
      <c r="T640" s="164"/>
      <c r="U640" s="164"/>
    </row>
    <row r="641" spans="1:21" ht="19.5">
      <c r="A641" s="450"/>
      <c r="B641" s="451" t="s">
        <v>237</v>
      </c>
      <c r="C641" s="450"/>
      <c r="D641" s="452"/>
      <c r="E641" s="452"/>
      <c r="F641" s="452"/>
      <c r="G641" s="453"/>
      <c r="H641" s="462"/>
      <c r="I641" s="463"/>
      <c r="J641" s="463"/>
      <c r="K641" s="457"/>
      <c r="L641" s="458"/>
      <c r="M641" s="457"/>
      <c r="N641" s="457"/>
      <c r="O641" s="457"/>
      <c r="P641" s="457"/>
      <c r="Q641" s="457"/>
      <c r="R641" s="457"/>
      <c r="S641" s="457"/>
      <c r="T641" s="457"/>
      <c r="U641" s="457"/>
    </row>
    <row r="642" spans="1:21" ht="19.5">
      <c r="A642" s="155"/>
      <c r="B642" s="188"/>
      <c r="C642" s="239" t="s">
        <v>18</v>
      </c>
      <c r="D642" s="542" t="s">
        <v>19</v>
      </c>
      <c r="E642" s="529"/>
      <c r="F642" s="529"/>
      <c r="G642" s="530"/>
      <c r="H642" s="252" t="s">
        <v>14</v>
      </c>
      <c r="I642" s="54"/>
      <c r="J642" s="54"/>
      <c r="K642" s="55"/>
      <c r="L642" s="541">
        <f>L643+L644</f>
        <v>0</v>
      </c>
      <c r="M642" s="540">
        <f>M643+M644</f>
        <v>0</v>
      </c>
      <c r="N642" s="540">
        <f>N643+N644</f>
        <v>0</v>
      </c>
      <c r="O642" s="540">
        <f>IF(L642&gt;0,N642*100/L642,0)</f>
        <v>0</v>
      </c>
      <c r="P642" s="540">
        <f>IF(M642&gt;0,N642*100/M642,0)</f>
        <v>0</v>
      </c>
      <c r="Q642" s="540">
        <f ca="1">Q643+Q644</f>
        <v>1960</v>
      </c>
      <c r="R642" s="540">
        <f ca="1">R643+R644</f>
        <v>1960</v>
      </c>
      <c r="S642" s="540">
        <f ca="1">S643+S644</f>
        <v>0</v>
      </c>
      <c r="T642" s="540">
        <f ca="1">IF(Q642&gt;0,S642*100/Q642,0)</f>
        <v>0</v>
      </c>
      <c r="U642" s="540">
        <f ca="1">IF(R642&gt;0,S642*100/R642,0)</f>
        <v>0</v>
      </c>
    </row>
    <row r="643" spans="1:21" ht="18.75" hidden="1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103">
        <f>L646+L649</f>
        <v>0</v>
      </c>
      <c r="M643" s="102">
        <f>M646+M649</f>
        <v>0</v>
      </c>
      <c r="N643" s="102">
        <f>N646+N649</f>
        <v>0</v>
      </c>
      <c r="O643" s="102">
        <f>IF(L643&gt;0,N643*100/L643,0)</f>
        <v>0</v>
      </c>
      <c r="P643" s="102">
        <f>IF(M643&gt;0,N643*100/M643,0)</f>
        <v>0</v>
      </c>
      <c r="Q643" s="102">
        <f>Q646+Q649</f>
        <v>0</v>
      </c>
      <c r="R643" s="102">
        <f>R646+R649</f>
        <v>0</v>
      </c>
      <c r="S643" s="102">
        <f>S646+S649</f>
        <v>0</v>
      </c>
      <c r="T643" s="102">
        <f>IF(Q643&gt;0,S643*100/Q643,0)</f>
        <v>0</v>
      </c>
      <c r="U643" s="102">
        <f>IF(R643&gt;0,S643*100/R643,0)</f>
        <v>0</v>
      </c>
    </row>
    <row r="644" spans="1:21" ht="18.75" hidden="1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256">
        <f>L647+L650</f>
        <v>0</v>
      </c>
      <c r="M644" s="255">
        <f>M647+M650</f>
        <v>0</v>
      </c>
      <c r="N644" s="255">
        <f>N647+N650</f>
        <v>0</v>
      </c>
      <c r="O644" s="255">
        <f>IF(L644&gt;0,N644*100/L644,0)</f>
        <v>0</v>
      </c>
      <c r="P644" s="255">
        <f>IF(M644&gt;0,N644*100/M644,0)</f>
        <v>0</v>
      </c>
      <c r="Q644" s="255">
        <f ca="1">Q647+Q650</f>
        <v>1960</v>
      </c>
      <c r="R644" s="255">
        <f ca="1">R647+R650</f>
        <v>1960</v>
      </c>
      <c r="S644" s="255">
        <f ca="1">S647+S650</f>
        <v>0</v>
      </c>
      <c r="T644" s="255">
        <f ca="1">IF(Q644&gt;0,S644*100/Q644,0)</f>
        <v>0</v>
      </c>
      <c r="U644" s="255">
        <f ca="1">IF(R644&gt;0,S644*100/R644,0)</f>
        <v>0</v>
      </c>
    </row>
    <row r="645" spans="1:21" ht="18.75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256">
        <f>L646+L647</f>
        <v>0</v>
      </c>
      <c r="M645" s="255">
        <f>M646+M647</f>
        <v>0</v>
      </c>
      <c r="N645" s="255">
        <f>N646+N647</f>
        <v>0</v>
      </c>
      <c r="O645" s="255">
        <f>IF(L645&gt;0,N645*100/L645,0)</f>
        <v>0</v>
      </c>
      <c r="P645" s="255">
        <f>IF(M645&gt;0,N645*100/M645,0)</f>
        <v>0</v>
      </c>
      <c r="Q645" s="255">
        <f ca="1">Q646+Q647</f>
        <v>1960</v>
      </c>
      <c r="R645" s="255">
        <f ca="1">R646+R647</f>
        <v>1960</v>
      </c>
      <c r="S645" s="255">
        <f ca="1">S646+S647</f>
        <v>0</v>
      </c>
      <c r="T645" s="255">
        <f ca="1">IF(Q645&gt;0,S645*100/Q645,0)</f>
        <v>0</v>
      </c>
      <c r="U645" s="255">
        <f ca="1">IF(R645&gt;0,S645*100/R645,0)</f>
        <v>0</v>
      </c>
    </row>
    <row r="646" spans="1:21" ht="18.75" hidden="1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103">
        <v>0</v>
      </c>
      <c r="M646" s="102">
        <v>0</v>
      </c>
      <c r="N646" s="102">
        <v>0</v>
      </c>
      <c r="O646" s="102">
        <f>IF(L646&gt;0,N646*100/L646,0)</f>
        <v>0</v>
      </c>
      <c r="P646" s="102">
        <f>IF(M646&gt;0,N646*100/M646,0)</f>
        <v>0</v>
      </c>
      <c r="Q646" s="102">
        <v>0</v>
      </c>
      <c r="R646" s="102">
        <v>0</v>
      </c>
      <c r="S646" s="102">
        <v>0</v>
      </c>
      <c r="T646" s="102">
        <f>IF(Q646&gt;0,S646*100/Q646,0)</f>
        <v>0</v>
      </c>
      <c r="U646" s="102">
        <f>IF(R646&gt;0,S646*100/R646,0)</f>
        <v>0</v>
      </c>
    </row>
    <row r="647" spans="1:21" ht="18.75" hidden="1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256">
        <v>0</v>
      </c>
      <c r="M647" s="255">
        <v>0</v>
      </c>
      <c r="N647" s="255">
        <v>0</v>
      </c>
      <c r="O647" s="255">
        <f>IF(L647&gt;0,N647*100/L647,0)</f>
        <v>0</v>
      </c>
      <c r="P647" s="255">
        <f>IF(M647&gt;0,N647*100/M647,0)</f>
        <v>0</v>
      </c>
      <c r="Q647" s="255">
        <f ca="1">IFERROR(__xludf.DUMMYFUNCTION("IMPORTRANGE(""https://docs.google.com/spreadsheets/d/1ItG2mGa2ceCfYo0BwxsXqNm01IGEUdYcSSLTEv9YCik/edit?usp=sharing"",""เบิกจ่ายกองทุน!I42"")"),1960)</f>
        <v>1960</v>
      </c>
      <c r="R647" s="255">
        <f ca="1">IFERROR(__xludf.DUMMYFUNCTION("IMPORTRANGE(""https://docs.google.com/spreadsheets/d/1ItG2mGa2ceCfYo0BwxsXqNm01IGEUdYcSSLTEv9YCik/edit?usp=sharing"",""เบิกจ่ายกองทุน!J42"")"),1960)</f>
        <v>1960</v>
      </c>
      <c r="S647" s="255">
        <f ca="1">IFERROR(__xludf.DUMMYFUNCTION("IMPORTRANGE(""https://docs.google.com/spreadsheets/d/1ItG2mGa2ceCfYo0BwxsXqNm01IGEUdYcSSLTEv9YCik/edit?usp=sharing"",""เบิกจ่ายกองทุน!K42"")"),0)</f>
        <v>0</v>
      </c>
      <c r="T647" s="255">
        <f ca="1">IF(Q647&gt;0,S647*100/Q647,0)</f>
        <v>0</v>
      </c>
      <c r="U647" s="255">
        <f ca="1">IF(R647&gt;0,S647*100/R647,0)</f>
        <v>0</v>
      </c>
    </row>
    <row r="648" spans="1:21" ht="18.75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256">
        <f>L649+L650</f>
        <v>0</v>
      </c>
      <c r="M648" s="255">
        <f>M649+M650</f>
        <v>0</v>
      </c>
      <c r="N648" s="255">
        <f>N649+N650</f>
        <v>0</v>
      </c>
      <c r="O648" s="255">
        <f>IF(L648&gt;0,N648*100/L648,0)</f>
        <v>0</v>
      </c>
      <c r="P648" s="255">
        <f>IF(M648&gt;0,N648*100/M648,0)</f>
        <v>0</v>
      </c>
      <c r="Q648" s="255">
        <f>Q649+Q650</f>
        <v>0</v>
      </c>
      <c r="R648" s="255">
        <f>R649+R650</f>
        <v>0</v>
      </c>
      <c r="S648" s="255">
        <f>S649+S650</f>
        <v>0</v>
      </c>
      <c r="T648" s="255">
        <f>IF(Q648&gt;0,S648*100/Q648,0)</f>
        <v>0</v>
      </c>
      <c r="U648" s="255">
        <f>IF(R648&gt;0,S648*100/R648,0)</f>
        <v>0</v>
      </c>
    </row>
    <row r="649" spans="1:21" ht="18.75" hidden="1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103">
        <v>0</v>
      </c>
      <c r="M649" s="102">
        <v>0</v>
      </c>
      <c r="N649" s="102">
        <v>0</v>
      </c>
      <c r="O649" s="102">
        <f>IF(L649&gt;0,N649*100/L649,0)</f>
        <v>0</v>
      </c>
      <c r="P649" s="102">
        <f>IF(M649&gt;0,N649*100/M649,0)</f>
        <v>0</v>
      </c>
      <c r="Q649" s="102">
        <v>0</v>
      </c>
      <c r="R649" s="102">
        <v>0</v>
      </c>
      <c r="S649" s="102">
        <v>0</v>
      </c>
      <c r="T649" s="102">
        <f>IF(Q649&gt;0,S649*100/Q649,0)</f>
        <v>0</v>
      </c>
      <c r="U649" s="102">
        <f>IF(R649&gt;0,S649*100/R649,0)</f>
        <v>0</v>
      </c>
    </row>
    <row r="650" spans="1:21" ht="18.75" hidden="1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256">
        <v>0</v>
      </c>
      <c r="M650" s="255">
        <v>0</v>
      </c>
      <c r="N650" s="255">
        <v>0</v>
      </c>
      <c r="O650" s="255">
        <f>IF(L650&gt;0,N650*100/L650,0)</f>
        <v>0</v>
      </c>
      <c r="P650" s="255">
        <f>IF(M650&gt;0,N650*100/M650,0)</f>
        <v>0</v>
      </c>
      <c r="Q650" s="255">
        <v>0</v>
      </c>
      <c r="R650" s="255">
        <v>0</v>
      </c>
      <c r="S650" s="255">
        <v>0</v>
      </c>
      <c r="T650" s="255">
        <f>IF(Q650&gt;0,S650*100/Q650,0)</f>
        <v>0</v>
      </c>
      <c r="U650" s="255">
        <f>IF(R650&gt;0,S650*100/R650,0)</f>
        <v>0</v>
      </c>
    </row>
    <row r="651" spans="1:21" ht="19.5">
      <c r="A651" s="166"/>
      <c r="B651" s="167"/>
      <c r="C651" s="239" t="s">
        <v>18</v>
      </c>
      <c r="D651" s="571" t="s">
        <v>38</v>
      </c>
      <c r="E651" s="169"/>
      <c r="F651" s="169"/>
      <c r="G651" s="170"/>
      <c r="H651" s="206"/>
      <c r="I651" s="163"/>
      <c r="J651" s="163"/>
      <c r="K651" s="164"/>
      <c r="L651" s="172"/>
      <c r="M651" s="164"/>
      <c r="N651" s="164"/>
      <c r="O651" s="164"/>
      <c r="P651" s="164"/>
      <c r="Q651" s="55"/>
      <c r="R651" s="55"/>
      <c r="S651" s="55"/>
      <c r="T651" s="164"/>
      <c r="U651" s="164"/>
    </row>
    <row r="652" spans="1:21" ht="18.75" hidden="1">
      <c r="A652" s="238"/>
      <c r="B652" s="188"/>
      <c r="C652" s="188"/>
      <c r="D652" s="58" t="s">
        <v>238</v>
      </c>
      <c r="E652" s="50"/>
      <c r="F652" s="50"/>
      <c r="G652" s="52"/>
      <c r="H652" s="165" t="s">
        <v>46</v>
      </c>
      <c r="I652" s="570">
        <f ca="1">IFERROR(__xludf.DUMMYFUNCTION("IMPORTRANGE(""https://docs.google.com/spreadsheets/d/1eHaY18a8A9IcSdp1K8H6x8fbOy06t2VsZHhMHf-1x7Y/edit?usp=sharing"",""แผน!IF42"")"),0)</f>
        <v>0</v>
      </c>
      <c r="J652" s="212">
        <f ca="1">IFERROR(__xludf.DUMMYFUNCTION("IMPORTRANGE(""https://docs.google.com/spreadsheets/d/1tdoBKaGub7dwA3U6UFTqxio9LNnvDCQjHKmttSEBsFQ/edit?usp=sharing"",""จัดที่ดิน!AU42"")"),0)</f>
        <v>0</v>
      </c>
      <c r="K652" s="255">
        <f ca="1">IF(I652&gt;0,J652*100/I652,0)</f>
        <v>0</v>
      </c>
      <c r="L652" s="62"/>
      <c r="M652" s="55"/>
      <c r="N652" s="468"/>
      <c r="O652" s="55"/>
      <c r="P652" s="55"/>
      <c r="Q652" s="55"/>
      <c r="R652" s="55"/>
      <c r="S652" s="468"/>
      <c r="T652" s="55"/>
      <c r="U652" s="55"/>
    </row>
    <row r="653" spans="1:21" ht="18.75" hidden="1">
      <c r="A653" s="238"/>
      <c r="B653" s="188"/>
      <c r="C653" s="188"/>
      <c r="D653" s="58" t="s">
        <v>239</v>
      </c>
      <c r="E653" s="50"/>
      <c r="F653" s="50"/>
      <c r="G653" s="52"/>
      <c r="H653" s="165" t="s">
        <v>35</v>
      </c>
      <c r="I653" s="570">
        <f ca="1">IFERROR(__xludf.DUMMYFUNCTION("IMPORTRANGE(""https://docs.google.com/spreadsheets/d/1eHaY18a8A9IcSdp1K8H6x8fbOy06t2VsZHhMHf-1x7Y/edit?usp=sharing"",""แผน!IG42"")"),0)</f>
        <v>0</v>
      </c>
      <c r="J653" s="212">
        <f ca="1">IFERROR(__xludf.DUMMYFUNCTION("IMPORTRANGE(""https://docs.google.com/spreadsheets/d/1tdoBKaGub7dwA3U6UFTqxio9LNnvDCQjHKmttSEBsFQ/edit?usp=sharing"",""จัดที่ดิน!AW42"")"),0)</f>
        <v>0</v>
      </c>
      <c r="K653" s="255">
        <f ca="1">IF(I653&gt;0,J653*100/I653,0)</f>
        <v>0</v>
      </c>
      <c r="L653" s="62"/>
      <c r="M653" s="55"/>
      <c r="N653" s="468"/>
      <c r="O653" s="55"/>
      <c r="P653" s="55"/>
      <c r="Q653" s="55"/>
      <c r="R653" s="55"/>
      <c r="S653" s="468"/>
      <c r="T653" s="55"/>
      <c r="U653" s="55"/>
    </row>
    <row r="654" spans="1:21" ht="19.5" hidden="1">
      <c r="A654" s="238"/>
      <c r="B654" s="188"/>
      <c r="C654" s="188"/>
      <c r="D654" s="58" t="s">
        <v>240</v>
      </c>
      <c r="E654" s="50"/>
      <c r="F654" s="50"/>
      <c r="G654" s="52"/>
      <c r="H654" s="461" t="s">
        <v>46</v>
      </c>
      <c r="I654" s="569">
        <f ca="1">IFERROR(__xludf.DUMMYFUNCTION("IMPORTRANGE(""https://docs.google.com/spreadsheets/d/1eHaY18a8A9IcSdp1K8H6x8fbOy06t2VsZHhMHf-1x7Y/edit?usp=sharing"",""แผน!IH42"")"),0)</f>
        <v>0</v>
      </c>
      <c r="J654" s="373">
        <f>J657+J660</f>
        <v>0</v>
      </c>
      <c r="K654" s="540">
        <f ca="1">IF(I654&gt;0,J654*100/I654,0)</f>
        <v>0</v>
      </c>
      <c r="L654" s="62"/>
      <c r="M654" s="55"/>
      <c r="N654" s="468"/>
      <c r="O654" s="55"/>
      <c r="P654" s="55"/>
      <c r="Q654" s="55"/>
      <c r="R654" s="55"/>
      <c r="S654" s="468"/>
      <c r="T654" s="55"/>
      <c r="U654" s="55"/>
    </row>
    <row r="655" spans="1:21" ht="18.75" hidden="1">
      <c r="A655" s="238"/>
      <c r="B655" s="188"/>
      <c r="C655" s="188"/>
      <c r="D655" s="50"/>
      <c r="E655" s="58" t="s">
        <v>241</v>
      </c>
      <c r="F655" s="50"/>
      <c r="G655" s="52"/>
      <c r="H655" s="165" t="s">
        <v>35</v>
      </c>
      <c r="I655" s="208"/>
      <c r="J655" s="467">
        <v>0</v>
      </c>
      <c r="K655" s="55"/>
      <c r="L655" s="62"/>
      <c r="M655" s="55"/>
      <c r="N655" s="468"/>
      <c r="O655" s="55"/>
      <c r="P655" s="55"/>
      <c r="Q655" s="55"/>
      <c r="R655" s="55"/>
      <c r="S655" s="468"/>
      <c r="T655" s="55"/>
      <c r="U655" s="55"/>
    </row>
    <row r="656" spans="1:21" ht="18.75" hidden="1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67">
        <v>0</v>
      </c>
      <c r="K656" s="55"/>
      <c r="L656" s="62"/>
      <c r="M656" s="55"/>
      <c r="N656" s="468"/>
      <c r="O656" s="55"/>
      <c r="P656" s="55"/>
      <c r="Q656" s="55"/>
      <c r="R656" s="55"/>
      <c r="S656" s="468"/>
      <c r="T656" s="55"/>
      <c r="U656" s="55"/>
    </row>
    <row r="657" spans="1:21" ht="18.75" hidden="1">
      <c r="A657" s="238"/>
      <c r="B657" s="188"/>
      <c r="C657" s="188"/>
      <c r="D657" s="50"/>
      <c r="E657" s="50"/>
      <c r="F657" s="50"/>
      <c r="G657" s="52"/>
      <c r="H657" s="165" t="s">
        <v>46</v>
      </c>
      <c r="I657" s="570">
        <f ca="1">IFERROR(__xludf.DUMMYFUNCTION("IMPORTRANGE(""https://docs.google.com/spreadsheets/d/1eHaY18a8A9IcSdp1K8H6x8fbOy06t2VsZHhMHf-1x7Y/edit?usp=sharing"",""แผน!II42"")"),0)</f>
        <v>0</v>
      </c>
      <c r="J657" s="467">
        <v>0</v>
      </c>
      <c r="K657" s="55"/>
      <c r="L657" s="62"/>
      <c r="M657" s="55"/>
      <c r="N657" s="468"/>
      <c r="O657" s="55"/>
      <c r="P657" s="55"/>
      <c r="Q657" s="55"/>
      <c r="R657" s="55"/>
      <c r="S657" s="468"/>
      <c r="T657" s="55"/>
      <c r="U657" s="55"/>
    </row>
    <row r="658" spans="1:21" ht="18.75" hidden="1">
      <c r="A658" s="238"/>
      <c r="B658" s="188"/>
      <c r="C658" s="188"/>
      <c r="D658" s="50"/>
      <c r="E658" s="58" t="s">
        <v>242</v>
      </c>
      <c r="F658" s="50"/>
      <c r="G658" s="52"/>
      <c r="H658" s="165" t="s">
        <v>35</v>
      </c>
      <c r="I658" s="208"/>
      <c r="J658" s="467">
        <v>0</v>
      </c>
      <c r="K658" s="55"/>
      <c r="L658" s="62"/>
      <c r="M658" s="55"/>
      <c r="N658" s="468"/>
      <c r="O658" s="55"/>
      <c r="P658" s="55"/>
      <c r="Q658" s="55"/>
      <c r="R658" s="55"/>
      <c r="S658" s="468"/>
      <c r="T658" s="55"/>
      <c r="U658" s="55"/>
    </row>
    <row r="659" spans="1:21" ht="18.75" hidden="1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67">
        <v>0</v>
      </c>
      <c r="K659" s="55"/>
      <c r="L659" s="62"/>
      <c r="M659" s="55"/>
      <c r="N659" s="468"/>
      <c r="O659" s="55"/>
      <c r="P659" s="55"/>
      <c r="Q659" s="55"/>
      <c r="R659" s="55"/>
      <c r="S659" s="468"/>
      <c r="T659" s="55"/>
      <c r="U659" s="55"/>
    </row>
    <row r="660" spans="1:21" ht="18.75" hidden="1">
      <c r="A660" s="238"/>
      <c r="B660" s="188"/>
      <c r="C660" s="188"/>
      <c r="D660" s="50"/>
      <c r="E660" s="50"/>
      <c r="F660" s="50"/>
      <c r="G660" s="52"/>
      <c r="H660" s="165" t="s">
        <v>46</v>
      </c>
      <c r="I660" s="570">
        <f ca="1">IFERROR(__xludf.DUMMYFUNCTION("IMPORTRANGE(""https://docs.google.com/spreadsheets/d/1eHaY18a8A9IcSdp1K8H6x8fbOy06t2VsZHhMHf-1x7Y/edit?usp=sharing"",""แผน!IJ42"")"),0)</f>
        <v>0</v>
      </c>
      <c r="J660" s="467">
        <v>0</v>
      </c>
      <c r="K660" s="55"/>
      <c r="L660" s="62"/>
      <c r="M660" s="55"/>
      <c r="N660" s="468"/>
      <c r="O660" s="55"/>
      <c r="P660" s="55"/>
      <c r="Q660" s="55"/>
      <c r="R660" s="55"/>
      <c r="S660" s="468"/>
      <c r="T660" s="55"/>
      <c r="U660" s="55"/>
    </row>
    <row r="661" spans="1:21" ht="19.5" hidden="1">
      <c r="A661" s="238"/>
      <c r="B661" s="188"/>
      <c r="C661" s="188"/>
      <c r="D661" s="377" t="s">
        <v>243</v>
      </c>
      <c r="E661" s="50"/>
      <c r="F661" s="50"/>
      <c r="G661" s="52"/>
      <c r="H661" s="461" t="s">
        <v>46</v>
      </c>
      <c r="I661" s="569">
        <f ca="1">IFERROR(__xludf.DUMMYFUNCTION("IMPORTRANGE(""https://docs.google.com/spreadsheets/d/1eHaY18a8A9IcSdp1K8H6x8fbOy06t2VsZHhMHf-1x7Y/edit?usp=sharing"",""แผน!IK42"")"),0)</f>
        <v>0</v>
      </c>
      <c r="J661" s="373">
        <f>J667+J670</f>
        <v>0</v>
      </c>
      <c r="K661" s="540">
        <f ca="1">IF(I661&gt;0,J661*100/I661,0)</f>
        <v>0</v>
      </c>
      <c r="L661" s="62"/>
      <c r="M661" s="55"/>
      <c r="N661" s="468"/>
      <c r="O661" s="55"/>
      <c r="P661" s="55"/>
      <c r="Q661" s="55"/>
      <c r="R661" s="55"/>
      <c r="S661" s="468"/>
      <c r="T661" s="55"/>
      <c r="U661" s="55"/>
    </row>
    <row r="662" spans="1:21" ht="18.75" hidden="1">
      <c r="A662" s="238"/>
      <c r="B662" s="188"/>
      <c r="C662" s="188"/>
      <c r="D662" s="50"/>
      <c r="E662" s="58" t="s">
        <v>244</v>
      </c>
      <c r="F662" s="50"/>
      <c r="G662" s="52"/>
      <c r="H662" s="165" t="s">
        <v>34</v>
      </c>
      <c r="I662" s="208"/>
      <c r="J662" s="467">
        <v>0</v>
      </c>
      <c r="K662" s="55"/>
      <c r="L662" s="469"/>
      <c r="M662" s="55"/>
      <c r="N662" s="468"/>
      <c r="O662" s="55"/>
      <c r="P662" s="55"/>
      <c r="Q662" s="468"/>
      <c r="R662" s="55"/>
      <c r="S662" s="468"/>
      <c r="T662" s="55"/>
      <c r="U662" s="55"/>
    </row>
    <row r="663" spans="1:21" ht="18.75" hidden="1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67">
        <v>0</v>
      </c>
      <c r="K663" s="55"/>
      <c r="L663" s="469"/>
      <c r="M663" s="55"/>
      <c r="N663" s="468"/>
      <c r="O663" s="55"/>
      <c r="P663" s="55"/>
      <c r="Q663" s="468"/>
      <c r="R663" s="55"/>
      <c r="S663" s="468"/>
      <c r="T663" s="55"/>
      <c r="U663" s="55"/>
    </row>
    <row r="664" spans="1:21" ht="18.75" hidden="1">
      <c r="A664" s="238"/>
      <c r="B664" s="188"/>
      <c r="C664" s="188"/>
      <c r="D664" s="50"/>
      <c r="E664" s="58" t="s">
        <v>245</v>
      </c>
      <c r="F664" s="50"/>
      <c r="G664" s="52"/>
      <c r="H664" s="206"/>
      <c r="I664" s="208"/>
      <c r="J664" s="54"/>
      <c r="K664" s="55"/>
      <c r="L664" s="469"/>
      <c r="M664" s="55"/>
      <c r="N664" s="468"/>
      <c r="O664" s="55"/>
      <c r="P664" s="55"/>
      <c r="Q664" s="468"/>
      <c r="R664" s="55"/>
      <c r="S664" s="468"/>
      <c r="T664" s="55"/>
      <c r="U664" s="55"/>
    </row>
    <row r="665" spans="1:21" ht="18.75" hidden="1">
      <c r="A665" s="238"/>
      <c r="B665" s="188"/>
      <c r="C665" s="188"/>
      <c r="D665" s="50"/>
      <c r="E665" s="50"/>
      <c r="F665" s="58" t="s">
        <v>246</v>
      </c>
      <c r="G665" s="52"/>
      <c r="H665" s="165" t="s">
        <v>35</v>
      </c>
      <c r="I665" s="208"/>
      <c r="J665" s="467">
        <v>0</v>
      </c>
      <c r="K665" s="55"/>
      <c r="L665" s="469"/>
      <c r="M665" s="55"/>
      <c r="N665" s="468"/>
      <c r="O665" s="55"/>
      <c r="P665" s="55"/>
      <c r="Q665" s="468"/>
      <c r="R665" s="55"/>
      <c r="S665" s="468"/>
      <c r="T665" s="55"/>
      <c r="U665" s="55"/>
    </row>
    <row r="666" spans="1:21" ht="18.75" hidden="1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67">
        <v>0</v>
      </c>
      <c r="K666" s="55"/>
      <c r="L666" s="469"/>
      <c r="M666" s="55"/>
      <c r="N666" s="468"/>
      <c r="O666" s="55"/>
      <c r="P666" s="55"/>
      <c r="Q666" s="468"/>
      <c r="R666" s="55"/>
      <c r="S666" s="468"/>
      <c r="T666" s="55"/>
      <c r="U666" s="55"/>
    </row>
    <row r="667" spans="1:21" ht="18.75" hidden="1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67">
        <v>0</v>
      </c>
      <c r="K667" s="55"/>
      <c r="L667" s="469"/>
      <c r="M667" s="55"/>
      <c r="N667" s="468"/>
      <c r="O667" s="55"/>
      <c r="P667" s="55"/>
      <c r="Q667" s="468"/>
      <c r="R667" s="55"/>
      <c r="S667" s="468"/>
      <c r="T667" s="55"/>
      <c r="U667" s="55"/>
    </row>
    <row r="668" spans="1:21" ht="18.75" hidden="1">
      <c r="A668" s="238"/>
      <c r="B668" s="188"/>
      <c r="C668" s="188"/>
      <c r="D668" s="50"/>
      <c r="E668" s="50"/>
      <c r="F668" s="58" t="s">
        <v>247</v>
      </c>
      <c r="G668" s="52"/>
      <c r="H668" s="165" t="s">
        <v>35</v>
      </c>
      <c r="I668" s="208"/>
      <c r="J668" s="467">
        <v>0</v>
      </c>
      <c r="K668" s="55"/>
      <c r="L668" s="469"/>
      <c r="M668" s="55"/>
      <c r="N668" s="468"/>
      <c r="O668" s="55"/>
      <c r="P668" s="55"/>
      <c r="Q668" s="468"/>
      <c r="R668" s="55"/>
      <c r="S668" s="468"/>
      <c r="T668" s="55"/>
      <c r="U668" s="55"/>
    </row>
    <row r="669" spans="1:21" ht="18.75" hidden="1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67">
        <v>0</v>
      </c>
      <c r="K669" s="55"/>
      <c r="L669" s="469"/>
      <c r="M669" s="55"/>
      <c r="N669" s="468"/>
      <c r="O669" s="55"/>
      <c r="P669" s="55"/>
      <c r="Q669" s="468"/>
      <c r="R669" s="55"/>
      <c r="S669" s="468"/>
      <c r="T669" s="55"/>
      <c r="U669" s="55"/>
    </row>
    <row r="670" spans="1:21" ht="18.75" hidden="1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67">
        <v>0</v>
      </c>
      <c r="K670" s="55"/>
      <c r="L670" s="469"/>
      <c r="M670" s="55"/>
      <c r="N670" s="468"/>
      <c r="O670" s="55"/>
      <c r="P670" s="55"/>
      <c r="Q670" s="468"/>
      <c r="R670" s="55"/>
      <c r="S670" s="468"/>
      <c r="T670" s="55"/>
      <c r="U670" s="55"/>
    </row>
    <row r="671" spans="1:21" ht="18.75">
      <c r="A671" s="238"/>
      <c r="B671" s="188"/>
      <c r="C671" s="188"/>
      <c r="D671" s="58" t="s">
        <v>248</v>
      </c>
      <c r="E671" s="50"/>
      <c r="F671" s="50"/>
      <c r="G671" s="52"/>
      <c r="H671" s="165" t="s">
        <v>35</v>
      </c>
      <c r="I671" s="208"/>
      <c r="J671" s="212">
        <f ca="1">IFERROR(__xludf.DUMMYFUNCTION("IMPORTRANGE(""https://docs.google.com/spreadsheets/d/1tdoBKaGub7dwA3U6UFTqxio9LNnvDCQjHKmttSEBsFQ/edit?usp=sharing"",""จัดที่ดิน!AY42"")"),0)</f>
        <v>0</v>
      </c>
      <c r="K671" s="55"/>
      <c r="L671" s="62"/>
      <c r="M671" s="55"/>
      <c r="N671" s="468"/>
      <c r="O671" s="55"/>
      <c r="P671" s="55"/>
      <c r="Q671" s="55"/>
      <c r="R671" s="55"/>
      <c r="S671" s="468"/>
      <c r="T671" s="55"/>
      <c r="U671" s="55"/>
    </row>
    <row r="672" spans="1:21" ht="18.75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212">
        <f ca="1">IFERROR(__xludf.DUMMYFUNCTION("IMPORTRANGE(""https://docs.google.com/spreadsheets/d/1tdoBKaGub7dwA3U6UFTqxio9LNnvDCQjHKmttSEBsFQ/edit?usp=sharing"",""จัดที่ดิน!AZ42"")"),0)</f>
        <v>0</v>
      </c>
      <c r="K672" s="55"/>
      <c r="L672" s="469"/>
      <c r="M672" s="55"/>
      <c r="N672" s="468"/>
      <c r="O672" s="55"/>
      <c r="P672" s="55"/>
      <c r="Q672" s="468"/>
      <c r="R672" s="55"/>
      <c r="S672" s="468"/>
      <c r="T672" s="55"/>
      <c r="U672" s="55"/>
    </row>
    <row r="673" spans="1:21" ht="18.75">
      <c r="A673" s="238"/>
      <c r="B673" s="188"/>
      <c r="C673" s="188"/>
      <c r="D673" s="50"/>
      <c r="E673" s="50"/>
      <c r="F673" s="50"/>
      <c r="G673" s="52"/>
      <c r="H673" s="165" t="s">
        <v>46</v>
      </c>
      <c r="I673" s="570">
        <f ca="1">IFERROR(__xludf.DUMMYFUNCTION("IMPORTRANGE(""https://docs.google.com/spreadsheets/d/1eHaY18a8A9IcSdp1K8H6x8fbOy06t2VsZHhMHf-1x7Y/edit?usp=sharing"",""แผน!IL42"")"),14)</f>
        <v>14</v>
      </c>
      <c r="J673" s="212">
        <f ca="1">IFERROR(__xludf.DUMMYFUNCTION("IMPORTRANGE(""https://docs.google.com/spreadsheets/d/1tdoBKaGub7dwA3U6UFTqxio9LNnvDCQjHKmttSEBsFQ/edit?usp=sharing"",""จัดที่ดิน!BA42"")"),0)</f>
        <v>0</v>
      </c>
      <c r="K673" s="255">
        <f ca="1">IF(I673&gt;0,J673*100/I673,0)</f>
        <v>0</v>
      </c>
      <c r="L673" s="469"/>
      <c r="M673" s="55"/>
      <c r="N673" s="468"/>
      <c r="O673" s="55"/>
      <c r="P673" s="55"/>
      <c r="Q673" s="468"/>
      <c r="R673" s="55"/>
      <c r="S673" s="468"/>
      <c r="T673" s="55"/>
      <c r="U673" s="55"/>
    </row>
    <row r="674" spans="1:21" ht="19.5">
      <c r="A674" s="238"/>
      <c r="B674" s="188"/>
      <c r="C674" s="188"/>
      <c r="D674" s="58" t="s">
        <v>249</v>
      </c>
      <c r="E674" s="50"/>
      <c r="F674" s="50"/>
      <c r="G674" s="52"/>
      <c r="H674" s="461" t="s">
        <v>35</v>
      </c>
      <c r="I674" s="569">
        <f ca="1">IFERROR(__xludf.DUMMYFUNCTION("IMPORTRANGE(""https://docs.google.com/spreadsheets/d/1eHaY18a8A9IcSdp1K8H6x8fbOy06t2VsZHhMHf-1x7Y/edit?usp=sharing"",""แผน!IM42"")"),1)</f>
        <v>1</v>
      </c>
      <c r="J674" s="373">
        <f ca="1">J676+J679</f>
        <v>0</v>
      </c>
      <c r="K674" s="540">
        <f ca="1">IF(I674&gt;0,J674*100/I674,0)</f>
        <v>0</v>
      </c>
      <c r="L674" s="469"/>
      <c r="M674" s="55"/>
      <c r="N674" s="468"/>
      <c r="O674" s="55"/>
      <c r="P674" s="55"/>
      <c r="Q674" s="468"/>
      <c r="R674" s="55"/>
      <c r="S674" s="468"/>
      <c r="T674" s="55"/>
      <c r="U674" s="55"/>
    </row>
    <row r="675" spans="1:21" ht="19.5">
      <c r="A675" s="238"/>
      <c r="B675" s="188"/>
      <c r="C675" s="188"/>
      <c r="D675" s="50"/>
      <c r="E675" s="50"/>
      <c r="F675" s="50"/>
      <c r="G675" s="52"/>
      <c r="H675" s="461" t="s">
        <v>46</v>
      </c>
      <c r="I675" s="569">
        <f ca="1">IFERROR(__xludf.DUMMYFUNCTION("IMPORTRANGE(""https://docs.google.com/spreadsheets/d/1eHaY18a8A9IcSdp1K8H6x8fbOy06t2VsZHhMHf-1x7Y/edit?usp=sharing"",""แผน!IN42"")"),10)</f>
        <v>10</v>
      </c>
      <c r="J675" s="373">
        <f ca="1">J678+J681</f>
        <v>0</v>
      </c>
      <c r="K675" s="540">
        <f ca="1">IF(I675&gt;0,J675*100/I675,0)</f>
        <v>0</v>
      </c>
      <c r="L675" s="62"/>
      <c r="M675" s="55"/>
      <c r="N675" s="468"/>
      <c r="O675" s="55"/>
      <c r="P675" s="55"/>
      <c r="Q675" s="55"/>
      <c r="R675" s="55"/>
      <c r="S675" s="468"/>
      <c r="T675" s="55"/>
      <c r="U675" s="55"/>
    </row>
    <row r="676" spans="1:21" ht="18.75">
      <c r="A676" s="238"/>
      <c r="B676" s="188"/>
      <c r="C676" s="188"/>
      <c r="D676" s="50"/>
      <c r="E676" s="58" t="s">
        <v>250</v>
      </c>
      <c r="F676" s="50"/>
      <c r="G676" s="52"/>
      <c r="H676" s="165" t="s">
        <v>35</v>
      </c>
      <c r="I676" s="570">
        <f ca="1">IFERROR(__xludf.DUMMYFUNCTION("IMPORTRANGE(""https://docs.google.com/spreadsheets/d/1eHaY18a8A9IcSdp1K8H6x8fbOy06t2VsZHhMHf-1x7Y/edit?usp=sharing"",""แผน!IO42"")"),1)</f>
        <v>1</v>
      </c>
      <c r="J676" s="212">
        <f ca="1">IFERROR(__xludf.DUMMYFUNCTION("IMPORTRANGE(""https://docs.google.com/spreadsheets/d/1tdoBKaGub7dwA3U6UFTqxio9LNnvDCQjHKmttSEBsFQ/edit?usp=sharing"",""จัดที่ดิน!BF42"")"),0)</f>
        <v>0</v>
      </c>
      <c r="K676" s="255">
        <f ca="1">IF(I676&gt;0,J676*100/I676,0)</f>
        <v>0</v>
      </c>
      <c r="L676" s="62"/>
      <c r="M676" s="55"/>
      <c r="N676" s="468"/>
      <c r="O676" s="55"/>
      <c r="P676" s="55"/>
      <c r="Q676" s="55"/>
      <c r="R676" s="55"/>
      <c r="S676" s="468"/>
      <c r="T676" s="55"/>
      <c r="U676" s="55"/>
    </row>
    <row r="677" spans="1:21" ht="18.75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212">
        <f ca="1">IFERROR(__xludf.DUMMYFUNCTION("IMPORTRANGE(""https://docs.google.com/spreadsheets/d/1tdoBKaGub7dwA3U6UFTqxio9LNnvDCQjHKmttSEBsFQ/edit?usp=sharing"",""จัดที่ดิน!BG42"")"),0)</f>
        <v>0</v>
      </c>
      <c r="K677" s="55"/>
      <c r="L677" s="469"/>
      <c r="M677" s="55"/>
      <c r="N677" s="468"/>
      <c r="O677" s="55"/>
      <c r="P677" s="55"/>
      <c r="Q677" s="468"/>
      <c r="R677" s="55"/>
      <c r="S677" s="468"/>
      <c r="T677" s="55"/>
      <c r="U677" s="55"/>
    </row>
    <row r="678" spans="1:21" ht="18.75">
      <c r="A678" s="238"/>
      <c r="B678" s="188"/>
      <c r="C678" s="188"/>
      <c r="D678" s="50"/>
      <c r="E678" s="50"/>
      <c r="F678" s="50"/>
      <c r="G678" s="52"/>
      <c r="H678" s="165" t="s">
        <v>46</v>
      </c>
      <c r="I678" s="570">
        <f ca="1">IFERROR(__xludf.DUMMYFUNCTION("IMPORTRANGE(""https://docs.google.com/spreadsheets/d/1eHaY18a8A9IcSdp1K8H6x8fbOy06t2VsZHhMHf-1x7Y/edit?usp=sharing"",""แผน!IP42"")"),10)</f>
        <v>10</v>
      </c>
      <c r="J678" s="212">
        <f ca="1">IFERROR(__xludf.DUMMYFUNCTION("IMPORTRANGE(""https://docs.google.com/spreadsheets/d/1tdoBKaGub7dwA3U6UFTqxio9LNnvDCQjHKmttSEBsFQ/edit?usp=sharing"",""จัดที่ดิน!BH42"")"),0)</f>
        <v>0</v>
      </c>
      <c r="K678" s="255">
        <f ca="1">IF(I678&gt;0,J678*100/I678,0)</f>
        <v>0</v>
      </c>
      <c r="L678" s="469"/>
      <c r="M678" s="55"/>
      <c r="N678" s="468"/>
      <c r="O678" s="55"/>
      <c r="P678" s="55"/>
      <c r="Q678" s="468"/>
      <c r="R678" s="55"/>
      <c r="S678" s="468"/>
      <c r="T678" s="55"/>
      <c r="U678" s="55"/>
    </row>
    <row r="679" spans="1:21" ht="18.75">
      <c r="A679" s="238"/>
      <c r="B679" s="188"/>
      <c r="C679" s="188"/>
      <c r="D679" s="50"/>
      <c r="E679" s="58" t="s">
        <v>251</v>
      </c>
      <c r="F679" s="50"/>
      <c r="G679" s="52"/>
      <c r="H679" s="165" t="s">
        <v>35</v>
      </c>
      <c r="I679" s="570">
        <f ca="1">IFERROR(__xludf.DUMMYFUNCTION("IMPORTRANGE(""https://docs.google.com/spreadsheets/d/1eHaY18a8A9IcSdp1K8H6x8fbOy06t2VsZHhMHf-1x7Y/edit?usp=sharing"",""แผน!IQ42"")"),0)</f>
        <v>0</v>
      </c>
      <c r="J679" s="212">
        <f ca="1">IFERROR(__xludf.DUMMYFUNCTION("IMPORTRANGE(""https://docs.google.com/spreadsheets/d/1tdoBKaGub7dwA3U6UFTqxio9LNnvDCQjHKmttSEBsFQ/edit?usp=sharing"",""จัดที่ดิน!BK42"")"),0)</f>
        <v>0</v>
      </c>
      <c r="K679" s="255">
        <f ca="1">IF(I679&gt;0,J679*100/I679,0)</f>
        <v>0</v>
      </c>
      <c r="L679" s="62"/>
      <c r="M679" s="55"/>
      <c r="N679" s="468"/>
      <c r="O679" s="55"/>
      <c r="P679" s="55"/>
      <c r="Q679" s="55"/>
      <c r="R679" s="55"/>
      <c r="S679" s="468"/>
      <c r="T679" s="55"/>
      <c r="U679" s="55"/>
    </row>
    <row r="680" spans="1:21" ht="18.75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212">
        <f ca="1">IFERROR(__xludf.DUMMYFUNCTION("IMPORTRANGE(""https://docs.google.com/spreadsheets/d/1tdoBKaGub7dwA3U6UFTqxio9LNnvDCQjHKmttSEBsFQ/edit?usp=sharing"",""จัดที่ดิน!BL42"")"),0)</f>
        <v>0</v>
      </c>
      <c r="K680" s="55"/>
      <c r="L680" s="469"/>
      <c r="M680" s="55"/>
      <c r="N680" s="468"/>
      <c r="O680" s="55"/>
      <c r="P680" s="55"/>
      <c r="Q680" s="468"/>
      <c r="R680" s="55"/>
      <c r="S680" s="468"/>
      <c r="T680" s="55"/>
      <c r="U680" s="55"/>
    </row>
    <row r="681" spans="1:21" ht="18.75">
      <c r="A681" s="238"/>
      <c r="B681" s="188"/>
      <c r="C681" s="188"/>
      <c r="D681" s="50"/>
      <c r="E681" s="50"/>
      <c r="F681" s="50"/>
      <c r="G681" s="52"/>
      <c r="H681" s="165" t="s">
        <v>46</v>
      </c>
      <c r="I681" s="570">
        <f ca="1">IFERROR(__xludf.DUMMYFUNCTION("IMPORTRANGE(""https://docs.google.com/spreadsheets/d/1eHaY18a8A9IcSdp1K8H6x8fbOy06t2VsZHhMHf-1x7Y/edit?usp=sharing"",""แผน!IR42"")"),0)</f>
        <v>0</v>
      </c>
      <c r="J681" s="212">
        <f ca="1">IFERROR(__xludf.DUMMYFUNCTION("IMPORTRANGE(""https://docs.google.com/spreadsheets/d/1tdoBKaGub7dwA3U6UFTqxio9LNnvDCQjHKmttSEBsFQ/edit?usp=sharing"",""จัดที่ดิน!BM42"")"),0)</f>
        <v>0</v>
      </c>
      <c r="K681" s="255">
        <f ca="1">IF(I681&gt;0,J681*100/I681,0)</f>
        <v>0</v>
      </c>
      <c r="L681" s="469"/>
      <c r="M681" s="55"/>
      <c r="N681" s="468"/>
      <c r="O681" s="55"/>
      <c r="P681" s="55"/>
      <c r="Q681" s="468"/>
      <c r="R681" s="55"/>
      <c r="S681" s="468"/>
      <c r="T681" s="55"/>
      <c r="U681" s="55"/>
    </row>
    <row r="682" spans="1:21" ht="19.5" hidden="1">
      <c r="A682" s="238"/>
      <c r="B682" s="188"/>
      <c r="C682" s="188"/>
      <c r="D682" s="58" t="s">
        <v>252</v>
      </c>
      <c r="E682" s="50"/>
      <c r="F682" s="50"/>
      <c r="G682" s="52"/>
      <c r="H682" s="461" t="s">
        <v>46</v>
      </c>
      <c r="I682" s="569">
        <f ca="1">IFERROR(__xludf.DUMMYFUNCTION("IMPORTRANGE(""https://docs.google.com/spreadsheets/d/1eHaY18a8A9IcSdp1K8H6x8fbOy06t2VsZHhMHf-1x7Y/edit?usp=sharing"",""แผน!IS42"")"),0)</f>
        <v>0</v>
      </c>
      <c r="J682" s="373">
        <f>J685+J688</f>
        <v>0</v>
      </c>
      <c r="K682" s="540">
        <f ca="1">IF(I682&gt;0,J682*100/I682,0)</f>
        <v>0</v>
      </c>
      <c r="L682" s="62"/>
      <c r="M682" s="55"/>
      <c r="N682" s="468"/>
      <c r="O682" s="55"/>
      <c r="P682" s="55"/>
      <c r="Q682" s="55"/>
      <c r="R682" s="55"/>
      <c r="S682" s="468"/>
      <c r="T682" s="55"/>
      <c r="U682" s="55"/>
    </row>
    <row r="683" spans="1:21" ht="18.75" hidden="1">
      <c r="A683" s="238"/>
      <c r="B683" s="188"/>
      <c r="C683" s="188"/>
      <c r="D683" s="50"/>
      <c r="E683" s="58" t="s">
        <v>253</v>
      </c>
      <c r="F683" s="50"/>
      <c r="G683" s="52"/>
      <c r="H683" s="165" t="s">
        <v>35</v>
      </c>
      <c r="I683" s="208"/>
      <c r="J683" s="467">
        <v>0</v>
      </c>
      <c r="K683" s="55"/>
      <c r="L683" s="469"/>
      <c r="M683" s="55"/>
      <c r="N683" s="468"/>
      <c r="O683" s="55"/>
      <c r="P683" s="55"/>
      <c r="Q683" s="468"/>
      <c r="R683" s="55"/>
      <c r="S683" s="468"/>
      <c r="T683" s="55"/>
      <c r="U683" s="55"/>
    </row>
    <row r="684" spans="1:21" ht="18.75" hidden="1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467">
        <v>0</v>
      </c>
      <c r="K684" s="55"/>
      <c r="L684" s="469"/>
      <c r="M684" s="55"/>
      <c r="N684" s="468"/>
      <c r="O684" s="55"/>
      <c r="P684" s="55"/>
      <c r="Q684" s="468"/>
      <c r="R684" s="55"/>
      <c r="S684" s="468"/>
      <c r="T684" s="55"/>
      <c r="U684" s="55"/>
    </row>
    <row r="685" spans="1:21" ht="18.75" hidden="1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467">
        <v>0</v>
      </c>
      <c r="K685" s="55"/>
      <c r="L685" s="469"/>
      <c r="M685" s="55"/>
      <c r="N685" s="468"/>
      <c r="O685" s="55"/>
      <c r="P685" s="55"/>
      <c r="Q685" s="468"/>
      <c r="R685" s="55"/>
      <c r="S685" s="468"/>
      <c r="T685" s="55"/>
      <c r="U685" s="55"/>
    </row>
    <row r="686" spans="1:21" ht="18.75" hidden="1">
      <c r="A686" s="238"/>
      <c r="B686" s="188"/>
      <c r="C686" s="188"/>
      <c r="D686" s="50"/>
      <c r="E686" s="58" t="s">
        <v>254</v>
      </c>
      <c r="F686" s="50"/>
      <c r="G686" s="52"/>
      <c r="H686" s="165" t="s">
        <v>35</v>
      </c>
      <c r="I686" s="208"/>
      <c r="J686" s="467">
        <v>0</v>
      </c>
      <c r="K686" s="55"/>
      <c r="L686" s="469"/>
      <c r="M686" s="55"/>
      <c r="N686" s="468"/>
      <c r="O686" s="55"/>
      <c r="P686" s="55"/>
      <c r="Q686" s="468"/>
      <c r="R686" s="55"/>
      <c r="S686" s="468"/>
      <c r="T686" s="55"/>
      <c r="U686" s="55"/>
    </row>
    <row r="687" spans="1:21" ht="18.75" hidden="1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467">
        <v>0</v>
      </c>
      <c r="K687" s="55"/>
      <c r="L687" s="469"/>
      <c r="M687" s="55"/>
      <c r="N687" s="468"/>
      <c r="O687" s="55"/>
      <c r="P687" s="55"/>
      <c r="Q687" s="468"/>
      <c r="R687" s="55"/>
      <c r="S687" s="468"/>
      <c r="T687" s="55"/>
      <c r="U687" s="55"/>
    </row>
    <row r="688" spans="1:21" ht="19.5" hidden="1">
      <c r="A688" s="281"/>
      <c r="B688" s="470" t="s">
        <v>255</v>
      </c>
      <c r="C688" s="282"/>
      <c r="D688" s="2"/>
      <c r="E688" s="2"/>
      <c r="F688" s="2"/>
      <c r="G688" s="284"/>
      <c r="H688" s="214" t="s">
        <v>46</v>
      </c>
      <c r="I688" s="375"/>
      <c r="J688" s="538">
        <v>0</v>
      </c>
      <c r="K688" s="6"/>
      <c r="L688" s="472"/>
      <c r="M688" s="6"/>
      <c r="N688" s="471"/>
      <c r="O688" s="6"/>
      <c r="P688" s="6"/>
      <c r="Q688" s="471"/>
      <c r="R688" s="6"/>
      <c r="S688" s="471"/>
      <c r="T688" s="6"/>
      <c r="U688" s="6"/>
    </row>
    <row r="689" spans="1:21" ht="19.5">
      <c r="A689" s="442"/>
      <c r="B689" s="443" t="s">
        <v>256</v>
      </c>
      <c r="C689" s="442"/>
      <c r="D689" s="444"/>
      <c r="E689" s="444"/>
      <c r="F689" s="444"/>
      <c r="G689" s="445"/>
      <c r="H689" s="568" t="s">
        <v>35</v>
      </c>
      <c r="I689" s="567">
        <f ca="1">I707</f>
        <v>207</v>
      </c>
      <c r="J689" s="567">
        <f ca="1">J707</f>
        <v>16</v>
      </c>
      <c r="K689" s="543">
        <f ca="1">IF(I689&gt;0,J689*100/I689,0)</f>
        <v>7.7294685990338161</v>
      </c>
      <c r="L689" s="449"/>
      <c r="M689" s="448"/>
      <c r="N689" s="448"/>
      <c r="O689" s="448"/>
      <c r="P689" s="448"/>
      <c r="Q689" s="448"/>
      <c r="R689" s="448"/>
      <c r="S689" s="448"/>
      <c r="T689" s="448"/>
      <c r="U689" s="448"/>
    </row>
    <row r="690" spans="1:21" ht="19.5">
      <c r="A690" s="155"/>
      <c r="B690" s="188"/>
      <c r="C690" s="205" t="s">
        <v>18</v>
      </c>
      <c r="D690" s="542" t="s">
        <v>19</v>
      </c>
      <c r="E690" s="529"/>
      <c r="F690" s="529"/>
      <c r="G690" s="530"/>
      <c r="H690" s="252" t="s">
        <v>14</v>
      </c>
      <c r="I690" s="54"/>
      <c r="J690" s="54"/>
      <c r="K690" s="55"/>
      <c r="L690" s="541">
        <f>L691+L692</f>
        <v>0</v>
      </c>
      <c r="M690" s="540">
        <f>M691+M692</f>
        <v>0</v>
      </c>
      <c r="N690" s="540">
        <f>N691+N692</f>
        <v>0</v>
      </c>
      <c r="O690" s="540">
        <f>IF(L690&gt;0,N690*100/L690,0)</f>
        <v>0</v>
      </c>
      <c r="P690" s="540">
        <f>IF(M690&gt;0,N690*100/M690,0)</f>
        <v>0</v>
      </c>
      <c r="Q690" s="540">
        <f ca="1">Q691+Q692</f>
        <v>332810</v>
      </c>
      <c r="R690" s="540">
        <f ca="1">R691+R692</f>
        <v>332810</v>
      </c>
      <c r="S690" s="540">
        <f ca="1">S691+S692</f>
        <v>2700</v>
      </c>
      <c r="T690" s="540">
        <f ca="1">IF(Q690&gt;0,S690*100/Q690,0)</f>
        <v>0.81127369970854246</v>
      </c>
      <c r="U690" s="540">
        <f ca="1">IF(R690&gt;0,S690*100/R690,0)</f>
        <v>0.81127369970854246</v>
      </c>
    </row>
    <row r="691" spans="1:21" ht="18.75" hidden="1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103">
        <f>L694+L697</f>
        <v>0</v>
      </c>
      <c r="M691" s="102">
        <f>M694+M697</f>
        <v>0</v>
      </c>
      <c r="N691" s="102">
        <f>N694+N697</f>
        <v>0</v>
      </c>
      <c r="O691" s="102">
        <f>IF(L691&gt;0,N691*100/L691,0)</f>
        <v>0</v>
      </c>
      <c r="P691" s="102">
        <f>IF(M691&gt;0,N691*100/M691,0)</f>
        <v>0</v>
      </c>
      <c r="Q691" s="102">
        <f>Q694+Q697</f>
        <v>0</v>
      </c>
      <c r="R691" s="102">
        <f>R694+R697</f>
        <v>0</v>
      </c>
      <c r="S691" s="102">
        <f>S694+S697</f>
        <v>0</v>
      </c>
      <c r="T691" s="102">
        <f>IF(Q691&gt;0,S691*100/Q691,0)</f>
        <v>0</v>
      </c>
      <c r="U691" s="102">
        <f>IF(R691&gt;0,S691*100/R691,0)</f>
        <v>0</v>
      </c>
    </row>
    <row r="692" spans="1:21" ht="18.75" hidden="1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256">
        <f>L695+L698</f>
        <v>0</v>
      </c>
      <c r="M692" s="255">
        <f>M695+M698</f>
        <v>0</v>
      </c>
      <c r="N692" s="255">
        <f>N695+N698</f>
        <v>0</v>
      </c>
      <c r="O692" s="255">
        <f>IF(L692&gt;0,N692*100/L692,0)</f>
        <v>0</v>
      </c>
      <c r="P692" s="255">
        <f>IF(M692&gt;0,N692*100/M692,0)</f>
        <v>0</v>
      </c>
      <c r="Q692" s="255">
        <f ca="1">Q695+Q698</f>
        <v>332810</v>
      </c>
      <c r="R692" s="255">
        <f ca="1">R695+R698</f>
        <v>332810</v>
      </c>
      <c r="S692" s="255">
        <f ca="1">S695+S698</f>
        <v>2700</v>
      </c>
      <c r="T692" s="255">
        <f ca="1">IF(Q692&gt;0,S692*100/Q692,0)</f>
        <v>0.81127369970854246</v>
      </c>
      <c r="U692" s="255">
        <f ca="1">IF(R692&gt;0,S692*100/R692,0)</f>
        <v>0.81127369970854246</v>
      </c>
    </row>
    <row r="693" spans="1:21" ht="18.75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256">
        <f>L694+L695</f>
        <v>0</v>
      </c>
      <c r="M693" s="255">
        <f>M694+M695</f>
        <v>0</v>
      </c>
      <c r="N693" s="255">
        <f>N694+N695</f>
        <v>0</v>
      </c>
      <c r="O693" s="255">
        <f>IF(L693&gt;0,N693*100/L693,0)</f>
        <v>0</v>
      </c>
      <c r="P693" s="255">
        <f>IF(M693&gt;0,N693*100/M693,0)</f>
        <v>0</v>
      </c>
      <c r="Q693" s="255">
        <f ca="1">Q694+Q695</f>
        <v>332810</v>
      </c>
      <c r="R693" s="255">
        <f ca="1">R694+R695</f>
        <v>332810</v>
      </c>
      <c r="S693" s="255">
        <f ca="1">S694+S695</f>
        <v>2700</v>
      </c>
      <c r="T693" s="255">
        <f ca="1">IF(Q693&gt;0,S693*100/Q693,0)</f>
        <v>0.81127369970854246</v>
      </c>
      <c r="U693" s="255">
        <f ca="1">IF(R693&gt;0,S693*100/R693,0)</f>
        <v>0.81127369970854246</v>
      </c>
    </row>
    <row r="694" spans="1:21" ht="18.75" hidden="1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103">
        <v>0</v>
      </c>
      <c r="M694" s="102">
        <v>0</v>
      </c>
      <c r="N694" s="102">
        <v>0</v>
      </c>
      <c r="O694" s="102">
        <f>IF(L694&gt;0,N694*100/L694,0)</f>
        <v>0</v>
      </c>
      <c r="P694" s="102">
        <f>IF(M694&gt;0,N694*100/M694,0)</f>
        <v>0</v>
      </c>
      <c r="Q694" s="102">
        <v>0</v>
      </c>
      <c r="R694" s="102">
        <v>0</v>
      </c>
      <c r="S694" s="102">
        <v>0</v>
      </c>
      <c r="T694" s="102">
        <f>IF(Q694&gt;0,S694*100/Q694,0)</f>
        <v>0</v>
      </c>
      <c r="U694" s="102">
        <f>IF(R694&gt;0,S694*100/R694,0)</f>
        <v>0</v>
      </c>
    </row>
    <row r="695" spans="1:21" ht="18.75" hidden="1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256">
        <v>0</v>
      </c>
      <c r="M695" s="255">
        <v>0</v>
      </c>
      <c r="N695" s="255">
        <v>0</v>
      </c>
      <c r="O695" s="255">
        <f>IF(L695&gt;0,N695*100/L695,0)</f>
        <v>0</v>
      </c>
      <c r="P695" s="255">
        <f>IF(M695&gt;0,N695*100/M695,0)</f>
        <v>0</v>
      </c>
      <c r="Q695" s="255">
        <f ca="1">IFERROR(__xludf.DUMMYFUNCTION("IMPORTRANGE(""https://docs.google.com/spreadsheets/d/1ItG2mGa2ceCfYo0BwxsXqNm01IGEUdYcSSLTEv9YCik/edit?usp=sharing"",""เบิกจ่ายกองทุน!L42"")"),332810)</f>
        <v>332810</v>
      </c>
      <c r="R695" s="255">
        <f ca="1">IFERROR(__xludf.DUMMYFUNCTION("IMPORTRANGE(""https://docs.google.com/spreadsheets/d/1ItG2mGa2ceCfYo0BwxsXqNm01IGEUdYcSSLTEv9YCik/edit?usp=sharing"",""เบิกจ่ายกองทุน!M42"")"),332810)</f>
        <v>332810</v>
      </c>
      <c r="S695" s="255">
        <f ca="1">IFERROR(__xludf.DUMMYFUNCTION("IMPORTRANGE(""https://docs.google.com/spreadsheets/d/1ItG2mGa2ceCfYo0BwxsXqNm01IGEUdYcSSLTEv9YCik/edit?usp=sharing"",""เบิกจ่ายกองทุน!N42"")"),2700)</f>
        <v>2700</v>
      </c>
      <c r="T695" s="255">
        <f ca="1">IF(Q695&gt;0,S695*100/Q695,0)</f>
        <v>0.81127369970854246</v>
      </c>
      <c r="U695" s="255">
        <f ca="1">IF(R695&gt;0,S695*100/R695,0)</f>
        <v>0.81127369970854246</v>
      </c>
    </row>
    <row r="696" spans="1:21" ht="18.75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256">
        <f>L697+L698</f>
        <v>0</v>
      </c>
      <c r="M696" s="255">
        <f>M697+M698</f>
        <v>0</v>
      </c>
      <c r="N696" s="255">
        <f>N697+N698</f>
        <v>0</v>
      </c>
      <c r="O696" s="255">
        <f>IF(L696&gt;0,N696*100/L696,0)</f>
        <v>0</v>
      </c>
      <c r="P696" s="255">
        <f>IF(M696&gt;0,N696*100/M696,0)</f>
        <v>0</v>
      </c>
      <c r="Q696" s="255">
        <f>Q697+Q698</f>
        <v>0</v>
      </c>
      <c r="R696" s="255">
        <f>R697+R698</f>
        <v>0</v>
      </c>
      <c r="S696" s="255">
        <f>S697+S698</f>
        <v>0</v>
      </c>
      <c r="T696" s="255">
        <f>IF(Q696&gt;0,S696*100/Q696,0)</f>
        <v>0</v>
      </c>
      <c r="U696" s="255">
        <f>IF(R696&gt;0,S696*100/R696,0)</f>
        <v>0</v>
      </c>
    </row>
    <row r="697" spans="1:21" ht="18.75" hidden="1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103">
        <v>0</v>
      </c>
      <c r="M697" s="102">
        <v>0</v>
      </c>
      <c r="N697" s="102">
        <v>0</v>
      </c>
      <c r="O697" s="102">
        <f>IF(L697&gt;0,N697*100/L697,0)</f>
        <v>0</v>
      </c>
      <c r="P697" s="102">
        <f>IF(M697&gt;0,N697*100/M697,0)</f>
        <v>0</v>
      </c>
      <c r="Q697" s="102">
        <v>0</v>
      </c>
      <c r="R697" s="102">
        <v>0</v>
      </c>
      <c r="S697" s="102">
        <v>0</v>
      </c>
      <c r="T697" s="102">
        <f>IF(Q697&gt;0,S697*100/Q697,0)</f>
        <v>0</v>
      </c>
      <c r="U697" s="102">
        <f>IF(R697&gt;0,S697*100/R697,0)</f>
        <v>0</v>
      </c>
    </row>
    <row r="698" spans="1:21" ht="18.75" hidden="1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256">
        <v>0</v>
      </c>
      <c r="M698" s="255">
        <v>0</v>
      </c>
      <c r="N698" s="255">
        <v>0</v>
      </c>
      <c r="O698" s="255">
        <f>IF(L698&gt;0,N698*100/L698,0)</f>
        <v>0</v>
      </c>
      <c r="P698" s="255">
        <f>IF(M698&gt;0,N698*100/M698,0)</f>
        <v>0</v>
      </c>
      <c r="Q698" s="255">
        <v>0</v>
      </c>
      <c r="R698" s="255">
        <v>0</v>
      </c>
      <c r="S698" s="255">
        <v>0</v>
      </c>
      <c r="T698" s="255">
        <f>IF(Q698&gt;0,S698*100/Q698,0)</f>
        <v>0</v>
      </c>
      <c r="U698" s="255">
        <f>IF(R698&gt;0,S698*100/R698,0)</f>
        <v>0</v>
      </c>
    </row>
    <row r="699" spans="1:21" ht="19.5">
      <c r="A699" s="166"/>
      <c r="B699" s="167"/>
      <c r="C699" s="205" t="s">
        <v>18</v>
      </c>
      <c r="D699" s="566" t="s">
        <v>38</v>
      </c>
      <c r="E699" s="169"/>
      <c r="F699" s="169"/>
      <c r="G699" s="169"/>
      <c r="H699" s="206"/>
      <c r="I699" s="163"/>
      <c r="J699" s="163"/>
      <c r="K699" s="164"/>
      <c r="L699" s="62"/>
      <c r="M699" s="55"/>
      <c r="N699" s="55"/>
      <c r="O699" s="55"/>
      <c r="P699" s="55"/>
      <c r="Q699" s="55"/>
      <c r="R699" s="55"/>
      <c r="S699" s="55"/>
      <c r="T699" s="55"/>
      <c r="U699" s="55"/>
    </row>
    <row r="700" spans="1:21" ht="18.75">
      <c r="A700" s="238"/>
      <c r="B700" s="188"/>
      <c r="C700" s="188"/>
      <c r="D700" s="174"/>
      <c r="E700" s="173" t="s">
        <v>257</v>
      </c>
      <c r="F700" s="174"/>
      <c r="G700" s="171"/>
      <c r="H700" s="165" t="s">
        <v>258</v>
      </c>
      <c r="I700" s="212">
        <f ca="1">IFERROR(__xludf.DUMMYFUNCTION("IMPORTRANGE(""https://docs.google.com/spreadsheets/d/1eHaY18a8A9IcSdp1K8H6x8fbOy06t2VsZHhMHf-1x7Y/edit?usp=sharing"",""แผน!LC42"")"),0)</f>
        <v>0</v>
      </c>
      <c r="J700" s="467">
        <v>0</v>
      </c>
      <c r="K700" s="565">
        <f ca="1">IF(I700&gt;0,J700*100/I700,0)</f>
        <v>0</v>
      </c>
      <c r="L700" s="172"/>
      <c r="M700" s="164"/>
      <c r="N700" s="55"/>
      <c r="O700" s="164"/>
      <c r="P700" s="164"/>
      <c r="Q700" s="164"/>
      <c r="R700" s="164"/>
      <c r="S700" s="55"/>
      <c r="T700" s="164"/>
      <c r="U700" s="164"/>
    </row>
    <row r="701" spans="1:21" ht="19.5">
      <c r="A701" s="238"/>
      <c r="B701" s="188"/>
      <c r="C701" s="188"/>
      <c r="D701" s="174"/>
      <c r="E701" s="476" t="s">
        <v>259</v>
      </c>
      <c r="F701" s="174"/>
      <c r="G701" s="171"/>
      <c r="H701" s="158" t="s">
        <v>35</v>
      </c>
      <c r="I701" s="373">
        <f ca="1">I703+I705</f>
        <v>213</v>
      </c>
      <c r="J701" s="373">
        <f ca="1">J703+J705</f>
        <v>32</v>
      </c>
      <c r="K701" s="540">
        <f ca="1">IF(I701&gt;0,J701*100/I701,0)</f>
        <v>15.023474178403756</v>
      </c>
      <c r="L701" s="172"/>
      <c r="M701" s="164"/>
      <c r="N701" s="164"/>
      <c r="O701" s="164"/>
      <c r="P701" s="164"/>
      <c r="Q701" s="164"/>
      <c r="R701" s="164"/>
      <c r="S701" s="164"/>
      <c r="T701" s="164"/>
      <c r="U701" s="164"/>
    </row>
    <row r="702" spans="1:21" ht="19.5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73">
        <v>0</v>
      </c>
      <c r="J702" s="373">
        <f ca="1">J704+J706</f>
        <v>23.21</v>
      </c>
      <c r="K702" s="540">
        <f>IF(I702&gt;0,J702*100/I702,0)</f>
        <v>0</v>
      </c>
      <c r="L702" s="172"/>
      <c r="M702" s="164"/>
      <c r="N702" s="164"/>
      <c r="O702" s="164"/>
      <c r="P702" s="164"/>
      <c r="Q702" s="164"/>
      <c r="R702" s="164"/>
      <c r="S702" s="164"/>
      <c r="T702" s="164"/>
      <c r="U702" s="164"/>
    </row>
    <row r="703" spans="1:21" ht="18.75">
      <c r="A703" s="238"/>
      <c r="B703" s="188"/>
      <c r="C703" s="188"/>
      <c r="D703" s="174"/>
      <c r="E703" s="174"/>
      <c r="F703" s="173" t="s">
        <v>260</v>
      </c>
      <c r="G703" s="171"/>
      <c r="H703" s="165" t="s">
        <v>35</v>
      </c>
      <c r="I703" s="212">
        <f ca="1">IFERROR(__xludf.DUMMYFUNCTION("IMPORTRANGE(""https://docs.google.com/spreadsheets/d/1eHaY18a8A9IcSdp1K8H6x8fbOy06t2VsZHhMHf-1x7Y/edit?usp=sharing"",""แผน!LJ42"")"),207)</f>
        <v>207</v>
      </c>
      <c r="J703" s="212">
        <f ca="1">IFERROR(__xludf.DUMMYFUNCTION("IMPORTRANGE(""https://docs.google.com/spreadsheets/d/1tdoBKaGub7dwA3U6UFTqxio9LNnvDCQjHKmttSEBsFQ/edit?usp=sharing"",""จัดที่ดิน!AP42"")"),32)</f>
        <v>32</v>
      </c>
      <c r="K703" s="255">
        <f ca="1">IF(I703&gt;0,J703*100/I703,0)</f>
        <v>15.458937198067632</v>
      </c>
      <c r="L703" s="172"/>
      <c r="M703" s="164"/>
      <c r="N703" s="164"/>
      <c r="O703" s="164"/>
      <c r="P703" s="164"/>
      <c r="Q703" s="164"/>
      <c r="R703" s="164"/>
      <c r="S703" s="164"/>
      <c r="T703" s="164"/>
      <c r="U703" s="164"/>
    </row>
    <row r="704" spans="1:21" ht="18.75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212">
        <f ca="1">IFERROR(__xludf.DUMMYFUNCTION("IMPORTRANGE(""https://docs.google.com/spreadsheets/d/1tdoBKaGub7dwA3U6UFTqxio9LNnvDCQjHKmttSEBsFQ/edit?usp=sharing"",""จัดที่ดิน!AQ42"")"),23.21)</f>
        <v>23.21</v>
      </c>
      <c r="K704" s="255">
        <f>IF(I704&gt;0,J704*100/I704,0)</f>
        <v>0</v>
      </c>
      <c r="L704" s="172"/>
      <c r="M704" s="164"/>
      <c r="N704" s="164"/>
      <c r="O704" s="164"/>
      <c r="P704" s="164"/>
      <c r="Q704" s="164"/>
      <c r="R704" s="164"/>
      <c r="S704" s="164"/>
      <c r="T704" s="164"/>
      <c r="U704" s="164"/>
    </row>
    <row r="705" spans="1:21" ht="18.75">
      <c r="A705" s="238"/>
      <c r="B705" s="188"/>
      <c r="C705" s="188"/>
      <c r="D705" s="174"/>
      <c r="E705" s="174"/>
      <c r="F705" s="173" t="s">
        <v>261</v>
      </c>
      <c r="G705" s="171"/>
      <c r="H705" s="165" t="s">
        <v>35</v>
      </c>
      <c r="I705" s="212">
        <f ca="1">IFERROR(__xludf.DUMMYFUNCTION("IMPORTRANGE(""https://docs.google.com/spreadsheets/d/1eHaY18a8A9IcSdp1K8H6x8fbOy06t2VsZHhMHf-1x7Y/edit?usp=sharing"",""แผน!LK42"")"),6)</f>
        <v>6</v>
      </c>
      <c r="J705" s="212">
        <f ca="1">IFERROR(__xludf.DUMMYFUNCTION("IMPORTRANGE(""https://docs.google.com/spreadsheets/d/1tdoBKaGub7dwA3U6UFTqxio9LNnvDCQjHKmttSEBsFQ/edit?usp=sharing"",""จัดที่ดิน!AR42"")"),0)</f>
        <v>0</v>
      </c>
      <c r="K705" s="565">
        <f ca="1">IF(I705&gt;0,J705*100/I705,0)</f>
        <v>0</v>
      </c>
      <c r="L705" s="172"/>
      <c r="M705" s="164"/>
      <c r="N705" s="164"/>
      <c r="O705" s="164"/>
      <c r="P705" s="164"/>
      <c r="Q705" s="164"/>
      <c r="R705" s="164"/>
      <c r="S705" s="164"/>
      <c r="T705" s="164"/>
      <c r="U705" s="164"/>
    </row>
    <row r="706" spans="1:21" ht="18.75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212">
        <f ca="1">IFERROR(__xludf.DUMMYFUNCTION("IMPORTRANGE(""https://docs.google.com/spreadsheets/d/1tdoBKaGub7dwA3U6UFTqxio9LNnvDCQjHKmttSEBsFQ/edit?usp=sharing"",""จัดที่ดิน!AS42"")"),0)</f>
        <v>0</v>
      </c>
      <c r="K706" s="255">
        <f>IF(I706&gt;0,J706*100/I706,0)</f>
        <v>0</v>
      </c>
      <c r="L706" s="172"/>
      <c r="M706" s="164"/>
      <c r="N706" s="164"/>
      <c r="O706" s="164"/>
      <c r="P706" s="164"/>
      <c r="Q706" s="164"/>
      <c r="R706" s="164"/>
      <c r="S706" s="164"/>
      <c r="T706" s="164"/>
      <c r="U706" s="164"/>
    </row>
    <row r="707" spans="1:21" ht="18.75">
      <c r="A707" s="238"/>
      <c r="B707" s="188"/>
      <c r="C707" s="188"/>
      <c r="D707" s="174"/>
      <c r="E707" s="173" t="s">
        <v>262</v>
      </c>
      <c r="F707" s="174"/>
      <c r="G707" s="171"/>
      <c r="H707" s="162" t="s">
        <v>35</v>
      </c>
      <c r="I707" s="212">
        <f ca="1">IFERROR(__xludf.DUMMYFUNCTION("IMPORTRANGE(""https://docs.google.com/spreadsheets/d/1eHaY18a8A9IcSdp1K8H6x8fbOy06t2VsZHhMHf-1x7Y/edit?usp=sharing"",""แผน!LJ42"")"),207)</f>
        <v>207</v>
      </c>
      <c r="J707" s="212">
        <f ca="1">IFERROR(__xludf.DUMMYFUNCTION("IMPORTRANGE(""https://docs.google.com/spreadsheets/d/1tdoBKaGub7dwA3U6UFTqxio9LNnvDCQjHKmttSEBsFQ/edit?usp=sharing"",""จัดที่ดิน!BN42"")"),16)</f>
        <v>16</v>
      </c>
      <c r="K707" s="255">
        <f ca="1">IF(I707&gt;0,J707*100/I707,0)</f>
        <v>7.7294685990338161</v>
      </c>
      <c r="L707" s="172"/>
      <c r="M707" s="164"/>
      <c r="N707" s="164"/>
      <c r="O707" s="164"/>
      <c r="P707" s="164"/>
      <c r="Q707" s="164"/>
      <c r="R707" s="164"/>
      <c r="S707" s="164"/>
      <c r="T707" s="164"/>
      <c r="U707" s="164"/>
    </row>
    <row r="708" spans="1:21" ht="18.75">
      <c r="A708" s="238"/>
      <c r="B708" s="188"/>
      <c r="C708" s="188"/>
      <c r="D708" s="174"/>
      <c r="E708" s="477" t="s">
        <v>263</v>
      </c>
      <c r="F708" s="174"/>
      <c r="G708" s="171"/>
      <c r="H708" s="162" t="s">
        <v>46</v>
      </c>
      <c r="I708" s="212">
        <v>0</v>
      </c>
      <c r="J708" s="212">
        <f ca="1">IFERROR(__xludf.DUMMYFUNCTION("IMPORTRANGE(""https://docs.google.com/spreadsheets/d/1tdoBKaGub7dwA3U6UFTqxio9LNnvDCQjHKmttSEBsFQ/edit?usp=sharing"",""จัดที่ดิน!BO42"")"),13)</f>
        <v>13</v>
      </c>
      <c r="K708" s="255">
        <f>IF(I708&gt;0,J708*100/I708,0)</f>
        <v>0</v>
      </c>
      <c r="L708" s="172"/>
      <c r="M708" s="164"/>
      <c r="N708" s="164"/>
      <c r="O708" s="164"/>
      <c r="P708" s="164"/>
      <c r="Q708" s="164"/>
      <c r="R708" s="164"/>
      <c r="S708" s="164"/>
      <c r="T708" s="164"/>
      <c r="U708" s="164"/>
    </row>
    <row r="709" spans="1:21" ht="18.75">
      <c r="A709" s="238"/>
      <c r="B709" s="188"/>
      <c r="C709" s="188"/>
      <c r="D709" s="50"/>
      <c r="E709" s="58" t="s">
        <v>264</v>
      </c>
      <c r="F709" s="50"/>
      <c r="G709" s="52"/>
      <c r="H709" s="203" t="s">
        <v>35</v>
      </c>
      <c r="I709" s="212">
        <f ca="1">IFERROR(__xludf.DUMMYFUNCTION("IMPORTRANGE(""https://docs.google.com/spreadsheets/d/1eHaY18a8A9IcSdp1K8H6x8fbOy06t2VsZHhMHf-1x7Y/edit?usp=sharing"",""แผน!LK42"")"),6)</f>
        <v>6</v>
      </c>
      <c r="J709" s="212">
        <f ca="1">IFERROR(__xludf.DUMMYFUNCTION("IMPORTRANGE(""https://docs.google.com/spreadsheets/d/1tdoBKaGub7dwA3U6UFTqxio9LNnvDCQjHKmttSEBsFQ/edit?usp=sharing"",""จัดที่ดิน!BP42"")"),0)</f>
        <v>0</v>
      </c>
      <c r="K709" s="255">
        <f ca="1">IF(I709&gt;0,J709*100/I709,0)</f>
        <v>0</v>
      </c>
      <c r="L709" s="62"/>
      <c r="M709" s="55"/>
      <c r="N709" s="55"/>
      <c r="O709" s="55"/>
      <c r="P709" s="55"/>
      <c r="Q709" s="55"/>
      <c r="R709" s="55"/>
      <c r="S709" s="55"/>
      <c r="T709" s="55"/>
      <c r="U709" s="55"/>
    </row>
    <row r="710" spans="1:21" ht="18.75">
      <c r="A710" s="238"/>
      <c r="B710" s="188"/>
      <c r="C710" s="188"/>
      <c r="D710" s="50"/>
      <c r="E710" s="477" t="s">
        <v>265</v>
      </c>
      <c r="F710" s="50"/>
      <c r="G710" s="52"/>
      <c r="H710" s="203" t="s">
        <v>46</v>
      </c>
      <c r="I710" s="212">
        <v>0</v>
      </c>
      <c r="J710" s="212">
        <f ca="1">IFERROR(__xludf.DUMMYFUNCTION("IMPORTRANGE(""https://docs.google.com/spreadsheets/d/1tdoBKaGub7dwA3U6UFTqxio9LNnvDCQjHKmttSEBsFQ/edit?usp=sharing"",""จัดที่ดิน!BQ42"")"),0)</f>
        <v>0</v>
      </c>
      <c r="K710" s="255">
        <f>IF(I710&gt;0,J710*100/I710,0)</f>
        <v>0</v>
      </c>
      <c r="L710" s="62"/>
      <c r="M710" s="55"/>
      <c r="N710" s="55"/>
      <c r="O710" s="55"/>
      <c r="P710" s="55"/>
      <c r="Q710" s="55"/>
      <c r="R710" s="55"/>
      <c r="S710" s="55"/>
      <c r="T710" s="55"/>
      <c r="U710" s="55"/>
    </row>
    <row r="711" spans="1:21" ht="12.75" hidden="1">
      <c r="A711" s="407"/>
      <c r="B711" s="360"/>
      <c r="C711" s="360"/>
      <c r="D711" s="408"/>
      <c r="E711" s="408"/>
      <c r="F711" s="408"/>
      <c r="G711" s="409"/>
      <c r="H711" s="361"/>
      <c r="I711" s="362"/>
      <c r="J711" s="362"/>
      <c r="K711" s="363"/>
      <c r="L711" s="364"/>
      <c r="M711" s="363"/>
      <c r="N711" s="363"/>
      <c r="O711" s="363"/>
      <c r="P711" s="363"/>
      <c r="Q711" s="363"/>
      <c r="R711" s="363"/>
      <c r="S711" s="363"/>
      <c r="T711" s="363"/>
      <c r="U711" s="363"/>
    </row>
    <row r="712" spans="1:21" ht="19.5" hidden="1">
      <c r="A712" s="442"/>
      <c r="B712" s="478" t="s">
        <v>266</v>
      </c>
      <c r="C712" s="442"/>
      <c r="D712" s="444"/>
      <c r="E712" s="444"/>
      <c r="F712" s="444"/>
      <c r="G712" s="445"/>
      <c r="H712" s="479" t="s">
        <v>46</v>
      </c>
      <c r="I712" s="447"/>
      <c r="J712" s="447">
        <f>J724</f>
        <v>0</v>
      </c>
      <c r="K712" s="564">
        <f>IF(I712&gt;0,J712*100/I712,0)</f>
        <v>0</v>
      </c>
      <c r="L712" s="449"/>
      <c r="M712" s="448"/>
      <c r="N712" s="448"/>
      <c r="O712" s="448"/>
      <c r="P712" s="448"/>
      <c r="Q712" s="448"/>
      <c r="R712" s="448"/>
      <c r="S712" s="448"/>
      <c r="T712" s="448"/>
      <c r="U712" s="448"/>
    </row>
    <row r="713" spans="1:21" ht="19.5" hidden="1">
      <c r="A713" s="442"/>
      <c r="B713" s="478" t="s">
        <v>267</v>
      </c>
      <c r="C713" s="442"/>
      <c r="D713" s="444"/>
      <c r="E713" s="444"/>
      <c r="F713" s="444"/>
      <c r="G713" s="445"/>
      <c r="H713" s="446"/>
      <c r="I713" s="447"/>
      <c r="J713" s="447"/>
      <c r="K713" s="448"/>
      <c r="L713" s="449"/>
      <c r="M713" s="448"/>
      <c r="N713" s="448"/>
      <c r="O713" s="448"/>
      <c r="P713" s="448"/>
      <c r="Q713" s="448"/>
      <c r="R713" s="448"/>
      <c r="S713" s="448"/>
      <c r="T713" s="448"/>
      <c r="U713" s="448"/>
    </row>
    <row r="714" spans="1:21" ht="19.5" hidden="1">
      <c r="A714" s="155"/>
      <c r="B714" s="188"/>
      <c r="C714" s="358" t="s">
        <v>18</v>
      </c>
      <c r="D714" s="563" t="s">
        <v>19</v>
      </c>
      <c r="E714" s="529"/>
      <c r="F714" s="529"/>
      <c r="G714" s="530"/>
      <c r="H714" s="418" t="s">
        <v>14</v>
      </c>
      <c r="I714" s="54"/>
      <c r="J714" s="54"/>
      <c r="K714" s="55"/>
      <c r="L714" s="541">
        <f>L715+L716</f>
        <v>0</v>
      </c>
      <c r="M714" s="540">
        <f>M715+M716</f>
        <v>0</v>
      </c>
      <c r="N714" s="540">
        <f>N715+N716</f>
        <v>0</v>
      </c>
      <c r="O714" s="540">
        <f>IF(L714&gt;0,N714*100/L714,0)</f>
        <v>0</v>
      </c>
      <c r="P714" s="540">
        <f>IF(M714&gt;0,N714*100/M714,0)</f>
        <v>0</v>
      </c>
      <c r="Q714" s="540">
        <f>Q715+Q716</f>
        <v>0</v>
      </c>
      <c r="R714" s="540">
        <f>R715+R716</f>
        <v>0</v>
      </c>
      <c r="S714" s="540">
        <f>S715+S716</f>
        <v>0</v>
      </c>
      <c r="T714" s="540">
        <f>IF(Q714&gt;0,S714*100/Q714,0)</f>
        <v>0</v>
      </c>
      <c r="U714" s="540">
        <f>IF(R714&gt;0,S714*100/R714,0)</f>
        <v>0</v>
      </c>
    </row>
    <row r="715" spans="1:21" ht="18.75" hidden="1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103">
        <f>L718+L721</f>
        <v>0</v>
      </c>
      <c r="M715" s="102">
        <f>M718+M721</f>
        <v>0</v>
      </c>
      <c r="N715" s="102">
        <f>N718+N721</f>
        <v>0</v>
      </c>
      <c r="O715" s="102">
        <f>IF(L715&gt;0,N715*100/L715,0)</f>
        <v>0</v>
      </c>
      <c r="P715" s="102">
        <f>IF(M715&gt;0,N715*100/M715,0)</f>
        <v>0</v>
      </c>
      <c r="Q715" s="102">
        <f>Q718+Q721</f>
        <v>0</v>
      </c>
      <c r="R715" s="102">
        <f>R718+R721</f>
        <v>0</v>
      </c>
      <c r="S715" s="102">
        <f>S718+S721</f>
        <v>0</v>
      </c>
      <c r="T715" s="102">
        <f>IF(Q715&gt;0,S715*100/Q715,0)</f>
        <v>0</v>
      </c>
      <c r="U715" s="102">
        <f>IF(R715&gt;0,S715*100/R715,0)</f>
        <v>0</v>
      </c>
    </row>
    <row r="716" spans="1:21" ht="18.75" hidden="1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256">
        <f>L719+L722</f>
        <v>0</v>
      </c>
      <c r="M716" s="255">
        <f>M719+M722</f>
        <v>0</v>
      </c>
      <c r="N716" s="255">
        <f>N719+N722</f>
        <v>0</v>
      </c>
      <c r="O716" s="255">
        <f>IF(L716&gt;0,N716*100/L716,0)</f>
        <v>0</v>
      </c>
      <c r="P716" s="255">
        <f>IF(M716&gt;0,N716*100/M716,0)</f>
        <v>0</v>
      </c>
      <c r="Q716" s="255">
        <f>Q719+Q722</f>
        <v>0</v>
      </c>
      <c r="R716" s="255">
        <f>R719+R722</f>
        <v>0</v>
      </c>
      <c r="S716" s="255">
        <f>S719+S722</f>
        <v>0</v>
      </c>
      <c r="T716" s="255">
        <f>IF(Q716&gt;0,S716*100/Q716,0)</f>
        <v>0</v>
      </c>
      <c r="U716" s="255">
        <f>IF(R716&gt;0,S716*100/R716,0)</f>
        <v>0</v>
      </c>
    </row>
    <row r="717" spans="1:21" ht="19.5" hidden="1">
      <c r="A717" s="155"/>
      <c r="B717" s="188"/>
      <c r="C717" s="188"/>
      <c r="D717" s="562" t="s">
        <v>22</v>
      </c>
      <c r="E717" s="50"/>
      <c r="F717" s="50"/>
      <c r="G717" s="52"/>
      <c r="H717" s="418" t="s">
        <v>14</v>
      </c>
      <c r="I717" s="163"/>
      <c r="J717" s="163"/>
      <c r="K717" s="164"/>
      <c r="L717" s="256">
        <f>L718+L719</f>
        <v>0</v>
      </c>
      <c r="M717" s="255">
        <f>M718+M719</f>
        <v>0</v>
      </c>
      <c r="N717" s="255">
        <f>N718+N719</f>
        <v>0</v>
      </c>
      <c r="O717" s="255">
        <f>IF(L717&gt;0,N717*100/L717,0)</f>
        <v>0</v>
      </c>
      <c r="P717" s="255">
        <f>IF(M717&gt;0,N717*100/M717,0)</f>
        <v>0</v>
      </c>
      <c r="Q717" s="255">
        <f>Q718+Q719</f>
        <v>0</v>
      </c>
      <c r="R717" s="255">
        <f>R718+R719</f>
        <v>0</v>
      </c>
      <c r="S717" s="255">
        <f>S718+S719</f>
        <v>0</v>
      </c>
      <c r="T717" s="255">
        <f>IF(Q717&gt;0,S717*100/Q717,0)</f>
        <v>0</v>
      </c>
      <c r="U717" s="255">
        <f>IF(R717&gt;0,S717*100/R717,0)</f>
        <v>0</v>
      </c>
    </row>
    <row r="718" spans="1:21" ht="18.75" hidden="1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103">
        <v>0</v>
      </c>
      <c r="M718" s="102">
        <v>0</v>
      </c>
      <c r="N718" s="102">
        <v>0</v>
      </c>
      <c r="O718" s="102">
        <f>IF(L718&gt;0,N718*100/L718,0)</f>
        <v>0</v>
      </c>
      <c r="P718" s="102">
        <f>IF(M718&gt;0,N718*100/M718,0)</f>
        <v>0</v>
      </c>
      <c r="Q718" s="102">
        <v>0</v>
      </c>
      <c r="R718" s="102">
        <v>0</v>
      </c>
      <c r="S718" s="102">
        <v>0</v>
      </c>
      <c r="T718" s="102">
        <f>IF(Q718&gt;0,S718*100/Q718,0)</f>
        <v>0</v>
      </c>
      <c r="U718" s="102">
        <f>IF(R718&gt;0,S718*100/R718,0)</f>
        <v>0</v>
      </c>
    </row>
    <row r="719" spans="1:21" ht="18.75" hidden="1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256">
        <v>0</v>
      </c>
      <c r="M719" s="255">
        <v>0</v>
      </c>
      <c r="N719" s="255">
        <v>0</v>
      </c>
      <c r="O719" s="255">
        <f>IF(L719&gt;0,N719*100/L719,0)</f>
        <v>0</v>
      </c>
      <c r="P719" s="255">
        <f>IF(M719&gt;0,N719*100/M719,0)</f>
        <v>0</v>
      </c>
      <c r="Q719" s="255">
        <v>0</v>
      </c>
      <c r="R719" s="255">
        <v>0</v>
      </c>
      <c r="S719" s="255">
        <v>0</v>
      </c>
      <c r="T719" s="255">
        <f>IF(Q719&gt;0,S719*100/Q719,0)</f>
        <v>0</v>
      </c>
      <c r="U719" s="255">
        <f>IF(R719&gt;0,S719*100/R719,0)</f>
        <v>0</v>
      </c>
    </row>
    <row r="720" spans="1:21" ht="19.5" hidden="1">
      <c r="A720" s="155"/>
      <c r="B720" s="188"/>
      <c r="C720" s="188"/>
      <c r="D720" s="562" t="s">
        <v>23</v>
      </c>
      <c r="E720" s="50"/>
      <c r="F720" s="50"/>
      <c r="G720" s="52"/>
      <c r="H720" s="420" t="s">
        <v>14</v>
      </c>
      <c r="I720" s="163"/>
      <c r="J720" s="163"/>
      <c r="K720" s="164"/>
      <c r="L720" s="256">
        <f>L721+L722</f>
        <v>0</v>
      </c>
      <c r="M720" s="255">
        <f>M721+M722</f>
        <v>0</v>
      </c>
      <c r="N720" s="255">
        <f>N721+N722</f>
        <v>0</v>
      </c>
      <c r="O720" s="255">
        <f>IF(L720&gt;0,N720*100/L720,0)</f>
        <v>0</v>
      </c>
      <c r="P720" s="255">
        <f>IF(M720&gt;0,N720*100/M720,0)</f>
        <v>0</v>
      </c>
      <c r="Q720" s="255">
        <f>Q721+Q722</f>
        <v>0</v>
      </c>
      <c r="R720" s="255">
        <f>R721+R722</f>
        <v>0</v>
      </c>
      <c r="S720" s="255">
        <f>S721+S722</f>
        <v>0</v>
      </c>
      <c r="T720" s="255">
        <f>IF(Q720&gt;0,S720*100/Q720,0)</f>
        <v>0</v>
      </c>
      <c r="U720" s="255">
        <f>IF(R720&gt;0,S720*100/R720,0)</f>
        <v>0</v>
      </c>
    </row>
    <row r="721" spans="1:21" ht="18.75" hidden="1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103">
        <v>0</v>
      </c>
      <c r="M721" s="102">
        <v>0</v>
      </c>
      <c r="N721" s="102">
        <v>0</v>
      </c>
      <c r="O721" s="102">
        <f>IF(L721&gt;0,N721*100/L721,0)</f>
        <v>0</v>
      </c>
      <c r="P721" s="102">
        <f>IF(M721&gt;0,N721*100/M721,0)</f>
        <v>0</v>
      </c>
      <c r="Q721" s="102">
        <v>0</v>
      </c>
      <c r="R721" s="102">
        <v>0</v>
      </c>
      <c r="S721" s="102">
        <v>0</v>
      </c>
      <c r="T721" s="102">
        <f>IF(Q721&gt;0,S721*100/Q721,0)</f>
        <v>0</v>
      </c>
      <c r="U721" s="102">
        <f>IF(R721&gt;0,S721*100/R721,0)</f>
        <v>0</v>
      </c>
    </row>
    <row r="722" spans="1:21" ht="18.75" hidden="1">
      <c r="A722" s="155"/>
      <c r="B722" s="188"/>
      <c r="C722" s="188"/>
      <c r="D722" s="50"/>
      <c r="E722" s="186" t="s">
        <v>21</v>
      </c>
      <c r="F722" s="50"/>
      <c r="G722" s="52"/>
      <c r="H722" s="421" t="s">
        <v>14</v>
      </c>
      <c r="I722" s="163"/>
      <c r="J722" s="163"/>
      <c r="K722" s="164"/>
      <c r="L722" s="256">
        <v>0</v>
      </c>
      <c r="M722" s="255">
        <v>0</v>
      </c>
      <c r="N722" s="255">
        <v>0</v>
      </c>
      <c r="O722" s="255">
        <f>IF(L722&gt;0,N722*100/L722,0)</f>
        <v>0</v>
      </c>
      <c r="P722" s="255">
        <f>IF(M722&gt;0,N722*100/M722,0)</f>
        <v>0</v>
      </c>
      <c r="Q722" s="255">
        <v>0</v>
      </c>
      <c r="R722" s="255">
        <v>0</v>
      </c>
      <c r="S722" s="255">
        <v>0</v>
      </c>
      <c r="T722" s="255">
        <f>IF(Q722&gt;0,S722*100/Q722,0)</f>
        <v>0</v>
      </c>
      <c r="U722" s="255">
        <f>IF(R722&gt;0,S722*100/R722,0)</f>
        <v>0</v>
      </c>
    </row>
    <row r="723" spans="1:21" ht="19.5" hidden="1">
      <c r="A723" s="166"/>
      <c r="B723" s="167"/>
      <c r="C723" s="358" t="s">
        <v>18</v>
      </c>
      <c r="D723" s="561" t="s">
        <v>38</v>
      </c>
      <c r="E723" s="169"/>
      <c r="F723" s="169"/>
      <c r="G723" s="170"/>
      <c r="H723" s="206"/>
      <c r="I723" s="163"/>
      <c r="J723" s="163"/>
      <c r="K723" s="164"/>
      <c r="L723" s="172"/>
      <c r="M723" s="164"/>
      <c r="N723" s="164"/>
      <c r="O723" s="164"/>
      <c r="P723" s="164"/>
      <c r="Q723" s="164"/>
      <c r="R723" s="164"/>
      <c r="S723" s="164"/>
      <c r="T723" s="164"/>
      <c r="U723" s="164"/>
    </row>
    <row r="724" spans="1:21" ht="18.75" hidden="1">
      <c r="A724" s="238"/>
      <c r="B724" s="188"/>
      <c r="C724" s="188"/>
      <c r="D724" s="50"/>
      <c r="E724" s="186" t="s">
        <v>268</v>
      </c>
      <c r="F724" s="50"/>
      <c r="G724" s="52"/>
      <c r="H724" s="189" t="s">
        <v>46</v>
      </c>
      <c r="I724" s="483">
        <v>0</v>
      </c>
      <c r="J724" s="54"/>
      <c r="K724" s="55"/>
      <c r="L724" s="62"/>
      <c r="M724" s="55"/>
      <c r="N724" s="55"/>
      <c r="O724" s="55"/>
      <c r="P724" s="55"/>
      <c r="Q724" s="55"/>
      <c r="R724" s="55"/>
      <c r="S724" s="55"/>
      <c r="T724" s="55"/>
      <c r="U724" s="55"/>
    </row>
    <row r="725" spans="1:21" ht="18.75" hidden="1">
      <c r="A725" s="374"/>
      <c r="B725" s="5"/>
      <c r="C725" s="5"/>
      <c r="D725" s="4"/>
      <c r="E725" s="484" t="s">
        <v>269</v>
      </c>
      <c r="F725" s="4"/>
      <c r="G725" s="65"/>
      <c r="H725" s="485" t="s">
        <v>46</v>
      </c>
      <c r="I725" s="486">
        <v>0</v>
      </c>
      <c r="J725" s="67"/>
      <c r="K725" s="6"/>
      <c r="L725" s="68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>
      <c r="A726" s="442"/>
      <c r="B726" s="443" t="s">
        <v>270</v>
      </c>
      <c r="C726" s="442"/>
      <c r="D726" s="444"/>
      <c r="E726" s="444"/>
      <c r="F726" s="444"/>
      <c r="G726" s="445"/>
      <c r="H726" s="473" t="s">
        <v>35</v>
      </c>
      <c r="I726" s="544">
        <f ca="1">IFERROR(__xludf.DUMMYFUNCTION("IMPORTRANGE(""https://docs.google.com/spreadsheets/d/1eHaY18a8A9IcSdp1K8H6x8fbOy06t2VsZHhMHf-1x7Y/edit?usp=sharing"",""แผน!GA42"")"),128)</f>
        <v>128</v>
      </c>
      <c r="J726" s="544">
        <f>J742+J746+J749</f>
        <v>100</v>
      </c>
      <c r="K726" s="543">
        <f ca="1">IF(I726&gt;0,J726*100/I726,0)</f>
        <v>78.125</v>
      </c>
      <c r="L726" s="449"/>
      <c r="M726" s="448"/>
      <c r="N726" s="448"/>
      <c r="O726" s="448"/>
      <c r="P726" s="448"/>
      <c r="Q726" s="448"/>
      <c r="R726" s="448"/>
      <c r="S726" s="448"/>
      <c r="T726" s="448"/>
      <c r="U726" s="448"/>
    </row>
    <row r="727" spans="1:21" ht="19.5">
      <c r="A727" s="487"/>
      <c r="B727" s="442"/>
      <c r="C727" s="442"/>
      <c r="D727" s="444"/>
      <c r="E727" s="444"/>
      <c r="F727" s="444"/>
      <c r="G727" s="445"/>
      <c r="H727" s="473" t="s">
        <v>46</v>
      </c>
      <c r="I727" s="544">
        <f ca="1">IFERROR(__xludf.DUMMYFUNCTION("IMPORTRANGE(""https://docs.google.com/spreadsheets/d/1eHaY18a8A9IcSdp1K8H6x8fbOy06t2VsZHhMHf-1x7Y/edit?usp=sharing"",""แผน!FZ42"")"),1250)</f>
        <v>1250</v>
      </c>
      <c r="J727" s="544">
        <f>J752+J755</f>
        <v>0</v>
      </c>
      <c r="K727" s="543">
        <f ca="1">IF(I727&gt;0,J727*100/I727,0)</f>
        <v>0</v>
      </c>
      <c r="L727" s="449"/>
      <c r="M727" s="448"/>
      <c r="N727" s="448"/>
      <c r="O727" s="448"/>
      <c r="P727" s="448"/>
      <c r="Q727" s="448"/>
      <c r="R727" s="448"/>
      <c r="S727" s="448"/>
      <c r="T727" s="448"/>
      <c r="U727" s="448"/>
    </row>
    <row r="728" spans="1:21" ht="19.5">
      <c r="A728" s="155"/>
      <c r="B728" s="188"/>
      <c r="C728" s="205" t="s">
        <v>18</v>
      </c>
      <c r="D728" s="542" t="s">
        <v>19</v>
      </c>
      <c r="E728" s="529"/>
      <c r="F728" s="529"/>
      <c r="G728" s="530"/>
      <c r="H728" s="252" t="s">
        <v>14</v>
      </c>
      <c r="I728" s="54"/>
      <c r="J728" s="54"/>
      <c r="K728" s="55"/>
      <c r="L728" s="541">
        <f>L729+L730</f>
        <v>0</v>
      </c>
      <c r="M728" s="540">
        <f>M729+M730</f>
        <v>0</v>
      </c>
      <c r="N728" s="540">
        <f>N729+N730</f>
        <v>0</v>
      </c>
      <c r="O728" s="540">
        <f>IF(L728&gt;0,N728*100/L728,0)</f>
        <v>0</v>
      </c>
      <c r="P728" s="540">
        <f>IF(M728&gt;0,N728*100/M728,0)</f>
        <v>0</v>
      </c>
      <c r="Q728" s="540">
        <f ca="1">Q729+Q730</f>
        <v>1008470</v>
      </c>
      <c r="R728" s="540">
        <f ca="1">R729+R730</f>
        <v>1008470</v>
      </c>
      <c r="S728" s="540">
        <f ca="1">S729+S730</f>
        <v>188555</v>
      </c>
      <c r="T728" s="540">
        <f ca="1">IF(Q728&gt;0,S728*100/Q728,0)</f>
        <v>18.697135264311285</v>
      </c>
      <c r="U728" s="540">
        <f ca="1">IF(R728&gt;0,S728*100/R728,0)</f>
        <v>18.697135264311285</v>
      </c>
    </row>
    <row r="729" spans="1:21" ht="18.75" hidden="1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103">
        <f>L732+L735</f>
        <v>0</v>
      </c>
      <c r="M729" s="102">
        <f>M732+M735</f>
        <v>0</v>
      </c>
      <c r="N729" s="102">
        <f>N732+N735</f>
        <v>0</v>
      </c>
      <c r="O729" s="102">
        <f>IF(L729&gt;0,N729*100/L729,0)</f>
        <v>0</v>
      </c>
      <c r="P729" s="102">
        <f>IF(M729&gt;0,N729*100/M729,0)</f>
        <v>0</v>
      </c>
      <c r="Q729" s="102">
        <f>Q732+Q735</f>
        <v>0</v>
      </c>
      <c r="R729" s="102">
        <f>R732+R735</f>
        <v>0</v>
      </c>
      <c r="S729" s="102">
        <f>S732+S735</f>
        <v>0</v>
      </c>
      <c r="T729" s="102">
        <f>IF(Q729&gt;0,S729*100/Q729,0)</f>
        <v>0</v>
      </c>
      <c r="U729" s="102">
        <f>IF(R729&gt;0,S729*100/R729,0)</f>
        <v>0</v>
      </c>
    </row>
    <row r="730" spans="1:21" ht="18.75" hidden="1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256">
        <f>L733+L736</f>
        <v>0</v>
      </c>
      <c r="M730" s="255">
        <f>M733+M736</f>
        <v>0</v>
      </c>
      <c r="N730" s="255">
        <f>N733+N736</f>
        <v>0</v>
      </c>
      <c r="O730" s="255">
        <f>IF(L730&gt;0,N730*100/L730,0)</f>
        <v>0</v>
      </c>
      <c r="P730" s="255">
        <f>IF(M730&gt;0,N730*100/M730,0)</f>
        <v>0</v>
      </c>
      <c r="Q730" s="255">
        <f ca="1">Q733+Q736</f>
        <v>1008470</v>
      </c>
      <c r="R730" s="255">
        <f ca="1">R733+R736</f>
        <v>1008470</v>
      </c>
      <c r="S730" s="255">
        <f ca="1">S733+S736</f>
        <v>188555</v>
      </c>
      <c r="T730" s="255">
        <f ca="1">IF(Q730&gt;0,S730*100/Q730,0)</f>
        <v>18.697135264311285</v>
      </c>
      <c r="U730" s="255">
        <f ca="1">IF(R730&gt;0,S730*100/R730,0)</f>
        <v>18.697135264311285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256">
        <f>L732+L733</f>
        <v>0</v>
      </c>
      <c r="M731" s="255">
        <f>M732+M733</f>
        <v>0</v>
      </c>
      <c r="N731" s="255">
        <f>N732+N733</f>
        <v>0</v>
      </c>
      <c r="O731" s="255">
        <f>IF(L731&gt;0,N731*100/L731,0)</f>
        <v>0</v>
      </c>
      <c r="P731" s="255">
        <f>IF(M731&gt;0,N731*100/M731,0)</f>
        <v>0</v>
      </c>
      <c r="Q731" s="255">
        <f ca="1">Q732+Q733</f>
        <v>1008470</v>
      </c>
      <c r="R731" s="255">
        <f ca="1">R732+R733</f>
        <v>1008470</v>
      </c>
      <c r="S731" s="255">
        <f ca="1">S732+S733</f>
        <v>188555</v>
      </c>
      <c r="T731" s="255">
        <f ca="1">IF(Q731&gt;0,S731*100/Q731,0)</f>
        <v>18.697135264311285</v>
      </c>
      <c r="U731" s="255">
        <f ca="1">IF(R731&gt;0,S731*100/R731,0)</f>
        <v>18.697135264311285</v>
      </c>
    </row>
    <row r="732" spans="1:21" ht="18.75" hidden="1">
      <c r="A732" s="155"/>
      <c r="B732" s="188"/>
      <c r="C732" s="188"/>
      <c r="D732" s="174"/>
      <c r="E732" s="186" t="s">
        <v>159</v>
      </c>
      <c r="F732" s="50"/>
      <c r="G732" s="52"/>
      <c r="H732" s="189" t="s">
        <v>14</v>
      </c>
      <c r="I732" s="54"/>
      <c r="J732" s="54"/>
      <c r="K732" s="55"/>
      <c r="L732" s="103">
        <v>0</v>
      </c>
      <c r="M732" s="102">
        <v>0</v>
      </c>
      <c r="N732" s="102">
        <v>0</v>
      </c>
      <c r="O732" s="102">
        <f>IF(L732&gt;0,N732*100/L732,0)</f>
        <v>0</v>
      </c>
      <c r="P732" s="102">
        <f>IF(M732&gt;0,N732*100/M732,0)</f>
        <v>0</v>
      </c>
      <c r="Q732" s="102">
        <v>0</v>
      </c>
      <c r="R732" s="102">
        <v>0</v>
      </c>
      <c r="S732" s="102">
        <v>0</v>
      </c>
      <c r="T732" s="102">
        <f>IF(Q732&gt;0,S732*100/Q732,0)</f>
        <v>0</v>
      </c>
      <c r="U732" s="102">
        <f>IF(R732&gt;0,S732*100/R732,0)</f>
        <v>0</v>
      </c>
    </row>
    <row r="733" spans="1:21" ht="18.75" hidden="1">
      <c r="A733" s="155"/>
      <c r="B733" s="188"/>
      <c r="C733" s="188"/>
      <c r="D733" s="174"/>
      <c r="E733" s="58" t="s">
        <v>160</v>
      </c>
      <c r="F733" s="50"/>
      <c r="G733" s="52"/>
      <c r="H733" s="162" t="s">
        <v>14</v>
      </c>
      <c r="I733" s="54"/>
      <c r="J733" s="54"/>
      <c r="K733" s="55"/>
      <c r="L733" s="256">
        <v>0</v>
      </c>
      <c r="M733" s="255">
        <v>0</v>
      </c>
      <c r="N733" s="255">
        <v>0</v>
      </c>
      <c r="O733" s="255">
        <f>IF(L733&gt;0,N733*100/L733,0)</f>
        <v>0</v>
      </c>
      <c r="P733" s="255">
        <f>IF(M733&gt;0,N733*100/M733,0)</f>
        <v>0</v>
      </c>
      <c r="Q733" s="255">
        <f ca="1">IFERROR(__xludf.DUMMYFUNCTION("IMPORTRANGE(""https://docs.google.com/spreadsheets/d/1ItG2mGa2ceCfYo0BwxsXqNm01IGEUdYcSSLTEv9YCik/edit?usp=sharing"",""เบิกจ่ายกองทุน!O42"")"),1008470)</f>
        <v>1008470</v>
      </c>
      <c r="R733" s="255">
        <f ca="1">IFERROR(__xludf.DUMMYFUNCTION("IMPORTRANGE(""https://docs.google.com/spreadsheets/d/1ItG2mGa2ceCfYo0BwxsXqNm01IGEUdYcSSLTEv9YCik/edit?usp=sharing"",""เบิกจ่ายกองทุน!P42"")"),1008470)</f>
        <v>1008470</v>
      </c>
      <c r="S733" s="255">
        <f ca="1">IFERROR(__xludf.DUMMYFUNCTION("IMPORTRANGE(""https://docs.google.com/spreadsheets/d/1ItG2mGa2ceCfYo0BwxsXqNm01IGEUdYcSSLTEv9YCik/edit?usp=sharing"",""เบิกจ่ายกองทุน!Q42"")"),188555)</f>
        <v>188555</v>
      </c>
      <c r="T733" s="255">
        <f ca="1">IF(Q733&gt;0,S733*100/Q733,0)</f>
        <v>18.697135264311285</v>
      </c>
      <c r="U733" s="255">
        <f ca="1">IF(R733&gt;0,S733*100/R733,0)</f>
        <v>18.697135264311285</v>
      </c>
    </row>
    <row r="734" spans="1:21" ht="18.75">
      <c r="A734" s="155"/>
      <c r="B734" s="188"/>
      <c r="C734" s="188"/>
      <c r="D734" s="51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256">
        <f>L735+L736</f>
        <v>0</v>
      </c>
      <c r="M734" s="255">
        <f>M735+M736</f>
        <v>0</v>
      </c>
      <c r="N734" s="255">
        <f>N735+N736</f>
        <v>0</v>
      </c>
      <c r="O734" s="255">
        <f>IF(L734&gt;0,N734*100/L734,0)</f>
        <v>0</v>
      </c>
      <c r="P734" s="255">
        <f>IF(M734&gt;0,N734*100/M734,0)</f>
        <v>0</v>
      </c>
      <c r="Q734" s="255">
        <f>Q735+Q736</f>
        <v>0</v>
      </c>
      <c r="R734" s="255">
        <f>R735+R736</f>
        <v>0</v>
      </c>
      <c r="S734" s="255">
        <f>S735+S736</f>
        <v>0</v>
      </c>
      <c r="T734" s="255">
        <f>IF(Q734&gt;0,S734*100/Q734,0)</f>
        <v>0</v>
      </c>
      <c r="U734" s="255">
        <f>IF(R734&gt;0,S734*100/R734,0)</f>
        <v>0</v>
      </c>
    </row>
    <row r="735" spans="1:21" ht="18.75" hidden="1">
      <c r="A735" s="155"/>
      <c r="B735" s="188"/>
      <c r="C735" s="188"/>
      <c r="D735" s="188"/>
      <c r="E735" s="358" t="s">
        <v>20</v>
      </c>
      <c r="F735" s="188"/>
      <c r="G735" s="52"/>
      <c r="H735" s="189" t="s">
        <v>14</v>
      </c>
      <c r="I735" s="163"/>
      <c r="J735" s="163"/>
      <c r="K735" s="164"/>
      <c r="L735" s="103">
        <v>0</v>
      </c>
      <c r="M735" s="102">
        <v>0</v>
      </c>
      <c r="N735" s="102">
        <v>0</v>
      </c>
      <c r="O735" s="102">
        <f>IF(L735&gt;0,N735*100/L735,0)</f>
        <v>0</v>
      </c>
      <c r="P735" s="102">
        <f>IF(M735&gt;0,N735*100/M735,0)</f>
        <v>0</v>
      </c>
      <c r="Q735" s="102">
        <v>0</v>
      </c>
      <c r="R735" s="102">
        <v>0</v>
      </c>
      <c r="S735" s="102">
        <v>0</v>
      </c>
      <c r="T735" s="102">
        <f>IF(Q735&gt;0,S735*100/Q735,0)</f>
        <v>0</v>
      </c>
      <c r="U735" s="102">
        <f>IF(R735&gt;0,S735*100/R735,0)</f>
        <v>0</v>
      </c>
    </row>
    <row r="736" spans="1:21" ht="18.75" hidden="1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256">
        <v>0</v>
      </c>
      <c r="M736" s="255">
        <v>0</v>
      </c>
      <c r="N736" s="255">
        <v>0</v>
      </c>
      <c r="O736" s="255">
        <f>IF(L736&gt;0,N736*100/L736,0)</f>
        <v>0</v>
      </c>
      <c r="P736" s="255">
        <f>IF(M736&gt;0,N736*100/M736,0)</f>
        <v>0</v>
      </c>
      <c r="Q736" s="255">
        <v>0</v>
      </c>
      <c r="R736" s="255">
        <v>0</v>
      </c>
      <c r="S736" s="255">
        <v>0</v>
      </c>
      <c r="T736" s="255">
        <f>IF(Q736&gt;0,S736*100/Q736,0)</f>
        <v>0</v>
      </c>
      <c r="U736" s="255">
        <f>IF(R736&gt;0,S736*100/R736,0)</f>
        <v>0</v>
      </c>
    </row>
    <row r="737" spans="1:21" ht="19.5">
      <c r="A737" s="166"/>
      <c r="B737" s="167"/>
      <c r="C737" s="205" t="s">
        <v>18</v>
      </c>
      <c r="D737" s="560" t="s">
        <v>38</v>
      </c>
      <c r="E737" s="232"/>
      <c r="F737" s="169"/>
      <c r="G737" s="170"/>
      <c r="H737" s="206"/>
      <c r="I737" s="54"/>
      <c r="J737" s="54"/>
      <c r="K737" s="55"/>
      <c r="L737" s="62"/>
      <c r="M737" s="55"/>
      <c r="N737" s="55"/>
      <c r="O737" s="55"/>
      <c r="P737" s="55"/>
      <c r="Q737" s="55"/>
      <c r="R737" s="55"/>
      <c r="S737" s="55"/>
      <c r="T737" s="55"/>
      <c r="U737" s="55"/>
    </row>
    <row r="738" spans="1:21" ht="19.5">
      <c r="A738" s="166"/>
      <c r="B738" s="167"/>
      <c r="C738" s="167"/>
      <c r="D738" s="488" t="s">
        <v>121</v>
      </c>
      <c r="E738" s="167"/>
      <c r="F738" s="167"/>
      <c r="G738" s="171"/>
      <c r="H738" s="208"/>
      <c r="I738" s="54"/>
      <c r="J738" s="54"/>
      <c r="K738" s="55"/>
      <c r="L738" s="62"/>
      <c r="M738" s="55"/>
      <c r="N738" s="55"/>
      <c r="O738" s="55"/>
      <c r="P738" s="55"/>
      <c r="Q738" s="55"/>
      <c r="R738" s="55"/>
      <c r="S738" s="55"/>
      <c r="T738" s="55"/>
      <c r="U738" s="55"/>
    </row>
    <row r="739" spans="1:21" ht="18.75">
      <c r="A739" s="166"/>
      <c r="B739" s="167"/>
      <c r="C739" s="167"/>
      <c r="D739" s="167"/>
      <c r="E739" s="460" t="s">
        <v>271</v>
      </c>
      <c r="F739" s="167"/>
      <c r="G739" s="171"/>
      <c r="H739" s="208"/>
      <c r="I739" s="54"/>
      <c r="J739" s="54"/>
      <c r="K739" s="55"/>
      <c r="L739" s="62"/>
      <c r="M739" s="55"/>
      <c r="N739" s="55"/>
      <c r="O739" s="55"/>
      <c r="P739" s="55"/>
      <c r="Q739" s="55"/>
      <c r="R739" s="55"/>
      <c r="S739" s="55"/>
      <c r="T739" s="55"/>
      <c r="U739" s="55"/>
    </row>
    <row r="740" spans="1:21" ht="18.75">
      <c r="A740" s="554"/>
      <c r="B740" s="553"/>
      <c r="C740" s="553"/>
      <c r="D740" s="553"/>
      <c r="E740" s="553"/>
      <c r="F740" s="558" t="s">
        <v>272</v>
      </c>
      <c r="G740" s="550"/>
      <c r="H740" s="549" t="s">
        <v>46</v>
      </c>
      <c r="I740" s="556">
        <f ca="1">IFERROR(__xludf.DUMMYFUNCTION("IMPORTRANGE(""https://docs.google.com/spreadsheets/d/1eHaY18a8A9IcSdp1K8H6x8fbOy06t2VsZHhMHf-1x7Y/edit?usp=sharing"",""แผน!GB42"")"),1000)</f>
        <v>1000</v>
      </c>
      <c r="J740" s="547">
        <v>1000</v>
      </c>
      <c r="K740" s="555">
        <f ca="1">IF(I740&gt;0,J740*100/I740,0)</f>
        <v>100</v>
      </c>
      <c r="L740" s="546"/>
      <c r="M740" s="545"/>
      <c r="N740" s="545"/>
      <c r="O740" s="545"/>
      <c r="P740" s="545"/>
      <c r="Q740" s="545"/>
      <c r="R740" s="545"/>
      <c r="S740" s="545"/>
      <c r="T740" s="545"/>
      <c r="U740" s="545"/>
    </row>
    <row r="741" spans="1:21" ht="18.75">
      <c r="A741" s="554"/>
      <c r="B741" s="553"/>
      <c r="C741" s="553"/>
      <c r="D741" s="553"/>
      <c r="E741" s="553"/>
      <c r="F741" s="558" t="s">
        <v>307</v>
      </c>
      <c r="G741" s="550"/>
      <c r="H741" s="549" t="s">
        <v>35</v>
      </c>
      <c r="I741" s="548"/>
      <c r="J741" s="547">
        <v>0</v>
      </c>
      <c r="K741" s="545"/>
      <c r="L741" s="546"/>
      <c r="M741" s="545"/>
      <c r="N741" s="545"/>
      <c r="O741" s="545"/>
      <c r="P741" s="545"/>
      <c r="Q741" s="545"/>
      <c r="R741" s="545"/>
      <c r="S741" s="545"/>
      <c r="T741" s="545"/>
      <c r="U741" s="545"/>
    </row>
    <row r="742" spans="1:21" ht="18.75">
      <c r="A742" s="554"/>
      <c r="B742" s="553"/>
      <c r="C742" s="553"/>
      <c r="D742" s="553"/>
      <c r="E742" s="553"/>
      <c r="F742" s="558" t="s">
        <v>306</v>
      </c>
      <c r="G742" s="550"/>
      <c r="H742" s="549" t="s">
        <v>35</v>
      </c>
      <c r="I742" s="556">
        <f ca="1">IFERROR(__xludf.DUMMYFUNCTION("IMPORTRANGE(""https://docs.google.com/spreadsheets/d/1eHaY18a8A9IcSdp1K8H6x8fbOy06t2VsZHhMHf-1x7Y/edit?usp=sharing"",""แผน!GC42"")"),100)</f>
        <v>100</v>
      </c>
      <c r="J742" s="547">
        <v>100</v>
      </c>
      <c r="K742" s="555">
        <f ca="1">IF(I742&gt;0,J742*100/I742,0)</f>
        <v>100</v>
      </c>
      <c r="L742" s="546"/>
      <c r="M742" s="545"/>
      <c r="N742" s="545"/>
      <c r="O742" s="545"/>
      <c r="P742" s="545"/>
      <c r="Q742" s="545"/>
      <c r="R742" s="545"/>
      <c r="S742" s="545"/>
      <c r="T742" s="545"/>
      <c r="U742" s="545"/>
    </row>
    <row r="743" spans="1:21" ht="18.75">
      <c r="A743" s="554"/>
      <c r="B743" s="553"/>
      <c r="C743" s="553"/>
      <c r="D743" s="553"/>
      <c r="E743" s="558" t="s">
        <v>275</v>
      </c>
      <c r="F743" s="553"/>
      <c r="G743" s="550"/>
      <c r="H743" s="557"/>
      <c r="I743" s="548"/>
      <c r="J743" s="548"/>
      <c r="K743" s="545"/>
      <c r="L743" s="546"/>
      <c r="M743" s="545"/>
      <c r="N743" s="545"/>
      <c r="O743" s="545"/>
      <c r="P743" s="545"/>
      <c r="Q743" s="545"/>
      <c r="R743" s="545"/>
      <c r="S743" s="545"/>
      <c r="T743" s="545"/>
      <c r="U743" s="545"/>
    </row>
    <row r="744" spans="1:21" ht="18.75">
      <c r="A744" s="554"/>
      <c r="B744" s="553"/>
      <c r="C744" s="553"/>
      <c r="D744" s="553"/>
      <c r="E744" s="553"/>
      <c r="F744" s="558" t="s">
        <v>272</v>
      </c>
      <c r="G744" s="550"/>
      <c r="H744" s="549" t="s">
        <v>46</v>
      </c>
      <c r="I744" s="556">
        <f ca="1">IFERROR(__xludf.DUMMYFUNCTION("IMPORTRANGE(""https://docs.google.com/spreadsheets/d/1eHaY18a8A9IcSdp1K8H6x8fbOy06t2VsZHhMHf-1x7Y/edit?usp=sharing"",""แผน!GD42"")"),250)</f>
        <v>250</v>
      </c>
      <c r="J744" s="547">
        <v>0</v>
      </c>
      <c r="K744" s="555">
        <f ca="1">IF(I744&gt;0,J744*100/I744,0)</f>
        <v>0</v>
      </c>
      <c r="L744" s="546"/>
      <c r="M744" s="545"/>
      <c r="N744" s="545"/>
      <c r="O744" s="545"/>
      <c r="P744" s="545"/>
      <c r="Q744" s="545"/>
      <c r="R744" s="545"/>
      <c r="S744" s="545"/>
      <c r="T744" s="545"/>
      <c r="U744" s="545"/>
    </row>
    <row r="745" spans="1:21" ht="18.75">
      <c r="A745" s="554"/>
      <c r="B745" s="553"/>
      <c r="C745" s="553"/>
      <c r="D745" s="553"/>
      <c r="E745" s="553"/>
      <c r="F745" s="558" t="s">
        <v>305</v>
      </c>
      <c r="G745" s="550"/>
      <c r="H745" s="549" t="s">
        <v>35</v>
      </c>
      <c r="I745" s="548"/>
      <c r="J745" s="547">
        <v>0</v>
      </c>
      <c r="K745" s="545"/>
      <c r="L745" s="546"/>
      <c r="M745" s="545"/>
      <c r="N745" s="545"/>
      <c r="O745" s="545"/>
      <c r="P745" s="545"/>
      <c r="Q745" s="545"/>
      <c r="R745" s="545"/>
      <c r="S745" s="545"/>
      <c r="T745" s="545"/>
      <c r="U745" s="545"/>
    </row>
    <row r="746" spans="1:21" ht="18.75">
      <c r="A746" s="554"/>
      <c r="B746" s="553"/>
      <c r="C746" s="553"/>
      <c r="D746" s="553"/>
      <c r="E746" s="553"/>
      <c r="F746" s="558" t="s">
        <v>304</v>
      </c>
      <c r="G746" s="550"/>
      <c r="H746" s="549" t="s">
        <v>35</v>
      </c>
      <c r="I746" s="556">
        <f ca="1">IFERROR(__xludf.DUMMYFUNCTION("IMPORTRANGE(""https://docs.google.com/spreadsheets/d/1eHaY18a8A9IcSdp1K8H6x8fbOy06t2VsZHhMHf-1x7Y/edit?usp=sharing"",""แผน!GE42"")"),25)</f>
        <v>25</v>
      </c>
      <c r="J746" s="547">
        <v>0</v>
      </c>
      <c r="K746" s="555">
        <f ca="1">IF(I746&gt;0,J746*100/I746,0)</f>
        <v>0</v>
      </c>
      <c r="L746" s="546"/>
      <c r="M746" s="545"/>
      <c r="N746" s="545"/>
      <c r="O746" s="545"/>
      <c r="P746" s="545"/>
      <c r="Q746" s="545"/>
      <c r="R746" s="545"/>
      <c r="S746" s="545"/>
      <c r="T746" s="545"/>
      <c r="U746" s="545"/>
    </row>
    <row r="747" spans="1:21" ht="18.75">
      <c r="A747" s="554"/>
      <c r="B747" s="553"/>
      <c r="C747" s="553"/>
      <c r="D747" s="553"/>
      <c r="E747" s="558" t="s">
        <v>278</v>
      </c>
      <c r="F747" s="552"/>
      <c r="G747" s="550"/>
      <c r="H747" s="557"/>
      <c r="I747" s="548"/>
      <c r="J747" s="548"/>
      <c r="K747" s="545"/>
      <c r="L747" s="546"/>
      <c r="M747" s="545"/>
      <c r="N747" s="545"/>
      <c r="O747" s="545"/>
      <c r="P747" s="545"/>
      <c r="Q747" s="545"/>
      <c r="R747" s="545"/>
      <c r="S747" s="545"/>
      <c r="T747" s="545"/>
      <c r="U747" s="545"/>
    </row>
    <row r="748" spans="1:21" ht="18.75">
      <c r="A748" s="554"/>
      <c r="B748" s="553"/>
      <c r="C748" s="553"/>
      <c r="D748" s="553"/>
      <c r="E748" s="553"/>
      <c r="F748" s="558" t="s">
        <v>303</v>
      </c>
      <c r="G748" s="550"/>
      <c r="H748" s="549" t="s">
        <v>35</v>
      </c>
      <c r="I748" s="548"/>
      <c r="J748" s="547">
        <v>0</v>
      </c>
      <c r="K748" s="545"/>
      <c r="L748" s="546"/>
      <c r="M748" s="545"/>
      <c r="N748" s="545"/>
      <c r="O748" s="545"/>
      <c r="P748" s="545"/>
      <c r="Q748" s="545"/>
      <c r="R748" s="545"/>
      <c r="S748" s="545"/>
      <c r="T748" s="545"/>
      <c r="U748" s="545"/>
    </row>
    <row r="749" spans="1:21" ht="18.75">
      <c r="A749" s="554"/>
      <c r="B749" s="553"/>
      <c r="C749" s="553"/>
      <c r="D749" s="553"/>
      <c r="E749" s="553"/>
      <c r="F749" s="558" t="s">
        <v>302</v>
      </c>
      <c r="G749" s="550"/>
      <c r="H749" s="549" t="s">
        <v>35</v>
      </c>
      <c r="I749" s="556">
        <f ca="1">IFERROR(__xludf.DUMMYFUNCTION("IMPORTRANGE(""https://docs.google.com/spreadsheets/d/1eHaY18a8A9IcSdp1K8H6x8fbOy06t2VsZHhMHf-1x7Y/edit?usp=sharing"",""แผน!GF42"")"),3)</f>
        <v>3</v>
      </c>
      <c r="J749" s="547">
        <v>0</v>
      </c>
      <c r="K749" s="555">
        <f ca="1">IF(I749&gt;0,J749*100/I749,0)</f>
        <v>0</v>
      </c>
      <c r="L749" s="546"/>
      <c r="M749" s="545"/>
      <c r="N749" s="545"/>
      <c r="O749" s="545"/>
      <c r="P749" s="545"/>
      <c r="Q749" s="545"/>
      <c r="R749" s="545"/>
      <c r="S749" s="545"/>
      <c r="T749" s="545"/>
      <c r="U749" s="545"/>
    </row>
    <row r="750" spans="1:21" ht="19.5">
      <c r="A750" s="554"/>
      <c r="B750" s="553"/>
      <c r="C750" s="553"/>
      <c r="D750" s="559" t="s">
        <v>50</v>
      </c>
      <c r="E750" s="553"/>
      <c r="F750" s="552"/>
      <c r="G750" s="550"/>
      <c r="H750" s="557"/>
      <c r="I750" s="548"/>
      <c r="J750" s="548"/>
      <c r="K750" s="545"/>
      <c r="L750" s="546"/>
      <c r="M750" s="545"/>
      <c r="N750" s="545"/>
      <c r="O750" s="545"/>
      <c r="P750" s="545"/>
      <c r="Q750" s="545"/>
      <c r="R750" s="545"/>
      <c r="S750" s="545"/>
      <c r="T750" s="545"/>
      <c r="U750" s="545"/>
    </row>
    <row r="751" spans="1:21" ht="18.75">
      <c r="A751" s="554"/>
      <c r="B751" s="553"/>
      <c r="C751" s="553"/>
      <c r="D751" s="553"/>
      <c r="E751" s="558" t="s">
        <v>271</v>
      </c>
      <c r="F751" s="552"/>
      <c r="G751" s="550"/>
      <c r="H751" s="557"/>
      <c r="I751" s="548"/>
      <c r="J751" s="548"/>
      <c r="K751" s="545"/>
      <c r="L751" s="546"/>
      <c r="M751" s="545"/>
      <c r="N751" s="545"/>
      <c r="O751" s="545"/>
      <c r="P751" s="545"/>
      <c r="Q751" s="545"/>
      <c r="R751" s="545"/>
      <c r="S751" s="545"/>
      <c r="T751" s="545"/>
      <c r="U751" s="545"/>
    </row>
    <row r="752" spans="1:21" ht="18.75">
      <c r="A752" s="554"/>
      <c r="B752" s="553"/>
      <c r="C752" s="553"/>
      <c r="D752" s="553"/>
      <c r="E752" s="553"/>
      <c r="F752" s="551" t="s">
        <v>301</v>
      </c>
      <c r="G752" s="550"/>
      <c r="H752" s="549" t="s">
        <v>46</v>
      </c>
      <c r="I752" s="556">
        <f ca="1">IFERROR(__xludf.DUMMYFUNCTION("IMPORTRANGE(""https://docs.google.com/spreadsheets/d/1eHaY18a8A9IcSdp1K8H6x8fbOy06t2VsZHhMHf-1x7Y/edit?usp=sharing"",""แผน!GB42"")"),1000)</f>
        <v>1000</v>
      </c>
      <c r="J752" s="547">
        <v>0</v>
      </c>
      <c r="K752" s="555">
        <f ca="1">IF(I752&gt;0,J752*100/I752,0)</f>
        <v>0</v>
      </c>
      <c r="L752" s="546"/>
      <c r="M752" s="545"/>
      <c r="N752" s="545"/>
      <c r="O752" s="545"/>
      <c r="P752" s="545"/>
      <c r="Q752" s="545"/>
      <c r="R752" s="545"/>
      <c r="S752" s="545"/>
      <c r="T752" s="545"/>
      <c r="U752" s="545"/>
    </row>
    <row r="753" spans="1:21" ht="18.75">
      <c r="A753" s="554"/>
      <c r="B753" s="553"/>
      <c r="C753" s="553"/>
      <c r="D753" s="553"/>
      <c r="E753" s="553"/>
      <c r="F753" s="551" t="s">
        <v>300</v>
      </c>
      <c r="G753" s="550"/>
      <c r="H753" s="549" t="s">
        <v>46</v>
      </c>
      <c r="I753" s="548"/>
      <c r="J753" s="547">
        <v>0</v>
      </c>
      <c r="K753" s="545"/>
      <c r="L753" s="546"/>
      <c r="M753" s="545"/>
      <c r="N753" s="545"/>
      <c r="O753" s="545"/>
      <c r="P753" s="545"/>
      <c r="Q753" s="545"/>
      <c r="R753" s="545"/>
      <c r="S753" s="545"/>
      <c r="T753" s="545"/>
      <c r="U753" s="545"/>
    </row>
    <row r="754" spans="1:21" ht="18.75">
      <c r="A754" s="554"/>
      <c r="B754" s="553"/>
      <c r="C754" s="553"/>
      <c r="D754" s="553"/>
      <c r="E754" s="558" t="s">
        <v>275</v>
      </c>
      <c r="F754" s="552"/>
      <c r="G754" s="550"/>
      <c r="H754" s="557"/>
      <c r="I754" s="548"/>
      <c r="J754" s="548"/>
      <c r="K754" s="545"/>
      <c r="L754" s="546"/>
      <c r="M754" s="545"/>
      <c r="N754" s="545"/>
      <c r="O754" s="545"/>
      <c r="P754" s="545"/>
      <c r="Q754" s="545"/>
      <c r="R754" s="545"/>
      <c r="S754" s="545"/>
      <c r="T754" s="545"/>
      <c r="U754" s="545"/>
    </row>
    <row r="755" spans="1:21" ht="18.75">
      <c r="A755" s="554"/>
      <c r="B755" s="553"/>
      <c r="C755" s="553"/>
      <c r="D755" s="553"/>
      <c r="E755" s="552"/>
      <c r="F755" s="551" t="s">
        <v>299</v>
      </c>
      <c r="G755" s="550"/>
      <c r="H755" s="549" t="s">
        <v>46</v>
      </c>
      <c r="I755" s="556">
        <f ca="1">IFERROR(__xludf.DUMMYFUNCTION("IMPORTRANGE(""https://docs.google.com/spreadsheets/d/1eHaY18a8A9IcSdp1K8H6x8fbOy06t2VsZHhMHf-1x7Y/edit?usp=sharing"",""แผน!GD42"")"),250)</f>
        <v>250</v>
      </c>
      <c r="J755" s="547">
        <v>0</v>
      </c>
      <c r="K755" s="555">
        <f ca="1">IF(I755&gt;0,J755*100/I755,0)</f>
        <v>0</v>
      </c>
      <c r="L755" s="546"/>
      <c r="M755" s="545"/>
      <c r="N755" s="545"/>
      <c r="O755" s="545"/>
      <c r="P755" s="545"/>
      <c r="Q755" s="545"/>
      <c r="R755" s="545"/>
      <c r="S755" s="545"/>
      <c r="T755" s="545"/>
      <c r="U755" s="545"/>
    </row>
    <row r="756" spans="1:21" ht="18.75">
      <c r="A756" s="554"/>
      <c r="B756" s="553"/>
      <c r="C756" s="553"/>
      <c r="D756" s="553"/>
      <c r="E756" s="552"/>
      <c r="F756" s="551" t="s">
        <v>298</v>
      </c>
      <c r="G756" s="550"/>
      <c r="H756" s="549" t="s">
        <v>46</v>
      </c>
      <c r="I756" s="548"/>
      <c r="J756" s="547">
        <v>0</v>
      </c>
      <c r="K756" s="545"/>
      <c r="L756" s="546"/>
      <c r="M756" s="545"/>
      <c r="N756" s="545"/>
      <c r="O756" s="545"/>
      <c r="P756" s="545"/>
      <c r="Q756" s="545"/>
      <c r="R756" s="545"/>
      <c r="S756" s="545"/>
      <c r="T756" s="545"/>
      <c r="U756" s="545"/>
    </row>
    <row r="757" spans="1:21" ht="18.75">
      <c r="A757" s="489"/>
      <c r="B757" s="489"/>
      <c r="C757" s="489"/>
      <c r="D757" s="489"/>
      <c r="E757" s="490" t="s">
        <v>285</v>
      </c>
      <c r="F757" s="491"/>
      <c r="G757" s="492"/>
      <c r="H757" s="493" t="s">
        <v>35</v>
      </c>
      <c r="I757" s="494"/>
      <c r="J757" s="495">
        <v>0</v>
      </c>
      <c r="K757" s="496"/>
      <c r="L757" s="496"/>
      <c r="M757" s="496"/>
      <c r="N757" s="496"/>
      <c r="O757" s="496"/>
      <c r="P757" s="496"/>
      <c r="Q757" s="496"/>
      <c r="R757" s="496"/>
      <c r="S757" s="496"/>
      <c r="T757" s="496"/>
      <c r="U757" s="496"/>
    </row>
    <row r="758" spans="1:21" ht="19.5">
      <c r="A758" s="442"/>
      <c r="B758" s="443" t="s">
        <v>286</v>
      </c>
      <c r="C758" s="442"/>
      <c r="D758" s="444"/>
      <c r="E758" s="444"/>
      <c r="F758" s="444"/>
      <c r="G758" s="445"/>
      <c r="H758" s="473" t="s">
        <v>35</v>
      </c>
      <c r="I758" s="544">
        <f ca="1">I772</f>
        <v>120</v>
      </c>
      <c r="J758" s="544">
        <f>J772</f>
        <v>120</v>
      </c>
      <c r="K758" s="543">
        <f ca="1">IF(I758&gt;0,J758*100/I758,0)</f>
        <v>100</v>
      </c>
      <c r="L758" s="449"/>
      <c r="M758" s="448"/>
      <c r="N758" s="448"/>
      <c r="O758" s="448"/>
      <c r="P758" s="448"/>
      <c r="Q758" s="448"/>
      <c r="R758" s="448"/>
      <c r="S758" s="448"/>
      <c r="T758" s="448"/>
      <c r="U758" s="448"/>
    </row>
    <row r="759" spans="1:21" ht="19.5">
      <c r="A759" s="487"/>
      <c r="B759" s="442"/>
      <c r="C759" s="442"/>
      <c r="D759" s="444"/>
      <c r="E759" s="444"/>
      <c r="F759" s="444"/>
      <c r="G759" s="445"/>
      <c r="H759" s="473" t="s">
        <v>46</v>
      </c>
      <c r="I759" s="544">
        <f ca="1">I774</f>
        <v>600</v>
      </c>
      <c r="J759" s="544">
        <f>J774</f>
        <v>600</v>
      </c>
      <c r="K759" s="543">
        <f ca="1">IF(I759&gt;0,J759*100/I759,0)</f>
        <v>100</v>
      </c>
      <c r="L759" s="449"/>
      <c r="M759" s="448"/>
      <c r="N759" s="448"/>
      <c r="O759" s="448"/>
      <c r="P759" s="448"/>
      <c r="Q759" s="448"/>
      <c r="R759" s="448"/>
      <c r="S759" s="448"/>
      <c r="T759" s="448"/>
      <c r="U759" s="448"/>
    </row>
    <row r="760" spans="1:21" ht="19.5">
      <c r="A760" s="155"/>
      <c r="B760" s="188"/>
      <c r="C760" s="205" t="s">
        <v>18</v>
      </c>
      <c r="D760" s="542" t="s">
        <v>19</v>
      </c>
      <c r="E760" s="529"/>
      <c r="F760" s="529"/>
      <c r="G760" s="530"/>
      <c r="H760" s="252" t="s">
        <v>14</v>
      </c>
      <c r="I760" s="54"/>
      <c r="J760" s="54"/>
      <c r="K760" s="55"/>
      <c r="L760" s="541">
        <f>L761+L762</f>
        <v>0</v>
      </c>
      <c r="M760" s="540">
        <f>M761+M762</f>
        <v>0</v>
      </c>
      <c r="N760" s="540">
        <f>N761+N762</f>
        <v>0</v>
      </c>
      <c r="O760" s="540">
        <f>IF(L760&gt;0,N760*100/L760,0)</f>
        <v>0</v>
      </c>
      <c r="P760" s="540">
        <f>IF(M760&gt;0,N760*100/M760,0)</f>
        <v>0</v>
      </c>
      <c r="Q760" s="540">
        <f ca="1">Q761+Q762</f>
        <v>1066780</v>
      </c>
      <c r="R760" s="540">
        <f ca="1">R761+R762</f>
        <v>1066780</v>
      </c>
      <c r="S760" s="540">
        <f ca="1">S761+S762</f>
        <v>190537</v>
      </c>
      <c r="T760" s="540">
        <f ca="1">IF(Q760&gt;0,S760*100/Q760,0)</f>
        <v>17.8609460244849</v>
      </c>
      <c r="U760" s="540">
        <f ca="1">IF(R760&gt;0,S760*100/R760,0)</f>
        <v>17.8609460244849</v>
      </c>
    </row>
    <row r="761" spans="1:21" ht="18.75" hidden="1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103">
        <f>L764+L767</f>
        <v>0</v>
      </c>
      <c r="M761" s="102">
        <f>M764+M767</f>
        <v>0</v>
      </c>
      <c r="N761" s="102">
        <f>N764+N767</f>
        <v>0</v>
      </c>
      <c r="O761" s="102">
        <f>IF(L761&gt;0,N761*100/L761,0)</f>
        <v>0</v>
      </c>
      <c r="P761" s="102">
        <f>IF(M761&gt;0,N761*100/M761,0)</f>
        <v>0</v>
      </c>
      <c r="Q761" s="102">
        <f>Q764+Q767</f>
        <v>0</v>
      </c>
      <c r="R761" s="102">
        <f>R764+R767</f>
        <v>0</v>
      </c>
      <c r="S761" s="102">
        <f>S764+S767</f>
        <v>0</v>
      </c>
      <c r="T761" s="102">
        <f>IF(Q761&gt;0,S761*100/Q761,0)</f>
        <v>0</v>
      </c>
      <c r="U761" s="102">
        <f>IF(R761&gt;0,S761*100/R761,0)</f>
        <v>0</v>
      </c>
    </row>
    <row r="762" spans="1:21" ht="18.75" hidden="1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256">
        <f>L765+L768</f>
        <v>0</v>
      </c>
      <c r="M762" s="255">
        <f>M765+M768</f>
        <v>0</v>
      </c>
      <c r="N762" s="255">
        <f>N765+N768</f>
        <v>0</v>
      </c>
      <c r="O762" s="255">
        <f>IF(L762&gt;0,N762*100/L762,0)</f>
        <v>0</v>
      </c>
      <c r="P762" s="255">
        <f>IF(M762&gt;0,N762*100/M762,0)</f>
        <v>0</v>
      </c>
      <c r="Q762" s="255">
        <f ca="1">Q765+Q768</f>
        <v>1066780</v>
      </c>
      <c r="R762" s="255">
        <f ca="1">R765+R768</f>
        <v>1066780</v>
      </c>
      <c r="S762" s="255">
        <f ca="1">S765+S768</f>
        <v>190537</v>
      </c>
      <c r="T762" s="255">
        <f ca="1">IF(Q762&gt;0,S762*100/Q762,0)</f>
        <v>17.8609460244849</v>
      </c>
      <c r="U762" s="255">
        <f ca="1">IF(R762&gt;0,S762*100/R762,0)</f>
        <v>17.8609460244849</v>
      </c>
    </row>
    <row r="763" spans="1:21" ht="18.75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256">
        <f>L764+L765</f>
        <v>0</v>
      </c>
      <c r="M763" s="255">
        <f>M764+M765</f>
        <v>0</v>
      </c>
      <c r="N763" s="255">
        <f>N764+N765</f>
        <v>0</v>
      </c>
      <c r="O763" s="255">
        <f>IF(L763&gt;0,N763*100/L763,0)</f>
        <v>0</v>
      </c>
      <c r="P763" s="255">
        <f>IF(M763&gt;0,N763*100/M763,0)</f>
        <v>0</v>
      </c>
      <c r="Q763" s="255">
        <f ca="1">Q764+Q765</f>
        <v>1066780</v>
      </c>
      <c r="R763" s="255">
        <f ca="1">R764+R765</f>
        <v>1066780</v>
      </c>
      <c r="S763" s="255">
        <f ca="1">S764+S765</f>
        <v>190537</v>
      </c>
      <c r="T763" s="255">
        <f ca="1">IF(Q763&gt;0,S763*100/Q763,0)</f>
        <v>17.8609460244849</v>
      </c>
      <c r="U763" s="255">
        <f ca="1">IF(R763&gt;0,S763*100/R763,0)</f>
        <v>17.8609460244849</v>
      </c>
    </row>
    <row r="764" spans="1:21" ht="18.75" hidden="1">
      <c r="A764" s="155"/>
      <c r="B764" s="188"/>
      <c r="C764" s="202"/>
      <c r="D764" s="174"/>
      <c r="E764" s="186" t="s">
        <v>159</v>
      </c>
      <c r="F764" s="50"/>
      <c r="G764" s="52"/>
      <c r="H764" s="189" t="s">
        <v>14</v>
      </c>
      <c r="I764" s="54"/>
      <c r="J764" s="54"/>
      <c r="K764" s="55"/>
      <c r="L764" s="103">
        <v>0</v>
      </c>
      <c r="M764" s="102">
        <v>0</v>
      </c>
      <c r="N764" s="102">
        <v>0</v>
      </c>
      <c r="O764" s="102">
        <f>IF(L764&gt;0,N764*100/L764,0)</f>
        <v>0</v>
      </c>
      <c r="P764" s="102">
        <f>IF(M764&gt;0,N764*100/M764,0)</f>
        <v>0</v>
      </c>
      <c r="Q764" s="102">
        <v>0</v>
      </c>
      <c r="R764" s="102">
        <v>0</v>
      </c>
      <c r="S764" s="102">
        <v>0</v>
      </c>
      <c r="T764" s="102">
        <f>IF(Q764&gt;0,S764*100/Q764,0)</f>
        <v>0</v>
      </c>
      <c r="U764" s="102">
        <f>IF(R764&gt;0,S764*100/R764,0)</f>
        <v>0</v>
      </c>
    </row>
    <row r="765" spans="1:21" ht="18.75" hidden="1">
      <c r="A765" s="155"/>
      <c r="B765" s="188"/>
      <c r="C765" s="202"/>
      <c r="D765" s="174"/>
      <c r="E765" s="58" t="s">
        <v>160</v>
      </c>
      <c r="F765" s="50"/>
      <c r="G765" s="52"/>
      <c r="H765" s="162" t="s">
        <v>14</v>
      </c>
      <c r="I765" s="54"/>
      <c r="J765" s="54"/>
      <c r="K765" s="55"/>
      <c r="L765" s="256">
        <v>0</v>
      </c>
      <c r="M765" s="255">
        <v>0</v>
      </c>
      <c r="N765" s="255">
        <v>0</v>
      </c>
      <c r="O765" s="255">
        <f>IF(L765&gt;0,N765*100/L765,0)</f>
        <v>0</v>
      </c>
      <c r="P765" s="255">
        <f>IF(M765&gt;0,N765*100/M765,0)</f>
        <v>0</v>
      </c>
      <c r="Q765" s="255">
        <f ca="1">IFERROR(__xludf.DUMMYFUNCTION("IMPORTRANGE(""https://docs.google.com/spreadsheets/d/1ItG2mGa2ceCfYo0BwxsXqNm01IGEUdYcSSLTEv9YCik/edit?usp=sharing"",""เบิกจ่ายกองทุน!U42"")"),1066780)</f>
        <v>1066780</v>
      </c>
      <c r="R765" s="255">
        <f ca="1">IFERROR(__xludf.DUMMYFUNCTION("IMPORTRANGE(""https://docs.google.com/spreadsheets/d/1ItG2mGa2ceCfYo0BwxsXqNm01IGEUdYcSSLTEv9YCik/edit?usp=sharing"",""เบิกจ่ายกองทุน!V42"")"),1066780)</f>
        <v>1066780</v>
      </c>
      <c r="S765" s="255">
        <f ca="1">IFERROR(__xludf.DUMMYFUNCTION("IMPORTRANGE(""https://docs.google.com/spreadsheets/d/1ItG2mGa2ceCfYo0BwxsXqNm01IGEUdYcSSLTEv9YCik/edit?usp=sharing"",""เบิกจ่ายกองทุน!W42"")"),190537)</f>
        <v>190537</v>
      </c>
      <c r="T765" s="255">
        <f ca="1">IF(Q765&gt;0,S765*100/Q765,0)</f>
        <v>17.8609460244849</v>
      </c>
      <c r="U765" s="255">
        <f ca="1">IF(R765&gt;0,S765*100/R765,0)</f>
        <v>17.8609460244849</v>
      </c>
    </row>
    <row r="766" spans="1:21" ht="18.75">
      <c r="A766" s="155"/>
      <c r="B766" s="188"/>
      <c r="C766" s="188"/>
      <c r="D766" s="51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256">
        <f>L767+L768</f>
        <v>0</v>
      </c>
      <c r="M766" s="255">
        <f>M767+M768</f>
        <v>0</v>
      </c>
      <c r="N766" s="255">
        <f>N767+N768</f>
        <v>0</v>
      </c>
      <c r="O766" s="255">
        <f>IF(L766&gt;0,N766*100/L766,0)</f>
        <v>0</v>
      </c>
      <c r="P766" s="255">
        <f>IF(M766&gt;0,N766*100/M766,0)</f>
        <v>0</v>
      </c>
      <c r="Q766" s="255">
        <f>Q767+Q768</f>
        <v>0</v>
      </c>
      <c r="R766" s="255">
        <f>R767+R768</f>
        <v>0</v>
      </c>
      <c r="S766" s="255">
        <f>S767+S768</f>
        <v>0</v>
      </c>
      <c r="T766" s="255">
        <f>IF(Q766&gt;0,S766*100/Q766,0)</f>
        <v>0</v>
      </c>
      <c r="U766" s="255">
        <f>IF(R766&gt;0,S766*100/R766,0)</f>
        <v>0</v>
      </c>
    </row>
    <row r="767" spans="1:21" ht="18.75" hidden="1">
      <c r="A767" s="155"/>
      <c r="B767" s="188"/>
      <c r="C767" s="188"/>
      <c r="D767" s="188"/>
      <c r="E767" s="358" t="s">
        <v>20</v>
      </c>
      <c r="F767" s="50"/>
      <c r="G767" s="52"/>
      <c r="H767" s="189" t="s">
        <v>14</v>
      </c>
      <c r="I767" s="163"/>
      <c r="J767" s="163"/>
      <c r="K767" s="164"/>
      <c r="L767" s="103">
        <v>0</v>
      </c>
      <c r="M767" s="102">
        <v>0</v>
      </c>
      <c r="N767" s="102">
        <v>0</v>
      </c>
      <c r="O767" s="102">
        <f>IF(L767&gt;0,N767*100/L767,0)</f>
        <v>0</v>
      </c>
      <c r="P767" s="102">
        <f>IF(M767&gt;0,N767*100/M767,0)</f>
        <v>0</v>
      </c>
      <c r="Q767" s="102">
        <v>0</v>
      </c>
      <c r="R767" s="102">
        <v>0</v>
      </c>
      <c r="S767" s="102">
        <v>0</v>
      </c>
      <c r="T767" s="102">
        <f>IF(Q767&gt;0,S767*100/Q767,0)</f>
        <v>0</v>
      </c>
      <c r="U767" s="102">
        <f>IF(R767&gt;0,S767*100/R767,0)</f>
        <v>0</v>
      </c>
    </row>
    <row r="768" spans="1:21" ht="18.75" hidden="1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256">
        <v>0</v>
      </c>
      <c r="M768" s="255">
        <v>0</v>
      </c>
      <c r="N768" s="255">
        <v>0</v>
      </c>
      <c r="O768" s="255">
        <f>IF(L768&gt;0,N768*100/L768,0)</f>
        <v>0</v>
      </c>
      <c r="P768" s="255">
        <f>IF(M768&gt;0,N768*100/M768,0)</f>
        <v>0</v>
      </c>
      <c r="Q768" s="255">
        <v>0</v>
      </c>
      <c r="R768" s="255">
        <v>0</v>
      </c>
      <c r="S768" s="255">
        <v>0</v>
      </c>
      <c r="T768" s="255">
        <f>IF(Q768&gt;0,S768*100/Q768,0)</f>
        <v>0</v>
      </c>
      <c r="U768" s="255">
        <f>IF(R768&gt;0,S768*100/R768,0)</f>
        <v>0</v>
      </c>
    </row>
    <row r="769" spans="1:21" ht="19.5">
      <c r="A769" s="166"/>
      <c r="B769" s="167"/>
      <c r="C769" s="497" t="s">
        <v>18</v>
      </c>
      <c r="D769" s="539" t="s">
        <v>38</v>
      </c>
      <c r="E769" s="232"/>
      <c r="F769" s="169"/>
      <c r="G769" s="170"/>
      <c r="H769" s="206"/>
      <c r="I769" s="54"/>
      <c r="J769" s="54"/>
      <c r="K769" s="55"/>
      <c r="L769" s="62"/>
      <c r="M769" s="55"/>
      <c r="N769" s="55"/>
      <c r="O769" s="55"/>
      <c r="P769" s="55"/>
      <c r="Q769" s="55"/>
      <c r="R769" s="55"/>
      <c r="S769" s="55"/>
      <c r="T769" s="55"/>
      <c r="U769" s="55"/>
    </row>
    <row r="770" spans="1:21" ht="18.75" hidden="1">
      <c r="A770" s="166"/>
      <c r="B770" s="167"/>
      <c r="C770" s="167"/>
      <c r="D770" s="423" t="s">
        <v>287</v>
      </c>
      <c r="E770" s="167"/>
      <c r="F770" s="174"/>
      <c r="G770" s="171"/>
      <c r="H770" s="421" t="s">
        <v>35</v>
      </c>
      <c r="I770" s="483">
        <f ca="1">IFERROR(__xludf.DUMMYFUNCTION("IMPORTRANGE(""https://docs.google.com/spreadsheets/d/1eHaY18a8A9IcSdp1K8H6x8fbOy06t2VsZHhMHf-1x7Y/edit?usp=sharing"",""แผน!FI42"")"),0)</f>
        <v>0</v>
      </c>
      <c r="J770" s="483">
        <v>0</v>
      </c>
      <c r="K770" s="102">
        <f ca="1">IF(I770&gt;0,J770*100/I770,0)</f>
        <v>0</v>
      </c>
      <c r="L770" s="62"/>
      <c r="M770" s="55"/>
      <c r="N770" s="55"/>
      <c r="O770" s="55"/>
      <c r="P770" s="55"/>
      <c r="Q770" s="55"/>
      <c r="R770" s="55"/>
      <c r="S770" s="55"/>
      <c r="T770" s="55"/>
      <c r="U770" s="55"/>
    </row>
    <row r="771" spans="1:21" ht="18.75" hidden="1">
      <c r="A771" s="166"/>
      <c r="B771" s="167"/>
      <c r="C771" s="167"/>
      <c r="D771" s="423" t="s">
        <v>288</v>
      </c>
      <c r="E771" s="167"/>
      <c r="F771" s="174"/>
      <c r="G771" s="171"/>
      <c r="H771" s="206"/>
      <c r="I771" s="54"/>
      <c r="J771" s="54"/>
      <c r="K771" s="55"/>
      <c r="L771" s="62"/>
      <c r="M771" s="55"/>
      <c r="N771" s="55"/>
      <c r="O771" s="55"/>
      <c r="P771" s="55"/>
      <c r="Q771" s="55"/>
      <c r="R771" s="55"/>
      <c r="S771" s="55"/>
      <c r="T771" s="55"/>
      <c r="U771" s="55"/>
    </row>
    <row r="772" spans="1:21" ht="18.75">
      <c r="A772" s="166"/>
      <c r="B772" s="167"/>
      <c r="C772" s="167"/>
      <c r="D772" s="460" t="s">
        <v>289</v>
      </c>
      <c r="E772" s="167"/>
      <c r="F772" s="174"/>
      <c r="G772" s="171"/>
      <c r="H772" s="165" t="s">
        <v>35</v>
      </c>
      <c r="I772" s="212">
        <f ca="1">IFERROR(__xludf.DUMMYFUNCTION("IMPORTRANGE(""https://docs.google.com/spreadsheets/d/1eHaY18a8A9IcSdp1K8H6x8fbOy06t2VsZHhMHf-1x7Y/edit?usp=sharing"",""แผน!FQ42"")"),120)</f>
        <v>120</v>
      </c>
      <c r="J772" s="467">
        <v>120</v>
      </c>
      <c r="K772" s="255">
        <f ca="1">IF(I772&gt;0,J772*100/I772,0)</f>
        <v>100</v>
      </c>
      <c r="L772" s="62"/>
      <c r="M772" s="55"/>
      <c r="N772" s="55"/>
      <c r="O772" s="55"/>
      <c r="P772" s="55"/>
      <c r="Q772" s="55"/>
      <c r="R772" s="55"/>
      <c r="S772" s="55"/>
      <c r="T772" s="55"/>
      <c r="U772" s="55"/>
    </row>
    <row r="773" spans="1:21" ht="18.75">
      <c r="A773" s="166"/>
      <c r="B773" s="167"/>
      <c r="C773" s="167"/>
      <c r="D773" s="460" t="s">
        <v>290</v>
      </c>
      <c r="E773" s="167"/>
      <c r="F773" s="174"/>
      <c r="G773" s="171"/>
      <c r="H773" s="206"/>
      <c r="I773" s="54"/>
      <c r="J773" s="54"/>
      <c r="K773" s="55"/>
      <c r="L773" s="62"/>
      <c r="M773" s="55"/>
      <c r="N773" s="55"/>
      <c r="O773" s="55"/>
      <c r="P773" s="55"/>
      <c r="Q773" s="55"/>
      <c r="R773" s="55"/>
      <c r="S773" s="55"/>
      <c r="T773" s="55"/>
      <c r="U773" s="55"/>
    </row>
    <row r="774" spans="1:21" ht="18.75">
      <c r="A774" s="166"/>
      <c r="B774" s="167"/>
      <c r="C774" s="167"/>
      <c r="D774" s="460" t="s">
        <v>291</v>
      </c>
      <c r="E774" s="167"/>
      <c r="F774" s="174"/>
      <c r="G774" s="171"/>
      <c r="H774" s="165" t="s">
        <v>46</v>
      </c>
      <c r="I774" s="212">
        <f ca="1">IFERROR(__xludf.DUMMYFUNCTION("IMPORTRANGE(""https://docs.google.com/spreadsheets/d/1eHaY18a8A9IcSdp1K8H6x8fbOy06t2VsZHhMHf-1x7Y/edit?usp=sharing"",""แผน!FR42"")"),600)</f>
        <v>600</v>
      </c>
      <c r="J774" s="467">
        <v>600</v>
      </c>
      <c r="K774" s="255">
        <f ca="1">IF(I774&gt;0,J774*100/I774,0)</f>
        <v>100</v>
      </c>
      <c r="L774" s="62"/>
      <c r="M774" s="55"/>
      <c r="N774" s="55"/>
      <c r="O774" s="55"/>
      <c r="P774" s="55"/>
      <c r="Q774" s="55"/>
      <c r="R774" s="55"/>
      <c r="S774" s="55"/>
      <c r="T774" s="55"/>
      <c r="U774" s="55"/>
    </row>
    <row r="775" spans="1:21" ht="18.75">
      <c r="A775" s="166"/>
      <c r="B775" s="167"/>
      <c r="C775" s="167"/>
      <c r="D775" s="460" t="s">
        <v>50</v>
      </c>
      <c r="E775" s="174"/>
      <c r="F775" s="50"/>
      <c r="G775" s="52"/>
      <c r="H775" s="165" t="s">
        <v>46</v>
      </c>
      <c r="I775" s="212">
        <f ca="1">IFERROR(__xludf.DUMMYFUNCTION("IMPORTRANGE(""https://docs.google.com/spreadsheets/d/1eHaY18a8A9IcSdp1K8H6x8fbOy06t2VsZHhMHf-1x7Y/edit?usp=sharing"",""แผน!FS42"")"),600)</f>
        <v>600</v>
      </c>
      <c r="J775" s="467">
        <v>0</v>
      </c>
      <c r="K775" s="55"/>
      <c r="L775" s="62"/>
      <c r="M775" s="55"/>
      <c r="N775" s="55"/>
      <c r="O775" s="55"/>
      <c r="P775" s="55"/>
      <c r="Q775" s="55"/>
      <c r="R775" s="55"/>
      <c r="S775" s="55"/>
      <c r="T775" s="55"/>
      <c r="U775" s="55"/>
    </row>
    <row r="776" spans="1:21" ht="18.75">
      <c r="A776" s="281"/>
      <c r="B776" s="282"/>
      <c r="C776" s="282"/>
      <c r="D776" s="282"/>
      <c r="E776" s="2"/>
      <c r="F776" s="2"/>
      <c r="G776" s="65"/>
      <c r="H776" s="214" t="s">
        <v>35</v>
      </c>
      <c r="I776" s="216">
        <f ca="1">IFERROR(__xludf.DUMMYFUNCTION("IMPORTRANGE(""https://docs.google.com/spreadsheets/d/1eHaY18a8A9IcSdp1K8H6x8fbOy06t2VsZHhMHf-1x7Y/edit?usp=sharing"",""แผน!FT42"")"),120)</f>
        <v>120</v>
      </c>
      <c r="J776" s="538">
        <v>0</v>
      </c>
      <c r="K776" s="6"/>
      <c r="L776" s="68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>
      <c r="A777" s="537" t="s">
        <v>292</v>
      </c>
      <c r="B777" s="500"/>
      <c r="C777" s="500"/>
      <c r="D777" s="499"/>
      <c r="E777" s="500"/>
      <c r="F777" s="500"/>
      <c r="G777" s="501"/>
      <c r="H777" s="536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503"/>
      <c r="J777" s="504"/>
      <c r="K777" s="505"/>
      <c r="L777" s="505"/>
      <c r="M777" s="505"/>
      <c r="N777" s="505"/>
      <c r="O777" s="505"/>
      <c r="P777" s="505"/>
      <c r="Q777" s="505"/>
      <c r="R777" s="505"/>
      <c r="S777" s="505"/>
      <c r="T777" s="505"/>
      <c r="U777" s="505"/>
    </row>
    <row r="778" spans="1:21" ht="18.75">
      <c r="A778" s="49"/>
      <c r="B778" s="58" t="s">
        <v>293</v>
      </c>
      <c r="C778" s="50"/>
      <c r="D778" s="188"/>
      <c r="E778" s="50"/>
      <c r="F778" s="50"/>
      <c r="G778" s="52"/>
      <c r="H778" s="53" t="s">
        <v>14</v>
      </c>
      <c r="I778" s="212">
        <f ca="1">IFERROR(__xludf.DUMMYFUNCTION("IMPORTRANGE(""https://docs.google.com/spreadsheets/d/10OvvATaaLtwErnr3qtWFcTmtbfpFEt5Bsqel9sXx0uE/edit?usp=sharing"",""งานกองทุน!D42"")"),5131232.66)</f>
        <v>5131232.66</v>
      </c>
      <c r="J778" s="212">
        <f ca="1">IFERROR(__xludf.DUMMYFUNCTION("IMPORTRANGE(""https://docs.google.com/spreadsheets/d/10OvvATaaLtwErnr3qtWFcTmtbfpFEt5Bsqel9sXx0uE/edit?usp=sharing"",""งานกองทุน!F42"")"),2633372.22)</f>
        <v>2633372.2200000002</v>
      </c>
      <c r="K778" s="255">
        <f ca="1">IF(I778&gt;0,J778*100/I778,0)</f>
        <v>51.320460296571319</v>
      </c>
      <c r="L778" s="55"/>
      <c r="M778" s="55"/>
      <c r="N778" s="55"/>
      <c r="O778" s="55"/>
      <c r="P778" s="55"/>
      <c r="Q778" s="55"/>
      <c r="R778" s="55"/>
      <c r="S778" s="55"/>
      <c r="T778" s="55"/>
      <c r="U778" s="55"/>
    </row>
    <row r="779" spans="1:21" ht="18.75">
      <c r="A779" s="49"/>
      <c r="B779" s="50"/>
      <c r="C779" s="50"/>
      <c r="D779" s="188"/>
      <c r="E779" s="50"/>
      <c r="F779" s="50"/>
      <c r="G779" s="52"/>
      <c r="H779" s="53" t="s">
        <v>35</v>
      </c>
      <c r="I779" s="212">
        <f ca="1">IFERROR(__xludf.DUMMYFUNCTION("IMPORTRANGE(""https://docs.google.com/spreadsheets/d/10OvvATaaLtwErnr3qtWFcTmtbfpFEt5Bsqel9sXx0uE/edit?usp=sharing"",""งานกองทุน!C42"")"),542)</f>
        <v>542</v>
      </c>
      <c r="J779" s="212">
        <f ca="1">IFERROR(__xludf.DUMMYFUNCTION("IMPORTRANGE(""https://docs.google.com/spreadsheets/d/10OvvATaaLtwErnr3qtWFcTmtbfpFEt5Bsqel9sXx0uE/edit?usp=sharing"",""งานกองทุน!E42"")"),286)</f>
        <v>286</v>
      </c>
      <c r="K779" s="255">
        <f ca="1">IF(I779&gt;0,J779*100/I779,0)</f>
        <v>52.767527675276753</v>
      </c>
      <c r="L779" s="55"/>
      <c r="M779" s="55"/>
      <c r="N779" s="55"/>
      <c r="O779" s="55"/>
      <c r="P779" s="55"/>
      <c r="Q779" s="55"/>
      <c r="R779" s="55"/>
      <c r="S779" s="55"/>
      <c r="T779" s="55"/>
      <c r="U779" s="55"/>
    </row>
    <row r="780" spans="1:21" ht="18.75">
      <c r="A780" s="49"/>
      <c r="B780" s="58" t="s">
        <v>294</v>
      </c>
      <c r="C780" s="50"/>
      <c r="D780" s="188"/>
      <c r="E780" s="50"/>
      <c r="F780" s="50"/>
      <c r="G780" s="52"/>
      <c r="H780" s="53" t="s">
        <v>14</v>
      </c>
      <c r="I780" s="212">
        <f ca="1">IFERROR(__xludf.DUMMYFUNCTION("IMPORTRANGE(""https://docs.google.com/spreadsheets/d/10OvvATaaLtwErnr3qtWFcTmtbfpFEt5Bsqel9sXx0uE/edit?usp=sharing"",""งานกองทุน!I42"")"),32590430.84)</f>
        <v>32590430.84</v>
      </c>
      <c r="J780" s="212">
        <f ca="1">IFERROR(__xludf.DUMMYFUNCTION("IMPORTRANGE(""https://docs.google.com/spreadsheets/d/10OvvATaaLtwErnr3qtWFcTmtbfpFEt5Bsqel9sXx0uE/edit?usp=sharing"",""งานกองทุน!K42"")"),2706374.17)</f>
        <v>2706374.17</v>
      </c>
      <c r="K780" s="255">
        <f ca="1">IF(I780&gt;0,J780*100/I780,0)</f>
        <v>8.3041988100332826</v>
      </c>
      <c r="L780" s="55"/>
      <c r="M780" s="55"/>
      <c r="N780" s="55"/>
      <c r="O780" s="55"/>
      <c r="P780" s="55"/>
      <c r="Q780" s="55"/>
      <c r="R780" s="55"/>
      <c r="S780" s="55"/>
      <c r="T780" s="55"/>
      <c r="U780" s="55"/>
    </row>
    <row r="781" spans="1:21" ht="18.75">
      <c r="A781" s="49"/>
      <c r="B781" s="50"/>
      <c r="C781" s="50"/>
      <c r="D781" s="188"/>
      <c r="E781" s="50"/>
      <c r="F781" s="50"/>
      <c r="G781" s="52"/>
      <c r="H781" s="53" t="s">
        <v>35</v>
      </c>
      <c r="I781" s="212">
        <f ca="1">IFERROR(__xludf.DUMMYFUNCTION("IMPORTRANGE(""https://docs.google.com/spreadsheets/d/10OvvATaaLtwErnr3qtWFcTmtbfpFEt5Bsqel9sXx0uE/edit?usp=sharing"",""งานกองทุน!H42"")"),1558)</f>
        <v>1558</v>
      </c>
      <c r="J781" s="212">
        <f ca="1">IFERROR(__xludf.DUMMYFUNCTION("IMPORTRANGE(""https://docs.google.com/spreadsheets/d/10OvvATaaLtwErnr3qtWFcTmtbfpFEt5Bsqel9sXx0uE/edit?usp=sharing"",""งานกองทุน!J42"")"),541)</f>
        <v>541</v>
      </c>
      <c r="K781" s="255">
        <f ca="1">IF(I781&gt;0,J781*100/I781,0)</f>
        <v>34.724005134788193</v>
      </c>
      <c r="L781" s="55"/>
      <c r="M781" s="55"/>
      <c r="N781" s="55"/>
      <c r="O781" s="55"/>
      <c r="P781" s="55"/>
      <c r="Q781" s="55"/>
      <c r="R781" s="55"/>
      <c r="S781" s="55"/>
      <c r="T781" s="55"/>
      <c r="U781" s="55"/>
    </row>
    <row r="782" spans="1:21" ht="18.75">
      <c r="A782" s="49"/>
      <c r="B782" s="58" t="s">
        <v>295</v>
      </c>
      <c r="C782" s="50"/>
      <c r="D782" s="188"/>
      <c r="E782" s="50"/>
      <c r="F782" s="50"/>
      <c r="G782" s="52"/>
      <c r="H782" s="53" t="s">
        <v>14</v>
      </c>
      <c r="I782" s="212">
        <f ca="1">IFERROR(__xludf.DUMMYFUNCTION("IMPORTRANGE(""https://docs.google.com/spreadsheets/d/10OvvATaaLtwErnr3qtWFcTmtbfpFEt5Bsqel9sXx0uE/edit?usp=sharing"",""งานกองทุน!N42"")"),0)</f>
        <v>0</v>
      </c>
      <c r="J782" s="212">
        <f ca="1">IFERROR(__xludf.DUMMYFUNCTION("IMPORTRANGE(""https://docs.google.com/spreadsheets/d/10OvvATaaLtwErnr3qtWFcTmtbfpFEt5Bsqel9sXx0uE/edit?usp=sharing"",""งานกองทุน!P42"")"),4090.84)</f>
        <v>4090.84</v>
      </c>
      <c r="K782" s="255">
        <f ca="1">IF(I782&gt;0,J782*100/I782,0)</f>
        <v>0</v>
      </c>
      <c r="L782" s="55"/>
      <c r="M782" s="55"/>
      <c r="N782" s="55"/>
      <c r="O782" s="55"/>
      <c r="P782" s="55"/>
      <c r="Q782" s="55"/>
      <c r="R782" s="55"/>
      <c r="S782" s="55"/>
      <c r="T782" s="55"/>
      <c r="U782" s="55"/>
    </row>
    <row r="783" spans="1:21" ht="18.75">
      <c r="A783" s="49"/>
      <c r="B783" s="50"/>
      <c r="C783" s="50"/>
      <c r="D783" s="188"/>
      <c r="E783" s="50"/>
      <c r="F783" s="50"/>
      <c r="G783" s="52"/>
      <c r="H783" s="53" t="s">
        <v>35</v>
      </c>
      <c r="I783" s="212">
        <f ca="1">IFERROR(__xludf.DUMMYFUNCTION("IMPORTRANGE(""https://docs.google.com/spreadsheets/d/10OvvATaaLtwErnr3qtWFcTmtbfpFEt5Bsqel9sXx0uE/edit?usp=sharing"",""งานกองทุน!M42"")"),0)</f>
        <v>0</v>
      </c>
      <c r="J783" s="212">
        <f ca="1">IFERROR(__xludf.DUMMYFUNCTION("IMPORTRANGE(""https://docs.google.com/spreadsheets/d/10OvvATaaLtwErnr3qtWFcTmtbfpFEt5Bsqel9sXx0uE/edit?usp=sharing"",""งานกองทุน!O42"")"),5)</f>
        <v>5</v>
      </c>
      <c r="K783" s="255">
        <f ca="1">IF(I783&gt;0,J783*100/I783,0)</f>
        <v>0</v>
      </c>
      <c r="L783" s="55"/>
      <c r="M783" s="55"/>
      <c r="N783" s="55"/>
      <c r="O783" s="55"/>
      <c r="P783" s="55"/>
      <c r="Q783" s="55"/>
      <c r="R783" s="55"/>
      <c r="S783" s="55"/>
      <c r="T783" s="55"/>
      <c r="U783" s="55"/>
    </row>
    <row r="784" spans="1:21" ht="18.75">
      <c r="A784" s="49"/>
      <c r="B784" s="58" t="s">
        <v>296</v>
      </c>
      <c r="C784" s="50"/>
      <c r="D784" s="188"/>
      <c r="E784" s="50"/>
      <c r="F784" s="50"/>
      <c r="G784" s="52"/>
      <c r="H784" s="53" t="s">
        <v>14</v>
      </c>
      <c r="I784" s="212">
        <f ca="1">IFERROR(__xludf.DUMMYFUNCTION("IMPORTRANGE(""https://docs.google.com/spreadsheets/d/10OvvATaaLtwErnr3qtWFcTmtbfpFEt5Bsqel9sXx0uE/edit?usp=sharing"",""งานกองทุน!S42"")"),6944000)</f>
        <v>6944000</v>
      </c>
      <c r="J784" s="212">
        <f ca="1">IFERROR(__xludf.DUMMYFUNCTION("IMPORTRANGE(""https://docs.google.com/spreadsheets/d/10OvvATaaLtwErnr3qtWFcTmtbfpFEt5Bsqel9sXx0uE/edit?usp=sharing"",""งานกองทุน!U42"")"),0)</f>
        <v>0</v>
      </c>
      <c r="K784" s="255">
        <f ca="1">IF(I784&gt;0,J784*100/I784,0)</f>
        <v>0</v>
      </c>
      <c r="L784" s="55"/>
      <c r="M784" s="55"/>
      <c r="N784" s="55"/>
      <c r="O784" s="55"/>
      <c r="P784" s="55"/>
      <c r="Q784" s="55"/>
      <c r="R784" s="55"/>
      <c r="S784" s="55"/>
      <c r="T784" s="55"/>
      <c r="U784" s="55"/>
    </row>
    <row r="785" spans="1:21" ht="18.75">
      <c r="A785" s="63"/>
      <c r="B785" s="4"/>
      <c r="C785" s="4"/>
      <c r="D785" s="5"/>
      <c r="E785" s="4"/>
      <c r="F785" s="4"/>
      <c r="G785" s="65"/>
      <c r="H785" s="66" t="s">
        <v>35</v>
      </c>
      <c r="I785" s="216">
        <f ca="1">IFERROR(__xludf.DUMMYFUNCTION("IMPORTRANGE(""https://docs.google.com/spreadsheets/d/10OvvATaaLtwErnr3qtWFcTmtbfpFEt5Bsqel9sXx0uE/edit?usp=sharing"",""งานกองทุน!R42"")"),248)</f>
        <v>248</v>
      </c>
      <c r="J785" s="216">
        <f ca="1">IFERROR(__xludf.DUMMYFUNCTION("IMPORTRANGE(""https://docs.google.com/spreadsheets/d/10OvvATaaLtwErnr3qtWFcTmtbfpFEt5Bsqel9sXx0uE/edit?usp=sharing"",""งานกองทุน!T42"")"),0)</f>
        <v>0</v>
      </c>
      <c r="K785" s="506">
        <f ca="1">IF(I785&gt;0,J785*100/I785,0)</f>
        <v>0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6.5">
      <c r="A787" s="535" t="s">
        <v>297</v>
      </c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6.5">
      <c r="A788" s="535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</v>
      </c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6.5">
      <c r="A789" s="535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</v>
      </c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</sheetData>
  <mergeCells count="26">
    <mergeCell ref="A1:U1"/>
    <mergeCell ref="A2:U2"/>
    <mergeCell ref="A3:U3"/>
    <mergeCell ref="L4:P4"/>
    <mergeCell ref="Q4:U4"/>
    <mergeCell ref="A5:G6"/>
    <mergeCell ref="H5:H6"/>
    <mergeCell ref="I5:K5"/>
    <mergeCell ref="L5:M5"/>
    <mergeCell ref="N5:P5"/>
    <mergeCell ref="D616:G616"/>
    <mergeCell ref="D642:G642"/>
    <mergeCell ref="D690:G690"/>
    <mergeCell ref="D714:G714"/>
    <mergeCell ref="Q5:R5"/>
    <mergeCell ref="S5:U5"/>
    <mergeCell ref="D728:G728"/>
    <mergeCell ref="D760:G760"/>
    <mergeCell ref="A7:G7"/>
    <mergeCell ref="A17:G17"/>
    <mergeCell ref="A30:G30"/>
    <mergeCell ref="A56:G56"/>
    <mergeCell ref="B57:G57"/>
    <mergeCell ref="D413:G413"/>
    <mergeCell ref="D493:F493"/>
    <mergeCell ref="D599:G599"/>
  </mergeCells>
  <printOptions horizontalCentered="1"/>
  <pageMargins left="0.23622047244094491" right="0.23622047244094491" top="0.55118110236220474" bottom="0.55118110236220474" header="0" footer="0"/>
  <pageSetup paperSize="9" scale="29" fitToHeight="0" pageOrder="overThenDown" orientation="portrait" cellComments="atEnd" horizontalDpi="4294967293" verticalDpi="4294967293" r:id="rId1"/>
  <headerFooter>
    <oddFooter>&amp;Cหน้า &amp;P/&amp;N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A3D4C-625D-4780-B54D-719646AB9ABB}">
  <sheetPr>
    <outlinePr summaryBelow="0" summaryRight="0"/>
    <pageSetUpPr fitToPage="1"/>
  </sheetPr>
  <dimension ref="A1:U789"/>
  <sheetViews>
    <sheetView view="pageBreakPreview" zoomScale="60" zoomScaleNormal="60" workbookViewId="0">
      <pane xSplit="8" ySplit="17" topLeftCell="I18" activePane="bottomRight" state="frozen"/>
      <selection activeCell="T32" sqref="T32"/>
      <selection pane="topRight" activeCell="T32" sqref="T32"/>
      <selection pane="bottomLeft" activeCell="T32" sqref="T32"/>
      <selection pane="bottomRight" activeCell="T32" sqref="T32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bestFit="1" customWidth="1"/>
    <col min="12" max="14" width="21.28515625" bestFit="1" customWidth="1"/>
    <col min="15" max="15" width="20.140625" bestFit="1" customWidth="1"/>
    <col min="16" max="16" width="22" bestFit="1" customWidth="1"/>
    <col min="17" max="18" width="21.28515625" bestFit="1" customWidth="1"/>
    <col min="19" max="19" width="18.7109375" bestFit="1" customWidth="1"/>
    <col min="20" max="20" width="20.140625" bestFit="1" customWidth="1"/>
    <col min="21" max="21" width="22" bestFit="1" customWidth="1"/>
  </cols>
  <sheetData>
    <row r="1" spans="1:21" ht="19.5">
      <c r="A1" s="894" t="s">
        <v>0</v>
      </c>
      <c r="B1" s="894"/>
      <c r="C1" s="894"/>
      <c r="D1" s="894"/>
      <c r="E1" s="894"/>
      <c r="F1" s="894"/>
      <c r="G1" s="894"/>
      <c r="H1" s="894"/>
      <c r="I1" s="894"/>
      <c r="J1" s="894"/>
      <c r="K1" s="894"/>
      <c r="L1" s="894"/>
      <c r="M1" s="894"/>
      <c r="N1" s="894"/>
      <c r="O1" s="894"/>
      <c r="P1" s="894"/>
      <c r="Q1" s="894"/>
      <c r="R1" s="894"/>
      <c r="S1" s="894"/>
      <c r="T1" s="894"/>
      <c r="U1" s="894"/>
    </row>
    <row r="2" spans="1:21" ht="19.5">
      <c r="A2" s="894" t="s">
        <v>323</v>
      </c>
      <c r="B2" s="894"/>
      <c r="C2" s="894"/>
      <c r="D2" s="894"/>
      <c r="E2" s="894"/>
      <c r="F2" s="894"/>
      <c r="G2" s="894"/>
      <c r="H2" s="894"/>
      <c r="I2" s="894"/>
      <c r="J2" s="894"/>
      <c r="K2" s="894"/>
      <c r="L2" s="894"/>
      <c r="M2" s="894"/>
      <c r="N2" s="894"/>
      <c r="O2" s="894"/>
      <c r="P2" s="894"/>
      <c r="Q2" s="894"/>
      <c r="R2" s="894"/>
      <c r="S2" s="894"/>
      <c r="T2" s="894"/>
      <c r="U2" s="894"/>
    </row>
    <row r="3" spans="1:21" ht="19.5">
      <c r="A3" s="894" t="s">
        <v>339</v>
      </c>
      <c r="B3" s="894"/>
      <c r="C3" s="894"/>
      <c r="D3" s="894"/>
      <c r="E3" s="894"/>
      <c r="F3" s="894"/>
      <c r="G3" s="894"/>
      <c r="H3" s="894"/>
      <c r="I3" s="894"/>
      <c r="J3" s="894"/>
      <c r="K3" s="894"/>
      <c r="L3" s="894"/>
      <c r="M3" s="894"/>
      <c r="N3" s="894"/>
      <c r="O3" s="894"/>
      <c r="P3" s="894"/>
      <c r="Q3" s="894"/>
      <c r="R3" s="894"/>
      <c r="S3" s="894"/>
      <c r="T3" s="894"/>
      <c r="U3" s="894"/>
    </row>
    <row r="4" spans="1:21" ht="19.5">
      <c r="A4" s="4"/>
      <c r="B4" s="4"/>
      <c r="C4" s="4"/>
      <c r="D4" s="4"/>
      <c r="E4" s="4"/>
      <c r="F4" s="4"/>
      <c r="G4" s="4"/>
      <c r="H4" s="4"/>
      <c r="I4" s="4"/>
      <c r="J4" s="5"/>
      <c r="K4" s="766"/>
      <c r="L4" s="765" t="s">
        <v>2</v>
      </c>
      <c r="M4" s="514"/>
      <c r="N4" s="514"/>
      <c r="O4" s="514"/>
      <c r="P4" s="512"/>
      <c r="Q4" s="518" t="s">
        <v>3</v>
      </c>
      <c r="R4" s="514"/>
      <c r="S4" s="514"/>
      <c r="T4" s="514"/>
      <c r="U4" s="512"/>
    </row>
    <row r="5" spans="1:21" ht="19.5">
      <c r="A5" s="764" t="s">
        <v>4</v>
      </c>
      <c r="B5" s="516"/>
      <c r="C5" s="516"/>
      <c r="D5" s="516"/>
      <c r="E5" s="516"/>
      <c r="F5" s="516"/>
      <c r="G5" s="763"/>
      <c r="H5" s="772" t="s">
        <v>5</v>
      </c>
      <c r="I5" s="761" t="s">
        <v>6</v>
      </c>
      <c r="J5" s="514"/>
      <c r="K5" s="512"/>
      <c r="L5" s="760" t="s">
        <v>7</v>
      </c>
      <c r="M5" s="512"/>
      <c r="N5" s="513" t="s">
        <v>8</v>
      </c>
      <c r="O5" s="514"/>
      <c r="P5" s="512"/>
      <c r="Q5" s="511" t="s">
        <v>7</v>
      </c>
      <c r="R5" s="512"/>
      <c r="S5" s="513" t="s">
        <v>8</v>
      </c>
      <c r="T5" s="514"/>
      <c r="U5" s="512"/>
    </row>
    <row r="6" spans="1:21" ht="19.5">
      <c r="A6" s="522"/>
      <c r="B6" s="514"/>
      <c r="C6" s="514"/>
      <c r="D6" s="514"/>
      <c r="E6" s="514"/>
      <c r="F6" s="514"/>
      <c r="G6" s="512"/>
      <c r="H6" s="512"/>
      <c r="I6" s="9" t="s">
        <v>9</v>
      </c>
      <c r="J6" s="10" t="s">
        <v>10</v>
      </c>
      <c r="K6" s="9" t="s">
        <v>11</v>
      </c>
      <c r="L6" s="758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 hidden="1">
      <c r="A7" s="750"/>
      <c r="B7" s="514"/>
      <c r="C7" s="514"/>
      <c r="D7" s="514"/>
      <c r="E7" s="514"/>
      <c r="F7" s="514"/>
      <c r="G7" s="512"/>
      <c r="H7" s="17"/>
      <c r="I7" s="18"/>
      <c r="J7" s="18"/>
      <c r="K7" s="19"/>
      <c r="L7" s="28"/>
      <c r="M7" s="19"/>
      <c r="N7" s="19"/>
      <c r="O7" s="19"/>
      <c r="P7" s="19"/>
      <c r="Q7" s="19"/>
      <c r="R7" s="19"/>
      <c r="S7" s="19"/>
      <c r="T7" s="19"/>
      <c r="U7" s="19"/>
    </row>
    <row r="8" spans="1:21" ht="12.75" hidden="1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6"/>
      <c r="M8" s="25"/>
      <c r="N8" s="25"/>
      <c r="O8" s="25"/>
      <c r="P8" s="25"/>
      <c r="Q8" s="25"/>
      <c r="R8" s="25"/>
      <c r="S8" s="25"/>
      <c r="T8" s="25"/>
      <c r="U8" s="25"/>
    </row>
    <row r="9" spans="1:21" ht="12.75" hidden="1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6"/>
      <c r="M9" s="25"/>
      <c r="N9" s="25"/>
      <c r="O9" s="25"/>
      <c r="P9" s="25"/>
      <c r="Q9" s="25"/>
      <c r="R9" s="25"/>
      <c r="S9" s="25"/>
      <c r="T9" s="25"/>
      <c r="U9" s="25"/>
    </row>
    <row r="10" spans="1:21" ht="12.75" hidden="1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6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2.75" hidden="1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6"/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2.75" hidden="1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6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2.75" hidden="1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6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2.75" hidden="1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2.75" hidden="1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6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2.75" hidden="1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28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9.5">
      <c r="A17" s="532" t="s">
        <v>311</v>
      </c>
      <c r="B17" s="514"/>
      <c r="C17" s="514"/>
      <c r="D17" s="514"/>
      <c r="E17" s="514"/>
      <c r="F17" s="514"/>
      <c r="G17" s="512"/>
      <c r="H17" s="29"/>
      <c r="I17" s="30"/>
      <c r="J17" s="30"/>
      <c r="K17" s="31"/>
      <c r="L17" s="32"/>
      <c r="M17" s="31"/>
      <c r="N17" s="31"/>
      <c r="O17" s="31"/>
      <c r="P17" s="31"/>
      <c r="Q17" s="31"/>
      <c r="R17" s="31"/>
      <c r="S17" s="31"/>
      <c r="T17" s="31"/>
      <c r="U17" s="31"/>
    </row>
    <row r="18" spans="1:21" ht="19.5">
      <c r="A18" s="33"/>
      <c r="B18" s="34"/>
      <c r="C18" s="35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757">
        <f ca="1">L19+L20</f>
        <v>2277320</v>
      </c>
      <c r="M18" s="720">
        <f ca="1">M19+M20</f>
        <v>2278707</v>
      </c>
      <c r="N18" s="720">
        <f ca="1">N19+N20</f>
        <v>1864893.25</v>
      </c>
      <c r="O18" s="720">
        <f ca="1">IF(L18&gt;0,N18*100/L18,0)</f>
        <v>81.889820051639646</v>
      </c>
      <c r="P18" s="720">
        <f ca="1">IF(M18&gt;0,N18*100/M18,0)</f>
        <v>81.839975477321133</v>
      </c>
      <c r="Q18" s="720">
        <f ca="1">Q19+Q20</f>
        <v>2202332.39</v>
      </c>
      <c r="R18" s="720">
        <f ca="1">R19+R20</f>
        <v>2202332</v>
      </c>
      <c r="S18" s="720">
        <f ca="1">S19+S20</f>
        <v>292697.99</v>
      </c>
      <c r="T18" s="720">
        <f ca="1">IF(Q18&gt;0,S18*100/Q18,0)</f>
        <v>13.290363949103977</v>
      </c>
      <c r="U18" s="720">
        <f ca="1">IF(R18&gt;0,S18*100/R18,0)</f>
        <v>13.290366302628305</v>
      </c>
    </row>
    <row r="19" spans="1:21" ht="18.75" hidden="1">
      <c r="A19" s="33"/>
      <c r="B19" s="34"/>
      <c r="C19" s="34"/>
      <c r="D19" s="34"/>
      <c r="E19" s="756" t="s">
        <v>20</v>
      </c>
      <c r="F19" s="34"/>
      <c r="G19" s="37"/>
      <c r="H19" s="755" t="s">
        <v>14</v>
      </c>
      <c r="I19" s="39"/>
      <c r="J19" s="39"/>
      <c r="K19" s="40"/>
      <c r="L19" s="754">
        <f>L22+L25</f>
        <v>0</v>
      </c>
      <c r="M19" s="753">
        <f>M22+M25</f>
        <v>0</v>
      </c>
      <c r="N19" s="753">
        <f>N22+N25</f>
        <v>0</v>
      </c>
      <c r="O19" s="753">
        <f>IF(L19&gt;0,N19*100/L19,0)</f>
        <v>0</v>
      </c>
      <c r="P19" s="753">
        <f>IF(M19&gt;0,N19*100/M19,0)</f>
        <v>0</v>
      </c>
      <c r="Q19" s="753">
        <f>Q22+Q25</f>
        <v>0</v>
      </c>
      <c r="R19" s="753">
        <f>R22+R25</f>
        <v>0</v>
      </c>
      <c r="S19" s="753">
        <f>S22+S25</f>
        <v>0</v>
      </c>
      <c r="T19" s="753">
        <f>IF(Q19&gt;0,S19*100/Q19,0)</f>
        <v>0</v>
      </c>
      <c r="U19" s="753">
        <f>IF(R19&gt;0,S19*100/R19,0)</f>
        <v>0</v>
      </c>
    </row>
    <row r="20" spans="1:21" ht="18.75" hidden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752">
        <f ca="1">L23+L26</f>
        <v>2277320</v>
      </c>
      <c r="M20" s="751">
        <f ca="1">M23+M26</f>
        <v>2278707</v>
      </c>
      <c r="N20" s="751">
        <f ca="1">N23+N26</f>
        <v>1864893.25</v>
      </c>
      <c r="O20" s="751">
        <f ca="1">IF(L20&gt;0,N20*100/L20,0)</f>
        <v>81.889820051639646</v>
      </c>
      <c r="P20" s="751">
        <f ca="1">IF(M20&gt;0,N20*100/M20,0)</f>
        <v>81.839975477321133</v>
      </c>
      <c r="Q20" s="751">
        <f ca="1">Q23+Q26</f>
        <v>2202332.39</v>
      </c>
      <c r="R20" s="751">
        <f ca="1">R23+R26</f>
        <v>2202332</v>
      </c>
      <c r="S20" s="751">
        <f ca="1">S23+S26</f>
        <v>292697.99</v>
      </c>
      <c r="T20" s="751">
        <f ca="1">IF(Q20&gt;0,S20*100/Q20,0)</f>
        <v>13.290363949103977</v>
      </c>
      <c r="U20" s="751">
        <f ca="1">IF(R20&gt;0,S20*100/R20,0)</f>
        <v>13.290366302628305</v>
      </c>
    </row>
    <row r="21" spans="1:21" ht="18.75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256">
        <f ca="1">L22+L23</f>
        <v>2277320</v>
      </c>
      <c r="M21" s="255">
        <f ca="1">M22+M23</f>
        <v>2278707</v>
      </c>
      <c r="N21" s="255">
        <f ca="1">N22+N23</f>
        <v>1864893.25</v>
      </c>
      <c r="O21" s="255">
        <f ca="1">IF(L21&gt;0,N21*100/L21,0)</f>
        <v>81.889820051639646</v>
      </c>
      <c r="P21" s="255">
        <f ca="1">IF(M21&gt;0,N21*100/M21,0)</f>
        <v>81.839975477321133</v>
      </c>
      <c r="Q21" s="255">
        <f ca="1">Q22+Q23</f>
        <v>2202332.39</v>
      </c>
      <c r="R21" s="255">
        <f ca="1">R22+R23</f>
        <v>2202332</v>
      </c>
      <c r="S21" s="255">
        <f ca="1">S22+S23</f>
        <v>292697.99</v>
      </c>
      <c r="T21" s="255">
        <f ca="1">IF(Q21&gt;0,S21*100/Q21,0)</f>
        <v>13.290363949103977</v>
      </c>
      <c r="U21" s="255">
        <f ca="1">IF(R21&gt;0,S21*100/R21,0)</f>
        <v>13.290366302628305</v>
      </c>
    </row>
    <row r="22" spans="1:21" ht="18.75" hidden="1">
      <c r="A22" s="49"/>
      <c r="B22" s="50"/>
      <c r="C22" s="50"/>
      <c r="D22" s="50"/>
      <c r="E22" s="186" t="s">
        <v>20</v>
      </c>
      <c r="F22" s="50"/>
      <c r="G22" s="52"/>
      <c r="H22" s="729" t="s">
        <v>14</v>
      </c>
      <c r="I22" s="54"/>
      <c r="J22" s="54"/>
      <c r="K22" s="55"/>
      <c r="L22" s="103">
        <f>L48+L63+L76+L98+L129+L143+L161+L190+L177+L270+L286+L307+L324+L337+L360+L517</f>
        <v>0</v>
      </c>
      <c r="M22" s="102">
        <f>M48+M63+M76+M98+M129+M143+M161+M190+M177+M270+M286+M307+M324+M337+M360+M517</f>
        <v>0</v>
      </c>
      <c r="N22" s="102">
        <f>N48+N63+N76+N98+N129+N143+N161+N190+N177+N270+N286+N307+N324+N337+N360+N517</f>
        <v>0</v>
      </c>
      <c r="O22" s="102">
        <f>IF(L22&gt;0,N22*100/L22,0)</f>
        <v>0</v>
      </c>
      <c r="P22" s="102">
        <f>IF(M22&gt;0,N22*100/M22,0)</f>
        <v>0</v>
      </c>
      <c r="Q22" s="102">
        <f>Q76+Q98+Q121+Q143+Q161+Q177+Q190+Q270+Q286+Q307+Q337+Q379+Q396+Q417+Q497+Q603+Q620+Q646+Q694+Q718+Q732+Q764</f>
        <v>0</v>
      </c>
      <c r="R22" s="102">
        <f>R76+R98+R121+R143+R161+R177+R190+R270+R286+R307+R337+R379+R396+R417+R497+R603+R620+R646+R694+R718+R732+R764</f>
        <v>0</v>
      </c>
      <c r="S22" s="102">
        <f>S76+S98+S121+S143+S161+S177+S190+S270+S286+S307+S337+S379+S396+S417+S497+S603+S620+S646+S694+S718+S732+S764</f>
        <v>0</v>
      </c>
      <c r="T22" s="102">
        <f>IF(Q22&gt;0,S22*100/Q22,0)</f>
        <v>0</v>
      </c>
      <c r="U22" s="102">
        <f>IF(R22&gt;0,S22*100/R22,0)</f>
        <v>0</v>
      </c>
    </row>
    <row r="23" spans="1:21" ht="18.75" hidden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256">
        <f ca="1">L49+L64+L77+L99+L130+L144+L162+L191+L178+L271+L287+L308+L325+L338+L361+L518</f>
        <v>2277320</v>
      </c>
      <c r="M23" s="255">
        <f ca="1">M49+M64+M77+M99+M130+M144+M162+M191+M178+M271+M287+M308+M325+M338+M361+M518</f>
        <v>2278707</v>
      </c>
      <c r="N23" s="255">
        <f ca="1">N49+N64+N77+N99+N130+N144+N162+N191+N178+N271+N287+N308+N325+N338+N361+N518</f>
        <v>1864893.25</v>
      </c>
      <c r="O23" s="255">
        <f ca="1">IF(L23&gt;0,N23*100/L23,0)</f>
        <v>81.889820051639646</v>
      </c>
      <c r="P23" s="255">
        <f ca="1">IF(M23&gt;0,N23*100/M23,0)</f>
        <v>81.839975477321133</v>
      </c>
      <c r="Q23" s="255">
        <f ca="1">Q77+Q99+Q122+Q144+Q162+Q178+Q191+Q271+Q287+Q308+Q338+Q380+Q397+Q418+Q498+Q604+Q621+Q647+Q695+Q719+Q733+Q765</f>
        <v>2202332.39</v>
      </c>
      <c r="R23" s="255">
        <f ca="1">R77+R99+R122+R144+R162+R178+R191+R271+R287+R308+R338+R380+R397+R418+R498+R604+R621+R647+R695+R719+R733+R765</f>
        <v>2202332</v>
      </c>
      <c r="S23" s="255">
        <f ca="1">S77+S99+S122+S144+S162+S178+S191+S271+S287+S308+S338+S380+S397+S418+S498+S604+S621+S647+S695+S719+S733+S765</f>
        <v>292697.99</v>
      </c>
      <c r="T23" s="255">
        <f ca="1">IF(Q23&gt;0,S23*100/Q23,0)</f>
        <v>13.290363949103977</v>
      </c>
      <c r="U23" s="255">
        <f ca="1">IF(R23&gt;0,S23*100/R23,0)</f>
        <v>13.290366302628305</v>
      </c>
    </row>
    <row r="24" spans="1:21" ht="18.75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256">
        <f ca="1">L25+L26</f>
        <v>0</v>
      </c>
      <c r="M24" s="255">
        <f ca="1">M25+M26</f>
        <v>0</v>
      </c>
      <c r="N24" s="255">
        <f ca="1">N25+N26</f>
        <v>0</v>
      </c>
      <c r="O24" s="255">
        <f ca="1">IF(L24&gt;0,N24*100/L24,0)</f>
        <v>0</v>
      </c>
      <c r="P24" s="255">
        <f ca="1">IF(M24&gt;0,N24*100/M24,0)</f>
        <v>0</v>
      </c>
      <c r="Q24" s="255">
        <f>Q25+Q26</f>
        <v>0</v>
      </c>
      <c r="R24" s="255">
        <f>R25+R26</f>
        <v>0</v>
      </c>
      <c r="S24" s="255">
        <f>S25+S26</f>
        <v>0</v>
      </c>
      <c r="T24" s="255">
        <f>IF(Q24&gt;0,S24*100/Q24,0)</f>
        <v>0</v>
      </c>
      <c r="U24" s="255">
        <f>IF(R24&gt;0,S24*100/R24,0)</f>
        <v>0</v>
      </c>
    </row>
    <row r="25" spans="1:21" ht="18.75" hidden="1">
      <c r="A25" s="49"/>
      <c r="B25" s="50"/>
      <c r="C25" s="50"/>
      <c r="D25" s="50"/>
      <c r="E25" s="186" t="s">
        <v>20</v>
      </c>
      <c r="F25" s="50"/>
      <c r="G25" s="52"/>
      <c r="H25" s="729" t="s">
        <v>14</v>
      </c>
      <c r="I25" s="54"/>
      <c r="J25" s="54"/>
      <c r="K25" s="55"/>
      <c r="L25" s="103">
        <f>L51+L66+L79+L101+L132+L146+L164+L193+L180+L273+L289+L310+L327+L340+L363+L520</f>
        <v>0</v>
      </c>
      <c r="M25" s="102">
        <f>M51+M66+M79+M101+M132+M146+M164+M193+M180+M273+M289+M310+M327+M340+M363+M520</f>
        <v>0</v>
      </c>
      <c r="N25" s="102">
        <f>N51+N66+N79+N101+N132+N146+N164+N193+N180+N273+N289+N310+N327+N340+N363+N520</f>
        <v>0</v>
      </c>
      <c r="O25" s="102">
        <f>IF(L25&gt;0,N25*100/L25,0)</f>
        <v>0</v>
      </c>
      <c r="P25" s="102">
        <f>IF(M25&gt;0,N25*100/M25,0)</f>
        <v>0</v>
      </c>
      <c r="Q25" s="102">
        <f>Q79+Q101+Q124+Q146+Q164+Q180+Q193+Q273+Q289+Q310+Q340+Q382+Q399+Q420+Q500+Q606+Q623+Q649+Q697+Q721+Q735+Q767</f>
        <v>0</v>
      </c>
      <c r="R25" s="102">
        <f>R79+R101+R124+R146+R164+R180+R193+R273+R289+R310+R340+R382+R399+R420+R500+R606+R623+R649+R697+R721+R735+R767</f>
        <v>0</v>
      </c>
      <c r="S25" s="102">
        <f>S79+S101+S124+S146+S164+S180+S193+S273+S289+S310+S340+S382+S399+S420+S500+S606+S623+S649+S697+S721+S735+S767</f>
        <v>0</v>
      </c>
      <c r="T25" s="102">
        <f>IF(Q25&gt;0,S25*100/Q25,0)</f>
        <v>0</v>
      </c>
      <c r="U25" s="102">
        <f>IF(R25&gt;0,S25*100/R25,0)</f>
        <v>0</v>
      </c>
    </row>
    <row r="26" spans="1:21" ht="18.75" hidden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256">
        <f ca="1">L52+L67+L80+L102+L133+L147+L165+L194+L181+L274+L290+L311+L328+L341+L364+L521</f>
        <v>0</v>
      </c>
      <c r="M26" s="255">
        <f ca="1">M52+M67+M80+M102+M133+M147+M165+M194+M181+M274+M290+M311+M328+M341+M364+M521</f>
        <v>0</v>
      </c>
      <c r="N26" s="255">
        <f ca="1">N52+N67+N80+N102+N133+N147+N165+N194+N181+N274+N290+N311+N328+N341+N364+N521</f>
        <v>0</v>
      </c>
      <c r="O26" s="255">
        <f ca="1">IF(L26&gt;0,N26*100/L26,0)</f>
        <v>0</v>
      </c>
      <c r="P26" s="255">
        <f ca="1">IF(M26&gt;0,N26*100/M26,0)</f>
        <v>0</v>
      </c>
      <c r="Q26" s="102">
        <f>Q80+Q102+Q125+Q147+Q165+Q181+Q194+Q274+Q290+Q311+Q341+Q383+Q400+Q421+Q501+Q607+Q624+Q650+Q698+Q722+Q736+Q768</f>
        <v>0</v>
      </c>
      <c r="R26" s="102">
        <f>R80+R102+R125+R147+R165+R181+R194+R274+R290+R311+R341+R383+R400+R421+R501+R607+R624+R650+R698+R722+R736+R768</f>
        <v>0</v>
      </c>
      <c r="S26" s="102">
        <f>S80+S102+S125+S147+S165+S181+S194+S274+S290+S311+S341+S383+S400+S421+S501+S607+S624+S650+S698+S722+S736+S768</f>
        <v>0</v>
      </c>
      <c r="T26" s="255">
        <f>IF(Q26&gt;0,S26*100/Q26,0)</f>
        <v>0</v>
      </c>
      <c r="U26" s="255">
        <f>IF(R26&gt;0,S26*100/R26,0)</f>
        <v>0</v>
      </c>
    </row>
    <row r="27" spans="1:21" ht="18.75">
      <c r="A27" s="49"/>
      <c r="B27" s="50"/>
      <c r="C27" s="50"/>
      <c r="D27" s="51" t="s">
        <v>24</v>
      </c>
      <c r="E27" s="50"/>
      <c r="F27" s="50"/>
      <c r="G27" s="52"/>
      <c r="H27" s="53" t="s">
        <v>14</v>
      </c>
      <c r="I27" s="54"/>
      <c r="J27" s="54"/>
      <c r="K27" s="55"/>
      <c r="L27" s="62"/>
      <c r="M27" s="55"/>
      <c r="N27" s="55"/>
      <c r="O27" s="55"/>
      <c r="P27" s="55"/>
      <c r="Q27" s="55"/>
      <c r="R27" s="55"/>
      <c r="S27" s="55"/>
      <c r="T27" s="55"/>
      <c r="U27" s="55"/>
    </row>
    <row r="28" spans="1:21" ht="18.75" hidden="1">
      <c r="A28" s="49"/>
      <c r="B28" s="50"/>
      <c r="C28" s="50"/>
      <c r="D28" s="50"/>
      <c r="E28" s="186" t="s">
        <v>20</v>
      </c>
      <c r="F28" s="50"/>
      <c r="G28" s="52"/>
      <c r="H28" s="729" t="s">
        <v>14</v>
      </c>
      <c r="I28" s="54"/>
      <c r="J28" s="54"/>
      <c r="K28" s="55"/>
      <c r="L28" s="62"/>
      <c r="M28" s="55"/>
      <c r="N28" s="55"/>
      <c r="O28" s="55"/>
      <c r="P28" s="55"/>
      <c r="Q28" s="55"/>
      <c r="R28" s="55"/>
      <c r="S28" s="55"/>
      <c r="T28" s="55"/>
      <c r="U28" s="55"/>
    </row>
    <row r="29" spans="1:21" ht="18.75" hidden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8"/>
      <c r="M29" s="6"/>
      <c r="N29" s="6"/>
      <c r="O29" s="6"/>
      <c r="P29" s="6"/>
      <c r="Q29" s="6"/>
      <c r="R29" s="6"/>
      <c r="S29" s="6"/>
      <c r="T29" s="6"/>
      <c r="U29" s="6"/>
    </row>
    <row r="30" spans="1:21" ht="12.75" hidden="1">
      <c r="A30" s="750"/>
      <c r="B30" s="514"/>
      <c r="C30" s="514"/>
      <c r="D30" s="514"/>
      <c r="E30" s="514"/>
      <c r="F30" s="514"/>
      <c r="G30" s="512"/>
      <c r="H30" s="17"/>
      <c r="I30" s="18"/>
      <c r="J30" s="18"/>
      <c r="K30" s="19"/>
      <c r="L30" s="28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 hidden="1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6"/>
      <c r="M31" s="25"/>
      <c r="N31" s="25"/>
      <c r="O31" s="25"/>
      <c r="P31" s="25"/>
      <c r="Q31" s="25"/>
      <c r="R31" s="25"/>
      <c r="S31" s="25"/>
      <c r="T31" s="25"/>
      <c r="U31" s="25"/>
    </row>
    <row r="32" spans="1:21" ht="12.75" hidden="1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6"/>
      <c r="M32" s="25"/>
      <c r="N32" s="25"/>
      <c r="O32" s="25"/>
      <c r="P32" s="25"/>
      <c r="Q32" s="25"/>
      <c r="R32" s="25"/>
      <c r="S32" s="25"/>
      <c r="T32" s="25"/>
      <c r="U32" s="25"/>
    </row>
    <row r="33" spans="1:21" ht="12.75" hidden="1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6"/>
      <c r="M33" s="25"/>
      <c r="N33" s="25"/>
      <c r="O33" s="25"/>
      <c r="P33" s="25"/>
      <c r="Q33" s="25"/>
      <c r="R33" s="25"/>
      <c r="S33" s="25"/>
      <c r="T33" s="25"/>
      <c r="U33" s="25"/>
    </row>
    <row r="34" spans="1:21" ht="12.75" hidden="1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6"/>
      <c r="M34" s="25"/>
      <c r="N34" s="25"/>
      <c r="O34" s="25"/>
      <c r="P34" s="25"/>
      <c r="Q34" s="25"/>
      <c r="R34" s="25"/>
      <c r="S34" s="25"/>
      <c r="T34" s="25"/>
      <c r="U34" s="25"/>
    </row>
    <row r="35" spans="1:21" ht="12.75" hidden="1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6"/>
      <c r="M35" s="25"/>
      <c r="N35" s="25"/>
      <c r="O35" s="25"/>
      <c r="P35" s="25"/>
      <c r="Q35" s="25"/>
      <c r="R35" s="25"/>
      <c r="S35" s="25"/>
      <c r="T35" s="25"/>
      <c r="U35" s="25"/>
    </row>
    <row r="36" spans="1:21" ht="12.75" hidden="1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6"/>
      <c r="M36" s="25"/>
      <c r="N36" s="25"/>
      <c r="O36" s="25"/>
      <c r="P36" s="25"/>
      <c r="Q36" s="25"/>
      <c r="R36" s="25"/>
      <c r="S36" s="25"/>
      <c r="T36" s="25"/>
      <c r="U36" s="25"/>
    </row>
    <row r="37" spans="1:21" ht="12.75" hidden="1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6"/>
      <c r="M37" s="25"/>
      <c r="N37" s="25"/>
      <c r="O37" s="25"/>
      <c r="P37" s="25"/>
      <c r="Q37" s="25"/>
      <c r="R37" s="25"/>
      <c r="S37" s="25"/>
      <c r="T37" s="25"/>
      <c r="U37" s="25"/>
    </row>
    <row r="38" spans="1:21" ht="12.75" hidden="1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6"/>
      <c r="M38" s="25"/>
      <c r="N38" s="25"/>
      <c r="O38" s="25"/>
      <c r="P38" s="25"/>
      <c r="Q38" s="25"/>
      <c r="R38" s="25"/>
      <c r="S38" s="25"/>
      <c r="T38" s="25"/>
      <c r="U38" s="25"/>
    </row>
    <row r="39" spans="1:21" ht="12.75" hidden="1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28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9.5" hidden="1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749">
        <f ca="1">L44+L59+L72+L94+L125+L139+L157+L173+L186+L266+L282+L303+L320+L333+L356</f>
        <v>2277320</v>
      </c>
      <c r="M40" s="748">
        <f ca="1">M44+M59+M72+M94+M125+M139+M157+M173+M186+M266+M282+M303+M320+M333+M356</f>
        <v>2278707</v>
      </c>
      <c r="N40" s="748">
        <f ca="1">N44+N59+N72+N94+N125+N139+N157+N173+N186+N266+N282+N303+N320+N333+N356</f>
        <v>1864893.25</v>
      </c>
      <c r="O40" s="748">
        <f ca="1">IF(L40&gt;0,N40*100/L40,0)</f>
        <v>81.889820051639646</v>
      </c>
      <c r="P40" s="748">
        <f ca="1">IF(M40&gt;0,N40*100/M40,0)</f>
        <v>81.839975477321133</v>
      </c>
      <c r="Q40" s="73"/>
      <c r="R40" s="73"/>
      <c r="S40" s="73"/>
      <c r="T40" s="73"/>
      <c r="U40" s="73"/>
    </row>
    <row r="41" spans="1:21" ht="19.5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78"/>
      <c r="R41" s="78"/>
      <c r="S41" s="78"/>
      <c r="T41" s="78"/>
      <c r="U41" s="79"/>
    </row>
    <row r="42" spans="1:21" ht="19.5">
      <c r="A42" s="80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5"/>
      <c r="M42" s="84"/>
      <c r="N42" s="84"/>
      <c r="O42" s="84"/>
      <c r="P42" s="84"/>
      <c r="Q42" s="84"/>
      <c r="R42" s="84"/>
      <c r="S42" s="84"/>
      <c r="T42" s="84"/>
      <c r="U42" s="84"/>
    </row>
    <row r="43" spans="1:21" ht="12.75" hidden="1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6"/>
      <c r="M43" s="25"/>
      <c r="N43" s="25"/>
      <c r="O43" s="25"/>
      <c r="P43" s="25"/>
      <c r="Q43" s="25"/>
      <c r="R43" s="25"/>
      <c r="S43" s="25"/>
      <c r="T43" s="25"/>
      <c r="U43" s="25"/>
    </row>
    <row r="44" spans="1:21" ht="19.5">
      <c r="A44" s="86"/>
      <c r="B44" s="87"/>
      <c r="C44" s="88" t="s">
        <v>18</v>
      </c>
      <c r="D44" s="747" t="s">
        <v>19</v>
      </c>
      <c r="E44" s="87"/>
      <c r="F44" s="87"/>
      <c r="G44" s="90"/>
      <c r="H44" s="91" t="s">
        <v>14</v>
      </c>
      <c r="I44" s="92"/>
      <c r="J44" s="92"/>
      <c r="K44" s="93"/>
      <c r="L44" s="746">
        <f ca="1">L45+L46</f>
        <v>442150</v>
      </c>
      <c r="M44" s="745">
        <f ca="1">M45+M46</f>
        <v>454197</v>
      </c>
      <c r="N44" s="745">
        <f ca="1">N45+N46</f>
        <v>316960</v>
      </c>
      <c r="O44" s="745">
        <f ca="1">IF(L44&gt;0,N44*100/L44,0)</f>
        <v>71.686079384824154</v>
      </c>
      <c r="P44" s="745">
        <f ca="1">IF(M44&gt;0,N44*100/M44,0)</f>
        <v>69.78469694868086</v>
      </c>
      <c r="Q44" s="745">
        <f>Q45+Q46</f>
        <v>0</v>
      </c>
      <c r="R44" s="745">
        <f>R45+R46</f>
        <v>0</v>
      </c>
      <c r="S44" s="745">
        <f>S45+S46</f>
        <v>0</v>
      </c>
      <c r="T44" s="745">
        <f>IF(Q44&gt;0,S44*100/Q44,0)</f>
        <v>0</v>
      </c>
      <c r="U44" s="745">
        <f>IF(R44&gt;0,S44*100/R44,0)</f>
        <v>0</v>
      </c>
    </row>
    <row r="45" spans="1:21" ht="18.75" hidden="1">
      <c r="A45" s="86"/>
      <c r="B45" s="87"/>
      <c r="C45" s="87"/>
      <c r="D45" s="87"/>
      <c r="E45" s="744" t="s">
        <v>20</v>
      </c>
      <c r="F45" s="87"/>
      <c r="G45" s="90"/>
      <c r="H45" s="743" t="s">
        <v>14</v>
      </c>
      <c r="I45" s="92"/>
      <c r="J45" s="92"/>
      <c r="K45" s="93"/>
      <c r="L45" s="742">
        <f>L48+L51</f>
        <v>0</v>
      </c>
      <c r="M45" s="741">
        <f>M48+M51</f>
        <v>0</v>
      </c>
      <c r="N45" s="741">
        <f>N48+N51</f>
        <v>0</v>
      </c>
      <c r="O45" s="741">
        <f>IF(L45&gt;0,N45*100/L45,0)</f>
        <v>0</v>
      </c>
      <c r="P45" s="741">
        <f>IF(M45&gt;0,N45*100/M45,0)</f>
        <v>0</v>
      </c>
      <c r="Q45" s="741">
        <f>Q48+Q51</f>
        <v>0</v>
      </c>
      <c r="R45" s="741">
        <f>R48+R51</f>
        <v>0</v>
      </c>
      <c r="S45" s="741">
        <f>S48+S51</f>
        <v>0</v>
      </c>
      <c r="T45" s="741">
        <f>IF(Q45&gt;0,S45*100/Q45,0)</f>
        <v>0</v>
      </c>
      <c r="U45" s="741">
        <f>IF(R45&gt;0,S45*100/R45,0)</f>
        <v>0</v>
      </c>
    </row>
    <row r="46" spans="1:21" ht="18.75" hidden="1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740">
        <f ca="1">L49+L52</f>
        <v>442150</v>
      </c>
      <c r="M46" s="739">
        <f ca="1">M49+M52</f>
        <v>454197</v>
      </c>
      <c r="N46" s="739">
        <f ca="1">N49+N52</f>
        <v>316960</v>
      </c>
      <c r="O46" s="739">
        <f ca="1">IF(L46&gt;0,N46*100/L46,0)</f>
        <v>71.686079384824154</v>
      </c>
      <c r="P46" s="739">
        <f ca="1">IF(M46&gt;0,N46*100/M46,0)</f>
        <v>69.78469694868086</v>
      </c>
      <c r="Q46" s="739">
        <f>Q49+Q52</f>
        <v>0</v>
      </c>
      <c r="R46" s="739">
        <f>R49+R52</f>
        <v>0</v>
      </c>
      <c r="S46" s="739">
        <f>S49+S52</f>
        <v>0</v>
      </c>
      <c r="T46" s="739">
        <f>IF(Q46&gt;0,S46*100/Q46,0)</f>
        <v>0</v>
      </c>
      <c r="U46" s="739">
        <f>IF(R46&gt;0,S46*100/R46,0)</f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256">
        <f ca="1">L48+L49</f>
        <v>442150</v>
      </c>
      <c r="M47" s="255">
        <f ca="1">M48+M49</f>
        <v>454197</v>
      </c>
      <c r="N47" s="255">
        <f ca="1">N48+N49</f>
        <v>316960</v>
      </c>
      <c r="O47" s="255">
        <f ca="1">IF(L47&gt;0,N47*100/L47,0)</f>
        <v>71.686079384824154</v>
      </c>
      <c r="P47" s="255">
        <f ca="1">IF(M47&gt;0,N47*100/M47,0)</f>
        <v>69.78469694868086</v>
      </c>
      <c r="Q47" s="255">
        <f>Q48+Q49</f>
        <v>0</v>
      </c>
      <c r="R47" s="255">
        <f>R48+R49</f>
        <v>0</v>
      </c>
      <c r="S47" s="255">
        <f>S48+S49</f>
        <v>0</v>
      </c>
      <c r="T47" s="255">
        <f>IF(Q47&gt;0,S47*100/Q47,0)</f>
        <v>0</v>
      </c>
      <c r="U47" s="255">
        <f>IF(R47&gt;0,S47*100/R47,0)</f>
        <v>0</v>
      </c>
    </row>
    <row r="48" spans="1:21" ht="18.75" hidden="1">
      <c r="A48" s="49"/>
      <c r="B48" s="50"/>
      <c r="C48" s="50"/>
      <c r="D48" s="50"/>
      <c r="E48" s="186" t="s">
        <v>20</v>
      </c>
      <c r="F48" s="50"/>
      <c r="G48" s="52"/>
      <c r="H48" s="729" t="s">
        <v>14</v>
      </c>
      <c r="I48" s="54"/>
      <c r="J48" s="54"/>
      <c r="K48" s="55"/>
      <c r="L48" s="103">
        <v>0</v>
      </c>
      <c r="M48" s="102">
        <v>0</v>
      </c>
      <c r="N48" s="102">
        <v>0</v>
      </c>
      <c r="O48" s="102">
        <f>IF(L48&gt;0,N48*100/L48,0)</f>
        <v>0</v>
      </c>
      <c r="P48" s="102">
        <f>IF(M48&gt;0,N48*100/M48,0)</f>
        <v>0</v>
      </c>
      <c r="Q48" s="102">
        <v>0</v>
      </c>
      <c r="R48" s="102">
        <v>0</v>
      </c>
      <c r="S48" s="102">
        <v>0</v>
      </c>
      <c r="T48" s="102">
        <f>IF(Q48&gt;0,S48*100/Q48,0)</f>
        <v>0</v>
      </c>
      <c r="U48" s="102">
        <f>IF(R48&gt;0,S48*100/R48,0)</f>
        <v>0</v>
      </c>
    </row>
    <row r="49" spans="1:21" ht="18.75" hidden="1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256">
        <f ca="1">IFERROR(__xludf.DUMMYFUNCTION("IMPORTRANGE(""https://docs.google.com/spreadsheets/d/1-uDff_7J0KD5mKrp0Vvzr7lt3OU09vwQwhkpOPPYv2Y/edit?usp=sharing"",""งบพรบ!P43"")"),442150)</f>
        <v>442150</v>
      </c>
      <c r="M49" s="255">
        <f ca="1">IFERROR(__xludf.DUMMYFUNCTION("IMPORTRANGE(""https://docs.google.com/spreadsheets/d/1-uDff_7J0KD5mKrp0Vvzr7lt3OU09vwQwhkpOPPYv2Y/edit?usp=sharing"",""งบพรบ!V43"")"),454197)</f>
        <v>454197</v>
      </c>
      <c r="N49" s="255">
        <f ca="1">IFERROR(__xludf.DUMMYFUNCTION("IMPORTRANGE(""https://docs.google.com/spreadsheets/d/1-uDff_7J0KD5mKrp0Vvzr7lt3OU09vwQwhkpOPPYv2Y/edit?usp=sharing"",""งบพรบ!Y43"")"),316960)</f>
        <v>316960</v>
      </c>
      <c r="O49" s="255">
        <f ca="1">IF(L49&gt;0,N49*100/L49,0)</f>
        <v>71.686079384824154</v>
      </c>
      <c r="P49" s="255">
        <f ca="1">IF(M49&gt;0,N49*100/M49,0)</f>
        <v>69.78469694868086</v>
      </c>
      <c r="Q49" s="255">
        <v>0</v>
      </c>
      <c r="R49" s="255">
        <v>0</v>
      </c>
      <c r="S49" s="255">
        <v>0</v>
      </c>
      <c r="T49" s="255">
        <f>IF(Q49&gt;0,S49*100/Q49,0)</f>
        <v>0</v>
      </c>
      <c r="U49" s="255">
        <f>IF(R49&gt;0,S49*100/R49,0)</f>
        <v>0</v>
      </c>
    </row>
    <row r="50" spans="1:21" ht="18.75">
      <c r="A50" s="49"/>
      <c r="B50" s="50"/>
      <c r="C50" s="50"/>
      <c r="D50" s="51" t="s">
        <v>23</v>
      </c>
      <c r="E50" s="50"/>
      <c r="F50" s="50"/>
      <c r="G50" s="52"/>
      <c r="H50" s="53" t="s">
        <v>14</v>
      </c>
      <c r="I50" s="54"/>
      <c r="J50" s="54"/>
      <c r="K50" s="55"/>
      <c r="L50" s="256">
        <f ca="1">L51+L52</f>
        <v>0</v>
      </c>
      <c r="M50" s="255">
        <f ca="1">M51+M52</f>
        <v>0</v>
      </c>
      <c r="N50" s="255">
        <f ca="1">N51+N52</f>
        <v>0</v>
      </c>
      <c r="O50" s="255">
        <f ca="1">IF(L50&gt;0,N50*100/L50,0)</f>
        <v>0</v>
      </c>
      <c r="P50" s="255">
        <f ca="1">IF(M50&gt;0,N50*100/M50,0)</f>
        <v>0</v>
      </c>
      <c r="Q50" s="255">
        <f>Q51+Q52</f>
        <v>0</v>
      </c>
      <c r="R50" s="255">
        <f>R51+R52</f>
        <v>0</v>
      </c>
      <c r="S50" s="255">
        <f>S51+S52</f>
        <v>0</v>
      </c>
      <c r="T50" s="255">
        <f>IF(Q50&gt;0,S50*100/Q50,0)</f>
        <v>0</v>
      </c>
      <c r="U50" s="255">
        <f>IF(R50&gt;0,S50*100/R50,0)</f>
        <v>0</v>
      </c>
    </row>
    <row r="51" spans="1:21" ht="18.75" hidden="1">
      <c r="A51" s="49"/>
      <c r="B51" s="50"/>
      <c r="C51" s="50"/>
      <c r="D51" s="50"/>
      <c r="E51" s="186" t="s">
        <v>20</v>
      </c>
      <c r="F51" s="50"/>
      <c r="G51" s="52"/>
      <c r="H51" s="729" t="s">
        <v>14</v>
      </c>
      <c r="I51" s="54"/>
      <c r="J51" s="54"/>
      <c r="K51" s="55"/>
      <c r="L51" s="103">
        <v>0</v>
      </c>
      <c r="M51" s="102">
        <v>0</v>
      </c>
      <c r="N51" s="102">
        <v>0</v>
      </c>
      <c r="O51" s="102">
        <f>IF(L51&gt;0,N51*100/L51,0)</f>
        <v>0</v>
      </c>
      <c r="P51" s="102">
        <f>IF(M51&gt;0,N51*100/M51,0)</f>
        <v>0</v>
      </c>
      <c r="Q51" s="102">
        <v>0</v>
      </c>
      <c r="R51" s="102">
        <v>0</v>
      </c>
      <c r="S51" s="102">
        <v>0</v>
      </c>
      <c r="T51" s="102">
        <f>IF(Q51&gt;0,S51*100/Q51,0)</f>
        <v>0</v>
      </c>
      <c r="U51" s="102">
        <f>IF(R51&gt;0,S51*100/R51,0)</f>
        <v>0</v>
      </c>
    </row>
    <row r="52" spans="1:21" ht="18.75" hidden="1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256">
        <f ca="1">IFERROR(__xludf.DUMMYFUNCTION("IMPORTRANGE(""https://docs.google.com/spreadsheets/d/1-uDff_7J0KD5mKrp0Vvzr7lt3OU09vwQwhkpOPPYv2Y/edit?usp=sharing"",""งบพรบ!S43"")"),0)</f>
        <v>0</v>
      </c>
      <c r="M52" s="255">
        <f ca="1">IFERROR(__xludf.DUMMYFUNCTION("IMPORTRANGE(""https://docs.google.com/spreadsheets/d/1-uDff_7J0KD5mKrp0Vvzr7lt3OU09vwQwhkpOPPYv2Y/edit?usp=sharing"",""งบพรบ!W43"")"),0)</f>
        <v>0</v>
      </c>
      <c r="N52" s="255">
        <f ca="1">IFERROR(__xludf.DUMMYFUNCTION("IMPORTRANGE(""https://docs.google.com/spreadsheets/d/1-uDff_7J0KD5mKrp0Vvzr7lt3OU09vwQwhkpOPPYv2Y/edit?usp=sharing"",""งบพรบ!Z43"")"),0)</f>
        <v>0</v>
      </c>
      <c r="O52" s="255">
        <f ca="1">IF(L52&gt;0,N52*100/L52,0)</f>
        <v>0</v>
      </c>
      <c r="P52" s="255">
        <f ca="1">IF(M52&gt;0,N52*100/M52,0)</f>
        <v>0</v>
      </c>
      <c r="Q52" s="255">
        <v>0</v>
      </c>
      <c r="R52" s="255">
        <v>0</v>
      </c>
      <c r="S52" s="255">
        <v>0</v>
      </c>
      <c r="T52" s="255">
        <f>IF(Q52&gt;0,S52*100/Q52,0)</f>
        <v>0</v>
      </c>
      <c r="U52" s="255">
        <f>IF(R52&gt;0,S52*100/R52,0)</f>
        <v>0</v>
      </c>
    </row>
    <row r="53" spans="1:21" ht="18.75">
      <c r="A53" s="49"/>
      <c r="B53" s="50"/>
      <c r="C53" s="50"/>
      <c r="D53" s="51" t="s">
        <v>24</v>
      </c>
      <c r="E53" s="50"/>
      <c r="F53" s="50"/>
      <c r="G53" s="52"/>
      <c r="H53" s="53" t="s">
        <v>14</v>
      </c>
      <c r="I53" s="54"/>
      <c r="J53" s="54"/>
      <c r="K53" s="55"/>
      <c r="L53" s="62"/>
      <c r="M53" s="55"/>
      <c r="N53" s="55"/>
      <c r="O53" s="55"/>
      <c r="P53" s="55"/>
      <c r="Q53" s="55"/>
      <c r="R53" s="55"/>
      <c r="S53" s="55"/>
      <c r="T53" s="55"/>
      <c r="U53" s="55"/>
    </row>
    <row r="54" spans="1:21" ht="18.75" hidden="1">
      <c r="A54" s="49"/>
      <c r="B54" s="50"/>
      <c r="C54" s="50"/>
      <c r="D54" s="50"/>
      <c r="E54" s="186" t="s">
        <v>20</v>
      </c>
      <c r="F54" s="50"/>
      <c r="G54" s="52"/>
      <c r="H54" s="729" t="s">
        <v>14</v>
      </c>
      <c r="I54" s="54"/>
      <c r="J54" s="54"/>
      <c r="K54" s="55"/>
      <c r="L54" s="62"/>
      <c r="M54" s="55"/>
      <c r="N54" s="55"/>
      <c r="O54" s="55"/>
      <c r="P54" s="55"/>
      <c r="Q54" s="55"/>
      <c r="R54" s="55"/>
      <c r="S54" s="55"/>
      <c r="T54" s="55"/>
      <c r="U54" s="55"/>
    </row>
    <row r="55" spans="1:21" ht="18.75" hidden="1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8"/>
      <c r="M55" s="6"/>
      <c r="N55" s="6"/>
      <c r="O55" s="6"/>
      <c r="P55" s="6"/>
      <c r="Q55" s="6"/>
      <c r="R55" s="6"/>
      <c r="S55" s="6"/>
      <c r="T55" s="6"/>
      <c r="U55" s="6"/>
    </row>
    <row r="56" spans="1:21" ht="19.5">
      <c r="A56" s="533" t="s">
        <v>28</v>
      </c>
      <c r="B56" s="514"/>
      <c r="C56" s="514"/>
      <c r="D56" s="514"/>
      <c r="E56" s="514"/>
      <c r="F56" s="514"/>
      <c r="G56" s="512"/>
      <c r="H56" s="104"/>
      <c r="I56" s="105"/>
      <c r="J56" s="105"/>
      <c r="K56" s="106"/>
      <c r="L56" s="106"/>
      <c r="M56" s="106"/>
      <c r="N56" s="106"/>
      <c r="O56" s="106"/>
      <c r="P56" s="107"/>
      <c r="Q56" s="106"/>
      <c r="R56" s="106"/>
      <c r="S56" s="106"/>
      <c r="T56" s="106"/>
      <c r="U56" s="107"/>
    </row>
    <row r="57" spans="1:21" ht="19.5">
      <c r="A57" s="108"/>
      <c r="B57" s="534" t="s">
        <v>29</v>
      </c>
      <c r="C57" s="529"/>
      <c r="D57" s="529"/>
      <c r="E57" s="529"/>
      <c r="F57" s="529"/>
      <c r="G57" s="530"/>
      <c r="H57" s="109"/>
      <c r="I57" s="110"/>
      <c r="J57" s="110"/>
      <c r="K57" s="111"/>
      <c r="L57" s="112"/>
      <c r="M57" s="111"/>
      <c r="N57" s="111"/>
      <c r="O57" s="111"/>
      <c r="P57" s="111"/>
      <c r="Q57" s="111"/>
      <c r="R57" s="111"/>
      <c r="S57" s="111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9"/>
      <c r="M58" s="118"/>
      <c r="N58" s="118"/>
      <c r="O58" s="118"/>
      <c r="P58" s="118"/>
      <c r="Q58" s="118"/>
      <c r="R58" s="118"/>
      <c r="S58" s="118"/>
      <c r="T58" s="118"/>
      <c r="U58" s="118"/>
    </row>
    <row r="59" spans="1:21" ht="19.5">
      <c r="A59" s="120"/>
      <c r="B59" s="121"/>
      <c r="C59" s="122" t="s">
        <v>18</v>
      </c>
      <c r="D59" s="738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737">
        <f ca="1">L60+L61</f>
        <v>494900</v>
      </c>
      <c r="M59" s="736">
        <f ca="1">M60+M61</f>
        <v>494900</v>
      </c>
      <c r="N59" s="736">
        <f ca="1">N60+N61</f>
        <v>468734.46</v>
      </c>
      <c r="O59" s="736">
        <f ca="1">IF(L59&gt;0,N59*100/L59,0)</f>
        <v>94.712964235199024</v>
      </c>
      <c r="P59" s="736">
        <f ca="1">IF(M59&gt;0,N59*100/M59,0)</f>
        <v>94.712964235199024</v>
      </c>
      <c r="Q59" s="736">
        <f>Q60+Q61</f>
        <v>0</v>
      </c>
      <c r="R59" s="736">
        <f>R60+R61</f>
        <v>0</v>
      </c>
      <c r="S59" s="736">
        <f>S60+S61</f>
        <v>0</v>
      </c>
      <c r="T59" s="736">
        <f>IF(Q59&gt;0,S59*100/Q59,0)</f>
        <v>0</v>
      </c>
      <c r="U59" s="736">
        <f>IF(R59&gt;0,S59*100/R59,0)</f>
        <v>0</v>
      </c>
    </row>
    <row r="60" spans="1:21" ht="18.75" hidden="1">
      <c r="A60" s="120"/>
      <c r="B60" s="121"/>
      <c r="C60" s="121"/>
      <c r="D60" s="121"/>
      <c r="E60" s="735" t="s">
        <v>20</v>
      </c>
      <c r="F60" s="121"/>
      <c r="G60" s="124"/>
      <c r="H60" s="734" t="s">
        <v>14</v>
      </c>
      <c r="I60" s="126"/>
      <c r="J60" s="126"/>
      <c r="K60" s="127"/>
      <c r="L60" s="733">
        <f>L63+L66</f>
        <v>0</v>
      </c>
      <c r="M60" s="732">
        <f>M63+M66</f>
        <v>0</v>
      </c>
      <c r="N60" s="732">
        <f>N63+N66</f>
        <v>0</v>
      </c>
      <c r="O60" s="732">
        <f>IF(L60&gt;0,N60*100/L60,0)</f>
        <v>0</v>
      </c>
      <c r="P60" s="732">
        <f>IF(M60&gt;0,N60*100/M60,0)</f>
        <v>0</v>
      </c>
      <c r="Q60" s="732">
        <f>Q63+Q66</f>
        <v>0</v>
      </c>
      <c r="R60" s="732">
        <f>R63+R66</f>
        <v>0</v>
      </c>
      <c r="S60" s="732">
        <f>S63+S66</f>
        <v>0</v>
      </c>
      <c r="T60" s="732">
        <f>IF(Q60&gt;0,S60*100/Q60,0)</f>
        <v>0</v>
      </c>
      <c r="U60" s="732">
        <f>IF(R60&gt;0,S60*100/R60,0)</f>
        <v>0</v>
      </c>
    </row>
    <row r="61" spans="1:21" ht="18.75" hidden="1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731">
        <f ca="1">L64+L67</f>
        <v>494900</v>
      </c>
      <c r="M61" s="730">
        <f ca="1">M64+M67</f>
        <v>494900</v>
      </c>
      <c r="N61" s="730">
        <f ca="1">N64+N67</f>
        <v>468734.46</v>
      </c>
      <c r="O61" s="730">
        <f ca="1">IF(L61&gt;0,N61*100/L61,0)</f>
        <v>94.712964235199024</v>
      </c>
      <c r="P61" s="730">
        <f ca="1">IF(M61&gt;0,N61*100/M61,0)</f>
        <v>94.712964235199024</v>
      </c>
      <c r="Q61" s="730">
        <f>Q64+Q67</f>
        <v>0</v>
      </c>
      <c r="R61" s="730">
        <f>R64+R67</f>
        <v>0</v>
      </c>
      <c r="S61" s="730">
        <f>S64+S67</f>
        <v>0</v>
      </c>
      <c r="T61" s="730">
        <f>IF(Q61&gt;0,S61*100/Q61,0)</f>
        <v>0</v>
      </c>
      <c r="U61" s="730">
        <f>IF(R61&gt;0,S61*100/R61,0)</f>
        <v>0</v>
      </c>
    </row>
    <row r="62" spans="1:21" ht="18.75">
      <c r="A62" s="49"/>
      <c r="B62" s="50"/>
      <c r="C62" s="50"/>
      <c r="D62" s="51" t="s">
        <v>22</v>
      </c>
      <c r="E62" s="50"/>
      <c r="F62" s="50"/>
      <c r="G62" s="52"/>
      <c r="H62" s="53" t="s">
        <v>14</v>
      </c>
      <c r="I62" s="54"/>
      <c r="J62" s="54"/>
      <c r="K62" s="55"/>
      <c r="L62" s="256">
        <f ca="1">L63+L64</f>
        <v>494900</v>
      </c>
      <c r="M62" s="255">
        <f ca="1">M63+M64</f>
        <v>494900</v>
      </c>
      <c r="N62" s="255">
        <f ca="1">N63+N64</f>
        <v>468734.46</v>
      </c>
      <c r="O62" s="255">
        <f ca="1">IF(L62&gt;0,N62*100/L62,0)</f>
        <v>94.712964235199024</v>
      </c>
      <c r="P62" s="255">
        <f ca="1">IF(M62&gt;0,N62*100/M62,0)</f>
        <v>94.712964235199024</v>
      </c>
      <c r="Q62" s="255">
        <f>Q63+Q64</f>
        <v>0</v>
      </c>
      <c r="R62" s="255">
        <f>R63+R64</f>
        <v>0</v>
      </c>
      <c r="S62" s="255">
        <f>S63+S64</f>
        <v>0</v>
      </c>
      <c r="T62" s="255">
        <f>IF(Q62&gt;0,S62*100/Q62,0)</f>
        <v>0</v>
      </c>
      <c r="U62" s="255">
        <f>IF(R62&gt;0,S62*100/R62,0)</f>
        <v>0</v>
      </c>
    </row>
    <row r="63" spans="1:21" ht="18.75" hidden="1">
      <c r="A63" s="49"/>
      <c r="B63" s="50"/>
      <c r="C63" s="50"/>
      <c r="D63" s="50"/>
      <c r="E63" s="186" t="s">
        <v>20</v>
      </c>
      <c r="F63" s="50"/>
      <c r="G63" s="52"/>
      <c r="H63" s="729" t="s">
        <v>14</v>
      </c>
      <c r="I63" s="54"/>
      <c r="J63" s="54"/>
      <c r="K63" s="55"/>
      <c r="L63" s="103">
        <v>0</v>
      </c>
      <c r="M63" s="102">
        <v>0</v>
      </c>
      <c r="N63" s="102">
        <v>0</v>
      </c>
      <c r="O63" s="102">
        <f>IF(L63&gt;0,N63*100/L63,0)</f>
        <v>0</v>
      </c>
      <c r="P63" s="102">
        <f>IF(M63&gt;0,N63*100/M63,0)</f>
        <v>0</v>
      </c>
      <c r="Q63" s="102">
        <v>0</v>
      </c>
      <c r="R63" s="102">
        <v>0</v>
      </c>
      <c r="S63" s="102">
        <v>0</v>
      </c>
      <c r="T63" s="102">
        <f>IF(Q63&gt;0,S63*100/Q63,0)</f>
        <v>0</v>
      </c>
      <c r="U63" s="102">
        <f>IF(R63&gt;0,S63*100/R63,0)</f>
        <v>0</v>
      </c>
    </row>
    <row r="64" spans="1:21" ht="18.75" hidden="1">
      <c r="A64" s="49"/>
      <c r="B64" s="50"/>
      <c r="C64" s="50"/>
      <c r="D64" s="50"/>
      <c r="E64" s="58" t="s">
        <v>21</v>
      </c>
      <c r="F64" s="50"/>
      <c r="G64" s="52"/>
      <c r="H64" s="53" t="s">
        <v>14</v>
      </c>
      <c r="I64" s="54"/>
      <c r="J64" s="54"/>
      <c r="K64" s="55"/>
      <c r="L64" s="256">
        <f ca="1">IFERROR(__xludf.DUMMYFUNCTION("IMPORTRANGE(""https://docs.google.com/spreadsheets/d/1-uDff_7J0KD5mKrp0Vvzr7lt3OU09vwQwhkpOPPYv2Y/edit?usp=sharing"",""งบพรบ!AC43"")"),494900)</f>
        <v>494900</v>
      </c>
      <c r="M64" s="255">
        <f ca="1">IFERROR(__xludf.DUMMYFUNCTION("IMPORTRANGE(""https://docs.google.com/spreadsheets/d/1-uDff_7J0KD5mKrp0Vvzr7lt3OU09vwQwhkpOPPYv2Y/edit?usp=sharing"",""งบพรบ!AH43"")"),494900)</f>
        <v>494900</v>
      </c>
      <c r="N64" s="255">
        <f ca="1">IFERROR(__xludf.DUMMYFUNCTION("IMPORTRANGE(""https://docs.google.com/spreadsheets/d/1-uDff_7J0KD5mKrp0Vvzr7lt3OU09vwQwhkpOPPYv2Y/edit?usp=sharing"",""งบพรบ!AJ43"")"),468734.46)</f>
        <v>468734.46</v>
      </c>
      <c r="O64" s="255">
        <f ca="1">IF(L64&gt;0,N64*100/L64,0)</f>
        <v>94.712964235199024</v>
      </c>
      <c r="P64" s="255">
        <f ca="1">IF(M64&gt;0,N64*100/M64,0)</f>
        <v>94.712964235199024</v>
      </c>
      <c r="Q64" s="255">
        <v>0</v>
      </c>
      <c r="R64" s="255">
        <v>0</v>
      </c>
      <c r="S64" s="255">
        <v>0</v>
      </c>
      <c r="T64" s="255">
        <f>IF(Q64&gt;0,S64*100/Q64,0)</f>
        <v>0</v>
      </c>
      <c r="U64" s="255">
        <f>IF(R64&gt;0,S64*100/R64,0)</f>
        <v>0</v>
      </c>
    </row>
    <row r="65" spans="1:21" ht="18.75">
      <c r="A65" s="49"/>
      <c r="B65" s="50"/>
      <c r="C65" s="50"/>
      <c r="D65" s="51" t="s">
        <v>23</v>
      </c>
      <c r="E65" s="50"/>
      <c r="F65" s="50"/>
      <c r="G65" s="52"/>
      <c r="H65" s="53" t="s">
        <v>14</v>
      </c>
      <c r="I65" s="54"/>
      <c r="J65" s="54"/>
      <c r="K65" s="55"/>
      <c r="L65" s="256">
        <f ca="1">L66+L67</f>
        <v>0</v>
      </c>
      <c r="M65" s="255">
        <f ca="1">M66+M67</f>
        <v>0</v>
      </c>
      <c r="N65" s="255">
        <f ca="1">N66+N67</f>
        <v>0</v>
      </c>
      <c r="O65" s="255">
        <f ca="1">IF(L65&gt;0,N65*100/L65,0)</f>
        <v>0</v>
      </c>
      <c r="P65" s="255">
        <f ca="1">IF(M65&gt;0,N65*100/M65,0)</f>
        <v>0</v>
      </c>
      <c r="Q65" s="255">
        <f>Q66+Q67</f>
        <v>0</v>
      </c>
      <c r="R65" s="255">
        <f>R66+R67</f>
        <v>0</v>
      </c>
      <c r="S65" s="255">
        <f>S66+S67</f>
        <v>0</v>
      </c>
      <c r="T65" s="255">
        <f>IF(Q65&gt;0,S65*100/Q65,0)</f>
        <v>0</v>
      </c>
      <c r="U65" s="255">
        <f>IF(R65&gt;0,S65*100/R65,0)</f>
        <v>0</v>
      </c>
    </row>
    <row r="66" spans="1:21" ht="18.75" hidden="1">
      <c r="A66" s="49"/>
      <c r="B66" s="50"/>
      <c r="C66" s="50"/>
      <c r="D66" s="50"/>
      <c r="E66" s="186" t="s">
        <v>20</v>
      </c>
      <c r="F66" s="50"/>
      <c r="G66" s="52"/>
      <c r="H66" s="729" t="s">
        <v>14</v>
      </c>
      <c r="I66" s="54"/>
      <c r="J66" s="54"/>
      <c r="K66" s="55"/>
      <c r="L66" s="103">
        <v>0</v>
      </c>
      <c r="M66" s="102">
        <v>0</v>
      </c>
      <c r="N66" s="102">
        <v>0</v>
      </c>
      <c r="O66" s="102">
        <f>IF(L66&gt;0,N66*100/L66,0)</f>
        <v>0</v>
      </c>
      <c r="P66" s="102">
        <f>IF(M66&gt;0,N66*100/M66,0)</f>
        <v>0</v>
      </c>
      <c r="Q66" s="102">
        <v>0</v>
      </c>
      <c r="R66" s="102">
        <v>0</v>
      </c>
      <c r="S66" s="102">
        <v>0</v>
      </c>
      <c r="T66" s="102">
        <f>IF(Q66&gt;0,S66*100/Q66,0)</f>
        <v>0</v>
      </c>
      <c r="U66" s="102">
        <f>IF(R66&gt;0,S66*100/R66,0)</f>
        <v>0</v>
      </c>
    </row>
    <row r="67" spans="1:21" ht="18.75" hidden="1">
      <c r="A67" s="63"/>
      <c r="B67" s="4"/>
      <c r="C67" s="4"/>
      <c r="D67" s="4"/>
      <c r="E67" s="64" t="s">
        <v>21</v>
      </c>
      <c r="F67" s="4"/>
      <c r="G67" s="65"/>
      <c r="H67" s="66" t="s">
        <v>14</v>
      </c>
      <c r="I67" s="67"/>
      <c r="J67" s="67"/>
      <c r="K67" s="6"/>
      <c r="L67" s="728">
        <f ca="1">IFERROR(__xludf.DUMMYFUNCTION("IMPORTRANGE(""https://docs.google.com/spreadsheets/d/1-uDff_7J0KD5mKrp0Vvzr7lt3OU09vwQwhkpOPPYv2Y/edit?usp=sharing"",""งบพรบ!AF43"")"),0)</f>
        <v>0</v>
      </c>
      <c r="M67" s="506">
        <f ca="1">IFERROR(__xludf.DUMMYFUNCTION("IMPORTRANGE(""https://docs.google.com/spreadsheets/d/1-uDff_7J0KD5mKrp0Vvzr7lt3OU09vwQwhkpOPPYv2Y/edit?usp=sharing"",""งบพรบ!AI43"")"),0)</f>
        <v>0</v>
      </c>
      <c r="N67" s="506">
        <f ca="1">IFERROR(__xludf.DUMMYFUNCTION("IMPORTRANGE(""https://docs.google.com/spreadsheets/d/1-uDff_7J0KD5mKrp0Vvzr7lt3OU09vwQwhkpOPPYv2Y/edit?usp=sharing"",""งบพรบ!AK43"")"),0)</f>
        <v>0</v>
      </c>
      <c r="O67" s="506">
        <f ca="1">IF(L67&gt;0,N67*100/L67,0)</f>
        <v>0</v>
      </c>
      <c r="P67" s="506">
        <f ca="1">IF(M67&gt;0,N67*100/M67,0)</f>
        <v>0</v>
      </c>
      <c r="Q67" s="506">
        <v>0</v>
      </c>
      <c r="R67" s="506">
        <v>0</v>
      </c>
      <c r="S67" s="506">
        <v>0</v>
      </c>
      <c r="T67" s="506">
        <f>IF(Q67&gt;0,S67*100/Q67,0)</f>
        <v>0</v>
      </c>
      <c r="U67" s="506">
        <f>IF(R67&gt;0,S67*100/R67,0)</f>
        <v>0</v>
      </c>
    </row>
    <row r="68" spans="1:21" ht="19.5">
      <c r="A68" s="137" t="s">
        <v>31</v>
      </c>
      <c r="B68" s="138"/>
      <c r="C68" s="138"/>
      <c r="D68" s="138"/>
      <c r="E68" s="139"/>
      <c r="F68" s="139"/>
      <c r="G68" s="139"/>
      <c r="H68" s="139"/>
      <c r="I68" s="140"/>
      <c r="J68" s="140"/>
      <c r="K68" s="141"/>
      <c r="L68" s="141"/>
      <c r="M68" s="141"/>
      <c r="N68" s="141"/>
      <c r="O68" s="141"/>
      <c r="P68" s="142"/>
      <c r="Q68" s="141"/>
      <c r="R68" s="141"/>
      <c r="S68" s="141"/>
      <c r="T68" s="141"/>
      <c r="U68" s="142"/>
    </row>
    <row r="69" spans="1:21" ht="19.5" hidden="1">
      <c r="A69" s="143" t="s">
        <v>32</v>
      </c>
      <c r="B69" s="144"/>
      <c r="C69" s="145"/>
      <c r="D69" s="144"/>
      <c r="E69" s="144"/>
      <c r="F69" s="144"/>
      <c r="G69" s="146"/>
      <c r="H69" s="146"/>
      <c r="I69" s="147"/>
      <c r="J69" s="147"/>
      <c r="K69" s="148"/>
      <c r="L69" s="149"/>
      <c r="M69" s="148"/>
      <c r="N69" s="148"/>
      <c r="O69" s="148"/>
      <c r="P69" s="148"/>
      <c r="Q69" s="148"/>
      <c r="R69" s="148"/>
      <c r="S69" s="148"/>
      <c r="T69" s="148"/>
      <c r="U69" s="148"/>
    </row>
    <row r="70" spans="1:21" ht="19.5" hidden="1">
      <c r="A70" s="150"/>
      <c r="B70" s="35" t="s">
        <v>33</v>
      </c>
      <c r="C70" s="34"/>
      <c r="D70" s="151"/>
      <c r="E70" s="34"/>
      <c r="F70" s="34"/>
      <c r="G70" s="37"/>
      <c r="H70" s="152" t="s">
        <v>34</v>
      </c>
      <c r="I70" s="721">
        <f ca="1">I82</f>
        <v>0</v>
      </c>
      <c r="J70" s="721">
        <f>J82</f>
        <v>0</v>
      </c>
      <c r="K70" s="720">
        <f ca="1">IF(I70&gt;0,J70*100/I70,0)</f>
        <v>0</v>
      </c>
      <c r="L70" s="154"/>
      <c r="M70" s="40"/>
      <c r="N70" s="40"/>
      <c r="O70" s="40"/>
      <c r="P70" s="40"/>
      <c r="Q70" s="40"/>
      <c r="R70" s="40"/>
      <c r="S70" s="40"/>
      <c r="T70" s="40"/>
      <c r="U70" s="40"/>
    </row>
    <row r="71" spans="1:21" ht="19.5" hidden="1">
      <c r="A71" s="150"/>
      <c r="B71" s="34"/>
      <c r="C71" s="34"/>
      <c r="D71" s="151"/>
      <c r="E71" s="34"/>
      <c r="F71" s="34"/>
      <c r="G71" s="37"/>
      <c r="H71" s="152" t="s">
        <v>35</v>
      </c>
      <c r="I71" s="721">
        <f ca="1">I83</f>
        <v>0</v>
      </c>
      <c r="J71" s="721">
        <f>J83</f>
        <v>0</v>
      </c>
      <c r="K71" s="720">
        <f ca="1">IF(I71&gt;0,J71*100/I71,0)</f>
        <v>0</v>
      </c>
      <c r="L71" s="154"/>
      <c r="M71" s="40"/>
      <c r="N71" s="40"/>
      <c r="O71" s="40"/>
      <c r="P71" s="40"/>
      <c r="Q71" s="40"/>
      <c r="R71" s="40"/>
      <c r="S71" s="40"/>
      <c r="T71" s="40"/>
      <c r="U71" s="40"/>
    </row>
    <row r="72" spans="1:21" ht="19.5" hidden="1">
      <c r="A72" s="155"/>
      <c r="B72" s="50"/>
      <c r="C72" s="156" t="s">
        <v>18</v>
      </c>
      <c r="D72" s="575" t="s">
        <v>19</v>
      </c>
      <c r="E72" s="50"/>
      <c r="F72" s="50"/>
      <c r="G72" s="52"/>
      <c r="H72" s="158" t="s">
        <v>14</v>
      </c>
      <c r="I72" s="54"/>
      <c r="J72" s="54"/>
      <c r="K72" s="55"/>
      <c r="L72" s="541">
        <f ca="1">L73+L74</f>
        <v>0</v>
      </c>
      <c r="M72" s="540">
        <f ca="1">M73+M74</f>
        <v>0</v>
      </c>
      <c r="N72" s="540">
        <f ca="1">N73+N74</f>
        <v>0</v>
      </c>
      <c r="O72" s="540">
        <f ca="1">IF(L72&gt;0,N72*100/L72,0)</f>
        <v>0</v>
      </c>
      <c r="P72" s="540">
        <f ca="1">IF(M72&gt;0,N72*100/M72,0)</f>
        <v>0</v>
      </c>
      <c r="Q72" s="540">
        <f ca="1">Q73+Q74</f>
        <v>0</v>
      </c>
      <c r="R72" s="540">
        <f ca="1">R73+R74</f>
        <v>0</v>
      </c>
      <c r="S72" s="540">
        <f ca="1">S73+S74</f>
        <v>0</v>
      </c>
      <c r="T72" s="540">
        <f ca="1">IF(Q72&gt;0,S72*100/Q72,0)</f>
        <v>0</v>
      </c>
      <c r="U72" s="540">
        <f ca="1">IF(R72&gt;0,S72*100/R72,0)</f>
        <v>0</v>
      </c>
    </row>
    <row r="73" spans="1:21" ht="18.75" hidden="1">
      <c r="A73" s="155"/>
      <c r="B73" s="50"/>
      <c r="C73" s="50"/>
      <c r="D73" s="50"/>
      <c r="E73" s="186" t="s">
        <v>20</v>
      </c>
      <c r="F73" s="50"/>
      <c r="G73" s="52"/>
      <c r="H73" s="187" t="s">
        <v>14</v>
      </c>
      <c r="I73" s="54"/>
      <c r="J73" s="54"/>
      <c r="K73" s="55"/>
      <c r="L73" s="103">
        <f>L76+L79</f>
        <v>0</v>
      </c>
      <c r="M73" s="102">
        <f>M76+M79</f>
        <v>0</v>
      </c>
      <c r="N73" s="102">
        <f>N76+N79</f>
        <v>0</v>
      </c>
      <c r="O73" s="102">
        <f>IF(L73&gt;0,N73*100/L73,0)</f>
        <v>0</v>
      </c>
      <c r="P73" s="102">
        <f>IF(M73&gt;0,N73*100/M73,0)</f>
        <v>0</v>
      </c>
      <c r="Q73" s="102">
        <f>Q76+Q79</f>
        <v>0</v>
      </c>
      <c r="R73" s="102">
        <f>R76+R79</f>
        <v>0</v>
      </c>
      <c r="S73" s="102">
        <f>S76+S79</f>
        <v>0</v>
      </c>
      <c r="T73" s="102">
        <f>IF(Q73&gt;0,S73*100/Q73,0)</f>
        <v>0</v>
      </c>
      <c r="U73" s="102">
        <f>IF(R73&gt;0,S73*100/R73,0)</f>
        <v>0</v>
      </c>
    </row>
    <row r="74" spans="1:21" ht="18.75" hidden="1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256">
        <f ca="1">L77+L80</f>
        <v>0</v>
      </c>
      <c r="M74" s="255">
        <f ca="1">M77+M80</f>
        <v>0</v>
      </c>
      <c r="N74" s="255">
        <f ca="1">N77+N80</f>
        <v>0</v>
      </c>
      <c r="O74" s="255">
        <f ca="1">IF(L74&gt;0,N74*100/L74,0)</f>
        <v>0</v>
      </c>
      <c r="P74" s="255">
        <f ca="1">IF(M74&gt;0,N74*100/M74,0)</f>
        <v>0</v>
      </c>
      <c r="Q74" s="255">
        <f ca="1">Q77+Q80</f>
        <v>0</v>
      </c>
      <c r="R74" s="255">
        <f ca="1">R77+R80</f>
        <v>0</v>
      </c>
      <c r="S74" s="255">
        <f ca="1">S77+S80</f>
        <v>0</v>
      </c>
      <c r="T74" s="255">
        <f ca="1">IF(Q74&gt;0,S74*100/Q74,0)</f>
        <v>0</v>
      </c>
      <c r="U74" s="255">
        <f ca="1">IF(R74&gt;0,S74*100/R74,0)</f>
        <v>0</v>
      </c>
    </row>
    <row r="75" spans="1:21" ht="18.75" hidden="1">
      <c r="A75" s="155"/>
      <c r="B75" s="50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256">
        <f ca="1">L76+L77</f>
        <v>0</v>
      </c>
      <c r="M75" s="255">
        <f ca="1">M76+M77</f>
        <v>0</v>
      </c>
      <c r="N75" s="255">
        <f ca="1">N76+N77</f>
        <v>0</v>
      </c>
      <c r="O75" s="255">
        <f ca="1">IF(L75&gt;0,N75*100/L75,0)</f>
        <v>0</v>
      </c>
      <c r="P75" s="255">
        <f ca="1">IF(M75&gt;0,N75*100/M75,0)</f>
        <v>0</v>
      </c>
      <c r="Q75" s="255">
        <f ca="1">Q76+Q77</f>
        <v>0</v>
      </c>
      <c r="R75" s="255">
        <f ca="1">R76+R77</f>
        <v>0</v>
      </c>
      <c r="S75" s="255">
        <f ca="1">S76+S77</f>
        <v>0</v>
      </c>
      <c r="T75" s="255">
        <f ca="1">IF(Q75&gt;0,S75*100/Q75,0)</f>
        <v>0</v>
      </c>
      <c r="U75" s="255">
        <f ca="1">IF(R75&gt;0,S75*100/R75,0)</f>
        <v>0</v>
      </c>
    </row>
    <row r="76" spans="1:21" ht="18.75" hidden="1">
      <c r="A76" s="155"/>
      <c r="B76" s="50"/>
      <c r="C76" s="50"/>
      <c r="D76" s="50"/>
      <c r="E76" s="186" t="s">
        <v>36</v>
      </c>
      <c r="F76" s="50"/>
      <c r="G76" s="52"/>
      <c r="H76" s="189" t="s">
        <v>14</v>
      </c>
      <c r="I76" s="163"/>
      <c r="J76" s="163"/>
      <c r="K76" s="164"/>
      <c r="L76" s="103">
        <v>0</v>
      </c>
      <c r="M76" s="102">
        <v>0</v>
      </c>
      <c r="N76" s="102">
        <v>0</v>
      </c>
      <c r="O76" s="102">
        <f>IF(L76&gt;0,N76*100/L76,0)</f>
        <v>0</v>
      </c>
      <c r="P76" s="102">
        <f>IF(M76&gt;0,N76*100/M76,0)</f>
        <v>0</v>
      </c>
      <c r="Q76" s="102">
        <v>0</v>
      </c>
      <c r="R76" s="102">
        <v>0</v>
      </c>
      <c r="S76" s="102">
        <v>0</v>
      </c>
      <c r="T76" s="102">
        <f>IF(Q76&gt;0,S76*100/Q76,0)</f>
        <v>0</v>
      </c>
      <c r="U76" s="102">
        <f>IF(R76&gt;0,S76*100/R76,0)</f>
        <v>0</v>
      </c>
    </row>
    <row r="77" spans="1:21" ht="18.75" hidden="1">
      <c r="A77" s="155"/>
      <c r="B77" s="50"/>
      <c r="C77" s="50"/>
      <c r="D77" s="50"/>
      <c r="E77" s="58" t="s">
        <v>37</v>
      </c>
      <c r="F77" s="50"/>
      <c r="G77" s="52"/>
      <c r="H77" s="162" t="s">
        <v>14</v>
      </c>
      <c r="I77" s="163"/>
      <c r="J77" s="163"/>
      <c r="K77" s="164"/>
      <c r="L77" s="256">
        <f ca="1">IFERROR(__xludf.DUMMYFUNCTION("IMPORTRANGE(""https://docs.google.com/spreadsheets/d/1-uDff_7J0KD5mKrp0Vvzr7lt3OU09vwQwhkpOPPYv2Y/edit?usp=sharing"",""งบพรบ!AM43"")"),0)</f>
        <v>0</v>
      </c>
      <c r="M77" s="255">
        <f ca="1">IFERROR(__xludf.DUMMYFUNCTION("IMPORTRANGE(""https://docs.google.com/spreadsheets/d/1-uDff_7J0KD5mKrp0Vvzr7lt3OU09vwQwhkpOPPYv2Y/edit?usp=sharing"",""งบพรบ!AR43"")"),0)</f>
        <v>0</v>
      </c>
      <c r="N77" s="255">
        <f ca="1">IFERROR(__xludf.DUMMYFUNCTION("IMPORTRANGE(""https://docs.google.com/spreadsheets/d/1-uDff_7J0KD5mKrp0Vvzr7lt3OU09vwQwhkpOPPYv2Y/edit?usp=sharing"",""งบพรบ!AT43"")"),0)</f>
        <v>0</v>
      </c>
      <c r="O77" s="255">
        <f ca="1">IF(L77&gt;0,N77*100/L77,0)</f>
        <v>0</v>
      </c>
      <c r="P77" s="255">
        <f ca="1">IF(M77&gt;0,N77*100/M77,0)</f>
        <v>0</v>
      </c>
      <c r="Q77" s="255">
        <f ca="1">IFERROR(__xludf.DUMMYFUNCTION("IMPORTRANGE(""https://docs.google.com/spreadsheets/d/1ItG2mGa2ceCfYo0BwxsXqNm01IGEUdYcSSLTEv9YCik/edit?usp=sharing"",""เบิกจ่ายกองทุน!AS43"")"),0)</f>
        <v>0</v>
      </c>
      <c r="R77" s="255">
        <f ca="1">IFERROR(__xludf.DUMMYFUNCTION("IMPORTRANGE(""https://docs.google.com/spreadsheets/d/1ItG2mGa2ceCfYo0BwxsXqNm01IGEUdYcSSLTEv9YCik/edit?usp=sharing"",""เบิกจ่ายกองทุน!AT43"")"),0)</f>
        <v>0</v>
      </c>
      <c r="S77" s="255">
        <f ca="1">IFERROR(__xludf.DUMMYFUNCTION("IMPORTRANGE(""https://docs.google.com/spreadsheets/d/1ItG2mGa2ceCfYo0BwxsXqNm01IGEUdYcSSLTEv9YCik/edit?usp=sharing"",""เบิกจ่ายกองทุน!AU43"")"),0)</f>
        <v>0</v>
      </c>
      <c r="T77" s="255">
        <f ca="1">IF(Q77&gt;0,S77*100/Q77,0)</f>
        <v>0</v>
      </c>
      <c r="U77" s="255">
        <f ca="1">IF(R77&gt;0,S77*100/R77,0)</f>
        <v>0</v>
      </c>
    </row>
    <row r="78" spans="1:21" ht="18.75" hidden="1">
      <c r="A78" s="155"/>
      <c r="B78" s="50"/>
      <c r="C78" s="50"/>
      <c r="D78" s="51" t="s">
        <v>23</v>
      </c>
      <c r="E78" s="50"/>
      <c r="F78" s="50"/>
      <c r="G78" s="52"/>
      <c r="H78" s="165" t="s">
        <v>14</v>
      </c>
      <c r="I78" s="163"/>
      <c r="J78" s="163"/>
      <c r="K78" s="164"/>
      <c r="L78" s="256">
        <f ca="1">L79+L80</f>
        <v>0</v>
      </c>
      <c r="M78" s="255">
        <f ca="1">M79+M80</f>
        <v>0</v>
      </c>
      <c r="N78" s="255">
        <f ca="1">N79+N80</f>
        <v>0</v>
      </c>
      <c r="O78" s="255">
        <f ca="1">IF(L78&gt;0,N78*100/L78,0)</f>
        <v>0</v>
      </c>
      <c r="P78" s="255">
        <f ca="1">IF(M78&gt;0,N78*100/M78,0)</f>
        <v>0</v>
      </c>
      <c r="Q78" s="255">
        <f>Q79+Q80</f>
        <v>0</v>
      </c>
      <c r="R78" s="255">
        <f>R79+R80</f>
        <v>0</v>
      </c>
      <c r="S78" s="255">
        <f>S79+S80</f>
        <v>0</v>
      </c>
      <c r="T78" s="255">
        <f>IF(Q78&gt;0,S78*100/Q78,0)</f>
        <v>0</v>
      </c>
      <c r="U78" s="255">
        <f>IF(R78&gt;0,S78*100/R78,0)</f>
        <v>0</v>
      </c>
    </row>
    <row r="79" spans="1:21" ht="18.75" hidden="1">
      <c r="A79" s="155"/>
      <c r="B79" s="50"/>
      <c r="C79" s="50"/>
      <c r="D79" s="50"/>
      <c r="E79" s="186" t="s">
        <v>20</v>
      </c>
      <c r="F79" s="50"/>
      <c r="G79" s="52"/>
      <c r="H79" s="189" t="s">
        <v>14</v>
      </c>
      <c r="I79" s="163"/>
      <c r="J79" s="163"/>
      <c r="K79" s="164"/>
      <c r="L79" s="103">
        <v>0</v>
      </c>
      <c r="M79" s="255">
        <v>0</v>
      </c>
      <c r="N79" s="255">
        <v>0</v>
      </c>
      <c r="O79" s="102">
        <f>IF(L79&gt;0,N79*100/L79,0)</f>
        <v>0</v>
      </c>
      <c r="P79" s="102">
        <f>IF(M79&gt;0,N79*100/M79,0)</f>
        <v>0</v>
      </c>
      <c r="Q79" s="102">
        <v>0</v>
      </c>
      <c r="R79" s="255">
        <v>0</v>
      </c>
      <c r="S79" s="255">
        <v>0</v>
      </c>
      <c r="T79" s="102">
        <f>IF(Q79&gt;0,S79*100/Q79,0)</f>
        <v>0</v>
      </c>
      <c r="U79" s="102">
        <f>IF(R79&gt;0,S79*100/R79,0)</f>
        <v>0</v>
      </c>
    </row>
    <row r="80" spans="1:21" ht="18.75" hidden="1">
      <c r="A80" s="155"/>
      <c r="B80" s="50"/>
      <c r="C80" s="50"/>
      <c r="D80" s="50"/>
      <c r="E80" s="58" t="s">
        <v>21</v>
      </c>
      <c r="F80" s="50"/>
      <c r="G80" s="52"/>
      <c r="H80" s="165" t="s">
        <v>14</v>
      </c>
      <c r="I80" s="163"/>
      <c r="J80" s="163"/>
      <c r="K80" s="164"/>
      <c r="L80" s="256">
        <f ca="1">IFERROR(__xludf.DUMMYFUNCTION("IMPORTRANGE(""https://docs.google.com/spreadsheets/d/1-uDff_7J0KD5mKrp0Vvzr7lt3OU09vwQwhkpOPPYv2Y/edit?usp=sharing"",""งบพรบ!AP43"")"),0)</f>
        <v>0</v>
      </c>
      <c r="M80" s="255">
        <f ca="1">IFERROR(__xludf.DUMMYFUNCTION("IMPORTRANGE(""https://docs.google.com/spreadsheets/d/1-uDff_7J0KD5mKrp0Vvzr7lt3OU09vwQwhkpOPPYv2Y/edit?usp=sharing"",""งบพรบ!AS43"")"),0)</f>
        <v>0</v>
      </c>
      <c r="N80" s="255">
        <f ca="1">IFERROR(__xludf.DUMMYFUNCTION("IMPORTRANGE(""https://docs.google.com/spreadsheets/d/1-uDff_7J0KD5mKrp0Vvzr7lt3OU09vwQwhkpOPPYv2Y/edit?usp=sharing"",""งบพรบ!AU43"")"),0)</f>
        <v>0</v>
      </c>
      <c r="O80" s="255">
        <f ca="1">IF(L80&gt;0,N80*100/L80,0)</f>
        <v>0</v>
      </c>
      <c r="P80" s="255">
        <f ca="1">IF(M80&gt;0,N80*100/M80,0)</f>
        <v>0</v>
      </c>
      <c r="Q80" s="255">
        <v>0</v>
      </c>
      <c r="R80" s="255">
        <v>0</v>
      </c>
      <c r="S80" s="255">
        <v>0</v>
      </c>
      <c r="T80" s="255">
        <f>IF(Q80&gt;0,S80*100/Q80,0)</f>
        <v>0</v>
      </c>
      <c r="U80" s="255">
        <f>IF(R80&gt;0,S80*100/R80,0)</f>
        <v>0</v>
      </c>
    </row>
    <row r="81" spans="1:21" ht="19.5" hidden="1">
      <c r="A81" s="166"/>
      <c r="B81" s="167"/>
      <c r="C81" s="156" t="s">
        <v>18</v>
      </c>
      <c r="D81" s="566" t="s">
        <v>38</v>
      </c>
      <c r="E81" s="169"/>
      <c r="F81" s="169"/>
      <c r="G81" s="170"/>
      <c r="H81" s="171"/>
      <c r="I81" s="163"/>
      <c r="J81" s="163"/>
      <c r="K81" s="164"/>
      <c r="L81" s="172"/>
      <c r="M81" s="164"/>
      <c r="N81" s="164"/>
      <c r="O81" s="164"/>
      <c r="P81" s="164"/>
      <c r="Q81" s="164"/>
      <c r="R81" s="164"/>
      <c r="S81" s="164"/>
      <c r="T81" s="164"/>
      <c r="U81" s="164"/>
    </row>
    <row r="82" spans="1:21" ht="19.5" hidden="1">
      <c r="A82" s="166"/>
      <c r="B82" s="167"/>
      <c r="C82" s="167"/>
      <c r="D82" s="173" t="s">
        <v>39</v>
      </c>
      <c r="E82" s="174"/>
      <c r="F82" s="174"/>
      <c r="G82" s="171"/>
      <c r="H82" s="175" t="s">
        <v>34</v>
      </c>
      <c r="I82" s="373">
        <f ca="1">I84+I86+I88</f>
        <v>0</v>
      </c>
      <c r="J82" s="373">
        <f>J84+J86+J88</f>
        <v>0</v>
      </c>
      <c r="K82" s="642">
        <f ca="1">IF(I82&gt;0,J82*100/I82,0)</f>
        <v>0</v>
      </c>
      <c r="L82" s="172"/>
      <c r="M82" s="164"/>
      <c r="N82" s="164"/>
      <c r="O82" s="164"/>
      <c r="P82" s="164"/>
      <c r="Q82" s="164"/>
      <c r="R82" s="164"/>
      <c r="S82" s="164"/>
      <c r="T82" s="164"/>
      <c r="U82" s="164"/>
    </row>
    <row r="83" spans="1:21" ht="19.5" hidden="1">
      <c r="A83" s="166"/>
      <c r="B83" s="167"/>
      <c r="C83" s="167"/>
      <c r="D83" s="167"/>
      <c r="E83" s="174"/>
      <c r="F83" s="174"/>
      <c r="G83" s="171"/>
      <c r="H83" s="175" t="s">
        <v>35</v>
      </c>
      <c r="I83" s="373">
        <f ca="1">I85+I87+I89</f>
        <v>0</v>
      </c>
      <c r="J83" s="373">
        <f>J85+J87+J89</f>
        <v>0</v>
      </c>
      <c r="K83" s="642">
        <f ca="1">IF(I83&gt;0,J83*100/I83,0)</f>
        <v>0</v>
      </c>
      <c r="L83" s="172"/>
      <c r="M83" s="164"/>
      <c r="N83" s="164"/>
      <c r="O83" s="164"/>
      <c r="P83" s="164"/>
      <c r="Q83" s="164"/>
      <c r="R83" s="164"/>
      <c r="S83" s="164"/>
      <c r="T83" s="164"/>
      <c r="U83" s="164"/>
    </row>
    <row r="84" spans="1:21" ht="18.75" hidden="1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641">
        <f ca="1">IFERROR(__xludf.DUMMYFUNCTION("IMPORTRANGE(""https://docs.google.com/spreadsheets/d/1eHaY18a8A9IcSdp1K8H6x8fbOy06t2VsZHhMHf-1x7Y/edit?usp=sharing"",""แผน!H43"")"),0)</f>
        <v>0</v>
      </c>
      <c r="J84" s="467">
        <v>0</v>
      </c>
      <c r="K84" s="565">
        <f ca="1">IF(I84&gt;0,J84*100/I84,0)</f>
        <v>0</v>
      </c>
      <c r="L84" s="172"/>
      <c r="M84" s="164"/>
      <c r="N84" s="164"/>
      <c r="O84" s="164"/>
      <c r="P84" s="164"/>
      <c r="Q84" s="164"/>
      <c r="R84" s="164"/>
      <c r="S84" s="164"/>
      <c r="T84" s="164"/>
      <c r="U84" s="164"/>
    </row>
    <row r="85" spans="1:21" ht="18.75" hidden="1">
      <c r="A85" s="166"/>
      <c r="B85" s="167"/>
      <c r="C85" s="167"/>
      <c r="D85" s="167"/>
      <c r="E85" s="174"/>
      <c r="F85" s="174"/>
      <c r="G85" s="171"/>
      <c r="H85" s="179" t="s">
        <v>35</v>
      </c>
      <c r="I85" s="641">
        <f ca="1">IFERROR(__xludf.DUMMYFUNCTION("IMPORTRANGE(""https://docs.google.com/spreadsheets/d/1eHaY18a8A9IcSdp1K8H6x8fbOy06t2VsZHhMHf-1x7Y/edit?usp=sharing"",""แผน!I43"")"),0)</f>
        <v>0</v>
      </c>
      <c r="J85" s="467">
        <v>0</v>
      </c>
      <c r="K85" s="565">
        <f ca="1">IF(I85&gt;0,J85*100/I85,0)</f>
        <v>0</v>
      </c>
      <c r="L85" s="172"/>
      <c r="M85" s="164"/>
      <c r="N85" s="164"/>
      <c r="O85" s="164"/>
      <c r="P85" s="164"/>
      <c r="Q85" s="164"/>
      <c r="R85" s="164"/>
      <c r="S85" s="164"/>
      <c r="T85" s="164"/>
      <c r="U85" s="164"/>
    </row>
    <row r="86" spans="1:21" ht="18.75" hidden="1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641">
        <f ca="1">IFERROR(__xludf.DUMMYFUNCTION("IMPORTRANGE(""https://docs.google.com/spreadsheets/d/1eHaY18a8A9IcSdp1K8H6x8fbOy06t2VsZHhMHf-1x7Y/edit?usp=sharing"",""แผน!F43"")"),0)</f>
        <v>0</v>
      </c>
      <c r="J86" s="467">
        <v>0</v>
      </c>
      <c r="K86" s="565">
        <f ca="1">IF(I86&gt;0,J86*100/I86,0)</f>
        <v>0</v>
      </c>
      <c r="L86" s="172"/>
      <c r="M86" s="164"/>
      <c r="N86" s="164"/>
      <c r="O86" s="164"/>
      <c r="P86" s="164"/>
      <c r="Q86" s="164"/>
      <c r="R86" s="164"/>
      <c r="S86" s="164"/>
      <c r="T86" s="164"/>
      <c r="U86" s="164"/>
    </row>
    <row r="87" spans="1:21" ht="18.75" hidden="1">
      <c r="A87" s="166"/>
      <c r="B87" s="167"/>
      <c r="C87" s="167"/>
      <c r="D87" s="167"/>
      <c r="E87" s="174"/>
      <c r="F87" s="174"/>
      <c r="G87" s="171"/>
      <c r="H87" s="179" t="s">
        <v>35</v>
      </c>
      <c r="I87" s="641">
        <f ca="1">IFERROR(__xludf.DUMMYFUNCTION("IMPORTRANGE(""https://docs.google.com/spreadsheets/d/1eHaY18a8A9IcSdp1K8H6x8fbOy06t2VsZHhMHf-1x7Y/edit?usp=sharing"",""แผน!G43"")"),0)</f>
        <v>0</v>
      </c>
      <c r="J87" s="467">
        <v>0</v>
      </c>
      <c r="K87" s="565">
        <f ca="1">IF(I87&gt;0,J87*100/I87,0)</f>
        <v>0</v>
      </c>
      <c r="L87" s="172"/>
      <c r="M87" s="164"/>
      <c r="N87" s="164"/>
      <c r="O87" s="164"/>
      <c r="P87" s="164"/>
      <c r="Q87" s="164"/>
      <c r="R87" s="164"/>
      <c r="S87" s="164"/>
      <c r="T87" s="164"/>
      <c r="U87" s="164"/>
    </row>
    <row r="88" spans="1:21" ht="18.75" hidden="1">
      <c r="A88" s="166"/>
      <c r="B88" s="167"/>
      <c r="C88" s="167"/>
      <c r="D88" s="167"/>
      <c r="E88" s="178" t="s">
        <v>42</v>
      </c>
      <c r="F88" s="174"/>
      <c r="G88" s="171"/>
      <c r="H88" s="179" t="s">
        <v>34</v>
      </c>
      <c r="I88" s="641">
        <f ca="1">IFERROR(__xludf.DUMMYFUNCTION("IMPORTRANGE(""https://docs.google.com/spreadsheets/d/1eHaY18a8A9IcSdp1K8H6x8fbOy06t2VsZHhMHf-1x7Y/edit?usp=sharing"",""แผน!D43"")"),0)</f>
        <v>0</v>
      </c>
      <c r="J88" s="467">
        <v>0</v>
      </c>
      <c r="K88" s="565">
        <f ca="1">IF(I88&gt;0,J88*100/I88,0)</f>
        <v>0</v>
      </c>
      <c r="L88" s="172"/>
      <c r="M88" s="164"/>
      <c r="N88" s="164"/>
      <c r="O88" s="164"/>
      <c r="P88" s="164"/>
      <c r="Q88" s="164"/>
      <c r="R88" s="164"/>
      <c r="S88" s="164"/>
      <c r="T88" s="164"/>
      <c r="U88" s="164"/>
    </row>
    <row r="89" spans="1:21" ht="18.75" hidden="1">
      <c r="A89" s="166"/>
      <c r="B89" s="167"/>
      <c r="C89" s="167"/>
      <c r="D89" s="167"/>
      <c r="E89" s="174"/>
      <c r="F89" s="174"/>
      <c r="G89" s="171"/>
      <c r="H89" s="179" t="s">
        <v>35</v>
      </c>
      <c r="I89" s="641">
        <f ca="1">IFERROR(__xludf.DUMMYFUNCTION("IMPORTRANGE(""https://docs.google.com/spreadsheets/d/1eHaY18a8A9IcSdp1K8H6x8fbOy06t2VsZHhMHf-1x7Y/edit?usp=sharing"",""แผน!E43"")"),0)</f>
        <v>0</v>
      </c>
      <c r="J89" s="467">
        <v>0</v>
      </c>
      <c r="K89" s="565">
        <f ca="1">IF(I89&gt;0,J89*100/I89,0)</f>
        <v>0</v>
      </c>
      <c r="L89" s="172"/>
      <c r="M89" s="164"/>
      <c r="N89" s="164"/>
      <c r="O89" s="164"/>
      <c r="P89" s="164"/>
      <c r="Q89" s="164"/>
      <c r="R89" s="164"/>
      <c r="S89" s="164"/>
      <c r="T89" s="164"/>
      <c r="U89" s="164"/>
    </row>
    <row r="90" spans="1:21" ht="18.75" hidden="1">
      <c r="A90" s="166"/>
      <c r="B90" s="167"/>
      <c r="C90" s="167"/>
      <c r="D90" s="173" t="s">
        <v>43</v>
      </c>
      <c r="E90" s="174"/>
      <c r="F90" s="174"/>
      <c r="G90" s="171"/>
      <c r="H90" s="183" t="s">
        <v>34</v>
      </c>
      <c r="I90" s="641">
        <f ca="1">IFERROR(__xludf.DUMMYFUNCTION("IMPORTRANGE(""https://docs.google.com/spreadsheets/d/1eHaY18a8A9IcSdp1K8H6x8fbOy06t2VsZHhMHf-1x7Y/edit?usp=sharing"",""แผน!J43"")"),0)</f>
        <v>0</v>
      </c>
      <c r="J90" s="467">
        <v>0</v>
      </c>
      <c r="K90" s="565">
        <f ca="1">IF(I90&gt;0,J90*100/I90,0)</f>
        <v>0</v>
      </c>
      <c r="L90" s="172"/>
      <c r="M90" s="164"/>
      <c r="N90" s="164"/>
      <c r="O90" s="164"/>
      <c r="P90" s="164"/>
      <c r="Q90" s="164"/>
      <c r="R90" s="164"/>
      <c r="S90" s="164"/>
      <c r="T90" s="164"/>
      <c r="U90" s="164"/>
    </row>
    <row r="91" spans="1:21" ht="19.5" hidden="1">
      <c r="A91" s="143" t="s">
        <v>44</v>
      </c>
      <c r="B91" s="144"/>
      <c r="C91" s="145"/>
      <c r="D91" s="144"/>
      <c r="E91" s="144"/>
      <c r="F91" s="144"/>
      <c r="G91" s="146"/>
      <c r="H91" s="146"/>
      <c r="I91" s="147"/>
      <c r="J91" s="147"/>
      <c r="K91" s="148"/>
      <c r="L91" s="149"/>
      <c r="M91" s="148"/>
      <c r="N91" s="148"/>
      <c r="O91" s="148"/>
      <c r="P91" s="148"/>
      <c r="Q91" s="148"/>
      <c r="R91" s="148"/>
      <c r="S91" s="148"/>
      <c r="T91" s="148"/>
      <c r="U91" s="148"/>
    </row>
    <row r="92" spans="1:21" ht="19.5" hidden="1">
      <c r="A92" s="150"/>
      <c r="B92" s="35" t="s">
        <v>45</v>
      </c>
      <c r="C92" s="34"/>
      <c r="D92" s="151"/>
      <c r="E92" s="34"/>
      <c r="F92" s="34"/>
      <c r="G92" s="37"/>
      <c r="H92" s="152" t="s">
        <v>46</v>
      </c>
      <c r="I92" s="721">
        <f ca="1">I108</f>
        <v>0</v>
      </c>
      <c r="J92" s="721">
        <f>J108</f>
        <v>0</v>
      </c>
      <c r="K92" s="720">
        <f ca="1">IF(I92&gt;0,J92*100/I92,0)</f>
        <v>0</v>
      </c>
      <c r="L92" s="154"/>
      <c r="M92" s="40"/>
      <c r="N92" s="40"/>
      <c r="O92" s="40"/>
      <c r="P92" s="40"/>
      <c r="Q92" s="40"/>
      <c r="R92" s="40"/>
      <c r="S92" s="40"/>
      <c r="T92" s="40"/>
      <c r="U92" s="40"/>
    </row>
    <row r="93" spans="1:21" ht="19.5" hidden="1">
      <c r="A93" s="150"/>
      <c r="B93" s="34"/>
      <c r="C93" s="34"/>
      <c r="D93" s="151"/>
      <c r="E93" s="34"/>
      <c r="F93" s="34"/>
      <c r="G93" s="37"/>
      <c r="H93" s="152" t="s">
        <v>35</v>
      </c>
      <c r="I93" s="721">
        <f ca="1">I109</f>
        <v>0</v>
      </c>
      <c r="J93" s="721">
        <f>J109</f>
        <v>0</v>
      </c>
      <c r="K93" s="720">
        <f ca="1">IF(I93&gt;0,J93*100/I93,0)</f>
        <v>0</v>
      </c>
      <c r="L93" s="154"/>
      <c r="M93" s="40"/>
      <c r="N93" s="40"/>
      <c r="O93" s="40"/>
      <c r="P93" s="40"/>
      <c r="Q93" s="40"/>
      <c r="R93" s="40"/>
      <c r="S93" s="40"/>
      <c r="T93" s="40"/>
      <c r="U93" s="40"/>
    </row>
    <row r="94" spans="1:21" ht="19.5" hidden="1">
      <c r="A94" s="155"/>
      <c r="B94" s="50"/>
      <c r="C94" s="156" t="s">
        <v>18</v>
      </c>
      <c r="D94" s="575" t="s">
        <v>19</v>
      </c>
      <c r="E94" s="50"/>
      <c r="F94" s="50"/>
      <c r="G94" s="52"/>
      <c r="H94" s="158" t="s">
        <v>14</v>
      </c>
      <c r="I94" s="54"/>
      <c r="J94" s="54"/>
      <c r="K94" s="55"/>
      <c r="L94" s="541">
        <f ca="1">L95+L96</f>
        <v>0</v>
      </c>
      <c r="M94" s="540">
        <f ca="1">M95+M96</f>
        <v>0</v>
      </c>
      <c r="N94" s="540">
        <f ca="1">N95+N96</f>
        <v>0</v>
      </c>
      <c r="O94" s="540">
        <f ca="1">IF(L94&gt;0,N94*100/L94,0)</f>
        <v>0</v>
      </c>
      <c r="P94" s="540">
        <f ca="1">IF(M94&gt;0,N94*100/M94,0)</f>
        <v>0</v>
      </c>
      <c r="Q94" s="540">
        <f ca="1">Q95+Q96</f>
        <v>0</v>
      </c>
      <c r="R94" s="540">
        <f ca="1">R95+R96</f>
        <v>0</v>
      </c>
      <c r="S94" s="540">
        <f ca="1">S95+S96</f>
        <v>0</v>
      </c>
      <c r="T94" s="540">
        <f ca="1">IF(Q94&gt;0,S94*100/Q94,0)</f>
        <v>0</v>
      </c>
      <c r="U94" s="540">
        <f ca="1">IF(R94&gt;0,S94*100/R94,0)</f>
        <v>0</v>
      </c>
    </row>
    <row r="95" spans="1:21" ht="18.75" hidden="1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103">
        <f>L98+L101</f>
        <v>0</v>
      </c>
      <c r="M95" s="102">
        <f>M98+M101</f>
        <v>0</v>
      </c>
      <c r="N95" s="102">
        <f>N98+N101</f>
        <v>0</v>
      </c>
      <c r="O95" s="102">
        <f>IF(L95&gt;0,N95*100/L95,0)</f>
        <v>0</v>
      </c>
      <c r="P95" s="102">
        <f>IF(M95&gt;0,N95*100/M95,0)</f>
        <v>0</v>
      </c>
      <c r="Q95" s="102">
        <f>Q98+Q101</f>
        <v>0</v>
      </c>
      <c r="R95" s="102">
        <f>R98+R101</f>
        <v>0</v>
      </c>
      <c r="S95" s="102">
        <f>S98+S101</f>
        <v>0</v>
      </c>
      <c r="T95" s="102">
        <f>IF(Q95&gt;0,S95*100/Q95,0)</f>
        <v>0</v>
      </c>
      <c r="U95" s="102">
        <f>IF(R95&gt;0,S95*100/R95,0)</f>
        <v>0</v>
      </c>
    </row>
    <row r="96" spans="1:21" ht="18.75" hidden="1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256">
        <f ca="1">L99+L102</f>
        <v>0</v>
      </c>
      <c r="M96" s="255">
        <f ca="1">M99+M102</f>
        <v>0</v>
      </c>
      <c r="N96" s="255">
        <f ca="1">N99+N102</f>
        <v>0</v>
      </c>
      <c r="O96" s="255">
        <f ca="1">IF(L96&gt;0,N96*100/L96,0)</f>
        <v>0</v>
      </c>
      <c r="P96" s="255">
        <f ca="1">IF(M96&gt;0,N96*100/M96,0)</f>
        <v>0</v>
      </c>
      <c r="Q96" s="255">
        <f ca="1">Q99+Q102</f>
        <v>0</v>
      </c>
      <c r="R96" s="255">
        <f ca="1">R99+R102</f>
        <v>0</v>
      </c>
      <c r="S96" s="255">
        <f ca="1">S99+S102</f>
        <v>0</v>
      </c>
      <c r="T96" s="255">
        <f ca="1">IF(Q96&gt;0,S96*100/Q96,0)</f>
        <v>0</v>
      </c>
      <c r="U96" s="255">
        <f ca="1">IF(R96&gt;0,S96*100/R96,0)</f>
        <v>0</v>
      </c>
    </row>
    <row r="97" spans="1:21" ht="18.75" hidden="1">
      <c r="A97" s="155"/>
      <c r="B97" s="50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256">
        <f ca="1">L98+L99</f>
        <v>0</v>
      </c>
      <c r="M97" s="255">
        <f ca="1">M98+M99</f>
        <v>0</v>
      </c>
      <c r="N97" s="255">
        <f ca="1">N98+N99</f>
        <v>0</v>
      </c>
      <c r="O97" s="255">
        <f ca="1">IF(L97&gt;0,N97*100/L97,0)</f>
        <v>0</v>
      </c>
      <c r="P97" s="255">
        <f ca="1">IF(M97&gt;0,N97*100/M97,0)</f>
        <v>0</v>
      </c>
      <c r="Q97" s="255">
        <f ca="1">Q98+Q99</f>
        <v>0</v>
      </c>
      <c r="R97" s="255">
        <f ca="1">R98+R99</f>
        <v>0</v>
      </c>
      <c r="S97" s="255">
        <f ca="1">S98+S99</f>
        <v>0</v>
      </c>
      <c r="T97" s="255">
        <f ca="1">IF(Q97&gt;0,S97*100/Q97,0)</f>
        <v>0</v>
      </c>
      <c r="U97" s="255">
        <f ca="1">IF(R97&gt;0,S97*100/R97,0)</f>
        <v>0</v>
      </c>
    </row>
    <row r="98" spans="1:21" ht="18.75" hidden="1">
      <c r="A98" s="155"/>
      <c r="B98" s="50"/>
      <c r="C98" s="50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103">
        <v>0</v>
      </c>
      <c r="M98" s="102">
        <v>0</v>
      </c>
      <c r="N98" s="102">
        <v>0</v>
      </c>
      <c r="O98" s="102">
        <f>IF(L98&gt;0,N98*100/L98,0)</f>
        <v>0</v>
      </c>
      <c r="P98" s="102">
        <f>IF(M98&gt;0,N98*100/M98,0)</f>
        <v>0</v>
      </c>
      <c r="Q98" s="102">
        <v>0</v>
      </c>
      <c r="R98" s="102">
        <v>0</v>
      </c>
      <c r="S98" s="102">
        <v>0</v>
      </c>
      <c r="T98" s="102">
        <f>IF(Q98&gt;0,S98*100/Q98,0)</f>
        <v>0</v>
      </c>
      <c r="U98" s="102">
        <f>IF(R98&gt;0,S98*100/R98,0)</f>
        <v>0</v>
      </c>
    </row>
    <row r="99" spans="1:21" ht="18.75" hidden="1">
      <c r="A99" s="155"/>
      <c r="B99" s="50"/>
      <c r="C99" s="50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256">
        <f ca="1">IFERROR(__xludf.DUMMYFUNCTION("IMPORTRANGE(""https://docs.google.com/spreadsheets/d/1-uDff_7J0KD5mKrp0Vvzr7lt3OU09vwQwhkpOPPYv2Y/edit?usp=sharing"",""งบพรบ!AW43"")"),0)</f>
        <v>0</v>
      </c>
      <c r="M99" s="255">
        <f ca="1">IFERROR(__xludf.DUMMYFUNCTION("IMPORTRANGE(""https://docs.google.com/spreadsheets/d/1-uDff_7J0KD5mKrp0Vvzr7lt3OU09vwQwhkpOPPYv2Y/edit?usp=sharing"",""งบพรบ!BB43"")"),0)</f>
        <v>0</v>
      </c>
      <c r="N99" s="255">
        <f ca="1">IFERROR(__xludf.DUMMYFUNCTION("IMPORTRANGE(""https://docs.google.com/spreadsheets/d/1-uDff_7J0KD5mKrp0Vvzr7lt3OU09vwQwhkpOPPYv2Y/edit?usp=sharing"",""งบพรบ!BD43"")"),0)</f>
        <v>0</v>
      </c>
      <c r="O99" s="255">
        <f ca="1">IF(L99&gt;0,N99*100/L99,0)</f>
        <v>0</v>
      </c>
      <c r="P99" s="255">
        <f ca="1">IF(M99&gt;0,N99*100/M99,0)</f>
        <v>0</v>
      </c>
      <c r="Q99" s="255">
        <f ca="1">IFERROR(__xludf.DUMMYFUNCTION("IMPORTRANGE(""https://docs.google.com/spreadsheets/d/1ItG2mGa2ceCfYo0BwxsXqNm01IGEUdYcSSLTEv9YCik/edit?usp=sharing"",""เบิกจ่ายกองทุน!AD43"")"),0)</f>
        <v>0</v>
      </c>
      <c r="R99" s="255">
        <f ca="1">IFERROR(__xludf.DUMMYFUNCTION("IMPORTRANGE(""https://docs.google.com/spreadsheets/d/1ItG2mGa2ceCfYo0BwxsXqNm01IGEUdYcSSLTEv9YCik/edit?usp=sharing"",""เบิกจ่ายกองทุน!AE43"")"),0)</f>
        <v>0</v>
      </c>
      <c r="S99" s="255">
        <f ca="1">IFERROR(__xludf.DUMMYFUNCTION("IMPORTRANGE(""https://docs.google.com/spreadsheets/d/1ItG2mGa2ceCfYo0BwxsXqNm01IGEUdYcSSLTEv9YCik/edit?usp=sharing"",""เบิกจ่ายกองทุน!AF43"")"),0)</f>
        <v>0</v>
      </c>
      <c r="T99" s="255">
        <f ca="1">IF(Q99&gt;0,S99*100/Q99,0)</f>
        <v>0</v>
      </c>
      <c r="U99" s="255">
        <f ca="1">IF(R99&gt;0,S99*100/R99,0)</f>
        <v>0</v>
      </c>
    </row>
    <row r="100" spans="1:21" ht="18.75" hidden="1">
      <c r="A100" s="155"/>
      <c r="B100" s="50"/>
      <c r="C100" s="50"/>
      <c r="D100" s="51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256">
        <f ca="1">L101+L102</f>
        <v>0</v>
      </c>
      <c r="M100" s="255">
        <f ca="1">M101+M102</f>
        <v>0</v>
      </c>
      <c r="N100" s="255">
        <f ca="1">N101+N102</f>
        <v>0</v>
      </c>
      <c r="O100" s="255">
        <f ca="1">IF(L100&gt;0,N100*100/L100,0)</f>
        <v>0</v>
      </c>
      <c r="P100" s="255">
        <f ca="1">IF(M100&gt;0,N100*100/M100,0)</f>
        <v>0</v>
      </c>
      <c r="Q100" s="255">
        <f>Q101+Q102</f>
        <v>0</v>
      </c>
      <c r="R100" s="255">
        <f>R101+R102</f>
        <v>0</v>
      </c>
      <c r="S100" s="255">
        <f>S101+S102</f>
        <v>0</v>
      </c>
      <c r="T100" s="255">
        <f>IF(Q100&gt;0,S100*100/Q100,0)</f>
        <v>0</v>
      </c>
      <c r="U100" s="255">
        <f>IF(R100&gt;0,S100*100/R100,0)</f>
        <v>0</v>
      </c>
    </row>
    <row r="101" spans="1:21" ht="18.75" hidden="1">
      <c r="A101" s="155"/>
      <c r="B101" s="50"/>
      <c r="C101" s="50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103">
        <v>0</v>
      </c>
      <c r="M101" s="102">
        <v>0</v>
      </c>
      <c r="N101" s="102">
        <v>0</v>
      </c>
      <c r="O101" s="102">
        <f>IF(L101&gt;0,N101*100/L101,0)</f>
        <v>0</v>
      </c>
      <c r="P101" s="102">
        <f>IF(M101&gt;0,N101*100/M101,0)</f>
        <v>0</v>
      </c>
      <c r="Q101" s="102">
        <v>0</v>
      </c>
      <c r="R101" s="102">
        <v>0</v>
      </c>
      <c r="S101" s="102">
        <v>0</v>
      </c>
      <c r="T101" s="102">
        <f>IF(Q101&gt;0,S101*100/Q101,0)</f>
        <v>0</v>
      </c>
      <c r="U101" s="102">
        <f>IF(R101&gt;0,S101*100/R101,0)</f>
        <v>0</v>
      </c>
    </row>
    <row r="102" spans="1:21" ht="18.75" hidden="1">
      <c r="A102" s="155"/>
      <c r="B102" s="50"/>
      <c r="C102" s="50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256">
        <f ca="1">IFERROR(__xludf.DUMMYFUNCTION("IMPORTRANGE(""https://docs.google.com/spreadsheets/d/1-uDff_7J0KD5mKrp0Vvzr7lt3OU09vwQwhkpOPPYv2Y/edit?usp=sharing"",""งบพรบ!AZ43"")"),0)</f>
        <v>0</v>
      </c>
      <c r="M102" s="255">
        <f ca="1">IFERROR(__xludf.DUMMYFUNCTION("IMPORTRANGE(""https://docs.google.com/spreadsheets/d/1-uDff_7J0KD5mKrp0Vvzr7lt3OU09vwQwhkpOPPYv2Y/edit?usp=sharing"",""งบพรบ!BC43"")"),0)</f>
        <v>0</v>
      </c>
      <c r="N102" s="255">
        <f ca="1">IFERROR(__xludf.DUMMYFUNCTION("IMPORTRANGE(""https://docs.google.com/spreadsheets/d/1-uDff_7J0KD5mKrp0Vvzr7lt3OU09vwQwhkpOPPYv2Y/edit?usp=sharing"",""งบพรบ!BE43"")"),0)</f>
        <v>0</v>
      </c>
      <c r="O102" s="255">
        <f ca="1">IF(L102&gt;0,N102*100/L102,0)</f>
        <v>0</v>
      </c>
      <c r="P102" s="255">
        <f ca="1">IF(M102&gt;0,N102*100/M102,0)</f>
        <v>0</v>
      </c>
      <c r="Q102" s="255">
        <v>0</v>
      </c>
      <c r="R102" s="255">
        <v>0</v>
      </c>
      <c r="S102" s="255">
        <v>0</v>
      </c>
      <c r="T102" s="255">
        <f>IF(Q102&gt;0,S102*100/Q102,0)</f>
        <v>0</v>
      </c>
      <c r="U102" s="255">
        <f>IF(R102&gt;0,S102*100/R102,0)</f>
        <v>0</v>
      </c>
    </row>
    <row r="103" spans="1:21" ht="19.5" hidden="1">
      <c r="A103" s="166"/>
      <c r="B103" s="167"/>
      <c r="C103" s="156" t="s">
        <v>18</v>
      </c>
      <c r="D103" s="566" t="s">
        <v>38</v>
      </c>
      <c r="E103" s="169"/>
      <c r="F103" s="169"/>
      <c r="G103" s="170"/>
      <c r="H103" s="171"/>
      <c r="I103" s="163"/>
      <c r="J103" s="54"/>
      <c r="K103" s="55"/>
      <c r="L103" s="62"/>
      <c r="M103" s="55"/>
      <c r="N103" s="55"/>
      <c r="O103" s="164"/>
      <c r="P103" s="164"/>
      <c r="Q103" s="55"/>
      <c r="R103" s="55"/>
      <c r="S103" s="55"/>
      <c r="T103" s="164"/>
      <c r="U103" s="164"/>
    </row>
    <row r="104" spans="1:21" ht="12.75" hidden="1">
      <c r="A104" s="192"/>
      <c r="B104" s="193"/>
      <c r="C104" s="193"/>
      <c r="D104" s="22"/>
      <c r="E104" s="22"/>
      <c r="F104" s="22"/>
      <c r="G104" s="23"/>
      <c r="H104" s="23"/>
      <c r="I104" s="24"/>
      <c r="J104" s="24"/>
      <c r="K104" s="25"/>
      <c r="L104" s="26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2.75" hidden="1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6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2.75" hidden="1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9.5" hidden="1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62"/>
      <c r="M107" s="55"/>
      <c r="N107" s="55"/>
      <c r="O107" s="164"/>
      <c r="P107" s="164"/>
      <c r="Q107" s="55"/>
      <c r="R107" s="55"/>
      <c r="S107" s="55"/>
      <c r="T107" s="164"/>
      <c r="U107" s="164"/>
    </row>
    <row r="108" spans="1:21" ht="18.75" hidden="1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212">
        <f ca="1">IFERROR(__xludf.DUMMYFUNCTION("IMPORTRANGE(""https://docs.google.com/spreadsheets/d/1eHaY18a8A9IcSdp1K8H6x8fbOy06t2VsZHhMHf-1x7Y/edit?usp=sharing"",""แผน!N43"")"),0)</f>
        <v>0</v>
      </c>
      <c r="J108" s="467">
        <v>0</v>
      </c>
      <c r="K108" s="255">
        <f ca="1">IF(I108&gt;0,J108*100/I108,0)</f>
        <v>0</v>
      </c>
      <c r="L108" s="62"/>
      <c r="M108" s="55"/>
      <c r="N108" s="55"/>
      <c r="O108" s="164"/>
      <c r="P108" s="164"/>
      <c r="Q108" s="55"/>
      <c r="R108" s="55"/>
      <c r="S108" s="55"/>
      <c r="T108" s="164"/>
      <c r="U108" s="164"/>
    </row>
    <row r="109" spans="1:21" ht="18.75" hidden="1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212">
        <f ca="1">IFERROR(__xludf.DUMMYFUNCTION("IMPORTRANGE(""https://docs.google.com/spreadsheets/d/1eHaY18a8A9IcSdp1K8H6x8fbOy06t2VsZHhMHf-1x7Y/edit?usp=sharing"",""แผน!O43"")"),0)</f>
        <v>0</v>
      </c>
      <c r="J109" s="467">
        <v>0</v>
      </c>
      <c r="K109" s="255">
        <f ca="1">IF(I109&gt;0,J109*100/I109,0)</f>
        <v>0</v>
      </c>
      <c r="L109" s="62"/>
      <c r="M109" s="55"/>
      <c r="N109" s="55"/>
      <c r="O109" s="164"/>
      <c r="P109" s="164"/>
      <c r="Q109" s="55"/>
      <c r="R109" s="55"/>
      <c r="S109" s="55"/>
      <c r="T109" s="164"/>
      <c r="U109" s="164"/>
    </row>
    <row r="110" spans="1:21" ht="12.75" hidden="1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6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2.75" hidden="1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6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2.75" hidden="1">
      <c r="A112" s="192"/>
      <c r="B112" s="193"/>
      <c r="C112" s="193"/>
      <c r="D112" s="22"/>
      <c r="E112" s="22"/>
      <c r="F112" s="22"/>
      <c r="G112" s="23"/>
      <c r="H112" s="23"/>
      <c r="I112" s="24"/>
      <c r="J112" s="24"/>
      <c r="K112" s="25"/>
      <c r="L112" s="26"/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2.75" hidden="1">
      <c r="A113" s="192"/>
      <c r="B113" s="193"/>
      <c r="C113" s="193"/>
      <c r="D113" s="22"/>
      <c r="E113" s="22"/>
      <c r="F113" s="22"/>
      <c r="G113" s="23"/>
      <c r="H113" s="23"/>
      <c r="I113" s="24">
        <v>0</v>
      </c>
      <c r="J113" s="24">
        <v>0</v>
      </c>
      <c r="K113" s="25"/>
      <c r="L113" s="26"/>
      <c r="M113" s="25"/>
      <c r="N113" s="25"/>
      <c r="O113" s="25"/>
      <c r="P113" s="25"/>
      <c r="Q113" s="25"/>
      <c r="R113" s="25"/>
      <c r="S113" s="25"/>
      <c r="T113" s="25"/>
      <c r="U113" s="25"/>
    </row>
    <row r="114" spans="1:21" ht="18.75" hidden="1">
      <c r="A114" s="166"/>
      <c r="B114" s="167"/>
      <c r="C114" s="167"/>
      <c r="D114" s="178" t="s">
        <v>50</v>
      </c>
      <c r="E114" s="174"/>
      <c r="F114" s="174"/>
      <c r="G114" s="171"/>
      <c r="H114" s="179" t="s">
        <v>35</v>
      </c>
      <c r="I114" s="641">
        <f ca="1">IFERROR(__xludf.DUMMYFUNCTION("IMPORTRANGE(""https://docs.google.com/spreadsheets/d/1eHaY18a8A9IcSdp1K8H6x8fbOy06t2VsZHhMHf-1x7Y/edit?usp=sharing"",""แผน!R43"")"),0)</f>
        <v>0</v>
      </c>
      <c r="J114" s="467">
        <v>0</v>
      </c>
      <c r="K114" s="255">
        <f ca="1">IF(I114&gt;0,J114*100/I114,0)</f>
        <v>0</v>
      </c>
      <c r="L114" s="62"/>
      <c r="M114" s="55"/>
      <c r="N114" s="55"/>
      <c r="O114" s="164"/>
      <c r="P114" s="164"/>
      <c r="Q114" s="55"/>
      <c r="R114" s="55"/>
      <c r="S114" s="55"/>
      <c r="T114" s="164"/>
      <c r="U114" s="164"/>
    </row>
    <row r="115" spans="1:21" ht="19.5">
      <c r="A115" s="727" t="s">
        <v>51</v>
      </c>
      <c r="B115" s="724"/>
      <c r="C115" s="726"/>
      <c r="D115" s="725"/>
      <c r="E115" s="725"/>
      <c r="F115" s="725"/>
      <c r="G115" s="725"/>
      <c r="H115" s="724"/>
      <c r="I115" s="723"/>
      <c r="J115" s="723"/>
      <c r="K115" s="722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721">
        <f ca="1">I127</f>
        <v>20</v>
      </c>
      <c r="J116" s="721">
        <f>J127</f>
        <v>20</v>
      </c>
      <c r="K116" s="720">
        <f ca="1">IF(I116&gt;0,J116*100/I116,0)</f>
        <v>100</v>
      </c>
      <c r="L116" s="154"/>
      <c r="M116" s="40"/>
      <c r="N116" s="40"/>
      <c r="O116" s="40"/>
      <c r="P116" s="40"/>
      <c r="Q116" s="40"/>
      <c r="R116" s="40"/>
      <c r="S116" s="40"/>
      <c r="T116" s="40"/>
      <c r="U116" s="40"/>
    </row>
    <row r="117" spans="1:21" ht="19.5">
      <c r="A117" s="155"/>
      <c r="B117" s="188"/>
      <c r="C117" s="191" t="s">
        <v>18</v>
      </c>
      <c r="D117" s="575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541">
        <f ca="1">L118+L119</f>
        <v>0</v>
      </c>
      <c r="M117" s="540">
        <f ca="1">M118+M119</f>
        <v>0</v>
      </c>
      <c r="N117" s="540">
        <f ca="1">N118+N119</f>
        <v>0</v>
      </c>
      <c r="O117" s="540">
        <f ca="1">IF(L117&gt;0,N117*100/L117,0)</f>
        <v>0</v>
      </c>
      <c r="P117" s="540">
        <f ca="1">IF(M117&gt;0,N117*100/M117,0)</f>
        <v>0</v>
      </c>
      <c r="Q117" s="540">
        <f ca="1">Q118+Q119</f>
        <v>209360</v>
      </c>
      <c r="R117" s="540">
        <f ca="1">R118+R119</f>
        <v>209360</v>
      </c>
      <c r="S117" s="540">
        <f ca="1">S118+S119</f>
        <v>74020</v>
      </c>
      <c r="T117" s="540">
        <f ca="1">IF(Q117&gt;0,S117*100/Q117,0)</f>
        <v>35.35536874283531</v>
      </c>
      <c r="U117" s="540">
        <f ca="1">IF(R117&gt;0,S117*100/R117,0)</f>
        <v>35.35536874283531</v>
      </c>
    </row>
    <row r="118" spans="1:21" ht="18.75" hidden="1">
      <c r="A118" s="155"/>
      <c r="B118" s="188"/>
      <c r="C118" s="188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103">
        <f>L121+L124</f>
        <v>0</v>
      </c>
      <c r="M118" s="102">
        <f>M121+M124</f>
        <v>0</v>
      </c>
      <c r="N118" s="102">
        <f>N121+N124</f>
        <v>0</v>
      </c>
      <c r="O118" s="102">
        <f>IF(L118&gt;0,N118*100/L118,0)</f>
        <v>0</v>
      </c>
      <c r="P118" s="102">
        <f>IF(M118&gt;0,N118*100/M118,0)</f>
        <v>0</v>
      </c>
      <c r="Q118" s="102">
        <f>Q121+Q124</f>
        <v>0</v>
      </c>
      <c r="R118" s="102">
        <f>R121+R124</f>
        <v>0</v>
      </c>
      <c r="S118" s="102">
        <f>S121+S124</f>
        <v>0</v>
      </c>
      <c r="T118" s="102">
        <f>IF(Q118&gt;0,S118*100/Q118,0)</f>
        <v>0</v>
      </c>
      <c r="U118" s="102">
        <f>IF(R118&gt;0,S118*100/R118,0)</f>
        <v>0</v>
      </c>
    </row>
    <row r="119" spans="1:21" ht="18.75" hidden="1">
      <c r="A119" s="155"/>
      <c r="B119" s="188"/>
      <c r="C119" s="188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256">
        <f ca="1">L122+L125</f>
        <v>0</v>
      </c>
      <c r="M119" s="255">
        <f ca="1">M122+M125</f>
        <v>0</v>
      </c>
      <c r="N119" s="255">
        <f ca="1">N122+N125</f>
        <v>0</v>
      </c>
      <c r="O119" s="255">
        <f ca="1">IF(L119&gt;0,N119*100/L119,0)</f>
        <v>0</v>
      </c>
      <c r="P119" s="255">
        <f ca="1">IF(M119&gt;0,N119*100/M119,0)</f>
        <v>0</v>
      </c>
      <c r="Q119" s="255">
        <f ca="1">Q122+Q125</f>
        <v>209360</v>
      </c>
      <c r="R119" s="255">
        <f ca="1">R122+R125</f>
        <v>209360</v>
      </c>
      <c r="S119" s="255">
        <f ca="1">S122+S125</f>
        <v>74020</v>
      </c>
      <c r="T119" s="255">
        <f ca="1">IF(Q119&gt;0,S119*100/Q119,0)</f>
        <v>35.35536874283531</v>
      </c>
      <c r="U119" s="255">
        <f ca="1">IF(R119&gt;0,S119*100/R119,0)</f>
        <v>35.35536874283531</v>
      </c>
    </row>
    <row r="120" spans="1:21" ht="18.75">
      <c r="A120" s="155"/>
      <c r="B120" s="188"/>
      <c r="C120" s="202"/>
      <c r="D120" s="602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256">
        <f ca="1">L121+L122</f>
        <v>0</v>
      </c>
      <c r="M120" s="255">
        <f ca="1">M121+M122</f>
        <v>0</v>
      </c>
      <c r="N120" s="255">
        <f ca="1">N121+N122</f>
        <v>0</v>
      </c>
      <c r="O120" s="255">
        <f ca="1">IF(L120&gt;0,N120*100/L120,0)</f>
        <v>0</v>
      </c>
      <c r="P120" s="255">
        <f ca="1">IF(M120&gt;0,N120*100/M120,0)</f>
        <v>0</v>
      </c>
      <c r="Q120" s="255">
        <f ca="1">Q121+Q122</f>
        <v>209360</v>
      </c>
      <c r="R120" s="255">
        <f ca="1">R121+R122</f>
        <v>209360</v>
      </c>
      <c r="S120" s="255">
        <f ca="1">S121+S122</f>
        <v>74020</v>
      </c>
      <c r="T120" s="255">
        <f ca="1">IF(Q120&gt;0,S120*100/Q120,0)</f>
        <v>35.35536874283531</v>
      </c>
      <c r="U120" s="255">
        <f ca="1">IF(R120&gt;0,S120*100/R120,0)</f>
        <v>35.35536874283531</v>
      </c>
    </row>
    <row r="121" spans="1:21" ht="18.75" hidden="1">
      <c r="A121" s="155"/>
      <c r="B121" s="188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103">
        <v>0</v>
      </c>
      <c r="M121" s="102">
        <v>0</v>
      </c>
      <c r="N121" s="102">
        <v>0</v>
      </c>
      <c r="O121" s="102">
        <f>IF(L121&gt;0,N121*100/L121,0)</f>
        <v>0</v>
      </c>
      <c r="P121" s="102">
        <f>IF(M121&gt;0,N121*100/M121,0)</f>
        <v>0</v>
      </c>
      <c r="Q121" s="102">
        <v>0</v>
      </c>
      <c r="R121" s="102">
        <v>0</v>
      </c>
      <c r="S121" s="102">
        <v>0</v>
      </c>
      <c r="T121" s="102">
        <f>IF(Q121&gt;0,S121*100/Q121,0)</f>
        <v>0</v>
      </c>
      <c r="U121" s="102">
        <f>IF(R121&gt;0,S121*100/R121,0)</f>
        <v>0</v>
      </c>
    </row>
    <row r="122" spans="1:21" ht="18.75" hidden="1">
      <c r="A122" s="155"/>
      <c r="B122" s="188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256">
        <f ca="1">IFERROR(__xludf.DUMMYFUNCTION("IMPORTRANGE(""https://docs.google.com/spreadsheets/d/1-uDff_7J0KD5mKrp0Vvzr7lt3OU09vwQwhkpOPPYv2Y/edit?usp=sharing"",""งบพรบ!BG43"")"),0)</f>
        <v>0</v>
      </c>
      <c r="M122" s="255">
        <f ca="1">IFERROR(__xludf.DUMMYFUNCTION("IMPORTRANGE(""https://docs.google.com/spreadsheets/d/1-uDff_7J0KD5mKrp0Vvzr7lt3OU09vwQwhkpOPPYv2Y/edit?usp=sharing"",""งบพรบ!BL43"")"),0)</f>
        <v>0</v>
      </c>
      <c r="N122" s="255">
        <f ca="1">IFERROR(__xludf.DUMMYFUNCTION("IMPORTRANGE(""https://docs.google.com/spreadsheets/d/1-uDff_7J0KD5mKrp0Vvzr7lt3OU09vwQwhkpOPPYv2Y/edit?usp=sharing"",""งบพรบ!BN43"")"),0)</f>
        <v>0</v>
      </c>
      <c r="O122" s="255">
        <f ca="1">IF(L122&gt;0,N122*100/L122,0)</f>
        <v>0</v>
      </c>
      <c r="P122" s="255">
        <f ca="1">IF(M122&gt;0,N122*100/M122,0)</f>
        <v>0</v>
      </c>
      <c r="Q122" s="255">
        <f ca="1">IFERROR(__xludf.DUMMYFUNCTION("IMPORTRANGE(""https://docs.google.com/spreadsheets/d/1ItG2mGa2ceCfYo0BwxsXqNm01IGEUdYcSSLTEv9YCik/edit?usp=sharing"",""เบิกจ่ายกองทุน!R43"")"),209360)</f>
        <v>209360</v>
      </c>
      <c r="R122" s="255">
        <f ca="1">IFERROR(__xludf.DUMMYFUNCTION("IMPORTRANGE(""https://docs.google.com/spreadsheets/d/1ItG2mGa2ceCfYo0BwxsXqNm01IGEUdYcSSLTEv9YCik/edit?usp=sharing"",""เบิกจ่ายกองทุน!S43"")"),209360)</f>
        <v>209360</v>
      </c>
      <c r="S122" s="255">
        <f ca="1">IFERROR(__xludf.DUMMYFUNCTION("IMPORTRANGE(""https://docs.google.com/spreadsheets/d/1ItG2mGa2ceCfYo0BwxsXqNm01IGEUdYcSSLTEv9YCik/edit?usp=sharing"",""เบิกจ่ายกองทุน!T43"")"),74020)</f>
        <v>74020</v>
      </c>
      <c r="T122" s="255">
        <f ca="1">IF(Q122&gt;0,S122*100/Q122,0)</f>
        <v>35.35536874283531</v>
      </c>
      <c r="U122" s="255">
        <f ca="1">IF(R122&gt;0,S122*100/R122,0)</f>
        <v>35.35536874283531</v>
      </c>
    </row>
    <row r="123" spans="1:21" ht="18.75">
      <c r="A123" s="155"/>
      <c r="B123" s="50"/>
      <c r="C123" s="202"/>
      <c r="D123" s="602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256">
        <f ca="1">L124+L125</f>
        <v>0</v>
      </c>
      <c r="M123" s="255">
        <f ca="1">M124+M125</f>
        <v>0</v>
      </c>
      <c r="N123" s="255">
        <f ca="1">N124+N125</f>
        <v>0</v>
      </c>
      <c r="O123" s="255">
        <f ca="1">IF(L123&gt;0,N123*100/L123,0)</f>
        <v>0</v>
      </c>
      <c r="P123" s="255">
        <f ca="1">IF(M123&gt;0,N123*100/M123,0)</f>
        <v>0</v>
      </c>
      <c r="Q123" s="255">
        <f>Q124+Q125</f>
        <v>0</v>
      </c>
      <c r="R123" s="255">
        <f>R124+R125</f>
        <v>0</v>
      </c>
      <c r="S123" s="255">
        <f>S124+S125</f>
        <v>0</v>
      </c>
      <c r="T123" s="255">
        <f>IF(Q123&gt;0,S123*100/Q123,0)</f>
        <v>0</v>
      </c>
      <c r="U123" s="255">
        <f>IF(R123&gt;0,S123*100/R123,0)</f>
        <v>0</v>
      </c>
    </row>
    <row r="124" spans="1:21" ht="18.75" hidden="1">
      <c r="A124" s="155"/>
      <c r="B124" s="50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103">
        <v>0</v>
      </c>
      <c r="M124" s="102">
        <v>0</v>
      </c>
      <c r="N124" s="102">
        <v>0</v>
      </c>
      <c r="O124" s="102">
        <f>IF(L124&gt;0,N124*100/L124,0)</f>
        <v>0</v>
      </c>
      <c r="P124" s="102">
        <f>IF(M124&gt;0,N124*100/M124,0)</f>
        <v>0</v>
      </c>
      <c r="Q124" s="102">
        <v>0</v>
      </c>
      <c r="R124" s="102">
        <v>0</v>
      </c>
      <c r="S124" s="102">
        <v>0</v>
      </c>
      <c r="T124" s="102">
        <f>IF(Q124&gt;0,S124*100/Q124,0)</f>
        <v>0</v>
      </c>
      <c r="U124" s="102">
        <f>IF(R124&gt;0,S124*100/R124,0)</f>
        <v>0</v>
      </c>
    </row>
    <row r="125" spans="1:21" ht="18.75" hidden="1">
      <c r="A125" s="155"/>
      <c r="B125" s="50"/>
      <c r="C125" s="50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256">
        <f ca="1">IFERROR(__xludf.DUMMYFUNCTION("IMPORTRANGE(""https://docs.google.com/spreadsheets/d/1-uDff_7J0KD5mKrp0Vvzr7lt3OU09vwQwhkpOPPYv2Y/edit?usp=sharing"",""งบพรบ!BJ43"")"),0)</f>
        <v>0</v>
      </c>
      <c r="M125" s="255">
        <f ca="1">IFERROR(__xludf.DUMMYFUNCTION("IMPORTRANGE(""https://docs.google.com/spreadsheets/d/1-uDff_7J0KD5mKrp0Vvzr7lt3OU09vwQwhkpOPPYv2Y/edit?usp=sharing"",""งบพรบ!BM43"")"),0)</f>
        <v>0</v>
      </c>
      <c r="N125" s="255">
        <f ca="1">IFERROR(__xludf.DUMMYFUNCTION("IMPORTRANGE(""https://docs.google.com/spreadsheets/d/1-uDff_7J0KD5mKrp0Vvzr7lt3OU09vwQwhkpOPPYv2Y/edit?usp=sharing"",""งบพรบ!BO43"")"),0)</f>
        <v>0</v>
      </c>
      <c r="O125" s="255">
        <f ca="1">IF(L125&gt;0,N125*100/L125,0)</f>
        <v>0</v>
      </c>
      <c r="P125" s="255">
        <f ca="1">IF(M125&gt;0,N125*100/M125,0)</f>
        <v>0</v>
      </c>
      <c r="Q125" s="255">
        <v>0</v>
      </c>
      <c r="R125" s="255">
        <v>0</v>
      </c>
      <c r="S125" s="255">
        <v>0</v>
      </c>
      <c r="T125" s="255">
        <f>IF(Q125&gt;0,S125*100/Q125,0)</f>
        <v>0</v>
      </c>
      <c r="U125" s="255">
        <f>IF(R125&gt;0,S125*100/R125,0)</f>
        <v>0</v>
      </c>
    </row>
    <row r="126" spans="1:21" ht="19.5">
      <c r="A126" s="166"/>
      <c r="B126" s="167"/>
      <c r="C126" s="205" t="s">
        <v>18</v>
      </c>
      <c r="D126" s="566" t="s">
        <v>38</v>
      </c>
      <c r="E126" s="169"/>
      <c r="F126" s="169"/>
      <c r="G126" s="170"/>
      <c r="H126" s="206"/>
      <c r="I126" s="54"/>
      <c r="J126" s="54"/>
      <c r="K126" s="55"/>
      <c r="L126" s="62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212">
        <f ca="1">IFERROR(__xludf.DUMMYFUNCTION("IMPORTRANGE(""https://docs.google.com/spreadsheets/d/1eHaY18a8A9IcSdp1K8H6x8fbOy06t2VsZHhMHf-1x7Y/edit?usp=sharing"",""แผน!FF43"")"),20)</f>
        <v>20</v>
      </c>
      <c r="J127" s="467">
        <v>20</v>
      </c>
      <c r="K127" s="255">
        <f ca="1">IF(I127&gt;0,J127*100/I127,0)</f>
        <v>100</v>
      </c>
      <c r="L127" s="62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212">
        <f ca="1">IFERROR(__xludf.DUMMYFUNCTION("IMPORTRANGE(""https://docs.google.com/spreadsheets/d/1eHaY18a8A9IcSdp1K8H6x8fbOy06t2VsZHhMHf-1x7Y/edit?usp=sharing"",""แผน!FG43"")"),0)</f>
        <v>0</v>
      </c>
      <c r="J128" s="467">
        <v>0</v>
      </c>
      <c r="K128" s="255">
        <f ca="1">IF(I128&gt;0,J128*100/I128,0)</f>
        <v>0</v>
      </c>
      <c r="L128" s="62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212">
        <f ca="1">IFERROR(__xludf.DUMMYFUNCTION("IMPORTRANGE(""https://docs.google.com/spreadsheets/d/1eHaY18a8A9IcSdp1K8H6x8fbOy06t2VsZHhMHf-1x7Y/edit?usp=sharing"",""แผน!FH43"")"),20)</f>
        <v>20</v>
      </c>
      <c r="J129" s="467">
        <v>20</v>
      </c>
      <c r="K129" s="255">
        <f ca="1">IF(I129&gt;0,J129*100/I129,0)</f>
        <v>100</v>
      </c>
      <c r="L129" s="62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212">
        <f ca="1">IFERROR(__xludf.DUMMYFUNCTION("IMPORTRANGE(""https://docs.google.com/spreadsheets/d/1eHaY18a8A9IcSdp1K8H6x8fbOy06t2VsZHhMHf-1x7Y/edit?usp=sharing"",""แผน!FI43"")"),0)</f>
        <v>0</v>
      </c>
      <c r="J130" s="467">
        <v>0</v>
      </c>
      <c r="K130" s="255">
        <f ca="1">IF(I130&gt;0,J130*100/I130,0)</f>
        <v>0</v>
      </c>
      <c r="L130" s="62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8.75" hidden="1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62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8.75" hidden="1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62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2.75" hidden="1">
      <c r="A133" s="192"/>
      <c r="B133" s="193"/>
      <c r="C133" s="193"/>
      <c r="D133" s="22"/>
      <c r="E133" s="22"/>
      <c r="F133" s="22"/>
      <c r="G133" s="23"/>
      <c r="H133" s="209"/>
      <c r="I133" s="24"/>
      <c r="J133" s="24"/>
      <c r="K133" s="25"/>
      <c r="L133" s="26"/>
      <c r="M133" s="25"/>
      <c r="N133" s="25"/>
      <c r="O133" s="25"/>
      <c r="P133" s="25"/>
      <c r="Q133" s="25"/>
      <c r="R133" s="25"/>
      <c r="S133" s="25"/>
      <c r="T133" s="25"/>
      <c r="U133" s="25"/>
    </row>
    <row r="134" spans="1:21" ht="19.5">
      <c r="A134" s="143" t="s">
        <v>58</v>
      </c>
      <c r="B134" s="144"/>
      <c r="C134" s="196"/>
      <c r="D134" s="144"/>
      <c r="E134" s="144"/>
      <c r="F134" s="144"/>
      <c r="G134" s="144"/>
      <c r="H134" s="144"/>
      <c r="I134" s="197"/>
      <c r="J134" s="197"/>
      <c r="K134" s="19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</row>
    <row r="135" spans="1:21" ht="19.5">
      <c r="A135" s="150"/>
      <c r="B135" s="35" t="s">
        <v>59</v>
      </c>
      <c r="C135" s="200"/>
      <c r="D135" s="151"/>
      <c r="E135" s="34"/>
      <c r="F135" s="34"/>
      <c r="G135" s="34"/>
      <c r="H135" s="34"/>
      <c r="I135" s="210"/>
      <c r="J135" s="39"/>
      <c r="K135" s="40"/>
      <c r="L135" s="154"/>
      <c r="M135" s="40"/>
      <c r="N135" s="40"/>
      <c r="O135" s="40"/>
      <c r="P135" s="40"/>
      <c r="Q135" s="40"/>
      <c r="R135" s="40"/>
      <c r="S135" s="40"/>
      <c r="T135" s="40"/>
      <c r="U135" s="40"/>
    </row>
    <row r="136" spans="1:21" ht="19.5">
      <c r="A136" s="150"/>
      <c r="B136" s="34"/>
      <c r="C136" s="211" t="s">
        <v>60</v>
      </c>
      <c r="D136" s="151"/>
      <c r="E136" s="34"/>
      <c r="F136" s="34"/>
      <c r="G136" s="37"/>
      <c r="H136" s="152" t="s">
        <v>61</v>
      </c>
      <c r="I136" s="721">
        <f ca="1">I154</f>
        <v>0</v>
      </c>
      <c r="J136" s="721">
        <f>J154</f>
        <v>0</v>
      </c>
      <c r="K136" s="720">
        <f ca="1">IF(I136&gt;0,J136*100/I136,0)</f>
        <v>0</v>
      </c>
      <c r="L136" s="154"/>
      <c r="M136" s="40"/>
      <c r="N136" s="40"/>
      <c r="O136" s="40"/>
      <c r="P136" s="40"/>
      <c r="Q136" s="40"/>
      <c r="R136" s="40"/>
      <c r="S136" s="40"/>
      <c r="T136" s="40"/>
      <c r="U136" s="40"/>
    </row>
    <row r="137" spans="1:21" ht="19.5">
      <c r="A137" s="150"/>
      <c r="B137" s="34"/>
      <c r="C137" s="211" t="s">
        <v>62</v>
      </c>
      <c r="D137" s="151"/>
      <c r="E137" s="34"/>
      <c r="F137" s="34"/>
      <c r="G137" s="37"/>
      <c r="H137" s="152" t="s">
        <v>35</v>
      </c>
      <c r="I137" s="721">
        <f ca="1">I152</f>
        <v>20</v>
      </c>
      <c r="J137" s="721">
        <f>J152</f>
        <v>0</v>
      </c>
      <c r="K137" s="720">
        <f ca="1">IF(I137&gt;0,J137*100/I137,0)</f>
        <v>0</v>
      </c>
      <c r="L137" s="154"/>
      <c r="M137" s="40"/>
      <c r="N137" s="40"/>
      <c r="O137" s="40"/>
      <c r="P137" s="40"/>
      <c r="Q137" s="40"/>
      <c r="R137" s="40"/>
      <c r="S137" s="40"/>
      <c r="T137" s="40"/>
      <c r="U137" s="40"/>
    </row>
    <row r="138" spans="1:21" ht="19.5">
      <c r="A138" s="150"/>
      <c r="B138" s="34"/>
      <c r="C138" s="200"/>
      <c r="D138" s="151"/>
      <c r="E138" s="34"/>
      <c r="F138" s="34"/>
      <c r="G138" s="37"/>
      <c r="H138" s="152" t="s">
        <v>54</v>
      </c>
      <c r="I138" s="721">
        <f ca="1">I153</f>
        <v>2</v>
      </c>
      <c r="J138" s="721">
        <f>J153</f>
        <v>0</v>
      </c>
      <c r="K138" s="720">
        <f ca="1">IF(I138&gt;0,J138*100/I138,0)</f>
        <v>0</v>
      </c>
      <c r="L138" s="154"/>
      <c r="M138" s="40"/>
      <c r="N138" s="40"/>
      <c r="O138" s="40"/>
      <c r="P138" s="40"/>
      <c r="Q138" s="40"/>
      <c r="R138" s="40"/>
      <c r="S138" s="40"/>
      <c r="T138" s="40"/>
      <c r="U138" s="40"/>
    </row>
    <row r="139" spans="1:21" ht="19.5">
      <c r="A139" s="155"/>
      <c r="B139" s="50"/>
      <c r="C139" s="156" t="s">
        <v>18</v>
      </c>
      <c r="D139" s="575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541">
        <f ca="1">L140+L141</f>
        <v>117600</v>
      </c>
      <c r="M139" s="540">
        <f ca="1">M140+M141</f>
        <v>112600</v>
      </c>
      <c r="N139" s="540">
        <f ca="1">N140+N141</f>
        <v>79581.45</v>
      </c>
      <c r="O139" s="540">
        <f ca="1">IF(L139&gt;0,N139*100/L139,0)</f>
        <v>67.671301020408166</v>
      </c>
      <c r="P139" s="540">
        <f ca="1">IF(M139&gt;0,N139*100/M139,0)</f>
        <v>70.676243339254</v>
      </c>
      <c r="Q139" s="540">
        <f ca="1">Q140+Q141</f>
        <v>0</v>
      </c>
      <c r="R139" s="540">
        <f ca="1">R140+R141</f>
        <v>0</v>
      </c>
      <c r="S139" s="540">
        <f ca="1">S140+S141</f>
        <v>0</v>
      </c>
      <c r="T139" s="540">
        <f ca="1">IF(Q139&gt;0,S139*100/Q139,0)</f>
        <v>0</v>
      </c>
      <c r="U139" s="540">
        <f ca="1">IF(R139&gt;0,S139*100/R139,0)</f>
        <v>0</v>
      </c>
    </row>
    <row r="140" spans="1:21" ht="18.75" hidden="1">
      <c r="A140" s="155"/>
      <c r="B140" s="50"/>
      <c r="C140" s="50"/>
      <c r="D140" s="50"/>
      <c r="E140" s="186" t="s">
        <v>20</v>
      </c>
      <c r="F140" s="50"/>
      <c r="G140" s="52"/>
      <c r="H140" s="187" t="s">
        <v>14</v>
      </c>
      <c r="I140" s="54"/>
      <c r="J140" s="54"/>
      <c r="K140" s="55"/>
      <c r="L140" s="103">
        <f>L143+L146</f>
        <v>0</v>
      </c>
      <c r="M140" s="102">
        <f>M143+M146</f>
        <v>0</v>
      </c>
      <c r="N140" s="102">
        <f>N143+N146</f>
        <v>0</v>
      </c>
      <c r="O140" s="102">
        <f>IF(L140&gt;0,N140*100/L140,0)</f>
        <v>0</v>
      </c>
      <c r="P140" s="102">
        <f>IF(M140&gt;0,N140*100/M140,0)</f>
        <v>0</v>
      </c>
      <c r="Q140" s="102">
        <f>Q143+Q146</f>
        <v>0</v>
      </c>
      <c r="R140" s="102">
        <f>R143+R146</f>
        <v>0</v>
      </c>
      <c r="S140" s="102">
        <f>S143+S146</f>
        <v>0</v>
      </c>
      <c r="T140" s="102">
        <f>IF(Q140&gt;0,S140*100/Q140,0)</f>
        <v>0</v>
      </c>
      <c r="U140" s="102">
        <f>IF(R140&gt;0,S140*100/R140,0)</f>
        <v>0</v>
      </c>
    </row>
    <row r="141" spans="1:21" ht="18.75" hidden="1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256">
        <f ca="1">L144+L147</f>
        <v>117600</v>
      </c>
      <c r="M141" s="255">
        <f ca="1">M144+M147</f>
        <v>112600</v>
      </c>
      <c r="N141" s="255">
        <f ca="1">N144+N147</f>
        <v>79581.45</v>
      </c>
      <c r="O141" s="255">
        <f ca="1">IF(L141&gt;0,N141*100/L141,0)</f>
        <v>67.671301020408166</v>
      </c>
      <c r="P141" s="255">
        <f ca="1">IF(M141&gt;0,N141*100/M141,0)</f>
        <v>70.676243339254</v>
      </c>
      <c r="Q141" s="255">
        <f ca="1">Q144+Q147</f>
        <v>0</v>
      </c>
      <c r="R141" s="255">
        <f ca="1">R144+R147</f>
        <v>0</v>
      </c>
      <c r="S141" s="255">
        <f ca="1">S144+S147</f>
        <v>0</v>
      </c>
      <c r="T141" s="255">
        <f ca="1">IF(Q141&gt;0,S141*100/Q141,0)</f>
        <v>0</v>
      </c>
      <c r="U141" s="255">
        <f ca="1">IF(R141&gt;0,S141*100/R141,0)</f>
        <v>0</v>
      </c>
    </row>
    <row r="142" spans="1:21" ht="18.75">
      <c r="A142" s="155"/>
      <c r="B142" s="50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256">
        <f ca="1">L143+L144</f>
        <v>117600</v>
      </c>
      <c r="M142" s="255">
        <f ca="1">M143+M144</f>
        <v>112600</v>
      </c>
      <c r="N142" s="255">
        <f ca="1">N143+N144</f>
        <v>79581.45</v>
      </c>
      <c r="O142" s="255">
        <f ca="1">IF(L142&gt;0,N142*100/L142,0)</f>
        <v>67.671301020408166</v>
      </c>
      <c r="P142" s="255">
        <f ca="1">IF(M142&gt;0,N142*100/M142,0)</f>
        <v>70.676243339254</v>
      </c>
      <c r="Q142" s="255">
        <f ca="1">Q143+Q144</f>
        <v>0</v>
      </c>
      <c r="R142" s="255">
        <f ca="1">R143+R144</f>
        <v>0</v>
      </c>
      <c r="S142" s="255">
        <f ca="1">S143+S144</f>
        <v>0</v>
      </c>
      <c r="T142" s="255">
        <f ca="1">IF(Q142&gt;0,S142*100/Q142,0)</f>
        <v>0</v>
      </c>
      <c r="U142" s="255">
        <f ca="1">IF(R142&gt;0,S142*100/R142,0)</f>
        <v>0</v>
      </c>
    </row>
    <row r="143" spans="1:21" ht="18.75" hidden="1">
      <c r="A143" s="155"/>
      <c r="B143" s="50"/>
      <c r="C143" s="50"/>
      <c r="D143" s="50"/>
      <c r="E143" s="186" t="s">
        <v>36</v>
      </c>
      <c r="F143" s="50"/>
      <c r="G143" s="52"/>
      <c r="H143" s="189" t="s">
        <v>14</v>
      </c>
      <c r="I143" s="163"/>
      <c r="J143" s="163"/>
      <c r="K143" s="164"/>
      <c r="L143" s="103">
        <v>0</v>
      </c>
      <c r="M143" s="102">
        <v>0</v>
      </c>
      <c r="N143" s="102">
        <v>0</v>
      </c>
      <c r="O143" s="102">
        <f>IF(L143&gt;0,N143*100/L143,0)</f>
        <v>0</v>
      </c>
      <c r="P143" s="102">
        <f>IF(M143&gt;0,N143*100/M143,0)</f>
        <v>0</v>
      </c>
      <c r="Q143" s="102">
        <v>0</v>
      </c>
      <c r="R143" s="102">
        <v>0</v>
      </c>
      <c r="S143" s="102">
        <v>0</v>
      </c>
      <c r="T143" s="102">
        <f>IF(Q143&gt;0,S143*100/Q143,0)</f>
        <v>0</v>
      </c>
      <c r="U143" s="102">
        <f>IF(R143&gt;0,S143*100/R143,0)</f>
        <v>0</v>
      </c>
    </row>
    <row r="144" spans="1:21" ht="18.75" hidden="1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256">
        <f ca="1">IFERROR(__xludf.DUMMYFUNCTION("IMPORTRANGE(""https://docs.google.com/spreadsheets/d/1-uDff_7J0KD5mKrp0Vvzr7lt3OU09vwQwhkpOPPYv2Y/edit?usp=sharing"",""งบพรบ!BQ43"")"),117600)</f>
        <v>117600</v>
      </c>
      <c r="M144" s="255">
        <f ca="1">IFERROR(__xludf.DUMMYFUNCTION("IMPORTRANGE(""https://docs.google.com/spreadsheets/d/1-uDff_7J0KD5mKrp0Vvzr7lt3OU09vwQwhkpOPPYv2Y/edit?usp=sharing"",""งบพรบ!BV43"")"),112600)</f>
        <v>112600</v>
      </c>
      <c r="N144" s="255">
        <f ca="1">IFERROR(__xludf.DUMMYFUNCTION("IMPORTRANGE(""https://docs.google.com/spreadsheets/d/1-uDff_7J0KD5mKrp0Vvzr7lt3OU09vwQwhkpOPPYv2Y/edit?usp=sharing"",""งบพรบ!BX43"")"),79581.45)</f>
        <v>79581.45</v>
      </c>
      <c r="O144" s="255">
        <f ca="1">IF(L144&gt;0,N144*100/L144,0)</f>
        <v>67.671301020408166</v>
      </c>
      <c r="P144" s="255">
        <f ca="1">IF(M144&gt;0,N144*100/M144,0)</f>
        <v>70.676243339254</v>
      </c>
      <c r="Q144" s="255">
        <f ca="1">IFERROR(__xludf.DUMMYFUNCTION("IMPORTRANGE(""https://docs.google.com/spreadsheets/d/1ItG2mGa2ceCfYo0BwxsXqNm01IGEUdYcSSLTEv9YCik/edit?usp=sharing"",""เบิกจ่ายกองทุน!BB43"")"),0)</f>
        <v>0</v>
      </c>
      <c r="R144" s="255">
        <f ca="1">IFERROR(__xludf.DUMMYFUNCTION("IMPORTRANGE(""https://docs.google.com/spreadsheets/d/1ItG2mGa2ceCfYo0BwxsXqNm01IGEUdYcSSLTEv9YCik/edit?usp=sharing"",""เบิกจ่ายกองทุน!BC43"")"),0)</f>
        <v>0</v>
      </c>
      <c r="S144" s="255">
        <f ca="1">IFERROR(__xludf.DUMMYFUNCTION("IMPORTRANGE(""https://docs.google.com/spreadsheets/d/1ItG2mGa2ceCfYo0BwxsXqNm01IGEUdYcSSLTEv9YCik/edit?usp=sharing"",""เบิกจ่ายกองทุน!BD43"")"),0)</f>
        <v>0</v>
      </c>
      <c r="T144" s="255">
        <f ca="1">IF(Q144&gt;0,S144*100/Q144,0)</f>
        <v>0</v>
      </c>
      <c r="U144" s="255">
        <f ca="1">IF(R144&gt;0,S144*100/R144,0)</f>
        <v>0</v>
      </c>
    </row>
    <row r="145" spans="1:21" ht="18.75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256">
        <f ca="1">L146+L147</f>
        <v>0</v>
      </c>
      <c r="M145" s="255">
        <f ca="1">M146+M147</f>
        <v>0</v>
      </c>
      <c r="N145" s="255">
        <f ca="1">N146+N147</f>
        <v>0</v>
      </c>
      <c r="O145" s="255">
        <f ca="1">IF(L145&gt;0,N145*100/L145,0)</f>
        <v>0</v>
      </c>
      <c r="P145" s="255">
        <f ca="1">IF(M145&gt;0,N145*100/M145,0)</f>
        <v>0</v>
      </c>
      <c r="Q145" s="255">
        <f>Q146+Q147</f>
        <v>0</v>
      </c>
      <c r="R145" s="255">
        <f>R146+R147</f>
        <v>0</v>
      </c>
      <c r="S145" s="255">
        <f>S146+S147</f>
        <v>0</v>
      </c>
      <c r="T145" s="255">
        <f>IF(Q145&gt;0,S145*100/Q145,0)</f>
        <v>0</v>
      </c>
      <c r="U145" s="255">
        <f>IF(R145&gt;0,S145*100/R145,0)</f>
        <v>0</v>
      </c>
    </row>
    <row r="146" spans="1:21" ht="18.75" hidden="1">
      <c r="A146" s="155"/>
      <c r="B146" s="50"/>
      <c r="C146" s="50"/>
      <c r="D146" s="50"/>
      <c r="E146" s="186" t="s">
        <v>20</v>
      </c>
      <c r="F146" s="50"/>
      <c r="G146" s="52"/>
      <c r="H146" s="189" t="s">
        <v>14</v>
      </c>
      <c r="I146" s="163"/>
      <c r="J146" s="163"/>
      <c r="K146" s="164"/>
      <c r="L146" s="103">
        <v>0</v>
      </c>
      <c r="M146" s="102">
        <v>0</v>
      </c>
      <c r="N146" s="102">
        <v>0</v>
      </c>
      <c r="O146" s="102">
        <f>IF(L146&gt;0,N146*100/L146,0)</f>
        <v>0</v>
      </c>
      <c r="P146" s="102">
        <f>IF(M146&gt;0,N146*100/M146,0)</f>
        <v>0</v>
      </c>
      <c r="Q146" s="102">
        <v>0</v>
      </c>
      <c r="R146" s="102">
        <v>0</v>
      </c>
      <c r="S146" s="102">
        <v>0</v>
      </c>
      <c r="T146" s="102">
        <f>IF(Q146&gt;0,S146*100/Q146,0)</f>
        <v>0</v>
      </c>
      <c r="U146" s="102">
        <f>IF(R146&gt;0,S146*100/R146,0)</f>
        <v>0</v>
      </c>
    </row>
    <row r="147" spans="1:21" ht="18.75" hidden="1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256">
        <f ca="1">IFERROR(__xludf.DUMMYFUNCTION("IMPORTRANGE(""https://docs.google.com/spreadsheets/d/1-uDff_7J0KD5mKrp0Vvzr7lt3OU09vwQwhkpOPPYv2Y/edit?usp=sharing"",""งบพรบ!BT43"")"),0)</f>
        <v>0</v>
      </c>
      <c r="M147" s="255">
        <f ca="1">IFERROR(__xludf.DUMMYFUNCTION("IMPORTRANGE(""https://docs.google.com/spreadsheets/d/1-uDff_7J0KD5mKrp0Vvzr7lt3OU09vwQwhkpOPPYv2Y/edit?usp=sharing"",""งบพรบ!BW43"")"),0)</f>
        <v>0</v>
      </c>
      <c r="N147" s="255">
        <f ca="1">IFERROR(__xludf.DUMMYFUNCTION("IMPORTRANGE(""https://docs.google.com/spreadsheets/d/1-uDff_7J0KD5mKrp0Vvzr7lt3OU09vwQwhkpOPPYv2Y/edit?usp=sharing"",""งบพรบ!BY43"")"),0)</f>
        <v>0</v>
      </c>
      <c r="O147" s="255">
        <f ca="1">IF(L147&gt;0,N147*100/L147,0)</f>
        <v>0</v>
      </c>
      <c r="P147" s="255">
        <f ca="1">IF(M147&gt;0,N147*100/M147,0)</f>
        <v>0</v>
      </c>
      <c r="Q147" s="255">
        <v>0</v>
      </c>
      <c r="R147" s="255">
        <v>0</v>
      </c>
      <c r="S147" s="255">
        <v>0</v>
      </c>
      <c r="T147" s="255">
        <f>IF(Q147&gt;0,S147*100/Q147,0)</f>
        <v>0</v>
      </c>
      <c r="U147" s="255">
        <f>IF(R147&gt;0,S147*100/R147,0)</f>
        <v>0</v>
      </c>
    </row>
    <row r="148" spans="1:21" ht="19.5">
      <c r="A148" s="166"/>
      <c r="B148" s="167"/>
      <c r="C148" s="156" t="s">
        <v>18</v>
      </c>
      <c r="D148" s="566" t="s">
        <v>38</v>
      </c>
      <c r="E148" s="169"/>
      <c r="F148" s="169"/>
      <c r="G148" s="170"/>
      <c r="H148" s="206"/>
      <c r="I148" s="54"/>
      <c r="J148" s="54"/>
      <c r="K148" s="55"/>
      <c r="L148" s="62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8.75">
      <c r="A149" s="155"/>
      <c r="B149" s="50"/>
      <c r="C149" s="50"/>
      <c r="D149" s="58" t="s">
        <v>63</v>
      </c>
      <c r="E149" s="50"/>
      <c r="F149" s="50"/>
      <c r="G149" s="52"/>
      <c r="H149" s="206"/>
      <c r="I149" s="54"/>
      <c r="J149" s="467">
        <v>0</v>
      </c>
      <c r="K149" s="55"/>
      <c r="L149" s="62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9.5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212">
        <f ca="1">IFERROR(__xludf.DUMMYFUNCTION("IMPORTRANGE(""https://docs.google.com/spreadsheets/d/1eHaY18a8A9IcSdp1K8H6x8fbOy06t2VsZHhMHf-1x7Y/edit?usp=sharing"",""แผน!U43"")"),0)</f>
        <v>0</v>
      </c>
      <c r="J150" s="467">
        <v>0</v>
      </c>
      <c r="K150" s="255">
        <f ca="1">IF(I150&gt;0,J150*100/I150,0)</f>
        <v>0</v>
      </c>
      <c r="L150" s="62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8.75">
      <c r="A151" s="155"/>
      <c r="B151" s="50"/>
      <c r="C151" s="50"/>
      <c r="D151" s="174"/>
      <c r="E151" s="50"/>
      <c r="F151" s="50"/>
      <c r="G151" s="52"/>
      <c r="H151" s="165" t="s">
        <v>54</v>
      </c>
      <c r="I151" s="212">
        <f ca="1">IFERROR(__xludf.DUMMYFUNCTION("IMPORTRANGE(""https://docs.google.com/spreadsheets/d/1eHaY18a8A9IcSdp1K8H6x8fbOy06t2VsZHhMHf-1x7Y/edit?usp=sharing"",""แผน!V43"")"),0)</f>
        <v>0</v>
      </c>
      <c r="J151" s="467">
        <v>0</v>
      </c>
      <c r="K151" s="255">
        <f ca="1">IF(I151&gt;0,J151*100/I151,0)</f>
        <v>0</v>
      </c>
      <c r="L151" s="62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9.5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212">
        <f ca="1">IFERROR(__xludf.DUMMYFUNCTION("IMPORTRANGE(""https://docs.google.com/spreadsheets/d/1eHaY18a8A9IcSdp1K8H6x8fbOy06t2VsZHhMHf-1x7Y/edit?usp=sharing"",""แผน!W43"")"),20)</f>
        <v>20</v>
      </c>
      <c r="J152" s="467">
        <v>0</v>
      </c>
      <c r="K152" s="255">
        <f ca="1">IF(I152&gt;0,J152*100/I152,0)</f>
        <v>0</v>
      </c>
      <c r="L152" s="62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8.75">
      <c r="A153" s="155"/>
      <c r="B153" s="50"/>
      <c r="C153" s="50"/>
      <c r="D153" s="50"/>
      <c r="E153" s="50"/>
      <c r="F153" s="50"/>
      <c r="G153" s="52"/>
      <c r="H153" s="165" t="s">
        <v>54</v>
      </c>
      <c r="I153" s="212">
        <f ca="1">IFERROR(__xludf.DUMMYFUNCTION("IMPORTRANGE(""https://docs.google.com/spreadsheets/d/1eHaY18a8A9IcSdp1K8H6x8fbOy06t2VsZHhMHf-1x7Y/edit?usp=sharing"",""แผน!X43"")"),2)</f>
        <v>2</v>
      </c>
      <c r="J153" s="467">
        <v>0</v>
      </c>
      <c r="K153" s="255">
        <f ca="1">IF(I153&gt;0,J153*100/I153,0)</f>
        <v>0</v>
      </c>
      <c r="L153" s="62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8.75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212">
        <f ca="1">IFERROR(__xludf.DUMMYFUNCTION("IMPORTRANGE(""https://docs.google.com/spreadsheets/d/1eHaY18a8A9IcSdp1K8H6x8fbOy06t2VsZHhMHf-1x7Y/edit?usp=sharing"",""แผน!Y43"")"),0)</f>
        <v>0</v>
      </c>
      <c r="J154" s="467">
        <v>0</v>
      </c>
      <c r="K154" s="255">
        <f ca="1">IF(I154&gt;0,J154*100/I154,0)</f>
        <v>0</v>
      </c>
      <c r="L154" s="62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9.5" hidden="1">
      <c r="A155" s="143" t="s">
        <v>67</v>
      </c>
      <c r="B155" s="144"/>
      <c r="C155" s="196"/>
      <c r="D155" s="144"/>
      <c r="E155" s="144"/>
      <c r="F155" s="144"/>
      <c r="G155" s="144"/>
      <c r="H155" s="144"/>
      <c r="I155" s="197"/>
      <c r="J155" s="197"/>
      <c r="K155" s="19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</row>
    <row r="156" spans="1:21" ht="19.5" hidden="1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721">
        <f ca="1">I169</f>
        <v>0</v>
      </c>
      <c r="J156" s="721">
        <f>J169</f>
        <v>0</v>
      </c>
      <c r="K156" s="720">
        <f ca="1">IF(I156&gt;0,J156*100/I156,0)</f>
        <v>0</v>
      </c>
      <c r="L156" s="154"/>
      <c r="M156" s="40"/>
      <c r="N156" s="40"/>
      <c r="O156" s="40"/>
      <c r="P156" s="40"/>
      <c r="Q156" s="40"/>
      <c r="R156" s="40"/>
      <c r="S156" s="40"/>
      <c r="T156" s="40"/>
      <c r="U156" s="40"/>
    </row>
    <row r="157" spans="1:21" ht="19.5" hidden="1">
      <c r="A157" s="155"/>
      <c r="B157" s="50"/>
      <c r="C157" s="156" t="s">
        <v>18</v>
      </c>
      <c r="D157" s="575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541">
        <f ca="1">L158+L159</f>
        <v>0</v>
      </c>
      <c r="M157" s="540">
        <f ca="1">M158+M159</f>
        <v>2400</v>
      </c>
      <c r="N157" s="540">
        <f ca="1">N158+N159</f>
        <v>0</v>
      </c>
      <c r="O157" s="540">
        <f ca="1">IF(L157&gt;0,N157*100/L157,0)</f>
        <v>0</v>
      </c>
      <c r="P157" s="540">
        <f ca="1">IF(M157&gt;0,N157*100/M157,0)</f>
        <v>0</v>
      </c>
      <c r="Q157" s="540">
        <f ca="1">Q158+Q159</f>
        <v>0</v>
      </c>
      <c r="R157" s="540">
        <f ca="1">R158+R159</f>
        <v>0</v>
      </c>
      <c r="S157" s="540">
        <f ca="1">S158+S159</f>
        <v>0</v>
      </c>
      <c r="T157" s="540">
        <f ca="1">IF(Q157&gt;0,S157*100/Q157,0)</f>
        <v>0</v>
      </c>
      <c r="U157" s="540">
        <f ca="1">IF(R157&gt;0,S157*100/R157,0)</f>
        <v>0</v>
      </c>
    </row>
    <row r="158" spans="1:21" ht="18.75" hidden="1">
      <c r="A158" s="155"/>
      <c r="B158" s="50"/>
      <c r="C158" s="50"/>
      <c r="D158" s="50"/>
      <c r="E158" s="186" t="s">
        <v>20</v>
      </c>
      <c r="F158" s="50"/>
      <c r="G158" s="52"/>
      <c r="H158" s="187" t="s">
        <v>14</v>
      </c>
      <c r="I158" s="54"/>
      <c r="J158" s="54"/>
      <c r="K158" s="55"/>
      <c r="L158" s="103">
        <f>L161+L164</f>
        <v>0</v>
      </c>
      <c r="M158" s="102">
        <f>M161+M164</f>
        <v>0</v>
      </c>
      <c r="N158" s="102">
        <f>N161+N164</f>
        <v>0</v>
      </c>
      <c r="O158" s="102">
        <f>IF(L158&gt;0,N158*100/L158,0)</f>
        <v>0</v>
      </c>
      <c r="P158" s="102">
        <f>IF(M158&gt;0,N158*100/M158,0)</f>
        <v>0</v>
      </c>
      <c r="Q158" s="102">
        <f>Q161+Q164</f>
        <v>0</v>
      </c>
      <c r="R158" s="102">
        <f>R161+R164</f>
        <v>0</v>
      </c>
      <c r="S158" s="102">
        <f>S161+S164</f>
        <v>0</v>
      </c>
      <c r="T158" s="102">
        <f>IF(Q158&gt;0,S158*100/Q158,0)</f>
        <v>0</v>
      </c>
      <c r="U158" s="102">
        <f>IF(R158&gt;0,S158*100/R158,0)</f>
        <v>0</v>
      </c>
    </row>
    <row r="159" spans="1:21" ht="18.75" hidden="1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256">
        <f ca="1">L162+L165</f>
        <v>0</v>
      </c>
      <c r="M159" s="255">
        <f ca="1">M162+M165</f>
        <v>2400</v>
      </c>
      <c r="N159" s="255">
        <f ca="1">N162+N165</f>
        <v>0</v>
      </c>
      <c r="O159" s="255">
        <f ca="1">IF(L159&gt;0,N159*100/L159,0)</f>
        <v>0</v>
      </c>
      <c r="P159" s="255">
        <f ca="1">IF(M159&gt;0,N159*100/M159,0)</f>
        <v>0</v>
      </c>
      <c r="Q159" s="255">
        <f ca="1">Q162+Q165</f>
        <v>0</v>
      </c>
      <c r="R159" s="255">
        <f ca="1">R162+R165</f>
        <v>0</v>
      </c>
      <c r="S159" s="255">
        <f ca="1">S162+S165</f>
        <v>0</v>
      </c>
      <c r="T159" s="255">
        <f ca="1">IF(Q159&gt;0,S159*100/Q159,0)</f>
        <v>0</v>
      </c>
      <c r="U159" s="255">
        <f ca="1">IF(R159&gt;0,S159*100/R159,0)</f>
        <v>0</v>
      </c>
    </row>
    <row r="160" spans="1:21" ht="18.75" hidden="1">
      <c r="A160" s="155"/>
      <c r="B160" s="50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256">
        <f ca="1">L161+L162</f>
        <v>0</v>
      </c>
      <c r="M160" s="255">
        <f ca="1">M161+M162</f>
        <v>2400</v>
      </c>
      <c r="N160" s="255">
        <f ca="1">N161+N162</f>
        <v>0</v>
      </c>
      <c r="O160" s="255">
        <f ca="1">IF(L160&gt;0,N160*100/L160,0)</f>
        <v>0</v>
      </c>
      <c r="P160" s="255">
        <f ca="1">IF(M160&gt;0,N160*100/M160,0)</f>
        <v>0</v>
      </c>
      <c r="Q160" s="255">
        <f ca="1">Q161+Q162</f>
        <v>0</v>
      </c>
      <c r="R160" s="255">
        <f ca="1">R161+R162</f>
        <v>0</v>
      </c>
      <c r="S160" s="255">
        <f ca="1">S161+S162</f>
        <v>0</v>
      </c>
      <c r="T160" s="255">
        <f ca="1">IF(Q160&gt;0,S160*100/Q160,0)</f>
        <v>0</v>
      </c>
      <c r="U160" s="255">
        <f ca="1">IF(R160&gt;0,S160*100/R160,0)</f>
        <v>0</v>
      </c>
    </row>
    <row r="161" spans="1:21" ht="18.75" hidden="1">
      <c r="A161" s="155"/>
      <c r="B161" s="50"/>
      <c r="C161" s="50"/>
      <c r="D161" s="50"/>
      <c r="E161" s="186" t="s">
        <v>36</v>
      </c>
      <c r="F161" s="50"/>
      <c r="G161" s="52"/>
      <c r="H161" s="189" t="s">
        <v>14</v>
      </c>
      <c r="I161" s="163"/>
      <c r="J161" s="163"/>
      <c r="K161" s="164"/>
      <c r="L161" s="103">
        <v>0</v>
      </c>
      <c r="M161" s="102">
        <v>0</v>
      </c>
      <c r="N161" s="102">
        <v>0</v>
      </c>
      <c r="O161" s="102">
        <f>IF(L161&gt;0,N161*100/L161,0)</f>
        <v>0</v>
      </c>
      <c r="P161" s="102">
        <f>IF(M161&gt;0,N161*100/M161,0)</f>
        <v>0</v>
      </c>
      <c r="Q161" s="102">
        <v>0</v>
      </c>
      <c r="R161" s="102">
        <v>0</v>
      </c>
      <c r="S161" s="102">
        <v>0</v>
      </c>
      <c r="T161" s="102">
        <f>IF(Q161&gt;0,S161*100/Q161,0)</f>
        <v>0</v>
      </c>
      <c r="U161" s="102">
        <f>IF(R161&gt;0,S161*100/R161,0)</f>
        <v>0</v>
      </c>
    </row>
    <row r="162" spans="1:21" ht="18.75" hidden="1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256">
        <f ca="1">IFERROR(__xludf.DUMMYFUNCTION("IMPORTRANGE(""https://docs.google.com/spreadsheets/d/1-uDff_7J0KD5mKrp0Vvzr7lt3OU09vwQwhkpOPPYv2Y/edit?usp=sharing"",""งบพรบ!CA43"")"),0)</f>
        <v>0</v>
      </c>
      <c r="M162" s="255">
        <f ca="1">IFERROR(__xludf.DUMMYFUNCTION("IMPORTRANGE(""https://docs.google.com/spreadsheets/d/1-uDff_7J0KD5mKrp0Vvzr7lt3OU09vwQwhkpOPPYv2Y/edit?usp=sharing"",""งบพรบ!CF43"")"),2400)</f>
        <v>2400</v>
      </c>
      <c r="N162" s="255">
        <f ca="1">IFERROR(__xludf.DUMMYFUNCTION("IMPORTRANGE(""https://docs.google.com/spreadsheets/d/1-uDff_7J0KD5mKrp0Vvzr7lt3OU09vwQwhkpOPPYv2Y/edit?usp=sharing"",""งบพรบ!CH43"")"),0)</f>
        <v>0</v>
      </c>
      <c r="O162" s="255">
        <f ca="1">IF(L162&gt;0,N162*100/L162,0)</f>
        <v>0</v>
      </c>
      <c r="P162" s="255">
        <f ca="1">IF(M162&gt;0,N162*100/M162,0)</f>
        <v>0</v>
      </c>
      <c r="Q162" s="255">
        <f ca="1">IFERROR(__xludf.DUMMYFUNCTION("IMPORTRANGE(""https://docs.google.com/spreadsheets/d/1ItG2mGa2ceCfYo0BwxsXqNm01IGEUdYcSSLTEv9YCik/edit?usp=sharing"",""เบิกจ่ายกองทุน!AG43"")"),0)</f>
        <v>0</v>
      </c>
      <c r="R162" s="255">
        <f ca="1">IFERROR(__xludf.DUMMYFUNCTION("IMPORTRANGE(""https://docs.google.com/spreadsheets/d/1ItG2mGa2ceCfYo0BwxsXqNm01IGEUdYcSSLTEv9YCik/edit?usp=sharing"",""เบิกจ่ายกองทุน!AH43"")"),0)</f>
        <v>0</v>
      </c>
      <c r="S162" s="255">
        <f ca="1">IFERROR(__xludf.DUMMYFUNCTION("IMPORTRANGE(""https://docs.google.com/spreadsheets/d/1ItG2mGa2ceCfYo0BwxsXqNm01IGEUdYcSSLTEv9YCik/edit?usp=sharing"",""เบิกจ่ายกองทุน!AI43"")"),0)</f>
        <v>0</v>
      </c>
      <c r="T162" s="255">
        <f ca="1">IF(Q162&gt;0,S162*100/Q162,0)</f>
        <v>0</v>
      </c>
      <c r="U162" s="255">
        <f ca="1">IF(R162&gt;0,S162*100/R162,0)</f>
        <v>0</v>
      </c>
    </row>
    <row r="163" spans="1:21" ht="18.75" hidden="1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256">
        <f ca="1">L164+L165</f>
        <v>0</v>
      </c>
      <c r="M163" s="255">
        <f ca="1">M164+M165</f>
        <v>0</v>
      </c>
      <c r="N163" s="255">
        <f ca="1">N164+N165</f>
        <v>0</v>
      </c>
      <c r="O163" s="255">
        <f ca="1">IF(L163&gt;0,N163*100/L163,0)</f>
        <v>0</v>
      </c>
      <c r="P163" s="255">
        <f ca="1">IF(M163&gt;0,N163*100/M163,0)</f>
        <v>0</v>
      </c>
      <c r="Q163" s="255">
        <f>Q164+Q165</f>
        <v>0</v>
      </c>
      <c r="R163" s="255">
        <f>R164+R165</f>
        <v>0</v>
      </c>
      <c r="S163" s="255">
        <f>S164+S165</f>
        <v>0</v>
      </c>
      <c r="T163" s="255">
        <f>IF(Q163&gt;0,S163*100/Q163,0)</f>
        <v>0</v>
      </c>
      <c r="U163" s="255">
        <f>IF(R163&gt;0,S163*100/R163,0)</f>
        <v>0</v>
      </c>
    </row>
    <row r="164" spans="1:21" ht="18.75" hidden="1">
      <c r="A164" s="155"/>
      <c r="B164" s="50"/>
      <c r="C164" s="50"/>
      <c r="D164" s="50"/>
      <c r="E164" s="186" t="s">
        <v>20</v>
      </c>
      <c r="F164" s="50"/>
      <c r="G164" s="52"/>
      <c r="H164" s="189" t="s">
        <v>14</v>
      </c>
      <c r="I164" s="163"/>
      <c r="J164" s="163"/>
      <c r="K164" s="164"/>
      <c r="L164" s="103">
        <v>0</v>
      </c>
      <c r="M164" s="102">
        <v>0</v>
      </c>
      <c r="N164" s="102">
        <v>0</v>
      </c>
      <c r="O164" s="102">
        <f>IF(L164&gt;0,N164*100/L164,0)</f>
        <v>0</v>
      </c>
      <c r="P164" s="102">
        <f>IF(M164&gt;0,N164*100/M164,0)</f>
        <v>0</v>
      </c>
      <c r="Q164" s="102">
        <v>0</v>
      </c>
      <c r="R164" s="102">
        <v>0</v>
      </c>
      <c r="S164" s="102">
        <v>0</v>
      </c>
      <c r="T164" s="102">
        <f>IF(Q164&gt;0,S164*100/Q164,0)</f>
        <v>0</v>
      </c>
      <c r="U164" s="102">
        <f>IF(R164&gt;0,S164*100/R164,0)</f>
        <v>0</v>
      </c>
    </row>
    <row r="165" spans="1:21" ht="18.75" hidden="1">
      <c r="A165" s="155"/>
      <c r="B165" s="50"/>
      <c r="C165" s="50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256">
        <f ca="1">IFERROR(__xludf.DUMMYFUNCTION("IMPORTRANGE(""https://docs.google.com/spreadsheets/d/1-uDff_7J0KD5mKrp0Vvzr7lt3OU09vwQwhkpOPPYv2Y/edit?usp=sharing"",""งบพรบ!CD43"")"),0)</f>
        <v>0</v>
      </c>
      <c r="M165" s="255">
        <f ca="1">IFERROR(__xludf.DUMMYFUNCTION("IMPORTRANGE(""https://docs.google.com/spreadsheets/d/1-uDff_7J0KD5mKrp0Vvzr7lt3OU09vwQwhkpOPPYv2Y/edit?usp=sharing"",""งบพรบ!CG43"")"),0)</f>
        <v>0</v>
      </c>
      <c r="N165" s="255">
        <f ca="1">IFERROR(__xludf.DUMMYFUNCTION("IMPORTRANGE(""https://docs.google.com/spreadsheets/d/1-uDff_7J0KD5mKrp0Vvzr7lt3OU09vwQwhkpOPPYv2Y/edit?usp=sharing"",""งบพรบ!CI43"")"),0)</f>
        <v>0</v>
      </c>
      <c r="O165" s="255">
        <f ca="1">IF(L165&gt;0,N165*100/L165,0)</f>
        <v>0</v>
      </c>
      <c r="P165" s="255">
        <f ca="1">IF(M165&gt;0,N165*100/M165,0)</f>
        <v>0</v>
      </c>
      <c r="Q165" s="255">
        <v>0</v>
      </c>
      <c r="R165" s="255">
        <v>0</v>
      </c>
      <c r="S165" s="255">
        <v>0</v>
      </c>
      <c r="T165" s="255">
        <f>IF(Q165&gt;0,S165*100/Q165,0)</f>
        <v>0</v>
      </c>
      <c r="U165" s="255">
        <f>IF(R165&gt;0,S165*100/R165,0)</f>
        <v>0</v>
      </c>
    </row>
    <row r="166" spans="1:21" ht="19.5" hidden="1">
      <c r="A166" s="166"/>
      <c r="B166" s="167"/>
      <c r="C166" s="156" t="s">
        <v>18</v>
      </c>
      <c r="D166" s="566" t="s">
        <v>38</v>
      </c>
      <c r="E166" s="169"/>
      <c r="F166" s="169"/>
      <c r="G166" s="170"/>
      <c r="H166" s="206"/>
      <c r="I166" s="54"/>
      <c r="J166" s="54"/>
      <c r="K166" s="55"/>
      <c r="L166" s="62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8.75" hidden="1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212">
        <f ca="1">IFERROR(__xludf.DUMMYFUNCTION("IMPORTRANGE(""https://docs.google.com/spreadsheets/d/1eHaY18a8A9IcSdp1K8H6x8fbOy06t2VsZHhMHf-1x7Y/edit?usp=sharing"",""แผน!Z43"")"),0)</f>
        <v>0</v>
      </c>
      <c r="J167" s="467">
        <v>0</v>
      </c>
      <c r="K167" s="255">
        <f ca="1">IF(I167&gt;0,J167*100/I167,0)</f>
        <v>0</v>
      </c>
      <c r="L167" s="62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8.75" hidden="1">
      <c r="A168" s="155"/>
      <c r="B168" s="50"/>
      <c r="C168" s="50"/>
      <c r="D168" s="186" t="s">
        <v>70</v>
      </c>
      <c r="E168" s="50"/>
      <c r="F168" s="50"/>
      <c r="G168" s="52"/>
      <c r="H168" s="421" t="s">
        <v>35</v>
      </c>
      <c r="I168" s="483">
        <f ca="1">IFERROR(__xludf.DUMMYFUNCTION("IMPORTRANGE(""https://docs.google.com/spreadsheets/d/1eHaY18a8A9IcSdp1K8H6x8fbOy06t2VsZHhMHf-1x7Y/edit?usp=sharing"",""แผน!Z43"")"),0)</f>
        <v>0</v>
      </c>
      <c r="J168" s="589">
        <v>0</v>
      </c>
      <c r="K168" s="102">
        <f ca="1">IF(I168&gt;0,J168*100/I168,0)</f>
        <v>0</v>
      </c>
      <c r="L168" s="62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8.75" hidden="1">
      <c r="A169" s="213"/>
      <c r="B169" s="4"/>
      <c r="C169" s="4"/>
      <c r="D169" s="484" t="s">
        <v>71</v>
      </c>
      <c r="E169" s="4"/>
      <c r="F169" s="4"/>
      <c r="G169" s="65"/>
      <c r="H169" s="719" t="s">
        <v>35</v>
      </c>
      <c r="I169" s="486">
        <f ca="1">IFERROR(__xludf.DUMMYFUNCTION("IMPORTRANGE(""https://docs.google.com/spreadsheets/d/1eHaY18a8A9IcSdp1K8H6x8fbOy06t2VsZHhMHf-1x7Y/edit?usp=sharing"",""แผน!Z43"")"),0)</f>
        <v>0</v>
      </c>
      <c r="J169" s="586">
        <v>0</v>
      </c>
      <c r="K169" s="585">
        <f ca="1">IF(I169&gt;0,J169*100/I169,0)</f>
        <v>0</v>
      </c>
      <c r="L169" s="68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9"/>
      <c r="I170" s="220"/>
      <c r="J170" s="220"/>
      <c r="K170" s="221"/>
      <c r="L170" s="221"/>
      <c r="M170" s="221"/>
      <c r="N170" s="221"/>
      <c r="O170" s="221"/>
      <c r="P170" s="222"/>
      <c r="Q170" s="221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226"/>
      <c r="I171" s="227"/>
      <c r="J171" s="227"/>
      <c r="K171" s="228"/>
      <c r="L171" s="229"/>
      <c r="M171" s="228"/>
      <c r="N171" s="228"/>
      <c r="O171" s="228"/>
      <c r="P171" s="228"/>
      <c r="Q171" s="228"/>
      <c r="R171" s="228"/>
      <c r="S171" s="228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233" t="s">
        <v>35</v>
      </c>
      <c r="I172" s="718">
        <f ca="1">I183+I184</f>
        <v>7</v>
      </c>
      <c r="J172" s="718">
        <f>J183+J184</f>
        <v>7</v>
      </c>
      <c r="K172" s="717">
        <f ca="1">IF(I172&gt;0,J172*100/I172,0)</f>
        <v>100</v>
      </c>
      <c r="L172" s="237"/>
      <c r="M172" s="236"/>
      <c r="N172" s="236"/>
      <c r="O172" s="236"/>
      <c r="P172" s="236"/>
      <c r="Q172" s="236"/>
      <c r="R172" s="236"/>
      <c r="S172" s="236"/>
      <c r="T172" s="236"/>
      <c r="U172" s="236"/>
    </row>
    <row r="173" spans="1:21" ht="19.5">
      <c r="A173" s="155"/>
      <c r="B173" s="50"/>
      <c r="C173" s="156" t="s">
        <v>18</v>
      </c>
      <c r="D173" s="575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541">
        <f ca="1">L174+L175</f>
        <v>19590</v>
      </c>
      <c r="M173" s="540">
        <f ca="1">M174+M175</f>
        <v>34830</v>
      </c>
      <c r="N173" s="540">
        <f ca="1">N174+N175</f>
        <v>30120</v>
      </c>
      <c r="O173" s="540">
        <f ca="1">IF(L173&gt;0,N173*100/L173,0)</f>
        <v>153.75191424196018</v>
      </c>
      <c r="P173" s="540">
        <f ca="1">IF(M173&gt;0,N173*100/M173,0)</f>
        <v>86.477174849267868</v>
      </c>
      <c r="Q173" s="540">
        <f ca="1">Q174+Q175</f>
        <v>0</v>
      </c>
      <c r="R173" s="540">
        <f ca="1">R174+R175</f>
        <v>0</v>
      </c>
      <c r="S173" s="540">
        <f ca="1">S174+S175</f>
        <v>0</v>
      </c>
      <c r="T173" s="540">
        <f ca="1">IF(Q173&gt;0,S173*100/Q173,0)</f>
        <v>0</v>
      </c>
      <c r="U173" s="540">
        <f ca="1">IF(R173&gt;0,S173*100/R173,0)</f>
        <v>0</v>
      </c>
    </row>
    <row r="174" spans="1:21" ht="18.75" hidden="1">
      <c r="A174" s="155"/>
      <c r="B174" s="50"/>
      <c r="C174" s="50"/>
      <c r="D174" s="50"/>
      <c r="E174" s="186" t="s">
        <v>20</v>
      </c>
      <c r="F174" s="50"/>
      <c r="G174" s="52"/>
      <c r="H174" s="187" t="s">
        <v>14</v>
      </c>
      <c r="I174" s="54"/>
      <c r="J174" s="54"/>
      <c r="K174" s="55"/>
      <c r="L174" s="103">
        <f>L177+L180</f>
        <v>0</v>
      </c>
      <c r="M174" s="102">
        <f>M177+M180</f>
        <v>0</v>
      </c>
      <c r="N174" s="102">
        <f>N177+N180</f>
        <v>0</v>
      </c>
      <c r="O174" s="102">
        <f>IF(L174&gt;0,N174*100/L174,0)</f>
        <v>0</v>
      </c>
      <c r="P174" s="102">
        <f>IF(M174&gt;0,N174*100/M174,0)</f>
        <v>0</v>
      </c>
      <c r="Q174" s="102">
        <f>Q177+Q180</f>
        <v>0</v>
      </c>
      <c r="R174" s="102">
        <f>R177+R180</f>
        <v>0</v>
      </c>
      <c r="S174" s="102">
        <f>S177+S180</f>
        <v>0</v>
      </c>
      <c r="T174" s="102">
        <f>IF(Q174&gt;0,S174*100/Q174,0)</f>
        <v>0</v>
      </c>
      <c r="U174" s="102">
        <f>IF(R174&gt;0,S174*100/R174,0)</f>
        <v>0</v>
      </c>
    </row>
    <row r="175" spans="1:21" ht="18.75" hidden="1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256">
        <f ca="1">L178+L181</f>
        <v>19590</v>
      </c>
      <c r="M175" s="255">
        <f ca="1">M178+M181</f>
        <v>34830</v>
      </c>
      <c r="N175" s="255">
        <f ca="1">N178+N181</f>
        <v>30120</v>
      </c>
      <c r="O175" s="255">
        <f ca="1">IF(L175&gt;0,N175*100/L175,0)</f>
        <v>153.75191424196018</v>
      </c>
      <c r="P175" s="255">
        <f ca="1">IF(M175&gt;0,N175*100/M175,0)</f>
        <v>86.477174849267868</v>
      </c>
      <c r="Q175" s="255">
        <f ca="1">Q178+Q181</f>
        <v>0</v>
      </c>
      <c r="R175" s="255">
        <f ca="1">R178+R181</f>
        <v>0</v>
      </c>
      <c r="S175" s="255">
        <f ca="1">S178+S181</f>
        <v>0</v>
      </c>
      <c r="T175" s="255">
        <f ca="1">IF(Q175&gt;0,S175*100/Q175,0)</f>
        <v>0</v>
      </c>
      <c r="U175" s="255">
        <f ca="1">IF(R175&gt;0,S175*100/R175,0)</f>
        <v>0</v>
      </c>
    </row>
    <row r="176" spans="1:21" ht="18.75">
      <c r="A176" s="155"/>
      <c r="B176" s="50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256">
        <f ca="1">L177+L178</f>
        <v>19590</v>
      </c>
      <c r="M176" s="255">
        <f ca="1">M177+M178</f>
        <v>34830</v>
      </c>
      <c r="N176" s="255">
        <f ca="1">N177+N178</f>
        <v>30120</v>
      </c>
      <c r="O176" s="255">
        <f ca="1">IF(L176&gt;0,N176*100/L176,0)</f>
        <v>153.75191424196018</v>
      </c>
      <c r="P176" s="255">
        <f ca="1">IF(M176&gt;0,N176*100/M176,0)</f>
        <v>86.477174849267868</v>
      </c>
      <c r="Q176" s="255">
        <f ca="1">Q177+Q178</f>
        <v>0</v>
      </c>
      <c r="R176" s="255">
        <f ca="1">R177+R178</f>
        <v>0</v>
      </c>
      <c r="S176" s="255">
        <f ca="1">S177+S178</f>
        <v>0</v>
      </c>
      <c r="T176" s="255">
        <f ca="1">IF(Q176&gt;0,S176*100/Q176,0)</f>
        <v>0</v>
      </c>
      <c r="U176" s="255">
        <f ca="1">IF(R176&gt;0,S176*100/R176,0)</f>
        <v>0</v>
      </c>
    </row>
    <row r="177" spans="1:21" ht="18.75" hidden="1">
      <c r="A177" s="155"/>
      <c r="B177" s="50"/>
      <c r="C177" s="50"/>
      <c r="D177" s="50"/>
      <c r="E177" s="186" t="s">
        <v>36</v>
      </c>
      <c r="F177" s="50"/>
      <c r="G177" s="52"/>
      <c r="H177" s="189" t="s">
        <v>14</v>
      </c>
      <c r="I177" s="163"/>
      <c r="J177" s="163"/>
      <c r="K177" s="164"/>
      <c r="L177" s="103">
        <v>0</v>
      </c>
      <c r="M177" s="102">
        <v>0</v>
      </c>
      <c r="N177" s="102">
        <v>0</v>
      </c>
      <c r="O177" s="102">
        <f>IF(L177&gt;0,N177*100/L177,0)</f>
        <v>0</v>
      </c>
      <c r="P177" s="102">
        <f>IF(M177&gt;0,N177*100/M177,0)</f>
        <v>0</v>
      </c>
      <c r="Q177" s="102">
        <v>0</v>
      </c>
      <c r="R177" s="102">
        <v>0</v>
      </c>
      <c r="S177" s="102">
        <v>0</v>
      </c>
      <c r="T177" s="102">
        <f>IF(Q177&gt;0,S177*100/Q177,0)</f>
        <v>0</v>
      </c>
      <c r="U177" s="102">
        <f>IF(R177&gt;0,S177*100/R177,0)</f>
        <v>0</v>
      </c>
    </row>
    <row r="178" spans="1:21" ht="18.75" hidden="1">
      <c r="A178" s="155"/>
      <c r="B178" s="50"/>
      <c r="C178" s="50"/>
      <c r="D178" s="50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256">
        <f ca="1">IFERROR(__xludf.DUMMYFUNCTION("IMPORTRANGE(""https://docs.google.com/spreadsheets/d/1-uDff_7J0KD5mKrp0Vvzr7lt3OU09vwQwhkpOPPYv2Y/edit?usp=sharing"",""งบพรบ!CK43"")"),19590)</f>
        <v>19590</v>
      </c>
      <c r="M178" s="255">
        <f ca="1">IFERROR(__xludf.DUMMYFUNCTION("IMPORTRANGE(""https://docs.google.com/spreadsheets/d/1-uDff_7J0KD5mKrp0Vvzr7lt3OU09vwQwhkpOPPYv2Y/edit?usp=sharing"",""งบพรบ!CP43"")"),34830)</f>
        <v>34830</v>
      </c>
      <c r="N178" s="255">
        <f ca="1">IFERROR(__xludf.DUMMYFUNCTION("IMPORTRANGE(""https://docs.google.com/spreadsheets/d/1-uDff_7J0KD5mKrp0Vvzr7lt3OU09vwQwhkpOPPYv2Y/edit?usp=sharing"",""งบพรบ!CR43"")"),30120)</f>
        <v>30120</v>
      </c>
      <c r="O178" s="255">
        <f ca="1">IF(L178&gt;0,N178*100/L178,0)</f>
        <v>153.75191424196018</v>
      </c>
      <c r="P178" s="255">
        <f ca="1">IF(M178&gt;0,N178*100/M178,0)</f>
        <v>86.477174849267868</v>
      </c>
      <c r="Q178" s="255">
        <f ca="1">IFERROR(__xludf.DUMMYFUNCTION("IMPORTRANGE(""https://docs.google.com/spreadsheets/d/1ItG2mGa2ceCfYo0BwxsXqNm01IGEUdYcSSLTEv9YCik/edit?usp=sharing"",""เบิกจ่ายกองทุน!BE43"")"),0)</f>
        <v>0</v>
      </c>
      <c r="R178" s="255">
        <f ca="1">IFERROR(__xludf.DUMMYFUNCTION("IMPORTRANGE(""https://docs.google.com/spreadsheets/d/1ItG2mGa2ceCfYo0BwxsXqNm01IGEUdYcSSLTEv9YCik/edit?usp=sharing"",""เบิกจ่ายกองทุน!BF43"")"),0)</f>
        <v>0</v>
      </c>
      <c r="S178" s="255">
        <f ca="1">IFERROR(__xludf.DUMMYFUNCTION("IMPORTRANGE(""https://docs.google.com/spreadsheets/d/1ItG2mGa2ceCfYo0BwxsXqNm01IGEUdYcSSLTEv9YCik/edit?usp=sharing"",""เบิกจ่ายกองทุน!BG43"")"),0)</f>
        <v>0</v>
      </c>
      <c r="T178" s="255">
        <f ca="1">IF(Q178&gt;0,S178*100/Q178,0)</f>
        <v>0</v>
      </c>
      <c r="U178" s="255">
        <f ca="1">IF(R178&gt;0,S178*100/R178,0)</f>
        <v>0</v>
      </c>
    </row>
    <row r="179" spans="1:21" ht="18.75">
      <c r="A179" s="155"/>
      <c r="B179" s="50"/>
      <c r="C179" s="50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256">
        <f ca="1">L180+L181</f>
        <v>0</v>
      </c>
      <c r="M179" s="255">
        <f ca="1">M180+M181</f>
        <v>0</v>
      </c>
      <c r="N179" s="255">
        <f ca="1">N180+N181</f>
        <v>0</v>
      </c>
      <c r="O179" s="255">
        <f ca="1">IF(L179&gt;0,N179*100/L179,0)</f>
        <v>0</v>
      </c>
      <c r="P179" s="255">
        <f ca="1">IF(M179&gt;0,N179*100/M179,0)</f>
        <v>0</v>
      </c>
      <c r="Q179" s="255">
        <f>Q180+Q181</f>
        <v>0</v>
      </c>
      <c r="R179" s="255">
        <f>R180+R181</f>
        <v>0</v>
      </c>
      <c r="S179" s="255">
        <f>S180+S181</f>
        <v>0</v>
      </c>
      <c r="T179" s="255">
        <f>IF(Q179&gt;0,S179*100/Q179,0)</f>
        <v>0</v>
      </c>
      <c r="U179" s="255">
        <f>IF(R179&gt;0,S179*100/R179,0)</f>
        <v>0</v>
      </c>
    </row>
    <row r="180" spans="1:21" ht="18.75" hidden="1">
      <c r="A180" s="155"/>
      <c r="B180" s="50"/>
      <c r="C180" s="50"/>
      <c r="D180" s="50"/>
      <c r="E180" s="186" t="s">
        <v>20</v>
      </c>
      <c r="F180" s="50"/>
      <c r="G180" s="52"/>
      <c r="H180" s="189" t="s">
        <v>14</v>
      </c>
      <c r="I180" s="163"/>
      <c r="J180" s="163"/>
      <c r="K180" s="164"/>
      <c r="L180" s="103">
        <v>0</v>
      </c>
      <c r="M180" s="102">
        <v>0</v>
      </c>
      <c r="N180" s="102">
        <v>0</v>
      </c>
      <c r="O180" s="102">
        <f>IF(L180&gt;0,N180*100/L180,0)</f>
        <v>0</v>
      </c>
      <c r="P180" s="102">
        <f>IF(M180&gt;0,N180*100/M180,0)</f>
        <v>0</v>
      </c>
      <c r="Q180" s="102">
        <v>0</v>
      </c>
      <c r="R180" s="102">
        <v>0</v>
      </c>
      <c r="S180" s="102">
        <v>0</v>
      </c>
      <c r="T180" s="102">
        <f>IF(Q180&gt;0,S180*100/Q180,0)</f>
        <v>0</v>
      </c>
      <c r="U180" s="102">
        <f>IF(R180&gt;0,S180*100/R180,0)</f>
        <v>0</v>
      </c>
    </row>
    <row r="181" spans="1:21" ht="18.75" hidden="1">
      <c r="A181" s="155"/>
      <c r="B181" s="50"/>
      <c r="C181" s="50"/>
      <c r="D181" s="50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256">
        <f ca="1">IFERROR(__xludf.DUMMYFUNCTION("IMPORTRANGE(""https://docs.google.com/spreadsheets/d/1-uDff_7J0KD5mKrp0Vvzr7lt3OU09vwQwhkpOPPYv2Y/edit?usp=sharing"",""งบพรบ!CN43"")"),0)</f>
        <v>0</v>
      </c>
      <c r="M181" s="255">
        <f ca="1">IFERROR(__xludf.DUMMYFUNCTION("IMPORTRANGE(""https://docs.google.com/spreadsheets/d/1-uDff_7J0KD5mKrp0Vvzr7lt3OU09vwQwhkpOPPYv2Y/edit?usp=sharing"",""งบพรบ!CQ43"")"),0)</f>
        <v>0</v>
      </c>
      <c r="N181" s="255">
        <f ca="1">IFERROR(__xludf.DUMMYFUNCTION("IMPORTRANGE(""https://docs.google.com/spreadsheets/d/1-uDff_7J0KD5mKrp0Vvzr7lt3OU09vwQwhkpOPPYv2Y/edit?usp=sharing"",""งบพรบ!CS43"")"),0)</f>
        <v>0</v>
      </c>
      <c r="O181" s="255">
        <f ca="1">IF(L181&gt;0,N181*100/L181,0)</f>
        <v>0</v>
      </c>
      <c r="P181" s="255">
        <f ca="1">IF(M181&gt;0,N181*100/M181,0)</f>
        <v>0</v>
      </c>
      <c r="Q181" s="255">
        <v>0</v>
      </c>
      <c r="R181" s="255">
        <v>0</v>
      </c>
      <c r="S181" s="255">
        <v>0</v>
      </c>
      <c r="T181" s="255">
        <f>IF(Q181&gt;0,S181*100/Q181,0)</f>
        <v>0</v>
      </c>
      <c r="U181" s="255">
        <f>IF(R181&gt;0,S181*100/R181,0)</f>
        <v>0</v>
      </c>
    </row>
    <row r="182" spans="1:21" ht="19.5">
      <c r="A182" s="166"/>
      <c r="B182" s="167"/>
      <c r="C182" s="156" t="s">
        <v>18</v>
      </c>
      <c r="D182" s="566" t="s">
        <v>38</v>
      </c>
      <c r="E182" s="169"/>
      <c r="F182" s="169"/>
      <c r="G182" s="170"/>
      <c r="H182" s="206"/>
      <c r="I182" s="54"/>
      <c r="J182" s="54"/>
      <c r="K182" s="55"/>
      <c r="L182" s="62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40" t="s">
        <v>35</v>
      </c>
      <c r="I183" s="212">
        <f ca="1">IFERROR(__xludf.DUMMYFUNCTION("IMPORTRANGE(""https://docs.google.com/spreadsheets/d/1eHaY18a8A9IcSdp1K8H6x8fbOy06t2VsZHhMHf-1x7Y/edit?usp=sharing"",""แผน!AA43"")"),7)</f>
        <v>7</v>
      </c>
      <c r="J183" s="467">
        <v>7</v>
      </c>
      <c r="K183" s="255">
        <f ca="1">IF(I183&gt;0,J183*100/I183,0)</f>
        <v>100</v>
      </c>
      <c r="L183" s="62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8.75" hidden="1">
      <c r="A184" s="238"/>
      <c r="B184" s="188"/>
      <c r="C184" s="188"/>
      <c r="D184" s="358" t="s">
        <v>76</v>
      </c>
      <c r="E184" s="50"/>
      <c r="F184" s="50"/>
      <c r="G184" s="52"/>
      <c r="H184" s="590" t="s">
        <v>35</v>
      </c>
      <c r="I184" s="483">
        <v>0</v>
      </c>
      <c r="J184" s="483">
        <v>0</v>
      </c>
      <c r="K184" s="102">
        <f>IF(I184&gt;0,J184*100/I184,0)</f>
        <v>0</v>
      </c>
      <c r="L184" s="62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233" t="s">
        <v>35</v>
      </c>
      <c r="I185" s="718">
        <f ca="1">I230+I231</f>
        <v>0</v>
      </c>
      <c r="J185" s="718">
        <f>J230+J231</f>
        <v>0</v>
      </c>
      <c r="K185" s="717">
        <f ca="1">IF(I185&gt;0,J185*100/I185,0)</f>
        <v>0</v>
      </c>
      <c r="L185" s="237"/>
      <c r="M185" s="236"/>
      <c r="N185" s="236"/>
      <c r="O185" s="236"/>
      <c r="P185" s="236"/>
      <c r="Q185" s="236"/>
      <c r="R185" s="236"/>
      <c r="S185" s="236"/>
      <c r="T185" s="236"/>
      <c r="U185" s="236"/>
    </row>
    <row r="186" spans="1:21" ht="19.5">
      <c r="A186" s="155"/>
      <c r="B186" s="50"/>
      <c r="C186" s="156" t="s">
        <v>18</v>
      </c>
      <c r="D186" s="575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541">
        <f ca="1">L187+L188</f>
        <v>92500</v>
      </c>
      <c r="M186" s="540">
        <f ca="1">M187+M188</f>
        <v>59200</v>
      </c>
      <c r="N186" s="540">
        <f ca="1">N187+N188</f>
        <v>9808</v>
      </c>
      <c r="O186" s="540">
        <f ca="1">IF(L186&gt;0,N186*100/L186,0)</f>
        <v>10.603243243243243</v>
      </c>
      <c r="P186" s="540">
        <f ca="1">IF(M186&gt;0,N186*100/M186,0)</f>
        <v>16.567567567567568</v>
      </c>
      <c r="Q186" s="540">
        <f ca="1">Q187+Q188</f>
        <v>141400</v>
      </c>
      <c r="R186" s="540">
        <f ca="1">R187+R188</f>
        <v>141400</v>
      </c>
      <c r="S186" s="540">
        <f ca="1">S187+S188</f>
        <v>0</v>
      </c>
      <c r="T186" s="540">
        <f ca="1">IF(Q186&gt;0,S186*100/Q186,0)</f>
        <v>0</v>
      </c>
      <c r="U186" s="540">
        <f ca="1">IF(R186&gt;0,S186*100/R186,0)</f>
        <v>0</v>
      </c>
    </row>
    <row r="187" spans="1:21" ht="18.75" hidden="1">
      <c r="A187" s="155"/>
      <c r="B187" s="50"/>
      <c r="C187" s="50"/>
      <c r="D187" s="50"/>
      <c r="E187" s="186" t="s">
        <v>20</v>
      </c>
      <c r="F187" s="50"/>
      <c r="G187" s="52"/>
      <c r="H187" s="187" t="s">
        <v>14</v>
      </c>
      <c r="I187" s="54"/>
      <c r="J187" s="54"/>
      <c r="K187" s="55"/>
      <c r="L187" s="103">
        <f>L190+L193</f>
        <v>0</v>
      </c>
      <c r="M187" s="102">
        <f>M190+M193</f>
        <v>0</v>
      </c>
      <c r="N187" s="102">
        <f>N190+N193</f>
        <v>0</v>
      </c>
      <c r="O187" s="102">
        <f>IF(L187&gt;0,N187*100/L187,0)</f>
        <v>0</v>
      </c>
      <c r="P187" s="102">
        <f>IF(M187&gt;0,N187*100/M187,0)</f>
        <v>0</v>
      </c>
      <c r="Q187" s="102">
        <f>Q190+Q193</f>
        <v>0</v>
      </c>
      <c r="R187" s="102">
        <f>R190+R193</f>
        <v>0</v>
      </c>
      <c r="S187" s="102">
        <f>S190+S193</f>
        <v>0</v>
      </c>
      <c r="T187" s="102">
        <f>IF(Q187&gt;0,S187*100/Q187,0)</f>
        <v>0</v>
      </c>
      <c r="U187" s="102">
        <f>IF(R187&gt;0,S187*100/R187,0)</f>
        <v>0</v>
      </c>
    </row>
    <row r="188" spans="1:21" ht="18.75" hidden="1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256">
        <f ca="1">L191+L194</f>
        <v>92500</v>
      </c>
      <c r="M188" s="255">
        <f ca="1">M191+M194</f>
        <v>59200</v>
      </c>
      <c r="N188" s="255">
        <f ca="1">N191+N194</f>
        <v>9808</v>
      </c>
      <c r="O188" s="255">
        <f ca="1">IF(L188&gt;0,N188*100/L188,0)</f>
        <v>10.603243243243243</v>
      </c>
      <c r="P188" s="255">
        <f ca="1">IF(M188&gt;0,N188*100/M188,0)</f>
        <v>16.567567567567568</v>
      </c>
      <c r="Q188" s="255">
        <f ca="1">Q191+Q194</f>
        <v>141400</v>
      </c>
      <c r="R188" s="255">
        <f ca="1">R191+R194</f>
        <v>141400</v>
      </c>
      <c r="S188" s="255">
        <f ca="1">S191+S194</f>
        <v>0</v>
      </c>
      <c r="T188" s="255">
        <f ca="1">IF(Q188&gt;0,S188*100/Q188,0)</f>
        <v>0</v>
      </c>
      <c r="U188" s="255">
        <f ca="1">IF(R188&gt;0,S188*100/R188,0)</f>
        <v>0</v>
      </c>
    </row>
    <row r="189" spans="1:21" ht="18.75">
      <c r="A189" s="155"/>
      <c r="B189" s="50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256">
        <f ca="1">L190+L191</f>
        <v>92500</v>
      </c>
      <c r="M189" s="255">
        <f ca="1">M190+M191</f>
        <v>59200</v>
      </c>
      <c r="N189" s="255">
        <f ca="1">N190+N191</f>
        <v>9808</v>
      </c>
      <c r="O189" s="255">
        <f ca="1">IF(L189&gt;0,N189*100/L189,0)</f>
        <v>10.603243243243243</v>
      </c>
      <c r="P189" s="255">
        <f ca="1">IF(M189&gt;0,N189*100/M189,0)</f>
        <v>16.567567567567568</v>
      </c>
      <c r="Q189" s="255">
        <f ca="1">Q190+Q191</f>
        <v>141400</v>
      </c>
      <c r="R189" s="255">
        <f ca="1">R190+R191</f>
        <v>141400</v>
      </c>
      <c r="S189" s="255">
        <f ca="1">S190+S191</f>
        <v>0</v>
      </c>
      <c r="T189" s="255">
        <f ca="1">IF(Q189&gt;0,S189*100/Q189,0)</f>
        <v>0</v>
      </c>
      <c r="U189" s="255">
        <f ca="1">IF(R189&gt;0,S189*100/R189,0)</f>
        <v>0</v>
      </c>
    </row>
    <row r="190" spans="1:21" ht="18.75" hidden="1">
      <c r="A190" s="155"/>
      <c r="B190" s="50"/>
      <c r="C190" s="50"/>
      <c r="D190" s="50"/>
      <c r="E190" s="186" t="s">
        <v>36</v>
      </c>
      <c r="F190" s="50"/>
      <c r="G190" s="52"/>
      <c r="H190" s="189" t="s">
        <v>14</v>
      </c>
      <c r="I190" s="163"/>
      <c r="J190" s="163"/>
      <c r="K190" s="164"/>
      <c r="L190" s="103">
        <v>0</v>
      </c>
      <c r="M190" s="102">
        <v>0</v>
      </c>
      <c r="N190" s="102">
        <v>0</v>
      </c>
      <c r="O190" s="102">
        <f>IF(L190&gt;0,N190*100/L190,0)</f>
        <v>0</v>
      </c>
      <c r="P190" s="102">
        <f>IF(M190&gt;0,N190*100/M190,0)</f>
        <v>0</v>
      </c>
      <c r="Q190" s="102">
        <v>0</v>
      </c>
      <c r="R190" s="102">
        <v>0</v>
      </c>
      <c r="S190" s="102">
        <v>0</v>
      </c>
      <c r="T190" s="102">
        <f>IF(Q190&gt;0,S190*100/Q190,0)</f>
        <v>0</v>
      </c>
      <c r="U190" s="102">
        <f>IF(R190&gt;0,S190*100/R190,0)</f>
        <v>0</v>
      </c>
    </row>
    <row r="191" spans="1:21" ht="18.75" hidden="1">
      <c r="A191" s="155"/>
      <c r="B191" s="50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256">
        <f ca="1">IFERROR(__xludf.DUMMYFUNCTION("IMPORTRANGE(""https://docs.google.com/spreadsheets/d/1-uDff_7J0KD5mKrp0Vvzr7lt3OU09vwQwhkpOPPYv2Y/edit?usp=sharing"",""งบพรบ!CU43"")"),92500)</f>
        <v>92500</v>
      </c>
      <c r="M191" s="255">
        <f ca="1">IFERROR(__xludf.DUMMYFUNCTION("IMPORTRANGE(""https://docs.google.com/spreadsheets/d/1-uDff_7J0KD5mKrp0Vvzr7lt3OU09vwQwhkpOPPYv2Y/edit?usp=sharing"",""งบพรบ!CZ43"")"),59200)</f>
        <v>59200</v>
      </c>
      <c r="N191" s="255">
        <f ca="1">IFERROR(__xludf.DUMMYFUNCTION("IMPORTRANGE(""https://docs.google.com/spreadsheets/d/1-uDff_7J0KD5mKrp0Vvzr7lt3OU09vwQwhkpOPPYv2Y/edit?usp=sharing"",""งบพรบ!DB43"")"),9808)</f>
        <v>9808</v>
      </c>
      <c r="O191" s="255">
        <f ca="1">IF(L191&gt;0,N191*100/L191,0)</f>
        <v>10.603243243243243</v>
      </c>
      <c r="P191" s="255">
        <f ca="1">IF(M191&gt;0,N191*100/M191,0)</f>
        <v>16.567567567567568</v>
      </c>
      <c r="Q191" s="255">
        <f ca="1">IFERROR(__xludf.DUMMYFUNCTION("IMPORTRANGE(""https://docs.google.com/spreadsheets/d/1ItG2mGa2ceCfYo0BwxsXqNm01IGEUdYcSSLTEv9YCik/edit?usp=sharing"",""เบิกจ่ายกองทุน!AV43"")"),141400)</f>
        <v>141400</v>
      </c>
      <c r="R191" s="255">
        <f ca="1">IFERROR(__xludf.DUMMYFUNCTION("IMPORTRANGE(""https://docs.google.com/spreadsheets/d/1ItG2mGa2ceCfYo0BwxsXqNm01IGEUdYcSSLTEv9YCik/edit?usp=sharing"",""เบิกจ่ายกองทุน!AW43"")"),141400)</f>
        <v>141400</v>
      </c>
      <c r="S191" s="255">
        <f ca="1">IFERROR(__xludf.DUMMYFUNCTION("IMPORTRANGE(""https://docs.google.com/spreadsheets/d/1ItG2mGa2ceCfYo0BwxsXqNm01IGEUdYcSSLTEv9YCik/edit?usp=sharing"",""เบิกจ่ายกองทุน!AX43"")"),0)</f>
        <v>0</v>
      </c>
      <c r="T191" s="255">
        <f ca="1">IF(Q191&gt;0,S191*100/Q191,0)</f>
        <v>0</v>
      </c>
      <c r="U191" s="255">
        <f ca="1">IF(R191&gt;0,S191*100/R191,0)</f>
        <v>0</v>
      </c>
    </row>
    <row r="192" spans="1:21" ht="18.75">
      <c r="A192" s="155"/>
      <c r="B192" s="50"/>
      <c r="C192" s="50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256">
        <f ca="1">L193+L194</f>
        <v>0</v>
      </c>
      <c r="M192" s="255">
        <f ca="1">M193+M194</f>
        <v>0</v>
      </c>
      <c r="N192" s="255">
        <f ca="1">N193+N194</f>
        <v>0</v>
      </c>
      <c r="O192" s="255">
        <f ca="1">IF(L192&gt;0,N192*100/L192,0)</f>
        <v>0</v>
      </c>
      <c r="P192" s="255">
        <f ca="1">IF(M192&gt;0,N192*100/M192,0)</f>
        <v>0</v>
      </c>
      <c r="Q192" s="255">
        <f>Q193+Q194</f>
        <v>0</v>
      </c>
      <c r="R192" s="255">
        <f>R193+R194</f>
        <v>0</v>
      </c>
      <c r="S192" s="255">
        <f>S193+S194</f>
        <v>0</v>
      </c>
      <c r="T192" s="255">
        <f>IF(Q192&gt;0,S192*100/Q192,0)</f>
        <v>0</v>
      </c>
      <c r="U192" s="255">
        <f>IF(R192&gt;0,S192*100/R192,0)</f>
        <v>0</v>
      </c>
    </row>
    <row r="193" spans="1:21" ht="18.75" hidden="1">
      <c r="A193" s="155"/>
      <c r="B193" s="50"/>
      <c r="C193" s="50"/>
      <c r="D193" s="50"/>
      <c r="E193" s="186" t="s">
        <v>20</v>
      </c>
      <c r="F193" s="50"/>
      <c r="G193" s="52"/>
      <c r="H193" s="189" t="s">
        <v>14</v>
      </c>
      <c r="I193" s="163"/>
      <c r="J193" s="163"/>
      <c r="K193" s="164"/>
      <c r="L193" s="103">
        <v>0</v>
      </c>
      <c r="M193" s="102">
        <v>0</v>
      </c>
      <c r="N193" s="102">
        <v>0</v>
      </c>
      <c r="O193" s="102">
        <f>IF(L193&gt;0,N193*100/L193,0)</f>
        <v>0</v>
      </c>
      <c r="P193" s="102">
        <f>IF(M193&gt;0,N193*100/M193,0)</f>
        <v>0</v>
      </c>
      <c r="Q193" s="102">
        <v>0</v>
      </c>
      <c r="R193" s="102">
        <v>0</v>
      </c>
      <c r="S193" s="102">
        <v>0</v>
      </c>
      <c r="T193" s="102">
        <f>IF(Q193&gt;0,S193*100/Q193,0)</f>
        <v>0</v>
      </c>
      <c r="U193" s="102">
        <f>IF(R193&gt;0,S193*100/R193,0)</f>
        <v>0</v>
      </c>
    </row>
    <row r="194" spans="1:21" ht="18.75" hidden="1">
      <c r="A194" s="155"/>
      <c r="B194" s="50"/>
      <c r="C194" s="50"/>
      <c r="D194" s="50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256">
        <f ca="1">IFERROR(__xludf.DUMMYFUNCTION("IMPORTRANGE(""https://docs.google.com/spreadsheets/d/1-uDff_7J0KD5mKrp0Vvzr7lt3OU09vwQwhkpOPPYv2Y/edit?usp=sharing"",""งบพรบ!CX43"")"),0)</f>
        <v>0</v>
      </c>
      <c r="M194" s="255">
        <f ca="1">IFERROR(__xludf.DUMMYFUNCTION("IMPORTRANGE(""https://docs.google.com/spreadsheets/d/1-uDff_7J0KD5mKrp0Vvzr7lt3OU09vwQwhkpOPPYv2Y/edit?usp=sharing"",""งบพรบ!DA43"")"),0)</f>
        <v>0</v>
      </c>
      <c r="N194" s="255">
        <f ca="1">IFERROR(__xludf.DUMMYFUNCTION("IMPORTRANGE(""https://docs.google.com/spreadsheets/d/1-uDff_7J0KD5mKrp0Vvzr7lt3OU09vwQwhkpOPPYv2Y/edit?usp=sharing"",""งบพรบ!DC43"")"),0)</f>
        <v>0</v>
      </c>
      <c r="O194" s="255">
        <f ca="1">IF(L194&gt;0,N194*100/L194,0)</f>
        <v>0</v>
      </c>
      <c r="P194" s="255">
        <f ca="1">IF(M194&gt;0,N194*100/M194,0)</f>
        <v>0</v>
      </c>
      <c r="Q194" s="255">
        <v>0</v>
      </c>
      <c r="R194" s="255">
        <v>0</v>
      </c>
      <c r="S194" s="255">
        <v>0</v>
      </c>
      <c r="T194" s="255">
        <f>IF(Q194&gt;0,S194*100/Q194,0)</f>
        <v>0</v>
      </c>
      <c r="U194" s="255">
        <f>IF(R194&gt;0,S194*100/R194,0)</f>
        <v>0</v>
      </c>
    </row>
    <row r="195" spans="1:21" ht="19.5">
      <c r="A195" s="241"/>
      <c r="B195" s="242"/>
      <c r="C195" s="243" t="s">
        <v>78</v>
      </c>
      <c r="D195" s="244"/>
      <c r="E195" s="244"/>
      <c r="F195" s="244"/>
      <c r="G195" s="245"/>
      <c r="H195" s="246" t="s">
        <v>79</v>
      </c>
      <c r="I195" s="339">
        <f ca="1">I198</f>
        <v>4</v>
      </c>
      <c r="J195" s="339">
        <f>J198</f>
        <v>2</v>
      </c>
      <c r="K195" s="340">
        <f ca="1">IF(I195&gt;0,J195*100/I195,0)</f>
        <v>50</v>
      </c>
      <c r="L195" s="250"/>
      <c r="M195" s="249"/>
      <c r="N195" s="249"/>
      <c r="O195" s="249"/>
      <c r="P195" s="249"/>
      <c r="Q195" s="249"/>
      <c r="R195" s="249"/>
      <c r="S195" s="249"/>
      <c r="T195" s="249"/>
      <c r="U195" s="249"/>
    </row>
    <row r="196" spans="1:21" ht="19.5">
      <c r="A196" s="155"/>
      <c r="B196" s="50"/>
      <c r="C196" s="156" t="s">
        <v>18</v>
      </c>
      <c r="D196" s="713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541">
        <f ca="1">IFERROR(__xludf.DUMMYFUNCTION("IMPORTRANGE(""https://docs.google.com/spreadsheets/d/1eHaY18a8A9IcSdp1K8H6x8fbOy06t2VsZHhMHf-1x7Y/edit?usp=sharing"",""แผน!AB43"")"),6000)</f>
        <v>6000</v>
      </c>
      <c r="M196" s="55"/>
      <c r="N196" s="716">
        <v>0</v>
      </c>
      <c r="O196" s="540">
        <f ca="1">IF(L196&gt;0,N196*100/L196,0)</f>
        <v>0</v>
      </c>
      <c r="P196" s="540">
        <f>IF(M196&gt;0,N196*100/M196,0)</f>
        <v>0</v>
      </c>
      <c r="Q196" s="55"/>
      <c r="R196" s="55"/>
      <c r="S196" s="55"/>
      <c r="T196" s="55"/>
      <c r="U196" s="55"/>
    </row>
    <row r="197" spans="1:21" ht="19.5">
      <c r="A197" s="166"/>
      <c r="B197" s="167"/>
      <c r="C197" s="156" t="s">
        <v>18</v>
      </c>
      <c r="D197" s="566" t="s">
        <v>38</v>
      </c>
      <c r="E197" s="169"/>
      <c r="F197" s="169"/>
      <c r="G197" s="170"/>
      <c r="H197" s="171"/>
      <c r="I197" s="54"/>
      <c r="J197" s="54"/>
      <c r="K197" s="55"/>
      <c r="L197" s="62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8.75">
      <c r="A198" s="166"/>
      <c r="B198" s="167"/>
      <c r="C198" s="167"/>
      <c r="D198" s="178" t="s">
        <v>80</v>
      </c>
      <c r="E198" s="174"/>
      <c r="F198" s="174"/>
      <c r="G198" s="171"/>
      <c r="H198" s="179" t="s">
        <v>79</v>
      </c>
      <c r="I198" s="212">
        <f ca="1">IFERROR(__xludf.DUMMYFUNCTION("IMPORTRANGE(""https://docs.google.com/spreadsheets/d/1eHaY18a8A9IcSdp1K8H6x8fbOy06t2VsZHhMHf-1x7Y/edit?usp=sharing"",""แผน!AE43"")"),4)</f>
        <v>4</v>
      </c>
      <c r="J198" s="467">
        <v>2</v>
      </c>
      <c r="K198" s="255">
        <f ca="1">IF(I198&gt;0,J198*100/I198,0)</f>
        <v>50</v>
      </c>
      <c r="L198" s="62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8.75">
      <c r="A199" s="166"/>
      <c r="B199" s="167"/>
      <c r="C199" s="167"/>
      <c r="D199" s="178" t="s">
        <v>81</v>
      </c>
      <c r="E199" s="174"/>
      <c r="F199" s="174"/>
      <c r="G199" s="171"/>
      <c r="H199" s="240" t="s">
        <v>35</v>
      </c>
      <c r="I199" s="54"/>
      <c r="J199" s="212">
        <f>J200+J201</f>
        <v>44</v>
      </c>
      <c r="K199" s="55"/>
      <c r="L199" s="62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467">
        <v>44</v>
      </c>
      <c r="K200" s="55"/>
      <c r="L200" s="62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40" t="s">
        <v>35</v>
      </c>
      <c r="I201" s="54"/>
      <c r="J201" s="467">
        <v>0</v>
      </c>
      <c r="K201" s="55"/>
      <c r="L201" s="62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254" t="s">
        <v>85</v>
      </c>
      <c r="I202" s="339">
        <f ca="1">I209</f>
        <v>3</v>
      </c>
      <c r="J202" s="339">
        <f>J209</f>
        <v>0</v>
      </c>
      <c r="K202" s="340">
        <f ca="1">IF(I202&gt;0,J202*100/I202,0)</f>
        <v>0</v>
      </c>
      <c r="L202" s="250"/>
      <c r="M202" s="249"/>
      <c r="N202" s="249"/>
      <c r="O202" s="249"/>
      <c r="P202" s="249"/>
      <c r="Q202" s="249"/>
      <c r="R202" s="249"/>
      <c r="S202" s="249"/>
      <c r="T202" s="249"/>
      <c r="U202" s="249"/>
    </row>
    <row r="203" spans="1:21" ht="19.5">
      <c r="A203" s="155"/>
      <c r="B203" s="50"/>
      <c r="C203" s="156" t="s">
        <v>18</v>
      </c>
      <c r="D203" s="713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541">
        <f ca="1">L204+L205+L206+L207</f>
        <v>18000</v>
      </c>
      <c r="M203" s="55"/>
      <c r="N203" s="540">
        <f>N204+N205+N206+N207</f>
        <v>0</v>
      </c>
      <c r="O203" s="540">
        <f ca="1">IF(L203&gt;0,N203*100/L203,0)</f>
        <v>0</v>
      </c>
      <c r="P203" s="540">
        <f>IF(M203&gt;0,N203*100/M203,0)</f>
        <v>0</v>
      </c>
      <c r="Q203" s="715">
        <f ca="1">Q204+Q205+Q206+Q207</f>
        <v>42000</v>
      </c>
      <c r="R203" s="350"/>
      <c r="S203" s="714">
        <f>S204+S205+S206+S207</f>
        <v>0</v>
      </c>
      <c r="T203" s="714">
        <f ca="1">IF(Q203&gt;0,S203*100/Q203,0)</f>
        <v>0</v>
      </c>
      <c r="U203" s="714">
        <f>IF(R203&gt;0,S203*100/R203,0)</f>
        <v>0</v>
      </c>
    </row>
    <row r="204" spans="1:21" ht="18.75">
      <c r="A204" s="155"/>
      <c r="B204" s="188"/>
      <c r="C204" s="50"/>
      <c r="D204" s="712" t="s">
        <v>310</v>
      </c>
      <c r="E204" s="50"/>
      <c r="F204" s="50"/>
      <c r="G204" s="52"/>
      <c r="H204" s="162" t="s">
        <v>14</v>
      </c>
      <c r="I204" s="163"/>
      <c r="J204" s="163"/>
      <c r="K204" s="164"/>
      <c r="L204" s="256">
        <f ca="1">IFERROR(__xludf.DUMMYFUNCTION("IMPORTRANGE(""https://docs.google.com/spreadsheets/d/1eHaY18a8A9IcSdp1K8H6x8fbOy06t2VsZHhMHf-1x7Y/edit?usp=sharing"",""แผน!AG43"")"),3000)</f>
        <v>3000</v>
      </c>
      <c r="M204" s="55"/>
      <c r="N204" s="702">
        <v>0</v>
      </c>
      <c r="O204" s="164"/>
      <c r="P204" s="55"/>
      <c r="Q204" s="256">
        <v>0</v>
      </c>
      <c r="R204" s="55"/>
      <c r="S204" s="255">
        <v>0</v>
      </c>
      <c r="T204" s="164"/>
      <c r="U204" s="55"/>
    </row>
    <row r="205" spans="1:21" ht="18.75">
      <c r="A205" s="238"/>
      <c r="B205" s="188"/>
      <c r="C205" s="50"/>
      <c r="D205" s="58" t="s">
        <v>308</v>
      </c>
      <c r="E205" s="50"/>
      <c r="F205" s="50"/>
      <c r="G205" s="52"/>
      <c r="H205" s="53" t="s">
        <v>14</v>
      </c>
      <c r="I205" s="54"/>
      <c r="J205" s="54"/>
      <c r="K205" s="55"/>
      <c r="L205" s="256">
        <f ca="1">IFERROR(__xludf.DUMMYFUNCTION("IMPORTRANGE(""https://docs.google.com/spreadsheets/d/1eHaY18a8A9IcSdp1K8H6x8fbOy06t2VsZHhMHf-1x7Y/edit?usp=sharing"",""แผน!AH43"")"),0)</f>
        <v>0</v>
      </c>
      <c r="M205" s="55"/>
      <c r="N205" s="702">
        <v>0</v>
      </c>
      <c r="O205" s="164"/>
      <c r="P205" s="55"/>
      <c r="Q205" s="256">
        <v>0</v>
      </c>
      <c r="R205" s="55"/>
      <c r="S205" s="255">
        <v>0</v>
      </c>
      <c r="T205" s="164"/>
      <c r="U205" s="55"/>
    </row>
    <row r="206" spans="1:21" ht="18.75">
      <c r="A206" s="238"/>
      <c r="B206" s="188"/>
      <c r="C206" s="50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256">
        <f ca="1">IFERROR(__xludf.DUMMYFUNCTION("IMPORTRANGE(""https://docs.google.com/spreadsheets/d/1eHaY18a8A9IcSdp1K8H6x8fbOy06t2VsZHhMHf-1x7Y/edit?usp=sharing"",""แผน!AI43"")"),0)</f>
        <v>0</v>
      </c>
      <c r="M206" s="55"/>
      <c r="N206" s="702">
        <v>0</v>
      </c>
      <c r="O206" s="164"/>
      <c r="P206" s="55"/>
      <c r="Q206" s="256">
        <f ca="1">IFERROR(__xludf.DUMMYFUNCTION("IMPORTRANGE(""https://docs.google.com/spreadsheets/d/1eHaY18a8A9IcSdp1K8H6x8fbOy06t2VsZHhMHf-1x7Y/edit?usp=sharing"",""แผน!LV43"")"),42000)</f>
        <v>42000</v>
      </c>
      <c r="R206" s="55"/>
      <c r="S206" s="702">
        <v>0</v>
      </c>
      <c r="T206" s="164"/>
      <c r="U206" s="55"/>
    </row>
    <row r="207" spans="1:21" ht="18.75">
      <c r="A207" s="238"/>
      <c r="B207" s="188"/>
      <c r="C207" s="50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256">
        <f ca="1">IFERROR(__xludf.DUMMYFUNCTION("IMPORTRANGE(""https://docs.google.com/spreadsheets/d/1eHaY18a8A9IcSdp1K8H6x8fbOy06t2VsZHhMHf-1x7Y/edit?usp=sharing"",""แผน!AJ43"")"),15000)</f>
        <v>15000</v>
      </c>
      <c r="M207" s="55"/>
      <c r="N207" s="702">
        <v>0</v>
      </c>
      <c r="O207" s="164"/>
      <c r="P207" s="55"/>
      <c r="Q207" s="256">
        <v>0</v>
      </c>
      <c r="R207" s="55"/>
      <c r="S207" s="255">
        <v>0</v>
      </c>
      <c r="T207" s="164"/>
      <c r="U207" s="55"/>
    </row>
    <row r="208" spans="1:21" ht="19.5">
      <c r="A208" s="166"/>
      <c r="B208" s="167"/>
      <c r="C208" s="156" t="s">
        <v>18</v>
      </c>
      <c r="D208" s="566" t="s">
        <v>38</v>
      </c>
      <c r="E208" s="169"/>
      <c r="F208" s="169"/>
      <c r="G208" s="170"/>
      <c r="H208" s="171"/>
      <c r="I208" s="163"/>
      <c r="J208" s="163"/>
      <c r="K208" s="164"/>
      <c r="L208" s="172"/>
      <c r="M208" s="164"/>
      <c r="N208" s="164"/>
      <c r="O208" s="164"/>
      <c r="P208" s="164"/>
      <c r="Q208" s="172"/>
      <c r="R208" s="164"/>
      <c r="S208" s="164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257" t="s">
        <v>85</v>
      </c>
      <c r="I209" s="212">
        <f ca="1">IFERROR(__xludf.DUMMYFUNCTION("IMPORTRANGE(""https://docs.google.com/spreadsheets/d/1eHaY18a8A9IcSdp1K8H6x8fbOy06t2VsZHhMHf-1x7Y/edit?usp=sharing"",""แผน!AK43"")"),3)</f>
        <v>3</v>
      </c>
      <c r="J209" s="467">
        <v>0</v>
      </c>
      <c r="K209" s="565">
        <f ca="1">IF(I209&gt;0,J209*100/I209,0)</f>
        <v>0</v>
      </c>
      <c r="L209" s="62"/>
      <c r="M209" s="55"/>
      <c r="N209" s="55"/>
      <c r="O209" s="55"/>
      <c r="P209" s="55"/>
      <c r="Q209" s="62"/>
      <c r="R209" s="55"/>
      <c r="S209" s="55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171"/>
      <c r="I210" s="54"/>
      <c r="J210" s="54"/>
      <c r="K210" s="164"/>
      <c r="L210" s="62"/>
      <c r="M210" s="55"/>
      <c r="N210" s="55"/>
      <c r="O210" s="55"/>
      <c r="P210" s="55"/>
      <c r="Q210" s="62"/>
      <c r="R210" s="55"/>
      <c r="S210" s="55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257" t="s">
        <v>85</v>
      </c>
      <c r="I211" s="212">
        <f ca="1">IFERROR(__xludf.DUMMYFUNCTION("IMPORTRANGE(""https://docs.google.com/spreadsheets/d/1eHaY18a8A9IcSdp1K8H6x8fbOy06t2VsZHhMHf-1x7Y/edit?usp=sharing"",""แผน!JX43"")"),3)</f>
        <v>3</v>
      </c>
      <c r="J211" s="467">
        <v>0</v>
      </c>
      <c r="K211" s="565">
        <f ca="1">IF(I211&gt;0,J211*100/I211,0)</f>
        <v>0</v>
      </c>
      <c r="L211" s="62"/>
      <c r="M211" s="55"/>
      <c r="N211" s="55"/>
      <c r="O211" s="55"/>
      <c r="P211" s="55"/>
      <c r="Q211" s="62"/>
      <c r="R211" s="55"/>
      <c r="S211" s="55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79" t="s">
        <v>93</v>
      </c>
      <c r="I212" s="212">
        <f ca="1">IFERROR(__xludf.DUMMYFUNCTION("IMPORTRANGE(""https://docs.google.com/spreadsheets/d/1eHaY18a8A9IcSdp1K8H6x8fbOy06t2VsZHhMHf-1x7Y/edit?usp=sharing"",""แผน!JY43"")"),1)</f>
        <v>1</v>
      </c>
      <c r="J212" s="467">
        <v>0</v>
      </c>
      <c r="K212" s="565">
        <f ca="1">IF(I212&gt;0,J212*100/I212,0)</f>
        <v>0</v>
      </c>
      <c r="L212" s="62"/>
      <c r="M212" s="55"/>
      <c r="N212" s="55"/>
      <c r="O212" s="55"/>
      <c r="P212" s="55"/>
      <c r="Q212" s="62"/>
      <c r="R212" s="55"/>
      <c r="S212" s="55"/>
      <c r="T212" s="55"/>
      <c r="U212" s="55"/>
    </row>
    <row r="213" spans="1:21" ht="19.5">
      <c r="A213" s="241"/>
      <c r="B213" s="242"/>
      <c r="C213" s="243" t="s">
        <v>94</v>
      </c>
      <c r="D213" s="244"/>
      <c r="E213" s="244"/>
      <c r="F213" s="244"/>
      <c r="G213" s="245"/>
      <c r="H213" s="254" t="s">
        <v>85</v>
      </c>
      <c r="I213" s="339">
        <f ca="1">I220</f>
        <v>2</v>
      </c>
      <c r="J213" s="339">
        <f>J220</f>
        <v>0</v>
      </c>
      <c r="K213" s="340">
        <f ca="1">IF(I213&gt;0,J213*100/I213,0)</f>
        <v>0</v>
      </c>
      <c r="L213" s="250"/>
      <c r="M213" s="249"/>
      <c r="N213" s="249"/>
      <c r="O213" s="249"/>
      <c r="P213" s="249"/>
      <c r="Q213" s="250"/>
      <c r="R213" s="249"/>
      <c r="S213" s="249"/>
      <c r="T213" s="249"/>
      <c r="U213" s="249"/>
    </row>
    <row r="214" spans="1:21" ht="19.5">
      <c r="A214" s="155"/>
      <c r="B214" s="50"/>
      <c r="C214" s="156" t="s">
        <v>18</v>
      </c>
      <c r="D214" s="713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541">
        <f ca="1">L215+L216+L217</f>
        <v>12000</v>
      </c>
      <c r="M214" s="55"/>
      <c r="N214" s="540">
        <f>N215+N216+N217</f>
        <v>0</v>
      </c>
      <c r="O214" s="540">
        <f ca="1">IF(L214&gt;0,N214*100/L214,0)</f>
        <v>0</v>
      </c>
      <c r="P214" s="540">
        <f>IF(M214&gt;0,N214*100/M214,0)</f>
        <v>0</v>
      </c>
      <c r="Q214" s="541">
        <f ca="1">Q215+Q216+Q217</f>
        <v>99400</v>
      </c>
      <c r="R214" s="55"/>
      <c r="S214" s="540">
        <f>S215+S216+S217</f>
        <v>0</v>
      </c>
      <c r="T214" s="540">
        <f ca="1">IF(Q214&gt;0,S214*100/Q214,0)</f>
        <v>0</v>
      </c>
      <c r="U214" s="540">
        <f>IF(R214&gt;0,S214*100/R214,0)</f>
        <v>0</v>
      </c>
    </row>
    <row r="215" spans="1:21" ht="18.75">
      <c r="A215" s="155"/>
      <c r="B215" s="188"/>
      <c r="C215" s="50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256">
        <f ca="1">IFERROR(__xludf.DUMMYFUNCTION("IMPORTRANGE(""https://docs.google.com/spreadsheets/d/1eHaY18a8A9IcSdp1K8H6x8fbOy06t2VsZHhMHf-1x7Y/edit?usp=sharing"",""แผน!AM43"")"),2000)</f>
        <v>2000</v>
      </c>
      <c r="M215" s="55"/>
      <c r="N215" s="702">
        <v>0</v>
      </c>
      <c r="O215" s="164"/>
      <c r="P215" s="55"/>
      <c r="Q215" s="256">
        <v>0</v>
      </c>
      <c r="R215" s="55"/>
      <c r="S215" s="255">
        <v>0</v>
      </c>
      <c r="T215" s="164"/>
      <c r="U215" s="55"/>
    </row>
    <row r="216" spans="1:21" ht="18.75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256">
        <f ca="1">IFERROR(__xludf.DUMMYFUNCTION("IMPORTRANGE(""https://docs.google.com/spreadsheets/d/1eHaY18a8A9IcSdp1K8H6x8fbOy06t2VsZHhMHf-1x7Y/edit?usp=sharing"",""แผน!AN43"")"),10000)</f>
        <v>10000</v>
      </c>
      <c r="M216" s="55"/>
      <c r="N216" s="702">
        <v>0</v>
      </c>
      <c r="O216" s="164"/>
      <c r="P216" s="55"/>
      <c r="Q216" s="256">
        <v>0</v>
      </c>
      <c r="R216" s="55"/>
      <c r="S216" s="255">
        <v>0</v>
      </c>
      <c r="T216" s="164"/>
      <c r="U216" s="55"/>
    </row>
    <row r="217" spans="1:21" ht="18.75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256">
        <f ca="1">IFERROR(__xludf.DUMMYFUNCTION("IMPORTRANGE(""https://docs.google.com/spreadsheets/d/1eHaY18a8A9IcSdp1K8H6x8fbOy06t2VsZHhMHf-1x7Y/edit?usp=sharing"",""แผน!AO43"")"),0)</f>
        <v>0</v>
      </c>
      <c r="M217" s="55"/>
      <c r="N217" s="702">
        <v>0</v>
      </c>
      <c r="O217" s="164"/>
      <c r="P217" s="55"/>
      <c r="Q217" s="256">
        <f ca="1">IFERROR(__xludf.DUMMYFUNCTION("IMPORTRANGE(""https://docs.google.com/spreadsheets/d/1eHaY18a8A9IcSdp1K8H6x8fbOy06t2VsZHhMHf-1x7Y/edit?usp=sharing"",""แผน!LY43"")"),99400)</f>
        <v>99400</v>
      </c>
      <c r="R217" s="55"/>
      <c r="S217" s="702">
        <v>0</v>
      </c>
      <c r="T217" s="164"/>
      <c r="U217" s="55"/>
    </row>
    <row r="218" spans="1:21" ht="19.5">
      <c r="A218" s="166"/>
      <c r="B218" s="167"/>
      <c r="C218" s="191" t="s">
        <v>18</v>
      </c>
      <c r="D218" s="566" t="s">
        <v>38</v>
      </c>
      <c r="E218" s="169"/>
      <c r="F218" s="169"/>
      <c r="G218" s="170"/>
      <c r="H218" s="171"/>
      <c r="I218" s="163"/>
      <c r="J218" s="54"/>
      <c r="K218" s="55"/>
      <c r="L218" s="62"/>
      <c r="M218" s="55"/>
      <c r="N218" s="55"/>
      <c r="O218" s="164"/>
      <c r="P218" s="164"/>
      <c r="Q218" s="62"/>
      <c r="R218" s="55"/>
      <c r="S218" s="55"/>
      <c r="T218" s="164"/>
      <c r="U218" s="164"/>
    </row>
    <row r="219" spans="1:21" ht="18.75">
      <c r="A219" s="166"/>
      <c r="B219" s="167"/>
      <c r="C219" s="167"/>
      <c r="D219" s="173" t="s">
        <v>96</v>
      </c>
      <c r="E219" s="174"/>
      <c r="F219" s="174"/>
      <c r="G219" s="171"/>
      <c r="H219" s="257" t="s">
        <v>85</v>
      </c>
      <c r="I219" s="212">
        <f ca="1">IFERROR(__xludf.DUMMYFUNCTION("IMPORTRANGE(""https://docs.google.com/spreadsheets/d/1eHaY18a8A9IcSdp1K8H6x8fbOy06t2VsZHhMHf-1x7Y/edit?usp=sharing"",""แผน!AP43"")"),2)</f>
        <v>2</v>
      </c>
      <c r="J219" s="467">
        <v>0</v>
      </c>
      <c r="K219" s="255">
        <f ca="1">IF(I219&gt;0,J219*100/I219,0)</f>
        <v>0</v>
      </c>
      <c r="L219" s="62"/>
      <c r="M219" s="55"/>
      <c r="N219" s="55"/>
      <c r="O219" s="55"/>
      <c r="P219" s="55"/>
      <c r="Q219" s="62"/>
      <c r="R219" s="55"/>
      <c r="S219" s="55"/>
      <c r="T219" s="55"/>
      <c r="U219" s="55"/>
    </row>
    <row r="220" spans="1:21" ht="18.75">
      <c r="A220" s="166"/>
      <c r="B220" s="167"/>
      <c r="C220" s="167"/>
      <c r="D220" s="173" t="s">
        <v>97</v>
      </c>
      <c r="E220" s="174"/>
      <c r="F220" s="174"/>
      <c r="G220" s="171"/>
      <c r="H220" s="257" t="s">
        <v>85</v>
      </c>
      <c r="I220" s="212">
        <f ca="1">IFERROR(__xludf.DUMMYFUNCTION("IMPORTRANGE(""https://docs.google.com/spreadsheets/d/1eHaY18a8A9IcSdp1K8H6x8fbOy06t2VsZHhMHf-1x7Y/edit?usp=sharing"",""แผน!AP43"")"),2)</f>
        <v>2</v>
      </c>
      <c r="J220" s="467">
        <v>0</v>
      </c>
      <c r="K220" s="255">
        <f ca="1">IF(I220&gt;0,J220*100/I220,0)</f>
        <v>0</v>
      </c>
      <c r="L220" s="62"/>
      <c r="M220" s="55"/>
      <c r="N220" s="55"/>
      <c r="O220" s="55"/>
      <c r="P220" s="55"/>
      <c r="Q220" s="62"/>
      <c r="R220" s="55"/>
      <c r="S220" s="55"/>
      <c r="T220" s="55"/>
      <c r="U220" s="55"/>
    </row>
    <row r="221" spans="1:21" ht="19.5">
      <c r="A221" s="241"/>
      <c r="B221" s="242"/>
      <c r="C221" s="243" t="s">
        <v>98</v>
      </c>
      <c r="D221" s="244"/>
      <c r="E221" s="244"/>
      <c r="F221" s="244"/>
      <c r="G221" s="245"/>
      <c r="H221" s="246" t="s">
        <v>99</v>
      </c>
      <c r="I221" s="339">
        <f ca="1">I229</f>
        <v>128000</v>
      </c>
      <c r="J221" s="339">
        <f>J229</f>
        <v>0</v>
      </c>
      <c r="K221" s="340">
        <f ca="1">IF(I221&gt;0,J221*100/I221,0)</f>
        <v>0</v>
      </c>
      <c r="L221" s="250"/>
      <c r="M221" s="249"/>
      <c r="N221" s="249"/>
      <c r="O221" s="249"/>
      <c r="P221" s="249"/>
      <c r="Q221" s="249"/>
      <c r="R221" s="249"/>
      <c r="S221" s="249"/>
      <c r="T221" s="249"/>
      <c r="U221" s="249"/>
    </row>
    <row r="222" spans="1:21" ht="19.5">
      <c r="A222" s="155"/>
      <c r="B222" s="50"/>
      <c r="C222" s="156" t="s">
        <v>18</v>
      </c>
      <c r="D222" s="713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541">
        <f ca="1">L223+L224+L225</f>
        <v>16500</v>
      </c>
      <c r="M222" s="55"/>
      <c r="N222" s="540">
        <f>N223+N224+N225</f>
        <v>0</v>
      </c>
      <c r="O222" s="540">
        <f ca="1">IF(L222&gt;0,N222*100/L222,0)</f>
        <v>0</v>
      </c>
      <c r="P222" s="540">
        <f>IF(M222&gt;0,N222*100/M222,0)</f>
        <v>0</v>
      </c>
      <c r="Q222" s="55"/>
      <c r="R222" s="55"/>
      <c r="S222" s="55"/>
      <c r="T222" s="55"/>
      <c r="U222" s="55"/>
    </row>
    <row r="223" spans="1:21" ht="18.75">
      <c r="A223" s="155"/>
      <c r="B223" s="188"/>
      <c r="C223" s="50"/>
      <c r="D223" s="712" t="s">
        <v>309</v>
      </c>
      <c r="E223" s="50"/>
      <c r="F223" s="50"/>
      <c r="G223" s="52"/>
      <c r="H223" s="162" t="s">
        <v>14</v>
      </c>
      <c r="I223" s="163"/>
      <c r="J223" s="163"/>
      <c r="K223" s="164"/>
      <c r="L223" s="256">
        <f ca="1">IFERROR(__xludf.DUMMYFUNCTION("IMPORTRANGE(""https://docs.google.com/spreadsheets/d/1eHaY18a8A9IcSdp1K8H6x8fbOy06t2VsZHhMHf-1x7Y/edit?usp=sharing"",""แผน!AR43"")"),2500)</f>
        <v>2500</v>
      </c>
      <c r="M223" s="55"/>
      <c r="N223" s="702">
        <v>0</v>
      </c>
      <c r="O223" s="164"/>
      <c r="P223" s="55"/>
      <c r="Q223" s="55"/>
      <c r="R223" s="55"/>
      <c r="S223" s="55"/>
      <c r="T223" s="164"/>
      <c r="U223" s="55"/>
    </row>
    <row r="224" spans="1:21" ht="18.75">
      <c r="A224" s="238"/>
      <c r="B224" s="188"/>
      <c r="C224" s="188"/>
      <c r="D224" s="58" t="s">
        <v>308</v>
      </c>
      <c r="E224" s="50"/>
      <c r="F224" s="50"/>
      <c r="G224" s="52"/>
      <c r="H224" s="162" t="s">
        <v>14</v>
      </c>
      <c r="I224" s="54"/>
      <c r="J224" s="54"/>
      <c r="K224" s="55"/>
      <c r="L224" s="256">
        <f ca="1">IFERROR(__xludf.DUMMYFUNCTION("IMPORTRANGE(""https://docs.google.com/spreadsheets/d/1eHaY18a8A9IcSdp1K8H6x8fbOy06t2VsZHhMHf-1x7Y/edit?usp=sharing"",""แผน!AS43"")"),14000)</f>
        <v>14000</v>
      </c>
      <c r="M224" s="55"/>
      <c r="N224" s="702">
        <v>0</v>
      </c>
      <c r="O224" s="164"/>
      <c r="P224" s="55"/>
      <c r="Q224" s="55"/>
      <c r="R224" s="55"/>
      <c r="S224" s="55"/>
      <c r="T224" s="164"/>
      <c r="U224" s="55"/>
    </row>
    <row r="225" spans="1:21" ht="18.75">
      <c r="A225" s="238"/>
      <c r="B225" s="188"/>
      <c r="C225" s="188"/>
      <c r="D225" s="58" t="s">
        <v>88</v>
      </c>
      <c r="E225" s="50"/>
      <c r="F225" s="50"/>
      <c r="G225" s="52"/>
      <c r="H225" s="162" t="s">
        <v>14</v>
      </c>
      <c r="I225" s="54"/>
      <c r="J225" s="54"/>
      <c r="K225" s="55"/>
      <c r="L225" s="256">
        <f ca="1">IFERROR(__xludf.DUMMYFUNCTION("IMPORTRANGE(""https://docs.google.com/spreadsheets/d/1eHaY18a8A9IcSdp1K8H6x8fbOy06t2VsZHhMHf-1x7Y/edit?usp=sharing"",""แผน!AT43"")"),0)</f>
        <v>0</v>
      </c>
      <c r="M225" s="55"/>
      <c r="N225" s="702">
        <v>0</v>
      </c>
      <c r="O225" s="164"/>
      <c r="P225" s="55"/>
      <c r="Q225" s="55"/>
      <c r="R225" s="55"/>
      <c r="S225" s="55"/>
      <c r="T225" s="164"/>
      <c r="U225" s="55"/>
    </row>
    <row r="226" spans="1:21" ht="19.5">
      <c r="A226" s="166"/>
      <c r="B226" s="167"/>
      <c r="C226" s="191" t="s">
        <v>18</v>
      </c>
      <c r="D226" s="566" t="s">
        <v>38</v>
      </c>
      <c r="E226" s="169"/>
      <c r="F226" s="169"/>
      <c r="G226" s="170"/>
      <c r="H226" s="171"/>
      <c r="I226" s="163"/>
      <c r="J226" s="163"/>
      <c r="K226" s="164"/>
      <c r="L226" s="172"/>
      <c r="M226" s="164"/>
      <c r="N226" s="164"/>
      <c r="O226" s="164"/>
      <c r="P226" s="164"/>
      <c r="Q226" s="164"/>
      <c r="R226" s="164"/>
      <c r="S226" s="164"/>
      <c r="T226" s="164"/>
      <c r="U226" s="164"/>
    </row>
    <row r="227" spans="1:21" ht="18.75">
      <c r="A227" s="166"/>
      <c r="B227" s="167"/>
      <c r="C227" s="167"/>
      <c r="D227" s="58" t="s">
        <v>101</v>
      </c>
      <c r="E227" s="174"/>
      <c r="F227" s="174"/>
      <c r="G227" s="171"/>
      <c r="H227" s="171"/>
      <c r="I227" s="54"/>
      <c r="J227" s="54"/>
      <c r="K227" s="164"/>
      <c r="L227" s="172"/>
      <c r="M227" s="164"/>
      <c r="N227" s="164"/>
      <c r="O227" s="164"/>
      <c r="P227" s="164"/>
      <c r="Q227" s="164"/>
      <c r="R227" s="164"/>
      <c r="S227" s="164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79" t="s">
        <v>99</v>
      </c>
      <c r="I228" s="212">
        <f ca="1">IFERROR(__xludf.DUMMYFUNCTION("IMPORTRANGE(""https://docs.google.com/spreadsheets/d/1eHaY18a8A9IcSdp1K8H6x8fbOy06t2VsZHhMHf-1x7Y/edit?usp=sharing"",""แผน!AV43"")"),128000)</f>
        <v>128000</v>
      </c>
      <c r="J228" s="467">
        <v>0</v>
      </c>
      <c r="K228" s="565">
        <f ca="1">IF(I228&gt;0,J228*100/I228,0)</f>
        <v>0</v>
      </c>
      <c r="L228" s="172"/>
      <c r="M228" s="164"/>
      <c r="N228" s="164"/>
      <c r="O228" s="164"/>
      <c r="P228" s="164"/>
      <c r="Q228" s="164"/>
      <c r="R228" s="164"/>
      <c r="S228" s="164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79" t="s">
        <v>99</v>
      </c>
      <c r="I229" s="212">
        <f ca="1">IFERROR(__xludf.DUMMYFUNCTION("IMPORTRANGE(""https://docs.google.com/spreadsheets/d/1eHaY18a8A9IcSdp1K8H6x8fbOy06t2VsZHhMHf-1x7Y/edit?usp=sharing"",""แผน!AV43"")"),128000)</f>
        <v>128000</v>
      </c>
      <c r="J229" s="467">
        <v>0</v>
      </c>
      <c r="K229" s="565">
        <f ca="1">IF(I229&gt;0,J229*100/I229,0)</f>
        <v>0</v>
      </c>
      <c r="L229" s="62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79" t="s">
        <v>35</v>
      </c>
      <c r="I230" s="212">
        <f ca="1">IFERROR(__xludf.DUMMYFUNCTION("IMPORTRANGE(""https://docs.google.com/spreadsheets/d/1eHaY18a8A9IcSdp1K8H6x8fbOy06t2VsZHhMHf-1x7Y/edit?usp=sharing"",""แผน!AU43"")"),0)</f>
        <v>0</v>
      </c>
      <c r="J230" s="467">
        <v>0</v>
      </c>
      <c r="K230" s="565">
        <f ca="1">IF(I230&gt;0,J230*100/I230,0)</f>
        <v>0</v>
      </c>
      <c r="L230" s="62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9.5" hidden="1">
      <c r="A231" s="241"/>
      <c r="B231" s="242"/>
      <c r="C231" s="243" t="s">
        <v>105</v>
      </c>
      <c r="D231" s="244"/>
      <c r="E231" s="244"/>
      <c r="F231" s="244"/>
      <c r="G231" s="245"/>
      <c r="H231" s="246" t="s">
        <v>35</v>
      </c>
      <c r="I231" s="339">
        <f ca="1">I242+I253</f>
        <v>0</v>
      </c>
      <c r="J231" s="339">
        <f>J242+J253</f>
        <v>0</v>
      </c>
      <c r="K231" s="340">
        <f ca="1">IF(I231&gt;0,J231*100/I231,0)</f>
        <v>0</v>
      </c>
      <c r="L231" s="250"/>
      <c r="M231" s="249"/>
      <c r="N231" s="249"/>
      <c r="O231" s="249"/>
      <c r="P231" s="249"/>
      <c r="Q231" s="249"/>
      <c r="R231" s="249"/>
      <c r="S231" s="249"/>
      <c r="T231" s="249"/>
      <c r="U231" s="249"/>
    </row>
    <row r="232" spans="1:21" ht="19.5" hidden="1">
      <c r="A232" s="155"/>
      <c r="B232" s="50"/>
      <c r="C232" s="156" t="s">
        <v>18</v>
      </c>
      <c r="D232" s="575" t="s">
        <v>19</v>
      </c>
      <c r="E232" s="50"/>
      <c r="F232" s="50"/>
      <c r="G232" s="52"/>
      <c r="H232" s="252" t="s">
        <v>14</v>
      </c>
      <c r="I232" s="163"/>
      <c r="J232" s="163"/>
      <c r="K232" s="164"/>
      <c r="L232" s="711">
        <f ca="1">L243+L254</f>
        <v>0</v>
      </c>
      <c r="M232" s="55"/>
      <c r="N232" s="710">
        <f>N243+N254</f>
        <v>0</v>
      </c>
      <c r="O232" s="55"/>
      <c r="P232" s="55"/>
      <c r="Q232" s="55"/>
      <c r="R232" s="55"/>
      <c r="S232" s="55"/>
      <c r="T232" s="55"/>
      <c r="U232" s="55"/>
    </row>
    <row r="233" spans="1:21" ht="18.75" hidden="1">
      <c r="A233" s="155"/>
      <c r="B233" s="188"/>
      <c r="C233" s="50"/>
      <c r="D233" s="58" t="s">
        <v>86</v>
      </c>
      <c r="E233" s="50"/>
      <c r="F233" s="50"/>
      <c r="G233" s="52"/>
      <c r="H233" s="162" t="s">
        <v>14</v>
      </c>
      <c r="I233" s="163"/>
      <c r="J233" s="163"/>
      <c r="K233" s="164"/>
      <c r="L233" s="103">
        <f ca="1">L244+L255</f>
        <v>0</v>
      </c>
      <c r="M233" s="55"/>
      <c r="N233" s="102">
        <f>N244+N255</f>
        <v>0</v>
      </c>
      <c r="O233" s="55"/>
      <c r="P233" s="55"/>
      <c r="Q233" s="56">
        <v>0</v>
      </c>
      <c r="R233" s="56">
        <v>0</v>
      </c>
      <c r="S233" s="56">
        <v>0</v>
      </c>
      <c r="T233" s="55"/>
      <c r="U233" s="55"/>
    </row>
    <row r="234" spans="1:21" ht="18.75" hidden="1">
      <c r="A234" s="238"/>
      <c r="B234" s="188"/>
      <c r="C234" s="188"/>
      <c r="D234" s="58" t="s">
        <v>88</v>
      </c>
      <c r="E234" s="50"/>
      <c r="F234" s="50"/>
      <c r="G234" s="52"/>
      <c r="H234" s="162" t="s">
        <v>14</v>
      </c>
      <c r="I234" s="54"/>
      <c r="J234" s="54"/>
      <c r="K234" s="55"/>
      <c r="L234" s="103">
        <f ca="1">L245+L256</f>
        <v>0</v>
      </c>
      <c r="M234" s="55"/>
      <c r="N234" s="102">
        <f>N245+N256</f>
        <v>0</v>
      </c>
      <c r="O234" s="55"/>
      <c r="P234" s="55"/>
      <c r="Q234" s="56">
        <v>0</v>
      </c>
      <c r="R234" s="56">
        <v>0</v>
      </c>
      <c r="S234" s="56">
        <v>0</v>
      </c>
      <c r="T234" s="55"/>
      <c r="U234" s="55"/>
    </row>
    <row r="235" spans="1:21" ht="18.75" hidden="1">
      <c r="A235" s="238"/>
      <c r="B235" s="188"/>
      <c r="C235" s="188"/>
      <c r="D235" s="58" t="s">
        <v>106</v>
      </c>
      <c r="E235" s="50"/>
      <c r="F235" s="50"/>
      <c r="G235" s="52"/>
      <c r="H235" s="162" t="s">
        <v>14</v>
      </c>
      <c r="I235" s="54"/>
      <c r="J235" s="54"/>
      <c r="K235" s="55"/>
      <c r="L235" s="103">
        <f ca="1">L246+L257</f>
        <v>0</v>
      </c>
      <c r="M235" s="55"/>
      <c r="N235" s="102">
        <f>N246+N257</f>
        <v>0</v>
      </c>
      <c r="O235" s="55"/>
      <c r="P235" s="55"/>
      <c r="Q235" s="56">
        <v>0</v>
      </c>
      <c r="R235" s="56">
        <v>0</v>
      </c>
      <c r="S235" s="56">
        <v>0</v>
      </c>
      <c r="T235" s="55"/>
      <c r="U235" s="55"/>
    </row>
    <row r="236" spans="1:21" ht="18.75" hidden="1">
      <c r="A236" s="238"/>
      <c r="B236" s="188"/>
      <c r="C236" s="188"/>
      <c r="D236" s="58" t="s">
        <v>107</v>
      </c>
      <c r="E236" s="50"/>
      <c r="F236" s="50"/>
      <c r="G236" s="52"/>
      <c r="H236" s="162" t="s">
        <v>14</v>
      </c>
      <c r="I236" s="54"/>
      <c r="J236" s="54"/>
      <c r="K236" s="55"/>
      <c r="L236" s="103">
        <f ca="1">L247+L258</f>
        <v>0</v>
      </c>
      <c r="M236" s="55"/>
      <c r="N236" s="102">
        <f>N247+N258</f>
        <v>0</v>
      </c>
      <c r="O236" s="55"/>
      <c r="P236" s="55"/>
      <c r="Q236" s="56">
        <v>0</v>
      </c>
      <c r="R236" s="56">
        <v>0</v>
      </c>
      <c r="S236" s="56">
        <v>0</v>
      </c>
      <c r="T236" s="55"/>
      <c r="U236" s="55"/>
    </row>
    <row r="237" spans="1:21" ht="19.5" hidden="1">
      <c r="A237" s="166"/>
      <c r="B237" s="167"/>
      <c r="C237" s="191" t="s">
        <v>18</v>
      </c>
      <c r="D237" s="566" t="s">
        <v>38</v>
      </c>
      <c r="E237" s="169"/>
      <c r="F237" s="169"/>
      <c r="G237" s="170"/>
      <c r="H237" s="171"/>
      <c r="I237" s="163"/>
      <c r="J237" s="54"/>
      <c r="K237" s="55"/>
      <c r="L237" s="62"/>
      <c r="M237" s="55"/>
      <c r="N237" s="55"/>
      <c r="O237" s="164"/>
      <c r="P237" s="164"/>
      <c r="Q237" s="55"/>
      <c r="R237" s="55"/>
      <c r="S237" s="55"/>
      <c r="T237" s="164"/>
      <c r="U237" s="164"/>
    </row>
    <row r="238" spans="1:21" ht="18.75" hidden="1">
      <c r="A238" s="166"/>
      <c r="B238" s="167"/>
      <c r="C238" s="167"/>
      <c r="D238" s="178" t="s">
        <v>108</v>
      </c>
      <c r="E238" s="174"/>
      <c r="F238" s="174"/>
      <c r="G238" s="171"/>
      <c r="H238" s="179" t="s">
        <v>35</v>
      </c>
      <c r="I238" s="212">
        <f ca="1">I249+I260</f>
        <v>0</v>
      </c>
      <c r="J238" s="212">
        <f>J249+J260</f>
        <v>0</v>
      </c>
      <c r="K238" s="255">
        <f ca="1">IF(I238&gt;0,J238*100/I238,0)</f>
        <v>0</v>
      </c>
      <c r="L238" s="62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ht="18.75" hidden="1">
      <c r="A239" s="166"/>
      <c r="B239" s="167"/>
      <c r="C239" s="167"/>
      <c r="D239" s="266" t="s">
        <v>43</v>
      </c>
      <c r="E239" s="174"/>
      <c r="F239" s="174"/>
      <c r="G239" s="171"/>
      <c r="H239" s="171"/>
      <c r="I239" s="54"/>
      <c r="J239" s="54"/>
      <c r="K239" s="55"/>
      <c r="L239" s="62"/>
      <c r="M239" s="55"/>
      <c r="N239" s="55"/>
      <c r="O239" s="164"/>
      <c r="P239" s="164"/>
      <c r="Q239" s="55"/>
      <c r="R239" s="55"/>
      <c r="S239" s="55"/>
      <c r="T239" s="164"/>
      <c r="U239" s="164"/>
    </row>
    <row r="240" spans="1:21" ht="18.75" hidden="1">
      <c r="A240" s="166"/>
      <c r="B240" s="167"/>
      <c r="C240" s="167"/>
      <c r="D240" s="167"/>
      <c r="E240" s="173" t="s">
        <v>109</v>
      </c>
      <c r="F240" s="174"/>
      <c r="G240" s="171"/>
      <c r="H240" s="179" t="s">
        <v>35</v>
      </c>
      <c r="I240" s="212">
        <f>I251+I262</f>
        <v>0</v>
      </c>
      <c r="J240" s="212">
        <f>J251+J262</f>
        <v>0</v>
      </c>
      <c r="K240" s="255">
        <f>IF(I240&gt;0,J240*100/I240,0)</f>
        <v>0</v>
      </c>
      <c r="L240" s="62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ht="18.75" hidden="1">
      <c r="A241" s="166"/>
      <c r="B241" s="167"/>
      <c r="C241" s="167"/>
      <c r="D241" s="167"/>
      <c r="E241" s="173" t="s">
        <v>110</v>
      </c>
      <c r="F241" s="174"/>
      <c r="G241" s="171"/>
      <c r="H241" s="179" t="s">
        <v>61</v>
      </c>
      <c r="I241" s="212">
        <f>I252+I263</f>
        <v>0</v>
      </c>
      <c r="J241" s="212">
        <f>J252+J263</f>
        <v>0</v>
      </c>
      <c r="K241" s="255">
        <f>IF(I241&gt;0,J241*100/I241,0)</f>
        <v>0</v>
      </c>
      <c r="L241" s="62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ht="19.5" hidden="1">
      <c r="A242" s="241"/>
      <c r="B242" s="242"/>
      <c r="C242" s="707" t="s">
        <v>111</v>
      </c>
      <c r="D242" s="244"/>
      <c r="E242" s="244"/>
      <c r="F242" s="244"/>
      <c r="G242" s="245"/>
      <c r="H242" s="706" t="s">
        <v>35</v>
      </c>
      <c r="I242" s="705">
        <f ca="1">I249</f>
        <v>0</v>
      </c>
      <c r="J242" s="705">
        <f>J249</f>
        <v>0</v>
      </c>
      <c r="K242" s="704">
        <f ca="1">IF(I242&gt;0,J242*100/I242,0)</f>
        <v>0</v>
      </c>
      <c r="L242" s="250"/>
      <c r="M242" s="249"/>
      <c r="N242" s="249"/>
      <c r="O242" s="249"/>
      <c r="P242" s="249"/>
      <c r="Q242" s="249"/>
      <c r="R242" s="249"/>
      <c r="S242" s="249"/>
      <c r="T242" s="249"/>
      <c r="U242" s="249"/>
    </row>
    <row r="243" spans="1:21" ht="19.5" hidden="1">
      <c r="A243" s="155"/>
      <c r="B243" s="50"/>
      <c r="C243" s="591" t="s">
        <v>18</v>
      </c>
      <c r="D243" s="562" t="s">
        <v>19</v>
      </c>
      <c r="E243" s="50"/>
      <c r="F243" s="50"/>
      <c r="G243" s="52"/>
      <c r="H243" s="418" t="s">
        <v>14</v>
      </c>
      <c r="I243" s="163"/>
      <c r="J243" s="163"/>
      <c r="K243" s="164"/>
      <c r="L243" s="541">
        <f ca="1">L244+L245+L246+L247</f>
        <v>0</v>
      </c>
      <c r="M243" s="55"/>
      <c r="N243" s="540">
        <f>N244+N245+N246+N247</f>
        <v>0</v>
      </c>
      <c r="O243" s="540">
        <f ca="1">IF(L243&gt;0,N243*100/L243,0)</f>
        <v>0</v>
      </c>
      <c r="P243" s="540">
        <f>IF(M243&gt;0,N243*100/M243,0)</f>
        <v>0</v>
      </c>
      <c r="Q243" s="55"/>
      <c r="R243" s="55"/>
      <c r="S243" s="55"/>
      <c r="T243" s="55"/>
      <c r="U243" s="55"/>
    </row>
    <row r="244" spans="1:21" ht="18.75" hidden="1">
      <c r="A244" s="155"/>
      <c r="B244" s="188"/>
      <c r="C244" s="50"/>
      <c r="D244" s="186" t="s">
        <v>86</v>
      </c>
      <c r="E244" s="50"/>
      <c r="F244" s="50"/>
      <c r="G244" s="52"/>
      <c r="H244" s="189" t="s">
        <v>14</v>
      </c>
      <c r="I244" s="163"/>
      <c r="J244" s="163"/>
      <c r="K244" s="164"/>
      <c r="L244" s="256">
        <f ca="1">IFERROR(__xludf.DUMMYFUNCTION("IMPORTRANGE(""https://docs.google.com/spreadsheets/d/1eHaY18a8A9IcSdp1K8H6x8fbOy06t2VsZHhMHf-1x7Y/edit?usp=sharing"",""แผน!AX43"")"),0)</f>
        <v>0</v>
      </c>
      <c r="M244" s="55"/>
      <c r="N244" s="702">
        <v>0</v>
      </c>
      <c r="O244" s="55"/>
      <c r="P244" s="55"/>
      <c r="Q244" s="55"/>
      <c r="R244" s="55"/>
      <c r="S244" s="55"/>
      <c r="T244" s="55"/>
      <c r="U244" s="55"/>
    </row>
    <row r="245" spans="1:21" ht="18.75" hidden="1">
      <c r="A245" s="238"/>
      <c r="B245" s="188"/>
      <c r="C245" s="188"/>
      <c r="D245" s="186" t="s">
        <v>88</v>
      </c>
      <c r="E245" s="50"/>
      <c r="F245" s="50"/>
      <c r="G245" s="52"/>
      <c r="H245" s="189" t="s">
        <v>14</v>
      </c>
      <c r="I245" s="54"/>
      <c r="J245" s="54"/>
      <c r="K245" s="55"/>
      <c r="L245" s="256">
        <f ca="1">IFERROR(__xludf.DUMMYFUNCTION("IMPORTRANGE(""https://docs.google.com/spreadsheets/d/1eHaY18a8A9IcSdp1K8H6x8fbOy06t2VsZHhMHf-1x7Y/edit?usp=sharing"",""แผน!AY43"")"),0)</f>
        <v>0</v>
      </c>
      <c r="M245" s="55"/>
      <c r="N245" s="702">
        <v>0</v>
      </c>
      <c r="O245" s="55"/>
      <c r="P245" s="55"/>
      <c r="Q245" s="55"/>
      <c r="R245" s="55"/>
      <c r="S245" s="55"/>
      <c r="T245" s="55"/>
      <c r="U245" s="55"/>
    </row>
    <row r="246" spans="1:21" ht="18.75" hidden="1">
      <c r="A246" s="238"/>
      <c r="B246" s="188"/>
      <c r="C246" s="188"/>
      <c r="D246" s="186" t="s">
        <v>106</v>
      </c>
      <c r="E246" s="50"/>
      <c r="F246" s="50"/>
      <c r="G246" s="52"/>
      <c r="H246" s="189" t="s">
        <v>14</v>
      </c>
      <c r="I246" s="54"/>
      <c r="J246" s="54"/>
      <c r="K246" s="55"/>
      <c r="L246" s="256">
        <f ca="1">IFERROR(__xludf.DUMMYFUNCTION("IMPORTRANGE(""https://docs.google.com/spreadsheets/d/1eHaY18a8A9IcSdp1K8H6x8fbOy06t2VsZHhMHf-1x7Y/edit?usp=sharing"",""แผน!AZ43"")"),0)</f>
        <v>0</v>
      </c>
      <c r="M246" s="55"/>
      <c r="N246" s="702">
        <v>0</v>
      </c>
      <c r="O246" s="55"/>
      <c r="P246" s="55"/>
      <c r="Q246" s="55"/>
      <c r="R246" s="55"/>
      <c r="S246" s="55"/>
      <c r="T246" s="55"/>
      <c r="U246" s="55"/>
    </row>
    <row r="247" spans="1:21" ht="18.75" hidden="1">
      <c r="A247" s="238"/>
      <c r="B247" s="188"/>
      <c r="C247" s="188"/>
      <c r="D247" s="186" t="s">
        <v>107</v>
      </c>
      <c r="E247" s="50"/>
      <c r="F247" s="50"/>
      <c r="G247" s="52"/>
      <c r="H247" s="189" t="s">
        <v>14</v>
      </c>
      <c r="I247" s="54"/>
      <c r="J247" s="54"/>
      <c r="K247" s="55"/>
      <c r="L247" s="256">
        <f ca="1">IFERROR(__xludf.DUMMYFUNCTION("IMPORTRANGE(""https://docs.google.com/spreadsheets/d/1eHaY18a8A9IcSdp1K8H6x8fbOy06t2VsZHhMHf-1x7Y/edit?usp=sharing"",""แผน!BA43"")"),0)</f>
        <v>0</v>
      </c>
      <c r="M247" s="55"/>
      <c r="N247" s="702">
        <v>0</v>
      </c>
      <c r="O247" s="55"/>
      <c r="P247" s="55"/>
      <c r="Q247" s="55"/>
      <c r="R247" s="55"/>
      <c r="S247" s="55"/>
      <c r="T247" s="55"/>
      <c r="U247" s="55"/>
    </row>
    <row r="248" spans="1:21" ht="19.5" hidden="1">
      <c r="A248" s="166"/>
      <c r="B248" s="167"/>
      <c r="C248" s="701" t="s">
        <v>18</v>
      </c>
      <c r="D248" s="574" t="s">
        <v>38</v>
      </c>
      <c r="E248" s="169"/>
      <c r="F248" s="169"/>
      <c r="G248" s="170"/>
      <c r="H248" s="171"/>
      <c r="I248" s="163"/>
      <c r="J248" s="54"/>
      <c r="K248" s="55"/>
      <c r="L248" s="62"/>
      <c r="M248" s="55"/>
      <c r="N248" s="55"/>
      <c r="O248" s="164"/>
      <c r="P248" s="164"/>
      <c r="Q248" s="55"/>
      <c r="R248" s="55"/>
      <c r="S248" s="55"/>
      <c r="T248" s="164"/>
      <c r="U248" s="164"/>
    </row>
    <row r="249" spans="1:21" ht="18.75" hidden="1">
      <c r="A249" s="166"/>
      <c r="B249" s="167"/>
      <c r="C249" s="167"/>
      <c r="D249" s="207" t="s">
        <v>108</v>
      </c>
      <c r="E249" s="174"/>
      <c r="F249" s="174"/>
      <c r="G249" s="171"/>
      <c r="H249" s="698" t="s">
        <v>35</v>
      </c>
      <c r="I249" s="483">
        <f ca="1">IFERROR(__xludf.DUMMYFUNCTION("IMPORTRANGE(""https://docs.google.com/spreadsheets/d/1eHaY18a8A9IcSdp1K8H6x8fbOy06t2VsZHhMHf-1x7Y/edit?usp=sharing"",""แผน!BG43"")"),0)</f>
        <v>0</v>
      </c>
      <c r="J249" s="589">
        <v>0</v>
      </c>
      <c r="K249" s="102">
        <f ca="1">IF(I249&gt;0,J249*100/I249,0)</f>
        <v>0</v>
      </c>
      <c r="L249" s="62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8.75" hidden="1">
      <c r="A250" s="166"/>
      <c r="B250" s="167"/>
      <c r="C250" s="167"/>
      <c r="D250" s="700" t="s">
        <v>43</v>
      </c>
      <c r="E250" s="174"/>
      <c r="F250" s="174"/>
      <c r="G250" s="171"/>
      <c r="H250" s="171"/>
      <c r="I250" s="54"/>
      <c r="J250" s="54"/>
      <c r="K250" s="55"/>
      <c r="L250" s="62"/>
      <c r="M250" s="55"/>
      <c r="N250" s="55"/>
      <c r="O250" s="164"/>
      <c r="P250" s="164"/>
      <c r="Q250" s="55"/>
      <c r="R250" s="55"/>
      <c r="S250" s="55"/>
      <c r="T250" s="164"/>
      <c r="U250" s="164"/>
    </row>
    <row r="251" spans="1:21" ht="18.75" hidden="1">
      <c r="A251" s="166"/>
      <c r="B251" s="167"/>
      <c r="C251" s="167"/>
      <c r="D251" s="167"/>
      <c r="E251" s="699" t="s">
        <v>109</v>
      </c>
      <c r="F251" s="174"/>
      <c r="G251" s="171"/>
      <c r="H251" s="698" t="s">
        <v>35</v>
      </c>
      <c r="I251" s="483">
        <v>0</v>
      </c>
      <c r="J251" s="589">
        <v>0</v>
      </c>
      <c r="K251" s="102">
        <f>IF(I251&gt;0,J251*100/I251,0)</f>
        <v>0</v>
      </c>
      <c r="L251" s="62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8.75" hidden="1">
      <c r="A252" s="166"/>
      <c r="B252" s="167"/>
      <c r="C252" s="167"/>
      <c r="D252" s="167"/>
      <c r="E252" s="699" t="s">
        <v>110</v>
      </c>
      <c r="F252" s="174"/>
      <c r="G252" s="171"/>
      <c r="H252" s="698" t="s">
        <v>61</v>
      </c>
      <c r="I252" s="483">
        <v>0</v>
      </c>
      <c r="J252" s="589">
        <v>0</v>
      </c>
      <c r="K252" s="102">
        <f>IF(I252&gt;0,J252*100/I252,0)</f>
        <v>0</v>
      </c>
      <c r="L252" s="62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9.5" hidden="1">
      <c r="A253" s="241"/>
      <c r="B253" s="242"/>
      <c r="C253" s="707" t="s">
        <v>112</v>
      </c>
      <c r="D253" s="244"/>
      <c r="E253" s="244"/>
      <c r="F253" s="244"/>
      <c r="G253" s="245"/>
      <c r="H253" s="706" t="s">
        <v>35</v>
      </c>
      <c r="I253" s="705">
        <f ca="1">I260</f>
        <v>0</v>
      </c>
      <c r="J253" s="705">
        <f>J260</f>
        <v>0</v>
      </c>
      <c r="K253" s="704">
        <f ca="1">IF(I253&gt;0,J253*100/I253,0)</f>
        <v>0</v>
      </c>
      <c r="L253" s="250"/>
      <c r="M253" s="249"/>
      <c r="N253" s="249"/>
      <c r="O253" s="249"/>
      <c r="P253" s="249"/>
      <c r="Q253" s="249"/>
      <c r="R253" s="249"/>
      <c r="S253" s="249"/>
      <c r="T253" s="249"/>
      <c r="U253" s="249"/>
    </row>
    <row r="254" spans="1:21" ht="19.5" hidden="1">
      <c r="A254" s="155"/>
      <c r="B254" s="50"/>
      <c r="C254" s="591" t="s">
        <v>18</v>
      </c>
      <c r="D254" s="703" t="s">
        <v>19</v>
      </c>
      <c r="E254" s="50"/>
      <c r="F254" s="50"/>
      <c r="G254" s="52"/>
      <c r="H254" s="418" t="s">
        <v>14</v>
      </c>
      <c r="I254" s="163"/>
      <c r="J254" s="163"/>
      <c r="K254" s="164"/>
      <c r="L254" s="541">
        <f ca="1">L255+L256+L257+L258</f>
        <v>0</v>
      </c>
      <c r="M254" s="55"/>
      <c r="N254" s="540">
        <f>N255+N256+N257+N258</f>
        <v>0</v>
      </c>
      <c r="O254" s="540">
        <f ca="1">IF(L254&gt;0,N254*100/L254,0)</f>
        <v>0</v>
      </c>
      <c r="P254" s="540">
        <f>IF(M254&gt;0,N254*100/M254,0)</f>
        <v>0</v>
      </c>
      <c r="Q254" s="55"/>
      <c r="R254" s="55"/>
      <c r="S254" s="55"/>
      <c r="T254" s="55"/>
      <c r="U254" s="55"/>
    </row>
    <row r="255" spans="1:21" ht="18.75" hidden="1">
      <c r="A255" s="155"/>
      <c r="B255" s="188"/>
      <c r="C255" s="50"/>
      <c r="D255" s="186" t="s">
        <v>86</v>
      </c>
      <c r="E255" s="50"/>
      <c r="F255" s="50"/>
      <c r="G255" s="52"/>
      <c r="H255" s="189" t="s">
        <v>14</v>
      </c>
      <c r="I255" s="163"/>
      <c r="J255" s="163"/>
      <c r="K255" s="164"/>
      <c r="L255" s="256">
        <f ca="1">IFERROR(__xludf.DUMMYFUNCTION("IMPORTRANGE(""https://docs.google.com/spreadsheets/d/1eHaY18a8A9IcSdp1K8H6x8fbOy06t2VsZHhMHf-1x7Y/edit?usp=sharing"",""แผน!BB43"")"),0)</f>
        <v>0</v>
      </c>
      <c r="M255" s="55"/>
      <c r="N255" s="702">
        <v>0</v>
      </c>
      <c r="O255" s="55"/>
      <c r="P255" s="55"/>
      <c r="Q255" s="55"/>
      <c r="R255" s="55"/>
      <c r="S255" s="55"/>
      <c r="T255" s="55"/>
      <c r="U255" s="55"/>
    </row>
    <row r="256" spans="1:21" ht="18.75" hidden="1">
      <c r="A256" s="238"/>
      <c r="B256" s="188"/>
      <c r="C256" s="188"/>
      <c r="D256" s="186" t="s">
        <v>88</v>
      </c>
      <c r="E256" s="50"/>
      <c r="F256" s="50"/>
      <c r="G256" s="52"/>
      <c r="H256" s="189" t="s">
        <v>14</v>
      </c>
      <c r="I256" s="54"/>
      <c r="J256" s="54"/>
      <c r="K256" s="55"/>
      <c r="L256" s="256">
        <f ca="1">IFERROR(__xludf.DUMMYFUNCTION("IMPORTRANGE(""https://docs.google.com/spreadsheets/d/1eHaY18a8A9IcSdp1K8H6x8fbOy06t2VsZHhMHf-1x7Y/edit?usp=sharing"",""แผน!BC43"")"),0)</f>
        <v>0</v>
      </c>
      <c r="M256" s="55"/>
      <c r="N256" s="702">
        <v>0</v>
      </c>
      <c r="O256" s="55"/>
      <c r="P256" s="55"/>
      <c r="Q256" s="55"/>
      <c r="R256" s="55"/>
      <c r="S256" s="55"/>
      <c r="T256" s="55"/>
      <c r="U256" s="55"/>
    </row>
    <row r="257" spans="1:21" ht="18.75" hidden="1">
      <c r="A257" s="238"/>
      <c r="B257" s="188"/>
      <c r="C257" s="188"/>
      <c r="D257" s="186" t="s">
        <v>106</v>
      </c>
      <c r="E257" s="50"/>
      <c r="F257" s="50"/>
      <c r="G257" s="52"/>
      <c r="H257" s="189" t="s">
        <v>14</v>
      </c>
      <c r="I257" s="54"/>
      <c r="J257" s="54"/>
      <c r="K257" s="55"/>
      <c r="L257" s="256">
        <f ca="1">IFERROR(__xludf.DUMMYFUNCTION("IMPORTRANGE(""https://docs.google.com/spreadsheets/d/1eHaY18a8A9IcSdp1K8H6x8fbOy06t2VsZHhMHf-1x7Y/edit?usp=sharing"",""แผน!BD43"")"),0)</f>
        <v>0</v>
      </c>
      <c r="M257" s="55"/>
      <c r="N257" s="702">
        <v>0</v>
      </c>
      <c r="O257" s="55"/>
      <c r="P257" s="55"/>
      <c r="Q257" s="55"/>
      <c r="R257" s="55"/>
      <c r="S257" s="55"/>
      <c r="T257" s="55"/>
      <c r="U257" s="55"/>
    </row>
    <row r="258" spans="1:21" ht="18.75" hidden="1">
      <c r="A258" s="238"/>
      <c r="B258" s="188"/>
      <c r="C258" s="188"/>
      <c r="D258" s="186" t="s">
        <v>107</v>
      </c>
      <c r="E258" s="50"/>
      <c r="F258" s="50"/>
      <c r="G258" s="52"/>
      <c r="H258" s="189" t="s">
        <v>14</v>
      </c>
      <c r="I258" s="54"/>
      <c r="J258" s="54"/>
      <c r="K258" s="55"/>
      <c r="L258" s="256">
        <f ca="1">IFERROR(__xludf.DUMMYFUNCTION("IMPORTRANGE(""https://docs.google.com/spreadsheets/d/1eHaY18a8A9IcSdp1K8H6x8fbOy06t2VsZHhMHf-1x7Y/edit?usp=sharing"",""แผน!BE43"")"),0)</f>
        <v>0</v>
      </c>
      <c r="M258" s="55"/>
      <c r="N258" s="702">
        <v>0</v>
      </c>
      <c r="O258" s="55"/>
      <c r="P258" s="55"/>
      <c r="Q258" s="55"/>
      <c r="R258" s="55"/>
      <c r="S258" s="55"/>
      <c r="T258" s="55"/>
      <c r="U258" s="55"/>
    </row>
    <row r="259" spans="1:21" ht="19.5" hidden="1">
      <c r="A259" s="166"/>
      <c r="B259" s="167"/>
      <c r="C259" s="701" t="s">
        <v>18</v>
      </c>
      <c r="D259" s="574" t="s">
        <v>38</v>
      </c>
      <c r="E259" s="169"/>
      <c r="F259" s="169"/>
      <c r="G259" s="170"/>
      <c r="H259" s="171"/>
      <c r="I259" s="163"/>
      <c r="J259" s="54"/>
      <c r="K259" s="55"/>
      <c r="L259" s="62"/>
      <c r="M259" s="55"/>
      <c r="N259" s="55"/>
      <c r="O259" s="164"/>
      <c r="P259" s="164"/>
      <c r="Q259" s="55"/>
      <c r="R259" s="55"/>
      <c r="S259" s="55"/>
      <c r="T259" s="164"/>
      <c r="U259" s="164"/>
    </row>
    <row r="260" spans="1:21" ht="18.75" hidden="1">
      <c r="A260" s="166"/>
      <c r="B260" s="167"/>
      <c r="C260" s="167"/>
      <c r="D260" s="207" t="s">
        <v>108</v>
      </c>
      <c r="E260" s="174"/>
      <c r="F260" s="174"/>
      <c r="G260" s="171"/>
      <c r="H260" s="698" t="s">
        <v>35</v>
      </c>
      <c r="I260" s="483">
        <f ca="1">IFERROR(__xludf.DUMMYFUNCTION("IMPORTRANGE(""https://docs.google.com/spreadsheets/d/1eHaY18a8A9IcSdp1K8H6x8fbOy06t2VsZHhMHf-1x7Y/edit?usp=sharing"",""แผน!BH43"")"),0)</f>
        <v>0</v>
      </c>
      <c r="J260" s="589">
        <v>0</v>
      </c>
      <c r="K260" s="102">
        <f ca="1">IF(I260&gt;0,J260*100/I260,0)</f>
        <v>0</v>
      </c>
      <c r="L260" s="62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8.75" hidden="1">
      <c r="A261" s="166"/>
      <c r="B261" s="167"/>
      <c r="C261" s="167"/>
      <c r="D261" s="700" t="s">
        <v>43</v>
      </c>
      <c r="E261" s="174"/>
      <c r="F261" s="174"/>
      <c r="G261" s="171"/>
      <c r="H261" s="171"/>
      <c r="I261" s="54"/>
      <c r="J261" s="54"/>
      <c r="K261" s="55"/>
      <c r="L261" s="62"/>
      <c r="M261" s="55"/>
      <c r="N261" s="55"/>
      <c r="O261" s="164"/>
      <c r="P261" s="164"/>
      <c r="Q261" s="55"/>
      <c r="R261" s="55"/>
      <c r="S261" s="55"/>
      <c r="T261" s="164"/>
      <c r="U261" s="164"/>
    </row>
    <row r="262" spans="1:21" ht="18.75" hidden="1">
      <c r="A262" s="166"/>
      <c r="B262" s="167"/>
      <c r="C262" s="167"/>
      <c r="D262" s="167"/>
      <c r="E262" s="699" t="s">
        <v>109</v>
      </c>
      <c r="F262" s="174"/>
      <c r="G262" s="171"/>
      <c r="H262" s="698" t="s">
        <v>35</v>
      </c>
      <c r="I262" s="54"/>
      <c r="J262" s="589">
        <v>0</v>
      </c>
      <c r="K262" s="102">
        <f>IF(I262&gt;0,J262*100/I262,0)</f>
        <v>0</v>
      </c>
      <c r="L262" s="62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8.75" hidden="1">
      <c r="A263" s="166"/>
      <c r="B263" s="167"/>
      <c r="C263" s="167"/>
      <c r="D263" s="167"/>
      <c r="E263" s="699" t="s">
        <v>110</v>
      </c>
      <c r="F263" s="174"/>
      <c r="G263" s="171"/>
      <c r="H263" s="698" t="s">
        <v>61</v>
      </c>
      <c r="I263" s="54"/>
      <c r="J263" s="589">
        <v>0</v>
      </c>
      <c r="K263" s="102">
        <f>IF(I263&gt;0,J263*100/I263,0)</f>
        <v>0</v>
      </c>
      <c r="L263" s="62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9.5">
      <c r="A264" s="697" t="s">
        <v>113</v>
      </c>
      <c r="B264" s="696"/>
      <c r="C264" s="696"/>
      <c r="D264" s="695"/>
      <c r="E264" s="695"/>
      <c r="F264" s="695"/>
      <c r="G264" s="694"/>
      <c r="H264" s="694"/>
      <c r="I264" s="693"/>
      <c r="J264" s="693"/>
      <c r="K264" s="691"/>
      <c r="L264" s="692"/>
      <c r="M264" s="691"/>
      <c r="N264" s="691"/>
      <c r="O264" s="691"/>
      <c r="P264" s="691"/>
      <c r="Q264" s="691"/>
      <c r="R264" s="691"/>
      <c r="S264" s="691"/>
      <c r="T264" s="691"/>
      <c r="U264" s="691"/>
    </row>
    <row r="265" spans="1:21" ht="19.5">
      <c r="A265" s="690"/>
      <c r="B265" s="689" t="s">
        <v>114</v>
      </c>
      <c r="C265" s="688"/>
      <c r="D265" s="661"/>
      <c r="E265" s="661"/>
      <c r="F265" s="661"/>
      <c r="G265" s="660"/>
      <c r="H265" s="687" t="s">
        <v>35</v>
      </c>
      <c r="I265" s="686">
        <f ca="1">I276</f>
        <v>22</v>
      </c>
      <c r="J265" s="686">
        <f>J276</f>
        <v>0</v>
      </c>
      <c r="K265" s="685">
        <f ca="1">IF(I265&gt;0,J265*100/I265,0)</f>
        <v>0</v>
      </c>
      <c r="L265" s="684"/>
      <c r="M265" s="683"/>
      <c r="N265" s="683"/>
      <c r="O265" s="683"/>
      <c r="P265" s="683"/>
      <c r="Q265" s="683"/>
      <c r="R265" s="683"/>
      <c r="S265" s="683"/>
      <c r="T265" s="683"/>
      <c r="U265" s="683"/>
    </row>
    <row r="266" spans="1:21" ht="19.5">
      <c r="A266" s="668"/>
      <c r="B266" s="667"/>
      <c r="C266" s="682" t="s">
        <v>18</v>
      </c>
      <c r="D266" s="681" t="s">
        <v>19</v>
      </c>
      <c r="E266" s="667"/>
      <c r="F266" s="667"/>
      <c r="G266" s="666"/>
      <c r="H266" s="680" t="s">
        <v>14</v>
      </c>
      <c r="I266" s="548"/>
      <c r="J266" s="548"/>
      <c r="K266" s="545"/>
      <c r="L266" s="679">
        <f ca="1">L267+L268</f>
        <v>0</v>
      </c>
      <c r="M266" s="678">
        <f ca="1">M267+M268</f>
        <v>5000</v>
      </c>
      <c r="N266" s="678">
        <f ca="1">N267+N268</f>
        <v>5000</v>
      </c>
      <c r="O266" s="678">
        <f ca="1">IF(L266&gt;0,N266*100/L266,0)</f>
        <v>0</v>
      </c>
      <c r="P266" s="678">
        <f ca="1">IF(M266&gt;0,N266*100/M266,0)</f>
        <v>100</v>
      </c>
      <c r="Q266" s="678">
        <f ca="1">Q267+Q268</f>
        <v>50660</v>
      </c>
      <c r="R266" s="678">
        <f ca="1">R267+R268</f>
        <v>50660</v>
      </c>
      <c r="S266" s="678">
        <f ca="1">S267+S268</f>
        <v>0</v>
      </c>
      <c r="T266" s="678">
        <f ca="1">IF(Q266&gt;0,S266*100/Q266,0)</f>
        <v>0</v>
      </c>
      <c r="U266" s="678">
        <f ca="1">IF(R266&gt;0,S266*100/R266,0)</f>
        <v>0</v>
      </c>
    </row>
    <row r="267" spans="1:21" ht="18.75" hidden="1">
      <c r="A267" s="673"/>
      <c r="B267" s="672"/>
      <c r="C267" s="672"/>
      <c r="D267" s="672"/>
      <c r="E267" s="186" t="s">
        <v>20</v>
      </c>
      <c r="F267" s="672"/>
      <c r="G267" s="671"/>
      <c r="H267" s="187" t="s">
        <v>14</v>
      </c>
      <c r="I267" s="677"/>
      <c r="J267" s="677"/>
      <c r="K267" s="676"/>
      <c r="L267" s="103">
        <f>L270+L273</f>
        <v>0</v>
      </c>
      <c r="M267" s="102">
        <f>M270+M273</f>
        <v>0</v>
      </c>
      <c r="N267" s="102">
        <f>N270+N273</f>
        <v>0</v>
      </c>
      <c r="O267" s="102">
        <f>IF(L267&gt;0,N267*100/L267,0)</f>
        <v>0</v>
      </c>
      <c r="P267" s="102">
        <f>IF(M267&gt;0,N267*100/M267,0)</f>
        <v>0</v>
      </c>
      <c r="Q267" s="102">
        <f>Q270+Q273</f>
        <v>0</v>
      </c>
      <c r="R267" s="102">
        <f>R270+R273</f>
        <v>0</v>
      </c>
      <c r="S267" s="102">
        <f>S270+S273</f>
        <v>0</v>
      </c>
      <c r="T267" s="102">
        <f>IF(Q267&gt;0,S267*100/Q267,0)</f>
        <v>0</v>
      </c>
      <c r="U267" s="102">
        <f>IF(R267&gt;0,S267*100/R267,0)</f>
        <v>0</v>
      </c>
    </row>
    <row r="268" spans="1:21" ht="18.75" hidden="1">
      <c r="A268" s="668"/>
      <c r="B268" s="667"/>
      <c r="C268" s="667"/>
      <c r="D268" s="667"/>
      <c r="E268" s="663" t="s">
        <v>21</v>
      </c>
      <c r="F268" s="667"/>
      <c r="G268" s="666"/>
      <c r="H268" s="549" t="s">
        <v>14</v>
      </c>
      <c r="I268" s="548"/>
      <c r="J268" s="548"/>
      <c r="K268" s="545"/>
      <c r="L268" s="664">
        <f ca="1">L271+L274</f>
        <v>0</v>
      </c>
      <c r="M268" s="555">
        <f ca="1">M271+M274</f>
        <v>5000</v>
      </c>
      <c r="N268" s="555">
        <f ca="1">N271+N274</f>
        <v>5000</v>
      </c>
      <c r="O268" s="555">
        <f ca="1">IF(L268&gt;0,N268*100/L268,0)</f>
        <v>0</v>
      </c>
      <c r="P268" s="555">
        <f ca="1">IF(M268&gt;0,N268*100/M268,0)</f>
        <v>100</v>
      </c>
      <c r="Q268" s="555">
        <f ca="1">Q271+Q274</f>
        <v>50660</v>
      </c>
      <c r="R268" s="555">
        <f ca="1">R271+R274</f>
        <v>50660</v>
      </c>
      <c r="S268" s="555">
        <f ca="1">S271+S274</f>
        <v>0</v>
      </c>
      <c r="T268" s="555">
        <f ca="1">IF(Q268&gt;0,S268*100/Q268,0)</f>
        <v>0</v>
      </c>
      <c r="U268" s="555">
        <f ca="1">IF(R268&gt;0,S268*100/R268,0)</f>
        <v>0</v>
      </c>
    </row>
    <row r="269" spans="1:21" ht="18.75">
      <c r="A269" s="668"/>
      <c r="B269" s="667"/>
      <c r="C269" s="667"/>
      <c r="D269" s="674" t="s">
        <v>22</v>
      </c>
      <c r="E269" s="667"/>
      <c r="F269" s="667"/>
      <c r="G269" s="666"/>
      <c r="H269" s="675" t="s">
        <v>14</v>
      </c>
      <c r="I269" s="659"/>
      <c r="J269" s="659"/>
      <c r="K269" s="657"/>
      <c r="L269" s="664">
        <f ca="1">L270+L271</f>
        <v>0</v>
      </c>
      <c r="M269" s="555">
        <f ca="1">M270+M271</f>
        <v>5000</v>
      </c>
      <c r="N269" s="555">
        <f ca="1">N270+N271</f>
        <v>5000</v>
      </c>
      <c r="O269" s="555">
        <f ca="1">IF(L269&gt;0,N269*100/L269,0)</f>
        <v>0</v>
      </c>
      <c r="P269" s="555">
        <f ca="1">IF(M269&gt;0,N269*100/M269,0)</f>
        <v>100</v>
      </c>
      <c r="Q269" s="555">
        <f ca="1">Q270+Q271</f>
        <v>50660</v>
      </c>
      <c r="R269" s="555">
        <f ca="1">R270+R271</f>
        <v>50660</v>
      </c>
      <c r="S269" s="555">
        <f ca="1">S270+S271</f>
        <v>0</v>
      </c>
      <c r="T269" s="555">
        <f ca="1">IF(Q269&gt;0,S269*100/Q269,0)</f>
        <v>0</v>
      </c>
      <c r="U269" s="555">
        <f ca="1">IF(R269&gt;0,S269*100/R269,0)</f>
        <v>0</v>
      </c>
    </row>
    <row r="270" spans="1:21" ht="18.75" hidden="1">
      <c r="A270" s="673"/>
      <c r="B270" s="672"/>
      <c r="C270" s="672"/>
      <c r="D270" s="672"/>
      <c r="E270" s="186" t="s">
        <v>36</v>
      </c>
      <c r="F270" s="672"/>
      <c r="G270" s="671"/>
      <c r="H270" s="189" t="s">
        <v>14</v>
      </c>
      <c r="I270" s="670"/>
      <c r="J270" s="670"/>
      <c r="K270" s="669"/>
      <c r="L270" s="103">
        <v>0</v>
      </c>
      <c r="M270" s="102">
        <v>0</v>
      </c>
      <c r="N270" s="102">
        <v>0</v>
      </c>
      <c r="O270" s="102">
        <f>IF(L270&gt;0,N270*100/L270,0)</f>
        <v>0</v>
      </c>
      <c r="P270" s="102">
        <f>IF(M270&gt;0,N270*100/M270,0)</f>
        <v>0</v>
      </c>
      <c r="Q270" s="102">
        <v>0</v>
      </c>
      <c r="R270" s="102">
        <v>0</v>
      </c>
      <c r="S270" s="102">
        <v>0</v>
      </c>
      <c r="T270" s="102">
        <f>IF(Q270&gt;0,S270*100/Q270,0)</f>
        <v>0</v>
      </c>
      <c r="U270" s="102">
        <f>IF(R270&gt;0,S270*100/R270,0)</f>
        <v>0</v>
      </c>
    </row>
    <row r="271" spans="1:21" ht="18.75" hidden="1">
      <c r="A271" s="668"/>
      <c r="B271" s="667"/>
      <c r="C271" s="667"/>
      <c r="D271" s="667"/>
      <c r="E271" s="663" t="s">
        <v>37</v>
      </c>
      <c r="F271" s="667"/>
      <c r="G271" s="666"/>
      <c r="H271" s="675" t="s">
        <v>14</v>
      </c>
      <c r="I271" s="659"/>
      <c r="J271" s="659"/>
      <c r="K271" s="657"/>
      <c r="L271" s="664">
        <f ca="1">IFERROR(__xludf.DUMMYFUNCTION("IMPORTRANGE(""https://docs.google.com/spreadsheets/d/1-uDff_7J0KD5mKrp0Vvzr7lt3OU09vwQwhkpOPPYv2Y/edit?usp=sharing"",""งบพรบ!DE43"")"),0)</f>
        <v>0</v>
      </c>
      <c r="M271" s="555">
        <f ca="1">IFERROR(__xludf.DUMMYFUNCTION("IMPORTRANGE(""https://docs.google.com/spreadsheets/d/1-uDff_7J0KD5mKrp0Vvzr7lt3OU09vwQwhkpOPPYv2Y/edit?usp=sharing"",""งบพรบ!DJ43"")"),5000)</f>
        <v>5000</v>
      </c>
      <c r="N271" s="555">
        <f ca="1">IFERROR(__xludf.DUMMYFUNCTION("IMPORTRANGE(""https://docs.google.com/spreadsheets/d/1-uDff_7J0KD5mKrp0Vvzr7lt3OU09vwQwhkpOPPYv2Y/edit?usp=sharing"",""งบพรบ!DL43"")"),5000)</f>
        <v>5000</v>
      </c>
      <c r="O271" s="555">
        <f ca="1">IF(L271&gt;0,N271*100/L271,0)</f>
        <v>0</v>
      </c>
      <c r="P271" s="555">
        <f ca="1">IF(M271&gt;0,N271*100/M271,0)</f>
        <v>100</v>
      </c>
      <c r="Q271" s="555">
        <f ca="1">IFERROR(__xludf.DUMMYFUNCTION("IMPORTRANGE(""https://docs.google.com/spreadsheets/d/1ItG2mGa2ceCfYo0BwxsXqNm01IGEUdYcSSLTEv9YCik/edit?usp=sharing"",""เบิกจ่ายกองทุน!AJ43"")"),50660)</f>
        <v>50660</v>
      </c>
      <c r="R271" s="555">
        <f ca="1">IFERROR(__xludf.DUMMYFUNCTION("IMPORTRANGE(""https://docs.google.com/spreadsheets/d/1ItG2mGa2ceCfYo0BwxsXqNm01IGEUdYcSSLTEv9YCik/edit?usp=sharing"",""เบิกจ่ายกองทุน!AK43"")"),50660)</f>
        <v>50660</v>
      </c>
      <c r="S271" s="555">
        <f ca="1">IFERROR(__xludf.DUMMYFUNCTION("IMPORTRANGE(""https://docs.google.com/spreadsheets/d/1ItG2mGa2ceCfYo0BwxsXqNm01IGEUdYcSSLTEv9YCik/edit?usp=sharing"",""เบิกจ่ายกองทุน!AL43"")"),0)</f>
        <v>0</v>
      </c>
      <c r="T271" s="555">
        <f ca="1">IF(Q271&gt;0,S271*100/Q271,0)</f>
        <v>0</v>
      </c>
      <c r="U271" s="555">
        <f ca="1">IF(R271&gt;0,S271*100/R271,0)</f>
        <v>0</v>
      </c>
    </row>
    <row r="272" spans="1:21" ht="18.75">
      <c r="A272" s="668"/>
      <c r="B272" s="667"/>
      <c r="C272" s="667"/>
      <c r="D272" s="674" t="s">
        <v>23</v>
      </c>
      <c r="E272" s="667"/>
      <c r="F272" s="667"/>
      <c r="G272" s="666"/>
      <c r="H272" s="665" t="s">
        <v>14</v>
      </c>
      <c r="I272" s="659"/>
      <c r="J272" s="659"/>
      <c r="K272" s="657"/>
      <c r="L272" s="664">
        <f ca="1">L273+L274</f>
        <v>0</v>
      </c>
      <c r="M272" s="555">
        <f ca="1">M273+M274</f>
        <v>0</v>
      </c>
      <c r="N272" s="555">
        <f ca="1">N273+N274</f>
        <v>0</v>
      </c>
      <c r="O272" s="555">
        <f ca="1">IF(L272&gt;0,N272*100/L272,0)</f>
        <v>0</v>
      </c>
      <c r="P272" s="555">
        <f ca="1">IF(M272&gt;0,N272*100/M272,0)</f>
        <v>0</v>
      </c>
      <c r="Q272" s="555">
        <f>Q273+Q274</f>
        <v>0</v>
      </c>
      <c r="R272" s="555">
        <f>R273+R274</f>
        <v>0</v>
      </c>
      <c r="S272" s="555">
        <f>S273+S274</f>
        <v>0</v>
      </c>
      <c r="T272" s="555">
        <f>IF(Q272&gt;0,S272*100/Q272,0)</f>
        <v>0</v>
      </c>
      <c r="U272" s="555">
        <f>IF(R272&gt;0,S272*100/R272,0)</f>
        <v>0</v>
      </c>
    </row>
    <row r="273" spans="1:21" ht="18.75" hidden="1">
      <c r="A273" s="673"/>
      <c r="B273" s="672"/>
      <c r="C273" s="672"/>
      <c r="D273" s="672"/>
      <c r="E273" s="186" t="s">
        <v>20</v>
      </c>
      <c r="F273" s="672"/>
      <c r="G273" s="671"/>
      <c r="H273" s="189" t="s">
        <v>14</v>
      </c>
      <c r="I273" s="670"/>
      <c r="J273" s="670"/>
      <c r="K273" s="669"/>
      <c r="L273" s="103">
        <v>0</v>
      </c>
      <c r="M273" s="102">
        <v>0</v>
      </c>
      <c r="N273" s="102">
        <v>0</v>
      </c>
      <c r="O273" s="102">
        <f>IF(L273&gt;0,N273*100/L273,0)</f>
        <v>0</v>
      </c>
      <c r="P273" s="102">
        <f>IF(M273&gt;0,N273*100/M273,0)</f>
        <v>0</v>
      </c>
      <c r="Q273" s="102">
        <v>0</v>
      </c>
      <c r="R273" s="102">
        <v>0</v>
      </c>
      <c r="S273" s="102">
        <v>0</v>
      </c>
      <c r="T273" s="102">
        <f>IF(Q273&gt;0,S273*100/Q273,0)</f>
        <v>0</v>
      </c>
      <c r="U273" s="102">
        <f>IF(R273&gt;0,S273*100/R273,0)</f>
        <v>0</v>
      </c>
    </row>
    <row r="274" spans="1:21" ht="18.75" hidden="1">
      <c r="A274" s="668"/>
      <c r="B274" s="667"/>
      <c r="C274" s="667"/>
      <c r="D274" s="667"/>
      <c r="E274" s="663" t="s">
        <v>21</v>
      </c>
      <c r="F274" s="667"/>
      <c r="G274" s="666"/>
      <c r="H274" s="665" t="s">
        <v>14</v>
      </c>
      <c r="I274" s="659"/>
      <c r="J274" s="659"/>
      <c r="K274" s="657"/>
      <c r="L274" s="664">
        <f ca="1">IFERROR(__xludf.DUMMYFUNCTION("IMPORTRANGE(""https://docs.google.com/spreadsheets/d/1-uDff_7J0KD5mKrp0Vvzr7lt3OU09vwQwhkpOPPYv2Y/edit?usp=sharing"",""งบพรบ!DH43"")"),0)</f>
        <v>0</v>
      </c>
      <c r="M274" s="555">
        <f ca="1">IFERROR(__xludf.DUMMYFUNCTION("IMPORTRANGE(""https://docs.google.com/spreadsheets/d/1-uDff_7J0KD5mKrp0Vvzr7lt3OU09vwQwhkpOPPYv2Y/edit?usp=sharing"",""งบพรบ!DK43"")"),0)</f>
        <v>0</v>
      </c>
      <c r="N274" s="555">
        <f ca="1">IFERROR(__xludf.DUMMYFUNCTION("IMPORTRANGE(""https://docs.google.com/spreadsheets/d/1-uDff_7J0KD5mKrp0Vvzr7lt3OU09vwQwhkpOPPYv2Y/edit?usp=sharing"",""งบพรบ!DM43"")"),0)</f>
        <v>0</v>
      </c>
      <c r="O274" s="555">
        <f ca="1">IF(L274&gt;0,N274*100/L274,0)</f>
        <v>0</v>
      </c>
      <c r="P274" s="555">
        <f ca="1">IF(M274&gt;0,N274*100/M274,0)</f>
        <v>0</v>
      </c>
      <c r="Q274" s="555">
        <v>0</v>
      </c>
      <c r="R274" s="555">
        <v>0</v>
      </c>
      <c r="S274" s="555">
        <v>0</v>
      </c>
      <c r="T274" s="555">
        <f>IF(Q274&gt;0,S274*100/Q274,0)</f>
        <v>0</v>
      </c>
      <c r="U274" s="555">
        <f>IF(R274&gt;0,S274*100/R274,0)</f>
        <v>0</v>
      </c>
    </row>
    <row r="275" spans="1:21" ht="19.5">
      <c r="A275" s="554"/>
      <c r="B275" s="553"/>
      <c r="C275" s="663" t="s">
        <v>18</v>
      </c>
      <c r="D275" s="662" t="s">
        <v>38</v>
      </c>
      <c r="E275" s="661"/>
      <c r="F275" s="661"/>
      <c r="G275" s="660"/>
      <c r="H275" s="550"/>
      <c r="I275" s="659"/>
      <c r="J275" s="659"/>
      <c r="K275" s="657"/>
      <c r="L275" s="658"/>
      <c r="M275" s="657"/>
      <c r="N275" s="657"/>
      <c r="O275" s="657"/>
      <c r="P275" s="657"/>
      <c r="Q275" s="657"/>
      <c r="R275" s="657"/>
      <c r="S275" s="657"/>
      <c r="T275" s="657"/>
      <c r="U275" s="657"/>
    </row>
    <row r="276" spans="1:21" ht="18.75">
      <c r="A276" s="656"/>
      <c r="B276" s="655"/>
      <c r="C276" s="655"/>
      <c r="D276" s="654" t="s">
        <v>115</v>
      </c>
      <c r="E276" s="653"/>
      <c r="F276" s="653"/>
      <c r="G276" s="652"/>
      <c r="H276" s="651" t="s">
        <v>35</v>
      </c>
      <c r="I276" s="650">
        <f ca="1">IFERROR(__xludf.DUMMYFUNCTION("IMPORTRANGE(""https://docs.google.com/spreadsheets/d/1eHaY18a8A9IcSdp1K8H6x8fbOy06t2VsZHhMHf-1x7Y/edit?usp=sharing"",""แผน!EC43"")"),22)</f>
        <v>22</v>
      </c>
      <c r="J276" s="649">
        <v>0</v>
      </c>
      <c r="K276" s="648">
        <f ca="1">IF(I276&gt;0,J276*100/I276,0)</f>
        <v>0</v>
      </c>
      <c r="L276" s="546"/>
      <c r="M276" s="545"/>
      <c r="N276" s="545"/>
      <c r="O276" s="545"/>
      <c r="P276" s="545"/>
      <c r="Q276" s="545"/>
      <c r="R276" s="545"/>
      <c r="S276" s="545"/>
      <c r="T276" s="545"/>
      <c r="U276" s="545"/>
    </row>
    <row r="277" spans="1:21" ht="18.75" hidden="1">
      <c r="A277" s="281"/>
      <c r="B277" s="282"/>
      <c r="C277" s="282"/>
      <c r="D277" s="647" t="s">
        <v>116</v>
      </c>
      <c r="E277" s="2"/>
      <c r="F277" s="2"/>
      <c r="G277" s="284"/>
      <c r="H277" s="646" t="s">
        <v>35</v>
      </c>
      <c r="I277" s="486">
        <v>0</v>
      </c>
      <c r="J277" s="486">
        <v>0</v>
      </c>
      <c r="K277" s="645">
        <v>0</v>
      </c>
      <c r="L277" s="287"/>
      <c r="M277" s="286"/>
      <c r="N277" s="286"/>
      <c r="O277" s="286"/>
      <c r="P277" s="286"/>
      <c r="Q277" s="286"/>
      <c r="R277" s="286"/>
      <c r="S277" s="286"/>
      <c r="T277" s="286"/>
      <c r="U277" s="286"/>
    </row>
    <row r="278" spans="1:21" ht="19.5">
      <c r="A278" s="288" t="s">
        <v>117</v>
      </c>
      <c r="B278" s="289"/>
      <c r="C278" s="289"/>
      <c r="D278" s="289"/>
      <c r="E278" s="290"/>
      <c r="F278" s="290"/>
      <c r="G278" s="290"/>
      <c r="H278" s="290"/>
      <c r="I278" s="291"/>
      <c r="J278" s="291"/>
      <c r="K278" s="292"/>
      <c r="L278" s="292"/>
      <c r="M278" s="292"/>
      <c r="N278" s="292"/>
      <c r="O278" s="292"/>
      <c r="P278" s="293"/>
      <c r="Q278" s="292"/>
      <c r="R278" s="292"/>
      <c r="S278" s="292"/>
      <c r="T278" s="292"/>
      <c r="U278" s="293"/>
    </row>
    <row r="279" spans="1:21" ht="19.5" hidden="1">
      <c r="A279" s="294" t="s">
        <v>118</v>
      </c>
      <c r="B279" s="295"/>
      <c r="C279" s="296"/>
      <c r="D279" s="295"/>
      <c r="E279" s="295"/>
      <c r="F279" s="295"/>
      <c r="G279" s="295"/>
      <c r="H279" s="295"/>
      <c r="I279" s="297"/>
      <c r="J279" s="298"/>
      <c r="K279" s="299"/>
      <c r="L279" s="300"/>
      <c r="M279" s="299"/>
      <c r="N279" s="299"/>
      <c r="O279" s="299"/>
      <c r="P279" s="299"/>
      <c r="Q279" s="299"/>
      <c r="R279" s="299"/>
      <c r="S279" s="299"/>
      <c r="T279" s="299"/>
      <c r="U279" s="299"/>
    </row>
    <row r="280" spans="1:21" ht="19.5" hidden="1">
      <c r="A280" s="301"/>
      <c r="B280" s="302" t="s">
        <v>119</v>
      </c>
      <c r="C280" s="303"/>
      <c r="D280" s="304"/>
      <c r="E280" s="303"/>
      <c r="F280" s="303"/>
      <c r="G280" s="305"/>
      <c r="H280" s="306" t="s">
        <v>35</v>
      </c>
      <c r="I280" s="644">
        <f ca="1">I293</f>
        <v>0</v>
      </c>
      <c r="J280" s="644">
        <f>J293</f>
        <v>0</v>
      </c>
      <c r="K280" s="643">
        <f ca="1">IF(I280&gt;0,J280*100/I280,0)</f>
        <v>0</v>
      </c>
      <c r="L280" s="310"/>
      <c r="M280" s="309"/>
      <c r="N280" s="309"/>
      <c r="O280" s="309"/>
      <c r="P280" s="309"/>
      <c r="Q280" s="309"/>
      <c r="R280" s="309"/>
      <c r="S280" s="309"/>
      <c r="T280" s="309"/>
      <c r="U280" s="309"/>
    </row>
    <row r="281" spans="1:21" ht="19.5" hidden="1">
      <c r="A281" s="301"/>
      <c r="B281" s="303"/>
      <c r="C281" s="303"/>
      <c r="D281" s="304"/>
      <c r="E281" s="303"/>
      <c r="F281" s="303"/>
      <c r="G281" s="305"/>
      <c r="H281" s="306" t="s">
        <v>46</v>
      </c>
      <c r="I281" s="644">
        <f ca="1">I292</f>
        <v>0</v>
      </c>
      <c r="J281" s="644">
        <f>J292</f>
        <v>0</v>
      </c>
      <c r="K281" s="643">
        <f ca="1">IF(I281&gt;0,J281*100/I281,0)</f>
        <v>0</v>
      </c>
      <c r="L281" s="310"/>
      <c r="M281" s="309"/>
      <c r="N281" s="309"/>
      <c r="O281" s="309"/>
      <c r="P281" s="309"/>
      <c r="Q281" s="309"/>
      <c r="R281" s="309"/>
      <c r="S281" s="309"/>
      <c r="T281" s="309"/>
      <c r="U281" s="309"/>
    </row>
    <row r="282" spans="1:21" ht="19.5" hidden="1">
      <c r="A282" s="155"/>
      <c r="B282" s="50"/>
      <c r="C282" s="156" t="s">
        <v>18</v>
      </c>
      <c r="D282" s="575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541">
        <f ca="1">L283+L284</f>
        <v>0</v>
      </c>
      <c r="M282" s="540">
        <f ca="1">M283+M284</f>
        <v>0</v>
      </c>
      <c r="N282" s="540">
        <f ca="1">N283+N284</f>
        <v>0</v>
      </c>
      <c r="O282" s="540">
        <f ca="1">IF(L282&gt;0,N282*100/L282,0)</f>
        <v>0</v>
      </c>
      <c r="P282" s="540">
        <f ca="1">IF(M282&gt;0,N282*100/M282,0)</f>
        <v>0</v>
      </c>
      <c r="Q282" s="540">
        <f>Q283+Q284</f>
        <v>0</v>
      </c>
      <c r="R282" s="540">
        <f>R283+R284</f>
        <v>0</v>
      </c>
      <c r="S282" s="540">
        <f>S283+S284</f>
        <v>0</v>
      </c>
      <c r="T282" s="540">
        <f>IF(Q282&gt;0,S282*100/Q282,0)</f>
        <v>0</v>
      </c>
      <c r="U282" s="540">
        <f>IF(R282&gt;0,S282*100/R282,0)</f>
        <v>0</v>
      </c>
    </row>
    <row r="283" spans="1:21" ht="18.75" hidden="1">
      <c r="A283" s="155"/>
      <c r="B283" s="50"/>
      <c r="C283" s="50"/>
      <c r="D283" s="50"/>
      <c r="E283" s="186" t="s">
        <v>20</v>
      </c>
      <c r="F283" s="50"/>
      <c r="G283" s="52"/>
      <c r="H283" s="187" t="s">
        <v>14</v>
      </c>
      <c r="I283" s="54"/>
      <c r="J283" s="54"/>
      <c r="K283" s="55"/>
      <c r="L283" s="103">
        <f>L286+L289</f>
        <v>0</v>
      </c>
      <c r="M283" s="102">
        <f>M286+M289</f>
        <v>0</v>
      </c>
      <c r="N283" s="102">
        <f>N286+N289</f>
        <v>0</v>
      </c>
      <c r="O283" s="102">
        <f>IF(L283&gt;0,N283*100/L283,0)</f>
        <v>0</v>
      </c>
      <c r="P283" s="102">
        <f>IF(M283&gt;0,N283*100/M283,0)</f>
        <v>0</v>
      </c>
      <c r="Q283" s="102">
        <f>Q286+Q289</f>
        <v>0</v>
      </c>
      <c r="R283" s="102">
        <f>R286+R289</f>
        <v>0</v>
      </c>
      <c r="S283" s="102">
        <f>S286+S289</f>
        <v>0</v>
      </c>
      <c r="T283" s="102">
        <f>IF(Q283&gt;0,S283*100/Q283,0)</f>
        <v>0</v>
      </c>
      <c r="U283" s="102">
        <f>IF(R283&gt;0,S283*100/R283,0)</f>
        <v>0</v>
      </c>
    </row>
    <row r="284" spans="1:21" ht="18.75" hidden="1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256">
        <f ca="1">L287+L290</f>
        <v>0</v>
      </c>
      <c r="M284" s="255">
        <f ca="1">M287+M290</f>
        <v>0</v>
      </c>
      <c r="N284" s="255">
        <f ca="1">N287+N290</f>
        <v>0</v>
      </c>
      <c r="O284" s="255">
        <f ca="1">IF(L284&gt;0,N284*100/L284,0)</f>
        <v>0</v>
      </c>
      <c r="P284" s="255">
        <f ca="1">IF(M284&gt;0,N284*100/M284,0)</f>
        <v>0</v>
      </c>
      <c r="Q284" s="255">
        <f>Q287+Q290</f>
        <v>0</v>
      </c>
      <c r="R284" s="255">
        <f>R287+R290</f>
        <v>0</v>
      </c>
      <c r="S284" s="255">
        <f>S287+S290</f>
        <v>0</v>
      </c>
      <c r="T284" s="255">
        <f>IF(Q284&gt;0,S284*100/Q284,0)</f>
        <v>0</v>
      </c>
      <c r="U284" s="255">
        <f>IF(R284&gt;0,S284*100/R284,0)</f>
        <v>0</v>
      </c>
    </row>
    <row r="285" spans="1:21" ht="18.75" hidden="1">
      <c r="A285" s="155"/>
      <c r="B285" s="50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256">
        <f ca="1">L286+L287</f>
        <v>0</v>
      </c>
      <c r="M285" s="255">
        <f ca="1">M286+M287</f>
        <v>0</v>
      </c>
      <c r="N285" s="255">
        <f ca="1">N286+N287</f>
        <v>0</v>
      </c>
      <c r="O285" s="255">
        <f ca="1">IF(L285&gt;0,N285*100/L285,0)</f>
        <v>0</v>
      </c>
      <c r="P285" s="255">
        <f ca="1">IF(M285&gt;0,N285*100/M285,0)</f>
        <v>0</v>
      </c>
      <c r="Q285" s="255">
        <f>Q286+Q287</f>
        <v>0</v>
      </c>
      <c r="R285" s="255">
        <f>R286+R287</f>
        <v>0</v>
      </c>
      <c r="S285" s="255">
        <f>S286+S287</f>
        <v>0</v>
      </c>
      <c r="T285" s="255">
        <f>IF(Q285&gt;0,S285*100/Q285,0)</f>
        <v>0</v>
      </c>
      <c r="U285" s="255">
        <f>IF(R285&gt;0,S285*100/R285,0)</f>
        <v>0</v>
      </c>
    </row>
    <row r="286" spans="1:21" ht="18.75" hidden="1">
      <c r="A286" s="155"/>
      <c r="B286" s="50"/>
      <c r="C286" s="50"/>
      <c r="D286" s="50"/>
      <c r="E286" s="186" t="s">
        <v>36</v>
      </c>
      <c r="F286" s="50"/>
      <c r="G286" s="52"/>
      <c r="H286" s="189" t="s">
        <v>14</v>
      </c>
      <c r="I286" s="163"/>
      <c r="J286" s="163"/>
      <c r="K286" s="164"/>
      <c r="L286" s="103">
        <v>0</v>
      </c>
      <c r="M286" s="102">
        <v>0</v>
      </c>
      <c r="N286" s="102">
        <v>0</v>
      </c>
      <c r="O286" s="102">
        <f>IF(L286&gt;0,N286*100/L286,0)</f>
        <v>0</v>
      </c>
      <c r="P286" s="102">
        <f>IF(M286&gt;0,N286*100/M286,0)</f>
        <v>0</v>
      </c>
      <c r="Q286" s="102">
        <v>0</v>
      </c>
      <c r="R286" s="102">
        <v>0</v>
      </c>
      <c r="S286" s="102">
        <v>0</v>
      </c>
      <c r="T286" s="102">
        <f>IF(Q286&gt;0,S286*100/Q286,0)</f>
        <v>0</v>
      </c>
      <c r="U286" s="102">
        <f>IF(R286&gt;0,S286*100/R286,0)</f>
        <v>0</v>
      </c>
    </row>
    <row r="287" spans="1:21" ht="18.75" hidden="1">
      <c r="A287" s="155"/>
      <c r="B287" s="50"/>
      <c r="C287" s="50"/>
      <c r="D287" s="50"/>
      <c r="E287" s="58" t="s">
        <v>37</v>
      </c>
      <c r="F287" s="50"/>
      <c r="G287" s="52"/>
      <c r="H287" s="162" t="s">
        <v>14</v>
      </c>
      <c r="I287" s="163"/>
      <c r="J287" s="163"/>
      <c r="K287" s="164"/>
      <c r="L287" s="256">
        <f ca="1">IFERROR(__xludf.DUMMYFUNCTION("IMPORTRANGE(""https://docs.google.com/spreadsheets/d/1-uDff_7J0KD5mKrp0Vvzr7lt3OU09vwQwhkpOPPYv2Y/edit?usp=sharing"",""งบพรบ!DO43"")"),0)</f>
        <v>0</v>
      </c>
      <c r="M287" s="255">
        <f ca="1">IFERROR(__xludf.DUMMYFUNCTION("IMPORTRANGE(""https://docs.google.com/spreadsheets/d/1-uDff_7J0KD5mKrp0Vvzr7lt3OU09vwQwhkpOPPYv2Y/edit?usp=sharing"",""งบพรบ!DT43"")"),0)</f>
        <v>0</v>
      </c>
      <c r="N287" s="255">
        <f ca="1">IFERROR(__xludf.DUMMYFUNCTION("IMPORTRANGE(""https://docs.google.com/spreadsheets/d/1-uDff_7J0KD5mKrp0Vvzr7lt3OU09vwQwhkpOPPYv2Y/edit?usp=sharing"",""งบพรบ!DV43"")"),0)</f>
        <v>0</v>
      </c>
      <c r="O287" s="255">
        <f ca="1">IF(L287&gt;0,N287*100/L287,0)</f>
        <v>0</v>
      </c>
      <c r="P287" s="255">
        <f ca="1">IF(M287&gt;0,N287*100/M287,0)</f>
        <v>0</v>
      </c>
      <c r="Q287" s="255">
        <v>0</v>
      </c>
      <c r="R287" s="255">
        <v>0</v>
      </c>
      <c r="S287" s="255">
        <v>0</v>
      </c>
      <c r="T287" s="102">
        <f>IF(Q287&gt;0,S287*100/Q287,0)</f>
        <v>0</v>
      </c>
      <c r="U287" s="102">
        <f>IF(R287&gt;0,S287*100/R287,0)</f>
        <v>0</v>
      </c>
    </row>
    <row r="288" spans="1:21" ht="18.75" hidden="1">
      <c r="A288" s="155"/>
      <c r="B288" s="50"/>
      <c r="C288" s="50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256">
        <f ca="1">L289+L290</f>
        <v>0</v>
      </c>
      <c r="M288" s="255">
        <f ca="1">M289+M290</f>
        <v>0</v>
      </c>
      <c r="N288" s="255">
        <f ca="1">N289+N290</f>
        <v>0</v>
      </c>
      <c r="O288" s="255">
        <f ca="1">IF(L288&gt;0,N288*100/L288,0)</f>
        <v>0</v>
      </c>
      <c r="P288" s="255">
        <f ca="1">IF(M288&gt;0,N288*100/M288,0)</f>
        <v>0</v>
      </c>
      <c r="Q288" s="255">
        <f>Q289+Q290</f>
        <v>0</v>
      </c>
      <c r="R288" s="255">
        <f>R289+R290</f>
        <v>0</v>
      </c>
      <c r="S288" s="255">
        <f>S289+S290</f>
        <v>0</v>
      </c>
      <c r="T288" s="255">
        <f>IF(Q288&gt;0,S288*100/Q288,0)</f>
        <v>0</v>
      </c>
      <c r="U288" s="255">
        <f>IF(R288&gt;0,S288*100/R288,0)</f>
        <v>0</v>
      </c>
    </row>
    <row r="289" spans="1:21" ht="18.75" hidden="1">
      <c r="A289" s="155"/>
      <c r="B289" s="50"/>
      <c r="C289" s="50"/>
      <c r="D289" s="50"/>
      <c r="E289" s="186" t="s">
        <v>20</v>
      </c>
      <c r="F289" s="50"/>
      <c r="G289" s="52"/>
      <c r="H289" s="189" t="s">
        <v>14</v>
      </c>
      <c r="I289" s="163"/>
      <c r="J289" s="163"/>
      <c r="K289" s="164"/>
      <c r="L289" s="103">
        <v>0</v>
      </c>
      <c r="M289" s="102">
        <v>0</v>
      </c>
      <c r="N289" s="102">
        <v>0</v>
      </c>
      <c r="O289" s="102">
        <f>IF(L289&gt;0,N289*100/L289,0)</f>
        <v>0</v>
      </c>
      <c r="P289" s="102">
        <f>IF(M289&gt;0,N289*100/M289,0)</f>
        <v>0</v>
      </c>
      <c r="Q289" s="102">
        <v>0</v>
      </c>
      <c r="R289" s="102">
        <v>0</v>
      </c>
      <c r="S289" s="102">
        <v>0</v>
      </c>
      <c r="T289" s="102">
        <f>IF(Q289&gt;0,S289*100/Q289,0)</f>
        <v>0</v>
      </c>
      <c r="U289" s="102">
        <f>IF(R289&gt;0,S289*100/R289,0)</f>
        <v>0</v>
      </c>
    </row>
    <row r="290" spans="1:21" ht="18.75" hidden="1">
      <c r="A290" s="155"/>
      <c r="B290" s="50"/>
      <c r="C290" s="50"/>
      <c r="D290" s="50"/>
      <c r="E290" s="58" t="s">
        <v>21</v>
      </c>
      <c r="F290" s="50"/>
      <c r="G290" s="52"/>
      <c r="H290" s="165" t="s">
        <v>14</v>
      </c>
      <c r="I290" s="163"/>
      <c r="J290" s="163"/>
      <c r="K290" s="164"/>
      <c r="L290" s="256">
        <f ca="1">IFERROR(__xludf.DUMMYFUNCTION("IMPORTRANGE(""https://docs.google.com/spreadsheets/d/1-uDff_7J0KD5mKrp0Vvzr7lt3OU09vwQwhkpOPPYv2Y/edit?usp=sharing"",""งบพรบ!DR43"")"),0)</f>
        <v>0</v>
      </c>
      <c r="M290" s="255">
        <f ca="1">IFERROR(__xludf.DUMMYFUNCTION("IMPORTRANGE(""https://docs.google.com/spreadsheets/d/1-uDff_7J0KD5mKrp0Vvzr7lt3OU09vwQwhkpOPPYv2Y/edit?usp=sharing"",""งบพรบ!DU43"")"),0)</f>
        <v>0</v>
      </c>
      <c r="N290" s="255">
        <f ca="1">IFERROR(__xludf.DUMMYFUNCTION("IMPORTRANGE(""https://docs.google.com/spreadsheets/d/1-uDff_7J0KD5mKrp0Vvzr7lt3OU09vwQwhkpOPPYv2Y/edit?usp=sharing"",""งบพรบ!DW43"")"),0)</f>
        <v>0</v>
      </c>
      <c r="O290" s="255">
        <f ca="1">IF(L290&gt;0,N290*100/L290,0)</f>
        <v>0</v>
      </c>
      <c r="P290" s="255">
        <f ca="1">IF(M290&gt;0,N290*100/M290,0)</f>
        <v>0</v>
      </c>
      <c r="Q290" s="255">
        <v>0</v>
      </c>
      <c r="R290" s="255">
        <v>0</v>
      </c>
      <c r="S290" s="255">
        <v>0</v>
      </c>
      <c r="T290" s="255">
        <f>IF(Q290&gt;0,S290*100/Q290,0)</f>
        <v>0</v>
      </c>
      <c r="U290" s="255">
        <f>IF(R290&gt;0,S290*100/R290,0)</f>
        <v>0</v>
      </c>
    </row>
    <row r="291" spans="1:21" ht="19.5" hidden="1">
      <c r="A291" s="166"/>
      <c r="B291" s="167"/>
      <c r="C291" s="156" t="s">
        <v>18</v>
      </c>
      <c r="D291" s="566" t="s">
        <v>38</v>
      </c>
      <c r="E291" s="169"/>
      <c r="F291" s="169"/>
      <c r="G291" s="170"/>
      <c r="H291" s="171"/>
      <c r="I291" s="163"/>
      <c r="J291" s="163"/>
      <c r="K291" s="164"/>
      <c r="L291" s="172"/>
      <c r="M291" s="164"/>
      <c r="N291" s="164"/>
      <c r="O291" s="164"/>
      <c r="P291" s="164"/>
      <c r="Q291" s="164"/>
      <c r="R291" s="164"/>
      <c r="S291" s="164"/>
      <c r="T291" s="164"/>
      <c r="U291" s="164"/>
    </row>
    <row r="292" spans="1:21" ht="18.75" hidden="1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212">
        <f ca="1">IFERROR(__xludf.DUMMYFUNCTION("IMPORTRANGE(""https://docs.google.com/spreadsheets/d/1eHaY18a8A9IcSdp1K8H6x8fbOy06t2VsZHhMHf-1x7Y/edit?usp=sharing"",""แผน!EE43"")"),0)</f>
        <v>0</v>
      </c>
      <c r="J292" s="467">
        <v>0</v>
      </c>
      <c r="K292" s="565">
        <f ca="1">IF(I292&gt;0,J292*100/I292,0)</f>
        <v>0</v>
      </c>
      <c r="L292" s="172"/>
      <c r="M292" s="164"/>
      <c r="N292" s="164"/>
      <c r="O292" s="164"/>
      <c r="P292" s="164"/>
      <c r="Q292" s="164"/>
      <c r="R292" s="164"/>
      <c r="S292" s="164"/>
      <c r="T292" s="164"/>
      <c r="U292" s="164"/>
    </row>
    <row r="293" spans="1:21" ht="19.5" hidden="1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373">
        <f ca="1">IFERROR(__xludf.DUMMYFUNCTION("IMPORTRANGE(""https://docs.google.com/spreadsheets/d/1eHaY18a8A9IcSdp1K8H6x8fbOy06t2VsZHhMHf-1x7Y/edit?usp=sharing"",""แผน!ED43"")"),0)</f>
        <v>0</v>
      </c>
      <c r="J293" s="373">
        <f>J296</f>
        <v>0</v>
      </c>
      <c r="K293" s="642">
        <f ca="1">IF(I293&gt;0,J293*100/I293,0)</f>
        <v>0</v>
      </c>
      <c r="L293" s="172"/>
      <c r="M293" s="164"/>
      <c r="N293" s="164"/>
      <c r="O293" s="164"/>
      <c r="P293" s="164"/>
      <c r="Q293" s="164"/>
      <c r="R293" s="164"/>
      <c r="S293" s="164"/>
      <c r="T293" s="164"/>
      <c r="U293" s="164"/>
    </row>
    <row r="294" spans="1:21" ht="19.5" hidden="1">
      <c r="A294" s="166"/>
      <c r="B294" s="167"/>
      <c r="C294" s="167"/>
      <c r="D294" s="174"/>
      <c r="E294" s="194" t="s">
        <v>122</v>
      </c>
      <c r="F294" s="174"/>
      <c r="G294" s="171"/>
      <c r="H294" s="171"/>
      <c r="I294" s="163"/>
      <c r="J294" s="54"/>
      <c r="K294" s="164"/>
      <c r="L294" s="172"/>
      <c r="M294" s="164"/>
      <c r="N294" s="164"/>
      <c r="O294" s="164"/>
      <c r="P294" s="164"/>
      <c r="Q294" s="164"/>
      <c r="R294" s="164"/>
      <c r="S294" s="164"/>
      <c r="T294" s="164"/>
      <c r="U294" s="164"/>
    </row>
    <row r="295" spans="1:21" ht="19.5" hidden="1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641">
        <f ca="1">IFERROR(__xludf.DUMMYFUNCTION("IMPORTRANGE(""https://docs.google.com/spreadsheets/d/1eHaY18a8A9IcSdp1K8H6x8fbOy06t2VsZHhMHf-1x7Y/edit?usp=sharing"",""แผน!ED43"")"),0)</f>
        <v>0</v>
      </c>
      <c r="J295" s="467">
        <v>0</v>
      </c>
      <c r="K295" s="565">
        <f ca="1">IF(I295&gt;0,J295*100/I295,0)</f>
        <v>0</v>
      </c>
      <c r="L295" s="172"/>
      <c r="M295" s="164"/>
      <c r="N295" s="164"/>
      <c r="O295" s="164"/>
      <c r="P295" s="164"/>
      <c r="Q295" s="164"/>
      <c r="R295" s="164"/>
      <c r="S295" s="164"/>
      <c r="T295" s="164"/>
      <c r="U295" s="164"/>
    </row>
    <row r="296" spans="1:21" ht="19.5" hidden="1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641">
        <f ca="1">IFERROR(__xludf.DUMMYFUNCTION("IMPORTRANGE(""https://docs.google.com/spreadsheets/d/1eHaY18a8A9IcSdp1K8H6x8fbOy06t2VsZHhMHf-1x7Y/edit?usp=sharing"",""แผน!ED43"")"),0)</f>
        <v>0</v>
      </c>
      <c r="J296" s="467">
        <v>0</v>
      </c>
      <c r="K296" s="565">
        <f ca="1">IF(I296&gt;0,J296*100/I296,0)</f>
        <v>0</v>
      </c>
      <c r="L296" s="172"/>
      <c r="M296" s="164"/>
      <c r="N296" s="164"/>
      <c r="O296" s="164"/>
      <c r="P296" s="164"/>
      <c r="Q296" s="164"/>
      <c r="R296" s="164"/>
      <c r="S296" s="164"/>
      <c r="T296" s="164"/>
      <c r="U296" s="164"/>
    </row>
    <row r="297" spans="1:21" ht="12.75" hidden="1">
      <c r="A297" s="192"/>
      <c r="B297" s="193"/>
      <c r="C297" s="193"/>
      <c r="D297" s="22"/>
      <c r="E297" s="22"/>
      <c r="F297" s="22"/>
      <c r="G297" s="23"/>
      <c r="H297" s="23"/>
      <c r="I297" s="24"/>
      <c r="J297" s="24"/>
      <c r="K297" s="25"/>
      <c r="L297" s="26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2.75" hidden="1">
      <c r="A298" s="192"/>
      <c r="B298" s="193"/>
      <c r="C298" s="193"/>
      <c r="D298" s="22"/>
      <c r="E298" s="22"/>
      <c r="F298" s="22"/>
      <c r="G298" s="23"/>
      <c r="H298" s="23"/>
      <c r="I298" s="24"/>
      <c r="J298" s="24"/>
      <c r="K298" s="25"/>
      <c r="L298" s="26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2.75" hidden="1">
      <c r="A299" s="311"/>
      <c r="B299" s="312"/>
      <c r="C299" s="312"/>
      <c r="D299" s="27"/>
      <c r="E299" s="27"/>
      <c r="F299" s="27"/>
      <c r="G299" s="17"/>
      <c r="H299" s="17"/>
      <c r="I299" s="18"/>
      <c r="J299" s="18"/>
      <c r="K299" s="19"/>
      <c r="L299" s="28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>
      <c r="A300" s="313" t="s">
        <v>125</v>
      </c>
      <c r="B300" s="314"/>
      <c r="C300" s="314"/>
      <c r="D300" s="314"/>
      <c r="E300" s="315"/>
      <c r="F300" s="315"/>
      <c r="G300" s="315"/>
      <c r="H300" s="315"/>
      <c r="I300" s="316"/>
      <c r="J300" s="316"/>
      <c r="K300" s="317"/>
      <c r="L300" s="317"/>
      <c r="M300" s="317"/>
      <c r="N300" s="317"/>
      <c r="O300" s="317"/>
      <c r="P300" s="318"/>
      <c r="Q300" s="317"/>
      <c r="R300" s="317"/>
      <c r="S300" s="317"/>
      <c r="T300" s="317"/>
      <c r="U300" s="318"/>
    </row>
    <row r="301" spans="1:21" ht="19.5">
      <c r="A301" s="319" t="s">
        <v>126</v>
      </c>
      <c r="B301" s="320"/>
      <c r="C301" s="320"/>
      <c r="D301" s="321"/>
      <c r="E301" s="321"/>
      <c r="F301" s="321"/>
      <c r="G301" s="322"/>
      <c r="H301" s="322"/>
      <c r="I301" s="323"/>
      <c r="J301" s="323"/>
      <c r="K301" s="324"/>
      <c r="L301" s="325"/>
      <c r="M301" s="324"/>
      <c r="N301" s="324"/>
      <c r="O301" s="324"/>
      <c r="P301" s="324"/>
      <c r="Q301" s="324"/>
      <c r="R301" s="324"/>
      <c r="S301" s="324"/>
      <c r="T301" s="324"/>
      <c r="U301" s="324"/>
    </row>
    <row r="302" spans="1:21" ht="19.5">
      <c r="A302" s="326"/>
      <c r="B302" s="327" t="s">
        <v>127</v>
      </c>
      <c r="C302" s="328"/>
      <c r="D302" s="328"/>
      <c r="E302" s="328"/>
      <c r="F302" s="328"/>
      <c r="G302" s="329"/>
      <c r="H302" s="330" t="s">
        <v>35</v>
      </c>
      <c r="I302" s="605">
        <f ca="1">I314</f>
        <v>30</v>
      </c>
      <c r="J302" s="605">
        <f>J314</f>
        <v>0</v>
      </c>
      <c r="K302" s="604">
        <f ca="1">IF(I302&gt;0,J302*100/I302,0)</f>
        <v>0</v>
      </c>
      <c r="L302" s="334"/>
      <c r="M302" s="333"/>
      <c r="N302" s="333"/>
      <c r="O302" s="333"/>
      <c r="P302" s="333"/>
      <c r="Q302" s="333"/>
      <c r="R302" s="333"/>
      <c r="S302" s="333"/>
      <c r="T302" s="333"/>
      <c r="U302" s="333"/>
    </row>
    <row r="303" spans="1:21" ht="19.5">
      <c r="A303" s="155"/>
      <c r="B303" s="50"/>
      <c r="C303" s="156" t="s">
        <v>18</v>
      </c>
      <c r="D303" s="575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541">
        <f ca="1">L304+L305</f>
        <v>0</v>
      </c>
      <c r="M303" s="540">
        <f ca="1">M304+M305</f>
        <v>0</v>
      </c>
      <c r="N303" s="540">
        <f ca="1">N304+N305</f>
        <v>0</v>
      </c>
      <c r="O303" s="540">
        <f ca="1">IF(L303&gt;0,N303*100/L303,0)</f>
        <v>0</v>
      </c>
      <c r="P303" s="540">
        <f ca="1">IF(M303&gt;0,N303*100/M303,0)</f>
        <v>0</v>
      </c>
      <c r="Q303" s="540">
        <f ca="1">Q304+Q305</f>
        <v>260958.39</v>
      </c>
      <c r="R303" s="540">
        <f ca="1">R304+R305</f>
        <v>260958</v>
      </c>
      <c r="S303" s="540">
        <f ca="1">S304+S305</f>
        <v>0</v>
      </c>
      <c r="T303" s="540">
        <f ca="1">IF(Q303&gt;0,S303*100/Q303,0)</f>
        <v>0</v>
      </c>
      <c r="U303" s="540">
        <f ca="1">IF(R303&gt;0,S303*100/R303,0)</f>
        <v>0</v>
      </c>
    </row>
    <row r="304" spans="1:21" ht="18.75" hidden="1">
      <c r="A304" s="155"/>
      <c r="B304" s="50"/>
      <c r="C304" s="50"/>
      <c r="D304" s="50"/>
      <c r="E304" s="186" t="s">
        <v>20</v>
      </c>
      <c r="F304" s="50"/>
      <c r="G304" s="52"/>
      <c r="H304" s="187" t="s">
        <v>14</v>
      </c>
      <c r="I304" s="54"/>
      <c r="J304" s="54"/>
      <c r="K304" s="55"/>
      <c r="L304" s="103">
        <f>L307+L310</f>
        <v>0</v>
      </c>
      <c r="M304" s="102">
        <f>M307+M310</f>
        <v>0</v>
      </c>
      <c r="N304" s="102">
        <f>N307+N310</f>
        <v>0</v>
      </c>
      <c r="O304" s="102">
        <f>IF(L304&gt;0,N304*100/L304,0)</f>
        <v>0</v>
      </c>
      <c r="P304" s="102">
        <f>IF(M304&gt;0,N304*100/M304,0)</f>
        <v>0</v>
      </c>
      <c r="Q304" s="102">
        <f>Q307+Q310</f>
        <v>0</v>
      </c>
      <c r="R304" s="102">
        <f>R307+R310</f>
        <v>0</v>
      </c>
      <c r="S304" s="102">
        <f>S307+S310</f>
        <v>0</v>
      </c>
      <c r="T304" s="102">
        <f>IF(Q304&gt;0,S304*100/Q304,0)</f>
        <v>0</v>
      </c>
      <c r="U304" s="102">
        <f>IF(R304&gt;0,S304*100/R304,0)</f>
        <v>0</v>
      </c>
    </row>
    <row r="305" spans="1:21" ht="18.75" hidden="1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256">
        <f ca="1">L308+L311</f>
        <v>0</v>
      </c>
      <c r="M305" s="255">
        <f ca="1">M308+M311</f>
        <v>0</v>
      </c>
      <c r="N305" s="255">
        <f ca="1">N308+N311</f>
        <v>0</v>
      </c>
      <c r="O305" s="255">
        <f ca="1">IF(L305&gt;0,N305*100/L305,0)</f>
        <v>0</v>
      </c>
      <c r="P305" s="255">
        <f ca="1">IF(M305&gt;0,N305*100/M305,0)</f>
        <v>0</v>
      </c>
      <c r="Q305" s="255">
        <f ca="1">Q308+Q311</f>
        <v>260958.39</v>
      </c>
      <c r="R305" s="255">
        <f ca="1">R308+R311</f>
        <v>260958</v>
      </c>
      <c r="S305" s="255">
        <f ca="1">S308+S311</f>
        <v>0</v>
      </c>
      <c r="T305" s="255">
        <f ca="1">IF(Q305&gt;0,S305*100/Q305,0)</f>
        <v>0</v>
      </c>
      <c r="U305" s="255">
        <f ca="1">IF(R305&gt;0,S305*100/R305,0)</f>
        <v>0</v>
      </c>
    </row>
    <row r="306" spans="1:21" ht="18.75">
      <c r="A306" s="155"/>
      <c r="B306" s="50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256">
        <f ca="1">L307+L308</f>
        <v>0</v>
      </c>
      <c r="M306" s="255">
        <f ca="1">M307+M308</f>
        <v>0</v>
      </c>
      <c r="N306" s="255">
        <f ca="1">N307+N308</f>
        <v>0</v>
      </c>
      <c r="O306" s="255">
        <f ca="1">IF(L306&gt;0,N306*100/L306,0)</f>
        <v>0</v>
      </c>
      <c r="P306" s="255">
        <f ca="1">IF(M306&gt;0,N306*100/M306,0)</f>
        <v>0</v>
      </c>
      <c r="Q306" s="255">
        <f ca="1">Q307+Q308</f>
        <v>260958.39</v>
      </c>
      <c r="R306" s="255">
        <f ca="1">R307+R308</f>
        <v>260958</v>
      </c>
      <c r="S306" s="255">
        <f ca="1">S307+S308</f>
        <v>0</v>
      </c>
      <c r="T306" s="255">
        <f ca="1">IF(Q306&gt;0,S306*100/Q306,0)</f>
        <v>0</v>
      </c>
      <c r="U306" s="255">
        <f ca="1">IF(R306&gt;0,S306*100/R306,0)</f>
        <v>0</v>
      </c>
    </row>
    <row r="307" spans="1:21" ht="18.75" hidden="1">
      <c r="A307" s="155"/>
      <c r="B307" s="50"/>
      <c r="C307" s="50"/>
      <c r="D307" s="50"/>
      <c r="E307" s="186" t="s">
        <v>36</v>
      </c>
      <c r="F307" s="50"/>
      <c r="G307" s="52"/>
      <c r="H307" s="189" t="s">
        <v>14</v>
      </c>
      <c r="I307" s="163"/>
      <c r="J307" s="163"/>
      <c r="K307" s="164"/>
      <c r="L307" s="103">
        <v>0</v>
      </c>
      <c r="M307" s="102">
        <v>0</v>
      </c>
      <c r="N307" s="102">
        <v>0</v>
      </c>
      <c r="O307" s="102">
        <f>IF(L307&gt;0,N307*100/L307,0)</f>
        <v>0</v>
      </c>
      <c r="P307" s="102">
        <f>IF(M307&gt;0,N307*100/M307,0)</f>
        <v>0</v>
      </c>
      <c r="Q307" s="102">
        <v>0</v>
      </c>
      <c r="R307" s="102">
        <v>0</v>
      </c>
      <c r="S307" s="102">
        <v>0</v>
      </c>
      <c r="T307" s="102">
        <f>IF(Q307&gt;0,S307*100/Q307,0)</f>
        <v>0</v>
      </c>
      <c r="U307" s="102">
        <f>IF(R307&gt;0,S307*100/R307,0)</f>
        <v>0</v>
      </c>
    </row>
    <row r="308" spans="1:21" ht="18.75" hidden="1">
      <c r="A308" s="155"/>
      <c r="B308" s="50"/>
      <c r="C308" s="50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256">
        <f ca="1">IFERROR(__xludf.DUMMYFUNCTION("IMPORTRANGE(""https://docs.google.com/spreadsheets/d/1-uDff_7J0KD5mKrp0Vvzr7lt3OU09vwQwhkpOPPYv2Y/edit?usp=sharing"",""งบพรบ!DY43"")"),0)</f>
        <v>0</v>
      </c>
      <c r="M308" s="255">
        <f ca="1">IFERROR(__xludf.DUMMYFUNCTION("IMPORTRANGE(""https://docs.google.com/spreadsheets/d/1-uDff_7J0KD5mKrp0Vvzr7lt3OU09vwQwhkpOPPYv2Y/edit?usp=sharing"",""งบพรบ!ED43"")"),0)</f>
        <v>0</v>
      </c>
      <c r="N308" s="255">
        <f ca="1">IFERROR(__xludf.DUMMYFUNCTION("IMPORTRANGE(""https://docs.google.com/spreadsheets/d/1-uDff_7J0KD5mKrp0Vvzr7lt3OU09vwQwhkpOPPYv2Y/edit?usp=sharing"",""งบพรบ!EF43"")"),0)</f>
        <v>0</v>
      </c>
      <c r="O308" s="255">
        <f ca="1">IF(L308&gt;0,N308*100/L308,0)</f>
        <v>0</v>
      </c>
      <c r="P308" s="255">
        <f ca="1">IF(M308&gt;0,N308*100/M308,0)</f>
        <v>0</v>
      </c>
      <c r="Q308" s="255">
        <f ca="1">IFERROR(__xludf.DUMMYFUNCTION("IMPORTRANGE(""https://docs.google.com/spreadsheets/d/1ItG2mGa2ceCfYo0BwxsXqNm01IGEUdYcSSLTEv9YCik/edit?usp=sharing"",""เบิกจ่ายกองทุน!AP43"")"),260958.39)</f>
        <v>260958.39</v>
      </c>
      <c r="R308" s="255">
        <f ca="1">IFERROR(__xludf.DUMMYFUNCTION("IMPORTRANGE(""https://docs.google.com/spreadsheets/d/1ItG2mGa2ceCfYo0BwxsXqNm01IGEUdYcSSLTEv9YCik/edit?usp=sharing"",""เบิกจ่ายกองทุน!AQ43"")"),260958)</f>
        <v>260958</v>
      </c>
      <c r="S308" s="255">
        <f ca="1">IFERROR(__xludf.DUMMYFUNCTION("IMPORTRANGE(""https://docs.google.com/spreadsheets/d/1ItG2mGa2ceCfYo0BwxsXqNm01IGEUdYcSSLTEv9YCik/edit?usp=sharing"",""เบิกจ่ายกองทุน!AR43"")"),0)</f>
        <v>0</v>
      </c>
      <c r="T308" s="255">
        <f ca="1">IF(Q308&gt;0,S308*100/Q308,0)</f>
        <v>0</v>
      </c>
      <c r="U308" s="255">
        <f ca="1">IF(R308&gt;0,S308*100/R308,0)</f>
        <v>0</v>
      </c>
    </row>
    <row r="309" spans="1:21" ht="18.75">
      <c r="A309" s="155"/>
      <c r="B309" s="50"/>
      <c r="C309" s="50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256">
        <f ca="1">L310+L311</f>
        <v>0</v>
      </c>
      <c r="M309" s="255">
        <f ca="1">M310+M311</f>
        <v>0</v>
      </c>
      <c r="N309" s="255">
        <f ca="1">N310+N311</f>
        <v>0</v>
      </c>
      <c r="O309" s="255">
        <f ca="1">IF(L309&gt;0,N309*100/L309,0)</f>
        <v>0</v>
      </c>
      <c r="P309" s="255">
        <f ca="1">IF(M309&gt;0,N309*100/M309,0)</f>
        <v>0</v>
      </c>
      <c r="Q309" s="255">
        <f>Q310+Q311</f>
        <v>0</v>
      </c>
      <c r="R309" s="255">
        <f>R310+R311</f>
        <v>0</v>
      </c>
      <c r="S309" s="255">
        <f>S310+S311</f>
        <v>0</v>
      </c>
      <c r="T309" s="255">
        <f>IF(Q309&gt;0,S309*100/Q309,0)</f>
        <v>0</v>
      </c>
      <c r="U309" s="255">
        <f>IF(R309&gt;0,S309*100/R309,0)</f>
        <v>0</v>
      </c>
    </row>
    <row r="310" spans="1:21" ht="18.75" hidden="1">
      <c r="A310" s="155"/>
      <c r="B310" s="50"/>
      <c r="C310" s="50"/>
      <c r="D310" s="50"/>
      <c r="E310" s="186" t="s">
        <v>20</v>
      </c>
      <c r="F310" s="50"/>
      <c r="G310" s="52"/>
      <c r="H310" s="189" t="s">
        <v>14</v>
      </c>
      <c r="I310" s="163"/>
      <c r="J310" s="163"/>
      <c r="K310" s="164"/>
      <c r="L310" s="103">
        <v>0</v>
      </c>
      <c r="M310" s="102">
        <v>0</v>
      </c>
      <c r="N310" s="102">
        <v>0</v>
      </c>
      <c r="O310" s="102">
        <f>IF(L310&gt;0,N310*100/L310,0)</f>
        <v>0</v>
      </c>
      <c r="P310" s="102">
        <f>IF(M310&gt;0,N310*100/M310,0)</f>
        <v>0</v>
      </c>
      <c r="Q310" s="102">
        <v>0</v>
      </c>
      <c r="R310" s="102">
        <v>0</v>
      </c>
      <c r="S310" s="102">
        <v>0</v>
      </c>
      <c r="T310" s="102">
        <f>IF(Q310&gt;0,S310*100/Q310,0)</f>
        <v>0</v>
      </c>
      <c r="U310" s="102">
        <f>IF(R310&gt;0,S310*100/R310,0)</f>
        <v>0</v>
      </c>
    </row>
    <row r="311" spans="1:21" ht="18.75" hidden="1">
      <c r="A311" s="155"/>
      <c r="B311" s="50"/>
      <c r="C311" s="50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256">
        <f ca="1">IFERROR(__xludf.DUMMYFUNCTION("IMPORTRANGE(""https://docs.google.com/spreadsheets/d/1-uDff_7J0KD5mKrp0Vvzr7lt3OU09vwQwhkpOPPYv2Y/edit?usp=sharing"",""งบพรบ!EB43"")"),0)</f>
        <v>0</v>
      </c>
      <c r="M311" s="255">
        <f ca="1">IFERROR(__xludf.DUMMYFUNCTION("IMPORTRANGE(""https://docs.google.com/spreadsheets/d/1-uDff_7J0KD5mKrp0Vvzr7lt3OU09vwQwhkpOPPYv2Y/edit?usp=sharing"",""งบพรบ!EE43"")"),0)</f>
        <v>0</v>
      </c>
      <c r="N311" s="255">
        <f ca="1">IFERROR(__xludf.DUMMYFUNCTION("IMPORTRANGE(""https://docs.google.com/spreadsheets/d/1-uDff_7J0KD5mKrp0Vvzr7lt3OU09vwQwhkpOPPYv2Y/edit?usp=sharing"",""งบพรบ!EG43"")"),0)</f>
        <v>0</v>
      </c>
      <c r="O311" s="255">
        <f ca="1">IF(L311&gt;0,N311*100/L311,0)</f>
        <v>0</v>
      </c>
      <c r="P311" s="255">
        <f ca="1">IF(M311&gt;0,N311*100/M311,0)</f>
        <v>0</v>
      </c>
      <c r="Q311" s="255">
        <v>0</v>
      </c>
      <c r="R311" s="255">
        <v>0</v>
      </c>
      <c r="S311" s="255">
        <v>0</v>
      </c>
      <c r="T311" s="255">
        <f>IF(Q311&gt;0,S311*100/Q311,0)</f>
        <v>0</v>
      </c>
      <c r="U311" s="255">
        <f>IF(R311&gt;0,S311*100/R311,0)</f>
        <v>0</v>
      </c>
    </row>
    <row r="312" spans="1:21" ht="19.5">
      <c r="A312" s="166"/>
      <c r="B312" s="167"/>
      <c r="C312" s="156" t="s">
        <v>18</v>
      </c>
      <c r="D312" s="566" t="s">
        <v>38</v>
      </c>
      <c r="E312" s="169"/>
      <c r="F312" s="169"/>
      <c r="G312" s="170"/>
      <c r="H312" s="171"/>
      <c r="I312" s="54"/>
      <c r="J312" s="54"/>
      <c r="K312" s="55"/>
      <c r="L312" s="62"/>
      <c r="M312" s="55"/>
      <c r="N312" s="55"/>
      <c r="O312" s="55"/>
      <c r="P312" s="55"/>
      <c r="Q312" s="55"/>
      <c r="R312" s="55"/>
      <c r="S312" s="55"/>
      <c r="T312" s="55"/>
      <c r="U312" s="55"/>
    </row>
    <row r="313" spans="1:21" ht="18.75" hidden="1">
      <c r="A313" s="192"/>
      <c r="B313" s="193"/>
      <c r="C313" s="193"/>
      <c r="D313" s="640"/>
      <c r="E313" s="22"/>
      <c r="F313" s="22"/>
      <c r="G313" s="23"/>
      <c r="H313" s="23"/>
      <c r="I313" s="24"/>
      <c r="J313" s="638"/>
      <c r="K313" s="25"/>
      <c r="L313" s="26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8.75">
      <c r="A314" s="166"/>
      <c r="B314" s="167"/>
      <c r="C314" s="167"/>
      <c r="D314" s="178" t="s">
        <v>121</v>
      </c>
      <c r="E314" s="174"/>
      <c r="F314" s="174"/>
      <c r="G314" s="171"/>
      <c r="H314" s="179" t="s">
        <v>35</v>
      </c>
      <c r="I314" s="212">
        <f ca="1">IFERROR(__xludf.DUMMYFUNCTION("IMPORTRANGE(""https://docs.google.com/spreadsheets/d/1eHaY18a8A9IcSdp1K8H6x8fbOy06t2VsZHhMHf-1x7Y/edit?usp=sharing"",""แผน!EF43"")"),30)</f>
        <v>30</v>
      </c>
      <c r="J314" s="467">
        <v>0</v>
      </c>
      <c r="K314" s="255">
        <f ca="1">IF(I314&gt;0,J314*100/I314,0)</f>
        <v>0</v>
      </c>
      <c r="L314" s="62"/>
      <c r="M314" s="55"/>
      <c r="N314" s="55"/>
      <c r="O314" s="55"/>
      <c r="P314" s="55"/>
      <c r="Q314" s="55"/>
      <c r="R314" s="55"/>
      <c r="S314" s="55"/>
      <c r="T314" s="55"/>
      <c r="U314" s="55"/>
    </row>
    <row r="315" spans="1:21" ht="18.75" hidden="1">
      <c r="A315" s="192"/>
      <c r="B315" s="193"/>
      <c r="C315" s="193"/>
      <c r="D315" s="640"/>
      <c r="E315" s="22"/>
      <c r="F315" s="22"/>
      <c r="G315" s="23"/>
      <c r="H315" s="639"/>
      <c r="I315" s="638"/>
      <c r="J315" s="638"/>
      <c r="K315" s="637"/>
      <c r="L315" s="26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8.75" hidden="1">
      <c r="A316" s="192"/>
      <c r="B316" s="193"/>
      <c r="C316" s="193"/>
      <c r="D316" s="640"/>
      <c r="E316" s="22"/>
      <c r="F316" s="22"/>
      <c r="G316" s="23"/>
      <c r="H316" s="639"/>
      <c r="I316" s="638"/>
      <c r="J316" s="638"/>
      <c r="K316" s="637"/>
      <c r="L316" s="26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8.75" hidden="1">
      <c r="A317" s="192"/>
      <c r="B317" s="193"/>
      <c r="C317" s="193"/>
      <c r="D317" s="636"/>
      <c r="E317" s="22"/>
      <c r="F317" s="22"/>
      <c r="G317" s="23"/>
      <c r="H317" s="635"/>
      <c r="I317" s="634"/>
      <c r="J317" s="634"/>
      <c r="K317" s="633"/>
      <c r="L317" s="26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9.5" hidden="1">
      <c r="A318" s="319" t="s">
        <v>131</v>
      </c>
      <c r="B318" s="320"/>
      <c r="C318" s="320"/>
      <c r="D318" s="321"/>
      <c r="E318" s="320"/>
      <c r="F318" s="320"/>
      <c r="G318" s="320"/>
      <c r="H318" s="321"/>
      <c r="I318" s="323"/>
      <c r="J318" s="323"/>
      <c r="K318" s="324"/>
      <c r="L318" s="325"/>
      <c r="M318" s="324"/>
      <c r="N318" s="324"/>
      <c r="O318" s="324"/>
      <c r="P318" s="324"/>
      <c r="Q318" s="324"/>
      <c r="R318" s="324"/>
      <c r="S318" s="324"/>
      <c r="T318" s="324"/>
      <c r="U318" s="324"/>
    </row>
    <row r="319" spans="1:21" ht="19.5" hidden="1">
      <c r="A319" s="335"/>
      <c r="B319" s="327" t="s">
        <v>132</v>
      </c>
      <c r="C319" s="336"/>
      <c r="D319" s="337"/>
      <c r="E319" s="328"/>
      <c r="F319" s="328"/>
      <c r="G319" s="329"/>
      <c r="H319" s="330" t="s">
        <v>133</v>
      </c>
      <c r="I319" s="605">
        <f ca="1">I330</f>
        <v>0</v>
      </c>
      <c r="J319" s="605">
        <f>J330</f>
        <v>0</v>
      </c>
      <c r="K319" s="604">
        <f ca="1">IF(I319&gt;0,J319*100/I319,0)</f>
        <v>0</v>
      </c>
      <c r="L319" s="334"/>
      <c r="M319" s="333"/>
      <c r="N319" s="333"/>
      <c r="O319" s="333"/>
      <c r="P319" s="333"/>
      <c r="Q319" s="333"/>
      <c r="R319" s="333"/>
      <c r="S319" s="333"/>
      <c r="T319" s="333"/>
      <c r="U319" s="333"/>
    </row>
    <row r="320" spans="1:21" ht="19.5" hidden="1">
      <c r="A320" s="155"/>
      <c r="B320" s="50"/>
      <c r="C320" s="156" t="s">
        <v>18</v>
      </c>
      <c r="D320" s="575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541">
        <f ca="1">L321+L322</f>
        <v>0</v>
      </c>
      <c r="M320" s="540">
        <f ca="1">M321+M322</f>
        <v>0</v>
      </c>
      <c r="N320" s="540">
        <f ca="1">N321+N322</f>
        <v>0</v>
      </c>
      <c r="O320" s="540">
        <f ca="1">IF(L320&gt;0,N320*100/L320,0)</f>
        <v>0</v>
      </c>
      <c r="P320" s="540">
        <f ca="1">IF(M320&gt;0,N320*100/M320,0)</f>
        <v>0</v>
      </c>
      <c r="Q320" s="540">
        <f>Q321+Q322</f>
        <v>0</v>
      </c>
      <c r="R320" s="540">
        <f>R321+R322</f>
        <v>0</v>
      </c>
      <c r="S320" s="540">
        <f>S321+S322</f>
        <v>0</v>
      </c>
      <c r="T320" s="540">
        <f>IF(Q320&gt;0,S320*100/Q320,0)</f>
        <v>0</v>
      </c>
      <c r="U320" s="540">
        <f>IF(R320&gt;0,S320*100/R320,0)</f>
        <v>0</v>
      </c>
    </row>
    <row r="321" spans="1:21" ht="18.75" hidden="1">
      <c r="A321" s="155"/>
      <c r="B321" s="50"/>
      <c r="C321" s="50"/>
      <c r="D321" s="50"/>
      <c r="E321" s="186" t="s">
        <v>20</v>
      </c>
      <c r="F321" s="50"/>
      <c r="G321" s="52"/>
      <c r="H321" s="187" t="s">
        <v>14</v>
      </c>
      <c r="I321" s="54"/>
      <c r="J321" s="54"/>
      <c r="K321" s="55"/>
      <c r="L321" s="103">
        <f>L324+L327</f>
        <v>0</v>
      </c>
      <c r="M321" s="102">
        <f>M324+M327</f>
        <v>0</v>
      </c>
      <c r="N321" s="102">
        <f>N324+N327</f>
        <v>0</v>
      </c>
      <c r="O321" s="102">
        <f>IF(L321&gt;0,N321*100/L321,0)</f>
        <v>0</v>
      </c>
      <c r="P321" s="102">
        <f>IF(M321&gt;0,N321*100/M321,0)</f>
        <v>0</v>
      </c>
      <c r="Q321" s="102">
        <f>Q324+Q327</f>
        <v>0</v>
      </c>
      <c r="R321" s="102">
        <f>R324+R327</f>
        <v>0</v>
      </c>
      <c r="S321" s="102">
        <f>S324+S327</f>
        <v>0</v>
      </c>
      <c r="T321" s="102">
        <f>IF(Q321&gt;0,S321*100/Q321,0)</f>
        <v>0</v>
      </c>
      <c r="U321" s="102">
        <f>IF(R321&gt;0,S321*100/R321,0)</f>
        <v>0</v>
      </c>
    </row>
    <row r="322" spans="1:21" ht="18.75" hidden="1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256">
        <f ca="1">L325+L328</f>
        <v>0</v>
      </c>
      <c r="M322" s="255">
        <f ca="1">M325+M328</f>
        <v>0</v>
      </c>
      <c r="N322" s="255">
        <f ca="1">N325+N328</f>
        <v>0</v>
      </c>
      <c r="O322" s="255">
        <f ca="1">IF(L322&gt;0,N322*100/L322,0)</f>
        <v>0</v>
      </c>
      <c r="P322" s="255">
        <f ca="1">IF(M322&gt;0,N322*100/M322,0)</f>
        <v>0</v>
      </c>
      <c r="Q322" s="255">
        <f>Q325+Q328</f>
        <v>0</v>
      </c>
      <c r="R322" s="255">
        <f>R325+R328</f>
        <v>0</v>
      </c>
      <c r="S322" s="255">
        <f>S325+S328</f>
        <v>0</v>
      </c>
      <c r="T322" s="255">
        <f>IF(Q322&gt;0,S322*100/Q322,0)</f>
        <v>0</v>
      </c>
      <c r="U322" s="255">
        <f>IF(R322&gt;0,S322*100/R322,0)</f>
        <v>0</v>
      </c>
    </row>
    <row r="323" spans="1:21" ht="18.75" hidden="1">
      <c r="A323" s="155"/>
      <c r="B323" s="50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256">
        <f ca="1">L324+L325</f>
        <v>0</v>
      </c>
      <c r="M323" s="255">
        <f ca="1">M324+M325</f>
        <v>0</v>
      </c>
      <c r="N323" s="255">
        <f ca="1">N324+N325</f>
        <v>0</v>
      </c>
      <c r="O323" s="255">
        <f ca="1">IF(L323&gt;0,N323*100/L323,0)</f>
        <v>0</v>
      </c>
      <c r="P323" s="255">
        <f ca="1">IF(M323&gt;0,N323*100/M323,0)</f>
        <v>0</v>
      </c>
      <c r="Q323" s="255">
        <f>Q324+Q325</f>
        <v>0</v>
      </c>
      <c r="R323" s="255">
        <f>R324+R325</f>
        <v>0</v>
      </c>
      <c r="S323" s="255">
        <f>S324+S325</f>
        <v>0</v>
      </c>
      <c r="T323" s="255">
        <f>IF(Q323&gt;0,S323*100/Q323,0)</f>
        <v>0</v>
      </c>
      <c r="U323" s="255">
        <f>IF(R323&gt;0,S323*100/R323,0)</f>
        <v>0</v>
      </c>
    </row>
    <row r="324" spans="1:21" ht="18.75" hidden="1">
      <c r="A324" s="155"/>
      <c r="B324" s="50"/>
      <c r="C324" s="50"/>
      <c r="D324" s="50"/>
      <c r="E324" s="186" t="s">
        <v>36</v>
      </c>
      <c r="F324" s="50"/>
      <c r="G324" s="52"/>
      <c r="H324" s="189" t="s">
        <v>14</v>
      </c>
      <c r="I324" s="163"/>
      <c r="J324" s="163"/>
      <c r="K324" s="164"/>
      <c r="L324" s="103">
        <v>0</v>
      </c>
      <c r="M324" s="102">
        <v>0</v>
      </c>
      <c r="N324" s="102">
        <v>0</v>
      </c>
      <c r="O324" s="102">
        <f>IF(L324&gt;0,N324*100/L324,0)</f>
        <v>0</v>
      </c>
      <c r="P324" s="102">
        <f>IF(M324&gt;0,N324*100/M324,0)</f>
        <v>0</v>
      </c>
      <c r="Q324" s="102">
        <v>0</v>
      </c>
      <c r="R324" s="102">
        <v>0</v>
      </c>
      <c r="S324" s="102">
        <v>0</v>
      </c>
      <c r="T324" s="102">
        <f>IF(Q324&gt;0,S324*100/Q324,0)</f>
        <v>0</v>
      </c>
      <c r="U324" s="102">
        <f>IF(R324&gt;0,S324*100/R324,0)</f>
        <v>0</v>
      </c>
    </row>
    <row r="325" spans="1:21" ht="18.75" hidden="1">
      <c r="A325" s="155"/>
      <c r="B325" s="50"/>
      <c r="C325" s="50"/>
      <c r="D325" s="50"/>
      <c r="E325" s="58" t="s">
        <v>37</v>
      </c>
      <c r="F325" s="50"/>
      <c r="G325" s="52"/>
      <c r="H325" s="162" t="s">
        <v>14</v>
      </c>
      <c r="I325" s="163"/>
      <c r="J325" s="163"/>
      <c r="K325" s="164"/>
      <c r="L325" s="256">
        <f ca="1">IFERROR(__xludf.DUMMYFUNCTION("IMPORTRANGE(""https://docs.google.com/spreadsheets/d/1-uDff_7J0KD5mKrp0Vvzr7lt3OU09vwQwhkpOPPYv2Y/edit?usp=sharing"",""งบพรบ!EI43"")"),0)</f>
        <v>0</v>
      </c>
      <c r="M325" s="255">
        <f ca="1">IFERROR(__xludf.DUMMYFUNCTION("IMPORTRANGE(""https://docs.google.com/spreadsheets/d/1-uDff_7J0KD5mKrp0Vvzr7lt3OU09vwQwhkpOPPYv2Y/edit?usp=sharing"",""งบพรบ!EN43"")"),0)</f>
        <v>0</v>
      </c>
      <c r="N325" s="255">
        <f ca="1">IFERROR(__xludf.DUMMYFUNCTION("IMPORTRANGE(""https://docs.google.com/spreadsheets/d/1-uDff_7J0KD5mKrp0Vvzr7lt3OU09vwQwhkpOPPYv2Y/edit?usp=sharing"",""งบพรบ!EP43"")"),0)</f>
        <v>0</v>
      </c>
      <c r="O325" s="255">
        <f ca="1">IF(L325&gt;0,N325*100/L325,0)</f>
        <v>0</v>
      </c>
      <c r="P325" s="255">
        <f ca="1">IF(M325&gt;0,N325*100/M325,0)</f>
        <v>0</v>
      </c>
      <c r="Q325" s="255">
        <v>0</v>
      </c>
      <c r="R325" s="255">
        <v>0</v>
      </c>
      <c r="S325" s="255">
        <v>0</v>
      </c>
      <c r="T325" s="255">
        <f>IF(Q325&gt;0,S325*100/Q325,0)</f>
        <v>0</v>
      </c>
      <c r="U325" s="255">
        <f>IF(R325&gt;0,S325*100/R325,0)</f>
        <v>0</v>
      </c>
    </row>
    <row r="326" spans="1:21" ht="18.75" hidden="1">
      <c r="A326" s="155"/>
      <c r="B326" s="50"/>
      <c r="C326" s="50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256">
        <f ca="1">L327+L328</f>
        <v>0</v>
      </c>
      <c r="M326" s="255">
        <f ca="1">M327+M328</f>
        <v>0</v>
      </c>
      <c r="N326" s="255">
        <f ca="1">N327+N328</f>
        <v>0</v>
      </c>
      <c r="O326" s="255">
        <f ca="1">IF(L326&gt;0,N326*100/L326,0)</f>
        <v>0</v>
      </c>
      <c r="P326" s="255">
        <f ca="1">IF(M326&gt;0,N326*100/M326,0)</f>
        <v>0</v>
      </c>
      <c r="Q326" s="255">
        <f>Q327+Q328</f>
        <v>0</v>
      </c>
      <c r="R326" s="255">
        <f>R327+R328</f>
        <v>0</v>
      </c>
      <c r="S326" s="255">
        <f>S327+S328</f>
        <v>0</v>
      </c>
      <c r="T326" s="255">
        <f>IF(Q326&gt;0,S326*100/Q326,0)</f>
        <v>0</v>
      </c>
      <c r="U326" s="255">
        <f>IF(R326&gt;0,S326*100/R326,0)</f>
        <v>0</v>
      </c>
    </row>
    <row r="327" spans="1:21" ht="18.75" hidden="1">
      <c r="A327" s="155"/>
      <c r="B327" s="50"/>
      <c r="C327" s="50"/>
      <c r="D327" s="50"/>
      <c r="E327" s="186" t="s">
        <v>20</v>
      </c>
      <c r="F327" s="50"/>
      <c r="G327" s="52"/>
      <c r="H327" s="189" t="s">
        <v>14</v>
      </c>
      <c r="I327" s="163"/>
      <c r="J327" s="163"/>
      <c r="K327" s="164"/>
      <c r="L327" s="103">
        <v>0</v>
      </c>
      <c r="M327" s="102">
        <v>0</v>
      </c>
      <c r="N327" s="102">
        <v>0</v>
      </c>
      <c r="O327" s="102">
        <f>IF(L327&gt;0,N327*100/L327,0)</f>
        <v>0</v>
      </c>
      <c r="P327" s="102">
        <f>IF(M327&gt;0,N327*100/M327,0)</f>
        <v>0</v>
      </c>
      <c r="Q327" s="102">
        <v>0</v>
      </c>
      <c r="R327" s="102">
        <v>0</v>
      </c>
      <c r="S327" s="102">
        <v>0</v>
      </c>
      <c r="T327" s="102">
        <f>IF(Q327&gt;0,S327*100/Q327,0)</f>
        <v>0</v>
      </c>
      <c r="U327" s="102">
        <f>IF(R327&gt;0,S327*100/R327,0)</f>
        <v>0</v>
      </c>
    </row>
    <row r="328" spans="1:21" ht="18.75" hidden="1">
      <c r="A328" s="155"/>
      <c r="B328" s="50"/>
      <c r="C328" s="50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256">
        <f ca="1">IFERROR(__xludf.DUMMYFUNCTION("IMPORTRANGE(""https://docs.google.com/spreadsheets/d/1-uDff_7J0KD5mKrp0Vvzr7lt3OU09vwQwhkpOPPYv2Y/edit?usp=sharing"",""งบพรบ!EL43"")"),0)</f>
        <v>0</v>
      </c>
      <c r="M328" s="255">
        <f ca="1">IFERROR(__xludf.DUMMYFUNCTION("IMPORTRANGE(""https://docs.google.com/spreadsheets/d/1-uDff_7J0KD5mKrp0Vvzr7lt3OU09vwQwhkpOPPYv2Y/edit?usp=sharing"",""งบพรบ!EO43"")"),0)</f>
        <v>0</v>
      </c>
      <c r="N328" s="255">
        <f ca="1">IFERROR(__xludf.DUMMYFUNCTION("IMPORTRANGE(""https://docs.google.com/spreadsheets/d/1-uDff_7J0KD5mKrp0Vvzr7lt3OU09vwQwhkpOPPYv2Y/edit?usp=sharing"",""งบพรบ!EQ43"")"),0)</f>
        <v>0</v>
      </c>
      <c r="O328" s="255">
        <f ca="1">IF(L328&gt;0,N328*100/L328,0)</f>
        <v>0</v>
      </c>
      <c r="P328" s="255">
        <f ca="1">IF(M328&gt;0,N328*100/M328,0)</f>
        <v>0</v>
      </c>
      <c r="Q328" s="255">
        <v>0</v>
      </c>
      <c r="R328" s="255">
        <v>0</v>
      </c>
      <c r="S328" s="255">
        <v>0</v>
      </c>
      <c r="T328" s="255">
        <f>IF(Q328&gt;0,S328*100/Q328,0)</f>
        <v>0</v>
      </c>
      <c r="U328" s="255">
        <f>IF(R328&gt;0,S328*100/R328,0)</f>
        <v>0</v>
      </c>
    </row>
    <row r="329" spans="1:21" ht="19.5" hidden="1">
      <c r="A329" s="166"/>
      <c r="B329" s="167"/>
      <c r="C329" s="156" t="s">
        <v>18</v>
      </c>
      <c r="D329" s="566" t="s">
        <v>38</v>
      </c>
      <c r="E329" s="169"/>
      <c r="F329" s="169"/>
      <c r="G329" s="170"/>
      <c r="H329" s="171"/>
      <c r="I329" s="163"/>
      <c r="J329" s="54"/>
      <c r="K329" s="55"/>
      <c r="L329" s="62"/>
      <c r="M329" s="55"/>
      <c r="N329" s="55"/>
      <c r="O329" s="164"/>
      <c r="P329" s="164"/>
      <c r="Q329" s="55"/>
      <c r="R329" s="55"/>
      <c r="S329" s="55"/>
      <c r="T329" s="164"/>
      <c r="U329" s="164"/>
    </row>
    <row r="330" spans="1:21" ht="18.75" hidden="1">
      <c r="A330" s="166"/>
      <c r="B330" s="167"/>
      <c r="C330" s="167"/>
      <c r="D330" s="173" t="s">
        <v>134</v>
      </c>
      <c r="E330" s="174"/>
      <c r="F330" s="174"/>
      <c r="G330" s="171"/>
      <c r="H330" s="53" t="s">
        <v>133</v>
      </c>
      <c r="I330" s="212">
        <f ca="1">IFERROR(__xludf.DUMMYFUNCTION("IMPORTRANGE(""https://docs.google.com/spreadsheets/d/1eHaY18a8A9IcSdp1K8H6x8fbOy06t2VsZHhMHf-1x7Y/edit?usp=sharing"",""แผน!EJ43"")"),0)</f>
        <v>0</v>
      </c>
      <c r="J330" s="467">
        <v>0</v>
      </c>
      <c r="K330" s="255">
        <f ca="1">IF(I330&gt;0,J330*100/I330,0)</f>
        <v>0</v>
      </c>
      <c r="L330" s="62"/>
      <c r="M330" s="55"/>
      <c r="N330" s="55"/>
      <c r="O330" s="164"/>
      <c r="P330" s="164"/>
      <c r="Q330" s="55"/>
      <c r="R330" s="55"/>
      <c r="S330" s="55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1"/>
      <c r="I331" s="323"/>
      <c r="J331" s="323"/>
      <c r="K331" s="324"/>
      <c r="L331" s="325"/>
      <c r="M331" s="324"/>
      <c r="N331" s="324"/>
      <c r="O331" s="324"/>
      <c r="P331" s="324"/>
      <c r="Q331" s="324"/>
      <c r="R331" s="324"/>
      <c r="S331" s="324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30" t="s">
        <v>35</v>
      </c>
      <c r="I332" s="632">
        <f ca="1">I344</f>
        <v>2540</v>
      </c>
      <c r="J332" s="631">
        <f ca="1">J344+J347+J348+J349+J353</f>
        <v>16531</v>
      </c>
      <c r="K332" s="630">
        <f ca="1">IF(I332&gt;0,J332*100/I332,0)</f>
        <v>650.82677165354335</v>
      </c>
      <c r="L332" s="334"/>
      <c r="M332" s="333"/>
      <c r="N332" s="333"/>
      <c r="O332" s="333"/>
      <c r="P332" s="333"/>
      <c r="Q332" s="333"/>
      <c r="R332" s="333"/>
      <c r="S332" s="333"/>
      <c r="T332" s="333"/>
      <c r="U332" s="333"/>
    </row>
    <row r="333" spans="1:21" ht="19.5">
      <c r="A333" s="155"/>
      <c r="B333" s="50"/>
      <c r="C333" s="156" t="s">
        <v>18</v>
      </c>
      <c r="D333" s="575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541">
        <f ca="1">L334+L335</f>
        <v>113000</v>
      </c>
      <c r="M333" s="540">
        <f ca="1">M334+M335</f>
        <v>118000</v>
      </c>
      <c r="N333" s="540">
        <f ca="1">N334+N335</f>
        <v>100750</v>
      </c>
      <c r="O333" s="540">
        <f ca="1">IF(L333&gt;0,N333*100/L333,0)</f>
        <v>89.159292035398224</v>
      </c>
      <c r="P333" s="540">
        <f ca="1">IF(M333&gt;0,N333*100/M333,0)</f>
        <v>85.381355932203391</v>
      </c>
      <c r="Q333" s="540">
        <f>Q334+Q335</f>
        <v>0</v>
      </c>
      <c r="R333" s="540">
        <f>R334+R335</f>
        <v>0</v>
      </c>
      <c r="S333" s="540">
        <f>S334+S335</f>
        <v>0</v>
      </c>
      <c r="T333" s="540">
        <f>IF(Q333&gt;0,S333*100/Q333,0)</f>
        <v>0</v>
      </c>
      <c r="U333" s="540">
        <f>IF(R333&gt;0,S333*100/R333,0)</f>
        <v>0</v>
      </c>
    </row>
    <row r="334" spans="1:21" ht="18.75" hidden="1">
      <c r="A334" s="155"/>
      <c r="B334" s="50"/>
      <c r="C334" s="50"/>
      <c r="D334" s="50"/>
      <c r="E334" s="186" t="s">
        <v>20</v>
      </c>
      <c r="F334" s="50"/>
      <c r="G334" s="52"/>
      <c r="H334" s="187" t="s">
        <v>14</v>
      </c>
      <c r="I334" s="54"/>
      <c r="J334" s="54"/>
      <c r="K334" s="55"/>
      <c r="L334" s="103">
        <f>L337+L340</f>
        <v>0</v>
      </c>
      <c r="M334" s="102">
        <f>M337+M340</f>
        <v>0</v>
      </c>
      <c r="N334" s="102">
        <f>N337+N340</f>
        <v>0</v>
      </c>
      <c r="O334" s="102">
        <f>IF(L334&gt;0,N334*100/L334,0)</f>
        <v>0</v>
      </c>
      <c r="P334" s="102">
        <f>IF(M334&gt;0,N334*100/M334,0)</f>
        <v>0</v>
      </c>
      <c r="Q334" s="102">
        <f>Q337+Q340</f>
        <v>0</v>
      </c>
      <c r="R334" s="102">
        <f>R337+R340</f>
        <v>0</v>
      </c>
      <c r="S334" s="102">
        <f>S337+S340</f>
        <v>0</v>
      </c>
      <c r="T334" s="102">
        <f>IF(Q334&gt;0,S334*100/Q334,0)</f>
        <v>0</v>
      </c>
      <c r="U334" s="102">
        <f>IF(R334&gt;0,S334*100/R334,0)</f>
        <v>0</v>
      </c>
    </row>
    <row r="335" spans="1:21" ht="18.75" hidden="1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256">
        <f ca="1">L338+L341</f>
        <v>113000</v>
      </c>
      <c r="M335" s="255">
        <f ca="1">M338+M341</f>
        <v>118000</v>
      </c>
      <c r="N335" s="255">
        <f ca="1">N338+N341</f>
        <v>100750</v>
      </c>
      <c r="O335" s="255">
        <f ca="1">IF(L335&gt;0,N335*100/L335,0)</f>
        <v>89.159292035398224</v>
      </c>
      <c r="P335" s="255">
        <f ca="1">IF(M335&gt;0,N335*100/M335,0)</f>
        <v>85.381355932203391</v>
      </c>
      <c r="Q335" s="255">
        <f>Q338+Q341</f>
        <v>0</v>
      </c>
      <c r="R335" s="255">
        <f>R338+R341</f>
        <v>0</v>
      </c>
      <c r="S335" s="255">
        <f>S338+S341</f>
        <v>0</v>
      </c>
      <c r="T335" s="255">
        <f>IF(Q335&gt;0,S335*100/Q335,0)</f>
        <v>0</v>
      </c>
      <c r="U335" s="255">
        <f>IF(R335&gt;0,S335*100/R335,0)</f>
        <v>0</v>
      </c>
    </row>
    <row r="336" spans="1:21" ht="18.75">
      <c r="A336" s="155"/>
      <c r="B336" s="50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256">
        <f ca="1">L337+L338</f>
        <v>113000</v>
      </c>
      <c r="M336" s="255">
        <f ca="1">M337+M338</f>
        <v>118000</v>
      </c>
      <c r="N336" s="255">
        <f ca="1">N337+N338</f>
        <v>100750</v>
      </c>
      <c r="O336" s="255">
        <f ca="1">IF(L336&gt;0,N336*100/L336,0)</f>
        <v>89.159292035398224</v>
      </c>
      <c r="P336" s="255">
        <f ca="1">IF(M336&gt;0,N336*100/M336,0)</f>
        <v>85.381355932203391</v>
      </c>
      <c r="Q336" s="255">
        <f>Q337+Q338</f>
        <v>0</v>
      </c>
      <c r="R336" s="255">
        <f>R337+R338</f>
        <v>0</v>
      </c>
      <c r="S336" s="255">
        <f>S337+S338</f>
        <v>0</v>
      </c>
      <c r="T336" s="255">
        <f>IF(Q336&gt;0,S336*100/Q336,0)</f>
        <v>0</v>
      </c>
      <c r="U336" s="255">
        <f>IF(R336&gt;0,S336*100/R336,0)</f>
        <v>0</v>
      </c>
    </row>
    <row r="337" spans="1:21" ht="18.75" hidden="1">
      <c r="A337" s="155"/>
      <c r="B337" s="50"/>
      <c r="C337" s="50"/>
      <c r="D337" s="50"/>
      <c r="E337" s="186" t="s">
        <v>36</v>
      </c>
      <c r="F337" s="50"/>
      <c r="G337" s="52"/>
      <c r="H337" s="189" t="s">
        <v>14</v>
      </c>
      <c r="I337" s="163"/>
      <c r="J337" s="163"/>
      <c r="K337" s="164"/>
      <c r="L337" s="103">
        <v>0</v>
      </c>
      <c r="M337" s="102">
        <v>0</v>
      </c>
      <c r="N337" s="102">
        <v>0</v>
      </c>
      <c r="O337" s="102">
        <f>IF(L337&gt;0,N337*100/L337,0)</f>
        <v>0</v>
      </c>
      <c r="P337" s="102">
        <f>IF(M337&gt;0,N337*100/M337,0)</f>
        <v>0</v>
      </c>
      <c r="Q337" s="102">
        <v>0</v>
      </c>
      <c r="R337" s="102">
        <v>0</v>
      </c>
      <c r="S337" s="102">
        <v>0</v>
      </c>
      <c r="T337" s="102">
        <f>IF(Q337&gt;0,S337*100/Q337,0)</f>
        <v>0</v>
      </c>
      <c r="U337" s="102">
        <f>IF(R337&gt;0,S337*100/R337,0)</f>
        <v>0</v>
      </c>
    </row>
    <row r="338" spans="1:21" ht="18.75" hidden="1">
      <c r="A338" s="155"/>
      <c r="B338" s="50"/>
      <c r="C338" s="50"/>
      <c r="D338" s="50"/>
      <c r="E338" s="58" t="s">
        <v>37</v>
      </c>
      <c r="F338" s="50"/>
      <c r="G338" s="52"/>
      <c r="H338" s="162" t="s">
        <v>14</v>
      </c>
      <c r="I338" s="163"/>
      <c r="J338" s="163"/>
      <c r="K338" s="164"/>
      <c r="L338" s="256">
        <f ca="1">IFERROR(__xludf.DUMMYFUNCTION("IMPORTRANGE(""https://docs.google.com/spreadsheets/d/1-uDff_7J0KD5mKrp0Vvzr7lt3OU09vwQwhkpOPPYv2Y/edit?usp=sharing"",""งบพรบ!ES43"")"),113000)</f>
        <v>113000</v>
      </c>
      <c r="M338" s="255">
        <f ca="1">IFERROR(__xludf.DUMMYFUNCTION("IMPORTRANGE(""https://docs.google.com/spreadsheets/d/1-uDff_7J0KD5mKrp0Vvzr7lt3OU09vwQwhkpOPPYv2Y/edit?usp=sharing"",""งบพรบ!EX43"")"),118000)</f>
        <v>118000</v>
      </c>
      <c r="N338" s="255">
        <f ca="1">IFERROR(__xludf.DUMMYFUNCTION("IMPORTRANGE(""https://docs.google.com/spreadsheets/d/1-uDff_7J0KD5mKrp0Vvzr7lt3OU09vwQwhkpOPPYv2Y/edit?usp=sharing"",""งบพรบ!EZ43"")"),100750)</f>
        <v>100750</v>
      </c>
      <c r="O338" s="255">
        <f ca="1">IF(L338&gt;0,N338*100/L338,0)</f>
        <v>89.159292035398224</v>
      </c>
      <c r="P338" s="255">
        <f ca="1">IF(M338&gt;0,N338*100/M338,0)</f>
        <v>85.381355932203391</v>
      </c>
      <c r="Q338" s="255">
        <v>0</v>
      </c>
      <c r="R338" s="255">
        <v>0</v>
      </c>
      <c r="S338" s="255">
        <v>0</v>
      </c>
      <c r="T338" s="255">
        <f>IF(Q338&gt;0,S338*100/Q338,0)</f>
        <v>0</v>
      </c>
      <c r="U338" s="255">
        <f>IF(R338&gt;0,S338*100/R338,0)</f>
        <v>0</v>
      </c>
    </row>
    <row r="339" spans="1:21" ht="18.75">
      <c r="A339" s="155"/>
      <c r="B339" s="50"/>
      <c r="C339" s="50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256">
        <f ca="1">L340+L341</f>
        <v>0</v>
      </c>
      <c r="M339" s="255">
        <f ca="1">M340+M341</f>
        <v>0</v>
      </c>
      <c r="N339" s="255">
        <f ca="1">N340+N341</f>
        <v>0</v>
      </c>
      <c r="O339" s="255">
        <f ca="1">IF(L339&gt;0,N339*100/L339,0)</f>
        <v>0</v>
      </c>
      <c r="P339" s="255">
        <f ca="1">IF(M339&gt;0,N339*100/M339,0)</f>
        <v>0</v>
      </c>
      <c r="Q339" s="255">
        <f>Q340+Q341</f>
        <v>0</v>
      </c>
      <c r="R339" s="255">
        <f>R340+R341</f>
        <v>0</v>
      </c>
      <c r="S339" s="255">
        <f>S340+S341</f>
        <v>0</v>
      </c>
      <c r="T339" s="255">
        <f>IF(Q339&gt;0,S339*100/Q339,0)</f>
        <v>0</v>
      </c>
      <c r="U339" s="255">
        <f>IF(R339&gt;0,S339*100/R339,0)</f>
        <v>0</v>
      </c>
    </row>
    <row r="340" spans="1:21" ht="18.75" hidden="1">
      <c r="A340" s="155"/>
      <c r="B340" s="50"/>
      <c r="C340" s="50"/>
      <c r="D340" s="50"/>
      <c r="E340" s="186" t="s">
        <v>20</v>
      </c>
      <c r="F340" s="50"/>
      <c r="G340" s="52"/>
      <c r="H340" s="189" t="s">
        <v>14</v>
      </c>
      <c r="I340" s="163"/>
      <c r="J340" s="163"/>
      <c r="K340" s="164"/>
      <c r="L340" s="103">
        <v>0</v>
      </c>
      <c r="M340" s="102">
        <v>0</v>
      </c>
      <c r="N340" s="102">
        <v>0</v>
      </c>
      <c r="O340" s="102">
        <f>IF(L340&gt;0,N340*100/L340,0)</f>
        <v>0</v>
      </c>
      <c r="P340" s="102">
        <f>IF(M340&gt;0,N340*100/M340,0)</f>
        <v>0</v>
      </c>
      <c r="Q340" s="102">
        <v>0</v>
      </c>
      <c r="R340" s="102">
        <v>0</v>
      </c>
      <c r="S340" s="102">
        <v>0</v>
      </c>
      <c r="T340" s="102">
        <f>IF(Q340&gt;0,S340*100/Q340,0)</f>
        <v>0</v>
      </c>
      <c r="U340" s="102">
        <f>IF(R340&gt;0,S340*100/R340,0)</f>
        <v>0</v>
      </c>
    </row>
    <row r="341" spans="1:21" ht="18.75" hidden="1">
      <c r="A341" s="155"/>
      <c r="B341" s="50"/>
      <c r="C341" s="50"/>
      <c r="D341" s="50"/>
      <c r="E341" s="58" t="s">
        <v>21</v>
      </c>
      <c r="F341" s="50"/>
      <c r="G341" s="52"/>
      <c r="H341" s="165" t="s">
        <v>14</v>
      </c>
      <c r="I341" s="163"/>
      <c r="J341" s="163"/>
      <c r="K341" s="164"/>
      <c r="L341" s="256">
        <f ca="1">IFERROR(__xludf.DUMMYFUNCTION("IMPORTRANGE(""https://docs.google.com/spreadsheets/d/1-uDff_7J0KD5mKrp0Vvzr7lt3OU09vwQwhkpOPPYv2Y/edit?usp=sharing"",""งบพรบ!EV43"")"),0)</f>
        <v>0</v>
      </c>
      <c r="M341" s="255">
        <f ca="1">IFERROR(__xludf.DUMMYFUNCTION("IMPORTRANGE(""https://docs.google.com/spreadsheets/d/1-uDff_7J0KD5mKrp0Vvzr7lt3OU09vwQwhkpOPPYv2Y/edit?usp=sharing"",""งบพรบ!EY43"")"),0)</f>
        <v>0</v>
      </c>
      <c r="N341" s="255">
        <f ca="1">IFERROR(__xludf.DUMMYFUNCTION("IMPORTRANGE(""https://docs.google.com/spreadsheets/d/1-uDff_7J0KD5mKrp0Vvzr7lt3OU09vwQwhkpOPPYv2Y/edit?usp=sharing"",""งบพรบ!FA43"")"),0)</f>
        <v>0</v>
      </c>
      <c r="O341" s="255">
        <f ca="1">IF(L341&gt;0,N341*100/L341,0)</f>
        <v>0</v>
      </c>
      <c r="P341" s="255">
        <f ca="1">IF(M341&gt;0,N341*100/M341,0)</f>
        <v>0</v>
      </c>
      <c r="Q341" s="255">
        <v>0</v>
      </c>
      <c r="R341" s="255">
        <v>0</v>
      </c>
      <c r="S341" s="255">
        <v>0</v>
      </c>
      <c r="T341" s="255">
        <f>IF(Q341&gt;0,S341*100/Q341,0)</f>
        <v>0</v>
      </c>
      <c r="U341" s="255">
        <f>IF(R341&gt;0,S341*100/R341,0)</f>
        <v>0</v>
      </c>
    </row>
    <row r="342" spans="1:21" ht="19.5">
      <c r="A342" s="166"/>
      <c r="B342" s="167"/>
      <c r="C342" s="156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62"/>
      <c r="M342" s="55"/>
      <c r="N342" s="55"/>
      <c r="O342" s="164"/>
      <c r="P342" s="164"/>
      <c r="Q342" s="55"/>
      <c r="R342" s="55"/>
      <c r="S342" s="55"/>
      <c r="T342" s="164"/>
      <c r="U342" s="164"/>
    </row>
    <row r="343" spans="1:21" ht="19.5">
      <c r="A343" s="629"/>
      <c r="B343" s="626"/>
      <c r="C343" s="628"/>
      <c r="D343" s="626"/>
      <c r="E343" s="627" t="s">
        <v>137</v>
      </c>
      <c r="F343" s="626"/>
      <c r="G343" s="625"/>
      <c r="H343" s="624" t="s">
        <v>35</v>
      </c>
      <c r="I343" s="623">
        <v>0</v>
      </c>
      <c r="J343" s="623">
        <f ca="1">J344+J347+J348+J349</f>
        <v>4688</v>
      </c>
      <c r="K343" s="622">
        <v>0</v>
      </c>
      <c r="L343" s="250"/>
      <c r="M343" s="249"/>
      <c r="N343" s="249"/>
      <c r="O343" s="249"/>
      <c r="P343" s="249"/>
      <c r="Q343" s="249"/>
      <c r="R343" s="249"/>
      <c r="S343" s="249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40" t="s">
        <v>35</v>
      </c>
      <c r="I344" s="212">
        <f ca="1">IFERROR(__xludf.DUMMYFUNCTION("IMPORTRANGE(""https://docs.google.com/spreadsheets/d/1eHaY18a8A9IcSdp1K8H6x8fbOy06t2VsZHhMHf-1x7Y/edit?usp=sharing"",""แผน!EK43"")"),2540)</f>
        <v>2540</v>
      </c>
      <c r="J344" s="212">
        <f ca="1">IFERROR(__xludf.DUMMYFUNCTION("IMPORTRANGE(""https://docs.google.com/spreadsheets/d/1awYsYK3VOup2i3Pq_Yjnu8DRu_mYwSBnCR2QPthd0rU/edit?usp=sharing"",""ศูนย์ยกเว้นโฉนด!D43"")"),4383)</f>
        <v>4383</v>
      </c>
      <c r="K344" s="255">
        <f ca="1">IF(I344&gt;0,J344*100/I344,0)</f>
        <v>172.55905511811022</v>
      </c>
      <c r="L344" s="62"/>
      <c r="M344" s="55"/>
      <c r="N344" s="55"/>
      <c r="O344" s="55"/>
      <c r="P344" s="55"/>
      <c r="Q344" s="55"/>
      <c r="R344" s="55"/>
      <c r="S344" s="55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62"/>
      <c r="M345" s="55"/>
      <c r="N345" s="55"/>
      <c r="O345" s="55"/>
      <c r="P345" s="55"/>
      <c r="Q345" s="55"/>
      <c r="R345" s="55"/>
      <c r="S345" s="55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212">
        <f ca="1">IFERROR(__xludf.DUMMYFUNCTION("IMPORTRANGE(""https://docs.google.com/spreadsheets/d/1eHaY18a8A9IcSdp1K8H6x8fbOy06t2VsZHhMHf-1x7Y/edit?usp=sharing"",""แผน!EL43"")"),5)</f>
        <v>5</v>
      </c>
      <c r="J346" s="212">
        <f ca="1">IFERROR(__xludf.DUMMYFUNCTION("IMPORTRANGE(""https://docs.google.com/spreadsheets/d/1awYsYK3VOup2i3Pq_Yjnu8DRu_mYwSBnCR2QPthd0rU/edit?usp=sharing"",""ศูนย์รวม!E43"")"),5)</f>
        <v>5</v>
      </c>
      <c r="K346" s="255">
        <f ca="1">IF(I346&gt;0,J346*100/I346,0)</f>
        <v>100</v>
      </c>
      <c r="L346" s="62"/>
      <c r="M346" s="55"/>
      <c r="N346" s="55"/>
      <c r="O346" s="55"/>
      <c r="P346" s="55"/>
      <c r="Q346" s="55"/>
      <c r="R346" s="55"/>
      <c r="S346" s="55"/>
      <c r="T346" s="55"/>
      <c r="U346" s="55"/>
    </row>
    <row r="347" spans="1:21" ht="18.75">
      <c r="A347" s="238"/>
      <c r="B347" s="50"/>
      <c r="C347" s="188"/>
      <c r="D347" s="174"/>
      <c r="E347" s="174"/>
      <c r="F347" s="178" t="s">
        <v>142</v>
      </c>
      <c r="G347" s="52"/>
      <c r="H347" s="203" t="s">
        <v>35</v>
      </c>
      <c r="I347" s="54"/>
      <c r="J347" s="212">
        <f ca="1">IFERROR(__xludf.DUMMYFUNCTION("IMPORTRANGE(""https://docs.google.com/spreadsheets/d/1awYsYK3VOup2i3Pq_Yjnu8DRu_mYwSBnCR2QPthd0rU/edit?usp=sharing"",""ศูนย์ยกเว้นโฉนด!F43"")"),263)</f>
        <v>263</v>
      </c>
      <c r="K347" s="55"/>
      <c r="L347" s="62"/>
      <c r="M347" s="55"/>
      <c r="N347" s="55"/>
      <c r="O347" s="55"/>
      <c r="P347" s="55"/>
      <c r="Q347" s="55"/>
      <c r="R347" s="55"/>
      <c r="S347" s="55"/>
      <c r="T347" s="55"/>
      <c r="U347" s="55"/>
    </row>
    <row r="348" spans="1:21" ht="18.75">
      <c r="A348" s="238"/>
      <c r="B348" s="50"/>
      <c r="C348" s="188"/>
      <c r="D348" s="174"/>
      <c r="E348" s="178" t="s">
        <v>143</v>
      </c>
      <c r="F348" s="174"/>
      <c r="G348" s="52"/>
      <c r="H348" s="203" t="s">
        <v>35</v>
      </c>
      <c r="I348" s="54"/>
      <c r="J348" s="212">
        <f ca="1">IFERROR(__xludf.DUMMYFUNCTION("IMPORTRANGE(""https://docs.google.com/spreadsheets/d/1awYsYK3VOup2i3Pq_Yjnu8DRu_mYwSBnCR2QPthd0rU/edit?usp=sharing"",""ศูนย์ยกเว้นโฉนด!G43"")"),42)</f>
        <v>42</v>
      </c>
      <c r="K348" s="55"/>
      <c r="L348" s="62"/>
      <c r="M348" s="55"/>
      <c r="N348" s="55"/>
      <c r="O348" s="55"/>
      <c r="P348" s="55"/>
      <c r="Q348" s="55"/>
      <c r="R348" s="55"/>
      <c r="S348" s="55"/>
      <c r="T348" s="55"/>
      <c r="U348" s="55"/>
    </row>
    <row r="349" spans="1:21" ht="18.75">
      <c r="A349" s="238"/>
      <c r="B349" s="50"/>
      <c r="C349" s="188"/>
      <c r="D349" s="167"/>
      <c r="E349" s="178" t="s">
        <v>144</v>
      </c>
      <c r="F349" s="174"/>
      <c r="G349" s="52"/>
      <c r="H349" s="203" t="s">
        <v>35</v>
      </c>
      <c r="I349" s="54"/>
      <c r="J349" s="212">
        <f ca="1">IFERROR(__xludf.DUMMYFUNCTION("IMPORTRANGE(""https://docs.google.com/spreadsheets/d/1awYsYK3VOup2i3Pq_Yjnu8DRu_mYwSBnCR2QPthd0rU/edit?usp=sharing"",""ศูนย์ยกเว้นโฉนด!H43"")"),0)</f>
        <v>0</v>
      </c>
      <c r="K349" s="55"/>
      <c r="L349" s="62"/>
      <c r="M349" s="55"/>
      <c r="N349" s="55"/>
      <c r="O349" s="55"/>
      <c r="P349" s="55"/>
      <c r="Q349" s="55"/>
      <c r="R349" s="55"/>
      <c r="S349" s="55"/>
      <c r="T349" s="55"/>
      <c r="U349" s="55"/>
    </row>
    <row r="350" spans="1:21" ht="16.5">
      <c r="A350" s="18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0" s="50"/>
      <c r="F350" s="50"/>
      <c r="G350" s="52"/>
      <c r="H350" s="208"/>
      <c r="I350" s="54"/>
      <c r="J350" s="54"/>
      <c r="K350" s="55"/>
      <c r="L350" s="62"/>
      <c r="M350" s="55"/>
      <c r="N350" s="55"/>
      <c r="O350" s="55"/>
      <c r="P350" s="55"/>
      <c r="Q350" s="55"/>
      <c r="R350" s="55"/>
      <c r="S350" s="55"/>
      <c r="T350" s="55"/>
      <c r="U350" s="55"/>
    </row>
    <row r="351" spans="1:21" ht="19.5">
      <c r="A351" s="241"/>
      <c r="B351" s="244"/>
      <c r="C351" s="242"/>
      <c r="D351" s="244"/>
      <c r="E351" s="621" t="s">
        <v>145</v>
      </c>
      <c r="F351" s="244"/>
      <c r="G351" s="245"/>
      <c r="H351" s="246" t="s">
        <v>35</v>
      </c>
      <c r="I351" s="339">
        <v>0</v>
      </c>
      <c r="J351" s="339">
        <f ca="1">J352+J353</f>
        <v>14205</v>
      </c>
      <c r="K351" s="340">
        <v>0</v>
      </c>
      <c r="L351" s="250"/>
      <c r="M351" s="249"/>
      <c r="N351" s="249"/>
      <c r="O351" s="249"/>
      <c r="P351" s="249"/>
      <c r="Q351" s="249"/>
      <c r="R351" s="249"/>
      <c r="S351" s="249"/>
      <c r="T351" s="249"/>
      <c r="U351" s="249"/>
    </row>
    <row r="352" spans="1:21" ht="18.75">
      <c r="A352" s="188"/>
      <c r="B352" s="50"/>
      <c r="C352" s="188"/>
      <c r="D352" s="174"/>
      <c r="E352" s="178" t="s">
        <v>146</v>
      </c>
      <c r="F352" s="50"/>
      <c r="G352" s="52"/>
      <c r="H352" s="161" t="s">
        <v>35</v>
      </c>
      <c r="I352" s="54"/>
      <c r="J352" s="212">
        <f ca="1">IFERROR(__xludf.DUMMYFUNCTION("IMPORTRANGE(""https://docs.google.com/spreadsheets/d/1awYsYK3VOup2i3Pq_Yjnu8DRu_mYwSBnCR2QPthd0rU/edit?usp=sharing"",""โฉนดM3!G43"")"),2362)</f>
        <v>2362</v>
      </c>
      <c r="K352" s="55"/>
      <c r="L352" s="62"/>
      <c r="M352" s="55"/>
      <c r="N352" s="55"/>
      <c r="O352" s="55"/>
      <c r="P352" s="55"/>
      <c r="Q352" s="55"/>
      <c r="R352" s="55"/>
      <c r="S352" s="55"/>
      <c r="T352" s="55"/>
      <c r="U352" s="55"/>
    </row>
    <row r="353" spans="1:21" ht="18.75">
      <c r="A353" s="18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212">
        <f ca="1">IFERROR(__xludf.DUMMYFUNCTION("IMPORTRANGE(""https://docs.google.com/spreadsheets/d/1awYsYK3VOup2i3Pq_Yjnu8DRu_mYwSBnCR2QPthd0rU/edit?usp=sharing"",""โฉนดM3!H43"")"),11843)</f>
        <v>11843</v>
      </c>
      <c r="K353" s="55"/>
      <c r="L353" s="62"/>
      <c r="M353" s="55"/>
      <c r="N353" s="55"/>
      <c r="O353" s="55"/>
      <c r="P353" s="55"/>
      <c r="Q353" s="55"/>
      <c r="R353" s="55"/>
      <c r="S353" s="55"/>
      <c r="T353" s="55"/>
      <c r="U353" s="55"/>
    </row>
    <row r="354" spans="1:21" ht="16.5">
      <c r="A354" s="188"/>
      <c r="B354" s="50"/>
      <c r="C354" s="188"/>
      <c r="D354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4" s="50"/>
      <c r="F354" s="50"/>
      <c r="G354" s="52"/>
      <c r="H354" s="208"/>
      <c r="I354" s="54"/>
      <c r="J354" s="54"/>
      <c r="K354" s="55"/>
      <c r="L354" s="62"/>
      <c r="M354" s="55"/>
      <c r="N354" s="55"/>
      <c r="O354" s="55"/>
      <c r="P354" s="55"/>
      <c r="Q354" s="55"/>
      <c r="R354" s="55"/>
      <c r="S354" s="55"/>
      <c r="T354" s="55"/>
      <c r="U354" s="55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29"/>
      <c r="I355" s="351"/>
      <c r="J355" s="351"/>
      <c r="K355" s="333"/>
      <c r="L355" s="334"/>
      <c r="M355" s="333"/>
      <c r="N355" s="333"/>
      <c r="O355" s="333"/>
      <c r="P355" s="333"/>
      <c r="Q355" s="333"/>
      <c r="R355" s="333"/>
      <c r="S355" s="333"/>
      <c r="T355" s="333"/>
      <c r="U355" s="333"/>
    </row>
    <row r="356" spans="1:21" ht="19.5">
      <c r="A356" s="155"/>
      <c r="B356" s="50"/>
      <c r="C356" s="156" t="s">
        <v>18</v>
      </c>
      <c r="D356" s="575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541">
        <f ca="1">L357+L358</f>
        <v>997580</v>
      </c>
      <c r="M356" s="540">
        <f ca="1">M357+M358</f>
        <v>997580</v>
      </c>
      <c r="N356" s="540">
        <f ca="1">N357+N358</f>
        <v>853939.34</v>
      </c>
      <c r="O356" s="540">
        <f ca="1">IF(L356&gt;0,N356*100/L356,0)</f>
        <v>85.601088634495483</v>
      </c>
      <c r="P356" s="540">
        <f ca="1">IF(M356&gt;0,N356*100/M356,0)</f>
        <v>85.601088634495483</v>
      </c>
      <c r="Q356" s="540">
        <f>Q357+Q358</f>
        <v>0</v>
      </c>
      <c r="R356" s="540">
        <f>R357+R358</f>
        <v>0</v>
      </c>
      <c r="S356" s="540">
        <f>S357+S358</f>
        <v>0</v>
      </c>
      <c r="T356" s="540">
        <f>IF(Q356&gt;0,S356*100/Q356,0)</f>
        <v>0</v>
      </c>
      <c r="U356" s="540">
        <f>IF(R356&gt;0,S356*100/R356,0)</f>
        <v>0</v>
      </c>
    </row>
    <row r="357" spans="1:21" ht="18.75" hidden="1">
      <c r="A357" s="155"/>
      <c r="B357" s="50"/>
      <c r="C357" s="50"/>
      <c r="D357" s="50"/>
      <c r="E357" s="186" t="s">
        <v>20</v>
      </c>
      <c r="F357" s="50"/>
      <c r="G357" s="52"/>
      <c r="H357" s="187" t="s">
        <v>14</v>
      </c>
      <c r="I357" s="54"/>
      <c r="J357" s="54"/>
      <c r="K357" s="55"/>
      <c r="L357" s="103">
        <f>L360+L363</f>
        <v>0</v>
      </c>
      <c r="M357" s="102">
        <f>M360+M363</f>
        <v>0</v>
      </c>
      <c r="N357" s="102">
        <f>N360+N363</f>
        <v>0</v>
      </c>
      <c r="O357" s="102">
        <f>IF(L357&gt;0,N357*100/L357,0)</f>
        <v>0</v>
      </c>
      <c r="P357" s="102">
        <f>IF(M357&gt;0,N357*100/M357,0)</f>
        <v>0</v>
      </c>
      <c r="Q357" s="102">
        <f>Q360+Q363</f>
        <v>0</v>
      </c>
      <c r="R357" s="102">
        <f>R360+R363</f>
        <v>0</v>
      </c>
      <c r="S357" s="102">
        <f>S360+S363</f>
        <v>0</v>
      </c>
      <c r="T357" s="102">
        <f>IF(Q357&gt;0,S357*100/Q357,0)</f>
        <v>0</v>
      </c>
      <c r="U357" s="102">
        <f>IF(R357&gt;0,S357*100/R357,0)</f>
        <v>0</v>
      </c>
    </row>
    <row r="358" spans="1:21" ht="18.75" hidden="1">
      <c r="A358" s="155"/>
      <c r="B358" s="50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256">
        <f ca="1">L361+L364</f>
        <v>997580</v>
      </c>
      <c r="M358" s="255">
        <f ca="1">M361+M364</f>
        <v>997580</v>
      </c>
      <c r="N358" s="255">
        <f ca="1">N361+N364</f>
        <v>853939.34</v>
      </c>
      <c r="O358" s="255">
        <f ca="1">IF(L358&gt;0,N358*100/L358,0)</f>
        <v>85.601088634495483</v>
      </c>
      <c r="P358" s="255">
        <f ca="1">IF(M358&gt;0,N358*100/M358,0)</f>
        <v>85.601088634495483</v>
      </c>
      <c r="Q358" s="255">
        <f>Q361+Q364</f>
        <v>0</v>
      </c>
      <c r="R358" s="255">
        <f>R361+R364</f>
        <v>0</v>
      </c>
      <c r="S358" s="255">
        <f>S361+S364</f>
        <v>0</v>
      </c>
      <c r="T358" s="255">
        <f>IF(Q358&gt;0,S358*100/Q358,0)</f>
        <v>0</v>
      </c>
      <c r="U358" s="255">
        <f>IF(R358&gt;0,S358*100/R358,0)</f>
        <v>0</v>
      </c>
    </row>
    <row r="359" spans="1:21" ht="18.75">
      <c r="A359" s="155"/>
      <c r="B359" s="50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256">
        <f ca="1">L360+L361</f>
        <v>997580</v>
      </c>
      <c r="M359" s="255">
        <f ca="1">M360+M361</f>
        <v>997580</v>
      </c>
      <c r="N359" s="255">
        <f ca="1">N360+N361</f>
        <v>853939.34</v>
      </c>
      <c r="O359" s="255">
        <f ca="1">IF(L359&gt;0,N359*100/L359,0)</f>
        <v>85.601088634495483</v>
      </c>
      <c r="P359" s="255">
        <f ca="1">IF(M359&gt;0,N359*100/M359,0)</f>
        <v>85.601088634495483</v>
      </c>
      <c r="Q359" s="255">
        <f>Q360+Q361</f>
        <v>0</v>
      </c>
      <c r="R359" s="255">
        <f>R360+R361</f>
        <v>0</v>
      </c>
      <c r="S359" s="255">
        <f>S360+S361</f>
        <v>0</v>
      </c>
      <c r="T359" s="255">
        <f>IF(Q359&gt;0,S359*100/Q359,0)</f>
        <v>0</v>
      </c>
      <c r="U359" s="255">
        <f>IF(R359&gt;0,S359*100/R359,0)</f>
        <v>0</v>
      </c>
    </row>
    <row r="360" spans="1:21" ht="18.75" hidden="1">
      <c r="A360" s="155"/>
      <c r="B360" s="50"/>
      <c r="C360" s="50"/>
      <c r="D360" s="50"/>
      <c r="E360" s="186" t="s">
        <v>36</v>
      </c>
      <c r="F360" s="50"/>
      <c r="G360" s="52"/>
      <c r="H360" s="189" t="s">
        <v>14</v>
      </c>
      <c r="I360" s="163"/>
      <c r="J360" s="163"/>
      <c r="K360" s="164"/>
      <c r="L360" s="103">
        <v>0</v>
      </c>
      <c r="M360" s="102">
        <v>0</v>
      </c>
      <c r="N360" s="102">
        <v>0</v>
      </c>
      <c r="O360" s="102">
        <f>IF(L360&gt;0,N360*100/L360,0)</f>
        <v>0</v>
      </c>
      <c r="P360" s="102">
        <f>IF(M360&gt;0,N360*100/M360,0)</f>
        <v>0</v>
      </c>
      <c r="Q360" s="102">
        <v>0</v>
      </c>
      <c r="R360" s="102">
        <v>0</v>
      </c>
      <c r="S360" s="102">
        <v>0</v>
      </c>
      <c r="T360" s="102">
        <f>IF(Q360&gt;0,S360*100/Q360,0)</f>
        <v>0</v>
      </c>
      <c r="U360" s="102">
        <f>IF(R360&gt;0,S360*100/R360,0)</f>
        <v>0</v>
      </c>
    </row>
    <row r="361" spans="1:21" ht="18.75" hidden="1">
      <c r="A361" s="155"/>
      <c r="B361" s="50"/>
      <c r="C361" s="50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256">
        <f ca="1">IFERROR(__xludf.DUMMYFUNCTION("IMPORTRANGE(""https://docs.google.com/spreadsheets/d/1-uDff_7J0KD5mKrp0Vvzr7lt3OU09vwQwhkpOPPYv2Y/edit?usp=sharing"",""งบพรบ!FC43"")"),997580)</f>
        <v>997580</v>
      </c>
      <c r="M361" s="255">
        <f ca="1">IFERROR(__xludf.DUMMYFUNCTION("IMPORTRANGE(""https://docs.google.com/spreadsheets/d/1-uDff_7J0KD5mKrp0Vvzr7lt3OU09vwQwhkpOPPYv2Y/edit?usp=sharing"",""งบพรบ!FH43"")"),997580)</f>
        <v>997580</v>
      </c>
      <c r="N361" s="255">
        <f ca="1">IFERROR(__xludf.DUMMYFUNCTION("IMPORTRANGE(""https://docs.google.com/spreadsheets/d/1-uDff_7J0KD5mKrp0Vvzr7lt3OU09vwQwhkpOPPYv2Y/edit?usp=sharing"",""งบพรบ!FJ43"")"),853939.34)</f>
        <v>853939.34</v>
      </c>
      <c r="O361" s="255">
        <f ca="1">IF(L361&gt;0,N361*100/L361,0)</f>
        <v>85.601088634495483</v>
      </c>
      <c r="P361" s="255">
        <f ca="1">IF(M361&gt;0,N361*100/M361,0)</f>
        <v>85.601088634495483</v>
      </c>
      <c r="Q361" s="255">
        <v>0</v>
      </c>
      <c r="R361" s="255">
        <v>0</v>
      </c>
      <c r="S361" s="255">
        <v>0</v>
      </c>
      <c r="T361" s="255">
        <f>IF(Q361&gt;0,S361*100/Q361,0)</f>
        <v>0</v>
      </c>
      <c r="U361" s="255">
        <f>IF(R361&gt;0,S361*100/R361,0)</f>
        <v>0</v>
      </c>
    </row>
    <row r="362" spans="1:21" ht="18.75">
      <c r="A362" s="155"/>
      <c r="B362" s="50"/>
      <c r="C362" s="50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256">
        <f ca="1">L363+L364</f>
        <v>0</v>
      </c>
      <c r="M362" s="255">
        <f ca="1">M363+M364</f>
        <v>0</v>
      </c>
      <c r="N362" s="255">
        <f ca="1">N363+N364</f>
        <v>0</v>
      </c>
      <c r="O362" s="255">
        <f ca="1">IF(L362&gt;0,N362*100/L362,0)</f>
        <v>0</v>
      </c>
      <c r="P362" s="255">
        <f ca="1">IF(M362&gt;0,N362*100/M362,0)</f>
        <v>0</v>
      </c>
      <c r="Q362" s="255">
        <f>Q363+Q364</f>
        <v>0</v>
      </c>
      <c r="R362" s="255">
        <f>R363+R364</f>
        <v>0</v>
      </c>
      <c r="S362" s="255">
        <f>S363+S364</f>
        <v>0</v>
      </c>
      <c r="T362" s="255">
        <f>IF(Q362&gt;0,S362*100/Q362,0)</f>
        <v>0</v>
      </c>
      <c r="U362" s="255">
        <f>IF(R362&gt;0,S362*100/R362,0)</f>
        <v>0</v>
      </c>
    </row>
    <row r="363" spans="1:21" ht="18.75" hidden="1">
      <c r="A363" s="155"/>
      <c r="B363" s="50"/>
      <c r="C363" s="50"/>
      <c r="D363" s="50"/>
      <c r="E363" s="186" t="s">
        <v>20</v>
      </c>
      <c r="F363" s="50"/>
      <c r="G363" s="52"/>
      <c r="H363" s="189" t="s">
        <v>14</v>
      </c>
      <c r="I363" s="163"/>
      <c r="J363" s="163"/>
      <c r="K363" s="164"/>
      <c r="L363" s="103">
        <v>0</v>
      </c>
      <c r="M363" s="102">
        <v>0</v>
      </c>
      <c r="N363" s="102">
        <v>0</v>
      </c>
      <c r="O363" s="102">
        <f>IF(L363&gt;0,N363*100/L363,0)</f>
        <v>0</v>
      </c>
      <c r="P363" s="102">
        <f>IF(M363&gt;0,N363*100/M363,0)</f>
        <v>0</v>
      </c>
      <c r="Q363" s="102">
        <v>0</v>
      </c>
      <c r="R363" s="102">
        <v>0</v>
      </c>
      <c r="S363" s="102">
        <v>0</v>
      </c>
      <c r="T363" s="102">
        <f>IF(Q363&gt;0,S363*100/Q363,0)</f>
        <v>0</v>
      </c>
      <c r="U363" s="102">
        <f>IF(R363&gt;0,S363*100/R363,0)</f>
        <v>0</v>
      </c>
    </row>
    <row r="364" spans="1:21" ht="18.75" hidden="1">
      <c r="A364" s="155"/>
      <c r="B364" s="50"/>
      <c r="C364" s="50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256">
        <f ca="1">IFERROR(__xludf.DUMMYFUNCTION("IMPORTRANGE(""https://docs.google.com/spreadsheets/d/1-uDff_7J0KD5mKrp0Vvzr7lt3OU09vwQwhkpOPPYv2Y/edit?usp=sharing"",""งบพรบ!FF43"")"),0)</f>
        <v>0</v>
      </c>
      <c r="M364" s="255">
        <f ca="1">IFERROR(__xludf.DUMMYFUNCTION("IMPORTRANGE(""https://docs.google.com/spreadsheets/d/1-uDff_7J0KD5mKrp0Vvzr7lt3OU09vwQwhkpOPPYv2Y/edit?usp=sharing"",""งบพรบ!FI43"")"),0)</f>
        <v>0</v>
      </c>
      <c r="N364" s="255">
        <f ca="1">IFERROR(__xludf.DUMMYFUNCTION("IMPORTRANGE(""https://docs.google.com/spreadsheets/d/1-uDff_7J0KD5mKrp0Vvzr7lt3OU09vwQwhkpOPPYv2Y/edit?usp=sharing"",""งบพรบ!FK43"")"),0)</f>
        <v>0</v>
      </c>
      <c r="O364" s="255">
        <f ca="1">IF(L364&gt;0,N364*100/L364,0)</f>
        <v>0</v>
      </c>
      <c r="P364" s="255">
        <f ca="1">IF(M364&gt;0,N364*100/M364,0)</f>
        <v>0</v>
      </c>
      <c r="Q364" s="255">
        <v>0</v>
      </c>
      <c r="R364" s="255">
        <v>0</v>
      </c>
      <c r="S364" s="255">
        <v>0</v>
      </c>
      <c r="T364" s="255">
        <f>IF(Q364&gt;0,S364*100/Q364,0)</f>
        <v>0</v>
      </c>
      <c r="U364" s="255">
        <f>IF(R364&gt;0,S364*100/R364,0)</f>
        <v>0</v>
      </c>
    </row>
    <row r="365" spans="1:21" ht="19.5">
      <c r="A365" s="241"/>
      <c r="B365" s="242"/>
      <c r="C365" s="244"/>
      <c r="D365" s="621" t="s">
        <v>150</v>
      </c>
      <c r="E365" s="244"/>
      <c r="F365" s="244"/>
      <c r="G365" s="245"/>
      <c r="H365" s="254" t="s">
        <v>35</v>
      </c>
      <c r="I365" s="339">
        <f ca="1">I371</f>
        <v>727</v>
      </c>
      <c r="J365" s="339">
        <f ca="1">J371</f>
        <v>748</v>
      </c>
      <c r="K365" s="340">
        <f ca="1">IF(I365&gt;0,J365*100/I365,0)</f>
        <v>102.88858321870701</v>
      </c>
      <c r="L365" s="250"/>
      <c r="M365" s="249"/>
      <c r="N365" s="249"/>
      <c r="O365" s="249"/>
      <c r="P365" s="249"/>
      <c r="Q365" s="249"/>
      <c r="R365" s="249"/>
      <c r="S365" s="249"/>
      <c r="T365" s="249"/>
      <c r="U365" s="249"/>
    </row>
    <row r="366" spans="1:21" ht="19.5">
      <c r="A366" s="166"/>
      <c r="B366" s="167"/>
      <c r="C366" s="156" t="s">
        <v>18</v>
      </c>
      <c r="D366" s="566" t="s">
        <v>38</v>
      </c>
      <c r="E366" s="169"/>
      <c r="F366" s="169"/>
      <c r="G366" s="170"/>
      <c r="H366" s="171"/>
      <c r="I366" s="54"/>
      <c r="J366" s="54"/>
      <c r="K366" s="55"/>
      <c r="L366" s="172"/>
      <c r="M366" s="164"/>
      <c r="N366" s="164"/>
      <c r="O366" s="164"/>
      <c r="P366" s="164"/>
      <c r="Q366" s="164"/>
      <c r="R366" s="164"/>
      <c r="S366" s="164"/>
      <c r="T366" s="164"/>
      <c r="U366" s="164"/>
    </row>
    <row r="367" spans="1:21" ht="18.75">
      <c r="A367" s="166"/>
      <c r="B367" s="174"/>
      <c r="C367" s="167"/>
      <c r="D367" s="174"/>
      <c r="E367" s="173" t="s">
        <v>151</v>
      </c>
      <c r="F367" s="174"/>
      <c r="G367" s="171"/>
      <c r="H367" s="183" t="s">
        <v>35</v>
      </c>
      <c r="I367" s="212">
        <v>0</v>
      </c>
      <c r="J367" s="212">
        <f ca="1">IFERROR(__xludf.DUMMYFUNCTION("IMPORTRANGE(""https://docs.google.com/spreadsheets/d/1tdoBKaGub7dwA3U6UFTqxio9LNnvDCQjHKmttSEBsFQ/edit?usp=sharing"",""จัดที่ดิน!AB43"")"),379)</f>
        <v>379</v>
      </c>
      <c r="K367" s="255">
        <f>IF(I367&gt;0,J367*100/I367,0)</f>
        <v>0</v>
      </c>
      <c r="L367" s="172"/>
      <c r="M367" s="164"/>
      <c r="N367" s="164"/>
      <c r="O367" s="164"/>
      <c r="P367" s="164"/>
      <c r="Q367" s="164"/>
      <c r="R367" s="164"/>
      <c r="S367" s="164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212">
        <f ca="1">IFERROR(__xludf.DUMMYFUNCTION("IMPORTRANGE(""https://docs.google.com/spreadsheets/d/1eHaY18a8A9IcSdp1K8H6x8fbOy06t2VsZHhMHf-1x7Y/edit?usp=sharing"",""แผน!EW43"")"),1485)</f>
        <v>1485</v>
      </c>
      <c r="J368" s="620">
        <f ca="1">IFERROR(__xludf.DUMMYFUNCTION("IMPORTRANGE(""https://docs.google.com/spreadsheets/d/1tdoBKaGub7dwA3U6UFTqxio9LNnvDCQjHKmttSEBsFQ/edit?usp=sharing"",""จัดที่ดิน!AC43"")"),4222.39)</f>
        <v>4222.3900000000003</v>
      </c>
      <c r="K368" s="255">
        <f ca="1">IF(I368&gt;0,J368*100/I368,0)</f>
        <v>284.336026936027</v>
      </c>
      <c r="L368" s="172"/>
      <c r="M368" s="164"/>
      <c r="N368" s="164"/>
      <c r="O368" s="164"/>
      <c r="P368" s="164"/>
      <c r="Q368" s="164"/>
      <c r="R368" s="164"/>
      <c r="S368" s="164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79" t="s">
        <v>35</v>
      </c>
      <c r="I369" s="212">
        <f ca="1">IFERROR(__xludf.DUMMYFUNCTION("IMPORTRANGE(""https://docs.google.com/spreadsheets/d/1eHaY18a8A9IcSdp1K8H6x8fbOy06t2VsZHhMHf-1x7Y/edit?usp=sharing"",""แผน!EX43"")"),727)</f>
        <v>727</v>
      </c>
      <c r="J369" s="212">
        <f ca="1">IFERROR(__xludf.DUMMYFUNCTION("IMPORTRANGE(""https://docs.google.com/spreadsheets/d/1tdoBKaGub7dwA3U6UFTqxio9LNnvDCQjHKmttSEBsFQ/edit?usp=sharing"",""จัดที่ดิน!AD43"")"),778)</f>
        <v>778</v>
      </c>
      <c r="K369" s="255">
        <f ca="1">IF(I369&gt;0,J369*100/I369,0)</f>
        <v>107.01513067400275</v>
      </c>
      <c r="L369" s="172"/>
      <c r="M369" s="164"/>
      <c r="N369" s="164"/>
      <c r="O369" s="164"/>
      <c r="P369" s="164"/>
      <c r="Q369" s="164"/>
      <c r="R369" s="164"/>
      <c r="S369" s="164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79" t="s">
        <v>46</v>
      </c>
      <c r="I370" s="212">
        <v>0</v>
      </c>
      <c r="J370" s="620">
        <f ca="1">IFERROR(__xludf.DUMMYFUNCTION("IMPORTRANGE(""https://docs.google.com/spreadsheets/d/1tdoBKaGub7dwA3U6UFTqxio9LNnvDCQjHKmttSEBsFQ/edit?usp=sharing"",""จัดที่ดิน!AE43"")"),11825.99)</f>
        <v>11825.99</v>
      </c>
      <c r="K370" s="255">
        <f>IF(I370&gt;0,J370*100/I370,0)</f>
        <v>0</v>
      </c>
      <c r="L370" s="172"/>
      <c r="M370" s="164"/>
      <c r="N370" s="164"/>
      <c r="O370" s="164"/>
      <c r="P370" s="164"/>
      <c r="Q370" s="164"/>
      <c r="R370" s="164"/>
      <c r="S370" s="164"/>
      <c r="T370" s="164"/>
      <c r="U370" s="164"/>
    </row>
    <row r="371" spans="1:21" ht="18.75">
      <c r="A371" s="166"/>
      <c r="B371" s="174"/>
      <c r="C371" s="167"/>
      <c r="D371" s="174"/>
      <c r="E371" s="352" t="s">
        <v>153</v>
      </c>
      <c r="F371" s="174"/>
      <c r="G371" s="171"/>
      <c r="H371" s="179" t="s">
        <v>35</v>
      </c>
      <c r="I371" s="212">
        <f ca="1">IFERROR(__xludf.DUMMYFUNCTION("IMPORTRANGE(""https://docs.google.com/spreadsheets/d/1eHaY18a8A9IcSdp1K8H6x8fbOy06t2VsZHhMHf-1x7Y/edit?usp=sharing"",""แผน!EY43"")"),727)</f>
        <v>727</v>
      </c>
      <c r="J371" s="212">
        <f ca="1">IFERROR(__xludf.DUMMYFUNCTION("IMPORTRANGE(""https://docs.google.com/spreadsheets/d/1tdoBKaGub7dwA3U6UFTqxio9LNnvDCQjHKmttSEBsFQ/edit?usp=sharing"",""จัดที่ดิน!AF43"")"),748)</f>
        <v>748</v>
      </c>
      <c r="K371" s="255">
        <f ca="1">IF(I371&gt;0,J371*100/I371,0)</f>
        <v>102.88858321870701</v>
      </c>
      <c r="L371" s="172"/>
      <c r="M371" s="164"/>
      <c r="N371" s="164"/>
      <c r="O371" s="164"/>
      <c r="P371" s="164"/>
      <c r="Q371" s="164"/>
      <c r="R371" s="164"/>
      <c r="S371" s="164"/>
      <c r="T371" s="164"/>
      <c r="U371" s="164"/>
    </row>
    <row r="372" spans="1:21" ht="18.75">
      <c r="A372" s="166"/>
      <c r="B372" s="174"/>
      <c r="C372" s="167"/>
      <c r="D372" s="174"/>
      <c r="E372" s="174"/>
      <c r="F372" s="174"/>
      <c r="G372" s="171"/>
      <c r="H372" s="179" t="s">
        <v>46</v>
      </c>
      <c r="I372" s="212">
        <v>0</v>
      </c>
      <c r="J372" s="620">
        <f ca="1">IFERROR(__xludf.DUMMYFUNCTION("IMPORTRANGE(""https://docs.google.com/spreadsheets/d/1tdoBKaGub7dwA3U6UFTqxio9LNnvDCQjHKmttSEBsFQ/edit?usp=sharing"",""จัดที่ดิน!AG43"")"),11453.82)</f>
        <v>11453.82</v>
      </c>
      <c r="K372" s="255">
        <f>IF(I372&gt;0,J372*100/I372,0)</f>
        <v>0</v>
      </c>
      <c r="L372" s="172"/>
      <c r="M372" s="164"/>
      <c r="N372" s="164"/>
      <c r="O372" s="164"/>
      <c r="P372" s="164"/>
      <c r="Q372" s="164"/>
      <c r="R372" s="164"/>
      <c r="S372" s="164"/>
      <c r="T372" s="164"/>
      <c r="U372" s="164"/>
    </row>
    <row r="373" spans="1:21" ht="16.5">
      <c r="A373" s="5"/>
      <c r="B373" s="4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พ.ค. 67 เวลา 07.29 น.]")</f>
        <v xml:space="preserve"> [ข้อมูลจาก ระบบ ALRO Land Online ข้อมูล ณ 1 พ.ค. 67 เวลา 07.29 น.]</v>
      </c>
      <c r="E373" s="4"/>
      <c r="F373" s="4"/>
      <c r="G373" s="65"/>
      <c r="H373" s="65"/>
      <c r="I373" s="67"/>
      <c r="J373" s="67"/>
      <c r="K373" s="6"/>
      <c r="L373" s="68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>
      <c r="A374" s="619"/>
      <c r="B374" s="618" t="s">
        <v>154</v>
      </c>
      <c r="C374" s="617"/>
      <c r="D374" s="616"/>
      <c r="E374" s="615"/>
      <c r="F374" s="615"/>
      <c r="G374" s="614"/>
      <c r="H374" s="613" t="s">
        <v>46</v>
      </c>
      <c r="I374" s="612">
        <f ca="1">I386+I388</f>
        <v>5000</v>
      </c>
      <c r="J374" s="612">
        <f ca="1">J386+J388</f>
        <v>0</v>
      </c>
      <c r="K374" s="611">
        <f ca="1">IF(I374&gt;0,J374*100/I374,0)</f>
        <v>0</v>
      </c>
      <c r="L374" s="334"/>
      <c r="M374" s="333"/>
      <c r="N374" s="333"/>
      <c r="O374" s="333"/>
      <c r="P374" s="333"/>
      <c r="Q374" s="333"/>
      <c r="R374" s="333"/>
      <c r="S374" s="333"/>
      <c r="T374" s="333"/>
      <c r="U374" s="333"/>
    </row>
    <row r="375" spans="1:21" ht="19.5">
      <c r="A375" s="155"/>
      <c r="B375" s="188"/>
      <c r="C375" s="191" t="s">
        <v>18</v>
      </c>
      <c r="D375" s="608" t="s">
        <v>19</v>
      </c>
      <c r="E375" s="50"/>
      <c r="F375" s="50"/>
      <c r="G375" s="52"/>
      <c r="H375" s="158" t="s">
        <v>14</v>
      </c>
      <c r="I375" s="54"/>
      <c r="J375" s="54"/>
      <c r="K375" s="55"/>
      <c r="L375" s="541">
        <f>L376+L377</f>
        <v>0</v>
      </c>
      <c r="M375" s="540">
        <f>M376+M377</f>
        <v>0</v>
      </c>
      <c r="N375" s="540">
        <f>N376+N377</f>
        <v>0</v>
      </c>
      <c r="O375" s="540">
        <f>IF(L375&gt;0,N375*100/L375,0)</f>
        <v>0</v>
      </c>
      <c r="P375" s="540">
        <f>IF(M375&gt;0,N375*100/M375,0)</f>
        <v>0</v>
      </c>
      <c r="Q375" s="540">
        <f ca="1">Q376+Q377</f>
        <v>312500</v>
      </c>
      <c r="R375" s="540">
        <f ca="1">R376+R377</f>
        <v>312500</v>
      </c>
      <c r="S375" s="540">
        <f ca="1">S376+S377</f>
        <v>0</v>
      </c>
      <c r="T375" s="540">
        <f ca="1">IF(Q375&gt;0,S375*100/Q375,0)</f>
        <v>0</v>
      </c>
      <c r="U375" s="540">
        <f ca="1">IF(R375&gt;0,S375*100/R375,0)</f>
        <v>0</v>
      </c>
    </row>
    <row r="376" spans="1:21" ht="18.75" hidden="1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103">
        <f>L379+L382</f>
        <v>0</v>
      </c>
      <c r="M376" s="102">
        <f>M379+M382</f>
        <v>0</v>
      </c>
      <c r="N376" s="102">
        <f>N379+N382</f>
        <v>0</v>
      </c>
      <c r="O376" s="102">
        <f>IF(L376&gt;0,N376*100/L376,0)</f>
        <v>0</v>
      </c>
      <c r="P376" s="102">
        <f>IF(M376&gt;0,N376*100/M376,0)</f>
        <v>0</v>
      </c>
      <c r="Q376" s="102">
        <f>Q379+Q382</f>
        <v>0</v>
      </c>
      <c r="R376" s="102">
        <f>R379+R382</f>
        <v>0</v>
      </c>
      <c r="S376" s="102">
        <f>S379+S382</f>
        <v>0</v>
      </c>
      <c r="T376" s="102">
        <f>IF(Q376&gt;0,S376*100/Q376,0)</f>
        <v>0</v>
      </c>
      <c r="U376" s="102">
        <f>IF(R376&gt;0,S376*100/R376,0)</f>
        <v>0</v>
      </c>
    </row>
    <row r="377" spans="1:21" ht="18.75" hidden="1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256">
        <f>L380+L383</f>
        <v>0</v>
      </c>
      <c r="M377" s="255">
        <f>M380+M383</f>
        <v>0</v>
      </c>
      <c r="N377" s="255">
        <f>N380+N383</f>
        <v>0</v>
      </c>
      <c r="O377" s="255">
        <f>IF(L377&gt;0,N377*100/L377,0)</f>
        <v>0</v>
      </c>
      <c r="P377" s="255">
        <f>IF(M377&gt;0,N377*100/M377,0)</f>
        <v>0</v>
      </c>
      <c r="Q377" s="255">
        <f ca="1">Q380+Q383</f>
        <v>312500</v>
      </c>
      <c r="R377" s="255">
        <f ca="1">R380+R383</f>
        <v>312500</v>
      </c>
      <c r="S377" s="255">
        <f ca="1">S380+S383</f>
        <v>0</v>
      </c>
      <c r="T377" s="255">
        <f ca="1">IF(Q377&gt;0,S377*100/Q377,0)</f>
        <v>0</v>
      </c>
      <c r="U377" s="255">
        <f ca="1">IF(R377&gt;0,S377*100/R377,0)</f>
        <v>0</v>
      </c>
    </row>
    <row r="378" spans="1:21" ht="18.75">
      <c r="A378" s="155"/>
      <c r="B378" s="188"/>
      <c r="C378" s="188"/>
      <c r="D378" s="602" t="s">
        <v>22</v>
      </c>
      <c r="E378" s="50"/>
      <c r="F378" s="50"/>
      <c r="G378" s="52"/>
      <c r="H378" s="162" t="s">
        <v>14</v>
      </c>
      <c r="I378" s="163"/>
      <c r="J378" s="163"/>
      <c r="K378" s="164"/>
      <c r="L378" s="256">
        <f>L379+L380</f>
        <v>0</v>
      </c>
      <c r="M378" s="255">
        <f>M379+M380</f>
        <v>0</v>
      </c>
      <c r="N378" s="255">
        <f>N379+N380</f>
        <v>0</v>
      </c>
      <c r="O378" s="255">
        <f>IF(L378&gt;0,N378*100/L378,0)</f>
        <v>0</v>
      </c>
      <c r="P378" s="255">
        <f>IF(M378&gt;0,N378*100/M378,0)</f>
        <v>0</v>
      </c>
      <c r="Q378" s="255">
        <f ca="1">Q379+Q380</f>
        <v>312500</v>
      </c>
      <c r="R378" s="255">
        <f ca="1">R379+R380</f>
        <v>312500</v>
      </c>
      <c r="S378" s="255">
        <f ca="1">S379+S380</f>
        <v>0</v>
      </c>
      <c r="T378" s="255">
        <f ca="1">IF(Q378&gt;0,S378*100/Q378,0)</f>
        <v>0</v>
      </c>
      <c r="U378" s="255">
        <f ca="1">IF(R378&gt;0,S378*100/R378,0)</f>
        <v>0</v>
      </c>
    </row>
    <row r="379" spans="1:21" ht="18.75" hidden="1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103">
        <v>0</v>
      </c>
      <c r="M379" s="102">
        <v>0</v>
      </c>
      <c r="N379" s="102">
        <v>0</v>
      </c>
      <c r="O379" s="102">
        <f>IF(L379&gt;0,N379*100/L379,0)</f>
        <v>0</v>
      </c>
      <c r="P379" s="102">
        <f>IF(M379&gt;0,N379*100/M379,0)</f>
        <v>0</v>
      </c>
      <c r="Q379" s="102">
        <v>0</v>
      </c>
      <c r="R379" s="102">
        <v>0</v>
      </c>
      <c r="S379" s="102">
        <v>0</v>
      </c>
      <c r="T379" s="102">
        <f>IF(Q379&gt;0,S379*100/Q379,0)</f>
        <v>0</v>
      </c>
      <c r="U379" s="102">
        <f>IF(R379&gt;0,S379*100/R379,0)</f>
        <v>0</v>
      </c>
    </row>
    <row r="380" spans="1:21" ht="18.75" hidden="1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256">
        <v>0</v>
      </c>
      <c r="M380" s="255">
        <v>0</v>
      </c>
      <c r="N380" s="255">
        <v>0</v>
      </c>
      <c r="O380" s="255">
        <f>IF(L380&gt;0,N380*100/L380,0)</f>
        <v>0</v>
      </c>
      <c r="P380" s="255">
        <f>IF(M380&gt;0,N380*100/M380,0)</f>
        <v>0</v>
      </c>
      <c r="Q380" s="255">
        <f ca="1">IFERROR(__xludf.DUMMYFUNCTION("IMPORTRANGE(""https://docs.google.com/spreadsheets/d/1ItG2mGa2ceCfYo0BwxsXqNm01IGEUdYcSSLTEv9YCik/edit?usp=sharing"",""เบิกจ่ายกองทุน!AY43"")"),312500)</f>
        <v>312500</v>
      </c>
      <c r="R380" s="255">
        <f ca="1">IFERROR(__xludf.DUMMYFUNCTION("IMPORTRANGE(""https://docs.google.com/spreadsheets/d/1ItG2mGa2ceCfYo0BwxsXqNm01IGEUdYcSSLTEv9YCik/edit?usp=sharing"",""เบิกจ่ายกองทุน!AZ43"")"),312500)</f>
        <v>312500</v>
      </c>
      <c r="S380" s="255">
        <f ca="1">IFERROR(__xludf.DUMMYFUNCTION("IMPORTRANGE(""https://docs.google.com/spreadsheets/d/1ItG2mGa2ceCfYo0BwxsXqNm01IGEUdYcSSLTEv9YCik/edit?usp=sharing"",""เบิกจ่ายกองทุน!BA43"")"),0)</f>
        <v>0</v>
      </c>
      <c r="T380" s="255">
        <f ca="1">IF(Q380&gt;0,S380*100/Q380,0)</f>
        <v>0</v>
      </c>
      <c r="U380" s="255">
        <f ca="1">IF(R380&gt;0,S380*100/R380,0)</f>
        <v>0</v>
      </c>
    </row>
    <row r="381" spans="1:21" ht="18.75">
      <c r="A381" s="155"/>
      <c r="B381" s="188"/>
      <c r="C381" s="188"/>
      <c r="D381" s="602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256">
        <f>L382+L383</f>
        <v>0</v>
      </c>
      <c r="M381" s="255">
        <f>M382+M383</f>
        <v>0</v>
      </c>
      <c r="N381" s="255">
        <f>N382+N383</f>
        <v>0</v>
      </c>
      <c r="O381" s="255">
        <f>IF(L381&gt;0,N381*100/L381,0)</f>
        <v>0</v>
      </c>
      <c r="P381" s="255">
        <f>IF(M381&gt;0,N381*100/M381,0)</f>
        <v>0</v>
      </c>
      <c r="Q381" s="255">
        <f>Q382+Q383</f>
        <v>0</v>
      </c>
      <c r="R381" s="255">
        <f>R382+R383</f>
        <v>0</v>
      </c>
      <c r="S381" s="255">
        <f>S382+S383</f>
        <v>0</v>
      </c>
      <c r="T381" s="255">
        <f>IF(Q381&gt;0,S381*100/Q381,0)</f>
        <v>0</v>
      </c>
      <c r="U381" s="255">
        <f>IF(R381&gt;0,S381*100/R381,0)</f>
        <v>0</v>
      </c>
    </row>
    <row r="382" spans="1:21" ht="18.75" hidden="1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103">
        <v>0</v>
      </c>
      <c r="M382" s="102">
        <v>0</v>
      </c>
      <c r="N382" s="102">
        <v>0</v>
      </c>
      <c r="O382" s="102">
        <f>IF(L382&gt;0,N382*100/L382,0)</f>
        <v>0</v>
      </c>
      <c r="P382" s="102">
        <f>IF(M382&gt;0,N382*100/M382,0)</f>
        <v>0</v>
      </c>
      <c r="Q382" s="102">
        <v>0</v>
      </c>
      <c r="R382" s="102">
        <v>0</v>
      </c>
      <c r="S382" s="102">
        <v>0</v>
      </c>
      <c r="T382" s="102">
        <f>IF(Q382&gt;0,S382*100/Q382,0)</f>
        <v>0</v>
      </c>
      <c r="U382" s="102">
        <f>IF(R382&gt;0,S382*100/R382,0)</f>
        <v>0</v>
      </c>
    </row>
    <row r="383" spans="1:21" ht="18.75" hidden="1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256">
        <v>0</v>
      </c>
      <c r="M383" s="255">
        <v>0</v>
      </c>
      <c r="N383" s="255">
        <v>0</v>
      </c>
      <c r="O383" s="255">
        <f>IF(L383&gt;0,N383*100/L383,0)</f>
        <v>0</v>
      </c>
      <c r="P383" s="255">
        <f>IF(M383&gt;0,N383*100/M383,0)</f>
        <v>0</v>
      </c>
      <c r="Q383" s="255">
        <v>0</v>
      </c>
      <c r="R383" s="255">
        <v>0</v>
      </c>
      <c r="S383" s="255">
        <v>0</v>
      </c>
      <c r="T383" s="255">
        <f>IF(Q383&gt;0,S383*100/Q383,0)</f>
        <v>0</v>
      </c>
      <c r="U383" s="255">
        <f>IF(R383&gt;0,S383*100/R383,0)</f>
        <v>0</v>
      </c>
    </row>
    <row r="384" spans="1:21" ht="19.5">
      <c r="A384" s="166"/>
      <c r="B384" s="167"/>
      <c r="C384" s="191" t="s">
        <v>18</v>
      </c>
      <c r="D384" s="560" t="s">
        <v>38</v>
      </c>
      <c r="E384" s="169"/>
      <c r="F384" s="169"/>
      <c r="G384" s="170"/>
      <c r="H384" s="206"/>
      <c r="I384" s="163"/>
      <c r="J384" s="54"/>
      <c r="K384" s="55"/>
      <c r="L384" s="62"/>
      <c r="M384" s="55"/>
      <c r="N384" s="55"/>
      <c r="O384" s="164"/>
      <c r="P384" s="164"/>
      <c r="Q384" s="55"/>
      <c r="R384" s="55"/>
      <c r="S384" s="55"/>
      <c r="T384" s="164"/>
      <c r="U384" s="164"/>
    </row>
    <row r="385" spans="1:21" ht="18.75">
      <c r="A385" s="238"/>
      <c r="B385" s="188"/>
      <c r="C385" s="188"/>
      <c r="D385" s="188"/>
      <c r="E385" s="58" t="s">
        <v>155</v>
      </c>
      <c r="F385" s="50"/>
      <c r="G385" s="52"/>
      <c r="H385" s="161" t="s">
        <v>34</v>
      </c>
      <c r="I385" s="212">
        <v>0</v>
      </c>
      <c r="J385" s="212">
        <f ca="1">IFERROR(__xludf.DUMMYFUNCTION("IMPORTRANGE(""https://docs.google.com/spreadsheets/d/1w5rwWK1o49a35cNtocGL0gxDwhFSTZUQu90BiH9_zqM/edit?usp=sharing"",""RTK!H43"")"),0)</f>
        <v>0</v>
      </c>
      <c r="K385" s="255">
        <f>IF(I385&gt;0,J385*100/I385,0)</f>
        <v>0</v>
      </c>
      <c r="L385" s="62"/>
      <c r="M385" s="55"/>
      <c r="N385" s="55"/>
      <c r="O385" s="55"/>
      <c r="P385" s="55"/>
      <c r="Q385" s="55"/>
      <c r="R385" s="55"/>
      <c r="S385" s="55"/>
      <c r="T385" s="55"/>
      <c r="U385" s="55"/>
    </row>
    <row r="386" spans="1:21" ht="18.75">
      <c r="A386" s="188"/>
      <c r="B386" s="188"/>
      <c r="C386" s="188"/>
      <c r="D386" s="188"/>
      <c r="E386" s="188"/>
      <c r="F386" s="188"/>
      <c r="G386" s="208"/>
      <c r="H386" s="161" t="s">
        <v>46</v>
      </c>
      <c r="I386" s="212">
        <f ca="1">IFERROR(__xludf.DUMMYFUNCTION("IMPORTRANGE(""https://docs.google.com/spreadsheets/d/1w5rwWK1o49a35cNtocGL0gxDwhFSTZUQu90BiH9_zqM/edit?usp=sharing"",""RTK!G43"")"),5000)</f>
        <v>5000</v>
      </c>
      <c r="J386" s="212">
        <f ca="1">IFERROR(__xludf.DUMMYFUNCTION("IMPORTRANGE(""https://docs.google.com/spreadsheets/d/1w5rwWK1o49a35cNtocGL0gxDwhFSTZUQu90BiH9_zqM/edit?usp=sharing"",""RTK!I43"")"),0)</f>
        <v>0</v>
      </c>
      <c r="K386" s="255">
        <f ca="1">IF(I386&gt;0,J386*100/I386,0)</f>
        <v>0</v>
      </c>
      <c r="L386" s="62"/>
      <c r="M386" s="55"/>
      <c r="N386" s="55"/>
      <c r="O386" s="55"/>
      <c r="P386" s="55"/>
      <c r="Q386" s="55"/>
      <c r="R386" s="55"/>
      <c r="S386" s="55"/>
      <c r="T386" s="55"/>
      <c r="U386" s="55"/>
    </row>
    <row r="387" spans="1:21" ht="18.75">
      <c r="A387" s="609"/>
      <c r="B387" s="609"/>
      <c r="C387" s="609"/>
      <c r="D387" s="609"/>
      <c r="E387" s="610" t="s">
        <v>156</v>
      </c>
      <c r="F387" s="609"/>
      <c r="G387" s="557"/>
      <c r="H387" s="549" t="s">
        <v>34</v>
      </c>
      <c r="I387" s="556">
        <v>0</v>
      </c>
      <c r="J387" s="556">
        <f ca="1">IFERROR(__xludf.DUMMYFUNCTION("IMPORTRANGE(""https://docs.google.com/spreadsheets/d/1w5rwWK1o49a35cNtocGL0gxDwhFSTZUQu90BiH9_zqM/edit?usp=sharing"",""RTK!L43"")"),0)</f>
        <v>0</v>
      </c>
      <c r="K387" s="555">
        <f>IF(I387&gt;0,J387*100/I387,0)</f>
        <v>0</v>
      </c>
      <c r="L387" s="546"/>
      <c r="M387" s="545"/>
      <c r="N387" s="545"/>
      <c r="O387" s="545"/>
      <c r="P387" s="545"/>
      <c r="Q387" s="545"/>
      <c r="R387" s="545"/>
      <c r="S387" s="545"/>
      <c r="T387" s="545"/>
      <c r="U387" s="545"/>
    </row>
    <row r="388" spans="1:21" ht="18.75">
      <c r="A388" s="609"/>
      <c r="B388" s="609"/>
      <c r="C388" s="609"/>
      <c r="D388" s="609"/>
      <c r="E388" s="609"/>
      <c r="F388" s="609"/>
      <c r="G388" s="557"/>
      <c r="H388" s="549" t="s">
        <v>46</v>
      </c>
      <c r="I388" s="556">
        <f ca="1">IFERROR(__xludf.DUMMYFUNCTION("IMPORTRANGE(""https://docs.google.com/spreadsheets/d/1w5rwWK1o49a35cNtocGL0gxDwhFSTZUQu90BiH9_zqM/edit?usp=sharing"",""RTK!K43"")"),0)</f>
        <v>0</v>
      </c>
      <c r="J388" s="556">
        <f ca="1">IFERROR(__xludf.DUMMYFUNCTION("IMPORTRANGE(""https://docs.google.com/spreadsheets/d/1w5rwWK1o49a35cNtocGL0gxDwhFSTZUQu90BiH9_zqM/edit?usp=sharing"",""RTK!M43"")"),0)</f>
        <v>0</v>
      </c>
      <c r="K388" s="555">
        <f ca="1">IF(I388&gt;0,J388*100/I388,0)</f>
        <v>0</v>
      </c>
      <c r="L388" s="546"/>
      <c r="M388" s="545"/>
      <c r="N388" s="545"/>
      <c r="O388" s="545"/>
      <c r="P388" s="545"/>
      <c r="Q388" s="545"/>
      <c r="R388" s="545"/>
      <c r="S388" s="545"/>
      <c r="T388" s="545"/>
      <c r="U388" s="545"/>
    </row>
    <row r="389" spans="1:21" ht="12.75" hidden="1">
      <c r="A389" s="259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5"/>
      <c r="M389" s="264"/>
      <c r="N389" s="264"/>
      <c r="O389" s="264"/>
      <c r="P389" s="264"/>
      <c r="Q389" s="264"/>
      <c r="R389" s="264"/>
      <c r="S389" s="264"/>
      <c r="T389" s="264"/>
      <c r="U389" s="264"/>
    </row>
    <row r="390" spans="1:21" ht="12.75" hidden="1">
      <c r="A390" s="360"/>
      <c r="B390" s="360"/>
      <c r="C390" s="360"/>
      <c r="D390" s="360"/>
      <c r="E390" s="360"/>
      <c r="F390" s="360"/>
      <c r="G390" s="361"/>
      <c r="H390" s="361"/>
      <c r="I390" s="362"/>
      <c r="J390" s="362"/>
      <c r="K390" s="363"/>
      <c r="L390" s="364"/>
      <c r="M390" s="363"/>
      <c r="N390" s="363"/>
      <c r="O390" s="363"/>
      <c r="P390" s="363"/>
      <c r="Q390" s="363"/>
      <c r="R390" s="363"/>
      <c r="S390" s="363"/>
      <c r="T390" s="363"/>
      <c r="U390" s="363"/>
    </row>
    <row r="391" spans="1:21" ht="19.5" hidden="1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51">
        <f>I402</f>
        <v>0</v>
      </c>
      <c r="J391" s="351">
        <f>J402</f>
        <v>0</v>
      </c>
      <c r="K391" s="604">
        <f>IF(I391&gt;0,J391*100/I391,0)</f>
        <v>0</v>
      </c>
      <c r="L391" s="334"/>
      <c r="M391" s="333"/>
      <c r="N391" s="333"/>
      <c r="O391" s="333"/>
      <c r="P391" s="333"/>
      <c r="Q391" s="333"/>
      <c r="R391" s="333"/>
      <c r="S391" s="333"/>
      <c r="T391" s="333"/>
      <c r="U391" s="333"/>
    </row>
    <row r="392" spans="1:21" ht="19.5" hidden="1">
      <c r="A392" s="155"/>
      <c r="B392" s="188"/>
      <c r="C392" s="191" t="s">
        <v>18</v>
      </c>
      <c r="D392" s="608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541">
        <f>L393+L394</f>
        <v>0</v>
      </c>
      <c r="M392" s="540">
        <f>M393+M394</f>
        <v>0</v>
      </c>
      <c r="N392" s="540">
        <f>N393+N394</f>
        <v>0</v>
      </c>
      <c r="O392" s="540">
        <f>IF(L392&gt;0,N392*100/L392,0)</f>
        <v>0</v>
      </c>
      <c r="P392" s="540">
        <f>IF(M392&gt;0,N392*100/M392,0)</f>
        <v>0</v>
      </c>
      <c r="Q392" s="540">
        <f>Q393+Q394</f>
        <v>0</v>
      </c>
      <c r="R392" s="540">
        <f>R393+R394</f>
        <v>0</v>
      </c>
      <c r="S392" s="540">
        <f>S393+S394</f>
        <v>0</v>
      </c>
      <c r="T392" s="540">
        <f>IF(Q392&gt;0,S392*100/Q392,0)</f>
        <v>0</v>
      </c>
      <c r="U392" s="540">
        <f>IF(R392&gt;0,S392*100/R392,0)</f>
        <v>0</v>
      </c>
    </row>
    <row r="393" spans="1:21" ht="18.75" hidden="1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103">
        <f>L396+L399</f>
        <v>0</v>
      </c>
      <c r="M393" s="102">
        <f>M396+M399</f>
        <v>0</v>
      </c>
      <c r="N393" s="102">
        <f>N396+N399</f>
        <v>0</v>
      </c>
      <c r="O393" s="102">
        <f>IF(L393&gt;0,N393*100/L393,0)</f>
        <v>0</v>
      </c>
      <c r="P393" s="102">
        <f>IF(M393&gt;0,N393*100/M393,0)</f>
        <v>0</v>
      </c>
      <c r="Q393" s="102">
        <f>Q396+Q399</f>
        <v>0</v>
      </c>
      <c r="R393" s="102">
        <f>R396+R399</f>
        <v>0</v>
      </c>
      <c r="S393" s="102">
        <f>S396+S399</f>
        <v>0</v>
      </c>
      <c r="T393" s="102">
        <f>IF(Q393&gt;0,S393*100/Q393,0)</f>
        <v>0</v>
      </c>
      <c r="U393" s="102">
        <f>IF(R393&gt;0,S393*100/R393,0)</f>
        <v>0</v>
      </c>
    </row>
    <row r="394" spans="1:21" ht="18.75" hidden="1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256">
        <f>L397+L400</f>
        <v>0</v>
      </c>
      <c r="M394" s="255">
        <f>M397+M400</f>
        <v>0</v>
      </c>
      <c r="N394" s="255">
        <f>N397+N400</f>
        <v>0</v>
      </c>
      <c r="O394" s="255">
        <f>IF(L394&gt;0,N394*100/L394,0)</f>
        <v>0</v>
      </c>
      <c r="P394" s="255">
        <f>IF(M394&gt;0,N394*100/M394,0)</f>
        <v>0</v>
      </c>
      <c r="Q394" s="255">
        <f>Q397+Q400</f>
        <v>0</v>
      </c>
      <c r="R394" s="255">
        <f>R397+R400</f>
        <v>0</v>
      </c>
      <c r="S394" s="255">
        <f>S397+S400</f>
        <v>0</v>
      </c>
      <c r="T394" s="255">
        <f>IF(Q394&gt;0,S394*100/Q394,0)</f>
        <v>0</v>
      </c>
      <c r="U394" s="255">
        <f>IF(R394&gt;0,S394*100/R394,0)</f>
        <v>0</v>
      </c>
    </row>
    <row r="395" spans="1:21" ht="18.75" hidden="1">
      <c r="A395" s="155"/>
      <c r="B395" s="188"/>
      <c r="C395" s="188"/>
      <c r="D395" s="602" t="s">
        <v>22</v>
      </c>
      <c r="E395" s="50"/>
      <c r="F395" s="50"/>
      <c r="G395" s="52"/>
      <c r="H395" s="162" t="s">
        <v>14</v>
      </c>
      <c r="I395" s="163"/>
      <c r="J395" s="163"/>
      <c r="K395" s="164"/>
      <c r="L395" s="256">
        <f>L396+L397</f>
        <v>0</v>
      </c>
      <c r="M395" s="255">
        <f>M396+M397</f>
        <v>0</v>
      </c>
      <c r="N395" s="255">
        <f>N396+N397</f>
        <v>0</v>
      </c>
      <c r="O395" s="255">
        <f>IF(L395&gt;0,N395*100/L395,0)</f>
        <v>0</v>
      </c>
      <c r="P395" s="255">
        <f>IF(M395&gt;0,N395*100/M395,0)</f>
        <v>0</v>
      </c>
      <c r="Q395" s="255">
        <f>Q396+Q397</f>
        <v>0</v>
      </c>
      <c r="R395" s="255">
        <f>R396+R397</f>
        <v>0</v>
      </c>
      <c r="S395" s="255">
        <f>S396+S397</f>
        <v>0</v>
      </c>
      <c r="T395" s="255">
        <f>IF(Q395&gt;0,S395*100/Q395,0)</f>
        <v>0</v>
      </c>
      <c r="U395" s="255">
        <f>IF(R395&gt;0,S395*100/R395,0)</f>
        <v>0</v>
      </c>
    </row>
    <row r="396" spans="1:21" ht="18.75" hidden="1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103">
        <v>0</v>
      </c>
      <c r="M396" s="102">
        <v>0</v>
      </c>
      <c r="N396" s="102">
        <v>0</v>
      </c>
      <c r="O396" s="102">
        <f>IF(L396&gt;0,N396*100/L396,0)</f>
        <v>0</v>
      </c>
      <c r="P396" s="102">
        <f>IF(M396&gt;0,N396*100/M396,0)</f>
        <v>0</v>
      </c>
      <c r="Q396" s="102">
        <v>0</v>
      </c>
      <c r="R396" s="102">
        <v>0</v>
      </c>
      <c r="S396" s="102">
        <v>0</v>
      </c>
      <c r="T396" s="102">
        <f>IF(Q396&gt;0,S396*100/Q396,0)</f>
        <v>0</v>
      </c>
      <c r="U396" s="102">
        <f>IF(R396&gt;0,S396*100/R396,0)</f>
        <v>0</v>
      </c>
    </row>
    <row r="397" spans="1:21" ht="18.75" hidden="1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256">
        <v>0</v>
      </c>
      <c r="M397" s="255">
        <v>0</v>
      </c>
      <c r="N397" s="255">
        <v>0</v>
      </c>
      <c r="O397" s="255">
        <f>IF(L397&gt;0,N397*100/L397,0)</f>
        <v>0</v>
      </c>
      <c r="P397" s="255">
        <f>IF(M397&gt;0,N397*100/M397,0)</f>
        <v>0</v>
      </c>
      <c r="Q397" s="255">
        <v>0</v>
      </c>
      <c r="R397" s="255">
        <v>0</v>
      </c>
      <c r="S397" s="255">
        <v>0</v>
      </c>
      <c r="T397" s="255">
        <f>IF(Q397&gt;0,S397*100/Q397,0)</f>
        <v>0</v>
      </c>
      <c r="U397" s="255">
        <f>IF(R397&gt;0,S397*100/R397,0)</f>
        <v>0</v>
      </c>
    </row>
    <row r="398" spans="1:21" ht="18.75" hidden="1">
      <c r="A398" s="155"/>
      <c r="B398" s="188"/>
      <c r="C398" s="188"/>
      <c r="D398" s="602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256">
        <f>L399+L400</f>
        <v>0</v>
      </c>
      <c r="M398" s="255">
        <f>M399+M400</f>
        <v>0</v>
      </c>
      <c r="N398" s="255">
        <f>N399+N400</f>
        <v>0</v>
      </c>
      <c r="O398" s="255">
        <f>IF(L398&gt;0,N398*100/L398,0)</f>
        <v>0</v>
      </c>
      <c r="P398" s="255">
        <f>IF(M398&gt;0,N398*100/M398,0)</f>
        <v>0</v>
      </c>
      <c r="Q398" s="255">
        <f>Q399+Q400</f>
        <v>0</v>
      </c>
      <c r="R398" s="255">
        <f>R399+R400</f>
        <v>0</v>
      </c>
      <c r="S398" s="255">
        <f>S399+S400</f>
        <v>0</v>
      </c>
      <c r="T398" s="255">
        <f>IF(Q398&gt;0,S398*100/Q398,0)</f>
        <v>0</v>
      </c>
      <c r="U398" s="255">
        <f>IF(R398&gt;0,S398*100/R398,0)</f>
        <v>0</v>
      </c>
    </row>
    <row r="399" spans="1:21" ht="18.75" hidden="1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103">
        <v>0</v>
      </c>
      <c r="M399" s="102">
        <v>0</v>
      </c>
      <c r="N399" s="102">
        <v>0</v>
      </c>
      <c r="O399" s="102">
        <f>IF(L399&gt;0,N399*100/L399,0)</f>
        <v>0</v>
      </c>
      <c r="P399" s="102">
        <f>IF(M399&gt;0,N399*100/M399,0)</f>
        <v>0</v>
      </c>
      <c r="Q399" s="102">
        <v>0</v>
      </c>
      <c r="R399" s="102">
        <v>0</v>
      </c>
      <c r="S399" s="102">
        <v>0</v>
      </c>
      <c r="T399" s="102">
        <f>IF(Q399&gt;0,S399*100/Q399,0)</f>
        <v>0</v>
      </c>
      <c r="U399" s="102">
        <f>IF(R399&gt;0,S399*100/R399,0)</f>
        <v>0</v>
      </c>
    </row>
    <row r="400" spans="1:21" ht="18.75" hidden="1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256">
        <v>0</v>
      </c>
      <c r="M400" s="255">
        <v>0</v>
      </c>
      <c r="N400" s="255">
        <v>0</v>
      </c>
      <c r="O400" s="255">
        <f>IF(L400&gt;0,N400*100/L400,0)</f>
        <v>0</v>
      </c>
      <c r="P400" s="255">
        <f>IF(M400&gt;0,N400*100/M400,0)</f>
        <v>0</v>
      </c>
      <c r="Q400" s="255">
        <v>0</v>
      </c>
      <c r="R400" s="255">
        <v>0</v>
      </c>
      <c r="S400" s="255">
        <v>0</v>
      </c>
      <c r="T400" s="255">
        <f>IF(Q400&gt;0,S400*100/Q400,0)</f>
        <v>0</v>
      </c>
      <c r="U400" s="255">
        <f>IF(R400&gt;0,S400*100/R400,0)</f>
        <v>0</v>
      </c>
    </row>
    <row r="401" spans="1:21" ht="19.5" hidden="1">
      <c r="A401" s="166"/>
      <c r="B401" s="167"/>
      <c r="C401" s="191" t="s">
        <v>18</v>
      </c>
      <c r="D401" s="560" t="s">
        <v>38</v>
      </c>
      <c r="E401" s="169"/>
      <c r="F401" s="169"/>
      <c r="G401" s="170"/>
      <c r="H401" s="206"/>
      <c r="I401" s="163"/>
      <c r="J401" s="54"/>
      <c r="K401" s="55"/>
      <c r="L401" s="62"/>
      <c r="M401" s="55"/>
      <c r="N401" s="55"/>
      <c r="O401" s="164"/>
      <c r="P401" s="164"/>
      <c r="Q401" s="55"/>
      <c r="R401" s="55"/>
      <c r="S401" s="55"/>
      <c r="T401" s="164"/>
      <c r="U401" s="164"/>
    </row>
    <row r="402" spans="1:21" ht="12.75" hidden="1">
      <c r="A402" s="258"/>
      <c r="B402" s="259"/>
      <c r="C402" s="259"/>
      <c r="D402" s="259"/>
      <c r="E402" s="260"/>
      <c r="F402" s="260"/>
      <c r="G402" s="261"/>
      <c r="H402" s="262"/>
      <c r="I402" s="263"/>
      <c r="J402" s="263"/>
      <c r="K402" s="264"/>
      <c r="L402" s="265"/>
      <c r="M402" s="264"/>
      <c r="N402" s="264"/>
      <c r="O402" s="264"/>
      <c r="P402" s="264"/>
      <c r="Q402" s="264"/>
      <c r="R402" s="264"/>
      <c r="S402" s="264"/>
      <c r="T402" s="264"/>
      <c r="U402" s="264"/>
    </row>
    <row r="403" spans="1:21" ht="12.75" hidden="1">
      <c r="A403" s="259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5"/>
      <c r="M403" s="264"/>
      <c r="N403" s="264"/>
      <c r="O403" s="264"/>
      <c r="P403" s="264"/>
      <c r="Q403" s="264"/>
      <c r="R403" s="264"/>
      <c r="S403" s="264"/>
      <c r="T403" s="264"/>
      <c r="U403" s="264"/>
    </row>
    <row r="404" spans="1:21" ht="12.75" hidden="1">
      <c r="A404" s="259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5"/>
      <c r="M404" s="264"/>
      <c r="N404" s="264"/>
      <c r="O404" s="264"/>
      <c r="P404" s="264"/>
      <c r="Q404" s="264"/>
      <c r="R404" s="264"/>
      <c r="S404" s="264"/>
      <c r="T404" s="264"/>
      <c r="U404" s="264"/>
    </row>
    <row r="405" spans="1:21" ht="12.75" hidden="1">
      <c r="A405" s="259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5"/>
      <c r="M405" s="264"/>
      <c r="N405" s="264"/>
      <c r="O405" s="264"/>
      <c r="P405" s="264"/>
      <c r="Q405" s="264"/>
      <c r="R405" s="264"/>
      <c r="S405" s="264"/>
      <c r="T405" s="264"/>
      <c r="U405" s="264"/>
    </row>
    <row r="406" spans="1:21" ht="12.75" hidden="1">
      <c r="A406" s="259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5"/>
      <c r="M406" s="264"/>
      <c r="N406" s="264"/>
      <c r="O406" s="264"/>
      <c r="P406" s="264"/>
      <c r="Q406" s="264"/>
      <c r="R406" s="264"/>
      <c r="S406" s="264"/>
      <c r="T406" s="264"/>
      <c r="U406" s="264"/>
    </row>
    <row r="407" spans="1:21" ht="12.75" hidden="1">
      <c r="A407" s="259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5"/>
      <c r="M407" s="264"/>
      <c r="N407" s="264"/>
      <c r="O407" s="264"/>
      <c r="P407" s="264"/>
      <c r="Q407" s="264"/>
      <c r="R407" s="264"/>
      <c r="S407" s="264"/>
      <c r="T407" s="264"/>
      <c r="U407" s="264"/>
    </row>
    <row r="408" spans="1:21" ht="12.75" hidden="1">
      <c r="A408" s="259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5"/>
      <c r="M408" s="264"/>
      <c r="N408" s="264"/>
      <c r="O408" s="264"/>
      <c r="P408" s="264"/>
      <c r="Q408" s="264"/>
      <c r="R408" s="264"/>
      <c r="S408" s="264"/>
      <c r="T408" s="264"/>
      <c r="U408" s="264"/>
    </row>
    <row r="409" spans="1:21" ht="12.75" hidden="1">
      <c r="A409" s="259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5"/>
      <c r="M409" s="264"/>
      <c r="N409" s="264"/>
      <c r="O409" s="264"/>
      <c r="P409" s="264"/>
      <c r="Q409" s="264"/>
      <c r="R409" s="264"/>
      <c r="S409" s="264"/>
      <c r="T409" s="264"/>
      <c r="U409" s="264"/>
    </row>
    <row r="410" spans="1:21" ht="12.75" hidden="1">
      <c r="A410" s="259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5"/>
      <c r="M410" s="264"/>
      <c r="N410" s="264"/>
      <c r="O410" s="264"/>
      <c r="P410" s="264"/>
      <c r="Q410" s="264"/>
      <c r="R410" s="264"/>
      <c r="S410" s="264"/>
      <c r="T410" s="264"/>
      <c r="U410" s="264"/>
    </row>
    <row r="411" spans="1:21" ht="12.75" hidden="1">
      <c r="A411" s="360"/>
      <c r="B411" s="360"/>
      <c r="C411" s="360"/>
      <c r="D411" s="360"/>
      <c r="E411" s="360"/>
      <c r="F411" s="360"/>
      <c r="G411" s="361"/>
      <c r="H411" s="361"/>
      <c r="I411" s="362"/>
      <c r="J411" s="362"/>
      <c r="K411" s="363"/>
      <c r="L411" s="364"/>
      <c r="M411" s="363"/>
      <c r="N411" s="363"/>
      <c r="O411" s="363"/>
      <c r="P411" s="363"/>
      <c r="Q411" s="363"/>
      <c r="R411" s="363"/>
      <c r="S411" s="363"/>
      <c r="T411" s="363"/>
      <c r="U411" s="363"/>
    </row>
    <row r="412" spans="1:21" ht="19.5" hidden="1">
      <c r="A412" s="337"/>
      <c r="B412" s="354" t="s">
        <v>158</v>
      </c>
      <c r="C412" s="337"/>
      <c r="D412" s="337"/>
      <c r="E412" s="337"/>
      <c r="F412" s="337"/>
      <c r="G412" s="365"/>
      <c r="H412" s="366" t="s">
        <v>46</v>
      </c>
      <c r="I412" s="605">
        <f ca="1">I423</f>
        <v>0</v>
      </c>
      <c r="J412" s="605">
        <f>J423</f>
        <v>0</v>
      </c>
      <c r="K412" s="604">
        <f ca="1">IF(I412&gt;0,J412*100/I412,0)</f>
        <v>0</v>
      </c>
      <c r="L412" s="334"/>
      <c r="M412" s="333"/>
      <c r="N412" s="333"/>
      <c r="O412" s="333"/>
      <c r="P412" s="333"/>
      <c r="Q412" s="333"/>
      <c r="R412" s="333"/>
      <c r="S412" s="333"/>
      <c r="T412" s="333"/>
      <c r="U412" s="333"/>
    </row>
    <row r="413" spans="1:21" ht="19.5" hidden="1">
      <c r="A413" s="155"/>
      <c r="B413" s="188"/>
      <c r="C413" s="367" t="s">
        <v>18</v>
      </c>
      <c r="D413" s="603" t="s">
        <v>19</v>
      </c>
      <c r="E413" s="514"/>
      <c r="F413" s="514"/>
      <c r="G413" s="512"/>
      <c r="H413" s="368" t="s">
        <v>14</v>
      </c>
      <c r="I413" s="54"/>
      <c r="J413" s="54"/>
      <c r="K413" s="55"/>
      <c r="L413" s="541">
        <f>L414+L415</f>
        <v>0</v>
      </c>
      <c r="M413" s="540">
        <f>M414+M415</f>
        <v>0</v>
      </c>
      <c r="N413" s="540">
        <f>N414+N415</f>
        <v>0</v>
      </c>
      <c r="O413" s="540">
        <f>IF(L413&gt;0,N413*100/L413,0)</f>
        <v>0</v>
      </c>
      <c r="P413" s="540">
        <f>IF(M413&gt;0,N413*100/M413,0)</f>
        <v>0</v>
      </c>
      <c r="Q413" s="540">
        <f ca="1">Q414+Q415</f>
        <v>0</v>
      </c>
      <c r="R413" s="540">
        <f ca="1">R414+R415</f>
        <v>0</v>
      </c>
      <c r="S413" s="540">
        <f ca="1">S414+S415</f>
        <v>0</v>
      </c>
      <c r="T413" s="540">
        <f ca="1">IF(Q413&gt;0,S413*100/Q413,0)</f>
        <v>0</v>
      </c>
      <c r="U413" s="540">
        <f ca="1">IF(R413&gt;0,S413*100/R413,0)</f>
        <v>0</v>
      </c>
    </row>
    <row r="414" spans="1:21" ht="18.75" hidden="1">
      <c r="A414" s="155"/>
      <c r="B414" s="188"/>
      <c r="C414" s="188"/>
      <c r="D414" s="188"/>
      <c r="E414" s="358" t="s">
        <v>159</v>
      </c>
      <c r="F414" s="188"/>
      <c r="G414" s="208"/>
      <c r="H414" s="204" t="s">
        <v>14</v>
      </c>
      <c r="I414" s="54"/>
      <c r="J414" s="54"/>
      <c r="K414" s="55"/>
      <c r="L414" s="103">
        <f>L417+L420</f>
        <v>0</v>
      </c>
      <c r="M414" s="102">
        <f>M417+M420</f>
        <v>0</v>
      </c>
      <c r="N414" s="102">
        <f>N417+N420</f>
        <v>0</v>
      </c>
      <c r="O414" s="102">
        <f>IF(L414&gt;0,N414*100/L414,0)</f>
        <v>0</v>
      </c>
      <c r="P414" s="102">
        <f>IF(M414&gt;0,N414*100/M414,0)</f>
        <v>0</v>
      </c>
      <c r="Q414" s="102">
        <f>Q417+Q420</f>
        <v>0</v>
      </c>
      <c r="R414" s="102">
        <f>R417+R420</f>
        <v>0</v>
      </c>
      <c r="S414" s="102">
        <f>S417+S420</f>
        <v>0</v>
      </c>
      <c r="T414" s="102">
        <f>IF(Q414&gt;0,S414*100/Q414,0)</f>
        <v>0</v>
      </c>
      <c r="U414" s="102">
        <f>IF(R414&gt;0,S414*100/R414,0)</f>
        <v>0</v>
      </c>
    </row>
    <row r="415" spans="1:21" ht="18.75" hidden="1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256">
        <f>L418+L421</f>
        <v>0</v>
      </c>
      <c r="M415" s="255">
        <f>M418+M421</f>
        <v>0</v>
      </c>
      <c r="N415" s="255">
        <f>N418+N421</f>
        <v>0</v>
      </c>
      <c r="O415" s="255">
        <f>IF(L415&gt;0,N415*100/L415,0)</f>
        <v>0</v>
      </c>
      <c r="P415" s="255">
        <f>IF(M415&gt;0,N415*100/M415,0)</f>
        <v>0</v>
      </c>
      <c r="Q415" s="255">
        <f ca="1">Q418+Q421</f>
        <v>0</v>
      </c>
      <c r="R415" s="255">
        <f ca="1">R418+R421</f>
        <v>0</v>
      </c>
      <c r="S415" s="255">
        <f ca="1">S418+S421</f>
        <v>0</v>
      </c>
      <c r="T415" s="255">
        <f ca="1">IF(Q415&gt;0,S415*100/Q415,0)</f>
        <v>0</v>
      </c>
      <c r="U415" s="255">
        <f ca="1">IF(R415&gt;0,S415*100/R415,0)</f>
        <v>0</v>
      </c>
    </row>
    <row r="416" spans="1:21" ht="19.5" hidden="1">
      <c r="A416" s="155"/>
      <c r="B416" s="188"/>
      <c r="C416" s="188"/>
      <c r="D416" s="608" t="s">
        <v>22</v>
      </c>
      <c r="E416" s="188"/>
      <c r="F416" s="188"/>
      <c r="G416" s="208"/>
      <c r="H416" s="368" t="s">
        <v>14</v>
      </c>
      <c r="I416" s="54"/>
      <c r="J416" s="54"/>
      <c r="K416" s="55"/>
      <c r="L416" s="256">
        <f>L417+L418</f>
        <v>0</v>
      </c>
      <c r="M416" s="255">
        <f>M417+M418</f>
        <v>0</v>
      </c>
      <c r="N416" s="255">
        <f>N417+N418</f>
        <v>0</v>
      </c>
      <c r="O416" s="255">
        <f>IF(L416&gt;0,N416*100/L416,0)</f>
        <v>0</v>
      </c>
      <c r="P416" s="255">
        <f>IF(M416&gt;0,N416*100/M416,0)</f>
        <v>0</v>
      </c>
      <c r="Q416" s="255">
        <f ca="1">Q417+Q418</f>
        <v>0</v>
      </c>
      <c r="R416" s="255">
        <f ca="1">R417+R418</f>
        <v>0</v>
      </c>
      <c r="S416" s="255">
        <f ca="1">S417+S418</f>
        <v>0</v>
      </c>
      <c r="T416" s="255">
        <f ca="1">IF(Q416&gt;0,S416*100/Q416,0)</f>
        <v>0</v>
      </c>
      <c r="U416" s="255">
        <f ca="1">IF(R416&gt;0,S416*100/R416,0)</f>
        <v>0</v>
      </c>
    </row>
    <row r="417" spans="1:21" ht="18.75" hidden="1">
      <c r="A417" s="155"/>
      <c r="B417" s="188"/>
      <c r="C417" s="188"/>
      <c r="D417" s="188"/>
      <c r="E417" s="358" t="s">
        <v>159</v>
      </c>
      <c r="F417" s="188"/>
      <c r="G417" s="208"/>
      <c r="H417" s="204" t="s">
        <v>14</v>
      </c>
      <c r="I417" s="54"/>
      <c r="J417" s="54"/>
      <c r="K417" s="55"/>
      <c r="L417" s="103">
        <v>0</v>
      </c>
      <c r="M417" s="102">
        <v>0</v>
      </c>
      <c r="N417" s="102">
        <v>0</v>
      </c>
      <c r="O417" s="102">
        <f>IF(L417&gt;0,N417*100/L417,0)</f>
        <v>0</v>
      </c>
      <c r="P417" s="102">
        <f>IF(M417&gt;0,N417*100/M417,0)</f>
        <v>0</v>
      </c>
      <c r="Q417" s="102">
        <v>0</v>
      </c>
      <c r="R417" s="102">
        <v>0</v>
      </c>
      <c r="S417" s="102">
        <v>0</v>
      </c>
      <c r="T417" s="102">
        <f>IF(Q417&gt;0,S417*100/Q417,0)</f>
        <v>0</v>
      </c>
      <c r="U417" s="102">
        <f>IF(R417&gt;0,S417*100/R417,0)</f>
        <v>0</v>
      </c>
    </row>
    <row r="418" spans="1:21" ht="18.75" hidden="1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256">
        <v>0</v>
      </c>
      <c r="M418" s="255">
        <v>0</v>
      </c>
      <c r="N418" s="255">
        <v>0</v>
      </c>
      <c r="O418" s="255">
        <f>IF(L418&gt;0,N418*100/L418,0)</f>
        <v>0</v>
      </c>
      <c r="P418" s="255">
        <f>IF(M418&gt;0,N418*100/M418,0)</f>
        <v>0</v>
      </c>
      <c r="Q418" s="255">
        <f ca="1">IFERROR(__xludf.DUMMYFUNCTION("IMPORTRANGE(""https://docs.google.com/spreadsheets/d/1ItG2mGa2ceCfYo0BwxsXqNm01IGEUdYcSSLTEv9YCik/edit?usp=sharing"",""เบิกจ่ายกองทุน!BH43"")"),0)</f>
        <v>0</v>
      </c>
      <c r="R418" s="255">
        <f ca="1">IFERROR(__xludf.DUMMYFUNCTION("IMPORTRANGE(""https://docs.google.com/spreadsheets/d/1ItG2mGa2ceCfYo0BwxsXqNm01IGEUdYcSSLTEv9YCik/edit?usp=sharing"",""เบิกจ่ายกองทุน!BI43"")"),0)</f>
        <v>0</v>
      </c>
      <c r="S418" s="255">
        <f ca="1">IFERROR(__xludf.DUMMYFUNCTION("IMPORTRANGE(""https://docs.google.com/spreadsheets/d/1ItG2mGa2ceCfYo0BwxsXqNm01IGEUdYcSSLTEv9YCik/edit?usp=sharing"",""เบิกจ่ายกองทุน!BJ43"")"),0)</f>
        <v>0</v>
      </c>
      <c r="T418" s="255">
        <f ca="1">IF(Q418&gt;0,S418*100/Q418,0)</f>
        <v>0</v>
      </c>
      <c r="U418" s="255">
        <f ca="1">IF(R418&gt;0,S418*100/R418,0)</f>
        <v>0</v>
      </c>
    </row>
    <row r="419" spans="1:21" ht="19.5" hidden="1">
      <c r="A419" s="155"/>
      <c r="B419" s="188"/>
      <c r="C419" s="188"/>
      <c r="D419" s="608" t="s">
        <v>23</v>
      </c>
      <c r="E419" s="188"/>
      <c r="F419" s="188"/>
      <c r="G419" s="208"/>
      <c r="H419" s="158" t="s">
        <v>14</v>
      </c>
      <c r="I419" s="54"/>
      <c r="J419" s="54"/>
      <c r="K419" s="55"/>
      <c r="L419" s="256">
        <f>L420+L421</f>
        <v>0</v>
      </c>
      <c r="M419" s="255">
        <f>M420+M421</f>
        <v>0</v>
      </c>
      <c r="N419" s="255">
        <f>N420+N421</f>
        <v>0</v>
      </c>
      <c r="O419" s="255">
        <f>IF(L419&gt;0,N419*100/L419,0)</f>
        <v>0</v>
      </c>
      <c r="P419" s="255">
        <f>IF(M419&gt;0,N419*100/M419,0)</f>
        <v>0</v>
      </c>
      <c r="Q419" s="255">
        <f>Q420+Q421</f>
        <v>0</v>
      </c>
      <c r="R419" s="255">
        <f>R420+R421</f>
        <v>0</v>
      </c>
      <c r="S419" s="255">
        <f>S420+S421</f>
        <v>0</v>
      </c>
      <c r="T419" s="255">
        <f>IF(Q419&gt;0,S419*100/Q419,0)</f>
        <v>0</v>
      </c>
      <c r="U419" s="255">
        <f>IF(R419&gt;0,S419*100/R419,0)</f>
        <v>0</v>
      </c>
    </row>
    <row r="420" spans="1:21" ht="18.75" hidden="1">
      <c r="A420" s="155"/>
      <c r="B420" s="188"/>
      <c r="C420" s="188"/>
      <c r="D420" s="188"/>
      <c r="E420" s="358" t="s">
        <v>20</v>
      </c>
      <c r="F420" s="188"/>
      <c r="G420" s="208"/>
      <c r="H420" s="204" t="s">
        <v>14</v>
      </c>
      <c r="I420" s="54"/>
      <c r="J420" s="54"/>
      <c r="K420" s="55"/>
      <c r="L420" s="103">
        <v>0</v>
      </c>
      <c r="M420" s="102">
        <v>0</v>
      </c>
      <c r="N420" s="102">
        <v>0</v>
      </c>
      <c r="O420" s="102">
        <f>IF(L420&gt;0,N420*100/L420,0)</f>
        <v>0</v>
      </c>
      <c r="P420" s="102">
        <f>IF(M420&gt;0,N420*100/M420,0)</f>
        <v>0</v>
      </c>
      <c r="Q420" s="102">
        <v>0</v>
      </c>
      <c r="R420" s="102">
        <v>0</v>
      </c>
      <c r="S420" s="102">
        <v>0</v>
      </c>
      <c r="T420" s="102">
        <f>IF(Q420&gt;0,S420*100/Q420,0)</f>
        <v>0</v>
      </c>
      <c r="U420" s="102">
        <f>IF(R420&gt;0,S420*100/R420,0)</f>
        <v>0</v>
      </c>
    </row>
    <row r="421" spans="1:21" ht="18.75" hidden="1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256">
        <v>0</v>
      </c>
      <c r="M421" s="255">
        <v>0</v>
      </c>
      <c r="N421" s="255">
        <v>0</v>
      </c>
      <c r="O421" s="255">
        <f>IF(L421&gt;0,N421*100/L421,0)</f>
        <v>0</v>
      </c>
      <c r="P421" s="255">
        <f>IF(M421&gt;0,N421*100/M421,0)</f>
        <v>0</v>
      </c>
      <c r="Q421" s="255">
        <v>0</v>
      </c>
      <c r="R421" s="255">
        <v>0</v>
      </c>
      <c r="S421" s="255">
        <v>0</v>
      </c>
      <c r="T421" s="255">
        <f>IF(Q421&gt;0,S421*100/Q421,0)</f>
        <v>0</v>
      </c>
      <c r="U421" s="255">
        <f>IF(R421&gt;0,S421*100/R421,0)</f>
        <v>0</v>
      </c>
    </row>
    <row r="422" spans="1:21" ht="19.5" hidden="1">
      <c r="A422" s="238"/>
      <c r="B422" s="188"/>
      <c r="C422" s="367" t="s">
        <v>18</v>
      </c>
      <c r="D422" s="607" t="s">
        <v>38</v>
      </c>
      <c r="E422" s="188"/>
      <c r="F422" s="188"/>
      <c r="G422" s="208"/>
      <c r="H422" s="208"/>
      <c r="I422" s="54"/>
      <c r="J422" s="54"/>
      <c r="K422" s="55"/>
      <c r="L422" s="62"/>
      <c r="M422" s="55"/>
      <c r="N422" s="55"/>
      <c r="O422" s="55"/>
      <c r="P422" s="55"/>
      <c r="Q422" s="55"/>
      <c r="R422" s="55"/>
      <c r="S422" s="55"/>
      <c r="T422" s="55"/>
      <c r="U422" s="55"/>
    </row>
    <row r="423" spans="1:21" ht="19.5" hidden="1">
      <c r="A423" s="238"/>
      <c r="B423" s="191" t="s">
        <v>161</v>
      </c>
      <c r="C423" s="188"/>
      <c r="D423" s="188"/>
      <c r="E423" s="188"/>
      <c r="F423" s="188"/>
      <c r="G423" s="208"/>
      <c r="H423" s="368" t="s">
        <v>46</v>
      </c>
      <c r="I423" s="373">
        <f ca="1">I440</f>
        <v>0</v>
      </c>
      <c r="J423" s="373">
        <f>J440</f>
        <v>0</v>
      </c>
      <c r="K423" s="540">
        <f ca="1">IF(I423&gt;0,J423*100/I423,0)</f>
        <v>0</v>
      </c>
      <c r="L423" s="62"/>
      <c r="M423" s="55"/>
      <c r="N423" s="55"/>
      <c r="O423" s="55"/>
      <c r="P423" s="55"/>
      <c r="Q423" s="55"/>
      <c r="R423" s="55"/>
      <c r="S423" s="55"/>
      <c r="T423" s="55"/>
      <c r="U423" s="55"/>
    </row>
    <row r="424" spans="1:21" ht="19.5" hidden="1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373">
        <f ca="1">IFERROR(__xludf.DUMMYFUNCTION("IMPORTRANGE(""https://docs.google.com/spreadsheets/d/1eHaY18a8A9IcSdp1K8H6x8fbOy06t2VsZHhMHf-1x7Y/edit?usp=sharing"",""แผน!HJ43"")"),0)</f>
        <v>0</v>
      </c>
      <c r="J424" s="373">
        <f>J426+J428+J430</f>
        <v>0</v>
      </c>
      <c r="K424" s="540">
        <f ca="1">IF(I424&gt;0,J424*100/I424,0)</f>
        <v>0</v>
      </c>
      <c r="L424" s="62"/>
      <c r="M424" s="55"/>
      <c r="N424" s="55"/>
      <c r="O424" s="55"/>
      <c r="P424" s="55"/>
      <c r="Q424" s="55"/>
      <c r="R424" s="55"/>
      <c r="S424" s="55"/>
      <c r="T424" s="55"/>
      <c r="U424" s="55"/>
    </row>
    <row r="425" spans="1:21" ht="19.5" hidden="1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373">
        <f ca="1">IFERROR(__xludf.DUMMYFUNCTION("IMPORTRANGE(""https://docs.google.com/spreadsheets/d/1eHaY18a8A9IcSdp1K8H6x8fbOy06t2VsZHhMHf-1x7Y/edit?usp=sharing"",""แผน!HK43"")"),0)</f>
        <v>0</v>
      </c>
      <c r="J425" s="373">
        <f>J427+J429+J431</f>
        <v>0</v>
      </c>
      <c r="K425" s="540">
        <f ca="1">IF(I425&gt;0,J425*100/I425,0)</f>
        <v>0</v>
      </c>
      <c r="L425" s="62"/>
      <c r="M425" s="55"/>
      <c r="N425" s="55"/>
      <c r="O425" s="55"/>
      <c r="P425" s="55"/>
      <c r="Q425" s="55"/>
      <c r="R425" s="55"/>
      <c r="S425" s="55"/>
      <c r="T425" s="55"/>
      <c r="U425" s="55"/>
    </row>
    <row r="426" spans="1:21" ht="18.75" hidden="1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54"/>
      <c r="K426" s="55"/>
      <c r="L426" s="62"/>
      <c r="M426" s="55"/>
      <c r="N426" s="55"/>
      <c r="O426" s="55"/>
      <c r="P426" s="55"/>
      <c r="Q426" s="55"/>
      <c r="R426" s="55"/>
      <c r="S426" s="55"/>
      <c r="T426" s="55"/>
      <c r="U426" s="55"/>
    </row>
    <row r="427" spans="1:21" ht="18.75" hidden="1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54"/>
      <c r="K427" s="55"/>
      <c r="L427" s="62"/>
      <c r="M427" s="55"/>
      <c r="N427" s="55"/>
      <c r="O427" s="55"/>
      <c r="P427" s="55"/>
      <c r="Q427" s="55"/>
      <c r="R427" s="55"/>
      <c r="S427" s="55"/>
      <c r="T427" s="55"/>
      <c r="U427" s="55"/>
    </row>
    <row r="428" spans="1:21" ht="18.75" hidden="1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54"/>
      <c r="K428" s="55"/>
      <c r="L428" s="62"/>
      <c r="M428" s="55"/>
      <c r="N428" s="55"/>
      <c r="O428" s="55"/>
      <c r="P428" s="55"/>
      <c r="Q428" s="55"/>
      <c r="R428" s="55"/>
      <c r="S428" s="55"/>
      <c r="T428" s="55"/>
      <c r="U428" s="55"/>
    </row>
    <row r="429" spans="1:21" ht="18.75" hidden="1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54"/>
      <c r="K429" s="55"/>
      <c r="L429" s="62"/>
      <c r="M429" s="55"/>
      <c r="N429" s="55"/>
      <c r="O429" s="55"/>
      <c r="P429" s="55"/>
      <c r="Q429" s="55"/>
      <c r="R429" s="55"/>
      <c r="S429" s="55"/>
      <c r="T429" s="55"/>
      <c r="U429" s="55"/>
    </row>
    <row r="430" spans="1:21" ht="18.75" hidden="1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54"/>
      <c r="K430" s="55"/>
      <c r="L430" s="62"/>
      <c r="M430" s="55"/>
      <c r="N430" s="55"/>
      <c r="O430" s="55"/>
      <c r="P430" s="55"/>
      <c r="Q430" s="55"/>
      <c r="R430" s="55"/>
      <c r="S430" s="55"/>
      <c r="T430" s="55"/>
      <c r="U430" s="55"/>
    </row>
    <row r="431" spans="1:21" ht="18.75" hidden="1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54"/>
      <c r="K431" s="55"/>
      <c r="L431" s="62"/>
      <c r="M431" s="55"/>
      <c r="N431" s="55"/>
      <c r="O431" s="55"/>
      <c r="P431" s="55"/>
      <c r="Q431" s="55"/>
      <c r="R431" s="55"/>
      <c r="S431" s="55"/>
      <c r="T431" s="55"/>
      <c r="U431" s="55"/>
    </row>
    <row r="432" spans="1:21" ht="19.5" hidden="1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373">
        <f ca="1">IFERROR(__xludf.DUMMYFUNCTION("IMPORTRANGE(""https://docs.google.com/spreadsheets/d/1eHaY18a8A9IcSdp1K8H6x8fbOy06t2VsZHhMHf-1x7Y/edit?usp=sharing"",""แผน!HJ43"")"),0)</f>
        <v>0</v>
      </c>
      <c r="J432" s="373">
        <f>J434+J436+J438</f>
        <v>0</v>
      </c>
      <c r="K432" s="540">
        <f ca="1">IF(I432&gt;0,J432*100/I432,0)</f>
        <v>0</v>
      </c>
      <c r="L432" s="62"/>
      <c r="M432" s="55"/>
      <c r="N432" s="55"/>
      <c r="O432" s="55"/>
      <c r="P432" s="55"/>
      <c r="Q432" s="55"/>
      <c r="R432" s="55"/>
      <c r="S432" s="55"/>
      <c r="T432" s="55"/>
      <c r="U432" s="55"/>
    </row>
    <row r="433" spans="1:21" ht="19.5" hidden="1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373">
        <f ca="1">IFERROR(__xludf.DUMMYFUNCTION("IMPORTRANGE(""https://docs.google.com/spreadsheets/d/1eHaY18a8A9IcSdp1K8H6x8fbOy06t2VsZHhMHf-1x7Y/edit?usp=sharing"",""แผน!HK43"")"),0)</f>
        <v>0</v>
      </c>
      <c r="J433" s="373">
        <f>J435+J437+J439</f>
        <v>0</v>
      </c>
      <c r="K433" s="540">
        <f ca="1">IF(I433&gt;0,J433*100/I433,0)</f>
        <v>0</v>
      </c>
      <c r="L433" s="62"/>
      <c r="M433" s="55"/>
      <c r="N433" s="55"/>
      <c r="O433" s="55"/>
      <c r="P433" s="55"/>
      <c r="Q433" s="55"/>
      <c r="R433" s="55"/>
      <c r="S433" s="55"/>
      <c r="T433" s="55"/>
      <c r="U433" s="55"/>
    </row>
    <row r="434" spans="1:21" ht="18.75" hidden="1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54"/>
      <c r="K434" s="55"/>
      <c r="L434" s="62"/>
      <c r="M434" s="55"/>
      <c r="N434" s="55"/>
      <c r="O434" s="55"/>
      <c r="P434" s="55"/>
      <c r="Q434" s="55"/>
      <c r="R434" s="55"/>
      <c r="S434" s="55"/>
      <c r="T434" s="55"/>
      <c r="U434" s="55"/>
    </row>
    <row r="435" spans="1:21" ht="18.75" hidden="1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54"/>
      <c r="K435" s="55"/>
      <c r="L435" s="62"/>
      <c r="M435" s="55"/>
      <c r="N435" s="55"/>
      <c r="O435" s="55"/>
      <c r="P435" s="55"/>
      <c r="Q435" s="55"/>
      <c r="R435" s="55"/>
      <c r="S435" s="55"/>
      <c r="T435" s="55"/>
      <c r="U435" s="55"/>
    </row>
    <row r="436" spans="1:21" ht="18.75" hidden="1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54"/>
      <c r="K436" s="55"/>
      <c r="L436" s="62"/>
      <c r="M436" s="55"/>
      <c r="N436" s="55"/>
      <c r="O436" s="55"/>
      <c r="P436" s="55"/>
      <c r="Q436" s="55"/>
      <c r="R436" s="55"/>
      <c r="S436" s="55"/>
      <c r="T436" s="55"/>
      <c r="U436" s="55"/>
    </row>
    <row r="437" spans="1:21" ht="18.75" hidden="1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54"/>
      <c r="K437" s="55"/>
      <c r="L437" s="62"/>
      <c r="M437" s="55"/>
      <c r="N437" s="55"/>
      <c r="O437" s="55"/>
      <c r="P437" s="55"/>
      <c r="Q437" s="55"/>
      <c r="R437" s="55"/>
      <c r="S437" s="55"/>
      <c r="T437" s="55"/>
      <c r="U437" s="55"/>
    </row>
    <row r="438" spans="1:21" ht="18.75" hidden="1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54"/>
      <c r="K438" s="55"/>
      <c r="L438" s="62"/>
      <c r="M438" s="55"/>
      <c r="N438" s="55"/>
      <c r="O438" s="55"/>
      <c r="P438" s="55"/>
      <c r="Q438" s="55"/>
      <c r="R438" s="55"/>
      <c r="S438" s="55"/>
      <c r="T438" s="55"/>
      <c r="U438" s="55"/>
    </row>
    <row r="439" spans="1:21" ht="18.75" hidden="1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54"/>
      <c r="K439" s="55"/>
      <c r="L439" s="62"/>
      <c r="M439" s="55"/>
      <c r="N439" s="55"/>
      <c r="O439" s="55"/>
      <c r="P439" s="55"/>
      <c r="Q439" s="55"/>
      <c r="R439" s="55"/>
      <c r="S439" s="55"/>
      <c r="T439" s="55"/>
      <c r="U439" s="55"/>
    </row>
    <row r="440" spans="1:21" ht="19.5" hidden="1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373">
        <f ca="1">IFERROR(__xludf.DUMMYFUNCTION("IMPORTRANGE(""https://docs.google.com/spreadsheets/d/1eHaY18a8A9IcSdp1K8H6x8fbOy06t2VsZHhMHf-1x7Y/edit?usp=sharing"",""แผน!HJ43"")"),0)</f>
        <v>0</v>
      </c>
      <c r="J440" s="373">
        <f>J442+J444+J446+J452+J454</f>
        <v>0</v>
      </c>
      <c r="K440" s="540">
        <f ca="1">IF(I440&gt;0,J440*100/I440,0)</f>
        <v>0</v>
      </c>
      <c r="L440" s="62"/>
      <c r="M440" s="55"/>
      <c r="N440" s="55"/>
      <c r="O440" s="55"/>
      <c r="P440" s="55"/>
      <c r="Q440" s="55"/>
      <c r="R440" s="55"/>
      <c r="S440" s="55"/>
      <c r="T440" s="55"/>
      <c r="U440" s="55"/>
    </row>
    <row r="441" spans="1:21" ht="19.5" hidden="1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373">
        <f ca="1">IFERROR(__xludf.DUMMYFUNCTION("IMPORTRANGE(""https://docs.google.com/spreadsheets/d/1eHaY18a8A9IcSdp1K8H6x8fbOy06t2VsZHhMHf-1x7Y/edit?usp=sharing"",""แผน!HK43"")"),0)</f>
        <v>0</v>
      </c>
      <c r="J441" s="373">
        <f>J443+J445+J447+J453+J455</f>
        <v>0</v>
      </c>
      <c r="K441" s="540">
        <f ca="1">IF(I441&gt;0,J441*100/I441,0)</f>
        <v>0</v>
      </c>
      <c r="L441" s="62"/>
      <c r="M441" s="55"/>
      <c r="N441" s="55"/>
      <c r="O441" s="55"/>
      <c r="P441" s="55"/>
      <c r="Q441" s="55"/>
      <c r="R441" s="55"/>
      <c r="S441" s="55"/>
      <c r="T441" s="55"/>
      <c r="U441" s="55"/>
    </row>
    <row r="442" spans="1:21" ht="18.75" hidden="1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54"/>
      <c r="K442" s="55"/>
      <c r="L442" s="62"/>
      <c r="M442" s="55"/>
      <c r="N442" s="55"/>
      <c r="O442" s="55"/>
      <c r="P442" s="55"/>
      <c r="Q442" s="55"/>
      <c r="R442" s="55"/>
      <c r="S442" s="55"/>
      <c r="T442" s="55"/>
      <c r="U442" s="55"/>
    </row>
    <row r="443" spans="1:21" ht="18.75" hidden="1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54"/>
      <c r="K443" s="55"/>
      <c r="L443" s="62"/>
      <c r="M443" s="55"/>
      <c r="N443" s="55"/>
      <c r="O443" s="55"/>
      <c r="P443" s="55"/>
      <c r="Q443" s="55"/>
      <c r="R443" s="55"/>
      <c r="S443" s="55"/>
      <c r="T443" s="55"/>
      <c r="U443" s="55"/>
    </row>
    <row r="444" spans="1:21" ht="18.75" hidden="1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54"/>
      <c r="K444" s="55"/>
      <c r="L444" s="62"/>
      <c r="M444" s="55"/>
      <c r="N444" s="55"/>
      <c r="O444" s="55"/>
      <c r="P444" s="55"/>
      <c r="Q444" s="55"/>
      <c r="R444" s="55"/>
      <c r="S444" s="55"/>
      <c r="T444" s="55"/>
      <c r="U444" s="55"/>
    </row>
    <row r="445" spans="1:21" ht="18.75" hidden="1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54"/>
      <c r="K445" s="55"/>
      <c r="L445" s="62"/>
      <c r="M445" s="55"/>
      <c r="N445" s="55"/>
      <c r="O445" s="55"/>
      <c r="P445" s="55"/>
      <c r="Q445" s="55"/>
      <c r="R445" s="55"/>
      <c r="S445" s="55"/>
      <c r="T445" s="55"/>
      <c r="U445" s="55"/>
    </row>
    <row r="446" spans="1:21" ht="19.5" hidden="1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373">
        <f>J448+J450</f>
        <v>0</v>
      </c>
      <c r="K446" s="55"/>
      <c r="L446" s="62"/>
      <c r="M446" s="55"/>
      <c r="N446" s="55"/>
      <c r="O446" s="55"/>
      <c r="P446" s="55"/>
      <c r="Q446" s="55"/>
      <c r="R446" s="55"/>
      <c r="S446" s="55"/>
      <c r="T446" s="55"/>
      <c r="U446" s="55"/>
    </row>
    <row r="447" spans="1:21" ht="19.5" hidden="1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373">
        <f>J449+J451</f>
        <v>0</v>
      </c>
      <c r="K447" s="55"/>
      <c r="L447" s="62"/>
      <c r="M447" s="55"/>
      <c r="N447" s="55"/>
      <c r="O447" s="55"/>
      <c r="P447" s="55"/>
      <c r="Q447" s="55"/>
      <c r="R447" s="55"/>
      <c r="S447" s="55"/>
      <c r="T447" s="55"/>
      <c r="U447" s="55"/>
    </row>
    <row r="448" spans="1:21" ht="18.75" hidden="1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54"/>
      <c r="K448" s="55"/>
      <c r="L448" s="62"/>
      <c r="M448" s="55"/>
      <c r="N448" s="55"/>
      <c r="O448" s="55"/>
      <c r="P448" s="55"/>
      <c r="Q448" s="55"/>
      <c r="R448" s="55"/>
      <c r="S448" s="55"/>
      <c r="T448" s="55"/>
      <c r="U448" s="55"/>
    </row>
    <row r="449" spans="1:21" ht="18.75" hidden="1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54"/>
      <c r="K449" s="55"/>
      <c r="L449" s="62"/>
      <c r="M449" s="55"/>
      <c r="N449" s="55"/>
      <c r="O449" s="55"/>
      <c r="P449" s="55"/>
      <c r="Q449" s="55"/>
      <c r="R449" s="55"/>
      <c r="S449" s="55"/>
      <c r="T449" s="55"/>
      <c r="U449" s="55"/>
    </row>
    <row r="450" spans="1:21" ht="18.75" hidden="1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54"/>
      <c r="K450" s="55"/>
      <c r="L450" s="62"/>
      <c r="M450" s="55"/>
      <c r="N450" s="55"/>
      <c r="O450" s="55"/>
      <c r="P450" s="55"/>
      <c r="Q450" s="55"/>
      <c r="R450" s="55"/>
      <c r="S450" s="55"/>
      <c r="T450" s="55"/>
      <c r="U450" s="55"/>
    </row>
    <row r="451" spans="1:21" ht="18.75" hidden="1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54"/>
      <c r="K451" s="55"/>
      <c r="L451" s="62"/>
      <c r="M451" s="55"/>
      <c r="N451" s="55"/>
      <c r="O451" s="55"/>
      <c r="P451" s="55"/>
      <c r="Q451" s="55"/>
      <c r="R451" s="55"/>
      <c r="S451" s="55"/>
      <c r="T451" s="55"/>
      <c r="U451" s="55"/>
    </row>
    <row r="452" spans="1:21" ht="18.75" hidden="1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54"/>
      <c r="K452" s="55"/>
      <c r="L452" s="62"/>
      <c r="M452" s="55"/>
      <c r="N452" s="55"/>
      <c r="O452" s="55"/>
      <c r="P452" s="55"/>
      <c r="Q452" s="55"/>
      <c r="R452" s="55"/>
      <c r="S452" s="55"/>
      <c r="T452" s="55"/>
      <c r="U452" s="55"/>
    </row>
    <row r="453" spans="1:21" ht="18.75" hidden="1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54"/>
      <c r="K453" s="55"/>
      <c r="L453" s="62"/>
      <c r="M453" s="55"/>
      <c r="N453" s="55"/>
      <c r="O453" s="55"/>
      <c r="P453" s="55"/>
      <c r="Q453" s="55"/>
      <c r="R453" s="55"/>
      <c r="S453" s="55"/>
      <c r="T453" s="55"/>
      <c r="U453" s="55"/>
    </row>
    <row r="454" spans="1:21" ht="18.75" hidden="1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606"/>
      <c r="K454" s="55"/>
      <c r="L454" s="62"/>
      <c r="M454" s="55"/>
      <c r="N454" s="55"/>
      <c r="O454" s="55"/>
      <c r="P454" s="55"/>
      <c r="Q454" s="55"/>
      <c r="R454" s="55"/>
      <c r="S454" s="55"/>
      <c r="T454" s="55"/>
      <c r="U454" s="55"/>
    </row>
    <row r="455" spans="1:21" ht="18.75" hidden="1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54"/>
      <c r="K455" s="55"/>
      <c r="L455" s="62"/>
      <c r="M455" s="55"/>
      <c r="N455" s="55"/>
      <c r="O455" s="55"/>
      <c r="P455" s="55"/>
      <c r="Q455" s="55"/>
      <c r="R455" s="55"/>
      <c r="S455" s="55"/>
      <c r="T455" s="55"/>
      <c r="U455" s="55"/>
    </row>
    <row r="456" spans="1:21" ht="19.5" hidden="1">
      <c r="A456" s="238"/>
      <c r="B456" s="191" t="s">
        <v>178</v>
      </c>
      <c r="C456" s="188"/>
      <c r="D456" s="188"/>
      <c r="E456" s="188"/>
      <c r="F456" s="188"/>
      <c r="G456" s="208"/>
      <c r="H456" s="368" t="s">
        <v>46</v>
      </c>
      <c r="I456" s="373">
        <f ca="1">I457</f>
        <v>0</v>
      </c>
      <c r="J456" s="373">
        <f>J457</f>
        <v>0</v>
      </c>
      <c r="K456" s="540">
        <f ca="1">IF(I456&gt;0,J456*100/I456,0)</f>
        <v>0</v>
      </c>
      <c r="L456" s="62"/>
      <c r="M456" s="55"/>
      <c r="N456" s="55"/>
      <c r="O456" s="55"/>
      <c r="P456" s="55"/>
      <c r="Q456" s="55"/>
      <c r="R456" s="55"/>
      <c r="S456" s="55"/>
      <c r="T456" s="55"/>
      <c r="U456" s="55"/>
    </row>
    <row r="457" spans="1:21" ht="19.5" hidden="1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373">
        <f ca="1">IFERROR(__xludf.DUMMYFUNCTION("IMPORTRANGE(""https://docs.google.com/spreadsheets/d/1eHaY18a8A9IcSdp1K8H6x8fbOy06t2VsZHhMHf-1x7Y/edit?usp=sharing"",""แผน!HL43"")"),0)</f>
        <v>0</v>
      </c>
      <c r="J457" s="373">
        <f>J459+J467+J473</f>
        <v>0</v>
      </c>
      <c r="K457" s="540">
        <f ca="1">IF(I457&gt;0,J457*100/I457,0)</f>
        <v>0</v>
      </c>
      <c r="L457" s="62"/>
      <c r="M457" s="55"/>
      <c r="N457" s="55"/>
      <c r="O457" s="55"/>
      <c r="P457" s="55"/>
      <c r="Q457" s="55"/>
      <c r="R457" s="55"/>
      <c r="S457" s="55"/>
      <c r="T457" s="55"/>
      <c r="U457" s="55"/>
    </row>
    <row r="458" spans="1:21" ht="19.5" hidden="1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373">
        <f ca="1">IFERROR(__xludf.DUMMYFUNCTION("IMPORTRANGE(""https://docs.google.com/spreadsheets/d/1eHaY18a8A9IcSdp1K8H6x8fbOy06t2VsZHhMHf-1x7Y/edit?usp=sharing"",""แผน!HM43"")"),0)</f>
        <v>0</v>
      </c>
      <c r="J458" s="373">
        <f>J460+J468+J474</f>
        <v>0</v>
      </c>
      <c r="K458" s="540">
        <f ca="1">IF(I458&gt;0,J458*100/I458,0)</f>
        <v>0</v>
      </c>
      <c r="L458" s="62"/>
      <c r="M458" s="55"/>
      <c r="N458" s="55"/>
      <c r="O458" s="55"/>
      <c r="P458" s="55"/>
      <c r="Q458" s="55"/>
      <c r="R458" s="55"/>
      <c r="S458" s="55"/>
      <c r="T458" s="55"/>
      <c r="U458" s="55"/>
    </row>
    <row r="459" spans="1:21" ht="18.75" hidden="1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212">
        <f>J461+J463</f>
        <v>0</v>
      </c>
      <c r="K459" s="55"/>
      <c r="L459" s="62"/>
      <c r="M459" s="55"/>
      <c r="N459" s="55"/>
      <c r="O459" s="55"/>
      <c r="P459" s="55"/>
      <c r="Q459" s="55"/>
      <c r="R459" s="55"/>
      <c r="S459" s="55"/>
      <c r="T459" s="55"/>
      <c r="U459" s="55"/>
    </row>
    <row r="460" spans="1:21" ht="18.75" hidden="1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212">
        <f>J462+J464</f>
        <v>0</v>
      </c>
      <c r="K460" s="55"/>
      <c r="L460" s="62"/>
      <c r="M460" s="55"/>
      <c r="N460" s="55"/>
      <c r="O460" s="55"/>
      <c r="P460" s="55"/>
      <c r="Q460" s="55"/>
      <c r="R460" s="55"/>
      <c r="S460" s="55"/>
      <c r="T460" s="55"/>
      <c r="U460" s="55"/>
    </row>
    <row r="461" spans="1:21" ht="18.75" hidden="1">
      <c r="A461" s="238"/>
      <c r="B461" s="188"/>
      <c r="C461" s="188"/>
      <c r="D461" s="371" t="s">
        <v>181</v>
      </c>
      <c r="E461" s="188"/>
      <c r="F461" s="188"/>
      <c r="G461" s="208"/>
      <c r="H461" s="161" t="s">
        <v>46</v>
      </c>
      <c r="I461" s="54"/>
      <c r="J461" s="54"/>
      <c r="K461" s="55"/>
      <c r="L461" s="62"/>
      <c r="M461" s="55"/>
      <c r="N461" s="55"/>
      <c r="O461" s="55"/>
      <c r="P461" s="55"/>
      <c r="Q461" s="55"/>
      <c r="R461" s="55"/>
      <c r="S461" s="55"/>
      <c r="T461" s="55"/>
      <c r="U461" s="55"/>
    </row>
    <row r="462" spans="1:21" ht="18.75" hidden="1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54"/>
      <c r="K462" s="55"/>
      <c r="L462" s="62"/>
      <c r="M462" s="55"/>
      <c r="N462" s="55"/>
      <c r="O462" s="55"/>
      <c r="P462" s="55"/>
      <c r="Q462" s="55"/>
      <c r="R462" s="55"/>
      <c r="S462" s="55"/>
      <c r="T462" s="55"/>
      <c r="U462" s="55"/>
    </row>
    <row r="463" spans="1:21" ht="18.75" hidden="1">
      <c r="A463" s="238"/>
      <c r="B463" s="188"/>
      <c r="C463" s="188"/>
      <c r="D463" s="371" t="s">
        <v>182</v>
      </c>
      <c r="E463" s="188"/>
      <c r="F463" s="188"/>
      <c r="G463" s="208"/>
      <c r="H463" s="161" t="s">
        <v>46</v>
      </c>
      <c r="I463" s="54"/>
      <c r="J463" s="54"/>
      <c r="K463" s="55"/>
      <c r="L463" s="62"/>
      <c r="M463" s="55"/>
      <c r="N463" s="55"/>
      <c r="O463" s="55"/>
      <c r="P463" s="55"/>
      <c r="Q463" s="55"/>
      <c r="R463" s="55"/>
      <c r="S463" s="55"/>
      <c r="T463" s="55"/>
      <c r="U463" s="55"/>
    </row>
    <row r="464" spans="1:21" ht="18.75" hidden="1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54"/>
      <c r="K464" s="55"/>
      <c r="L464" s="62"/>
      <c r="M464" s="55"/>
      <c r="N464" s="55"/>
      <c r="O464" s="55"/>
      <c r="P464" s="55"/>
      <c r="Q464" s="55"/>
      <c r="R464" s="55"/>
      <c r="S464" s="55"/>
      <c r="T464" s="55"/>
      <c r="U464" s="55"/>
    </row>
    <row r="465" spans="1:21" ht="18.75" hidden="1">
      <c r="A465" s="238"/>
      <c r="B465" s="188"/>
      <c r="C465" s="188"/>
      <c r="D465" s="371" t="s">
        <v>183</v>
      </c>
      <c r="E465" s="188"/>
      <c r="F465" s="188"/>
      <c r="G465" s="208"/>
      <c r="H465" s="161" t="s">
        <v>46</v>
      </c>
      <c r="I465" s="54"/>
      <c r="J465" s="54"/>
      <c r="K465" s="55"/>
      <c r="L465" s="62"/>
      <c r="M465" s="55"/>
      <c r="N465" s="55"/>
      <c r="O465" s="55"/>
      <c r="P465" s="55"/>
      <c r="Q465" s="55"/>
      <c r="R465" s="55"/>
      <c r="S465" s="55"/>
      <c r="T465" s="55"/>
      <c r="U465" s="55"/>
    </row>
    <row r="466" spans="1:21" ht="18.75" hidden="1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54"/>
      <c r="K466" s="55"/>
      <c r="L466" s="62"/>
      <c r="M466" s="55"/>
      <c r="N466" s="55"/>
      <c r="O466" s="55"/>
      <c r="P466" s="55"/>
      <c r="Q466" s="55"/>
      <c r="R466" s="55"/>
      <c r="S466" s="55"/>
      <c r="T466" s="55"/>
      <c r="U466" s="55"/>
    </row>
    <row r="467" spans="1:21" ht="18.75" hidden="1">
      <c r="A467" s="238"/>
      <c r="B467" s="188"/>
      <c r="C467" s="371" t="s">
        <v>184</v>
      </c>
      <c r="D467" s="188"/>
      <c r="E467" s="188"/>
      <c r="F467" s="188"/>
      <c r="G467" s="208"/>
      <c r="H467" s="161" t="s">
        <v>46</v>
      </c>
      <c r="I467" s="54"/>
      <c r="J467" s="212">
        <f>J469+J471</f>
        <v>0</v>
      </c>
      <c r="K467" s="55"/>
      <c r="L467" s="62"/>
      <c r="M467" s="55"/>
      <c r="N467" s="55"/>
      <c r="O467" s="55"/>
      <c r="P467" s="55"/>
      <c r="Q467" s="55"/>
      <c r="R467" s="55"/>
      <c r="S467" s="55"/>
      <c r="T467" s="55"/>
      <c r="U467" s="55"/>
    </row>
    <row r="468" spans="1:21" ht="18.75" hidden="1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212">
        <f>J470+J472</f>
        <v>0</v>
      </c>
      <c r="K468" s="55"/>
      <c r="L468" s="62"/>
      <c r="M468" s="55"/>
      <c r="N468" s="55"/>
      <c r="O468" s="55"/>
      <c r="P468" s="55"/>
      <c r="Q468" s="55"/>
      <c r="R468" s="55"/>
      <c r="S468" s="55"/>
      <c r="T468" s="55"/>
      <c r="U468" s="55"/>
    </row>
    <row r="469" spans="1:21" ht="18.75" hidden="1">
      <c r="A469" s="238"/>
      <c r="B469" s="188"/>
      <c r="C469" s="188"/>
      <c r="D469" s="371" t="s">
        <v>185</v>
      </c>
      <c r="E469" s="188"/>
      <c r="F469" s="188"/>
      <c r="G469" s="208"/>
      <c r="H469" s="161" t="s">
        <v>46</v>
      </c>
      <c r="I469" s="54"/>
      <c r="J469" s="54"/>
      <c r="K469" s="55"/>
      <c r="L469" s="62"/>
      <c r="M469" s="55"/>
      <c r="N469" s="55"/>
      <c r="O469" s="55"/>
      <c r="P469" s="55"/>
      <c r="Q469" s="55"/>
      <c r="R469" s="55"/>
      <c r="S469" s="55"/>
      <c r="T469" s="55"/>
      <c r="U469" s="55"/>
    </row>
    <row r="470" spans="1:21" ht="18.75" hidden="1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54"/>
      <c r="K470" s="55"/>
      <c r="L470" s="62"/>
      <c r="M470" s="55"/>
      <c r="N470" s="55"/>
      <c r="O470" s="55"/>
      <c r="P470" s="55"/>
      <c r="Q470" s="55"/>
      <c r="R470" s="55"/>
      <c r="S470" s="55"/>
      <c r="T470" s="55"/>
      <c r="U470" s="55"/>
    </row>
    <row r="471" spans="1:21" ht="18.75" hidden="1">
      <c r="A471" s="238"/>
      <c r="B471" s="188"/>
      <c r="C471" s="188"/>
      <c r="D471" s="371" t="s">
        <v>186</v>
      </c>
      <c r="E471" s="188"/>
      <c r="F471" s="188"/>
      <c r="G471" s="208"/>
      <c r="H471" s="161" t="s">
        <v>46</v>
      </c>
      <c r="I471" s="54"/>
      <c r="J471" s="54"/>
      <c r="K471" s="55"/>
      <c r="L471" s="62"/>
      <c r="M471" s="55"/>
      <c r="N471" s="55"/>
      <c r="O471" s="55"/>
      <c r="P471" s="55"/>
      <c r="Q471" s="55"/>
      <c r="R471" s="55"/>
      <c r="S471" s="55"/>
      <c r="T471" s="55"/>
      <c r="U471" s="55"/>
    </row>
    <row r="472" spans="1:21" ht="18.75" hidden="1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54"/>
      <c r="K472" s="55"/>
      <c r="L472" s="62"/>
      <c r="M472" s="55"/>
      <c r="N472" s="55"/>
      <c r="O472" s="55"/>
      <c r="P472" s="55"/>
      <c r="Q472" s="55"/>
      <c r="R472" s="55"/>
      <c r="S472" s="55"/>
      <c r="T472" s="55"/>
      <c r="U472" s="55"/>
    </row>
    <row r="473" spans="1:21" ht="18.75" hidden="1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54"/>
      <c r="K473" s="55"/>
      <c r="L473" s="62"/>
      <c r="M473" s="55"/>
      <c r="N473" s="55"/>
      <c r="O473" s="55"/>
      <c r="P473" s="55"/>
      <c r="Q473" s="55"/>
      <c r="R473" s="55"/>
      <c r="S473" s="55"/>
      <c r="T473" s="55"/>
      <c r="U473" s="55"/>
    </row>
    <row r="474" spans="1:21" ht="18.75" hidden="1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54"/>
      <c r="K474" s="55"/>
      <c r="L474" s="62"/>
      <c r="M474" s="55"/>
      <c r="N474" s="55"/>
      <c r="O474" s="55"/>
      <c r="P474" s="55"/>
      <c r="Q474" s="55"/>
      <c r="R474" s="55"/>
      <c r="S474" s="55"/>
      <c r="T474" s="55"/>
      <c r="U474" s="55"/>
    </row>
    <row r="475" spans="1:21" ht="19.5" hidden="1">
      <c r="A475" s="238"/>
      <c r="B475" s="372" t="s">
        <v>188</v>
      </c>
      <c r="C475" s="188"/>
      <c r="D475" s="188"/>
      <c r="E475" s="188"/>
      <c r="F475" s="188"/>
      <c r="G475" s="208"/>
      <c r="H475" s="158" t="s">
        <v>46</v>
      </c>
      <c r="I475" s="373">
        <v>0</v>
      </c>
      <c r="J475" s="373">
        <f>J478+J480</f>
        <v>0</v>
      </c>
      <c r="K475" s="540">
        <f>IF(I475&gt;0,J475*100/I475,0)</f>
        <v>0</v>
      </c>
      <c r="L475" s="62"/>
      <c r="M475" s="55"/>
      <c r="N475" s="55"/>
      <c r="O475" s="55"/>
      <c r="P475" s="55"/>
      <c r="Q475" s="55"/>
      <c r="R475" s="55"/>
      <c r="S475" s="55"/>
      <c r="T475" s="55"/>
      <c r="U475" s="55"/>
    </row>
    <row r="476" spans="1:21" ht="19.5" hidden="1">
      <c r="A476" s="238"/>
      <c r="B476" s="188"/>
      <c r="C476" s="191" t="s">
        <v>189</v>
      </c>
      <c r="D476" s="188"/>
      <c r="E476" s="188"/>
      <c r="F476" s="188"/>
      <c r="G476" s="208"/>
      <c r="H476" s="158" t="s">
        <v>46</v>
      </c>
      <c r="I476" s="373">
        <v>0</v>
      </c>
      <c r="J476" s="373">
        <f>J478+J480</f>
        <v>0</v>
      </c>
      <c r="K476" s="540">
        <f>IF(I476&gt;0,J476*100/I476,0)</f>
        <v>0</v>
      </c>
      <c r="L476" s="62"/>
      <c r="M476" s="55"/>
      <c r="N476" s="55"/>
      <c r="O476" s="55"/>
      <c r="P476" s="55"/>
      <c r="Q476" s="55"/>
      <c r="R476" s="55"/>
      <c r="S476" s="55"/>
      <c r="T476" s="55"/>
      <c r="U476" s="55"/>
    </row>
    <row r="477" spans="1:21" ht="19.5" hidden="1">
      <c r="A477" s="238"/>
      <c r="B477" s="188"/>
      <c r="C477" s="239" t="s">
        <v>190</v>
      </c>
      <c r="D477" s="188"/>
      <c r="E477" s="188"/>
      <c r="F477" s="188"/>
      <c r="G477" s="208"/>
      <c r="H477" s="158" t="s">
        <v>34</v>
      </c>
      <c r="I477" s="373">
        <v>0</v>
      </c>
      <c r="J477" s="373">
        <f>J479+J481</f>
        <v>0</v>
      </c>
      <c r="K477" s="540">
        <f>IF(I477&gt;0,J477*100/I477,0)</f>
        <v>0</v>
      </c>
      <c r="L477" s="62"/>
      <c r="M477" s="55"/>
      <c r="N477" s="55"/>
      <c r="O477" s="55"/>
      <c r="P477" s="55"/>
      <c r="Q477" s="55"/>
      <c r="R477" s="55"/>
      <c r="S477" s="55"/>
      <c r="T477" s="55"/>
      <c r="U477" s="55"/>
    </row>
    <row r="478" spans="1:21" ht="18.75" hidden="1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54"/>
      <c r="K478" s="55"/>
      <c r="L478" s="62"/>
      <c r="M478" s="55"/>
      <c r="N478" s="55"/>
      <c r="O478" s="55"/>
      <c r="P478" s="55"/>
      <c r="Q478" s="55"/>
      <c r="R478" s="55"/>
      <c r="S478" s="55"/>
      <c r="T478" s="55"/>
      <c r="U478" s="55"/>
    </row>
    <row r="479" spans="1:21" ht="18.75" hidden="1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54"/>
      <c r="K479" s="55"/>
      <c r="L479" s="62"/>
      <c r="M479" s="55"/>
      <c r="N479" s="55"/>
      <c r="O479" s="55"/>
      <c r="P479" s="55"/>
      <c r="Q479" s="55"/>
      <c r="R479" s="55"/>
      <c r="S479" s="55"/>
      <c r="T479" s="55"/>
      <c r="U479" s="55"/>
    </row>
    <row r="480" spans="1:21" ht="18.75" hidden="1">
      <c r="A480" s="238"/>
      <c r="B480" s="188"/>
      <c r="C480" s="188"/>
      <c r="D480" s="371" t="s">
        <v>192</v>
      </c>
      <c r="E480" s="188"/>
      <c r="F480" s="188"/>
      <c r="G480" s="208"/>
      <c r="H480" s="161" t="s">
        <v>46</v>
      </c>
      <c r="I480" s="54"/>
      <c r="J480" s="54"/>
      <c r="K480" s="55"/>
      <c r="L480" s="62"/>
      <c r="M480" s="55"/>
      <c r="N480" s="55"/>
      <c r="O480" s="55"/>
      <c r="P480" s="55"/>
      <c r="Q480" s="55"/>
      <c r="R480" s="55"/>
      <c r="S480" s="55"/>
      <c r="T480" s="55"/>
      <c r="U480" s="55"/>
    </row>
    <row r="481" spans="1:21" ht="18.75" hidden="1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54"/>
      <c r="K481" s="55"/>
      <c r="L481" s="62"/>
      <c r="M481" s="55"/>
      <c r="N481" s="55"/>
      <c r="O481" s="55"/>
      <c r="P481" s="55"/>
      <c r="Q481" s="55"/>
      <c r="R481" s="55"/>
      <c r="S481" s="55"/>
      <c r="T481" s="55"/>
      <c r="U481" s="55"/>
    </row>
    <row r="482" spans="1:21" ht="18.75" hidden="1">
      <c r="A482" s="238"/>
      <c r="B482" s="188"/>
      <c r="C482" s="188"/>
      <c r="D482" s="371" t="s">
        <v>193</v>
      </c>
      <c r="E482" s="188"/>
      <c r="F482" s="188"/>
      <c r="G482" s="208"/>
      <c r="H482" s="161" t="s">
        <v>46</v>
      </c>
      <c r="I482" s="54"/>
      <c r="J482" s="212">
        <f ca="1">IFERROR(__xludf.DUMMYFUNCTION("IMPORTRANGE(""https://docs.google.com/spreadsheets/d/1eHaY18a8A9IcSdp1K8H6x8fbOy06t2VsZHhMHf-1x7Y/edit?usp=sharing"",""แผน!HN43"")"),0)</f>
        <v>0</v>
      </c>
      <c r="K482" s="55"/>
      <c r="L482" s="62"/>
      <c r="M482" s="55"/>
      <c r="N482" s="55"/>
      <c r="O482" s="55"/>
      <c r="P482" s="55"/>
      <c r="Q482" s="55"/>
      <c r="R482" s="55"/>
      <c r="S482" s="55"/>
      <c r="T482" s="55"/>
      <c r="U482" s="55"/>
    </row>
    <row r="483" spans="1:21" ht="18.75" hidden="1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212">
        <f ca="1">IFERROR(__xludf.DUMMYFUNCTION("IMPORTRANGE(""https://docs.google.com/spreadsheets/d/1eHaY18a8A9IcSdp1K8H6x8fbOy06t2VsZHhMHf-1x7Y/edit?usp=sharing"",""แผน!HO43"")"),0)</f>
        <v>0</v>
      </c>
      <c r="K483" s="55"/>
      <c r="L483" s="62"/>
      <c r="M483" s="55"/>
      <c r="N483" s="55"/>
      <c r="O483" s="55"/>
      <c r="P483" s="55"/>
      <c r="Q483" s="55"/>
      <c r="R483" s="55"/>
      <c r="S483" s="55"/>
      <c r="T483" s="55"/>
      <c r="U483" s="55"/>
    </row>
    <row r="484" spans="1:21" ht="19.5" hidden="1">
      <c r="A484" s="238"/>
      <c r="B484" s="188"/>
      <c r="C484" s="191" t="s">
        <v>194</v>
      </c>
      <c r="D484" s="188"/>
      <c r="E484" s="188"/>
      <c r="F484" s="188"/>
      <c r="G484" s="208"/>
      <c r="H484" s="158" t="s">
        <v>46</v>
      </c>
      <c r="I484" s="54">
        <f>J480</f>
        <v>0</v>
      </c>
      <c r="J484" s="373">
        <f>J486+J488+J490</f>
        <v>0</v>
      </c>
      <c r="K484" s="540">
        <f>IF(I484&gt;0,J484*100/I484,0)</f>
        <v>0</v>
      </c>
      <c r="L484" s="62"/>
      <c r="M484" s="55"/>
      <c r="N484" s="55"/>
      <c r="O484" s="55"/>
      <c r="P484" s="55"/>
      <c r="Q484" s="55"/>
      <c r="R484" s="55"/>
      <c r="S484" s="55"/>
      <c r="T484" s="55"/>
      <c r="U484" s="55"/>
    </row>
    <row r="485" spans="1:21" ht="19.5" hidden="1">
      <c r="A485" s="238"/>
      <c r="B485" s="188"/>
      <c r="C485" s="239" t="s">
        <v>195</v>
      </c>
      <c r="D485" s="188"/>
      <c r="E485" s="188"/>
      <c r="F485" s="188"/>
      <c r="G485" s="208"/>
      <c r="H485" s="158" t="s">
        <v>34</v>
      </c>
      <c r="I485" s="54">
        <f>J481</f>
        <v>0</v>
      </c>
      <c r="J485" s="373">
        <f>J487+J489+J491</f>
        <v>0</v>
      </c>
      <c r="K485" s="540">
        <f>IF(I485&gt;0,J485*100/I485,0)</f>
        <v>0</v>
      </c>
      <c r="L485" s="62"/>
      <c r="M485" s="55"/>
      <c r="N485" s="55"/>
      <c r="O485" s="55"/>
      <c r="P485" s="55"/>
      <c r="Q485" s="55"/>
      <c r="R485" s="55"/>
      <c r="S485" s="55"/>
      <c r="T485" s="55"/>
      <c r="U485" s="55"/>
    </row>
    <row r="486" spans="1:21" ht="18.75" hidden="1">
      <c r="A486" s="238"/>
      <c r="B486" s="188"/>
      <c r="C486" s="188"/>
      <c r="D486" s="371" t="s">
        <v>196</v>
      </c>
      <c r="E486" s="188"/>
      <c r="F486" s="188"/>
      <c r="G486" s="208"/>
      <c r="H486" s="161" t="s">
        <v>46</v>
      </c>
      <c r="I486" s="54"/>
      <c r="J486" s="54"/>
      <c r="K486" s="55"/>
      <c r="L486" s="62"/>
      <c r="M486" s="55"/>
      <c r="N486" s="55"/>
      <c r="O486" s="55"/>
      <c r="P486" s="55"/>
      <c r="Q486" s="55"/>
      <c r="R486" s="55"/>
      <c r="S486" s="55"/>
      <c r="T486" s="55"/>
      <c r="U486" s="55"/>
    </row>
    <row r="487" spans="1:21" ht="18.75" hidden="1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54"/>
      <c r="K487" s="55"/>
      <c r="L487" s="62"/>
      <c r="M487" s="55"/>
      <c r="N487" s="55"/>
      <c r="O487" s="55"/>
      <c r="P487" s="55"/>
      <c r="Q487" s="55"/>
      <c r="R487" s="55"/>
      <c r="S487" s="55"/>
      <c r="T487" s="55"/>
      <c r="U487" s="55"/>
    </row>
    <row r="488" spans="1:21" ht="18.75" hidden="1">
      <c r="A488" s="238"/>
      <c r="B488" s="188"/>
      <c r="C488" s="188"/>
      <c r="D488" s="371" t="s">
        <v>197</v>
      </c>
      <c r="E488" s="188"/>
      <c r="F488" s="188"/>
      <c r="G488" s="208"/>
      <c r="H488" s="161" t="s">
        <v>46</v>
      </c>
      <c r="I488" s="54"/>
      <c r="J488" s="54"/>
      <c r="K488" s="55"/>
      <c r="L488" s="62"/>
      <c r="M488" s="55"/>
      <c r="N488" s="55"/>
      <c r="O488" s="55"/>
      <c r="P488" s="55"/>
      <c r="Q488" s="55"/>
      <c r="R488" s="55"/>
      <c r="S488" s="55"/>
      <c r="T488" s="55"/>
      <c r="U488" s="55"/>
    </row>
    <row r="489" spans="1:21" ht="18.75" hidden="1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54"/>
      <c r="K489" s="55"/>
      <c r="L489" s="62"/>
      <c r="M489" s="55"/>
      <c r="N489" s="55"/>
      <c r="O489" s="55"/>
      <c r="P489" s="55"/>
      <c r="Q489" s="55"/>
      <c r="R489" s="55"/>
      <c r="S489" s="55"/>
      <c r="T489" s="55"/>
      <c r="U489" s="55"/>
    </row>
    <row r="490" spans="1:21" ht="18.75" hidden="1">
      <c r="A490" s="238"/>
      <c r="B490" s="188"/>
      <c r="C490" s="188"/>
      <c r="D490" s="371" t="s">
        <v>198</v>
      </c>
      <c r="E490" s="188"/>
      <c r="F490" s="188"/>
      <c r="G490" s="208"/>
      <c r="H490" s="161" t="s">
        <v>46</v>
      </c>
      <c r="I490" s="54"/>
      <c r="J490" s="54"/>
      <c r="K490" s="55"/>
      <c r="L490" s="62"/>
      <c r="M490" s="55"/>
      <c r="N490" s="55"/>
      <c r="O490" s="55"/>
      <c r="P490" s="55"/>
      <c r="Q490" s="55"/>
      <c r="R490" s="55"/>
      <c r="S490" s="55"/>
      <c r="T490" s="55"/>
      <c r="U490" s="55"/>
    </row>
    <row r="491" spans="1:21" ht="18.75" hidden="1">
      <c r="A491" s="374"/>
      <c r="B491" s="5"/>
      <c r="C491" s="5"/>
      <c r="D491" s="5"/>
      <c r="E491" s="5"/>
      <c r="F491" s="5"/>
      <c r="G491" s="375"/>
      <c r="H491" s="376" t="s">
        <v>34</v>
      </c>
      <c r="I491" s="67"/>
      <c r="J491" s="67"/>
      <c r="K491" s="6"/>
      <c r="L491" s="68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 hidden="1">
      <c r="A492" s="335"/>
      <c r="B492" s="354" t="s">
        <v>199</v>
      </c>
      <c r="C492" s="337"/>
      <c r="D492" s="337"/>
      <c r="E492" s="328"/>
      <c r="F492" s="328"/>
      <c r="G492" s="329"/>
      <c r="H492" s="366" t="s">
        <v>35</v>
      </c>
      <c r="I492" s="605">
        <f ca="1">I503</f>
        <v>0</v>
      </c>
      <c r="J492" s="605">
        <f ca="1">J503</f>
        <v>0</v>
      </c>
      <c r="K492" s="604">
        <f ca="1">IF(I492&gt;0,J492*100/I492,0)</f>
        <v>0</v>
      </c>
      <c r="L492" s="334"/>
      <c r="M492" s="333"/>
      <c r="N492" s="333"/>
      <c r="O492" s="333"/>
      <c r="P492" s="333"/>
      <c r="Q492" s="333"/>
      <c r="R492" s="333"/>
      <c r="S492" s="333"/>
      <c r="T492" s="333"/>
      <c r="U492" s="333"/>
    </row>
    <row r="493" spans="1:21" ht="19.5" hidden="1">
      <c r="A493" s="155"/>
      <c r="B493" s="188"/>
      <c r="C493" s="205" t="s">
        <v>18</v>
      </c>
      <c r="D493" s="603" t="s">
        <v>19</v>
      </c>
      <c r="E493" s="514"/>
      <c r="F493" s="514"/>
      <c r="G493" s="52"/>
      <c r="H493" s="252" t="s">
        <v>14</v>
      </c>
      <c r="I493" s="54"/>
      <c r="J493" s="54"/>
      <c r="K493" s="55"/>
      <c r="L493" s="541">
        <f>L494+L495</f>
        <v>0</v>
      </c>
      <c r="M493" s="540">
        <f>M494+M495</f>
        <v>0</v>
      </c>
      <c r="N493" s="540">
        <f>N494+N495</f>
        <v>0</v>
      </c>
      <c r="O493" s="540">
        <f>IF(L493&gt;0,N493*100/L493,0)</f>
        <v>0</v>
      </c>
      <c r="P493" s="540">
        <f>IF(M493&gt;0,N493*100/M493,0)</f>
        <v>0</v>
      </c>
      <c r="Q493" s="540">
        <f ca="1">Q494+Q495</f>
        <v>0</v>
      </c>
      <c r="R493" s="540">
        <f ca="1">R494+R495</f>
        <v>0</v>
      </c>
      <c r="S493" s="540">
        <f ca="1">S494+S495</f>
        <v>0</v>
      </c>
      <c r="T493" s="540">
        <f ca="1">IF(Q493&gt;0,S493*100/Q493,0)</f>
        <v>0</v>
      </c>
      <c r="U493" s="540">
        <f ca="1">IF(R493&gt;0,S493*100/R493,0)</f>
        <v>0</v>
      </c>
    </row>
    <row r="494" spans="1:21" ht="18.75" hidden="1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103">
        <f>L497+L500</f>
        <v>0</v>
      </c>
      <c r="M494" s="102">
        <f>M497+M500</f>
        <v>0</v>
      </c>
      <c r="N494" s="102">
        <f>N497+N500</f>
        <v>0</v>
      </c>
      <c r="O494" s="102">
        <f>IF(L494&gt;0,N494*100/L494,0)</f>
        <v>0</v>
      </c>
      <c r="P494" s="102">
        <f>IF(M494&gt;0,N494*100/M494,0)</f>
        <v>0</v>
      </c>
      <c r="Q494" s="102">
        <f>Q497+Q500</f>
        <v>0</v>
      </c>
      <c r="R494" s="102">
        <f>R497+R500</f>
        <v>0</v>
      </c>
      <c r="S494" s="102">
        <f>S497+S500</f>
        <v>0</v>
      </c>
      <c r="T494" s="102">
        <f>IF(Q494&gt;0,S494*100/Q494,0)</f>
        <v>0</v>
      </c>
      <c r="U494" s="102">
        <f>IF(R494&gt;0,S494*100/R494,0)</f>
        <v>0</v>
      </c>
    </row>
    <row r="495" spans="1:21" ht="18.75" hidden="1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256">
        <f>L498+L501</f>
        <v>0</v>
      </c>
      <c r="M495" s="255">
        <f>M498+M501</f>
        <v>0</v>
      </c>
      <c r="N495" s="255">
        <f>N498+N501</f>
        <v>0</v>
      </c>
      <c r="O495" s="255">
        <f>IF(L495&gt;0,N495*100/L495,0)</f>
        <v>0</v>
      </c>
      <c r="P495" s="255">
        <f>IF(M495&gt;0,N495*100/M495,0)</f>
        <v>0</v>
      </c>
      <c r="Q495" s="255">
        <f ca="1">Q498+Q501</f>
        <v>0</v>
      </c>
      <c r="R495" s="255">
        <f ca="1">R498+R501</f>
        <v>0</v>
      </c>
      <c r="S495" s="255">
        <f ca="1">S498+S501</f>
        <v>0</v>
      </c>
      <c r="T495" s="255">
        <f ca="1">IF(Q495&gt;0,S495*100/Q495,0)</f>
        <v>0</v>
      </c>
      <c r="U495" s="255">
        <f ca="1">IF(R495&gt;0,S495*100/R495,0)</f>
        <v>0</v>
      </c>
    </row>
    <row r="496" spans="1:21" ht="18.75" hidden="1">
      <c r="A496" s="155"/>
      <c r="B496" s="188"/>
      <c r="C496" s="188"/>
      <c r="D496" s="602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256">
        <f>L497+L498</f>
        <v>0</v>
      </c>
      <c r="M496" s="255">
        <f>M497+M498</f>
        <v>0</v>
      </c>
      <c r="N496" s="255">
        <f>N497+N498</f>
        <v>0</v>
      </c>
      <c r="O496" s="255">
        <f>IF(L496&gt;0,N496*100/L496,0)</f>
        <v>0</v>
      </c>
      <c r="P496" s="255">
        <f>IF(M496&gt;0,N496*100/M496,0)</f>
        <v>0</v>
      </c>
      <c r="Q496" s="255">
        <f ca="1">Q497+Q498</f>
        <v>0</v>
      </c>
      <c r="R496" s="255">
        <f ca="1">R497+R498</f>
        <v>0</v>
      </c>
      <c r="S496" s="255">
        <f ca="1">S497+S498</f>
        <v>0</v>
      </c>
      <c r="T496" s="255">
        <f ca="1">IF(Q496&gt;0,S496*100/Q496,0)</f>
        <v>0</v>
      </c>
      <c r="U496" s="255">
        <f ca="1">IF(R496&gt;0,S496*100/R496,0)</f>
        <v>0</v>
      </c>
    </row>
    <row r="497" spans="1:21" ht="18.75" hidden="1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103">
        <v>0</v>
      </c>
      <c r="M497" s="102">
        <v>0</v>
      </c>
      <c r="N497" s="102">
        <v>0</v>
      </c>
      <c r="O497" s="102">
        <f>IF(L497&gt;0,N497*100/L497,0)</f>
        <v>0</v>
      </c>
      <c r="P497" s="102">
        <f>IF(M497&gt;0,N497*100/M497,0)</f>
        <v>0</v>
      </c>
      <c r="Q497" s="102">
        <v>0</v>
      </c>
      <c r="R497" s="102">
        <v>0</v>
      </c>
      <c r="S497" s="102">
        <v>0</v>
      </c>
      <c r="T497" s="102">
        <f>IF(Q497&gt;0,S497*100/Q497,0)</f>
        <v>0</v>
      </c>
      <c r="U497" s="102">
        <f>IF(R497&gt;0,S497*100/R497,0)</f>
        <v>0</v>
      </c>
    </row>
    <row r="498" spans="1:21" ht="18.75" hidden="1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256">
        <v>0</v>
      </c>
      <c r="M498" s="255">
        <v>0</v>
      </c>
      <c r="N498" s="255">
        <v>0</v>
      </c>
      <c r="O498" s="255">
        <f>IF(L498&gt;0,N498*100/L498,0)</f>
        <v>0</v>
      </c>
      <c r="P498" s="255">
        <f>IF(M498&gt;0,N498*100/M498,0)</f>
        <v>0</v>
      </c>
      <c r="Q498" s="255">
        <f ca="1">IFERROR(__xludf.DUMMYFUNCTION("IMPORTRANGE(""https://docs.google.com/spreadsheets/d/1ItG2mGa2ceCfYo0BwxsXqNm01IGEUdYcSSLTEv9YCik/edit?usp=sharing"",""เบิกจ่ายกองทุน!X43"")"),0)</f>
        <v>0</v>
      </c>
      <c r="R498" s="255">
        <f ca="1">IFERROR(__xludf.DUMMYFUNCTION("IMPORTRANGE(""https://docs.google.com/spreadsheets/d/1ItG2mGa2ceCfYo0BwxsXqNm01IGEUdYcSSLTEv9YCik/edit?usp=sharing"",""เบิกจ่ายกองทุน!Y43"")"),0)</f>
        <v>0</v>
      </c>
      <c r="S498" s="255">
        <f ca="1">IFERROR(__xludf.DUMMYFUNCTION("IMPORTRANGE(""https://docs.google.com/spreadsheets/d/1ItG2mGa2ceCfYo0BwxsXqNm01IGEUdYcSSLTEv9YCik/edit?usp=sharing"",""เบิกจ่ายกองทุน!Z43"")"),0)</f>
        <v>0</v>
      </c>
      <c r="T498" s="255">
        <f ca="1">IF(Q498&gt;0,S498*100/Q498,0)</f>
        <v>0</v>
      </c>
      <c r="U498" s="255">
        <f ca="1">IF(R498&gt;0,S498*100/R498,0)</f>
        <v>0</v>
      </c>
    </row>
    <row r="499" spans="1:21" ht="18.75" hidden="1">
      <c r="A499" s="155"/>
      <c r="B499" s="188"/>
      <c r="C499" s="188"/>
      <c r="D499" s="602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256">
        <f>L500+L501</f>
        <v>0</v>
      </c>
      <c r="M499" s="255">
        <f>M500+M501</f>
        <v>0</v>
      </c>
      <c r="N499" s="255">
        <f>N500+N501</f>
        <v>0</v>
      </c>
      <c r="O499" s="255">
        <f>IF(L499&gt;0,N499*100/L499,0)</f>
        <v>0</v>
      </c>
      <c r="P499" s="255">
        <f>IF(M499&gt;0,N499*100/M499,0)</f>
        <v>0</v>
      </c>
      <c r="Q499" s="255">
        <f>Q500+Q501</f>
        <v>0</v>
      </c>
      <c r="R499" s="255">
        <f>R500+R501</f>
        <v>0</v>
      </c>
      <c r="S499" s="255">
        <f>S500+S501</f>
        <v>0</v>
      </c>
      <c r="T499" s="255">
        <f>IF(Q499&gt;0,S499*100/Q499,0)</f>
        <v>0</v>
      </c>
      <c r="U499" s="255">
        <f>IF(R499&gt;0,S499*100/R499,0)</f>
        <v>0</v>
      </c>
    </row>
    <row r="500" spans="1:21" ht="18.75" hidden="1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103">
        <v>0</v>
      </c>
      <c r="M500" s="102">
        <v>0</v>
      </c>
      <c r="N500" s="102">
        <v>0</v>
      </c>
      <c r="O500" s="102">
        <f>IF(L500&gt;0,N500*100/L500,0)</f>
        <v>0</v>
      </c>
      <c r="P500" s="102">
        <f>IF(M500&gt;0,N500*100/M500,0)</f>
        <v>0</v>
      </c>
      <c r="Q500" s="102">
        <v>0</v>
      </c>
      <c r="R500" s="102">
        <v>0</v>
      </c>
      <c r="S500" s="102">
        <v>0</v>
      </c>
      <c r="T500" s="102">
        <f>IF(Q500&gt;0,S500*100/Q500,0)</f>
        <v>0</v>
      </c>
      <c r="U500" s="102">
        <f>IF(R500&gt;0,S500*100/R500,0)</f>
        <v>0</v>
      </c>
    </row>
    <row r="501" spans="1:21" ht="18.75" hidden="1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256">
        <v>0</v>
      </c>
      <c r="M501" s="255">
        <v>0</v>
      </c>
      <c r="N501" s="255">
        <v>0</v>
      </c>
      <c r="O501" s="255">
        <f>IF(L501&gt;0,N501*100/L501,0)</f>
        <v>0</v>
      </c>
      <c r="P501" s="255">
        <f>IF(M501&gt;0,N501*100/M501,0)</f>
        <v>0</v>
      </c>
      <c r="Q501" s="255">
        <v>0</v>
      </c>
      <c r="R501" s="255">
        <v>0</v>
      </c>
      <c r="S501" s="255">
        <v>0</v>
      </c>
      <c r="T501" s="255">
        <f>IF(Q501&gt;0,S501*100/Q501,0)</f>
        <v>0</v>
      </c>
      <c r="U501" s="255">
        <f>IF(R501&gt;0,S501*100/R501,0)</f>
        <v>0</v>
      </c>
    </row>
    <row r="502" spans="1:21" ht="19.5" hidden="1">
      <c r="A502" s="166"/>
      <c r="B502" s="167"/>
      <c r="C502" s="205" t="s">
        <v>18</v>
      </c>
      <c r="D502" s="560" t="s">
        <v>38</v>
      </c>
      <c r="E502" s="169"/>
      <c r="F502" s="169"/>
      <c r="G502" s="170"/>
      <c r="H502" s="206"/>
      <c r="I502" s="163"/>
      <c r="J502" s="163"/>
      <c r="K502" s="164"/>
      <c r="L502" s="172"/>
      <c r="M502" s="164"/>
      <c r="N502" s="164"/>
      <c r="O502" s="164"/>
      <c r="P502" s="164"/>
      <c r="Q502" s="164"/>
      <c r="R502" s="164"/>
      <c r="S502" s="164"/>
      <c r="T502" s="164"/>
      <c r="U502" s="164"/>
    </row>
    <row r="503" spans="1:21" ht="19.5" hidden="1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373">
        <f ca="1">IFERROR(__xludf.DUMMYFUNCTION("IMPORTRANGE(""https://docs.google.com/spreadsheets/d/1eHaY18a8A9IcSdp1K8H6x8fbOy06t2VsZHhMHf-1x7Y/edit?usp=sharing"",""แผน!GX43"")"),0)</f>
        <v>0</v>
      </c>
      <c r="J503" s="373">
        <f ca="1">IF(AND(J504=I504,J505=I505,J506=I506,J507=I507),I503,0)</f>
        <v>0</v>
      </c>
      <c r="K503" s="540">
        <f ca="1">IF(I503&gt;0,J503*100/I503,0)</f>
        <v>0</v>
      </c>
      <c r="L503" s="62"/>
      <c r="M503" s="55"/>
      <c r="N503" s="55"/>
      <c r="O503" s="55"/>
      <c r="P503" s="55"/>
      <c r="Q503" s="55"/>
      <c r="R503" s="55"/>
      <c r="S503" s="55"/>
      <c r="T503" s="55"/>
      <c r="U503" s="55"/>
    </row>
    <row r="504" spans="1:21" ht="18.75" hidden="1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212">
        <f ca="1">IFERROR(__xludf.DUMMYFUNCTION("IMPORTRANGE(""https://docs.google.com/spreadsheets/d/1eHaY18a8A9IcSdp1K8H6x8fbOy06t2VsZHhMHf-1x7Y/edit?usp=sharing"",""แผน!GY43"")"),0)</f>
        <v>0</v>
      </c>
      <c r="J504" s="467">
        <v>0</v>
      </c>
      <c r="K504" s="255">
        <f ca="1">IF(I504&gt;0,J504*100/I504,0)</f>
        <v>0</v>
      </c>
      <c r="L504" s="62"/>
      <c r="M504" s="55"/>
      <c r="N504" s="55"/>
      <c r="O504" s="55"/>
      <c r="P504" s="55"/>
      <c r="Q504" s="55"/>
      <c r="R504" s="55"/>
      <c r="S504" s="55"/>
      <c r="T504" s="55"/>
      <c r="U504" s="55"/>
    </row>
    <row r="505" spans="1:21" ht="18.75" hidden="1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212">
        <f ca="1">IFERROR(__xludf.DUMMYFUNCTION("IMPORTRANGE(""https://docs.google.com/spreadsheets/d/1eHaY18a8A9IcSdp1K8H6x8fbOy06t2VsZHhMHf-1x7Y/edit?usp=sharing"",""แผน!GZ43"")"),0)</f>
        <v>0</v>
      </c>
      <c r="J505" s="467">
        <v>0</v>
      </c>
      <c r="K505" s="255">
        <f ca="1">IF(I505&gt;0,J505*100/I505,0)</f>
        <v>0</v>
      </c>
      <c r="L505" s="62"/>
      <c r="M505" s="55"/>
      <c r="N505" s="55"/>
      <c r="O505" s="55"/>
      <c r="P505" s="55"/>
      <c r="Q505" s="55"/>
      <c r="R505" s="55"/>
      <c r="S505" s="55"/>
      <c r="T505" s="55"/>
      <c r="U505" s="55"/>
    </row>
    <row r="506" spans="1:21" ht="18.75" hidden="1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212">
        <f ca="1">IFERROR(__xludf.DUMMYFUNCTION("IMPORTRANGE(""https://docs.google.com/spreadsheets/d/1eHaY18a8A9IcSdp1K8H6x8fbOy06t2VsZHhMHf-1x7Y/edit?usp=sharing"",""แผน!HA43"")"),0)</f>
        <v>0</v>
      </c>
      <c r="J506" s="467">
        <v>0</v>
      </c>
      <c r="K506" s="255">
        <f ca="1">IF(I506&gt;0,J506*100/I506,0)</f>
        <v>0</v>
      </c>
      <c r="L506" s="62"/>
      <c r="M506" s="55"/>
      <c r="N506" s="55"/>
      <c r="O506" s="55"/>
      <c r="P506" s="55"/>
      <c r="Q506" s="55"/>
      <c r="R506" s="55"/>
      <c r="S506" s="55"/>
      <c r="T506" s="55"/>
      <c r="U506" s="55"/>
    </row>
    <row r="507" spans="1:21" ht="18.75" hidden="1">
      <c r="A507" s="238"/>
      <c r="B507" s="188"/>
      <c r="C507" s="188"/>
      <c r="D507" s="188"/>
      <c r="E507" s="377" t="s">
        <v>204</v>
      </c>
      <c r="F507" s="50"/>
      <c r="G507" s="52"/>
      <c r="H507" s="161" t="s">
        <v>35</v>
      </c>
      <c r="I507" s="212">
        <f ca="1">IFERROR(__xludf.DUMMYFUNCTION("IMPORTRANGE(""https://docs.google.com/spreadsheets/d/1eHaY18a8A9IcSdp1K8H6x8fbOy06t2VsZHhMHf-1x7Y/edit?usp=sharing"",""แผน!HB43"")"),0)</f>
        <v>0</v>
      </c>
      <c r="J507" s="467">
        <v>0</v>
      </c>
      <c r="K507" s="255">
        <f ca="1">IF(I507&gt;0,J507*100/I507,0)</f>
        <v>0</v>
      </c>
      <c r="L507" s="62"/>
      <c r="M507" s="55"/>
      <c r="N507" s="55"/>
      <c r="O507" s="55"/>
      <c r="P507" s="55"/>
      <c r="Q507" s="55"/>
      <c r="R507" s="55"/>
      <c r="S507" s="55"/>
      <c r="T507" s="55"/>
      <c r="U507" s="55"/>
    </row>
    <row r="508" spans="1:21" ht="18.75" hidden="1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255">
        <f>IF(I508&gt;0,J508*100/I508,0)</f>
        <v>0</v>
      </c>
      <c r="L508" s="62"/>
      <c r="M508" s="55"/>
      <c r="N508" s="55"/>
      <c r="O508" s="55"/>
      <c r="P508" s="55"/>
      <c r="Q508" s="55"/>
      <c r="R508" s="55"/>
      <c r="S508" s="55"/>
      <c r="T508" s="55"/>
      <c r="U508" s="55"/>
    </row>
    <row r="509" spans="1:21" ht="19.5" hidden="1">
      <c r="A509" s="374"/>
      <c r="B509" s="5"/>
      <c r="C509" s="5"/>
      <c r="D509" s="378" t="s">
        <v>50</v>
      </c>
      <c r="E509" s="4"/>
      <c r="F509" s="4"/>
      <c r="G509" s="65"/>
      <c r="H509" s="376" t="s">
        <v>35</v>
      </c>
      <c r="I509" s="216">
        <f ca="1">IFERROR(__xludf.DUMMYFUNCTION("IMPORTRANGE(""https://docs.google.com/spreadsheets/d/1eHaY18a8A9IcSdp1K8H6x8fbOy06t2VsZHhMHf-1x7Y/edit?usp=sharing"",""แผน!HC43"")"),0)</f>
        <v>0</v>
      </c>
      <c r="J509" s="538">
        <v>0</v>
      </c>
      <c r="K509" s="506">
        <f ca="1">IF(I509&gt;0,J509*100/I509,0)</f>
        <v>0</v>
      </c>
      <c r="L509" s="68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 hidden="1">
      <c r="A510" s="601" t="s">
        <v>206</v>
      </c>
      <c r="B510" s="381"/>
      <c r="C510" s="381"/>
      <c r="D510" s="381"/>
      <c r="E510" s="382"/>
      <c r="F510" s="382"/>
      <c r="G510" s="382"/>
      <c r="H510" s="382"/>
      <c r="I510" s="383"/>
      <c r="J510" s="383"/>
      <c r="K510" s="384"/>
      <c r="L510" s="600"/>
      <c r="M510" s="386"/>
      <c r="N510" s="386"/>
      <c r="O510" s="386"/>
      <c r="P510" s="386"/>
      <c r="Q510" s="386"/>
      <c r="R510" s="386"/>
      <c r="S510" s="386"/>
      <c r="T510" s="386"/>
      <c r="U510" s="386"/>
    </row>
    <row r="511" spans="1:21" ht="19.5" hidden="1">
      <c r="A511" s="599" t="s">
        <v>207</v>
      </c>
      <c r="B511" s="388"/>
      <c r="C511" s="388"/>
      <c r="D511" s="389"/>
      <c r="E511" s="388"/>
      <c r="F511" s="388"/>
      <c r="G511" s="388"/>
      <c r="H511" s="390"/>
      <c r="I511" s="391"/>
      <c r="J511" s="391"/>
      <c r="K511" s="392"/>
      <c r="L511" s="598"/>
      <c r="M511" s="394"/>
      <c r="N511" s="394"/>
      <c r="O511" s="394"/>
      <c r="P511" s="394"/>
      <c r="Q511" s="394"/>
      <c r="R511" s="394"/>
      <c r="S511" s="394"/>
      <c r="T511" s="394"/>
      <c r="U511" s="394"/>
    </row>
    <row r="512" spans="1:21" ht="19.5" hidden="1">
      <c r="A512" s="395"/>
      <c r="B512" s="597" t="s">
        <v>208</v>
      </c>
      <c r="C512" s="397"/>
      <c r="D512" s="398"/>
      <c r="E512" s="398"/>
      <c r="F512" s="398"/>
      <c r="G512" s="399"/>
      <c r="H512" s="596" t="s">
        <v>61</v>
      </c>
      <c r="I512" s="595">
        <f>I524</f>
        <v>0</v>
      </c>
      <c r="J512" s="595">
        <f>J524</f>
        <v>0</v>
      </c>
      <c r="K512" s="594">
        <f>IF(I512&gt;0,J512*100/I512,0)</f>
        <v>0</v>
      </c>
      <c r="L512" s="404"/>
      <c r="M512" s="403"/>
      <c r="N512" s="403"/>
      <c r="O512" s="403"/>
      <c r="P512" s="403"/>
      <c r="Q512" s="403"/>
      <c r="R512" s="403"/>
      <c r="S512" s="403"/>
      <c r="T512" s="403"/>
      <c r="U512" s="403"/>
    </row>
    <row r="513" spans="1:21" ht="19.5" hidden="1">
      <c r="A513" s="155"/>
      <c r="B513" s="50"/>
      <c r="C513" s="591" t="s">
        <v>18</v>
      </c>
      <c r="D513" s="562" t="s">
        <v>19</v>
      </c>
      <c r="E513" s="50"/>
      <c r="F513" s="50"/>
      <c r="G513" s="52"/>
      <c r="H513" s="593" t="s">
        <v>14</v>
      </c>
      <c r="I513" s="54"/>
      <c r="J513" s="54"/>
      <c r="K513" s="55"/>
      <c r="L513" s="541">
        <f ca="1">L514+L515</f>
        <v>0</v>
      </c>
      <c r="M513" s="540">
        <f ca="1">M514+M515</f>
        <v>0</v>
      </c>
      <c r="N513" s="540">
        <f ca="1">N514+N515</f>
        <v>0</v>
      </c>
      <c r="O513" s="540">
        <f ca="1">IF(L513&gt;0,N513*100/L513,0)</f>
        <v>0</v>
      </c>
      <c r="P513" s="540">
        <f ca="1">IF(M513&gt;0,N513*100/M513,0)</f>
        <v>0</v>
      </c>
      <c r="Q513" s="540">
        <f>Q514+Q515</f>
        <v>0</v>
      </c>
      <c r="R513" s="540">
        <f>R514+R515</f>
        <v>0</v>
      </c>
      <c r="S513" s="540">
        <f>S514+S515</f>
        <v>0</v>
      </c>
      <c r="T513" s="540">
        <f>IF(Q513&gt;0,S513*100/Q513,0)</f>
        <v>0</v>
      </c>
      <c r="U513" s="540">
        <f>IF(R513&gt;0,S513*100/R513,0)</f>
        <v>0</v>
      </c>
    </row>
    <row r="514" spans="1:21" ht="18.75" hidden="1">
      <c r="A514" s="155"/>
      <c r="B514" s="50"/>
      <c r="C514" s="50"/>
      <c r="D514" s="50"/>
      <c r="E514" s="186" t="s">
        <v>20</v>
      </c>
      <c r="F514" s="50"/>
      <c r="G514" s="52"/>
      <c r="H514" s="187" t="s">
        <v>14</v>
      </c>
      <c r="I514" s="54"/>
      <c r="J514" s="54"/>
      <c r="K514" s="55"/>
      <c r="L514" s="103">
        <f>L517+L520</f>
        <v>0</v>
      </c>
      <c r="M514" s="102">
        <f>M517+M520</f>
        <v>0</v>
      </c>
      <c r="N514" s="102">
        <f>N517+N520</f>
        <v>0</v>
      </c>
      <c r="O514" s="102">
        <f>IF(L514&gt;0,N514*100/L514,0)</f>
        <v>0</v>
      </c>
      <c r="P514" s="102">
        <f>IF(M514&gt;0,N514*100/M514,0)</f>
        <v>0</v>
      </c>
      <c r="Q514" s="102">
        <f>Q517+Q520</f>
        <v>0</v>
      </c>
      <c r="R514" s="102">
        <f>R517+R520</f>
        <v>0</v>
      </c>
      <c r="S514" s="102">
        <f>S517+S520</f>
        <v>0</v>
      </c>
      <c r="T514" s="102">
        <f>IF(Q514&gt;0,S514*100/Q514,0)</f>
        <v>0</v>
      </c>
      <c r="U514" s="102">
        <f>IF(R514&gt;0,S514*100/R514,0)</f>
        <v>0</v>
      </c>
    </row>
    <row r="515" spans="1:21" ht="18.75" hidden="1">
      <c r="A515" s="155"/>
      <c r="B515" s="50"/>
      <c r="C515" s="50"/>
      <c r="D515" s="50"/>
      <c r="E515" s="186" t="s">
        <v>21</v>
      </c>
      <c r="F515" s="50"/>
      <c r="G515" s="52"/>
      <c r="H515" s="187" t="s">
        <v>14</v>
      </c>
      <c r="I515" s="54"/>
      <c r="J515" s="54"/>
      <c r="K515" s="55"/>
      <c r="L515" s="256">
        <f ca="1">L518+L521</f>
        <v>0</v>
      </c>
      <c r="M515" s="255">
        <f ca="1">M518+M521</f>
        <v>0</v>
      </c>
      <c r="N515" s="255">
        <f ca="1">N518+N521</f>
        <v>0</v>
      </c>
      <c r="O515" s="255">
        <f ca="1">IF(L515&gt;0,N515*100/L515,0)</f>
        <v>0</v>
      </c>
      <c r="P515" s="255">
        <f ca="1">IF(M515&gt;0,N515*100/M515,0)</f>
        <v>0</v>
      </c>
      <c r="Q515" s="255">
        <f>Q518+Q521</f>
        <v>0</v>
      </c>
      <c r="R515" s="255">
        <f>R518+R521</f>
        <v>0</v>
      </c>
      <c r="S515" s="255">
        <f>S518+S521</f>
        <v>0</v>
      </c>
      <c r="T515" s="255">
        <f>IF(Q515&gt;0,S515*100/Q515,0)</f>
        <v>0</v>
      </c>
      <c r="U515" s="255">
        <f>IF(R515&gt;0,S515*100/R515,0)</f>
        <v>0</v>
      </c>
    </row>
    <row r="516" spans="1:21" ht="18.75" hidden="1">
      <c r="A516" s="155"/>
      <c r="B516" s="50"/>
      <c r="C516" s="50"/>
      <c r="D516" s="592" t="s">
        <v>22</v>
      </c>
      <c r="E516" s="50"/>
      <c r="F516" s="50"/>
      <c r="G516" s="52"/>
      <c r="H516" s="189" t="s">
        <v>14</v>
      </c>
      <c r="I516" s="163"/>
      <c r="J516" s="163"/>
      <c r="K516" s="164"/>
      <c r="L516" s="256">
        <f ca="1">L517+L518</f>
        <v>0</v>
      </c>
      <c r="M516" s="255">
        <f ca="1">M517+M518</f>
        <v>0</v>
      </c>
      <c r="N516" s="255">
        <f ca="1">N517+N518</f>
        <v>0</v>
      </c>
      <c r="O516" s="255">
        <f ca="1">IF(L516&gt;0,N516*100/L516,0)</f>
        <v>0</v>
      </c>
      <c r="P516" s="255">
        <f ca="1">IF(M516&gt;0,N516*100/M516,0)</f>
        <v>0</v>
      </c>
      <c r="Q516" s="255">
        <f>Q517+Q518</f>
        <v>0</v>
      </c>
      <c r="R516" s="255">
        <f>R517+R518</f>
        <v>0</v>
      </c>
      <c r="S516" s="255">
        <f>S517+S518</f>
        <v>0</v>
      </c>
      <c r="T516" s="255">
        <f>IF(Q516&gt;0,S516*100/Q516,0)</f>
        <v>0</v>
      </c>
      <c r="U516" s="255">
        <f>IF(R516&gt;0,S516*100/R516,0)</f>
        <v>0</v>
      </c>
    </row>
    <row r="517" spans="1:21" ht="18.75" hidden="1">
      <c r="A517" s="155"/>
      <c r="B517" s="50"/>
      <c r="C517" s="50"/>
      <c r="D517" s="50"/>
      <c r="E517" s="186" t="s">
        <v>36</v>
      </c>
      <c r="F517" s="50"/>
      <c r="G517" s="52"/>
      <c r="H517" s="189" t="s">
        <v>14</v>
      </c>
      <c r="I517" s="163"/>
      <c r="J517" s="163"/>
      <c r="K517" s="164"/>
      <c r="L517" s="103">
        <v>0</v>
      </c>
      <c r="M517" s="102">
        <v>0</v>
      </c>
      <c r="N517" s="102">
        <v>0</v>
      </c>
      <c r="O517" s="102">
        <f>IF(L517&gt;0,N517*100/L517,0)</f>
        <v>0</v>
      </c>
      <c r="P517" s="102">
        <f>IF(M517&gt;0,N517*100/M517,0)</f>
        <v>0</v>
      </c>
      <c r="Q517" s="102">
        <v>0</v>
      </c>
      <c r="R517" s="102">
        <v>0</v>
      </c>
      <c r="S517" s="102">
        <v>0</v>
      </c>
      <c r="T517" s="102">
        <f>IF(Q517&gt;0,S517*100/Q517,0)</f>
        <v>0</v>
      </c>
      <c r="U517" s="102">
        <f>IF(R517&gt;0,S517*100/R517,0)</f>
        <v>0</v>
      </c>
    </row>
    <row r="518" spans="1:21" ht="18.75" hidden="1">
      <c r="A518" s="155"/>
      <c r="B518" s="50"/>
      <c r="C518" s="50"/>
      <c r="D518" s="50"/>
      <c r="E518" s="186" t="s">
        <v>37</v>
      </c>
      <c r="F518" s="50"/>
      <c r="G518" s="52"/>
      <c r="H518" s="189" t="s">
        <v>14</v>
      </c>
      <c r="I518" s="163"/>
      <c r="J518" s="163"/>
      <c r="K518" s="164"/>
      <c r="L518" s="256">
        <f ca="1">IFERROR(__xludf.DUMMYFUNCTION("IMPORTRANGE(""https://docs.google.com/spreadsheets/d/1-uDff_7J0KD5mKrp0Vvzr7lt3OU09vwQwhkpOPPYv2Y/edit?usp=sharing"",""งบพรบ!FM43"")"),0)</f>
        <v>0</v>
      </c>
      <c r="M518" s="255">
        <f ca="1">IFERROR(__xludf.DUMMYFUNCTION("IMPORTRANGE(""https://docs.google.com/spreadsheets/d/1-uDff_7J0KD5mKrp0Vvzr7lt3OU09vwQwhkpOPPYv2Y/edit?usp=sharing"",""งบพรบ!FR43"")"),0)</f>
        <v>0</v>
      </c>
      <c r="N518" s="255">
        <f ca="1">IFERROR(__xludf.DUMMYFUNCTION("IMPORTRANGE(""https://docs.google.com/spreadsheets/d/1-uDff_7J0KD5mKrp0Vvzr7lt3OU09vwQwhkpOPPYv2Y/edit?usp=sharing"",""งบพรบ!FT43"")"),0)</f>
        <v>0</v>
      </c>
      <c r="O518" s="255">
        <f ca="1">IF(L518&gt;0,N518*100/L518,0)</f>
        <v>0</v>
      </c>
      <c r="P518" s="255">
        <f ca="1">IF(M518&gt;0,N518*100/M518,0)</f>
        <v>0</v>
      </c>
      <c r="Q518" s="255">
        <v>0</v>
      </c>
      <c r="R518" s="255">
        <v>0</v>
      </c>
      <c r="S518" s="255">
        <v>0</v>
      </c>
      <c r="T518" s="255">
        <f>IF(Q518&gt;0,S518*100/Q518,0)</f>
        <v>0</v>
      </c>
      <c r="U518" s="255">
        <f>IF(R518&gt;0,S518*100/R518,0)</f>
        <v>0</v>
      </c>
    </row>
    <row r="519" spans="1:21" ht="18.75" hidden="1">
      <c r="A519" s="155"/>
      <c r="B519" s="50"/>
      <c r="C519" s="50"/>
      <c r="D519" s="592" t="s">
        <v>23</v>
      </c>
      <c r="E519" s="50"/>
      <c r="F519" s="50"/>
      <c r="G519" s="52"/>
      <c r="H519" s="421" t="s">
        <v>14</v>
      </c>
      <c r="I519" s="163"/>
      <c r="J519" s="163"/>
      <c r="K519" s="164"/>
      <c r="L519" s="256">
        <f ca="1">L520+L521</f>
        <v>0</v>
      </c>
      <c r="M519" s="255">
        <f ca="1">M520+M521</f>
        <v>0</v>
      </c>
      <c r="N519" s="255">
        <f ca="1">N520+N521</f>
        <v>0</v>
      </c>
      <c r="O519" s="255">
        <f ca="1">IF(L519&gt;0,N519*100/L519,0)</f>
        <v>0</v>
      </c>
      <c r="P519" s="255">
        <f ca="1">IF(M519&gt;0,N519*100/M519,0)</f>
        <v>0</v>
      </c>
      <c r="Q519" s="255">
        <f>Q520+Q521</f>
        <v>0</v>
      </c>
      <c r="R519" s="255">
        <f>R520+R521</f>
        <v>0</v>
      </c>
      <c r="S519" s="255">
        <f>S520+S521</f>
        <v>0</v>
      </c>
      <c r="T519" s="255">
        <f>IF(Q519&gt;0,S519*100/Q519,0)</f>
        <v>0</v>
      </c>
      <c r="U519" s="255">
        <f>IF(R519&gt;0,S519*100/R519,0)</f>
        <v>0</v>
      </c>
    </row>
    <row r="520" spans="1:21" ht="18.75" hidden="1">
      <c r="A520" s="155"/>
      <c r="B520" s="50"/>
      <c r="C520" s="50"/>
      <c r="D520" s="50"/>
      <c r="E520" s="186" t="s">
        <v>20</v>
      </c>
      <c r="F520" s="50"/>
      <c r="G520" s="52"/>
      <c r="H520" s="189" t="s">
        <v>14</v>
      </c>
      <c r="I520" s="163"/>
      <c r="J520" s="163"/>
      <c r="K520" s="164"/>
      <c r="L520" s="103">
        <v>0</v>
      </c>
      <c r="M520" s="102">
        <v>0</v>
      </c>
      <c r="N520" s="102">
        <v>0</v>
      </c>
      <c r="O520" s="102">
        <f>IF(L520&gt;0,N520*100/L520,0)</f>
        <v>0</v>
      </c>
      <c r="P520" s="102">
        <f>IF(M520&gt;0,N520*100/M520,0)</f>
        <v>0</v>
      </c>
      <c r="Q520" s="102">
        <v>0</v>
      </c>
      <c r="R520" s="102">
        <v>0</v>
      </c>
      <c r="S520" s="102">
        <v>0</v>
      </c>
      <c r="T520" s="102">
        <f>IF(Q520&gt;0,S520*100/Q520,0)</f>
        <v>0</v>
      </c>
      <c r="U520" s="102">
        <f>IF(R520&gt;0,S520*100/R520,0)</f>
        <v>0</v>
      </c>
    </row>
    <row r="521" spans="1:21" ht="18.75" hidden="1">
      <c r="A521" s="155"/>
      <c r="B521" s="50"/>
      <c r="C521" s="50"/>
      <c r="D521" s="50"/>
      <c r="E521" s="186" t="s">
        <v>21</v>
      </c>
      <c r="F521" s="50"/>
      <c r="G521" s="52"/>
      <c r="H521" s="421" t="s">
        <v>14</v>
      </c>
      <c r="I521" s="163"/>
      <c r="J521" s="163"/>
      <c r="K521" s="164"/>
      <c r="L521" s="256">
        <f ca="1">IFERROR(__xludf.DUMMYFUNCTION("IMPORTRANGE(""https://docs.google.com/spreadsheets/d/1-uDff_7J0KD5mKrp0Vvzr7lt3OU09vwQwhkpOPPYv2Y/edit?usp=sharing"",""งบพรบ!FP43"")"),0)</f>
        <v>0</v>
      </c>
      <c r="M521" s="255">
        <f ca="1">IFERROR(__xludf.DUMMYFUNCTION("IMPORTRANGE(""https://docs.google.com/spreadsheets/d/1-uDff_7J0KD5mKrp0Vvzr7lt3OU09vwQwhkpOPPYv2Y/edit?usp=sharing"",""งบพรบ!FS43"")"),0)</f>
        <v>0</v>
      </c>
      <c r="N521" s="255">
        <f ca="1">IFERROR(__xludf.DUMMYFUNCTION("IMPORTRANGE(""https://docs.google.com/spreadsheets/d/1-uDff_7J0KD5mKrp0Vvzr7lt3OU09vwQwhkpOPPYv2Y/edit?usp=sharing"",""งบพรบ!FU43"")"),0)</f>
        <v>0</v>
      </c>
      <c r="O521" s="255">
        <f ca="1">IF(L521&gt;0,N521*100/L521,0)</f>
        <v>0</v>
      </c>
      <c r="P521" s="255">
        <f ca="1">IF(M521&gt;0,N521*100/M521,0)</f>
        <v>0</v>
      </c>
      <c r="Q521" s="255">
        <v>0</v>
      </c>
      <c r="R521" s="255">
        <v>0</v>
      </c>
      <c r="S521" s="255">
        <v>0</v>
      </c>
      <c r="T521" s="255">
        <f>IF(Q521&gt;0,S521*100/Q521,0)</f>
        <v>0</v>
      </c>
      <c r="U521" s="255">
        <f>IF(R521&gt;0,S521*100/R521,0)</f>
        <v>0</v>
      </c>
    </row>
    <row r="522" spans="1:21" ht="19.5" hidden="1">
      <c r="A522" s="166"/>
      <c r="B522" s="167"/>
      <c r="C522" s="591" t="s">
        <v>18</v>
      </c>
      <c r="D522" s="574" t="s">
        <v>38</v>
      </c>
      <c r="E522" s="169"/>
      <c r="F522" s="169"/>
      <c r="G522" s="170"/>
      <c r="H522" s="171"/>
      <c r="I522" s="163"/>
      <c r="J522" s="54"/>
      <c r="K522" s="55"/>
      <c r="L522" s="62"/>
      <c r="M522" s="55"/>
      <c r="N522" s="55"/>
      <c r="O522" s="164"/>
      <c r="P522" s="164"/>
      <c r="Q522" s="55"/>
      <c r="R522" s="55"/>
      <c r="S522" s="55"/>
      <c r="T522" s="164"/>
      <c r="U522" s="164"/>
    </row>
    <row r="523" spans="1:21" ht="18.75" hidden="1">
      <c r="A523" s="238"/>
      <c r="B523" s="50"/>
      <c r="C523" s="188"/>
      <c r="D523" s="207" t="s">
        <v>209</v>
      </c>
      <c r="E523" s="167"/>
      <c r="F523" s="50"/>
      <c r="G523" s="52"/>
      <c r="H523" s="590" t="s">
        <v>11</v>
      </c>
      <c r="I523" s="483">
        <v>0</v>
      </c>
      <c r="J523" s="589">
        <v>0</v>
      </c>
      <c r="K523" s="102">
        <f>IF(I523&gt;0,J523*100/I523,0)</f>
        <v>0</v>
      </c>
      <c r="L523" s="62"/>
      <c r="M523" s="55"/>
      <c r="N523" s="55"/>
      <c r="O523" s="55"/>
      <c r="P523" s="55"/>
      <c r="Q523" s="55"/>
      <c r="R523" s="55"/>
      <c r="S523" s="55"/>
      <c r="T523" s="55"/>
      <c r="U523" s="55"/>
    </row>
    <row r="524" spans="1:21" ht="18.75" hidden="1">
      <c r="A524" s="374"/>
      <c r="B524" s="4"/>
      <c r="C524" s="5"/>
      <c r="D524" s="588" t="s">
        <v>210</v>
      </c>
      <c r="E524" s="282"/>
      <c r="F524" s="4"/>
      <c r="G524" s="65"/>
      <c r="H524" s="587" t="s">
        <v>61</v>
      </c>
      <c r="I524" s="486">
        <v>0</v>
      </c>
      <c r="J524" s="586">
        <v>0</v>
      </c>
      <c r="K524" s="585">
        <f>IF(I524&gt;0,J524*100/I524,0)</f>
        <v>0</v>
      </c>
      <c r="L524" s="62"/>
      <c r="M524" s="55"/>
      <c r="N524" s="55"/>
      <c r="O524" s="55"/>
      <c r="P524" s="55"/>
      <c r="Q524" s="55"/>
      <c r="R524" s="55"/>
      <c r="S524" s="55"/>
      <c r="T524" s="55"/>
      <c r="U524" s="55"/>
    </row>
    <row r="525" spans="1:21" ht="12.75" hidden="1">
      <c r="A525" s="584"/>
      <c r="B525" s="583"/>
      <c r="C525" s="583"/>
      <c r="D525" s="582"/>
      <c r="E525" s="582"/>
      <c r="F525" s="582"/>
      <c r="G525" s="581"/>
      <c r="H525" s="580"/>
      <c r="I525" s="579"/>
      <c r="J525" s="579"/>
      <c r="K525" s="578"/>
      <c r="L525" s="265"/>
      <c r="M525" s="264"/>
      <c r="N525" s="264"/>
      <c r="O525" s="264"/>
      <c r="P525" s="264"/>
      <c r="Q525" s="264"/>
      <c r="R525" s="264"/>
      <c r="S525" s="264"/>
      <c r="T525" s="264"/>
      <c r="U525" s="264"/>
    </row>
    <row r="526" spans="1:21" ht="12.75" hidden="1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5"/>
      <c r="M526" s="264"/>
      <c r="N526" s="264"/>
      <c r="O526" s="264"/>
      <c r="P526" s="264"/>
      <c r="Q526" s="264"/>
      <c r="R526" s="264"/>
      <c r="S526" s="264"/>
      <c r="T526" s="264"/>
      <c r="U526" s="264"/>
    </row>
    <row r="527" spans="1:21" ht="12.75" hidden="1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5"/>
      <c r="M527" s="264"/>
      <c r="N527" s="264"/>
      <c r="O527" s="264"/>
      <c r="P527" s="264"/>
      <c r="Q527" s="264"/>
      <c r="R527" s="264"/>
      <c r="S527" s="264"/>
      <c r="T527" s="264"/>
      <c r="U527" s="264"/>
    </row>
    <row r="528" spans="1:21" ht="12.75" hidden="1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5"/>
      <c r="M528" s="264"/>
      <c r="N528" s="264"/>
      <c r="O528" s="264"/>
      <c r="P528" s="264"/>
      <c r="Q528" s="264"/>
      <c r="R528" s="264"/>
      <c r="S528" s="264"/>
      <c r="T528" s="264"/>
      <c r="U528" s="264"/>
    </row>
    <row r="529" spans="1:21" ht="12.75" hidden="1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5"/>
      <c r="M529" s="264"/>
      <c r="N529" s="264"/>
      <c r="O529" s="264"/>
      <c r="P529" s="264"/>
      <c r="Q529" s="264"/>
      <c r="R529" s="264"/>
      <c r="S529" s="264"/>
      <c r="T529" s="264"/>
      <c r="U529" s="264"/>
    </row>
    <row r="530" spans="1:21" ht="12.75" hidden="1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5"/>
      <c r="M530" s="264"/>
      <c r="N530" s="264"/>
      <c r="O530" s="264"/>
      <c r="P530" s="264"/>
      <c r="Q530" s="264"/>
      <c r="R530" s="264"/>
      <c r="S530" s="264"/>
      <c r="T530" s="264"/>
      <c r="U530" s="264"/>
    </row>
    <row r="531" spans="1:21" ht="12.75" hidden="1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5"/>
      <c r="M531" s="264"/>
      <c r="N531" s="264"/>
      <c r="O531" s="264"/>
      <c r="P531" s="264"/>
      <c r="Q531" s="264"/>
      <c r="R531" s="264"/>
      <c r="S531" s="264"/>
      <c r="T531" s="264"/>
      <c r="U531" s="264"/>
    </row>
    <row r="532" spans="1:21" ht="12.75" hidden="1">
      <c r="A532" s="407"/>
      <c r="B532" s="360"/>
      <c r="C532" s="360"/>
      <c r="D532" s="408"/>
      <c r="E532" s="408"/>
      <c r="F532" s="408"/>
      <c r="G532" s="409"/>
      <c r="H532" s="361"/>
      <c r="I532" s="362"/>
      <c r="J532" s="362"/>
      <c r="K532" s="363"/>
      <c r="L532" s="364"/>
      <c r="M532" s="363"/>
      <c r="N532" s="363"/>
      <c r="O532" s="363"/>
      <c r="P532" s="363"/>
      <c r="Q532" s="363"/>
      <c r="R532" s="363"/>
      <c r="S532" s="363"/>
      <c r="T532" s="363"/>
      <c r="U532" s="363"/>
    </row>
    <row r="533" spans="1:21" ht="19.5" hidden="1">
      <c r="A533" s="395"/>
      <c r="B533" s="396" t="s">
        <v>211</v>
      </c>
      <c r="C533" s="397"/>
      <c r="D533" s="398"/>
      <c r="E533" s="398"/>
      <c r="F533" s="398"/>
      <c r="G533" s="399"/>
      <c r="H533" s="410" t="s">
        <v>61</v>
      </c>
      <c r="I533" s="577">
        <f>I545</f>
        <v>0</v>
      </c>
      <c r="J533" s="577">
        <f>J545</f>
        <v>0</v>
      </c>
      <c r="K533" s="576">
        <f>IF(I533&gt;0,J533*100/I533,0)</f>
        <v>0</v>
      </c>
      <c r="L533" s="404"/>
      <c r="M533" s="403"/>
      <c r="N533" s="403"/>
      <c r="O533" s="403"/>
      <c r="P533" s="403"/>
      <c r="Q533" s="403"/>
      <c r="R533" s="403"/>
      <c r="S533" s="403"/>
      <c r="T533" s="403"/>
      <c r="U533" s="403"/>
    </row>
    <row r="534" spans="1:21" ht="19.5" hidden="1">
      <c r="A534" s="155"/>
      <c r="B534" s="50"/>
      <c r="C534" s="156" t="s">
        <v>18</v>
      </c>
      <c r="D534" s="575" t="s">
        <v>19</v>
      </c>
      <c r="E534" s="50"/>
      <c r="F534" s="50"/>
      <c r="G534" s="52"/>
      <c r="H534" s="158" t="s">
        <v>14</v>
      </c>
      <c r="I534" s="54"/>
      <c r="J534" s="54"/>
      <c r="K534" s="55"/>
      <c r="L534" s="541">
        <f>L535+L536</f>
        <v>0</v>
      </c>
      <c r="M534" s="540">
        <f>M535+M536</f>
        <v>0</v>
      </c>
      <c r="N534" s="540">
        <f>N535+N536</f>
        <v>0</v>
      </c>
      <c r="O534" s="540">
        <f>IF(L534&gt;0,N534*100/L534,0)</f>
        <v>0</v>
      </c>
      <c r="P534" s="540">
        <f>IF(M534&gt;0,N534*100/M534,0)</f>
        <v>0</v>
      </c>
      <c r="Q534" s="540">
        <f>Q535+Q536</f>
        <v>0</v>
      </c>
      <c r="R534" s="540">
        <f>R535+R536</f>
        <v>0</v>
      </c>
      <c r="S534" s="540">
        <f>S535+S536</f>
        <v>0</v>
      </c>
      <c r="T534" s="540">
        <f>IF(Q534&gt;0,S534*100/Q534,0)</f>
        <v>0</v>
      </c>
      <c r="U534" s="540">
        <f>IF(R534&gt;0,S534*100/R534,0)</f>
        <v>0</v>
      </c>
    </row>
    <row r="535" spans="1:21" ht="18.75" hidden="1">
      <c r="A535" s="155"/>
      <c r="B535" s="188"/>
      <c r="C535" s="50"/>
      <c r="D535" s="50"/>
      <c r="E535" s="186" t="s">
        <v>20</v>
      </c>
      <c r="F535" s="50"/>
      <c r="G535" s="52"/>
      <c r="H535" s="187" t="s">
        <v>14</v>
      </c>
      <c r="I535" s="54"/>
      <c r="J535" s="54"/>
      <c r="K535" s="55"/>
      <c r="L535" s="103">
        <f>L538+L541</f>
        <v>0</v>
      </c>
      <c r="M535" s="102">
        <f>M538+M541</f>
        <v>0</v>
      </c>
      <c r="N535" s="102">
        <f>N538+N541</f>
        <v>0</v>
      </c>
      <c r="O535" s="102">
        <f>IF(L535&gt;0,N535*100/L535,0)</f>
        <v>0</v>
      </c>
      <c r="P535" s="102">
        <f>IF(M535&gt;0,N535*100/M535,0)</f>
        <v>0</v>
      </c>
      <c r="Q535" s="102">
        <f>Q538+Q541</f>
        <v>0</v>
      </c>
      <c r="R535" s="102">
        <f>R538+R541</f>
        <v>0</v>
      </c>
      <c r="S535" s="102">
        <f>S538+S541</f>
        <v>0</v>
      </c>
      <c r="T535" s="102">
        <f>IF(Q535&gt;0,S535*100/Q535,0)</f>
        <v>0</v>
      </c>
      <c r="U535" s="102">
        <f>IF(R535&gt;0,S535*100/R535,0)</f>
        <v>0</v>
      </c>
    </row>
    <row r="536" spans="1:21" ht="18.75" hidden="1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256">
        <f>L539+L542</f>
        <v>0</v>
      </c>
      <c r="M536" s="255">
        <f>M539+M542</f>
        <v>0</v>
      </c>
      <c r="N536" s="255">
        <f>N539+N542</f>
        <v>0</v>
      </c>
      <c r="O536" s="255">
        <f>IF(L536&gt;0,N536*100/L536,0)</f>
        <v>0</v>
      </c>
      <c r="P536" s="255">
        <f>IF(M536&gt;0,N536*100/M536,0)</f>
        <v>0</v>
      </c>
      <c r="Q536" s="255">
        <f>Q539+Q542</f>
        <v>0</v>
      </c>
      <c r="R536" s="255">
        <f>R539+R542</f>
        <v>0</v>
      </c>
      <c r="S536" s="255">
        <f>S539+S542</f>
        <v>0</v>
      </c>
      <c r="T536" s="255">
        <f>IF(Q536&gt;0,S536*100/Q536,0)</f>
        <v>0</v>
      </c>
      <c r="U536" s="255">
        <f>IF(R536&gt;0,S536*100/R536,0)</f>
        <v>0</v>
      </c>
    </row>
    <row r="537" spans="1:21" ht="18.75" hidden="1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256">
        <f>L538+L539</f>
        <v>0</v>
      </c>
      <c r="M537" s="255">
        <f>M538+M539</f>
        <v>0</v>
      </c>
      <c r="N537" s="255">
        <f>N538+N539</f>
        <v>0</v>
      </c>
      <c r="O537" s="255">
        <f>IF(L537&gt;0,N537*100/L537,0)</f>
        <v>0</v>
      </c>
      <c r="P537" s="255">
        <f>IF(M537&gt;0,N537*100/M537,0)</f>
        <v>0</v>
      </c>
      <c r="Q537" s="255">
        <f>Q538+Q539</f>
        <v>0</v>
      </c>
      <c r="R537" s="255">
        <f>R538+R539</f>
        <v>0</v>
      </c>
      <c r="S537" s="255">
        <f>S538+S539</f>
        <v>0</v>
      </c>
      <c r="T537" s="255">
        <f>IF(Q537&gt;0,S537*100/Q537,0)</f>
        <v>0</v>
      </c>
      <c r="U537" s="255">
        <f>IF(R537&gt;0,S537*100/R537,0)</f>
        <v>0</v>
      </c>
    </row>
    <row r="538" spans="1:21" ht="18.75" hidden="1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103">
        <v>0</v>
      </c>
      <c r="M538" s="102">
        <v>0</v>
      </c>
      <c r="N538" s="102">
        <v>0</v>
      </c>
      <c r="O538" s="102">
        <f>IF(L538&gt;0,N538*100/L538,0)</f>
        <v>0</v>
      </c>
      <c r="P538" s="102">
        <f>IF(M538&gt;0,N538*100/M538,0)</f>
        <v>0</v>
      </c>
      <c r="Q538" s="102">
        <v>0</v>
      </c>
      <c r="R538" s="102">
        <v>0</v>
      </c>
      <c r="S538" s="102">
        <v>0</v>
      </c>
      <c r="T538" s="102">
        <f>IF(Q538&gt;0,S538*100/Q538,0)</f>
        <v>0</v>
      </c>
      <c r="U538" s="102">
        <f>IF(R538&gt;0,S538*100/R538,0)</f>
        <v>0</v>
      </c>
    </row>
    <row r="539" spans="1:21" ht="18.75" hidden="1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256">
        <v>0</v>
      </c>
      <c r="M539" s="255">
        <v>0</v>
      </c>
      <c r="N539" s="255">
        <v>0</v>
      </c>
      <c r="O539" s="255">
        <f>IF(L539&gt;0,N539*100/L539,0)</f>
        <v>0</v>
      </c>
      <c r="P539" s="255">
        <f>IF(M539&gt;0,N539*100/M539,0)</f>
        <v>0</v>
      </c>
      <c r="Q539" s="255">
        <v>0</v>
      </c>
      <c r="R539" s="255">
        <v>0</v>
      </c>
      <c r="S539" s="255">
        <v>0</v>
      </c>
      <c r="T539" s="255">
        <f>IF(Q539&gt;0,S539*100/Q539,0)</f>
        <v>0</v>
      </c>
      <c r="U539" s="255">
        <f>IF(R539&gt;0,S539*100/R539,0)</f>
        <v>0</v>
      </c>
    </row>
    <row r="540" spans="1:21" ht="18.75" hidden="1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256">
        <f>L541+L542</f>
        <v>0</v>
      </c>
      <c r="M540" s="255">
        <f>M541+M542</f>
        <v>0</v>
      </c>
      <c r="N540" s="255">
        <f>N541+N542</f>
        <v>0</v>
      </c>
      <c r="O540" s="255">
        <f>IF(L540&gt;0,N540*100/L540,0)</f>
        <v>0</v>
      </c>
      <c r="P540" s="255">
        <f>IF(M540&gt;0,N540*100/M540,0)</f>
        <v>0</v>
      </c>
      <c r="Q540" s="255">
        <f>Q541+Q542</f>
        <v>0</v>
      </c>
      <c r="R540" s="255">
        <f>R541+R542</f>
        <v>0</v>
      </c>
      <c r="S540" s="255">
        <f>S541+S542</f>
        <v>0</v>
      </c>
      <c r="T540" s="255">
        <f>IF(Q540&gt;0,S540*100/Q540,0)</f>
        <v>0</v>
      </c>
      <c r="U540" s="255">
        <f>IF(R540&gt;0,S540*100/R540,0)</f>
        <v>0</v>
      </c>
    </row>
    <row r="541" spans="1:21" ht="18.75" hidden="1">
      <c r="A541" s="155"/>
      <c r="B541" s="50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103">
        <v>0</v>
      </c>
      <c r="M541" s="102">
        <v>0</v>
      </c>
      <c r="N541" s="102">
        <v>0</v>
      </c>
      <c r="O541" s="102">
        <f>IF(L541&gt;0,N541*100/L541,0)</f>
        <v>0</v>
      </c>
      <c r="P541" s="102">
        <f>IF(M541&gt;0,N541*100/M541,0)</f>
        <v>0</v>
      </c>
      <c r="Q541" s="102">
        <v>0</v>
      </c>
      <c r="R541" s="102">
        <v>0</v>
      </c>
      <c r="S541" s="102">
        <v>0</v>
      </c>
      <c r="T541" s="102">
        <f>IF(Q541&gt;0,S541*100/Q541,0)</f>
        <v>0</v>
      </c>
      <c r="U541" s="102">
        <f>IF(R541&gt;0,S541*100/R541,0)</f>
        <v>0</v>
      </c>
    </row>
    <row r="542" spans="1:21" ht="18.75" hidden="1">
      <c r="A542" s="155"/>
      <c r="B542" s="50"/>
      <c r="C542" s="50"/>
      <c r="D542" s="50"/>
      <c r="E542" s="58" t="s">
        <v>21</v>
      </c>
      <c r="F542" s="50"/>
      <c r="G542" s="52"/>
      <c r="H542" s="165" t="s">
        <v>14</v>
      </c>
      <c r="I542" s="163"/>
      <c r="J542" s="163"/>
      <c r="K542" s="164"/>
      <c r="L542" s="256">
        <v>0</v>
      </c>
      <c r="M542" s="255">
        <v>0</v>
      </c>
      <c r="N542" s="255">
        <v>0</v>
      </c>
      <c r="O542" s="255">
        <f>IF(L542&gt;0,N542*100/L542,0)</f>
        <v>0</v>
      </c>
      <c r="P542" s="255">
        <f>IF(M542&gt;0,N542*100/M542,0)</f>
        <v>0</v>
      </c>
      <c r="Q542" s="255">
        <v>0</v>
      </c>
      <c r="R542" s="255">
        <v>0</v>
      </c>
      <c r="S542" s="255">
        <v>0</v>
      </c>
      <c r="T542" s="255">
        <f>IF(Q542&gt;0,S542*100/Q542,0)</f>
        <v>0</v>
      </c>
      <c r="U542" s="255">
        <f>IF(R542&gt;0,S542*100/R542,0)</f>
        <v>0</v>
      </c>
    </row>
    <row r="543" spans="1:21" ht="19.5" hidden="1">
      <c r="A543" s="166"/>
      <c r="B543" s="167"/>
      <c r="C543" s="411" t="s">
        <v>18</v>
      </c>
      <c r="D543" s="566" t="s">
        <v>38</v>
      </c>
      <c r="E543" s="169"/>
      <c r="F543" s="169"/>
      <c r="G543" s="170"/>
      <c r="H543" s="171"/>
      <c r="I543" s="163"/>
      <c r="J543" s="54"/>
      <c r="K543" s="55"/>
      <c r="L543" s="62"/>
      <c r="M543" s="55"/>
      <c r="N543" s="55"/>
      <c r="O543" s="164"/>
      <c r="P543" s="164"/>
      <c r="Q543" s="55"/>
      <c r="R543" s="55"/>
      <c r="S543" s="55"/>
      <c r="T543" s="164"/>
      <c r="U543" s="164"/>
    </row>
    <row r="544" spans="1:21" ht="12.75" hidden="1">
      <c r="A544" s="258"/>
      <c r="B544" s="260"/>
      <c r="C544" s="259"/>
      <c r="D544" s="260"/>
      <c r="E544" s="259"/>
      <c r="F544" s="260"/>
      <c r="G544" s="261"/>
      <c r="H544" s="261"/>
      <c r="I544" s="263"/>
      <c r="J544" s="263"/>
      <c r="K544" s="264"/>
      <c r="L544" s="265"/>
      <c r="M544" s="264"/>
      <c r="N544" s="264"/>
      <c r="O544" s="264"/>
      <c r="P544" s="264"/>
      <c r="Q544" s="264"/>
      <c r="R544" s="264"/>
      <c r="S544" s="264"/>
      <c r="T544" s="264"/>
      <c r="U544" s="264"/>
    </row>
    <row r="545" spans="1:21" ht="12.75" hidden="1">
      <c r="A545" s="258"/>
      <c r="B545" s="260"/>
      <c r="C545" s="259"/>
      <c r="D545" s="260"/>
      <c r="E545" s="259"/>
      <c r="F545" s="260"/>
      <c r="G545" s="261"/>
      <c r="H545" s="261"/>
      <c r="I545" s="263"/>
      <c r="J545" s="263"/>
      <c r="K545" s="264"/>
      <c r="L545" s="265"/>
      <c r="M545" s="264"/>
      <c r="N545" s="264"/>
      <c r="O545" s="264"/>
      <c r="P545" s="264"/>
      <c r="Q545" s="264"/>
      <c r="R545" s="264"/>
      <c r="S545" s="264"/>
      <c r="T545" s="264"/>
      <c r="U545" s="264"/>
    </row>
    <row r="546" spans="1:21" ht="12.75" hidden="1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5"/>
      <c r="M546" s="264"/>
      <c r="N546" s="264"/>
      <c r="O546" s="264"/>
      <c r="P546" s="264"/>
      <c r="Q546" s="264"/>
      <c r="R546" s="264"/>
      <c r="S546" s="264"/>
      <c r="T546" s="264"/>
      <c r="U546" s="264"/>
    </row>
    <row r="547" spans="1:21" ht="12.75" hidden="1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5"/>
      <c r="M547" s="264"/>
      <c r="N547" s="264"/>
      <c r="O547" s="264"/>
      <c r="P547" s="264"/>
      <c r="Q547" s="264"/>
      <c r="R547" s="264"/>
      <c r="S547" s="264"/>
      <c r="T547" s="264"/>
      <c r="U547" s="264"/>
    </row>
    <row r="548" spans="1:21" ht="12.75" hidden="1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5"/>
      <c r="M548" s="264"/>
      <c r="N548" s="264"/>
      <c r="O548" s="264"/>
      <c r="P548" s="264"/>
      <c r="Q548" s="264"/>
      <c r="R548" s="264"/>
      <c r="S548" s="264"/>
      <c r="T548" s="264"/>
      <c r="U548" s="264"/>
    </row>
    <row r="549" spans="1:21" ht="12.75" hidden="1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5"/>
      <c r="M549" s="264"/>
      <c r="N549" s="264"/>
      <c r="O549" s="264"/>
      <c r="P549" s="264"/>
      <c r="Q549" s="264"/>
      <c r="R549" s="264"/>
      <c r="S549" s="264"/>
      <c r="T549" s="264"/>
      <c r="U549" s="264"/>
    </row>
    <row r="550" spans="1:21" ht="12.75" hidden="1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5"/>
      <c r="M550" s="264"/>
      <c r="N550" s="264"/>
      <c r="O550" s="264"/>
      <c r="P550" s="264"/>
      <c r="Q550" s="264"/>
      <c r="R550" s="264"/>
      <c r="S550" s="264"/>
      <c r="T550" s="264"/>
      <c r="U550" s="264"/>
    </row>
    <row r="551" spans="1:21" ht="12.75" hidden="1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5"/>
      <c r="M551" s="264"/>
      <c r="N551" s="264"/>
      <c r="O551" s="264"/>
      <c r="P551" s="264"/>
      <c r="Q551" s="264"/>
      <c r="R551" s="264"/>
      <c r="S551" s="264"/>
      <c r="T551" s="264"/>
      <c r="U551" s="264"/>
    </row>
    <row r="552" spans="1:21" ht="12.75" hidden="1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5"/>
      <c r="M552" s="264"/>
      <c r="N552" s="264"/>
      <c r="O552" s="264"/>
      <c r="P552" s="264"/>
      <c r="Q552" s="264"/>
      <c r="R552" s="264"/>
      <c r="S552" s="264"/>
      <c r="T552" s="264"/>
      <c r="U552" s="264"/>
    </row>
    <row r="553" spans="1:21" ht="12.75" hidden="1">
      <c r="A553" s="407"/>
      <c r="B553" s="360"/>
      <c r="C553" s="360"/>
      <c r="D553" s="408"/>
      <c r="E553" s="408"/>
      <c r="F553" s="408"/>
      <c r="G553" s="409"/>
      <c r="H553" s="361"/>
      <c r="I553" s="362"/>
      <c r="J553" s="362"/>
      <c r="K553" s="363"/>
      <c r="L553" s="364"/>
      <c r="M553" s="363"/>
      <c r="N553" s="363"/>
      <c r="O553" s="363"/>
      <c r="P553" s="363"/>
      <c r="Q553" s="363"/>
      <c r="R553" s="363"/>
      <c r="S553" s="363"/>
      <c r="T553" s="363"/>
      <c r="U553" s="363"/>
    </row>
    <row r="554" spans="1:21" ht="19.5" hidden="1">
      <c r="A554" s="395"/>
      <c r="B554" s="396" t="s">
        <v>212</v>
      </c>
      <c r="C554" s="397"/>
      <c r="D554" s="398"/>
      <c r="E554" s="398"/>
      <c r="F554" s="398"/>
      <c r="G554" s="399"/>
      <c r="H554" s="410" t="s">
        <v>61</v>
      </c>
      <c r="I554" s="577">
        <f>I566</f>
        <v>0</v>
      </c>
      <c r="J554" s="577">
        <f>J566</f>
        <v>0</v>
      </c>
      <c r="K554" s="576">
        <f>IF(I554&gt;0,J554*100/I554,0)</f>
        <v>0</v>
      </c>
      <c r="L554" s="404"/>
      <c r="M554" s="403"/>
      <c r="N554" s="403"/>
      <c r="O554" s="403"/>
      <c r="P554" s="403"/>
      <c r="Q554" s="403"/>
      <c r="R554" s="403"/>
      <c r="S554" s="403"/>
      <c r="T554" s="403"/>
      <c r="U554" s="403"/>
    </row>
    <row r="555" spans="1:21" ht="19.5" hidden="1">
      <c r="A555" s="155"/>
      <c r="B555" s="50"/>
      <c r="C555" s="156" t="s">
        <v>18</v>
      </c>
      <c r="D555" s="575" t="s">
        <v>19</v>
      </c>
      <c r="E555" s="50"/>
      <c r="F555" s="50"/>
      <c r="G555" s="52"/>
      <c r="H555" s="158" t="s">
        <v>14</v>
      </c>
      <c r="I555" s="54"/>
      <c r="J555" s="54"/>
      <c r="K555" s="55"/>
      <c r="L555" s="541">
        <f>L556+L557</f>
        <v>0</v>
      </c>
      <c r="M555" s="540">
        <f>M556+M557</f>
        <v>0</v>
      </c>
      <c r="N555" s="540">
        <f>N556+N557</f>
        <v>0</v>
      </c>
      <c r="O555" s="540">
        <f>IF(L555&gt;0,N555*100/L555,0)</f>
        <v>0</v>
      </c>
      <c r="P555" s="540">
        <f>IF(M555&gt;0,N555*100/M555,0)</f>
        <v>0</v>
      </c>
      <c r="Q555" s="540">
        <f>Q556+Q557</f>
        <v>0</v>
      </c>
      <c r="R555" s="540">
        <f>R556+R557</f>
        <v>0</v>
      </c>
      <c r="S555" s="540">
        <f>S556+S557</f>
        <v>0</v>
      </c>
      <c r="T555" s="540">
        <f>IF(Q555&gt;0,S555*100/Q555,0)</f>
        <v>0</v>
      </c>
      <c r="U555" s="540">
        <f>IF(R555&gt;0,S555*100/R555,0)</f>
        <v>0</v>
      </c>
    </row>
    <row r="556" spans="1:21" ht="18.75" hidden="1">
      <c r="A556" s="155"/>
      <c r="B556" s="188"/>
      <c r="C556" s="50"/>
      <c r="D556" s="50"/>
      <c r="E556" s="186" t="s">
        <v>20</v>
      </c>
      <c r="F556" s="50"/>
      <c r="G556" s="52"/>
      <c r="H556" s="187" t="s">
        <v>14</v>
      </c>
      <c r="I556" s="54"/>
      <c r="J556" s="54"/>
      <c r="K556" s="55"/>
      <c r="L556" s="103">
        <f>L559+L562</f>
        <v>0</v>
      </c>
      <c r="M556" s="102">
        <f>M559+M562</f>
        <v>0</v>
      </c>
      <c r="N556" s="102">
        <f>N559+N562</f>
        <v>0</v>
      </c>
      <c r="O556" s="102">
        <f>IF(L556&gt;0,N556*100/L556,0)</f>
        <v>0</v>
      </c>
      <c r="P556" s="102">
        <f>IF(M556&gt;0,N556*100/M556,0)</f>
        <v>0</v>
      </c>
      <c r="Q556" s="102">
        <f>Q559+Q562</f>
        <v>0</v>
      </c>
      <c r="R556" s="102">
        <f>R559+R562</f>
        <v>0</v>
      </c>
      <c r="S556" s="102">
        <f>S559+S562</f>
        <v>0</v>
      </c>
      <c r="T556" s="102">
        <f>IF(Q556&gt;0,S556*100/Q556,0)</f>
        <v>0</v>
      </c>
      <c r="U556" s="102">
        <f>IF(R556&gt;0,S556*100/R556,0)</f>
        <v>0</v>
      </c>
    </row>
    <row r="557" spans="1:21" ht="18.75" hidden="1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256">
        <f>L560+L563</f>
        <v>0</v>
      </c>
      <c r="M557" s="255">
        <f>M560+M563</f>
        <v>0</v>
      </c>
      <c r="N557" s="255">
        <f>N560+N563</f>
        <v>0</v>
      </c>
      <c r="O557" s="255">
        <f>IF(L557&gt;0,N557*100/L557,0)</f>
        <v>0</v>
      </c>
      <c r="P557" s="255">
        <f>IF(M557&gt;0,N557*100/M557,0)</f>
        <v>0</v>
      </c>
      <c r="Q557" s="255">
        <f>Q560+Q563</f>
        <v>0</v>
      </c>
      <c r="R557" s="255">
        <f>R560+R563</f>
        <v>0</v>
      </c>
      <c r="S557" s="255">
        <f>S560+S563</f>
        <v>0</v>
      </c>
      <c r="T557" s="255">
        <f>IF(Q557&gt;0,S557*100/Q557,0)</f>
        <v>0</v>
      </c>
      <c r="U557" s="255">
        <f>IF(R557&gt;0,S557*100/R557,0)</f>
        <v>0</v>
      </c>
    </row>
    <row r="558" spans="1:21" ht="18.75" hidden="1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256">
        <f>L559+L560</f>
        <v>0</v>
      </c>
      <c r="M558" s="255">
        <f>M559+M560</f>
        <v>0</v>
      </c>
      <c r="N558" s="255">
        <f>N559+N560</f>
        <v>0</v>
      </c>
      <c r="O558" s="255">
        <f>IF(L558&gt;0,N558*100/L558,0)</f>
        <v>0</v>
      </c>
      <c r="P558" s="255">
        <f>IF(M558&gt;0,N558*100/M558,0)</f>
        <v>0</v>
      </c>
      <c r="Q558" s="255">
        <f>Q559+Q560</f>
        <v>0</v>
      </c>
      <c r="R558" s="255">
        <f>R559+R560</f>
        <v>0</v>
      </c>
      <c r="S558" s="255">
        <f>S559+S560</f>
        <v>0</v>
      </c>
      <c r="T558" s="255">
        <f>IF(Q558&gt;0,S558*100/Q558,0)</f>
        <v>0</v>
      </c>
      <c r="U558" s="255">
        <f>IF(R558&gt;0,S558*100/R558,0)</f>
        <v>0</v>
      </c>
    </row>
    <row r="559" spans="1:21" ht="18.75" hidden="1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103">
        <v>0</v>
      </c>
      <c r="M559" s="102">
        <v>0</v>
      </c>
      <c r="N559" s="102">
        <v>0</v>
      </c>
      <c r="O559" s="102">
        <f>IF(L559&gt;0,N559*100/L559,0)</f>
        <v>0</v>
      </c>
      <c r="P559" s="102">
        <f>IF(M559&gt;0,N559*100/M559,0)</f>
        <v>0</v>
      </c>
      <c r="Q559" s="102">
        <v>0</v>
      </c>
      <c r="R559" s="102">
        <v>0</v>
      </c>
      <c r="S559" s="102">
        <v>0</v>
      </c>
      <c r="T559" s="102">
        <f>IF(Q559&gt;0,S559*100/Q559,0)</f>
        <v>0</v>
      </c>
      <c r="U559" s="102">
        <f>IF(R559&gt;0,S559*100/R559,0)</f>
        <v>0</v>
      </c>
    </row>
    <row r="560" spans="1:21" ht="18.75" hidden="1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256">
        <v>0</v>
      </c>
      <c r="M560" s="255">
        <v>0</v>
      </c>
      <c r="N560" s="255">
        <v>0</v>
      </c>
      <c r="O560" s="255">
        <f>IF(L560&gt;0,N560*100/L560,0)</f>
        <v>0</v>
      </c>
      <c r="P560" s="255">
        <f>IF(M560&gt;0,N560*100/M560,0)</f>
        <v>0</v>
      </c>
      <c r="Q560" s="255">
        <v>0</v>
      </c>
      <c r="R560" s="255">
        <v>0</v>
      </c>
      <c r="S560" s="255">
        <v>0</v>
      </c>
      <c r="T560" s="255">
        <f>IF(Q560&gt;0,S560*100/Q560,0)</f>
        <v>0</v>
      </c>
      <c r="U560" s="255">
        <f>IF(R560&gt;0,S560*100/R560,0)</f>
        <v>0</v>
      </c>
    </row>
    <row r="561" spans="1:21" ht="18.75" hidden="1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256">
        <f>L562+L563</f>
        <v>0</v>
      </c>
      <c r="M561" s="255">
        <f>M562+M563</f>
        <v>0</v>
      </c>
      <c r="N561" s="255">
        <f>N562+N563</f>
        <v>0</v>
      </c>
      <c r="O561" s="255">
        <f>IF(L561&gt;0,N561*100/L561,0)</f>
        <v>0</v>
      </c>
      <c r="P561" s="255">
        <f>IF(M561&gt;0,N561*100/M561,0)</f>
        <v>0</v>
      </c>
      <c r="Q561" s="255">
        <f>Q562+Q563</f>
        <v>0</v>
      </c>
      <c r="R561" s="255">
        <f>R562+R563</f>
        <v>0</v>
      </c>
      <c r="S561" s="255">
        <f>S562+S563</f>
        <v>0</v>
      </c>
      <c r="T561" s="255">
        <f>IF(Q561&gt;0,S561*100/Q561,0)</f>
        <v>0</v>
      </c>
      <c r="U561" s="255">
        <f>IF(R561&gt;0,S561*100/R561,0)</f>
        <v>0</v>
      </c>
    </row>
    <row r="562" spans="1:21" ht="18.75" hidden="1">
      <c r="A562" s="155"/>
      <c r="B562" s="50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103">
        <v>0</v>
      </c>
      <c r="M562" s="102">
        <v>0</v>
      </c>
      <c r="N562" s="102">
        <v>0</v>
      </c>
      <c r="O562" s="102">
        <f>IF(L562&gt;0,N562*100/L562,0)</f>
        <v>0</v>
      </c>
      <c r="P562" s="102">
        <f>IF(M562&gt;0,N562*100/M562,0)</f>
        <v>0</v>
      </c>
      <c r="Q562" s="102">
        <v>0</v>
      </c>
      <c r="R562" s="102">
        <v>0</v>
      </c>
      <c r="S562" s="102">
        <v>0</v>
      </c>
      <c r="T562" s="102">
        <f>IF(Q562&gt;0,S562*100/Q562,0)</f>
        <v>0</v>
      </c>
      <c r="U562" s="102">
        <f>IF(R562&gt;0,S562*100/R562,0)</f>
        <v>0</v>
      </c>
    </row>
    <row r="563" spans="1:21" ht="18.75" hidden="1">
      <c r="A563" s="155"/>
      <c r="B563" s="50"/>
      <c r="C563" s="50"/>
      <c r="D563" s="50"/>
      <c r="E563" s="58" t="s">
        <v>21</v>
      </c>
      <c r="F563" s="50"/>
      <c r="G563" s="52"/>
      <c r="H563" s="165" t="s">
        <v>14</v>
      </c>
      <c r="I563" s="163"/>
      <c r="J563" s="163"/>
      <c r="K563" s="164"/>
      <c r="L563" s="256">
        <v>0</v>
      </c>
      <c r="M563" s="255">
        <v>0</v>
      </c>
      <c r="N563" s="255">
        <v>0</v>
      </c>
      <c r="O563" s="255">
        <f>IF(L563&gt;0,N563*100/L563,0)</f>
        <v>0</v>
      </c>
      <c r="P563" s="255">
        <f>IF(M563&gt;0,N563*100/M563,0)</f>
        <v>0</v>
      </c>
      <c r="Q563" s="255">
        <v>0</v>
      </c>
      <c r="R563" s="255">
        <v>0</v>
      </c>
      <c r="S563" s="255">
        <v>0</v>
      </c>
      <c r="T563" s="255">
        <f>IF(Q563&gt;0,S563*100/Q563,0)</f>
        <v>0</v>
      </c>
      <c r="U563" s="255">
        <f>IF(R563&gt;0,S563*100/R563,0)</f>
        <v>0</v>
      </c>
    </row>
    <row r="564" spans="1:21" ht="19.5" hidden="1">
      <c r="A564" s="166"/>
      <c r="B564" s="167"/>
      <c r="C564" s="411" t="s">
        <v>18</v>
      </c>
      <c r="D564" s="566" t="s">
        <v>38</v>
      </c>
      <c r="E564" s="169"/>
      <c r="F564" s="169"/>
      <c r="G564" s="170"/>
      <c r="H564" s="171"/>
      <c r="I564" s="163"/>
      <c r="J564" s="54"/>
      <c r="K564" s="55"/>
      <c r="L564" s="62"/>
      <c r="M564" s="55"/>
      <c r="N564" s="55"/>
      <c r="O564" s="164"/>
      <c r="P564" s="164"/>
      <c r="Q564" s="55"/>
      <c r="R564" s="55"/>
      <c r="S564" s="55"/>
      <c r="T564" s="164"/>
      <c r="U564" s="164"/>
    </row>
    <row r="565" spans="1:21" ht="12.75" hidden="1">
      <c r="A565" s="258"/>
      <c r="B565" s="260"/>
      <c r="C565" s="259"/>
      <c r="D565" s="260"/>
      <c r="E565" s="259"/>
      <c r="F565" s="260"/>
      <c r="G565" s="261"/>
      <c r="H565" s="261"/>
      <c r="I565" s="263"/>
      <c r="J565" s="263"/>
      <c r="K565" s="264"/>
      <c r="L565" s="265"/>
      <c r="M565" s="264"/>
      <c r="N565" s="264"/>
      <c r="O565" s="264"/>
      <c r="P565" s="264"/>
      <c r="Q565" s="264"/>
      <c r="R565" s="264"/>
      <c r="S565" s="264"/>
      <c r="T565" s="264"/>
      <c r="U565" s="264"/>
    </row>
    <row r="566" spans="1:21" ht="12.75" hidden="1">
      <c r="A566" s="258"/>
      <c r="B566" s="260"/>
      <c r="C566" s="259"/>
      <c r="D566" s="260"/>
      <c r="E566" s="259"/>
      <c r="F566" s="260"/>
      <c r="G566" s="261"/>
      <c r="H566" s="261"/>
      <c r="I566" s="263"/>
      <c r="J566" s="263"/>
      <c r="K566" s="264"/>
      <c r="L566" s="265"/>
      <c r="M566" s="264"/>
      <c r="N566" s="264"/>
      <c r="O566" s="264"/>
      <c r="P566" s="264"/>
      <c r="Q566" s="264"/>
      <c r="R566" s="264"/>
      <c r="S566" s="264"/>
      <c r="T566" s="264"/>
      <c r="U566" s="264"/>
    </row>
    <row r="567" spans="1:21" ht="12.75" hidden="1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5"/>
      <c r="M567" s="264"/>
      <c r="N567" s="264"/>
      <c r="O567" s="264"/>
      <c r="P567" s="264"/>
      <c r="Q567" s="264"/>
      <c r="R567" s="264"/>
      <c r="S567" s="264"/>
      <c r="T567" s="264"/>
      <c r="U567" s="264"/>
    </row>
    <row r="568" spans="1:21" ht="12.75" hidden="1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5"/>
      <c r="M568" s="264"/>
      <c r="N568" s="264"/>
      <c r="O568" s="264"/>
      <c r="P568" s="264"/>
      <c r="Q568" s="264"/>
      <c r="R568" s="264"/>
      <c r="S568" s="264"/>
      <c r="T568" s="264"/>
      <c r="U568" s="264"/>
    </row>
    <row r="569" spans="1:21" ht="12.75" hidden="1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5"/>
      <c r="M569" s="264"/>
      <c r="N569" s="264"/>
      <c r="O569" s="264"/>
      <c r="P569" s="264"/>
      <c r="Q569" s="264"/>
      <c r="R569" s="264"/>
      <c r="S569" s="264"/>
      <c r="T569" s="264"/>
      <c r="U569" s="264"/>
    </row>
    <row r="570" spans="1:21" ht="12.75" hidden="1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5"/>
      <c r="M570" s="264"/>
      <c r="N570" s="264"/>
      <c r="O570" s="264"/>
      <c r="P570" s="264"/>
      <c r="Q570" s="264"/>
      <c r="R570" s="264"/>
      <c r="S570" s="264"/>
      <c r="T570" s="264"/>
      <c r="U570" s="264"/>
    </row>
    <row r="571" spans="1:21" ht="12.75" hidden="1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5"/>
      <c r="M571" s="264"/>
      <c r="N571" s="264"/>
      <c r="O571" s="264"/>
      <c r="P571" s="264"/>
      <c r="Q571" s="264"/>
      <c r="R571" s="264"/>
      <c r="S571" s="264"/>
      <c r="T571" s="264"/>
      <c r="U571" s="264"/>
    </row>
    <row r="572" spans="1:21" ht="12.75" hidden="1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5"/>
      <c r="M572" s="264"/>
      <c r="N572" s="264"/>
      <c r="O572" s="264"/>
      <c r="P572" s="264"/>
      <c r="Q572" s="264"/>
      <c r="R572" s="264"/>
      <c r="S572" s="264"/>
      <c r="T572" s="264"/>
      <c r="U572" s="264"/>
    </row>
    <row r="573" spans="1:21" ht="12.75" hidden="1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5"/>
      <c r="M573" s="264"/>
      <c r="N573" s="264"/>
      <c r="O573" s="264"/>
      <c r="P573" s="264"/>
      <c r="Q573" s="264"/>
      <c r="R573" s="264"/>
      <c r="S573" s="264"/>
      <c r="T573" s="264"/>
      <c r="U573" s="264"/>
    </row>
    <row r="574" spans="1:21" ht="12.75" hidden="1">
      <c r="A574" s="407"/>
      <c r="B574" s="360"/>
      <c r="C574" s="360"/>
      <c r="D574" s="408"/>
      <c r="E574" s="408"/>
      <c r="F574" s="408"/>
      <c r="G574" s="409"/>
      <c r="H574" s="361"/>
      <c r="I574" s="362"/>
      <c r="J574" s="362"/>
      <c r="K574" s="363"/>
      <c r="L574" s="364"/>
      <c r="M574" s="363"/>
      <c r="N574" s="363"/>
      <c r="O574" s="363"/>
      <c r="P574" s="363"/>
      <c r="Q574" s="363"/>
      <c r="R574" s="363"/>
      <c r="S574" s="363"/>
      <c r="T574" s="363"/>
      <c r="U574" s="363"/>
    </row>
    <row r="575" spans="1:21" ht="19.5" hidden="1">
      <c r="A575" s="395"/>
      <c r="B575" s="396" t="s">
        <v>213</v>
      </c>
      <c r="C575" s="397"/>
      <c r="D575" s="398"/>
      <c r="E575" s="398"/>
      <c r="F575" s="398"/>
      <c r="G575" s="399"/>
      <c r="H575" s="410" t="s">
        <v>61</v>
      </c>
      <c r="I575" s="577">
        <f>I587</f>
        <v>0</v>
      </c>
      <c r="J575" s="577">
        <f>J587</f>
        <v>0</v>
      </c>
      <c r="K575" s="576">
        <f>IF(I575&gt;0,J575*100/I575,0)</f>
        <v>0</v>
      </c>
      <c r="L575" s="404"/>
      <c r="M575" s="403"/>
      <c r="N575" s="403"/>
      <c r="O575" s="403"/>
      <c r="P575" s="403"/>
      <c r="Q575" s="403"/>
      <c r="R575" s="403"/>
      <c r="S575" s="403"/>
      <c r="T575" s="403"/>
      <c r="U575" s="403"/>
    </row>
    <row r="576" spans="1:21" ht="19.5" hidden="1">
      <c r="A576" s="155"/>
      <c r="B576" s="50"/>
      <c r="C576" s="156" t="s">
        <v>18</v>
      </c>
      <c r="D576" s="575" t="s">
        <v>19</v>
      </c>
      <c r="E576" s="50"/>
      <c r="F576" s="50"/>
      <c r="G576" s="52"/>
      <c r="H576" s="158" t="s">
        <v>14</v>
      </c>
      <c r="I576" s="54"/>
      <c r="J576" s="54"/>
      <c r="K576" s="55"/>
      <c r="L576" s="541">
        <f>L577+L578</f>
        <v>0</v>
      </c>
      <c r="M576" s="540">
        <f>M577+M578</f>
        <v>0</v>
      </c>
      <c r="N576" s="540">
        <f>N577+N578</f>
        <v>0</v>
      </c>
      <c r="O576" s="540">
        <f>IF(L576&gt;0,N576*100/L576,0)</f>
        <v>0</v>
      </c>
      <c r="P576" s="540">
        <f>IF(M576&gt;0,N576*100/M576,0)</f>
        <v>0</v>
      </c>
      <c r="Q576" s="540">
        <f>Q577+Q578</f>
        <v>0</v>
      </c>
      <c r="R576" s="540">
        <f>R577+R578</f>
        <v>0</v>
      </c>
      <c r="S576" s="540">
        <f>S577+S578</f>
        <v>0</v>
      </c>
      <c r="T576" s="540">
        <f>IF(Q576&gt;0,S576*100/Q576,0)</f>
        <v>0</v>
      </c>
      <c r="U576" s="540">
        <f>IF(R576&gt;0,S576*100/R576,0)</f>
        <v>0</v>
      </c>
    </row>
    <row r="577" spans="1:21" ht="18.75" hidden="1">
      <c r="A577" s="155"/>
      <c r="B577" s="188"/>
      <c r="C577" s="50"/>
      <c r="D577" s="50"/>
      <c r="E577" s="186" t="s">
        <v>20</v>
      </c>
      <c r="F577" s="50"/>
      <c r="G577" s="52"/>
      <c r="H577" s="187" t="s">
        <v>14</v>
      </c>
      <c r="I577" s="54"/>
      <c r="J577" s="54"/>
      <c r="K577" s="55"/>
      <c r="L577" s="103">
        <f>L580+L583</f>
        <v>0</v>
      </c>
      <c r="M577" s="102">
        <f>M580+M583</f>
        <v>0</v>
      </c>
      <c r="N577" s="102">
        <f>N580+N583</f>
        <v>0</v>
      </c>
      <c r="O577" s="102">
        <f>IF(L577&gt;0,N577*100/L577,0)</f>
        <v>0</v>
      </c>
      <c r="P577" s="102">
        <f>IF(M577&gt;0,N577*100/M577,0)</f>
        <v>0</v>
      </c>
      <c r="Q577" s="102">
        <f>Q580+Q583</f>
        <v>0</v>
      </c>
      <c r="R577" s="102">
        <f>R580+R583</f>
        <v>0</v>
      </c>
      <c r="S577" s="102">
        <f>S580+S583</f>
        <v>0</v>
      </c>
      <c r="T577" s="102">
        <f>IF(Q577&gt;0,S577*100/Q577,0)</f>
        <v>0</v>
      </c>
      <c r="U577" s="102">
        <f>IF(R577&gt;0,S577*100/R577,0)</f>
        <v>0</v>
      </c>
    </row>
    <row r="578" spans="1:21" ht="18.75" hidden="1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256">
        <f>L581+L584</f>
        <v>0</v>
      </c>
      <c r="M578" s="255">
        <f>M581+M584</f>
        <v>0</v>
      </c>
      <c r="N578" s="255">
        <f>N581+N584</f>
        <v>0</v>
      </c>
      <c r="O578" s="255">
        <f>IF(L578&gt;0,N578*100/L578,0)</f>
        <v>0</v>
      </c>
      <c r="P578" s="255">
        <f>IF(M578&gt;0,N578*100/M578,0)</f>
        <v>0</v>
      </c>
      <c r="Q578" s="255">
        <f>Q581+Q584</f>
        <v>0</v>
      </c>
      <c r="R578" s="255">
        <f>R581+R584</f>
        <v>0</v>
      </c>
      <c r="S578" s="255">
        <f>S581+S584</f>
        <v>0</v>
      </c>
      <c r="T578" s="255">
        <f>IF(Q578&gt;0,S578*100/Q578,0)</f>
        <v>0</v>
      </c>
      <c r="U578" s="255">
        <f>IF(R578&gt;0,S578*100/R578,0)</f>
        <v>0</v>
      </c>
    </row>
    <row r="579" spans="1:21" ht="18.75" hidden="1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256">
        <f>L580+L581</f>
        <v>0</v>
      </c>
      <c r="M579" s="255">
        <f>M580+M581</f>
        <v>0</v>
      </c>
      <c r="N579" s="255">
        <f>N580+N581</f>
        <v>0</v>
      </c>
      <c r="O579" s="255">
        <f>IF(L579&gt;0,N579*100/L579,0)</f>
        <v>0</v>
      </c>
      <c r="P579" s="255">
        <f>IF(M579&gt;0,N579*100/M579,0)</f>
        <v>0</v>
      </c>
      <c r="Q579" s="255">
        <f>Q580+Q581</f>
        <v>0</v>
      </c>
      <c r="R579" s="255">
        <f>R580+R581</f>
        <v>0</v>
      </c>
      <c r="S579" s="255">
        <f>S580+S581</f>
        <v>0</v>
      </c>
      <c r="T579" s="255">
        <f>IF(Q579&gt;0,S579*100/Q579,0)</f>
        <v>0</v>
      </c>
      <c r="U579" s="255">
        <f>IF(R579&gt;0,S579*100/R579,0)</f>
        <v>0</v>
      </c>
    </row>
    <row r="580" spans="1:21" ht="18.75" hidden="1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103">
        <v>0</v>
      </c>
      <c r="M580" s="102">
        <v>0</v>
      </c>
      <c r="N580" s="102">
        <v>0</v>
      </c>
      <c r="O580" s="102">
        <f>IF(L580&gt;0,N580*100/L580,0)</f>
        <v>0</v>
      </c>
      <c r="P580" s="102">
        <f>IF(M580&gt;0,N580*100/M580,0)</f>
        <v>0</v>
      </c>
      <c r="Q580" s="102">
        <v>0</v>
      </c>
      <c r="R580" s="102">
        <v>0</v>
      </c>
      <c r="S580" s="102">
        <v>0</v>
      </c>
      <c r="T580" s="102">
        <f>IF(Q580&gt;0,S580*100/Q580,0)</f>
        <v>0</v>
      </c>
      <c r="U580" s="102">
        <f>IF(R580&gt;0,S580*100/R580,0)</f>
        <v>0</v>
      </c>
    </row>
    <row r="581" spans="1:21" ht="18.75" hidden="1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256">
        <v>0</v>
      </c>
      <c r="M581" s="255">
        <v>0</v>
      </c>
      <c r="N581" s="255">
        <v>0</v>
      </c>
      <c r="O581" s="255">
        <f>IF(L581&gt;0,N581*100/L581,0)</f>
        <v>0</v>
      </c>
      <c r="P581" s="255">
        <f>IF(M581&gt;0,N581*100/M581,0)</f>
        <v>0</v>
      </c>
      <c r="Q581" s="255">
        <v>0</v>
      </c>
      <c r="R581" s="255">
        <v>0</v>
      </c>
      <c r="S581" s="255">
        <v>0</v>
      </c>
      <c r="T581" s="255">
        <f>IF(Q581&gt;0,S581*100/Q581,0)</f>
        <v>0</v>
      </c>
      <c r="U581" s="255">
        <f>IF(R581&gt;0,S581*100/R581,0)</f>
        <v>0</v>
      </c>
    </row>
    <row r="582" spans="1:21" ht="18.75" hidden="1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256">
        <f>L583+L584</f>
        <v>0</v>
      </c>
      <c r="M582" s="255">
        <f>M583+M584</f>
        <v>0</v>
      </c>
      <c r="N582" s="255">
        <f>N583+N584</f>
        <v>0</v>
      </c>
      <c r="O582" s="255">
        <f>IF(L582&gt;0,N582*100/L582,0)</f>
        <v>0</v>
      </c>
      <c r="P582" s="255">
        <f>IF(M582&gt;0,N582*100/M582,0)</f>
        <v>0</v>
      </c>
      <c r="Q582" s="255">
        <f>Q583+Q584</f>
        <v>0</v>
      </c>
      <c r="R582" s="255">
        <f>R583+R584</f>
        <v>0</v>
      </c>
      <c r="S582" s="255">
        <f>S583+S584</f>
        <v>0</v>
      </c>
      <c r="T582" s="255">
        <f>IF(Q582&gt;0,S582*100/Q582,0)</f>
        <v>0</v>
      </c>
      <c r="U582" s="255">
        <f>IF(R582&gt;0,S582*100/R582,0)</f>
        <v>0</v>
      </c>
    </row>
    <row r="583" spans="1:21" ht="18.75" hidden="1">
      <c r="A583" s="155"/>
      <c r="B583" s="50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103">
        <v>0</v>
      </c>
      <c r="M583" s="102">
        <v>0</v>
      </c>
      <c r="N583" s="102">
        <v>0</v>
      </c>
      <c r="O583" s="102">
        <f>IF(L583&gt;0,N583*100/L583,0)</f>
        <v>0</v>
      </c>
      <c r="P583" s="102">
        <f>IF(M583&gt;0,N583*100/M583,0)</f>
        <v>0</v>
      </c>
      <c r="Q583" s="102">
        <v>0</v>
      </c>
      <c r="R583" s="102">
        <v>0</v>
      </c>
      <c r="S583" s="102">
        <v>0</v>
      </c>
      <c r="T583" s="102">
        <f>IF(Q583&gt;0,S583*100/Q583,0)</f>
        <v>0</v>
      </c>
      <c r="U583" s="102">
        <f>IF(R583&gt;0,S583*100/R583,0)</f>
        <v>0</v>
      </c>
    </row>
    <row r="584" spans="1:21" ht="18.75" hidden="1">
      <c r="A584" s="155"/>
      <c r="B584" s="50"/>
      <c r="C584" s="50"/>
      <c r="D584" s="50"/>
      <c r="E584" s="58" t="s">
        <v>21</v>
      </c>
      <c r="F584" s="50"/>
      <c r="G584" s="52"/>
      <c r="H584" s="165" t="s">
        <v>14</v>
      </c>
      <c r="I584" s="163"/>
      <c r="J584" s="163"/>
      <c r="K584" s="164"/>
      <c r="L584" s="256">
        <v>0</v>
      </c>
      <c r="M584" s="255">
        <v>0</v>
      </c>
      <c r="N584" s="255">
        <v>0</v>
      </c>
      <c r="O584" s="255">
        <f>IF(L584&gt;0,N584*100/L584,0)</f>
        <v>0</v>
      </c>
      <c r="P584" s="255">
        <f>IF(M584&gt;0,N584*100/M584,0)</f>
        <v>0</v>
      </c>
      <c r="Q584" s="255">
        <v>0</v>
      </c>
      <c r="R584" s="255">
        <v>0</v>
      </c>
      <c r="S584" s="255">
        <v>0</v>
      </c>
      <c r="T584" s="255">
        <f>IF(Q584&gt;0,S584*100/Q584,0)</f>
        <v>0</v>
      </c>
      <c r="U584" s="255">
        <f>IF(R584&gt;0,S584*100/R584,0)</f>
        <v>0</v>
      </c>
    </row>
    <row r="585" spans="1:21" ht="19.5" hidden="1">
      <c r="A585" s="166"/>
      <c r="B585" s="167"/>
      <c r="C585" s="411" t="s">
        <v>18</v>
      </c>
      <c r="D585" s="566" t="s">
        <v>38</v>
      </c>
      <c r="E585" s="169"/>
      <c r="F585" s="169"/>
      <c r="G585" s="170"/>
      <c r="H585" s="171"/>
      <c r="I585" s="163"/>
      <c r="J585" s="54"/>
      <c r="K585" s="55"/>
      <c r="L585" s="62"/>
      <c r="M585" s="55"/>
      <c r="N585" s="55"/>
      <c r="O585" s="164"/>
      <c r="P585" s="164"/>
      <c r="Q585" s="55"/>
      <c r="R585" s="55"/>
      <c r="S585" s="55"/>
      <c r="T585" s="164"/>
      <c r="U585" s="164"/>
    </row>
    <row r="586" spans="1:21" ht="12.75" hidden="1">
      <c r="A586" s="258"/>
      <c r="B586" s="260"/>
      <c r="C586" s="259"/>
      <c r="D586" s="260"/>
      <c r="E586" s="259"/>
      <c r="F586" s="260"/>
      <c r="G586" s="261"/>
      <c r="H586" s="261"/>
      <c r="I586" s="263"/>
      <c r="J586" s="263"/>
      <c r="K586" s="264"/>
      <c r="L586" s="265"/>
      <c r="M586" s="264"/>
      <c r="N586" s="264"/>
      <c r="O586" s="264"/>
      <c r="P586" s="264"/>
      <c r="Q586" s="264"/>
      <c r="R586" s="264"/>
      <c r="S586" s="264"/>
      <c r="T586" s="264"/>
      <c r="U586" s="264"/>
    </row>
    <row r="587" spans="1:21" ht="12.75" hidden="1">
      <c r="A587" s="258"/>
      <c r="B587" s="260"/>
      <c r="C587" s="259"/>
      <c r="D587" s="260"/>
      <c r="E587" s="259"/>
      <c r="F587" s="260"/>
      <c r="G587" s="261"/>
      <c r="H587" s="261"/>
      <c r="I587" s="263"/>
      <c r="J587" s="263"/>
      <c r="K587" s="264"/>
      <c r="L587" s="265"/>
      <c r="M587" s="264"/>
      <c r="N587" s="264"/>
      <c r="O587" s="264"/>
      <c r="P587" s="264"/>
      <c r="Q587" s="264"/>
      <c r="R587" s="264"/>
      <c r="S587" s="264"/>
      <c r="T587" s="264"/>
      <c r="U587" s="264"/>
    </row>
    <row r="588" spans="1:21" ht="12.75" hidden="1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5"/>
      <c r="M588" s="264"/>
      <c r="N588" s="264"/>
      <c r="O588" s="264"/>
      <c r="P588" s="264"/>
      <c r="Q588" s="264"/>
      <c r="R588" s="264"/>
      <c r="S588" s="264"/>
      <c r="T588" s="264"/>
      <c r="U588" s="264"/>
    </row>
    <row r="589" spans="1:21" ht="12.75" hidden="1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5"/>
      <c r="M589" s="264"/>
      <c r="N589" s="264"/>
      <c r="O589" s="264"/>
      <c r="P589" s="264"/>
      <c r="Q589" s="264"/>
      <c r="R589" s="264"/>
      <c r="S589" s="264"/>
      <c r="T589" s="264"/>
      <c r="U589" s="264"/>
    </row>
    <row r="590" spans="1:21" ht="12.75" hidden="1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5"/>
      <c r="M590" s="264"/>
      <c r="N590" s="264"/>
      <c r="O590" s="264"/>
      <c r="P590" s="264"/>
      <c r="Q590" s="264"/>
      <c r="R590" s="264"/>
      <c r="S590" s="264"/>
      <c r="T590" s="264"/>
      <c r="U590" s="264"/>
    </row>
    <row r="591" spans="1:21" ht="12.75" hidden="1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5"/>
      <c r="M591" s="264"/>
      <c r="N591" s="264"/>
      <c r="O591" s="264"/>
      <c r="P591" s="264"/>
      <c r="Q591" s="264"/>
      <c r="R591" s="264"/>
      <c r="S591" s="264"/>
      <c r="T591" s="264"/>
      <c r="U591" s="264"/>
    </row>
    <row r="592" spans="1:21" ht="12.75" hidden="1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5"/>
      <c r="M592" s="264"/>
      <c r="N592" s="264"/>
      <c r="O592" s="264"/>
      <c r="P592" s="264"/>
      <c r="Q592" s="264"/>
      <c r="R592" s="264"/>
      <c r="S592" s="264"/>
      <c r="T592" s="264"/>
      <c r="U592" s="264"/>
    </row>
    <row r="593" spans="1:21" ht="12.75" hidden="1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5"/>
      <c r="M593" s="264"/>
      <c r="N593" s="264"/>
      <c r="O593" s="264"/>
      <c r="P593" s="264"/>
      <c r="Q593" s="264"/>
      <c r="R593" s="264"/>
      <c r="S593" s="264"/>
      <c r="T593" s="264"/>
      <c r="U593" s="264"/>
    </row>
    <row r="594" spans="1:21" ht="12.75" hidden="1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5"/>
      <c r="M594" s="264"/>
      <c r="N594" s="264"/>
      <c r="O594" s="264"/>
      <c r="P594" s="264"/>
      <c r="Q594" s="264"/>
      <c r="R594" s="264"/>
      <c r="S594" s="264"/>
      <c r="T594" s="264"/>
      <c r="U594" s="264"/>
    </row>
    <row r="595" spans="1:21" ht="12.75" hidden="1">
      <c r="A595" s="407"/>
      <c r="B595" s="360"/>
      <c r="C595" s="360"/>
      <c r="D595" s="408"/>
      <c r="E595" s="408"/>
      <c r="F595" s="408"/>
      <c r="G595" s="409"/>
      <c r="H595" s="361"/>
      <c r="I595" s="362"/>
      <c r="J595" s="362"/>
      <c r="K595" s="363"/>
      <c r="L595" s="364"/>
      <c r="M595" s="363"/>
      <c r="N595" s="363"/>
      <c r="O595" s="363"/>
      <c r="P595" s="363"/>
      <c r="Q595" s="363"/>
      <c r="R595" s="363"/>
      <c r="S595" s="363"/>
      <c r="T595" s="363"/>
      <c r="U595" s="363"/>
    </row>
    <row r="596" spans="1:21" ht="19.5" hidden="1">
      <c r="A596" s="412" t="s">
        <v>214</v>
      </c>
      <c r="B596" s="144"/>
      <c r="C596" s="196"/>
      <c r="D596" s="144"/>
      <c r="E596" s="144"/>
      <c r="F596" s="144"/>
      <c r="G596" s="144"/>
      <c r="H596" s="145"/>
      <c r="I596" s="197"/>
      <c r="J596" s="197"/>
      <c r="K596" s="19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8"/>
    </row>
    <row r="597" spans="1:21" ht="19.5" hidden="1">
      <c r="A597" s="150"/>
      <c r="B597" s="413" t="s">
        <v>215</v>
      </c>
      <c r="C597" s="200"/>
      <c r="D597" s="151"/>
      <c r="E597" s="34"/>
      <c r="F597" s="34"/>
      <c r="G597" s="34"/>
      <c r="H597" s="414" t="s">
        <v>99</v>
      </c>
      <c r="I597" s="210"/>
      <c r="J597" s="39"/>
      <c r="K597" s="40"/>
      <c r="L597" s="154"/>
      <c r="M597" s="40"/>
      <c r="N597" s="40"/>
      <c r="O597" s="40"/>
      <c r="P597" s="40"/>
      <c r="Q597" s="40"/>
      <c r="R597" s="40"/>
      <c r="S597" s="40"/>
      <c r="T597" s="40"/>
      <c r="U597" s="40"/>
    </row>
    <row r="598" spans="1:21" ht="19.5" hidden="1">
      <c r="A598" s="415"/>
      <c r="B598" s="416" t="s">
        <v>216</v>
      </c>
      <c r="C598" s="151"/>
      <c r="D598" s="34"/>
      <c r="E598" s="34"/>
      <c r="F598" s="34"/>
      <c r="G598" s="37"/>
      <c r="H598" s="417" t="s">
        <v>35</v>
      </c>
      <c r="I598" s="39"/>
      <c r="J598" s="39"/>
      <c r="K598" s="40"/>
      <c r="L598" s="154"/>
      <c r="M598" s="40"/>
      <c r="N598" s="40"/>
      <c r="O598" s="40"/>
      <c r="P598" s="40"/>
      <c r="Q598" s="40"/>
      <c r="R598" s="40"/>
      <c r="S598" s="40"/>
      <c r="T598" s="40"/>
      <c r="U598" s="40"/>
    </row>
    <row r="599" spans="1:21" ht="19.5" hidden="1">
      <c r="A599" s="155"/>
      <c r="B599" s="188"/>
      <c r="C599" s="205" t="s">
        <v>18</v>
      </c>
      <c r="D599" s="563" t="s">
        <v>19</v>
      </c>
      <c r="E599" s="529"/>
      <c r="F599" s="529"/>
      <c r="G599" s="530"/>
      <c r="H599" s="418" t="s">
        <v>14</v>
      </c>
      <c r="I599" s="54"/>
      <c r="J599" s="54"/>
      <c r="K599" s="55"/>
      <c r="L599" s="541">
        <f>L600+L601</f>
        <v>0</v>
      </c>
      <c r="M599" s="540">
        <f>M600+M601</f>
        <v>0</v>
      </c>
      <c r="N599" s="540">
        <f>N600+N601</f>
        <v>0</v>
      </c>
      <c r="O599" s="540">
        <f>IF(L599&gt;0,N599*100/L599,0)</f>
        <v>0</v>
      </c>
      <c r="P599" s="540">
        <f>IF(M599&gt;0,N599*100/M599,0)</f>
        <v>0</v>
      </c>
      <c r="Q599" s="540">
        <f>Q600+Q601</f>
        <v>0</v>
      </c>
      <c r="R599" s="540">
        <f>R600+R601</f>
        <v>0</v>
      </c>
      <c r="S599" s="540">
        <f>S600+S601</f>
        <v>0</v>
      </c>
      <c r="T599" s="540">
        <f>IF(Q599&gt;0,S599*100/Q599,0)</f>
        <v>0</v>
      </c>
      <c r="U599" s="540">
        <f>IF(R599&gt;0,S599*100/R599,0)</f>
        <v>0</v>
      </c>
    </row>
    <row r="600" spans="1:21" ht="18.75" hidden="1">
      <c r="A600" s="155"/>
      <c r="B600" s="188"/>
      <c r="C600" s="188"/>
      <c r="D600" s="174"/>
      <c r="E600" s="186" t="s">
        <v>159</v>
      </c>
      <c r="F600" s="50"/>
      <c r="G600" s="52"/>
      <c r="H600" s="189" t="s">
        <v>14</v>
      </c>
      <c r="I600" s="54"/>
      <c r="J600" s="54"/>
      <c r="K600" s="55"/>
      <c r="L600" s="103">
        <f>L603+L606</f>
        <v>0</v>
      </c>
      <c r="M600" s="102">
        <f>M603+M606</f>
        <v>0</v>
      </c>
      <c r="N600" s="102">
        <f>N603+N606</f>
        <v>0</v>
      </c>
      <c r="O600" s="102">
        <f>IF(L600&gt;0,N600*100/L600,0)</f>
        <v>0</v>
      </c>
      <c r="P600" s="102">
        <f>IF(M600&gt;0,N600*100/M600,0)</f>
        <v>0</v>
      </c>
      <c r="Q600" s="102">
        <f>Q603+Q606</f>
        <v>0</v>
      </c>
      <c r="R600" s="102">
        <f>R603+R606</f>
        <v>0</v>
      </c>
      <c r="S600" s="102">
        <f>S603+S606</f>
        <v>0</v>
      </c>
      <c r="T600" s="102">
        <f>IF(Q600&gt;0,S600*100/Q600,0)</f>
        <v>0</v>
      </c>
      <c r="U600" s="102">
        <f>IF(R600&gt;0,S600*100/R600,0)</f>
        <v>0</v>
      </c>
    </row>
    <row r="601" spans="1:21" ht="18.75" hidden="1">
      <c r="A601" s="155"/>
      <c r="B601" s="188"/>
      <c r="C601" s="188"/>
      <c r="D601" s="174"/>
      <c r="E601" s="186" t="s">
        <v>160</v>
      </c>
      <c r="F601" s="50"/>
      <c r="G601" s="52"/>
      <c r="H601" s="189" t="s">
        <v>14</v>
      </c>
      <c r="I601" s="54"/>
      <c r="J601" s="54"/>
      <c r="K601" s="55"/>
      <c r="L601" s="256">
        <f>L604+L607</f>
        <v>0</v>
      </c>
      <c r="M601" s="255">
        <f>M604+M607</f>
        <v>0</v>
      </c>
      <c r="N601" s="255">
        <f>N604+N607</f>
        <v>0</v>
      </c>
      <c r="O601" s="255">
        <f>IF(L601&gt;0,N601*100/L601,0)</f>
        <v>0</v>
      </c>
      <c r="P601" s="255">
        <f>IF(M601&gt;0,N601*100/M601,0)</f>
        <v>0</v>
      </c>
      <c r="Q601" s="255">
        <f>Q604+Q607</f>
        <v>0</v>
      </c>
      <c r="R601" s="255">
        <f>R604+R607</f>
        <v>0</v>
      </c>
      <c r="S601" s="255">
        <f>S604+S607</f>
        <v>0</v>
      </c>
      <c r="T601" s="255">
        <f>IF(Q601&gt;0,S601*100/Q601,0)</f>
        <v>0</v>
      </c>
      <c r="U601" s="255">
        <f>IF(R601&gt;0,S601*100/R601,0)</f>
        <v>0</v>
      </c>
    </row>
    <row r="602" spans="1:21" ht="19.5" hidden="1">
      <c r="A602" s="155"/>
      <c r="B602" s="188"/>
      <c r="C602" s="188"/>
      <c r="D602" s="562" t="s">
        <v>22</v>
      </c>
      <c r="E602" s="50"/>
      <c r="F602" s="50"/>
      <c r="G602" s="52"/>
      <c r="H602" s="418" t="s">
        <v>14</v>
      </c>
      <c r="I602" s="163"/>
      <c r="J602" s="163"/>
      <c r="K602" s="164"/>
      <c r="L602" s="256">
        <f>L603+L604</f>
        <v>0</v>
      </c>
      <c r="M602" s="255">
        <f>M603+M604</f>
        <v>0</v>
      </c>
      <c r="N602" s="255">
        <f>N603+N604</f>
        <v>0</v>
      </c>
      <c r="O602" s="255">
        <f>IF(L602&gt;0,N602*100/L602,0)</f>
        <v>0</v>
      </c>
      <c r="P602" s="255">
        <f>IF(M602&gt;0,N602*100/M602,0)</f>
        <v>0</v>
      </c>
      <c r="Q602" s="255">
        <f>Q603+Q604</f>
        <v>0</v>
      </c>
      <c r="R602" s="255">
        <f>R603+R604</f>
        <v>0</v>
      </c>
      <c r="S602" s="255">
        <f>S603+S604</f>
        <v>0</v>
      </c>
      <c r="T602" s="255">
        <f>IF(Q602&gt;0,S602*100/Q602,0)</f>
        <v>0</v>
      </c>
      <c r="U602" s="255">
        <f>IF(R602&gt;0,S602*100/R602,0)</f>
        <v>0</v>
      </c>
    </row>
    <row r="603" spans="1:21" ht="18.75" hidden="1">
      <c r="A603" s="155"/>
      <c r="B603" s="188"/>
      <c r="C603" s="188"/>
      <c r="D603" s="174"/>
      <c r="E603" s="186" t="s">
        <v>159</v>
      </c>
      <c r="F603" s="50"/>
      <c r="G603" s="52"/>
      <c r="H603" s="189" t="s">
        <v>14</v>
      </c>
      <c r="I603" s="54"/>
      <c r="J603" s="54"/>
      <c r="K603" s="55"/>
      <c r="L603" s="103">
        <v>0</v>
      </c>
      <c r="M603" s="102">
        <v>0</v>
      </c>
      <c r="N603" s="102">
        <v>0</v>
      </c>
      <c r="O603" s="102">
        <f>IF(L603&gt;0,N603*100/L603,0)</f>
        <v>0</v>
      </c>
      <c r="P603" s="102">
        <f>IF(M603&gt;0,N603*100/M603,0)</f>
        <v>0</v>
      </c>
      <c r="Q603" s="102">
        <v>0</v>
      </c>
      <c r="R603" s="102">
        <v>0</v>
      </c>
      <c r="S603" s="102">
        <v>0</v>
      </c>
      <c r="T603" s="102">
        <f>IF(Q603&gt;0,S603*100/Q603,0)</f>
        <v>0</v>
      </c>
      <c r="U603" s="102">
        <f>IF(R603&gt;0,S603*100/R603,0)</f>
        <v>0</v>
      </c>
    </row>
    <row r="604" spans="1:21" ht="18.75" hidden="1">
      <c r="A604" s="155"/>
      <c r="B604" s="188"/>
      <c r="C604" s="188"/>
      <c r="D604" s="174"/>
      <c r="E604" s="186" t="s">
        <v>160</v>
      </c>
      <c r="F604" s="50"/>
      <c r="G604" s="52"/>
      <c r="H604" s="189" t="s">
        <v>14</v>
      </c>
      <c r="I604" s="54"/>
      <c r="J604" s="54"/>
      <c r="K604" s="55"/>
      <c r="L604" s="256">
        <v>0</v>
      </c>
      <c r="M604" s="255">
        <v>0</v>
      </c>
      <c r="N604" s="255">
        <v>0</v>
      </c>
      <c r="O604" s="255">
        <f>IF(L604&gt;0,N604*100/L604,0)</f>
        <v>0</v>
      </c>
      <c r="P604" s="255">
        <f>IF(M604&gt;0,N604*100/M604,0)</f>
        <v>0</v>
      </c>
      <c r="Q604" s="255">
        <v>0</v>
      </c>
      <c r="R604" s="255">
        <v>0</v>
      </c>
      <c r="S604" s="255">
        <v>0</v>
      </c>
      <c r="T604" s="255">
        <f>IF(Q604&gt;0,S604*100/Q604,0)</f>
        <v>0</v>
      </c>
      <c r="U604" s="255">
        <f>IF(R604&gt;0,S604*100/R604,0)</f>
        <v>0</v>
      </c>
    </row>
    <row r="605" spans="1:21" ht="19.5" hidden="1">
      <c r="A605" s="155"/>
      <c r="B605" s="188"/>
      <c r="C605" s="188"/>
      <c r="D605" s="562" t="s">
        <v>23</v>
      </c>
      <c r="E605" s="188"/>
      <c r="F605" s="50"/>
      <c r="G605" s="52"/>
      <c r="H605" s="420" t="s">
        <v>14</v>
      </c>
      <c r="I605" s="163"/>
      <c r="J605" s="163"/>
      <c r="K605" s="164"/>
      <c r="L605" s="256">
        <f>L606+L607</f>
        <v>0</v>
      </c>
      <c r="M605" s="255">
        <f>M606+M607</f>
        <v>0</v>
      </c>
      <c r="N605" s="255">
        <f>N606+N607</f>
        <v>0</v>
      </c>
      <c r="O605" s="255">
        <f>IF(L605&gt;0,N605*100/L605,0)</f>
        <v>0</v>
      </c>
      <c r="P605" s="255">
        <f>IF(M605&gt;0,N605*100/M605,0)</f>
        <v>0</v>
      </c>
      <c r="Q605" s="255">
        <f>Q606+Q607</f>
        <v>0</v>
      </c>
      <c r="R605" s="255">
        <f>R606+R607</f>
        <v>0</v>
      </c>
      <c r="S605" s="255">
        <f>S606+S607</f>
        <v>0</v>
      </c>
      <c r="T605" s="255">
        <f>IF(Q605&gt;0,S605*100/Q605,0)</f>
        <v>0</v>
      </c>
      <c r="U605" s="255">
        <f>IF(R605&gt;0,S605*100/R605,0)</f>
        <v>0</v>
      </c>
    </row>
    <row r="606" spans="1:21" ht="18.75" hidden="1">
      <c r="A606" s="155"/>
      <c r="B606" s="188"/>
      <c r="C606" s="188"/>
      <c r="D606" s="188"/>
      <c r="E606" s="358" t="s">
        <v>20</v>
      </c>
      <c r="F606" s="50"/>
      <c r="G606" s="52"/>
      <c r="H606" s="189" t="s">
        <v>14</v>
      </c>
      <c r="I606" s="163"/>
      <c r="J606" s="163"/>
      <c r="K606" s="164"/>
      <c r="L606" s="103">
        <v>0</v>
      </c>
      <c r="M606" s="102">
        <v>0</v>
      </c>
      <c r="N606" s="102">
        <v>0</v>
      </c>
      <c r="O606" s="102">
        <f>IF(L606&gt;0,N606*100/L606,0)</f>
        <v>0</v>
      </c>
      <c r="P606" s="102">
        <f>IF(M606&gt;0,N606*100/M606,0)</f>
        <v>0</v>
      </c>
      <c r="Q606" s="102">
        <v>0</v>
      </c>
      <c r="R606" s="102">
        <v>0</v>
      </c>
      <c r="S606" s="102">
        <v>0</v>
      </c>
      <c r="T606" s="102">
        <f>IF(Q606&gt;0,S606*100/Q606,0)</f>
        <v>0</v>
      </c>
      <c r="U606" s="102">
        <f>IF(R606&gt;0,S606*100/R606,0)</f>
        <v>0</v>
      </c>
    </row>
    <row r="607" spans="1:21" ht="18.75" hidden="1">
      <c r="A607" s="155"/>
      <c r="B607" s="188"/>
      <c r="C607" s="188"/>
      <c r="D607" s="50"/>
      <c r="E607" s="358" t="s">
        <v>21</v>
      </c>
      <c r="F607" s="50"/>
      <c r="G607" s="52"/>
      <c r="H607" s="421" t="s">
        <v>14</v>
      </c>
      <c r="I607" s="163"/>
      <c r="J607" s="163"/>
      <c r="K607" s="164"/>
      <c r="L607" s="256">
        <v>0</v>
      </c>
      <c r="M607" s="255">
        <v>0</v>
      </c>
      <c r="N607" s="255">
        <v>0</v>
      </c>
      <c r="O607" s="255">
        <f>IF(L607&gt;0,N607*100/L607,0)</f>
        <v>0</v>
      </c>
      <c r="P607" s="255">
        <f>IF(M607&gt;0,N607*100/M607,0)</f>
        <v>0</v>
      </c>
      <c r="Q607" s="255">
        <v>0</v>
      </c>
      <c r="R607" s="255">
        <v>0</v>
      </c>
      <c r="S607" s="255">
        <v>0</v>
      </c>
      <c r="T607" s="255">
        <f>IF(Q607&gt;0,S607*100/Q607,0)</f>
        <v>0</v>
      </c>
      <c r="U607" s="255">
        <f>IF(R607&gt;0,S607*100/R607,0)</f>
        <v>0</v>
      </c>
    </row>
    <row r="608" spans="1:21" ht="19.5" hidden="1">
      <c r="A608" s="166"/>
      <c r="B608" s="167"/>
      <c r="C608" s="205" t="s">
        <v>18</v>
      </c>
      <c r="D608" s="574" t="s">
        <v>38</v>
      </c>
      <c r="E608" s="169"/>
      <c r="F608" s="169"/>
      <c r="G608" s="170"/>
      <c r="H608" s="206"/>
      <c r="I608" s="163"/>
      <c r="J608" s="163"/>
      <c r="K608" s="164"/>
      <c r="L608" s="62"/>
      <c r="M608" s="55"/>
      <c r="N608" s="55"/>
      <c r="O608" s="55"/>
      <c r="P608" s="55"/>
      <c r="Q608" s="55"/>
      <c r="R608" s="55"/>
      <c r="S608" s="55"/>
      <c r="T608" s="55"/>
      <c r="U608" s="55"/>
    </row>
    <row r="609" spans="1:21" ht="18.75" hidden="1">
      <c r="A609" s="166"/>
      <c r="B609" s="167"/>
      <c r="C609" s="167"/>
      <c r="D609" s="423" t="s">
        <v>217</v>
      </c>
      <c r="E609" s="174"/>
      <c r="F609" s="174"/>
      <c r="G609" s="171"/>
      <c r="H609" s="189" t="s">
        <v>99</v>
      </c>
      <c r="I609" s="54"/>
      <c r="J609" s="54"/>
      <c r="K609" s="164"/>
      <c r="L609" s="62"/>
      <c r="M609" s="55"/>
      <c r="N609" s="55"/>
      <c r="O609" s="55"/>
      <c r="P609" s="55"/>
      <c r="Q609" s="55"/>
      <c r="R609" s="55"/>
      <c r="S609" s="55"/>
      <c r="T609" s="55"/>
      <c r="U609" s="55"/>
    </row>
    <row r="610" spans="1:21" ht="19.5" hidden="1">
      <c r="A610" s="166"/>
      <c r="B610" s="167"/>
      <c r="C610" s="167"/>
      <c r="D610" s="423" t="s">
        <v>218</v>
      </c>
      <c r="E610" s="174"/>
      <c r="F610" s="174"/>
      <c r="G610" s="171"/>
      <c r="H610" s="418" t="s">
        <v>35</v>
      </c>
      <c r="I610" s="54"/>
      <c r="J610" s="54"/>
      <c r="K610" s="164"/>
      <c r="L610" s="62"/>
      <c r="M610" s="55"/>
      <c r="N610" s="55"/>
      <c r="O610" s="55"/>
      <c r="P610" s="55"/>
      <c r="Q610" s="55"/>
      <c r="R610" s="55"/>
      <c r="S610" s="55"/>
      <c r="T610" s="55"/>
      <c r="U610" s="55"/>
    </row>
    <row r="611" spans="1:21" ht="18.75" hidden="1">
      <c r="A611" s="166"/>
      <c r="B611" s="167"/>
      <c r="C611" s="167"/>
      <c r="D611" s="167"/>
      <c r="E611" s="423" t="s">
        <v>219</v>
      </c>
      <c r="F611" s="174"/>
      <c r="G611" s="171"/>
      <c r="H611" s="421" t="s">
        <v>35</v>
      </c>
      <c r="I611" s="54"/>
      <c r="J611" s="54"/>
      <c r="K611" s="164"/>
      <c r="L611" s="62"/>
      <c r="M611" s="55"/>
      <c r="N611" s="55"/>
      <c r="O611" s="55"/>
      <c r="P611" s="55"/>
      <c r="Q611" s="55"/>
      <c r="R611" s="55"/>
      <c r="S611" s="55"/>
      <c r="T611" s="55"/>
      <c r="U611" s="55"/>
    </row>
    <row r="612" spans="1:21" ht="19.5" hidden="1" thickBot="1">
      <c r="A612" s="424"/>
      <c r="B612" s="425"/>
      <c r="C612" s="425"/>
      <c r="D612" s="425"/>
      <c r="E612" s="426" t="s">
        <v>220</v>
      </c>
      <c r="F612" s="427"/>
      <c r="G612" s="428"/>
      <c r="H612" s="429" t="s">
        <v>35</v>
      </c>
      <c r="I612" s="430"/>
      <c r="J612" s="430"/>
      <c r="K612" s="431"/>
      <c r="L612" s="433"/>
      <c r="M612" s="432"/>
      <c r="N612" s="432"/>
      <c r="O612" s="432"/>
      <c r="P612" s="432"/>
      <c r="Q612" s="432"/>
      <c r="R612" s="432"/>
      <c r="S612" s="432"/>
      <c r="T612" s="432"/>
      <c r="U612" s="432"/>
    </row>
    <row r="613" spans="1:21" ht="19.5" hidden="1">
      <c r="A613" s="434" t="s">
        <v>221</v>
      </c>
      <c r="B613" s="435"/>
      <c r="C613" s="435"/>
      <c r="D613" s="436"/>
      <c r="E613" s="436"/>
      <c r="F613" s="436"/>
      <c r="G613" s="437"/>
      <c r="H613" s="438"/>
      <c r="I613" s="439"/>
      <c r="J613" s="439"/>
      <c r="K613" s="440"/>
      <c r="L613" s="441"/>
      <c r="M613" s="440"/>
      <c r="N613" s="440"/>
      <c r="O613" s="440"/>
      <c r="P613" s="440"/>
      <c r="Q613" s="440"/>
      <c r="R613" s="440"/>
      <c r="S613" s="440"/>
      <c r="T613" s="440"/>
      <c r="U613" s="440"/>
    </row>
    <row r="614" spans="1:21" ht="19.5">
      <c r="A614" s="442"/>
      <c r="B614" s="443" t="s">
        <v>222</v>
      </c>
      <c r="C614" s="442"/>
      <c r="D614" s="444"/>
      <c r="E614" s="444"/>
      <c r="F614" s="444"/>
      <c r="G614" s="445"/>
      <c r="H614" s="446"/>
      <c r="I614" s="447"/>
      <c r="J614" s="447"/>
      <c r="K614" s="448"/>
      <c r="L614" s="449"/>
      <c r="M614" s="448"/>
      <c r="N614" s="448"/>
      <c r="O614" s="448"/>
      <c r="P614" s="448"/>
      <c r="Q614" s="448"/>
      <c r="R614" s="448"/>
      <c r="S614" s="448"/>
      <c r="T614" s="448"/>
      <c r="U614" s="448"/>
    </row>
    <row r="615" spans="1:21" ht="19.5">
      <c r="A615" s="450"/>
      <c r="B615" s="451" t="s">
        <v>223</v>
      </c>
      <c r="C615" s="450"/>
      <c r="D615" s="452"/>
      <c r="E615" s="452"/>
      <c r="F615" s="452"/>
      <c r="G615" s="453"/>
      <c r="H615" s="454" t="s">
        <v>46</v>
      </c>
      <c r="I615" s="573">
        <f ca="1">I626</f>
        <v>50</v>
      </c>
      <c r="J615" s="573">
        <f>J626</f>
        <v>0</v>
      </c>
      <c r="K615" s="572">
        <f ca="1">IF(I615&gt;0,J615*100/I615,0)</f>
        <v>0</v>
      </c>
      <c r="L615" s="458"/>
      <c r="M615" s="457"/>
      <c r="N615" s="457"/>
      <c r="O615" s="457"/>
      <c r="P615" s="457"/>
      <c r="Q615" s="457"/>
      <c r="R615" s="457"/>
      <c r="S615" s="457"/>
      <c r="T615" s="457"/>
      <c r="U615" s="457"/>
    </row>
    <row r="616" spans="1:21" ht="19.5">
      <c r="A616" s="155"/>
      <c r="B616" s="188"/>
      <c r="C616" s="205" t="s">
        <v>18</v>
      </c>
      <c r="D616" s="542" t="s">
        <v>19</v>
      </c>
      <c r="E616" s="529"/>
      <c r="F616" s="529"/>
      <c r="G616" s="530"/>
      <c r="H616" s="252" t="s">
        <v>14</v>
      </c>
      <c r="I616" s="54"/>
      <c r="J616" s="54"/>
      <c r="K616" s="55"/>
      <c r="L616" s="541">
        <f>L617+L618</f>
        <v>0</v>
      </c>
      <c r="M616" s="540">
        <f>M617+M618</f>
        <v>0</v>
      </c>
      <c r="N616" s="540">
        <f>N617+N618</f>
        <v>0</v>
      </c>
      <c r="O616" s="540">
        <f>IF(L616&gt;0,N616*100/L616,0)</f>
        <v>0</v>
      </c>
      <c r="P616" s="540">
        <f>IF(M616&gt;0,N616*100/M616,0)</f>
        <v>0</v>
      </c>
      <c r="Q616" s="540">
        <f ca="1">Q617+Q618</f>
        <v>6850</v>
      </c>
      <c r="R616" s="540">
        <f ca="1">R617+R618</f>
        <v>6850</v>
      </c>
      <c r="S616" s="540">
        <f ca="1">S617+S618</f>
        <v>0</v>
      </c>
      <c r="T616" s="540">
        <f ca="1">IF(Q616&gt;0,S616*100/Q616,0)</f>
        <v>0</v>
      </c>
      <c r="U616" s="540">
        <f ca="1">IF(R616&gt;0,S616*100/R616,0)</f>
        <v>0</v>
      </c>
    </row>
    <row r="617" spans="1:21" ht="18.75" hidden="1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103">
        <f>L620+L623</f>
        <v>0</v>
      </c>
      <c r="M617" s="102">
        <f>M620+M623</f>
        <v>0</v>
      </c>
      <c r="N617" s="102">
        <f>N620+N623</f>
        <v>0</v>
      </c>
      <c r="O617" s="102">
        <f>IF(L617&gt;0,N617*100/L617,0)</f>
        <v>0</v>
      </c>
      <c r="P617" s="102">
        <f>IF(M617&gt;0,N617*100/M617,0)</f>
        <v>0</v>
      </c>
      <c r="Q617" s="102">
        <f>Q620+Q623</f>
        <v>0</v>
      </c>
      <c r="R617" s="102">
        <f>R620+R623</f>
        <v>0</v>
      </c>
      <c r="S617" s="102">
        <f>S620+S623</f>
        <v>0</v>
      </c>
      <c r="T617" s="102">
        <f>IF(Q617&gt;0,S617*100/Q617,0)</f>
        <v>0</v>
      </c>
      <c r="U617" s="102">
        <f>IF(R617&gt;0,S617*100/R617,0)</f>
        <v>0</v>
      </c>
    </row>
    <row r="618" spans="1:21" ht="18.75" hidden="1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256">
        <f>L621+L624</f>
        <v>0</v>
      </c>
      <c r="M618" s="255">
        <f>M621+M624</f>
        <v>0</v>
      </c>
      <c r="N618" s="255">
        <f>N621+N624</f>
        <v>0</v>
      </c>
      <c r="O618" s="255">
        <f>IF(L618&gt;0,N618*100/L618,0)</f>
        <v>0</v>
      </c>
      <c r="P618" s="255">
        <f>IF(M618&gt;0,N618*100/M618,0)</f>
        <v>0</v>
      </c>
      <c r="Q618" s="255">
        <f ca="1">Q621+Q624</f>
        <v>6850</v>
      </c>
      <c r="R618" s="255">
        <f ca="1">R621+R624</f>
        <v>6850</v>
      </c>
      <c r="S618" s="255">
        <f ca="1">S621+S624</f>
        <v>0</v>
      </c>
      <c r="T618" s="255">
        <f ca="1">IF(Q618&gt;0,S618*100/Q618,0)</f>
        <v>0</v>
      </c>
      <c r="U618" s="255">
        <f ca="1">IF(R618&gt;0,S618*100/R618,0)</f>
        <v>0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256">
        <f>L620+L621</f>
        <v>0</v>
      </c>
      <c r="M619" s="255">
        <f>M620+M621</f>
        <v>0</v>
      </c>
      <c r="N619" s="255">
        <f>N620+N621</f>
        <v>0</v>
      </c>
      <c r="O619" s="255">
        <f>IF(L619&gt;0,N619*100/L619,0)</f>
        <v>0</v>
      </c>
      <c r="P619" s="255">
        <f>IF(M619&gt;0,N619*100/M619,0)</f>
        <v>0</v>
      </c>
      <c r="Q619" s="255">
        <f ca="1">Q620+Q621</f>
        <v>6850</v>
      </c>
      <c r="R619" s="255">
        <f ca="1">R620+R621</f>
        <v>6850</v>
      </c>
      <c r="S619" s="255">
        <f ca="1">S620+S621</f>
        <v>0</v>
      </c>
      <c r="T619" s="255">
        <f ca="1">IF(Q619&gt;0,S619*100/Q619,0)</f>
        <v>0</v>
      </c>
      <c r="U619" s="255">
        <f ca="1">IF(R619&gt;0,S619*100/R619,0)</f>
        <v>0</v>
      </c>
    </row>
    <row r="620" spans="1:21" ht="18.75" hidden="1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103">
        <v>0</v>
      </c>
      <c r="M620" s="102">
        <v>0</v>
      </c>
      <c r="N620" s="102">
        <v>0</v>
      </c>
      <c r="O620" s="102">
        <f>IF(L620&gt;0,N620*100/L620,0)</f>
        <v>0</v>
      </c>
      <c r="P620" s="102">
        <f>IF(M620&gt;0,N620*100/M620,0)</f>
        <v>0</v>
      </c>
      <c r="Q620" s="102">
        <v>0</v>
      </c>
      <c r="R620" s="102">
        <v>0</v>
      </c>
      <c r="S620" s="102">
        <v>0</v>
      </c>
      <c r="T620" s="102">
        <f>IF(Q620&gt;0,S620*100/Q620,0)</f>
        <v>0</v>
      </c>
      <c r="U620" s="102">
        <f>IF(R620&gt;0,S620*100/R620,0)</f>
        <v>0</v>
      </c>
    </row>
    <row r="621" spans="1:21" ht="18.75" hidden="1">
      <c r="A621" s="155"/>
      <c r="B621" s="188"/>
      <c r="C621" s="188"/>
      <c r="D621" s="174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256">
        <v>0</v>
      </c>
      <c r="M621" s="255">
        <v>0</v>
      </c>
      <c r="N621" s="255">
        <v>0</v>
      </c>
      <c r="O621" s="255">
        <f>IF(L621&gt;0,N621*100/L621,0)</f>
        <v>0</v>
      </c>
      <c r="P621" s="255">
        <f>IF(M621&gt;0,N621*100/M621,0)</f>
        <v>0</v>
      </c>
      <c r="Q621" s="255">
        <f ca="1">IFERROR(__xludf.DUMMYFUNCTION("IMPORTRANGE(""https://docs.google.com/spreadsheets/d/1ItG2mGa2ceCfYo0BwxsXqNm01IGEUdYcSSLTEv9YCik/edit?usp=sharing"",""เบิกจ่ายกองทุน!F43"")"),6850)</f>
        <v>6850</v>
      </c>
      <c r="R621" s="255">
        <f ca="1">IFERROR(__xludf.DUMMYFUNCTION("IMPORTRANGE(""https://docs.google.com/spreadsheets/d/1ItG2mGa2ceCfYo0BwxsXqNm01IGEUdYcSSLTEv9YCik/edit?usp=sharing"",""เบิกจ่ายกองทุน!G43"")"),6850)</f>
        <v>6850</v>
      </c>
      <c r="S621" s="255">
        <f ca="1">IFERROR(__xludf.DUMMYFUNCTION("IMPORTRANGE(""https://docs.google.com/spreadsheets/d/1ItG2mGa2ceCfYo0BwxsXqNm01IGEUdYcSSLTEv9YCik/edit?usp=sharing"",""เบิกจ่ายกองทุน!H43"")"),0)</f>
        <v>0</v>
      </c>
      <c r="T621" s="255">
        <f ca="1">IF(Q621&gt;0,S621*100/Q621,0)</f>
        <v>0</v>
      </c>
      <c r="U621" s="255">
        <f ca="1">IF(R621&gt;0,S621*100/R621,0)</f>
        <v>0</v>
      </c>
    </row>
    <row r="622" spans="1:21" ht="18.75">
      <c r="A622" s="155"/>
      <c r="B622" s="188"/>
      <c r="C622" s="188"/>
      <c r="D622" s="51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256">
        <f>L623+L624</f>
        <v>0</v>
      </c>
      <c r="M622" s="255">
        <f>M623+M624</f>
        <v>0</v>
      </c>
      <c r="N622" s="255">
        <f>N623+N624</f>
        <v>0</v>
      </c>
      <c r="O622" s="255">
        <f>IF(L622&gt;0,N622*100/L622,0)</f>
        <v>0</v>
      </c>
      <c r="P622" s="255">
        <f>IF(M622&gt;0,N622*100/M622,0)</f>
        <v>0</v>
      </c>
      <c r="Q622" s="255">
        <f>Q623+Q624</f>
        <v>0</v>
      </c>
      <c r="R622" s="255">
        <f>R623+R624</f>
        <v>0</v>
      </c>
      <c r="S622" s="255">
        <f>S623+S624</f>
        <v>0</v>
      </c>
      <c r="T622" s="255">
        <f>IF(Q622&gt;0,S622*100/Q622,0)</f>
        <v>0</v>
      </c>
      <c r="U622" s="255">
        <f>IF(R622&gt;0,S622*100/R622,0)</f>
        <v>0</v>
      </c>
    </row>
    <row r="623" spans="1:21" ht="18.75" hidden="1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103">
        <v>0</v>
      </c>
      <c r="M623" s="102">
        <v>0</v>
      </c>
      <c r="N623" s="102">
        <v>0</v>
      </c>
      <c r="O623" s="102">
        <f>IF(L623&gt;0,N623*100/L623,0)</f>
        <v>0</v>
      </c>
      <c r="P623" s="102">
        <f>IF(M623&gt;0,N623*100/M623,0)</f>
        <v>0</v>
      </c>
      <c r="Q623" s="102">
        <v>0</v>
      </c>
      <c r="R623" s="102">
        <v>0</v>
      </c>
      <c r="S623" s="102">
        <v>0</v>
      </c>
      <c r="T623" s="102">
        <f>IF(Q623&gt;0,S623*100/Q623,0)</f>
        <v>0</v>
      </c>
      <c r="U623" s="102">
        <f>IF(R623&gt;0,S623*100/R623,0)</f>
        <v>0</v>
      </c>
    </row>
    <row r="624" spans="1:21" ht="18.75" hidden="1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256">
        <v>0</v>
      </c>
      <c r="M624" s="255">
        <v>0</v>
      </c>
      <c r="N624" s="255">
        <v>0</v>
      </c>
      <c r="O624" s="255">
        <f>IF(L624&gt;0,N624*100/L624,0)</f>
        <v>0</v>
      </c>
      <c r="P624" s="255">
        <f>IF(M624&gt;0,N624*100/M624,0)</f>
        <v>0</v>
      </c>
      <c r="Q624" s="255">
        <v>0</v>
      </c>
      <c r="R624" s="255">
        <v>0</v>
      </c>
      <c r="S624" s="255">
        <v>0</v>
      </c>
      <c r="T624" s="255">
        <f>IF(Q624&gt;0,S624*100/Q624,0)</f>
        <v>0</v>
      </c>
      <c r="U624" s="255">
        <f>IF(R624&gt;0,S624*100/R624,0)</f>
        <v>0</v>
      </c>
    </row>
    <row r="625" spans="1:21" ht="19.5">
      <c r="A625" s="166"/>
      <c r="B625" s="167"/>
      <c r="C625" s="205" t="s">
        <v>18</v>
      </c>
      <c r="D625" s="539" t="s">
        <v>38</v>
      </c>
      <c r="E625" s="169"/>
      <c r="F625" s="169"/>
      <c r="G625" s="170"/>
      <c r="H625" s="206"/>
      <c r="I625" s="163"/>
      <c r="J625" s="163"/>
      <c r="K625" s="164"/>
      <c r="L625" s="172"/>
      <c r="M625" s="164"/>
      <c r="N625" s="164"/>
      <c r="O625" s="164"/>
      <c r="P625" s="164"/>
      <c r="Q625" s="164"/>
      <c r="R625" s="164"/>
      <c r="S625" s="164"/>
      <c r="T625" s="164"/>
      <c r="U625" s="164"/>
    </row>
    <row r="626" spans="1:21" ht="19.5">
      <c r="A626" s="166"/>
      <c r="B626" s="167"/>
      <c r="C626" s="167"/>
      <c r="D626" s="460" t="s">
        <v>224</v>
      </c>
      <c r="E626" s="174"/>
      <c r="F626" s="174"/>
      <c r="G626" s="171"/>
      <c r="H626" s="461" t="s">
        <v>46</v>
      </c>
      <c r="I626" s="373">
        <f ca="1">IFERROR(__xludf.DUMMYFUNCTION("IMPORTRANGE(""https://docs.google.com/spreadsheets/d/1eHaY18a8A9IcSdp1K8H6x8fbOy06t2VsZHhMHf-1x7Y/edit?usp=sharing"",""แผน!ID43"")"),50)</f>
        <v>50</v>
      </c>
      <c r="J626" s="373">
        <f>J632</f>
        <v>0</v>
      </c>
      <c r="K626" s="540">
        <f ca="1">IF(I626&gt;0,J626*100/I626,0)</f>
        <v>0</v>
      </c>
      <c r="L626" s="172"/>
      <c r="M626" s="164"/>
      <c r="N626" s="164"/>
      <c r="O626" s="164"/>
      <c r="P626" s="164"/>
      <c r="Q626" s="164"/>
      <c r="R626" s="164"/>
      <c r="S626" s="164"/>
      <c r="T626" s="164"/>
      <c r="U626" s="164"/>
    </row>
    <row r="627" spans="1:21" ht="18.75">
      <c r="A627" s="166"/>
      <c r="B627" s="167"/>
      <c r="C627" s="167"/>
      <c r="D627" s="167"/>
      <c r="E627" s="178" t="s">
        <v>225</v>
      </c>
      <c r="F627" s="174"/>
      <c r="G627" s="171"/>
      <c r="H627" s="165" t="s">
        <v>61</v>
      </c>
      <c r="I627" s="212">
        <f ca="1">IFERROR(__xludf.DUMMYFUNCTION("IMPORTRANGE(""https://docs.google.com/spreadsheets/d/1eHaY18a8A9IcSdp1K8H6x8fbOy06t2VsZHhMHf-1x7Y/edit?usp=sharing"",""แผน!IC43"")"),0)</f>
        <v>0</v>
      </c>
      <c r="J627" s="467">
        <v>0</v>
      </c>
      <c r="K627" s="255">
        <f ca="1">IF(I627&gt;0,(J627*100)/I627,0)</f>
        <v>0</v>
      </c>
      <c r="L627" s="172"/>
      <c r="M627" s="164"/>
      <c r="N627" s="164"/>
      <c r="O627" s="164"/>
      <c r="P627" s="164"/>
      <c r="Q627" s="164"/>
      <c r="R627" s="164"/>
      <c r="S627" s="164"/>
      <c r="T627" s="164"/>
      <c r="U627" s="164"/>
    </row>
    <row r="628" spans="1:21" ht="18.75">
      <c r="A628" s="166"/>
      <c r="B628" s="167"/>
      <c r="C628" s="167"/>
      <c r="D628" s="167"/>
      <c r="E628" s="178" t="s">
        <v>226</v>
      </c>
      <c r="F628" s="174"/>
      <c r="G628" s="171"/>
      <c r="H628" s="165" t="s">
        <v>61</v>
      </c>
      <c r="I628" s="212">
        <f ca="1">IFERROR(__xludf.DUMMYFUNCTION("IMPORTRANGE(""https://docs.google.com/spreadsheets/d/1eHaY18a8A9IcSdp1K8H6x8fbOy06t2VsZHhMHf-1x7Y/edit?usp=sharing"",""แผน!IC43"")"),0)</f>
        <v>0</v>
      </c>
      <c r="J628" s="467">
        <v>0</v>
      </c>
      <c r="K628" s="255">
        <f ca="1">IF(I628&gt;0,(J628*100)/I628,0)</f>
        <v>0</v>
      </c>
      <c r="L628" s="172"/>
      <c r="M628" s="164"/>
      <c r="N628" s="164"/>
      <c r="O628" s="164"/>
      <c r="P628" s="164"/>
      <c r="Q628" s="164"/>
      <c r="R628" s="164"/>
      <c r="S628" s="164"/>
      <c r="T628" s="164"/>
      <c r="U628" s="164"/>
    </row>
    <row r="629" spans="1:21" ht="18.75">
      <c r="A629" s="166"/>
      <c r="B629" s="167"/>
      <c r="C629" s="167"/>
      <c r="D629" s="167"/>
      <c r="E629" s="178" t="s">
        <v>227</v>
      </c>
      <c r="F629" s="174"/>
      <c r="G629" s="171"/>
      <c r="H629" s="165" t="s">
        <v>46</v>
      </c>
      <c r="I629" s="54"/>
      <c r="J629" s="467">
        <v>0</v>
      </c>
      <c r="K629" s="255">
        <f ca="1">IF(I$626&gt;0,J629*100/I$626,0)</f>
        <v>0</v>
      </c>
      <c r="L629" s="172"/>
      <c r="M629" s="164"/>
      <c r="N629" s="164"/>
      <c r="O629" s="164"/>
      <c r="P629" s="164"/>
      <c r="Q629" s="164"/>
      <c r="R629" s="164"/>
      <c r="S629" s="164"/>
      <c r="T629" s="164"/>
      <c r="U629" s="164"/>
    </row>
    <row r="630" spans="1:21" ht="18.75">
      <c r="A630" s="166"/>
      <c r="B630" s="167"/>
      <c r="C630" s="167"/>
      <c r="D630" s="167"/>
      <c r="E630" s="178" t="s">
        <v>228</v>
      </c>
      <c r="F630" s="174"/>
      <c r="G630" s="171"/>
      <c r="H630" s="165" t="s">
        <v>46</v>
      </c>
      <c r="I630" s="54"/>
      <c r="J630" s="467">
        <v>0</v>
      </c>
      <c r="K630" s="255">
        <f ca="1">IF(I$626&gt;0,J630*100/I$626,0)</f>
        <v>0</v>
      </c>
      <c r="L630" s="172"/>
      <c r="M630" s="164"/>
      <c r="N630" s="164"/>
      <c r="O630" s="164"/>
      <c r="P630" s="164"/>
      <c r="Q630" s="164"/>
      <c r="R630" s="164"/>
      <c r="S630" s="164"/>
      <c r="T630" s="164"/>
      <c r="U630" s="164"/>
    </row>
    <row r="631" spans="1:21" ht="18.75">
      <c r="A631" s="166"/>
      <c r="B631" s="167"/>
      <c r="C631" s="167"/>
      <c r="D631" s="167"/>
      <c r="E631" s="178" t="s">
        <v>229</v>
      </c>
      <c r="F631" s="174"/>
      <c r="G631" s="171"/>
      <c r="H631" s="165" t="s">
        <v>46</v>
      </c>
      <c r="I631" s="54"/>
      <c r="J631" s="467">
        <v>0</v>
      </c>
      <c r="K631" s="255">
        <f ca="1">IF(I$626&gt;0,J631*100/I$626,0)</f>
        <v>0</v>
      </c>
      <c r="L631" s="172"/>
      <c r="M631" s="164"/>
      <c r="N631" s="164"/>
      <c r="O631" s="164"/>
      <c r="P631" s="164"/>
      <c r="Q631" s="164"/>
      <c r="R631" s="164"/>
      <c r="S631" s="164"/>
      <c r="T631" s="164"/>
      <c r="U631" s="164"/>
    </row>
    <row r="632" spans="1:21" ht="19.5">
      <c r="A632" s="166"/>
      <c r="B632" s="167"/>
      <c r="C632" s="167"/>
      <c r="D632" s="167"/>
      <c r="E632" s="178" t="s">
        <v>230</v>
      </c>
      <c r="F632" s="174"/>
      <c r="G632" s="171"/>
      <c r="H632" s="165" t="s">
        <v>46</v>
      </c>
      <c r="I632" s="54"/>
      <c r="J632" s="373">
        <f>J633+J634</f>
        <v>0</v>
      </c>
      <c r="K632" s="540">
        <f ca="1">IF(I626&gt;0,J632*100/I626,0)</f>
        <v>0</v>
      </c>
      <c r="L632" s="172"/>
      <c r="M632" s="164"/>
      <c r="N632" s="164"/>
      <c r="O632" s="164"/>
      <c r="P632" s="164"/>
      <c r="Q632" s="164"/>
      <c r="R632" s="164"/>
      <c r="S632" s="164"/>
      <c r="T632" s="164"/>
      <c r="U632" s="164"/>
    </row>
    <row r="633" spans="1:21" ht="18.75">
      <c r="A633" s="166"/>
      <c r="B633" s="167"/>
      <c r="C633" s="167"/>
      <c r="D633" s="167"/>
      <c r="E633" s="174"/>
      <c r="F633" s="178" t="s">
        <v>231</v>
      </c>
      <c r="G633" s="171"/>
      <c r="H633" s="165" t="s">
        <v>46</v>
      </c>
      <c r="I633" s="54"/>
      <c r="J633" s="467">
        <v>0</v>
      </c>
      <c r="K633" s="55"/>
      <c r="L633" s="172"/>
      <c r="M633" s="164"/>
      <c r="N633" s="164"/>
      <c r="O633" s="164"/>
      <c r="P633" s="164"/>
      <c r="Q633" s="164"/>
      <c r="R633" s="164"/>
      <c r="S633" s="164"/>
      <c r="T633" s="164"/>
      <c r="U633" s="164"/>
    </row>
    <row r="634" spans="1:21" ht="18.75">
      <c r="A634" s="166"/>
      <c r="B634" s="167"/>
      <c r="C634" s="167"/>
      <c r="D634" s="167"/>
      <c r="E634" s="174"/>
      <c r="F634" s="178" t="s">
        <v>232</v>
      </c>
      <c r="G634" s="171"/>
      <c r="H634" s="165" t="s">
        <v>46</v>
      </c>
      <c r="I634" s="54"/>
      <c r="J634" s="467">
        <v>0</v>
      </c>
      <c r="K634" s="55"/>
      <c r="L634" s="172"/>
      <c r="M634" s="164"/>
      <c r="N634" s="164"/>
      <c r="O634" s="164"/>
      <c r="P634" s="164"/>
      <c r="Q634" s="164"/>
      <c r="R634" s="164"/>
      <c r="S634" s="164"/>
      <c r="T634" s="164"/>
      <c r="U634" s="164"/>
    </row>
    <row r="635" spans="1:21" ht="19.5">
      <c r="A635" s="166"/>
      <c r="B635" s="167"/>
      <c r="C635" s="167"/>
      <c r="D635" s="460" t="s">
        <v>233</v>
      </c>
      <c r="E635" s="174"/>
      <c r="F635" s="174"/>
      <c r="G635" s="171"/>
      <c r="H635" s="165" t="s">
        <v>46</v>
      </c>
      <c r="I635" s="373">
        <f ca="1">IFERROR(__xludf.DUMMYFUNCTION("IMPORTRANGE(""https://docs.google.com/spreadsheets/d/1eHaY18a8A9IcSdp1K8H6x8fbOy06t2VsZHhMHf-1x7Y/edit?usp=sharing"",""แผน!IE43"")"),0)</f>
        <v>0</v>
      </c>
      <c r="J635" s="373">
        <f>J636</f>
        <v>0</v>
      </c>
      <c r="K635" s="540">
        <f ca="1">IF(I635&gt;0,J635*100/I635,0)</f>
        <v>0</v>
      </c>
      <c r="L635" s="172"/>
      <c r="M635" s="164"/>
      <c r="N635" s="164"/>
      <c r="O635" s="164"/>
      <c r="P635" s="164"/>
      <c r="Q635" s="164"/>
      <c r="R635" s="164"/>
      <c r="S635" s="164"/>
      <c r="T635" s="164"/>
      <c r="U635" s="164"/>
    </row>
    <row r="636" spans="1:21" ht="18.75">
      <c r="A636" s="166"/>
      <c r="B636" s="167"/>
      <c r="C636" s="167"/>
      <c r="D636" s="167"/>
      <c r="E636" s="178" t="s">
        <v>234</v>
      </c>
      <c r="F636" s="174"/>
      <c r="G636" s="171"/>
      <c r="H636" s="165" t="s">
        <v>46</v>
      </c>
      <c r="I636" s="54"/>
      <c r="J636" s="212">
        <f>J637+J638</f>
        <v>0</v>
      </c>
      <c r="K636" s="55"/>
      <c r="L636" s="172"/>
      <c r="M636" s="164"/>
      <c r="N636" s="164"/>
      <c r="O636" s="164"/>
      <c r="P636" s="164"/>
      <c r="Q636" s="164"/>
      <c r="R636" s="164"/>
      <c r="S636" s="164"/>
      <c r="T636" s="164"/>
      <c r="U636" s="164"/>
    </row>
    <row r="637" spans="1:21" ht="18.75">
      <c r="A637" s="166"/>
      <c r="B637" s="167"/>
      <c r="C637" s="167"/>
      <c r="D637" s="167"/>
      <c r="E637" s="174"/>
      <c r="F637" s="178" t="s">
        <v>231</v>
      </c>
      <c r="G637" s="171"/>
      <c r="H637" s="165" t="s">
        <v>46</v>
      </c>
      <c r="I637" s="54"/>
      <c r="J637" s="467">
        <v>0</v>
      </c>
      <c r="K637" s="55"/>
      <c r="L637" s="172"/>
      <c r="M637" s="164"/>
      <c r="N637" s="164"/>
      <c r="O637" s="164"/>
      <c r="P637" s="164"/>
      <c r="Q637" s="164"/>
      <c r="R637" s="164"/>
      <c r="S637" s="164"/>
      <c r="T637" s="164"/>
      <c r="U637" s="164"/>
    </row>
    <row r="638" spans="1:21" ht="18.75">
      <c r="A638" s="166"/>
      <c r="B638" s="167"/>
      <c r="C638" s="167"/>
      <c r="D638" s="167"/>
      <c r="E638" s="174"/>
      <c r="F638" s="178" t="s">
        <v>232</v>
      </c>
      <c r="G638" s="171"/>
      <c r="H638" s="165" t="s">
        <v>46</v>
      </c>
      <c r="I638" s="54"/>
      <c r="J638" s="467">
        <v>0</v>
      </c>
      <c r="K638" s="55"/>
      <c r="L638" s="172"/>
      <c r="M638" s="164"/>
      <c r="N638" s="164"/>
      <c r="O638" s="164"/>
      <c r="P638" s="164"/>
      <c r="Q638" s="164"/>
      <c r="R638" s="164"/>
      <c r="S638" s="164"/>
      <c r="T638" s="164"/>
      <c r="U638" s="164"/>
    </row>
    <row r="639" spans="1:21" ht="18.75">
      <c r="A639" s="166"/>
      <c r="B639" s="167"/>
      <c r="C639" s="167"/>
      <c r="D639" s="167"/>
      <c r="E639" s="178" t="s">
        <v>235</v>
      </c>
      <c r="F639" s="174"/>
      <c r="G639" s="171"/>
      <c r="H639" s="165" t="s">
        <v>46</v>
      </c>
      <c r="I639" s="54"/>
      <c r="J639" s="467">
        <v>0</v>
      </c>
      <c r="K639" s="55"/>
      <c r="L639" s="172"/>
      <c r="M639" s="164"/>
      <c r="N639" s="164"/>
      <c r="O639" s="164"/>
      <c r="P639" s="164"/>
      <c r="Q639" s="164"/>
      <c r="R639" s="164"/>
      <c r="S639" s="164"/>
      <c r="T639" s="164"/>
      <c r="U639" s="164"/>
    </row>
    <row r="640" spans="1:21" ht="18.75">
      <c r="A640" s="166"/>
      <c r="B640" s="167"/>
      <c r="C640" s="167"/>
      <c r="D640" s="167"/>
      <c r="E640" s="174"/>
      <c r="F640" s="178" t="s">
        <v>236</v>
      </c>
      <c r="G640" s="171"/>
      <c r="H640" s="165" t="s">
        <v>46</v>
      </c>
      <c r="I640" s="54"/>
      <c r="J640" s="467">
        <v>0</v>
      </c>
      <c r="K640" s="55"/>
      <c r="L640" s="172"/>
      <c r="M640" s="164"/>
      <c r="N640" s="164"/>
      <c r="O640" s="164"/>
      <c r="P640" s="164"/>
      <c r="Q640" s="164"/>
      <c r="R640" s="164"/>
      <c r="S640" s="164"/>
      <c r="T640" s="164"/>
      <c r="U640" s="164"/>
    </row>
    <row r="641" spans="1:21" ht="19.5">
      <c r="A641" s="450"/>
      <c r="B641" s="451" t="s">
        <v>237</v>
      </c>
      <c r="C641" s="450"/>
      <c r="D641" s="452"/>
      <c r="E641" s="452"/>
      <c r="F641" s="452"/>
      <c r="G641" s="453"/>
      <c r="H641" s="462"/>
      <c r="I641" s="463"/>
      <c r="J641" s="463"/>
      <c r="K641" s="457"/>
      <c r="L641" s="458"/>
      <c r="M641" s="457"/>
      <c r="N641" s="457"/>
      <c r="O641" s="457"/>
      <c r="P641" s="457"/>
      <c r="Q641" s="457"/>
      <c r="R641" s="457"/>
      <c r="S641" s="457"/>
      <c r="T641" s="457"/>
      <c r="U641" s="457"/>
    </row>
    <row r="642" spans="1:21" ht="19.5">
      <c r="A642" s="155"/>
      <c r="B642" s="188"/>
      <c r="C642" s="239" t="s">
        <v>18</v>
      </c>
      <c r="D642" s="542" t="s">
        <v>19</v>
      </c>
      <c r="E642" s="529"/>
      <c r="F642" s="529"/>
      <c r="G642" s="530"/>
      <c r="H642" s="252" t="s">
        <v>14</v>
      </c>
      <c r="I642" s="54"/>
      <c r="J642" s="54"/>
      <c r="K642" s="55"/>
      <c r="L642" s="541">
        <f>L643+L644</f>
        <v>0</v>
      </c>
      <c r="M642" s="540">
        <f>M643+M644</f>
        <v>0</v>
      </c>
      <c r="N642" s="540">
        <f>N643+N644</f>
        <v>0</v>
      </c>
      <c r="O642" s="540">
        <f>IF(L642&gt;0,N642*100/L642,0)</f>
        <v>0</v>
      </c>
      <c r="P642" s="540">
        <f>IF(M642&gt;0,N642*100/M642,0)</f>
        <v>0</v>
      </c>
      <c r="Q642" s="540">
        <f ca="1">Q643+Q644</f>
        <v>2520</v>
      </c>
      <c r="R642" s="540">
        <f ca="1">R643+R644</f>
        <v>2520</v>
      </c>
      <c r="S642" s="540">
        <f ca="1">S643+S644</f>
        <v>0</v>
      </c>
      <c r="T642" s="540">
        <f ca="1">IF(Q642&gt;0,S642*100/Q642,0)</f>
        <v>0</v>
      </c>
      <c r="U642" s="540">
        <f ca="1">IF(R642&gt;0,S642*100/R642,0)</f>
        <v>0</v>
      </c>
    </row>
    <row r="643" spans="1:21" ht="18.75" hidden="1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103">
        <f>L646+L649</f>
        <v>0</v>
      </c>
      <c r="M643" s="102">
        <f>M646+M649</f>
        <v>0</v>
      </c>
      <c r="N643" s="102">
        <f>N646+N649</f>
        <v>0</v>
      </c>
      <c r="O643" s="102">
        <f>IF(L643&gt;0,N643*100/L643,0)</f>
        <v>0</v>
      </c>
      <c r="P643" s="102">
        <f>IF(M643&gt;0,N643*100/M643,0)</f>
        <v>0</v>
      </c>
      <c r="Q643" s="102">
        <f>Q646+Q649</f>
        <v>0</v>
      </c>
      <c r="R643" s="102">
        <f>R646+R649</f>
        <v>0</v>
      </c>
      <c r="S643" s="102">
        <f>S646+S649</f>
        <v>0</v>
      </c>
      <c r="T643" s="102">
        <f>IF(Q643&gt;0,S643*100/Q643,0)</f>
        <v>0</v>
      </c>
      <c r="U643" s="102">
        <f>IF(R643&gt;0,S643*100/R643,0)</f>
        <v>0</v>
      </c>
    </row>
    <row r="644" spans="1:21" ht="18.75" hidden="1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256">
        <f>L647+L650</f>
        <v>0</v>
      </c>
      <c r="M644" s="255">
        <f>M647+M650</f>
        <v>0</v>
      </c>
      <c r="N644" s="255">
        <f>N647+N650</f>
        <v>0</v>
      </c>
      <c r="O644" s="255">
        <f>IF(L644&gt;0,N644*100/L644,0)</f>
        <v>0</v>
      </c>
      <c r="P644" s="255">
        <f>IF(M644&gt;0,N644*100/M644,0)</f>
        <v>0</v>
      </c>
      <c r="Q644" s="255">
        <f ca="1">Q647+Q650</f>
        <v>2520</v>
      </c>
      <c r="R644" s="255">
        <f ca="1">R647+R650</f>
        <v>2520</v>
      </c>
      <c r="S644" s="255">
        <f ca="1">S647+S650</f>
        <v>0</v>
      </c>
      <c r="T644" s="255">
        <f ca="1">IF(Q644&gt;0,S644*100/Q644,0)</f>
        <v>0</v>
      </c>
      <c r="U644" s="255">
        <f ca="1">IF(R644&gt;0,S644*100/R644,0)</f>
        <v>0</v>
      </c>
    </row>
    <row r="645" spans="1:21" ht="18.75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256">
        <f>L646+L647</f>
        <v>0</v>
      </c>
      <c r="M645" s="255">
        <f>M646+M647</f>
        <v>0</v>
      </c>
      <c r="N645" s="255">
        <f>N646+N647</f>
        <v>0</v>
      </c>
      <c r="O645" s="255">
        <f>IF(L645&gt;0,N645*100/L645,0)</f>
        <v>0</v>
      </c>
      <c r="P645" s="255">
        <f>IF(M645&gt;0,N645*100/M645,0)</f>
        <v>0</v>
      </c>
      <c r="Q645" s="255">
        <f ca="1">Q646+Q647</f>
        <v>2520</v>
      </c>
      <c r="R645" s="255">
        <f ca="1">R646+R647</f>
        <v>2520</v>
      </c>
      <c r="S645" s="255">
        <f ca="1">S646+S647</f>
        <v>0</v>
      </c>
      <c r="T645" s="255">
        <f ca="1">IF(Q645&gt;0,S645*100/Q645,0)</f>
        <v>0</v>
      </c>
      <c r="U645" s="255">
        <f ca="1">IF(R645&gt;0,S645*100/R645,0)</f>
        <v>0</v>
      </c>
    </row>
    <row r="646" spans="1:21" ht="18.75" hidden="1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103">
        <v>0</v>
      </c>
      <c r="M646" s="102">
        <v>0</v>
      </c>
      <c r="N646" s="102">
        <v>0</v>
      </c>
      <c r="O646" s="102">
        <f>IF(L646&gt;0,N646*100/L646,0)</f>
        <v>0</v>
      </c>
      <c r="P646" s="102">
        <f>IF(M646&gt;0,N646*100/M646,0)</f>
        <v>0</v>
      </c>
      <c r="Q646" s="102">
        <v>0</v>
      </c>
      <c r="R646" s="102">
        <v>0</v>
      </c>
      <c r="S646" s="102">
        <v>0</v>
      </c>
      <c r="T646" s="102">
        <f>IF(Q646&gt;0,S646*100/Q646,0)</f>
        <v>0</v>
      </c>
      <c r="U646" s="102">
        <f>IF(R646&gt;0,S646*100/R646,0)</f>
        <v>0</v>
      </c>
    </row>
    <row r="647" spans="1:21" ht="18.75" hidden="1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256">
        <v>0</v>
      </c>
      <c r="M647" s="255">
        <v>0</v>
      </c>
      <c r="N647" s="255">
        <v>0</v>
      </c>
      <c r="O647" s="255">
        <f>IF(L647&gt;0,N647*100/L647,0)</f>
        <v>0</v>
      </c>
      <c r="P647" s="255">
        <f>IF(M647&gt;0,N647*100/M647,0)</f>
        <v>0</v>
      </c>
      <c r="Q647" s="255">
        <f ca="1">IFERROR(__xludf.DUMMYFUNCTION("IMPORTRANGE(""https://docs.google.com/spreadsheets/d/1ItG2mGa2ceCfYo0BwxsXqNm01IGEUdYcSSLTEv9YCik/edit?usp=sharing"",""เบิกจ่ายกองทุน!I43"")"),2520)</f>
        <v>2520</v>
      </c>
      <c r="R647" s="255">
        <f ca="1">IFERROR(__xludf.DUMMYFUNCTION("IMPORTRANGE(""https://docs.google.com/spreadsheets/d/1ItG2mGa2ceCfYo0BwxsXqNm01IGEUdYcSSLTEv9YCik/edit?usp=sharing"",""เบิกจ่ายกองทุน!J43"")"),2520)</f>
        <v>2520</v>
      </c>
      <c r="S647" s="255">
        <f ca="1">IFERROR(__xludf.DUMMYFUNCTION("IMPORTRANGE(""https://docs.google.com/spreadsheets/d/1ItG2mGa2ceCfYo0BwxsXqNm01IGEUdYcSSLTEv9YCik/edit?usp=sharing"",""เบิกจ่ายกองทุน!K43"")"),0)</f>
        <v>0</v>
      </c>
      <c r="T647" s="255">
        <f ca="1">IF(Q647&gt;0,S647*100/Q647,0)</f>
        <v>0</v>
      </c>
      <c r="U647" s="255">
        <f ca="1">IF(R647&gt;0,S647*100/R647,0)</f>
        <v>0</v>
      </c>
    </row>
    <row r="648" spans="1:21" ht="18.75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256">
        <f>L649+L650</f>
        <v>0</v>
      </c>
      <c r="M648" s="255">
        <f>M649+M650</f>
        <v>0</v>
      </c>
      <c r="N648" s="255">
        <f>N649+N650</f>
        <v>0</v>
      </c>
      <c r="O648" s="255">
        <f>IF(L648&gt;0,N648*100/L648,0)</f>
        <v>0</v>
      </c>
      <c r="P648" s="255">
        <f>IF(M648&gt;0,N648*100/M648,0)</f>
        <v>0</v>
      </c>
      <c r="Q648" s="255">
        <f>Q649+Q650</f>
        <v>0</v>
      </c>
      <c r="R648" s="255">
        <f>R649+R650</f>
        <v>0</v>
      </c>
      <c r="S648" s="255">
        <f>S649+S650</f>
        <v>0</v>
      </c>
      <c r="T648" s="255">
        <f>IF(Q648&gt;0,S648*100/Q648,0)</f>
        <v>0</v>
      </c>
      <c r="U648" s="255">
        <f>IF(R648&gt;0,S648*100/R648,0)</f>
        <v>0</v>
      </c>
    </row>
    <row r="649" spans="1:21" ht="18.75" hidden="1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103">
        <v>0</v>
      </c>
      <c r="M649" s="102">
        <v>0</v>
      </c>
      <c r="N649" s="102">
        <v>0</v>
      </c>
      <c r="O649" s="102">
        <f>IF(L649&gt;0,N649*100/L649,0)</f>
        <v>0</v>
      </c>
      <c r="P649" s="102">
        <f>IF(M649&gt;0,N649*100/M649,0)</f>
        <v>0</v>
      </c>
      <c r="Q649" s="102">
        <v>0</v>
      </c>
      <c r="R649" s="102">
        <v>0</v>
      </c>
      <c r="S649" s="102">
        <v>0</v>
      </c>
      <c r="T649" s="102">
        <f>IF(Q649&gt;0,S649*100/Q649,0)</f>
        <v>0</v>
      </c>
      <c r="U649" s="102">
        <f>IF(R649&gt;0,S649*100/R649,0)</f>
        <v>0</v>
      </c>
    </row>
    <row r="650" spans="1:21" ht="18.75" hidden="1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256">
        <v>0</v>
      </c>
      <c r="M650" s="255">
        <v>0</v>
      </c>
      <c r="N650" s="255">
        <v>0</v>
      </c>
      <c r="O650" s="255">
        <f>IF(L650&gt;0,N650*100/L650,0)</f>
        <v>0</v>
      </c>
      <c r="P650" s="255">
        <f>IF(M650&gt;0,N650*100/M650,0)</f>
        <v>0</v>
      </c>
      <c r="Q650" s="255">
        <v>0</v>
      </c>
      <c r="R650" s="255">
        <v>0</v>
      </c>
      <c r="S650" s="255">
        <v>0</v>
      </c>
      <c r="T650" s="255">
        <f>IF(Q650&gt;0,S650*100/Q650,0)</f>
        <v>0</v>
      </c>
      <c r="U650" s="255">
        <f>IF(R650&gt;0,S650*100/R650,0)</f>
        <v>0</v>
      </c>
    </row>
    <row r="651" spans="1:21" ht="19.5">
      <c r="A651" s="166"/>
      <c r="B651" s="167"/>
      <c r="C651" s="239" t="s">
        <v>18</v>
      </c>
      <c r="D651" s="571" t="s">
        <v>38</v>
      </c>
      <c r="E651" s="169"/>
      <c r="F651" s="169"/>
      <c r="G651" s="170"/>
      <c r="H651" s="206"/>
      <c r="I651" s="163"/>
      <c r="J651" s="163"/>
      <c r="K651" s="164"/>
      <c r="L651" s="172"/>
      <c r="M651" s="164"/>
      <c r="N651" s="164"/>
      <c r="O651" s="164"/>
      <c r="P651" s="164"/>
      <c r="Q651" s="55"/>
      <c r="R651" s="55"/>
      <c r="S651" s="55"/>
      <c r="T651" s="164"/>
      <c r="U651" s="164"/>
    </row>
    <row r="652" spans="1:21" ht="18.75" hidden="1">
      <c r="A652" s="238"/>
      <c r="B652" s="188"/>
      <c r="C652" s="188"/>
      <c r="D652" s="58" t="s">
        <v>238</v>
      </c>
      <c r="E652" s="50"/>
      <c r="F652" s="50"/>
      <c r="G652" s="52"/>
      <c r="H652" s="165" t="s">
        <v>46</v>
      </c>
      <c r="I652" s="570">
        <f ca="1">IFERROR(__xludf.DUMMYFUNCTION("IMPORTRANGE(""https://docs.google.com/spreadsheets/d/1eHaY18a8A9IcSdp1K8H6x8fbOy06t2VsZHhMHf-1x7Y/edit?usp=sharing"",""แผน!IF43"")"),0)</f>
        <v>0</v>
      </c>
      <c r="J652" s="212">
        <f ca="1">IFERROR(__xludf.DUMMYFUNCTION("IMPORTRANGE(""https://docs.google.com/spreadsheets/d/1tdoBKaGub7dwA3U6UFTqxio9LNnvDCQjHKmttSEBsFQ/edit?usp=sharing"",""จัดที่ดิน!AU43"")"),0)</f>
        <v>0</v>
      </c>
      <c r="K652" s="255">
        <f ca="1">IF(I652&gt;0,J652*100/I652,0)</f>
        <v>0</v>
      </c>
      <c r="L652" s="62"/>
      <c r="M652" s="55"/>
      <c r="N652" s="468"/>
      <c r="O652" s="55"/>
      <c r="P652" s="55"/>
      <c r="Q652" s="55"/>
      <c r="R652" s="55"/>
      <c r="S652" s="468"/>
      <c r="T652" s="55"/>
      <c r="U652" s="55"/>
    </row>
    <row r="653" spans="1:21" ht="18.75">
      <c r="A653" s="238"/>
      <c r="B653" s="188"/>
      <c r="C653" s="188"/>
      <c r="D653" s="58" t="s">
        <v>239</v>
      </c>
      <c r="E653" s="50"/>
      <c r="F653" s="50"/>
      <c r="G653" s="52"/>
      <c r="H653" s="165" t="s">
        <v>35</v>
      </c>
      <c r="I653" s="570">
        <f ca="1">IFERROR(__xludf.DUMMYFUNCTION("IMPORTRANGE(""https://docs.google.com/spreadsheets/d/1eHaY18a8A9IcSdp1K8H6x8fbOy06t2VsZHhMHf-1x7Y/edit?usp=sharing"",""แผน!IG43"")"),4)</f>
        <v>4</v>
      </c>
      <c r="J653" s="212">
        <f ca="1">IFERROR(__xludf.DUMMYFUNCTION("IMPORTRANGE(""https://docs.google.com/spreadsheets/d/1tdoBKaGub7dwA3U6UFTqxio9LNnvDCQjHKmttSEBsFQ/edit?usp=sharing"",""จัดที่ดิน!AW43"")"),0)</f>
        <v>0</v>
      </c>
      <c r="K653" s="255">
        <f ca="1">IF(I653&gt;0,J653*100/I653,0)</f>
        <v>0</v>
      </c>
      <c r="L653" s="62"/>
      <c r="M653" s="55"/>
      <c r="N653" s="468"/>
      <c r="O653" s="55"/>
      <c r="P653" s="55"/>
      <c r="Q653" s="55"/>
      <c r="R653" s="55"/>
      <c r="S653" s="468"/>
      <c r="T653" s="55"/>
      <c r="U653" s="55"/>
    </row>
    <row r="654" spans="1:21" ht="19.5" hidden="1">
      <c r="A654" s="238"/>
      <c r="B654" s="188"/>
      <c r="C654" s="188"/>
      <c r="D654" s="58" t="s">
        <v>240</v>
      </c>
      <c r="E654" s="50"/>
      <c r="F654" s="50"/>
      <c r="G654" s="52"/>
      <c r="H654" s="461" t="s">
        <v>46</v>
      </c>
      <c r="I654" s="569">
        <f ca="1">IFERROR(__xludf.DUMMYFUNCTION("IMPORTRANGE(""https://docs.google.com/spreadsheets/d/1eHaY18a8A9IcSdp1K8H6x8fbOy06t2VsZHhMHf-1x7Y/edit?usp=sharing"",""แผน!IH43"")"),0)</f>
        <v>0</v>
      </c>
      <c r="J654" s="373">
        <f>J657+J660</f>
        <v>0</v>
      </c>
      <c r="K654" s="540">
        <f ca="1">IF(I654&gt;0,J654*100/I654,0)</f>
        <v>0</v>
      </c>
      <c r="L654" s="62"/>
      <c r="M654" s="55"/>
      <c r="N654" s="468"/>
      <c r="O654" s="55"/>
      <c r="P654" s="55"/>
      <c r="Q654" s="55"/>
      <c r="R654" s="55"/>
      <c r="S654" s="468"/>
      <c r="T654" s="55"/>
      <c r="U654" s="55"/>
    </row>
    <row r="655" spans="1:21" ht="18.75" hidden="1">
      <c r="A655" s="238"/>
      <c r="B655" s="188"/>
      <c r="C655" s="188"/>
      <c r="D655" s="50"/>
      <c r="E655" s="58" t="s">
        <v>241</v>
      </c>
      <c r="F655" s="50"/>
      <c r="G655" s="52"/>
      <c r="H655" s="165" t="s">
        <v>35</v>
      </c>
      <c r="I655" s="208"/>
      <c r="J655" s="467">
        <v>0</v>
      </c>
      <c r="K655" s="55"/>
      <c r="L655" s="62"/>
      <c r="M655" s="55"/>
      <c r="N655" s="468"/>
      <c r="O655" s="55"/>
      <c r="P655" s="55"/>
      <c r="Q655" s="55"/>
      <c r="R655" s="55"/>
      <c r="S655" s="468"/>
      <c r="T655" s="55"/>
      <c r="U655" s="55"/>
    </row>
    <row r="656" spans="1:21" ht="18.75" hidden="1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67">
        <v>0</v>
      </c>
      <c r="K656" s="55"/>
      <c r="L656" s="62"/>
      <c r="M656" s="55"/>
      <c r="N656" s="468"/>
      <c r="O656" s="55"/>
      <c r="P656" s="55"/>
      <c r="Q656" s="55"/>
      <c r="R656" s="55"/>
      <c r="S656" s="468"/>
      <c r="T656" s="55"/>
      <c r="U656" s="55"/>
    </row>
    <row r="657" spans="1:21" ht="18.75" hidden="1">
      <c r="A657" s="238"/>
      <c r="B657" s="188"/>
      <c r="C657" s="188"/>
      <c r="D657" s="50"/>
      <c r="E657" s="50"/>
      <c r="F657" s="50"/>
      <c r="G657" s="52"/>
      <c r="H657" s="165" t="s">
        <v>46</v>
      </c>
      <c r="I657" s="570">
        <f ca="1">IFERROR(__xludf.DUMMYFUNCTION("IMPORTRANGE(""https://docs.google.com/spreadsheets/d/1eHaY18a8A9IcSdp1K8H6x8fbOy06t2VsZHhMHf-1x7Y/edit?usp=sharing"",""แผน!II43"")"),0)</f>
        <v>0</v>
      </c>
      <c r="J657" s="467">
        <v>0</v>
      </c>
      <c r="K657" s="55"/>
      <c r="L657" s="62"/>
      <c r="M657" s="55"/>
      <c r="N657" s="468"/>
      <c r="O657" s="55"/>
      <c r="P657" s="55"/>
      <c r="Q657" s="55"/>
      <c r="R657" s="55"/>
      <c r="S657" s="468"/>
      <c r="T657" s="55"/>
      <c r="U657" s="55"/>
    </row>
    <row r="658" spans="1:21" ht="18.75" hidden="1">
      <c r="A658" s="238"/>
      <c r="B658" s="188"/>
      <c r="C658" s="188"/>
      <c r="D658" s="50"/>
      <c r="E658" s="58" t="s">
        <v>242</v>
      </c>
      <c r="F658" s="50"/>
      <c r="G658" s="52"/>
      <c r="H658" s="165" t="s">
        <v>35</v>
      </c>
      <c r="I658" s="208"/>
      <c r="J658" s="467">
        <v>0</v>
      </c>
      <c r="K658" s="55"/>
      <c r="L658" s="62"/>
      <c r="M658" s="55"/>
      <c r="N658" s="468"/>
      <c r="O658" s="55"/>
      <c r="P658" s="55"/>
      <c r="Q658" s="55"/>
      <c r="R658" s="55"/>
      <c r="S658" s="468"/>
      <c r="T658" s="55"/>
      <c r="U658" s="55"/>
    </row>
    <row r="659" spans="1:21" ht="18.75" hidden="1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67">
        <v>0</v>
      </c>
      <c r="K659" s="55"/>
      <c r="L659" s="62"/>
      <c r="M659" s="55"/>
      <c r="N659" s="468"/>
      <c r="O659" s="55"/>
      <c r="P659" s="55"/>
      <c r="Q659" s="55"/>
      <c r="R659" s="55"/>
      <c r="S659" s="468"/>
      <c r="T659" s="55"/>
      <c r="U659" s="55"/>
    </row>
    <row r="660" spans="1:21" ht="18.75" hidden="1">
      <c r="A660" s="238"/>
      <c r="B660" s="188"/>
      <c r="C660" s="188"/>
      <c r="D660" s="50"/>
      <c r="E660" s="50"/>
      <c r="F660" s="50"/>
      <c r="G660" s="52"/>
      <c r="H660" s="165" t="s">
        <v>46</v>
      </c>
      <c r="I660" s="570">
        <f ca="1">IFERROR(__xludf.DUMMYFUNCTION("IMPORTRANGE(""https://docs.google.com/spreadsheets/d/1eHaY18a8A9IcSdp1K8H6x8fbOy06t2VsZHhMHf-1x7Y/edit?usp=sharing"",""แผน!IJ43"")"),0)</f>
        <v>0</v>
      </c>
      <c r="J660" s="467">
        <v>0</v>
      </c>
      <c r="K660" s="55"/>
      <c r="L660" s="62"/>
      <c r="M660" s="55"/>
      <c r="N660" s="468"/>
      <c r="O660" s="55"/>
      <c r="P660" s="55"/>
      <c r="Q660" s="55"/>
      <c r="R660" s="55"/>
      <c r="S660" s="468"/>
      <c r="T660" s="55"/>
      <c r="U660" s="55"/>
    </row>
    <row r="661" spans="1:21" ht="19.5">
      <c r="A661" s="238"/>
      <c r="B661" s="188"/>
      <c r="C661" s="188"/>
      <c r="D661" s="377" t="s">
        <v>243</v>
      </c>
      <c r="E661" s="50"/>
      <c r="F661" s="50"/>
      <c r="G661" s="52"/>
      <c r="H661" s="461" t="s">
        <v>46</v>
      </c>
      <c r="I661" s="569">
        <f ca="1">IFERROR(__xludf.DUMMYFUNCTION("IMPORTRANGE(""https://docs.google.com/spreadsheets/d/1eHaY18a8A9IcSdp1K8H6x8fbOy06t2VsZHhMHf-1x7Y/edit?usp=sharing"",""แผน!IK43"")"),20)</f>
        <v>20</v>
      </c>
      <c r="J661" s="373">
        <f>J667+J670</f>
        <v>0</v>
      </c>
      <c r="K661" s="540">
        <f ca="1">IF(I661&gt;0,J661*100/I661,0)</f>
        <v>0</v>
      </c>
      <c r="L661" s="62"/>
      <c r="M661" s="55"/>
      <c r="N661" s="468"/>
      <c r="O661" s="55"/>
      <c r="P661" s="55"/>
      <c r="Q661" s="55"/>
      <c r="R661" s="55"/>
      <c r="S661" s="468"/>
      <c r="T661" s="55"/>
      <c r="U661" s="55"/>
    </row>
    <row r="662" spans="1:21" ht="18.75">
      <c r="A662" s="238"/>
      <c r="B662" s="188"/>
      <c r="C662" s="188"/>
      <c r="D662" s="50"/>
      <c r="E662" s="58" t="s">
        <v>244</v>
      </c>
      <c r="F662" s="50"/>
      <c r="G662" s="52"/>
      <c r="H662" s="165" t="s">
        <v>34</v>
      </c>
      <c r="I662" s="208"/>
      <c r="J662" s="467">
        <v>0</v>
      </c>
      <c r="K662" s="55"/>
      <c r="L662" s="469"/>
      <c r="M662" s="55"/>
      <c r="N662" s="468"/>
      <c r="O662" s="55"/>
      <c r="P662" s="55"/>
      <c r="Q662" s="468"/>
      <c r="R662" s="55"/>
      <c r="S662" s="468"/>
      <c r="T662" s="55"/>
      <c r="U662" s="55"/>
    </row>
    <row r="663" spans="1:21" ht="18.75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67">
        <v>0</v>
      </c>
      <c r="K663" s="55"/>
      <c r="L663" s="469"/>
      <c r="M663" s="55"/>
      <c r="N663" s="468"/>
      <c r="O663" s="55"/>
      <c r="P663" s="55"/>
      <c r="Q663" s="468"/>
      <c r="R663" s="55"/>
      <c r="S663" s="468"/>
      <c r="T663" s="55"/>
      <c r="U663" s="55"/>
    </row>
    <row r="664" spans="1:21" ht="18.75">
      <c r="A664" s="238"/>
      <c r="B664" s="188"/>
      <c r="C664" s="188"/>
      <c r="D664" s="50"/>
      <c r="E664" s="58" t="s">
        <v>245</v>
      </c>
      <c r="F664" s="50"/>
      <c r="G664" s="52"/>
      <c r="H664" s="206"/>
      <c r="I664" s="208"/>
      <c r="J664" s="54"/>
      <c r="K664" s="55"/>
      <c r="L664" s="469"/>
      <c r="M664" s="55"/>
      <c r="N664" s="468"/>
      <c r="O664" s="55"/>
      <c r="P664" s="55"/>
      <c r="Q664" s="468"/>
      <c r="R664" s="55"/>
      <c r="S664" s="468"/>
      <c r="T664" s="55"/>
      <c r="U664" s="55"/>
    </row>
    <row r="665" spans="1:21" ht="18.75">
      <c r="A665" s="238"/>
      <c r="B665" s="188"/>
      <c r="C665" s="188"/>
      <c r="D665" s="50"/>
      <c r="E665" s="50"/>
      <c r="F665" s="58" t="s">
        <v>246</v>
      </c>
      <c r="G665" s="52"/>
      <c r="H665" s="165" t="s">
        <v>35</v>
      </c>
      <c r="I665" s="208"/>
      <c r="J665" s="467">
        <v>0</v>
      </c>
      <c r="K665" s="55"/>
      <c r="L665" s="469"/>
      <c r="M665" s="55"/>
      <c r="N665" s="468"/>
      <c r="O665" s="55"/>
      <c r="P665" s="55"/>
      <c r="Q665" s="468"/>
      <c r="R665" s="55"/>
      <c r="S665" s="468"/>
      <c r="T665" s="55"/>
      <c r="U665" s="55"/>
    </row>
    <row r="666" spans="1:21" ht="18.75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67">
        <v>0</v>
      </c>
      <c r="K666" s="55"/>
      <c r="L666" s="469"/>
      <c r="M666" s="55"/>
      <c r="N666" s="468"/>
      <c r="O666" s="55"/>
      <c r="P666" s="55"/>
      <c r="Q666" s="468"/>
      <c r="R666" s="55"/>
      <c r="S666" s="468"/>
      <c r="T666" s="55"/>
      <c r="U666" s="55"/>
    </row>
    <row r="667" spans="1:21" ht="18.75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67">
        <v>0</v>
      </c>
      <c r="K667" s="55"/>
      <c r="L667" s="469"/>
      <c r="M667" s="55"/>
      <c r="N667" s="468"/>
      <c r="O667" s="55"/>
      <c r="P667" s="55"/>
      <c r="Q667" s="468"/>
      <c r="R667" s="55"/>
      <c r="S667" s="468"/>
      <c r="T667" s="55"/>
      <c r="U667" s="55"/>
    </row>
    <row r="668" spans="1:21" ht="18.75">
      <c r="A668" s="238"/>
      <c r="B668" s="188"/>
      <c r="C668" s="188"/>
      <c r="D668" s="50"/>
      <c r="E668" s="50"/>
      <c r="F668" s="58" t="s">
        <v>247</v>
      </c>
      <c r="G668" s="52"/>
      <c r="H668" s="165" t="s">
        <v>35</v>
      </c>
      <c r="I668" s="208"/>
      <c r="J668" s="467">
        <v>0</v>
      </c>
      <c r="K668" s="55"/>
      <c r="L668" s="469"/>
      <c r="M668" s="55"/>
      <c r="N668" s="468"/>
      <c r="O668" s="55"/>
      <c r="P668" s="55"/>
      <c r="Q668" s="468"/>
      <c r="R668" s="55"/>
      <c r="S668" s="468"/>
      <c r="T668" s="55"/>
      <c r="U668" s="55"/>
    </row>
    <row r="669" spans="1:21" ht="18.75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67">
        <v>0</v>
      </c>
      <c r="K669" s="55"/>
      <c r="L669" s="469"/>
      <c r="M669" s="55"/>
      <c r="N669" s="468"/>
      <c r="O669" s="55"/>
      <c r="P669" s="55"/>
      <c r="Q669" s="468"/>
      <c r="R669" s="55"/>
      <c r="S669" s="468"/>
      <c r="T669" s="55"/>
      <c r="U669" s="55"/>
    </row>
    <row r="670" spans="1:21" ht="18.75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67">
        <v>0</v>
      </c>
      <c r="K670" s="55"/>
      <c r="L670" s="469"/>
      <c r="M670" s="55"/>
      <c r="N670" s="468"/>
      <c r="O670" s="55"/>
      <c r="P670" s="55"/>
      <c r="Q670" s="468"/>
      <c r="R670" s="55"/>
      <c r="S670" s="468"/>
      <c r="T670" s="55"/>
      <c r="U670" s="55"/>
    </row>
    <row r="671" spans="1:21" ht="18.75" hidden="1">
      <c r="A671" s="238"/>
      <c r="B671" s="188"/>
      <c r="C671" s="188"/>
      <c r="D671" s="58" t="s">
        <v>248</v>
      </c>
      <c r="E671" s="50"/>
      <c r="F671" s="50"/>
      <c r="G671" s="52"/>
      <c r="H671" s="165" t="s">
        <v>35</v>
      </c>
      <c r="I671" s="208"/>
      <c r="J671" s="212">
        <f ca="1">IFERROR(__xludf.DUMMYFUNCTION("IMPORTRANGE(""https://docs.google.com/spreadsheets/d/1tdoBKaGub7dwA3U6UFTqxio9LNnvDCQjHKmttSEBsFQ/edit?usp=sharing"",""จัดที่ดิน!AY43"")"),0)</f>
        <v>0</v>
      </c>
      <c r="K671" s="55"/>
      <c r="L671" s="62"/>
      <c r="M671" s="55"/>
      <c r="N671" s="468"/>
      <c r="O671" s="55"/>
      <c r="P671" s="55"/>
      <c r="Q671" s="55"/>
      <c r="R671" s="55"/>
      <c r="S671" s="468"/>
      <c r="T671" s="55"/>
      <c r="U671" s="55"/>
    </row>
    <row r="672" spans="1:21" ht="18.75" hidden="1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212">
        <f ca="1">IFERROR(__xludf.DUMMYFUNCTION("IMPORTRANGE(""https://docs.google.com/spreadsheets/d/1tdoBKaGub7dwA3U6UFTqxio9LNnvDCQjHKmttSEBsFQ/edit?usp=sharing"",""จัดที่ดิน!AZ43"")"),0)</f>
        <v>0</v>
      </c>
      <c r="K672" s="55"/>
      <c r="L672" s="469"/>
      <c r="M672" s="55"/>
      <c r="N672" s="468"/>
      <c r="O672" s="55"/>
      <c r="P672" s="55"/>
      <c r="Q672" s="468"/>
      <c r="R672" s="55"/>
      <c r="S672" s="468"/>
      <c r="T672" s="55"/>
      <c r="U672" s="55"/>
    </row>
    <row r="673" spans="1:21" ht="18.75" hidden="1">
      <c r="A673" s="238"/>
      <c r="B673" s="188"/>
      <c r="C673" s="188"/>
      <c r="D673" s="50"/>
      <c r="E673" s="50"/>
      <c r="F673" s="50"/>
      <c r="G673" s="52"/>
      <c r="H673" s="165" t="s">
        <v>46</v>
      </c>
      <c r="I673" s="570">
        <f ca="1">IFERROR(__xludf.DUMMYFUNCTION("IMPORTRANGE(""https://docs.google.com/spreadsheets/d/1eHaY18a8A9IcSdp1K8H6x8fbOy06t2VsZHhMHf-1x7Y/edit?usp=sharing"",""แผน!IL43"")"),0)</f>
        <v>0</v>
      </c>
      <c r="J673" s="212">
        <f ca="1">IFERROR(__xludf.DUMMYFUNCTION("IMPORTRANGE(""https://docs.google.com/spreadsheets/d/1tdoBKaGub7dwA3U6UFTqxio9LNnvDCQjHKmttSEBsFQ/edit?usp=sharing"",""จัดที่ดิน!BA43"")"),0)</f>
        <v>0</v>
      </c>
      <c r="K673" s="255">
        <f ca="1">IF(I673&gt;0,J673*100/I673,0)</f>
        <v>0</v>
      </c>
      <c r="L673" s="469"/>
      <c r="M673" s="55"/>
      <c r="N673" s="468"/>
      <c r="O673" s="55"/>
      <c r="P673" s="55"/>
      <c r="Q673" s="468"/>
      <c r="R673" s="55"/>
      <c r="S673" s="468"/>
      <c r="T673" s="55"/>
      <c r="U673" s="55"/>
    </row>
    <row r="674" spans="1:21" ht="19.5">
      <c r="A674" s="238"/>
      <c r="B674" s="188"/>
      <c r="C674" s="188"/>
      <c r="D674" s="58" t="s">
        <v>249</v>
      </c>
      <c r="E674" s="50"/>
      <c r="F674" s="50"/>
      <c r="G674" s="52"/>
      <c r="H674" s="461" t="s">
        <v>35</v>
      </c>
      <c r="I674" s="569">
        <f ca="1">IFERROR(__xludf.DUMMYFUNCTION("IMPORTRANGE(""https://docs.google.com/spreadsheets/d/1eHaY18a8A9IcSdp1K8H6x8fbOy06t2VsZHhMHf-1x7Y/edit?usp=sharing"",""แผน!IM43"")"),2)</f>
        <v>2</v>
      </c>
      <c r="J674" s="373">
        <f ca="1">J676+J679</f>
        <v>0</v>
      </c>
      <c r="K674" s="540">
        <f ca="1">IF(I674&gt;0,J674*100/I674,0)</f>
        <v>0</v>
      </c>
      <c r="L674" s="469"/>
      <c r="M674" s="55"/>
      <c r="N674" s="468"/>
      <c r="O674" s="55"/>
      <c r="P674" s="55"/>
      <c r="Q674" s="468"/>
      <c r="R674" s="55"/>
      <c r="S674" s="468"/>
      <c r="T674" s="55"/>
      <c r="U674" s="55"/>
    </row>
    <row r="675" spans="1:21" ht="19.5">
      <c r="A675" s="238"/>
      <c r="B675" s="188"/>
      <c r="C675" s="188"/>
      <c r="D675" s="50"/>
      <c r="E675" s="50"/>
      <c r="F675" s="50"/>
      <c r="G675" s="52"/>
      <c r="H675" s="461" t="s">
        <v>46</v>
      </c>
      <c r="I675" s="569">
        <f ca="1">IFERROR(__xludf.DUMMYFUNCTION("IMPORTRANGE(""https://docs.google.com/spreadsheets/d/1eHaY18a8A9IcSdp1K8H6x8fbOy06t2VsZHhMHf-1x7Y/edit?usp=sharing"",""แผน!IN43"")"),12)</f>
        <v>12</v>
      </c>
      <c r="J675" s="373">
        <f ca="1">J678+J681</f>
        <v>0</v>
      </c>
      <c r="K675" s="540">
        <f ca="1">IF(I675&gt;0,J675*100/I675,0)</f>
        <v>0</v>
      </c>
      <c r="L675" s="62"/>
      <c r="M675" s="55"/>
      <c r="N675" s="468"/>
      <c r="O675" s="55"/>
      <c r="P675" s="55"/>
      <c r="Q675" s="55"/>
      <c r="R675" s="55"/>
      <c r="S675" s="468"/>
      <c r="T675" s="55"/>
      <c r="U675" s="55"/>
    </row>
    <row r="676" spans="1:21" ht="18.75">
      <c r="A676" s="238"/>
      <c r="B676" s="188"/>
      <c r="C676" s="188"/>
      <c r="D676" s="50"/>
      <c r="E676" s="58" t="s">
        <v>250</v>
      </c>
      <c r="F676" s="50"/>
      <c r="G676" s="52"/>
      <c r="H676" s="165" t="s">
        <v>35</v>
      </c>
      <c r="I676" s="570">
        <f ca="1">IFERROR(__xludf.DUMMYFUNCTION("IMPORTRANGE(""https://docs.google.com/spreadsheets/d/1eHaY18a8A9IcSdp1K8H6x8fbOy06t2VsZHhMHf-1x7Y/edit?usp=sharing"",""แผน!IO43"")"),2)</f>
        <v>2</v>
      </c>
      <c r="J676" s="212">
        <f ca="1">IFERROR(__xludf.DUMMYFUNCTION("IMPORTRANGE(""https://docs.google.com/spreadsheets/d/1tdoBKaGub7dwA3U6UFTqxio9LNnvDCQjHKmttSEBsFQ/edit?usp=sharing"",""จัดที่ดิน!BF43"")"),0)</f>
        <v>0</v>
      </c>
      <c r="K676" s="255">
        <f ca="1">IF(I676&gt;0,J676*100/I676,0)</f>
        <v>0</v>
      </c>
      <c r="L676" s="62"/>
      <c r="M676" s="55"/>
      <c r="N676" s="468"/>
      <c r="O676" s="55"/>
      <c r="P676" s="55"/>
      <c r="Q676" s="55"/>
      <c r="R676" s="55"/>
      <c r="S676" s="468"/>
      <c r="T676" s="55"/>
      <c r="U676" s="55"/>
    </row>
    <row r="677" spans="1:21" ht="18.75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212">
        <f ca="1">IFERROR(__xludf.DUMMYFUNCTION("IMPORTRANGE(""https://docs.google.com/spreadsheets/d/1tdoBKaGub7dwA3U6UFTqxio9LNnvDCQjHKmttSEBsFQ/edit?usp=sharing"",""จัดที่ดิน!BG43"")"),0)</f>
        <v>0</v>
      </c>
      <c r="K677" s="55"/>
      <c r="L677" s="469"/>
      <c r="M677" s="55"/>
      <c r="N677" s="468"/>
      <c r="O677" s="55"/>
      <c r="P677" s="55"/>
      <c r="Q677" s="468"/>
      <c r="R677" s="55"/>
      <c r="S677" s="468"/>
      <c r="T677" s="55"/>
      <c r="U677" s="55"/>
    </row>
    <row r="678" spans="1:21" ht="18.75">
      <c r="A678" s="238"/>
      <c r="B678" s="188"/>
      <c r="C678" s="188"/>
      <c r="D678" s="50"/>
      <c r="E678" s="50"/>
      <c r="F678" s="50"/>
      <c r="G678" s="52"/>
      <c r="H678" s="165" t="s">
        <v>46</v>
      </c>
      <c r="I678" s="570">
        <f ca="1">IFERROR(__xludf.DUMMYFUNCTION("IMPORTRANGE(""https://docs.google.com/spreadsheets/d/1eHaY18a8A9IcSdp1K8H6x8fbOy06t2VsZHhMHf-1x7Y/edit?usp=sharing"",""แผน!IP43"")"),12)</f>
        <v>12</v>
      </c>
      <c r="J678" s="212">
        <f ca="1">IFERROR(__xludf.DUMMYFUNCTION("IMPORTRANGE(""https://docs.google.com/spreadsheets/d/1tdoBKaGub7dwA3U6UFTqxio9LNnvDCQjHKmttSEBsFQ/edit?usp=sharing"",""จัดที่ดิน!BH43"")"),0)</f>
        <v>0</v>
      </c>
      <c r="K678" s="255">
        <f ca="1">IF(I678&gt;0,J678*100/I678,0)</f>
        <v>0</v>
      </c>
      <c r="L678" s="469"/>
      <c r="M678" s="55"/>
      <c r="N678" s="468"/>
      <c r="O678" s="55"/>
      <c r="P678" s="55"/>
      <c r="Q678" s="468"/>
      <c r="R678" s="55"/>
      <c r="S678" s="468"/>
      <c r="T678" s="55"/>
      <c r="U678" s="55"/>
    </row>
    <row r="679" spans="1:21" ht="18.75">
      <c r="A679" s="238"/>
      <c r="B679" s="188"/>
      <c r="C679" s="188"/>
      <c r="D679" s="50"/>
      <c r="E679" s="58" t="s">
        <v>251</v>
      </c>
      <c r="F679" s="50"/>
      <c r="G679" s="52"/>
      <c r="H679" s="165" t="s">
        <v>35</v>
      </c>
      <c r="I679" s="570">
        <f ca="1">IFERROR(__xludf.DUMMYFUNCTION("IMPORTRANGE(""https://docs.google.com/spreadsheets/d/1eHaY18a8A9IcSdp1K8H6x8fbOy06t2VsZHhMHf-1x7Y/edit?usp=sharing"",""แผน!IQ43"")"),0)</f>
        <v>0</v>
      </c>
      <c r="J679" s="212">
        <f ca="1">IFERROR(__xludf.DUMMYFUNCTION("IMPORTRANGE(""https://docs.google.com/spreadsheets/d/1tdoBKaGub7dwA3U6UFTqxio9LNnvDCQjHKmttSEBsFQ/edit?usp=sharing"",""จัดที่ดิน!BK43"")"),0)</f>
        <v>0</v>
      </c>
      <c r="K679" s="255">
        <f ca="1">IF(I679&gt;0,J679*100/I679,0)</f>
        <v>0</v>
      </c>
      <c r="L679" s="62"/>
      <c r="M679" s="55"/>
      <c r="N679" s="468"/>
      <c r="O679" s="55"/>
      <c r="P679" s="55"/>
      <c r="Q679" s="55"/>
      <c r="R679" s="55"/>
      <c r="S679" s="468"/>
      <c r="T679" s="55"/>
      <c r="U679" s="55"/>
    </row>
    <row r="680" spans="1:21" ht="18.75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212">
        <f ca="1">IFERROR(__xludf.DUMMYFUNCTION("IMPORTRANGE(""https://docs.google.com/spreadsheets/d/1tdoBKaGub7dwA3U6UFTqxio9LNnvDCQjHKmttSEBsFQ/edit?usp=sharing"",""จัดที่ดิน!BL43"")"),0)</f>
        <v>0</v>
      </c>
      <c r="K680" s="55"/>
      <c r="L680" s="469"/>
      <c r="M680" s="55"/>
      <c r="N680" s="468"/>
      <c r="O680" s="55"/>
      <c r="P680" s="55"/>
      <c r="Q680" s="468"/>
      <c r="R680" s="55"/>
      <c r="S680" s="468"/>
      <c r="T680" s="55"/>
      <c r="U680" s="55"/>
    </row>
    <row r="681" spans="1:21" ht="18.75">
      <c r="A681" s="238"/>
      <c r="B681" s="188"/>
      <c r="C681" s="188"/>
      <c r="D681" s="50"/>
      <c r="E681" s="50"/>
      <c r="F681" s="50"/>
      <c r="G681" s="52"/>
      <c r="H681" s="165" t="s">
        <v>46</v>
      </c>
      <c r="I681" s="570">
        <f ca="1">IFERROR(__xludf.DUMMYFUNCTION("IMPORTRANGE(""https://docs.google.com/spreadsheets/d/1eHaY18a8A9IcSdp1K8H6x8fbOy06t2VsZHhMHf-1x7Y/edit?usp=sharing"",""แผน!IR43"")"),0)</f>
        <v>0</v>
      </c>
      <c r="J681" s="212">
        <f ca="1">IFERROR(__xludf.DUMMYFUNCTION("IMPORTRANGE(""https://docs.google.com/spreadsheets/d/1tdoBKaGub7dwA3U6UFTqxio9LNnvDCQjHKmttSEBsFQ/edit?usp=sharing"",""จัดที่ดิน!BM43"")"),0)</f>
        <v>0</v>
      </c>
      <c r="K681" s="255">
        <f ca="1">IF(I681&gt;0,J681*100/I681,0)</f>
        <v>0</v>
      </c>
      <c r="L681" s="469"/>
      <c r="M681" s="55"/>
      <c r="N681" s="468"/>
      <c r="O681" s="55"/>
      <c r="P681" s="55"/>
      <c r="Q681" s="468"/>
      <c r="R681" s="55"/>
      <c r="S681" s="468"/>
      <c r="T681" s="55"/>
      <c r="U681" s="55"/>
    </row>
    <row r="682" spans="1:21" ht="19.5" hidden="1">
      <c r="A682" s="238"/>
      <c r="B682" s="188"/>
      <c r="C682" s="188"/>
      <c r="D682" s="58" t="s">
        <v>252</v>
      </c>
      <c r="E682" s="50"/>
      <c r="F682" s="50"/>
      <c r="G682" s="52"/>
      <c r="H682" s="461" t="s">
        <v>46</v>
      </c>
      <c r="I682" s="569">
        <f ca="1">IFERROR(__xludf.DUMMYFUNCTION("IMPORTRANGE(""https://docs.google.com/spreadsheets/d/1eHaY18a8A9IcSdp1K8H6x8fbOy06t2VsZHhMHf-1x7Y/edit?usp=sharing"",""แผน!IS43"")"),0)</f>
        <v>0</v>
      </c>
      <c r="J682" s="373">
        <f>J685+J688</f>
        <v>0</v>
      </c>
      <c r="K682" s="540">
        <f ca="1">IF(I682&gt;0,J682*100/I682,0)</f>
        <v>0</v>
      </c>
      <c r="L682" s="62"/>
      <c r="M682" s="55"/>
      <c r="N682" s="468"/>
      <c r="O682" s="55"/>
      <c r="P682" s="55"/>
      <c r="Q682" s="55"/>
      <c r="R682" s="55"/>
      <c r="S682" s="468"/>
      <c r="T682" s="55"/>
      <c r="U682" s="55"/>
    </row>
    <row r="683" spans="1:21" ht="18.75" hidden="1">
      <c r="A683" s="238"/>
      <c r="B683" s="188"/>
      <c r="C683" s="188"/>
      <c r="D683" s="50"/>
      <c r="E683" s="58" t="s">
        <v>253</v>
      </c>
      <c r="F683" s="50"/>
      <c r="G683" s="52"/>
      <c r="H683" s="165" t="s">
        <v>35</v>
      </c>
      <c r="I683" s="208"/>
      <c r="J683" s="467">
        <v>0</v>
      </c>
      <c r="K683" s="55"/>
      <c r="L683" s="469"/>
      <c r="M683" s="55"/>
      <c r="N683" s="468"/>
      <c r="O683" s="55"/>
      <c r="P683" s="55"/>
      <c r="Q683" s="468"/>
      <c r="R683" s="55"/>
      <c r="S683" s="468"/>
      <c r="T683" s="55"/>
      <c r="U683" s="55"/>
    </row>
    <row r="684" spans="1:21" ht="18.75" hidden="1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467">
        <v>0</v>
      </c>
      <c r="K684" s="55"/>
      <c r="L684" s="469"/>
      <c r="M684" s="55"/>
      <c r="N684" s="468"/>
      <c r="O684" s="55"/>
      <c r="P684" s="55"/>
      <c r="Q684" s="468"/>
      <c r="R684" s="55"/>
      <c r="S684" s="468"/>
      <c r="T684" s="55"/>
      <c r="U684" s="55"/>
    </row>
    <row r="685" spans="1:21" ht="18.75" hidden="1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467">
        <v>0</v>
      </c>
      <c r="K685" s="55"/>
      <c r="L685" s="469"/>
      <c r="M685" s="55"/>
      <c r="N685" s="468"/>
      <c r="O685" s="55"/>
      <c r="P685" s="55"/>
      <c r="Q685" s="468"/>
      <c r="R685" s="55"/>
      <c r="S685" s="468"/>
      <c r="T685" s="55"/>
      <c r="U685" s="55"/>
    </row>
    <row r="686" spans="1:21" ht="18.75" hidden="1">
      <c r="A686" s="238"/>
      <c r="B686" s="188"/>
      <c r="C686" s="188"/>
      <c r="D686" s="50"/>
      <c r="E686" s="58" t="s">
        <v>254</v>
      </c>
      <c r="F686" s="50"/>
      <c r="G686" s="52"/>
      <c r="H686" s="165" t="s">
        <v>35</v>
      </c>
      <c r="I686" s="208"/>
      <c r="J686" s="467">
        <v>0</v>
      </c>
      <c r="K686" s="55"/>
      <c r="L686" s="469"/>
      <c r="M686" s="55"/>
      <c r="N686" s="468"/>
      <c r="O686" s="55"/>
      <c r="P686" s="55"/>
      <c r="Q686" s="468"/>
      <c r="R686" s="55"/>
      <c r="S686" s="468"/>
      <c r="T686" s="55"/>
      <c r="U686" s="55"/>
    </row>
    <row r="687" spans="1:21" ht="18.75" hidden="1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467">
        <v>0</v>
      </c>
      <c r="K687" s="55"/>
      <c r="L687" s="469"/>
      <c r="M687" s="55"/>
      <c r="N687" s="468"/>
      <c r="O687" s="55"/>
      <c r="P687" s="55"/>
      <c r="Q687" s="468"/>
      <c r="R687" s="55"/>
      <c r="S687" s="468"/>
      <c r="T687" s="55"/>
      <c r="U687" s="55"/>
    </row>
    <row r="688" spans="1:21" ht="19.5" hidden="1">
      <c r="A688" s="281"/>
      <c r="B688" s="470" t="s">
        <v>255</v>
      </c>
      <c r="C688" s="282"/>
      <c r="D688" s="2"/>
      <c r="E688" s="2"/>
      <c r="F688" s="2"/>
      <c r="G688" s="284"/>
      <c r="H688" s="214" t="s">
        <v>46</v>
      </c>
      <c r="I688" s="375"/>
      <c r="J688" s="538">
        <v>0</v>
      </c>
      <c r="K688" s="6"/>
      <c r="L688" s="472"/>
      <c r="M688" s="6"/>
      <c r="N688" s="471"/>
      <c r="O688" s="6"/>
      <c r="P688" s="6"/>
      <c r="Q688" s="471"/>
      <c r="R688" s="6"/>
      <c r="S688" s="471"/>
      <c r="T688" s="6"/>
      <c r="U688" s="6"/>
    </row>
    <row r="689" spans="1:21" ht="19.5">
      <c r="A689" s="442"/>
      <c r="B689" s="443" t="s">
        <v>256</v>
      </c>
      <c r="C689" s="442"/>
      <c r="D689" s="444"/>
      <c r="E689" s="444"/>
      <c r="F689" s="444"/>
      <c r="G689" s="445"/>
      <c r="H689" s="473" t="s">
        <v>35</v>
      </c>
      <c r="I689" s="544">
        <f ca="1">I707</f>
        <v>250</v>
      </c>
      <c r="J689" s="544">
        <f ca="1">J707</f>
        <v>17</v>
      </c>
      <c r="K689" s="543">
        <f ca="1">IF(I689&gt;0,J689*100/I689,0)</f>
        <v>6.8</v>
      </c>
      <c r="L689" s="449"/>
      <c r="M689" s="448"/>
      <c r="N689" s="448"/>
      <c r="O689" s="448"/>
      <c r="P689" s="448"/>
      <c r="Q689" s="448"/>
      <c r="R689" s="448"/>
      <c r="S689" s="448"/>
      <c r="T689" s="448"/>
      <c r="U689" s="448"/>
    </row>
    <row r="690" spans="1:21" ht="19.5">
      <c r="A690" s="155"/>
      <c r="B690" s="188"/>
      <c r="C690" s="205" t="s">
        <v>18</v>
      </c>
      <c r="D690" s="542" t="s">
        <v>19</v>
      </c>
      <c r="E690" s="529"/>
      <c r="F690" s="529"/>
      <c r="G690" s="530"/>
      <c r="H690" s="252" t="s">
        <v>14</v>
      </c>
      <c r="I690" s="54"/>
      <c r="J690" s="54"/>
      <c r="K690" s="55"/>
      <c r="L690" s="541">
        <f>L691+L692</f>
        <v>0</v>
      </c>
      <c r="M690" s="540">
        <f>M691+M692</f>
        <v>0</v>
      </c>
      <c r="N690" s="540">
        <f>N691+N692</f>
        <v>0</v>
      </c>
      <c r="O690" s="540">
        <f>IF(L690&gt;0,N690*100/L690,0)</f>
        <v>0</v>
      </c>
      <c r="P690" s="540">
        <f>IF(M690&gt;0,N690*100/M690,0)</f>
        <v>0</v>
      </c>
      <c r="Q690" s="540">
        <f ca="1">Q691+Q692</f>
        <v>367610</v>
      </c>
      <c r="R690" s="540">
        <f ca="1">R691+R692</f>
        <v>367610</v>
      </c>
      <c r="S690" s="540">
        <f ca="1">S691+S692</f>
        <v>165840.99</v>
      </c>
      <c r="T690" s="540">
        <f ca="1">IF(Q690&gt;0,S690*100/Q690,0)</f>
        <v>45.113296700307394</v>
      </c>
      <c r="U690" s="540">
        <f ca="1">IF(R690&gt;0,S690*100/R690,0)</f>
        <v>45.113296700307394</v>
      </c>
    </row>
    <row r="691" spans="1:21" ht="18.75" hidden="1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103">
        <f>L694+L697</f>
        <v>0</v>
      </c>
      <c r="M691" s="102">
        <f>M694+M697</f>
        <v>0</v>
      </c>
      <c r="N691" s="102">
        <f>N694+N697</f>
        <v>0</v>
      </c>
      <c r="O691" s="102">
        <f>IF(L691&gt;0,N691*100/L691,0)</f>
        <v>0</v>
      </c>
      <c r="P691" s="102">
        <f>IF(M691&gt;0,N691*100/M691,0)</f>
        <v>0</v>
      </c>
      <c r="Q691" s="102">
        <f>Q694+Q697</f>
        <v>0</v>
      </c>
      <c r="R691" s="102">
        <f>R694+R697</f>
        <v>0</v>
      </c>
      <c r="S691" s="102">
        <f>S694+S697</f>
        <v>0</v>
      </c>
      <c r="T691" s="102">
        <f>IF(Q691&gt;0,S691*100/Q691,0)</f>
        <v>0</v>
      </c>
      <c r="U691" s="102">
        <f>IF(R691&gt;0,S691*100/R691,0)</f>
        <v>0</v>
      </c>
    </row>
    <row r="692" spans="1:21" ht="18.75" hidden="1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256">
        <f>L695+L698</f>
        <v>0</v>
      </c>
      <c r="M692" s="255">
        <f>M695+M698</f>
        <v>0</v>
      </c>
      <c r="N692" s="255">
        <f>N695+N698</f>
        <v>0</v>
      </c>
      <c r="O692" s="255">
        <f>IF(L692&gt;0,N692*100/L692,0)</f>
        <v>0</v>
      </c>
      <c r="P692" s="255">
        <f>IF(M692&gt;0,N692*100/M692,0)</f>
        <v>0</v>
      </c>
      <c r="Q692" s="255">
        <f ca="1">Q695+Q698</f>
        <v>367610</v>
      </c>
      <c r="R692" s="255">
        <f ca="1">R695+R698</f>
        <v>367610</v>
      </c>
      <c r="S692" s="255">
        <f ca="1">S695+S698</f>
        <v>165840.99</v>
      </c>
      <c r="T692" s="255">
        <f ca="1">IF(Q692&gt;0,S692*100/Q692,0)</f>
        <v>45.113296700307394</v>
      </c>
      <c r="U692" s="255">
        <f ca="1">IF(R692&gt;0,S692*100/R692,0)</f>
        <v>45.113296700307394</v>
      </c>
    </row>
    <row r="693" spans="1:21" ht="18.75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256">
        <f>L694+L695</f>
        <v>0</v>
      </c>
      <c r="M693" s="255">
        <f>M694+M695</f>
        <v>0</v>
      </c>
      <c r="N693" s="255">
        <f>N694+N695</f>
        <v>0</v>
      </c>
      <c r="O693" s="255">
        <f>IF(L693&gt;0,N693*100/L693,0)</f>
        <v>0</v>
      </c>
      <c r="P693" s="255">
        <f>IF(M693&gt;0,N693*100/M693,0)</f>
        <v>0</v>
      </c>
      <c r="Q693" s="255">
        <f ca="1">Q694+Q695</f>
        <v>367610</v>
      </c>
      <c r="R693" s="255">
        <f ca="1">R694+R695</f>
        <v>367610</v>
      </c>
      <c r="S693" s="255">
        <f ca="1">S694+S695</f>
        <v>165840.99</v>
      </c>
      <c r="T693" s="255">
        <f ca="1">IF(Q693&gt;0,S693*100/Q693,0)</f>
        <v>45.113296700307394</v>
      </c>
      <c r="U693" s="255">
        <f ca="1">IF(R693&gt;0,S693*100/R693,0)</f>
        <v>45.113296700307394</v>
      </c>
    </row>
    <row r="694" spans="1:21" ht="18.75" hidden="1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103">
        <v>0</v>
      </c>
      <c r="M694" s="102">
        <v>0</v>
      </c>
      <c r="N694" s="102">
        <v>0</v>
      </c>
      <c r="O694" s="102">
        <f>IF(L694&gt;0,N694*100/L694,0)</f>
        <v>0</v>
      </c>
      <c r="P694" s="102">
        <f>IF(M694&gt;0,N694*100/M694,0)</f>
        <v>0</v>
      </c>
      <c r="Q694" s="102">
        <v>0</v>
      </c>
      <c r="R694" s="102">
        <v>0</v>
      </c>
      <c r="S694" s="102">
        <v>0</v>
      </c>
      <c r="T694" s="102">
        <f>IF(Q694&gt;0,S694*100/Q694,0)</f>
        <v>0</v>
      </c>
      <c r="U694" s="102">
        <f>IF(R694&gt;0,S694*100/R694,0)</f>
        <v>0</v>
      </c>
    </row>
    <row r="695" spans="1:21" ht="18.75" hidden="1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256">
        <v>0</v>
      </c>
      <c r="M695" s="255">
        <v>0</v>
      </c>
      <c r="N695" s="255">
        <v>0</v>
      </c>
      <c r="O695" s="255">
        <f>IF(L695&gt;0,N695*100/L695,0)</f>
        <v>0</v>
      </c>
      <c r="P695" s="255">
        <f>IF(M695&gt;0,N695*100/M695,0)</f>
        <v>0</v>
      </c>
      <c r="Q695" s="255">
        <f ca="1">IFERROR(__xludf.DUMMYFUNCTION("IMPORTRANGE(""https://docs.google.com/spreadsheets/d/1ItG2mGa2ceCfYo0BwxsXqNm01IGEUdYcSSLTEv9YCik/edit?usp=sharing"",""เบิกจ่ายกองทุน!L43"")"),367610)</f>
        <v>367610</v>
      </c>
      <c r="R695" s="255">
        <f ca="1">IFERROR(__xludf.DUMMYFUNCTION("IMPORTRANGE(""https://docs.google.com/spreadsheets/d/1ItG2mGa2ceCfYo0BwxsXqNm01IGEUdYcSSLTEv9YCik/edit?usp=sharing"",""เบิกจ่ายกองทุน!M43"")"),367610)</f>
        <v>367610</v>
      </c>
      <c r="S695" s="255">
        <f ca="1">IFERROR(__xludf.DUMMYFUNCTION("IMPORTRANGE(""https://docs.google.com/spreadsheets/d/1ItG2mGa2ceCfYo0BwxsXqNm01IGEUdYcSSLTEv9YCik/edit?usp=sharing"",""เบิกจ่ายกองทุน!N43"")"),165840.99)</f>
        <v>165840.99</v>
      </c>
      <c r="T695" s="255">
        <f ca="1">IF(Q695&gt;0,S695*100/Q695,0)</f>
        <v>45.113296700307394</v>
      </c>
      <c r="U695" s="255">
        <f ca="1">IF(R695&gt;0,S695*100/R695,0)</f>
        <v>45.113296700307394</v>
      </c>
    </row>
    <row r="696" spans="1:21" ht="18.75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256">
        <f>L697+L698</f>
        <v>0</v>
      </c>
      <c r="M696" s="255">
        <f>M697+M698</f>
        <v>0</v>
      </c>
      <c r="N696" s="255">
        <f>N697+N698</f>
        <v>0</v>
      </c>
      <c r="O696" s="255">
        <f>IF(L696&gt;0,N696*100/L696,0)</f>
        <v>0</v>
      </c>
      <c r="P696" s="255">
        <f>IF(M696&gt;0,N696*100/M696,0)</f>
        <v>0</v>
      </c>
      <c r="Q696" s="255">
        <f>Q697+Q698</f>
        <v>0</v>
      </c>
      <c r="R696" s="255">
        <f>R697+R698</f>
        <v>0</v>
      </c>
      <c r="S696" s="255">
        <f>S697+S698</f>
        <v>0</v>
      </c>
      <c r="T696" s="255">
        <f>IF(Q696&gt;0,S696*100/Q696,0)</f>
        <v>0</v>
      </c>
      <c r="U696" s="255">
        <f>IF(R696&gt;0,S696*100/R696,0)</f>
        <v>0</v>
      </c>
    </row>
    <row r="697" spans="1:21" ht="18.75" hidden="1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103">
        <v>0</v>
      </c>
      <c r="M697" s="102">
        <v>0</v>
      </c>
      <c r="N697" s="102">
        <v>0</v>
      </c>
      <c r="O697" s="102">
        <f>IF(L697&gt;0,N697*100/L697,0)</f>
        <v>0</v>
      </c>
      <c r="P697" s="102">
        <f>IF(M697&gt;0,N697*100/M697,0)</f>
        <v>0</v>
      </c>
      <c r="Q697" s="102">
        <v>0</v>
      </c>
      <c r="R697" s="102">
        <v>0</v>
      </c>
      <c r="S697" s="102">
        <v>0</v>
      </c>
      <c r="T697" s="102">
        <f>IF(Q697&gt;0,S697*100/Q697,0)</f>
        <v>0</v>
      </c>
      <c r="U697" s="102">
        <f>IF(R697&gt;0,S697*100/R697,0)</f>
        <v>0</v>
      </c>
    </row>
    <row r="698" spans="1:21" ht="18.75" hidden="1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256">
        <v>0</v>
      </c>
      <c r="M698" s="255">
        <v>0</v>
      </c>
      <c r="N698" s="255">
        <v>0</v>
      </c>
      <c r="O698" s="255">
        <f>IF(L698&gt;0,N698*100/L698,0)</f>
        <v>0</v>
      </c>
      <c r="P698" s="255">
        <f>IF(M698&gt;0,N698*100/M698,0)</f>
        <v>0</v>
      </c>
      <c r="Q698" s="255">
        <v>0</v>
      </c>
      <c r="R698" s="255">
        <v>0</v>
      </c>
      <c r="S698" s="255">
        <v>0</v>
      </c>
      <c r="T698" s="255">
        <f>IF(Q698&gt;0,S698*100/Q698,0)</f>
        <v>0</v>
      </c>
      <c r="U698" s="255">
        <f>IF(R698&gt;0,S698*100/R698,0)</f>
        <v>0</v>
      </c>
    </row>
    <row r="699" spans="1:21" ht="19.5">
      <c r="A699" s="166"/>
      <c r="B699" s="167"/>
      <c r="C699" s="205" t="s">
        <v>18</v>
      </c>
      <c r="D699" s="566" t="s">
        <v>38</v>
      </c>
      <c r="E699" s="169"/>
      <c r="F699" s="169"/>
      <c r="G699" s="169"/>
      <c r="H699" s="206"/>
      <c r="I699" s="163"/>
      <c r="J699" s="163"/>
      <c r="K699" s="164"/>
      <c r="L699" s="62"/>
      <c r="M699" s="55"/>
      <c r="N699" s="55"/>
      <c r="O699" s="55"/>
      <c r="P699" s="55"/>
      <c r="Q699" s="55"/>
      <c r="R699" s="55"/>
      <c r="S699" s="55"/>
      <c r="T699" s="55"/>
      <c r="U699" s="55"/>
    </row>
    <row r="700" spans="1:21" ht="18.75">
      <c r="A700" s="238"/>
      <c r="B700" s="188"/>
      <c r="C700" s="188"/>
      <c r="D700" s="174"/>
      <c r="E700" s="173" t="s">
        <v>257</v>
      </c>
      <c r="F700" s="174"/>
      <c r="G700" s="171"/>
      <c r="H700" s="165" t="s">
        <v>258</v>
      </c>
      <c r="I700" s="212">
        <f ca="1">IFERROR(__xludf.DUMMYFUNCTION("IMPORTRANGE(""https://docs.google.com/spreadsheets/d/1eHaY18a8A9IcSdp1K8H6x8fbOy06t2VsZHhMHf-1x7Y/edit?usp=sharing"",""แผน!LC43"")"),0)</f>
        <v>0</v>
      </c>
      <c r="J700" s="467">
        <v>0</v>
      </c>
      <c r="K700" s="565">
        <f ca="1">IF(I700&gt;0,J700*100/I700,0)</f>
        <v>0</v>
      </c>
      <c r="L700" s="172"/>
      <c r="M700" s="164"/>
      <c r="N700" s="55"/>
      <c r="O700" s="164"/>
      <c r="P700" s="164"/>
      <c r="Q700" s="164"/>
      <c r="R700" s="164"/>
      <c r="S700" s="55"/>
      <c r="T700" s="164"/>
      <c r="U700" s="164"/>
    </row>
    <row r="701" spans="1:21" ht="19.5">
      <c r="A701" s="238"/>
      <c r="B701" s="188"/>
      <c r="C701" s="188"/>
      <c r="D701" s="174"/>
      <c r="E701" s="476" t="s">
        <v>259</v>
      </c>
      <c r="F701" s="174"/>
      <c r="G701" s="171"/>
      <c r="H701" s="158" t="s">
        <v>35</v>
      </c>
      <c r="I701" s="373">
        <f ca="1">I703+I705</f>
        <v>257</v>
      </c>
      <c r="J701" s="373">
        <f ca="1">J703+J705</f>
        <v>7</v>
      </c>
      <c r="K701" s="540">
        <f ca="1">IF(I701&gt;0,J701*100/I701,0)</f>
        <v>2.7237354085603114</v>
      </c>
      <c r="L701" s="172"/>
      <c r="M701" s="164"/>
      <c r="N701" s="164"/>
      <c r="O701" s="164"/>
      <c r="P701" s="164"/>
      <c r="Q701" s="164"/>
      <c r="R701" s="164"/>
      <c r="S701" s="164"/>
      <c r="T701" s="164"/>
      <c r="U701" s="164"/>
    </row>
    <row r="702" spans="1:21" ht="19.5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73">
        <v>0</v>
      </c>
      <c r="J702" s="373">
        <f ca="1">J704+J706</f>
        <v>4.1900000000000004</v>
      </c>
      <c r="K702" s="540">
        <f>IF(I702&gt;0,J702*100/I702,0)</f>
        <v>0</v>
      </c>
      <c r="L702" s="172"/>
      <c r="M702" s="164"/>
      <c r="N702" s="164"/>
      <c r="O702" s="164"/>
      <c r="P702" s="164"/>
      <c r="Q702" s="164"/>
      <c r="R702" s="164"/>
      <c r="S702" s="164"/>
      <c r="T702" s="164"/>
      <c r="U702" s="164"/>
    </row>
    <row r="703" spans="1:21" ht="18.75">
      <c r="A703" s="238"/>
      <c r="B703" s="188"/>
      <c r="C703" s="188"/>
      <c r="D703" s="174"/>
      <c r="E703" s="174"/>
      <c r="F703" s="173" t="s">
        <v>260</v>
      </c>
      <c r="G703" s="171"/>
      <c r="H703" s="165" t="s">
        <v>35</v>
      </c>
      <c r="I703" s="212">
        <f ca="1">IFERROR(__xludf.DUMMYFUNCTION("IMPORTRANGE(""https://docs.google.com/spreadsheets/d/1eHaY18a8A9IcSdp1K8H6x8fbOy06t2VsZHhMHf-1x7Y/edit?usp=sharing"",""แผน!LJ43"")"),250)</f>
        <v>250</v>
      </c>
      <c r="J703" s="212">
        <f ca="1">IFERROR(__xludf.DUMMYFUNCTION("IMPORTRANGE(""https://docs.google.com/spreadsheets/d/1tdoBKaGub7dwA3U6UFTqxio9LNnvDCQjHKmttSEBsFQ/edit?usp=sharing"",""จัดที่ดิน!AP43"")"),7)</f>
        <v>7</v>
      </c>
      <c r="K703" s="255">
        <f ca="1">IF(I703&gt;0,J703*100/I703,0)</f>
        <v>2.8</v>
      </c>
      <c r="L703" s="172"/>
      <c r="M703" s="164"/>
      <c r="N703" s="164"/>
      <c r="O703" s="164"/>
      <c r="P703" s="164"/>
      <c r="Q703" s="164"/>
      <c r="R703" s="164"/>
      <c r="S703" s="164"/>
      <c r="T703" s="164"/>
      <c r="U703" s="164"/>
    </row>
    <row r="704" spans="1:21" ht="18.75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212">
        <f ca="1">IFERROR(__xludf.DUMMYFUNCTION("IMPORTRANGE(""https://docs.google.com/spreadsheets/d/1tdoBKaGub7dwA3U6UFTqxio9LNnvDCQjHKmttSEBsFQ/edit?usp=sharing"",""จัดที่ดิน!AQ43"")"),4.19)</f>
        <v>4.1900000000000004</v>
      </c>
      <c r="K704" s="255">
        <f>IF(I704&gt;0,J704*100/I704,0)</f>
        <v>0</v>
      </c>
      <c r="L704" s="172"/>
      <c r="M704" s="164"/>
      <c r="N704" s="164"/>
      <c r="O704" s="164"/>
      <c r="P704" s="164"/>
      <c r="Q704" s="164"/>
      <c r="R704" s="164"/>
      <c r="S704" s="164"/>
      <c r="T704" s="164"/>
      <c r="U704" s="164"/>
    </row>
    <row r="705" spans="1:21" ht="18.75">
      <c r="A705" s="238"/>
      <c r="B705" s="188"/>
      <c r="C705" s="188"/>
      <c r="D705" s="174"/>
      <c r="E705" s="174"/>
      <c r="F705" s="173" t="s">
        <v>261</v>
      </c>
      <c r="G705" s="171"/>
      <c r="H705" s="165" t="s">
        <v>35</v>
      </c>
      <c r="I705" s="212">
        <f ca="1">IFERROR(__xludf.DUMMYFUNCTION("IMPORTRANGE(""https://docs.google.com/spreadsheets/d/1eHaY18a8A9IcSdp1K8H6x8fbOy06t2VsZHhMHf-1x7Y/edit?usp=sharing"",""แผน!LK43"")"),7)</f>
        <v>7</v>
      </c>
      <c r="J705" s="212">
        <f ca="1">IFERROR(__xludf.DUMMYFUNCTION("IMPORTRANGE(""https://docs.google.com/spreadsheets/d/1tdoBKaGub7dwA3U6UFTqxio9LNnvDCQjHKmttSEBsFQ/edit?usp=sharing"",""จัดที่ดิน!AR43"")"),0)</f>
        <v>0</v>
      </c>
      <c r="K705" s="565">
        <f ca="1">IF(I705&gt;0,J705*100/I705,0)</f>
        <v>0</v>
      </c>
      <c r="L705" s="172"/>
      <c r="M705" s="164"/>
      <c r="N705" s="164"/>
      <c r="O705" s="164"/>
      <c r="P705" s="164"/>
      <c r="Q705" s="164"/>
      <c r="R705" s="164"/>
      <c r="S705" s="164"/>
      <c r="T705" s="164"/>
      <c r="U705" s="164"/>
    </row>
    <row r="706" spans="1:21" ht="18.75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212">
        <f ca="1">IFERROR(__xludf.DUMMYFUNCTION("IMPORTRANGE(""https://docs.google.com/spreadsheets/d/1tdoBKaGub7dwA3U6UFTqxio9LNnvDCQjHKmttSEBsFQ/edit?usp=sharing"",""จัดที่ดิน!AS43"")"),0)</f>
        <v>0</v>
      </c>
      <c r="K706" s="255">
        <f>IF(I706&gt;0,J706*100/I706,0)</f>
        <v>0</v>
      </c>
      <c r="L706" s="172"/>
      <c r="M706" s="164"/>
      <c r="N706" s="164"/>
      <c r="O706" s="164"/>
      <c r="P706" s="164"/>
      <c r="Q706" s="164"/>
      <c r="R706" s="164"/>
      <c r="S706" s="164"/>
      <c r="T706" s="164"/>
      <c r="U706" s="164"/>
    </row>
    <row r="707" spans="1:21" ht="18.75">
      <c r="A707" s="238"/>
      <c r="B707" s="188"/>
      <c r="C707" s="188"/>
      <c r="D707" s="174"/>
      <c r="E707" s="173" t="s">
        <v>262</v>
      </c>
      <c r="F707" s="174"/>
      <c r="G707" s="171"/>
      <c r="H707" s="162" t="s">
        <v>35</v>
      </c>
      <c r="I707" s="212">
        <f ca="1">IFERROR(__xludf.DUMMYFUNCTION("IMPORTRANGE(""https://docs.google.com/spreadsheets/d/1eHaY18a8A9IcSdp1K8H6x8fbOy06t2VsZHhMHf-1x7Y/edit?usp=sharing"",""แผน!LJ43"")"),250)</f>
        <v>250</v>
      </c>
      <c r="J707" s="212">
        <f ca="1">IFERROR(__xludf.DUMMYFUNCTION("IMPORTRANGE(""https://docs.google.com/spreadsheets/d/1tdoBKaGub7dwA3U6UFTqxio9LNnvDCQjHKmttSEBsFQ/edit?usp=sharing"",""จัดที่ดิน!BN43"")"),17)</f>
        <v>17</v>
      </c>
      <c r="K707" s="255">
        <f ca="1">IF(I707&gt;0,J707*100/I707,0)</f>
        <v>6.8</v>
      </c>
      <c r="L707" s="172"/>
      <c r="M707" s="164"/>
      <c r="N707" s="164"/>
      <c r="O707" s="164"/>
      <c r="P707" s="164"/>
      <c r="Q707" s="164"/>
      <c r="R707" s="164"/>
      <c r="S707" s="164"/>
      <c r="T707" s="164"/>
      <c r="U707" s="164"/>
    </row>
    <row r="708" spans="1:21" ht="18.75">
      <c r="A708" s="238"/>
      <c r="B708" s="188"/>
      <c r="C708" s="188"/>
      <c r="D708" s="174"/>
      <c r="E708" s="477" t="s">
        <v>263</v>
      </c>
      <c r="F708" s="174"/>
      <c r="G708" s="171"/>
      <c r="H708" s="162" t="s">
        <v>46</v>
      </c>
      <c r="I708" s="212">
        <v>0</v>
      </c>
      <c r="J708" s="212">
        <f ca="1">IFERROR(__xludf.DUMMYFUNCTION("IMPORTRANGE(""https://docs.google.com/spreadsheets/d/1tdoBKaGub7dwA3U6UFTqxio9LNnvDCQjHKmttSEBsFQ/edit?usp=sharing"",""จัดที่ดิน!BO43"")"),6)</f>
        <v>6</v>
      </c>
      <c r="K708" s="255">
        <f>IF(I708&gt;0,J708*100/I708,0)</f>
        <v>0</v>
      </c>
      <c r="L708" s="172"/>
      <c r="M708" s="164"/>
      <c r="N708" s="164"/>
      <c r="O708" s="164"/>
      <c r="P708" s="164"/>
      <c r="Q708" s="164"/>
      <c r="R708" s="164"/>
      <c r="S708" s="164"/>
      <c r="T708" s="164"/>
      <c r="U708" s="164"/>
    </row>
    <row r="709" spans="1:21" ht="18.75">
      <c r="A709" s="238"/>
      <c r="B709" s="188"/>
      <c r="C709" s="188"/>
      <c r="D709" s="50"/>
      <c r="E709" s="58" t="s">
        <v>264</v>
      </c>
      <c r="F709" s="50"/>
      <c r="G709" s="52"/>
      <c r="H709" s="203" t="s">
        <v>35</v>
      </c>
      <c r="I709" s="212">
        <f ca="1">IFERROR(__xludf.DUMMYFUNCTION("IMPORTRANGE(""https://docs.google.com/spreadsheets/d/1eHaY18a8A9IcSdp1K8H6x8fbOy06t2VsZHhMHf-1x7Y/edit?usp=sharing"",""แผน!LK43"")"),7)</f>
        <v>7</v>
      </c>
      <c r="J709" s="212">
        <f ca="1">IFERROR(__xludf.DUMMYFUNCTION("IMPORTRANGE(""https://docs.google.com/spreadsheets/d/1tdoBKaGub7dwA3U6UFTqxio9LNnvDCQjHKmttSEBsFQ/edit?usp=sharing"",""จัดที่ดิน!BP43"")"),0)</f>
        <v>0</v>
      </c>
      <c r="K709" s="255">
        <f ca="1">IF(I709&gt;0,J709*100/I709,0)</f>
        <v>0</v>
      </c>
      <c r="L709" s="62"/>
      <c r="M709" s="55"/>
      <c r="N709" s="55"/>
      <c r="O709" s="55"/>
      <c r="P709" s="55"/>
      <c r="Q709" s="55"/>
      <c r="R709" s="55"/>
      <c r="S709" s="55"/>
      <c r="T709" s="55"/>
      <c r="U709" s="55"/>
    </row>
    <row r="710" spans="1:21" ht="18.75">
      <c r="A710" s="238"/>
      <c r="B710" s="188"/>
      <c r="C710" s="188"/>
      <c r="D710" s="50"/>
      <c r="E710" s="477" t="s">
        <v>265</v>
      </c>
      <c r="F710" s="50"/>
      <c r="G710" s="52"/>
      <c r="H710" s="203" t="s">
        <v>46</v>
      </c>
      <c r="I710" s="212">
        <v>0</v>
      </c>
      <c r="J710" s="212">
        <f ca="1">IFERROR(__xludf.DUMMYFUNCTION("IMPORTRANGE(""https://docs.google.com/spreadsheets/d/1tdoBKaGub7dwA3U6UFTqxio9LNnvDCQjHKmttSEBsFQ/edit?usp=sharing"",""จัดที่ดิน!BQ43"")"),0)</f>
        <v>0</v>
      </c>
      <c r="K710" s="255">
        <f>IF(I710&gt;0,J710*100/I710,0)</f>
        <v>0</v>
      </c>
      <c r="L710" s="62"/>
      <c r="M710" s="55"/>
      <c r="N710" s="55"/>
      <c r="O710" s="55"/>
      <c r="P710" s="55"/>
      <c r="Q710" s="55"/>
      <c r="R710" s="55"/>
      <c r="S710" s="55"/>
      <c r="T710" s="55"/>
      <c r="U710" s="55"/>
    </row>
    <row r="711" spans="1:21" ht="12.75" hidden="1">
      <c r="A711" s="407"/>
      <c r="B711" s="360"/>
      <c r="C711" s="360"/>
      <c r="D711" s="408"/>
      <c r="E711" s="408"/>
      <c r="F711" s="408"/>
      <c r="G711" s="409"/>
      <c r="H711" s="361"/>
      <c r="I711" s="362"/>
      <c r="J711" s="362"/>
      <c r="K711" s="363"/>
      <c r="L711" s="364"/>
      <c r="M711" s="363"/>
      <c r="N711" s="363"/>
      <c r="O711" s="363"/>
      <c r="P711" s="363"/>
      <c r="Q711" s="363"/>
      <c r="R711" s="363"/>
      <c r="S711" s="363"/>
      <c r="T711" s="363"/>
      <c r="U711" s="363"/>
    </row>
    <row r="712" spans="1:21" ht="19.5" hidden="1">
      <c r="A712" s="442"/>
      <c r="B712" s="478" t="s">
        <v>266</v>
      </c>
      <c r="C712" s="442"/>
      <c r="D712" s="444"/>
      <c r="E712" s="444"/>
      <c r="F712" s="444"/>
      <c r="G712" s="445"/>
      <c r="H712" s="479" t="s">
        <v>46</v>
      </c>
      <c r="I712" s="447"/>
      <c r="J712" s="447">
        <f>J724</f>
        <v>0</v>
      </c>
      <c r="K712" s="564">
        <f>IF(I712&gt;0,J712*100/I712,0)</f>
        <v>0</v>
      </c>
      <c r="L712" s="449"/>
      <c r="M712" s="448"/>
      <c r="N712" s="448"/>
      <c r="O712" s="448"/>
      <c r="P712" s="448"/>
      <c r="Q712" s="448"/>
      <c r="R712" s="448"/>
      <c r="S712" s="448"/>
      <c r="T712" s="448"/>
      <c r="U712" s="448"/>
    </row>
    <row r="713" spans="1:21" ht="19.5" hidden="1">
      <c r="A713" s="442"/>
      <c r="B713" s="478" t="s">
        <v>267</v>
      </c>
      <c r="C713" s="442"/>
      <c r="D713" s="444"/>
      <c r="E713" s="444"/>
      <c r="F713" s="444"/>
      <c r="G713" s="445"/>
      <c r="H713" s="446"/>
      <c r="I713" s="447"/>
      <c r="J713" s="447"/>
      <c r="K713" s="448"/>
      <c r="L713" s="449"/>
      <c r="M713" s="448"/>
      <c r="N713" s="448"/>
      <c r="O713" s="448"/>
      <c r="P713" s="448"/>
      <c r="Q713" s="448"/>
      <c r="R713" s="448"/>
      <c r="S713" s="448"/>
      <c r="T713" s="448"/>
      <c r="U713" s="448"/>
    </row>
    <row r="714" spans="1:21" ht="19.5" hidden="1">
      <c r="A714" s="155"/>
      <c r="B714" s="188"/>
      <c r="C714" s="358" t="s">
        <v>18</v>
      </c>
      <c r="D714" s="563" t="s">
        <v>19</v>
      </c>
      <c r="E714" s="529"/>
      <c r="F714" s="529"/>
      <c r="G714" s="530"/>
      <c r="H714" s="418" t="s">
        <v>14</v>
      </c>
      <c r="I714" s="54"/>
      <c r="J714" s="54"/>
      <c r="K714" s="55"/>
      <c r="L714" s="541">
        <f>L715+L716</f>
        <v>0</v>
      </c>
      <c r="M714" s="540">
        <f>M715+M716</f>
        <v>0</v>
      </c>
      <c r="N714" s="540">
        <f>N715+N716</f>
        <v>0</v>
      </c>
      <c r="O714" s="540">
        <f>IF(L714&gt;0,N714*100/L714,0)</f>
        <v>0</v>
      </c>
      <c r="P714" s="540">
        <f>IF(M714&gt;0,N714*100/M714,0)</f>
        <v>0</v>
      </c>
      <c r="Q714" s="540">
        <f>Q715+Q716</f>
        <v>0</v>
      </c>
      <c r="R714" s="540">
        <f>R715+R716</f>
        <v>0</v>
      </c>
      <c r="S714" s="540">
        <f>S715+S716</f>
        <v>0</v>
      </c>
      <c r="T714" s="540">
        <f>IF(Q714&gt;0,S714*100/Q714,0)</f>
        <v>0</v>
      </c>
      <c r="U714" s="540">
        <f>IF(R714&gt;0,S714*100/R714,0)</f>
        <v>0</v>
      </c>
    </row>
    <row r="715" spans="1:21" ht="18.75" hidden="1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103">
        <f>L718+L721</f>
        <v>0</v>
      </c>
      <c r="M715" s="102">
        <f>M718+M721</f>
        <v>0</v>
      </c>
      <c r="N715" s="102">
        <f>N718+N721</f>
        <v>0</v>
      </c>
      <c r="O715" s="102">
        <f>IF(L715&gt;0,N715*100/L715,0)</f>
        <v>0</v>
      </c>
      <c r="P715" s="102">
        <f>IF(M715&gt;0,N715*100/M715,0)</f>
        <v>0</v>
      </c>
      <c r="Q715" s="102">
        <f>Q718+Q721</f>
        <v>0</v>
      </c>
      <c r="R715" s="102">
        <f>R718+R721</f>
        <v>0</v>
      </c>
      <c r="S715" s="102">
        <f>S718+S721</f>
        <v>0</v>
      </c>
      <c r="T715" s="102">
        <f>IF(Q715&gt;0,S715*100/Q715,0)</f>
        <v>0</v>
      </c>
      <c r="U715" s="102">
        <f>IF(R715&gt;0,S715*100/R715,0)</f>
        <v>0</v>
      </c>
    </row>
    <row r="716" spans="1:21" ht="18.75" hidden="1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256">
        <f>L719+L722</f>
        <v>0</v>
      </c>
      <c r="M716" s="255">
        <f>M719+M722</f>
        <v>0</v>
      </c>
      <c r="N716" s="255">
        <f>N719+N722</f>
        <v>0</v>
      </c>
      <c r="O716" s="255">
        <f>IF(L716&gt;0,N716*100/L716,0)</f>
        <v>0</v>
      </c>
      <c r="P716" s="255">
        <f>IF(M716&gt;0,N716*100/M716,0)</f>
        <v>0</v>
      </c>
      <c r="Q716" s="255">
        <f>Q719+Q722</f>
        <v>0</v>
      </c>
      <c r="R716" s="255">
        <f>R719+R722</f>
        <v>0</v>
      </c>
      <c r="S716" s="255">
        <f>S719+S722</f>
        <v>0</v>
      </c>
      <c r="T716" s="255">
        <f>IF(Q716&gt;0,S716*100/Q716,0)</f>
        <v>0</v>
      </c>
      <c r="U716" s="255">
        <f>IF(R716&gt;0,S716*100/R716,0)</f>
        <v>0</v>
      </c>
    </row>
    <row r="717" spans="1:21" ht="19.5" hidden="1">
      <c r="A717" s="155"/>
      <c r="B717" s="188"/>
      <c r="C717" s="188"/>
      <c r="D717" s="562" t="s">
        <v>22</v>
      </c>
      <c r="E717" s="50"/>
      <c r="F717" s="50"/>
      <c r="G717" s="52"/>
      <c r="H717" s="418" t="s">
        <v>14</v>
      </c>
      <c r="I717" s="163"/>
      <c r="J717" s="163"/>
      <c r="K717" s="164"/>
      <c r="L717" s="256">
        <f>L718+L719</f>
        <v>0</v>
      </c>
      <c r="M717" s="255">
        <f>M718+M719</f>
        <v>0</v>
      </c>
      <c r="N717" s="255">
        <f>N718+N719</f>
        <v>0</v>
      </c>
      <c r="O717" s="255">
        <f>IF(L717&gt;0,N717*100/L717,0)</f>
        <v>0</v>
      </c>
      <c r="P717" s="255">
        <f>IF(M717&gt;0,N717*100/M717,0)</f>
        <v>0</v>
      </c>
      <c r="Q717" s="255">
        <f>Q718+Q719</f>
        <v>0</v>
      </c>
      <c r="R717" s="255">
        <f>R718+R719</f>
        <v>0</v>
      </c>
      <c r="S717" s="255">
        <f>S718+S719</f>
        <v>0</v>
      </c>
      <c r="T717" s="255">
        <f>IF(Q717&gt;0,S717*100/Q717,0)</f>
        <v>0</v>
      </c>
      <c r="U717" s="255">
        <f>IF(R717&gt;0,S717*100/R717,0)</f>
        <v>0</v>
      </c>
    </row>
    <row r="718" spans="1:21" ht="18.75" hidden="1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103">
        <v>0</v>
      </c>
      <c r="M718" s="102">
        <v>0</v>
      </c>
      <c r="N718" s="102">
        <v>0</v>
      </c>
      <c r="O718" s="102">
        <f>IF(L718&gt;0,N718*100/L718,0)</f>
        <v>0</v>
      </c>
      <c r="P718" s="102">
        <f>IF(M718&gt;0,N718*100/M718,0)</f>
        <v>0</v>
      </c>
      <c r="Q718" s="102">
        <v>0</v>
      </c>
      <c r="R718" s="102">
        <v>0</v>
      </c>
      <c r="S718" s="102">
        <v>0</v>
      </c>
      <c r="T718" s="102">
        <f>IF(Q718&gt;0,S718*100/Q718,0)</f>
        <v>0</v>
      </c>
      <c r="U718" s="102">
        <f>IF(R718&gt;0,S718*100/R718,0)</f>
        <v>0</v>
      </c>
    </row>
    <row r="719" spans="1:21" ht="18.75" hidden="1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256">
        <v>0</v>
      </c>
      <c r="M719" s="255">
        <v>0</v>
      </c>
      <c r="N719" s="255">
        <v>0</v>
      </c>
      <c r="O719" s="255">
        <f>IF(L719&gt;0,N719*100/L719,0)</f>
        <v>0</v>
      </c>
      <c r="P719" s="255">
        <f>IF(M719&gt;0,N719*100/M719,0)</f>
        <v>0</v>
      </c>
      <c r="Q719" s="255">
        <v>0</v>
      </c>
      <c r="R719" s="255">
        <v>0</v>
      </c>
      <c r="S719" s="255">
        <v>0</v>
      </c>
      <c r="T719" s="255">
        <f>IF(Q719&gt;0,S719*100/Q719,0)</f>
        <v>0</v>
      </c>
      <c r="U719" s="255">
        <f>IF(R719&gt;0,S719*100/R719,0)</f>
        <v>0</v>
      </c>
    </row>
    <row r="720" spans="1:21" ht="19.5" hidden="1">
      <c r="A720" s="155"/>
      <c r="B720" s="188"/>
      <c r="C720" s="188"/>
      <c r="D720" s="562" t="s">
        <v>23</v>
      </c>
      <c r="E720" s="50"/>
      <c r="F720" s="50"/>
      <c r="G720" s="52"/>
      <c r="H720" s="420" t="s">
        <v>14</v>
      </c>
      <c r="I720" s="163"/>
      <c r="J720" s="163"/>
      <c r="K720" s="164"/>
      <c r="L720" s="256">
        <f>L721+L722</f>
        <v>0</v>
      </c>
      <c r="M720" s="255">
        <f>M721+M722</f>
        <v>0</v>
      </c>
      <c r="N720" s="255">
        <f>N721+N722</f>
        <v>0</v>
      </c>
      <c r="O720" s="255">
        <f>IF(L720&gt;0,N720*100/L720,0)</f>
        <v>0</v>
      </c>
      <c r="P720" s="255">
        <f>IF(M720&gt;0,N720*100/M720,0)</f>
        <v>0</v>
      </c>
      <c r="Q720" s="255">
        <f>Q721+Q722</f>
        <v>0</v>
      </c>
      <c r="R720" s="255">
        <f>R721+R722</f>
        <v>0</v>
      </c>
      <c r="S720" s="255">
        <f>S721+S722</f>
        <v>0</v>
      </c>
      <c r="T720" s="255">
        <f>IF(Q720&gt;0,S720*100/Q720,0)</f>
        <v>0</v>
      </c>
      <c r="U720" s="255">
        <f>IF(R720&gt;0,S720*100/R720,0)</f>
        <v>0</v>
      </c>
    </row>
    <row r="721" spans="1:21" ht="18.75" hidden="1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103">
        <v>0</v>
      </c>
      <c r="M721" s="102">
        <v>0</v>
      </c>
      <c r="N721" s="102">
        <v>0</v>
      </c>
      <c r="O721" s="102">
        <f>IF(L721&gt;0,N721*100/L721,0)</f>
        <v>0</v>
      </c>
      <c r="P721" s="102">
        <f>IF(M721&gt;0,N721*100/M721,0)</f>
        <v>0</v>
      </c>
      <c r="Q721" s="102">
        <v>0</v>
      </c>
      <c r="R721" s="102">
        <v>0</v>
      </c>
      <c r="S721" s="102">
        <v>0</v>
      </c>
      <c r="T721" s="102">
        <f>IF(Q721&gt;0,S721*100/Q721,0)</f>
        <v>0</v>
      </c>
      <c r="U721" s="102">
        <f>IF(R721&gt;0,S721*100/R721,0)</f>
        <v>0</v>
      </c>
    </row>
    <row r="722" spans="1:21" ht="18.75" hidden="1">
      <c r="A722" s="155"/>
      <c r="B722" s="188"/>
      <c r="C722" s="188"/>
      <c r="D722" s="50"/>
      <c r="E722" s="186" t="s">
        <v>21</v>
      </c>
      <c r="F722" s="50"/>
      <c r="G722" s="52"/>
      <c r="H722" s="421" t="s">
        <v>14</v>
      </c>
      <c r="I722" s="163"/>
      <c r="J722" s="163"/>
      <c r="K722" s="164"/>
      <c r="L722" s="256">
        <v>0</v>
      </c>
      <c r="M722" s="255">
        <v>0</v>
      </c>
      <c r="N722" s="255">
        <v>0</v>
      </c>
      <c r="O722" s="255">
        <f>IF(L722&gt;0,N722*100/L722,0)</f>
        <v>0</v>
      </c>
      <c r="P722" s="255">
        <f>IF(M722&gt;0,N722*100/M722,0)</f>
        <v>0</v>
      </c>
      <c r="Q722" s="255">
        <v>0</v>
      </c>
      <c r="R722" s="255">
        <v>0</v>
      </c>
      <c r="S722" s="255">
        <v>0</v>
      </c>
      <c r="T722" s="255">
        <f>IF(Q722&gt;0,S722*100/Q722,0)</f>
        <v>0</v>
      </c>
      <c r="U722" s="255">
        <f>IF(R722&gt;0,S722*100/R722,0)</f>
        <v>0</v>
      </c>
    </row>
    <row r="723" spans="1:21" ht="19.5" hidden="1">
      <c r="A723" s="166"/>
      <c r="B723" s="167"/>
      <c r="C723" s="358" t="s">
        <v>18</v>
      </c>
      <c r="D723" s="561" t="s">
        <v>38</v>
      </c>
      <c r="E723" s="169"/>
      <c r="F723" s="169"/>
      <c r="G723" s="170"/>
      <c r="H723" s="206"/>
      <c r="I723" s="163"/>
      <c r="J723" s="163"/>
      <c r="K723" s="164"/>
      <c r="L723" s="172"/>
      <c r="M723" s="164"/>
      <c r="N723" s="164"/>
      <c r="O723" s="164"/>
      <c r="P723" s="164"/>
      <c r="Q723" s="164"/>
      <c r="R723" s="164"/>
      <c r="S723" s="164"/>
      <c r="T723" s="164"/>
      <c r="U723" s="164"/>
    </row>
    <row r="724" spans="1:21" ht="18.75" hidden="1">
      <c r="A724" s="238"/>
      <c r="B724" s="188"/>
      <c r="C724" s="188"/>
      <c r="D724" s="50"/>
      <c r="E724" s="186" t="s">
        <v>268</v>
      </c>
      <c r="F724" s="50"/>
      <c r="G724" s="52"/>
      <c r="H724" s="189" t="s">
        <v>46</v>
      </c>
      <c r="I724" s="483">
        <v>0</v>
      </c>
      <c r="J724" s="54"/>
      <c r="K724" s="55"/>
      <c r="L724" s="62"/>
      <c r="M724" s="55"/>
      <c r="N724" s="55"/>
      <c r="O724" s="55"/>
      <c r="P724" s="55"/>
      <c r="Q724" s="55"/>
      <c r="R724" s="55"/>
      <c r="S724" s="55"/>
      <c r="T724" s="55"/>
      <c r="U724" s="55"/>
    </row>
    <row r="725" spans="1:21" ht="18.75" hidden="1">
      <c r="A725" s="374"/>
      <c r="B725" s="5"/>
      <c r="C725" s="5"/>
      <c r="D725" s="4"/>
      <c r="E725" s="484" t="s">
        <v>269</v>
      </c>
      <c r="F725" s="4"/>
      <c r="G725" s="65"/>
      <c r="H725" s="485" t="s">
        <v>46</v>
      </c>
      <c r="I725" s="486">
        <v>0</v>
      </c>
      <c r="J725" s="67"/>
      <c r="K725" s="6"/>
      <c r="L725" s="68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>
      <c r="A726" s="442"/>
      <c r="B726" s="443" t="s">
        <v>270</v>
      </c>
      <c r="C726" s="442"/>
      <c r="D726" s="444"/>
      <c r="E726" s="444"/>
      <c r="F726" s="444"/>
      <c r="G726" s="445"/>
      <c r="H726" s="473" t="s">
        <v>35</v>
      </c>
      <c r="I726" s="544">
        <f ca="1">IFERROR(__xludf.DUMMYFUNCTION("IMPORTRANGE(""https://docs.google.com/spreadsheets/d/1eHaY18a8A9IcSdp1K8H6x8fbOy06t2VsZHhMHf-1x7Y/edit?usp=sharing"",""แผน!GA43"")"),21)</f>
        <v>21</v>
      </c>
      <c r="J726" s="544">
        <f>J742+J746+J749</f>
        <v>0</v>
      </c>
      <c r="K726" s="543">
        <f ca="1">IF(I726&gt;0,J726*100/I726,0)</f>
        <v>0</v>
      </c>
      <c r="L726" s="449"/>
      <c r="M726" s="448"/>
      <c r="N726" s="448"/>
      <c r="O726" s="448"/>
      <c r="P726" s="448"/>
      <c r="Q726" s="448"/>
      <c r="R726" s="448"/>
      <c r="S726" s="448"/>
      <c r="T726" s="448"/>
      <c r="U726" s="448"/>
    </row>
    <row r="727" spans="1:21" ht="19.5">
      <c r="A727" s="487"/>
      <c r="B727" s="442"/>
      <c r="C727" s="442"/>
      <c r="D727" s="444"/>
      <c r="E727" s="444"/>
      <c r="F727" s="444"/>
      <c r="G727" s="445"/>
      <c r="H727" s="473" t="s">
        <v>46</v>
      </c>
      <c r="I727" s="544">
        <f ca="1">IFERROR(__xludf.DUMMYFUNCTION("IMPORTRANGE(""https://docs.google.com/spreadsheets/d/1eHaY18a8A9IcSdp1K8H6x8fbOy06t2VsZHhMHf-1x7Y/edit?usp=sharing"",""แผน!FZ43"")"),200)</f>
        <v>200</v>
      </c>
      <c r="J727" s="544">
        <f>J752+J755</f>
        <v>0</v>
      </c>
      <c r="K727" s="543">
        <f ca="1">IF(I727&gt;0,J727*100/I727,0)</f>
        <v>0</v>
      </c>
      <c r="L727" s="449"/>
      <c r="M727" s="448"/>
      <c r="N727" s="448"/>
      <c r="O727" s="448"/>
      <c r="P727" s="448"/>
      <c r="Q727" s="448"/>
      <c r="R727" s="448"/>
      <c r="S727" s="448"/>
      <c r="T727" s="448"/>
      <c r="U727" s="448"/>
    </row>
    <row r="728" spans="1:21" ht="19.5">
      <c r="A728" s="155"/>
      <c r="B728" s="188"/>
      <c r="C728" s="205" t="s">
        <v>18</v>
      </c>
      <c r="D728" s="542" t="s">
        <v>19</v>
      </c>
      <c r="E728" s="529"/>
      <c r="F728" s="529"/>
      <c r="G728" s="530"/>
      <c r="H728" s="252" t="s">
        <v>14</v>
      </c>
      <c r="I728" s="54"/>
      <c r="J728" s="54"/>
      <c r="K728" s="55"/>
      <c r="L728" s="541">
        <f>L729+L730</f>
        <v>0</v>
      </c>
      <c r="M728" s="540">
        <f>M729+M730</f>
        <v>0</v>
      </c>
      <c r="N728" s="540">
        <f>N729+N730</f>
        <v>0</v>
      </c>
      <c r="O728" s="540">
        <f>IF(L728&gt;0,N728*100/L728,0)</f>
        <v>0</v>
      </c>
      <c r="P728" s="540">
        <f>IF(M728&gt;0,N728*100/M728,0)</f>
        <v>0</v>
      </c>
      <c r="Q728" s="540">
        <f ca="1">Q729+Q730</f>
        <v>175994</v>
      </c>
      <c r="R728" s="540">
        <f ca="1">R729+R730</f>
        <v>175994</v>
      </c>
      <c r="S728" s="540">
        <f ca="1">S729+S730</f>
        <v>0</v>
      </c>
      <c r="T728" s="540">
        <f ca="1">IF(Q728&gt;0,S728*100/Q728,0)</f>
        <v>0</v>
      </c>
      <c r="U728" s="540">
        <f ca="1">IF(R728&gt;0,S728*100/R728,0)</f>
        <v>0</v>
      </c>
    </row>
    <row r="729" spans="1:21" ht="18.75" hidden="1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103">
        <f>L732+L735</f>
        <v>0</v>
      </c>
      <c r="M729" s="102">
        <f>M732+M735</f>
        <v>0</v>
      </c>
      <c r="N729" s="102">
        <f>N732+N735</f>
        <v>0</v>
      </c>
      <c r="O729" s="102">
        <f>IF(L729&gt;0,N729*100/L729,0)</f>
        <v>0</v>
      </c>
      <c r="P729" s="102">
        <f>IF(M729&gt;0,N729*100/M729,0)</f>
        <v>0</v>
      </c>
      <c r="Q729" s="102">
        <f>Q732+Q735</f>
        <v>0</v>
      </c>
      <c r="R729" s="102">
        <f>R732+R735</f>
        <v>0</v>
      </c>
      <c r="S729" s="102">
        <f>S732+S735</f>
        <v>0</v>
      </c>
      <c r="T729" s="102">
        <f>IF(Q729&gt;0,S729*100/Q729,0)</f>
        <v>0</v>
      </c>
      <c r="U729" s="102">
        <f>IF(R729&gt;0,S729*100/R729,0)</f>
        <v>0</v>
      </c>
    </row>
    <row r="730" spans="1:21" ht="18.75" hidden="1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256">
        <f>L733+L736</f>
        <v>0</v>
      </c>
      <c r="M730" s="255">
        <f>M733+M736</f>
        <v>0</v>
      </c>
      <c r="N730" s="255">
        <f>N733+N736</f>
        <v>0</v>
      </c>
      <c r="O730" s="255">
        <f>IF(L730&gt;0,N730*100/L730,0)</f>
        <v>0</v>
      </c>
      <c r="P730" s="255">
        <f>IF(M730&gt;0,N730*100/M730,0)</f>
        <v>0</v>
      </c>
      <c r="Q730" s="255">
        <f ca="1">Q733+Q736</f>
        <v>175994</v>
      </c>
      <c r="R730" s="255">
        <f ca="1">R733+R736</f>
        <v>175994</v>
      </c>
      <c r="S730" s="255">
        <f ca="1">S733+S736</f>
        <v>0</v>
      </c>
      <c r="T730" s="255">
        <f ca="1">IF(Q730&gt;0,S730*100/Q730,0)</f>
        <v>0</v>
      </c>
      <c r="U730" s="255">
        <f ca="1">IF(R730&gt;0,S730*100/R730,0)</f>
        <v>0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256">
        <f>L732+L733</f>
        <v>0</v>
      </c>
      <c r="M731" s="255">
        <f>M732+M733</f>
        <v>0</v>
      </c>
      <c r="N731" s="255">
        <f>N732+N733</f>
        <v>0</v>
      </c>
      <c r="O731" s="255">
        <f>IF(L731&gt;0,N731*100/L731,0)</f>
        <v>0</v>
      </c>
      <c r="P731" s="255">
        <f>IF(M731&gt;0,N731*100/M731,0)</f>
        <v>0</v>
      </c>
      <c r="Q731" s="255">
        <f ca="1">Q732+Q733</f>
        <v>175994</v>
      </c>
      <c r="R731" s="255">
        <f ca="1">R732+R733</f>
        <v>175994</v>
      </c>
      <c r="S731" s="255">
        <f ca="1">S732+S733</f>
        <v>0</v>
      </c>
      <c r="T731" s="255">
        <f ca="1">IF(Q731&gt;0,S731*100/Q731,0)</f>
        <v>0</v>
      </c>
      <c r="U731" s="255">
        <f ca="1">IF(R731&gt;0,S731*100/R731,0)</f>
        <v>0</v>
      </c>
    </row>
    <row r="732" spans="1:21" ht="18.75" hidden="1">
      <c r="A732" s="155"/>
      <c r="B732" s="188"/>
      <c r="C732" s="188"/>
      <c r="D732" s="174"/>
      <c r="E732" s="186" t="s">
        <v>159</v>
      </c>
      <c r="F732" s="50"/>
      <c r="G732" s="52"/>
      <c r="H732" s="189" t="s">
        <v>14</v>
      </c>
      <c r="I732" s="54"/>
      <c r="J732" s="54"/>
      <c r="K732" s="55"/>
      <c r="L732" s="103">
        <v>0</v>
      </c>
      <c r="M732" s="102">
        <v>0</v>
      </c>
      <c r="N732" s="102">
        <v>0</v>
      </c>
      <c r="O732" s="102">
        <f>IF(L732&gt;0,N732*100/L732,0)</f>
        <v>0</v>
      </c>
      <c r="P732" s="102">
        <f>IF(M732&gt;0,N732*100/M732,0)</f>
        <v>0</v>
      </c>
      <c r="Q732" s="102">
        <v>0</v>
      </c>
      <c r="R732" s="102">
        <v>0</v>
      </c>
      <c r="S732" s="102">
        <v>0</v>
      </c>
      <c r="T732" s="102">
        <f>IF(Q732&gt;0,S732*100/Q732,0)</f>
        <v>0</v>
      </c>
      <c r="U732" s="102">
        <f>IF(R732&gt;0,S732*100/R732,0)</f>
        <v>0</v>
      </c>
    </row>
    <row r="733" spans="1:21" ht="18.75" hidden="1">
      <c r="A733" s="155"/>
      <c r="B733" s="188"/>
      <c r="C733" s="188"/>
      <c r="D733" s="174"/>
      <c r="E733" s="58" t="s">
        <v>160</v>
      </c>
      <c r="F733" s="50"/>
      <c r="G733" s="52"/>
      <c r="H733" s="162" t="s">
        <v>14</v>
      </c>
      <c r="I733" s="54"/>
      <c r="J733" s="54"/>
      <c r="K733" s="55"/>
      <c r="L733" s="256">
        <v>0</v>
      </c>
      <c r="M733" s="255">
        <v>0</v>
      </c>
      <c r="N733" s="255">
        <v>0</v>
      </c>
      <c r="O733" s="255">
        <f>IF(L733&gt;0,N733*100/L733,0)</f>
        <v>0</v>
      </c>
      <c r="P733" s="255">
        <f>IF(M733&gt;0,N733*100/M733,0)</f>
        <v>0</v>
      </c>
      <c r="Q733" s="255">
        <f ca="1">IFERROR(__xludf.DUMMYFUNCTION("IMPORTRANGE(""https://docs.google.com/spreadsheets/d/1ItG2mGa2ceCfYo0BwxsXqNm01IGEUdYcSSLTEv9YCik/edit?usp=sharing"",""เบิกจ่ายกองทุน!O43"")"),175994)</f>
        <v>175994</v>
      </c>
      <c r="R733" s="255">
        <f ca="1">IFERROR(__xludf.DUMMYFUNCTION("IMPORTRANGE(""https://docs.google.com/spreadsheets/d/1ItG2mGa2ceCfYo0BwxsXqNm01IGEUdYcSSLTEv9YCik/edit?usp=sharing"",""เบิกจ่ายกองทุน!P43"")"),175994)</f>
        <v>175994</v>
      </c>
      <c r="S733" s="255">
        <f ca="1">IFERROR(__xludf.DUMMYFUNCTION("IMPORTRANGE(""https://docs.google.com/spreadsheets/d/1ItG2mGa2ceCfYo0BwxsXqNm01IGEUdYcSSLTEv9YCik/edit?usp=sharing"",""เบิกจ่ายกองทุน!Q43"")"),0)</f>
        <v>0</v>
      </c>
      <c r="T733" s="255">
        <f ca="1">IF(Q733&gt;0,S733*100/Q733,0)</f>
        <v>0</v>
      </c>
      <c r="U733" s="255">
        <f ca="1">IF(R733&gt;0,S733*100/R733,0)</f>
        <v>0</v>
      </c>
    </row>
    <row r="734" spans="1:21" ht="18.75">
      <c r="A734" s="155"/>
      <c r="B734" s="188"/>
      <c r="C734" s="188"/>
      <c r="D734" s="51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256">
        <f>L735+L736</f>
        <v>0</v>
      </c>
      <c r="M734" s="255">
        <f>M735+M736</f>
        <v>0</v>
      </c>
      <c r="N734" s="255">
        <f>N735+N736</f>
        <v>0</v>
      </c>
      <c r="O734" s="255">
        <f>IF(L734&gt;0,N734*100/L734,0)</f>
        <v>0</v>
      </c>
      <c r="P734" s="255">
        <f>IF(M734&gt;0,N734*100/M734,0)</f>
        <v>0</v>
      </c>
      <c r="Q734" s="255">
        <f>Q735+Q736</f>
        <v>0</v>
      </c>
      <c r="R734" s="255">
        <f>R735+R736</f>
        <v>0</v>
      </c>
      <c r="S734" s="255">
        <f>S735+S736</f>
        <v>0</v>
      </c>
      <c r="T734" s="255">
        <f>IF(Q734&gt;0,S734*100/Q734,0)</f>
        <v>0</v>
      </c>
      <c r="U734" s="255">
        <f>IF(R734&gt;0,S734*100/R734,0)</f>
        <v>0</v>
      </c>
    </row>
    <row r="735" spans="1:21" ht="18.75" hidden="1">
      <c r="A735" s="155"/>
      <c r="B735" s="188"/>
      <c r="C735" s="188"/>
      <c r="D735" s="188"/>
      <c r="E735" s="358" t="s">
        <v>20</v>
      </c>
      <c r="F735" s="188"/>
      <c r="G735" s="52"/>
      <c r="H735" s="189" t="s">
        <v>14</v>
      </c>
      <c r="I735" s="163"/>
      <c r="J735" s="163"/>
      <c r="K735" s="164"/>
      <c r="L735" s="103">
        <v>0</v>
      </c>
      <c r="M735" s="102">
        <v>0</v>
      </c>
      <c r="N735" s="102">
        <v>0</v>
      </c>
      <c r="O735" s="102">
        <f>IF(L735&gt;0,N735*100/L735,0)</f>
        <v>0</v>
      </c>
      <c r="P735" s="102">
        <f>IF(M735&gt;0,N735*100/M735,0)</f>
        <v>0</v>
      </c>
      <c r="Q735" s="102">
        <v>0</v>
      </c>
      <c r="R735" s="102">
        <v>0</v>
      </c>
      <c r="S735" s="102">
        <v>0</v>
      </c>
      <c r="T735" s="102">
        <f>IF(Q735&gt;0,S735*100/Q735,0)</f>
        <v>0</v>
      </c>
      <c r="U735" s="102">
        <f>IF(R735&gt;0,S735*100/R735,0)</f>
        <v>0</v>
      </c>
    </row>
    <row r="736" spans="1:21" ht="18.75" hidden="1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256">
        <v>0</v>
      </c>
      <c r="M736" s="255">
        <v>0</v>
      </c>
      <c r="N736" s="255">
        <v>0</v>
      </c>
      <c r="O736" s="255">
        <f>IF(L736&gt;0,N736*100/L736,0)</f>
        <v>0</v>
      </c>
      <c r="P736" s="255">
        <f>IF(M736&gt;0,N736*100/M736,0)</f>
        <v>0</v>
      </c>
      <c r="Q736" s="255">
        <v>0</v>
      </c>
      <c r="R736" s="255">
        <v>0</v>
      </c>
      <c r="S736" s="255">
        <v>0</v>
      </c>
      <c r="T736" s="255">
        <f>IF(Q736&gt;0,S736*100/Q736,0)</f>
        <v>0</v>
      </c>
      <c r="U736" s="255">
        <f>IF(R736&gt;0,S736*100/R736,0)</f>
        <v>0</v>
      </c>
    </row>
    <row r="737" spans="1:21" ht="19.5">
      <c r="A737" s="166"/>
      <c r="B737" s="167"/>
      <c r="C737" s="205" t="s">
        <v>18</v>
      </c>
      <c r="D737" s="560" t="s">
        <v>38</v>
      </c>
      <c r="E737" s="232"/>
      <c r="F737" s="169"/>
      <c r="G737" s="170"/>
      <c r="H737" s="206"/>
      <c r="I737" s="54"/>
      <c r="J737" s="54"/>
      <c r="K737" s="55"/>
      <c r="L737" s="62"/>
      <c r="M737" s="55"/>
      <c r="N737" s="55"/>
      <c r="O737" s="55"/>
      <c r="P737" s="55"/>
      <c r="Q737" s="55"/>
      <c r="R737" s="55"/>
      <c r="S737" s="55"/>
      <c r="T737" s="55"/>
      <c r="U737" s="55"/>
    </row>
    <row r="738" spans="1:21" ht="19.5">
      <c r="A738" s="166"/>
      <c r="B738" s="167"/>
      <c r="C738" s="167"/>
      <c r="D738" s="488" t="s">
        <v>121</v>
      </c>
      <c r="E738" s="167"/>
      <c r="F738" s="167"/>
      <c r="G738" s="171"/>
      <c r="H738" s="208"/>
      <c r="I738" s="54"/>
      <c r="J738" s="54"/>
      <c r="K738" s="55"/>
      <c r="L738" s="62"/>
      <c r="M738" s="55"/>
      <c r="N738" s="55"/>
      <c r="O738" s="55"/>
      <c r="P738" s="55"/>
      <c r="Q738" s="55"/>
      <c r="R738" s="55"/>
      <c r="S738" s="55"/>
      <c r="T738" s="55"/>
      <c r="U738" s="55"/>
    </row>
    <row r="739" spans="1:21" ht="18.75">
      <c r="A739" s="166"/>
      <c r="B739" s="167"/>
      <c r="C739" s="167"/>
      <c r="D739" s="167"/>
      <c r="E739" s="460" t="s">
        <v>271</v>
      </c>
      <c r="F739" s="167"/>
      <c r="G739" s="171"/>
      <c r="H739" s="208"/>
      <c r="I739" s="54"/>
      <c r="J739" s="54"/>
      <c r="K739" s="55"/>
      <c r="L739" s="62"/>
      <c r="M739" s="55"/>
      <c r="N739" s="55"/>
      <c r="O739" s="55"/>
      <c r="P739" s="55"/>
      <c r="Q739" s="55"/>
      <c r="R739" s="55"/>
      <c r="S739" s="55"/>
      <c r="T739" s="55"/>
      <c r="U739" s="55"/>
    </row>
    <row r="740" spans="1:21" ht="18.75">
      <c r="A740" s="166"/>
      <c r="B740" s="167"/>
      <c r="C740" s="167"/>
      <c r="D740" s="167"/>
      <c r="E740" s="167"/>
      <c r="F740" s="460" t="s">
        <v>272</v>
      </c>
      <c r="G740" s="171"/>
      <c r="H740" s="161" t="s">
        <v>46</v>
      </c>
      <c r="I740" s="212">
        <f ca="1">IFERROR(__xludf.DUMMYFUNCTION("IMPORTRANGE(""https://docs.google.com/spreadsheets/d/1eHaY18a8A9IcSdp1K8H6x8fbOy06t2VsZHhMHf-1x7Y/edit?usp=sharing"",""แผน!GB43"")"),160)</f>
        <v>160</v>
      </c>
      <c r="J740" s="467">
        <v>0</v>
      </c>
      <c r="K740" s="255">
        <f ca="1">IF(I740&gt;0,J740*100/I740,0)</f>
        <v>0</v>
      </c>
      <c r="L740" s="62"/>
      <c r="M740" s="55"/>
      <c r="N740" s="55"/>
      <c r="O740" s="55"/>
      <c r="P740" s="55"/>
      <c r="Q740" s="55"/>
      <c r="R740" s="55"/>
      <c r="S740" s="55"/>
      <c r="T740" s="55"/>
      <c r="U740" s="55"/>
    </row>
    <row r="741" spans="1:21" ht="18.75">
      <c r="A741" s="166"/>
      <c r="B741" s="167"/>
      <c r="C741" s="167"/>
      <c r="D741" s="167"/>
      <c r="E741" s="167"/>
      <c r="F741" s="460" t="s">
        <v>273</v>
      </c>
      <c r="G741" s="171"/>
      <c r="H741" s="161" t="s">
        <v>35</v>
      </c>
      <c r="I741" s="54"/>
      <c r="J741" s="467">
        <v>0</v>
      </c>
      <c r="K741" s="55"/>
      <c r="L741" s="62"/>
      <c r="M741" s="55"/>
      <c r="N741" s="55"/>
      <c r="O741" s="55"/>
      <c r="P741" s="55"/>
      <c r="Q741" s="55"/>
      <c r="R741" s="55"/>
      <c r="S741" s="55"/>
      <c r="T741" s="55"/>
      <c r="U741" s="55"/>
    </row>
    <row r="742" spans="1:21" ht="18.75">
      <c r="A742" s="166"/>
      <c r="B742" s="167"/>
      <c r="C742" s="167"/>
      <c r="D742" s="167"/>
      <c r="E742" s="167"/>
      <c r="F742" s="460" t="s">
        <v>274</v>
      </c>
      <c r="G742" s="171"/>
      <c r="H742" s="161" t="s">
        <v>35</v>
      </c>
      <c r="I742" s="212">
        <f ca="1">IFERROR(__xludf.DUMMYFUNCTION("IMPORTRANGE(""https://docs.google.com/spreadsheets/d/1eHaY18a8A9IcSdp1K8H6x8fbOy06t2VsZHhMHf-1x7Y/edit?usp=sharing"",""แผน!GC43"")"),16)</f>
        <v>16</v>
      </c>
      <c r="J742" s="467">
        <v>0</v>
      </c>
      <c r="K742" s="255">
        <f ca="1">IF(I742&gt;0,J742*100/I742,0)</f>
        <v>0</v>
      </c>
      <c r="L742" s="62"/>
      <c r="M742" s="55"/>
      <c r="N742" s="55"/>
      <c r="O742" s="55"/>
      <c r="P742" s="55"/>
      <c r="Q742" s="55"/>
      <c r="R742" s="55"/>
      <c r="S742" s="55"/>
      <c r="T742" s="55"/>
      <c r="U742" s="55"/>
    </row>
    <row r="743" spans="1:21" ht="18.75">
      <c r="A743" s="166"/>
      <c r="B743" s="167"/>
      <c r="C743" s="167"/>
      <c r="D743" s="167"/>
      <c r="E743" s="460" t="s">
        <v>275</v>
      </c>
      <c r="F743" s="167"/>
      <c r="G743" s="171"/>
      <c r="H743" s="208"/>
      <c r="I743" s="54"/>
      <c r="J743" s="54"/>
      <c r="K743" s="55"/>
      <c r="L743" s="62"/>
      <c r="M743" s="55"/>
      <c r="N743" s="55"/>
      <c r="O743" s="55"/>
      <c r="P743" s="55"/>
      <c r="Q743" s="55"/>
      <c r="R743" s="55"/>
      <c r="S743" s="55"/>
      <c r="T743" s="55"/>
      <c r="U743" s="55"/>
    </row>
    <row r="744" spans="1:21" ht="18.75">
      <c r="A744" s="166"/>
      <c r="B744" s="167"/>
      <c r="C744" s="167"/>
      <c r="D744" s="167"/>
      <c r="E744" s="167"/>
      <c r="F744" s="460" t="s">
        <v>272</v>
      </c>
      <c r="G744" s="171"/>
      <c r="H744" s="161" t="s">
        <v>46</v>
      </c>
      <c r="I744" s="212">
        <f ca="1">IFERROR(__xludf.DUMMYFUNCTION("IMPORTRANGE(""https://docs.google.com/spreadsheets/d/1eHaY18a8A9IcSdp1K8H6x8fbOy06t2VsZHhMHf-1x7Y/edit?usp=sharing"",""แผน!GD43"")"),40)</f>
        <v>40</v>
      </c>
      <c r="J744" s="467">
        <v>0</v>
      </c>
      <c r="K744" s="255">
        <f ca="1">IF(I744&gt;0,J744*100/I744,0)</f>
        <v>0</v>
      </c>
      <c r="L744" s="62"/>
      <c r="M744" s="55"/>
      <c r="N744" s="55"/>
      <c r="O744" s="55"/>
      <c r="P744" s="55"/>
      <c r="Q744" s="55"/>
      <c r="R744" s="55"/>
      <c r="S744" s="55"/>
      <c r="T744" s="55"/>
      <c r="U744" s="55"/>
    </row>
    <row r="745" spans="1:21" ht="18.75">
      <c r="A745" s="166"/>
      <c r="B745" s="167"/>
      <c r="C745" s="167"/>
      <c r="D745" s="167"/>
      <c r="E745" s="167"/>
      <c r="F745" s="460" t="s">
        <v>276</v>
      </c>
      <c r="G745" s="171"/>
      <c r="H745" s="161" t="s">
        <v>35</v>
      </c>
      <c r="I745" s="54"/>
      <c r="J745" s="467">
        <v>0</v>
      </c>
      <c r="K745" s="55"/>
      <c r="L745" s="62"/>
      <c r="M745" s="55"/>
      <c r="N745" s="55"/>
      <c r="O745" s="55"/>
      <c r="P745" s="55"/>
      <c r="Q745" s="55"/>
      <c r="R745" s="55"/>
      <c r="S745" s="55"/>
      <c r="T745" s="55"/>
      <c r="U745" s="55"/>
    </row>
    <row r="746" spans="1:21" ht="18.75">
      <c r="A746" s="166"/>
      <c r="B746" s="167"/>
      <c r="C746" s="167"/>
      <c r="D746" s="167"/>
      <c r="E746" s="167"/>
      <c r="F746" s="460" t="s">
        <v>277</v>
      </c>
      <c r="G746" s="171"/>
      <c r="H746" s="161" t="s">
        <v>35</v>
      </c>
      <c r="I746" s="212">
        <f ca="1">IFERROR(__xludf.DUMMYFUNCTION("IMPORTRANGE(""https://docs.google.com/spreadsheets/d/1eHaY18a8A9IcSdp1K8H6x8fbOy06t2VsZHhMHf-1x7Y/edit?usp=sharing"",""แผน!GE43"")"),4)</f>
        <v>4</v>
      </c>
      <c r="J746" s="467">
        <v>0</v>
      </c>
      <c r="K746" s="255">
        <f ca="1">IF(I746&gt;0,J746*100/I746,0)</f>
        <v>0</v>
      </c>
      <c r="L746" s="62"/>
      <c r="M746" s="55"/>
      <c r="N746" s="55"/>
      <c r="O746" s="55"/>
      <c r="P746" s="55"/>
      <c r="Q746" s="55"/>
      <c r="R746" s="55"/>
      <c r="S746" s="55"/>
      <c r="T746" s="55"/>
      <c r="U746" s="55"/>
    </row>
    <row r="747" spans="1:21" ht="18.75">
      <c r="A747" s="166"/>
      <c r="B747" s="167"/>
      <c r="C747" s="167"/>
      <c r="D747" s="167"/>
      <c r="E747" s="460" t="s">
        <v>278</v>
      </c>
      <c r="F747" s="174"/>
      <c r="G747" s="171"/>
      <c r="H747" s="208"/>
      <c r="I747" s="54"/>
      <c r="J747" s="54"/>
      <c r="K747" s="55"/>
      <c r="L747" s="62"/>
      <c r="M747" s="55"/>
      <c r="N747" s="55"/>
      <c r="O747" s="55"/>
      <c r="P747" s="55"/>
      <c r="Q747" s="55"/>
      <c r="R747" s="55"/>
      <c r="S747" s="55"/>
      <c r="T747" s="55"/>
      <c r="U747" s="55"/>
    </row>
    <row r="748" spans="1:21" ht="18.75">
      <c r="A748" s="166"/>
      <c r="B748" s="167"/>
      <c r="C748" s="167"/>
      <c r="D748" s="167"/>
      <c r="E748" s="167"/>
      <c r="F748" s="460" t="s">
        <v>279</v>
      </c>
      <c r="G748" s="171"/>
      <c r="H748" s="161" t="s">
        <v>35</v>
      </c>
      <c r="I748" s="54"/>
      <c r="J748" s="467">
        <v>0</v>
      </c>
      <c r="K748" s="55"/>
      <c r="L748" s="62"/>
      <c r="M748" s="55"/>
      <c r="N748" s="55"/>
      <c r="O748" s="55"/>
      <c r="P748" s="55"/>
      <c r="Q748" s="55"/>
      <c r="R748" s="55"/>
      <c r="S748" s="55"/>
      <c r="T748" s="55"/>
      <c r="U748" s="55"/>
    </row>
    <row r="749" spans="1:21" ht="18.75">
      <c r="A749" s="166"/>
      <c r="B749" s="167"/>
      <c r="C749" s="167"/>
      <c r="D749" s="167"/>
      <c r="E749" s="167"/>
      <c r="F749" s="460" t="s">
        <v>280</v>
      </c>
      <c r="G749" s="171"/>
      <c r="H749" s="161" t="s">
        <v>35</v>
      </c>
      <c r="I749" s="212">
        <f ca="1">IFERROR(__xludf.DUMMYFUNCTION("IMPORTRANGE(""https://docs.google.com/spreadsheets/d/1eHaY18a8A9IcSdp1K8H6x8fbOy06t2VsZHhMHf-1x7Y/edit?usp=sharing"",""แผน!GF43"")"),1)</f>
        <v>1</v>
      </c>
      <c r="J749" s="467">
        <v>0</v>
      </c>
      <c r="K749" s="255">
        <f ca="1">IF(I749&gt;0,J749*100/I749,0)</f>
        <v>0</v>
      </c>
      <c r="L749" s="62"/>
      <c r="M749" s="55"/>
      <c r="N749" s="55"/>
      <c r="O749" s="55"/>
      <c r="P749" s="55"/>
      <c r="Q749" s="55"/>
      <c r="R749" s="55"/>
      <c r="S749" s="55"/>
      <c r="T749" s="55"/>
      <c r="U749" s="55"/>
    </row>
    <row r="750" spans="1:21" ht="19.5">
      <c r="A750" s="166"/>
      <c r="B750" s="167"/>
      <c r="C750" s="167"/>
      <c r="D750" s="488" t="s">
        <v>50</v>
      </c>
      <c r="E750" s="167"/>
      <c r="F750" s="174"/>
      <c r="G750" s="171"/>
      <c r="H750" s="208"/>
      <c r="I750" s="54"/>
      <c r="J750" s="54"/>
      <c r="K750" s="55"/>
      <c r="L750" s="62"/>
      <c r="M750" s="55"/>
      <c r="N750" s="55"/>
      <c r="O750" s="55"/>
      <c r="P750" s="55"/>
      <c r="Q750" s="55"/>
      <c r="R750" s="55"/>
      <c r="S750" s="55"/>
      <c r="T750" s="55"/>
      <c r="U750" s="55"/>
    </row>
    <row r="751" spans="1:21" ht="18.75">
      <c r="A751" s="166"/>
      <c r="B751" s="167"/>
      <c r="C751" s="167"/>
      <c r="D751" s="167"/>
      <c r="E751" s="460" t="s">
        <v>271</v>
      </c>
      <c r="F751" s="174"/>
      <c r="G751" s="171"/>
      <c r="H751" s="208"/>
      <c r="I751" s="54"/>
      <c r="J751" s="54"/>
      <c r="K751" s="55"/>
      <c r="L751" s="62"/>
      <c r="M751" s="55"/>
      <c r="N751" s="55"/>
      <c r="O751" s="55"/>
      <c r="P751" s="55"/>
      <c r="Q751" s="55"/>
      <c r="R751" s="55"/>
      <c r="S751" s="55"/>
      <c r="T751" s="55"/>
      <c r="U751" s="55"/>
    </row>
    <row r="752" spans="1:21" ht="18.75">
      <c r="A752" s="166"/>
      <c r="B752" s="167"/>
      <c r="C752" s="167"/>
      <c r="D752" s="167"/>
      <c r="E752" s="167"/>
      <c r="F752" s="178" t="s">
        <v>281</v>
      </c>
      <c r="G752" s="171"/>
      <c r="H752" s="161" t="s">
        <v>46</v>
      </c>
      <c r="I752" s="212">
        <f ca="1">IFERROR(__xludf.DUMMYFUNCTION("IMPORTRANGE(""https://docs.google.com/spreadsheets/d/1eHaY18a8A9IcSdp1K8H6x8fbOy06t2VsZHhMHf-1x7Y/edit?usp=sharing"",""แผน!GB43"")"),160)</f>
        <v>160</v>
      </c>
      <c r="J752" s="467">
        <v>0</v>
      </c>
      <c r="K752" s="255">
        <f ca="1">IF(I752&gt;0,J752*100/I752,0)</f>
        <v>0</v>
      </c>
      <c r="L752" s="62"/>
      <c r="M752" s="55"/>
      <c r="N752" s="55"/>
      <c r="O752" s="55"/>
      <c r="P752" s="55"/>
      <c r="Q752" s="55"/>
      <c r="R752" s="55"/>
      <c r="S752" s="55"/>
      <c r="T752" s="55"/>
      <c r="U752" s="55"/>
    </row>
    <row r="753" spans="1:21" ht="18.75">
      <c r="A753" s="166"/>
      <c r="B753" s="167"/>
      <c r="C753" s="167"/>
      <c r="D753" s="167"/>
      <c r="E753" s="167"/>
      <c r="F753" s="178" t="s">
        <v>282</v>
      </c>
      <c r="G753" s="171"/>
      <c r="H753" s="161" t="s">
        <v>46</v>
      </c>
      <c r="I753" s="54"/>
      <c r="J753" s="467">
        <v>0</v>
      </c>
      <c r="K753" s="55"/>
      <c r="L753" s="62"/>
      <c r="M753" s="55"/>
      <c r="N753" s="55"/>
      <c r="O753" s="55"/>
      <c r="P753" s="55"/>
      <c r="Q753" s="55"/>
      <c r="R753" s="55"/>
      <c r="S753" s="55"/>
      <c r="T753" s="55"/>
      <c r="U753" s="55"/>
    </row>
    <row r="754" spans="1:21" ht="18.75">
      <c r="A754" s="166"/>
      <c r="B754" s="167"/>
      <c r="C754" s="167"/>
      <c r="D754" s="167"/>
      <c r="E754" s="460" t="s">
        <v>275</v>
      </c>
      <c r="F754" s="174"/>
      <c r="G754" s="171"/>
      <c r="H754" s="208"/>
      <c r="I754" s="54"/>
      <c r="J754" s="54"/>
      <c r="K754" s="55"/>
      <c r="L754" s="62"/>
      <c r="M754" s="55"/>
      <c r="N754" s="55"/>
      <c r="O754" s="55"/>
      <c r="P754" s="55"/>
      <c r="Q754" s="55"/>
      <c r="R754" s="55"/>
      <c r="S754" s="55"/>
      <c r="T754" s="55"/>
      <c r="U754" s="55"/>
    </row>
    <row r="755" spans="1:21" ht="18.75">
      <c r="A755" s="166"/>
      <c r="B755" s="167"/>
      <c r="C755" s="167"/>
      <c r="D755" s="167"/>
      <c r="E755" s="174"/>
      <c r="F755" s="178" t="s">
        <v>283</v>
      </c>
      <c r="G755" s="171"/>
      <c r="H755" s="161" t="s">
        <v>46</v>
      </c>
      <c r="I755" s="212">
        <f ca="1">IFERROR(__xludf.DUMMYFUNCTION("IMPORTRANGE(""https://docs.google.com/spreadsheets/d/1eHaY18a8A9IcSdp1K8H6x8fbOy06t2VsZHhMHf-1x7Y/edit?usp=sharing"",""แผน!GD43"")"),40)</f>
        <v>40</v>
      </c>
      <c r="J755" s="467">
        <v>0</v>
      </c>
      <c r="K755" s="255">
        <f ca="1">IF(I755&gt;0,J755*100/I755,0)</f>
        <v>0</v>
      </c>
      <c r="L755" s="62"/>
      <c r="M755" s="55"/>
      <c r="N755" s="55"/>
      <c r="O755" s="55"/>
      <c r="P755" s="55"/>
      <c r="Q755" s="55"/>
      <c r="R755" s="55"/>
      <c r="S755" s="55"/>
      <c r="T755" s="55"/>
      <c r="U755" s="55"/>
    </row>
    <row r="756" spans="1:21" ht="18.75">
      <c r="A756" s="166"/>
      <c r="B756" s="167"/>
      <c r="C756" s="167"/>
      <c r="D756" s="167"/>
      <c r="E756" s="174"/>
      <c r="F756" s="178" t="s">
        <v>284</v>
      </c>
      <c r="G756" s="171"/>
      <c r="H756" s="161" t="s">
        <v>46</v>
      </c>
      <c r="I756" s="54"/>
      <c r="J756" s="467">
        <v>0</v>
      </c>
      <c r="K756" s="55"/>
      <c r="L756" s="62"/>
      <c r="M756" s="55"/>
      <c r="N756" s="55"/>
      <c r="O756" s="55"/>
      <c r="P756" s="55"/>
      <c r="Q756" s="55"/>
      <c r="R756" s="55"/>
      <c r="S756" s="55"/>
      <c r="T756" s="55"/>
      <c r="U756" s="55"/>
    </row>
    <row r="757" spans="1:21" ht="18.75">
      <c r="A757" s="489"/>
      <c r="B757" s="489"/>
      <c r="C757" s="489"/>
      <c r="D757" s="489"/>
      <c r="E757" s="490" t="s">
        <v>285</v>
      </c>
      <c r="F757" s="491"/>
      <c r="G757" s="492"/>
      <c r="H757" s="493" t="s">
        <v>35</v>
      </c>
      <c r="I757" s="494"/>
      <c r="J757" s="495">
        <v>0</v>
      </c>
      <c r="K757" s="496"/>
      <c r="L757" s="496"/>
      <c r="M757" s="496"/>
      <c r="N757" s="496"/>
      <c r="O757" s="496"/>
      <c r="P757" s="496"/>
      <c r="Q757" s="496"/>
      <c r="R757" s="496"/>
      <c r="S757" s="496"/>
      <c r="T757" s="496"/>
      <c r="U757" s="496"/>
    </row>
    <row r="758" spans="1:21" ht="19.5">
      <c r="A758" s="442"/>
      <c r="B758" s="443" t="s">
        <v>286</v>
      </c>
      <c r="C758" s="442"/>
      <c r="D758" s="444"/>
      <c r="E758" s="444"/>
      <c r="F758" s="444"/>
      <c r="G758" s="445"/>
      <c r="H758" s="473" t="s">
        <v>35</v>
      </c>
      <c r="I758" s="544">
        <f ca="1">I772</f>
        <v>110</v>
      </c>
      <c r="J758" s="544">
        <f>J772</f>
        <v>40</v>
      </c>
      <c r="K758" s="543">
        <f ca="1">IF(I758&gt;0,J758*100/I758,0)</f>
        <v>36.363636363636367</v>
      </c>
      <c r="L758" s="449"/>
      <c r="M758" s="448"/>
      <c r="N758" s="448"/>
      <c r="O758" s="448"/>
      <c r="P758" s="448"/>
      <c r="Q758" s="448"/>
      <c r="R758" s="448"/>
      <c r="S758" s="448"/>
      <c r="T758" s="448"/>
      <c r="U758" s="448"/>
    </row>
    <row r="759" spans="1:21" ht="19.5">
      <c r="A759" s="487"/>
      <c r="B759" s="442"/>
      <c r="C759" s="442"/>
      <c r="D759" s="444"/>
      <c r="E759" s="444"/>
      <c r="F759" s="444"/>
      <c r="G759" s="445"/>
      <c r="H759" s="473" t="s">
        <v>46</v>
      </c>
      <c r="I759" s="544">
        <f ca="1">I774</f>
        <v>265</v>
      </c>
      <c r="J759" s="544">
        <f>J774</f>
        <v>100</v>
      </c>
      <c r="K759" s="543">
        <f ca="1">IF(I759&gt;0,J759*100/I759,0)</f>
        <v>37.735849056603776</v>
      </c>
      <c r="L759" s="449"/>
      <c r="M759" s="448"/>
      <c r="N759" s="448"/>
      <c r="O759" s="448"/>
      <c r="P759" s="448"/>
      <c r="Q759" s="448"/>
      <c r="R759" s="448"/>
      <c r="S759" s="448"/>
      <c r="T759" s="448"/>
      <c r="U759" s="448"/>
    </row>
    <row r="760" spans="1:21" ht="19.5">
      <c r="A760" s="155"/>
      <c r="B760" s="188"/>
      <c r="C760" s="205" t="s">
        <v>18</v>
      </c>
      <c r="D760" s="542" t="s">
        <v>19</v>
      </c>
      <c r="E760" s="529"/>
      <c r="F760" s="529"/>
      <c r="G760" s="530"/>
      <c r="H760" s="252" t="s">
        <v>14</v>
      </c>
      <c r="I760" s="54"/>
      <c r="J760" s="54"/>
      <c r="K760" s="55"/>
      <c r="L760" s="541">
        <f>L761+L762</f>
        <v>0</v>
      </c>
      <c r="M760" s="540">
        <f>M761+M762</f>
        <v>0</v>
      </c>
      <c r="N760" s="540">
        <f>N761+N762</f>
        <v>0</v>
      </c>
      <c r="O760" s="540">
        <f>IF(L760&gt;0,N760*100/L760,0)</f>
        <v>0</v>
      </c>
      <c r="P760" s="540">
        <f>IF(M760&gt;0,N760*100/M760,0)</f>
        <v>0</v>
      </c>
      <c r="Q760" s="540">
        <f ca="1">Q761+Q762</f>
        <v>674480</v>
      </c>
      <c r="R760" s="540">
        <f ca="1">R761+R762</f>
        <v>674480</v>
      </c>
      <c r="S760" s="540">
        <f ca="1">S761+S762</f>
        <v>52837</v>
      </c>
      <c r="T760" s="540">
        <f ca="1">IF(Q760&gt;0,S760*100/Q760,0)</f>
        <v>7.8337385837978886</v>
      </c>
      <c r="U760" s="540">
        <f ca="1">IF(R760&gt;0,S760*100/R760,0)</f>
        <v>7.8337385837978886</v>
      </c>
    </row>
    <row r="761" spans="1:21" ht="18.75" hidden="1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103">
        <f>L764+L767</f>
        <v>0</v>
      </c>
      <c r="M761" s="102">
        <f>M764+M767</f>
        <v>0</v>
      </c>
      <c r="N761" s="102">
        <f>N764+N767</f>
        <v>0</v>
      </c>
      <c r="O761" s="102">
        <f>IF(L761&gt;0,N761*100/L761,0)</f>
        <v>0</v>
      </c>
      <c r="P761" s="102">
        <f>IF(M761&gt;0,N761*100/M761,0)</f>
        <v>0</v>
      </c>
      <c r="Q761" s="102">
        <f>Q764+Q767</f>
        <v>0</v>
      </c>
      <c r="R761" s="102">
        <f>R764+R767</f>
        <v>0</v>
      </c>
      <c r="S761" s="102">
        <f>S764+S767</f>
        <v>0</v>
      </c>
      <c r="T761" s="102">
        <f>IF(Q761&gt;0,S761*100/Q761,0)</f>
        <v>0</v>
      </c>
      <c r="U761" s="102">
        <f>IF(R761&gt;0,S761*100/R761,0)</f>
        <v>0</v>
      </c>
    </row>
    <row r="762" spans="1:21" ht="18.75" hidden="1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256">
        <f>L765+L768</f>
        <v>0</v>
      </c>
      <c r="M762" s="255">
        <f>M765+M768</f>
        <v>0</v>
      </c>
      <c r="N762" s="255">
        <f>N765+N768</f>
        <v>0</v>
      </c>
      <c r="O762" s="255">
        <f>IF(L762&gt;0,N762*100/L762,0)</f>
        <v>0</v>
      </c>
      <c r="P762" s="255">
        <f>IF(M762&gt;0,N762*100/M762,0)</f>
        <v>0</v>
      </c>
      <c r="Q762" s="255">
        <f ca="1">Q765+Q768</f>
        <v>674480</v>
      </c>
      <c r="R762" s="255">
        <f ca="1">R765+R768</f>
        <v>674480</v>
      </c>
      <c r="S762" s="255">
        <f ca="1">S765+S768</f>
        <v>52837</v>
      </c>
      <c r="T762" s="255">
        <f ca="1">IF(Q762&gt;0,S762*100/Q762,0)</f>
        <v>7.8337385837978886</v>
      </c>
      <c r="U762" s="255">
        <f ca="1">IF(R762&gt;0,S762*100/R762,0)</f>
        <v>7.8337385837978886</v>
      </c>
    </row>
    <row r="763" spans="1:21" ht="18.75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256">
        <f>L764+L765</f>
        <v>0</v>
      </c>
      <c r="M763" s="255">
        <f>M764+M765</f>
        <v>0</v>
      </c>
      <c r="N763" s="255">
        <f>N764+N765</f>
        <v>0</v>
      </c>
      <c r="O763" s="255">
        <f>IF(L763&gt;0,N763*100/L763,0)</f>
        <v>0</v>
      </c>
      <c r="P763" s="255">
        <f>IF(M763&gt;0,N763*100/M763,0)</f>
        <v>0</v>
      </c>
      <c r="Q763" s="255">
        <f ca="1">Q764+Q765</f>
        <v>674480</v>
      </c>
      <c r="R763" s="255">
        <f ca="1">R764+R765</f>
        <v>674480</v>
      </c>
      <c r="S763" s="255">
        <f ca="1">S764+S765</f>
        <v>52837</v>
      </c>
      <c r="T763" s="255">
        <f ca="1">IF(Q763&gt;0,S763*100/Q763,0)</f>
        <v>7.8337385837978886</v>
      </c>
      <c r="U763" s="255">
        <f ca="1">IF(R763&gt;0,S763*100/R763,0)</f>
        <v>7.8337385837978886</v>
      </c>
    </row>
    <row r="764" spans="1:21" ht="18.75" hidden="1">
      <c r="A764" s="155"/>
      <c r="B764" s="188"/>
      <c r="C764" s="202"/>
      <c r="D764" s="174"/>
      <c r="E764" s="186" t="s">
        <v>159</v>
      </c>
      <c r="F764" s="50"/>
      <c r="G764" s="52"/>
      <c r="H764" s="189" t="s">
        <v>14</v>
      </c>
      <c r="I764" s="54"/>
      <c r="J764" s="54"/>
      <c r="K764" s="55"/>
      <c r="L764" s="103">
        <v>0</v>
      </c>
      <c r="M764" s="102">
        <v>0</v>
      </c>
      <c r="N764" s="102">
        <v>0</v>
      </c>
      <c r="O764" s="102">
        <f>IF(L764&gt;0,N764*100/L764,0)</f>
        <v>0</v>
      </c>
      <c r="P764" s="102">
        <f>IF(M764&gt;0,N764*100/M764,0)</f>
        <v>0</v>
      </c>
      <c r="Q764" s="102">
        <v>0</v>
      </c>
      <c r="R764" s="102">
        <v>0</v>
      </c>
      <c r="S764" s="102">
        <v>0</v>
      </c>
      <c r="T764" s="102">
        <f>IF(Q764&gt;0,S764*100/Q764,0)</f>
        <v>0</v>
      </c>
      <c r="U764" s="102">
        <f>IF(R764&gt;0,S764*100/R764,0)</f>
        <v>0</v>
      </c>
    </row>
    <row r="765" spans="1:21" ht="18.75" hidden="1">
      <c r="A765" s="155"/>
      <c r="B765" s="188"/>
      <c r="C765" s="202"/>
      <c r="D765" s="174"/>
      <c r="E765" s="58" t="s">
        <v>160</v>
      </c>
      <c r="F765" s="50"/>
      <c r="G765" s="52"/>
      <c r="H765" s="162" t="s">
        <v>14</v>
      </c>
      <c r="I765" s="54"/>
      <c r="J765" s="54"/>
      <c r="K765" s="55"/>
      <c r="L765" s="256">
        <v>0</v>
      </c>
      <c r="M765" s="255">
        <v>0</v>
      </c>
      <c r="N765" s="255">
        <v>0</v>
      </c>
      <c r="O765" s="255">
        <f>IF(L765&gt;0,N765*100/L765,0)</f>
        <v>0</v>
      </c>
      <c r="P765" s="255">
        <f>IF(M765&gt;0,N765*100/M765,0)</f>
        <v>0</v>
      </c>
      <c r="Q765" s="255">
        <f ca="1">IFERROR(__xludf.DUMMYFUNCTION("IMPORTRANGE(""https://docs.google.com/spreadsheets/d/1ItG2mGa2ceCfYo0BwxsXqNm01IGEUdYcSSLTEv9YCik/edit?usp=sharing"",""เบิกจ่ายกองทุน!U43"")"),674480)</f>
        <v>674480</v>
      </c>
      <c r="R765" s="255">
        <f ca="1">IFERROR(__xludf.DUMMYFUNCTION("IMPORTRANGE(""https://docs.google.com/spreadsheets/d/1ItG2mGa2ceCfYo0BwxsXqNm01IGEUdYcSSLTEv9YCik/edit?usp=sharing"",""เบิกจ่ายกองทุน!V43"")"),674480)</f>
        <v>674480</v>
      </c>
      <c r="S765" s="255">
        <f ca="1">IFERROR(__xludf.DUMMYFUNCTION("IMPORTRANGE(""https://docs.google.com/spreadsheets/d/1ItG2mGa2ceCfYo0BwxsXqNm01IGEUdYcSSLTEv9YCik/edit?usp=sharing"",""เบิกจ่ายกองทุน!W43"")"),52837)</f>
        <v>52837</v>
      </c>
      <c r="T765" s="255">
        <f ca="1">IF(Q765&gt;0,S765*100/Q765,0)</f>
        <v>7.8337385837978886</v>
      </c>
      <c r="U765" s="255">
        <f ca="1">IF(R765&gt;0,S765*100/R765,0)</f>
        <v>7.8337385837978886</v>
      </c>
    </row>
    <row r="766" spans="1:21" ht="18.75">
      <c r="A766" s="155"/>
      <c r="B766" s="188"/>
      <c r="C766" s="188"/>
      <c r="D766" s="51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256">
        <f>L767+L768</f>
        <v>0</v>
      </c>
      <c r="M766" s="255">
        <f>M767+M768</f>
        <v>0</v>
      </c>
      <c r="N766" s="255">
        <f>N767+N768</f>
        <v>0</v>
      </c>
      <c r="O766" s="255">
        <f>IF(L766&gt;0,N766*100/L766,0)</f>
        <v>0</v>
      </c>
      <c r="P766" s="255">
        <f>IF(M766&gt;0,N766*100/M766,0)</f>
        <v>0</v>
      </c>
      <c r="Q766" s="255">
        <f>Q767+Q768</f>
        <v>0</v>
      </c>
      <c r="R766" s="255">
        <f>R767+R768</f>
        <v>0</v>
      </c>
      <c r="S766" s="255">
        <f>S767+S768</f>
        <v>0</v>
      </c>
      <c r="T766" s="255">
        <f>IF(Q766&gt;0,S766*100/Q766,0)</f>
        <v>0</v>
      </c>
      <c r="U766" s="255">
        <f>IF(R766&gt;0,S766*100/R766,0)</f>
        <v>0</v>
      </c>
    </row>
    <row r="767" spans="1:21" ht="18.75" hidden="1">
      <c r="A767" s="155"/>
      <c r="B767" s="188"/>
      <c r="C767" s="188"/>
      <c r="D767" s="188"/>
      <c r="E767" s="358" t="s">
        <v>20</v>
      </c>
      <c r="F767" s="50"/>
      <c r="G767" s="52"/>
      <c r="H767" s="189" t="s">
        <v>14</v>
      </c>
      <c r="I767" s="163"/>
      <c r="J767" s="163"/>
      <c r="K767" s="164"/>
      <c r="L767" s="103">
        <v>0</v>
      </c>
      <c r="M767" s="102">
        <v>0</v>
      </c>
      <c r="N767" s="102">
        <v>0</v>
      </c>
      <c r="O767" s="102">
        <f>IF(L767&gt;0,N767*100/L767,0)</f>
        <v>0</v>
      </c>
      <c r="P767" s="102">
        <f>IF(M767&gt;0,N767*100/M767,0)</f>
        <v>0</v>
      </c>
      <c r="Q767" s="102">
        <v>0</v>
      </c>
      <c r="R767" s="102">
        <v>0</v>
      </c>
      <c r="S767" s="102">
        <v>0</v>
      </c>
      <c r="T767" s="102">
        <f>IF(Q767&gt;0,S767*100/Q767,0)</f>
        <v>0</v>
      </c>
      <c r="U767" s="102">
        <f>IF(R767&gt;0,S767*100/R767,0)</f>
        <v>0</v>
      </c>
    </row>
    <row r="768" spans="1:21" ht="18.75" hidden="1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256">
        <v>0</v>
      </c>
      <c r="M768" s="255">
        <v>0</v>
      </c>
      <c r="N768" s="255">
        <v>0</v>
      </c>
      <c r="O768" s="255">
        <f>IF(L768&gt;0,N768*100/L768,0)</f>
        <v>0</v>
      </c>
      <c r="P768" s="255">
        <f>IF(M768&gt;0,N768*100/M768,0)</f>
        <v>0</v>
      </c>
      <c r="Q768" s="255">
        <v>0</v>
      </c>
      <c r="R768" s="255">
        <v>0</v>
      </c>
      <c r="S768" s="255">
        <v>0</v>
      </c>
      <c r="T768" s="255">
        <f>IF(Q768&gt;0,S768*100/Q768,0)</f>
        <v>0</v>
      </c>
      <c r="U768" s="255">
        <f>IF(R768&gt;0,S768*100/R768,0)</f>
        <v>0</v>
      </c>
    </row>
    <row r="769" spans="1:21" ht="19.5">
      <c r="A769" s="166"/>
      <c r="B769" s="167"/>
      <c r="C769" s="497" t="s">
        <v>18</v>
      </c>
      <c r="D769" s="539" t="s">
        <v>38</v>
      </c>
      <c r="E769" s="232"/>
      <c r="F769" s="169"/>
      <c r="G769" s="170"/>
      <c r="H769" s="206"/>
      <c r="I769" s="54"/>
      <c r="J769" s="54"/>
      <c r="K769" s="55"/>
      <c r="L769" s="62"/>
      <c r="M769" s="55"/>
      <c r="N769" s="55"/>
      <c r="O769" s="55"/>
      <c r="P769" s="55"/>
      <c r="Q769" s="55"/>
      <c r="R769" s="55"/>
      <c r="S769" s="55"/>
      <c r="T769" s="55"/>
      <c r="U769" s="55"/>
    </row>
    <row r="770" spans="1:21" ht="18.75" hidden="1">
      <c r="A770" s="166"/>
      <c r="B770" s="167"/>
      <c r="C770" s="167"/>
      <c r="D770" s="423" t="s">
        <v>287</v>
      </c>
      <c r="E770" s="167"/>
      <c r="F770" s="174"/>
      <c r="G770" s="171"/>
      <c r="H770" s="421" t="s">
        <v>35</v>
      </c>
      <c r="I770" s="483">
        <f ca="1">IFERROR(__xludf.DUMMYFUNCTION("IMPORTRANGE(""https://docs.google.com/spreadsheets/d/1eHaY18a8A9IcSdp1K8H6x8fbOy06t2VsZHhMHf-1x7Y/edit?usp=sharing"",""แผน!FI43"")"),0)</f>
        <v>0</v>
      </c>
      <c r="J770" s="483">
        <v>0</v>
      </c>
      <c r="K770" s="102">
        <f ca="1">IF(I770&gt;0,J770*100/I770,0)</f>
        <v>0</v>
      </c>
      <c r="L770" s="62"/>
      <c r="M770" s="55"/>
      <c r="N770" s="55"/>
      <c r="O770" s="55"/>
      <c r="P770" s="55"/>
      <c r="Q770" s="55"/>
      <c r="R770" s="55"/>
      <c r="S770" s="55"/>
      <c r="T770" s="55"/>
      <c r="U770" s="55"/>
    </row>
    <row r="771" spans="1:21" ht="18.75" hidden="1">
      <c r="A771" s="166"/>
      <c r="B771" s="167"/>
      <c r="C771" s="167"/>
      <c r="D771" s="423" t="s">
        <v>288</v>
      </c>
      <c r="E771" s="167"/>
      <c r="F771" s="174"/>
      <c r="G771" s="171"/>
      <c r="H771" s="206"/>
      <c r="I771" s="54"/>
      <c r="J771" s="54"/>
      <c r="K771" s="55"/>
      <c r="L771" s="62"/>
      <c r="M771" s="55"/>
      <c r="N771" s="55"/>
      <c r="O771" s="55"/>
      <c r="P771" s="55"/>
      <c r="Q771" s="55"/>
      <c r="R771" s="55"/>
      <c r="S771" s="55"/>
      <c r="T771" s="55"/>
      <c r="U771" s="55"/>
    </row>
    <row r="772" spans="1:21" ht="18.75">
      <c r="A772" s="166"/>
      <c r="B772" s="167"/>
      <c r="C772" s="167"/>
      <c r="D772" s="460" t="s">
        <v>289</v>
      </c>
      <c r="E772" s="167"/>
      <c r="F772" s="174"/>
      <c r="G772" s="171"/>
      <c r="H772" s="165" t="s">
        <v>35</v>
      </c>
      <c r="I772" s="212">
        <f ca="1">IFERROR(__xludf.DUMMYFUNCTION("IMPORTRANGE(""https://docs.google.com/spreadsheets/d/1eHaY18a8A9IcSdp1K8H6x8fbOy06t2VsZHhMHf-1x7Y/edit?usp=sharing"",""แผน!FQ43"")"),110)</f>
        <v>110</v>
      </c>
      <c r="J772" s="467">
        <v>40</v>
      </c>
      <c r="K772" s="255">
        <f ca="1">IF(I772&gt;0,J772*100/I772,0)</f>
        <v>36.363636363636367</v>
      </c>
      <c r="L772" s="62"/>
      <c r="M772" s="55"/>
      <c r="N772" s="55"/>
      <c r="O772" s="55"/>
      <c r="P772" s="55"/>
      <c r="Q772" s="55"/>
      <c r="R772" s="55"/>
      <c r="S772" s="55"/>
      <c r="T772" s="55"/>
      <c r="U772" s="55"/>
    </row>
    <row r="773" spans="1:21" ht="18.75">
      <c r="A773" s="166"/>
      <c r="B773" s="167"/>
      <c r="C773" s="167"/>
      <c r="D773" s="460" t="s">
        <v>290</v>
      </c>
      <c r="E773" s="167"/>
      <c r="F773" s="174"/>
      <c r="G773" s="171"/>
      <c r="H773" s="206"/>
      <c r="I773" s="54"/>
      <c r="J773" s="54"/>
      <c r="K773" s="55"/>
      <c r="L773" s="62"/>
      <c r="M773" s="55"/>
      <c r="N773" s="55"/>
      <c r="O773" s="55"/>
      <c r="P773" s="55"/>
      <c r="Q773" s="55"/>
      <c r="R773" s="55"/>
      <c r="S773" s="55"/>
      <c r="T773" s="55"/>
      <c r="U773" s="55"/>
    </row>
    <row r="774" spans="1:21" ht="18.75">
      <c r="A774" s="166"/>
      <c r="B774" s="167"/>
      <c r="C774" s="167"/>
      <c r="D774" s="460" t="s">
        <v>291</v>
      </c>
      <c r="E774" s="167"/>
      <c r="F774" s="174"/>
      <c r="G774" s="171"/>
      <c r="H774" s="165" t="s">
        <v>46</v>
      </c>
      <c r="I774" s="212">
        <f ca="1">IFERROR(__xludf.DUMMYFUNCTION("IMPORTRANGE(""https://docs.google.com/spreadsheets/d/1eHaY18a8A9IcSdp1K8H6x8fbOy06t2VsZHhMHf-1x7Y/edit?usp=sharing"",""แผน!FR43"")"),265)</f>
        <v>265</v>
      </c>
      <c r="J774" s="467">
        <v>100</v>
      </c>
      <c r="K774" s="255">
        <f ca="1">IF(I774&gt;0,J774*100/I774,0)</f>
        <v>37.735849056603776</v>
      </c>
      <c r="L774" s="62"/>
      <c r="M774" s="55"/>
      <c r="N774" s="55"/>
      <c r="O774" s="55"/>
      <c r="P774" s="55"/>
      <c r="Q774" s="55"/>
      <c r="R774" s="55"/>
      <c r="S774" s="55"/>
      <c r="T774" s="55"/>
      <c r="U774" s="55"/>
    </row>
    <row r="775" spans="1:21" ht="18.75">
      <c r="A775" s="166"/>
      <c r="B775" s="167"/>
      <c r="C775" s="167"/>
      <c r="D775" s="460" t="s">
        <v>50</v>
      </c>
      <c r="E775" s="174"/>
      <c r="F775" s="50"/>
      <c r="G775" s="52"/>
      <c r="H775" s="165" t="s">
        <v>46</v>
      </c>
      <c r="I775" s="212">
        <f ca="1">IFERROR(__xludf.DUMMYFUNCTION("IMPORTRANGE(""https://docs.google.com/spreadsheets/d/1eHaY18a8A9IcSdp1K8H6x8fbOy06t2VsZHhMHf-1x7Y/edit?usp=sharing"",""แผน!FS43"")"),265)</f>
        <v>265</v>
      </c>
      <c r="J775" s="467">
        <v>0</v>
      </c>
      <c r="K775" s="55"/>
      <c r="L775" s="62"/>
      <c r="M775" s="55"/>
      <c r="N775" s="55"/>
      <c r="O775" s="55"/>
      <c r="P775" s="55"/>
      <c r="Q775" s="55"/>
      <c r="R775" s="55"/>
      <c r="S775" s="55"/>
      <c r="T775" s="55"/>
      <c r="U775" s="55"/>
    </row>
    <row r="776" spans="1:21" ht="18.75">
      <c r="A776" s="281"/>
      <c r="B776" s="282"/>
      <c r="C776" s="282"/>
      <c r="D776" s="282"/>
      <c r="E776" s="2"/>
      <c r="F776" s="2"/>
      <c r="G776" s="65"/>
      <c r="H776" s="214" t="s">
        <v>35</v>
      </c>
      <c r="I776" s="216">
        <f ca="1">IFERROR(__xludf.DUMMYFUNCTION("IMPORTRANGE(""https://docs.google.com/spreadsheets/d/1eHaY18a8A9IcSdp1K8H6x8fbOy06t2VsZHhMHf-1x7Y/edit?usp=sharing"",""แผน!FT43"")"),110)</f>
        <v>110</v>
      </c>
      <c r="J776" s="538">
        <v>0</v>
      </c>
      <c r="K776" s="6"/>
      <c r="L776" s="68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>
      <c r="A777" s="537" t="s">
        <v>292</v>
      </c>
      <c r="B777" s="500"/>
      <c r="C777" s="500"/>
      <c r="D777" s="499"/>
      <c r="E777" s="500"/>
      <c r="F777" s="500"/>
      <c r="G777" s="501"/>
      <c r="H777" s="536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503"/>
      <c r="J777" s="504"/>
      <c r="K777" s="505"/>
      <c r="L777" s="505"/>
      <c r="M777" s="505"/>
      <c r="N777" s="505"/>
      <c r="O777" s="505"/>
      <c r="P777" s="505"/>
      <c r="Q777" s="505"/>
      <c r="R777" s="505"/>
      <c r="S777" s="505"/>
      <c r="T777" s="505"/>
      <c r="U777" s="505"/>
    </row>
    <row r="778" spans="1:21" ht="18.75">
      <c r="A778" s="49"/>
      <c r="B778" s="58" t="s">
        <v>293</v>
      </c>
      <c r="C778" s="50"/>
      <c r="D778" s="188"/>
      <c r="E778" s="50"/>
      <c r="F778" s="50"/>
      <c r="G778" s="52"/>
      <c r="H778" s="53" t="s">
        <v>14</v>
      </c>
      <c r="I778" s="212">
        <f ca="1">IFERROR(__xludf.DUMMYFUNCTION("IMPORTRANGE(""https://docs.google.com/spreadsheets/d/10OvvATaaLtwErnr3qtWFcTmtbfpFEt5Bsqel9sXx0uE/edit?usp=sharing"",""งานกองทุน!D43"")"),13330214.34)</f>
        <v>13330214.34</v>
      </c>
      <c r="J778" s="212">
        <f ca="1">IFERROR(__xludf.DUMMYFUNCTION("IMPORTRANGE(""https://docs.google.com/spreadsheets/d/10OvvATaaLtwErnr3qtWFcTmtbfpFEt5Bsqel9sXx0uE/edit?usp=sharing"",""งานกองทุน!F43"")"),9775131.52)</f>
        <v>9775131.5199999996</v>
      </c>
      <c r="K778" s="255">
        <f ca="1">IF(I778&gt;0,J778*100/I778,0)</f>
        <v>73.330640233351261</v>
      </c>
      <c r="L778" s="55"/>
      <c r="M778" s="55"/>
      <c r="N778" s="55"/>
      <c r="O778" s="55"/>
      <c r="P778" s="55"/>
      <c r="Q778" s="55"/>
      <c r="R778" s="55"/>
      <c r="S778" s="55"/>
      <c r="T778" s="55"/>
      <c r="U778" s="55"/>
    </row>
    <row r="779" spans="1:21" ht="18.75">
      <c r="A779" s="49"/>
      <c r="B779" s="50"/>
      <c r="C779" s="50"/>
      <c r="D779" s="188"/>
      <c r="E779" s="50"/>
      <c r="F779" s="50"/>
      <c r="G779" s="52"/>
      <c r="H779" s="53" t="s">
        <v>35</v>
      </c>
      <c r="I779" s="212">
        <f ca="1">IFERROR(__xludf.DUMMYFUNCTION("IMPORTRANGE(""https://docs.google.com/spreadsheets/d/10OvvATaaLtwErnr3qtWFcTmtbfpFEt5Bsqel9sXx0uE/edit?usp=sharing"",""งานกองทุน!C43"")"),273)</f>
        <v>273</v>
      </c>
      <c r="J779" s="212">
        <f ca="1">IFERROR(__xludf.DUMMYFUNCTION("IMPORTRANGE(""https://docs.google.com/spreadsheets/d/10OvvATaaLtwErnr3qtWFcTmtbfpFEt5Bsqel9sXx0uE/edit?usp=sharing"",""งานกองทุน!E43"")"),197)</f>
        <v>197</v>
      </c>
      <c r="K779" s="255">
        <f ca="1">IF(I779&gt;0,J779*100/I779,0)</f>
        <v>72.161172161172161</v>
      </c>
      <c r="L779" s="55"/>
      <c r="M779" s="55"/>
      <c r="N779" s="55"/>
      <c r="O779" s="55"/>
      <c r="P779" s="55"/>
      <c r="Q779" s="55"/>
      <c r="R779" s="55"/>
      <c r="S779" s="55"/>
      <c r="T779" s="55"/>
      <c r="U779" s="55"/>
    </row>
    <row r="780" spans="1:21" ht="18.75">
      <c r="A780" s="49"/>
      <c r="B780" s="58" t="s">
        <v>294</v>
      </c>
      <c r="C780" s="50"/>
      <c r="D780" s="188"/>
      <c r="E780" s="50"/>
      <c r="F780" s="50"/>
      <c r="G780" s="52"/>
      <c r="H780" s="53" t="s">
        <v>14</v>
      </c>
      <c r="I780" s="212">
        <f ca="1">IFERROR(__xludf.DUMMYFUNCTION("IMPORTRANGE(""https://docs.google.com/spreadsheets/d/10OvvATaaLtwErnr3qtWFcTmtbfpFEt5Bsqel9sXx0uE/edit?usp=sharing"",""งานกองทุน!I43"")"),12670608.89)</f>
        <v>12670608.890000001</v>
      </c>
      <c r="J780" s="212">
        <f ca="1">IFERROR(__xludf.DUMMYFUNCTION("IMPORTRANGE(""https://docs.google.com/spreadsheets/d/10OvvATaaLtwErnr3qtWFcTmtbfpFEt5Bsqel9sXx0uE/edit?usp=sharing"",""งานกองทุน!K43"")"),818040.05)</f>
        <v>818040.05</v>
      </c>
      <c r="K780" s="255">
        <f ca="1">IF(I780&gt;0,J780*100/I780,0)</f>
        <v>6.4562015693312116</v>
      </c>
      <c r="L780" s="55"/>
      <c r="M780" s="55"/>
      <c r="N780" s="55"/>
      <c r="O780" s="55"/>
      <c r="P780" s="55"/>
      <c r="Q780" s="55"/>
      <c r="R780" s="55"/>
      <c r="S780" s="55"/>
      <c r="T780" s="55"/>
      <c r="U780" s="55"/>
    </row>
    <row r="781" spans="1:21" ht="18.75">
      <c r="A781" s="49"/>
      <c r="B781" s="50"/>
      <c r="C781" s="50"/>
      <c r="D781" s="188"/>
      <c r="E781" s="50"/>
      <c r="F781" s="50"/>
      <c r="G781" s="52"/>
      <c r="H781" s="53" t="s">
        <v>35</v>
      </c>
      <c r="I781" s="212">
        <f ca="1">IFERROR(__xludf.DUMMYFUNCTION("IMPORTRANGE(""https://docs.google.com/spreadsheets/d/10OvvATaaLtwErnr3qtWFcTmtbfpFEt5Bsqel9sXx0uE/edit?usp=sharing"",""งานกองทุน!H43"")"),355)</f>
        <v>355</v>
      </c>
      <c r="J781" s="212">
        <f ca="1">IFERROR(__xludf.DUMMYFUNCTION("IMPORTRANGE(""https://docs.google.com/spreadsheets/d/10OvvATaaLtwErnr3qtWFcTmtbfpFEt5Bsqel9sXx0uE/edit?usp=sharing"",""งานกองทุน!J43"")"),123)</f>
        <v>123</v>
      </c>
      <c r="K781" s="255">
        <f ca="1">IF(I781&gt;0,J781*100/I781,0)</f>
        <v>34.647887323943664</v>
      </c>
      <c r="L781" s="55"/>
      <c r="M781" s="55"/>
      <c r="N781" s="55"/>
      <c r="O781" s="55"/>
      <c r="P781" s="55"/>
      <c r="Q781" s="55"/>
      <c r="R781" s="55"/>
      <c r="S781" s="55"/>
      <c r="T781" s="55"/>
      <c r="U781" s="55"/>
    </row>
    <row r="782" spans="1:21" ht="18.75">
      <c r="A782" s="49"/>
      <c r="B782" s="58" t="s">
        <v>295</v>
      </c>
      <c r="C782" s="50"/>
      <c r="D782" s="188"/>
      <c r="E782" s="50"/>
      <c r="F782" s="50"/>
      <c r="G782" s="52"/>
      <c r="H782" s="53" t="s">
        <v>14</v>
      </c>
      <c r="I782" s="212">
        <f ca="1">IFERROR(__xludf.DUMMYFUNCTION("IMPORTRANGE(""https://docs.google.com/spreadsheets/d/10OvvATaaLtwErnr3qtWFcTmtbfpFEt5Bsqel9sXx0uE/edit?usp=sharing"",""งานกองทุน!N43"")"),6779.25)</f>
        <v>6779.25</v>
      </c>
      <c r="J782" s="212">
        <f ca="1">IFERROR(__xludf.DUMMYFUNCTION("IMPORTRANGE(""https://docs.google.com/spreadsheets/d/10OvvATaaLtwErnr3qtWFcTmtbfpFEt5Bsqel9sXx0uE/edit?usp=sharing"",""งานกองทุน!P43"")"),5309.25)</f>
        <v>5309.25</v>
      </c>
      <c r="K782" s="255">
        <f ca="1">IF(I782&gt;0,J782*100/I782,0)</f>
        <v>78.316185418741014</v>
      </c>
      <c r="L782" s="55"/>
      <c r="M782" s="55"/>
      <c r="N782" s="55"/>
      <c r="O782" s="55"/>
      <c r="P782" s="55"/>
      <c r="Q782" s="55"/>
      <c r="R782" s="55"/>
      <c r="S782" s="55"/>
      <c r="T782" s="55"/>
      <c r="U782" s="55"/>
    </row>
    <row r="783" spans="1:21" ht="18.75">
      <c r="A783" s="49"/>
      <c r="B783" s="50"/>
      <c r="C783" s="50"/>
      <c r="D783" s="188"/>
      <c r="E783" s="50"/>
      <c r="F783" s="50"/>
      <c r="G783" s="52"/>
      <c r="H783" s="53" t="s">
        <v>35</v>
      </c>
      <c r="I783" s="212">
        <f ca="1">IFERROR(__xludf.DUMMYFUNCTION("IMPORTRANGE(""https://docs.google.com/spreadsheets/d/10OvvATaaLtwErnr3qtWFcTmtbfpFEt5Bsqel9sXx0uE/edit?usp=sharing"",""งานกองทุน!M43"")"),4)</f>
        <v>4</v>
      </c>
      <c r="J783" s="212">
        <f ca="1">IFERROR(__xludf.DUMMYFUNCTION("IMPORTRANGE(""https://docs.google.com/spreadsheets/d/10OvvATaaLtwErnr3qtWFcTmtbfpFEt5Bsqel9sXx0uE/edit?usp=sharing"",""งานกองทุน!O43"")"),3)</f>
        <v>3</v>
      </c>
      <c r="K783" s="255">
        <f ca="1">IF(I783&gt;0,J783*100/I783,0)</f>
        <v>75</v>
      </c>
      <c r="L783" s="55"/>
      <c r="M783" s="55"/>
      <c r="N783" s="55"/>
      <c r="O783" s="55"/>
      <c r="P783" s="55"/>
      <c r="Q783" s="55"/>
      <c r="R783" s="55"/>
      <c r="S783" s="55"/>
      <c r="T783" s="55"/>
      <c r="U783" s="55"/>
    </row>
    <row r="784" spans="1:21" ht="18.75">
      <c r="A784" s="49"/>
      <c r="B784" s="58" t="s">
        <v>296</v>
      </c>
      <c r="C784" s="50"/>
      <c r="D784" s="188"/>
      <c r="E784" s="50"/>
      <c r="F784" s="50"/>
      <c r="G784" s="52"/>
      <c r="H784" s="53" t="s">
        <v>14</v>
      </c>
      <c r="I784" s="212">
        <f ca="1">IFERROR(__xludf.DUMMYFUNCTION("IMPORTRANGE(""https://docs.google.com/spreadsheets/d/10OvvATaaLtwErnr3qtWFcTmtbfpFEt5Bsqel9sXx0uE/edit?usp=sharing"",""งานกองทุน!S43"")"),14672000)</f>
        <v>14672000</v>
      </c>
      <c r="J784" s="212">
        <f ca="1">IFERROR(__xludf.DUMMYFUNCTION("IMPORTRANGE(""https://docs.google.com/spreadsheets/d/10OvvATaaLtwErnr3qtWFcTmtbfpFEt5Bsqel9sXx0uE/edit?usp=sharing"",""งานกองทุน!U43"")"),7950000)</f>
        <v>7950000</v>
      </c>
      <c r="K784" s="255">
        <f ca="1">IF(I784&gt;0,J784*100/I784,0)</f>
        <v>54.18484187568157</v>
      </c>
      <c r="L784" s="55"/>
      <c r="M784" s="55"/>
      <c r="N784" s="55"/>
      <c r="O784" s="55"/>
      <c r="P784" s="55"/>
      <c r="Q784" s="55"/>
      <c r="R784" s="55"/>
      <c r="S784" s="55"/>
      <c r="T784" s="55"/>
      <c r="U784" s="55"/>
    </row>
    <row r="785" spans="1:21" ht="18.75">
      <c r="A785" s="63"/>
      <c r="B785" s="4"/>
      <c r="C785" s="4"/>
      <c r="D785" s="5"/>
      <c r="E785" s="4"/>
      <c r="F785" s="4"/>
      <c r="G785" s="65"/>
      <c r="H785" s="66" t="s">
        <v>35</v>
      </c>
      <c r="I785" s="216">
        <f ca="1">IFERROR(__xludf.DUMMYFUNCTION("IMPORTRANGE(""https://docs.google.com/spreadsheets/d/10OvvATaaLtwErnr3qtWFcTmtbfpFEt5Bsqel9sXx0uE/edit?usp=sharing"",""งานกองทุน!R43"")"),524)</f>
        <v>524</v>
      </c>
      <c r="J785" s="216">
        <f ca="1">IFERROR(__xludf.DUMMYFUNCTION("IMPORTRANGE(""https://docs.google.com/spreadsheets/d/10OvvATaaLtwErnr3qtWFcTmtbfpFEt5Bsqel9sXx0uE/edit?usp=sharing"",""งานกองทุน!T43"")"),159)</f>
        <v>159</v>
      </c>
      <c r="K785" s="506">
        <f ca="1">IF(I785&gt;0,J785*100/I785,0)</f>
        <v>30.34351145038168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6.5">
      <c r="A787" s="535" t="s">
        <v>297</v>
      </c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6.5">
      <c r="A788" s="535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</v>
      </c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6.5">
      <c r="A789" s="535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</v>
      </c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</sheetData>
  <mergeCells count="26">
    <mergeCell ref="A1:U1"/>
    <mergeCell ref="A2:U2"/>
    <mergeCell ref="A3:U3"/>
    <mergeCell ref="L4:P4"/>
    <mergeCell ref="Q4:U4"/>
    <mergeCell ref="A5:G6"/>
    <mergeCell ref="H5:H6"/>
    <mergeCell ref="I5:K5"/>
    <mergeCell ref="L5:M5"/>
    <mergeCell ref="N5:P5"/>
    <mergeCell ref="D616:G616"/>
    <mergeCell ref="D642:G642"/>
    <mergeCell ref="D690:G690"/>
    <mergeCell ref="D714:G714"/>
    <mergeCell ref="Q5:R5"/>
    <mergeCell ref="S5:U5"/>
    <mergeCell ref="D728:G728"/>
    <mergeCell ref="D760:G760"/>
    <mergeCell ref="A7:G7"/>
    <mergeCell ref="A17:G17"/>
    <mergeCell ref="A30:G30"/>
    <mergeCell ref="A56:G56"/>
    <mergeCell ref="B57:G57"/>
    <mergeCell ref="D413:G413"/>
    <mergeCell ref="D493:F493"/>
    <mergeCell ref="D599:G599"/>
  </mergeCells>
  <printOptions horizontalCentered="1"/>
  <pageMargins left="0.23622047244094491" right="0.23622047244094491" top="0.55118110236220474" bottom="0.55118110236220474" header="0" footer="0"/>
  <pageSetup paperSize="9" scale="29" fitToHeight="0" pageOrder="overThenDown" orientation="portrait" cellComments="atEnd" horizontalDpi="4294967293" verticalDpi="4294967293" r:id="rId1"/>
  <headerFooter>
    <oddFooter>&amp;Cหน้า 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10A931-8883-405B-95F9-F328D13095C6}">
  <sheetPr>
    <outlinePr summaryBelow="0" summaryRight="0"/>
    <pageSetUpPr fitToPage="1"/>
  </sheetPr>
  <dimension ref="A1:U789"/>
  <sheetViews>
    <sheetView view="pageBreakPreview" zoomScale="60" zoomScaleNormal="60" workbookViewId="0">
      <pane xSplit="8" ySplit="17" topLeftCell="I18" activePane="bottomRight" state="frozen"/>
      <selection activeCell="T32" sqref="T32"/>
      <selection pane="topRight" activeCell="T32" sqref="T32"/>
      <selection pane="bottomLeft" activeCell="T32" sqref="T32"/>
      <selection pane="bottomRight" activeCell="T32" sqref="T32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10" width="18.7109375" bestFit="1" customWidth="1"/>
    <col min="11" max="11" width="12.5703125" bestFit="1" customWidth="1"/>
    <col min="12" max="14" width="21.28515625" bestFit="1" customWidth="1"/>
    <col min="15" max="15" width="20.140625" bestFit="1" customWidth="1"/>
    <col min="16" max="16" width="22" bestFit="1" customWidth="1"/>
    <col min="17" max="18" width="21.28515625" bestFit="1" customWidth="1"/>
    <col min="19" max="19" width="18.7109375" bestFit="1" customWidth="1"/>
    <col min="20" max="20" width="20.140625" bestFit="1" customWidth="1"/>
    <col min="21" max="21" width="22" bestFit="1" customWidth="1"/>
  </cols>
  <sheetData>
    <row r="1" spans="1:21" ht="19.5">
      <c r="A1" s="894" t="s">
        <v>0</v>
      </c>
      <c r="B1" s="894"/>
      <c r="C1" s="894"/>
      <c r="D1" s="894"/>
      <c r="E1" s="894"/>
      <c r="F1" s="894"/>
      <c r="G1" s="894"/>
      <c r="H1" s="894"/>
      <c r="I1" s="894"/>
      <c r="J1" s="894"/>
      <c r="K1" s="894"/>
      <c r="L1" s="894"/>
      <c r="M1" s="894"/>
      <c r="N1" s="894"/>
      <c r="O1" s="894"/>
      <c r="P1" s="894"/>
      <c r="Q1" s="894"/>
      <c r="R1" s="894"/>
      <c r="S1" s="894"/>
      <c r="T1" s="894"/>
      <c r="U1" s="894"/>
    </row>
    <row r="2" spans="1:21" ht="19.5">
      <c r="A2" s="894" t="s">
        <v>324</v>
      </c>
      <c r="B2" s="894"/>
      <c r="C2" s="894"/>
      <c r="D2" s="894"/>
      <c r="E2" s="894"/>
      <c r="F2" s="894"/>
      <c r="G2" s="894"/>
      <c r="H2" s="894"/>
      <c r="I2" s="894"/>
      <c r="J2" s="894"/>
      <c r="K2" s="894"/>
      <c r="L2" s="894"/>
      <c r="M2" s="894"/>
      <c r="N2" s="894"/>
      <c r="O2" s="894"/>
      <c r="P2" s="894"/>
      <c r="Q2" s="894"/>
      <c r="R2" s="894"/>
      <c r="S2" s="894"/>
      <c r="T2" s="894"/>
      <c r="U2" s="894"/>
    </row>
    <row r="3" spans="1:21" ht="19.5">
      <c r="A3" s="894" t="s">
        <v>339</v>
      </c>
      <c r="B3" s="894"/>
      <c r="C3" s="894"/>
      <c r="D3" s="894"/>
      <c r="E3" s="894"/>
      <c r="F3" s="894"/>
      <c r="G3" s="894"/>
      <c r="H3" s="894"/>
      <c r="I3" s="894"/>
      <c r="J3" s="894"/>
      <c r="K3" s="894"/>
      <c r="L3" s="894"/>
      <c r="M3" s="894"/>
      <c r="N3" s="894"/>
      <c r="O3" s="894"/>
      <c r="P3" s="894"/>
      <c r="Q3" s="894"/>
      <c r="R3" s="894"/>
      <c r="S3" s="894"/>
      <c r="T3" s="894"/>
      <c r="U3" s="894"/>
    </row>
    <row r="4" spans="1:21" ht="19.5">
      <c r="A4" s="4"/>
      <c r="B4" s="4"/>
      <c r="C4" s="4"/>
      <c r="D4" s="4"/>
      <c r="E4" s="4"/>
      <c r="F4" s="4"/>
      <c r="G4" s="4"/>
      <c r="H4" s="4"/>
      <c r="I4" s="4"/>
      <c r="J4" s="5"/>
      <c r="K4" s="766"/>
      <c r="L4" s="765" t="s">
        <v>2</v>
      </c>
      <c r="M4" s="514"/>
      <c r="N4" s="514"/>
      <c r="O4" s="514"/>
      <c r="P4" s="512"/>
      <c r="Q4" s="518" t="s">
        <v>3</v>
      </c>
      <c r="R4" s="514"/>
      <c r="S4" s="514"/>
      <c r="T4" s="514"/>
      <c r="U4" s="512"/>
    </row>
    <row r="5" spans="1:21" ht="19.5">
      <c r="A5" s="764" t="s">
        <v>4</v>
      </c>
      <c r="B5" s="516"/>
      <c r="C5" s="516"/>
      <c r="D5" s="516"/>
      <c r="E5" s="516"/>
      <c r="F5" s="516"/>
      <c r="G5" s="763"/>
      <c r="H5" s="772" t="s">
        <v>5</v>
      </c>
      <c r="I5" s="761" t="s">
        <v>6</v>
      </c>
      <c r="J5" s="514"/>
      <c r="K5" s="512"/>
      <c r="L5" s="760" t="s">
        <v>7</v>
      </c>
      <c r="M5" s="512"/>
      <c r="N5" s="513" t="s">
        <v>8</v>
      </c>
      <c r="O5" s="514"/>
      <c r="P5" s="512"/>
      <c r="Q5" s="511" t="s">
        <v>7</v>
      </c>
      <c r="R5" s="512"/>
      <c r="S5" s="513" t="s">
        <v>8</v>
      </c>
      <c r="T5" s="514"/>
      <c r="U5" s="512"/>
    </row>
    <row r="6" spans="1:21" ht="19.5">
      <c r="A6" s="522"/>
      <c r="B6" s="514"/>
      <c r="C6" s="514"/>
      <c r="D6" s="514"/>
      <c r="E6" s="514"/>
      <c r="F6" s="514"/>
      <c r="G6" s="512"/>
      <c r="H6" s="512"/>
      <c r="I6" s="9" t="s">
        <v>9</v>
      </c>
      <c r="J6" s="10" t="s">
        <v>10</v>
      </c>
      <c r="K6" s="9" t="s">
        <v>11</v>
      </c>
      <c r="L6" s="758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 hidden="1">
      <c r="A7" s="750"/>
      <c r="B7" s="514"/>
      <c r="C7" s="514"/>
      <c r="D7" s="514"/>
      <c r="E7" s="514"/>
      <c r="F7" s="514"/>
      <c r="G7" s="512"/>
      <c r="H7" s="17"/>
      <c r="I7" s="18"/>
      <c r="J7" s="18"/>
      <c r="K7" s="19"/>
      <c r="L7" s="28"/>
      <c r="M7" s="19"/>
      <c r="N7" s="19"/>
      <c r="O7" s="19"/>
      <c r="P7" s="19"/>
      <c r="Q7" s="19"/>
      <c r="R7" s="19"/>
      <c r="S7" s="19"/>
      <c r="T7" s="19"/>
      <c r="U7" s="19"/>
    </row>
    <row r="8" spans="1:21" ht="12.75" hidden="1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6"/>
      <c r="M8" s="25"/>
      <c r="N8" s="25"/>
      <c r="O8" s="25"/>
      <c r="P8" s="25"/>
      <c r="Q8" s="25"/>
      <c r="R8" s="25"/>
      <c r="S8" s="25"/>
      <c r="T8" s="25"/>
      <c r="U8" s="25"/>
    </row>
    <row r="9" spans="1:21" ht="12.75" hidden="1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6"/>
      <c r="M9" s="25"/>
      <c r="N9" s="25"/>
      <c r="O9" s="25"/>
      <c r="P9" s="25"/>
      <c r="Q9" s="25"/>
      <c r="R9" s="25"/>
      <c r="S9" s="25"/>
      <c r="T9" s="25"/>
      <c r="U9" s="25"/>
    </row>
    <row r="10" spans="1:21" ht="12.75" hidden="1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6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2.75" hidden="1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6"/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2.75" hidden="1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6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2.75" hidden="1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6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2.75" hidden="1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2.75" hidden="1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6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2.75" hidden="1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28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9.5">
      <c r="A17" s="532" t="s">
        <v>311</v>
      </c>
      <c r="B17" s="514"/>
      <c r="C17" s="514"/>
      <c r="D17" s="514"/>
      <c r="E17" s="514"/>
      <c r="F17" s="514"/>
      <c r="G17" s="512"/>
      <c r="H17" s="29"/>
      <c r="I17" s="30"/>
      <c r="J17" s="30"/>
      <c r="K17" s="31"/>
      <c r="L17" s="32"/>
      <c r="M17" s="31"/>
      <c r="N17" s="31"/>
      <c r="O17" s="31"/>
      <c r="P17" s="31"/>
      <c r="Q17" s="31"/>
      <c r="R17" s="31"/>
      <c r="S17" s="31"/>
      <c r="T17" s="31"/>
      <c r="U17" s="31"/>
    </row>
    <row r="18" spans="1:21" ht="19.5">
      <c r="A18" s="33"/>
      <c r="B18" s="34"/>
      <c r="C18" s="35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757">
        <f ca="1">L19+L20</f>
        <v>2770600</v>
      </c>
      <c r="M18" s="720">
        <f ca="1">M19+M20</f>
        <v>2837698</v>
      </c>
      <c r="N18" s="720">
        <f ca="1">N19+N20</f>
        <v>2057753.7999999998</v>
      </c>
      <c r="O18" s="720">
        <f ca="1">IF(L18&gt;0,N18*100/L18,0)</f>
        <v>74.271053201472597</v>
      </c>
      <c r="P18" s="720">
        <f ca="1">IF(M18&gt;0,N18*100/M18,0)</f>
        <v>72.514897638860788</v>
      </c>
      <c r="Q18" s="720">
        <f ca="1">Q19+Q20</f>
        <v>2680238.39</v>
      </c>
      <c r="R18" s="720">
        <f ca="1">R19+R20</f>
        <v>2586488</v>
      </c>
      <c r="S18" s="720">
        <f ca="1">S19+S20</f>
        <v>383985</v>
      </c>
      <c r="T18" s="720">
        <f ca="1">IF(Q18&gt;0,S18*100/Q18,0)</f>
        <v>14.326524141757405</v>
      </c>
      <c r="U18" s="720">
        <f ca="1">IF(R18&gt;0,S18*100/R18,0)</f>
        <v>14.845806359820729</v>
      </c>
    </row>
    <row r="19" spans="1:21" ht="18.75" hidden="1">
      <c r="A19" s="33"/>
      <c r="B19" s="34"/>
      <c r="C19" s="34"/>
      <c r="D19" s="34"/>
      <c r="E19" s="756" t="s">
        <v>20</v>
      </c>
      <c r="F19" s="34"/>
      <c r="G19" s="37"/>
      <c r="H19" s="755" t="s">
        <v>14</v>
      </c>
      <c r="I19" s="39"/>
      <c r="J19" s="39"/>
      <c r="K19" s="40"/>
      <c r="L19" s="754">
        <f>L22+L25</f>
        <v>0</v>
      </c>
      <c r="M19" s="753">
        <f>M22+M25</f>
        <v>0</v>
      </c>
      <c r="N19" s="753">
        <f>N22+N25</f>
        <v>0</v>
      </c>
      <c r="O19" s="753">
        <f>IF(L19&gt;0,N19*100/L19,0)</f>
        <v>0</v>
      </c>
      <c r="P19" s="753">
        <f>IF(M19&gt;0,N19*100/M19,0)</f>
        <v>0</v>
      </c>
      <c r="Q19" s="753">
        <f>Q22+Q25</f>
        <v>0</v>
      </c>
      <c r="R19" s="753">
        <f>R22+R25</f>
        <v>0</v>
      </c>
      <c r="S19" s="753">
        <f>S22+S25</f>
        <v>0</v>
      </c>
      <c r="T19" s="753">
        <f>IF(Q19&gt;0,S19*100/Q19,0)</f>
        <v>0</v>
      </c>
      <c r="U19" s="753">
        <f>IF(R19&gt;0,S19*100/R19,0)</f>
        <v>0</v>
      </c>
    </row>
    <row r="20" spans="1:21" ht="18.75" hidden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752">
        <f ca="1">L23+L26</f>
        <v>2770600</v>
      </c>
      <c r="M20" s="751">
        <f ca="1">M23+M26</f>
        <v>2837698</v>
      </c>
      <c r="N20" s="751">
        <f ca="1">N23+N26</f>
        <v>2057753.7999999998</v>
      </c>
      <c r="O20" s="751">
        <f ca="1">IF(L20&gt;0,N20*100/L20,0)</f>
        <v>74.271053201472597</v>
      </c>
      <c r="P20" s="751">
        <f ca="1">IF(M20&gt;0,N20*100/M20,0)</f>
        <v>72.514897638860788</v>
      </c>
      <c r="Q20" s="751">
        <f ca="1">Q23+Q26</f>
        <v>2680238.39</v>
      </c>
      <c r="R20" s="751">
        <f ca="1">R23+R26</f>
        <v>2586488</v>
      </c>
      <c r="S20" s="751">
        <f ca="1">S23+S26</f>
        <v>383985</v>
      </c>
      <c r="T20" s="751">
        <f ca="1">IF(Q20&gt;0,S20*100/Q20,0)</f>
        <v>14.326524141757405</v>
      </c>
      <c r="U20" s="751">
        <f ca="1">IF(R20&gt;0,S20*100/R20,0)</f>
        <v>14.845806359820729</v>
      </c>
    </row>
    <row r="21" spans="1:21" ht="18.75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256">
        <f ca="1">L22+L23</f>
        <v>2770600</v>
      </c>
      <c r="M21" s="255">
        <f ca="1">M22+M23</f>
        <v>2837698</v>
      </c>
      <c r="N21" s="255">
        <f ca="1">N22+N23</f>
        <v>2057753.7999999998</v>
      </c>
      <c r="O21" s="255">
        <f ca="1">IF(L21&gt;0,N21*100/L21,0)</f>
        <v>74.271053201472597</v>
      </c>
      <c r="P21" s="255">
        <f ca="1">IF(M21&gt;0,N21*100/M21,0)</f>
        <v>72.514897638860788</v>
      </c>
      <c r="Q21" s="255">
        <f ca="1">Q22+Q23</f>
        <v>2680238.39</v>
      </c>
      <c r="R21" s="255">
        <f ca="1">R22+R23</f>
        <v>2586488</v>
      </c>
      <c r="S21" s="255">
        <f ca="1">S22+S23</f>
        <v>383985</v>
      </c>
      <c r="T21" s="255">
        <f ca="1">IF(Q21&gt;0,S21*100/Q21,0)</f>
        <v>14.326524141757405</v>
      </c>
      <c r="U21" s="255">
        <f ca="1">IF(R21&gt;0,S21*100/R21,0)</f>
        <v>14.845806359820729</v>
      </c>
    </row>
    <row r="22" spans="1:21" ht="18.75" hidden="1">
      <c r="A22" s="49"/>
      <c r="B22" s="50"/>
      <c r="C22" s="50"/>
      <c r="D22" s="50"/>
      <c r="E22" s="186" t="s">
        <v>20</v>
      </c>
      <c r="F22" s="50"/>
      <c r="G22" s="52"/>
      <c r="H22" s="729" t="s">
        <v>14</v>
      </c>
      <c r="I22" s="54"/>
      <c r="J22" s="54"/>
      <c r="K22" s="55"/>
      <c r="L22" s="103">
        <f>L48+L63+L76+L98+L129+L143+L161+L190+L177+L270+L286+L307+L324+L337+L360+L517</f>
        <v>0</v>
      </c>
      <c r="M22" s="102">
        <f>M48+M63+M76+M98+M129+M143+M161+M190+M177+M270+M286+M307+M324+M337+M360+M517</f>
        <v>0</v>
      </c>
      <c r="N22" s="102">
        <f>N48+N63+N76+N98+N129+N143+N161+N190+N177+N270+N286+N307+N324+N337+N360+N517</f>
        <v>0</v>
      </c>
      <c r="O22" s="102">
        <f>IF(L22&gt;0,N22*100/L22,0)</f>
        <v>0</v>
      </c>
      <c r="P22" s="102">
        <f>IF(M22&gt;0,N22*100/M22,0)</f>
        <v>0</v>
      </c>
      <c r="Q22" s="102">
        <f>Q76+Q98+Q121+Q143+Q161+Q177+Q190+Q270+Q286+Q307+Q337+Q379+Q396+Q417+Q497+Q603+Q620+Q646+Q694+Q718+Q732+Q764</f>
        <v>0</v>
      </c>
      <c r="R22" s="102">
        <f>R76+R98+R121+R143+R161+R177+R190+R270+R286+R307+R337+R379+R396+R417+R497+R603+R620+R646+R694+R718+R732+R764</f>
        <v>0</v>
      </c>
      <c r="S22" s="102">
        <f>S76+S98+S121+S143+S161+S177+S190+S270+S286+S307+S337+S379+S396+S417+S497+S603+S620+S646+S694+S718+S732+S764</f>
        <v>0</v>
      </c>
      <c r="T22" s="102">
        <f>IF(Q22&gt;0,S22*100/Q22,0)</f>
        <v>0</v>
      </c>
      <c r="U22" s="102">
        <f>IF(R22&gt;0,S22*100/R22,0)</f>
        <v>0</v>
      </c>
    </row>
    <row r="23" spans="1:21" ht="18.75" hidden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256">
        <f ca="1">L49+L64+L77+L99+L130+L144+L162+L191+L178+L271+L287+L308+L325+L338+L361+L518</f>
        <v>2770600</v>
      </c>
      <c r="M23" s="255">
        <f ca="1">M49+M64+M77+M99+M130+M144+M162+M191+M178+M271+M287+M308+M325+M338+M361+M518</f>
        <v>2837698</v>
      </c>
      <c r="N23" s="255">
        <f ca="1">N49+N64+N77+N99+N130+N144+N162+N191+N178+N271+N287+N308+N325+N338+N361+N518</f>
        <v>2057753.7999999998</v>
      </c>
      <c r="O23" s="255">
        <f ca="1">IF(L23&gt;0,N23*100/L23,0)</f>
        <v>74.271053201472597</v>
      </c>
      <c r="P23" s="255">
        <f ca="1">IF(M23&gt;0,N23*100/M23,0)</f>
        <v>72.514897638860788</v>
      </c>
      <c r="Q23" s="255">
        <f ca="1">Q77+Q99+Q122+Q144+Q162+Q178+Q191+Q271+Q287+Q308+Q338+Q380+Q397+Q418+Q498+Q604+Q621+Q647+Q695+Q719+Q733+Q765</f>
        <v>2680238.39</v>
      </c>
      <c r="R23" s="255">
        <f ca="1">R77+R99+R122+R144+R162+R178+R191+R271+R287+R308+R338+R380+R397+R418+R498+R604+R621+R647+R695+R719+R733+R765</f>
        <v>2586488</v>
      </c>
      <c r="S23" s="255">
        <f ca="1">S77+S99+S122+S144+S162+S178+S191+S271+S287+S308+S338+S380+S397+S418+S498+S604+S621+S647+S695+S719+S733+S765</f>
        <v>383985</v>
      </c>
      <c r="T23" s="255">
        <f ca="1">IF(Q23&gt;0,S23*100/Q23,0)</f>
        <v>14.326524141757405</v>
      </c>
      <c r="U23" s="255">
        <f ca="1">IF(R23&gt;0,S23*100/R23,0)</f>
        <v>14.845806359820729</v>
      </c>
    </row>
    <row r="24" spans="1:21" ht="18.75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256">
        <f ca="1">L25+L26</f>
        <v>0</v>
      </c>
      <c r="M24" s="255">
        <f ca="1">M25+M26</f>
        <v>0</v>
      </c>
      <c r="N24" s="255">
        <f ca="1">N25+N26</f>
        <v>0</v>
      </c>
      <c r="O24" s="255">
        <f ca="1">IF(L24&gt;0,N24*100/L24,0)</f>
        <v>0</v>
      </c>
      <c r="P24" s="255">
        <f ca="1">IF(M24&gt;0,N24*100/M24,0)</f>
        <v>0</v>
      </c>
      <c r="Q24" s="255">
        <f>Q25+Q26</f>
        <v>0</v>
      </c>
      <c r="R24" s="255">
        <f>R25+R26</f>
        <v>0</v>
      </c>
      <c r="S24" s="255">
        <f>S25+S26</f>
        <v>0</v>
      </c>
      <c r="T24" s="255">
        <f>IF(Q24&gt;0,S24*100/Q24,0)</f>
        <v>0</v>
      </c>
      <c r="U24" s="255">
        <f>IF(R24&gt;0,S24*100/R24,0)</f>
        <v>0</v>
      </c>
    </row>
    <row r="25" spans="1:21" ht="18.75" hidden="1">
      <c r="A25" s="49"/>
      <c r="B25" s="50"/>
      <c r="C25" s="50"/>
      <c r="D25" s="50"/>
      <c r="E25" s="186" t="s">
        <v>20</v>
      </c>
      <c r="F25" s="50"/>
      <c r="G25" s="52"/>
      <c r="H25" s="729" t="s">
        <v>14</v>
      </c>
      <c r="I25" s="54"/>
      <c r="J25" s="54"/>
      <c r="K25" s="55"/>
      <c r="L25" s="103">
        <f>L51+L66+L79+L101+L132+L146+L164+L193+L180+L273+L289+L310+L327+L340+L363+L520</f>
        <v>0</v>
      </c>
      <c r="M25" s="102">
        <f>M51+M66+M79+M101+M132+M146+M164+M193+M180+M273+M289+M310+M327+M340+M363+M520</f>
        <v>0</v>
      </c>
      <c r="N25" s="102">
        <f>N51+N66+N79+N101+N132+N146+N164+N193+N180+N273+N289+N310+N327+N340+N363+N520</f>
        <v>0</v>
      </c>
      <c r="O25" s="102">
        <f>IF(L25&gt;0,N25*100/L25,0)</f>
        <v>0</v>
      </c>
      <c r="P25" s="102">
        <f>IF(M25&gt;0,N25*100/M25,0)</f>
        <v>0</v>
      </c>
      <c r="Q25" s="102">
        <f>Q79+Q101+Q124+Q146+Q164+Q180+Q193+Q273+Q289+Q310+Q340+Q382+Q399+Q420+Q500+Q606+Q623+Q649+Q697+Q721+Q735+Q767</f>
        <v>0</v>
      </c>
      <c r="R25" s="102">
        <f>R79+R101+R124+R146+R164+R180+R193+R273+R289+R310+R340+R382+R399+R420+R500+R606+R623+R649+R697+R721+R735+R767</f>
        <v>0</v>
      </c>
      <c r="S25" s="102">
        <f>S79+S101+S124+S146+S164+S180+S193+S273+S289+S310+S340+S382+S399+S420+S500+S606+S623+S649+S697+S721+S735+S767</f>
        <v>0</v>
      </c>
      <c r="T25" s="102">
        <f>IF(Q25&gt;0,S25*100/Q25,0)</f>
        <v>0</v>
      </c>
      <c r="U25" s="102">
        <f>IF(R25&gt;0,S25*100/R25,0)</f>
        <v>0</v>
      </c>
    </row>
    <row r="26" spans="1:21" ht="18.75" hidden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256">
        <f ca="1">L52+L67+L80+L102+L133+L147+L165+L194+L181+L274+L290+L311+L328+L341+L364+L521</f>
        <v>0</v>
      </c>
      <c r="M26" s="255">
        <f ca="1">M52+M67+M80+M102+M133+M147+M165+M194+M181+M274+M290+M311+M328+M341+M364+M521</f>
        <v>0</v>
      </c>
      <c r="N26" s="255">
        <f ca="1">N52+N67+N80+N102+N133+N147+N165+N194+N181+N274+N290+N311+N328+N341+N364+N521</f>
        <v>0</v>
      </c>
      <c r="O26" s="255">
        <f ca="1">IF(L26&gt;0,N26*100/L26,0)</f>
        <v>0</v>
      </c>
      <c r="P26" s="255">
        <f ca="1">IF(M26&gt;0,N26*100/M26,0)</f>
        <v>0</v>
      </c>
      <c r="Q26" s="102">
        <f>Q80+Q102+Q125+Q147+Q165+Q181+Q194+Q274+Q290+Q311+Q341+Q383+Q400+Q421+Q501+Q607+Q624+Q650+Q698+Q722+Q736+Q768</f>
        <v>0</v>
      </c>
      <c r="R26" s="102">
        <f>R80+R102+R125+R147+R165+R181+R194+R274+R290+R311+R341+R383+R400+R421+R501+R607+R624+R650+R698+R722+R736+R768</f>
        <v>0</v>
      </c>
      <c r="S26" s="102">
        <f>S80+S102+S125+S147+S165+S181+S194+S274+S290+S311+S341+S383+S400+S421+S501+S607+S624+S650+S698+S722+S736+S768</f>
        <v>0</v>
      </c>
      <c r="T26" s="255">
        <f>IF(Q26&gt;0,S26*100/Q26,0)</f>
        <v>0</v>
      </c>
      <c r="U26" s="255">
        <f>IF(R26&gt;0,S26*100/R26,0)</f>
        <v>0</v>
      </c>
    </row>
    <row r="27" spans="1:21" ht="18.75">
      <c r="A27" s="49"/>
      <c r="B27" s="50"/>
      <c r="C27" s="50"/>
      <c r="D27" s="51" t="s">
        <v>24</v>
      </c>
      <c r="E27" s="50"/>
      <c r="F27" s="50"/>
      <c r="G27" s="52"/>
      <c r="H27" s="53" t="s">
        <v>14</v>
      </c>
      <c r="I27" s="54"/>
      <c r="J27" s="54"/>
      <c r="K27" s="55"/>
      <c r="L27" s="62"/>
      <c r="M27" s="55"/>
      <c r="N27" s="55"/>
      <c r="O27" s="55"/>
      <c r="P27" s="55"/>
      <c r="Q27" s="55"/>
      <c r="R27" s="55"/>
      <c r="S27" s="55"/>
      <c r="T27" s="55"/>
      <c r="U27" s="55"/>
    </row>
    <row r="28" spans="1:21" ht="18.75" hidden="1">
      <c r="A28" s="49"/>
      <c r="B28" s="50"/>
      <c r="C28" s="50"/>
      <c r="D28" s="50"/>
      <c r="E28" s="186" t="s">
        <v>20</v>
      </c>
      <c r="F28" s="50"/>
      <c r="G28" s="52"/>
      <c r="H28" s="729" t="s">
        <v>14</v>
      </c>
      <c r="I28" s="54"/>
      <c r="J28" s="54"/>
      <c r="K28" s="55"/>
      <c r="L28" s="62"/>
      <c r="M28" s="55"/>
      <c r="N28" s="55"/>
      <c r="O28" s="55"/>
      <c r="P28" s="55"/>
      <c r="Q28" s="55"/>
      <c r="R28" s="55"/>
      <c r="S28" s="55"/>
      <c r="T28" s="55"/>
      <c r="U28" s="55"/>
    </row>
    <row r="29" spans="1:21" ht="18.75" hidden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8"/>
      <c r="M29" s="6"/>
      <c r="N29" s="6"/>
      <c r="O29" s="6"/>
      <c r="P29" s="6"/>
      <c r="Q29" s="6"/>
      <c r="R29" s="6"/>
      <c r="S29" s="6"/>
      <c r="T29" s="6"/>
      <c r="U29" s="6"/>
    </row>
    <row r="30" spans="1:21" ht="12.75" hidden="1">
      <c r="A30" s="750"/>
      <c r="B30" s="514"/>
      <c r="C30" s="514"/>
      <c r="D30" s="514"/>
      <c r="E30" s="514"/>
      <c r="F30" s="514"/>
      <c r="G30" s="512"/>
      <c r="H30" s="17"/>
      <c r="I30" s="18"/>
      <c r="J30" s="18"/>
      <c r="K30" s="19"/>
      <c r="L30" s="28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 hidden="1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6"/>
      <c r="M31" s="25"/>
      <c r="N31" s="25"/>
      <c r="O31" s="25"/>
      <c r="P31" s="25"/>
      <c r="Q31" s="25"/>
      <c r="R31" s="25"/>
      <c r="S31" s="25"/>
      <c r="T31" s="25"/>
      <c r="U31" s="25"/>
    </row>
    <row r="32" spans="1:21" ht="12.75" hidden="1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6"/>
      <c r="M32" s="25"/>
      <c r="N32" s="25"/>
      <c r="O32" s="25"/>
      <c r="P32" s="25"/>
      <c r="Q32" s="25"/>
      <c r="R32" s="25"/>
      <c r="S32" s="25"/>
      <c r="T32" s="25"/>
      <c r="U32" s="25"/>
    </row>
    <row r="33" spans="1:21" ht="12.75" hidden="1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6"/>
      <c r="M33" s="25"/>
      <c r="N33" s="25"/>
      <c r="O33" s="25"/>
      <c r="P33" s="25"/>
      <c r="Q33" s="25"/>
      <c r="R33" s="25"/>
      <c r="S33" s="25"/>
      <c r="T33" s="25"/>
      <c r="U33" s="25"/>
    </row>
    <row r="34" spans="1:21" ht="12.75" hidden="1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6"/>
      <c r="M34" s="25"/>
      <c r="N34" s="25"/>
      <c r="O34" s="25"/>
      <c r="P34" s="25"/>
      <c r="Q34" s="25"/>
      <c r="R34" s="25"/>
      <c r="S34" s="25"/>
      <c r="T34" s="25"/>
      <c r="U34" s="25"/>
    </row>
    <row r="35" spans="1:21" ht="12.75" hidden="1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6"/>
      <c r="M35" s="25"/>
      <c r="N35" s="25"/>
      <c r="O35" s="25"/>
      <c r="P35" s="25"/>
      <c r="Q35" s="25"/>
      <c r="R35" s="25"/>
      <c r="S35" s="25"/>
      <c r="T35" s="25"/>
      <c r="U35" s="25"/>
    </row>
    <row r="36" spans="1:21" ht="12.75" hidden="1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6"/>
      <c r="M36" s="25"/>
      <c r="N36" s="25"/>
      <c r="O36" s="25"/>
      <c r="P36" s="25"/>
      <c r="Q36" s="25"/>
      <c r="R36" s="25"/>
      <c r="S36" s="25"/>
      <c r="T36" s="25"/>
      <c r="U36" s="25"/>
    </row>
    <row r="37" spans="1:21" ht="12.75" hidden="1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6"/>
      <c r="M37" s="25"/>
      <c r="N37" s="25"/>
      <c r="O37" s="25"/>
      <c r="P37" s="25"/>
      <c r="Q37" s="25"/>
      <c r="R37" s="25"/>
      <c r="S37" s="25"/>
      <c r="T37" s="25"/>
      <c r="U37" s="25"/>
    </row>
    <row r="38" spans="1:21" ht="12.75" hidden="1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6"/>
      <c r="M38" s="25"/>
      <c r="N38" s="25"/>
      <c r="O38" s="25"/>
      <c r="P38" s="25"/>
      <c r="Q38" s="25"/>
      <c r="R38" s="25"/>
      <c r="S38" s="25"/>
      <c r="T38" s="25"/>
      <c r="U38" s="25"/>
    </row>
    <row r="39" spans="1:21" ht="12.75" hidden="1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28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9.5" hidden="1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749">
        <f ca="1">L44+L59+L72+L94+L125+L139+L157+L173+L186+L266+L282+L303+L320+L333+L356</f>
        <v>2770600</v>
      </c>
      <c r="M40" s="748">
        <f ca="1">M44+M59+M72+M94+M125+M139+M157+M173+M186+M266+M282+M303+M320+M333+M356</f>
        <v>2837698</v>
      </c>
      <c r="N40" s="748">
        <f ca="1">N44+N59+N72+N94+N125+N139+N157+N173+N186+N266+N282+N303+N320+N333+N356</f>
        <v>2057753.8000000003</v>
      </c>
      <c r="O40" s="748">
        <f ca="1">IF(L40&gt;0,N40*100/L40,0)</f>
        <v>74.271053201472611</v>
      </c>
      <c r="P40" s="748">
        <f ca="1">IF(M40&gt;0,N40*100/M40,0)</f>
        <v>72.514897638860802</v>
      </c>
      <c r="Q40" s="73"/>
      <c r="R40" s="73"/>
      <c r="S40" s="73"/>
      <c r="T40" s="73"/>
      <c r="U40" s="73"/>
    </row>
    <row r="41" spans="1:21" ht="19.5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78"/>
      <c r="R41" s="78"/>
      <c r="S41" s="78"/>
      <c r="T41" s="78"/>
      <c r="U41" s="79"/>
    </row>
    <row r="42" spans="1:21" ht="19.5">
      <c r="A42" s="80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5"/>
      <c r="M42" s="84"/>
      <c r="N42" s="84"/>
      <c r="O42" s="84"/>
      <c r="P42" s="84"/>
      <c r="Q42" s="84"/>
      <c r="R42" s="84"/>
      <c r="S42" s="84"/>
      <c r="T42" s="84"/>
      <c r="U42" s="84"/>
    </row>
    <row r="43" spans="1:21" ht="12.75" hidden="1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6"/>
      <c r="M43" s="25"/>
      <c r="N43" s="25"/>
      <c r="O43" s="25"/>
      <c r="P43" s="25"/>
      <c r="Q43" s="25"/>
      <c r="R43" s="25"/>
      <c r="S43" s="25"/>
      <c r="T43" s="25"/>
      <c r="U43" s="25"/>
    </row>
    <row r="44" spans="1:21" ht="19.5">
      <c r="A44" s="86"/>
      <c r="B44" s="87"/>
      <c r="C44" s="88" t="s">
        <v>18</v>
      </c>
      <c r="D44" s="747" t="s">
        <v>19</v>
      </c>
      <c r="E44" s="87"/>
      <c r="F44" s="87"/>
      <c r="G44" s="90"/>
      <c r="H44" s="91" t="s">
        <v>14</v>
      </c>
      <c r="I44" s="92"/>
      <c r="J44" s="92"/>
      <c r="K44" s="93"/>
      <c r="L44" s="746">
        <f ca="1">L45+L46</f>
        <v>478365</v>
      </c>
      <c r="M44" s="745">
        <f ca="1">M45+M46</f>
        <v>502743</v>
      </c>
      <c r="N44" s="745">
        <f ca="1">N45+N46</f>
        <v>423622.33</v>
      </c>
      <c r="O44" s="745">
        <f ca="1">IF(L44&gt;0,N44*100/L44,0)</f>
        <v>88.556296969887015</v>
      </c>
      <c r="P44" s="745">
        <f ca="1">IF(M44&gt;0,N44*100/M44,0)</f>
        <v>84.262203551317469</v>
      </c>
      <c r="Q44" s="745">
        <f>Q45+Q46</f>
        <v>0</v>
      </c>
      <c r="R44" s="745">
        <f>R45+R46</f>
        <v>0</v>
      </c>
      <c r="S44" s="745">
        <f>S45+S46</f>
        <v>0</v>
      </c>
      <c r="T44" s="745">
        <f>IF(Q44&gt;0,S44*100/Q44,0)</f>
        <v>0</v>
      </c>
      <c r="U44" s="745">
        <f>IF(R44&gt;0,S44*100/R44,0)</f>
        <v>0</v>
      </c>
    </row>
    <row r="45" spans="1:21" ht="18.75" hidden="1">
      <c r="A45" s="86"/>
      <c r="B45" s="87"/>
      <c r="C45" s="87"/>
      <c r="D45" s="87"/>
      <c r="E45" s="744" t="s">
        <v>20</v>
      </c>
      <c r="F45" s="87"/>
      <c r="G45" s="90"/>
      <c r="H45" s="743" t="s">
        <v>14</v>
      </c>
      <c r="I45" s="92"/>
      <c r="J45" s="92"/>
      <c r="K45" s="93"/>
      <c r="L45" s="742">
        <f>L48+L51</f>
        <v>0</v>
      </c>
      <c r="M45" s="741">
        <f>M48+M51</f>
        <v>0</v>
      </c>
      <c r="N45" s="741">
        <f>N48+N51</f>
        <v>0</v>
      </c>
      <c r="O45" s="741">
        <f>IF(L45&gt;0,N45*100/L45,0)</f>
        <v>0</v>
      </c>
      <c r="P45" s="741">
        <f>IF(M45&gt;0,N45*100/M45,0)</f>
        <v>0</v>
      </c>
      <c r="Q45" s="741">
        <f>Q48+Q51</f>
        <v>0</v>
      </c>
      <c r="R45" s="741">
        <f>R48+R51</f>
        <v>0</v>
      </c>
      <c r="S45" s="741">
        <f>S48+S51</f>
        <v>0</v>
      </c>
      <c r="T45" s="741">
        <f>IF(Q45&gt;0,S45*100/Q45,0)</f>
        <v>0</v>
      </c>
      <c r="U45" s="741">
        <f>IF(R45&gt;0,S45*100/R45,0)</f>
        <v>0</v>
      </c>
    </row>
    <row r="46" spans="1:21" ht="18.75" hidden="1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740">
        <f ca="1">L49+L52</f>
        <v>478365</v>
      </c>
      <c r="M46" s="739">
        <f ca="1">M49+M52</f>
        <v>502743</v>
      </c>
      <c r="N46" s="739">
        <f ca="1">N49+N52</f>
        <v>423622.33</v>
      </c>
      <c r="O46" s="739">
        <f ca="1">IF(L46&gt;0,N46*100/L46,0)</f>
        <v>88.556296969887015</v>
      </c>
      <c r="P46" s="739">
        <f ca="1">IF(M46&gt;0,N46*100/M46,0)</f>
        <v>84.262203551317469</v>
      </c>
      <c r="Q46" s="739">
        <f>Q49+Q52</f>
        <v>0</v>
      </c>
      <c r="R46" s="739">
        <f>R49+R52</f>
        <v>0</v>
      </c>
      <c r="S46" s="739">
        <f>S49+S52</f>
        <v>0</v>
      </c>
      <c r="T46" s="739">
        <f>IF(Q46&gt;0,S46*100/Q46,0)</f>
        <v>0</v>
      </c>
      <c r="U46" s="739">
        <f>IF(R46&gt;0,S46*100/R46,0)</f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256">
        <f ca="1">L48+L49</f>
        <v>478365</v>
      </c>
      <c r="M47" s="255">
        <f ca="1">M48+M49</f>
        <v>502743</v>
      </c>
      <c r="N47" s="255">
        <f ca="1">N48+N49</f>
        <v>423622.33</v>
      </c>
      <c r="O47" s="255">
        <f ca="1">IF(L47&gt;0,N47*100/L47,0)</f>
        <v>88.556296969887015</v>
      </c>
      <c r="P47" s="255">
        <f ca="1">IF(M47&gt;0,N47*100/M47,0)</f>
        <v>84.262203551317469</v>
      </c>
      <c r="Q47" s="255">
        <f>Q48+Q49</f>
        <v>0</v>
      </c>
      <c r="R47" s="255">
        <f>R48+R49</f>
        <v>0</v>
      </c>
      <c r="S47" s="255">
        <f>S48+S49</f>
        <v>0</v>
      </c>
      <c r="T47" s="255">
        <f>IF(Q47&gt;0,S47*100/Q47,0)</f>
        <v>0</v>
      </c>
      <c r="U47" s="255">
        <f>IF(R47&gt;0,S47*100/R47,0)</f>
        <v>0</v>
      </c>
    </row>
    <row r="48" spans="1:21" ht="18.75" hidden="1">
      <c r="A48" s="49"/>
      <c r="B48" s="50"/>
      <c r="C48" s="50"/>
      <c r="D48" s="50"/>
      <c r="E48" s="186" t="s">
        <v>20</v>
      </c>
      <c r="F48" s="50"/>
      <c r="G48" s="52"/>
      <c r="H48" s="729" t="s">
        <v>14</v>
      </c>
      <c r="I48" s="54"/>
      <c r="J48" s="54"/>
      <c r="K48" s="55"/>
      <c r="L48" s="103">
        <v>0</v>
      </c>
      <c r="M48" s="102">
        <v>0</v>
      </c>
      <c r="N48" s="102">
        <v>0</v>
      </c>
      <c r="O48" s="102">
        <f>IF(L48&gt;0,N48*100/L48,0)</f>
        <v>0</v>
      </c>
      <c r="P48" s="102">
        <f>IF(M48&gt;0,N48*100/M48,0)</f>
        <v>0</v>
      </c>
      <c r="Q48" s="102">
        <v>0</v>
      </c>
      <c r="R48" s="102">
        <v>0</v>
      </c>
      <c r="S48" s="102">
        <v>0</v>
      </c>
      <c r="T48" s="102">
        <f>IF(Q48&gt;0,S48*100/Q48,0)</f>
        <v>0</v>
      </c>
      <c r="U48" s="102">
        <f>IF(R48&gt;0,S48*100/R48,0)</f>
        <v>0</v>
      </c>
    </row>
    <row r="49" spans="1:21" ht="18.75" hidden="1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256">
        <f ca="1">IFERROR(__xludf.DUMMYFUNCTION("IMPORTRANGE(""https://docs.google.com/spreadsheets/d/1-uDff_7J0KD5mKrp0Vvzr7lt3OU09vwQwhkpOPPYv2Y/edit?usp=sharing"",""งบพรบ!P44"")"),478365)</f>
        <v>478365</v>
      </c>
      <c r="M49" s="255">
        <f ca="1">IFERROR(__xludf.DUMMYFUNCTION("IMPORTRANGE(""https://docs.google.com/spreadsheets/d/1-uDff_7J0KD5mKrp0Vvzr7lt3OU09vwQwhkpOPPYv2Y/edit?usp=sharing"",""งบพรบ!V44"")"),502743)</f>
        <v>502743</v>
      </c>
      <c r="N49" s="255">
        <f ca="1">IFERROR(__xludf.DUMMYFUNCTION("IMPORTRANGE(""https://docs.google.com/spreadsheets/d/1-uDff_7J0KD5mKrp0Vvzr7lt3OU09vwQwhkpOPPYv2Y/edit?usp=sharing"",""งบพรบ!Y44"")"),423622.33)</f>
        <v>423622.33</v>
      </c>
      <c r="O49" s="255">
        <f ca="1">IF(L49&gt;0,N49*100/L49,0)</f>
        <v>88.556296969887015</v>
      </c>
      <c r="P49" s="255">
        <f ca="1">IF(M49&gt;0,N49*100/M49,0)</f>
        <v>84.262203551317469</v>
      </c>
      <c r="Q49" s="255">
        <v>0</v>
      </c>
      <c r="R49" s="255">
        <v>0</v>
      </c>
      <c r="S49" s="255">
        <v>0</v>
      </c>
      <c r="T49" s="255">
        <f>IF(Q49&gt;0,S49*100/Q49,0)</f>
        <v>0</v>
      </c>
      <c r="U49" s="255">
        <f>IF(R49&gt;0,S49*100/R49,0)</f>
        <v>0</v>
      </c>
    </row>
    <row r="50" spans="1:21" ht="18.75">
      <c r="A50" s="49"/>
      <c r="B50" s="50"/>
      <c r="C50" s="50"/>
      <c r="D50" s="51" t="s">
        <v>23</v>
      </c>
      <c r="E50" s="50"/>
      <c r="F50" s="50"/>
      <c r="G50" s="52"/>
      <c r="H50" s="53" t="s">
        <v>14</v>
      </c>
      <c r="I50" s="54"/>
      <c r="J50" s="54"/>
      <c r="K50" s="55"/>
      <c r="L50" s="256">
        <f ca="1">L51+L52</f>
        <v>0</v>
      </c>
      <c r="M50" s="255">
        <f ca="1">M51+M52</f>
        <v>0</v>
      </c>
      <c r="N50" s="255">
        <f ca="1">N51+N52</f>
        <v>0</v>
      </c>
      <c r="O50" s="255">
        <f ca="1">IF(L50&gt;0,N50*100/L50,0)</f>
        <v>0</v>
      </c>
      <c r="P50" s="255">
        <f ca="1">IF(M50&gt;0,N50*100/M50,0)</f>
        <v>0</v>
      </c>
      <c r="Q50" s="255">
        <f>Q51+Q52</f>
        <v>0</v>
      </c>
      <c r="R50" s="255">
        <f>R51+R52</f>
        <v>0</v>
      </c>
      <c r="S50" s="255">
        <f>S51+S52</f>
        <v>0</v>
      </c>
      <c r="T50" s="255">
        <f>IF(Q50&gt;0,S50*100/Q50,0)</f>
        <v>0</v>
      </c>
      <c r="U50" s="255">
        <f>IF(R50&gt;0,S50*100/R50,0)</f>
        <v>0</v>
      </c>
    </row>
    <row r="51" spans="1:21" ht="18.75" hidden="1">
      <c r="A51" s="49"/>
      <c r="B51" s="50"/>
      <c r="C51" s="50"/>
      <c r="D51" s="50"/>
      <c r="E51" s="186" t="s">
        <v>20</v>
      </c>
      <c r="F51" s="50"/>
      <c r="G51" s="52"/>
      <c r="H51" s="729" t="s">
        <v>14</v>
      </c>
      <c r="I51" s="54"/>
      <c r="J51" s="54"/>
      <c r="K51" s="55"/>
      <c r="L51" s="103">
        <v>0</v>
      </c>
      <c r="M51" s="102">
        <v>0</v>
      </c>
      <c r="N51" s="102">
        <v>0</v>
      </c>
      <c r="O51" s="102">
        <f>IF(L51&gt;0,N51*100/L51,0)</f>
        <v>0</v>
      </c>
      <c r="P51" s="102">
        <f>IF(M51&gt;0,N51*100/M51,0)</f>
        <v>0</v>
      </c>
      <c r="Q51" s="102">
        <v>0</v>
      </c>
      <c r="R51" s="102">
        <v>0</v>
      </c>
      <c r="S51" s="102">
        <v>0</v>
      </c>
      <c r="T51" s="102">
        <f>IF(Q51&gt;0,S51*100/Q51,0)</f>
        <v>0</v>
      </c>
      <c r="U51" s="102">
        <f>IF(R51&gt;0,S51*100/R51,0)</f>
        <v>0</v>
      </c>
    </row>
    <row r="52" spans="1:21" ht="18.75" hidden="1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256">
        <f ca="1">IFERROR(__xludf.DUMMYFUNCTION("IMPORTRANGE(""https://docs.google.com/spreadsheets/d/1-uDff_7J0KD5mKrp0Vvzr7lt3OU09vwQwhkpOPPYv2Y/edit?usp=sharing"",""งบพรบ!S44"")"),0)</f>
        <v>0</v>
      </c>
      <c r="M52" s="255">
        <f ca="1">IFERROR(__xludf.DUMMYFUNCTION("IMPORTRANGE(""https://docs.google.com/spreadsheets/d/1-uDff_7J0KD5mKrp0Vvzr7lt3OU09vwQwhkpOPPYv2Y/edit?usp=sharing"",""งบพรบ!W44"")"),0)</f>
        <v>0</v>
      </c>
      <c r="N52" s="255">
        <f ca="1">IFERROR(__xludf.DUMMYFUNCTION("IMPORTRANGE(""https://docs.google.com/spreadsheets/d/1-uDff_7J0KD5mKrp0Vvzr7lt3OU09vwQwhkpOPPYv2Y/edit?usp=sharing"",""งบพรบ!Z44"")"),0)</f>
        <v>0</v>
      </c>
      <c r="O52" s="255">
        <f ca="1">IF(L52&gt;0,N52*100/L52,0)</f>
        <v>0</v>
      </c>
      <c r="P52" s="255">
        <f ca="1">IF(M52&gt;0,N52*100/M52,0)</f>
        <v>0</v>
      </c>
      <c r="Q52" s="255">
        <v>0</v>
      </c>
      <c r="R52" s="255">
        <v>0</v>
      </c>
      <c r="S52" s="255">
        <v>0</v>
      </c>
      <c r="T52" s="255">
        <f>IF(Q52&gt;0,S52*100/Q52,0)</f>
        <v>0</v>
      </c>
      <c r="U52" s="255">
        <f>IF(R52&gt;0,S52*100/R52,0)</f>
        <v>0</v>
      </c>
    </row>
    <row r="53" spans="1:21" ht="18.75">
      <c r="A53" s="49"/>
      <c r="B53" s="50"/>
      <c r="C53" s="50"/>
      <c r="D53" s="51" t="s">
        <v>24</v>
      </c>
      <c r="E53" s="50"/>
      <c r="F53" s="50"/>
      <c r="G53" s="52"/>
      <c r="H53" s="53" t="s">
        <v>14</v>
      </c>
      <c r="I53" s="54"/>
      <c r="J53" s="54"/>
      <c r="K53" s="55"/>
      <c r="L53" s="62"/>
      <c r="M53" s="55"/>
      <c r="N53" s="55"/>
      <c r="O53" s="55"/>
      <c r="P53" s="55"/>
      <c r="Q53" s="55"/>
      <c r="R53" s="55"/>
      <c r="S53" s="55"/>
      <c r="T53" s="55"/>
      <c r="U53" s="55"/>
    </row>
    <row r="54" spans="1:21" ht="18.75" hidden="1">
      <c r="A54" s="49"/>
      <c r="B54" s="50"/>
      <c r="C54" s="50"/>
      <c r="D54" s="50"/>
      <c r="E54" s="186" t="s">
        <v>20</v>
      </c>
      <c r="F54" s="50"/>
      <c r="G54" s="52"/>
      <c r="H54" s="729" t="s">
        <v>14</v>
      </c>
      <c r="I54" s="54"/>
      <c r="J54" s="54"/>
      <c r="K54" s="55"/>
      <c r="L54" s="62"/>
      <c r="M54" s="55"/>
      <c r="N54" s="55"/>
      <c r="O54" s="55"/>
      <c r="P54" s="55"/>
      <c r="Q54" s="55"/>
      <c r="R54" s="55"/>
      <c r="S54" s="55"/>
      <c r="T54" s="55"/>
      <c r="U54" s="55"/>
    </row>
    <row r="55" spans="1:21" ht="18.75" hidden="1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8"/>
      <c r="M55" s="6"/>
      <c r="N55" s="6"/>
      <c r="O55" s="6"/>
      <c r="P55" s="6"/>
      <c r="Q55" s="6"/>
      <c r="R55" s="6"/>
      <c r="S55" s="6"/>
      <c r="T55" s="6"/>
      <c r="U55" s="6"/>
    </row>
    <row r="56" spans="1:21" ht="19.5">
      <c r="A56" s="533" t="s">
        <v>28</v>
      </c>
      <c r="B56" s="514"/>
      <c r="C56" s="514"/>
      <c r="D56" s="514"/>
      <c r="E56" s="514"/>
      <c r="F56" s="514"/>
      <c r="G56" s="512"/>
      <c r="H56" s="104"/>
      <c r="I56" s="105"/>
      <c r="J56" s="105"/>
      <c r="K56" s="106"/>
      <c r="L56" s="106"/>
      <c r="M56" s="106"/>
      <c r="N56" s="106"/>
      <c r="O56" s="106"/>
      <c r="P56" s="107"/>
      <c r="Q56" s="106"/>
      <c r="R56" s="106"/>
      <c r="S56" s="106"/>
      <c r="T56" s="106"/>
      <c r="U56" s="107"/>
    </row>
    <row r="57" spans="1:21" ht="19.5">
      <c r="A57" s="108"/>
      <c r="B57" s="534" t="s">
        <v>29</v>
      </c>
      <c r="C57" s="529"/>
      <c r="D57" s="529"/>
      <c r="E57" s="529"/>
      <c r="F57" s="529"/>
      <c r="G57" s="530"/>
      <c r="H57" s="109"/>
      <c r="I57" s="110"/>
      <c r="J57" s="110"/>
      <c r="K57" s="111"/>
      <c r="L57" s="112"/>
      <c r="M57" s="111"/>
      <c r="N57" s="111"/>
      <c r="O57" s="111"/>
      <c r="P57" s="111"/>
      <c r="Q57" s="111"/>
      <c r="R57" s="111"/>
      <c r="S57" s="111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9"/>
      <c r="M58" s="118"/>
      <c r="N58" s="118"/>
      <c r="O58" s="118"/>
      <c r="P58" s="118"/>
      <c r="Q58" s="118"/>
      <c r="R58" s="118"/>
      <c r="S58" s="118"/>
      <c r="T58" s="118"/>
      <c r="U58" s="118"/>
    </row>
    <row r="59" spans="1:21" ht="19.5">
      <c r="A59" s="120"/>
      <c r="B59" s="121"/>
      <c r="C59" s="122" t="s">
        <v>18</v>
      </c>
      <c r="D59" s="738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737">
        <f ca="1">L60+L61</f>
        <v>565800</v>
      </c>
      <c r="M59" s="736">
        <f ca="1">M60+M61</f>
        <v>625340</v>
      </c>
      <c r="N59" s="736">
        <f ca="1">N60+N61</f>
        <v>529797.49</v>
      </c>
      <c r="O59" s="736">
        <f ca="1">IF(L59&gt;0,N59*100/L59,0)</f>
        <v>93.636884057971017</v>
      </c>
      <c r="P59" s="736">
        <f ca="1">IF(M59&gt;0,N59*100/M59,0)</f>
        <v>84.721509898615153</v>
      </c>
      <c r="Q59" s="736">
        <f>Q60+Q61</f>
        <v>0</v>
      </c>
      <c r="R59" s="736">
        <f>R60+R61</f>
        <v>0</v>
      </c>
      <c r="S59" s="736">
        <f>S60+S61</f>
        <v>0</v>
      </c>
      <c r="T59" s="736">
        <f>IF(Q59&gt;0,S59*100/Q59,0)</f>
        <v>0</v>
      </c>
      <c r="U59" s="736">
        <f>IF(R59&gt;0,S59*100/R59,0)</f>
        <v>0</v>
      </c>
    </row>
    <row r="60" spans="1:21" ht="18.75" hidden="1">
      <c r="A60" s="120"/>
      <c r="B60" s="121"/>
      <c r="C60" s="121"/>
      <c r="D60" s="121"/>
      <c r="E60" s="735" t="s">
        <v>20</v>
      </c>
      <c r="F60" s="121"/>
      <c r="G60" s="124"/>
      <c r="H60" s="734" t="s">
        <v>14</v>
      </c>
      <c r="I60" s="126"/>
      <c r="J60" s="126"/>
      <c r="K60" s="127"/>
      <c r="L60" s="733">
        <f>L63+L66</f>
        <v>0</v>
      </c>
      <c r="M60" s="732">
        <f>M63+M66</f>
        <v>0</v>
      </c>
      <c r="N60" s="732">
        <f>N63+N66</f>
        <v>0</v>
      </c>
      <c r="O60" s="732">
        <f>IF(L60&gt;0,N60*100/L60,0)</f>
        <v>0</v>
      </c>
      <c r="P60" s="732">
        <f>IF(M60&gt;0,N60*100/M60,0)</f>
        <v>0</v>
      </c>
      <c r="Q60" s="732">
        <f>Q63+Q66</f>
        <v>0</v>
      </c>
      <c r="R60" s="732">
        <f>R63+R66</f>
        <v>0</v>
      </c>
      <c r="S60" s="732">
        <f>S63+S66</f>
        <v>0</v>
      </c>
      <c r="T60" s="732">
        <f>IF(Q60&gt;0,S60*100/Q60,0)</f>
        <v>0</v>
      </c>
      <c r="U60" s="732">
        <f>IF(R60&gt;0,S60*100/R60,0)</f>
        <v>0</v>
      </c>
    </row>
    <row r="61" spans="1:21" ht="18.75" hidden="1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731">
        <f ca="1">L64+L67</f>
        <v>565800</v>
      </c>
      <c r="M61" s="730">
        <f ca="1">M64+M67</f>
        <v>625340</v>
      </c>
      <c r="N61" s="730">
        <f ca="1">N64+N67</f>
        <v>529797.49</v>
      </c>
      <c r="O61" s="730">
        <f ca="1">IF(L61&gt;0,N61*100/L61,0)</f>
        <v>93.636884057971017</v>
      </c>
      <c r="P61" s="730">
        <f ca="1">IF(M61&gt;0,N61*100/M61,0)</f>
        <v>84.721509898615153</v>
      </c>
      <c r="Q61" s="730">
        <f>Q64+Q67</f>
        <v>0</v>
      </c>
      <c r="R61" s="730">
        <f>R64+R67</f>
        <v>0</v>
      </c>
      <c r="S61" s="730">
        <f>S64+S67</f>
        <v>0</v>
      </c>
      <c r="T61" s="730">
        <f>IF(Q61&gt;0,S61*100/Q61,0)</f>
        <v>0</v>
      </c>
      <c r="U61" s="730">
        <f>IF(R61&gt;0,S61*100/R61,0)</f>
        <v>0</v>
      </c>
    </row>
    <row r="62" spans="1:21" ht="18.75">
      <c r="A62" s="49"/>
      <c r="B62" s="50"/>
      <c r="C62" s="50"/>
      <c r="D62" s="51" t="s">
        <v>22</v>
      </c>
      <c r="E62" s="50"/>
      <c r="F62" s="50"/>
      <c r="G62" s="52"/>
      <c r="H62" s="53" t="s">
        <v>14</v>
      </c>
      <c r="I62" s="54"/>
      <c r="J62" s="54"/>
      <c r="K62" s="55"/>
      <c r="L62" s="256">
        <f ca="1">L63+L64</f>
        <v>565800</v>
      </c>
      <c r="M62" s="255">
        <f ca="1">M63+M64</f>
        <v>625340</v>
      </c>
      <c r="N62" s="255">
        <f ca="1">N63+N64</f>
        <v>529797.49</v>
      </c>
      <c r="O62" s="255">
        <f ca="1">IF(L62&gt;0,N62*100/L62,0)</f>
        <v>93.636884057971017</v>
      </c>
      <c r="P62" s="255">
        <f ca="1">IF(M62&gt;0,N62*100/M62,0)</f>
        <v>84.721509898615153</v>
      </c>
      <c r="Q62" s="255">
        <f>Q63+Q64</f>
        <v>0</v>
      </c>
      <c r="R62" s="255">
        <f>R63+R64</f>
        <v>0</v>
      </c>
      <c r="S62" s="255">
        <f>S63+S64</f>
        <v>0</v>
      </c>
      <c r="T62" s="255">
        <f>IF(Q62&gt;0,S62*100/Q62,0)</f>
        <v>0</v>
      </c>
      <c r="U62" s="255">
        <f>IF(R62&gt;0,S62*100/R62,0)</f>
        <v>0</v>
      </c>
    </row>
    <row r="63" spans="1:21" ht="18.75" hidden="1">
      <c r="A63" s="49"/>
      <c r="B63" s="50"/>
      <c r="C63" s="50"/>
      <c r="D63" s="50"/>
      <c r="E63" s="186" t="s">
        <v>20</v>
      </c>
      <c r="F63" s="50"/>
      <c r="G63" s="52"/>
      <c r="H63" s="729" t="s">
        <v>14</v>
      </c>
      <c r="I63" s="54"/>
      <c r="J63" s="54"/>
      <c r="K63" s="55"/>
      <c r="L63" s="103">
        <v>0</v>
      </c>
      <c r="M63" s="102">
        <v>0</v>
      </c>
      <c r="N63" s="102">
        <v>0</v>
      </c>
      <c r="O63" s="102">
        <f>IF(L63&gt;0,N63*100/L63,0)</f>
        <v>0</v>
      </c>
      <c r="P63" s="102">
        <f>IF(M63&gt;0,N63*100/M63,0)</f>
        <v>0</v>
      </c>
      <c r="Q63" s="102">
        <v>0</v>
      </c>
      <c r="R63" s="102">
        <v>0</v>
      </c>
      <c r="S63" s="102">
        <v>0</v>
      </c>
      <c r="T63" s="102">
        <f>IF(Q63&gt;0,S63*100/Q63,0)</f>
        <v>0</v>
      </c>
      <c r="U63" s="102">
        <f>IF(R63&gt;0,S63*100/R63,0)</f>
        <v>0</v>
      </c>
    </row>
    <row r="64" spans="1:21" ht="18.75" hidden="1">
      <c r="A64" s="49"/>
      <c r="B64" s="50"/>
      <c r="C64" s="50"/>
      <c r="D64" s="50"/>
      <c r="E64" s="58" t="s">
        <v>21</v>
      </c>
      <c r="F64" s="50"/>
      <c r="G64" s="52"/>
      <c r="H64" s="53" t="s">
        <v>14</v>
      </c>
      <c r="I64" s="54"/>
      <c r="J64" s="54"/>
      <c r="K64" s="55"/>
      <c r="L64" s="256">
        <f ca="1">IFERROR(__xludf.DUMMYFUNCTION("IMPORTRANGE(""https://docs.google.com/spreadsheets/d/1-uDff_7J0KD5mKrp0Vvzr7lt3OU09vwQwhkpOPPYv2Y/edit?usp=sharing"",""งบพรบ!AC44"")"),565800)</f>
        <v>565800</v>
      </c>
      <c r="M64" s="255">
        <f ca="1">IFERROR(__xludf.DUMMYFUNCTION("IMPORTRANGE(""https://docs.google.com/spreadsheets/d/1-uDff_7J0KD5mKrp0Vvzr7lt3OU09vwQwhkpOPPYv2Y/edit?usp=sharing"",""งบพรบ!AH44"")"),625340)</f>
        <v>625340</v>
      </c>
      <c r="N64" s="255">
        <f ca="1">IFERROR(__xludf.DUMMYFUNCTION("IMPORTRANGE(""https://docs.google.com/spreadsheets/d/1-uDff_7J0KD5mKrp0Vvzr7lt3OU09vwQwhkpOPPYv2Y/edit?usp=sharing"",""งบพรบ!AJ44"")"),529797.49)</f>
        <v>529797.49</v>
      </c>
      <c r="O64" s="255">
        <f ca="1">IF(L64&gt;0,N64*100/L64,0)</f>
        <v>93.636884057971017</v>
      </c>
      <c r="P64" s="255">
        <f ca="1">IF(M64&gt;0,N64*100/M64,0)</f>
        <v>84.721509898615153</v>
      </c>
      <c r="Q64" s="255">
        <v>0</v>
      </c>
      <c r="R64" s="255">
        <v>0</v>
      </c>
      <c r="S64" s="255">
        <v>0</v>
      </c>
      <c r="T64" s="255">
        <f>IF(Q64&gt;0,S64*100/Q64,0)</f>
        <v>0</v>
      </c>
      <c r="U64" s="255">
        <f>IF(R64&gt;0,S64*100/R64,0)</f>
        <v>0</v>
      </c>
    </row>
    <row r="65" spans="1:21" ht="18.75">
      <c r="A65" s="49"/>
      <c r="B65" s="50"/>
      <c r="C65" s="50"/>
      <c r="D65" s="51" t="s">
        <v>23</v>
      </c>
      <c r="E65" s="50"/>
      <c r="F65" s="50"/>
      <c r="G65" s="52"/>
      <c r="H65" s="53" t="s">
        <v>14</v>
      </c>
      <c r="I65" s="54"/>
      <c r="J65" s="54"/>
      <c r="K65" s="55"/>
      <c r="L65" s="256">
        <f ca="1">L66+L67</f>
        <v>0</v>
      </c>
      <c r="M65" s="255">
        <f ca="1">M66+M67</f>
        <v>0</v>
      </c>
      <c r="N65" s="255">
        <f ca="1">N66+N67</f>
        <v>0</v>
      </c>
      <c r="O65" s="255">
        <f ca="1">IF(L65&gt;0,N65*100/L65,0)</f>
        <v>0</v>
      </c>
      <c r="P65" s="255">
        <f ca="1">IF(M65&gt;0,N65*100/M65,0)</f>
        <v>0</v>
      </c>
      <c r="Q65" s="255">
        <f>Q66+Q67</f>
        <v>0</v>
      </c>
      <c r="R65" s="255">
        <f>R66+R67</f>
        <v>0</v>
      </c>
      <c r="S65" s="255">
        <f>S66+S67</f>
        <v>0</v>
      </c>
      <c r="T65" s="255">
        <f>IF(Q65&gt;0,S65*100/Q65,0)</f>
        <v>0</v>
      </c>
      <c r="U65" s="255">
        <f>IF(R65&gt;0,S65*100/R65,0)</f>
        <v>0</v>
      </c>
    </row>
    <row r="66" spans="1:21" ht="18.75" hidden="1">
      <c r="A66" s="49"/>
      <c r="B66" s="50"/>
      <c r="C66" s="50"/>
      <c r="D66" s="50"/>
      <c r="E66" s="186" t="s">
        <v>20</v>
      </c>
      <c r="F66" s="50"/>
      <c r="G66" s="52"/>
      <c r="H66" s="729" t="s">
        <v>14</v>
      </c>
      <c r="I66" s="54"/>
      <c r="J66" s="54"/>
      <c r="K66" s="55"/>
      <c r="L66" s="103">
        <v>0</v>
      </c>
      <c r="M66" s="102">
        <v>0</v>
      </c>
      <c r="N66" s="102">
        <v>0</v>
      </c>
      <c r="O66" s="102">
        <f>IF(L66&gt;0,N66*100/L66,0)</f>
        <v>0</v>
      </c>
      <c r="P66" s="102">
        <f>IF(M66&gt;0,N66*100/M66,0)</f>
        <v>0</v>
      </c>
      <c r="Q66" s="102">
        <v>0</v>
      </c>
      <c r="R66" s="102">
        <v>0</v>
      </c>
      <c r="S66" s="102">
        <v>0</v>
      </c>
      <c r="T66" s="102">
        <f>IF(Q66&gt;0,S66*100/Q66,0)</f>
        <v>0</v>
      </c>
      <c r="U66" s="102">
        <f>IF(R66&gt;0,S66*100/R66,0)</f>
        <v>0</v>
      </c>
    </row>
    <row r="67" spans="1:21" ht="18.75" hidden="1">
      <c r="A67" s="63"/>
      <c r="B67" s="4"/>
      <c r="C67" s="4"/>
      <c r="D67" s="4"/>
      <c r="E67" s="64" t="s">
        <v>21</v>
      </c>
      <c r="F67" s="4"/>
      <c r="G67" s="65"/>
      <c r="H67" s="66" t="s">
        <v>14</v>
      </c>
      <c r="I67" s="67"/>
      <c r="J67" s="67"/>
      <c r="K67" s="6"/>
      <c r="L67" s="728">
        <f ca="1">IFERROR(__xludf.DUMMYFUNCTION("IMPORTRANGE(""https://docs.google.com/spreadsheets/d/1-uDff_7J0KD5mKrp0Vvzr7lt3OU09vwQwhkpOPPYv2Y/edit?usp=sharing"",""งบพรบ!AF44"")"),0)</f>
        <v>0</v>
      </c>
      <c r="M67" s="506">
        <f ca="1">IFERROR(__xludf.DUMMYFUNCTION("IMPORTRANGE(""https://docs.google.com/spreadsheets/d/1-uDff_7J0KD5mKrp0Vvzr7lt3OU09vwQwhkpOPPYv2Y/edit?usp=sharing"",""งบพรบ!AI44"")"),0)</f>
        <v>0</v>
      </c>
      <c r="N67" s="506">
        <f ca="1">IFERROR(__xludf.DUMMYFUNCTION("IMPORTRANGE(""https://docs.google.com/spreadsheets/d/1-uDff_7J0KD5mKrp0Vvzr7lt3OU09vwQwhkpOPPYv2Y/edit?usp=sharing"",""งบพรบ!AK44"")"),0)</f>
        <v>0</v>
      </c>
      <c r="O67" s="506">
        <f ca="1">IF(L67&gt;0,N67*100/L67,0)</f>
        <v>0</v>
      </c>
      <c r="P67" s="506">
        <f ca="1">IF(M67&gt;0,N67*100/M67,0)</f>
        <v>0</v>
      </c>
      <c r="Q67" s="506">
        <v>0</v>
      </c>
      <c r="R67" s="506">
        <v>0</v>
      </c>
      <c r="S67" s="506">
        <v>0</v>
      </c>
      <c r="T67" s="506">
        <f>IF(Q67&gt;0,S67*100/Q67,0)</f>
        <v>0</v>
      </c>
      <c r="U67" s="506">
        <f>IF(R67&gt;0,S67*100/R67,0)</f>
        <v>0</v>
      </c>
    </row>
    <row r="68" spans="1:21" ht="19.5">
      <c r="A68" s="137" t="s">
        <v>31</v>
      </c>
      <c r="B68" s="138"/>
      <c r="C68" s="138"/>
      <c r="D68" s="138"/>
      <c r="E68" s="139"/>
      <c r="F68" s="139"/>
      <c r="G68" s="139"/>
      <c r="H68" s="139"/>
      <c r="I68" s="140"/>
      <c r="J68" s="140"/>
      <c r="K68" s="141"/>
      <c r="L68" s="141"/>
      <c r="M68" s="141"/>
      <c r="N68" s="141"/>
      <c r="O68" s="141"/>
      <c r="P68" s="142"/>
      <c r="Q68" s="141"/>
      <c r="R68" s="141"/>
      <c r="S68" s="141"/>
      <c r="T68" s="141"/>
      <c r="U68" s="142"/>
    </row>
    <row r="69" spans="1:21" ht="19.5" hidden="1">
      <c r="A69" s="143" t="s">
        <v>32</v>
      </c>
      <c r="B69" s="144"/>
      <c r="C69" s="145"/>
      <c r="D69" s="144"/>
      <c r="E69" s="144"/>
      <c r="F69" s="144"/>
      <c r="G69" s="146"/>
      <c r="H69" s="146"/>
      <c r="I69" s="147"/>
      <c r="J69" s="147"/>
      <c r="K69" s="148"/>
      <c r="L69" s="149"/>
      <c r="M69" s="148"/>
      <c r="N69" s="148"/>
      <c r="O69" s="148"/>
      <c r="P69" s="148"/>
      <c r="Q69" s="148"/>
      <c r="R69" s="148"/>
      <c r="S69" s="148"/>
      <c r="T69" s="148"/>
      <c r="U69" s="148"/>
    </row>
    <row r="70" spans="1:21" ht="19.5" hidden="1">
      <c r="A70" s="150"/>
      <c r="B70" s="35" t="s">
        <v>33</v>
      </c>
      <c r="C70" s="34"/>
      <c r="D70" s="151"/>
      <c r="E70" s="34"/>
      <c r="F70" s="34"/>
      <c r="G70" s="37"/>
      <c r="H70" s="152" t="s">
        <v>34</v>
      </c>
      <c r="I70" s="721">
        <f ca="1">I82</f>
        <v>0</v>
      </c>
      <c r="J70" s="721">
        <f>J82</f>
        <v>0</v>
      </c>
      <c r="K70" s="720">
        <f ca="1">IF(I70&gt;0,J70*100/I70,0)</f>
        <v>0</v>
      </c>
      <c r="L70" s="154"/>
      <c r="M70" s="40"/>
      <c r="N70" s="40"/>
      <c r="O70" s="40"/>
      <c r="P70" s="40"/>
      <c r="Q70" s="40"/>
      <c r="R70" s="40"/>
      <c r="S70" s="40"/>
      <c r="T70" s="40"/>
      <c r="U70" s="40"/>
    </row>
    <row r="71" spans="1:21" ht="19.5" hidden="1">
      <c r="A71" s="150"/>
      <c r="B71" s="34"/>
      <c r="C71" s="34"/>
      <c r="D71" s="151"/>
      <c r="E71" s="34"/>
      <c r="F71" s="34"/>
      <c r="G71" s="37"/>
      <c r="H71" s="152" t="s">
        <v>35</v>
      </c>
      <c r="I71" s="721">
        <f ca="1">I83</f>
        <v>0</v>
      </c>
      <c r="J71" s="721">
        <f>J83</f>
        <v>0</v>
      </c>
      <c r="K71" s="720">
        <f ca="1">IF(I71&gt;0,J71*100/I71,0)</f>
        <v>0</v>
      </c>
      <c r="L71" s="154"/>
      <c r="M71" s="40"/>
      <c r="N71" s="40"/>
      <c r="O71" s="40"/>
      <c r="P71" s="40"/>
      <c r="Q71" s="40"/>
      <c r="R71" s="40"/>
      <c r="S71" s="40"/>
      <c r="T71" s="40"/>
      <c r="U71" s="40"/>
    </row>
    <row r="72" spans="1:21" ht="19.5" hidden="1">
      <c r="A72" s="155"/>
      <c r="B72" s="50"/>
      <c r="C72" s="156" t="s">
        <v>18</v>
      </c>
      <c r="D72" s="575" t="s">
        <v>19</v>
      </c>
      <c r="E72" s="50"/>
      <c r="F72" s="50"/>
      <c r="G72" s="52"/>
      <c r="H72" s="158" t="s">
        <v>14</v>
      </c>
      <c r="I72" s="54"/>
      <c r="J72" s="54"/>
      <c r="K72" s="55"/>
      <c r="L72" s="541">
        <f ca="1">L73+L74</f>
        <v>0</v>
      </c>
      <c r="M72" s="540">
        <f ca="1">M73+M74</f>
        <v>0</v>
      </c>
      <c r="N72" s="540">
        <f ca="1">N73+N74</f>
        <v>0</v>
      </c>
      <c r="O72" s="540">
        <f ca="1">IF(L72&gt;0,N72*100/L72,0)</f>
        <v>0</v>
      </c>
      <c r="P72" s="540">
        <f ca="1">IF(M72&gt;0,N72*100/M72,0)</f>
        <v>0</v>
      </c>
      <c r="Q72" s="540">
        <f ca="1">Q73+Q74</f>
        <v>0</v>
      </c>
      <c r="R72" s="540">
        <f ca="1">R73+R74</f>
        <v>0</v>
      </c>
      <c r="S72" s="540">
        <f ca="1">S73+S74</f>
        <v>0</v>
      </c>
      <c r="T72" s="540">
        <f ca="1">IF(Q72&gt;0,S72*100/Q72,0)</f>
        <v>0</v>
      </c>
      <c r="U72" s="540">
        <f ca="1">IF(R72&gt;0,S72*100/R72,0)</f>
        <v>0</v>
      </c>
    </row>
    <row r="73" spans="1:21" ht="18.75" hidden="1">
      <c r="A73" s="155"/>
      <c r="B73" s="50"/>
      <c r="C73" s="50"/>
      <c r="D73" s="50"/>
      <c r="E73" s="186" t="s">
        <v>20</v>
      </c>
      <c r="F73" s="50"/>
      <c r="G73" s="52"/>
      <c r="H73" s="187" t="s">
        <v>14</v>
      </c>
      <c r="I73" s="54"/>
      <c r="J73" s="54"/>
      <c r="K73" s="55"/>
      <c r="L73" s="103">
        <f>L76+L79</f>
        <v>0</v>
      </c>
      <c r="M73" s="102">
        <f>M76+M79</f>
        <v>0</v>
      </c>
      <c r="N73" s="102">
        <f>N76+N79</f>
        <v>0</v>
      </c>
      <c r="O73" s="102">
        <f>IF(L73&gt;0,N73*100/L73,0)</f>
        <v>0</v>
      </c>
      <c r="P73" s="102">
        <f>IF(M73&gt;0,N73*100/M73,0)</f>
        <v>0</v>
      </c>
      <c r="Q73" s="102">
        <f>Q76+Q79</f>
        <v>0</v>
      </c>
      <c r="R73" s="102">
        <f>R76+R79</f>
        <v>0</v>
      </c>
      <c r="S73" s="102">
        <f>S76+S79</f>
        <v>0</v>
      </c>
      <c r="T73" s="102">
        <f>IF(Q73&gt;0,S73*100/Q73,0)</f>
        <v>0</v>
      </c>
      <c r="U73" s="102">
        <f>IF(R73&gt;0,S73*100/R73,0)</f>
        <v>0</v>
      </c>
    </row>
    <row r="74" spans="1:21" ht="18.75" hidden="1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256">
        <f ca="1">L77+L80</f>
        <v>0</v>
      </c>
      <c r="M74" s="255">
        <f ca="1">M77+M80</f>
        <v>0</v>
      </c>
      <c r="N74" s="255">
        <f ca="1">N77+N80</f>
        <v>0</v>
      </c>
      <c r="O74" s="255">
        <f ca="1">IF(L74&gt;0,N74*100/L74,0)</f>
        <v>0</v>
      </c>
      <c r="P74" s="255">
        <f ca="1">IF(M74&gt;0,N74*100/M74,0)</f>
        <v>0</v>
      </c>
      <c r="Q74" s="255">
        <f ca="1">Q77+Q80</f>
        <v>0</v>
      </c>
      <c r="R74" s="255">
        <f ca="1">R77+R80</f>
        <v>0</v>
      </c>
      <c r="S74" s="255">
        <f ca="1">S77+S80</f>
        <v>0</v>
      </c>
      <c r="T74" s="255">
        <f ca="1">IF(Q74&gt;0,S74*100/Q74,0)</f>
        <v>0</v>
      </c>
      <c r="U74" s="255">
        <f ca="1">IF(R74&gt;0,S74*100/R74,0)</f>
        <v>0</v>
      </c>
    </row>
    <row r="75" spans="1:21" ht="18.75" hidden="1">
      <c r="A75" s="155"/>
      <c r="B75" s="50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256">
        <f ca="1">L76+L77</f>
        <v>0</v>
      </c>
      <c r="M75" s="255">
        <f ca="1">M76+M77</f>
        <v>0</v>
      </c>
      <c r="N75" s="255">
        <f ca="1">N76+N77</f>
        <v>0</v>
      </c>
      <c r="O75" s="255">
        <f ca="1">IF(L75&gt;0,N75*100/L75,0)</f>
        <v>0</v>
      </c>
      <c r="P75" s="255">
        <f ca="1">IF(M75&gt;0,N75*100/M75,0)</f>
        <v>0</v>
      </c>
      <c r="Q75" s="255">
        <f ca="1">Q76+Q77</f>
        <v>0</v>
      </c>
      <c r="R75" s="255">
        <f ca="1">R76+R77</f>
        <v>0</v>
      </c>
      <c r="S75" s="255">
        <f ca="1">S76+S77</f>
        <v>0</v>
      </c>
      <c r="T75" s="255">
        <f ca="1">IF(Q75&gt;0,S75*100/Q75,0)</f>
        <v>0</v>
      </c>
      <c r="U75" s="255">
        <f ca="1">IF(R75&gt;0,S75*100/R75,0)</f>
        <v>0</v>
      </c>
    </row>
    <row r="76" spans="1:21" ht="18.75" hidden="1">
      <c r="A76" s="155"/>
      <c r="B76" s="50"/>
      <c r="C76" s="50"/>
      <c r="D76" s="50"/>
      <c r="E76" s="186" t="s">
        <v>36</v>
      </c>
      <c r="F76" s="50"/>
      <c r="G76" s="52"/>
      <c r="H76" s="189" t="s">
        <v>14</v>
      </c>
      <c r="I76" s="163"/>
      <c r="J76" s="163"/>
      <c r="K76" s="164"/>
      <c r="L76" s="103">
        <v>0</v>
      </c>
      <c r="M76" s="102">
        <v>0</v>
      </c>
      <c r="N76" s="102">
        <v>0</v>
      </c>
      <c r="O76" s="102">
        <f>IF(L76&gt;0,N76*100/L76,0)</f>
        <v>0</v>
      </c>
      <c r="P76" s="102">
        <f>IF(M76&gt;0,N76*100/M76,0)</f>
        <v>0</v>
      </c>
      <c r="Q76" s="102">
        <v>0</v>
      </c>
      <c r="R76" s="102">
        <v>0</v>
      </c>
      <c r="S76" s="102">
        <v>0</v>
      </c>
      <c r="T76" s="102">
        <f>IF(Q76&gt;0,S76*100/Q76,0)</f>
        <v>0</v>
      </c>
      <c r="U76" s="102">
        <f>IF(R76&gt;0,S76*100/R76,0)</f>
        <v>0</v>
      </c>
    </row>
    <row r="77" spans="1:21" ht="18.75" hidden="1">
      <c r="A77" s="155"/>
      <c r="B77" s="50"/>
      <c r="C77" s="50"/>
      <c r="D77" s="50"/>
      <c r="E77" s="58" t="s">
        <v>37</v>
      </c>
      <c r="F77" s="50"/>
      <c r="G77" s="52"/>
      <c r="H77" s="162" t="s">
        <v>14</v>
      </c>
      <c r="I77" s="163"/>
      <c r="J77" s="163"/>
      <c r="K77" s="164"/>
      <c r="L77" s="256">
        <f ca="1">IFERROR(__xludf.DUMMYFUNCTION("IMPORTRANGE(""https://docs.google.com/spreadsheets/d/1-uDff_7J0KD5mKrp0Vvzr7lt3OU09vwQwhkpOPPYv2Y/edit?usp=sharing"",""งบพรบ!AM44"")"),0)</f>
        <v>0</v>
      </c>
      <c r="M77" s="255">
        <f ca="1">IFERROR(__xludf.DUMMYFUNCTION("IMPORTRANGE(""https://docs.google.com/spreadsheets/d/1-uDff_7J0KD5mKrp0Vvzr7lt3OU09vwQwhkpOPPYv2Y/edit?usp=sharing"",""งบพรบ!AR44"")"),0)</f>
        <v>0</v>
      </c>
      <c r="N77" s="255">
        <f ca="1">IFERROR(__xludf.DUMMYFUNCTION("IMPORTRANGE(""https://docs.google.com/spreadsheets/d/1-uDff_7J0KD5mKrp0Vvzr7lt3OU09vwQwhkpOPPYv2Y/edit?usp=sharing"",""งบพรบ!AT44"")"),0)</f>
        <v>0</v>
      </c>
      <c r="O77" s="255">
        <f ca="1">IF(L77&gt;0,N77*100/L77,0)</f>
        <v>0</v>
      </c>
      <c r="P77" s="255">
        <f ca="1">IF(M77&gt;0,N77*100/M77,0)</f>
        <v>0</v>
      </c>
      <c r="Q77" s="255">
        <f ca="1">IFERROR(__xludf.DUMMYFUNCTION("IMPORTRANGE(""https://docs.google.com/spreadsheets/d/1ItG2mGa2ceCfYo0BwxsXqNm01IGEUdYcSSLTEv9YCik/edit?usp=sharing"",""เบิกจ่ายกองทุน!AS44"")"),0)</f>
        <v>0</v>
      </c>
      <c r="R77" s="255">
        <f ca="1">IFERROR(__xludf.DUMMYFUNCTION("IMPORTRANGE(""https://docs.google.com/spreadsheets/d/1ItG2mGa2ceCfYo0BwxsXqNm01IGEUdYcSSLTEv9YCik/edit?usp=sharing"",""เบิกจ่ายกองทุน!AT44"")"),0)</f>
        <v>0</v>
      </c>
      <c r="S77" s="255">
        <f ca="1">IFERROR(__xludf.DUMMYFUNCTION("IMPORTRANGE(""https://docs.google.com/spreadsheets/d/1ItG2mGa2ceCfYo0BwxsXqNm01IGEUdYcSSLTEv9YCik/edit?usp=sharing"",""เบิกจ่ายกองทุน!AU44"")"),0)</f>
        <v>0</v>
      </c>
      <c r="T77" s="255">
        <f ca="1">IF(Q77&gt;0,S77*100/Q77,0)</f>
        <v>0</v>
      </c>
      <c r="U77" s="255">
        <f ca="1">IF(R77&gt;0,S77*100/R77,0)</f>
        <v>0</v>
      </c>
    </row>
    <row r="78" spans="1:21" ht="18.75" hidden="1">
      <c r="A78" s="155"/>
      <c r="B78" s="50"/>
      <c r="C78" s="50"/>
      <c r="D78" s="51" t="s">
        <v>23</v>
      </c>
      <c r="E78" s="50"/>
      <c r="F78" s="50"/>
      <c r="G78" s="52"/>
      <c r="H78" s="165" t="s">
        <v>14</v>
      </c>
      <c r="I78" s="163"/>
      <c r="J78" s="163"/>
      <c r="K78" s="164"/>
      <c r="L78" s="256">
        <f ca="1">L79+L80</f>
        <v>0</v>
      </c>
      <c r="M78" s="255">
        <f ca="1">M79+M80</f>
        <v>0</v>
      </c>
      <c r="N78" s="255">
        <f ca="1">N79+N80</f>
        <v>0</v>
      </c>
      <c r="O78" s="255">
        <f ca="1">IF(L78&gt;0,N78*100/L78,0)</f>
        <v>0</v>
      </c>
      <c r="P78" s="255">
        <f ca="1">IF(M78&gt;0,N78*100/M78,0)</f>
        <v>0</v>
      </c>
      <c r="Q78" s="255">
        <f>Q79+Q80</f>
        <v>0</v>
      </c>
      <c r="R78" s="255">
        <f>R79+R80</f>
        <v>0</v>
      </c>
      <c r="S78" s="255">
        <f>S79+S80</f>
        <v>0</v>
      </c>
      <c r="T78" s="255">
        <f>IF(Q78&gt;0,S78*100/Q78,0)</f>
        <v>0</v>
      </c>
      <c r="U78" s="255">
        <f>IF(R78&gt;0,S78*100/R78,0)</f>
        <v>0</v>
      </c>
    </row>
    <row r="79" spans="1:21" ht="18.75" hidden="1">
      <c r="A79" s="155"/>
      <c r="B79" s="50"/>
      <c r="C79" s="50"/>
      <c r="D79" s="50"/>
      <c r="E79" s="186" t="s">
        <v>20</v>
      </c>
      <c r="F79" s="50"/>
      <c r="G79" s="52"/>
      <c r="H79" s="189" t="s">
        <v>14</v>
      </c>
      <c r="I79" s="163"/>
      <c r="J79" s="163"/>
      <c r="K79" s="164"/>
      <c r="L79" s="103">
        <v>0</v>
      </c>
      <c r="M79" s="255">
        <v>0</v>
      </c>
      <c r="N79" s="255">
        <v>0</v>
      </c>
      <c r="O79" s="102">
        <f>IF(L79&gt;0,N79*100/L79,0)</f>
        <v>0</v>
      </c>
      <c r="P79" s="102">
        <f>IF(M79&gt;0,N79*100/M79,0)</f>
        <v>0</v>
      </c>
      <c r="Q79" s="102">
        <v>0</v>
      </c>
      <c r="R79" s="255">
        <v>0</v>
      </c>
      <c r="S79" s="255">
        <v>0</v>
      </c>
      <c r="T79" s="102">
        <f>IF(Q79&gt;0,S79*100/Q79,0)</f>
        <v>0</v>
      </c>
      <c r="U79" s="102">
        <f>IF(R79&gt;0,S79*100/R79,0)</f>
        <v>0</v>
      </c>
    </row>
    <row r="80" spans="1:21" ht="18.75" hidden="1">
      <c r="A80" s="155"/>
      <c r="B80" s="50"/>
      <c r="C80" s="50"/>
      <c r="D80" s="50"/>
      <c r="E80" s="58" t="s">
        <v>21</v>
      </c>
      <c r="F80" s="50"/>
      <c r="G80" s="52"/>
      <c r="H80" s="165" t="s">
        <v>14</v>
      </c>
      <c r="I80" s="163"/>
      <c r="J80" s="163"/>
      <c r="K80" s="164"/>
      <c r="L80" s="256">
        <f ca="1">IFERROR(__xludf.DUMMYFUNCTION("IMPORTRANGE(""https://docs.google.com/spreadsheets/d/1-uDff_7J0KD5mKrp0Vvzr7lt3OU09vwQwhkpOPPYv2Y/edit?usp=sharing"",""งบพรบ!AP44"")"),0)</f>
        <v>0</v>
      </c>
      <c r="M80" s="255">
        <f ca="1">IFERROR(__xludf.DUMMYFUNCTION("IMPORTRANGE(""https://docs.google.com/spreadsheets/d/1-uDff_7J0KD5mKrp0Vvzr7lt3OU09vwQwhkpOPPYv2Y/edit?usp=sharing"",""งบพรบ!AS44"")"),0)</f>
        <v>0</v>
      </c>
      <c r="N80" s="255">
        <f ca="1">IFERROR(__xludf.DUMMYFUNCTION("IMPORTRANGE(""https://docs.google.com/spreadsheets/d/1-uDff_7J0KD5mKrp0Vvzr7lt3OU09vwQwhkpOPPYv2Y/edit?usp=sharing"",""งบพรบ!AU44"")"),0)</f>
        <v>0</v>
      </c>
      <c r="O80" s="255">
        <f ca="1">IF(L80&gt;0,N80*100/L80,0)</f>
        <v>0</v>
      </c>
      <c r="P80" s="255">
        <f ca="1">IF(M80&gt;0,N80*100/M80,0)</f>
        <v>0</v>
      </c>
      <c r="Q80" s="255">
        <v>0</v>
      </c>
      <c r="R80" s="255">
        <v>0</v>
      </c>
      <c r="S80" s="255">
        <v>0</v>
      </c>
      <c r="T80" s="255">
        <f>IF(Q80&gt;0,S80*100/Q80,0)</f>
        <v>0</v>
      </c>
      <c r="U80" s="255">
        <f>IF(R80&gt;0,S80*100/R80,0)</f>
        <v>0</v>
      </c>
    </row>
    <row r="81" spans="1:21" ht="19.5" hidden="1">
      <c r="A81" s="166"/>
      <c r="B81" s="167"/>
      <c r="C81" s="156" t="s">
        <v>18</v>
      </c>
      <c r="D81" s="566" t="s">
        <v>38</v>
      </c>
      <c r="E81" s="169"/>
      <c r="F81" s="169"/>
      <c r="G81" s="170"/>
      <c r="H81" s="171"/>
      <c r="I81" s="163"/>
      <c r="J81" s="163"/>
      <c r="K81" s="164"/>
      <c r="L81" s="172"/>
      <c r="M81" s="164"/>
      <c r="N81" s="164"/>
      <c r="O81" s="164"/>
      <c r="P81" s="164"/>
      <c r="Q81" s="164"/>
      <c r="R81" s="164"/>
      <c r="S81" s="164"/>
      <c r="T81" s="164"/>
      <c r="U81" s="164"/>
    </row>
    <row r="82" spans="1:21" ht="19.5" hidden="1">
      <c r="A82" s="166"/>
      <c r="B82" s="167"/>
      <c r="C82" s="167"/>
      <c r="D82" s="173" t="s">
        <v>39</v>
      </c>
      <c r="E82" s="174"/>
      <c r="F82" s="174"/>
      <c r="G82" s="171"/>
      <c r="H82" s="175" t="s">
        <v>34</v>
      </c>
      <c r="I82" s="373">
        <f ca="1">I84+I86+I88</f>
        <v>0</v>
      </c>
      <c r="J82" s="373">
        <f>J84+J86+J88</f>
        <v>0</v>
      </c>
      <c r="K82" s="642">
        <f ca="1">IF(I82&gt;0,J82*100/I82,0)</f>
        <v>0</v>
      </c>
      <c r="L82" s="172"/>
      <c r="M82" s="164"/>
      <c r="N82" s="164"/>
      <c r="O82" s="164"/>
      <c r="P82" s="164"/>
      <c r="Q82" s="164"/>
      <c r="R82" s="164"/>
      <c r="S82" s="164"/>
      <c r="T82" s="164"/>
      <c r="U82" s="164"/>
    </row>
    <row r="83" spans="1:21" ht="19.5" hidden="1">
      <c r="A83" s="166"/>
      <c r="B83" s="167"/>
      <c r="C83" s="167"/>
      <c r="D83" s="167"/>
      <c r="E83" s="174"/>
      <c r="F83" s="174"/>
      <c r="G83" s="171"/>
      <c r="H83" s="175" t="s">
        <v>35</v>
      </c>
      <c r="I83" s="373">
        <f ca="1">I85+I87+I89</f>
        <v>0</v>
      </c>
      <c r="J83" s="373">
        <f>J85+J87+J89</f>
        <v>0</v>
      </c>
      <c r="K83" s="642">
        <f ca="1">IF(I83&gt;0,J83*100/I83,0)</f>
        <v>0</v>
      </c>
      <c r="L83" s="172"/>
      <c r="M83" s="164"/>
      <c r="N83" s="164"/>
      <c r="O83" s="164"/>
      <c r="P83" s="164"/>
      <c r="Q83" s="164"/>
      <c r="R83" s="164"/>
      <c r="S83" s="164"/>
      <c r="T83" s="164"/>
      <c r="U83" s="164"/>
    </row>
    <row r="84" spans="1:21" ht="18.75" hidden="1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641">
        <f ca="1">IFERROR(__xludf.DUMMYFUNCTION("IMPORTRANGE(""https://docs.google.com/spreadsheets/d/1eHaY18a8A9IcSdp1K8H6x8fbOy06t2VsZHhMHf-1x7Y/edit?usp=sharing"",""แผน!H44"")"),0)</f>
        <v>0</v>
      </c>
      <c r="J84" s="467">
        <v>0</v>
      </c>
      <c r="K84" s="565">
        <f ca="1">IF(I84&gt;0,J84*100/I84,0)</f>
        <v>0</v>
      </c>
      <c r="L84" s="172"/>
      <c r="M84" s="164"/>
      <c r="N84" s="164"/>
      <c r="O84" s="164"/>
      <c r="P84" s="164"/>
      <c r="Q84" s="164"/>
      <c r="R84" s="164"/>
      <c r="S84" s="164"/>
      <c r="T84" s="164"/>
      <c r="U84" s="164"/>
    </row>
    <row r="85" spans="1:21" ht="18.75" hidden="1">
      <c r="A85" s="166"/>
      <c r="B85" s="167"/>
      <c r="C85" s="167"/>
      <c r="D85" s="167"/>
      <c r="E85" s="174"/>
      <c r="F85" s="174"/>
      <c r="G85" s="171"/>
      <c r="H85" s="179" t="s">
        <v>35</v>
      </c>
      <c r="I85" s="641">
        <f ca="1">IFERROR(__xludf.DUMMYFUNCTION("IMPORTRANGE(""https://docs.google.com/spreadsheets/d/1eHaY18a8A9IcSdp1K8H6x8fbOy06t2VsZHhMHf-1x7Y/edit?usp=sharing"",""แผน!I44"")"),0)</f>
        <v>0</v>
      </c>
      <c r="J85" s="467">
        <v>0</v>
      </c>
      <c r="K85" s="565">
        <f ca="1">IF(I85&gt;0,J85*100/I85,0)</f>
        <v>0</v>
      </c>
      <c r="L85" s="172"/>
      <c r="M85" s="164"/>
      <c r="N85" s="164"/>
      <c r="O85" s="164"/>
      <c r="P85" s="164"/>
      <c r="Q85" s="164"/>
      <c r="R85" s="164"/>
      <c r="S85" s="164"/>
      <c r="T85" s="164"/>
      <c r="U85" s="164"/>
    </row>
    <row r="86" spans="1:21" ht="18.75" hidden="1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641">
        <f ca="1">IFERROR(__xludf.DUMMYFUNCTION("IMPORTRANGE(""https://docs.google.com/spreadsheets/d/1eHaY18a8A9IcSdp1K8H6x8fbOy06t2VsZHhMHf-1x7Y/edit?usp=sharing"",""แผน!F44"")"),0)</f>
        <v>0</v>
      </c>
      <c r="J86" s="467">
        <v>0</v>
      </c>
      <c r="K86" s="565">
        <f ca="1">IF(I86&gt;0,J86*100/I86,0)</f>
        <v>0</v>
      </c>
      <c r="L86" s="172"/>
      <c r="M86" s="164"/>
      <c r="N86" s="164"/>
      <c r="O86" s="164"/>
      <c r="P86" s="164"/>
      <c r="Q86" s="164"/>
      <c r="R86" s="164"/>
      <c r="S86" s="164"/>
      <c r="T86" s="164"/>
      <c r="U86" s="164"/>
    </row>
    <row r="87" spans="1:21" ht="18.75" hidden="1">
      <c r="A87" s="166"/>
      <c r="B87" s="167"/>
      <c r="C87" s="167"/>
      <c r="D87" s="167"/>
      <c r="E87" s="174"/>
      <c r="F87" s="174"/>
      <c r="G87" s="171"/>
      <c r="H87" s="179" t="s">
        <v>35</v>
      </c>
      <c r="I87" s="641">
        <f ca="1">IFERROR(__xludf.DUMMYFUNCTION("IMPORTRANGE(""https://docs.google.com/spreadsheets/d/1eHaY18a8A9IcSdp1K8H6x8fbOy06t2VsZHhMHf-1x7Y/edit?usp=sharing"",""แผน!G44"")"),0)</f>
        <v>0</v>
      </c>
      <c r="J87" s="467">
        <v>0</v>
      </c>
      <c r="K87" s="565">
        <f ca="1">IF(I87&gt;0,J87*100/I87,0)</f>
        <v>0</v>
      </c>
      <c r="L87" s="172"/>
      <c r="M87" s="164"/>
      <c r="N87" s="164"/>
      <c r="O87" s="164"/>
      <c r="P87" s="164"/>
      <c r="Q87" s="164"/>
      <c r="R87" s="164"/>
      <c r="S87" s="164"/>
      <c r="T87" s="164"/>
      <c r="U87" s="164"/>
    </row>
    <row r="88" spans="1:21" ht="18.75" hidden="1">
      <c r="A88" s="166"/>
      <c r="B88" s="167"/>
      <c r="C88" s="167"/>
      <c r="D88" s="167"/>
      <c r="E88" s="178" t="s">
        <v>42</v>
      </c>
      <c r="F88" s="174"/>
      <c r="G88" s="171"/>
      <c r="H88" s="179" t="s">
        <v>34</v>
      </c>
      <c r="I88" s="641">
        <f ca="1">IFERROR(__xludf.DUMMYFUNCTION("IMPORTRANGE(""https://docs.google.com/spreadsheets/d/1eHaY18a8A9IcSdp1K8H6x8fbOy06t2VsZHhMHf-1x7Y/edit?usp=sharing"",""แผน!D44"")"),0)</f>
        <v>0</v>
      </c>
      <c r="J88" s="467">
        <v>0</v>
      </c>
      <c r="K88" s="565">
        <f ca="1">IF(I88&gt;0,J88*100/I88,0)</f>
        <v>0</v>
      </c>
      <c r="L88" s="172"/>
      <c r="M88" s="164"/>
      <c r="N88" s="164"/>
      <c r="O88" s="164"/>
      <c r="P88" s="164"/>
      <c r="Q88" s="164"/>
      <c r="R88" s="164"/>
      <c r="S88" s="164"/>
      <c r="T88" s="164"/>
      <c r="U88" s="164"/>
    </row>
    <row r="89" spans="1:21" ht="18.75" hidden="1">
      <c r="A89" s="166"/>
      <c r="B89" s="167"/>
      <c r="C89" s="167"/>
      <c r="D89" s="167"/>
      <c r="E89" s="174"/>
      <c r="F89" s="174"/>
      <c r="G89" s="171"/>
      <c r="H89" s="179" t="s">
        <v>35</v>
      </c>
      <c r="I89" s="641">
        <f ca="1">IFERROR(__xludf.DUMMYFUNCTION("IMPORTRANGE(""https://docs.google.com/spreadsheets/d/1eHaY18a8A9IcSdp1K8H6x8fbOy06t2VsZHhMHf-1x7Y/edit?usp=sharing"",""แผน!E44"")"),0)</f>
        <v>0</v>
      </c>
      <c r="J89" s="467">
        <v>0</v>
      </c>
      <c r="K89" s="565">
        <f ca="1">IF(I89&gt;0,J89*100/I89,0)</f>
        <v>0</v>
      </c>
      <c r="L89" s="172"/>
      <c r="M89" s="164"/>
      <c r="N89" s="164"/>
      <c r="O89" s="164"/>
      <c r="P89" s="164"/>
      <c r="Q89" s="164"/>
      <c r="R89" s="164"/>
      <c r="S89" s="164"/>
      <c r="T89" s="164"/>
      <c r="U89" s="164"/>
    </row>
    <row r="90" spans="1:21" ht="18.75" hidden="1">
      <c r="A90" s="166"/>
      <c r="B90" s="167"/>
      <c r="C90" s="167"/>
      <c r="D90" s="173" t="s">
        <v>43</v>
      </c>
      <c r="E90" s="174"/>
      <c r="F90" s="174"/>
      <c r="G90" s="171"/>
      <c r="H90" s="183" t="s">
        <v>34</v>
      </c>
      <c r="I90" s="641">
        <f ca="1">IFERROR(__xludf.DUMMYFUNCTION("IMPORTRANGE(""https://docs.google.com/spreadsheets/d/1eHaY18a8A9IcSdp1K8H6x8fbOy06t2VsZHhMHf-1x7Y/edit?usp=sharing"",""แผน!J44"")"),0)</f>
        <v>0</v>
      </c>
      <c r="J90" s="467">
        <v>0</v>
      </c>
      <c r="K90" s="565">
        <f ca="1">IF(I90&gt;0,J90*100/I90,0)</f>
        <v>0</v>
      </c>
      <c r="L90" s="172"/>
      <c r="M90" s="164"/>
      <c r="N90" s="164"/>
      <c r="O90" s="164"/>
      <c r="P90" s="164"/>
      <c r="Q90" s="164"/>
      <c r="R90" s="164"/>
      <c r="S90" s="164"/>
      <c r="T90" s="164"/>
      <c r="U90" s="164"/>
    </row>
    <row r="91" spans="1:21" ht="19.5" hidden="1">
      <c r="A91" s="143" t="s">
        <v>44</v>
      </c>
      <c r="B91" s="144"/>
      <c r="C91" s="145"/>
      <c r="D91" s="144"/>
      <c r="E91" s="144"/>
      <c r="F91" s="144"/>
      <c r="G91" s="146"/>
      <c r="H91" s="146"/>
      <c r="I91" s="147"/>
      <c r="J91" s="147"/>
      <c r="K91" s="148"/>
      <c r="L91" s="149"/>
      <c r="M91" s="148"/>
      <c r="N91" s="148"/>
      <c r="O91" s="148"/>
      <c r="P91" s="148"/>
      <c r="Q91" s="148"/>
      <c r="R91" s="148"/>
      <c r="S91" s="148"/>
      <c r="T91" s="148"/>
      <c r="U91" s="148"/>
    </row>
    <row r="92" spans="1:21" ht="19.5" hidden="1">
      <c r="A92" s="150"/>
      <c r="B92" s="35" t="s">
        <v>45</v>
      </c>
      <c r="C92" s="34"/>
      <c r="D92" s="151"/>
      <c r="E92" s="34"/>
      <c r="F92" s="34"/>
      <c r="G92" s="37"/>
      <c r="H92" s="152" t="s">
        <v>46</v>
      </c>
      <c r="I92" s="721">
        <f ca="1">I108</f>
        <v>0</v>
      </c>
      <c r="J92" s="721">
        <f>J108</f>
        <v>0</v>
      </c>
      <c r="K92" s="720">
        <f ca="1">IF(I92&gt;0,J92*100/I92,0)</f>
        <v>0</v>
      </c>
      <c r="L92" s="154"/>
      <c r="M92" s="40"/>
      <c r="N92" s="40"/>
      <c r="O92" s="40"/>
      <c r="P92" s="40"/>
      <c r="Q92" s="40"/>
      <c r="R92" s="40"/>
      <c r="S92" s="40"/>
      <c r="T92" s="40"/>
      <c r="U92" s="40"/>
    </row>
    <row r="93" spans="1:21" ht="19.5" hidden="1">
      <c r="A93" s="150"/>
      <c r="B93" s="34"/>
      <c r="C93" s="34"/>
      <c r="D93" s="151"/>
      <c r="E93" s="34"/>
      <c r="F93" s="34"/>
      <c r="G93" s="37"/>
      <c r="H93" s="152" t="s">
        <v>35</v>
      </c>
      <c r="I93" s="721">
        <f ca="1">I109</f>
        <v>0</v>
      </c>
      <c r="J93" s="721">
        <f>J109</f>
        <v>0</v>
      </c>
      <c r="K93" s="720">
        <f ca="1">IF(I93&gt;0,J93*100/I93,0)</f>
        <v>0</v>
      </c>
      <c r="L93" s="154"/>
      <c r="M93" s="40"/>
      <c r="N93" s="40"/>
      <c r="O93" s="40"/>
      <c r="P93" s="40"/>
      <c r="Q93" s="40"/>
      <c r="R93" s="40"/>
      <c r="S93" s="40"/>
      <c r="T93" s="40"/>
      <c r="U93" s="40"/>
    </row>
    <row r="94" spans="1:21" ht="19.5" hidden="1">
      <c r="A94" s="155"/>
      <c r="B94" s="50"/>
      <c r="C94" s="156" t="s">
        <v>18</v>
      </c>
      <c r="D94" s="575" t="s">
        <v>19</v>
      </c>
      <c r="E94" s="50"/>
      <c r="F94" s="50"/>
      <c r="G94" s="52"/>
      <c r="H94" s="158" t="s">
        <v>14</v>
      </c>
      <c r="I94" s="54"/>
      <c r="J94" s="54"/>
      <c r="K94" s="55"/>
      <c r="L94" s="541">
        <f ca="1">L95+L96</f>
        <v>0</v>
      </c>
      <c r="M94" s="540">
        <f ca="1">M95+M96</f>
        <v>0</v>
      </c>
      <c r="N94" s="540">
        <f ca="1">N95+N96</f>
        <v>0</v>
      </c>
      <c r="O94" s="540">
        <f ca="1">IF(L94&gt;0,N94*100/L94,0)</f>
        <v>0</v>
      </c>
      <c r="P94" s="540">
        <f ca="1">IF(M94&gt;0,N94*100/M94,0)</f>
        <v>0</v>
      </c>
      <c r="Q94" s="540">
        <f ca="1">Q95+Q96</f>
        <v>0</v>
      </c>
      <c r="R94" s="540">
        <f ca="1">R95+R96</f>
        <v>0</v>
      </c>
      <c r="S94" s="540">
        <f ca="1">S95+S96</f>
        <v>0</v>
      </c>
      <c r="T94" s="540">
        <f ca="1">IF(Q94&gt;0,S94*100/Q94,0)</f>
        <v>0</v>
      </c>
      <c r="U94" s="540">
        <f ca="1">IF(R94&gt;0,S94*100/R94,0)</f>
        <v>0</v>
      </c>
    </row>
    <row r="95" spans="1:21" ht="18.75" hidden="1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103">
        <f>L98+L101</f>
        <v>0</v>
      </c>
      <c r="M95" s="102">
        <f>M98+M101</f>
        <v>0</v>
      </c>
      <c r="N95" s="102">
        <f>N98+N101</f>
        <v>0</v>
      </c>
      <c r="O95" s="102">
        <f>IF(L95&gt;0,N95*100/L95,0)</f>
        <v>0</v>
      </c>
      <c r="P95" s="102">
        <f>IF(M95&gt;0,N95*100/M95,0)</f>
        <v>0</v>
      </c>
      <c r="Q95" s="102">
        <f>Q98+Q101</f>
        <v>0</v>
      </c>
      <c r="R95" s="102">
        <f>R98+R101</f>
        <v>0</v>
      </c>
      <c r="S95" s="102">
        <f>S98+S101</f>
        <v>0</v>
      </c>
      <c r="T95" s="102">
        <f>IF(Q95&gt;0,S95*100/Q95,0)</f>
        <v>0</v>
      </c>
      <c r="U95" s="102">
        <f>IF(R95&gt;0,S95*100/R95,0)</f>
        <v>0</v>
      </c>
    </row>
    <row r="96" spans="1:21" ht="18.75" hidden="1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256">
        <f ca="1">L99+L102</f>
        <v>0</v>
      </c>
      <c r="M96" s="255">
        <f ca="1">M99+M102</f>
        <v>0</v>
      </c>
      <c r="N96" s="255">
        <f ca="1">N99+N102</f>
        <v>0</v>
      </c>
      <c r="O96" s="255">
        <f ca="1">IF(L96&gt;0,N96*100/L96,0)</f>
        <v>0</v>
      </c>
      <c r="P96" s="255">
        <f ca="1">IF(M96&gt;0,N96*100/M96,0)</f>
        <v>0</v>
      </c>
      <c r="Q96" s="255">
        <f ca="1">Q99+Q102</f>
        <v>0</v>
      </c>
      <c r="R96" s="255">
        <f ca="1">R99+R102</f>
        <v>0</v>
      </c>
      <c r="S96" s="255">
        <f ca="1">S99+S102</f>
        <v>0</v>
      </c>
      <c r="T96" s="255">
        <f ca="1">IF(Q96&gt;0,S96*100/Q96,0)</f>
        <v>0</v>
      </c>
      <c r="U96" s="255">
        <f ca="1">IF(R96&gt;0,S96*100/R96,0)</f>
        <v>0</v>
      </c>
    </row>
    <row r="97" spans="1:21" ht="18.75" hidden="1">
      <c r="A97" s="155"/>
      <c r="B97" s="50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256">
        <f ca="1">L98+L99</f>
        <v>0</v>
      </c>
      <c r="M97" s="255">
        <f ca="1">M98+M99</f>
        <v>0</v>
      </c>
      <c r="N97" s="255">
        <f ca="1">N98+N99</f>
        <v>0</v>
      </c>
      <c r="O97" s="255">
        <f ca="1">IF(L97&gt;0,N97*100/L97,0)</f>
        <v>0</v>
      </c>
      <c r="P97" s="255">
        <f ca="1">IF(M97&gt;0,N97*100/M97,0)</f>
        <v>0</v>
      </c>
      <c r="Q97" s="255">
        <f ca="1">Q98+Q99</f>
        <v>0</v>
      </c>
      <c r="R97" s="255">
        <f ca="1">R98+R99</f>
        <v>0</v>
      </c>
      <c r="S97" s="255">
        <f ca="1">S98+S99</f>
        <v>0</v>
      </c>
      <c r="T97" s="255">
        <f ca="1">IF(Q97&gt;0,S97*100/Q97,0)</f>
        <v>0</v>
      </c>
      <c r="U97" s="255">
        <f ca="1">IF(R97&gt;0,S97*100/R97,0)</f>
        <v>0</v>
      </c>
    </row>
    <row r="98" spans="1:21" ht="18.75" hidden="1">
      <c r="A98" s="155"/>
      <c r="B98" s="50"/>
      <c r="C98" s="50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103">
        <v>0</v>
      </c>
      <c r="M98" s="102">
        <v>0</v>
      </c>
      <c r="N98" s="102">
        <v>0</v>
      </c>
      <c r="O98" s="102">
        <f>IF(L98&gt;0,N98*100/L98,0)</f>
        <v>0</v>
      </c>
      <c r="P98" s="102">
        <f>IF(M98&gt;0,N98*100/M98,0)</f>
        <v>0</v>
      </c>
      <c r="Q98" s="102">
        <v>0</v>
      </c>
      <c r="R98" s="102">
        <v>0</v>
      </c>
      <c r="S98" s="102">
        <v>0</v>
      </c>
      <c r="T98" s="102">
        <f>IF(Q98&gt;0,S98*100/Q98,0)</f>
        <v>0</v>
      </c>
      <c r="U98" s="102">
        <f>IF(R98&gt;0,S98*100/R98,0)</f>
        <v>0</v>
      </c>
    </row>
    <row r="99" spans="1:21" ht="18.75" hidden="1">
      <c r="A99" s="155"/>
      <c r="B99" s="50"/>
      <c r="C99" s="50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256">
        <f ca="1">IFERROR(__xludf.DUMMYFUNCTION("IMPORTRANGE(""https://docs.google.com/spreadsheets/d/1-uDff_7J0KD5mKrp0Vvzr7lt3OU09vwQwhkpOPPYv2Y/edit?usp=sharing"",""งบพรบ!AW44"")"),0)</f>
        <v>0</v>
      </c>
      <c r="M99" s="255">
        <f ca="1">IFERROR(__xludf.DUMMYFUNCTION("IMPORTRANGE(""https://docs.google.com/spreadsheets/d/1-uDff_7J0KD5mKrp0Vvzr7lt3OU09vwQwhkpOPPYv2Y/edit?usp=sharing"",""งบพรบ!BB44"")"),0)</f>
        <v>0</v>
      </c>
      <c r="N99" s="255">
        <f ca="1">IFERROR(__xludf.DUMMYFUNCTION("IMPORTRANGE(""https://docs.google.com/spreadsheets/d/1-uDff_7J0KD5mKrp0Vvzr7lt3OU09vwQwhkpOPPYv2Y/edit?usp=sharing"",""งบพรบ!BD44"")"),0)</f>
        <v>0</v>
      </c>
      <c r="O99" s="255">
        <f ca="1">IF(L99&gt;0,N99*100/L99,0)</f>
        <v>0</v>
      </c>
      <c r="P99" s="255">
        <f ca="1">IF(M99&gt;0,N99*100/M99,0)</f>
        <v>0</v>
      </c>
      <c r="Q99" s="255">
        <f ca="1">IFERROR(__xludf.DUMMYFUNCTION("IMPORTRANGE(""https://docs.google.com/spreadsheets/d/1ItG2mGa2ceCfYo0BwxsXqNm01IGEUdYcSSLTEv9YCik/edit?usp=sharing"",""เบิกจ่ายกองทุน!AD44"")"),0)</f>
        <v>0</v>
      </c>
      <c r="R99" s="255">
        <f ca="1">IFERROR(__xludf.DUMMYFUNCTION("IMPORTRANGE(""https://docs.google.com/spreadsheets/d/1ItG2mGa2ceCfYo0BwxsXqNm01IGEUdYcSSLTEv9YCik/edit?usp=sharing"",""เบิกจ่ายกองทุน!AE44"")"),0)</f>
        <v>0</v>
      </c>
      <c r="S99" s="255">
        <f ca="1">IFERROR(__xludf.DUMMYFUNCTION("IMPORTRANGE(""https://docs.google.com/spreadsheets/d/1ItG2mGa2ceCfYo0BwxsXqNm01IGEUdYcSSLTEv9YCik/edit?usp=sharing"",""เบิกจ่ายกองทุน!AF44"")"),0)</f>
        <v>0</v>
      </c>
      <c r="T99" s="255">
        <f ca="1">IF(Q99&gt;0,S99*100/Q99,0)</f>
        <v>0</v>
      </c>
      <c r="U99" s="255">
        <f ca="1">IF(R99&gt;0,S99*100/R99,0)</f>
        <v>0</v>
      </c>
    </row>
    <row r="100" spans="1:21" ht="18.75" hidden="1">
      <c r="A100" s="155"/>
      <c r="B100" s="50"/>
      <c r="C100" s="50"/>
      <c r="D100" s="51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256">
        <f ca="1">L101+L102</f>
        <v>0</v>
      </c>
      <c r="M100" s="255">
        <f ca="1">M101+M102</f>
        <v>0</v>
      </c>
      <c r="N100" s="255">
        <f ca="1">N101+N102</f>
        <v>0</v>
      </c>
      <c r="O100" s="255">
        <f ca="1">IF(L100&gt;0,N100*100/L100,0)</f>
        <v>0</v>
      </c>
      <c r="P100" s="255">
        <f ca="1">IF(M100&gt;0,N100*100/M100,0)</f>
        <v>0</v>
      </c>
      <c r="Q100" s="255">
        <f>Q101+Q102</f>
        <v>0</v>
      </c>
      <c r="R100" s="255">
        <f>R101+R102</f>
        <v>0</v>
      </c>
      <c r="S100" s="255">
        <f>S101+S102</f>
        <v>0</v>
      </c>
      <c r="T100" s="255">
        <f>IF(Q100&gt;0,S100*100/Q100,0)</f>
        <v>0</v>
      </c>
      <c r="U100" s="255">
        <f>IF(R100&gt;0,S100*100/R100,0)</f>
        <v>0</v>
      </c>
    </row>
    <row r="101" spans="1:21" ht="18.75" hidden="1">
      <c r="A101" s="155"/>
      <c r="B101" s="50"/>
      <c r="C101" s="50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103">
        <v>0</v>
      </c>
      <c r="M101" s="102">
        <v>0</v>
      </c>
      <c r="N101" s="102">
        <v>0</v>
      </c>
      <c r="O101" s="102">
        <f>IF(L101&gt;0,N101*100/L101,0)</f>
        <v>0</v>
      </c>
      <c r="P101" s="102">
        <f>IF(M101&gt;0,N101*100/M101,0)</f>
        <v>0</v>
      </c>
      <c r="Q101" s="102">
        <v>0</v>
      </c>
      <c r="R101" s="102">
        <v>0</v>
      </c>
      <c r="S101" s="102">
        <v>0</v>
      </c>
      <c r="T101" s="102">
        <f>IF(Q101&gt;0,S101*100/Q101,0)</f>
        <v>0</v>
      </c>
      <c r="U101" s="102">
        <f>IF(R101&gt;0,S101*100/R101,0)</f>
        <v>0</v>
      </c>
    </row>
    <row r="102" spans="1:21" ht="18.75" hidden="1">
      <c r="A102" s="155"/>
      <c r="B102" s="50"/>
      <c r="C102" s="50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256">
        <f ca="1">IFERROR(__xludf.DUMMYFUNCTION("IMPORTRANGE(""https://docs.google.com/spreadsheets/d/1-uDff_7J0KD5mKrp0Vvzr7lt3OU09vwQwhkpOPPYv2Y/edit?usp=sharing"",""งบพรบ!AZ44"")"),0)</f>
        <v>0</v>
      </c>
      <c r="M102" s="255">
        <f ca="1">IFERROR(__xludf.DUMMYFUNCTION("IMPORTRANGE(""https://docs.google.com/spreadsheets/d/1-uDff_7J0KD5mKrp0Vvzr7lt3OU09vwQwhkpOPPYv2Y/edit?usp=sharing"",""งบพรบ!BC44"")"),0)</f>
        <v>0</v>
      </c>
      <c r="N102" s="255">
        <f ca="1">IFERROR(__xludf.DUMMYFUNCTION("IMPORTRANGE(""https://docs.google.com/spreadsheets/d/1-uDff_7J0KD5mKrp0Vvzr7lt3OU09vwQwhkpOPPYv2Y/edit?usp=sharing"",""งบพรบ!BE44"")"),0)</f>
        <v>0</v>
      </c>
      <c r="O102" s="255">
        <f ca="1">IF(L102&gt;0,N102*100/L102,0)</f>
        <v>0</v>
      </c>
      <c r="P102" s="255">
        <f ca="1">IF(M102&gt;0,N102*100/M102,0)</f>
        <v>0</v>
      </c>
      <c r="Q102" s="255">
        <v>0</v>
      </c>
      <c r="R102" s="255">
        <v>0</v>
      </c>
      <c r="S102" s="255">
        <v>0</v>
      </c>
      <c r="T102" s="255">
        <f>IF(Q102&gt;0,S102*100/Q102,0)</f>
        <v>0</v>
      </c>
      <c r="U102" s="255">
        <f>IF(R102&gt;0,S102*100/R102,0)</f>
        <v>0</v>
      </c>
    </row>
    <row r="103" spans="1:21" ht="19.5" hidden="1">
      <c r="A103" s="166"/>
      <c r="B103" s="167"/>
      <c r="C103" s="156" t="s">
        <v>18</v>
      </c>
      <c r="D103" s="566" t="s">
        <v>38</v>
      </c>
      <c r="E103" s="169"/>
      <c r="F103" s="169"/>
      <c r="G103" s="170"/>
      <c r="H103" s="171"/>
      <c r="I103" s="163"/>
      <c r="J103" s="54"/>
      <c r="K103" s="55"/>
      <c r="L103" s="62"/>
      <c r="M103" s="55"/>
      <c r="N103" s="55"/>
      <c r="O103" s="164"/>
      <c r="P103" s="164"/>
      <c r="Q103" s="55"/>
      <c r="R103" s="55"/>
      <c r="S103" s="55"/>
      <c r="T103" s="164"/>
      <c r="U103" s="164"/>
    </row>
    <row r="104" spans="1:21" ht="12.75" hidden="1">
      <c r="A104" s="192"/>
      <c r="B104" s="193"/>
      <c r="C104" s="193"/>
      <c r="D104" s="22"/>
      <c r="E104" s="22"/>
      <c r="F104" s="22"/>
      <c r="G104" s="23"/>
      <c r="H104" s="23"/>
      <c r="I104" s="24"/>
      <c r="J104" s="24"/>
      <c r="K104" s="25"/>
      <c r="L104" s="26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2.75" hidden="1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6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2.75" hidden="1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9.5" hidden="1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62"/>
      <c r="M107" s="55"/>
      <c r="N107" s="55"/>
      <c r="O107" s="164"/>
      <c r="P107" s="164"/>
      <c r="Q107" s="55"/>
      <c r="R107" s="55"/>
      <c r="S107" s="55"/>
      <c r="T107" s="164"/>
      <c r="U107" s="164"/>
    </row>
    <row r="108" spans="1:21" ht="18.75" hidden="1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212">
        <f ca="1">IFERROR(__xludf.DUMMYFUNCTION("IMPORTRANGE(""https://docs.google.com/spreadsheets/d/1eHaY18a8A9IcSdp1K8H6x8fbOy06t2VsZHhMHf-1x7Y/edit?usp=sharing"",""แผน!N44"")"),0)</f>
        <v>0</v>
      </c>
      <c r="J108" s="467">
        <v>0</v>
      </c>
      <c r="K108" s="255">
        <f ca="1">IF(I108&gt;0,J108*100/I108,0)</f>
        <v>0</v>
      </c>
      <c r="L108" s="62"/>
      <c r="M108" s="55"/>
      <c r="N108" s="55"/>
      <c r="O108" s="164"/>
      <c r="P108" s="164"/>
      <c r="Q108" s="55"/>
      <c r="R108" s="55"/>
      <c r="S108" s="55"/>
      <c r="T108" s="164"/>
      <c r="U108" s="164"/>
    </row>
    <row r="109" spans="1:21" ht="18.75" hidden="1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212">
        <f ca="1">IFERROR(__xludf.DUMMYFUNCTION("IMPORTRANGE(""https://docs.google.com/spreadsheets/d/1eHaY18a8A9IcSdp1K8H6x8fbOy06t2VsZHhMHf-1x7Y/edit?usp=sharing"",""แผน!O44"")"),0)</f>
        <v>0</v>
      </c>
      <c r="J109" s="467">
        <v>0</v>
      </c>
      <c r="K109" s="255">
        <f ca="1">IF(I109&gt;0,J109*100/I109,0)</f>
        <v>0</v>
      </c>
      <c r="L109" s="62"/>
      <c r="M109" s="55"/>
      <c r="N109" s="55"/>
      <c r="O109" s="164"/>
      <c r="P109" s="164"/>
      <c r="Q109" s="55"/>
      <c r="R109" s="55"/>
      <c r="S109" s="55"/>
      <c r="T109" s="164"/>
      <c r="U109" s="164"/>
    </row>
    <row r="110" spans="1:21" ht="12.75" hidden="1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6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2.75" hidden="1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6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2.75" hidden="1">
      <c r="A112" s="192"/>
      <c r="B112" s="193"/>
      <c r="C112" s="193"/>
      <c r="D112" s="22"/>
      <c r="E112" s="22"/>
      <c r="F112" s="22"/>
      <c r="G112" s="23"/>
      <c r="H112" s="23"/>
      <c r="I112" s="24"/>
      <c r="J112" s="24"/>
      <c r="K112" s="25"/>
      <c r="L112" s="26"/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2.75" hidden="1">
      <c r="A113" s="192"/>
      <c r="B113" s="193"/>
      <c r="C113" s="193"/>
      <c r="D113" s="22"/>
      <c r="E113" s="22"/>
      <c r="F113" s="22"/>
      <c r="G113" s="23"/>
      <c r="H113" s="23"/>
      <c r="I113" s="24">
        <v>0</v>
      </c>
      <c r="J113" s="24">
        <v>0</v>
      </c>
      <c r="K113" s="25"/>
      <c r="L113" s="26"/>
      <c r="M113" s="25"/>
      <c r="N113" s="25"/>
      <c r="O113" s="25"/>
      <c r="P113" s="25"/>
      <c r="Q113" s="25"/>
      <c r="R113" s="25"/>
      <c r="S113" s="25"/>
      <c r="T113" s="25"/>
      <c r="U113" s="25"/>
    </row>
    <row r="114" spans="1:21" ht="18.75" hidden="1">
      <c r="A114" s="166"/>
      <c r="B114" s="167"/>
      <c r="C114" s="167"/>
      <c r="D114" s="178" t="s">
        <v>50</v>
      </c>
      <c r="E114" s="174"/>
      <c r="F114" s="174"/>
      <c r="G114" s="171"/>
      <c r="H114" s="179" t="s">
        <v>35</v>
      </c>
      <c r="I114" s="641">
        <f ca="1">IFERROR(__xludf.DUMMYFUNCTION("IMPORTRANGE(""https://docs.google.com/spreadsheets/d/1eHaY18a8A9IcSdp1K8H6x8fbOy06t2VsZHhMHf-1x7Y/edit?usp=sharing"",""แผน!R44"")"),0)</f>
        <v>0</v>
      </c>
      <c r="J114" s="467">
        <v>0</v>
      </c>
      <c r="K114" s="255">
        <f ca="1">IF(I114&gt;0,J114*100/I114,0)</f>
        <v>0</v>
      </c>
      <c r="L114" s="62"/>
      <c r="M114" s="55"/>
      <c r="N114" s="55"/>
      <c r="O114" s="164"/>
      <c r="P114" s="164"/>
      <c r="Q114" s="55"/>
      <c r="R114" s="55"/>
      <c r="S114" s="55"/>
      <c r="T114" s="164"/>
      <c r="U114" s="164"/>
    </row>
    <row r="115" spans="1:21" ht="19.5">
      <c r="A115" s="727" t="s">
        <v>51</v>
      </c>
      <c r="B115" s="724"/>
      <c r="C115" s="726"/>
      <c r="D115" s="725"/>
      <c r="E115" s="725"/>
      <c r="F115" s="725"/>
      <c r="G115" s="725"/>
      <c r="H115" s="724"/>
      <c r="I115" s="723"/>
      <c r="J115" s="723"/>
      <c r="K115" s="722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721">
        <f ca="1">I127</f>
        <v>25</v>
      </c>
      <c r="J116" s="721">
        <f>J127</f>
        <v>25</v>
      </c>
      <c r="K116" s="720">
        <f ca="1">IF(I116&gt;0,J116*100/I116,0)</f>
        <v>100</v>
      </c>
      <c r="L116" s="154"/>
      <c r="M116" s="40"/>
      <c r="N116" s="40"/>
      <c r="O116" s="40"/>
      <c r="P116" s="40"/>
      <c r="Q116" s="40"/>
      <c r="R116" s="40"/>
      <c r="S116" s="40"/>
      <c r="T116" s="40"/>
      <c r="U116" s="40"/>
    </row>
    <row r="117" spans="1:21" ht="19.5">
      <c r="A117" s="155"/>
      <c r="B117" s="188"/>
      <c r="C117" s="191" t="s">
        <v>18</v>
      </c>
      <c r="D117" s="575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541">
        <f ca="1">L118+L119</f>
        <v>0</v>
      </c>
      <c r="M117" s="540">
        <f ca="1">M118+M119</f>
        <v>0</v>
      </c>
      <c r="N117" s="540">
        <f ca="1">N118+N119</f>
        <v>0</v>
      </c>
      <c r="O117" s="540">
        <f ca="1">IF(L117&gt;0,N117*100/L117,0)</f>
        <v>0</v>
      </c>
      <c r="P117" s="540">
        <f ca="1">IF(M117&gt;0,N117*100/M117,0)</f>
        <v>0</v>
      </c>
      <c r="Q117" s="540">
        <f ca="1">Q118+Q119</f>
        <v>227090</v>
      </c>
      <c r="R117" s="540">
        <f ca="1">R118+R119</f>
        <v>227090</v>
      </c>
      <c r="S117" s="540">
        <f ca="1">S118+S119</f>
        <v>62845</v>
      </c>
      <c r="T117" s="540">
        <f ca="1">IF(Q117&gt;0,S117*100/Q117,0)</f>
        <v>27.674049936148663</v>
      </c>
      <c r="U117" s="540">
        <f ca="1">IF(R117&gt;0,S117*100/R117,0)</f>
        <v>27.674049936148663</v>
      </c>
    </row>
    <row r="118" spans="1:21" ht="18.75" hidden="1">
      <c r="A118" s="155"/>
      <c r="B118" s="188"/>
      <c r="C118" s="188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103">
        <f>L121+L124</f>
        <v>0</v>
      </c>
      <c r="M118" s="102">
        <f>M121+M124</f>
        <v>0</v>
      </c>
      <c r="N118" s="102">
        <f>N121+N124</f>
        <v>0</v>
      </c>
      <c r="O118" s="102">
        <f>IF(L118&gt;0,N118*100/L118,0)</f>
        <v>0</v>
      </c>
      <c r="P118" s="102">
        <f>IF(M118&gt;0,N118*100/M118,0)</f>
        <v>0</v>
      </c>
      <c r="Q118" s="102">
        <f>Q121+Q124</f>
        <v>0</v>
      </c>
      <c r="R118" s="102">
        <f>R121+R124</f>
        <v>0</v>
      </c>
      <c r="S118" s="102">
        <f>S121+S124</f>
        <v>0</v>
      </c>
      <c r="T118" s="102">
        <f>IF(Q118&gt;0,S118*100/Q118,0)</f>
        <v>0</v>
      </c>
      <c r="U118" s="102">
        <f>IF(R118&gt;0,S118*100/R118,0)</f>
        <v>0</v>
      </c>
    </row>
    <row r="119" spans="1:21" ht="18.75" hidden="1">
      <c r="A119" s="155"/>
      <c r="B119" s="188"/>
      <c r="C119" s="188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256">
        <f ca="1">L122+L125</f>
        <v>0</v>
      </c>
      <c r="M119" s="255">
        <f ca="1">M122+M125</f>
        <v>0</v>
      </c>
      <c r="N119" s="255">
        <f ca="1">N122+N125</f>
        <v>0</v>
      </c>
      <c r="O119" s="255">
        <f ca="1">IF(L119&gt;0,N119*100/L119,0)</f>
        <v>0</v>
      </c>
      <c r="P119" s="255">
        <f ca="1">IF(M119&gt;0,N119*100/M119,0)</f>
        <v>0</v>
      </c>
      <c r="Q119" s="255">
        <f ca="1">Q122+Q125</f>
        <v>227090</v>
      </c>
      <c r="R119" s="255">
        <f ca="1">R122+R125</f>
        <v>227090</v>
      </c>
      <c r="S119" s="255">
        <f ca="1">S122+S125</f>
        <v>62845</v>
      </c>
      <c r="T119" s="255">
        <f ca="1">IF(Q119&gt;0,S119*100/Q119,0)</f>
        <v>27.674049936148663</v>
      </c>
      <c r="U119" s="255">
        <f ca="1">IF(R119&gt;0,S119*100/R119,0)</f>
        <v>27.674049936148663</v>
      </c>
    </row>
    <row r="120" spans="1:21" ht="18.75">
      <c r="A120" s="155"/>
      <c r="B120" s="188"/>
      <c r="C120" s="202"/>
      <c r="D120" s="602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256">
        <f ca="1">L121+L122</f>
        <v>0</v>
      </c>
      <c r="M120" s="255">
        <f ca="1">M121+M122</f>
        <v>0</v>
      </c>
      <c r="N120" s="255">
        <f ca="1">N121+N122</f>
        <v>0</v>
      </c>
      <c r="O120" s="255">
        <f ca="1">IF(L120&gt;0,N120*100/L120,0)</f>
        <v>0</v>
      </c>
      <c r="P120" s="255">
        <f ca="1">IF(M120&gt;0,N120*100/M120,0)</f>
        <v>0</v>
      </c>
      <c r="Q120" s="255">
        <f ca="1">Q121+Q122</f>
        <v>227090</v>
      </c>
      <c r="R120" s="255">
        <f ca="1">R121+R122</f>
        <v>227090</v>
      </c>
      <c r="S120" s="255">
        <f ca="1">S121+S122</f>
        <v>62845</v>
      </c>
      <c r="T120" s="255">
        <f ca="1">IF(Q120&gt;0,S120*100/Q120,0)</f>
        <v>27.674049936148663</v>
      </c>
      <c r="U120" s="255">
        <f ca="1">IF(R120&gt;0,S120*100/R120,0)</f>
        <v>27.674049936148663</v>
      </c>
    </row>
    <row r="121" spans="1:21" ht="18.75" hidden="1">
      <c r="A121" s="155"/>
      <c r="B121" s="188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103">
        <v>0</v>
      </c>
      <c r="M121" s="102">
        <v>0</v>
      </c>
      <c r="N121" s="102">
        <v>0</v>
      </c>
      <c r="O121" s="102">
        <f>IF(L121&gt;0,N121*100/L121,0)</f>
        <v>0</v>
      </c>
      <c r="P121" s="102">
        <f>IF(M121&gt;0,N121*100/M121,0)</f>
        <v>0</v>
      </c>
      <c r="Q121" s="102">
        <v>0</v>
      </c>
      <c r="R121" s="102">
        <v>0</v>
      </c>
      <c r="S121" s="102">
        <v>0</v>
      </c>
      <c r="T121" s="102">
        <f>IF(Q121&gt;0,S121*100/Q121,0)</f>
        <v>0</v>
      </c>
      <c r="U121" s="102">
        <f>IF(R121&gt;0,S121*100/R121,0)</f>
        <v>0</v>
      </c>
    </row>
    <row r="122" spans="1:21" ht="18.75" hidden="1">
      <c r="A122" s="155"/>
      <c r="B122" s="188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256">
        <f ca="1">IFERROR(__xludf.DUMMYFUNCTION("IMPORTRANGE(""https://docs.google.com/spreadsheets/d/1-uDff_7J0KD5mKrp0Vvzr7lt3OU09vwQwhkpOPPYv2Y/edit?usp=sharing"",""งบพรบ!BG44"")"),0)</f>
        <v>0</v>
      </c>
      <c r="M122" s="255">
        <f ca="1">IFERROR(__xludf.DUMMYFUNCTION("IMPORTRANGE(""https://docs.google.com/spreadsheets/d/1-uDff_7J0KD5mKrp0Vvzr7lt3OU09vwQwhkpOPPYv2Y/edit?usp=sharing"",""งบพรบ!BL44"")"),0)</f>
        <v>0</v>
      </c>
      <c r="N122" s="255">
        <f ca="1">IFERROR(__xludf.DUMMYFUNCTION("IMPORTRANGE(""https://docs.google.com/spreadsheets/d/1-uDff_7J0KD5mKrp0Vvzr7lt3OU09vwQwhkpOPPYv2Y/edit?usp=sharing"",""งบพรบ!BN44"")"),0)</f>
        <v>0</v>
      </c>
      <c r="O122" s="255">
        <f ca="1">IF(L122&gt;0,N122*100/L122,0)</f>
        <v>0</v>
      </c>
      <c r="P122" s="255">
        <f ca="1">IF(M122&gt;0,N122*100/M122,0)</f>
        <v>0</v>
      </c>
      <c r="Q122" s="255">
        <f ca="1">IFERROR(__xludf.DUMMYFUNCTION("IMPORTRANGE(""https://docs.google.com/spreadsheets/d/1ItG2mGa2ceCfYo0BwxsXqNm01IGEUdYcSSLTEv9YCik/edit?usp=sharing"",""เบิกจ่ายกองทุน!R44"")"),227090)</f>
        <v>227090</v>
      </c>
      <c r="R122" s="255">
        <f ca="1">IFERROR(__xludf.DUMMYFUNCTION("IMPORTRANGE(""https://docs.google.com/spreadsheets/d/1ItG2mGa2ceCfYo0BwxsXqNm01IGEUdYcSSLTEv9YCik/edit?usp=sharing"",""เบิกจ่ายกองทุน!S44"")"),227090)</f>
        <v>227090</v>
      </c>
      <c r="S122" s="255">
        <f ca="1">IFERROR(__xludf.DUMMYFUNCTION("IMPORTRANGE(""https://docs.google.com/spreadsheets/d/1ItG2mGa2ceCfYo0BwxsXqNm01IGEUdYcSSLTEv9YCik/edit?usp=sharing"",""เบิกจ่ายกองทุน!T44"")"),62845)</f>
        <v>62845</v>
      </c>
      <c r="T122" s="255">
        <f ca="1">IF(Q122&gt;0,S122*100/Q122,0)</f>
        <v>27.674049936148663</v>
      </c>
      <c r="U122" s="255">
        <f ca="1">IF(R122&gt;0,S122*100/R122,0)</f>
        <v>27.674049936148663</v>
      </c>
    </row>
    <row r="123" spans="1:21" ht="18.75">
      <c r="A123" s="155"/>
      <c r="B123" s="50"/>
      <c r="C123" s="202"/>
      <c r="D123" s="602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256">
        <f ca="1">L124+L125</f>
        <v>0</v>
      </c>
      <c r="M123" s="255">
        <f ca="1">M124+M125</f>
        <v>0</v>
      </c>
      <c r="N123" s="255">
        <f ca="1">N124+N125</f>
        <v>0</v>
      </c>
      <c r="O123" s="255">
        <f ca="1">IF(L123&gt;0,N123*100/L123,0)</f>
        <v>0</v>
      </c>
      <c r="P123" s="255">
        <f ca="1">IF(M123&gt;0,N123*100/M123,0)</f>
        <v>0</v>
      </c>
      <c r="Q123" s="255">
        <f>Q124+Q125</f>
        <v>0</v>
      </c>
      <c r="R123" s="255">
        <f>R124+R125</f>
        <v>0</v>
      </c>
      <c r="S123" s="255">
        <f>S124+S125</f>
        <v>0</v>
      </c>
      <c r="T123" s="255">
        <f>IF(Q123&gt;0,S123*100/Q123,0)</f>
        <v>0</v>
      </c>
      <c r="U123" s="255">
        <f>IF(R123&gt;0,S123*100/R123,0)</f>
        <v>0</v>
      </c>
    </row>
    <row r="124" spans="1:21" ht="18.75" hidden="1">
      <c r="A124" s="155"/>
      <c r="B124" s="50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103">
        <v>0</v>
      </c>
      <c r="M124" s="102">
        <v>0</v>
      </c>
      <c r="N124" s="102">
        <v>0</v>
      </c>
      <c r="O124" s="102">
        <f>IF(L124&gt;0,N124*100/L124,0)</f>
        <v>0</v>
      </c>
      <c r="P124" s="102">
        <f>IF(M124&gt;0,N124*100/M124,0)</f>
        <v>0</v>
      </c>
      <c r="Q124" s="102">
        <v>0</v>
      </c>
      <c r="R124" s="102">
        <v>0</v>
      </c>
      <c r="S124" s="102">
        <v>0</v>
      </c>
      <c r="T124" s="102">
        <f>IF(Q124&gt;0,S124*100/Q124,0)</f>
        <v>0</v>
      </c>
      <c r="U124" s="102">
        <f>IF(R124&gt;0,S124*100/R124,0)</f>
        <v>0</v>
      </c>
    </row>
    <row r="125" spans="1:21" ht="18.75" hidden="1">
      <c r="A125" s="155"/>
      <c r="B125" s="50"/>
      <c r="C125" s="50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256">
        <f ca="1">IFERROR(__xludf.DUMMYFUNCTION("IMPORTRANGE(""https://docs.google.com/spreadsheets/d/1-uDff_7J0KD5mKrp0Vvzr7lt3OU09vwQwhkpOPPYv2Y/edit?usp=sharing"",""งบพรบ!BJ44"")"),0)</f>
        <v>0</v>
      </c>
      <c r="M125" s="255">
        <f ca="1">IFERROR(__xludf.DUMMYFUNCTION("IMPORTRANGE(""https://docs.google.com/spreadsheets/d/1-uDff_7J0KD5mKrp0Vvzr7lt3OU09vwQwhkpOPPYv2Y/edit?usp=sharing"",""งบพรบ!BM44"")"),0)</f>
        <v>0</v>
      </c>
      <c r="N125" s="255">
        <f ca="1">IFERROR(__xludf.DUMMYFUNCTION("IMPORTRANGE(""https://docs.google.com/spreadsheets/d/1-uDff_7J0KD5mKrp0Vvzr7lt3OU09vwQwhkpOPPYv2Y/edit?usp=sharing"",""งบพรบ!BO44"")"),0)</f>
        <v>0</v>
      </c>
      <c r="O125" s="255">
        <f ca="1">IF(L125&gt;0,N125*100/L125,0)</f>
        <v>0</v>
      </c>
      <c r="P125" s="255">
        <f ca="1">IF(M125&gt;0,N125*100/M125,0)</f>
        <v>0</v>
      </c>
      <c r="Q125" s="255">
        <v>0</v>
      </c>
      <c r="R125" s="255">
        <v>0</v>
      </c>
      <c r="S125" s="255">
        <v>0</v>
      </c>
      <c r="T125" s="255">
        <f>IF(Q125&gt;0,S125*100/Q125,0)</f>
        <v>0</v>
      </c>
      <c r="U125" s="255">
        <f>IF(R125&gt;0,S125*100/R125,0)</f>
        <v>0</v>
      </c>
    </row>
    <row r="126" spans="1:21" ht="19.5">
      <c r="A126" s="166"/>
      <c r="B126" s="167"/>
      <c r="C126" s="205" t="s">
        <v>18</v>
      </c>
      <c r="D126" s="566" t="s">
        <v>38</v>
      </c>
      <c r="E126" s="169"/>
      <c r="F126" s="169"/>
      <c r="G126" s="170"/>
      <c r="H126" s="206"/>
      <c r="I126" s="54"/>
      <c r="J126" s="54"/>
      <c r="K126" s="55"/>
      <c r="L126" s="62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212">
        <f ca="1">IFERROR(__xludf.DUMMYFUNCTION("IMPORTRANGE(""https://docs.google.com/spreadsheets/d/1eHaY18a8A9IcSdp1K8H6x8fbOy06t2VsZHhMHf-1x7Y/edit?usp=sharing"",""แผน!FF44"")"),25)</f>
        <v>25</v>
      </c>
      <c r="J127" s="467">
        <v>25</v>
      </c>
      <c r="K127" s="255">
        <f ca="1">IF(I127&gt;0,J127*100/I127,0)</f>
        <v>100</v>
      </c>
      <c r="L127" s="62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212">
        <f ca="1">IFERROR(__xludf.DUMMYFUNCTION("IMPORTRANGE(""https://docs.google.com/spreadsheets/d/1eHaY18a8A9IcSdp1K8H6x8fbOy06t2VsZHhMHf-1x7Y/edit?usp=sharing"",""แผน!FG44"")"),0)</f>
        <v>0</v>
      </c>
      <c r="J128" s="467">
        <v>0</v>
      </c>
      <c r="K128" s="255">
        <f ca="1">IF(I128&gt;0,J128*100/I128,0)</f>
        <v>0</v>
      </c>
      <c r="L128" s="62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212">
        <f ca="1">IFERROR(__xludf.DUMMYFUNCTION("IMPORTRANGE(""https://docs.google.com/spreadsheets/d/1eHaY18a8A9IcSdp1K8H6x8fbOy06t2VsZHhMHf-1x7Y/edit?usp=sharing"",""แผน!FH44"")"),25)</f>
        <v>25</v>
      </c>
      <c r="J129" s="467">
        <v>0</v>
      </c>
      <c r="K129" s="255">
        <f ca="1">IF(I129&gt;0,J129*100/I129,0)</f>
        <v>0</v>
      </c>
      <c r="L129" s="62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212">
        <f ca="1">IFERROR(__xludf.DUMMYFUNCTION("IMPORTRANGE(""https://docs.google.com/spreadsheets/d/1eHaY18a8A9IcSdp1K8H6x8fbOy06t2VsZHhMHf-1x7Y/edit?usp=sharing"",""แผน!FI44"")"),0)</f>
        <v>0</v>
      </c>
      <c r="J130" s="467">
        <v>0</v>
      </c>
      <c r="K130" s="255">
        <f ca="1">IF(I130&gt;0,J130*100/I130,0)</f>
        <v>0</v>
      </c>
      <c r="L130" s="62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8.75" hidden="1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62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8.75" hidden="1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62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2.75" hidden="1">
      <c r="A133" s="192"/>
      <c r="B133" s="193"/>
      <c r="C133" s="193"/>
      <c r="D133" s="22"/>
      <c r="E133" s="22"/>
      <c r="F133" s="22"/>
      <c r="G133" s="23"/>
      <c r="H133" s="209"/>
      <c r="I133" s="24"/>
      <c r="J133" s="24"/>
      <c r="K133" s="25"/>
      <c r="L133" s="26"/>
      <c r="M133" s="25"/>
      <c r="N133" s="25"/>
      <c r="O133" s="25"/>
      <c r="P133" s="25"/>
      <c r="Q133" s="25"/>
      <c r="R133" s="25"/>
      <c r="S133" s="25"/>
      <c r="T133" s="25"/>
      <c r="U133" s="25"/>
    </row>
    <row r="134" spans="1:21" ht="19.5" hidden="1">
      <c r="A134" s="143" t="s">
        <v>58</v>
      </c>
      <c r="B134" s="144"/>
      <c r="C134" s="196"/>
      <c r="D134" s="144"/>
      <c r="E134" s="144"/>
      <c r="F134" s="144"/>
      <c r="G134" s="144"/>
      <c r="H134" s="144"/>
      <c r="I134" s="197"/>
      <c r="J134" s="197"/>
      <c r="K134" s="19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</row>
    <row r="135" spans="1:21" ht="19.5" hidden="1">
      <c r="A135" s="150"/>
      <c r="B135" s="35" t="s">
        <v>59</v>
      </c>
      <c r="C135" s="200"/>
      <c r="D135" s="151"/>
      <c r="E135" s="34"/>
      <c r="F135" s="34"/>
      <c r="G135" s="34"/>
      <c r="H135" s="34"/>
      <c r="I135" s="210"/>
      <c r="J135" s="39"/>
      <c r="K135" s="40"/>
      <c r="L135" s="154"/>
      <c r="M135" s="40"/>
      <c r="N135" s="40"/>
      <c r="O135" s="40"/>
      <c r="P135" s="40"/>
      <c r="Q135" s="40"/>
      <c r="R135" s="40"/>
      <c r="S135" s="40"/>
      <c r="T135" s="40"/>
      <c r="U135" s="40"/>
    </row>
    <row r="136" spans="1:21" ht="19.5" hidden="1">
      <c r="A136" s="150"/>
      <c r="B136" s="34"/>
      <c r="C136" s="211" t="s">
        <v>60</v>
      </c>
      <c r="D136" s="151"/>
      <c r="E136" s="34"/>
      <c r="F136" s="34"/>
      <c r="G136" s="37"/>
      <c r="H136" s="152" t="s">
        <v>61</v>
      </c>
      <c r="I136" s="721">
        <f ca="1">I154</f>
        <v>0</v>
      </c>
      <c r="J136" s="721">
        <f>J154</f>
        <v>0</v>
      </c>
      <c r="K136" s="720">
        <f ca="1">IF(I136&gt;0,J136*100/I136,0)</f>
        <v>0</v>
      </c>
      <c r="L136" s="154"/>
      <c r="M136" s="40"/>
      <c r="N136" s="40"/>
      <c r="O136" s="40"/>
      <c r="P136" s="40"/>
      <c r="Q136" s="40"/>
      <c r="R136" s="40"/>
      <c r="S136" s="40"/>
      <c r="T136" s="40"/>
      <c r="U136" s="40"/>
    </row>
    <row r="137" spans="1:21" ht="19.5" hidden="1">
      <c r="A137" s="150"/>
      <c r="B137" s="34"/>
      <c r="C137" s="211" t="s">
        <v>62</v>
      </c>
      <c r="D137" s="151"/>
      <c r="E137" s="34"/>
      <c r="F137" s="34"/>
      <c r="G137" s="37"/>
      <c r="H137" s="152" t="s">
        <v>35</v>
      </c>
      <c r="I137" s="721">
        <f ca="1">I152</f>
        <v>0</v>
      </c>
      <c r="J137" s="721">
        <f>J152</f>
        <v>0</v>
      </c>
      <c r="K137" s="720">
        <f ca="1">IF(I137&gt;0,J137*100/I137,0)</f>
        <v>0</v>
      </c>
      <c r="L137" s="154"/>
      <c r="M137" s="40"/>
      <c r="N137" s="40"/>
      <c r="O137" s="40"/>
      <c r="P137" s="40"/>
      <c r="Q137" s="40"/>
      <c r="R137" s="40"/>
      <c r="S137" s="40"/>
      <c r="T137" s="40"/>
      <c r="U137" s="40"/>
    </row>
    <row r="138" spans="1:21" ht="19.5" hidden="1">
      <c r="A138" s="150"/>
      <c r="B138" s="34"/>
      <c r="C138" s="200"/>
      <c r="D138" s="151"/>
      <c r="E138" s="34"/>
      <c r="F138" s="34"/>
      <c r="G138" s="37"/>
      <c r="H138" s="152" t="s">
        <v>54</v>
      </c>
      <c r="I138" s="721">
        <f ca="1">I153</f>
        <v>0</v>
      </c>
      <c r="J138" s="721">
        <f>J153</f>
        <v>0</v>
      </c>
      <c r="K138" s="720">
        <f ca="1">IF(I138&gt;0,J138*100/I138,0)</f>
        <v>0</v>
      </c>
      <c r="L138" s="154"/>
      <c r="M138" s="40"/>
      <c r="N138" s="40"/>
      <c r="O138" s="40"/>
      <c r="P138" s="40"/>
      <c r="Q138" s="40"/>
      <c r="R138" s="40"/>
      <c r="S138" s="40"/>
      <c r="T138" s="40"/>
      <c r="U138" s="40"/>
    </row>
    <row r="139" spans="1:21" ht="19.5" hidden="1">
      <c r="A139" s="155"/>
      <c r="B139" s="50"/>
      <c r="C139" s="156" t="s">
        <v>18</v>
      </c>
      <c r="D139" s="575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541">
        <f ca="1">L140+L141</f>
        <v>0</v>
      </c>
      <c r="M139" s="540">
        <f ca="1">M140+M141</f>
        <v>0</v>
      </c>
      <c r="N139" s="540">
        <f ca="1">N140+N141</f>
        <v>0</v>
      </c>
      <c r="O139" s="540">
        <f ca="1">IF(L139&gt;0,N139*100/L139,0)</f>
        <v>0</v>
      </c>
      <c r="P139" s="540">
        <f ca="1">IF(M139&gt;0,N139*100/M139,0)</f>
        <v>0</v>
      </c>
      <c r="Q139" s="540">
        <f ca="1">Q140+Q141</f>
        <v>0</v>
      </c>
      <c r="R139" s="540">
        <f ca="1">R140+R141</f>
        <v>0</v>
      </c>
      <c r="S139" s="540">
        <f ca="1">S140+S141</f>
        <v>0</v>
      </c>
      <c r="T139" s="540">
        <f ca="1">IF(Q139&gt;0,S139*100/Q139,0)</f>
        <v>0</v>
      </c>
      <c r="U139" s="540">
        <f ca="1">IF(R139&gt;0,S139*100/R139,0)</f>
        <v>0</v>
      </c>
    </row>
    <row r="140" spans="1:21" ht="18.75" hidden="1">
      <c r="A140" s="155"/>
      <c r="B140" s="50"/>
      <c r="C140" s="50"/>
      <c r="D140" s="50"/>
      <c r="E140" s="186" t="s">
        <v>20</v>
      </c>
      <c r="F140" s="50"/>
      <c r="G140" s="52"/>
      <c r="H140" s="187" t="s">
        <v>14</v>
      </c>
      <c r="I140" s="54"/>
      <c r="J140" s="54"/>
      <c r="K140" s="55"/>
      <c r="L140" s="103">
        <f>L143+L146</f>
        <v>0</v>
      </c>
      <c r="M140" s="102">
        <f>M143+M146</f>
        <v>0</v>
      </c>
      <c r="N140" s="102">
        <f>N143+N146</f>
        <v>0</v>
      </c>
      <c r="O140" s="102">
        <f>IF(L140&gt;0,N140*100/L140,0)</f>
        <v>0</v>
      </c>
      <c r="P140" s="102">
        <f>IF(M140&gt;0,N140*100/M140,0)</f>
        <v>0</v>
      </c>
      <c r="Q140" s="102">
        <f>Q143+Q146</f>
        <v>0</v>
      </c>
      <c r="R140" s="102">
        <f>R143+R146</f>
        <v>0</v>
      </c>
      <c r="S140" s="102">
        <f>S143+S146</f>
        <v>0</v>
      </c>
      <c r="T140" s="102">
        <f>IF(Q140&gt;0,S140*100/Q140,0)</f>
        <v>0</v>
      </c>
      <c r="U140" s="102">
        <f>IF(R140&gt;0,S140*100/R140,0)</f>
        <v>0</v>
      </c>
    </row>
    <row r="141" spans="1:21" ht="18.75" hidden="1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256">
        <f ca="1">L144+L147</f>
        <v>0</v>
      </c>
      <c r="M141" s="255">
        <f ca="1">M144+M147</f>
        <v>0</v>
      </c>
      <c r="N141" s="255">
        <f ca="1">N144+N147</f>
        <v>0</v>
      </c>
      <c r="O141" s="255">
        <f ca="1">IF(L141&gt;0,N141*100/L141,0)</f>
        <v>0</v>
      </c>
      <c r="P141" s="255">
        <f ca="1">IF(M141&gt;0,N141*100/M141,0)</f>
        <v>0</v>
      </c>
      <c r="Q141" s="255">
        <f ca="1">Q144+Q147</f>
        <v>0</v>
      </c>
      <c r="R141" s="255">
        <f ca="1">R144+R147</f>
        <v>0</v>
      </c>
      <c r="S141" s="255">
        <f ca="1">S144+S147</f>
        <v>0</v>
      </c>
      <c r="T141" s="255">
        <f ca="1">IF(Q141&gt;0,S141*100/Q141,0)</f>
        <v>0</v>
      </c>
      <c r="U141" s="255">
        <f ca="1">IF(R141&gt;0,S141*100/R141,0)</f>
        <v>0</v>
      </c>
    </row>
    <row r="142" spans="1:21" ht="18.75" hidden="1">
      <c r="A142" s="155"/>
      <c r="B142" s="50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256">
        <f ca="1">L143+L144</f>
        <v>0</v>
      </c>
      <c r="M142" s="255">
        <f ca="1">M143+M144</f>
        <v>0</v>
      </c>
      <c r="N142" s="255">
        <f ca="1">N143+N144</f>
        <v>0</v>
      </c>
      <c r="O142" s="255">
        <f ca="1">IF(L142&gt;0,N142*100/L142,0)</f>
        <v>0</v>
      </c>
      <c r="P142" s="255">
        <f ca="1">IF(M142&gt;0,N142*100/M142,0)</f>
        <v>0</v>
      </c>
      <c r="Q142" s="255">
        <f ca="1">Q143+Q144</f>
        <v>0</v>
      </c>
      <c r="R142" s="255">
        <f ca="1">R143+R144</f>
        <v>0</v>
      </c>
      <c r="S142" s="255">
        <f ca="1">S143+S144</f>
        <v>0</v>
      </c>
      <c r="T142" s="255">
        <f ca="1">IF(Q142&gt;0,S142*100/Q142,0)</f>
        <v>0</v>
      </c>
      <c r="U142" s="255">
        <f ca="1">IF(R142&gt;0,S142*100/R142,0)</f>
        <v>0</v>
      </c>
    </row>
    <row r="143" spans="1:21" ht="18.75" hidden="1">
      <c r="A143" s="155"/>
      <c r="B143" s="50"/>
      <c r="C143" s="50"/>
      <c r="D143" s="50"/>
      <c r="E143" s="186" t="s">
        <v>36</v>
      </c>
      <c r="F143" s="50"/>
      <c r="G143" s="52"/>
      <c r="H143" s="189" t="s">
        <v>14</v>
      </c>
      <c r="I143" s="163"/>
      <c r="J143" s="163"/>
      <c r="K143" s="164"/>
      <c r="L143" s="103">
        <v>0</v>
      </c>
      <c r="M143" s="102">
        <v>0</v>
      </c>
      <c r="N143" s="102">
        <v>0</v>
      </c>
      <c r="O143" s="102">
        <f>IF(L143&gt;0,N143*100/L143,0)</f>
        <v>0</v>
      </c>
      <c r="P143" s="102">
        <f>IF(M143&gt;0,N143*100/M143,0)</f>
        <v>0</v>
      </c>
      <c r="Q143" s="102">
        <v>0</v>
      </c>
      <c r="R143" s="102">
        <v>0</v>
      </c>
      <c r="S143" s="102">
        <v>0</v>
      </c>
      <c r="T143" s="102">
        <f>IF(Q143&gt;0,S143*100/Q143,0)</f>
        <v>0</v>
      </c>
      <c r="U143" s="102">
        <f>IF(R143&gt;0,S143*100/R143,0)</f>
        <v>0</v>
      </c>
    </row>
    <row r="144" spans="1:21" ht="18.75" hidden="1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256">
        <f ca="1">IFERROR(__xludf.DUMMYFUNCTION("IMPORTRANGE(""https://docs.google.com/spreadsheets/d/1-uDff_7J0KD5mKrp0Vvzr7lt3OU09vwQwhkpOPPYv2Y/edit?usp=sharing"",""งบพรบ!BQ44"")"),0)</f>
        <v>0</v>
      </c>
      <c r="M144" s="255">
        <f ca="1">IFERROR(__xludf.DUMMYFUNCTION("IMPORTRANGE(""https://docs.google.com/spreadsheets/d/1-uDff_7J0KD5mKrp0Vvzr7lt3OU09vwQwhkpOPPYv2Y/edit?usp=sharing"",""งบพรบ!BV44"")"),0)</f>
        <v>0</v>
      </c>
      <c r="N144" s="255">
        <f ca="1">IFERROR(__xludf.DUMMYFUNCTION("IMPORTRANGE(""https://docs.google.com/spreadsheets/d/1-uDff_7J0KD5mKrp0Vvzr7lt3OU09vwQwhkpOPPYv2Y/edit?usp=sharing"",""งบพรบ!BX44"")"),0)</f>
        <v>0</v>
      </c>
      <c r="O144" s="255">
        <f ca="1">IF(L144&gt;0,N144*100/L144,0)</f>
        <v>0</v>
      </c>
      <c r="P144" s="255">
        <f ca="1">IF(M144&gt;0,N144*100/M144,0)</f>
        <v>0</v>
      </c>
      <c r="Q144" s="255">
        <f ca="1">IFERROR(__xludf.DUMMYFUNCTION("IMPORTRANGE(""https://docs.google.com/spreadsheets/d/1ItG2mGa2ceCfYo0BwxsXqNm01IGEUdYcSSLTEv9YCik/edit?usp=sharing"",""เบิกจ่ายกองทุน!BB44"")"),0)</f>
        <v>0</v>
      </c>
      <c r="R144" s="255">
        <f ca="1">IFERROR(__xludf.DUMMYFUNCTION("IMPORTRANGE(""https://docs.google.com/spreadsheets/d/1ItG2mGa2ceCfYo0BwxsXqNm01IGEUdYcSSLTEv9YCik/edit?usp=sharing"",""เบิกจ่ายกองทุน!BC44"")"),0)</f>
        <v>0</v>
      </c>
      <c r="S144" s="255">
        <f ca="1">IFERROR(__xludf.DUMMYFUNCTION("IMPORTRANGE(""https://docs.google.com/spreadsheets/d/1ItG2mGa2ceCfYo0BwxsXqNm01IGEUdYcSSLTEv9YCik/edit?usp=sharing"",""เบิกจ่ายกองทุน!BD44"")"),0)</f>
        <v>0</v>
      </c>
      <c r="T144" s="255">
        <f ca="1">IF(Q144&gt;0,S144*100/Q144,0)</f>
        <v>0</v>
      </c>
      <c r="U144" s="255">
        <f ca="1">IF(R144&gt;0,S144*100/R144,0)</f>
        <v>0</v>
      </c>
    </row>
    <row r="145" spans="1:21" ht="18.75" hidden="1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256">
        <f ca="1">L146+L147</f>
        <v>0</v>
      </c>
      <c r="M145" s="255">
        <f ca="1">M146+M147</f>
        <v>0</v>
      </c>
      <c r="N145" s="255">
        <f ca="1">N146+N147</f>
        <v>0</v>
      </c>
      <c r="O145" s="255">
        <f ca="1">IF(L145&gt;0,N145*100/L145,0)</f>
        <v>0</v>
      </c>
      <c r="P145" s="255">
        <f ca="1">IF(M145&gt;0,N145*100/M145,0)</f>
        <v>0</v>
      </c>
      <c r="Q145" s="255">
        <f>Q146+Q147</f>
        <v>0</v>
      </c>
      <c r="R145" s="255">
        <f>R146+R147</f>
        <v>0</v>
      </c>
      <c r="S145" s="255">
        <f>S146+S147</f>
        <v>0</v>
      </c>
      <c r="T145" s="255">
        <f>IF(Q145&gt;0,S145*100/Q145,0)</f>
        <v>0</v>
      </c>
      <c r="U145" s="255">
        <f>IF(R145&gt;0,S145*100/R145,0)</f>
        <v>0</v>
      </c>
    </row>
    <row r="146" spans="1:21" ht="18.75" hidden="1">
      <c r="A146" s="155"/>
      <c r="B146" s="50"/>
      <c r="C146" s="50"/>
      <c r="D146" s="50"/>
      <c r="E146" s="186" t="s">
        <v>20</v>
      </c>
      <c r="F146" s="50"/>
      <c r="G146" s="52"/>
      <c r="H146" s="189" t="s">
        <v>14</v>
      </c>
      <c r="I146" s="163"/>
      <c r="J146" s="163"/>
      <c r="K146" s="164"/>
      <c r="L146" s="103">
        <v>0</v>
      </c>
      <c r="M146" s="102">
        <v>0</v>
      </c>
      <c r="N146" s="102">
        <v>0</v>
      </c>
      <c r="O146" s="102">
        <f>IF(L146&gt;0,N146*100/L146,0)</f>
        <v>0</v>
      </c>
      <c r="P146" s="102">
        <f>IF(M146&gt;0,N146*100/M146,0)</f>
        <v>0</v>
      </c>
      <c r="Q146" s="102">
        <v>0</v>
      </c>
      <c r="R146" s="102">
        <v>0</v>
      </c>
      <c r="S146" s="102">
        <v>0</v>
      </c>
      <c r="T146" s="102">
        <f>IF(Q146&gt;0,S146*100/Q146,0)</f>
        <v>0</v>
      </c>
      <c r="U146" s="102">
        <f>IF(R146&gt;0,S146*100/R146,0)</f>
        <v>0</v>
      </c>
    </row>
    <row r="147" spans="1:21" ht="18.75" hidden="1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256">
        <f ca="1">IFERROR(__xludf.DUMMYFUNCTION("IMPORTRANGE(""https://docs.google.com/spreadsheets/d/1-uDff_7J0KD5mKrp0Vvzr7lt3OU09vwQwhkpOPPYv2Y/edit?usp=sharing"",""งบพรบ!BT44"")"),0)</f>
        <v>0</v>
      </c>
      <c r="M147" s="255">
        <f ca="1">IFERROR(__xludf.DUMMYFUNCTION("IMPORTRANGE(""https://docs.google.com/spreadsheets/d/1-uDff_7J0KD5mKrp0Vvzr7lt3OU09vwQwhkpOPPYv2Y/edit?usp=sharing"",""งบพรบ!BW44"")"),0)</f>
        <v>0</v>
      </c>
      <c r="N147" s="255">
        <f ca="1">IFERROR(__xludf.DUMMYFUNCTION("IMPORTRANGE(""https://docs.google.com/spreadsheets/d/1-uDff_7J0KD5mKrp0Vvzr7lt3OU09vwQwhkpOPPYv2Y/edit?usp=sharing"",""งบพรบ!BY44"")"),0)</f>
        <v>0</v>
      </c>
      <c r="O147" s="255">
        <f ca="1">IF(L147&gt;0,N147*100/L147,0)</f>
        <v>0</v>
      </c>
      <c r="P147" s="255">
        <f ca="1">IF(M147&gt;0,N147*100/M147,0)</f>
        <v>0</v>
      </c>
      <c r="Q147" s="255">
        <v>0</v>
      </c>
      <c r="R147" s="255">
        <v>0</v>
      </c>
      <c r="S147" s="255">
        <v>0</v>
      </c>
      <c r="T147" s="255">
        <f>IF(Q147&gt;0,S147*100/Q147,0)</f>
        <v>0</v>
      </c>
      <c r="U147" s="255">
        <f>IF(R147&gt;0,S147*100/R147,0)</f>
        <v>0</v>
      </c>
    </row>
    <row r="148" spans="1:21" ht="19.5" hidden="1">
      <c r="A148" s="166"/>
      <c r="B148" s="167"/>
      <c r="C148" s="156" t="s">
        <v>18</v>
      </c>
      <c r="D148" s="566" t="s">
        <v>38</v>
      </c>
      <c r="E148" s="169"/>
      <c r="F148" s="169"/>
      <c r="G148" s="170"/>
      <c r="H148" s="206"/>
      <c r="I148" s="54"/>
      <c r="J148" s="54"/>
      <c r="K148" s="55"/>
      <c r="L148" s="62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8.75" hidden="1">
      <c r="A149" s="155"/>
      <c r="B149" s="50"/>
      <c r="C149" s="50"/>
      <c r="D149" s="58" t="s">
        <v>63</v>
      </c>
      <c r="E149" s="50"/>
      <c r="F149" s="50"/>
      <c r="G149" s="52"/>
      <c r="H149" s="206"/>
      <c r="I149" s="54"/>
      <c r="J149" s="467">
        <v>0</v>
      </c>
      <c r="K149" s="55"/>
      <c r="L149" s="62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9.5" hidden="1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212">
        <f ca="1">IFERROR(__xludf.DUMMYFUNCTION("IMPORTRANGE(""https://docs.google.com/spreadsheets/d/1eHaY18a8A9IcSdp1K8H6x8fbOy06t2VsZHhMHf-1x7Y/edit?usp=sharing"",""แผน!U44"")"),0)</f>
        <v>0</v>
      </c>
      <c r="J150" s="467">
        <v>0</v>
      </c>
      <c r="K150" s="255">
        <f ca="1">IF(I150&gt;0,J150*100/I150,0)</f>
        <v>0</v>
      </c>
      <c r="L150" s="62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8.75" hidden="1">
      <c r="A151" s="155"/>
      <c r="B151" s="50"/>
      <c r="C151" s="50"/>
      <c r="D151" s="174"/>
      <c r="E151" s="50"/>
      <c r="F151" s="50"/>
      <c r="G151" s="52"/>
      <c r="H151" s="165" t="s">
        <v>54</v>
      </c>
      <c r="I151" s="212">
        <f ca="1">IFERROR(__xludf.DUMMYFUNCTION("IMPORTRANGE(""https://docs.google.com/spreadsheets/d/1eHaY18a8A9IcSdp1K8H6x8fbOy06t2VsZHhMHf-1x7Y/edit?usp=sharing"",""แผน!V44"")"),0)</f>
        <v>0</v>
      </c>
      <c r="J151" s="467">
        <v>0</v>
      </c>
      <c r="K151" s="255">
        <f ca="1">IF(I151&gt;0,J151*100/I151,0)</f>
        <v>0</v>
      </c>
      <c r="L151" s="62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9.5" hidden="1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212">
        <f ca="1">IFERROR(__xludf.DUMMYFUNCTION("IMPORTRANGE(""https://docs.google.com/spreadsheets/d/1eHaY18a8A9IcSdp1K8H6x8fbOy06t2VsZHhMHf-1x7Y/edit?usp=sharing"",""แผน!W44"")"),0)</f>
        <v>0</v>
      </c>
      <c r="J152" s="467">
        <v>0</v>
      </c>
      <c r="K152" s="255">
        <f ca="1">IF(I152&gt;0,J152*100/I152,0)</f>
        <v>0</v>
      </c>
      <c r="L152" s="62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8.75" hidden="1">
      <c r="A153" s="155"/>
      <c r="B153" s="50"/>
      <c r="C153" s="50"/>
      <c r="D153" s="50"/>
      <c r="E153" s="50"/>
      <c r="F153" s="50"/>
      <c r="G153" s="52"/>
      <c r="H153" s="165" t="s">
        <v>54</v>
      </c>
      <c r="I153" s="212">
        <f ca="1">IFERROR(__xludf.DUMMYFUNCTION("IMPORTRANGE(""https://docs.google.com/spreadsheets/d/1eHaY18a8A9IcSdp1K8H6x8fbOy06t2VsZHhMHf-1x7Y/edit?usp=sharing"",""แผน!X44"")"),0)</f>
        <v>0</v>
      </c>
      <c r="J153" s="467">
        <v>0</v>
      </c>
      <c r="K153" s="255">
        <f ca="1">IF(I153&gt;0,J153*100/I153,0)</f>
        <v>0</v>
      </c>
      <c r="L153" s="62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8.75" hidden="1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212">
        <f ca="1">IFERROR(__xludf.DUMMYFUNCTION("IMPORTRANGE(""https://docs.google.com/spreadsheets/d/1eHaY18a8A9IcSdp1K8H6x8fbOy06t2VsZHhMHf-1x7Y/edit?usp=sharing"",""แผน!Y44"")"),0)</f>
        <v>0</v>
      </c>
      <c r="J154" s="467">
        <v>0</v>
      </c>
      <c r="K154" s="255">
        <f ca="1">IF(I154&gt;0,J154*100/I154,0)</f>
        <v>0</v>
      </c>
      <c r="L154" s="62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9.5" hidden="1">
      <c r="A155" s="143" t="s">
        <v>67</v>
      </c>
      <c r="B155" s="144"/>
      <c r="C155" s="196"/>
      <c r="D155" s="144"/>
      <c r="E155" s="144"/>
      <c r="F155" s="144"/>
      <c r="G155" s="144"/>
      <c r="H155" s="144"/>
      <c r="I155" s="197"/>
      <c r="J155" s="197"/>
      <c r="K155" s="19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</row>
    <row r="156" spans="1:21" ht="19.5" hidden="1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721">
        <f ca="1">I169</f>
        <v>0</v>
      </c>
      <c r="J156" s="721">
        <f>J169</f>
        <v>0</v>
      </c>
      <c r="K156" s="720">
        <f ca="1">IF(I156&gt;0,J156*100/I156,0)</f>
        <v>0</v>
      </c>
      <c r="L156" s="154"/>
      <c r="M156" s="40"/>
      <c r="N156" s="40"/>
      <c r="O156" s="40"/>
      <c r="P156" s="40"/>
      <c r="Q156" s="40"/>
      <c r="R156" s="40"/>
      <c r="S156" s="40"/>
      <c r="T156" s="40"/>
      <c r="U156" s="40"/>
    </row>
    <row r="157" spans="1:21" ht="19.5" hidden="1">
      <c r="A157" s="155"/>
      <c r="B157" s="50"/>
      <c r="C157" s="156" t="s">
        <v>18</v>
      </c>
      <c r="D157" s="575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541">
        <f ca="1">L158+L159</f>
        <v>0</v>
      </c>
      <c r="M157" s="540">
        <f ca="1">M158+M159</f>
        <v>5600</v>
      </c>
      <c r="N157" s="540">
        <f ca="1">N158+N159</f>
        <v>5600</v>
      </c>
      <c r="O157" s="540">
        <f ca="1">IF(L157&gt;0,N157*100/L157,0)</f>
        <v>0</v>
      </c>
      <c r="P157" s="540">
        <f ca="1">IF(M157&gt;0,N157*100/M157,0)</f>
        <v>100</v>
      </c>
      <c r="Q157" s="540">
        <f ca="1">Q158+Q159</f>
        <v>0</v>
      </c>
      <c r="R157" s="540">
        <f ca="1">R158+R159</f>
        <v>0</v>
      </c>
      <c r="S157" s="540">
        <f ca="1">S158+S159</f>
        <v>0</v>
      </c>
      <c r="T157" s="540">
        <f ca="1">IF(Q157&gt;0,S157*100/Q157,0)</f>
        <v>0</v>
      </c>
      <c r="U157" s="540">
        <f ca="1">IF(R157&gt;0,S157*100/R157,0)</f>
        <v>0</v>
      </c>
    </row>
    <row r="158" spans="1:21" ht="18.75" hidden="1">
      <c r="A158" s="155"/>
      <c r="B158" s="50"/>
      <c r="C158" s="50"/>
      <c r="D158" s="50"/>
      <c r="E158" s="186" t="s">
        <v>20</v>
      </c>
      <c r="F158" s="50"/>
      <c r="G158" s="52"/>
      <c r="H158" s="187" t="s">
        <v>14</v>
      </c>
      <c r="I158" s="54"/>
      <c r="J158" s="54"/>
      <c r="K158" s="55"/>
      <c r="L158" s="103">
        <f>L161+L164</f>
        <v>0</v>
      </c>
      <c r="M158" s="102">
        <f>M161+M164</f>
        <v>0</v>
      </c>
      <c r="N158" s="102">
        <f>N161+N164</f>
        <v>0</v>
      </c>
      <c r="O158" s="102">
        <f>IF(L158&gt;0,N158*100/L158,0)</f>
        <v>0</v>
      </c>
      <c r="P158" s="102">
        <f>IF(M158&gt;0,N158*100/M158,0)</f>
        <v>0</v>
      </c>
      <c r="Q158" s="102">
        <f>Q161+Q164</f>
        <v>0</v>
      </c>
      <c r="R158" s="102">
        <f>R161+R164</f>
        <v>0</v>
      </c>
      <c r="S158" s="102">
        <f>S161+S164</f>
        <v>0</v>
      </c>
      <c r="T158" s="102">
        <f>IF(Q158&gt;0,S158*100/Q158,0)</f>
        <v>0</v>
      </c>
      <c r="U158" s="102">
        <f>IF(R158&gt;0,S158*100/R158,0)</f>
        <v>0</v>
      </c>
    </row>
    <row r="159" spans="1:21" ht="18.75" hidden="1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256">
        <f ca="1">L162+L165</f>
        <v>0</v>
      </c>
      <c r="M159" s="255">
        <f ca="1">M162+M165</f>
        <v>5600</v>
      </c>
      <c r="N159" s="255">
        <f ca="1">N162+N165</f>
        <v>5600</v>
      </c>
      <c r="O159" s="255">
        <f ca="1">IF(L159&gt;0,N159*100/L159,0)</f>
        <v>0</v>
      </c>
      <c r="P159" s="255">
        <f ca="1">IF(M159&gt;0,N159*100/M159,0)</f>
        <v>100</v>
      </c>
      <c r="Q159" s="255">
        <f ca="1">Q162+Q165</f>
        <v>0</v>
      </c>
      <c r="R159" s="255">
        <f ca="1">R162+R165</f>
        <v>0</v>
      </c>
      <c r="S159" s="255">
        <f ca="1">S162+S165</f>
        <v>0</v>
      </c>
      <c r="T159" s="255">
        <f ca="1">IF(Q159&gt;0,S159*100/Q159,0)</f>
        <v>0</v>
      </c>
      <c r="U159" s="255">
        <f ca="1">IF(R159&gt;0,S159*100/R159,0)</f>
        <v>0</v>
      </c>
    </row>
    <row r="160" spans="1:21" ht="18.75" hidden="1">
      <c r="A160" s="155"/>
      <c r="B160" s="50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256">
        <f ca="1">L161+L162</f>
        <v>0</v>
      </c>
      <c r="M160" s="255">
        <f ca="1">M161+M162</f>
        <v>5600</v>
      </c>
      <c r="N160" s="255">
        <f ca="1">N161+N162</f>
        <v>5600</v>
      </c>
      <c r="O160" s="255">
        <f ca="1">IF(L160&gt;0,N160*100/L160,0)</f>
        <v>0</v>
      </c>
      <c r="P160" s="255">
        <f ca="1">IF(M160&gt;0,N160*100/M160,0)</f>
        <v>100</v>
      </c>
      <c r="Q160" s="255">
        <f ca="1">Q161+Q162</f>
        <v>0</v>
      </c>
      <c r="R160" s="255">
        <f ca="1">R161+R162</f>
        <v>0</v>
      </c>
      <c r="S160" s="255">
        <f ca="1">S161+S162</f>
        <v>0</v>
      </c>
      <c r="T160" s="255">
        <f ca="1">IF(Q160&gt;0,S160*100/Q160,0)</f>
        <v>0</v>
      </c>
      <c r="U160" s="255">
        <f ca="1">IF(R160&gt;0,S160*100/R160,0)</f>
        <v>0</v>
      </c>
    </row>
    <row r="161" spans="1:21" ht="18.75" hidden="1">
      <c r="A161" s="155"/>
      <c r="B161" s="50"/>
      <c r="C161" s="50"/>
      <c r="D161" s="50"/>
      <c r="E161" s="186" t="s">
        <v>36</v>
      </c>
      <c r="F161" s="50"/>
      <c r="G161" s="52"/>
      <c r="H161" s="189" t="s">
        <v>14</v>
      </c>
      <c r="I161" s="163"/>
      <c r="J161" s="163"/>
      <c r="K161" s="164"/>
      <c r="L161" s="103">
        <v>0</v>
      </c>
      <c r="M161" s="102">
        <v>0</v>
      </c>
      <c r="N161" s="102">
        <v>0</v>
      </c>
      <c r="O161" s="102">
        <f>IF(L161&gt;0,N161*100/L161,0)</f>
        <v>0</v>
      </c>
      <c r="P161" s="102">
        <f>IF(M161&gt;0,N161*100/M161,0)</f>
        <v>0</v>
      </c>
      <c r="Q161" s="102">
        <v>0</v>
      </c>
      <c r="R161" s="102">
        <v>0</v>
      </c>
      <c r="S161" s="102">
        <v>0</v>
      </c>
      <c r="T161" s="102">
        <f>IF(Q161&gt;0,S161*100/Q161,0)</f>
        <v>0</v>
      </c>
      <c r="U161" s="102">
        <f>IF(R161&gt;0,S161*100/R161,0)</f>
        <v>0</v>
      </c>
    </row>
    <row r="162" spans="1:21" ht="18.75" hidden="1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256">
        <f ca="1">IFERROR(__xludf.DUMMYFUNCTION("IMPORTRANGE(""https://docs.google.com/spreadsheets/d/1-uDff_7J0KD5mKrp0Vvzr7lt3OU09vwQwhkpOPPYv2Y/edit?usp=sharing"",""งบพรบ!CA44"")"),0)</f>
        <v>0</v>
      </c>
      <c r="M162" s="255">
        <f ca="1">IFERROR(__xludf.DUMMYFUNCTION("IMPORTRANGE(""https://docs.google.com/spreadsheets/d/1-uDff_7J0KD5mKrp0Vvzr7lt3OU09vwQwhkpOPPYv2Y/edit?usp=sharing"",""งบพรบ!CF44"")"),5600)</f>
        <v>5600</v>
      </c>
      <c r="N162" s="255">
        <f ca="1">IFERROR(__xludf.DUMMYFUNCTION("IMPORTRANGE(""https://docs.google.com/spreadsheets/d/1-uDff_7J0KD5mKrp0Vvzr7lt3OU09vwQwhkpOPPYv2Y/edit?usp=sharing"",""งบพรบ!CH44"")"),5600)</f>
        <v>5600</v>
      </c>
      <c r="O162" s="255">
        <f ca="1">IF(L162&gt;0,N162*100/L162,0)</f>
        <v>0</v>
      </c>
      <c r="P162" s="255">
        <f ca="1">IF(M162&gt;0,N162*100/M162,0)</f>
        <v>100</v>
      </c>
      <c r="Q162" s="255">
        <f ca="1">IFERROR(__xludf.DUMMYFUNCTION("IMPORTRANGE(""https://docs.google.com/spreadsheets/d/1ItG2mGa2ceCfYo0BwxsXqNm01IGEUdYcSSLTEv9YCik/edit?usp=sharing"",""เบิกจ่ายกองทุน!AG44"")"),0)</f>
        <v>0</v>
      </c>
      <c r="R162" s="255">
        <f ca="1">IFERROR(__xludf.DUMMYFUNCTION("IMPORTRANGE(""https://docs.google.com/spreadsheets/d/1ItG2mGa2ceCfYo0BwxsXqNm01IGEUdYcSSLTEv9YCik/edit?usp=sharing"",""เบิกจ่ายกองทุน!AH44"")"),0)</f>
        <v>0</v>
      </c>
      <c r="S162" s="255">
        <f ca="1">IFERROR(__xludf.DUMMYFUNCTION("IMPORTRANGE(""https://docs.google.com/spreadsheets/d/1ItG2mGa2ceCfYo0BwxsXqNm01IGEUdYcSSLTEv9YCik/edit?usp=sharing"",""เบิกจ่ายกองทุน!AI44"")"),0)</f>
        <v>0</v>
      </c>
      <c r="T162" s="255">
        <f ca="1">IF(Q162&gt;0,S162*100/Q162,0)</f>
        <v>0</v>
      </c>
      <c r="U162" s="255">
        <f ca="1">IF(R162&gt;0,S162*100/R162,0)</f>
        <v>0</v>
      </c>
    </row>
    <row r="163" spans="1:21" ht="18.75" hidden="1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256">
        <f ca="1">L164+L165</f>
        <v>0</v>
      </c>
      <c r="M163" s="255">
        <f ca="1">M164+M165</f>
        <v>0</v>
      </c>
      <c r="N163" s="255">
        <f ca="1">N164+N165</f>
        <v>0</v>
      </c>
      <c r="O163" s="255">
        <f ca="1">IF(L163&gt;0,N163*100/L163,0)</f>
        <v>0</v>
      </c>
      <c r="P163" s="255">
        <f ca="1">IF(M163&gt;0,N163*100/M163,0)</f>
        <v>0</v>
      </c>
      <c r="Q163" s="255">
        <f>Q164+Q165</f>
        <v>0</v>
      </c>
      <c r="R163" s="255">
        <f>R164+R165</f>
        <v>0</v>
      </c>
      <c r="S163" s="255">
        <f>S164+S165</f>
        <v>0</v>
      </c>
      <c r="T163" s="255">
        <f>IF(Q163&gt;0,S163*100/Q163,0)</f>
        <v>0</v>
      </c>
      <c r="U163" s="255">
        <f>IF(R163&gt;0,S163*100/R163,0)</f>
        <v>0</v>
      </c>
    </row>
    <row r="164" spans="1:21" ht="18.75" hidden="1">
      <c r="A164" s="155"/>
      <c r="B164" s="50"/>
      <c r="C164" s="50"/>
      <c r="D164" s="50"/>
      <c r="E164" s="186" t="s">
        <v>20</v>
      </c>
      <c r="F164" s="50"/>
      <c r="G164" s="52"/>
      <c r="H164" s="189" t="s">
        <v>14</v>
      </c>
      <c r="I164" s="163"/>
      <c r="J164" s="163"/>
      <c r="K164" s="164"/>
      <c r="L164" s="103">
        <v>0</v>
      </c>
      <c r="M164" s="102">
        <v>0</v>
      </c>
      <c r="N164" s="102">
        <v>0</v>
      </c>
      <c r="O164" s="102">
        <f>IF(L164&gt;0,N164*100/L164,0)</f>
        <v>0</v>
      </c>
      <c r="P164" s="102">
        <f>IF(M164&gt;0,N164*100/M164,0)</f>
        <v>0</v>
      </c>
      <c r="Q164" s="102">
        <v>0</v>
      </c>
      <c r="R164" s="102">
        <v>0</v>
      </c>
      <c r="S164" s="102">
        <v>0</v>
      </c>
      <c r="T164" s="102">
        <f>IF(Q164&gt;0,S164*100/Q164,0)</f>
        <v>0</v>
      </c>
      <c r="U164" s="102">
        <f>IF(R164&gt;0,S164*100/R164,0)</f>
        <v>0</v>
      </c>
    </row>
    <row r="165" spans="1:21" ht="18.75" hidden="1">
      <c r="A165" s="155"/>
      <c r="B165" s="50"/>
      <c r="C165" s="50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256">
        <f ca="1">IFERROR(__xludf.DUMMYFUNCTION("IMPORTRANGE(""https://docs.google.com/spreadsheets/d/1-uDff_7J0KD5mKrp0Vvzr7lt3OU09vwQwhkpOPPYv2Y/edit?usp=sharing"",""งบพรบ!CD44"")"),0)</f>
        <v>0</v>
      </c>
      <c r="M165" s="255">
        <f ca="1">IFERROR(__xludf.DUMMYFUNCTION("IMPORTRANGE(""https://docs.google.com/spreadsheets/d/1-uDff_7J0KD5mKrp0Vvzr7lt3OU09vwQwhkpOPPYv2Y/edit?usp=sharing"",""งบพรบ!CG44"")"),0)</f>
        <v>0</v>
      </c>
      <c r="N165" s="255">
        <f ca="1">IFERROR(__xludf.DUMMYFUNCTION("IMPORTRANGE(""https://docs.google.com/spreadsheets/d/1-uDff_7J0KD5mKrp0Vvzr7lt3OU09vwQwhkpOPPYv2Y/edit?usp=sharing"",""งบพรบ!CI44"")"),0)</f>
        <v>0</v>
      </c>
      <c r="O165" s="255">
        <f ca="1">IF(L165&gt;0,N165*100/L165,0)</f>
        <v>0</v>
      </c>
      <c r="P165" s="255">
        <f ca="1">IF(M165&gt;0,N165*100/M165,0)</f>
        <v>0</v>
      </c>
      <c r="Q165" s="255">
        <v>0</v>
      </c>
      <c r="R165" s="255">
        <v>0</v>
      </c>
      <c r="S165" s="255">
        <v>0</v>
      </c>
      <c r="T165" s="255">
        <f>IF(Q165&gt;0,S165*100/Q165,0)</f>
        <v>0</v>
      </c>
      <c r="U165" s="255">
        <f>IF(R165&gt;0,S165*100/R165,0)</f>
        <v>0</v>
      </c>
    </row>
    <row r="166" spans="1:21" ht="19.5" hidden="1">
      <c r="A166" s="166"/>
      <c r="B166" s="167"/>
      <c r="C166" s="156" t="s">
        <v>18</v>
      </c>
      <c r="D166" s="566" t="s">
        <v>38</v>
      </c>
      <c r="E166" s="169"/>
      <c r="F166" s="169"/>
      <c r="G166" s="170"/>
      <c r="H166" s="206"/>
      <c r="I166" s="54"/>
      <c r="J166" s="54"/>
      <c r="K166" s="55"/>
      <c r="L166" s="62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8.75" hidden="1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212">
        <f ca="1">IFERROR(__xludf.DUMMYFUNCTION("IMPORTRANGE(""https://docs.google.com/spreadsheets/d/1eHaY18a8A9IcSdp1K8H6x8fbOy06t2VsZHhMHf-1x7Y/edit?usp=sharing"",""แผน!Z44"")"),0)</f>
        <v>0</v>
      </c>
      <c r="J167" s="467">
        <v>0</v>
      </c>
      <c r="K167" s="255">
        <f ca="1">IF(I167&gt;0,J167*100/I167,0)</f>
        <v>0</v>
      </c>
      <c r="L167" s="62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8.75" hidden="1">
      <c r="A168" s="155"/>
      <c r="B168" s="50"/>
      <c r="C168" s="50"/>
      <c r="D168" s="186" t="s">
        <v>70</v>
      </c>
      <c r="E168" s="50"/>
      <c r="F168" s="50"/>
      <c r="G168" s="52"/>
      <c r="H168" s="421" t="s">
        <v>35</v>
      </c>
      <c r="I168" s="483">
        <f ca="1">IFERROR(__xludf.DUMMYFUNCTION("IMPORTRANGE(""https://docs.google.com/spreadsheets/d/1eHaY18a8A9IcSdp1K8H6x8fbOy06t2VsZHhMHf-1x7Y/edit?usp=sharing"",""แผน!Z44"")"),0)</f>
        <v>0</v>
      </c>
      <c r="J168" s="589">
        <v>0</v>
      </c>
      <c r="K168" s="102">
        <f ca="1">IF(I168&gt;0,J168*100/I168,0)</f>
        <v>0</v>
      </c>
      <c r="L168" s="62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8.75" hidden="1">
      <c r="A169" s="213"/>
      <c r="B169" s="4"/>
      <c r="C169" s="4"/>
      <c r="D169" s="484" t="s">
        <v>71</v>
      </c>
      <c r="E169" s="4"/>
      <c r="F169" s="4"/>
      <c r="G169" s="65"/>
      <c r="H169" s="719" t="s">
        <v>35</v>
      </c>
      <c r="I169" s="486">
        <f ca="1">IFERROR(__xludf.DUMMYFUNCTION("IMPORTRANGE(""https://docs.google.com/spreadsheets/d/1eHaY18a8A9IcSdp1K8H6x8fbOy06t2VsZHhMHf-1x7Y/edit?usp=sharing"",""แผน!Z44"")"),0)</f>
        <v>0</v>
      </c>
      <c r="J169" s="586">
        <v>0</v>
      </c>
      <c r="K169" s="585">
        <f ca="1">IF(I169&gt;0,J169*100/I169,0)</f>
        <v>0</v>
      </c>
      <c r="L169" s="68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9"/>
      <c r="I170" s="220"/>
      <c r="J170" s="220"/>
      <c r="K170" s="221"/>
      <c r="L170" s="221"/>
      <c r="M170" s="221"/>
      <c r="N170" s="221"/>
      <c r="O170" s="221"/>
      <c r="P170" s="222"/>
      <c r="Q170" s="221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226"/>
      <c r="I171" s="227"/>
      <c r="J171" s="227"/>
      <c r="K171" s="228"/>
      <c r="L171" s="229"/>
      <c r="M171" s="228"/>
      <c r="N171" s="228"/>
      <c r="O171" s="228"/>
      <c r="P171" s="228"/>
      <c r="Q171" s="228"/>
      <c r="R171" s="228"/>
      <c r="S171" s="228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233" t="s">
        <v>35</v>
      </c>
      <c r="I172" s="718">
        <f ca="1">I183+I184</f>
        <v>7</v>
      </c>
      <c r="J172" s="718">
        <f>J183+J184</f>
        <v>7</v>
      </c>
      <c r="K172" s="717">
        <f ca="1">IF(I172&gt;0,J172*100/I172,0)</f>
        <v>100</v>
      </c>
      <c r="L172" s="237"/>
      <c r="M172" s="236"/>
      <c r="N172" s="236"/>
      <c r="O172" s="236"/>
      <c r="P172" s="236"/>
      <c r="Q172" s="236"/>
      <c r="R172" s="236"/>
      <c r="S172" s="236"/>
      <c r="T172" s="236"/>
      <c r="U172" s="236"/>
    </row>
    <row r="173" spans="1:21" ht="19.5">
      <c r="A173" s="155"/>
      <c r="B173" s="50"/>
      <c r="C173" s="156" t="s">
        <v>18</v>
      </c>
      <c r="D173" s="575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541">
        <f ca="1">L174+L175</f>
        <v>19590</v>
      </c>
      <c r="M173" s="540">
        <f ca="1">M174+M175</f>
        <v>35170</v>
      </c>
      <c r="N173" s="540">
        <f ca="1">N174+N175</f>
        <v>30170</v>
      </c>
      <c r="O173" s="540">
        <f ca="1">IF(L173&gt;0,N173*100/L173,0)</f>
        <v>154.00714650331801</v>
      </c>
      <c r="P173" s="540">
        <f ca="1">IF(M173&gt;0,N173*100/M173,0)</f>
        <v>85.783338072220644</v>
      </c>
      <c r="Q173" s="540">
        <f ca="1">Q174+Q175</f>
        <v>0</v>
      </c>
      <c r="R173" s="540">
        <f ca="1">R174+R175</f>
        <v>0</v>
      </c>
      <c r="S173" s="540">
        <f ca="1">S174+S175</f>
        <v>0</v>
      </c>
      <c r="T173" s="540">
        <f ca="1">IF(Q173&gt;0,S173*100/Q173,0)</f>
        <v>0</v>
      </c>
      <c r="U173" s="540">
        <f ca="1">IF(R173&gt;0,S173*100/R173,0)</f>
        <v>0</v>
      </c>
    </row>
    <row r="174" spans="1:21" ht="18.75" hidden="1">
      <c r="A174" s="155"/>
      <c r="B174" s="50"/>
      <c r="C174" s="50"/>
      <c r="D174" s="50"/>
      <c r="E174" s="186" t="s">
        <v>20</v>
      </c>
      <c r="F174" s="50"/>
      <c r="G174" s="52"/>
      <c r="H174" s="187" t="s">
        <v>14</v>
      </c>
      <c r="I174" s="54"/>
      <c r="J174" s="54"/>
      <c r="K174" s="55"/>
      <c r="L174" s="103">
        <f>L177+L180</f>
        <v>0</v>
      </c>
      <c r="M174" s="102">
        <f>M177+M180</f>
        <v>0</v>
      </c>
      <c r="N174" s="102">
        <f>N177+N180</f>
        <v>0</v>
      </c>
      <c r="O174" s="102">
        <f>IF(L174&gt;0,N174*100/L174,0)</f>
        <v>0</v>
      </c>
      <c r="P174" s="102">
        <f>IF(M174&gt;0,N174*100/M174,0)</f>
        <v>0</v>
      </c>
      <c r="Q174" s="102">
        <f>Q177+Q180</f>
        <v>0</v>
      </c>
      <c r="R174" s="102">
        <f>R177+R180</f>
        <v>0</v>
      </c>
      <c r="S174" s="102">
        <f>S177+S180</f>
        <v>0</v>
      </c>
      <c r="T174" s="102">
        <f>IF(Q174&gt;0,S174*100/Q174,0)</f>
        <v>0</v>
      </c>
      <c r="U174" s="102">
        <f>IF(R174&gt;0,S174*100/R174,0)</f>
        <v>0</v>
      </c>
    </row>
    <row r="175" spans="1:21" ht="18.75" hidden="1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256">
        <f ca="1">L178+L181</f>
        <v>19590</v>
      </c>
      <c r="M175" s="255">
        <f ca="1">M178+M181</f>
        <v>35170</v>
      </c>
      <c r="N175" s="255">
        <f ca="1">N178+N181</f>
        <v>30170</v>
      </c>
      <c r="O175" s="255">
        <f ca="1">IF(L175&gt;0,N175*100/L175,0)</f>
        <v>154.00714650331801</v>
      </c>
      <c r="P175" s="255">
        <f ca="1">IF(M175&gt;0,N175*100/M175,0)</f>
        <v>85.783338072220644</v>
      </c>
      <c r="Q175" s="255">
        <f ca="1">Q178+Q181</f>
        <v>0</v>
      </c>
      <c r="R175" s="255">
        <f ca="1">R178+R181</f>
        <v>0</v>
      </c>
      <c r="S175" s="255">
        <f ca="1">S178+S181</f>
        <v>0</v>
      </c>
      <c r="T175" s="255">
        <f ca="1">IF(Q175&gt;0,S175*100/Q175,0)</f>
        <v>0</v>
      </c>
      <c r="U175" s="255">
        <f ca="1">IF(R175&gt;0,S175*100/R175,0)</f>
        <v>0</v>
      </c>
    </row>
    <row r="176" spans="1:21" ht="18.75">
      <c r="A176" s="155"/>
      <c r="B176" s="50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256">
        <f ca="1">L177+L178</f>
        <v>19590</v>
      </c>
      <c r="M176" s="255">
        <f ca="1">M177+M178</f>
        <v>35170</v>
      </c>
      <c r="N176" s="255">
        <f ca="1">N177+N178</f>
        <v>30170</v>
      </c>
      <c r="O176" s="255">
        <f ca="1">IF(L176&gt;0,N176*100/L176,0)</f>
        <v>154.00714650331801</v>
      </c>
      <c r="P176" s="255">
        <f ca="1">IF(M176&gt;0,N176*100/M176,0)</f>
        <v>85.783338072220644</v>
      </c>
      <c r="Q176" s="255">
        <f ca="1">Q177+Q178</f>
        <v>0</v>
      </c>
      <c r="R176" s="255">
        <f ca="1">R177+R178</f>
        <v>0</v>
      </c>
      <c r="S176" s="255">
        <f ca="1">S177+S178</f>
        <v>0</v>
      </c>
      <c r="T176" s="255">
        <f ca="1">IF(Q176&gt;0,S176*100/Q176,0)</f>
        <v>0</v>
      </c>
      <c r="U176" s="255">
        <f ca="1">IF(R176&gt;0,S176*100/R176,0)</f>
        <v>0</v>
      </c>
    </row>
    <row r="177" spans="1:21" ht="18.75" hidden="1">
      <c r="A177" s="155"/>
      <c r="B177" s="50"/>
      <c r="C177" s="50"/>
      <c r="D177" s="50"/>
      <c r="E177" s="186" t="s">
        <v>36</v>
      </c>
      <c r="F177" s="50"/>
      <c r="G177" s="52"/>
      <c r="H177" s="189" t="s">
        <v>14</v>
      </c>
      <c r="I177" s="163"/>
      <c r="J177" s="163"/>
      <c r="K177" s="164"/>
      <c r="L177" s="103">
        <v>0</v>
      </c>
      <c r="M177" s="102">
        <v>0</v>
      </c>
      <c r="N177" s="102">
        <v>0</v>
      </c>
      <c r="O177" s="102">
        <f>IF(L177&gt;0,N177*100/L177,0)</f>
        <v>0</v>
      </c>
      <c r="P177" s="102">
        <f>IF(M177&gt;0,N177*100/M177,0)</f>
        <v>0</v>
      </c>
      <c r="Q177" s="102">
        <v>0</v>
      </c>
      <c r="R177" s="102">
        <v>0</v>
      </c>
      <c r="S177" s="102">
        <v>0</v>
      </c>
      <c r="T177" s="102">
        <f>IF(Q177&gt;0,S177*100/Q177,0)</f>
        <v>0</v>
      </c>
      <c r="U177" s="102">
        <f>IF(R177&gt;0,S177*100/R177,0)</f>
        <v>0</v>
      </c>
    </row>
    <row r="178" spans="1:21" ht="18.75" hidden="1">
      <c r="A178" s="155"/>
      <c r="B178" s="50"/>
      <c r="C178" s="50"/>
      <c r="D178" s="50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256">
        <f ca="1">IFERROR(__xludf.DUMMYFUNCTION("IMPORTRANGE(""https://docs.google.com/spreadsheets/d/1-uDff_7J0KD5mKrp0Vvzr7lt3OU09vwQwhkpOPPYv2Y/edit?usp=sharing"",""งบพรบ!CK44"")"),19590)</f>
        <v>19590</v>
      </c>
      <c r="M178" s="255">
        <f ca="1">IFERROR(__xludf.DUMMYFUNCTION("IMPORTRANGE(""https://docs.google.com/spreadsheets/d/1-uDff_7J0KD5mKrp0Vvzr7lt3OU09vwQwhkpOPPYv2Y/edit?usp=sharing"",""งบพรบ!CP44"")"),35170)</f>
        <v>35170</v>
      </c>
      <c r="N178" s="255">
        <f ca="1">IFERROR(__xludf.DUMMYFUNCTION("IMPORTRANGE(""https://docs.google.com/spreadsheets/d/1-uDff_7J0KD5mKrp0Vvzr7lt3OU09vwQwhkpOPPYv2Y/edit?usp=sharing"",""งบพรบ!CR44"")"),30170)</f>
        <v>30170</v>
      </c>
      <c r="O178" s="255">
        <f ca="1">IF(L178&gt;0,N178*100/L178,0)</f>
        <v>154.00714650331801</v>
      </c>
      <c r="P178" s="255">
        <f ca="1">IF(M178&gt;0,N178*100/M178,0)</f>
        <v>85.783338072220644</v>
      </c>
      <c r="Q178" s="255">
        <f ca="1">IFERROR(__xludf.DUMMYFUNCTION("IMPORTRANGE(""https://docs.google.com/spreadsheets/d/1ItG2mGa2ceCfYo0BwxsXqNm01IGEUdYcSSLTEv9YCik/edit?usp=sharing"",""เบิกจ่ายกองทุน!BE44"")"),0)</f>
        <v>0</v>
      </c>
      <c r="R178" s="255">
        <f ca="1">IFERROR(__xludf.DUMMYFUNCTION("IMPORTRANGE(""https://docs.google.com/spreadsheets/d/1ItG2mGa2ceCfYo0BwxsXqNm01IGEUdYcSSLTEv9YCik/edit?usp=sharing"",""เบิกจ่ายกองทุน!BF44"")"),0)</f>
        <v>0</v>
      </c>
      <c r="S178" s="255">
        <f ca="1">IFERROR(__xludf.DUMMYFUNCTION("IMPORTRANGE(""https://docs.google.com/spreadsheets/d/1ItG2mGa2ceCfYo0BwxsXqNm01IGEUdYcSSLTEv9YCik/edit?usp=sharing"",""เบิกจ่ายกองทุน!BG44"")"),0)</f>
        <v>0</v>
      </c>
      <c r="T178" s="255">
        <f ca="1">IF(Q178&gt;0,S178*100/Q178,0)</f>
        <v>0</v>
      </c>
      <c r="U178" s="255">
        <f ca="1">IF(R178&gt;0,S178*100/R178,0)</f>
        <v>0</v>
      </c>
    </row>
    <row r="179" spans="1:21" ht="18.75">
      <c r="A179" s="155"/>
      <c r="B179" s="50"/>
      <c r="C179" s="50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256">
        <f ca="1">L180+L181</f>
        <v>0</v>
      </c>
      <c r="M179" s="255">
        <f ca="1">M180+M181</f>
        <v>0</v>
      </c>
      <c r="N179" s="255">
        <f ca="1">N180+N181</f>
        <v>0</v>
      </c>
      <c r="O179" s="255">
        <f ca="1">IF(L179&gt;0,N179*100/L179,0)</f>
        <v>0</v>
      </c>
      <c r="P179" s="255">
        <f ca="1">IF(M179&gt;0,N179*100/M179,0)</f>
        <v>0</v>
      </c>
      <c r="Q179" s="255">
        <f>Q180+Q181</f>
        <v>0</v>
      </c>
      <c r="R179" s="255">
        <f>R180+R181</f>
        <v>0</v>
      </c>
      <c r="S179" s="255">
        <f>S180+S181</f>
        <v>0</v>
      </c>
      <c r="T179" s="255">
        <f>IF(Q179&gt;0,S179*100/Q179,0)</f>
        <v>0</v>
      </c>
      <c r="U179" s="255">
        <f>IF(R179&gt;0,S179*100/R179,0)</f>
        <v>0</v>
      </c>
    </row>
    <row r="180" spans="1:21" ht="18.75" hidden="1">
      <c r="A180" s="155"/>
      <c r="B180" s="50"/>
      <c r="C180" s="50"/>
      <c r="D180" s="50"/>
      <c r="E180" s="186" t="s">
        <v>20</v>
      </c>
      <c r="F180" s="50"/>
      <c r="G180" s="52"/>
      <c r="H180" s="189" t="s">
        <v>14</v>
      </c>
      <c r="I180" s="163"/>
      <c r="J180" s="163"/>
      <c r="K180" s="164"/>
      <c r="L180" s="103">
        <v>0</v>
      </c>
      <c r="M180" s="102">
        <v>0</v>
      </c>
      <c r="N180" s="102">
        <v>0</v>
      </c>
      <c r="O180" s="102">
        <f>IF(L180&gt;0,N180*100/L180,0)</f>
        <v>0</v>
      </c>
      <c r="P180" s="102">
        <f>IF(M180&gt;0,N180*100/M180,0)</f>
        <v>0</v>
      </c>
      <c r="Q180" s="102">
        <v>0</v>
      </c>
      <c r="R180" s="102">
        <v>0</v>
      </c>
      <c r="S180" s="102">
        <v>0</v>
      </c>
      <c r="T180" s="102">
        <f>IF(Q180&gt;0,S180*100/Q180,0)</f>
        <v>0</v>
      </c>
      <c r="U180" s="102">
        <f>IF(R180&gt;0,S180*100/R180,0)</f>
        <v>0</v>
      </c>
    </row>
    <row r="181" spans="1:21" ht="18.75" hidden="1">
      <c r="A181" s="155"/>
      <c r="B181" s="50"/>
      <c r="C181" s="50"/>
      <c r="D181" s="50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256">
        <f ca="1">IFERROR(__xludf.DUMMYFUNCTION("IMPORTRANGE(""https://docs.google.com/spreadsheets/d/1-uDff_7J0KD5mKrp0Vvzr7lt3OU09vwQwhkpOPPYv2Y/edit?usp=sharing"",""งบพรบ!CN44"")"),0)</f>
        <v>0</v>
      </c>
      <c r="M181" s="255">
        <f ca="1">IFERROR(__xludf.DUMMYFUNCTION("IMPORTRANGE(""https://docs.google.com/spreadsheets/d/1-uDff_7J0KD5mKrp0Vvzr7lt3OU09vwQwhkpOPPYv2Y/edit?usp=sharing"",""งบพรบ!CQ44"")"),0)</f>
        <v>0</v>
      </c>
      <c r="N181" s="255">
        <f ca="1">IFERROR(__xludf.DUMMYFUNCTION("IMPORTRANGE(""https://docs.google.com/spreadsheets/d/1-uDff_7J0KD5mKrp0Vvzr7lt3OU09vwQwhkpOPPYv2Y/edit?usp=sharing"",""งบพรบ!CS44"")"),0)</f>
        <v>0</v>
      </c>
      <c r="O181" s="255">
        <f ca="1">IF(L181&gt;0,N181*100/L181,0)</f>
        <v>0</v>
      </c>
      <c r="P181" s="255">
        <f ca="1">IF(M181&gt;0,N181*100/M181,0)</f>
        <v>0</v>
      </c>
      <c r="Q181" s="255">
        <v>0</v>
      </c>
      <c r="R181" s="255">
        <v>0</v>
      </c>
      <c r="S181" s="255">
        <v>0</v>
      </c>
      <c r="T181" s="255">
        <f>IF(Q181&gt;0,S181*100/Q181,0)</f>
        <v>0</v>
      </c>
      <c r="U181" s="255">
        <f>IF(R181&gt;0,S181*100/R181,0)</f>
        <v>0</v>
      </c>
    </row>
    <row r="182" spans="1:21" ht="19.5">
      <c r="A182" s="166"/>
      <c r="B182" s="167"/>
      <c r="C182" s="156" t="s">
        <v>18</v>
      </c>
      <c r="D182" s="566" t="s">
        <v>38</v>
      </c>
      <c r="E182" s="169"/>
      <c r="F182" s="169"/>
      <c r="G182" s="170"/>
      <c r="H182" s="206"/>
      <c r="I182" s="54"/>
      <c r="J182" s="54"/>
      <c r="K182" s="55"/>
      <c r="L182" s="62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40" t="s">
        <v>35</v>
      </c>
      <c r="I183" s="212">
        <f ca="1">IFERROR(__xludf.DUMMYFUNCTION("IMPORTRANGE(""https://docs.google.com/spreadsheets/d/1eHaY18a8A9IcSdp1K8H6x8fbOy06t2VsZHhMHf-1x7Y/edit?usp=sharing"",""แผน!AA44"")"),7)</f>
        <v>7</v>
      </c>
      <c r="J183" s="467">
        <v>7</v>
      </c>
      <c r="K183" s="255">
        <f ca="1">IF(I183&gt;0,J183*100/I183,0)</f>
        <v>100</v>
      </c>
      <c r="L183" s="62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8.75" hidden="1">
      <c r="A184" s="238"/>
      <c r="B184" s="188"/>
      <c r="C184" s="188"/>
      <c r="D184" s="358" t="s">
        <v>76</v>
      </c>
      <c r="E184" s="50"/>
      <c r="F184" s="50"/>
      <c r="G184" s="52"/>
      <c r="H184" s="590" t="s">
        <v>35</v>
      </c>
      <c r="I184" s="483">
        <v>0</v>
      </c>
      <c r="J184" s="483">
        <v>0</v>
      </c>
      <c r="K184" s="102">
        <f>IF(I184&gt;0,J184*100/I184,0)</f>
        <v>0</v>
      </c>
      <c r="L184" s="62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233" t="s">
        <v>35</v>
      </c>
      <c r="I185" s="718">
        <f ca="1">I230+I231</f>
        <v>0</v>
      </c>
      <c r="J185" s="718">
        <f>J230+J231</f>
        <v>0</v>
      </c>
      <c r="K185" s="717">
        <f ca="1">IF(I185&gt;0,J185*100/I185,0)</f>
        <v>0</v>
      </c>
      <c r="L185" s="237"/>
      <c r="M185" s="236"/>
      <c r="N185" s="236"/>
      <c r="O185" s="236"/>
      <c r="P185" s="236"/>
      <c r="Q185" s="236"/>
      <c r="R185" s="236"/>
      <c r="S185" s="236"/>
      <c r="T185" s="236"/>
      <c r="U185" s="236"/>
    </row>
    <row r="186" spans="1:21" ht="19.5">
      <c r="A186" s="155"/>
      <c r="B186" s="50"/>
      <c r="C186" s="156" t="s">
        <v>18</v>
      </c>
      <c r="D186" s="575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541">
        <f ca="1">L187+L188</f>
        <v>177300</v>
      </c>
      <c r="M186" s="540">
        <f ca="1">M187+M188</f>
        <v>129300</v>
      </c>
      <c r="N186" s="540">
        <f ca="1">N187+N188</f>
        <v>68943.100000000006</v>
      </c>
      <c r="O186" s="540">
        <f ca="1">IF(L186&gt;0,N186*100/L186,0)</f>
        <v>38.884997179921044</v>
      </c>
      <c r="P186" s="540">
        <f ca="1">IF(M186&gt;0,N186*100/M186,0)</f>
        <v>53.320262954369689</v>
      </c>
      <c r="Q186" s="540">
        <f ca="1">Q187+Q188</f>
        <v>119700</v>
      </c>
      <c r="R186" s="540">
        <f ca="1">R187+R188</f>
        <v>119700</v>
      </c>
      <c r="S186" s="540">
        <f ca="1">S187+S188</f>
        <v>0</v>
      </c>
      <c r="T186" s="540">
        <f ca="1">IF(Q186&gt;0,S186*100/Q186,0)</f>
        <v>0</v>
      </c>
      <c r="U186" s="540">
        <f ca="1">IF(R186&gt;0,S186*100/R186,0)</f>
        <v>0</v>
      </c>
    </row>
    <row r="187" spans="1:21" ht="18.75" hidden="1">
      <c r="A187" s="155"/>
      <c r="B187" s="50"/>
      <c r="C187" s="50"/>
      <c r="D187" s="50"/>
      <c r="E187" s="186" t="s">
        <v>20</v>
      </c>
      <c r="F187" s="50"/>
      <c r="G187" s="52"/>
      <c r="H187" s="187" t="s">
        <v>14</v>
      </c>
      <c r="I187" s="54"/>
      <c r="J187" s="54"/>
      <c r="K187" s="55"/>
      <c r="L187" s="103">
        <f>L190+L193</f>
        <v>0</v>
      </c>
      <c r="M187" s="102">
        <f>M190+M193</f>
        <v>0</v>
      </c>
      <c r="N187" s="102">
        <f>N190+N193</f>
        <v>0</v>
      </c>
      <c r="O187" s="102">
        <f>IF(L187&gt;0,N187*100/L187,0)</f>
        <v>0</v>
      </c>
      <c r="P187" s="102">
        <f>IF(M187&gt;0,N187*100/M187,0)</f>
        <v>0</v>
      </c>
      <c r="Q187" s="102">
        <f>Q190+Q193</f>
        <v>0</v>
      </c>
      <c r="R187" s="102">
        <f>R190+R193</f>
        <v>0</v>
      </c>
      <c r="S187" s="102">
        <f>S190+S193</f>
        <v>0</v>
      </c>
      <c r="T187" s="102">
        <f>IF(Q187&gt;0,S187*100/Q187,0)</f>
        <v>0</v>
      </c>
      <c r="U187" s="102">
        <f>IF(R187&gt;0,S187*100/R187,0)</f>
        <v>0</v>
      </c>
    </row>
    <row r="188" spans="1:21" ht="18.75" hidden="1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256">
        <f ca="1">L191+L194</f>
        <v>177300</v>
      </c>
      <c r="M188" s="255">
        <f ca="1">M191+M194</f>
        <v>129300</v>
      </c>
      <c r="N188" s="255">
        <f ca="1">N191+N194</f>
        <v>68943.100000000006</v>
      </c>
      <c r="O188" s="255">
        <f ca="1">IF(L188&gt;0,N188*100/L188,0)</f>
        <v>38.884997179921044</v>
      </c>
      <c r="P188" s="255">
        <f ca="1">IF(M188&gt;0,N188*100/M188,0)</f>
        <v>53.320262954369689</v>
      </c>
      <c r="Q188" s="255">
        <f ca="1">Q191+Q194</f>
        <v>119700</v>
      </c>
      <c r="R188" s="255">
        <f ca="1">R191+R194</f>
        <v>119700</v>
      </c>
      <c r="S188" s="255">
        <f ca="1">S191+S194</f>
        <v>0</v>
      </c>
      <c r="T188" s="255">
        <f ca="1">IF(Q188&gt;0,S188*100/Q188,0)</f>
        <v>0</v>
      </c>
      <c r="U188" s="255">
        <f ca="1">IF(R188&gt;0,S188*100/R188,0)</f>
        <v>0</v>
      </c>
    </row>
    <row r="189" spans="1:21" ht="18.75">
      <c r="A189" s="155"/>
      <c r="B189" s="50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256">
        <f ca="1">L190+L191</f>
        <v>177300</v>
      </c>
      <c r="M189" s="255">
        <f ca="1">M190+M191</f>
        <v>129300</v>
      </c>
      <c r="N189" s="255">
        <f ca="1">N190+N191</f>
        <v>68943.100000000006</v>
      </c>
      <c r="O189" s="255">
        <f ca="1">IF(L189&gt;0,N189*100/L189,0)</f>
        <v>38.884997179921044</v>
      </c>
      <c r="P189" s="255">
        <f ca="1">IF(M189&gt;0,N189*100/M189,0)</f>
        <v>53.320262954369689</v>
      </c>
      <c r="Q189" s="255">
        <f ca="1">Q190+Q191</f>
        <v>119700</v>
      </c>
      <c r="R189" s="255">
        <f ca="1">R190+R191</f>
        <v>119700</v>
      </c>
      <c r="S189" s="255">
        <f ca="1">S190+S191</f>
        <v>0</v>
      </c>
      <c r="T189" s="255">
        <f ca="1">IF(Q189&gt;0,S189*100/Q189,0)</f>
        <v>0</v>
      </c>
      <c r="U189" s="255">
        <f ca="1">IF(R189&gt;0,S189*100/R189,0)</f>
        <v>0</v>
      </c>
    </row>
    <row r="190" spans="1:21" ht="18.75" hidden="1">
      <c r="A190" s="155"/>
      <c r="B190" s="50"/>
      <c r="C190" s="50"/>
      <c r="D190" s="50"/>
      <c r="E190" s="186" t="s">
        <v>36</v>
      </c>
      <c r="F190" s="50"/>
      <c r="G190" s="52"/>
      <c r="H190" s="189" t="s">
        <v>14</v>
      </c>
      <c r="I190" s="163"/>
      <c r="J190" s="163"/>
      <c r="K190" s="164"/>
      <c r="L190" s="103">
        <v>0</v>
      </c>
      <c r="M190" s="102">
        <v>0</v>
      </c>
      <c r="N190" s="102">
        <v>0</v>
      </c>
      <c r="O190" s="102">
        <f>IF(L190&gt;0,N190*100/L190,0)</f>
        <v>0</v>
      </c>
      <c r="P190" s="102">
        <f>IF(M190&gt;0,N190*100/M190,0)</f>
        <v>0</v>
      </c>
      <c r="Q190" s="102">
        <v>0</v>
      </c>
      <c r="R190" s="102">
        <v>0</v>
      </c>
      <c r="S190" s="102">
        <v>0</v>
      </c>
      <c r="T190" s="102">
        <f>IF(Q190&gt;0,S190*100/Q190,0)</f>
        <v>0</v>
      </c>
      <c r="U190" s="102">
        <f>IF(R190&gt;0,S190*100/R190,0)</f>
        <v>0</v>
      </c>
    </row>
    <row r="191" spans="1:21" ht="18.75" hidden="1">
      <c r="A191" s="155"/>
      <c r="B191" s="50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256">
        <f ca="1">IFERROR(__xludf.DUMMYFUNCTION("IMPORTRANGE(""https://docs.google.com/spreadsheets/d/1-uDff_7J0KD5mKrp0Vvzr7lt3OU09vwQwhkpOPPYv2Y/edit?usp=sharing"",""งบพรบ!CU44"")"),177300)</f>
        <v>177300</v>
      </c>
      <c r="M191" s="255">
        <f ca="1">IFERROR(__xludf.DUMMYFUNCTION("IMPORTRANGE(""https://docs.google.com/spreadsheets/d/1-uDff_7J0KD5mKrp0Vvzr7lt3OU09vwQwhkpOPPYv2Y/edit?usp=sharing"",""งบพรบ!CZ44"")"),129300)</f>
        <v>129300</v>
      </c>
      <c r="N191" s="255">
        <f ca="1">IFERROR(__xludf.DUMMYFUNCTION("IMPORTRANGE(""https://docs.google.com/spreadsheets/d/1-uDff_7J0KD5mKrp0Vvzr7lt3OU09vwQwhkpOPPYv2Y/edit?usp=sharing"",""งบพรบ!DB44"")"),68943.1)</f>
        <v>68943.100000000006</v>
      </c>
      <c r="O191" s="255">
        <f ca="1">IF(L191&gt;0,N191*100/L191,0)</f>
        <v>38.884997179921044</v>
      </c>
      <c r="P191" s="255">
        <f ca="1">IF(M191&gt;0,N191*100/M191,0)</f>
        <v>53.320262954369689</v>
      </c>
      <c r="Q191" s="255">
        <f ca="1">IFERROR(__xludf.DUMMYFUNCTION("IMPORTRANGE(""https://docs.google.com/spreadsheets/d/1ItG2mGa2ceCfYo0BwxsXqNm01IGEUdYcSSLTEv9YCik/edit?usp=sharing"",""เบิกจ่ายกองทุน!AV44"")"),119700)</f>
        <v>119700</v>
      </c>
      <c r="R191" s="255">
        <f ca="1">IFERROR(__xludf.DUMMYFUNCTION("IMPORTRANGE(""https://docs.google.com/spreadsheets/d/1ItG2mGa2ceCfYo0BwxsXqNm01IGEUdYcSSLTEv9YCik/edit?usp=sharing"",""เบิกจ่ายกองทุน!AW44"")"),119700)</f>
        <v>119700</v>
      </c>
      <c r="S191" s="255">
        <f ca="1">IFERROR(__xludf.DUMMYFUNCTION("IMPORTRANGE(""https://docs.google.com/spreadsheets/d/1ItG2mGa2ceCfYo0BwxsXqNm01IGEUdYcSSLTEv9YCik/edit?usp=sharing"",""เบิกจ่ายกองทุน!AX44"")"),0)</f>
        <v>0</v>
      </c>
      <c r="T191" s="255">
        <f ca="1">IF(Q191&gt;0,S191*100/Q191,0)</f>
        <v>0</v>
      </c>
      <c r="U191" s="255">
        <f ca="1">IF(R191&gt;0,S191*100/R191,0)</f>
        <v>0</v>
      </c>
    </row>
    <row r="192" spans="1:21" ht="18.75">
      <c r="A192" s="155"/>
      <c r="B192" s="50"/>
      <c r="C192" s="50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256">
        <f ca="1">L193+L194</f>
        <v>0</v>
      </c>
      <c r="M192" s="255">
        <f ca="1">M193+M194</f>
        <v>0</v>
      </c>
      <c r="N192" s="255">
        <f ca="1">N193+N194</f>
        <v>0</v>
      </c>
      <c r="O192" s="255">
        <f ca="1">IF(L192&gt;0,N192*100/L192,0)</f>
        <v>0</v>
      </c>
      <c r="P192" s="255">
        <f ca="1">IF(M192&gt;0,N192*100/M192,0)</f>
        <v>0</v>
      </c>
      <c r="Q192" s="255">
        <f>Q193+Q194</f>
        <v>0</v>
      </c>
      <c r="R192" s="255">
        <f>R193+R194</f>
        <v>0</v>
      </c>
      <c r="S192" s="255">
        <f>S193+S194</f>
        <v>0</v>
      </c>
      <c r="T192" s="255">
        <f>IF(Q192&gt;0,S192*100/Q192,0)</f>
        <v>0</v>
      </c>
      <c r="U192" s="255">
        <f>IF(R192&gt;0,S192*100/R192,0)</f>
        <v>0</v>
      </c>
    </row>
    <row r="193" spans="1:21" ht="18.75" hidden="1">
      <c r="A193" s="155"/>
      <c r="B193" s="50"/>
      <c r="C193" s="50"/>
      <c r="D193" s="50"/>
      <c r="E193" s="186" t="s">
        <v>20</v>
      </c>
      <c r="F193" s="50"/>
      <c r="G193" s="52"/>
      <c r="H193" s="189" t="s">
        <v>14</v>
      </c>
      <c r="I193" s="163"/>
      <c r="J193" s="163"/>
      <c r="K193" s="164"/>
      <c r="L193" s="103">
        <v>0</v>
      </c>
      <c r="M193" s="102">
        <v>0</v>
      </c>
      <c r="N193" s="102">
        <v>0</v>
      </c>
      <c r="O193" s="102">
        <f>IF(L193&gt;0,N193*100/L193,0)</f>
        <v>0</v>
      </c>
      <c r="P193" s="102">
        <f>IF(M193&gt;0,N193*100/M193,0)</f>
        <v>0</v>
      </c>
      <c r="Q193" s="102">
        <v>0</v>
      </c>
      <c r="R193" s="102">
        <v>0</v>
      </c>
      <c r="S193" s="102">
        <v>0</v>
      </c>
      <c r="T193" s="102">
        <f>IF(Q193&gt;0,S193*100/Q193,0)</f>
        <v>0</v>
      </c>
      <c r="U193" s="102">
        <f>IF(R193&gt;0,S193*100/R193,0)</f>
        <v>0</v>
      </c>
    </row>
    <row r="194" spans="1:21" ht="18.75" hidden="1">
      <c r="A194" s="155"/>
      <c r="B194" s="50"/>
      <c r="C194" s="50"/>
      <c r="D194" s="50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256">
        <f ca="1">IFERROR(__xludf.DUMMYFUNCTION("IMPORTRANGE(""https://docs.google.com/spreadsheets/d/1-uDff_7J0KD5mKrp0Vvzr7lt3OU09vwQwhkpOPPYv2Y/edit?usp=sharing"",""งบพรบ!CX44"")"),0)</f>
        <v>0</v>
      </c>
      <c r="M194" s="255">
        <f ca="1">IFERROR(__xludf.DUMMYFUNCTION("IMPORTRANGE(""https://docs.google.com/spreadsheets/d/1-uDff_7J0KD5mKrp0Vvzr7lt3OU09vwQwhkpOPPYv2Y/edit?usp=sharing"",""งบพรบ!DA44"")"),0)</f>
        <v>0</v>
      </c>
      <c r="N194" s="255">
        <f ca="1">IFERROR(__xludf.DUMMYFUNCTION("IMPORTRANGE(""https://docs.google.com/spreadsheets/d/1-uDff_7J0KD5mKrp0Vvzr7lt3OU09vwQwhkpOPPYv2Y/edit?usp=sharing"",""งบพรบ!DC44"")"),0)</f>
        <v>0</v>
      </c>
      <c r="O194" s="255">
        <f ca="1">IF(L194&gt;0,N194*100/L194,0)</f>
        <v>0</v>
      </c>
      <c r="P194" s="255">
        <f ca="1">IF(M194&gt;0,N194*100/M194,0)</f>
        <v>0</v>
      </c>
      <c r="Q194" s="255">
        <v>0</v>
      </c>
      <c r="R194" s="255">
        <v>0</v>
      </c>
      <c r="S194" s="255">
        <v>0</v>
      </c>
      <c r="T194" s="255">
        <f>IF(Q194&gt;0,S194*100/Q194,0)</f>
        <v>0</v>
      </c>
      <c r="U194" s="255">
        <f>IF(R194&gt;0,S194*100/R194,0)</f>
        <v>0</v>
      </c>
    </row>
    <row r="195" spans="1:21" ht="19.5">
      <c r="A195" s="241"/>
      <c r="B195" s="242"/>
      <c r="C195" s="243" t="s">
        <v>78</v>
      </c>
      <c r="D195" s="244"/>
      <c r="E195" s="244"/>
      <c r="F195" s="244"/>
      <c r="G195" s="245"/>
      <c r="H195" s="246" t="s">
        <v>79</v>
      </c>
      <c r="I195" s="339">
        <f ca="1">I198</f>
        <v>4</v>
      </c>
      <c r="J195" s="339">
        <f>J198</f>
        <v>0</v>
      </c>
      <c r="K195" s="340">
        <f ca="1">IF(I195&gt;0,J195*100/I195,0)</f>
        <v>0</v>
      </c>
      <c r="L195" s="250"/>
      <c r="M195" s="249"/>
      <c r="N195" s="249"/>
      <c r="O195" s="249"/>
      <c r="P195" s="249"/>
      <c r="Q195" s="249"/>
      <c r="R195" s="249"/>
      <c r="S195" s="249"/>
      <c r="T195" s="249"/>
      <c r="U195" s="249"/>
    </row>
    <row r="196" spans="1:21" ht="19.5">
      <c r="A196" s="155"/>
      <c r="B196" s="50"/>
      <c r="C196" s="156" t="s">
        <v>18</v>
      </c>
      <c r="D196" s="713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541">
        <f ca="1">IFERROR(__xludf.DUMMYFUNCTION("IMPORTRANGE(""https://docs.google.com/spreadsheets/d/1eHaY18a8A9IcSdp1K8H6x8fbOy06t2VsZHhMHf-1x7Y/edit?usp=sharing"",""แผน!AB44"")"),6000)</f>
        <v>6000</v>
      </c>
      <c r="M196" s="55"/>
      <c r="N196" s="716">
        <v>0</v>
      </c>
      <c r="O196" s="540">
        <f ca="1">IF(L196&gt;0,N196*100/L196,0)</f>
        <v>0</v>
      </c>
      <c r="P196" s="540">
        <f>IF(M196&gt;0,N196*100/M196,0)</f>
        <v>0</v>
      </c>
      <c r="Q196" s="55"/>
      <c r="R196" s="55"/>
      <c r="S196" s="55"/>
      <c r="T196" s="55"/>
      <c r="U196" s="55"/>
    </row>
    <row r="197" spans="1:21" ht="19.5">
      <c r="A197" s="166"/>
      <c r="B197" s="167"/>
      <c r="C197" s="156" t="s">
        <v>18</v>
      </c>
      <c r="D197" s="566" t="s">
        <v>38</v>
      </c>
      <c r="E197" s="169"/>
      <c r="F197" s="169"/>
      <c r="G197" s="170"/>
      <c r="H197" s="171"/>
      <c r="I197" s="54"/>
      <c r="J197" s="54"/>
      <c r="K197" s="55"/>
      <c r="L197" s="62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8.75">
      <c r="A198" s="166"/>
      <c r="B198" s="167"/>
      <c r="C198" s="167"/>
      <c r="D198" s="178" t="s">
        <v>80</v>
      </c>
      <c r="E198" s="174"/>
      <c r="F198" s="174"/>
      <c r="G198" s="171"/>
      <c r="H198" s="179" t="s">
        <v>79</v>
      </c>
      <c r="I198" s="212">
        <f ca="1">IFERROR(__xludf.DUMMYFUNCTION("IMPORTRANGE(""https://docs.google.com/spreadsheets/d/1eHaY18a8A9IcSdp1K8H6x8fbOy06t2VsZHhMHf-1x7Y/edit?usp=sharing"",""แผน!AE44"")"),4)</f>
        <v>4</v>
      </c>
      <c r="J198" s="467">
        <v>0</v>
      </c>
      <c r="K198" s="255">
        <f ca="1">IF(I198&gt;0,J198*100/I198,0)</f>
        <v>0</v>
      </c>
      <c r="L198" s="62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8.75">
      <c r="A199" s="166"/>
      <c r="B199" s="167"/>
      <c r="C199" s="167"/>
      <c r="D199" s="178" t="s">
        <v>81</v>
      </c>
      <c r="E199" s="174"/>
      <c r="F199" s="174"/>
      <c r="G199" s="171"/>
      <c r="H199" s="240" t="s">
        <v>35</v>
      </c>
      <c r="I199" s="54"/>
      <c r="J199" s="212">
        <f>J200+J201</f>
        <v>0</v>
      </c>
      <c r="K199" s="55"/>
      <c r="L199" s="62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467">
        <v>0</v>
      </c>
      <c r="K200" s="55"/>
      <c r="L200" s="62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40" t="s">
        <v>35</v>
      </c>
      <c r="I201" s="54"/>
      <c r="J201" s="467">
        <v>0</v>
      </c>
      <c r="K201" s="55"/>
      <c r="L201" s="62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254" t="s">
        <v>85</v>
      </c>
      <c r="I202" s="339">
        <f ca="1">I209</f>
        <v>5</v>
      </c>
      <c r="J202" s="339">
        <f>J209</f>
        <v>0</v>
      </c>
      <c r="K202" s="340">
        <f ca="1">IF(I202&gt;0,J202*100/I202,0)</f>
        <v>0</v>
      </c>
      <c r="L202" s="250"/>
      <c r="M202" s="249"/>
      <c r="N202" s="249"/>
      <c r="O202" s="249"/>
      <c r="P202" s="249"/>
      <c r="Q202" s="249"/>
      <c r="R202" s="249"/>
      <c r="S202" s="249"/>
      <c r="T202" s="249"/>
      <c r="U202" s="249"/>
    </row>
    <row r="203" spans="1:21" ht="19.5">
      <c r="A203" s="155"/>
      <c r="B203" s="50"/>
      <c r="C203" s="156" t="s">
        <v>18</v>
      </c>
      <c r="D203" s="713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541">
        <f ca="1">L204+L205+L206+L207</f>
        <v>25000</v>
      </c>
      <c r="M203" s="55"/>
      <c r="N203" s="540">
        <f>N204+N205+N206+N207</f>
        <v>0</v>
      </c>
      <c r="O203" s="540">
        <f ca="1">IF(L203&gt;0,N203*100/L203,0)</f>
        <v>0</v>
      </c>
      <c r="P203" s="540">
        <f>IF(M203&gt;0,N203*100/M203,0)</f>
        <v>0</v>
      </c>
      <c r="Q203" s="715">
        <f ca="1">Q204+Q205+Q206+Q207</f>
        <v>70000</v>
      </c>
      <c r="R203" s="350"/>
      <c r="S203" s="714">
        <f>S204+S205+S206+S207</f>
        <v>0</v>
      </c>
      <c r="T203" s="714">
        <f ca="1">IF(Q203&gt;0,S203*100/Q203,0)</f>
        <v>0</v>
      </c>
      <c r="U203" s="714">
        <f>IF(R203&gt;0,S203*100/R203,0)</f>
        <v>0</v>
      </c>
    </row>
    <row r="204" spans="1:21" ht="18.75">
      <c r="A204" s="155"/>
      <c r="B204" s="188"/>
      <c r="C204" s="50"/>
      <c r="D204" s="712" t="s">
        <v>310</v>
      </c>
      <c r="E204" s="50"/>
      <c r="F204" s="50"/>
      <c r="G204" s="52"/>
      <c r="H204" s="162" t="s">
        <v>14</v>
      </c>
      <c r="I204" s="163"/>
      <c r="J204" s="163"/>
      <c r="K204" s="164"/>
      <c r="L204" s="256">
        <f ca="1">IFERROR(__xludf.DUMMYFUNCTION("IMPORTRANGE(""https://docs.google.com/spreadsheets/d/1eHaY18a8A9IcSdp1K8H6x8fbOy06t2VsZHhMHf-1x7Y/edit?usp=sharing"",""แผน!AG44"")"),5000)</f>
        <v>5000</v>
      </c>
      <c r="M204" s="55"/>
      <c r="N204" s="702">
        <v>0</v>
      </c>
      <c r="O204" s="164"/>
      <c r="P204" s="55"/>
      <c r="Q204" s="256">
        <v>0</v>
      </c>
      <c r="R204" s="55"/>
      <c r="S204" s="255">
        <v>0</v>
      </c>
      <c r="T204" s="164"/>
      <c r="U204" s="55"/>
    </row>
    <row r="205" spans="1:21" ht="18.75">
      <c r="A205" s="238"/>
      <c r="B205" s="188"/>
      <c r="C205" s="50"/>
      <c r="D205" s="58" t="s">
        <v>308</v>
      </c>
      <c r="E205" s="50"/>
      <c r="F205" s="50"/>
      <c r="G205" s="52"/>
      <c r="H205" s="53" t="s">
        <v>14</v>
      </c>
      <c r="I205" s="54"/>
      <c r="J205" s="54"/>
      <c r="K205" s="55"/>
      <c r="L205" s="256">
        <f ca="1">IFERROR(__xludf.DUMMYFUNCTION("IMPORTRANGE(""https://docs.google.com/spreadsheets/d/1eHaY18a8A9IcSdp1K8H6x8fbOy06t2VsZHhMHf-1x7Y/edit?usp=sharing"",""แผน!AH44"")"),0)</f>
        <v>0</v>
      </c>
      <c r="M205" s="55"/>
      <c r="N205" s="702">
        <v>0</v>
      </c>
      <c r="O205" s="164"/>
      <c r="P205" s="55"/>
      <c r="Q205" s="256">
        <v>0</v>
      </c>
      <c r="R205" s="55"/>
      <c r="S205" s="255">
        <v>0</v>
      </c>
      <c r="T205" s="164"/>
      <c r="U205" s="55"/>
    </row>
    <row r="206" spans="1:21" ht="18.75">
      <c r="A206" s="238"/>
      <c r="B206" s="188"/>
      <c r="C206" s="50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256">
        <f ca="1">IFERROR(__xludf.DUMMYFUNCTION("IMPORTRANGE(""https://docs.google.com/spreadsheets/d/1eHaY18a8A9IcSdp1K8H6x8fbOy06t2VsZHhMHf-1x7Y/edit?usp=sharing"",""แผน!AI44"")"),0)</f>
        <v>0</v>
      </c>
      <c r="M206" s="55"/>
      <c r="N206" s="702">
        <v>0</v>
      </c>
      <c r="O206" s="164"/>
      <c r="P206" s="55"/>
      <c r="Q206" s="256">
        <f ca="1">IFERROR(__xludf.DUMMYFUNCTION("IMPORTRANGE(""https://docs.google.com/spreadsheets/d/1eHaY18a8A9IcSdp1K8H6x8fbOy06t2VsZHhMHf-1x7Y/edit?usp=sharing"",""แผน!LV44"")"),70000)</f>
        <v>70000</v>
      </c>
      <c r="R206" s="55"/>
      <c r="S206" s="702">
        <v>0</v>
      </c>
      <c r="T206" s="164"/>
      <c r="U206" s="55"/>
    </row>
    <row r="207" spans="1:21" ht="18.75">
      <c r="A207" s="238"/>
      <c r="B207" s="188"/>
      <c r="C207" s="50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256">
        <f ca="1">IFERROR(__xludf.DUMMYFUNCTION("IMPORTRANGE(""https://docs.google.com/spreadsheets/d/1eHaY18a8A9IcSdp1K8H6x8fbOy06t2VsZHhMHf-1x7Y/edit?usp=sharing"",""แผน!AJ44"")"),20000)</f>
        <v>20000</v>
      </c>
      <c r="M207" s="55"/>
      <c r="N207" s="702">
        <v>0</v>
      </c>
      <c r="O207" s="164"/>
      <c r="P207" s="55"/>
      <c r="Q207" s="256">
        <v>0</v>
      </c>
      <c r="R207" s="55"/>
      <c r="S207" s="255">
        <v>0</v>
      </c>
      <c r="T207" s="164"/>
      <c r="U207" s="55"/>
    </row>
    <row r="208" spans="1:21" ht="19.5">
      <c r="A208" s="166"/>
      <c r="B208" s="167"/>
      <c r="C208" s="156" t="s">
        <v>18</v>
      </c>
      <c r="D208" s="566" t="s">
        <v>38</v>
      </c>
      <c r="E208" s="169"/>
      <c r="F208" s="169"/>
      <c r="G208" s="170"/>
      <c r="H208" s="171"/>
      <c r="I208" s="163"/>
      <c r="J208" s="163"/>
      <c r="K208" s="164"/>
      <c r="L208" s="172"/>
      <c r="M208" s="164"/>
      <c r="N208" s="164"/>
      <c r="O208" s="164"/>
      <c r="P208" s="164"/>
      <c r="Q208" s="172"/>
      <c r="R208" s="164"/>
      <c r="S208" s="164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257" t="s">
        <v>85</v>
      </c>
      <c r="I209" s="212">
        <f ca="1">IFERROR(__xludf.DUMMYFUNCTION("IMPORTRANGE(""https://docs.google.com/spreadsheets/d/1eHaY18a8A9IcSdp1K8H6x8fbOy06t2VsZHhMHf-1x7Y/edit?usp=sharing"",""แผน!AK44"")"),5)</f>
        <v>5</v>
      </c>
      <c r="J209" s="467">
        <v>0</v>
      </c>
      <c r="K209" s="565">
        <f ca="1">IF(I209&gt;0,J209*100/I209,0)</f>
        <v>0</v>
      </c>
      <c r="L209" s="62"/>
      <c r="M209" s="55"/>
      <c r="N209" s="55"/>
      <c r="O209" s="55"/>
      <c r="P209" s="55"/>
      <c r="Q209" s="62"/>
      <c r="R209" s="55"/>
      <c r="S209" s="55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171"/>
      <c r="I210" s="54"/>
      <c r="J210" s="54"/>
      <c r="K210" s="164"/>
      <c r="L210" s="62"/>
      <c r="M210" s="55"/>
      <c r="N210" s="55"/>
      <c r="O210" s="55"/>
      <c r="P210" s="55"/>
      <c r="Q210" s="62"/>
      <c r="R210" s="55"/>
      <c r="S210" s="55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257" t="s">
        <v>85</v>
      </c>
      <c r="I211" s="212">
        <f ca="1">IFERROR(__xludf.DUMMYFUNCTION("IMPORTRANGE(""https://docs.google.com/spreadsheets/d/1eHaY18a8A9IcSdp1K8H6x8fbOy06t2VsZHhMHf-1x7Y/edit?usp=sharing"",""แผน!JX44"")"),5)</f>
        <v>5</v>
      </c>
      <c r="J211" s="467">
        <v>0</v>
      </c>
      <c r="K211" s="565">
        <f ca="1">IF(I211&gt;0,J211*100/I211,0)</f>
        <v>0</v>
      </c>
      <c r="L211" s="62"/>
      <c r="M211" s="55"/>
      <c r="N211" s="55"/>
      <c r="O211" s="55"/>
      <c r="P211" s="55"/>
      <c r="Q211" s="62"/>
      <c r="R211" s="55"/>
      <c r="S211" s="55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79" t="s">
        <v>93</v>
      </c>
      <c r="I212" s="212">
        <f ca="1">IFERROR(__xludf.DUMMYFUNCTION("IMPORTRANGE(""https://docs.google.com/spreadsheets/d/1eHaY18a8A9IcSdp1K8H6x8fbOy06t2VsZHhMHf-1x7Y/edit?usp=sharing"",""แผน!JY44"")"),0)</f>
        <v>0</v>
      </c>
      <c r="J212" s="467">
        <v>0</v>
      </c>
      <c r="K212" s="565">
        <f ca="1">IF(I212&gt;0,J212*100/I212,0)</f>
        <v>0</v>
      </c>
      <c r="L212" s="62"/>
      <c r="M212" s="55"/>
      <c r="N212" s="55"/>
      <c r="O212" s="55"/>
      <c r="P212" s="55"/>
      <c r="Q212" s="62"/>
      <c r="R212" s="55"/>
      <c r="S212" s="55"/>
      <c r="T212" s="55"/>
      <c r="U212" s="55"/>
    </row>
    <row r="213" spans="1:21" ht="19.5">
      <c r="A213" s="241"/>
      <c r="B213" s="242"/>
      <c r="C213" s="243" t="s">
        <v>94</v>
      </c>
      <c r="D213" s="244"/>
      <c r="E213" s="244"/>
      <c r="F213" s="244"/>
      <c r="G213" s="245"/>
      <c r="H213" s="254" t="s">
        <v>85</v>
      </c>
      <c r="I213" s="339">
        <f ca="1">I220</f>
        <v>1</v>
      </c>
      <c r="J213" s="339">
        <f>J220</f>
        <v>0</v>
      </c>
      <c r="K213" s="340">
        <f ca="1">IF(I213&gt;0,J213*100/I213,0)</f>
        <v>0</v>
      </c>
      <c r="L213" s="250"/>
      <c r="M213" s="249"/>
      <c r="N213" s="249"/>
      <c r="O213" s="249"/>
      <c r="P213" s="249"/>
      <c r="Q213" s="250"/>
      <c r="R213" s="249"/>
      <c r="S213" s="249"/>
      <c r="T213" s="249"/>
      <c r="U213" s="249"/>
    </row>
    <row r="214" spans="1:21" ht="19.5">
      <c r="A214" s="155"/>
      <c r="B214" s="50"/>
      <c r="C214" s="156" t="s">
        <v>18</v>
      </c>
      <c r="D214" s="713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541">
        <f ca="1">L215+L216+L217</f>
        <v>6000</v>
      </c>
      <c r="M214" s="55"/>
      <c r="N214" s="540">
        <f>N215+N216+N217</f>
        <v>0</v>
      </c>
      <c r="O214" s="540">
        <f ca="1">IF(L214&gt;0,N214*100/L214,0)</f>
        <v>0</v>
      </c>
      <c r="P214" s="540">
        <f>IF(M214&gt;0,N214*100/M214,0)</f>
        <v>0</v>
      </c>
      <c r="Q214" s="541">
        <f ca="1">Q215+Q216+Q217</f>
        <v>49700</v>
      </c>
      <c r="R214" s="55"/>
      <c r="S214" s="540">
        <f>S215+S216+S217</f>
        <v>0</v>
      </c>
      <c r="T214" s="540">
        <f ca="1">IF(Q214&gt;0,S214*100/Q214,0)</f>
        <v>0</v>
      </c>
      <c r="U214" s="540">
        <f>IF(R214&gt;0,S214*100/R214,0)</f>
        <v>0</v>
      </c>
    </row>
    <row r="215" spans="1:21" ht="18.75">
      <c r="A215" s="155"/>
      <c r="B215" s="188"/>
      <c r="C215" s="50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256">
        <f ca="1">IFERROR(__xludf.DUMMYFUNCTION("IMPORTRANGE(""https://docs.google.com/spreadsheets/d/1eHaY18a8A9IcSdp1K8H6x8fbOy06t2VsZHhMHf-1x7Y/edit?usp=sharing"",""แผน!AM44"")"),1000)</f>
        <v>1000</v>
      </c>
      <c r="M215" s="55"/>
      <c r="N215" s="702">
        <v>0</v>
      </c>
      <c r="O215" s="164"/>
      <c r="P215" s="55"/>
      <c r="Q215" s="256">
        <v>0</v>
      </c>
      <c r="R215" s="55"/>
      <c r="S215" s="255">
        <v>0</v>
      </c>
      <c r="T215" s="164"/>
      <c r="U215" s="55"/>
    </row>
    <row r="216" spans="1:21" ht="18.75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256">
        <f ca="1">IFERROR(__xludf.DUMMYFUNCTION("IMPORTRANGE(""https://docs.google.com/spreadsheets/d/1eHaY18a8A9IcSdp1K8H6x8fbOy06t2VsZHhMHf-1x7Y/edit?usp=sharing"",""แผน!AN44"")"),5000)</f>
        <v>5000</v>
      </c>
      <c r="M216" s="55"/>
      <c r="N216" s="702">
        <v>0</v>
      </c>
      <c r="O216" s="164"/>
      <c r="P216" s="55"/>
      <c r="Q216" s="256">
        <v>0</v>
      </c>
      <c r="R216" s="55"/>
      <c r="S216" s="255">
        <v>0</v>
      </c>
      <c r="T216" s="164"/>
      <c r="U216" s="55"/>
    </row>
    <row r="217" spans="1:21" ht="18.75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256">
        <f ca="1">IFERROR(__xludf.DUMMYFUNCTION("IMPORTRANGE(""https://docs.google.com/spreadsheets/d/1eHaY18a8A9IcSdp1K8H6x8fbOy06t2VsZHhMHf-1x7Y/edit?usp=sharing"",""แผน!AO44"")"),0)</f>
        <v>0</v>
      </c>
      <c r="M217" s="55"/>
      <c r="N217" s="702">
        <v>0</v>
      </c>
      <c r="O217" s="164"/>
      <c r="P217" s="55"/>
      <c r="Q217" s="256">
        <f ca="1">IFERROR(__xludf.DUMMYFUNCTION("IMPORTRANGE(""https://docs.google.com/spreadsheets/d/1eHaY18a8A9IcSdp1K8H6x8fbOy06t2VsZHhMHf-1x7Y/edit?usp=sharing"",""แผน!LY44"")"),49700)</f>
        <v>49700</v>
      </c>
      <c r="R217" s="55"/>
      <c r="S217" s="702">
        <v>0</v>
      </c>
      <c r="T217" s="164"/>
      <c r="U217" s="55"/>
    </row>
    <row r="218" spans="1:21" ht="19.5">
      <c r="A218" s="166"/>
      <c r="B218" s="167"/>
      <c r="C218" s="191" t="s">
        <v>18</v>
      </c>
      <c r="D218" s="566" t="s">
        <v>38</v>
      </c>
      <c r="E218" s="169"/>
      <c r="F218" s="169"/>
      <c r="G218" s="170"/>
      <c r="H218" s="171"/>
      <c r="I218" s="163"/>
      <c r="J218" s="54"/>
      <c r="K218" s="55"/>
      <c r="L218" s="62"/>
      <c r="M218" s="55"/>
      <c r="N218" s="55"/>
      <c r="O218" s="164"/>
      <c r="P218" s="164"/>
      <c r="Q218" s="62"/>
      <c r="R218" s="55"/>
      <c r="S218" s="55"/>
      <c r="T218" s="164"/>
      <c r="U218" s="164"/>
    </row>
    <row r="219" spans="1:21" ht="18.75">
      <c r="A219" s="166"/>
      <c r="B219" s="167"/>
      <c r="C219" s="167"/>
      <c r="D219" s="173" t="s">
        <v>96</v>
      </c>
      <c r="E219" s="174"/>
      <c r="F219" s="174"/>
      <c r="G219" s="171"/>
      <c r="H219" s="257" t="s">
        <v>85</v>
      </c>
      <c r="I219" s="212">
        <f ca="1">IFERROR(__xludf.DUMMYFUNCTION("IMPORTRANGE(""https://docs.google.com/spreadsheets/d/1eHaY18a8A9IcSdp1K8H6x8fbOy06t2VsZHhMHf-1x7Y/edit?usp=sharing"",""แผน!AP44"")"),1)</f>
        <v>1</v>
      </c>
      <c r="J219" s="467">
        <v>0</v>
      </c>
      <c r="K219" s="255">
        <f ca="1">IF(I219&gt;0,J219*100/I219,0)</f>
        <v>0</v>
      </c>
      <c r="L219" s="62"/>
      <c r="M219" s="55"/>
      <c r="N219" s="55"/>
      <c r="O219" s="55"/>
      <c r="P219" s="55"/>
      <c r="Q219" s="62"/>
      <c r="R219" s="55"/>
      <c r="S219" s="55"/>
      <c r="T219" s="55"/>
      <c r="U219" s="55"/>
    </row>
    <row r="220" spans="1:21" ht="18.75">
      <c r="A220" s="166"/>
      <c r="B220" s="167"/>
      <c r="C220" s="167"/>
      <c r="D220" s="173" t="s">
        <v>97</v>
      </c>
      <c r="E220" s="174"/>
      <c r="F220" s="174"/>
      <c r="G220" s="171"/>
      <c r="H220" s="257" t="s">
        <v>85</v>
      </c>
      <c r="I220" s="212">
        <f ca="1">IFERROR(__xludf.DUMMYFUNCTION("IMPORTRANGE(""https://docs.google.com/spreadsheets/d/1eHaY18a8A9IcSdp1K8H6x8fbOy06t2VsZHhMHf-1x7Y/edit?usp=sharing"",""แผน!AP44"")"),1)</f>
        <v>1</v>
      </c>
      <c r="J220" s="467">
        <v>0</v>
      </c>
      <c r="K220" s="255">
        <f ca="1">IF(I220&gt;0,J220*100/I220,0)</f>
        <v>0</v>
      </c>
      <c r="L220" s="62"/>
      <c r="M220" s="55"/>
      <c r="N220" s="55"/>
      <c r="O220" s="55"/>
      <c r="P220" s="55"/>
      <c r="Q220" s="62"/>
      <c r="R220" s="55"/>
      <c r="S220" s="55"/>
      <c r="T220" s="55"/>
      <c r="U220" s="55"/>
    </row>
    <row r="221" spans="1:21" ht="19.5">
      <c r="A221" s="241"/>
      <c r="B221" s="242"/>
      <c r="C221" s="243" t="s">
        <v>98</v>
      </c>
      <c r="D221" s="244"/>
      <c r="E221" s="244"/>
      <c r="F221" s="244"/>
      <c r="G221" s="245"/>
      <c r="H221" s="246" t="s">
        <v>99</v>
      </c>
      <c r="I221" s="339">
        <f ca="1">I229</f>
        <v>10000</v>
      </c>
      <c r="J221" s="339">
        <f>J229</f>
        <v>0</v>
      </c>
      <c r="K221" s="340">
        <f ca="1">IF(I221&gt;0,J221*100/I221,0)</f>
        <v>0</v>
      </c>
      <c r="L221" s="250"/>
      <c r="M221" s="249"/>
      <c r="N221" s="249"/>
      <c r="O221" s="249"/>
      <c r="P221" s="249"/>
      <c r="Q221" s="249"/>
      <c r="R221" s="249"/>
      <c r="S221" s="249"/>
      <c r="T221" s="249"/>
      <c r="U221" s="249"/>
    </row>
    <row r="222" spans="1:21" ht="19.5">
      <c r="A222" s="155"/>
      <c r="B222" s="50"/>
      <c r="C222" s="156" t="s">
        <v>18</v>
      </c>
      <c r="D222" s="713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541">
        <f ca="1">L223+L224+L225</f>
        <v>4500</v>
      </c>
      <c r="M222" s="55"/>
      <c r="N222" s="540">
        <f>N223+N224+N225</f>
        <v>0</v>
      </c>
      <c r="O222" s="540">
        <f ca="1">IF(L222&gt;0,N222*100/L222,0)</f>
        <v>0</v>
      </c>
      <c r="P222" s="540">
        <f>IF(M222&gt;0,N222*100/M222,0)</f>
        <v>0</v>
      </c>
      <c r="Q222" s="55"/>
      <c r="R222" s="55"/>
      <c r="S222" s="55"/>
      <c r="T222" s="55"/>
      <c r="U222" s="55"/>
    </row>
    <row r="223" spans="1:21" ht="18.75">
      <c r="A223" s="155"/>
      <c r="B223" s="188"/>
      <c r="C223" s="50"/>
      <c r="D223" s="712" t="s">
        <v>309</v>
      </c>
      <c r="E223" s="50"/>
      <c r="F223" s="50"/>
      <c r="G223" s="52"/>
      <c r="H223" s="162" t="s">
        <v>14</v>
      </c>
      <c r="I223" s="163"/>
      <c r="J223" s="163"/>
      <c r="K223" s="164"/>
      <c r="L223" s="256">
        <f ca="1">IFERROR(__xludf.DUMMYFUNCTION("IMPORTRANGE(""https://docs.google.com/spreadsheets/d/1eHaY18a8A9IcSdp1K8H6x8fbOy06t2VsZHhMHf-1x7Y/edit?usp=sharing"",""แผน!AR44"")"),2500)</f>
        <v>2500</v>
      </c>
      <c r="M223" s="55"/>
      <c r="N223" s="702">
        <v>0</v>
      </c>
      <c r="O223" s="164"/>
      <c r="P223" s="55"/>
      <c r="Q223" s="55"/>
      <c r="R223" s="55"/>
      <c r="S223" s="55"/>
      <c r="T223" s="164"/>
      <c r="U223" s="55"/>
    </row>
    <row r="224" spans="1:21" ht="18.75">
      <c r="A224" s="238"/>
      <c r="B224" s="188"/>
      <c r="C224" s="188"/>
      <c r="D224" s="58" t="s">
        <v>308</v>
      </c>
      <c r="E224" s="50"/>
      <c r="F224" s="50"/>
      <c r="G224" s="52"/>
      <c r="H224" s="162" t="s">
        <v>14</v>
      </c>
      <c r="I224" s="54"/>
      <c r="J224" s="54"/>
      <c r="K224" s="55"/>
      <c r="L224" s="256">
        <f ca="1">IFERROR(__xludf.DUMMYFUNCTION("IMPORTRANGE(""https://docs.google.com/spreadsheets/d/1eHaY18a8A9IcSdp1K8H6x8fbOy06t2VsZHhMHf-1x7Y/edit?usp=sharing"",""แผน!AS44"")"),2000)</f>
        <v>2000</v>
      </c>
      <c r="M224" s="55"/>
      <c r="N224" s="702">
        <v>0</v>
      </c>
      <c r="O224" s="164"/>
      <c r="P224" s="55"/>
      <c r="Q224" s="55"/>
      <c r="R224" s="55"/>
      <c r="S224" s="55"/>
      <c r="T224" s="164"/>
      <c r="U224" s="55"/>
    </row>
    <row r="225" spans="1:21" ht="18.75">
      <c r="A225" s="238"/>
      <c r="B225" s="188"/>
      <c r="C225" s="188"/>
      <c r="D225" s="58" t="s">
        <v>88</v>
      </c>
      <c r="E225" s="50"/>
      <c r="F225" s="50"/>
      <c r="G225" s="52"/>
      <c r="H225" s="162" t="s">
        <v>14</v>
      </c>
      <c r="I225" s="54"/>
      <c r="J225" s="54"/>
      <c r="K225" s="55"/>
      <c r="L225" s="256">
        <f ca="1">IFERROR(__xludf.DUMMYFUNCTION("IMPORTRANGE(""https://docs.google.com/spreadsheets/d/1eHaY18a8A9IcSdp1K8H6x8fbOy06t2VsZHhMHf-1x7Y/edit?usp=sharing"",""แผน!AT44"")"),0)</f>
        <v>0</v>
      </c>
      <c r="M225" s="55"/>
      <c r="N225" s="702">
        <v>0</v>
      </c>
      <c r="O225" s="164"/>
      <c r="P225" s="55"/>
      <c r="Q225" s="55"/>
      <c r="R225" s="55"/>
      <c r="S225" s="55"/>
      <c r="T225" s="164"/>
      <c r="U225" s="55"/>
    </row>
    <row r="226" spans="1:21" ht="19.5">
      <c r="A226" s="166"/>
      <c r="B226" s="167"/>
      <c r="C226" s="191" t="s">
        <v>18</v>
      </c>
      <c r="D226" s="566" t="s">
        <v>38</v>
      </c>
      <c r="E226" s="169"/>
      <c r="F226" s="169"/>
      <c r="G226" s="170"/>
      <c r="H226" s="171"/>
      <c r="I226" s="163"/>
      <c r="J226" s="163"/>
      <c r="K226" s="164"/>
      <c r="L226" s="172"/>
      <c r="M226" s="164"/>
      <c r="N226" s="164"/>
      <c r="O226" s="164"/>
      <c r="P226" s="164"/>
      <c r="Q226" s="164"/>
      <c r="R226" s="164"/>
      <c r="S226" s="164"/>
      <c r="T226" s="164"/>
      <c r="U226" s="164"/>
    </row>
    <row r="227" spans="1:21" ht="18.75">
      <c r="A227" s="166"/>
      <c r="B227" s="167"/>
      <c r="C227" s="167"/>
      <c r="D227" s="58" t="s">
        <v>101</v>
      </c>
      <c r="E227" s="174"/>
      <c r="F227" s="174"/>
      <c r="G227" s="171"/>
      <c r="H227" s="171"/>
      <c r="I227" s="54"/>
      <c r="J227" s="54"/>
      <c r="K227" s="164"/>
      <c r="L227" s="172"/>
      <c r="M227" s="164"/>
      <c r="N227" s="164"/>
      <c r="O227" s="164"/>
      <c r="P227" s="164"/>
      <c r="Q227" s="164"/>
      <c r="R227" s="164"/>
      <c r="S227" s="164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79" t="s">
        <v>99</v>
      </c>
      <c r="I228" s="212">
        <f ca="1">IFERROR(__xludf.DUMMYFUNCTION("IMPORTRANGE(""https://docs.google.com/spreadsheets/d/1eHaY18a8A9IcSdp1K8H6x8fbOy06t2VsZHhMHf-1x7Y/edit?usp=sharing"",""แผน!AV44"")"),10000)</f>
        <v>10000</v>
      </c>
      <c r="J228" s="467">
        <v>0</v>
      </c>
      <c r="K228" s="565">
        <f ca="1">IF(I228&gt;0,J228*100/I228,0)</f>
        <v>0</v>
      </c>
      <c r="L228" s="172"/>
      <c r="M228" s="164"/>
      <c r="N228" s="164"/>
      <c r="O228" s="164"/>
      <c r="P228" s="164"/>
      <c r="Q228" s="164"/>
      <c r="R228" s="164"/>
      <c r="S228" s="164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79" t="s">
        <v>99</v>
      </c>
      <c r="I229" s="212">
        <f ca="1">IFERROR(__xludf.DUMMYFUNCTION("IMPORTRANGE(""https://docs.google.com/spreadsheets/d/1eHaY18a8A9IcSdp1K8H6x8fbOy06t2VsZHhMHf-1x7Y/edit?usp=sharing"",""แผน!AV44"")"),10000)</f>
        <v>10000</v>
      </c>
      <c r="J229" s="467">
        <v>0</v>
      </c>
      <c r="K229" s="565">
        <f ca="1">IF(I229&gt;0,J229*100/I229,0)</f>
        <v>0</v>
      </c>
      <c r="L229" s="62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79" t="s">
        <v>35</v>
      </c>
      <c r="I230" s="212">
        <f ca="1">IFERROR(__xludf.DUMMYFUNCTION("IMPORTRANGE(""https://docs.google.com/spreadsheets/d/1eHaY18a8A9IcSdp1K8H6x8fbOy06t2VsZHhMHf-1x7Y/edit?usp=sharing"",""แผน!AU44"")"),0)</f>
        <v>0</v>
      </c>
      <c r="J230" s="467">
        <v>0</v>
      </c>
      <c r="K230" s="565">
        <f ca="1">IF(I230&gt;0,J230*100/I230,0)</f>
        <v>0</v>
      </c>
      <c r="L230" s="62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9.5" hidden="1">
      <c r="A231" s="241"/>
      <c r="B231" s="242"/>
      <c r="C231" s="243" t="s">
        <v>105</v>
      </c>
      <c r="D231" s="244"/>
      <c r="E231" s="244"/>
      <c r="F231" s="244"/>
      <c r="G231" s="245"/>
      <c r="H231" s="246" t="s">
        <v>35</v>
      </c>
      <c r="I231" s="339">
        <f ca="1">I242+I253</f>
        <v>0</v>
      </c>
      <c r="J231" s="339">
        <f>J242+J253</f>
        <v>0</v>
      </c>
      <c r="K231" s="340">
        <f ca="1">IF(I231&gt;0,J231*100/I231,0)</f>
        <v>0</v>
      </c>
      <c r="L231" s="250"/>
      <c r="M231" s="249"/>
      <c r="N231" s="249"/>
      <c r="O231" s="249"/>
      <c r="P231" s="249"/>
      <c r="Q231" s="249"/>
      <c r="R231" s="249"/>
      <c r="S231" s="249"/>
      <c r="T231" s="249"/>
      <c r="U231" s="249"/>
    </row>
    <row r="232" spans="1:21" ht="19.5" hidden="1">
      <c r="A232" s="155"/>
      <c r="B232" s="50"/>
      <c r="C232" s="156" t="s">
        <v>18</v>
      </c>
      <c r="D232" s="575" t="s">
        <v>19</v>
      </c>
      <c r="E232" s="50"/>
      <c r="F232" s="50"/>
      <c r="G232" s="52"/>
      <c r="H232" s="252" t="s">
        <v>14</v>
      </c>
      <c r="I232" s="163"/>
      <c r="J232" s="163"/>
      <c r="K232" s="164"/>
      <c r="L232" s="711">
        <f ca="1">L243+L254</f>
        <v>0</v>
      </c>
      <c r="M232" s="55"/>
      <c r="N232" s="710">
        <f>N243+N254</f>
        <v>0</v>
      </c>
      <c r="O232" s="55"/>
      <c r="P232" s="55"/>
      <c r="Q232" s="55"/>
      <c r="R232" s="55"/>
      <c r="S232" s="55"/>
      <c r="T232" s="55"/>
      <c r="U232" s="55"/>
    </row>
    <row r="233" spans="1:21" ht="18.75" hidden="1">
      <c r="A233" s="155"/>
      <c r="B233" s="188"/>
      <c r="C233" s="50"/>
      <c r="D233" s="58" t="s">
        <v>86</v>
      </c>
      <c r="E233" s="50"/>
      <c r="F233" s="50"/>
      <c r="G233" s="52"/>
      <c r="H233" s="162" t="s">
        <v>14</v>
      </c>
      <c r="I233" s="163"/>
      <c r="J233" s="163"/>
      <c r="K233" s="164"/>
      <c r="L233" s="103">
        <f ca="1">L244+L255</f>
        <v>0</v>
      </c>
      <c r="M233" s="55"/>
      <c r="N233" s="102">
        <f>N244+N255</f>
        <v>0</v>
      </c>
      <c r="O233" s="55"/>
      <c r="P233" s="55"/>
      <c r="Q233" s="56">
        <v>0</v>
      </c>
      <c r="R233" s="56">
        <v>0</v>
      </c>
      <c r="S233" s="56">
        <v>0</v>
      </c>
      <c r="T233" s="55"/>
      <c r="U233" s="55"/>
    </row>
    <row r="234" spans="1:21" ht="18.75" hidden="1">
      <c r="A234" s="238"/>
      <c r="B234" s="188"/>
      <c r="C234" s="188"/>
      <c r="D234" s="58" t="s">
        <v>88</v>
      </c>
      <c r="E234" s="50"/>
      <c r="F234" s="50"/>
      <c r="G234" s="52"/>
      <c r="H234" s="162" t="s">
        <v>14</v>
      </c>
      <c r="I234" s="54"/>
      <c r="J234" s="54"/>
      <c r="K234" s="55"/>
      <c r="L234" s="103">
        <f ca="1">L245+L256</f>
        <v>0</v>
      </c>
      <c r="M234" s="55"/>
      <c r="N234" s="102">
        <f>N245+N256</f>
        <v>0</v>
      </c>
      <c r="O234" s="55"/>
      <c r="P234" s="55"/>
      <c r="Q234" s="56">
        <v>0</v>
      </c>
      <c r="R234" s="56">
        <v>0</v>
      </c>
      <c r="S234" s="56">
        <v>0</v>
      </c>
      <c r="T234" s="55"/>
      <c r="U234" s="55"/>
    </row>
    <row r="235" spans="1:21" ht="18.75" hidden="1">
      <c r="A235" s="238"/>
      <c r="B235" s="188"/>
      <c r="C235" s="188"/>
      <c r="D235" s="58" t="s">
        <v>106</v>
      </c>
      <c r="E235" s="50"/>
      <c r="F235" s="50"/>
      <c r="G235" s="52"/>
      <c r="H235" s="162" t="s">
        <v>14</v>
      </c>
      <c r="I235" s="54"/>
      <c r="J235" s="54"/>
      <c r="K235" s="55"/>
      <c r="L235" s="103">
        <f ca="1">L246+L257</f>
        <v>0</v>
      </c>
      <c r="M235" s="55"/>
      <c r="N235" s="102">
        <f>N246+N257</f>
        <v>0</v>
      </c>
      <c r="O235" s="55"/>
      <c r="P235" s="55"/>
      <c r="Q235" s="56">
        <v>0</v>
      </c>
      <c r="R235" s="56">
        <v>0</v>
      </c>
      <c r="S235" s="56">
        <v>0</v>
      </c>
      <c r="T235" s="55"/>
      <c r="U235" s="55"/>
    </row>
    <row r="236" spans="1:21" ht="18.75" hidden="1">
      <c r="A236" s="238"/>
      <c r="B236" s="188"/>
      <c r="C236" s="188"/>
      <c r="D236" s="58" t="s">
        <v>107</v>
      </c>
      <c r="E236" s="50"/>
      <c r="F236" s="50"/>
      <c r="G236" s="52"/>
      <c r="H236" s="162" t="s">
        <v>14</v>
      </c>
      <c r="I236" s="54"/>
      <c r="J236" s="54"/>
      <c r="K236" s="55"/>
      <c r="L236" s="103">
        <f ca="1">L247+L258</f>
        <v>0</v>
      </c>
      <c r="M236" s="55"/>
      <c r="N236" s="102">
        <f>N247+N258</f>
        <v>0</v>
      </c>
      <c r="O236" s="55"/>
      <c r="P236" s="55"/>
      <c r="Q236" s="56">
        <v>0</v>
      </c>
      <c r="R236" s="56">
        <v>0</v>
      </c>
      <c r="S236" s="56">
        <v>0</v>
      </c>
      <c r="T236" s="55"/>
      <c r="U236" s="55"/>
    </row>
    <row r="237" spans="1:21" ht="19.5" hidden="1">
      <c r="A237" s="166"/>
      <c r="B237" s="167"/>
      <c r="C237" s="191" t="s">
        <v>18</v>
      </c>
      <c r="D237" s="566" t="s">
        <v>38</v>
      </c>
      <c r="E237" s="169"/>
      <c r="F237" s="169"/>
      <c r="G237" s="170"/>
      <c r="H237" s="171"/>
      <c r="I237" s="163"/>
      <c r="J237" s="54"/>
      <c r="K237" s="55"/>
      <c r="L237" s="62"/>
      <c r="M237" s="55"/>
      <c r="N237" s="55"/>
      <c r="O237" s="164"/>
      <c r="P237" s="164"/>
      <c r="Q237" s="55"/>
      <c r="R237" s="55"/>
      <c r="S237" s="55"/>
      <c r="T237" s="164"/>
      <c r="U237" s="164"/>
    </row>
    <row r="238" spans="1:21" ht="18.75" hidden="1">
      <c r="A238" s="166"/>
      <c r="B238" s="167"/>
      <c r="C238" s="167"/>
      <c r="D238" s="178" t="s">
        <v>108</v>
      </c>
      <c r="E238" s="174"/>
      <c r="F238" s="174"/>
      <c r="G238" s="171"/>
      <c r="H238" s="179" t="s">
        <v>35</v>
      </c>
      <c r="I238" s="212">
        <f ca="1">I249+I260</f>
        <v>0</v>
      </c>
      <c r="J238" s="212">
        <f>J249+J260</f>
        <v>0</v>
      </c>
      <c r="K238" s="255">
        <f ca="1">IF(I238&gt;0,J238*100/I238,0)</f>
        <v>0</v>
      </c>
      <c r="L238" s="62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ht="18.75" hidden="1">
      <c r="A239" s="166"/>
      <c r="B239" s="167"/>
      <c r="C239" s="167"/>
      <c r="D239" s="266" t="s">
        <v>43</v>
      </c>
      <c r="E239" s="174"/>
      <c r="F239" s="174"/>
      <c r="G239" s="171"/>
      <c r="H239" s="171"/>
      <c r="I239" s="54"/>
      <c r="J239" s="54"/>
      <c r="K239" s="55"/>
      <c r="L239" s="62"/>
      <c r="M239" s="55"/>
      <c r="N239" s="55"/>
      <c r="O239" s="164"/>
      <c r="P239" s="164"/>
      <c r="Q239" s="55"/>
      <c r="R239" s="55"/>
      <c r="S239" s="55"/>
      <c r="T239" s="164"/>
      <c r="U239" s="164"/>
    </row>
    <row r="240" spans="1:21" ht="18.75" hidden="1">
      <c r="A240" s="166"/>
      <c r="B240" s="167"/>
      <c r="C240" s="167"/>
      <c r="D240" s="167"/>
      <c r="E240" s="173" t="s">
        <v>109</v>
      </c>
      <c r="F240" s="174"/>
      <c r="G240" s="171"/>
      <c r="H240" s="179" t="s">
        <v>35</v>
      </c>
      <c r="I240" s="212">
        <f>I251+I262</f>
        <v>0</v>
      </c>
      <c r="J240" s="212">
        <f>J251+J262</f>
        <v>0</v>
      </c>
      <c r="K240" s="255">
        <f>IF(I240&gt;0,J240*100/I240,0)</f>
        <v>0</v>
      </c>
      <c r="L240" s="62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ht="18.75" hidden="1">
      <c r="A241" s="166"/>
      <c r="B241" s="167"/>
      <c r="C241" s="167"/>
      <c r="D241" s="167"/>
      <c r="E241" s="173" t="s">
        <v>110</v>
      </c>
      <c r="F241" s="174"/>
      <c r="G241" s="171"/>
      <c r="H241" s="179" t="s">
        <v>61</v>
      </c>
      <c r="I241" s="212">
        <f>I252+I263</f>
        <v>0</v>
      </c>
      <c r="J241" s="212">
        <f>J252+J263</f>
        <v>0</v>
      </c>
      <c r="K241" s="255">
        <f>IF(I241&gt;0,J241*100/I241,0)</f>
        <v>0</v>
      </c>
      <c r="L241" s="62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ht="19.5" hidden="1">
      <c r="A242" s="241"/>
      <c r="B242" s="242"/>
      <c r="C242" s="707" t="s">
        <v>111</v>
      </c>
      <c r="D242" s="244"/>
      <c r="E242" s="244"/>
      <c r="F242" s="244"/>
      <c r="G242" s="245"/>
      <c r="H242" s="706" t="s">
        <v>35</v>
      </c>
      <c r="I242" s="705">
        <f ca="1">I249</f>
        <v>0</v>
      </c>
      <c r="J242" s="705">
        <f>J249</f>
        <v>0</v>
      </c>
      <c r="K242" s="704">
        <f ca="1">IF(I242&gt;0,J242*100/I242,0)</f>
        <v>0</v>
      </c>
      <c r="L242" s="250"/>
      <c r="M242" s="249"/>
      <c r="N242" s="249"/>
      <c r="O242" s="249"/>
      <c r="P242" s="249"/>
      <c r="Q242" s="249"/>
      <c r="R242" s="249"/>
      <c r="S242" s="249"/>
      <c r="T242" s="249"/>
      <c r="U242" s="249"/>
    </row>
    <row r="243" spans="1:21" ht="19.5" hidden="1">
      <c r="A243" s="155"/>
      <c r="B243" s="50"/>
      <c r="C243" s="591" t="s">
        <v>18</v>
      </c>
      <c r="D243" s="562" t="s">
        <v>19</v>
      </c>
      <c r="E243" s="50"/>
      <c r="F243" s="50"/>
      <c r="G243" s="52"/>
      <c r="H243" s="418" t="s">
        <v>14</v>
      </c>
      <c r="I243" s="163"/>
      <c r="J243" s="163"/>
      <c r="K243" s="164"/>
      <c r="L243" s="541">
        <f ca="1">L244+L245+L246+L247</f>
        <v>0</v>
      </c>
      <c r="M243" s="55"/>
      <c r="N243" s="540">
        <f>N244+N245+N246+N247</f>
        <v>0</v>
      </c>
      <c r="O243" s="540">
        <f ca="1">IF(L243&gt;0,N243*100/L243,0)</f>
        <v>0</v>
      </c>
      <c r="P243" s="540">
        <f>IF(M243&gt;0,N243*100/M243,0)</f>
        <v>0</v>
      </c>
      <c r="Q243" s="55"/>
      <c r="R243" s="55"/>
      <c r="S243" s="55"/>
      <c r="T243" s="55"/>
      <c r="U243" s="55"/>
    </row>
    <row r="244" spans="1:21" ht="18.75" hidden="1">
      <c r="A244" s="155"/>
      <c r="B244" s="188"/>
      <c r="C244" s="50"/>
      <c r="D244" s="186" t="s">
        <v>86</v>
      </c>
      <c r="E244" s="50"/>
      <c r="F244" s="50"/>
      <c r="G244" s="52"/>
      <c r="H244" s="189" t="s">
        <v>14</v>
      </c>
      <c r="I244" s="163"/>
      <c r="J244" s="163"/>
      <c r="K244" s="164"/>
      <c r="L244" s="256">
        <f ca="1">IFERROR(__xludf.DUMMYFUNCTION("IMPORTRANGE(""https://docs.google.com/spreadsheets/d/1eHaY18a8A9IcSdp1K8H6x8fbOy06t2VsZHhMHf-1x7Y/edit?usp=sharing"",""แผน!AX44"")"),0)</f>
        <v>0</v>
      </c>
      <c r="M244" s="55"/>
      <c r="N244" s="702">
        <v>0</v>
      </c>
      <c r="O244" s="55"/>
      <c r="P244" s="55"/>
      <c r="Q244" s="55"/>
      <c r="R244" s="55"/>
      <c r="S244" s="55"/>
      <c r="T244" s="55"/>
      <c r="U244" s="55"/>
    </row>
    <row r="245" spans="1:21" ht="18.75" hidden="1">
      <c r="A245" s="238"/>
      <c r="B245" s="188"/>
      <c r="C245" s="188"/>
      <c r="D245" s="186" t="s">
        <v>88</v>
      </c>
      <c r="E245" s="50"/>
      <c r="F245" s="50"/>
      <c r="G245" s="52"/>
      <c r="H245" s="189" t="s">
        <v>14</v>
      </c>
      <c r="I245" s="54"/>
      <c r="J245" s="54"/>
      <c r="K245" s="55"/>
      <c r="L245" s="256">
        <f ca="1">IFERROR(__xludf.DUMMYFUNCTION("IMPORTRANGE(""https://docs.google.com/spreadsheets/d/1eHaY18a8A9IcSdp1K8H6x8fbOy06t2VsZHhMHf-1x7Y/edit?usp=sharing"",""แผน!AY44"")"),0)</f>
        <v>0</v>
      </c>
      <c r="M245" s="55"/>
      <c r="N245" s="702">
        <v>0</v>
      </c>
      <c r="O245" s="55"/>
      <c r="P245" s="55"/>
      <c r="Q245" s="55"/>
      <c r="R245" s="55"/>
      <c r="S245" s="55"/>
      <c r="T245" s="55"/>
      <c r="U245" s="55"/>
    </row>
    <row r="246" spans="1:21" ht="18.75" hidden="1">
      <c r="A246" s="238"/>
      <c r="B246" s="188"/>
      <c r="C246" s="188"/>
      <c r="D246" s="186" t="s">
        <v>106</v>
      </c>
      <c r="E246" s="50"/>
      <c r="F246" s="50"/>
      <c r="G246" s="52"/>
      <c r="H246" s="189" t="s">
        <v>14</v>
      </c>
      <c r="I246" s="54"/>
      <c r="J246" s="54"/>
      <c r="K246" s="55"/>
      <c r="L246" s="256">
        <f ca="1">IFERROR(__xludf.DUMMYFUNCTION("IMPORTRANGE(""https://docs.google.com/spreadsheets/d/1eHaY18a8A9IcSdp1K8H6x8fbOy06t2VsZHhMHf-1x7Y/edit?usp=sharing"",""แผน!AZ44"")"),0)</f>
        <v>0</v>
      </c>
      <c r="M246" s="55"/>
      <c r="N246" s="702">
        <v>0</v>
      </c>
      <c r="O246" s="55"/>
      <c r="P246" s="55"/>
      <c r="Q246" s="55"/>
      <c r="R246" s="55"/>
      <c r="S246" s="55"/>
      <c r="T246" s="55"/>
      <c r="U246" s="55"/>
    </row>
    <row r="247" spans="1:21" ht="18.75" hidden="1">
      <c r="A247" s="238"/>
      <c r="B247" s="188"/>
      <c r="C247" s="188"/>
      <c r="D247" s="186" t="s">
        <v>107</v>
      </c>
      <c r="E247" s="50"/>
      <c r="F247" s="50"/>
      <c r="G247" s="52"/>
      <c r="H247" s="189" t="s">
        <v>14</v>
      </c>
      <c r="I247" s="54"/>
      <c r="J247" s="54"/>
      <c r="K247" s="55"/>
      <c r="L247" s="256">
        <f ca="1">IFERROR(__xludf.DUMMYFUNCTION("IMPORTRANGE(""https://docs.google.com/spreadsheets/d/1eHaY18a8A9IcSdp1K8H6x8fbOy06t2VsZHhMHf-1x7Y/edit?usp=sharing"",""แผน!BA44"")"),0)</f>
        <v>0</v>
      </c>
      <c r="M247" s="55"/>
      <c r="N247" s="702">
        <v>0</v>
      </c>
      <c r="O247" s="55"/>
      <c r="P247" s="55"/>
      <c r="Q247" s="55"/>
      <c r="R247" s="55"/>
      <c r="S247" s="55"/>
      <c r="T247" s="55"/>
      <c r="U247" s="55"/>
    </row>
    <row r="248" spans="1:21" ht="19.5" hidden="1">
      <c r="A248" s="166"/>
      <c r="B248" s="167"/>
      <c r="C248" s="701" t="s">
        <v>18</v>
      </c>
      <c r="D248" s="574" t="s">
        <v>38</v>
      </c>
      <c r="E248" s="169"/>
      <c r="F248" s="169"/>
      <c r="G248" s="170"/>
      <c r="H248" s="171"/>
      <c r="I248" s="163"/>
      <c r="J248" s="54"/>
      <c r="K248" s="55"/>
      <c r="L248" s="62"/>
      <c r="M248" s="55"/>
      <c r="N248" s="55"/>
      <c r="O248" s="164"/>
      <c r="P248" s="164"/>
      <c r="Q248" s="55"/>
      <c r="R248" s="55"/>
      <c r="S248" s="55"/>
      <c r="T248" s="164"/>
      <c r="U248" s="164"/>
    </row>
    <row r="249" spans="1:21" ht="18.75" hidden="1">
      <c r="A249" s="166"/>
      <c r="B249" s="167"/>
      <c r="C249" s="167"/>
      <c r="D249" s="207" t="s">
        <v>108</v>
      </c>
      <c r="E249" s="174"/>
      <c r="F249" s="174"/>
      <c r="G249" s="171"/>
      <c r="H249" s="698" t="s">
        <v>35</v>
      </c>
      <c r="I249" s="483">
        <f ca="1">IFERROR(__xludf.DUMMYFUNCTION("IMPORTRANGE(""https://docs.google.com/spreadsheets/d/1eHaY18a8A9IcSdp1K8H6x8fbOy06t2VsZHhMHf-1x7Y/edit?usp=sharing"",""แผน!BG44"")"),0)</f>
        <v>0</v>
      </c>
      <c r="J249" s="589">
        <v>0</v>
      </c>
      <c r="K249" s="102">
        <f ca="1">IF(I249&gt;0,J249*100/I249,0)</f>
        <v>0</v>
      </c>
      <c r="L249" s="62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8.75" hidden="1">
      <c r="A250" s="166"/>
      <c r="B250" s="167"/>
      <c r="C250" s="167"/>
      <c r="D250" s="700" t="s">
        <v>43</v>
      </c>
      <c r="E250" s="174"/>
      <c r="F250" s="174"/>
      <c r="G250" s="171"/>
      <c r="H250" s="171"/>
      <c r="I250" s="54"/>
      <c r="J250" s="54"/>
      <c r="K250" s="55"/>
      <c r="L250" s="62"/>
      <c r="M250" s="55"/>
      <c r="N250" s="55"/>
      <c r="O250" s="164"/>
      <c r="P250" s="164"/>
      <c r="Q250" s="55"/>
      <c r="R250" s="55"/>
      <c r="S250" s="55"/>
      <c r="T250" s="164"/>
      <c r="U250" s="164"/>
    </row>
    <row r="251" spans="1:21" ht="18.75" hidden="1">
      <c r="A251" s="166"/>
      <c r="B251" s="167"/>
      <c r="C251" s="167"/>
      <c r="D251" s="167"/>
      <c r="E251" s="699" t="s">
        <v>109</v>
      </c>
      <c r="F251" s="174"/>
      <c r="G251" s="171"/>
      <c r="H251" s="698" t="s">
        <v>35</v>
      </c>
      <c r="I251" s="483">
        <v>0</v>
      </c>
      <c r="J251" s="589">
        <v>0</v>
      </c>
      <c r="K251" s="102">
        <f>IF(I251&gt;0,J251*100/I251,0)</f>
        <v>0</v>
      </c>
      <c r="L251" s="62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8.75" hidden="1">
      <c r="A252" s="166"/>
      <c r="B252" s="167"/>
      <c r="C252" s="167"/>
      <c r="D252" s="167"/>
      <c r="E252" s="699" t="s">
        <v>110</v>
      </c>
      <c r="F252" s="174"/>
      <c r="G252" s="171"/>
      <c r="H252" s="698" t="s">
        <v>61</v>
      </c>
      <c r="I252" s="483">
        <v>0</v>
      </c>
      <c r="J252" s="589">
        <v>0</v>
      </c>
      <c r="K252" s="102">
        <f>IF(I252&gt;0,J252*100/I252,0)</f>
        <v>0</v>
      </c>
      <c r="L252" s="62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9.5" hidden="1">
      <c r="A253" s="241"/>
      <c r="B253" s="242"/>
      <c r="C253" s="707" t="s">
        <v>112</v>
      </c>
      <c r="D253" s="244"/>
      <c r="E253" s="244"/>
      <c r="F253" s="244"/>
      <c r="G253" s="245"/>
      <c r="H253" s="706" t="s">
        <v>35</v>
      </c>
      <c r="I253" s="705">
        <f ca="1">I260</f>
        <v>0</v>
      </c>
      <c r="J253" s="705">
        <f>J260</f>
        <v>0</v>
      </c>
      <c r="K253" s="704">
        <f ca="1">IF(I253&gt;0,J253*100/I253,0)</f>
        <v>0</v>
      </c>
      <c r="L253" s="250"/>
      <c r="M253" s="249"/>
      <c r="N253" s="249"/>
      <c r="O253" s="249"/>
      <c r="P253" s="249"/>
      <c r="Q253" s="249"/>
      <c r="R253" s="249"/>
      <c r="S253" s="249"/>
      <c r="T253" s="249"/>
      <c r="U253" s="249"/>
    </row>
    <row r="254" spans="1:21" ht="19.5" hidden="1">
      <c r="A254" s="155"/>
      <c r="B254" s="50"/>
      <c r="C254" s="591" t="s">
        <v>18</v>
      </c>
      <c r="D254" s="703" t="s">
        <v>19</v>
      </c>
      <c r="E254" s="50"/>
      <c r="F254" s="50"/>
      <c r="G254" s="52"/>
      <c r="H254" s="418" t="s">
        <v>14</v>
      </c>
      <c r="I254" s="163"/>
      <c r="J254" s="163"/>
      <c r="K254" s="164"/>
      <c r="L254" s="541">
        <f ca="1">L255+L256+L257+L258</f>
        <v>0</v>
      </c>
      <c r="M254" s="55"/>
      <c r="N254" s="540">
        <f>N255+N256+N257+N258</f>
        <v>0</v>
      </c>
      <c r="O254" s="540">
        <f ca="1">IF(L254&gt;0,N254*100/L254,0)</f>
        <v>0</v>
      </c>
      <c r="P254" s="540">
        <f>IF(M254&gt;0,N254*100/M254,0)</f>
        <v>0</v>
      </c>
      <c r="Q254" s="55"/>
      <c r="R254" s="55"/>
      <c r="S254" s="55"/>
      <c r="T254" s="55"/>
      <c r="U254" s="55"/>
    </row>
    <row r="255" spans="1:21" ht="18.75" hidden="1">
      <c r="A255" s="155"/>
      <c r="B255" s="188"/>
      <c r="C255" s="50"/>
      <c r="D255" s="186" t="s">
        <v>86</v>
      </c>
      <c r="E255" s="50"/>
      <c r="F255" s="50"/>
      <c r="G255" s="52"/>
      <c r="H255" s="189" t="s">
        <v>14</v>
      </c>
      <c r="I255" s="163"/>
      <c r="J255" s="163"/>
      <c r="K255" s="164"/>
      <c r="L255" s="256">
        <f ca="1">IFERROR(__xludf.DUMMYFUNCTION("IMPORTRANGE(""https://docs.google.com/spreadsheets/d/1eHaY18a8A9IcSdp1K8H6x8fbOy06t2VsZHhMHf-1x7Y/edit?usp=sharing"",""แผน!BB44"")"),0)</f>
        <v>0</v>
      </c>
      <c r="M255" s="55"/>
      <c r="N255" s="702">
        <v>0</v>
      </c>
      <c r="O255" s="55"/>
      <c r="P255" s="55"/>
      <c r="Q255" s="55"/>
      <c r="R255" s="55"/>
      <c r="S255" s="55"/>
      <c r="T255" s="55"/>
      <c r="U255" s="55"/>
    </row>
    <row r="256" spans="1:21" ht="18.75" hidden="1">
      <c r="A256" s="238"/>
      <c r="B256" s="188"/>
      <c r="C256" s="188"/>
      <c r="D256" s="186" t="s">
        <v>88</v>
      </c>
      <c r="E256" s="50"/>
      <c r="F256" s="50"/>
      <c r="G256" s="52"/>
      <c r="H256" s="189" t="s">
        <v>14</v>
      </c>
      <c r="I256" s="54"/>
      <c r="J256" s="54"/>
      <c r="K256" s="55"/>
      <c r="L256" s="256">
        <f ca="1">IFERROR(__xludf.DUMMYFUNCTION("IMPORTRANGE(""https://docs.google.com/spreadsheets/d/1eHaY18a8A9IcSdp1K8H6x8fbOy06t2VsZHhMHf-1x7Y/edit?usp=sharing"",""แผน!BC44"")"),0)</f>
        <v>0</v>
      </c>
      <c r="M256" s="55"/>
      <c r="N256" s="702">
        <v>0</v>
      </c>
      <c r="O256" s="55"/>
      <c r="P256" s="55"/>
      <c r="Q256" s="55"/>
      <c r="R256" s="55"/>
      <c r="S256" s="55"/>
      <c r="T256" s="55"/>
      <c r="U256" s="55"/>
    </row>
    <row r="257" spans="1:21" ht="18.75" hidden="1">
      <c r="A257" s="238"/>
      <c r="B257" s="188"/>
      <c r="C257" s="188"/>
      <c r="D257" s="186" t="s">
        <v>106</v>
      </c>
      <c r="E257" s="50"/>
      <c r="F257" s="50"/>
      <c r="G257" s="52"/>
      <c r="H257" s="189" t="s">
        <v>14</v>
      </c>
      <c r="I257" s="54"/>
      <c r="J257" s="54"/>
      <c r="K257" s="55"/>
      <c r="L257" s="256">
        <f ca="1">IFERROR(__xludf.DUMMYFUNCTION("IMPORTRANGE(""https://docs.google.com/spreadsheets/d/1eHaY18a8A9IcSdp1K8H6x8fbOy06t2VsZHhMHf-1x7Y/edit?usp=sharing"",""แผน!BD44"")"),0)</f>
        <v>0</v>
      </c>
      <c r="M257" s="55"/>
      <c r="N257" s="702">
        <v>0</v>
      </c>
      <c r="O257" s="55"/>
      <c r="P257" s="55"/>
      <c r="Q257" s="55"/>
      <c r="R257" s="55"/>
      <c r="S257" s="55"/>
      <c r="T257" s="55"/>
      <c r="U257" s="55"/>
    </row>
    <row r="258" spans="1:21" ht="18.75" hidden="1">
      <c r="A258" s="238"/>
      <c r="B258" s="188"/>
      <c r="C258" s="188"/>
      <c r="D258" s="186" t="s">
        <v>107</v>
      </c>
      <c r="E258" s="50"/>
      <c r="F258" s="50"/>
      <c r="G258" s="52"/>
      <c r="H258" s="189" t="s">
        <v>14</v>
      </c>
      <c r="I258" s="54"/>
      <c r="J258" s="54"/>
      <c r="K258" s="55"/>
      <c r="L258" s="256">
        <f ca="1">IFERROR(__xludf.DUMMYFUNCTION("IMPORTRANGE(""https://docs.google.com/spreadsheets/d/1eHaY18a8A9IcSdp1K8H6x8fbOy06t2VsZHhMHf-1x7Y/edit?usp=sharing"",""แผน!BE44"")"),0)</f>
        <v>0</v>
      </c>
      <c r="M258" s="55"/>
      <c r="N258" s="702">
        <v>0</v>
      </c>
      <c r="O258" s="55"/>
      <c r="P258" s="55"/>
      <c r="Q258" s="55"/>
      <c r="R258" s="55"/>
      <c r="S258" s="55"/>
      <c r="T258" s="55"/>
      <c r="U258" s="55"/>
    </row>
    <row r="259" spans="1:21" ht="19.5" hidden="1">
      <c r="A259" s="166"/>
      <c r="B259" s="167"/>
      <c r="C259" s="701" t="s">
        <v>18</v>
      </c>
      <c r="D259" s="574" t="s">
        <v>38</v>
      </c>
      <c r="E259" s="169"/>
      <c r="F259" s="169"/>
      <c r="G259" s="170"/>
      <c r="H259" s="171"/>
      <c r="I259" s="163"/>
      <c r="J259" s="54"/>
      <c r="K259" s="55"/>
      <c r="L259" s="62"/>
      <c r="M259" s="55"/>
      <c r="N259" s="55"/>
      <c r="O259" s="164"/>
      <c r="P259" s="164"/>
      <c r="Q259" s="55"/>
      <c r="R259" s="55"/>
      <c r="S259" s="55"/>
      <c r="T259" s="164"/>
      <c r="U259" s="164"/>
    </row>
    <row r="260" spans="1:21" ht="18.75" hidden="1">
      <c r="A260" s="166"/>
      <c r="B260" s="167"/>
      <c r="C260" s="167"/>
      <c r="D260" s="207" t="s">
        <v>108</v>
      </c>
      <c r="E260" s="174"/>
      <c r="F260" s="174"/>
      <c r="G260" s="171"/>
      <c r="H260" s="698" t="s">
        <v>35</v>
      </c>
      <c r="I260" s="483">
        <f ca="1">IFERROR(__xludf.DUMMYFUNCTION("IMPORTRANGE(""https://docs.google.com/spreadsheets/d/1eHaY18a8A9IcSdp1K8H6x8fbOy06t2VsZHhMHf-1x7Y/edit?usp=sharing"",""แผน!BH44"")"),0)</f>
        <v>0</v>
      </c>
      <c r="J260" s="589">
        <v>0</v>
      </c>
      <c r="K260" s="102">
        <f ca="1">IF(I260&gt;0,J260*100/I260,0)</f>
        <v>0</v>
      </c>
      <c r="L260" s="62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8.75" hidden="1">
      <c r="A261" s="166"/>
      <c r="B261" s="167"/>
      <c r="C261" s="167"/>
      <c r="D261" s="700" t="s">
        <v>43</v>
      </c>
      <c r="E261" s="174"/>
      <c r="F261" s="174"/>
      <c r="G261" s="171"/>
      <c r="H261" s="171"/>
      <c r="I261" s="54"/>
      <c r="J261" s="54"/>
      <c r="K261" s="55"/>
      <c r="L261" s="62"/>
      <c r="M261" s="55"/>
      <c r="N261" s="55"/>
      <c r="O261" s="164"/>
      <c r="P261" s="164"/>
      <c r="Q261" s="55"/>
      <c r="R261" s="55"/>
      <c r="S261" s="55"/>
      <c r="T261" s="164"/>
      <c r="U261" s="164"/>
    </row>
    <row r="262" spans="1:21" ht="18.75" hidden="1">
      <c r="A262" s="166"/>
      <c r="B262" s="167"/>
      <c r="C262" s="167"/>
      <c r="D262" s="167"/>
      <c r="E262" s="699" t="s">
        <v>109</v>
      </c>
      <c r="F262" s="174"/>
      <c r="G262" s="171"/>
      <c r="H262" s="698" t="s">
        <v>35</v>
      </c>
      <c r="I262" s="54"/>
      <c r="J262" s="589">
        <v>0</v>
      </c>
      <c r="K262" s="102">
        <f>IF(I262&gt;0,J262*100/I262,0)</f>
        <v>0</v>
      </c>
      <c r="L262" s="62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8.75" hidden="1">
      <c r="A263" s="166"/>
      <c r="B263" s="167"/>
      <c r="C263" s="167"/>
      <c r="D263" s="167"/>
      <c r="E263" s="699" t="s">
        <v>110</v>
      </c>
      <c r="F263" s="174"/>
      <c r="G263" s="171"/>
      <c r="H263" s="698" t="s">
        <v>61</v>
      </c>
      <c r="I263" s="54"/>
      <c r="J263" s="589">
        <v>0</v>
      </c>
      <c r="K263" s="102">
        <f>IF(I263&gt;0,J263*100/I263,0)</f>
        <v>0</v>
      </c>
      <c r="L263" s="62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9.5">
      <c r="A264" s="697" t="s">
        <v>113</v>
      </c>
      <c r="B264" s="696"/>
      <c r="C264" s="696"/>
      <c r="D264" s="695"/>
      <c r="E264" s="695"/>
      <c r="F264" s="695"/>
      <c r="G264" s="694"/>
      <c r="H264" s="694"/>
      <c r="I264" s="693"/>
      <c r="J264" s="693"/>
      <c r="K264" s="691"/>
      <c r="L264" s="692"/>
      <c r="M264" s="691"/>
      <c r="N264" s="691"/>
      <c r="O264" s="691"/>
      <c r="P264" s="691"/>
      <c r="Q264" s="691"/>
      <c r="R264" s="691"/>
      <c r="S264" s="691"/>
      <c r="T264" s="691"/>
      <c r="U264" s="691"/>
    </row>
    <row r="265" spans="1:21" ht="19.5">
      <c r="A265" s="690"/>
      <c r="B265" s="689" t="s">
        <v>114</v>
      </c>
      <c r="C265" s="688"/>
      <c r="D265" s="661"/>
      <c r="E265" s="661"/>
      <c r="F265" s="661"/>
      <c r="G265" s="660"/>
      <c r="H265" s="687" t="s">
        <v>35</v>
      </c>
      <c r="I265" s="686">
        <f ca="1">I276</f>
        <v>22</v>
      </c>
      <c r="J265" s="686">
        <f>J276</f>
        <v>0</v>
      </c>
      <c r="K265" s="685">
        <f ca="1">IF(I265&gt;0,J265*100/I265,0)</f>
        <v>0</v>
      </c>
      <c r="L265" s="684"/>
      <c r="M265" s="683"/>
      <c r="N265" s="683"/>
      <c r="O265" s="683"/>
      <c r="P265" s="683"/>
      <c r="Q265" s="683"/>
      <c r="R265" s="683"/>
      <c r="S265" s="683"/>
      <c r="T265" s="683"/>
      <c r="U265" s="683"/>
    </row>
    <row r="266" spans="1:21" ht="19.5">
      <c r="A266" s="668"/>
      <c r="B266" s="667"/>
      <c r="C266" s="682" t="s">
        <v>18</v>
      </c>
      <c r="D266" s="681" t="s">
        <v>19</v>
      </c>
      <c r="E266" s="667"/>
      <c r="F266" s="667"/>
      <c r="G266" s="666"/>
      <c r="H266" s="680" t="s">
        <v>14</v>
      </c>
      <c r="I266" s="548"/>
      <c r="J266" s="548"/>
      <c r="K266" s="545"/>
      <c r="L266" s="679">
        <f ca="1">L267+L268</f>
        <v>0</v>
      </c>
      <c r="M266" s="678">
        <f ca="1">M267+M268</f>
        <v>5000</v>
      </c>
      <c r="N266" s="678">
        <f ca="1">N267+N268</f>
        <v>0</v>
      </c>
      <c r="O266" s="678">
        <f ca="1">IF(L266&gt;0,N266*100/L266,0)</f>
        <v>0</v>
      </c>
      <c r="P266" s="678">
        <f ca="1">IF(M266&gt;0,N266*100/M266,0)</f>
        <v>0</v>
      </c>
      <c r="Q266" s="678">
        <f ca="1">Q267+Q268</f>
        <v>50660</v>
      </c>
      <c r="R266" s="678">
        <f ca="1">R267+R268</f>
        <v>50660</v>
      </c>
      <c r="S266" s="678">
        <f ca="1">S267+S268</f>
        <v>25680</v>
      </c>
      <c r="T266" s="678">
        <f ca="1">IF(Q266&gt;0,S266*100/Q266,0)</f>
        <v>50.690880378997235</v>
      </c>
      <c r="U266" s="678">
        <f ca="1">IF(R266&gt;0,S266*100/R266,0)</f>
        <v>50.690880378997235</v>
      </c>
    </row>
    <row r="267" spans="1:21" ht="18.75" hidden="1">
      <c r="A267" s="673"/>
      <c r="B267" s="672"/>
      <c r="C267" s="672"/>
      <c r="D267" s="672"/>
      <c r="E267" s="186" t="s">
        <v>20</v>
      </c>
      <c r="F267" s="672"/>
      <c r="G267" s="671"/>
      <c r="H267" s="187" t="s">
        <v>14</v>
      </c>
      <c r="I267" s="677"/>
      <c r="J267" s="677"/>
      <c r="K267" s="676"/>
      <c r="L267" s="103">
        <f>L270+L273</f>
        <v>0</v>
      </c>
      <c r="M267" s="102">
        <f>M270+M273</f>
        <v>0</v>
      </c>
      <c r="N267" s="102">
        <f>N270+N273</f>
        <v>0</v>
      </c>
      <c r="O267" s="102">
        <f>IF(L267&gt;0,N267*100/L267,0)</f>
        <v>0</v>
      </c>
      <c r="P267" s="102">
        <f>IF(M267&gt;0,N267*100/M267,0)</f>
        <v>0</v>
      </c>
      <c r="Q267" s="102">
        <f>Q270+Q273</f>
        <v>0</v>
      </c>
      <c r="R267" s="102">
        <f>R270+R273</f>
        <v>0</v>
      </c>
      <c r="S267" s="102">
        <f>S270+S273</f>
        <v>0</v>
      </c>
      <c r="T267" s="102">
        <f>IF(Q267&gt;0,S267*100/Q267,0)</f>
        <v>0</v>
      </c>
      <c r="U267" s="102">
        <f>IF(R267&gt;0,S267*100/R267,0)</f>
        <v>0</v>
      </c>
    </row>
    <row r="268" spans="1:21" ht="18.75" hidden="1">
      <c r="A268" s="668"/>
      <c r="B268" s="667"/>
      <c r="C268" s="667"/>
      <c r="D268" s="667"/>
      <c r="E268" s="663" t="s">
        <v>21</v>
      </c>
      <c r="F268" s="667"/>
      <c r="G268" s="666"/>
      <c r="H268" s="549" t="s">
        <v>14</v>
      </c>
      <c r="I268" s="548"/>
      <c r="J268" s="548"/>
      <c r="K268" s="545"/>
      <c r="L268" s="664">
        <f ca="1">L271+L274</f>
        <v>0</v>
      </c>
      <c r="M268" s="555">
        <f ca="1">M271+M274</f>
        <v>5000</v>
      </c>
      <c r="N268" s="555">
        <f ca="1">N271+N274</f>
        <v>0</v>
      </c>
      <c r="O268" s="555">
        <f ca="1">IF(L268&gt;0,N268*100/L268,0)</f>
        <v>0</v>
      </c>
      <c r="P268" s="555">
        <f ca="1">IF(M268&gt;0,N268*100/M268,0)</f>
        <v>0</v>
      </c>
      <c r="Q268" s="555">
        <f ca="1">Q271+Q274</f>
        <v>50660</v>
      </c>
      <c r="R268" s="555">
        <f ca="1">R271+R274</f>
        <v>50660</v>
      </c>
      <c r="S268" s="555">
        <f ca="1">S271+S274</f>
        <v>25680</v>
      </c>
      <c r="T268" s="555">
        <f ca="1">IF(Q268&gt;0,S268*100/Q268,0)</f>
        <v>50.690880378997235</v>
      </c>
      <c r="U268" s="555">
        <f ca="1">IF(R268&gt;0,S268*100/R268,0)</f>
        <v>50.690880378997235</v>
      </c>
    </row>
    <row r="269" spans="1:21" ht="18.75">
      <c r="A269" s="668"/>
      <c r="B269" s="667"/>
      <c r="C269" s="667"/>
      <c r="D269" s="674" t="s">
        <v>22</v>
      </c>
      <c r="E269" s="667"/>
      <c r="F269" s="667"/>
      <c r="G269" s="666"/>
      <c r="H269" s="675" t="s">
        <v>14</v>
      </c>
      <c r="I269" s="659"/>
      <c r="J269" s="659"/>
      <c r="K269" s="657"/>
      <c r="L269" s="664">
        <f ca="1">L270+L271</f>
        <v>0</v>
      </c>
      <c r="M269" s="555">
        <f ca="1">M270+M271</f>
        <v>5000</v>
      </c>
      <c r="N269" s="555">
        <f ca="1">N270+N271</f>
        <v>0</v>
      </c>
      <c r="O269" s="555">
        <f ca="1">IF(L269&gt;0,N269*100/L269,0)</f>
        <v>0</v>
      </c>
      <c r="P269" s="555">
        <f ca="1">IF(M269&gt;0,N269*100/M269,0)</f>
        <v>0</v>
      </c>
      <c r="Q269" s="555">
        <f ca="1">Q270+Q271</f>
        <v>50660</v>
      </c>
      <c r="R269" s="555">
        <f ca="1">R270+R271</f>
        <v>50660</v>
      </c>
      <c r="S269" s="555">
        <f ca="1">S270+S271</f>
        <v>25680</v>
      </c>
      <c r="T269" s="555">
        <f ca="1">IF(Q269&gt;0,S269*100/Q269,0)</f>
        <v>50.690880378997235</v>
      </c>
      <c r="U269" s="555">
        <f ca="1">IF(R269&gt;0,S269*100/R269,0)</f>
        <v>50.690880378997235</v>
      </c>
    </row>
    <row r="270" spans="1:21" ht="18.75" hidden="1">
      <c r="A270" s="673"/>
      <c r="B270" s="672"/>
      <c r="C270" s="672"/>
      <c r="D270" s="672"/>
      <c r="E270" s="186" t="s">
        <v>36</v>
      </c>
      <c r="F270" s="672"/>
      <c r="G270" s="671"/>
      <c r="H270" s="189" t="s">
        <v>14</v>
      </c>
      <c r="I270" s="670"/>
      <c r="J270" s="670"/>
      <c r="K270" s="669"/>
      <c r="L270" s="103">
        <v>0</v>
      </c>
      <c r="M270" s="102">
        <v>0</v>
      </c>
      <c r="N270" s="102">
        <v>0</v>
      </c>
      <c r="O270" s="102">
        <f>IF(L270&gt;0,N270*100/L270,0)</f>
        <v>0</v>
      </c>
      <c r="P270" s="102">
        <f>IF(M270&gt;0,N270*100/M270,0)</f>
        <v>0</v>
      </c>
      <c r="Q270" s="102">
        <v>0</v>
      </c>
      <c r="R270" s="102">
        <v>0</v>
      </c>
      <c r="S270" s="102">
        <v>0</v>
      </c>
      <c r="T270" s="102">
        <f>IF(Q270&gt;0,S270*100/Q270,0)</f>
        <v>0</v>
      </c>
      <c r="U270" s="102">
        <f>IF(R270&gt;0,S270*100/R270,0)</f>
        <v>0</v>
      </c>
    </row>
    <row r="271" spans="1:21" ht="18.75" hidden="1">
      <c r="A271" s="668"/>
      <c r="B271" s="667"/>
      <c r="C271" s="667"/>
      <c r="D271" s="667"/>
      <c r="E271" s="663" t="s">
        <v>37</v>
      </c>
      <c r="F271" s="667"/>
      <c r="G271" s="666"/>
      <c r="H271" s="675" t="s">
        <v>14</v>
      </c>
      <c r="I271" s="659"/>
      <c r="J271" s="659"/>
      <c r="K271" s="657"/>
      <c r="L271" s="664">
        <f ca="1">IFERROR(__xludf.DUMMYFUNCTION("IMPORTRANGE(""https://docs.google.com/spreadsheets/d/1-uDff_7J0KD5mKrp0Vvzr7lt3OU09vwQwhkpOPPYv2Y/edit?usp=sharing"",""งบพรบ!DE44"")"),0)</f>
        <v>0</v>
      </c>
      <c r="M271" s="555">
        <f ca="1">IFERROR(__xludf.DUMMYFUNCTION("IMPORTRANGE(""https://docs.google.com/spreadsheets/d/1-uDff_7J0KD5mKrp0Vvzr7lt3OU09vwQwhkpOPPYv2Y/edit?usp=sharing"",""งบพรบ!DJ44"")"),5000)</f>
        <v>5000</v>
      </c>
      <c r="N271" s="555">
        <f ca="1">IFERROR(__xludf.DUMMYFUNCTION("IMPORTRANGE(""https://docs.google.com/spreadsheets/d/1-uDff_7J0KD5mKrp0Vvzr7lt3OU09vwQwhkpOPPYv2Y/edit?usp=sharing"",""งบพรบ!DL44"")"),0)</f>
        <v>0</v>
      </c>
      <c r="O271" s="555">
        <f ca="1">IF(L271&gt;0,N271*100/L271,0)</f>
        <v>0</v>
      </c>
      <c r="P271" s="555">
        <f ca="1">IF(M271&gt;0,N271*100/M271,0)</f>
        <v>0</v>
      </c>
      <c r="Q271" s="555">
        <f ca="1">IFERROR(__xludf.DUMMYFUNCTION("IMPORTRANGE(""https://docs.google.com/spreadsheets/d/1ItG2mGa2ceCfYo0BwxsXqNm01IGEUdYcSSLTEv9YCik/edit?usp=sharing"",""เบิกจ่ายกองทุน!AJ44"")"),50660)</f>
        <v>50660</v>
      </c>
      <c r="R271" s="555">
        <f ca="1">IFERROR(__xludf.DUMMYFUNCTION("IMPORTRANGE(""https://docs.google.com/spreadsheets/d/1ItG2mGa2ceCfYo0BwxsXqNm01IGEUdYcSSLTEv9YCik/edit?usp=sharing"",""เบิกจ่ายกองทุน!AK44"")"),50660)</f>
        <v>50660</v>
      </c>
      <c r="S271" s="555">
        <f ca="1">IFERROR(__xludf.DUMMYFUNCTION("IMPORTRANGE(""https://docs.google.com/spreadsheets/d/1ItG2mGa2ceCfYo0BwxsXqNm01IGEUdYcSSLTEv9YCik/edit?usp=sharing"",""เบิกจ่ายกองทุน!AL44"")"),25680)</f>
        <v>25680</v>
      </c>
      <c r="T271" s="555">
        <f ca="1">IF(Q271&gt;0,S271*100/Q271,0)</f>
        <v>50.690880378997235</v>
      </c>
      <c r="U271" s="555">
        <f ca="1">IF(R271&gt;0,S271*100/R271,0)</f>
        <v>50.690880378997235</v>
      </c>
    </row>
    <row r="272" spans="1:21" ht="18.75">
      <c r="A272" s="668"/>
      <c r="B272" s="667"/>
      <c r="C272" s="667"/>
      <c r="D272" s="674" t="s">
        <v>23</v>
      </c>
      <c r="E272" s="667"/>
      <c r="F272" s="667"/>
      <c r="G272" s="666"/>
      <c r="H272" s="665" t="s">
        <v>14</v>
      </c>
      <c r="I272" s="659"/>
      <c r="J272" s="659"/>
      <c r="K272" s="657"/>
      <c r="L272" s="664">
        <f ca="1">L273+L274</f>
        <v>0</v>
      </c>
      <c r="M272" s="555">
        <f ca="1">M273+M274</f>
        <v>0</v>
      </c>
      <c r="N272" s="555">
        <f ca="1">N273+N274</f>
        <v>0</v>
      </c>
      <c r="O272" s="555">
        <f ca="1">IF(L272&gt;0,N272*100/L272,0)</f>
        <v>0</v>
      </c>
      <c r="P272" s="555">
        <f ca="1">IF(M272&gt;0,N272*100/M272,0)</f>
        <v>0</v>
      </c>
      <c r="Q272" s="555">
        <f>Q273+Q274</f>
        <v>0</v>
      </c>
      <c r="R272" s="555">
        <f>R273+R274</f>
        <v>0</v>
      </c>
      <c r="S272" s="555">
        <f>S273+S274</f>
        <v>0</v>
      </c>
      <c r="T272" s="555">
        <f>IF(Q272&gt;0,S272*100/Q272,0)</f>
        <v>0</v>
      </c>
      <c r="U272" s="555">
        <f>IF(R272&gt;0,S272*100/R272,0)</f>
        <v>0</v>
      </c>
    </row>
    <row r="273" spans="1:21" ht="18.75" hidden="1">
      <c r="A273" s="673"/>
      <c r="B273" s="672"/>
      <c r="C273" s="672"/>
      <c r="D273" s="672"/>
      <c r="E273" s="186" t="s">
        <v>20</v>
      </c>
      <c r="F273" s="672"/>
      <c r="G273" s="671"/>
      <c r="H273" s="189" t="s">
        <v>14</v>
      </c>
      <c r="I273" s="670"/>
      <c r="J273" s="670"/>
      <c r="K273" s="669"/>
      <c r="L273" s="103">
        <v>0</v>
      </c>
      <c r="M273" s="102">
        <v>0</v>
      </c>
      <c r="N273" s="102">
        <v>0</v>
      </c>
      <c r="O273" s="102">
        <f>IF(L273&gt;0,N273*100/L273,0)</f>
        <v>0</v>
      </c>
      <c r="P273" s="102">
        <f>IF(M273&gt;0,N273*100/M273,0)</f>
        <v>0</v>
      </c>
      <c r="Q273" s="102">
        <v>0</v>
      </c>
      <c r="R273" s="102">
        <v>0</v>
      </c>
      <c r="S273" s="102">
        <v>0</v>
      </c>
      <c r="T273" s="102">
        <f>IF(Q273&gt;0,S273*100/Q273,0)</f>
        <v>0</v>
      </c>
      <c r="U273" s="102">
        <f>IF(R273&gt;0,S273*100/R273,0)</f>
        <v>0</v>
      </c>
    </row>
    <row r="274" spans="1:21" ht="18.75" hidden="1">
      <c r="A274" s="668"/>
      <c r="B274" s="667"/>
      <c r="C274" s="667"/>
      <c r="D274" s="667"/>
      <c r="E274" s="663" t="s">
        <v>21</v>
      </c>
      <c r="F274" s="667"/>
      <c r="G274" s="666"/>
      <c r="H274" s="665" t="s">
        <v>14</v>
      </c>
      <c r="I274" s="659"/>
      <c r="J274" s="659"/>
      <c r="K274" s="657"/>
      <c r="L274" s="664">
        <f ca="1">IFERROR(__xludf.DUMMYFUNCTION("IMPORTRANGE(""https://docs.google.com/spreadsheets/d/1-uDff_7J0KD5mKrp0Vvzr7lt3OU09vwQwhkpOPPYv2Y/edit?usp=sharing"",""งบพรบ!DH44"")"),0)</f>
        <v>0</v>
      </c>
      <c r="M274" s="555">
        <f ca="1">IFERROR(__xludf.DUMMYFUNCTION("IMPORTRANGE(""https://docs.google.com/spreadsheets/d/1-uDff_7J0KD5mKrp0Vvzr7lt3OU09vwQwhkpOPPYv2Y/edit?usp=sharing"",""งบพรบ!DK44"")"),0)</f>
        <v>0</v>
      </c>
      <c r="N274" s="555">
        <f ca="1">IFERROR(__xludf.DUMMYFUNCTION("IMPORTRANGE(""https://docs.google.com/spreadsheets/d/1-uDff_7J0KD5mKrp0Vvzr7lt3OU09vwQwhkpOPPYv2Y/edit?usp=sharing"",""งบพรบ!DM44"")"),0)</f>
        <v>0</v>
      </c>
      <c r="O274" s="555">
        <f ca="1">IF(L274&gt;0,N274*100/L274,0)</f>
        <v>0</v>
      </c>
      <c r="P274" s="555">
        <f ca="1">IF(M274&gt;0,N274*100/M274,0)</f>
        <v>0</v>
      </c>
      <c r="Q274" s="555">
        <v>0</v>
      </c>
      <c r="R274" s="555">
        <v>0</v>
      </c>
      <c r="S274" s="555">
        <v>0</v>
      </c>
      <c r="T274" s="555">
        <f>IF(Q274&gt;0,S274*100/Q274,0)</f>
        <v>0</v>
      </c>
      <c r="U274" s="555">
        <f>IF(R274&gt;0,S274*100/R274,0)</f>
        <v>0</v>
      </c>
    </row>
    <row r="275" spans="1:21" ht="19.5">
      <c r="A275" s="554"/>
      <c r="B275" s="553"/>
      <c r="C275" s="663" t="s">
        <v>18</v>
      </c>
      <c r="D275" s="662" t="s">
        <v>38</v>
      </c>
      <c r="E275" s="661"/>
      <c r="F275" s="661"/>
      <c r="G275" s="660"/>
      <c r="H275" s="550"/>
      <c r="I275" s="659"/>
      <c r="J275" s="659"/>
      <c r="K275" s="657"/>
      <c r="L275" s="658"/>
      <c r="M275" s="657"/>
      <c r="N275" s="657"/>
      <c r="O275" s="657"/>
      <c r="P275" s="657"/>
      <c r="Q275" s="657"/>
      <c r="R275" s="657"/>
      <c r="S275" s="657"/>
      <c r="T275" s="657"/>
      <c r="U275" s="657"/>
    </row>
    <row r="276" spans="1:21" ht="18.75">
      <c r="A276" s="656"/>
      <c r="B276" s="655"/>
      <c r="C276" s="655"/>
      <c r="D276" s="654" t="s">
        <v>115</v>
      </c>
      <c r="E276" s="653"/>
      <c r="F276" s="653"/>
      <c r="G276" s="652"/>
      <c r="H276" s="651" t="s">
        <v>35</v>
      </c>
      <c r="I276" s="650">
        <f ca="1">IFERROR(__xludf.DUMMYFUNCTION("IMPORTRANGE(""https://docs.google.com/spreadsheets/d/1eHaY18a8A9IcSdp1K8H6x8fbOy06t2VsZHhMHf-1x7Y/edit?usp=sharing"",""แผน!EC44"")"),22)</f>
        <v>22</v>
      </c>
      <c r="J276" s="649">
        <v>0</v>
      </c>
      <c r="K276" s="648">
        <f ca="1">IF(I276&gt;0,J276*100/I276,0)</f>
        <v>0</v>
      </c>
      <c r="L276" s="546"/>
      <c r="M276" s="545"/>
      <c r="N276" s="545"/>
      <c r="O276" s="545"/>
      <c r="P276" s="545"/>
      <c r="Q276" s="545"/>
      <c r="R276" s="545"/>
      <c r="S276" s="545"/>
      <c r="T276" s="545"/>
      <c r="U276" s="545"/>
    </row>
    <row r="277" spans="1:21" ht="18.75" hidden="1">
      <c r="A277" s="281"/>
      <c r="B277" s="282"/>
      <c r="C277" s="282"/>
      <c r="D277" s="647" t="s">
        <v>116</v>
      </c>
      <c r="E277" s="2"/>
      <c r="F277" s="2"/>
      <c r="G277" s="284"/>
      <c r="H277" s="646" t="s">
        <v>35</v>
      </c>
      <c r="I277" s="486">
        <v>0</v>
      </c>
      <c r="J277" s="486">
        <v>0</v>
      </c>
      <c r="K277" s="645">
        <v>0</v>
      </c>
      <c r="L277" s="287"/>
      <c r="M277" s="286"/>
      <c r="N277" s="286"/>
      <c r="O277" s="286"/>
      <c r="P277" s="286"/>
      <c r="Q277" s="286"/>
      <c r="R277" s="286"/>
      <c r="S277" s="286"/>
      <c r="T277" s="286"/>
      <c r="U277" s="286"/>
    </row>
    <row r="278" spans="1:21" ht="19.5" hidden="1">
      <c r="A278" s="288" t="s">
        <v>117</v>
      </c>
      <c r="B278" s="289"/>
      <c r="C278" s="289"/>
      <c r="D278" s="289"/>
      <c r="E278" s="290"/>
      <c r="F278" s="290"/>
      <c r="G278" s="290"/>
      <c r="H278" s="290"/>
      <c r="I278" s="291"/>
      <c r="J278" s="291"/>
      <c r="K278" s="292"/>
      <c r="L278" s="292"/>
      <c r="M278" s="292"/>
      <c r="N278" s="292"/>
      <c r="O278" s="292"/>
      <c r="P278" s="293"/>
      <c r="Q278" s="292"/>
      <c r="R278" s="292"/>
      <c r="S278" s="292"/>
      <c r="T278" s="292"/>
      <c r="U278" s="293"/>
    </row>
    <row r="279" spans="1:21" ht="19.5" hidden="1">
      <c r="A279" s="294" t="s">
        <v>118</v>
      </c>
      <c r="B279" s="295"/>
      <c r="C279" s="296"/>
      <c r="D279" s="295"/>
      <c r="E279" s="295"/>
      <c r="F279" s="295"/>
      <c r="G279" s="295"/>
      <c r="H279" s="295"/>
      <c r="I279" s="297"/>
      <c r="J279" s="298"/>
      <c r="K279" s="299"/>
      <c r="L279" s="300"/>
      <c r="M279" s="299"/>
      <c r="N279" s="299"/>
      <c r="O279" s="299"/>
      <c r="P279" s="299"/>
      <c r="Q279" s="299"/>
      <c r="R279" s="299"/>
      <c r="S279" s="299"/>
      <c r="T279" s="299"/>
      <c r="U279" s="299"/>
    </row>
    <row r="280" spans="1:21" ht="19.5" hidden="1">
      <c r="A280" s="301"/>
      <c r="B280" s="302" t="s">
        <v>119</v>
      </c>
      <c r="C280" s="303"/>
      <c r="D280" s="304"/>
      <c r="E280" s="303"/>
      <c r="F280" s="303"/>
      <c r="G280" s="305"/>
      <c r="H280" s="306" t="s">
        <v>35</v>
      </c>
      <c r="I280" s="644">
        <f ca="1">I293</f>
        <v>0</v>
      </c>
      <c r="J280" s="644">
        <f>J293</f>
        <v>0</v>
      </c>
      <c r="K280" s="643">
        <f ca="1">IF(I280&gt;0,J280*100/I280,0)</f>
        <v>0</v>
      </c>
      <c r="L280" s="310"/>
      <c r="M280" s="309"/>
      <c r="N280" s="309"/>
      <c r="O280" s="309"/>
      <c r="P280" s="309"/>
      <c r="Q280" s="309"/>
      <c r="R280" s="309"/>
      <c r="S280" s="309"/>
      <c r="T280" s="309"/>
      <c r="U280" s="309"/>
    </row>
    <row r="281" spans="1:21" ht="19.5" hidden="1">
      <c r="A281" s="301"/>
      <c r="B281" s="303"/>
      <c r="C281" s="303"/>
      <c r="D281" s="304"/>
      <c r="E281" s="303"/>
      <c r="F281" s="303"/>
      <c r="G281" s="305"/>
      <c r="H281" s="306" t="s">
        <v>46</v>
      </c>
      <c r="I281" s="644">
        <f ca="1">I292</f>
        <v>0</v>
      </c>
      <c r="J281" s="644">
        <f>J292</f>
        <v>0</v>
      </c>
      <c r="K281" s="643">
        <f ca="1">IF(I281&gt;0,J281*100/I281,0)</f>
        <v>0</v>
      </c>
      <c r="L281" s="310"/>
      <c r="M281" s="309"/>
      <c r="N281" s="309"/>
      <c r="O281" s="309"/>
      <c r="P281" s="309"/>
      <c r="Q281" s="309"/>
      <c r="R281" s="309"/>
      <c r="S281" s="309"/>
      <c r="T281" s="309"/>
      <c r="U281" s="309"/>
    </row>
    <row r="282" spans="1:21" ht="19.5" hidden="1">
      <c r="A282" s="155"/>
      <c r="B282" s="50"/>
      <c r="C282" s="156" t="s">
        <v>18</v>
      </c>
      <c r="D282" s="575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541">
        <f ca="1">L283+L284</f>
        <v>0</v>
      </c>
      <c r="M282" s="540">
        <f ca="1">M283+M284</f>
        <v>0</v>
      </c>
      <c r="N282" s="540">
        <f ca="1">N283+N284</f>
        <v>0</v>
      </c>
      <c r="O282" s="540">
        <f ca="1">IF(L282&gt;0,N282*100/L282,0)</f>
        <v>0</v>
      </c>
      <c r="P282" s="540">
        <f ca="1">IF(M282&gt;0,N282*100/M282,0)</f>
        <v>0</v>
      </c>
      <c r="Q282" s="540">
        <f>Q283+Q284</f>
        <v>0</v>
      </c>
      <c r="R282" s="540">
        <f>R283+R284</f>
        <v>0</v>
      </c>
      <c r="S282" s="540">
        <f>S283+S284</f>
        <v>0</v>
      </c>
      <c r="T282" s="540">
        <f>IF(Q282&gt;0,S282*100/Q282,0)</f>
        <v>0</v>
      </c>
      <c r="U282" s="540">
        <f>IF(R282&gt;0,S282*100/R282,0)</f>
        <v>0</v>
      </c>
    </row>
    <row r="283" spans="1:21" ht="18.75" hidden="1">
      <c r="A283" s="155"/>
      <c r="B283" s="50"/>
      <c r="C283" s="50"/>
      <c r="D283" s="50"/>
      <c r="E283" s="186" t="s">
        <v>20</v>
      </c>
      <c r="F283" s="50"/>
      <c r="G283" s="52"/>
      <c r="H283" s="187" t="s">
        <v>14</v>
      </c>
      <c r="I283" s="54"/>
      <c r="J283" s="54"/>
      <c r="K283" s="55"/>
      <c r="L283" s="103">
        <f>L286+L289</f>
        <v>0</v>
      </c>
      <c r="M283" s="102">
        <f>M286+M289</f>
        <v>0</v>
      </c>
      <c r="N283" s="102">
        <f>N286+N289</f>
        <v>0</v>
      </c>
      <c r="O283" s="102">
        <f>IF(L283&gt;0,N283*100/L283,0)</f>
        <v>0</v>
      </c>
      <c r="P283" s="102">
        <f>IF(M283&gt;0,N283*100/M283,0)</f>
        <v>0</v>
      </c>
      <c r="Q283" s="102">
        <f>Q286+Q289</f>
        <v>0</v>
      </c>
      <c r="R283" s="102">
        <f>R286+R289</f>
        <v>0</v>
      </c>
      <c r="S283" s="102">
        <f>S286+S289</f>
        <v>0</v>
      </c>
      <c r="T283" s="102">
        <f>IF(Q283&gt;0,S283*100/Q283,0)</f>
        <v>0</v>
      </c>
      <c r="U283" s="102">
        <f>IF(R283&gt;0,S283*100/R283,0)</f>
        <v>0</v>
      </c>
    </row>
    <row r="284" spans="1:21" ht="18.75" hidden="1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256">
        <f ca="1">L287+L290</f>
        <v>0</v>
      </c>
      <c r="M284" s="255">
        <f ca="1">M287+M290</f>
        <v>0</v>
      </c>
      <c r="N284" s="255">
        <f ca="1">N287+N290</f>
        <v>0</v>
      </c>
      <c r="O284" s="255">
        <f ca="1">IF(L284&gt;0,N284*100/L284,0)</f>
        <v>0</v>
      </c>
      <c r="P284" s="255">
        <f ca="1">IF(M284&gt;0,N284*100/M284,0)</f>
        <v>0</v>
      </c>
      <c r="Q284" s="255">
        <f>Q287+Q290</f>
        <v>0</v>
      </c>
      <c r="R284" s="255">
        <f>R287+R290</f>
        <v>0</v>
      </c>
      <c r="S284" s="255">
        <f>S287+S290</f>
        <v>0</v>
      </c>
      <c r="T284" s="255">
        <f>IF(Q284&gt;0,S284*100/Q284,0)</f>
        <v>0</v>
      </c>
      <c r="U284" s="255">
        <f>IF(R284&gt;0,S284*100/R284,0)</f>
        <v>0</v>
      </c>
    </row>
    <row r="285" spans="1:21" ht="18.75" hidden="1">
      <c r="A285" s="155"/>
      <c r="B285" s="50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256">
        <f ca="1">L286+L287</f>
        <v>0</v>
      </c>
      <c r="M285" s="255">
        <f ca="1">M286+M287</f>
        <v>0</v>
      </c>
      <c r="N285" s="255">
        <f ca="1">N286+N287</f>
        <v>0</v>
      </c>
      <c r="O285" s="255">
        <f ca="1">IF(L285&gt;0,N285*100/L285,0)</f>
        <v>0</v>
      </c>
      <c r="P285" s="255">
        <f ca="1">IF(M285&gt;0,N285*100/M285,0)</f>
        <v>0</v>
      </c>
      <c r="Q285" s="255">
        <f>Q286+Q287</f>
        <v>0</v>
      </c>
      <c r="R285" s="255">
        <f>R286+R287</f>
        <v>0</v>
      </c>
      <c r="S285" s="255">
        <f>S286+S287</f>
        <v>0</v>
      </c>
      <c r="T285" s="255">
        <f>IF(Q285&gt;0,S285*100/Q285,0)</f>
        <v>0</v>
      </c>
      <c r="U285" s="255">
        <f>IF(R285&gt;0,S285*100/R285,0)</f>
        <v>0</v>
      </c>
    </row>
    <row r="286" spans="1:21" ht="18.75" hidden="1">
      <c r="A286" s="155"/>
      <c r="B286" s="50"/>
      <c r="C286" s="50"/>
      <c r="D286" s="50"/>
      <c r="E286" s="186" t="s">
        <v>36</v>
      </c>
      <c r="F286" s="50"/>
      <c r="G286" s="52"/>
      <c r="H286" s="189" t="s">
        <v>14</v>
      </c>
      <c r="I286" s="163"/>
      <c r="J286" s="163"/>
      <c r="K286" s="164"/>
      <c r="L286" s="103">
        <v>0</v>
      </c>
      <c r="M286" s="102">
        <v>0</v>
      </c>
      <c r="N286" s="102">
        <v>0</v>
      </c>
      <c r="O286" s="102">
        <f>IF(L286&gt;0,N286*100/L286,0)</f>
        <v>0</v>
      </c>
      <c r="P286" s="102">
        <f>IF(M286&gt;0,N286*100/M286,0)</f>
        <v>0</v>
      </c>
      <c r="Q286" s="102">
        <v>0</v>
      </c>
      <c r="R286" s="102">
        <v>0</v>
      </c>
      <c r="S286" s="102">
        <v>0</v>
      </c>
      <c r="T286" s="102">
        <f>IF(Q286&gt;0,S286*100/Q286,0)</f>
        <v>0</v>
      </c>
      <c r="U286" s="102">
        <f>IF(R286&gt;0,S286*100/R286,0)</f>
        <v>0</v>
      </c>
    </row>
    <row r="287" spans="1:21" ht="18.75" hidden="1">
      <c r="A287" s="155"/>
      <c r="B287" s="50"/>
      <c r="C287" s="50"/>
      <c r="D287" s="50"/>
      <c r="E287" s="58" t="s">
        <v>37</v>
      </c>
      <c r="F287" s="50"/>
      <c r="G287" s="52"/>
      <c r="H287" s="162" t="s">
        <v>14</v>
      </c>
      <c r="I287" s="163"/>
      <c r="J287" s="163"/>
      <c r="K287" s="164"/>
      <c r="L287" s="256">
        <f ca="1">IFERROR(__xludf.DUMMYFUNCTION("IMPORTRANGE(""https://docs.google.com/spreadsheets/d/1-uDff_7J0KD5mKrp0Vvzr7lt3OU09vwQwhkpOPPYv2Y/edit?usp=sharing"",""งบพรบ!DO44"")"),0)</f>
        <v>0</v>
      </c>
      <c r="M287" s="255">
        <f ca="1">IFERROR(__xludf.DUMMYFUNCTION("IMPORTRANGE(""https://docs.google.com/spreadsheets/d/1-uDff_7J0KD5mKrp0Vvzr7lt3OU09vwQwhkpOPPYv2Y/edit?usp=sharing"",""งบพรบ!DT44"")"),0)</f>
        <v>0</v>
      </c>
      <c r="N287" s="255">
        <f ca="1">IFERROR(__xludf.DUMMYFUNCTION("IMPORTRANGE(""https://docs.google.com/spreadsheets/d/1-uDff_7J0KD5mKrp0Vvzr7lt3OU09vwQwhkpOPPYv2Y/edit?usp=sharing"",""งบพรบ!DV44"")"),0)</f>
        <v>0</v>
      </c>
      <c r="O287" s="255">
        <f ca="1">IF(L287&gt;0,N287*100/L287,0)</f>
        <v>0</v>
      </c>
      <c r="P287" s="255">
        <f ca="1">IF(M287&gt;0,N287*100/M287,0)</f>
        <v>0</v>
      </c>
      <c r="Q287" s="255">
        <v>0</v>
      </c>
      <c r="R287" s="255">
        <v>0</v>
      </c>
      <c r="S287" s="255">
        <v>0</v>
      </c>
      <c r="T287" s="102">
        <f>IF(Q287&gt;0,S287*100/Q287,0)</f>
        <v>0</v>
      </c>
      <c r="U287" s="102">
        <f>IF(R287&gt;0,S287*100/R287,0)</f>
        <v>0</v>
      </c>
    </row>
    <row r="288" spans="1:21" ht="18.75" hidden="1">
      <c r="A288" s="155"/>
      <c r="B288" s="50"/>
      <c r="C288" s="50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256">
        <f ca="1">L289+L290</f>
        <v>0</v>
      </c>
      <c r="M288" s="255">
        <f ca="1">M289+M290</f>
        <v>0</v>
      </c>
      <c r="N288" s="255">
        <f ca="1">N289+N290</f>
        <v>0</v>
      </c>
      <c r="O288" s="255">
        <f ca="1">IF(L288&gt;0,N288*100/L288,0)</f>
        <v>0</v>
      </c>
      <c r="P288" s="255">
        <f ca="1">IF(M288&gt;0,N288*100/M288,0)</f>
        <v>0</v>
      </c>
      <c r="Q288" s="255">
        <f>Q289+Q290</f>
        <v>0</v>
      </c>
      <c r="R288" s="255">
        <f>R289+R290</f>
        <v>0</v>
      </c>
      <c r="S288" s="255">
        <f>S289+S290</f>
        <v>0</v>
      </c>
      <c r="T288" s="255">
        <f>IF(Q288&gt;0,S288*100/Q288,0)</f>
        <v>0</v>
      </c>
      <c r="U288" s="255">
        <f>IF(R288&gt;0,S288*100/R288,0)</f>
        <v>0</v>
      </c>
    </row>
    <row r="289" spans="1:21" ht="18.75" hidden="1">
      <c r="A289" s="155"/>
      <c r="B289" s="50"/>
      <c r="C289" s="50"/>
      <c r="D289" s="50"/>
      <c r="E289" s="186" t="s">
        <v>20</v>
      </c>
      <c r="F289" s="50"/>
      <c r="G289" s="52"/>
      <c r="H289" s="189" t="s">
        <v>14</v>
      </c>
      <c r="I289" s="163"/>
      <c r="J289" s="163"/>
      <c r="K289" s="164"/>
      <c r="L289" s="103">
        <v>0</v>
      </c>
      <c r="M289" s="102">
        <v>0</v>
      </c>
      <c r="N289" s="102">
        <v>0</v>
      </c>
      <c r="O289" s="102">
        <f>IF(L289&gt;0,N289*100/L289,0)</f>
        <v>0</v>
      </c>
      <c r="P289" s="102">
        <f>IF(M289&gt;0,N289*100/M289,0)</f>
        <v>0</v>
      </c>
      <c r="Q289" s="102">
        <v>0</v>
      </c>
      <c r="R289" s="102">
        <v>0</v>
      </c>
      <c r="S289" s="102">
        <v>0</v>
      </c>
      <c r="T289" s="102">
        <f>IF(Q289&gt;0,S289*100/Q289,0)</f>
        <v>0</v>
      </c>
      <c r="U289" s="102">
        <f>IF(R289&gt;0,S289*100/R289,0)</f>
        <v>0</v>
      </c>
    </row>
    <row r="290" spans="1:21" ht="18.75" hidden="1">
      <c r="A290" s="155"/>
      <c r="B290" s="50"/>
      <c r="C290" s="50"/>
      <c r="D290" s="50"/>
      <c r="E290" s="58" t="s">
        <v>21</v>
      </c>
      <c r="F290" s="50"/>
      <c r="G290" s="52"/>
      <c r="H290" s="165" t="s">
        <v>14</v>
      </c>
      <c r="I290" s="163"/>
      <c r="J290" s="163"/>
      <c r="K290" s="164"/>
      <c r="L290" s="256">
        <f ca="1">IFERROR(__xludf.DUMMYFUNCTION("IMPORTRANGE(""https://docs.google.com/spreadsheets/d/1-uDff_7J0KD5mKrp0Vvzr7lt3OU09vwQwhkpOPPYv2Y/edit?usp=sharing"",""งบพรบ!DR44"")"),0)</f>
        <v>0</v>
      </c>
      <c r="M290" s="255">
        <f ca="1">IFERROR(__xludf.DUMMYFUNCTION("IMPORTRANGE(""https://docs.google.com/spreadsheets/d/1-uDff_7J0KD5mKrp0Vvzr7lt3OU09vwQwhkpOPPYv2Y/edit?usp=sharing"",""งบพรบ!DU44"")"),0)</f>
        <v>0</v>
      </c>
      <c r="N290" s="255">
        <f ca="1">IFERROR(__xludf.DUMMYFUNCTION("IMPORTRANGE(""https://docs.google.com/spreadsheets/d/1-uDff_7J0KD5mKrp0Vvzr7lt3OU09vwQwhkpOPPYv2Y/edit?usp=sharing"",""งบพรบ!DW44"")"),0)</f>
        <v>0</v>
      </c>
      <c r="O290" s="255">
        <f ca="1">IF(L290&gt;0,N290*100/L290,0)</f>
        <v>0</v>
      </c>
      <c r="P290" s="255">
        <f ca="1">IF(M290&gt;0,N290*100/M290,0)</f>
        <v>0</v>
      </c>
      <c r="Q290" s="255">
        <v>0</v>
      </c>
      <c r="R290" s="255">
        <v>0</v>
      </c>
      <c r="S290" s="255">
        <v>0</v>
      </c>
      <c r="T290" s="255">
        <f>IF(Q290&gt;0,S290*100/Q290,0)</f>
        <v>0</v>
      </c>
      <c r="U290" s="255">
        <f>IF(R290&gt;0,S290*100/R290,0)</f>
        <v>0</v>
      </c>
    </row>
    <row r="291" spans="1:21" ht="19.5" hidden="1">
      <c r="A291" s="166"/>
      <c r="B291" s="167"/>
      <c r="C291" s="156" t="s">
        <v>18</v>
      </c>
      <c r="D291" s="566" t="s">
        <v>38</v>
      </c>
      <c r="E291" s="169"/>
      <c r="F291" s="169"/>
      <c r="G291" s="170"/>
      <c r="H291" s="171"/>
      <c r="I291" s="163"/>
      <c r="J291" s="163"/>
      <c r="K291" s="164"/>
      <c r="L291" s="172"/>
      <c r="M291" s="164"/>
      <c r="N291" s="164"/>
      <c r="O291" s="164"/>
      <c r="P291" s="164"/>
      <c r="Q291" s="164"/>
      <c r="R291" s="164"/>
      <c r="S291" s="164"/>
      <c r="T291" s="164"/>
      <c r="U291" s="164"/>
    </row>
    <row r="292" spans="1:21" ht="18.75" hidden="1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212">
        <f ca="1">IFERROR(__xludf.DUMMYFUNCTION("IMPORTRANGE(""https://docs.google.com/spreadsheets/d/1eHaY18a8A9IcSdp1K8H6x8fbOy06t2VsZHhMHf-1x7Y/edit?usp=sharing"",""แผน!EE44"")"),0)</f>
        <v>0</v>
      </c>
      <c r="J292" s="467">
        <v>0</v>
      </c>
      <c r="K292" s="565">
        <f ca="1">IF(I292&gt;0,J292*100/I292,0)</f>
        <v>0</v>
      </c>
      <c r="L292" s="172"/>
      <c r="M292" s="164"/>
      <c r="N292" s="164"/>
      <c r="O292" s="164"/>
      <c r="P292" s="164"/>
      <c r="Q292" s="164"/>
      <c r="R292" s="164"/>
      <c r="S292" s="164"/>
      <c r="T292" s="164"/>
      <c r="U292" s="164"/>
    </row>
    <row r="293" spans="1:21" ht="19.5" hidden="1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373">
        <f ca="1">IFERROR(__xludf.DUMMYFUNCTION("IMPORTRANGE(""https://docs.google.com/spreadsheets/d/1eHaY18a8A9IcSdp1K8H6x8fbOy06t2VsZHhMHf-1x7Y/edit?usp=sharing"",""แผน!ED44"")"),0)</f>
        <v>0</v>
      </c>
      <c r="J293" s="373">
        <f>J296</f>
        <v>0</v>
      </c>
      <c r="K293" s="642">
        <f ca="1">IF(I293&gt;0,J293*100/I293,0)</f>
        <v>0</v>
      </c>
      <c r="L293" s="172"/>
      <c r="M293" s="164"/>
      <c r="N293" s="164"/>
      <c r="O293" s="164"/>
      <c r="P293" s="164"/>
      <c r="Q293" s="164"/>
      <c r="R293" s="164"/>
      <c r="S293" s="164"/>
      <c r="T293" s="164"/>
      <c r="U293" s="164"/>
    </row>
    <row r="294" spans="1:21" ht="19.5" hidden="1">
      <c r="A294" s="166"/>
      <c r="B294" s="167"/>
      <c r="C294" s="167"/>
      <c r="D294" s="174"/>
      <c r="E294" s="194" t="s">
        <v>122</v>
      </c>
      <c r="F294" s="174"/>
      <c r="G294" s="171"/>
      <c r="H294" s="171"/>
      <c r="I294" s="163"/>
      <c r="J294" s="54"/>
      <c r="K294" s="164"/>
      <c r="L294" s="172"/>
      <c r="M294" s="164"/>
      <c r="N294" s="164"/>
      <c r="O294" s="164"/>
      <c r="P294" s="164"/>
      <c r="Q294" s="164"/>
      <c r="R294" s="164"/>
      <c r="S294" s="164"/>
      <c r="T294" s="164"/>
      <c r="U294" s="164"/>
    </row>
    <row r="295" spans="1:21" ht="19.5" hidden="1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641">
        <f ca="1">IFERROR(__xludf.DUMMYFUNCTION("IMPORTRANGE(""https://docs.google.com/spreadsheets/d/1eHaY18a8A9IcSdp1K8H6x8fbOy06t2VsZHhMHf-1x7Y/edit?usp=sharing"",""แผน!ED44"")"),0)</f>
        <v>0</v>
      </c>
      <c r="J295" s="467">
        <v>0</v>
      </c>
      <c r="K295" s="565">
        <f ca="1">IF(I295&gt;0,J295*100/I295,0)</f>
        <v>0</v>
      </c>
      <c r="L295" s="172"/>
      <c r="M295" s="164"/>
      <c r="N295" s="164"/>
      <c r="O295" s="164"/>
      <c r="P295" s="164"/>
      <c r="Q295" s="164"/>
      <c r="R295" s="164"/>
      <c r="S295" s="164"/>
      <c r="T295" s="164"/>
      <c r="U295" s="164"/>
    </row>
    <row r="296" spans="1:21" ht="19.5" hidden="1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641">
        <f ca="1">IFERROR(__xludf.DUMMYFUNCTION("IMPORTRANGE(""https://docs.google.com/spreadsheets/d/1eHaY18a8A9IcSdp1K8H6x8fbOy06t2VsZHhMHf-1x7Y/edit?usp=sharing"",""แผน!ED44"")"),0)</f>
        <v>0</v>
      </c>
      <c r="J296" s="467">
        <v>0</v>
      </c>
      <c r="K296" s="565">
        <f ca="1">IF(I296&gt;0,J296*100/I296,0)</f>
        <v>0</v>
      </c>
      <c r="L296" s="172"/>
      <c r="M296" s="164"/>
      <c r="N296" s="164"/>
      <c r="O296" s="164"/>
      <c r="P296" s="164"/>
      <c r="Q296" s="164"/>
      <c r="R296" s="164"/>
      <c r="S296" s="164"/>
      <c r="T296" s="164"/>
      <c r="U296" s="164"/>
    </row>
    <row r="297" spans="1:21" ht="12.75" hidden="1">
      <c r="A297" s="192"/>
      <c r="B297" s="193"/>
      <c r="C297" s="193"/>
      <c r="D297" s="22"/>
      <c r="E297" s="22"/>
      <c r="F297" s="22"/>
      <c r="G297" s="23"/>
      <c r="H297" s="23"/>
      <c r="I297" s="24"/>
      <c r="J297" s="24"/>
      <c r="K297" s="25"/>
      <c r="L297" s="26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2.75" hidden="1">
      <c r="A298" s="192"/>
      <c r="B298" s="193"/>
      <c r="C298" s="193"/>
      <c r="D298" s="22"/>
      <c r="E298" s="22"/>
      <c r="F298" s="22"/>
      <c r="G298" s="23"/>
      <c r="H298" s="23"/>
      <c r="I298" s="24"/>
      <c r="J298" s="24"/>
      <c r="K298" s="25"/>
      <c r="L298" s="26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2.75" hidden="1">
      <c r="A299" s="311"/>
      <c r="B299" s="312"/>
      <c r="C299" s="312"/>
      <c r="D299" s="27"/>
      <c r="E299" s="27"/>
      <c r="F299" s="27"/>
      <c r="G299" s="17"/>
      <c r="H299" s="17"/>
      <c r="I299" s="18"/>
      <c r="J299" s="18"/>
      <c r="K299" s="19"/>
      <c r="L299" s="28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>
      <c r="A300" s="313" t="s">
        <v>125</v>
      </c>
      <c r="B300" s="314"/>
      <c r="C300" s="314"/>
      <c r="D300" s="314"/>
      <c r="E300" s="315"/>
      <c r="F300" s="315"/>
      <c r="G300" s="315"/>
      <c r="H300" s="315"/>
      <c r="I300" s="316"/>
      <c r="J300" s="316"/>
      <c r="K300" s="317"/>
      <c r="L300" s="317"/>
      <c r="M300" s="317"/>
      <c r="N300" s="317"/>
      <c r="O300" s="317"/>
      <c r="P300" s="318"/>
      <c r="Q300" s="317"/>
      <c r="R300" s="317"/>
      <c r="S300" s="317"/>
      <c r="T300" s="317"/>
      <c r="U300" s="318"/>
    </row>
    <row r="301" spans="1:21" ht="19.5">
      <c r="A301" s="319" t="s">
        <v>126</v>
      </c>
      <c r="B301" s="320"/>
      <c r="C301" s="320"/>
      <c r="D301" s="321"/>
      <c r="E301" s="321"/>
      <c r="F301" s="321"/>
      <c r="G301" s="322"/>
      <c r="H301" s="322"/>
      <c r="I301" s="323"/>
      <c r="J301" s="323"/>
      <c r="K301" s="324"/>
      <c r="L301" s="325"/>
      <c r="M301" s="324"/>
      <c r="N301" s="324"/>
      <c r="O301" s="324"/>
      <c r="P301" s="324"/>
      <c r="Q301" s="324"/>
      <c r="R301" s="324"/>
      <c r="S301" s="324"/>
      <c r="T301" s="324"/>
      <c r="U301" s="324"/>
    </row>
    <row r="302" spans="1:21" ht="19.5">
      <c r="A302" s="326"/>
      <c r="B302" s="327" t="s">
        <v>127</v>
      </c>
      <c r="C302" s="328"/>
      <c r="D302" s="328"/>
      <c r="E302" s="328"/>
      <c r="F302" s="328"/>
      <c r="G302" s="329"/>
      <c r="H302" s="330" t="s">
        <v>35</v>
      </c>
      <c r="I302" s="605">
        <f ca="1">I314</f>
        <v>30</v>
      </c>
      <c r="J302" s="605">
        <f>J314</f>
        <v>0</v>
      </c>
      <c r="K302" s="604">
        <f ca="1">IF(I302&gt;0,J302*100/I302,0)</f>
        <v>0</v>
      </c>
      <c r="L302" s="334"/>
      <c r="M302" s="333"/>
      <c r="N302" s="333"/>
      <c r="O302" s="333"/>
      <c r="P302" s="333"/>
      <c r="Q302" s="333"/>
      <c r="R302" s="333"/>
      <c r="S302" s="333"/>
      <c r="T302" s="333"/>
      <c r="U302" s="333"/>
    </row>
    <row r="303" spans="1:21" ht="19.5">
      <c r="A303" s="155"/>
      <c r="B303" s="50"/>
      <c r="C303" s="156" t="s">
        <v>18</v>
      </c>
      <c r="D303" s="575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541">
        <f ca="1">L304+L305</f>
        <v>0</v>
      </c>
      <c r="M303" s="540">
        <f ca="1">M304+M305</f>
        <v>0</v>
      </c>
      <c r="N303" s="540">
        <f ca="1">N304+N305</f>
        <v>0</v>
      </c>
      <c r="O303" s="540">
        <f ca="1">IF(L303&gt;0,N303*100/L303,0)</f>
        <v>0</v>
      </c>
      <c r="P303" s="540">
        <f ca="1">IF(M303&gt;0,N303*100/M303,0)</f>
        <v>0</v>
      </c>
      <c r="Q303" s="540">
        <f ca="1">Q304+Q305</f>
        <v>260958.39</v>
      </c>
      <c r="R303" s="540">
        <f ca="1">R304+R305</f>
        <v>260958</v>
      </c>
      <c r="S303" s="540">
        <f ca="1">S304+S305</f>
        <v>62720</v>
      </c>
      <c r="T303" s="540">
        <f ca="1">IF(Q303&gt;0,S303*100/Q303,0)</f>
        <v>24.034483045362133</v>
      </c>
      <c r="U303" s="540">
        <f ca="1">IF(R303&gt;0,S303*100/R303,0)</f>
        <v>24.034518964737622</v>
      </c>
    </row>
    <row r="304" spans="1:21" ht="18.75" hidden="1">
      <c r="A304" s="155"/>
      <c r="B304" s="50"/>
      <c r="C304" s="50"/>
      <c r="D304" s="50"/>
      <c r="E304" s="186" t="s">
        <v>20</v>
      </c>
      <c r="F304" s="50"/>
      <c r="G304" s="52"/>
      <c r="H304" s="187" t="s">
        <v>14</v>
      </c>
      <c r="I304" s="54"/>
      <c r="J304" s="54"/>
      <c r="K304" s="55"/>
      <c r="L304" s="103">
        <f>L307+L310</f>
        <v>0</v>
      </c>
      <c r="M304" s="102">
        <f>M307+M310</f>
        <v>0</v>
      </c>
      <c r="N304" s="102">
        <f>N307+N310</f>
        <v>0</v>
      </c>
      <c r="O304" s="102">
        <f>IF(L304&gt;0,N304*100/L304,0)</f>
        <v>0</v>
      </c>
      <c r="P304" s="102">
        <f>IF(M304&gt;0,N304*100/M304,0)</f>
        <v>0</v>
      </c>
      <c r="Q304" s="102">
        <f>Q307+Q310</f>
        <v>0</v>
      </c>
      <c r="R304" s="102">
        <f>R307+R310</f>
        <v>0</v>
      </c>
      <c r="S304" s="102">
        <f>S307+S310</f>
        <v>0</v>
      </c>
      <c r="T304" s="102">
        <f>IF(Q304&gt;0,S304*100/Q304,0)</f>
        <v>0</v>
      </c>
      <c r="U304" s="102">
        <f>IF(R304&gt;0,S304*100/R304,0)</f>
        <v>0</v>
      </c>
    </row>
    <row r="305" spans="1:21" ht="18.75" hidden="1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256">
        <f ca="1">L308+L311</f>
        <v>0</v>
      </c>
      <c r="M305" s="255">
        <f ca="1">M308+M311</f>
        <v>0</v>
      </c>
      <c r="N305" s="255">
        <f ca="1">N308+N311</f>
        <v>0</v>
      </c>
      <c r="O305" s="255">
        <f ca="1">IF(L305&gt;0,N305*100/L305,0)</f>
        <v>0</v>
      </c>
      <c r="P305" s="255">
        <f ca="1">IF(M305&gt;0,N305*100/M305,0)</f>
        <v>0</v>
      </c>
      <c r="Q305" s="255">
        <f ca="1">Q308+Q311</f>
        <v>260958.39</v>
      </c>
      <c r="R305" s="255">
        <f ca="1">R308+R311</f>
        <v>260958</v>
      </c>
      <c r="S305" s="255">
        <f ca="1">S308+S311</f>
        <v>62720</v>
      </c>
      <c r="T305" s="255">
        <f ca="1">IF(Q305&gt;0,S305*100/Q305,0)</f>
        <v>24.034483045362133</v>
      </c>
      <c r="U305" s="255">
        <f ca="1">IF(R305&gt;0,S305*100/R305,0)</f>
        <v>24.034518964737622</v>
      </c>
    </row>
    <row r="306" spans="1:21" ht="18.75">
      <c r="A306" s="155"/>
      <c r="B306" s="50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256">
        <f ca="1">L307+L308</f>
        <v>0</v>
      </c>
      <c r="M306" s="255">
        <f ca="1">M307+M308</f>
        <v>0</v>
      </c>
      <c r="N306" s="255">
        <f ca="1">N307+N308</f>
        <v>0</v>
      </c>
      <c r="O306" s="255">
        <f ca="1">IF(L306&gt;0,N306*100/L306,0)</f>
        <v>0</v>
      </c>
      <c r="P306" s="255">
        <f ca="1">IF(M306&gt;0,N306*100/M306,0)</f>
        <v>0</v>
      </c>
      <c r="Q306" s="255">
        <f ca="1">Q307+Q308</f>
        <v>260958.39</v>
      </c>
      <c r="R306" s="255">
        <f ca="1">R307+R308</f>
        <v>260958</v>
      </c>
      <c r="S306" s="255">
        <f ca="1">S307+S308</f>
        <v>62720</v>
      </c>
      <c r="T306" s="255">
        <f ca="1">IF(Q306&gt;0,S306*100/Q306,0)</f>
        <v>24.034483045362133</v>
      </c>
      <c r="U306" s="255">
        <f ca="1">IF(R306&gt;0,S306*100/R306,0)</f>
        <v>24.034518964737622</v>
      </c>
    </row>
    <row r="307" spans="1:21" ht="18.75" hidden="1">
      <c r="A307" s="155"/>
      <c r="B307" s="50"/>
      <c r="C307" s="50"/>
      <c r="D307" s="50"/>
      <c r="E307" s="186" t="s">
        <v>36</v>
      </c>
      <c r="F307" s="50"/>
      <c r="G307" s="52"/>
      <c r="H307" s="189" t="s">
        <v>14</v>
      </c>
      <c r="I307" s="163"/>
      <c r="J307" s="163"/>
      <c r="K307" s="164"/>
      <c r="L307" s="103">
        <v>0</v>
      </c>
      <c r="M307" s="102">
        <v>0</v>
      </c>
      <c r="N307" s="102">
        <v>0</v>
      </c>
      <c r="O307" s="102">
        <f>IF(L307&gt;0,N307*100/L307,0)</f>
        <v>0</v>
      </c>
      <c r="P307" s="102">
        <f>IF(M307&gt;0,N307*100/M307,0)</f>
        <v>0</v>
      </c>
      <c r="Q307" s="102">
        <v>0</v>
      </c>
      <c r="R307" s="102">
        <v>0</v>
      </c>
      <c r="S307" s="102">
        <v>0</v>
      </c>
      <c r="T307" s="102">
        <f>IF(Q307&gt;0,S307*100/Q307,0)</f>
        <v>0</v>
      </c>
      <c r="U307" s="102">
        <f>IF(R307&gt;0,S307*100/R307,0)</f>
        <v>0</v>
      </c>
    </row>
    <row r="308" spans="1:21" ht="18.75" hidden="1">
      <c r="A308" s="155"/>
      <c r="B308" s="50"/>
      <c r="C308" s="50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256">
        <f ca="1">IFERROR(__xludf.DUMMYFUNCTION("IMPORTRANGE(""https://docs.google.com/spreadsheets/d/1-uDff_7J0KD5mKrp0Vvzr7lt3OU09vwQwhkpOPPYv2Y/edit?usp=sharing"",""งบพรบ!DY44"")"),0)</f>
        <v>0</v>
      </c>
      <c r="M308" s="255">
        <f ca="1">IFERROR(__xludf.DUMMYFUNCTION("IMPORTRANGE(""https://docs.google.com/spreadsheets/d/1-uDff_7J0KD5mKrp0Vvzr7lt3OU09vwQwhkpOPPYv2Y/edit?usp=sharing"",""งบพรบ!ED44"")"),0)</f>
        <v>0</v>
      </c>
      <c r="N308" s="255">
        <f ca="1">IFERROR(__xludf.DUMMYFUNCTION("IMPORTRANGE(""https://docs.google.com/spreadsheets/d/1-uDff_7J0KD5mKrp0Vvzr7lt3OU09vwQwhkpOPPYv2Y/edit?usp=sharing"",""งบพรบ!EF44"")"),0)</f>
        <v>0</v>
      </c>
      <c r="O308" s="255">
        <f ca="1">IF(L308&gt;0,N308*100/L308,0)</f>
        <v>0</v>
      </c>
      <c r="P308" s="255">
        <f ca="1">IF(M308&gt;0,N308*100/M308,0)</f>
        <v>0</v>
      </c>
      <c r="Q308" s="255">
        <f ca="1">IFERROR(__xludf.DUMMYFUNCTION("IMPORTRANGE(""https://docs.google.com/spreadsheets/d/1ItG2mGa2ceCfYo0BwxsXqNm01IGEUdYcSSLTEv9YCik/edit?usp=sharing"",""เบิกจ่ายกองทุน!AP44"")"),260958.39)</f>
        <v>260958.39</v>
      </c>
      <c r="R308" s="255">
        <f ca="1">IFERROR(__xludf.DUMMYFUNCTION("IMPORTRANGE(""https://docs.google.com/spreadsheets/d/1ItG2mGa2ceCfYo0BwxsXqNm01IGEUdYcSSLTEv9YCik/edit?usp=sharing"",""เบิกจ่ายกองทุน!AQ44"")"),260958)</f>
        <v>260958</v>
      </c>
      <c r="S308" s="255">
        <f ca="1">IFERROR(__xludf.DUMMYFUNCTION("IMPORTRANGE(""https://docs.google.com/spreadsheets/d/1ItG2mGa2ceCfYo0BwxsXqNm01IGEUdYcSSLTEv9YCik/edit?usp=sharing"",""เบิกจ่ายกองทุน!AR44"")"),62720)</f>
        <v>62720</v>
      </c>
      <c r="T308" s="255">
        <f ca="1">IF(Q308&gt;0,S308*100/Q308,0)</f>
        <v>24.034483045362133</v>
      </c>
      <c r="U308" s="255">
        <f ca="1">IF(R308&gt;0,S308*100/R308,0)</f>
        <v>24.034518964737622</v>
      </c>
    </row>
    <row r="309" spans="1:21" ht="18.75">
      <c r="A309" s="155"/>
      <c r="B309" s="50"/>
      <c r="C309" s="50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256">
        <f ca="1">L310+L311</f>
        <v>0</v>
      </c>
      <c r="M309" s="255">
        <f ca="1">M310+M311</f>
        <v>0</v>
      </c>
      <c r="N309" s="255">
        <f ca="1">N310+N311</f>
        <v>0</v>
      </c>
      <c r="O309" s="255">
        <f ca="1">IF(L309&gt;0,N309*100/L309,0)</f>
        <v>0</v>
      </c>
      <c r="P309" s="255">
        <f ca="1">IF(M309&gt;0,N309*100/M309,0)</f>
        <v>0</v>
      </c>
      <c r="Q309" s="255">
        <f>Q310+Q311</f>
        <v>0</v>
      </c>
      <c r="R309" s="255">
        <f>R310+R311</f>
        <v>0</v>
      </c>
      <c r="S309" s="255">
        <f>S310+S311</f>
        <v>0</v>
      </c>
      <c r="T309" s="255">
        <f>IF(Q309&gt;0,S309*100/Q309,0)</f>
        <v>0</v>
      </c>
      <c r="U309" s="255">
        <f>IF(R309&gt;0,S309*100/R309,0)</f>
        <v>0</v>
      </c>
    </row>
    <row r="310" spans="1:21" ht="18.75" hidden="1">
      <c r="A310" s="155"/>
      <c r="B310" s="50"/>
      <c r="C310" s="50"/>
      <c r="D310" s="50"/>
      <c r="E310" s="186" t="s">
        <v>20</v>
      </c>
      <c r="F310" s="50"/>
      <c r="G310" s="52"/>
      <c r="H310" s="189" t="s">
        <v>14</v>
      </c>
      <c r="I310" s="163"/>
      <c r="J310" s="163"/>
      <c r="K310" s="164"/>
      <c r="L310" s="103">
        <v>0</v>
      </c>
      <c r="M310" s="102">
        <v>0</v>
      </c>
      <c r="N310" s="102">
        <v>0</v>
      </c>
      <c r="O310" s="102">
        <f>IF(L310&gt;0,N310*100/L310,0)</f>
        <v>0</v>
      </c>
      <c r="P310" s="102">
        <f>IF(M310&gt;0,N310*100/M310,0)</f>
        <v>0</v>
      </c>
      <c r="Q310" s="102">
        <v>0</v>
      </c>
      <c r="R310" s="102">
        <v>0</v>
      </c>
      <c r="S310" s="102">
        <v>0</v>
      </c>
      <c r="T310" s="102">
        <f>IF(Q310&gt;0,S310*100/Q310,0)</f>
        <v>0</v>
      </c>
      <c r="U310" s="102">
        <f>IF(R310&gt;0,S310*100/R310,0)</f>
        <v>0</v>
      </c>
    </row>
    <row r="311" spans="1:21" ht="18.75" hidden="1">
      <c r="A311" s="155"/>
      <c r="B311" s="50"/>
      <c r="C311" s="50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256">
        <f ca="1">IFERROR(__xludf.DUMMYFUNCTION("IMPORTRANGE(""https://docs.google.com/spreadsheets/d/1-uDff_7J0KD5mKrp0Vvzr7lt3OU09vwQwhkpOPPYv2Y/edit?usp=sharing"",""งบพรบ!EB44"")"),0)</f>
        <v>0</v>
      </c>
      <c r="M311" s="255">
        <f ca="1">IFERROR(__xludf.DUMMYFUNCTION("IMPORTRANGE(""https://docs.google.com/spreadsheets/d/1-uDff_7J0KD5mKrp0Vvzr7lt3OU09vwQwhkpOPPYv2Y/edit?usp=sharing"",""งบพรบ!EE44"")"),0)</f>
        <v>0</v>
      </c>
      <c r="N311" s="255">
        <f ca="1">IFERROR(__xludf.DUMMYFUNCTION("IMPORTRANGE(""https://docs.google.com/spreadsheets/d/1-uDff_7J0KD5mKrp0Vvzr7lt3OU09vwQwhkpOPPYv2Y/edit?usp=sharing"",""งบพรบ!EG44"")"),0)</f>
        <v>0</v>
      </c>
      <c r="O311" s="255">
        <f ca="1">IF(L311&gt;0,N311*100/L311,0)</f>
        <v>0</v>
      </c>
      <c r="P311" s="255">
        <f ca="1">IF(M311&gt;0,N311*100/M311,0)</f>
        <v>0</v>
      </c>
      <c r="Q311" s="255">
        <v>0</v>
      </c>
      <c r="R311" s="255">
        <v>0</v>
      </c>
      <c r="S311" s="255">
        <v>0</v>
      </c>
      <c r="T311" s="255">
        <f>IF(Q311&gt;0,S311*100/Q311,0)</f>
        <v>0</v>
      </c>
      <c r="U311" s="255">
        <f>IF(R311&gt;0,S311*100/R311,0)</f>
        <v>0</v>
      </c>
    </row>
    <row r="312" spans="1:21" ht="19.5">
      <c r="A312" s="166"/>
      <c r="B312" s="167"/>
      <c r="C312" s="156" t="s">
        <v>18</v>
      </c>
      <c r="D312" s="566" t="s">
        <v>38</v>
      </c>
      <c r="E312" s="169"/>
      <c r="F312" s="169"/>
      <c r="G312" s="170"/>
      <c r="H312" s="171"/>
      <c r="I312" s="54"/>
      <c r="J312" s="54"/>
      <c r="K312" s="55"/>
      <c r="L312" s="62"/>
      <c r="M312" s="55"/>
      <c r="N312" s="55"/>
      <c r="O312" s="55"/>
      <c r="P312" s="55"/>
      <c r="Q312" s="55"/>
      <c r="R312" s="55"/>
      <c r="S312" s="55"/>
      <c r="T312" s="55"/>
      <c r="U312" s="55"/>
    </row>
    <row r="313" spans="1:21" ht="18.75" hidden="1">
      <c r="A313" s="192"/>
      <c r="B313" s="193"/>
      <c r="C313" s="193"/>
      <c r="D313" s="640"/>
      <c r="E313" s="22"/>
      <c r="F313" s="22"/>
      <c r="G313" s="23"/>
      <c r="H313" s="23"/>
      <c r="I313" s="24"/>
      <c r="J313" s="638"/>
      <c r="K313" s="25"/>
      <c r="L313" s="26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8.75">
      <c r="A314" s="166"/>
      <c r="B314" s="167"/>
      <c r="C314" s="167"/>
      <c r="D314" s="178" t="s">
        <v>121</v>
      </c>
      <c r="E314" s="174"/>
      <c r="F314" s="174"/>
      <c r="G314" s="171"/>
      <c r="H314" s="179" t="s">
        <v>35</v>
      </c>
      <c r="I314" s="212">
        <f ca="1">IFERROR(__xludf.DUMMYFUNCTION("IMPORTRANGE(""https://docs.google.com/spreadsheets/d/1eHaY18a8A9IcSdp1K8H6x8fbOy06t2VsZHhMHf-1x7Y/edit?usp=sharing"",""แผน!EF44"")"),30)</f>
        <v>30</v>
      </c>
      <c r="J314" s="467">
        <v>0</v>
      </c>
      <c r="K314" s="255">
        <f ca="1">IF(I314&gt;0,J314*100/I314,0)</f>
        <v>0</v>
      </c>
      <c r="L314" s="62"/>
      <c r="M314" s="55"/>
      <c r="N314" s="55"/>
      <c r="O314" s="55"/>
      <c r="P314" s="55"/>
      <c r="Q314" s="55"/>
      <c r="R314" s="55"/>
      <c r="S314" s="55"/>
      <c r="T314" s="55"/>
      <c r="U314" s="55"/>
    </row>
    <row r="315" spans="1:21" ht="18.75" hidden="1">
      <c r="A315" s="192"/>
      <c r="B315" s="193"/>
      <c r="C315" s="193"/>
      <c r="D315" s="640"/>
      <c r="E315" s="22"/>
      <c r="F315" s="22"/>
      <c r="G315" s="23"/>
      <c r="H315" s="639"/>
      <c r="I315" s="638"/>
      <c r="J315" s="638"/>
      <c r="K315" s="637"/>
      <c r="L315" s="26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8.75" hidden="1">
      <c r="A316" s="192"/>
      <c r="B316" s="193"/>
      <c r="C316" s="193"/>
      <c r="D316" s="640"/>
      <c r="E316" s="22"/>
      <c r="F316" s="22"/>
      <c r="G316" s="23"/>
      <c r="H316" s="639"/>
      <c r="I316" s="638"/>
      <c r="J316" s="638"/>
      <c r="K316" s="637"/>
      <c r="L316" s="26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8.75" hidden="1">
      <c r="A317" s="192"/>
      <c r="B317" s="193"/>
      <c r="C317" s="193"/>
      <c r="D317" s="636"/>
      <c r="E317" s="22"/>
      <c r="F317" s="22"/>
      <c r="G317" s="23"/>
      <c r="H317" s="635"/>
      <c r="I317" s="634"/>
      <c r="J317" s="634"/>
      <c r="K317" s="633"/>
      <c r="L317" s="26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9.5" hidden="1">
      <c r="A318" s="319" t="s">
        <v>131</v>
      </c>
      <c r="B318" s="320"/>
      <c r="C318" s="320"/>
      <c r="D318" s="321"/>
      <c r="E318" s="320"/>
      <c r="F318" s="320"/>
      <c r="G318" s="320"/>
      <c r="H318" s="321"/>
      <c r="I318" s="323"/>
      <c r="J318" s="323"/>
      <c r="K318" s="324"/>
      <c r="L318" s="325"/>
      <c r="M318" s="324"/>
      <c r="N318" s="324"/>
      <c r="O318" s="324"/>
      <c r="P318" s="324"/>
      <c r="Q318" s="324"/>
      <c r="R318" s="324"/>
      <c r="S318" s="324"/>
      <c r="T318" s="324"/>
      <c r="U318" s="324"/>
    </row>
    <row r="319" spans="1:21" ht="19.5" hidden="1">
      <c r="A319" s="335"/>
      <c r="B319" s="327" t="s">
        <v>132</v>
      </c>
      <c r="C319" s="336"/>
      <c r="D319" s="337"/>
      <c r="E319" s="328"/>
      <c r="F319" s="328"/>
      <c r="G319" s="329"/>
      <c r="H319" s="330" t="s">
        <v>133</v>
      </c>
      <c r="I319" s="605">
        <f ca="1">I330</f>
        <v>0</v>
      </c>
      <c r="J319" s="605">
        <f>J330</f>
        <v>0</v>
      </c>
      <c r="K319" s="604">
        <f ca="1">IF(I319&gt;0,J319*100/I319,0)</f>
        <v>0</v>
      </c>
      <c r="L319" s="334"/>
      <c r="M319" s="333"/>
      <c r="N319" s="333"/>
      <c r="O319" s="333"/>
      <c r="P319" s="333"/>
      <c r="Q319" s="333"/>
      <c r="R319" s="333"/>
      <c r="S319" s="333"/>
      <c r="T319" s="333"/>
      <c r="U319" s="333"/>
    </row>
    <row r="320" spans="1:21" ht="19.5" hidden="1">
      <c r="A320" s="155"/>
      <c r="B320" s="50"/>
      <c r="C320" s="156" t="s">
        <v>18</v>
      </c>
      <c r="D320" s="575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541">
        <f ca="1">L321+L322</f>
        <v>0</v>
      </c>
      <c r="M320" s="540">
        <f ca="1">M321+M322</f>
        <v>0</v>
      </c>
      <c r="N320" s="540">
        <f ca="1">N321+N322</f>
        <v>0</v>
      </c>
      <c r="O320" s="540">
        <f ca="1">IF(L320&gt;0,N320*100/L320,0)</f>
        <v>0</v>
      </c>
      <c r="P320" s="540">
        <f ca="1">IF(M320&gt;0,N320*100/M320,0)</f>
        <v>0</v>
      </c>
      <c r="Q320" s="540">
        <f>Q321+Q322</f>
        <v>0</v>
      </c>
      <c r="R320" s="540">
        <f>R321+R322</f>
        <v>0</v>
      </c>
      <c r="S320" s="540">
        <f>S321+S322</f>
        <v>0</v>
      </c>
      <c r="T320" s="540">
        <f>IF(Q320&gt;0,S320*100/Q320,0)</f>
        <v>0</v>
      </c>
      <c r="U320" s="540">
        <f>IF(R320&gt;0,S320*100/R320,0)</f>
        <v>0</v>
      </c>
    </row>
    <row r="321" spans="1:21" ht="18.75" hidden="1">
      <c r="A321" s="155"/>
      <c r="B321" s="50"/>
      <c r="C321" s="50"/>
      <c r="D321" s="50"/>
      <c r="E321" s="186" t="s">
        <v>20</v>
      </c>
      <c r="F321" s="50"/>
      <c r="G321" s="52"/>
      <c r="H321" s="187" t="s">
        <v>14</v>
      </c>
      <c r="I321" s="54"/>
      <c r="J321" s="54"/>
      <c r="K321" s="55"/>
      <c r="L321" s="103">
        <f>L324+L327</f>
        <v>0</v>
      </c>
      <c r="M321" s="102">
        <f>M324+M327</f>
        <v>0</v>
      </c>
      <c r="N321" s="102">
        <f>N324+N327</f>
        <v>0</v>
      </c>
      <c r="O321" s="102">
        <f>IF(L321&gt;0,N321*100/L321,0)</f>
        <v>0</v>
      </c>
      <c r="P321" s="102">
        <f>IF(M321&gt;0,N321*100/M321,0)</f>
        <v>0</v>
      </c>
      <c r="Q321" s="102">
        <f>Q324+Q327</f>
        <v>0</v>
      </c>
      <c r="R321" s="102">
        <f>R324+R327</f>
        <v>0</v>
      </c>
      <c r="S321" s="102">
        <f>S324+S327</f>
        <v>0</v>
      </c>
      <c r="T321" s="102">
        <f>IF(Q321&gt;0,S321*100/Q321,0)</f>
        <v>0</v>
      </c>
      <c r="U321" s="102">
        <f>IF(R321&gt;0,S321*100/R321,0)</f>
        <v>0</v>
      </c>
    </row>
    <row r="322" spans="1:21" ht="18.75" hidden="1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256">
        <f ca="1">L325+L328</f>
        <v>0</v>
      </c>
      <c r="M322" s="255">
        <f ca="1">M325+M328</f>
        <v>0</v>
      </c>
      <c r="N322" s="255">
        <f ca="1">N325+N328</f>
        <v>0</v>
      </c>
      <c r="O322" s="255">
        <f ca="1">IF(L322&gt;0,N322*100/L322,0)</f>
        <v>0</v>
      </c>
      <c r="P322" s="255">
        <f ca="1">IF(M322&gt;0,N322*100/M322,0)</f>
        <v>0</v>
      </c>
      <c r="Q322" s="255">
        <f>Q325+Q328</f>
        <v>0</v>
      </c>
      <c r="R322" s="255">
        <f>R325+R328</f>
        <v>0</v>
      </c>
      <c r="S322" s="255">
        <f>S325+S328</f>
        <v>0</v>
      </c>
      <c r="T322" s="255">
        <f>IF(Q322&gt;0,S322*100/Q322,0)</f>
        <v>0</v>
      </c>
      <c r="U322" s="255">
        <f>IF(R322&gt;0,S322*100/R322,0)</f>
        <v>0</v>
      </c>
    </row>
    <row r="323" spans="1:21" ht="18.75" hidden="1">
      <c r="A323" s="155"/>
      <c r="B323" s="50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256">
        <f ca="1">L324+L325</f>
        <v>0</v>
      </c>
      <c r="M323" s="255">
        <f ca="1">M324+M325</f>
        <v>0</v>
      </c>
      <c r="N323" s="255">
        <f ca="1">N324+N325</f>
        <v>0</v>
      </c>
      <c r="O323" s="255">
        <f ca="1">IF(L323&gt;0,N323*100/L323,0)</f>
        <v>0</v>
      </c>
      <c r="P323" s="255">
        <f ca="1">IF(M323&gt;0,N323*100/M323,0)</f>
        <v>0</v>
      </c>
      <c r="Q323" s="255">
        <f>Q324+Q325</f>
        <v>0</v>
      </c>
      <c r="R323" s="255">
        <f>R324+R325</f>
        <v>0</v>
      </c>
      <c r="S323" s="255">
        <f>S324+S325</f>
        <v>0</v>
      </c>
      <c r="T323" s="255">
        <f>IF(Q323&gt;0,S323*100/Q323,0)</f>
        <v>0</v>
      </c>
      <c r="U323" s="255">
        <f>IF(R323&gt;0,S323*100/R323,0)</f>
        <v>0</v>
      </c>
    </row>
    <row r="324" spans="1:21" ht="18.75" hidden="1">
      <c r="A324" s="155"/>
      <c r="B324" s="50"/>
      <c r="C324" s="50"/>
      <c r="D324" s="50"/>
      <c r="E324" s="186" t="s">
        <v>36</v>
      </c>
      <c r="F324" s="50"/>
      <c r="G324" s="52"/>
      <c r="H324" s="189" t="s">
        <v>14</v>
      </c>
      <c r="I324" s="163"/>
      <c r="J324" s="163"/>
      <c r="K324" s="164"/>
      <c r="L324" s="103">
        <v>0</v>
      </c>
      <c r="M324" s="102">
        <v>0</v>
      </c>
      <c r="N324" s="102">
        <v>0</v>
      </c>
      <c r="O324" s="102">
        <f>IF(L324&gt;0,N324*100/L324,0)</f>
        <v>0</v>
      </c>
      <c r="P324" s="102">
        <f>IF(M324&gt;0,N324*100/M324,0)</f>
        <v>0</v>
      </c>
      <c r="Q324" s="102">
        <v>0</v>
      </c>
      <c r="R324" s="102">
        <v>0</v>
      </c>
      <c r="S324" s="102">
        <v>0</v>
      </c>
      <c r="T324" s="102">
        <f>IF(Q324&gt;0,S324*100/Q324,0)</f>
        <v>0</v>
      </c>
      <c r="U324" s="102">
        <f>IF(R324&gt;0,S324*100/R324,0)</f>
        <v>0</v>
      </c>
    </row>
    <row r="325" spans="1:21" ht="18.75" hidden="1">
      <c r="A325" s="155"/>
      <c r="B325" s="50"/>
      <c r="C325" s="50"/>
      <c r="D325" s="50"/>
      <c r="E325" s="58" t="s">
        <v>37</v>
      </c>
      <c r="F325" s="50"/>
      <c r="G325" s="52"/>
      <c r="H325" s="162" t="s">
        <v>14</v>
      </c>
      <c r="I325" s="163"/>
      <c r="J325" s="163"/>
      <c r="K325" s="164"/>
      <c r="L325" s="256">
        <f ca="1">IFERROR(__xludf.DUMMYFUNCTION("IMPORTRANGE(""https://docs.google.com/spreadsheets/d/1-uDff_7J0KD5mKrp0Vvzr7lt3OU09vwQwhkpOPPYv2Y/edit?usp=sharing"",""งบพรบ!EI44"")"),0)</f>
        <v>0</v>
      </c>
      <c r="M325" s="255">
        <f ca="1">IFERROR(__xludf.DUMMYFUNCTION("IMPORTRANGE(""https://docs.google.com/spreadsheets/d/1-uDff_7J0KD5mKrp0Vvzr7lt3OU09vwQwhkpOPPYv2Y/edit?usp=sharing"",""งบพรบ!EN44"")"),0)</f>
        <v>0</v>
      </c>
      <c r="N325" s="255">
        <f ca="1">IFERROR(__xludf.DUMMYFUNCTION("IMPORTRANGE(""https://docs.google.com/spreadsheets/d/1-uDff_7J0KD5mKrp0Vvzr7lt3OU09vwQwhkpOPPYv2Y/edit?usp=sharing"",""งบพรบ!EP44"")"),0)</f>
        <v>0</v>
      </c>
      <c r="O325" s="255">
        <f ca="1">IF(L325&gt;0,N325*100/L325,0)</f>
        <v>0</v>
      </c>
      <c r="P325" s="255">
        <f ca="1">IF(M325&gt;0,N325*100/M325,0)</f>
        <v>0</v>
      </c>
      <c r="Q325" s="255">
        <v>0</v>
      </c>
      <c r="R325" s="255">
        <v>0</v>
      </c>
      <c r="S325" s="255">
        <v>0</v>
      </c>
      <c r="T325" s="255">
        <f>IF(Q325&gt;0,S325*100/Q325,0)</f>
        <v>0</v>
      </c>
      <c r="U325" s="255">
        <f>IF(R325&gt;0,S325*100/R325,0)</f>
        <v>0</v>
      </c>
    </row>
    <row r="326" spans="1:21" ht="18.75" hidden="1">
      <c r="A326" s="155"/>
      <c r="B326" s="50"/>
      <c r="C326" s="50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256">
        <f ca="1">L327+L328</f>
        <v>0</v>
      </c>
      <c r="M326" s="255">
        <f ca="1">M327+M328</f>
        <v>0</v>
      </c>
      <c r="N326" s="255">
        <f ca="1">N327+N328</f>
        <v>0</v>
      </c>
      <c r="O326" s="255">
        <f ca="1">IF(L326&gt;0,N326*100/L326,0)</f>
        <v>0</v>
      </c>
      <c r="P326" s="255">
        <f ca="1">IF(M326&gt;0,N326*100/M326,0)</f>
        <v>0</v>
      </c>
      <c r="Q326" s="255">
        <f>Q327+Q328</f>
        <v>0</v>
      </c>
      <c r="R326" s="255">
        <f>R327+R328</f>
        <v>0</v>
      </c>
      <c r="S326" s="255">
        <f>S327+S328</f>
        <v>0</v>
      </c>
      <c r="T326" s="255">
        <f>IF(Q326&gt;0,S326*100/Q326,0)</f>
        <v>0</v>
      </c>
      <c r="U326" s="255">
        <f>IF(R326&gt;0,S326*100/R326,0)</f>
        <v>0</v>
      </c>
    </row>
    <row r="327" spans="1:21" ht="18.75" hidden="1">
      <c r="A327" s="155"/>
      <c r="B327" s="50"/>
      <c r="C327" s="50"/>
      <c r="D327" s="50"/>
      <c r="E327" s="186" t="s">
        <v>20</v>
      </c>
      <c r="F327" s="50"/>
      <c r="G327" s="52"/>
      <c r="H327" s="189" t="s">
        <v>14</v>
      </c>
      <c r="I327" s="163"/>
      <c r="J327" s="163"/>
      <c r="K327" s="164"/>
      <c r="L327" s="103">
        <v>0</v>
      </c>
      <c r="M327" s="102">
        <v>0</v>
      </c>
      <c r="N327" s="102">
        <v>0</v>
      </c>
      <c r="O327" s="102">
        <f>IF(L327&gt;0,N327*100/L327,0)</f>
        <v>0</v>
      </c>
      <c r="P327" s="102">
        <f>IF(M327&gt;0,N327*100/M327,0)</f>
        <v>0</v>
      </c>
      <c r="Q327" s="102">
        <v>0</v>
      </c>
      <c r="R327" s="102">
        <v>0</v>
      </c>
      <c r="S327" s="102">
        <v>0</v>
      </c>
      <c r="T327" s="102">
        <f>IF(Q327&gt;0,S327*100/Q327,0)</f>
        <v>0</v>
      </c>
      <c r="U327" s="102">
        <f>IF(R327&gt;0,S327*100/R327,0)</f>
        <v>0</v>
      </c>
    </row>
    <row r="328" spans="1:21" ht="18.75" hidden="1">
      <c r="A328" s="155"/>
      <c r="B328" s="50"/>
      <c r="C328" s="50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256">
        <f ca="1">IFERROR(__xludf.DUMMYFUNCTION("IMPORTRANGE(""https://docs.google.com/spreadsheets/d/1-uDff_7J0KD5mKrp0Vvzr7lt3OU09vwQwhkpOPPYv2Y/edit?usp=sharing"",""งบพรบ!EL44"")"),0)</f>
        <v>0</v>
      </c>
      <c r="M328" s="255">
        <f ca="1">IFERROR(__xludf.DUMMYFUNCTION("IMPORTRANGE(""https://docs.google.com/spreadsheets/d/1-uDff_7J0KD5mKrp0Vvzr7lt3OU09vwQwhkpOPPYv2Y/edit?usp=sharing"",""งบพรบ!EO44"")"),0)</f>
        <v>0</v>
      </c>
      <c r="N328" s="255">
        <f ca="1">IFERROR(__xludf.DUMMYFUNCTION("IMPORTRANGE(""https://docs.google.com/spreadsheets/d/1-uDff_7J0KD5mKrp0Vvzr7lt3OU09vwQwhkpOPPYv2Y/edit?usp=sharing"",""งบพรบ!EQ44"")"),0)</f>
        <v>0</v>
      </c>
      <c r="O328" s="255">
        <f ca="1">IF(L328&gt;0,N328*100/L328,0)</f>
        <v>0</v>
      </c>
      <c r="P328" s="255">
        <f ca="1">IF(M328&gt;0,N328*100/M328,0)</f>
        <v>0</v>
      </c>
      <c r="Q328" s="255">
        <v>0</v>
      </c>
      <c r="R328" s="255">
        <v>0</v>
      </c>
      <c r="S328" s="255">
        <v>0</v>
      </c>
      <c r="T328" s="255">
        <f>IF(Q328&gt;0,S328*100/Q328,0)</f>
        <v>0</v>
      </c>
      <c r="U328" s="255">
        <f>IF(R328&gt;0,S328*100/R328,0)</f>
        <v>0</v>
      </c>
    </row>
    <row r="329" spans="1:21" ht="19.5" hidden="1">
      <c r="A329" s="166"/>
      <c r="B329" s="167"/>
      <c r="C329" s="156" t="s">
        <v>18</v>
      </c>
      <c r="D329" s="566" t="s">
        <v>38</v>
      </c>
      <c r="E329" s="169"/>
      <c r="F329" s="169"/>
      <c r="G329" s="170"/>
      <c r="H329" s="171"/>
      <c r="I329" s="163"/>
      <c r="J329" s="54"/>
      <c r="K329" s="55"/>
      <c r="L329" s="62"/>
      <c r="M329" s="55"/>
      <c r="N329" s="55"/>
      <c r="O329" s="164"/>
      <c r="P329" s="164"/>
      <c r="Q329" s="55"/>
      <c r="R329" s="55"/>
      <c r="S329" s="55"/>
      <c r="T329" s="164"/>
      <c r="U329" s="164"/>
    </row>
    <row r="330" spans="1:21" ht="18.75" hidden="1">
      <c r="A330" s="166"/>
      <c r="B330" s="167"/>
      <c r="C330" s="167"/>
      <c r="D330" s="173" t="s">
        <v>134</v>
      </c>
      <c r="E330" s="174"/>
      <c r="F330" s="174"/>
      <c r="G330" s="171"/>
      <c r="H330" s="53" t="s">
        <v>133</v>
      </c>
      <c r="I330" s="212">
        <f ca="1">IFERROR(__xludf.DUMMYFUNCTION("IMPORTRANGE(""https://docs.google.com/spreadsheets/d/1eHaY18a8A9IcSdp1K8H6x8fbOy06t2VsZHhMHf-1x7Y/edit?usp=sharing"",""แผน!EJ44"")"),0)</f>
        <v>0</v>
      </c>
      <c r="J330" s="467">
        <v>0</v>
      </c>
      <c r="K330" s="255">
        <f ca="1">IF(I330&gt;0,J330*100/I330,0)</f>
        <v>0</v>
      </c>
      <c r="L330" s="62"/>
      <c r="M330" s="55"/>
      <c r="N330" s="55"/>
      <c r="O330" s="164"/>
      <c r="P330" s="164"/>
      <c r="Q330" s="55"/>
      <c r="R330" s="55"/>
      <c r="S330" s="55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1"/>
      <c r="I331" s="323"/>
      <c r="J331" s="323"/>
      <c r="K331" s="324"/>
      <c r="L331" s="325"/>
      <c r="M331" s="324"/>
      <c r="N331" s="324"/>
      <c r="O331" s="324"/>
      <c r="P331" s="324"/>
      <c r="Q331" s="324"/>
      <c r="R331" s="324"/>
      <c r="S331" s="324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30" t="s">
        <v>35</v>
      </c>
      <c r="I332" s="632">
        <f ca="1">I344</f>
        <v>4460</v>
      </c>
      <c r="J332" s="631">
        <f ca="1">J344+J347+J348+J349+J353</f>
        <v>4225</v>
      </c>
      <c r="K332" s="630">
        <f ca="1">IF(I332&gt;0,J332*100/I332,0)</f>
        <v>94.730941704035871</v>
      </c>
      <c r="L332" s="334"/>
      <c r="M332" s="333"/>
      <c r="N332" s="333"/>
      <c r="O332" s="333"/>
      <c r="P332" s="333"/>
      <c r="Q332" s="333"/>
      <c r="R332" s="333"/>
      <c r="S332" s="333"/>
      <c r="T332" s="333"/>
      <c r="U332" s="333"/>
    </row>
    <row r="333" spans="1:21" ht="19.5">
      <c r="A333" s="155"/>
      <c r="B333" s="50"/>
      <c r="C333" s="156" t="s">
        <v>18</v>
      </c>
      <c r="D333" s="575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541">
        <f ca="1">L334+L335</f>
        <v>118000</v>
      </c>
      <c r="M333" s="540">
        <f ca="1">M334+M335</f>
        <v>123000</v>
      </c>
      <c r="N333" s="540">
        <f ca="1">N334+N335</f>
        <v>102403</v>
      </c>
      <c r="O333" s="540">
        <f ca="1">IF(L333&gt;0,N333*100/L333,0)</f>
        <v>86.782203389830514</v>
      </c>
      <c r="P333" s="540">
        <f ca="1">IF(M333&gt;0,N333*100/M333,0)</f>
        <v>83.254471544715443</v>
      </c>
      <c r="Q333" s="540">
        <f>Q334+Q335</f>
        <v>0</v>
      </c>
      <c r="R333" s="540">
        <f>R334+R335</f>
        <v>0</v>
      </c>
      <c r="S333" s="540">
        <f>S334+S335</f>
        <v>0</v>
      </c>
      <c r="T333" s="540">
        <f>IF(Q333&gt;0,S333*100/Q333,0)</f>
        <v>0</v>
      </c>
      <c r="U333" s="540">
        <f>IF(R333&gt;0,S333*100/R333,0)</f>
        <v>0</v>
      </c>
    </row>
    <row r="334" spans="1:21" ht="18.75" hidden="1">
      <c r="A334" s="155"/>
      <c r="B334" s="50"/>
      <c r="C334" s="50"/>
      <c r="D334" s="50"/>
      <c r="E334" s="186" t="s">
        <v>20</v>
      </c>
      <c r="F334" s="50"/>
      <c r="G334" s="52"/>
      <c r="H334" s="187" t="s">
        <v>14</v>
      </c>
      <c r="I334" s="54"/>
      <c r="J334" s="54"/>
      <c r="K334" s="55"/>
      <c r="L334" s="103">
        <f>L337+L340</f>
        <v>0</v>
      </c>
      <c r="M334" s="102">
        <f>M337+M340</f>
        <v>0</v>
      </c>
      <c r="N334" s="102">
        <f>N337+N340</f>
        <v>0</v>
      </c>
      <c r="O334" s="102">
        <f>IF(L334&gt;0,N334*100/L334,0)</f>
        <v>0</v>
      </c>
      <c r="P334" s="102">
        <f>IF(M334&gt;0,N334*100/M334,0)</f>
        <v>0</v>
      </c>
      <c r="Q334" s="102">
        <f>Q337+Q340</f>
        <v>0</v>
      </c>
      <c r="R334" s="102">
        <f>R337+R340</f>
        <v>0</v>
      </c>
      <c r="S334" s="102">
        <f>S337+S340</f>
        <v>0</v>
      </c>
      <c r="T334" s="102">
        <f>IF(Q334&gt;0,S334*100/Q334,0)</f>
        <v>0</v>
      </c>
      <c r="U334" s="102">
        <f>IF(R334&gt;0,S334*100/R334,0)</f>
        <v>0</v>
      </c>
    </row>
    <row r="335" spans="1:21" ht="18.75" hidden="1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256">
        <f ca="1">L338+L341</f>
        <v>118000</v>
      </c>
      <c r="M335" s="255">
        <f ca="1">M338+M341</f>
        <v>123000</v>
      </c>
      <c r="N335" s="255">
        <f ca="1">N338+N341</f>
        <v>102403</v>
      </c>
      <c r="O335" s="255">
        <f ca="1">IF(L335&gt;0,N335*100/L335,0)</f>
        <v>86.782203389830514</v>
      </c>
      <c r="P335" s="255">
        <f ca="1">IF(M335&gt;0,N335*100/M335,0)</f>
        <v>83.254471544715443</v>
      </c>
      <c r="Q335" s="255">
        <f>Q338+Q341</f>
        <v>0</v>
      </c>
      <c r="R335" s="255">
        <f>R338+R341</f>
        <v>0</v>
      </c>
      <c r="S335" s="255">
        <f>S338+S341</f>
        <v>0</v>
      </c>
      <c r="T335" s="255">
        <f>IF(Q335&gt;0,S335*100/Q335,0)</f>
        <v>0</v>
      </c>
      <c r="U335" s="255">
        <f>IF(R335&gt;0,S335*100/R335,0)</f>
        <v>0</v>
      </c>
    </row>
    <row r="336" spans="1:21" ht="18.75">
      <c r="A336" s="155"/>
      <c r="B336" s="50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256">
        <f ca="1">L337+L338</f>
        <v>118000</v>
      </c>
      <c r="M336" s="255">
        <f ca="1">M337+M338</f>
        <v>123000</v>
      </c>
      <c r="N336" s="255">
        <f ca="1">N337+N338</f>
        <v>102403</v>
      </c>
      <c r="O336" s="255">
        <f ca="1">IF(L336&gt;0,N336*100/L336,0)</f>
        <v>86.782203389830514</v>
      </c>
      <c r="P336" s="255">
        <f ca="1">IF(M336&gt;0,N336*100/M336,0)</f>
        <v>83.254471544715443</v>
      </c>
      <c r="Q336" s="255">
        <f>Q337+Q338</f>
        <v>0</v>
      </c>
      <c r="R336" s="255">
        <f>R337+R338</f>
        <v>0</v>
      </c>
      <c r="S336" s="255">
        <f>S337+S338</f>
        <v>0</v>
      </c>
      <c r="T336" s="255">
        <f>IF(Q336&gt;0,S336*100/Q336,0)</f>
        <v>0</v>
      </c>
      <c r="U336" s="255">
        <f>IF(R336&gt;0,S336*100/R336,0)</f>
        <v>0</v>
      </c>
    </row>
    <row r="337" spans="1:21" ht="18.75" hidden="1">
      <c r="A337" s="155"/>
      <c r="B337" s="50"/>
      <c r="C337" s="50"/>
      <c r="D337" s="50"/>
      <c r="E337" s="186" t="s">
        <v>36</v>
      </c>
      <c r="F337" s="50"/>
      <c r="G337" s="52"/>
      <c r="H337" s="189" t="s">
        <v>14</v>
      </c>
      <c r="I337" s="163"/>
      <c r="J337" s="163"/>
      <c r="K337" s="164"/>
      <c r="L337" s="103">
        <v>0</v>
      </c>
      <c r="M337" s="102">
        <v>0</v>
      </c>
      <c r="N337" s="102">
        <v>0</v>
      </c>
      <c r="O337" s="102">
        <f>IF(L337&gt;0,N337*100/L337,0)</f>
        <v>0</v>
      </c>
      <c r="P337" s="102">
        <f>IF(M337&gt;0,N337*100/M337,0)</f>
        <v>0</v>
      </c>
      <c r="Q337" s="102">
        <v>0</v>
      </c>
      <c r="R337" s="102">
        <v>0</v>
      </c>
      <c r="S337" s="102">
        <v>0</v>
      </c>
      <c r="T337" s="102">
        <f>IF(Q337&gt;0,S337*100/Q337,0)</f>
        <v>0</v>
      </c>
      <c r="U337" s="102">
        <f>IF(R337&gt;0,S337*100/R337,0)</f>
        <v>0</v>
      </c>
    </row>
    <row r="338" spans="1:21" ht="18.75" hidden="1">
      <c r="A338" s="155"/>
      <c r="B338" s="50"/>
      <c r="C338" s="50"/>
      <c r="D338" s="50"/>
      <c r="E338" s="58" t="s">
        <v>37</v>
      </c>
      <c r="F338" s="50"/>
      <c r="G338" s="52"/>
      <c r="H338" s="162" t="s">
        <v>14</v>
      </c>
      <c r="I338" s="163"/>
      <c r="J338" s="163"/>
      <c r="K338" s="164"/>
      <c r="L338" s="256">
        <f ca="1">IFERROR(__xludf.DUMMYFUNCTION("IMPORTRANGE(""https://docs.google.com/spreadsheets/d/1-uDff_7J0KD5mKrp0Vvzr7lt3OU09vwQwhkpOPPYv2Y/edit?usp=sharing"",""งบพรบ!ES44"")"),118000)</f>
        <v>118000</v>
      </c>
      <c r="M338" s="255">
        <f ca="1">IFERROR(__xludf.DUMMYFUNCTION("IMPORTRANGE(""https://docs.google.com/spreadsheets/d/1-uDff_7J0KD5mKrp0Vvzr7lt3OU09vwQwhkpOPPYv2Y/edit?usp=sharing"",""งบพรบ!EX44"")"),123000)</f>
        <v>123000</v>
      </c>
      <c r="N338" s="255">
        <f ca="1">IFERROR(__xludf.DUMMYFUNCTION("IMPORTRANGE(""https://docs.google.com/spreadsheets/d/1-uDff_7J0KD5mKrp0Vvzr7lt3OU09vwQwhkpOPPYv2Y/edit?usp=sharing"",""งบพรบ!EZ44"")"),102403)</f>
        <v>102403</v>
      </c>
      <c r="O338" s="255">
        <f ca="1">IF(L338&gt;0,N338*100/L338,0)</f>
        <v>86.782203389830514</v>
      </c>
      <c r="P338" s="255">
        <f ca="1">IF(M338&gt;0,N338*100/M338,0)</f>
        <v>83.254471544715443</v>
      </c>
      <c r="Q338" s="255">
        <v>0</v>
      </c>
      <c r="R338" s="255">
        <v>0</v>
      </c>
      <c r="S338" s="255">
        <v>0</v>
      </c>
      <c r="T338" s="255">
        <f>IF(Q338&gt;0,S338*100/Q338,0)</f>
        <v>0</v>
      </c>
      <c r="U338" s="255">
        <f>IF(R338&gt;0,S338*100/R338,0)</f>
        <v>0</v>
      </c>
    </row>
    <row r="339" spans="1:21" ht="18.75">
      <c r="A339" s="155"/>
      <c r="B339" s="50"/>
      <c r="C339" s="50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256">
        <f ca="1">L340+L341</f>
        <v>0</v>
      </c>
      <c r="M339" s="255">
        <f ca="1">M340+M341</f>
        <v>0</v>
      </c>
      <c r="N339" s="255">
        <f ca="1">N340+N341</f>
        <v>0</v>
      </c>
      <c r="O339" s="255">
        <f ca="1">IF(L339&gt;0,N339*100/L339,0)</f>
        <v>0</v>
      </c>
      <c r="P339" s="255">
        <f ca="1">IF(M339&gt;0,N339*100/M339,0)</f>
        <v>0</v>
      </c>
      <c r="Q339" s="255">
        <f>Q340+Q341</f>
        <v>0</v>
      </c>
      <c r="R339" s="255">
        <f>R340+R341</f>
        <v>0</v>
      </c>
      <c r="S339" s="255">
        <f>S340+S341</f>
        <v>0</v>
      </c>
      <c r="T339" s="255">
        <f>IF(Q339&gt;0,S339*100/Q339,0)</f>
        <v>0</v>
      </c>
      <c r="U339" s="255">
        <f>IF(R339&gt;0,S339*100/R339,0)</f>
        <v>0</v>
      </c>
    </row>
    <row r="340" spans="1:21" ht="18.75" hidden="1">
      <c r="A340" s="155"/>
      <c r="B340" s="50"/>
      <c r="C340" s="50"/>
      <c r="D340" s="50"/>
      <c r="E340" s="186" t="s">
        <v>20</v>
      </c>
      <c r="F340" s="50"/>
      <c r="G340" s="52"/>
      <c r="H340" s="189" t="s">
        <v>14</v>
      </c>
      <c r="I340" s="163"/>
      <c r="J340" s="163"/>
      <c r="K340" s="164"/>
      <c r="L340" s="103">
        <v>0</v>
      </c>
      <c r="M340" s="102">
        <v>0</v>
      </c>
      <c r="N340" s="102">
        <v>0</v>
      </c>
      <c r="O340" s="102">
        <f>IF(L340&gt;0,N340*100/L340,0)</f>
        <v>0</v>
      </c>
      <c r="P340" s="102">
        <f>IF(M340&gt;0,N340*100/M340,0)</f>
        <v>0</v>
      </c>
      <c r="Q340" s="102">
        <v>0</v>
      </c>
      <c r="R340" s="102">
        <v>0</v>
      </c>
      <c r="S340" s="102">
        <v>0</v>
      </c>
      <c r="T340" s="102">
        <f>IF(Q340&gt;0,S340*100/Q340,0)</f>
        <v>0</v>
      </c>
      <c r="U340" s="102">
        <f>IF(R340&gt;0,S340*100/R340,0)</f>
        <v>0</v>
      </c>
    </row>
    <row r="341" spans="1:21" ht="18.75" hidden="1">
      <c r="A341" s="155"/>
      <c r="B341" s="50"/>
      <c r="C341" s="50"/>
      <c r="D341" s="50"/>
      <c r="E341" s="58" t="s">
        <v>21</v>
      </c>
      <c r="F341" s="50"/>
      <c r="G341" s="52"/>
      <c r="H341" s="165" t="s">
        <v>14</v>
      </c>
      <c r="I341" s="163"/>
      <c r="J341" s="163"/>
      <c r="K341" s="164"/>
      <c r="L341" s="256">
        <f ca="1">IFERROR(__xludf.DUMMYFUNCTION("IMPORTRANGE(""https://docs.google.com/spreadsheets/d/1-uDff_7J0KD5mKrp0Vvzr7lt3OU09vwQwhkpOPPYv2Y/edit?usp=sharing"",""งบพรบ!EV44"")"),0)</f>
        <v>0</v>
      </c>
      <c r="M341" s="255">
        <f ca="1">IFERROR(__xludf.DUMMYFUNCTION("IMPORTRANGE(""https://docs.google.com/spreadsheets/d/1-uDff_7J0KD5mKrp0Vvzr7lt3OU09vwQwhkpOPPYv2Y/edit?usp=sharing"",""งบพรบ!EY44"")"),0)</f>
        <v>0</v>
      </c>
      <c r="N341" s="255">
        <f ca="1">IFERROR(__xludf.DUMMYFUNCTION("IMPORTRANGE(""https://docs.google.com/spreadsheets/d/1-uDff_7J0KD5mKrp0Vvzr7lt3OU09vwQwhkpOPPYv2Y/edit?usp=sharing"",""งบพรบ!FA44"")"),0)</f>
        <v>0</v>
      </c>
      <c r="O341" s="255">
        <f ca="1">IF(L341&gt;0,N341*100/L341,0)</f>
        <v>0</v>
      </c>
      <c r="P341" s="255">
        <f ca="1">IF(M341&gt;0,N341*100/M341,0)</f>
        <v>0</v>
      </c>
      <c r="Q341" s="255">
        <v>0</v>
      </c>
      <c r="R341" s="255">
        <v>0</v>
      </c>
      <c r="S341" s="255">
        <v>0</v>
      </c>
      <c r="T341" s="255">
        <f>IF(Q341&gt;0,S341*100/Q341,0)</f>
        <v>0</v>
      </c>
      <c r="U341" s="255">
        <f>IF(R341&gt;0,S341*100/R341,0)</f>
        <v>0</v>
      </c>
    </row>
    <row r="342" spans="1:21" ht="19.5">
      <c r="A342" s="166"/>
      <c r="B342" s="167"/>
      <c r="C342" s="156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62"/>
      <c r="M342" s="55"/>
      <c r="N342" s="55"/>
      <c r="O342" s="164"/>
      <c r="P342" s="164"/>
      <c r="Q342" s="55"/>
      <c r="R342" s="55"/>
      <c r="S342" s="55"/>
      <c r="T342" s="164"/>
      <c r="U342" s="164"/>
    </row>
    <row r="343" spans="1:21" ht="19.5">
      <c r="A343" s="629"/>
      <c r="B343" s="626"/>
      <c r="C343" s="628"/>
      <c r="D343" s="626"/>
      <c r="E343" s="627" t="s">
        <v>137</v>
      </c>
      <c r="F343" s="626"/>
      <c r="G343" s="625"/>
      <c r="H343" s="624" t="s">
        <v>35</v>
      </c>
      <c r="I343" s="623">
        <v>0</v>
      </c>
      <c r="J343" s="623">
        <f ca="1">J344+J347+J348+J349</f>
        <v>143</v>
      </c>
      <c r="K343" s="622">
        <v>0</v>
      </c>
      <c r="L343" s="250"/>
      <c r="M343" s="249"/>
      <c r="N343" s="249"/>
      <c r="O343" s="249"/>
      <c r="P343" s="249"/>
      <c r="Q343" s="249"/>
      <c r="R343" s="249"/>
      <c r="S343" s="249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40" t="s">
        <v>35</v>
      </c>
      <c r="I344" s="212">
        <f ca="1">IFERROR(__xludf.DUMMYFUNCTION("IMPORTRANGE(""https://docs.google.com/spreadsheets/d/1eHaY18a8A9IcSdp1K8H6x8fbOy06t2VsZHhMHf-1x7Y/edit?usp=sharing"",""แผน!EK44"")"),4460)</f>
        <v>4460</v>
      </c>
      <c r="J344" s="212">
        <f ca="1">IFERROR(__xludf.DUMMYFUNCTION("IMPORTRANGE(""https://docs.google.com/spreadsheets/d/1awYsYK3VOup2i3Pq_Yjnu8DRu_mYwSBnCR2QPthd0rU/edit?usp=sharing"",""ศูนย์ยกเว้นโฉนด!D44"")"),39)</f>
        <v>39</v>
      </c>
      <c r="K344" s="255">
        <f ca="1">IF(I344&gt;0,J344*100/I344,0)</f>
        <v>0.87443946188340804</v>
      </c>
      <c r="L344" s="62"/>
      <c r="M344" s="55"/>
      <c r="N344" s="55"/>
      <c r="O344" s="55"/>
      <c r="P344" s="55"/>
      <c r="Q344" s="55"/>
      <c r="R344" s="55"/>
      <c r="S344" s="55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62"/>
      <c r="M345" s="55"/>
      <c r="N345" s="55"/>
      <c r="O345" s="55"/>
      <c r="P345" s="55"/>
      <c r="Q345" s="55"/>
      <c r="R345" s="55"/>
      <c r="S345" s="55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212">
        <f ca="1">IFERROR(__xludf.DUMMYFUNCTION("IMPORTRANGE(""https://docs.google.com/spreadsheets/d/1eHaY18a8A9IcSdp1K8H6x8fbOy06t2VsZHhMHf-1x7Y/edit?usp=sharing"",""แผน!EL44"")"),6)</f>
        <v>6</v>
      </c>
      <c r="J346" s="212">
        <f ca="1">IFERROR(__xludf.DUMMYFUNCTION("IMPORTRANGE(""https://docs.google.com/spreadsheets/d/1awYsYK3VOup2i3Pq_Yjnu8DRu_mYwSBnCR2QPthd0rU/edit?usp=sharing"",""ศูนย์รวม!E44"")"),6)</f>
        <v>6</v>
      </c>
      <c r="K346" s="255">
        <f ca="1">IF(I346&gt;0,J346*100/I346,0)</f>
        <v>100</v>
      </c>
      <c r="L346" s="62"/>
      <c r="M346" s="55"/>
      <c r="N346" s="55"/>
      <c r="O346" s="55"/>
      <c r="P346" s="55"/>
      <c r="Q346" s="55"/>
      <c r="R346" s="55"/>
      <c r="S346" s="55"/>
      <c r="T346" s="55"/>
      <c r="U346" s="55"/>
    </row>
    <row r="347" spans="1:21" ht="18.75">
      <c r="A347" s="238"/>
      <c r="B347" s="50"/>
      <c r="C347" s="188"/>
      <c r="D347" s="174"/>
      <c r="E347" s="174"/>
      <c r="F347" s="178" t="s">
        <v>142</v>
      </c>
      <c r="G347" s="52"/>
      <c r="H347" s="203" t="s">
        <v>35</v>
      </c>
      <c r="I347" s="54"/>
      <c r="J347" s="212">
        <f ca="1">IFERROR(__xludf.DUMMYFUNCTION("IMPORTRANGE(""https://docs.google.com/spreadsheets/d/1awYsYK3VOup2i3Pq_Yjnu8DRu_mYwSBnCR2QPthd0rU/edit?usp=sharing"",""ศูนย์ยกเว้นโฉนด!F44"")"),0)</f>
        <v>0</v>
      </c>
      <c r="K347" s="55"/>
      <c r="L347" s="62"/>
      <c r="M347" s="55"/>
      <c r="N347" s="55"/>
      <c r="O347" s="55"/>
      <c r="P347" s="55"/>
      <c r="Q347" s="55"/>
      <c r="R347" s="55"/>
      <c r="S347" s="55"/>
      <c r="T347" s="55"/>
      <c r="U347" s="55"/>
    </row>
    <row r="348" spans="1:21" ht="18.75">
      <c r="A348" s="238"/>
      <c r="B348" s="50"/>
      <c r="C348" s="188"/>
      <c r="D348" s="174"/>
      <c r="E348" s="178" t="s">
        <v>143</v>
      </c>
      <c r="F348" s="174"/>
      <c r="G348" s="52"/>
      <c r="H348" s="203" t="s">
        <v>35</v>
      </c>
      <c r="I348" s="54"/>
      <c r="J348" s="212">
        <f ca="1">IFERROR(__xludf.DUMMYFUNCTION("IMPORTRANGE(""https://docs.google.com/spreadsheets/d/1awYsYK3VOup2i3Pq_Yjnu8DRu_mYwSBnCR2QPthd0rU/edit?usp=sharing"",""ศูนย์ยกเว้นโฉนด!G44"")"),1)</f>
        <v>1</v>
      </c>
      <c r="K348" s="55"/>
      <c r="L348" s="62"/>
      <c r="M348" s="55"/>
      <c r="N348" s="55"/>
      <c r="O348" s="55"/>
      <c r="P348" s="55"/>
      <c r="Q348" s="55"/>
      <c r="R348" s="55"/>
      <c r="S348" s="55"/>
      <c r="T348" s="55"/>
      <c r="U348" s="55"/>
    </row>
    <row r="349" spans="1:21" ht="18.75">
      <c r="A349" s="238"/>
      <c r="B349" s="50"/>
      <c r="C349" s="188"/>
      <c r="D349" s="167"/>
      <c r="E349" s="178" t="s">
        <v>144</v>
      </c>
      <c r="F349" s="174"/>
      <c r="G349" s="52"/>
      <c r="H349" s="203" t="s">
        <v>35</v>
      </c>
      <c r="I349" s="54"/>
      <c r="J349" s="212">
        <f ca="1">IFERROR(__xludf.DUMMYFUNCTION("IMPORTRANGE(""https://docs.google.com/spreadsheets/d/1awYsYK3VOup2i3Pq_Yjnu8DRu_mYwSBnCR2QPthd0rU/edit?usp=sharing"",""ศูนย์ยกเว้นโฉนด!H44"")"),103)</f>
        <v>103</v>
      </c>
      <c r="K349" s="55"/>
      <c r="L349" s="62"/>
      <c r="M349" s="55"/>
      <c r="N349" s="55"/>
      <c r="O349" s="55"/>
      <c r="P349" s="55"/>
      <c r="Q349" s="55"/>
      <c r="R349" s="55"/>
      <c r="S349" s="55"/>
      <c r="T349" s="55"/>
      <c r="U349" s="55"/>
    </row>
    <row r="350" spans="1:21" ht="16.5">
      <c r="A350" s="18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0" s="50"/>
      <c r="F350" s="50"/>
      <c r="G350" s="52"/>
      <c r="H350" s="208"/>
      <c r="I350" s="54"/>
      <c r="J350" s="54"/>
      <c r="K350" s="55"/>
      <c r="L350" s="62"/>
      <c r="M350" s="55"/>
      <c r="N350" s="55"/>
      <c r="O350" s="55"/>
      <c r="P350" s="55"/>
      <c r="Q350" s="55"/>
      <c r="R350" s="55"/>
      <c r="S350" s="55"/>
      <c r="T350" s="55"/>
      <c r="U350" s="55"/>
    </row>
    <row r="351" spans="1:21" ht="19.5">
      <c r="A351" s="241"/>
      <c r="B351" s="244"/>
      <c r="C351" s="242"/>
      <c r="D351" s="244"/>
      <c r="E351" s="621" t="s">
        <v>145</v>
      </c>
      <c r="F351" s="244"/>
      <c r="G351" s="245"/>
      <c r="H351" s="246" t="s">
        <v>35</v>
      </c>
      <c r="I351" s="339">
        <v>0</v>
      </c>
      <c r="J351" s="339">
        <f ca="1">J352+J353</f>
        <v>7111</v>
      </c>
      <c r="K351" s="340">
        <v>0</v>
      </c>
      <c r="L351" s="250"/>
      <c r="M351" s="249"/>
      <c r="N351" s="249"/>
      <c r="O351" s="249"/>
      <c r="P351" s="249"/>
      <c r="Q351" s="249"/>
      <c r="R351" s="249"/>
      <c r="S351" s="249"/>
      <c r="T351" s="249"/>
      <c r="U351" s="249"/>
    </row>
    <row r="352" spans="1:21" ht="18.75">
      <c r="A352" s="188"/>
      <c r="B352" s="50"/>
      <c r="C352" s="188"/>
      <c r="D352" s="174"/>
      <c r="E352" s="178" t="s">
        <v>146</v>
      </c>
      <c r="F352" s="50"/>
      <c r="G352" s="52"/>
      <c r="H352" s="161" t="s">
        <v>35</v>
      </c>
      <c r="I352" s="54"/>
      <c r="J352" s="212">
        <f ca="1">IFERROR(__xludf.DUMMYFUNCTION("IMPORTRANGE(""https://docs.google.com/spreadsheets/d/1awYsYK3VOup2i3Pq_Yjnu8DRu_mYwSBnCR2QPthd0rU/edit?usp=sharing"",""โฉนดM3!G44"")"),3029)</f>
        <v>3029</v>
      </c>
      <c r="K352" s="55"/>
      <c r="L352" s="62"/>
      <c r="M352" s="55"/>
      <c r="N352" s="55"/>
      <c r="O352" s="55"/>
      <c r="P352" s="55"/>
      <c r="Q352" s="55"/>
      <c r="R352" s="55"/>
      <c r="S352" s="55"/>
      <c r="T352" s="55"/>
      <c r="U352" s="55"/>
    </row>
    <row r="353" spans="1:21" ht="18.75">
      <c r="A353" s="18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212">
        <f ca="1">IFERROR(__xludf.DUMMYFUNCTION("IMPORTRANGE(""https://docs.google.com/spreadsheets/d/1awYsYK3VOup2i3Pq_Yjnu8DRu_mYwSBnCR2QPthd0rU/edit?usp=sharing"",""โฉนดM3!H44"")"),4082)</f>
        <v>4082</v>
      </c>
      <c r="K353" s="55"/>
      <c r="L353" s="62"/>
      <c r="M353" s="55"/>
      <c r="N353" s="55"/>
      <c r="O353" s="55"/>
      <c r="P353" s="55"/>
      <c r="Q353" s="55"/>
      <c r="R353" s="55"/>
      <c r="S353" s="55"/>
      <c r="T353" s="55"/>
      <c r="U353" s="55"/>
    </row>
    <row r="354" spans="1:21" ht="16.5">
      <c r="A354" s="188"/>
      <c r="B354" s="50"/>
      <c r="C354" s="188"/>
      <c r="D354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4" s="50"/>
      <c r="F354" s="50"/>
      <c r="G354" s="52"/>
      <c r="H354" s="208"/>
      <c r="I354" s="54"/>
      <c r="J354" s="54"/>
      <c r="K354" s="55"/>
      <c r="L354" s="62"/>
      <c r="M354" s="55"/>
      <c r="N354" s="55"/>
      <c r="O354" s="55"/>
      <c r="P354" s="55"/>
      <c r="Q354" s="55"/>
      <c r="R354" s="55"/>
      <c r="S354" s="55"/>
      <c r="T354" s="55"/>
      <c r="U354" s="55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29"/>
      <c r="I355" s="351"/>
      <c r="J355" s="351"/>
      <c r="K355" s="333"/>
      <c r="L355" s="334"/>
      <c r="M355" s="333"/>
      <c r="N355" s="333"/>
      <c r="O355" s="333"/>
      <c r="P355" s="333"/>
      <c r="Q355" s="333"/>
      <c r="R355" s="333"/>
      <c r="S355" s="333"/>
      <c r="T355" s="333"/>
      <c r="U355" s="333"/>
    </row>
    <row r="356" spans="1:21" ht="19.5">
      <c r="A356" s="155"/>
      <c r="B356" s="50"/>
      <c r="C356" s="156" t="s">
        <v>18</v>
      </c>
      <c r="D356" s="575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541">
        <f ca="1">L357+L358</f>
        <v>1411545</v>
      </c>
      <c r="M356" s="540">
        <f ca="1">M357+M358</f>
        <v>1411545</v>
      </c>
      <c r="N356" s="540">
        <f ca="1">N357+N358</f>
        <v>897217.88</v>
      </c>
      <c r="O356" s="540">
        <f ca="1">IF(L356&gt;0,N356*100/L356,0)</f>
        <v>63.562825131327727</v>
      </c>
      <c r="P356" s="540">
        <f ca="1">IF(M356&gt;0,N356*100/M356,0)</f>
        <v>63.562825131327727</v>
      </c>
      <c r="Q356" s="540">
        <f>Q357+Q358</f>
        <v>0</v>
      </c>
      <c r="R356" s="540">
        <f>R357+R358</f>
        <v>0</v>
      </c>
      <c r="S356" s="540">
        <f>S357+S358</f>
        <v>0</v>
      </c>
      <c r="T356" s="540">
        <f>IF(Q356&gt;0,S356*100/Q356,0)</f>
        <v>0</v>
      </c>
      <c r="U356" s="540">
        <f>IF(R356&gt;0,S356*100/R356,0)</f>
        <v>0</v>
      </c>
    </row>
    <row r="357" spans="1:21" ht="18.75" hidden="1">
      <c r="A357" s="155"/>
      <c r="B357" s="50"/>
      <c r="C357" s="50"/>
      <c r="D357" s="50"/>
      <c r="E357" s="186" t="s">
        <v>20</v>
      </c>
      <c r="F357" s="50"/>
      <c r="G357" s="52"/>
      <c r="H357" s="187" t="s">
        <v>14</v>
      </c>
      <c r="I357" s="54"/>
      <c r="J357" s="54"/>
      <c r="K357" s="55"/>
      <c r="L357" s="103">
        <f>L360+L363</f>
        <v>0</v>
      </c>
      <c r="M357" s="102">
        <f>M360+M363</f>
        <v>0</v>
      </c>
      <c r="N357" s="102">
        <f>N360+N363</f>
        <v>0</v>
      </c>
      <c r="O357" s="102">
        <f>IF(L357&gt;0,N357*100/L357,0)</f>
        <v>0</v>
      </c>
      <c r="P357" s="102">
        <f>IF(M357&gt;0,N357*100/M357,0)</f>
        <v>0</v>
      </c>
      <c r="Q357" s="102">
        <f>Q360+Q363</f>
        <v>0</v>
      </c>
      <c r="R357" s="102">
        <f>R360+R363</f>
        <v>0</v>
      </c>
      <c r="S357" s="102">
        <f>S360+S363</f>
        <v>0</v>
      </c>
      <c r="T357" s="102">
        <f>IF(Q357&gt;0,S357*100/Q357,0)</f>
        <v>0</v>
      </c>
      <c r="U357" s="102">
        <f>IF(R357&gt;0,S357*100/R357,0)</f>
        <v>0</v>
      </c>
    </row>
    <row r="358" spans="1:21" ht="18.75" hidden="1">
      <c r="A358" s="155"/>
      <c r="B358" s="50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256">
        <f ca="1">L361+L364</f>
        <v>1411545</v>
      </c>
      <c r="M358" s="255">
        <f ca="1">M361+M364</f>
        <v>1411545</v>
      </c>
      <c r="N358" s="255">
        <f ca="1">N361+N364</f>
        <v>897217.88</v>
      </c>
      <c r="O358" s="255">
        <f ca="1">IF(L358&gt;0,N358*100/L358,0)</f>
        <v>63.562825131327727</v>
      </c>
      <c r="P358" s="255">
        <f ca="1">IF(M358&gt;0,N358*100/M358,0)</f>
        <v>63.562825131327727</v>
      </c>
      <c r="Q358" s="255">
        <f>Q361+Q364</f>
        <v>0</v>
      </c>
      <c r="R358" s="255">
        <f>R361+R364</f>
        <v>0</v>
      </c>
      <c r="S358" s="255">
        <f>S361+S364</f>
        <v>0</v>
      </c>
      <c r="T358" s="255">
        <f>IF(Q358&gt;0,S358*100/Q358,0)</f>
        <v>0</v>
      </c>
      <c r="U358" s="255">
        <f>IF(R358&gt;0,S358*100/R358,0)</f>
        <v>0</v>
      </c>
    </row>
    <row r="359" spans="1:21" ht="18.75">
      <c r="A359" s="155"/>
      <c r="B359" s="50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256">
        <f ca="1">L360+L361</f>
        <v>1411545</v>
      </c>
      <c r="M359" s="255">
        <f ca="1">M360+M361</f>
        <v>1411545</v>
      </c>
      <c r="N359" s="255">
        <f ca="1">N360+N361</f>
        <v>897217.88</v>
      </c>
      <c r="O359" s="255">
        <f ca="1">IF(L359&gt;0,N359*100/L359,0)</f>
        <v>63.562825131327727</v>
      </c>
      <c r="P359" s="255">
        <f ca="1">IF(M359&gt;0,N359*100/M359,0)</f>
        <v>63.562825131327727</v>
      </c>
      <c r="Q359" s="255">
        <f>Q360+Q361</f>
        <v>0</v>
      </c>
      <c r="R359" s="255">
        <f>R360+R361</f>
        <v>0</v>
      </c>
      <c r="S359" s="255">
        <f>S360+S361</f>
        <v>0</v>
      </c>
      <c r="T359" s="255">
        <f>IF(Q359&gt;0,S359*100/Q359,0)</f>
        <v>0</v>
      </c>
      <c r="U359" s="255">
        <f>IF(R359&gt;0,S359*100/R359,0)</f>
        <v>0</v>
      </c>
    </row>
    <row r="360" spans="1:21" ht="18.75" hidden="1">
      <c r="A360" s="155"/>
      <c r="B360" s="50"/>
      <c r="C360" s="50"/>
      <c r="D360" s="50"/>
      <c r="E360" s="186" t="s">
        <v>36</v>
      </c>
      <c r="F360" s="50"/>
      <c r="G360" s="52"/>
      <c r="H360" s="189" t="s">
        <v>14</v>
      </c>
      <c r="I360" s="163"/>
      <c r="J360" s="163"/>
      <c r="K360" s="164"/>
      <c r="L360" s="103">
        <v>0</v>
      </c>
      <c r="M360" s="102">
        <v>0</v>
      </c>
      <c r="N360" s="102">
        <v>0</v>
      </c>
      <c r="O360" s="102">
        <f>IF(L360&gt;0,N360*100/L360,0)</f>
        <v>0</v>
      </c>
      <c r="P360" s="102">
        <f>IF(M360&gt;0,N360*100/M360,0)</f>
        <v>0</v>
      </c>
      <c r="Q360" s="102">
        <v>0</v>
      </c>
      <c r="R360" s="102">
        <v>0</v>
      </c>
      <c r="S360" s="102">
        <v>0</v>
      </c>
      <c r="T360" s="102">
        <f>IF(Q360&gt;0,S360*100/Q360,0)</f>
        <v>0</v>
      </c>
      <c r="U360" s="102">
        <f>IF(R360&gt;0,S360*100/R360,0)</f>
        <v>0</v>
      </c>
    </row>
    <row r="361" spans="1:21" ht="18.75" hidden="1">
      <c r="A361" s="155"/>
      <c r="B361" s="50"/>
      <c r="C361" s="50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256">
        <f ca="1">IFERROR(__xludf.DUMMYFUNCTION("IMPORTRANGE(""https://docs.google.com/spreadsheets/d/1-uDff_7J0KD5mKrp0Vvzr7lt3OU09vwQwhkpOPPYv2Y/edit?usp=sharing"",""งบพรบ!FC44"")"),1411545)</f>
        <v>1411545</v>
      </c>
      <c r="M361" s="255">
        <f ca="1">IFERROR(__xludf.DUMMYFUNCTION("IMPORTRANGE(""https://docs.google.com/spreadsheets/d/1-uDff_7J0KD5mKrp0Vvzr7lt3OU09vwQwhkpOPPYv2Y/edit?usp=sharing"",""งบพรบ!FH44"")"),1411545)</f>
        <v>1411545</v>
      </c>
      <c r="N361" s="255">
        <f ca="1">IFERROR(__xludf.DUMMYFUNCTION("IMPORTRANGE(""https://docs.google.com/spreadsheets/d/1-uDff_7J0KD5mKrp0Vvzr7lt3OU09vwQwhkpOPPYv2Y/edit?usp=sharing"",""งบพรบ!FJ44"")"),897217.88)</f>
        <v>897217.88</v>
      </c>
      <c r="O361" s="255">
        <f ca="1">IF(L361&gt;0,N361*100/L361,0)</f>
        <v>63.562825131327727</v>
      </c>
      <c r="P361" s="255">
        <f ca="1">IF(M361&gt;0,N361*100/M361,0)</f>
        <v>63.562825131327727</v>
      </c>
      <c r="Q361" s="255">
        <v>0</v>
      </c>
      <c r="R361" s="255">
        <v>0</v>
      </c>
      <c r="S361" s="255">
        <v>0</v>
      </c>
      <c r="T361" s="255">
        <f>IF(Q361&gt;0,S361*100/Q361,0)</f>
        <v>0</v>
      </c>
      <c r="U361" s="255">
        <f>IF(R361&gt;0,S361*100/R361,0)</f>
        <v>0</v>
      </c>
    </row>
    <row r="362" spans="1:21" ht="18.75">
      <c r="A362" s="155"/>
      <c r="B362" s="50"/>
      <c r="C362" s="50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256">
        <f ca="1">L363+L364</f>
        <v>0</v>
      </c>
      <c r="M362" s="255">
        <f ca="1">M363+M364</f>
        <v>0</v>
      </c>
      <c r="N362" s="255">
        <f ca="1">N363+N364</f>
        <v>0</v>
      </c>
      <c r="O362" s="255">
        <f ca="1">IF(L362&gt;0,N362*100/L362,0)</f>
        <v>0</v>
      </c>
      <c r="P362" s="255">
        <f ca="1">IF(M362&gt;0,N362*100/M362,0)</f>
        <v>0</v>
      </c>
      <c r="Q362" s="255">
        <f>Q363+Q364</f>
        <v>0</v>
      </c>
      <c r="R362" s="255">
        <f>R363+R364</f>
        <v>0</v>
      </c>
      <c r="S362" s="255">
        <f>S363+S364</f>
        <v>0</v>
      </c>
      <c r="T362" s="255">
        <f>IF(Q362&gt;0,S362*100/Q362,0)</f>
        <v>0</v>
      </c>
      <c r="U362" s="255">
        <f>IF(R362&gt;0,S362*100/R362,0)</f>
        <v>0</v>
      </c>
    </row>
    <row r="363" spans="1:21" ht="18.75" hidden="1">
      <c r="A363" s="155"/>
      <c r="B363" s="50"/>
      <c r="C363" s="50"/>
      <c r="D363" s="50"/>
      <c r="E363" s="186" t="s">
        <v>20</v>
      </c>
      <c r="F363" s="50"/>
      <c r="G363" s="52"/>
      <c r="H363" s="189" t="s">
        <v>14</v>
      </c>
      <c r="I363" s="163"/>
      <c r="J363" s="163"/>
      <c r="K363" s="164"/>
      <c r="L363" s="103">
        <v>0</v>
      </c>
      <c r="M363" s="102">
        <v>0</v>
      </c>
      <c r="N363" s="102">
        <v>0</v>
      </c>
      <c r="O363" s="102">
        <f>IF(L363&gt;0,N363*100/L363,0)</f>
        <v>0</v>
      </c>
      <c r="P363" s="102">
        <f>IF(M363&gt;0,N363*100/M363,0)</f>
        <v>0</v>
      </c>
      <c r="Q363" s="102">
        <v>0</v>
      </c>
      <c r="R363" s="102">
        <v>0</v>
      </c>
      <c r="S363" s="102">
        <v>0</v>
      </c>
      <c r="T363" s="102">
        <f>IF(Q363&gt;0,S363*100/Q363,0)</f>
        <v>0</v>
      </c>
      <c r="U363" s="102">
        <f>IF(R363&gt;0,S363*100/R363,0)</f>
        <v>0</v>
      </c>
    </row>
    <row r="364" spans="1:21" ht="18.75" hidden="1">
      <c r="A364" s="155"/>
      <c r="B364" s="50"/>
      <c r="C364" s="50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256">
        <f ca="1">IFERROR(__xludf.DUMMYFUNCTION("IMPORTRANGE(""https://docs.google.com/spreadsheets/d/1-uDff_7J0KD5mKrp0Vvzr7lt3OU09vwQwhkpOPPYv2Y/edit?usp=sharing"",""งบพรบ!FF44"")"),0)</f>
        <v>0</v>
      </c>
      <c r="M364" s="255">
        <f ca="1">IFERROR(__xludf.DUMMYFUNCTION("IMPORTRANGE(""https://docs.google.com/spreadsheets/d/1-uDff_7J0KD5mKrp0Vvzr7lt3OU09vwQwhkpOPPYv2Y/edit?usp=sharing"",""งบพรบ!FI44"")"),0)</f>
        <v>0</v>
      </c>
      <c r="N364" s="255">
        <f ca="1">IFERROR(__xludf.DUMMYFUNCTION("IMPORTRANGE(""https://docs.google.com/spreadsheets/d/1-uDff_7J0KD5mKrp0Vvzr7lt3OU09vwQwhkpOPPYv2Y/edit?usp=sharing"",""งบพรบ!FK44"")"),0)</f>
        <v>0</v>
      </c>
      <c r="O364" s="255">
        <f ca="1">IF(L364&gt;0,N364*100/L364,0)</f>
        <v>0</v>
      </c>
      <c r="P364" s="255">
        <f ca="1">IF(M364&gt;0,N364*100/M364,0)</f>
        <v>0</v>
      </c>
      <c r="Q364" s="255">
        <v>0</v>
      </c>
      <c r="R364" s="255">
        <v>0</v>
      </c>
      <c r="S364" s="255">
        <v>0</v>
      </c>
      <c r="T364" s="255">
        <f>IF(Q364&gt;0,S364*100/Q364,0)</f>
        <v>0</v>
      </c>
      <c r="U364" s="255">
        <f>IF(R364&gt;0,S364*100/R364,0)</f>
        <v>0</v>
      </c>
    </row>
    <row r="365" spans="1:21" ht="19.5">
      <c r="A365" s="241"/>
      <c r="B365" s="242"/>
      <c r="C365" s="244"/>
      <c r="D365" s="621" t="s">
        <v>150</v>
      </c>
      <c r="E365" s="244"/>
      <c r="F365" s="244"/>
      <c r="G365" s="245"/>
      <c r="H365" s="254" t="s">
        <v>35</v>
      </c>
      <c r="I365" s="339">
        <f ca="1">I371</f>
        <v>1283</v>
      </c>
      <c r="J365" s="339">
        <f ca="1">J371</f>
        <v>726</v>
      </c>
      <c r="K365" s="340">
        <f ca="1">IF(I365&gt;0,J365*100/I365,0)</f>
        <v>56.586126266562744</v>
      </c>
      <c r="L365" s="250"/>
      <c r="M365" s="249"/>
      <c r="N365" s="249"/>
      <c r="O365" s="249"/>
      <c r="P365" s="249"/>
      <c r="Q365" s="249"/>
      <c r="R365" s="249"/>
      <c r="S365" s="249"/>
      <c r="T365" s="249"/>
      <c r="U365" s="249"/>
    </row>
    <row r="366" spans="1:21" ht="19.5">
      <c r="A366" s="166"/>
      <c r="B366" s="167"/>
      <c r="C366" s="156" t="s">
        <v>18</v>
      </c>
      <c r="D366" s="566" t="s">
        <v>38</v>
      </c>
      <c r="E366" s="169"/>
      <c r="F366" s="169"/>
      <c r="G366" s="170"/>
      <c r="H366" s="171"/>
      <c r="I366" s="54"/>
      <c r="J366" s="54"/>
      <c r="K366" s="55"/>
      <c r="L366" s="172"/>
      <c r="M366" s="164"/>
      <c r="N366" s="164"/>
      <c r="O366" s="164"/>
      <c r="P366" s="164"/>
      <c r="Q366" s="164"/>
      <c r="R366" s="164"/>
      <c r="S366" s="164"/>
      <c r="T366" s="164"/>
      <c r="U366" s="164"/>
    </row>
    <row r="367" spans="1:21" ht="18.75">
      <c r="A367" s="166"/>
      <c r="B367" s="174"/>
      <c r="C367" s="167"/>
      <c r="D367" s="174"/>
      <c r="E367" s="173" t="s">
        <v>151</v>
      </c>
      <c r="F367" s="174"/>
      <c r="G367" s="171"/>
      <c r="H367" s="183" t="s">
        <v>35</v>
      </c>
      <c r="I367" s="212">
        <v>0</v>
      </c>
      <c r="J367" s="212">
        <f ca="1">IFERROR(__xludf.DUMMYFUNCTION("IMPORTRANGE(""https://docs.google.com/spreadsheets/d/1tdoBKaGub7dwA3U6UFTqxio9LNnvDCQjHKmttSEBsFQ/edit?usp=sharing"",""จัดที่ดิน!AB44"")"),496)</f>
        <v>496</v>
      </c>
      <c r="K367" s="255">
        <f>IF(I367&gt;0,J367*100/I367,0)</f>
        <v>0</v>
      </c>
      <c r="L367" s="172"/>
      <c r="M367" s="164"/>
      <c r="N367" s="164"/>
      <c r="O367" s="164"/>
      <c r="P367" s="164"/>
      <c r="Q367" s="164"/>
      <c r="R367" s="164"/>
      <c r="S367" s="164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212">
        <f ca="1">IFERROR(__xludf.DUMMYFUNCTION("IMPORTRANGE(""https://docs.google.com/spreadsheets/d/1eHaY18a8A9IcSdp1K8H6x8fbOy06t2VsZHhMHf-1x7Y/edit?usp=sharing"",""แผน!EW44"")"),2215)</f>
        <v>2215</v>
      </c>
      <c r="J368" s="620">
        <f ca="1">IFERROR(__xludf.DUMMYFUNCTION("IMPORTRANGE(""https://docs.google.com/spreadsheets/d/1tdoBKaGub7dwA3U6UFTqxio9LNnvDCQjHKmttSEBsFQ/edit?usp=sharing"",""จัดที่ดิน!AC44"")"),3271.04999999999)</f>
        <v>3271.0499999999902</v>
      </c>
      <c r="K368" s="255">
        <f ca="1">IF(I368&gt;0,J368*100/I368,0)</f>
        <v>147.67720090293409</v>
      </c>
      <c r="L368" s="172"/>
      <c r="M368" s="164"/>
      <c r="N368" s="164"/>
      <c r="O368" s="164"/>
      <c r="P368" s="164"/>
      <c r="Q368" s="164"/>
      <c r="R368" s="164"/>
      <c r="S368" s="164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79" t="s">
        <v>35</v>
      </c>
      <c r="I369" s="212">
        <f ca="1">IFERROR(__xludf.DUMMYFUNCTION("IMPORTRANGE(""https://docs.google.com/spreadsheets/d/1eHaY18a8A9IcSdp1K8H6x8fbOy06t2VsZHhMHf-1x7Y/edit?usp=sharing"",""แผน!EX44"")"),1283)</f>
        <v>1283</v>
      </c>
      <c r="J369" s="212">
        <f ca="1">IFERROR(__xludf.DUMMYFUNCTION("IMPORTRANGE(""https://docs.google.com/spreadsheets/d/1tdoBKaGub7dwA3U6UFTqxio9LNnvDCQjHKmttSEBsFQ/edit?usp=sharing"",""จัดที่ดิน!AD44"")"),1143)</f>
        <v>1143</v>
      </c>
      <c r="K369" s="255">
        <f ca="1">IF(I369&gt;0,J369*100/I369,0)</f>
        <v>89.088074824629771</v>
      </c>
      <c r="L369" s="172"/>
      <c r="M369" s="164"/>
      <c r="N369" s="164"/>
      <c r="O369" s="164"/>
      <c r="P369" s="164"/>
      <c r="Q369" s="164"/>
      <c r="R369" s="164"/>
      <c r="S369" s="164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79" t="s">
        <v>46</v>
      </c>
      <c r="I370" s="212">
        <v>0</v>
      </c>
      <c r="J370" s="620">
        <f ca="1">IFERROR(__xludf.DUMMYFUNCTION("IMPORTRANGE(""https://docs.google.com/spreadsheets/d/1tdoBKaGub7dwA3U6UFTqxio9LNnvDCQjHKmttSEBsFQ/edit?usp=sharing"",""จัดที่ดิน!AE44"")"),8387.66)</f>
        <v>8387.66</v>
      </c>
      <c r="K370" s="255">
        <f>IF(I370&gt;0,J370*100/I370,0)</f>
        <v>0</v>
      </c>
      <c r="L370" s="172"/>
      <c r="M370" s="164"/>
      <c r="N370" s="164"/>
      <c r="O370" s="164"/>
      <c r="P370" s="164"/>
      <c r="Q370" s="164"/>
      <c r="R370" s="164"/>
      <c r="S370" s="164"/>
      <c r="T370" s="164"/>
      <c r="U370" s="164"/>
    </row>
    <row r="371" spans="1:21" ht="18.75">
      <c r="A371" s="166"/>
      <c r="B371" s="174"/>
      <c r="C371" s="167"/>
      <c r="D371" s="174"/>
      <c r="E371" s="352" t="s">
        <v>153</v>
      </c>
      <c r="F371" s="174"/>
      <c r="G371" s="171"/>
      <c r="H371" s="179" t="s">
        <v>35</v>
      </c>
      <c r="I371" s="212">
        <f ca="1">IFERROR(__xludf.DUMMYFUNCTION("IMPORTRANGE(""https://docs.google.com/spreadsheets/d/1eHaY18a8A9IcSdp1K8H6x8fbOy06t2VsZHhMHf-1x7Y/edit?usp=sharing"",""แผน!EY44"")"),1283)</f>
        <v>1283</v>
      </c>
      <c r="J371" s="212">
        <f ca="1">IFERROR(__xludf.DUMMYFUNCTION("IMPORTRANGE(""https://docs.google.com/spreadsheets/d/1tdoBKaGub7dwA3U6UFTqxio9LNnvDCQjHKmttSEBsFQ/edit?usp=sharing"",""จัดที่ดิน!AF44"")"),726)</f>
        <v>726</v>
      </c>
      <c r="K371" s="255">
        <f ca="1">IF(I371&gt;0,J371*100/I371,0)</f>
        <v>56.586126266562744</v>
      </c>
      <c r="L371" s="172"/>
      <c r="M371" s="164"/>
      <c r="N371" s="164"/>
      <c r="O371" s="164"/>
      <c r="P371" s="164"/>
      <c r="Q371" s="164"/>
      <c r="R371" s="164"/>
      <c r="S371" s="164"/>
      <c r="T371" s="164"/>
      <c r="U371" s="164"/>
    </row>
    <row r="372" spans="1:21" ht="18.75">
      <c r="A372" s="166"/>
      <c r="B372" s="174"/>
      <c r="C372" s="167"/>
      <c r="D372" s="174"/>
      <c r="E372" s="174"/>
      <c r="F372" s="174"/>
      <c r="G372" s="171"/>
      <c r="H372" s="179" t="s">
        <v>46</v>
      </c>
      <c r="I372" s="212">
        <v>0</v>
      </c>
      <c r="J372" s="620">
        <f ca="1">IFERROR(__xludf.DUMMYFUNCTION("IMPORTRANGE(""https://docs.google.com/spreadsheets/d/1tdoBKaGub7dwA3U6UFTqxio9LNnvDCQjHKmttSEBsFQ/edit?usp=sharing"",""จัดที่ดิน!AG44"")"),5612.94)</f>
        <v>5612.94</v>
      </c>
      <c r="K372" s="255">
        <f>IF(I372&gt;0,J372*100/I372,0)</f>
        <v>0</v>
      </c>
      <c r="L372" s="172"/>
      <c r="M372" s="164"/>
      <c r="N372" s="164"/>
      <c r="O372" s="164"/>
      <c r="P372" s="164"/>
      <c r="Q372" s="164"/>
      <c r="R372" s="164"/>
      <c r="S372" s="164"/>
      <c r="T372" s="164"/>
      <c r="U372" s="164"/>
    </row>
    <row r="373" spans="1:21" ht="16.5">
      <c r="A373" s="5"/>
      <c r="B373" s="4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พ.ค. 67 เวลา 07.29 น.]")</f>
        <v xml:space="preserve"> [ข้อมูลจาก ระบบ ALRO Land Online ข้อมูล ณ 1 พ.ค. 67 เวลา 07.29 น.]</v>
      </c>
      <c r="E373" s="4"/>
      <c r="F373" s="4"/>
      <c r="G373" s="65"/>
      <c r="H373" s="65"/>
      <c r="I373" s="67"/>
      <c r="J373" s="67"/>
      <c r="K373" s="6"/>
      <c r="L373" s="68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>
      <c r="A374" s="619"/>
      <c r="B374" s="618" t="s">
        <v>154</v>
      </c>
      <c r="C374" s="617"/>
      <c r="D374" s="616"/>
      <c r="E374" s="615"/>
      <c r="F374" s="615"/>
      <c r="G374" s="614"/>
      <c r="H374" s="613" t="s">
        <v>46</v>
      </c>
      <c r="I374" s="612">
        <f ca="1">I386+I388</f>
        <v>1500</v>
      </c>
      <c r="J374" s="612">
        <f ca="1">J386+J388</f>
        <v>0</v>
      </c>
      <c r="K374" s="611">
        <f ca="1">IF(I374&gt;0,J374*100/I374,0)</f>
        <v>0</v>
      </c>
      <c r="L374" s="334"/>
      <c r="M374" s="333"/>
      <c r="N374" s="333"/>
      <c r="O374" s="333"/>
      <c r="P374" s="333"/>
      <c r="Q374" s="333"/>
      <c r="R374" s="333"/>
      <c r="S374" s="333"/>
      <c r="T374" s="333"/>
      <c r="U374" s="333"/>
    </row>
    <row r="375" spans="1:21" ht="19.5">
      <c r="A375" s="155"/>
      <c r="B375" s="188"/>
      <c r="C375" s="191" t="s">
        <v>18</v>
      </c>
      <c r="D375" s="608" t="s">
        <v>19</v>
      </c>
      <c r="E375" s="50"/>
      <c r="F375" s="50"/>
      <c r="G375" s="52"/>
      <c r="H375" s="158" t="s">
        <v>14</v>
      </c>
      <c r="I375" s="54"/>
      <c r="J375" s="54"/>
      <c r="K375" s="55"/>
      <c r="L375" s="541">
        <f>L376+L377</f>
        <v>0</v>
      </c>
      <c r="M375" s="540">
        <f>M376+M377</f>
        <v>0</v>
      </c>
      <c r="N375" s="540">
        <f>N376+N377</f>
        <v>0</v>
      </c>
      <c r="O375" s="540">
        <f>IF(L375&gt;0,N375*100/L375,0)</f>
        <v>0</v>
      </c>
      <c r="P375" s="540">
        <f>IF(M375&gt;0,N375*100/M375,0)</f>
        <v>0</v>
      </c>
      <c r="Q375" s="540">
        <f ca="1">Q376+Q377</f>
        <v>93750</v>
      </c>
      <c r="R375" s="540">
        <f ca="1">R376+R377</f>
        <v>0</v>
      </c>
      <c r="S375" s="540">
        <f ca="1">S376+S377</f>
        <v>0</v>
      </c>
      <c r="T375" s="540">
        <f ca="1">IF(Q375&gt;0,S375*100/Q375,0)</f>
        <v>0</v>
      </c>
      <c r="U375" s="540">
        <f ca="1">IF(R375&gt;0,S375*100/R375,0)</f>
        <v>0</v>
      </c>
    </row>
    <row r="376" spans="1:21" ht="18.75" hidden="1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103">
        <f>L379+L382</f>
        <v>0</v>
      </c>
      <c r="M376" s="102">
        <f>M379+M382</f>
        <v>0</v>
      </c>
      <c r="N376" s="102">
        <f>N379+N382</f>
        <v>0</v>
      </c>
      <c r="O376" s="102">
        <f>IF(L376&gt;0,N376*100/L376,0)</f>
        <v>0</v>
      </c>
      <c r="P376" s="102">
        <f>IF(M376&gt;0,N376*100/M376,0)</f>
        <v>0</v>
      </c>
      <c r="Q376" s="102">
        <f>Q379+Q382</f>
        <v>0</v>
      </c>
      <c r="R376" s="102">
        <f>R379+R382</f>
        <v>0</v>
      </c>
      <c r="S376" s="102">
        <f>S379+S382</f>
        <v>0</v>
      </c>
      <c r="T376" s="102">
        <f>IF(Q376&gt;0,S376*100/Q376,0)</f>
        <v>0</v>
      </c>
      <c r="U376" s="102">
        <f>IF(R376&gt;0,S376*100/R376,0)</f>
        <v>0</v>
      </c>
    </row>
    <row r="377" spans="1:21" ht="18.75" hidden="1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256">
        <f>L380+L383</f>
        <v>0</v>
      </c>
      <c r="M377" s="255">
        <f>M380+M383</f>
        <v>0</v>
      </c>
      <c r="N377" s="255">
        <f>N380+N383</f>
        <v>0</v>
      </c>
      <c r="O377" s="255">
        <f>IF(L377&gt;0,N377*100/L377,0)</f>
        <v>0</v>
      </c>
      <c r="P377" s="255">
        <f>IF(M377&gt;0,N377*100/M377,0)</f>
        <v>0</v>
      </c>
      <c r="Q377" s="255">
        <f ca="1">Q380+Q383</f>
        <v>93750</v>
      </c>
      <c r="R377" s="255">
        <f ca="1">R380+R383</f>
        <v>0</v>
      </c>
      <c r="S377" s="255">
        <f ca="1">S380+S383</f>
        <v>0</v>
      </c>
      <c r="T377" s="255">
        <f ca="1">IF(Q377&gt;0,S377*100/Q377,0)</f>
        <v>0</v>
      </c>
      <c r="U377" s="255">
        <f ca="1">IF(R377&gt;0,S377*100/R377,0)</f>
        <v>0</v>
      </c>
    </row>
    <row r="378" spans="1:21" ht="18.75">
      <c r="A378" s="155"/>
      <c r="B378" s="188"/>
      <c r="C378" s="188"/>
      <c r="D378" s="602" t="s">
        <v>22</v>
      </c>
      <c r="E378" s="50"/>
      <c r="F378" s="50"/>
      <c r="G378" s="52"/>
      <c r="H378" s="162" t="s">
        <v>14</v>
      </c>
      <c r="I378" s="163"/>
      <c r="J378" s="163"/>
      <c r="K378" s="164"/>
      <c r="L378" s="256">
        <f>L379+L380</f>
        <v>0</v>
      </c>
      <c r="M378" s="255">
        <f>M379+M380</f>
        <v>0</v>
      </c>
      <c r="N378" s="255">
        <f>N379+N380</f>
        <v>0</v>
      </c>
      <c r="O378" s="255">
        <f>IF(L378&gt;0,N378*100/L378,0)</f>
        <v>0</v>
      </c>
      <c r="P378" s="255">
        <f>IF(M378&gt;0,N378*100/M378,0)</f>
        <v>0</v>
      </c>
      <c r="Q378" s="255">
        <f ca="1">Q379+Q380</f>
        <v>93750</v>
      </c>
      <c r="R378" s="255">
        <f ca="1">R379+R380</f>
        <v>0</v>
      </c>
      <c r="S378" s="255">
        <f ca="1">S379+S380</f>
        <v>0</v>
      </c>
      <c r="T378" s="255">
        <f ca="1">IF(Q378&gt;0,S378*100/Q378,0)</f>
        <v>0</v>
      </c>
      <c r="U378" s="255">
        <f ca="1">IF(R378&gt;0,S378*100/R378,0)</f>
        <v>0</v>
      </c>
    </row>
    <row r="379" spans="1:21" ht="18.75" hidden="1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103">
        <v>0</v>
      </c>
      <c r="M379" s="102">
        <v>0</v>
      </c>
      <c r="N379" s="102">
        <v>0</v>
      </c>
      <c r="O379" s="102">
        <f>IF(L379&gt;0,N379*100/L379,0)</f>
        <v>0</v>
      </c>
      <c r="P379" s="102">
        <f>IF(M379&gt;0,N379*100/M379,0)</f>
        <v>0</v>
      </c>
      <c r="Q379" s="102">
        <v>0</v>
      </c>
      <c r="R379" s="102">
        <v>0</v>
      </c>
      <c r="S379" s="102">
        <v>0</v>
      </c>
      <c r="T379" s="102">
        <f>IF(Q379&gt;0,S379*100/Q379,0)</f>
        <v>0</v>
      </c>
      <c r="U379" s="102">
        <f>IF(R379&gt;0,S379*100/R379,0)</f>
        <v>0</v>
      </c>
    </row>
    <row r="380" spans="1:21" ht="18.75" hidden="1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256">
        <v>0</v>
      </c>
      <c r="M380" s="255">
        <v>0</v>
      </c>
      <c r="N380" s="255">
        <v>0</v>
      </c>
      <c r="O380" s="255">
        <f>IF(L380&gt;0,N380*100/L380,0)</f>
        <v>0</v>
      </c>
      <c r="P380" s="255">
        <f>IF(M380&gt;0,N380*100/M380,0)</f>
        <v>0</v>
      </c>
      <c r="Q380" s="255">
        <f ca="1">IFERROR(__xludf.DUMMYFUNCTION("IMPORTRANGE(""https://docs.google.com/spreadsheets/d/1ItG2mGa2ceCfYo0BwxsXqNm01IGEUdYcSSLTEv9YCik/edit?usp=sharing"",""เบิกจ่ายกองทุน!AY44"")"),93750)</f>
        <v>93750</v>
      </c>
      <c r="R380" s="255">
        <f ca="1">IFERROR(__xludf.DUMMYFUNCTION("IMPORTRANGE(""https://docs.google.com/spreadsheets/d/1ItG2mGa2ceCfYo0BwxsXqNm01IGEUdYcSSLTEv9YCik/edit?usp=sharing"",""เบิกจ่ายกองทุน!AZ44"")"),0)</f>
        <v>0</v>
      </c>
      <c r="S380" s="255">
        <f ca="1">IFERROR(__xludf.DUMMYFUNCTION("IMPORTRANGE(""https://docs.google.com/spreadsheets/d/1ItG2mGa2ceCfYo0BwxsXqNm01IGEUdYcSSLTEv9YCik/edit?usp=sharing"",""เบิกจ่ายกองทุน!BA44"")"),0)</f>
        <v>0</v>
      </c>
      <c r="T380" s="255">
        <f ca="1">IF(Q380&gt;0,S380*100/Q380,0)</f>
        <v>0</v>
      </c>
      <c r="U380" s="255">
        <f ca="1">IF(R380&gt;0,S380*100/R380,0)</f>
        <v>0</v>
      </c>
    </row>
    <row r="381" spans="1:21" ht="18.75">
      <c r="A381" s="155"/>
      <c r="B381" s="188"/>
      <c r="C381" s="188"/>
      <c r="D381" s="602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256">
        <f>L382+L383</f>
        <v>0</v>
      </c>
      <c r="M381" s="255">
        <f>M382+M383</f>
        <v>0</v>
      </c>
      <c r="N381" s="255">
        <f>N382+N383</f>
        <v>0</v>
      </c>
      <c r="O381" s="255">
        <f>IF(L381&gt;0,N381*100/L381,0)</f>
        <v>0</v>
      </c>
      <c r="P381" s="255">
        <f>IF(M381&gt;0,N381*100/M381,0)</f>
        <v>0</v>
      </c>
      <c r="Q381" s="255">
        <f>Q382+Q383</f>
        <v>0</v>
      </c>
      <c r="R381" s="255">
        <f>R382+R383</f>
        <v>0</v>
      </c>
      <c r="S381" s="255">
        <f>S382+S383</f>
        <v>0</v>
      </c>
      <c r="T381" s="255">
        <f>IF(Q381&gt;0,S381*100/Q381,0)</f>
        <v>0</v>
      </c>
      <c r="U381" s="255">
        <f>IF(R381&gt;0,S381*100/R381,0)</f>
        <v>0</v>
      </c>
    </row>
    <row r="382" spans="1:21" ht="18.75" hidden="1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103">
        <v>0</v>
      </c>
      <c r="M382" s="102">
        <v>0</v>
      </c>
      <c r="N382" s="102">
        <v>0</v>
      </c>
      <c r="O382" s="102">
        <f>IF(L382&gt;0,N382*100/L382,0)</f>
        <v>0</v>
      </c>
      <c r="P382" s="102">
        <f>IF(M382&gt;0,N382*100/M382,0)</f>
        <v>0</v>
      </c>
      <c r="Q382" s="102">
        <v>0</v>
      </c>
      <c r="R382" s="102">
        <v>0</v>
      </c>
      <c r="S382" s="102">
        <v>0</v>
      </c>
      <c r="T382" s="102">
        <f>IF(Q382&gt;0,S382*100/Q382,0)</f>
        <v>0</v>
      </c>
      <c r="U382" s="102">
        <f>IF(R382&gt;0,S382*100/R382,0)</f>
        <v>0</v>
      </c>
    </row>
    <row r="383" spans="1:21" ht="18.75" hidden="1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256">
        <v>0</v>
      </c>
      <c r="M383" s="255">
        <v>0</v>
      </c>
      <c r="N383" s="255">
        <v>0</v>
      </c>
      <c r="O383" s="255">
        <f>IF(L383&gt;0,N383*100/L383,0)</f>
        <v>0</v>
      </c>
      <c r="P383" s="255">
        <f>IF(M383&gt;0,N383*100/M383,0)</f>
        <v>0</v>
      </c>
      <c r="Q383" s="255">
        <v>0</v>
      </c>
      <c r="R383" s="255">
        <v>0</v>
      </c>
      <c r="S383" s="255">
        <v>0</v>
      </c>
      <c r="T383" s="255">
        <f>IF(Q383&gt;0,S383*100/Q383,0)</f>
        <v>0</v>
      </c>
      <c r="U383" s="255">
        <f>IF(R383&gt;0,S383*100/R383,0)</f>
        <v>0</v>
      </c>
    </row>
    <row r="384" spans="1:21" ht="19.5">
      <c r="A384" s="166"/>
      <c r="B384" s="167"/>
      <c r="C384" s="191" t="s">
        <v>18</v>
      </c>
      <c r="D384" s="560" t="s">
        <v>38</v>
      </c>
      <c r="E384" s="169"/>
      <c r="F384" s="169"/>
      <c r="G384" s="170"/>
      <c r="H384" s="206"/>
      <c r="I384" s="163"/>
      <c r="J384" s="54"/>
      <c r="K384" s="55"/>
      <c r="L384" s="62"/>
      <c r="M384" s="55"/>
      <c r="N384" s="55"/>
      <c r="O384" s="164"/>
      <c r="P384" s="164"/>
      <c r="Q384" s="55"/>
      <c r="R384" s="55"/>
      <c r="S384" s="55"/>
      <c r="T384" s="164"/>
      <c r="U384" s="164"/>
    </row>
    <row r="385" spans="1:21" ht="18.75">
      <c r="A385" s="238"/>
      <c r="B385" s="188"/>
      <c r="C385" s="188"/>
      <c r="D385" s="188"/>
      <c r="E385" s="58" t="s">
        <v>155</v>
      </c>
      <c r="F385" s="50"/>
      <c r="G385" s="52"/>
      <c r="H385" s="161" t="s">
        <v>34</v>
      </c>
      <c r="I385" s="212">
        <v>0</v>
      </c>
      <c r="J385" s="212">
        <f ca="1">IFERROR(__xludf.DUMMYFUNCTION("IMPORTRANGE(""https://docs.google.com/spreadsheets/d/1w5rwWK1o49a35cNtocGL0gxDwhFSTZUQu90BiH9_zqM/edit?usp=sharing"",""RTK!H44"")"),0)</f>
        <v>0</v>
      </c>
      <c r="K385" s="255">
        <f>IF(I385&gt;0,J385*100/I385,0)</f>
        <v>0</v>
      </c>
      <c r="L385" s="62"/>
      <c r="M385" s="55"/>
      <c r="N385" s="55"/>
      <c r="O385" s="55"/>
      <c r="P385" s="55"/>
      <c r="Q385" s="55"/>
      <c r="R385" s="55"/>
      <c r="S385" s="55"/>
      <c r="T385" s="55"/>
      <c r="U385" s="55"/>
    </row>
    <row r="386" spans="1:21" ht="18.75">
      <c r="A386" s="188"/>
      <c r="B386" s="188"/>
      <c r="C386" s="188"/>
      <c r="D386" s="188"/>
      <c r="E386" s="188"/>
      <c r="F386" s="188"/>
      <c r="G386" s="208"/>
      <c r="H386" s="161" t="s">
        <v>46</v>
      </c>
      <c r="I386" s="212">
        <f ca="1">IFERROR(__xludf.DUMMYFUNCTION("IMPORTRANGE(""https://docs.google.com/spreadsheets/d/1w5rwWK1o49a35cNtocGL0gxDwhFSTZUQu90BiH9_zqM/edit?usp=sharing"",""RTK!G44"")"),1500)</f>
        <v>1500</v>
      </c>
      <c r="J386" s="212">
        <f ca="1">IFERROR(__xludf.DUMMYFUNCTION("IMPORTRANGE(""https://docs.google.com/spreadsheets/d/1w5rwWK1o49a35cNtocGL0gxDwhFSTZUQu90BiH9_zqM/edit?usp=sharing"",""RTK!I44"")"),0)</f>
        <v>0</v>
      </c>
      <c r="K386" s="255">
        <f ca="1">IF(I386&gt;0,J386*100/I386,0)</f>
        <v>0</v>
      </c>
      <c r="L386" s="62"/>
      <c r="M386" s="55"/>
      <c r="N386" s="55"/>
      <c r="O386" s="55"/>
      <c r="P386" s="55"/>
      <c r="Q386" s="55"/>
      <c r="R386" s="55"/>
      <c r="S386" s="55"/>
      <c r="T386" s="55"/>
      <c r="U386" s="55"/>
    </row>
    <row r="387" spans="1:21" ht="18.75">
      <c r="A387" s="609"/>
      <c r="B387" s="609"/>
      <c r="C387" s="609"/>
      <c r="D387" s="609"/>
      <c r="E387" s="610" t="s">
        <v>156</v>
      </c>
      <c r="F387" s="609"/>
      <c r="G387" s="557"/>
      <c r="H387" s="549" t="s">
        <v>34</v>
      </c>
      <c r="I387" s="556">
        <v>0</v>
      </c>
      <c r="J387" s="556">
        <f ca="1">IFERROR(__xludf.DUMMYFUNCTION("IMPORTRANGE(""https://docs.google.com/spreadsheets/d/1w5rwWK1o49a35cNtocGL0gxDwhFSTZUQu90BiH9_zqM/edit?usp=sharing"",""RTK!L44"")"),0)</f>
        <v>0</v>
      </c>
      <c r="K387" s="555">
        <f>IF(I387&gt;0,J387*100/I387,0)</f>
        <v>0</v>
      </c>
      <c r="L387" s="546"/>
      <c r="M387" s="545"/>
      <c r="N387" s="545"/>
      <c r="O387" s="545"/>
      <c r="P387" s="545"/>
      <c r="Q387" s="545"/>
      <c r="R387" s="545"/>
      <c r="S387" s="545"/>
      <c r="T387" s="545"/>
      <c r="U387" s="545"/>
    </row>
    <row r="388" spans="1:21" ht="18.75">
      <c r="A388" s="609"/>
      <c r="B388" s="609"/>
      <c r="C388" s="609"/>
      <c r="D388" s="609"/>
      <c r="E388" s="609"/>
      <c r="F388" s="609"/>
      <c r="G388" s="557"/>
      <c r="H388" s="549" t="s">
        <v>46</v>
      </c>
      <c r="I388" s="556">
        <f ca="1">IFERROR(__xludf.DUMMYFUNCTION("IMPORTRANGE(""https://docs.google.com/spreadsheets/d/1w5rwWK1o49a35cNtocGL0gxDwhFSTZUQu90BiH9_zqM/edit?usp=sharing"",""RTK!K44"")"),0)</f>
        <v>0</v>
      </c>
      <c r="J388" s="556">
        <f ca="1">IFERROR(__xludf.DUMMYFUNCTION("IMPORTRANGE(""https://docs.google.com/spreadsheets/d/1w5rwWK1o49a35cNtocGL0gxDwhFSTZUQu90BiH9_zqM/edit?usp=sharing"",""RTK!M44"")"),0)</f>
        <v>0</v>
      </c>
      <c r="K388" s="555">
        <f ca="1">IF(I388&gt;0,J388*100/I388,0)</f>
        <v>0</v>
      </c>
      <c r="L388" s="546"/>
      <c r="M388" s="545"/>
      <c r="N388" s="545"/>
      <c r="O388" s="545"/>
      <c r="P388" s="545"/>
      <c r="Q388" s="545"/>
      <c r="R388" s="545"/>
      <c r="S388" s="545"/>
      <c r="T388" s="545"/>
      <c r="U388" s="545"/>
    </row>
    <row r="389" spans="1:21" ht="12.75" hidden="1">
      <c r="A389" s="259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5"/>
      <c r="M389" s="264"/>
      <c r="N389" s="264"/>
      <c r="O389" s="264"/>
      <c r="P389" s="264"/>
      <c r="Q389" s="264"/>
      <c r="R389" s="264"/>
      <c r="S389" s="264"/>
      <c r="T389" s="264"/>
      <c r="U389" s="264"/>
    </row>
    <row r="390" spans="1:21" ht="12.75" hidden="1">
      <c r="A390" s="360"/>
      <c r="B390" s="360"/>
      <c r="C390" s="360"/>
      <c r="D390" s="360"/>
      <c r="E390" s="360"/>
      <c r="F390" s="360"/>
      <c r="G390" s="361"/>
      <c r="H390" s="361"/>
      <c r="I390" s="362"/>
      <c r="J390" s="362"/>
      <c r="K390" s="363"/>
      <c r="L390" s="364"/>
      <c r="M390" s="363"/>
      <c r="N390" s="363"/>
      <c r="O390" s="363"/>
      <c r="P390" s="363"/>
      <c r="Q390" s="363"/>
      <c r="R390" s="363"/>
      <c r="S390" s="363"/>
      <c r="T390" s="363"/>
      <c r="U390" s="363"/>
    </row>
    <row r="391" spans="1:21" ht="19.5" hidden="1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51">
        <f>I402</f>
        <v>0</v>
      </c>
      <c r="J391" s="351">
        <f>J402</f>
        <v>0</v>
      </c>
      <c r="K391" s="604">
        <f>IF(I391&gt;0,J391*100/I391,0)</f>
        <v>0</v>
      </c>
      <c r="L391" s="334"/>
      <c r="M391" s="333"/>
      <c r="N391" s="333"/>
      <c r="O391" s="333"/>
      <c r="P391" s="333"/>
      <c r="Q391" s="333"/>
      <c r="R391" s="333"/>
      <c r="S391" s="333"/>
      <c r="T391" s="333"/>
      <c r="U391" s="333"/>
    </row>
    <row r="392" spans="1:21" ht="19.5" hidden="1">
      <c r="A392" s="155"/>
      <c r="B392" s="188"/>
      <c r="C392" s="191" t="s">
        <v>18</v>
      </c>
      <c r="D392" s="608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541">
        <f>L393+L394</f>
        <v>0</v>
      </c>
      <c r="M392" s="540">
        <f>M393+M394</f>
        <v>0</v>
      </c>
      <c r="N392" s="540">
        <f>N393+N394</f>
        <v>0</v>
      </c>
      <c r="O392" s="540">
        <f>IF(L392&gt;0,N392*100/L392,0)</f>
        <v>0</v>
      </c>
      <c r="P392" s="540">
        <f>IF(M392&gt;0,N392*100/M392,0)</f>
        <v>0</v>
      </c>
      <c r="Q392" s="540">
        <f>Q393+Q394</f>
        <v>0</v>
      </c>
      <c r="R392" s="540">
        <f>R393+R394</f>
        <v>0</v>
      </c>
      <c r="S392" s="540">
        <f>S393+S394</f>
        <v>0</v>
      </c>
      <c r="T392" s="540">
        <f>IF(Q392&gt;0,S392*100/Q392,0)</f>
        <v>0</v>
      </c>
      <c r="U392" s="540">
        <f>IF(R392&gt;0,S392*100/R392,0)</f>
        <v>0</v>
      </c>
    </row>
    <row r="393" spans="1:21" ht="18.75" hidden="1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103">
        <f>L396+L399</f>
        <v>0</v>
      </c>
      <c r="M393" s="102">
        <f>M396+M399</f>
        <v>0</v>
      </c>
      <c r="N393" s="102">
        <f>N396+N399</f>
        <v>0</v>
      </c>
      <c r="O393" s="102">
        <f>IF(L393&gt;0,N393*100/L393,0)</f>
        <v>0</v>
      </c>
      <c r="P393" s="102">
        <f>IF(M393&gt;0,N393*100/M393,0)</f>
        <v>0</v>
      </c>
      <c r="Q393" s="102">
        <f>Q396+Q399</f>
        <v>0</v>
      </c>
      <c r="R393" s="102">
        <f>R396+R399</f>
        <v>0</v>
      </c>
      <c r="S393" s="102">
        <f>S396+S399</f>
        <v>0</v>
      </c>
      <c r="T393" s="102">
        <f>IF(Q393&gt;0,S393*100/Q393,0)</f>
        <v>0</v>
      </c>
      <c r="U393" s="102">
        <f>IF(R393&gt;0,S393*100/R393,0)</f>
        <v>0</v>
      </c>
    </row>
    <row r="394" spans="1:21" ht="18.75" hidden="1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256">
        <f>L397+L400</f>
        <v>0</v>
      </c>
      <c r="M394" s="255">
        <f>M397+M400</f>
        <v>0</v>
      </c>
      <c r="N394" s="255">
        <f>N397+N400</f>
        <v>0</v>
      </c>
      <c r="O394" s="255">
        <f>IF(L394&gt;0,N394*100/L394,0)</f>
        <v>0</v>
      </c>
      <c r="P394" s="255">
        <f>IF(M394&gt;0,N394*100/M394,0)</f>
        <v>0</v>
      </c>
      <c r="Q394" s="255">
        <f>Q397+Q400</f>
        <v>0</v>
      </c>
      <c r="R394" s="255">
        <f>R397+R400</f>
        <v>0</v>
      </c>
      <c r="S394" s="255">
        <f>S397+S400</f>
        <v>0</v>
      </c>
      <c r="T394" s="255">
        <f>IF(Q394&gt;0,S394*100/Q394,0)</f>
        <v>0</v>
      </c>
      <c r="U394" s="255">
        <f>IF(R394&gt;0,S394*100/R394,0)</f>
        <v>0</v>
      </c>
    </row>
    <row r="395" spans="1:21" ht="18.75" hidden="1">
      <c r="A395" s="155"/>
      <c r="B395" s="188"/>
      <c r="C395" s="188"/>
      <c r="D395" s="602" t="s">
        <v>22</v>
      </c>
      <c r="E395" s="50"/>
      <c r="F395" s="50"/>
      <c r="G395" s="52"/>
      <c r="H395" s="162" t="s">
        <v>14</v>
      </c>
      <c r="I395" s="163"/>
      <c r="J395" s="163"/>
      <c r="K395" s="164"/>
      <c r="L395" s="256">
        <f>L396+L397</f>
        <v>0</v>
      </c>
      <c r="M395" s="255">
        <f>M396+M397</f>
        <v>0</v>
      </c>
      <c r="N395" s="255">
        <f>N396+N397</f>
        <v>0</v>
      </c>
      <c r="O395" s="255">
        <f>IF(L395&gt;0,N395*100/L395,0)</f>
        <v>0</v>
      </c>
      <c r="P395" s="255">
        <f>IF(M395&gt;0,N395*100/M395,0)</f>
        <v>0</v>
      </c>
      <c r="Q395" s="255">
        <f>Q396+Q397</f>
        <v>0</v>
      </c>
      <c r="R395" s="255">
        <f>R396+R397</f>
        <v>0</v>
      </c>
      <c r="S395" s="255">
        <f>S396+S397</f>
        <v>0</v>
      </c>
      <c r="T395" s="255">
        <f>IF(Q395&gt;0,S395*100/Q395,0)</f>
        <v>0</v>
      </c>
      <c r="U395" s="255">
        <f>IF(R395&gt;0,S395*100/R395,0)</f>
        <v>0</v>
      </c>
    </row>
    <row r="396" spans="1:21" ht="18.75" hidden="1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103">
        <v>0</v>
      </c>
      <c r="M396" s="102">
        <v>0</v>
      </c>
      <c r="N396" s="102">
        <v>0</v>
      </c>
      <c r="O396" s="102">
        <f>IF(L396&gt;0,N396*100/L396,0)</f>
        <v>0</v>
      </c>
      <c r="P396" s="102">
        <f>IF(M396&gt;0,N396*100/M396,0)</f>
        <v>0</v>
      </c>
      <c r="Q396" s="102">
        <v>0</v>
      </c>
      <c r="R396" s="102">
        <v>0</v>
      </c>
      <c r="S396" s="102">
        <v>0</v>
      </c>
      <c r="T396" s="102">
        <f>IF(Q396&gt;0,S396*100/Q396,0)</f>
        <v>0</v>
      </c>
      <c r="U396" s="102">
        <f>IF(R396&gt;0,S396*100/R396,0)</f>
        <v>0</v>
      </c>
    </row>
    <row r="397" spans="1:21" ht="18.75" hidden="1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256">
        <v>0</v>
      </c>
      <c r="M397" s="255">
        <v>0</v>
      </c>
      <c r="N397" s="255">
        <v>0</v>
      </c>
      <c r="O397" s="255">
        <f>IF(L397&gt;0,N397*100/L397,0)</f>
        <v>0</v>
      </c>
      <c r="P397" s="255">
        <f>IF(M397&gt;0,N397*100/M397,0)</f>
        <v>0</v>
      </c>
      <c r="Q397" s="255">
        <v>0</v>
      </c>
      <c r="R397" s="255">
        <v>0</v>
      </c>
      <c r="S397" s="255">
        <v>0</v>
      </c>
      <c r="T397" s="255">
        <f>IF(Q397&gt;0,S397*100/Q397,0)</f>
        <v>0</v>
      </c>
      <c r="U397" s="255">
        <f>IF(R397&gt;0,S397*100/R397,0)</f>
        <v>0</v>
      </c>
    </row>
    <row r="398" spans="1:21" ht="18.75" hidden="1">
      <c r="A398" s="155"/>
      <c r="B398" s="188"/>
      <c r="C398" s="188"/>
      <c r="D398" s="602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256">
        <f>L399+L400</f>
        <v>0</v>
      </c>
      <c r="M398" s="255">
        <f>M399+M400</f>
        <v>0</v>
      </c>
      <c r="N398" s="255">
        <f>N399+N400</f>
        <v>0</v>
      </c>
      <c r="O398" s="255">
        <f>IF(L398&gt;0,N398*100/L398,0)</f>
        <v>0</v>
      </c>
      <c r="P398" s="255">
        <f>IF(M398&gt;0,N398*100/M398,0)</f>
        <v>0</v>
      </c>
      <c r="Q398" s="255">
        <f>Q399+Q400</f>
        <v>0</v>
      </c>
      <c r="R398" s="255">
        <f>R399+R400</f>
        <v>0</v>
      </c>
      <c r="S398" s="255">
        <f>S399+S400</f>
        <v>0</v>
      </c>
      <c r="T398" s="255">
        <f>IF(Q398&gt;0,S398*100/Q398,0)</f>
        <v>0</v>
      </c>
      <c r="U398" s="255">
        <f>IF(R398&gt;0,S398*100/R398,0)</f>
        <v>0</v>
      </c>
    </row>
    <row r="399" spans="1:21" ht="18.75" hidden="1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103">
        <v>0</v>
      </c>
      <c r="M399" s="102">
        <v>0</v>
      </c>
      <c r="N399" s="102">
        <v>0</v>
      </c>
      <c r="O399" s="102">
        <f>IF(L399&gt;0,N399*100/L399,0)</f>
        <v>0</v>
      </c>
      <c r="P399" s="102">
        <f>IF(M399&gt;0,N399*100/M399,0)</f>
        <v>0</v>
      </c>
      <c r="Q399" s="102">
        <v>0</v>
      </c>
      <c r="R399" s="102">
        <v>0</v>
      </c>
      <c r="S399" s="102">
        <v>0</v>
      </c>
      <c r="T399" s="102">
        <f>IF(Q399&gt;0,S399*100/Q399,0)</f>
        <v>0</v>
      </c>
      <c r="U399" s="102">
        <f>IF(R399&gt;0,S399*100/R399,0)</f>
        <v>0</v>
      </c>
    </row>
    <row r="400" spans="1:21" ht="18.75" hidden="1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256">
        <v>0</v>
      </c>
      <c r="M400" s="255">
        <v>0</v>
      </c>
      <c r="N400" s="255">
        <v>0</v>
      </c>
      <c r="O400" s="255">
        <f>IF(L400&gt;0,N400*100/L400,0)</f>
        <v>0</v>
      </c>
      <c r="P400" s="255">
        <f>IF(M400&gt;0,N400*100/M400,0)</f>
        <v>0</v>
      </c>
      <c r="Q400" s="255">
        <v>0</v>
      </c>
      <c r="R400" s="255">
        <v>0</v>
      </c>
      <c r="S400" s="255">
        <v>0</v>
      </c>
      <c r="T400" s="255">
        <f>IF(Q400&gt;0,S400*100/Q400,0)</f>
        <v>0</v>
      </c>
      <c r="U400" s="255">
        <f>IF(R400&gt;0,S400*100/R400,0)</f>
        <v>0</v>
      </c>
    </row>
    <row r="401" spans="1:21" ht="19.5" hidden="1">
      <c r="A401" s="166"/>
      <c r="B401" s="167"/>
      <c r="C401" s="191" t="s">
        <v>18</v>
      </c>
      <c r="D401" s="560" t="s">
        <v>38</v>
      </c>
      <c r="E401" s="169"/>
      <c r="F401" s="169"/>
      <c r="G401" s="170"/>
      <c r="H401" s="206"/>
      <c r="I401" s="163"/>
      <c r="J401" s="54"/>
      <c r="K401" s="55"/>
      <c r="L401" s="62"/>
      <c r="M401" s="55"/>
      <c r="N401" s="55"/>
      <c r="O401" s="164"/>
      <c r="P401" s="164"/>
      <c r="Q401" s="55"/>
      <c r="R401" s="55"/>
      <c r="S401" s="55"/>
      <c r="T401" s="164"/>
      <c r="U401" s="164"/>
    </row>
    <row r="402" spans="1:21" ht="12.75" hidden="1">
      <c r="A402" s="258"/>
      <c r="B402" s="259"/>
      <c r="C402" s="259"/>
      <c r="D402" s="259"/>
      <c r="E402" s="260"/>
      <c r="F402" s="260"/>
      <c r="G402" s="261"/>
      <c r="H402" s="262"/>
      <c r="I402" s="263"/>
      <c r="J402" s="263"/>
      <c r="K402" s="264"/>
      <c r="L402" s="265"/>
      <c r="M402" s="264"/>
      <c r="N402" s="264"/>
      <c r="O402" s="264"/>
      <c r="P402" s="264"/>
      <c r="Q402" s="264"/>
      <c r="R402" s="264"/>
      <c r="S402" s="264"/>
      <c r="T402" s="264"/>
      <c r="U402" s="264"/>
    </row>
    <row r="403" spans="1:21" ht="12.75" hidden="1">
      <c r="A403" s="259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5"/>
      <c r="M403" s="264"/>
      <c r="N403" s="264"/>
      <c r="O403" s="264"/>
      <c r="P403" s="264"/>
      <c r="Q403" s="264"/>
      <c r="R403" s="264"/>
      <c r="S403" s="264"/>
      <c r="T403" s="264"/>
      <c r="U403" s="264"/>
    </row>
    <row r="404" spans="1:21" ht="12.75" hidden="1">
      <c r="A404" s="259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5"/>
      <c r="M404" s="264"/>
      <c r="N404" s="264"/>
      <c r="O404" s="264"/>
      <c r="P404" s="264"/>
      <c r="Q404" s="264"/>
      <c r="R404" s="264"/>
      <c r="S404" s="264"/>
      <c r="T404" s="264"/>
      <c r="U404" s="264"/>
    </row>
    <row r="405" spans="1:21" ht="12.75" hidden="1">
      <c r="A405" s="259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5"/>
      <c r="M405" s="264"/>
      <c r="N405" s="264"/>
      <c r="O405" s="264"/>
      <c r="P405" s="264"/>
      <c r="Q405" s="264"/>
      <c r="R405" s="264"/>
      <c r="S405" s="264"/>
      <c r="T405" s="264"/>
      <c r="U405" s="264"/>
    </row>
    <row r="406" spans="1:21" ht="12.75" hidden="1">
      <c r="A406" s="259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5"/>
      <c r="M406" s="264"/>
      <c r="N406" s="264"/>
      <c r="O406" s="264"/>
      <c r="P406" s="264"/>
      <c r="Q406" s="264"/>
      <c r="R406" s="264"/>
      <c r="S406" s="264"/>
      <c r="T406" s="264"/>
      <c r="U406" s="264"/>
    </row>
    <row r="407" spans="1:21" ht="12.75" hidden="1">
      <c r="A407" s="259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5"/>
      <c r="M407" s="264"/>
      <c r="N407" s="264"/>
      <c r="O407" s="264"/>
      <c r="P407" s="264"/>
      <c r="Q407" s="264"/>
      <c r="R407" s="264"/>
      <c r="S407" s="264"/>
      <c r="T407" s="264"/>
      <c r="U407" s="264"/>
    </row>
    <row r="408" spans="1:21" ht="12.75" hidden="1">
      <c r="A408" s="259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5"/>
      <c r="M408" s="264"/>
      <c r="N408" s="264"/>
      <c r="O408" s="264"/>
      <c r="P408" s="264"/>
      <c r="Q408" s="264"/>
      <c r="R408" s="264"/>
      <c r="S408" s="264"/>
      <c r="T408" s="264"/>
      <c r="U408" s="264"/>
    </row>
    <row r="409" spans="1:21" ht="12.75" hidden="1">
      <c r="A409" s="259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5"/>
      <c r="M409" s="264"/>
      <c r="N409" s="264"/>
      <c r="O409" s="264"/>
      <c r="P409" s="264"/>
      <c r="Q409" s="264"/>
      <c r="R409" s="264"/>
      <c r="S409" s="264"/>
      <c r="T409" s="264"/>
      <c r="U409" s="264"/>
    </row>
    <row r="410" spans="1:21" ht="12.75" hidden="1">
      <c r="A410" s="259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5"/>
      <c r="M410" s="264"/>
      <c r="N410" s="264"/>
      <c r="O410" s="264"/>
      <c r="P410" s="264"/>
      <c r="Q410" s="264"/>
      <c r="R410" s="264"/>
      <c r="S410" s="264"/>
      <c r="T410" s="264"/>
      <c r="U410" s="264"/>
    </row>
    <row r="411" spans="1:21" ht="12.75" hidden="1">
      <c r="A411" s="360"/>
      <c r="B411" s="360"/>
      <c r="C411" s="360"/>
      <c r="D411" s="360"/>
      <c r="E411" s="360"/>
      <c r="F411" s="360"/>
      <c r="G411" s="361"/>
      <c r="H411" s="361"/>
      <c r="I411" s="362"/>
      <c r="J411" s="362"/>
      <c r="K411" s="363"/>
      <c r="L411" s="364"/>
      <c r="M411" s="363"/>
      <c r="N411" s="363"/>
      <c r="O411" s="363"/>
      <c r="P411" s="363"/>
      <c r="Q411" s="363"/>
      <c r="R411" s="363"/>
      <c r="S411" s="363"/>
      <c r="T411" s="363"/>
      <c r="U411" s="363"/>
    </row>
    <row r="412" spans="1:21" ht="19.5" hidden="1">
      <c r="A412" s="337"/>
      <c r="B412" s="354" t="s">
        <v>158</v>
      </c>
      <c r="C412" s="337"/>
      <c r="D412" s="337"/>
      <c r="E412" s="337"/>
      <c r="F412" s="337"/>
      <c r="G412" s="365"/>
      <c r="H412" s="366" t="s">
        <v>46</v>
      </c>
      <c r="I412" s="605">
        <f ca="1">I423</f>
        <v>0</v>
      </c>
      <c r="J412" s="605">
        <f>J423</f>
        <v>0</v>
      </c>
      <c r="K412" s="604">
        <f ca="1">IF(I412&gt;0,J412*100/I412,0)</f>
        <v>0</v>
      </c>
      <c r="L412" s="334"/>
      <c r="M412" s="333"/>
      <c r="N412" s="333"/>
      <c r="O412" s="333"/>
      <c r="P412" s="333"/>
      <c r="Q412" s="333"/>
      <c r="R412" s="333"/>
      <c r="S412" s="333"/>
      <c r="T412" s="333"/>
      <c r="U412" s="333"/>
    </row>
    <row r="413" spans="1:21" ht="19.5" hidden="1">
      <c r="A413" s="155"/>
      <c r="B413" s="188"/>
      <c r="C413" s="367" t="s">
        <v>18</v>
      </c>
      <c r="D413" s="603" t="s">
        <v>19</v>
      </c>
      <c r="E413" s="514"/>
      <c r="F413" s="514"/>
      <c r="G413" s="512"/>
      <c r="H413" s="368" t="s">
        <v>14</v>
      </c>
      <c r="I413" s="54"/>
      <c r="J413" s="54"/>
      <c r="K413" s="55"/>
      <c r="L413" s="541">
        <f>L414+L415</f>
        <v>0</v>
      </c>
      <c r="M413" s="540">
        <f>M414+M415</f>
        <v>0</v>
      </c>
      <c r="N413" s="540">
        <f>N414+N415</f>
        <v>0</v>
      </c>
      <c r="O413" s="540">
        <f>IF(L413&gt;0,N413*100/L413,0)</f>
        <v>0</v>
      </c>
      <c r="P413" s="540">
        <f>IF(M413&gt;0,N413*100/M413,0)</f>
        <v>0</v>
      </c>
      <c r="Q413" s="540">
        <f ca="1">Q414+Q415</f>
        <v>0</v>
      </c>
      <c r="R413" s="540">
        <f ca="1">R414+R415</f>
        <v>0</v>
      </c>
      <c r="S413" s="540">
        <f ca="1">S414+S415</f>
        <v>0</v>
      </c>
      <c r="T413" s="540">
        <f ca="1">IF(Q413&gt;0,S413*100/Q413,0)</f>
        <v>0</v>
      </c>
      <c r="U413" s="540">
        <f ca="1">IF(R413&gt;0,S413*100/R413,0)</f>
        <v>0</v>
      </c>
    </row>
    <row r="414" spans="1:21" ht="18.75" hidden="1">
      <c r="A414" s="155"/>
      <c r="B414" s="188"/>
      <c r="C414" s="188"/>
      <c r="D414" s="188"/>
      <c r="E414" s="358" t="s">
        <v>159</v>
      </c>
      <c r="F414" s="188"/>
      <c r="G414" s="208"/>
      <c r="H414" s="204" t="s">
        <v>14</v>
      </c>
      <c r="I414" s="54"/>
      <c r="J414" s="54"/>
      <c r="K414" s="55"/>
      <c r="L414" s="103">
        <f>L417+L420</f>
        <v>0</v>
      </c>
      <c r="M414" s="102">
        <f>M417+M420</f>
        <v>0</v>
      </c>
      <c r="N414" s="102">
        <f>N417+N420</f>
        <v>0</v>
      </c>
      <c r="O414" s="102">
        <f>IF(L414&gt;0,N414*100/L414,0)</f>
        <v>0</v>
      </c>
      <c r="P414" s="102">
        <f>IF(M414&gt;0,N414*100/M414,0)</f>
        <v>0</v>
      </c>
      <c r="Q414" s="102">
        <f>Q417+Q420</f>
        <v>0</v>
      </c>
      <c r="R414" s="102">
        <f>R417+R420</f>
        <v>0</v>
      </c>
      <c r="S414" s="102">
        <f>S417+S420</f>
        <v>0</v>
      </c>
      <c r="T414" s="102">
        <f>IF(Q414&gt;0,S414*100/Q414,0)</f>
        <v>0</v>
      </c>
      <c r="U414" s="102">
        <f>IF(R414&gt;0,S414*100/R414,0)</f>
        <v>0</v>
      </c>
    </row>
    <row r="415" spans="1:21" ht="18.75" hidden="1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256">
        <f>L418+L421</f>
        <v>0</v>
      </c>
      <c r="M415" s="255">
        <f>M418+M421</f>
        <v>0</v>
      </c>
      <c r="N415" s="255">
        <f>N418+N421</f>
        <v>0</v>
      </c>
      <c r="O415" s="255">
        <f>IF(L415&gt;0,N415*100/L415,0)</f>
        <v>0</v>
      </c>
      <c r="P415" s="255">
        <f>IF(M415&gt;0,N415*100/M415,0)</f>
        <v>0</v>
      </c>
      <c r="Q415" s="255">
        <f ca="1">Q418+Q421</f>
        <v>0</v>
      </c>
      <c r="R415" s="255">
        <f ca="1">R418+R421</f>
        <v>0</v>
      </c>
      <c r="S415" s="255">
        <f ca="1">S418+S421</f>
        <v>0</v>
      </c>
      <c r="T415" s="255">
        <f ca="1">IF(Q415&gt;0,S415*100/Q415,0)</f>
        <v>0</v>
      </c>
      <c r="U415" s="255">
        <f ca="1">IF(R415&gt;0,S415*100/R415,0)</f>
        <v>0</v>
      </c>
    </row>
    <row r="416" spans="1:21" ht="19.5" hidden="1">
      <c r="A416" s="155"/>
      <c r="B416" s="188"/>
      <c r="C416" s="188"/>
      <c r="D416" s="608" t="s">
        <v>22</v>
      </c>
      <c r="E416" s="188"/>
      <c r="F416" s="188"/>
      <c r="G416" s="208"/>
      <c r="H416" s="368" t="s">
        <v>14</v>
      </c>
      <c r="I416" s="54"/>
      <c r="J416" s="54"/>
      <c r="K416" s="55"/>
      <c r="L416" s="256">
        <f>L417+L418</f>
        <v>0</v>
      </c>
      <c r="M416" s="255">
        <f>M417+M418</f>
        <v>0</v>
      </c>
      <c r="N416" s="255">
        <f>N417+N418</f>
        <v>0</v>
      </c>
      <c r="O416" s="255">
        <f>IF(L416&gt;0,N416*100/L416,0)</f>
        <v>0</v>
      </c>
      <c r="P416" s="255">
        <f>IF(M416&gt;0,N416*100/M416,0)</f>
        <v>0</v>
      </c>
      <c r="Q416" s="255">
        <f ca="1">Q417+Q418</f>
        <v>0</v>
      </c>
      <c r="R416" s="255">
        <f ca="1">R417+R418</f>
        <v>0</v>
      </c>
      <c r="S416" s="255">
        <f ca="1">S417+S418</f>
        <v>0</v>
      </c>
      <c r="T416" s="255">
        <f ca="1">IF(Q416&gt;0,S416*100/Q416,0)</f>
        <v>0</v>
      </c>
      <c r="U416" s="255">
        <f ca="1">IF(R416&gt;0,S416*100/R416,0)</f>
        <v>0</v>
      </c>
    </row>
    <row r="417" spans="1:21" ht="18.75" hidden="1">
      <c r="A417" s="155"/>
      <c r="B417" s="188"/>
      <c r="C417" s="188"/>
      <c r="D417" s="188"/>
      <c r="E417" s="358" t="s">
        <v>159</v>
      </c>
      <c r="F417" s="188"/>
      <c r="G417" s="208"/>
      <c r="H417" s="204" t="s">
        <v>14</v>
      </c>
      <c r="I417" s="54"/>
      <c r="J417" s="54"/>
      <c r="K417" s="55"/>
      <c r="L417" s="103">
        <v>0</v>
      </c>
      <c r="M417" s="102">
        <v>0</v>
      </c>
      <c r="N417" s="102">
        <v>0</v>
      </c>
      <c r="O417" s="102">
        <f>IF(L417&gt;0,N417*100/L417,0)</f>
        <v>0</v>
      </c>
      <c r="P417" s="102">
        <f>IF(M417&gt;0,N417*100/M417,0)</f>
        <v>0</v>
      </c>
      <c r="Q417" s="102">
        <v>0</v>
      </c>
      <c r="R417" s="102">
        <v>0</v>
      </c>
      <c r="S417" s="102">
        <v>0</v>
      </c>
      <c r="T417" s="102">
        <f>IF(Q417&gt;0,S417*100/Q417,0)</f>
        <v>0</v>
      </c>
      <c r="U417" s="102">
        <f>IF(R417&gt;0,S417*100/R417,0)</f>
        <v>0</v>
      </c>
    </row>
    <row r="418" spans="1:21" ht="18.75" hidden="1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256">
        <v>0</v>
      </c>
      <c r="M418" s="255">
        <v>0</v>
      </c>
      <c r="N418" s="255">
        <v>0</v>
      </c>
      <c r="O418" s="255">
        <f>IF(L418&gt;0,N418*100/L418,0)</f>
        <v>0</v>
      </c>
      <c r="P418" s="255">
        <f>IF(M418&gt;0,N418*100/M418,0)</f>
        <v>0</v>
      </c>
      <c r="Q418" s="255">
        <f ca="1">IFERROR(__xludf.DUMMYFUNCTION("IMPORTRANGE(""https://docs.google.com/spreadsheets/d/1ItG2mGa2ceCfYo0BwxsXqNm01IGEUdYcSSLTEv9YCik/edit?usp=sharing"",""เบิกจ่ายกองทุน!BH44"")"),0)</f>
        <v>0</v>
      </c>
      <c r="R418" s="255">
        <f ca="1">IFERROR(__xludf.DUMMYFUNCTION("IMPORTRANGE(""https://docs.google.com/spreadsheets/d/1ItG2mGa2ceCfYo0BwxsXqNm01IGEUdYcSSLTEv9YCik/edit?usp=sharing"",""เบิกจ่ายกองทุน!BI44"")"),0)</f>
        <v>0</v>
      </c>
      <c r="S418" s="255">
        <f ca="1">IFERROR(__xludf.DUMMYFUNCTION("IMPORTRANGE(""https://docs.google.com/spreadsheets/d/1ItG2mGa2ceCfYo0BwxsXqNm01IGEUdYcSSLTEv9YCik/edit?usp=sharing"",""เบิกจ่ายกองทุน!BJ44"")"),0)</f>
        <v>0</v>
      </c>
      <c r="T418" s="255">
        <f ca="1">IF(Q418&gt;0,S418*100/Q418,0)</f>
        <v>0</v>
      </c>
      <c r="U418" s="255">
        <f ca="1">IF(R418&gt;0,S418*100/R418,0)</f>
        <v>0</v>
      </c>
    </row>
    <row r="419" spans="1:21" ht="19.5" hidden="1">
      <c r="A419" s="155"/>
      <c r="B419" s="188"/>
      <c r="C419" s="188"/>
      <c r="D419" s="608" t="s">
        <v>23</v>
      </c>
      <c r="E419" s="188"/>
      <c r="F419" s="188"/>
      <c r="G419" s="208"/>
      <c r="H419" s="158" t="s">
        <v>14</v>
      </c>
      <c r="I419" s="54"/>
      <c r="J419" s="54"/>
      <c r="K419" s="55"/>
      <c r="L419" s="256">
        <f>L420+L421</f>
        <v>0</v>
      </c>
      <c r="M419" s="255">
        <f>M420+M421</f>
        <v>0</v>
      </c>
      <c r="N419" s="255">
        <f>N420+N421</f>
        <v>0</v>
      </c>
      <c r="O419" s="255">
        <f>IF(L419&gt;0,N419*100/L419,0)</f>
        <v>0</v>
      </c>
      <c r="P419" s="255">
        <f>IF(M419&gt;0,N419*100/M419,0)</f>
        <v>0</v>
      </c>
      <c r="Q419" s="255">
        <f>Q420+Q421</f>
        <v>0</v>
      </c>
      <c r="R419" s="255">
        <f>R420+R421</f>
        <v>0</v>
      </c>
      <c r="S419" s="255">
        <f>S420+S421</f>
        <v>0</v>
      </c>
      <c r="T419" s="255">
        <f>IF(Q419&gt;0,S419*100/Q419,0)</f>
        <v>0</v>
      </c>
      <c r="U419" s="255">
        <f>IF(R419&gt;0,S419*100/R419,0)</f>
        <v>0</v>
      </c>
    </row>
    <row r="420" spans="1:21" ht="18.75" hidden="1">
      <c r="A420" s="155"/>
      <c r="B420" s="188"/>
      <c r="C420" s="188"/>
      <c r="D420" s="188"/>
      <c r="E420" s="358" t="s">
        <v>20</v>
      </c>
      <c r="F420" s="188"/>
      <c r="G420" s="208"/>
      <c r="H420" s="204" t="s">
        <v>14</v>
      </c>
      <c r="I420" s="54"/>
      <c r="J420" s="54"/>
      <c r="K420" s="55"/>
      <c r="L420" s="103">
        <v>0</v>
      </c>
      <c r="M420" s="102">
        <v>0</v>
      </c>
      <c r="N420" s="102">
        <v>0</v>
      </c>
      <c r="O420" s="102">
        <f>IF(L420&gt;0,N420*100/L420,0)</f>
        <v>0</v>
      </c>
      <c r="P420" s="102">
        <f>IF(M420&gt;0,N420*100/M420,0)</f>
        <v>0</v>
      </c>
      <c r="Q420" s="102">
        <v>0</v>
      </c>
      <c r="R420" s="102">
        <v>0</v>
      </c>
      <c r="S420" s="102">
        <v>0</v>
      </c>
      <c r="T420" s="102">
        <f>IF(Q420&gt;0,S420*100/Q420,0)</f>
        <v>0</v>
      </c>
      <c r="U420" s="102">
        <f>IF(R420&gt;0,S420*100/R420,0)</f>
        <v>0</v>
      </c>
    </row>
    <row r="421" spans="1:21" ht="18.75" hidden="1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256">
        <v>0</v>
      </c>
      <c r="M421" s="255">
        <v>0</v>
      </c>
      <c r="N421" s="255">
        <v>0</v>
      </c>
      <c r="O421" s="255">
        <f>IF(L421&gt;0,N421*100/L421,0)</f>
        <v>0</v>
      </c>
      <c r="P421" s="255">
        <f>IF(M421&gt;0,N421*100/M421,0)</f>
        <v>0</v>
      </c>
      <c r="Q421" s="255">
        <v>0</v>
      </c>
      <c r="R421" s="255">
        <v>0</v>
      </c>
      <c r="S421" s="255">
        <v>0</v>
      </c>
      <c r="T421" s="255">
        <f>IF(Q421&gt;0,S421*100/Q421,0)</f>
        <v>0</v>
      </c>
      <c r="U421" s="255">
        <f>IF(R421&gt;0,S421*100/R421,0)</f>
        <v>0</v>
      </c>
    </row>
    <row r="422" spans="1:21" ht="19.5" hidden="1">
      <c r="A422" s="238"/>
      <c r="B422" s="188"/>
      <c r="C422" s="367" t="s">
        <v>18</v>
      </c>
      <c r="D422" s="607" t="s">
        <v>38</v>
      </c>
      <c r="E422" s="188"/>
      <c r="F422" s="188"/>
      <c r="G422" s="208"/>
      <c r="H422" s="208"/>
      <c r="I422" s="54"/>
      <c r="J422" s="54"/>
      <c r="K422" s="55"/>
      <c r="L422" s="62"/>
      <c r="M422" s="55"/>
      <c r="N422" s="55"/>
      <c r="O422" s="55"/>
      <c r="P422" s="55"/>
      <c r="Q422" s="55"/>
      <c r="R422" s="55"/>
      <c r="S422" s="55"/>
      <c r="T422" s="55"/>
      <c r="U422" s="55"/>
    </row>
    <row r="423" spans="1:21" ht="19.5" hidden="1">
      <c r="A423" s="238"/>
      <c r="B423" s="191" t="s">
        <v>161</v>
      </c>
      <c r="C423" s="188"/>
      <c r="D423" s="188"/>
      <c r="E423" s="188"/>
      <c r="F423" s="188"/>
      <c r="G423" s="208"/>
      <c r="H423" s="368" t="s">
        <v>46</v>
      </c>
      <c r="I423" s="373">
        <f ca="1">I440</f>
        <v>0</v>
      </c>
      <c r="J423" s="373">
        <f>J440</f>
        <v>0</v>
      </c>
      <c r="K423" s="540">
        <f ca="1">IF(I423&gt;0,J423*100/I423,0)</f>
        <v>0</v>
      </c>
      <c r="L423" s="62"/>
      <c r="M423" s="55"/>
      <c r="N423" s="55"/>
      <c r="O423" s="55"/>
      <c r="P423" s="55"/>
      <c r="Q423" s="55"/>
      <c r="R423" s="55"/>
      <c r="S423" s="55"/>
      <c r="T423" s="55"/>
      <c r="U423" s="55"/>
    </row>
    <row r="424" spans="1:21" ht="19.5" hidden="1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373">
        <f ca="1">IFERROR(__xludf.DUMMYFUNCTION("IMPORTRANGE(""https://docs.google.com/spreadsheets/d/1eHaY18a8A9IcSdp1K8H6x8fbOy06t2VsZHhMHf-1x7Y/edit?usp=sharing"",""แผน!HJ44"")"),0)</f>
        <v>0</v>
      </c>
      <c r="J424" s="373">
        <f>J426+J428+J430</f>
        <v>0</v>
      </c>
      <c r="K424" s="540">
        <f ca="1">IF(I424&gt;0,J424*100/I424,0)</f>
        <v>0</v>
      </c>
      <c r="L424" s="62"/>
      <c r="M424" s="55"/>
      <c r="N424" s="55"/>
      <c r="O424" s="55"/>
      <c r="P424" s="55"/>
      <c r="Q424" s="55"/>
      <c r="R424" s="55"/>
      <c r="S424" s="55"/>
      <c r="T424" s="55"/>
      <c r="U424" s="55"/>
    </row>
    <row r="425" spans="1:21" ht="19.5" hidden="1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373">
        <f ca="1">IFERROR(__xludf.DUMMYFUNCTION("IMPORTRANGE(""https://docs.google.com/spreadsheets/d/1eHaY18a8A9IcSdp1K8H6x8fbOy06t2VsZHhMHf-1x7Y/edit?usp=sharing"",""แผน!HK44"")"),0)</f>
        <v>0</v>
      </c>
      <c r="J425" s="373">
        <f>J427+J429+J431</f>
        <v>0</v>
      </c>
      <c r="K425" s="540">
        <f ca="1">IF(I425&gt;0,J425*100/I425,0)</f>
        <v>0</v>
      </c>
      <c r="L425" s="62"/>
      <c r="M425" s="55"/>
      <c r="N425" s="55"/>
      <c r="O425" s="55"/>
      <c r="P425" s="55"/>
      <c r="Q425" s="55"/>
      <c r="R425" s="55"/>
      <c r="S425" s="55"/>
      <c r="T425" s="55"/>
      <c r="U425" s="55"/>
    </row>
    <row r="426" spans="1:21" ht="18.75" hidden="1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54"/>
      <c r="K426" s="55"/>
      <c r="L426" s="62"/>
      <c r="M426" s="55"/>
      <c r="N426" s="55"/>
      <c r="O426" s="55"/>
      <c r="P426" s="55"/>
      <c r="Q426" s="55"/>
      <c r="R426" s="55"/>
      <c r="S426" s="55"/>
      <c r="T426" s="55"/>
      <c r="U426" s="55"/>
    </row>
    <row r="427" spans="1:21" ht="18.75" hidden="1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54"/>
      <c r="K427" s="55"/>
      <c r="L427" s="62"/>
      <c r="M427" s="55"/>
      <c r="N427" s="55"/>
      <c r="O427" s="55"/>
      <c r="P427" s="55"/>
      <c r="Q427" s="55"/>
      <c r="R427" s="55"/>
      <c r="S427" s="55"/>
      <c r="T427" s="55"/>
      <c r="U427" s="55"/>
    </row>
    <row r="428" spans="1:21" ht="18.75" hidden="1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54"/>
      <c r="K428" s="55"/>
      <c r="L428" s="62"/>
      <c r="M428" s="55"/>
      <c r="N428" s="55"/>
      <c r="O428" s="55"/>
      <c r="P428" s="55"/>
      <c r="Q428" s="55"/>
      <c r="R428" s="55"/>
      <c r="S428" s="55"/>
      <c r="T428" s="55"/>
      <c r="U428" s="55"/>
    </row>
    <row r="429" spans="1:21" ht="18.75" hidden="1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54"/>
      <c r="K429" s="55"/>
      <c r="L429" s="62"/>
      <c r="M429" s="55"/>
      <c r="N429" s="55"/>
      <c r="O429" s="55"/>
      <c r="P429" s="55"/>
      <c r="Q429" s="55"/>
      <c r="R429" s="55"/>
      <c r="S429" s="55"/>
      <c r="T429" s="55"/>
      <c r="U429" s="55"/>
    </row>
    <row r="430" spans="1:21" ht="18.75" hidden="1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54"/>
      <c r="K430" s="55"/>
      <c r="L430" s="62"/>
      <c r="M430" s="55"/>
      <c r="N430" s="55"/>
      <c r="O430" s="55"/>
      <c r="P430" s="55"/>
      <c r="Q430" s="55"/>
      <c r="R430" s="55"/>
      <c r="S430" s="55"/>
      <c r="T430" s="55"/>
      <c r="U430" s="55"/>
    </row>
    <row r="431" spans="1:21" ht="18.75" hidden="1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54"/>
      <c r="K431" s="55"/>
      <c r="L431" s="62"/>
      <c r="M431" s="55"/>
      <c r="N431" s="55"/>
      <c r="O431" s="55"/>
      <c r="P431" s="55"/>
      <c r="Q431" s="55"/>
      <c r="R431" s="55"/>
      <c r="S431" s="55"/>
      <c r="T431" s="55"/>
      <c r="U431" s="55"/>
    </row>
    <row r="432" spans="1:21" ht="19.5" hidden="1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373">
        <f ca="1">IFERROR(__xludf.DUMMYFUNCTION("IMPORTRANGE(""https://docs.google.com/spreadsheets/d/1eHaY18a8A9IcSdp1K8H6x8fbOy06t2VsZHhMHf-1x7Y/edit?usp=sharing"",""แผน!HJ44"")"),0)</f>
        <v>0</v>
      </c>
      <c r="J432" s="373">
        <f>J434+J436+J438</f>
        <v>0</v>
      </c>
      <c r="K432" s="540">
        <f ca="1">IF(I432&gt;0,J432*100/I432,0)</f>
        <v>0</v>
      </c>
      <c r="L432" s="62"/>
      <c r="M432" s="55"/>
      <c r="N432" s="55"/>
      <c r="O432" s="55"/>
      <c r="P432" s="55"/>
      <c r="Q432" s="55"/>
      <c r="R432" s="55"/>
      <c r="S432" s="55"/>
      <c r="T432" s="55"/>
      <c r="U432" s="55"/>
    </row>
    <row r="433" spans="1:21" ht="19.5" hidden="1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373">
        <f ca="1">IFERROR(__xludf.DUMMYFUNCTION("IMPORTRANGE(""https://docs.google.com/spreadsheets/d/1eHaY18a8A9IcSdp1K8H6x8fbOy06t2VsZHhMHf-1x7Y/edit?usp=sharing"",""แผน!HK44"")"),0)</f>
        <v>0</v>
      </c>
      <c r="J433" s="373">
        <f>J435+J437+J439</f>
        <v>0</v>
      </c>
      <c r="K433" s="540">
        <f ca="1">IF(I433&gt;0,J433*100/I433,0)</f>
        <v>0</v>
      </c>
      <c r="L433" s="62"/>
      <c r="M433" s="55"/>
      <c r="N433" s="55"/>
      <c r="O433" s="55"/>
      <c r="P433" s="55"/>
      <c r="Q433" s="55"/>
      <c r="R433" s="55"/>
      <c r="S433" s="55"/>
      <c r="T433" s="55"/>
      <c r="U433" s="55"/>
    </row>
    <row r="434" spans="1:21" ht="18.75" hidden="1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54"/>
      <c r="K434" s="55"/>
      <c r="L434" s="62"/>
      <c r="M434" s="55"/>
      <c r="N434" s="55"/>
      <c r="O434" s="55"/>
      <c r="P434" s="55"/>
      <c r="Q434" s="55"/>
      <c r="R434" s="55"/>
      <c r="S434" s="55"/>
      <c r="T434" s="55"/>
      <c r="U434" s="55"/>
    </row>
    <row r="435" spans="1:21" ht="18.75" hidden="1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54"/>
      <c r="K435" s="55"/>
      <c r="L435" s="62"/>
      <c r="M435" s="55"/>
      <c r="N435" s="55"/>
      <c r="O435" s="55"/>
      <c r="P435" s="55"/>
      <c r="Q435" s="55"/>
      <c r="R435" s="55"/>
      <c r="S435" s="55"/>
      <c r="T435" s="55"/>
      <c r="U435" s="55"/>
    </row>
    <row r="436" spans="1:21" ht="18.75" hidden="1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54"/>
      <c r="K436" s="55"/>
      <c r="L436" s="62"/>
      <c r="M436" s="55"/>
      <c r="N436" s="55"/>
      <c r="O436" s="55"/>
      <c r="P436" s="55"/>
      <c r="Q436" s="55"/>
      <c r="R436" s="55"/>
      <c r="S436" s="55"/>
      <c r="T436" s="55"/>
      <c r="U436" s="55"/>
    </row>
    <row r="437" spans="1:21" ht="18.75" hidden="1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54"/>
      <c r="K437" s="55"/>
      <c r="L437" s="62"/>
      <c r="M437" s="55"/>
      <c r="N437" s="55"/>
      <c r="O437" s="55"/>
      <c r="P437" s="55"/>
      <c r="Q437" s="55"/>
      <c r="R437" s="55"/>
      <c r="S437" s="55"/>
      <c r="T437" s="55"/>
      <c r="U437" s="55"/>
    </row>
    <row r="438" spans="1:21" ht="18.75" hidden="1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54"/>
      <c r="K438" s="55"/>
      <c r="L438" s="62"/>
      <c r="M438" s="55"/>
      <c r="N438" s="55"/>
      <c r="O438" s="55"/>
      <c r="P438" s="55"/>
      <c r="Q438" s="55"/>
      <c r="R438" s="55"/>
      <c r="S438" s="55"/>
      <c r="T438" s="55"/>
      <c r="U438" s="55"/>
    </row>
    <row r="439" spans="1:21" ht="18.75" hidden="1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54"/>
      <c r="K439" s="55"/>
      <c r="L439" s="62"/>
      <c r="M439" s="55"/>
      <c r="N439" s="55"/>
      <c r="O439" s="55"/>
      <c r="P439" s="55"/>
      <c r="Q439" s="55"/>
      <c r="R439" s="55"/>
      <c r="S439" s="55"/>
      <c r="T439" s="55"/>
      <c r="U439" s="55"/>
    </row>
    <row r="440" spans="1:21" ht="19.5" hidden="1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373">
        <f ca="1">IFERROR(__xludf.DUMMYFUNCTION("IMPORTRANGE(""https://docs.google.com/spreadsheets/d/1eHaY18a8A9IcSdp1K8H6x8fbOy06t2VsZHhMHf-1x7Y/edit?usp=sharing"",""แผน!HJ44"")"),0)</f>
        <v>0</v>
      </c>
      <c r="J440" s="373">
        <f>J442+J444+J446+J452+J454</f>
        <v>0</v>
      </c>
      <c r="K440" s="540">
        <f ca="1">IF(I440&gt;0,J440*100/I440,0)</f>
        <v>0</v>
      </c>
      <c r="L440" s="62"/>
      <c r="M440" s="55"/>
      <c r="N440" s="55"/>
      <c r="O440" s="55"/>
      <c r="P440" s="55"/>
      <c r="Q440" s="55"/>
      <c r="R440" s="55"/>
      <c r="S440" s="55"/>
      <c r="T440" s="55"/>
      <c r="U440" s="55"/>
    </row>
    <row r="441" spans="1:21" ht="19.5" hidden="1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373">
        <f ca="1">IFERROR(__xludf.DUMMYFUNCTION("IMPORTRANGE(""https://docs.google.com/spreadsheets/d/1eHaY18a8A9IcSdp1K8H6x8fbOy06t2VsZHhMHf-1x7Y/edit?usp=sharing"",""แผน!HK44"")"),0)</f>
        <v>0</v>
      </c>
      <c r="J441" s="373">
        <f>J443+J445+J447+J453+J455</f>
        <v>0</v>
      </c>
      <c r="K441" s="540">
        <f ca="1">IF(I441&gt;0,J441*100/I441,0)</f>
        <v>0</v>
      </c>
      <c r="L441" s="62"/>
      <c r="M441" s="55"/>
      <c r="N441" s="55"/>
      <c r="O441" s="55"/>
      <c r="P441" s="55"/>
      <c r="Q441" s="55"/>
      <c r="R441" s="55"/>
      <c r="S441" s="55"/>
      <c r="T441" s="55"/>
      <c r="U441" s="55"/>
    </row>
    <row r="442" spans="1:21" ht="18.75" hidden="1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54"/>
      <c r="K442" s="55"/>
      <c r="L442" s="62"/>
      <c r="M442" s="55"/>
      <c r="N442" s="55"/>
      <c r="O442" s="55"/>
      <c r="P442" s="55"/>
      <c r="Q442" s="55"/>
      <c r="R442" s="55"/>
      <c r="S442" s="55"/>
      <c r="T442" s="55"/>
      <c r="U442" s="55"/>
    </row>
    <row r="443" spans="1:21" ht="18.75" hidden="1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54"/>
      <c r="K443" s="55"/>
      <c r="L443" s="62"/>
      <c r="M443" s="55"/>
      <c r="N443" s="55"/>
      <c r="O443" s="55"/>
      <c r="P443" s="55"/>
      <c r="Q443" s="55"/>
      <c r="R443" s="55"/>
      <c r="S443" s="55"/>
      <c r="T443" s="55"/>
      <c r="U443" s="55"/>
    </row>
    <row r="444" spans="1:21" ht="18.75" hidden="1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54"/>
      <c r="K444" s="55"/>
      <c r="L444" s="62"/>
      <c r="M444" s="55"/>
      <c r="N444" s="55"/>
      <c r="O444" s="55"/>
      <c r="P444" s="55"/>
      <c r="Q444" s="55"/>
      <c r="R444" s="55"/>
      <c r="S444" s="55"/>
      <c r="T444" s="55"/>
      <c r="U444" s="55"/>
    </row>
    <row r="445" spans="1:21" ht="18.75" hidden="1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54"/>
      <c r="K445" s="55"/>
      <c r="L445" s="62"/>
      <c r="M445" s="55"/>
      <c r="N445" s="55"/>
      <c r="O445" s="55"/>
      <c r="P445" s="55"/>
      <c r="Q445" s="55"/>
      <c r="R445" s="55"/>
      <c r="S445" s="55"/>
      <c r="T445" s="55"/>
      <c r="U445" s="55"/>
    </row>
    <row r="446" spans="1:21" ht="19.5" hidden="1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373">
        <f>J448+J450</f>
        <v>0</v>
      </c>
      <c r="K446" s="55"/>
      <c r="L446" s="62"/>
      <c r="M446" s="55"/>
      <c r="N446" s="55"/>
      <c r="O446" s="55"/>
      <c r="P446" s="55"/>
      <c r="Q446" s="55"/>
      <c r="R446" s="55"/>
      <c r="S446" s="55"/>
      <c r="T446" s="55"/>
      <c r="U446" s="55"/>
    </row>
    <row r="447" spans="1:21" ht="19.5" hidden="1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373">
        <f>J449+J451</f>
        <v>0</v>
      </c>
      <c r="K447" s="55"/>
      <c r="L447" s="62"/>
      <c r="M447" s="55"/>
      <c r="N447" s="55"/>
      <c r="O447" s="55"/>
      <c r="P447" s="55"/>
      <c r="Q447" s="55"/>
      <c r="R447" s="55"/>
      <c r="S447" s="55"/>
      <c r="T447" s="55"/>
      <c r="U447" s="55"/>
    </row>
    <row r="448" spans="1:21" ht="18.75" hidden="1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54"/>
      <c r="K448" s="55"/>
      <c r="L448" s="62"/>
      <c r="M448" s="55"/>
      <c r="N448" s="55"/>
      <c r="O448" s="55"/>
      <c r="P448" s="55"/>
      <c r="Q448" s="55"/>
      <c r="R448" s="55"/>
      <c r="S448" s="55"/>
      <c r="T448" s="55"/>
      <c r="U448" s="55"/>
    </row>
    <row r="449" spans="1:21" ht="18.75" hidden="1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54"/>
      <c r="K449" s="55"/>
      <c r="L449" s="62"/>
      <c r="M449" s="55"/>
      <c r="N449" s="55"/>
      <c r="O449" s="55"/>
      <c r="P449" s="55"/>
      <c r="Q449" s="55"/>
      <c r="R449" s="55"/>
      <c r="S449" s="55"/>
      <c r="T449" s="55"/>
      <c r="U449" s="55"/>
    </row>
    <row r="450" spans="1:21" ht="18.75" hidden="1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54"/>
      <c r="K450" s="55"/>
      <c r="L450" s="62"/>
      <c r="M450" s="55"/>
      <c r="N450" s="55"/>
      <c r="O450" s="55"/>
      <c r="P450" s="55"/>
      <c r="Q450" s="55"/>
      <c r="R450" s="55"/>
      <c r="S450" s="55"/>
      <c r="T450" s="55"/>
      <c r="U450" s="55"/>
    </row>
    <row r="451" spans="1:21" ht="18.75" hidden="1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54"/>
      <c r="K451" s="55"/>
      <c r="L451" s="62"/>
      <c r="M451" s="55"/>
      <c r="N451" s="55"/>
      <c r="O451" s="55"/>
      <c r="P451" s="55"/>
      <c r="Q451" s="55"/>
      <c r="R451" s="55"/>
      <c r="S451" s="55"/>
      <c r="T451" s="55"/>
      <c r="U451" s="55"/>
    </row>
    <row r="452" spans="1:21" ht="18.75" hidden="1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54"/>
      <c r="K452" s="55"/>
      <c r="L452" s="62"/>
      <c r="M452" s="55"/>
      <c r="N452" s="55"/>
      <c r="O452" s="55"/>
      <c r="P452" s="55"/>
      <c r="Q452" s="55"/>
      <c r="R452" s="55"/>
      <c r="S452" s="55"/>
      <c r="T452" s="55"/>
      <c r="U452" s="55"/>
    </row>
    <row r="453" spans="1:21" ht="18.75" hidden="1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54"/>
      <c r="K453" s="55"/>
      <c r="L453" s="62"/>
      <c r="M453" s="55"/>
      <c r="N453" s="55"/>
      <c r="O453" s="55"/>
      <c r="P453" s="55"/>
      <c r="Q453" s="55"/>
      <c r="R453" s="55"/>
      <c r="S453" s="55"/>
      <c r="T453" s="55"/>
      <c r="U453" s="55"/>
    </row>
    <row r="454" spans="1:21" ht="18.75" hidden="1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606"/>
      <c r="K454" s="55"/>
      <c r="L454" s="62"/>
      <c r="M454" s="55"/>
      <c r="N454" s="55"/>
      <c r="O454" s="55"/>
      <c r="P454" s="55"/>
      <c r="Q454" s="55"/>
      <c r="R454" s="55"/>
      <c r="S454" s="55"/>
      <c r="T454" s="55"/>
      <c r="U454" s="55"/>
    </row>
    <row r="455" spans="1:21" ht="18.75" hidden="1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54"/>
      <c r="K455" s="55"/>
      <c r="L455" s="62"/>
      <c r="M455" s="55"/>
      <c r="N455" s="55"/>
      <c r="O455" s="55"/>
      <c r="P455" s="55"/>
      <c r="Q455" s="55"/>
      <c r="R455" s="55"/>
      <c r="S455" s="55"/>
      <c r="T455" s="55"/>
      <c r="U455" s="55"/>
    </row>
    <row r="456" spans="1:21" ht="19.5" hidden="1">
      <c r="A456" s="238"/>
      <c r="B456" s="191" t="s">
        <v>178</v>
      </c>
      <c r="C456" s="188"/>
      <c r="D456" s="188"/>
      <c r="E456" s="188"/>
      <c r="F456" s="188"/>
      <c r="G456" s="208"/>
      <c r="H456" s="368" t="s">
        <v>46</v>
      </c>
      <c r="I456" s="373">
        <f ca="1">I457</f>
        <v>0</v>
      </c>
      <c r="J456" s="373">
        <f>J457</f>
        <v>0</v>
      </c>
      <c r="K456" s="540">
        <f ca="1">IF(I456&gt;0,J456*100/I456,0)</f>
        <v>0</v>
      </c>
      <c r="L456" s="62"/>
      <c r="M456" s="55"/>
      <c r="N456" s="55"/>
      <c r="O456" s="55"/>
      <c r="P456" s="55"/>
      <c r="Q456" s="55"/>
      <c r="R456" s="55"/>
      <c r="S456" s="55"/>
      <c r="T456" s="55"/>
      <c r="U456" s="55"/>
    </row>
    <row r="457" spans="1:21" ht="19.5" hidden="1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373">
        <f ca="1">IFERROR(__xludf.DUMMYFUNCTION("IMPORTRANGE(""https://docs.google.com/spreadsheets/d/1eHaY18a8A9IcSdp1K8H6x8fbOy06t2VsZHhMHf-1x7Y/edit?usp=sharing"",""แผน!HL44"")"),0)</f>
        <v>0</v>
      </c>
      <c r="J457" s="373">
        <f>J459+J467+J473</f>
        <v>0</v>
      </c>
      <c r="K457" s="540">
        <f ca="1">IF(I457&gt;0,J457*100/I457,0)</f>
        <v>0</v>
      </c>
      <c r="L457" s="62"/>
      <c r="M457" s="55"/>
      <c r="N457" s="55"/>
      <c r="O457" s="55"/>
      <c r="P457" s="55"/>
      <c r="Q457" s="55"/>
      <c r="R457" s="55"/>
      <c r="S457" s="55"/>
      <c r="T457" s="55"/>
      <c r="U457" s="55"/>
    </row>
    <row r="458" spans="1:21" ht="19.5" hidden="1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373">
        <f ca="1">IFERROR(__xludf.DUMMYFUNCTION("IMPORTRANGE(""https://docs.google.com/spreadsheets/d/1eHaY18a8A9IcSdp1K8H6x8fbOy06t2VsZHhMHf-1x7Y/edit?usp=sharing"",""แผน!HM44"")"),0)</f>
        <v>0</v>
      </c>
      <c r="J458" s="373">
        <f>J460+J468+J474</f>
        <v>0</v>
      </c>
      <c r="K458" s="540">
        <f ca="1">IF(I458&gt;0,J458*100/I458,0)</f>
        <v>0</v>
      </c>
      <c r="L458" s="62"/>
      <c r="M458" s="55"/>
      <c r="N458" s="55"/>
      <c r="O458" s="55"/>
      <c r="P458" s="55"/>
      <c r="Q458" s="55"/>
      <c r="R458" s="55"/>
      <c r="S458" s="55"/>
      <c r="T458" s="55"/>
      <c r="U458" s="55"/>
    </row>
    <row r="459" spans="1:21" ht="18.75" hidden="1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212">
        <f>J461+J463</f>
        <v>0</v>
      </c>
      <c r="K459" s="55"/>
      <c r="L459" s="62"/>
      <c r="M459" s="55"/>
      <c r="N459" s="55"/>
      <c r="O459" s="55"/>
      <c r="P459" s="55"/>
      <c r="Q459" s="55"/>
      <c r="R459" s="55"/>
      <c r="S459" s="55"/>
      <c r="T459" s="55"/>
      <c r="U459" s="55"/>
    </row>
    <row r="460" spans="1:21" ht="18.75" hidden="1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212">
        <f>J462+J464</f>
        <v>0</v>
      </c>
      <c r="K460" s="55"/>
      <c r="L460" s="62"/>
      <c r="M460" s="55"/>
      <c r="N460" s="55"/>
      <c r="O460" s="55"/>
      <c r="P460" s="55"/>
      <c r="Q460" s="55"/>
      <c r="R460" s="55"/>
      <c r="S460" s="55"/>
      <c r="T460" s="55"/>
      <c r="U460" s="55"/>
    </row>
    <row r="461" spans="1:21" ht="18.75" hidden="1">
      <c r="A461" s="238"/>
      <c r="B461" s="188"/>
      <c r="C461" s="188"/>
      <c r="D461" s="371" t="s">
        <v>181</v>
      </c>
      <c r="E461" s="188"/>
      <c r="F461" s="188"/>
      <c r="G461" s="208"/>
      <c r="H461" s="161" t="s">
        <v>46</v>
      </c>
      <c r="I461" s="54"/>
      <c r="J461" s="54"/>
      <c r="K461" s="55"/>
      <c r="L461" s="62"/>
      <c r="M461" s="55"/>
      <c r="N461" s="55"/>
      <c r="O461" s="55"/>
      <c r="P461" s="55"/>
      <c r="Q461" s="55"/>
      <c r="R461" s="55"/>
      <c r="S461" s="55"/>
      <c r="T461" s="55"/>
      <c r="U461" s="55"/>
    </row>
    <row r="462" spans="1:21" ht="18.75" hidden="1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54"/>
      <c r="K462" s="55"/>
      <c r="L462" s="62"/>
      <c r="M462" s="55"/>
      <c r="N462" s="55"/>
      <c r="O462" s="55"/>
      <c r="P462" s="55"/>
      <c r="Q462" s="55"/>
      <c r="R462" s="55"/>
      <c r="S462" s="55"/>
      <c r="T462" s="55"/>
      <c r="U462" s="55"/>
    </row>
    <row r="463" spans="1:21" ht="18.75" hidden="1">
      <c r="A463" s="238"/>
      <c r="B463" s="188"/>
      <c r="C463" s="188"/>
      <c r="D463" s="371" t="s">
        <v>182</v>
      </c>
      <c r="E463" s="188"/>
      <c r="F463" s="188"/>
      <c r="G463" s="208"/>
      <c r="H463" s="161" t="s">
        <v>46</v>
      </c>
      <c r="I463" s="54"/>
      <c r="J463" s="54"/>
      <c r="K463" s="55"/>
      <c r="L463" s="62"/>
      <c r="M463" s="55"/>
      <c r="N463" s="55"/>
      <c r="O463" s="55"/>
      <c r="P463" s="55"/>
      <c r="Q463" s="55"/>
      <c r="R463" s="55"/>
      <c r="S463" s="55"/>
      <c r="T463" s="55"/>
      <c r="U463" s="55"/>
    </row>
    <row r="464" spans="1:21" ht="18.75" hidden="1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54"/>
      <c r="K464" s="55"/>
      <c r="L464" s="62"/>
      <c r="M464" s="55"/>
      <c r="N464" s="55"/>
      <c r="O464" s="55"/>
      <c r="P464" s="55"/>
      <c r="Q464" s="55"/>
      <c r="R464" s="55"/>
      <c r="S464" s="55"/>
      <c r="T464" s="55"/>
      <c r="U464" s="55"/>
    </row>
    <row r="465" spans="1:21" ht="18.75" hidden="1">
      <c r="A465" s="238"/>
      <c r="B465" s="188"/>
      <c r="C465" s="188"/>
      <c r="D465" s="371" t="s">
        <v>183</v>
      </c>
      <c r="E465" s="188"/>
      <c r="F465" s="188"/>
      <c r="G465" s="208"/>
      <c r="H465" s="161" t="s">
        <v>46</v>
      </c>
      <c r="I465" s="54"/>
      <c r="J465" s="54"/>
      <c r="K465" s="55"/>
      <c r="L465" s="62"/>
      <c r="M465" s="55"/>
      <c r="N465" s="55"/>
      <c r="O465" s="55"/>
      <c r="P465" s="55"/>
      <c r="Q465" s="55"/>
      <c r="R465" s="55"/>
      <c r="S465" s="55"/>
      <c r="T465" s="55"/>
      <c r="U465" s="55"/>
    </row>
    <row r="466" spans="1:21" ht="18.75" hidden="1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54"/>
      <c r="K466" s="55"/>
      <c r="L466" s="62"/>
      <c r="M466" s="55"/>
      <c r="N466" s="55"/>
      <c r="O466" s="55"/>
      <c r="P466" s="55"/>
      <c r="Q466" s="55"/>
      <c r="R466" s="55"/>
      <c r="S466" s="55"/>
      <c r="T466" s="55"/>
      <c r="U466" s="55"/>
    </row>
    <row r="467" spans="1:21" ht="18.75" hidden="1">
      <c r="A467" s="238"/>
      <c r="B467" s="188"/>
      <c r="C467" s="371" t="s">
        <v>184</v>
      </c>
      <c r="D467" s="188"/>
      <c r="E467" s="188"/>
      <c r="F467" s="188"/>
      <c r="G467" s="208"/>
      <c r="H467" s="161" t="s">
        <v>46</v>
      </c>
      <c r="I467" s="54"/>
      <c r="J467" s="212">
        <f>J469+J471</f>
        <v>0</v>
      </c>
      <c r="K467" s="55"/>
      <c r="L467" s="62"/>
      <c r="M467" s="55"/>
      <c r="N467" s="55"/>
      <c r="O467" s="55"/>
      <c r="P467" s="55"/>
      <c r="Q467" s="55"/>
      <c r="R467" s="55"/>
      <c r="S467" s="55"/>
      <c r="T467" s="55"/>
      <c r="U467" s="55"/>
    </row>
    <row r="468" spans="1:21" ht="18.75" hidden="1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212">
        <f>J470+J472</f>
        <v>0</v>
      </c>
      <c r="K468" s="55"/>
      <c r="L468" s="62"/>
      <c r="M468" s="55"/>
      <c r="N468" s="55"/>
      <c r="O468" s="55"/>
      <c r="P468" s="55"/>
      <c r="Q468" s="55"/>
      <c r="R468" s="55"/>
      <c r="S468" s="55"/>
      <c r="T468" s="55"/>
      <c r="U468" s="55"/>
    </row>
    <row r="469" spans="1:21" ht="18.75" hidden="1">
      <c r="A469" s="238"/>
      <c r="B469" s="188"/>
      <c r="C469" s="188"/>
      <c r="D469" s="371" t="s">
        <v>185</v>
      </c>
      <c r="E469" s="188"/>
      <c r="F469" s="188"/>
      <c r="G469" s="208"/>
      <c r="H469" s="161" t="s">
        <v>46</v>
      </c>
      <c r="I469" s="54"/>
      <c r="J469" s="54"/>
      <c r="K469" s="55"/>
      <c r="L469" s="62"/>
      <c r="M469" s="55"/>
      <c r="N469" s="55"/>
      <c r="O469" s="55"/>
      <c r="P469" s="55"/>
      <c r="Q469" s="55"/>
      <c r="R469" s="55"/>
      <c r="S469" s="55"/>
      <c r="T469" s="55"/>
      <c r="U469" s="55"/>
    </row>
    <row r="470" spans="1:21" ht="18.75" hidden="1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54"/>
      <c r="K470" s="55"/>
      <c r="L470" s="62"/>
      <c r="M470" s="55"/>
      <c r="N470" s="55"/>
      <c r="O470" s="55"/>
      <c r="P470" s="55"/>
      <c r="Q470" s="55"/>
      <c r="R470" s="55"/>
      <c r="S470" s="55"/>
      <c r="T470" s="55"/>
      <c r="U470" s="55"/>
    </row>
    <row r="471" spans="1:21" ht="18.75" hidden="1">
      <c r="A471" s="238"/>
      <c r="B471" s="188"/>
      <c r="C471" s="188"/>
      <c r="D471" s="371" t="s">
        <v>186</v>
      </c>
      <c r="E471" s="188"/>
      <c r="F471" s="188"/>
      <c r="G471" s="208"/>
      <c r="H471" s="161" t="s">
        <v>46</v>
      </c>
      <c r="I471" s="54"/>
      <c r="J471" s="54"/>
      <c r="K471" s="55"/>
      <c r="L471" s="62"/>
      <c r="M471" s="55"/>
      <c r="N471" s="55"/>
      <c r="O471" s="55"/>
      <c r="P471" s="55"/>
      <c r="Q471" s="55"/>
      <c r="R471" s="55"/>
      <c r="S471" s="55"/>
      <c r="T471" s="55"/>
      <c r="U471" s="55"/>
    </row>
    <row r="472" spans="1:21" ht="18.75" hidden="1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54"/>
      <c r="K472" s="55"/>
      <c r="L472" s="62"/>
      <c r="M472" s="55"/>
      <c r="N472" s="55"/>
      <c r="O472" s="55"/>
      <c r="P472" s="55"/>
      <c r="Q472" s="55"/>
      <c r="R472" s="55"/>
      <c r="S472" s="55"/>
      <c r="T472" s="55"/>
      <c r="U472" s="55"/>
    </row>
    <row r="473" spans="1:21" ht="18.75" hidden="1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54"/>
      <c r="K473" s="55"/>
      <c r="L473" s="62"/>
      <c r="M473" s="55"/>
      <c r="N473" s="55"/>
      <c r="O473" s="55"/>
      <c r="P473" s="55"/>
      <c r="Q473" s="55"/>
      <c r="R473" s="55"/>
      <c r="S473" s="55"/>
      <c r="T473" s="55"/>
      <c r="U473" s="55"/>
    </row>
    <row r="474" spans="1:21" ht="18.75" hidden="1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54"/>
      <c r="K474" s="55"/>
      <c r="L474" s="62"/>
      <c r="M474" s="55"/>
      <c r="N474" s="55"/>
      <c r="O474" s="55"/>
      <c r="P474" s="55"/>
      <c r="Q474" s="55"/>
      <c r="R474" s="55"/>
      <c r="S474" s="55"/>
      <c r="T474" s="55"/>
      <c r="U474" s="55"/>
    </row>
    <row r="475" spans="1:21" ht="19.5" hidden="1">
      <c r="A475" s="238"/>
      <c r="B475" s="372" t="s">
        <v>188</v>
      </c>
      <c r="C475" s="188"/>
      <c r="D475" s="188"/>
      <c r="E475" s="188"/>
      <c r="F475" s="188"/>
      <c r="G475" s="208"/>
      <c r="H475" s="158" t="s">
        <v>46</v>
      </c>
      <c r="I475" s="373">
        <v>0</v>
      </c>
      <c r="J475" s="373">
        <f>J478+J480</f>
        <v>0</v>
      </c>
      <c r="K475" s="540">
        <f>IF(I475&gt;0,J475*100/I475,0)</f>
        <v>0</v>
      </c>
      <c r="L475" s="62"/>
      <c r="M475" s="55"/>
      <c r="N475" s="55"/>
      <c r="O475" s="55"/>
      <c r="P475" s="55"/>
      <c r="Q475" s="55"/>
      <c r="R475" s="55"/>
      <c r="S475" s="55"/>
      <c r="T475" s="55"/>
      <c r="U475" s="55"/>
    </row>
    <row r="476" spans="1:21" ht="19.5" hidden="1">
      <c r="A476" s="238"/>
      <c r="B476" s="188"/>
      <c r="C476" s="191" t="s">
        <v>189</v>
      </c>
      <c r="D476" s="188"/>
      <c r="E476" s="188"/>
      <c r="F476" s="188"/>
      <c r="G476" s="208"/>
      <c r="H476" s="158" t="s">
        <v>46</v>
      </c>
      <c r="I476" s="373">
        <v>0</v>
      </c>
      <c r="J476" s="373">
        <f>J478+J480</f>
        <v>0</v>
      </c>
      <c r="K476" s="540">
        <f>IF(I476&gt;0,J476*100/I476,0)</f>
        <v>0</v>
      </c>
      <c r="L476" s="62"/>
      <c r="M476" s="55"/>
      <c r="N476" s="55"/>
      <c r="O476" s="55"/>
      <c r="P476" s="55"/>
      <c r="Q476" s="55"/>
      <c r="R476" s="55"/>
      <c r="S476" s="55"/>
      <c r="T476" s="55"/>
      <c r="U476" s="55"/>
    </row>
    <row r="477" spans="1:21" ht="19.5" hidden="1">
      <c r="A477" s="238"/>
      <c r="B477" s="188"/>
      <c r="C477" s="239" t="s">
        <v>190</v>
      </c>
      <c r="D477" s="188"/>
      <c r="E477" s="188"/>
      <c r="F477" s="188"/>
      <c r="G477" s="208"/>
      <c r="H477" s="158" t="s">
        <v>34</v>
      </c>
      <c r="I477" s="373">
        <v>0</v>
      </c>
      <c r="J477" s="373">
        <f>J479+J481</f>
        <v>0</v>
      </c>
      <c r="K477" s="540">
        <f>IF(I477&gt;0,J477*100/I477,0)</f>
        <v>0</v>
      </c>
      <c r="L477" s="62"/>
      <c r="M477" s="55"/>
      <c r="N477" s="55"/>
      <c r="O477" s="55"/>
      <c r="P477" s="55"/>
      <c r="Q477" s="55"/>
      <c r="R477" s="55"/>
      <c r="S477" s="55"/>
      <c r="T477" s="55"/>
      <c r="U477" s="55"/>
    </row>
    <row r="478" spans="1:21" ht="18.75" hidden="1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54"/>
      <c r="K478" s="55"/>
      <c r="L478" s="62"/>
      <c r="M478" s="55"/>
      <c r="N478" s="55"/>
      <c r="O478" s="55"/>
      <c r="P478" s="55"/>
      <c r="Q478" s="55"/>
      <c r="R478" s="55"/>
      <c r="S478" s="55"/>
      <c r="T478" s="55"/>
      <c r="U478" s="55"/>
    </row>
    <row r="479" spans="1:21" ht="18.75" hidden="1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54"/>
      <c r="K479" s="55"/>
      <c r="L479" s="62"/>
      <c r="M479" s="55"/>
      <c r="N479" s="55"/>
      <c r="O479" s="55"/>
      <c r="P479" s="55"/>
      <c r="Q479" s="55"/>
      <c r="R479" s="55"/>
      <c r="S479" s="55"/>
      <c r="T479" s="55"/>
      <c r="U479" s="55"/>
    </row>
    <row r="480" spans="1:21" ht="18.75" hidden="1">
      <c r="A480" s="238"/>
      <c r="B480" s="188"/>
      <c r="C480" s="188"/>
      <c r="D480" s="371" t="s">
        <v>192</v>
      </c>
      <c r="E480" s="188"/>
      <c r="F480" s="188"/>
      <c r="G480" s="208"/>
      <c r="H480" s="161" t="s">
        <v>46</v>
      </c>
      <c r="I480" s="54"/>
      <c r="J480" s="54"/>
      <c r="K480" s="55"/>
      <c r="L480" s="62"/>
      <c r="M480" s="55"/>
      <c r="N480" s="55"/>
      <c r="O480" s="55"/>
      <c r="P480" s="55"/>
      <c r="Q480" s="55"/>
      <c r="R480" s="55"/>
      <c r="S480" s="55"/>
      <c r="T480" s="55"/>
      <c r="U480" s="55"/>
    </row>
    <row r="481" spans="1:21" ht="18.75" hidden="1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54"/>
      <c r="K481" s="55"/>
      <c r="L481" s="62"/>
      <c r="M481" s="55"/>
      <c r="N481" s="55"/>
      <c r="O481" s="55"/>
      <c r="P481" s="55"/>
      <c r="Q481" s="55"/>
      <c r="R481" s="55"/>
      <c r="S481" s="55"/>
      <c r="T481" s="55"/>
      <c r="U481" s="55"/>
    </row>
    <row r="482" spans="1:21" ht="18.75" hidden="1">
      <c r="A482" s="238"/>
      <c r="B482" s="188"/>
      <c r="C482" s="188"/>
      <c r="D482" s="371" t="s">
        <v>193</v>
      </c>
      <c r="E482" s="188"/>
      <c r="F482" s="188"/>
      <c r="G482" s="208"/>
      <c r="H482" s="161" t="s">
        <v>46</v>
      </c>
      <c r="I482" s="54"/>
      <c r="J482" s="212">
        <f ca="1">IFERROR(__xludf.DUMMYFUNCTION("IMPORTRANGE(""https://docs.google.com/spreadsheets/d/1eHaY18a8A9IcSdp1K8H6x8fbOy06t2VsZHhMHf-1x7Y/edit?usp=sharing"",""แผน!HN44"")"),0)</f>
        <v>0</v>
      </c>
      <c r="K482" s="55"/>
      <c r="L482" s="62"/>
      <c r="M482" s="55"/>
      <c r="N482" s="55"/>
      <c r="O482" s="55"/>
      <c r="P482" s="55"/>
      <c r="Q482" s="55"/>
      <c r="R482" s="55"/>
      <c r="S482" s="55"/>
      <c r="T482" s="55"/>
      <c r="U482" s="55"/>
    </row>
    <row r="483" spans="1:21" ht="18.75" hidden="1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212">
        <f ca="1">IFERROR(__xludf.DUMMYFUNCTION("IMPORTRANGE(""https://docs.google.com/spreadsheets/d/1eHaY18a8A9IcSdp1K8H6x8fbOy06t2VsZHhMHf-1x7Y/edit?usp=sharing"",""แผน!HO44"")"),0)</f>
        <v>0</v>
      </c>
      <c r="K483" s="55"/>
      <c r="L483" s="62"/>
      <c r="M483" s="55"/>
      <c r="N483" s="55"/>
      <c r="O483" s="55"/>
      <c r="P483" s="55"/>
      <c r="Q483" s="55"/>
      <c r="R483" s="55"/>
      <c r="S483" s="55"/>
      <c r="T483" s="55"/>
      <c r="U483" s="55"/>
    </row>
    <row r="484" spans="1:21" ht="19.5" hidden="1">
      <c r="A484" s="238"/>
      <c r="B484" s="188"/>
      <c r="C484" s="191" t="s">
        <v>194</v>
      </c>
      <c r="D484" s="188"/>
      <c r="E484" s="188"/>
      <c r="F484" s="188"/>
      <c r="G484" s="208"/>
      <c r="H484" s="158" t="s">
        <v>46</v>
      </c>
      <c r="I484" s="54">
        <f>J480</f>
        <v>0</v>
      </c>
      <c r="J484" s="373">
        <f>J486+J488+J490</f>
        <v>0</v>
      </c>
      <c r="K484" s="540">
        <f>IF(I484&gt;0,J484*100/I484,0)</f>
        <v>0</v>
      </c>
      <c r="L484" s="62"/>
      <c r="M484" s="55"/>
      <c r="N484" s="55"/>
      <c r="O484" s="55"/>
      <c r="P484" s="55"/>
      <c r="Q484" s="55"/>
      <c r="R484" s="55"/>
      <c r="S484" s="55"/>
      <c r="T484" s="55"/>
      <c r="U484" s="55"/>
    </row>
    <row r="485" spans="1:21" ht="19.5" hidden="1">
      <c r="A485" s="238"/>
      <c r="B485" s="188"/>
      <c r="C485" s="239" t="s">
        <v>195</v>
      </c>
      <c r="D485" s="188"/>
      <c r="E485" s="188"/>
      <c r="F485" s="188"/>
      <c r="G485" s="208"/>
      <c r="H485" s="158" t="s">
        <v>34</v>
      </c>
      <c r="I485" s="54">
        <f>J481</f>
        <v>0</v>
      </c>
      <c r="J485" s="373">
        <f>J487+J489+J491</f>
        <v>0</v>
      </c>
      <c r="K485" s="540">
        <f>IF(I485&gt;0,J485*100/I485,0)</f>
        <v>0</v>
      </c>
      <c r="L485" s="62"/>
      <c r="M485" s="55"/>
      <c r="N485" s="55"/>
      <c r="O485" s="55"/>
      <c r="P485" s="55"/>
      <c r="Q485" s="55"/>
      <c r="R485" s="55"/>
      <c r="S485" s="55"/>
      <c r="T485" s="55"/>
      <c r="U485" s="55"/>
    </row>
    <row r="486" spans="1:21" ht="18.75" hidden="1">
      <c r="A486" s="238"/>
      <c r="B486" s="188"/>
      <c r="C486" s="188"/>
      <c r="D486" s="371" t="s">
        <v>196</v>
      </c>
      <c r="E486" s="188"/>
      <c r="F486" s="188"/>
      <c r="G486" s="208"/>
      <c r="H486" s="161" t="s">
        <v>46</v>
      </c>
      <c r="I486" s="54"/>
      <c r="J486" s="54"/>
      <c r="K486" s="55"/>
      <c r="L486" s="62"/>
      <c r="M486" s="55"/>
      <c r="N486" s="55"/>
      <c r="O486" s="55"/>
      <c r="P486" s="55"/>
      <c r="Q486" s="55"/>
      <c r="R486" s="55"/>
      <c r="S486" s="55"/>
      <c r="T486" s="55"/>
      <c r="U486" s="55"/>
    </row>
    <row r="487" spans="1:21" ht="18.75" hidden="1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54"/>
      <c r="K487" s="55"/>
      <c r="L487" s="62"/>
      <c r="M487" s="55"/>
      <c r="N487" s="55"/>
      <c r="O487" s="55"/>
      <c r="P487" s="55"/>
      <c r="Q487" s="55"/>
      <c r="R487" s="55"/>
      <c r="S487" s="55"/>
      <c r="T487" s="55"/>
      <c r="U487" s="55"/>
    </row>
    <row r="488" spans="1:21" ht="18.75" hidden="1">
      <c r="A488" s="238"/>
      <c r="B488" s="188"/>
      <c r="C488" s="188"/>
      <c r="D488" s="371" t="s">
        <v>197</v>
      </c>
      <c r="E488" s="188"/>
      <c r="F488" s="188"/>
      <c r="G488" s="208"/>
      <c r="H488" s="161" t="s">
        <v>46</v>
      </c>
      <c r="I488" s="54"/>
      <c r="J488" s="54"/>
      <c r="K488" s="55"/>
      <c r="L488" s="62"/>
      <c r="M488" s="55"/>
      <c r="N488" s="55"/>
      <c r="O488" s="55"/>
      <c r="P488" s="55"/>
      <c r="Q488" s="55"/>
      <c r="R488" s="55"/>
      <c r="S488" s="55"/>
      <c r="T488" s="55"/>
      <c r="U488" s="55"/>
    </row>
    <row r="489" spans="1:21" ht="18.75" hidden="1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54"/>
      <c r="K489" s="55"/>
      <c r="L489" s="62"/>
      <c r="M489" s="55"/>
      <c r="N489" s="55"/>
      <c r="O489" s="55"/>
      <c r="P489" s="55"/>
      <c r="Q489" s="55"/>
      <c r="R489" s="55"/>
      <c r="S489" s="55"/>
      <c r="T489" s="55"/>
      <c r="U489" s="55"/>
    </row>
    <row r="490" spans="1:21" ht="18.75" hidden="1">
      <c r="A490" s="238"/>
      <c r="B490" s="188"/>
      <c r="C490" s="188"/>
      <c r="D490" s="371" t="s">
        <v>198</v>
      </c>
      <c r="E490" s="188"/>
      <c r="F490" s="188"/>
      <c r="G490" s="208"/>
      <c r="H490" s="161" t="s">
        <v>46</v>
      </c>
      <c r="I490" s="54"/>
      <c r="J490" s="54"/>
      <c r="K490" s="55"/>
      <c r="L490" s="62"/>
      <c r="M490" s="55"/>
      <c r="N490" s="55"/>
      <c r="O490" s="55"/>
      <c r="P490" s="55"/>
      <c r="Q490" s="55"/>
      <c r="R490" s="55"/>
      <c r="S490" s="55"/>
      <c r="T490" s="55"/>
      <c r="U490" s="55"/>
    </row>
    <row r="491" spans="1:21" ht="18.75" hidden="1">
      <c r="A491" s="374"/>
      <c r="B491" s="5"/>
      <c r="C491" s="5"/>
      <c r="D491" s="5"/>
      <c r="E491" s="5"/>
      <c r="F491" s="5"/>
      <c r="G491" s="375"/>
      <c r="H491" s="376" t="s">
        <v>34</v>
      </c>
      <c r="I491" s="67"/>
      <c r="J491" s="67"/>
      <c r="K491" s="6"/>
      <c r="L491" s="68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 hidden="1">
      <c r="A492" s="335"/>
      <c r="B492" s="354" t="s">
        <v>199</v>
      </c>
      <c r="C492" s="337"/>
      <c r="D492" s="337"/>
      <c r="E492" s="328"/>
      <c r="F492" s="328"/>
      <c r="G492" s="329"/>
      <c r="H492" s="366" t="s">
        <v>35</v>
      </c>
      <c r="I492" s="605">
        <f ca="1">I503</f>
        <v>0</v>
      </c>
      <c r="J492" s="605">
        <f ca="1">J503</f>
        <v>0</v>
      </c>
      <c r="K492" s="604">
        <f ca="1">IF(I492&gt;0,J492*100/I492,0)</f>
        <v>0</v>
      </c>
      <c r="L492" s="334"/>
      <c r="M492" s="333"/>
      <c r="N492" s="333"/>
      <c r="O492" s="333"/>
      <c r="P492" s="333"/>
      <c r="Q492" s="333"/>
      <c r="R492" s="333"/>
      <c r="S492" s="333"/>
      <c r="T492" s="333"/>
      <c r="U492" s="333"/>
    </row>
    <row r="493" spans="1:21" ht="19.5" hidden="1">
      <c r="A493" s="155"/>
      <c r="B493" s="188"/>
      <c r="C493" s="205" t="s">
        <v>18</v>
      </c>
      <c r="D493" s="603" t="s">
        <v>19</v>
      </c>
      <c r="E493" s="514"/>
      <c r="F493" s="514"/>
      <c r="G493" s="52"/>
      <c r="H493" s="252" t="s">
        <v>14</v>
      </c>
      <c r="I493" s="54"/>
      <c r="J493" s="54"/>
      <c r="K493" s="55"/>
      <c r="L493" s="541">
        <f>L494+L495</f>
        <v>0</v>
      </c>
      <c r="M493" s="540">
        <f>M494+M495</f>
        <v>0</v>
      </c>
      <c r="N493" s="540">
        <f>N494+N495</f>
        <v>0</v>
      </c>
      <c r="O493" s="540">
        <f>IF(L493&gt;0,N493*100/L493,0)</f>
        <v>0</v>
      </c>
      <c r="P493" s="540">
        <f>IF(M493&gt;0,N493*100/M493,0)</f>
        <v>0</v>
      </c>
      <c r="Q493" s="540">
        <f ca="1">Q494+Q495</f>
        <v>0</v>
      </c>
      <c r="R493" s="540">
        <f ca="1">R494+R495</f>
        <v>0</v>
      </c>
      <c r="S493" s="540">
        <f ca="1">S494+S495</f>
        <v>0</v>
      </c>
      <c r="T493" s="540">
        <f ca="1">IF(Q493&gt;0,S493*100/Q493,0)</f>
        <v>0</v>
      </c>
      <c r="U493" s="540">
        <f ca="1">IF(R493&gt;0,S493*100/R493,0)</f>
        <v>0</v>
      </c>
    </row>
    <row r="494" spans="1:21" ht="18.75" hidden="1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103">
        <f>L497+L500</f>
        <v>0</v>
      </c>
      <c r="M494" s="102">
        <f>M497+M500</f>
        <v>0</v>
      </c>
      <c r="N494" s="102">
        <f>N497+N500</f>
        <v>0</v>
      </c>
      <c r="O494" s="102">
        <f>IF(L494&gt;0,N494*100/L494,0)</f>
        <v>0</v>
      </c>
      <c r="P494" s="102">
        <f>IF(M494&gt;0,N494*100/M494,0)</f>
        <v>0</v>
      </c>
      <c r="Q494" s="102">
        <f>Q497+Q500</f>
        <v>0</v>
      </c>
      <c r="R494" s="102">
        <f>R497+R500</f>
        <v>0</v>
      </c>
      <c r="S494" s="102">
        <f>S497+S500</f>
        <v>0</v>
      </c>
      <c r="T494" s="102">
        <f>IF(Q494&gt;0,S494*100/Q494,0)</f>
        <v>0</v>
      </c>
      <c r="U494" s="102">
        <f>IF(R494&gt;0,S494*100/R494,0)</f>
        <v>0</v>
      </c>
    </row>
    <row r="495" spans="1:21" ht="18.75" hidden="1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256">
        <f>L498+L501</f>
        <v>0</v>
      </c>
      <c r="M495" s="255">
        <f>M498+M501</f>
        <v>0</v>
      </c>
      <c r="N495" s="255">
        <f>N498+N501</f>
        <v>0</v>
      </c>
      <c r="O495" s="255">
        <f>IF(L495&gt;0,N495*100/L495,0)</f>
        <v>0</v>
      </c>
      <c r="P495" s="255">
        <f>IF(M495&gt;0,N495*100/M495,0)</f>
        <v>0</v>
      </c>
      <c r="Q495" s="255">
        <f ca="1">Q498+Q501</f>
        <v>0</v>
      </c>
      <c r="R495" s="255">
        <f ca="1">R498+R501</f>
        <v>0</v>
      </c>
      <c r="S495" s="255">
        <f ca="1">S498+S501</f>
        <v>0</v>
      </c>
      <c r="T495" s="255">
        <f ca="1">IF(Q495&gt;0,S495*100/Q495,0)</f>
        <v>0</v>
      </c>
      <c r="U495" s="255">
        <f ca="1">IF(R495&gt;0,S495*100/R495,0)</f>
        <v>0</v>
      </c>
    </row>
    <row r="496" spans="1:21" ht="18.75" hidden="1">
      <c r="A496" s="155"/>
      <c r="B496" s="188"/>
      <c r="C496" s="188"/>
      <c r="D496" s="602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256">
        <f>L497+L498</f>
        <v>0</v>
      </c>
      <c r="M496" s="255">
        <f>M497+M498</f>
        <v>0</v>
      </c>
      <c r="N496" s="255">
        <f>N497+N498</f>
        <v>0</v>
      </c>
      <c r="O496" s="255">
        <f>IF(L496&gt;0,N496*100/L496,0)</f>
        <v>0</v>
      </c>
      <c r="P496" s="255">
        <f>IF(M496&gt;0,N496*100/M496,0)</f>
        <v>0</v>
      </c>
      <c r="Q496" s="255">
        <f ca="1">Q497+Q498</f>
        <v>0</v>
      </c>
      <c r="R496" s="255">
        <f ca="1">R497+R498</f>
        <v>0</v>
      </c>
      <c r="S496" s="255">
        <f ca="1">S497+S498</f>
        <v>0</v>
      </c>
      <c r="T496" s="255">
        <f ca="1">IF(Q496&gt;0,S496*100/Q496,0)</f>
        <v>0</v>
      </c>
      <c r="U496" s="255">
        <f ca="1">IF(R496&gt;0,S496*100/R496,0)</f>
        <v>0</v>
      </c>
    </row>
    <row r="497" spans="1:21" ht="18.75" hidden="1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103">
        <v>0</v>
      </c>
      <c r="M497" s="102">
        <v>0</v>
      </c>
      <c r="N497" s="102">
        <v>0</v>
      </c>
      <c r="O497" s="102">
        <f>IF(L497&gt;0,N497*100/L497,0)</f>
        <v>0</v>
      </c>
      <c r="P497" s="102">
        <f>IF(M497&gt;0,N497*100/M497,0)</f>
        <v>0</v>
      </c>
      <c r="Q497" s="102">
        <v>0</v>
      </c>
      <c r="R497" s="102">
        <v>0</v>
      </c>
      <c r="S497" s="102">
        <v>0</v>
      </c>
      <c r="T497" s="102">
        <f>IF(Q497&gt;0,S497*100/Q497,0)</f>
        <v>0</v>
      </c>
      <c r="U497" s="102">
        <f>IF(R497&gt;0,S497*100/R497,0)</f>
        <v>0</v>
      </c>
    </row>
    <row r="498" spans="1:21" ht="18.75" hidden="1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256">
        <v>0</v>
      </c>
      <c r="M498" s="255">
        <v>0</v>
      </c>
      <c r="N498" s="255">
        <v>0</v>
      </c>
      <c r="O498" s="255">
        <f>IF(L498&gt;0,N498*100/L498,0)</f>
        <v>0</v>
      </c>
      <c r="P498" s="255">
        <f>IF(M498&gt;0,N498*100/M498,0)</f>
        <v>0</v>
      </c>
      <c r="Q498" s="255">
        <f ca="1">IFERROR(__xludf.DUMMYFUNCTION("IMPORTRANGE(""https://docs.google.com/spreadsheets/d/1ItG2mGa2ceCfYo0BwxsXqNm01IGEUdYcSSLTEv9YCik/edit?usp=sharing"",""เบิกจ่ายกองทุน!X44"")"),0)</f>
        <v>0</v>
      </c>
      <c r="R498" s="255">
        <f ca="1">IFERROR(__xludf.DUMMYFUNCTION("IMPORTRANGE(""https://docs.google.com/spreadsheets/d/1ItG2mGa2ceCfYo0BwxsXqNm01IGEUdYcSSLTEv9YCik/edit?usp=sharing"",""เบิกจ่ายกองทุน!Y44"")"),0)</f>
        <v>0</v>
      </c>
      <c r="S498" s="255">
        <f ca="1">IFERROR(__xludf.DUMMYFUNCTION("IMPORTRANGE(""https://docs.google.com/spreadsheets/d/1ItG2mGa2ceCfYo0BwxsXqNm01IGEUdYcSSLTEv9YCik/edit?usp=sharing"",""เบิกจ่ายกองทุน!Z44"")"),0)</f>
        <v>0</v>
      </c>
      <c r="T498" s="255">
        <f ca="1">IF(Q498&gt;0,S498*100/Q498,0)</f>
        <v>0</v>
      </c>
      <c r="U498" s="255">
        <f ca="1">IF(R498&gt;0,S498*100/R498,0)</f>
        <v>0</v>
      </c>
    </row>
    <row r="499" spans="1:21" ht="18.75" hidden="1">
      <c r="A499" s="155"/>
      <c r="B499" s="188"/>
      <c r="C499" s="188"/>
      <c r="D499" s="602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256">
        <f>L500+L501</f>
        <v>0</v>
      </c>
      <c r="M499" s="255">
        <f>M500+M501</f>
        <v>0</v>
      </c>
      <c r="N499" s="255">
        <f>N500+N501</f>
        <v>0</v>
      </c>
      <c r="O499" s="255">
        <f>IF(L499&gt;0,N499*100/L499,0)</f>
        <v>0</v>
      </c>
      <c r="P499" s="255">
        <f>IF(M499&gt;0,N499*100/M499,0)</f>
        <v>0</v>
      </c>
      <c r="Q499" s="255">
        <f>Q500+Q501</f>
        <v>0</v>
      </c>
      <c r="R499" s="255">
        <f>R500+R501</f>
        <v>0</v>
      </c>
      <c r="S499" s="255">
        <f>S500+S501</f>
        <v>0</v>
      </c>
      <c r="T499" s="255">
        <f>IF(Q499&gt;0,S499*100/Q499,0)</f>
        <v>0</v>
      </c>
      <c r="U499" s="255">
        <f>IF(R499&gt;0,S499*100/R499,0)</f>
        <v>0</v>
      </c>
    </row>
    <row r="500" spans="1:21" ht="18.75" hidden="1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103">
        <v>0</v>
      </c>
      <c r="M500" s="102">
        <v>0</v>
      </c>
      <c r="N500" s="102">
        <v>0</v>
      </c>
      <c r="O500" s="102">
        <f>IF(L500&gt;0,N500*100/L500,0)</f>
        <v>0</v>
      </c>
      <c r="P500" s="102">
        <f>IF(M500&gt;0,N500*100/M500,0)</f>
        <v>0</v>
      </c>
      <c r="Q500" s="102">
        <v>0</v>
      </c>
      <c r="R500" s="102">
        <v>0</v>
      </c>
      <c r="S500" s="102">
        <v>0</v>
      </c>
      <c r="T500" s="102">
        <f>IF(Q500&gt;0,S500*100/Q500,0)</f>
        <v>0</v>
      </c>
      <c r="U500" s="102">
        <f>IF(R500&gt;0,S500*100/R500,0)</f>
        <v>0</v>
      </c>
    </row>
    <row r="501" spans="1:21" ht="18.75" hidden="1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256">
        <v>0</v>
      </c>
      <c r="M501" s="255">
        <v>0</v>
      </c>
      <c r="N501" s="255">
        <v>0</v>
      </c>
      <c r="O501" s="255">
        <f>IF(L501&gt;0,N501*100/L501,0)</f>
        <v>0</v>
      </c>
      <c r="P501" s="255">
        <f>IF(M501&gt;0,N501*100/M501,0)</f>
        <v>0</v>
      </c>
      <c r="Q501" s="255">
        <v>0</v>
      </c>
      <c r="R501" s="255">
        <v>0</v>
      </c>
      <c r="S501" s="255">
        <v>0</v>
      </c>
      <c r="T501" s="255">
        <f>IF(Q501&gt;0,S501*100/Q501,0)</f>
        <v>0</v>
      </c>
      <c r="U501" s="255">
        <f>IF(R501&gt;0,S501*100/R501,0)</f>
        <v>0</v>
      </c>
    </row>
    <row r="502" spans="1:21" ht="19.5" hidden="1">
      <c r="A502" s="166"/>
      <c r="B502" s="167"/>
      <c r="C502" s="205" t="s">
        <v>18</v>
      </c>
      <c r="D502" s="560" t="s">
        <v>38</v>
      </c>
      <c r="E502" s="169"/>
      <c r="F502" s="169"/>
      <c r="G502" s="170"/>
      <c r="H502" s="206"/>
      <c r="I502" s="163"/>
      <c r="J502" s="163"/>
      <c r="K502" s="164"/>
      <c r="L502" s="172"/>
      <c r="M502" s="164"/>
      <c r="N502" s="164"/>
      <c r="O502" s="164"/>
      <c r="P502" s="164"/>
      <c r="Q502" s="164"/>
      <c r="R502" s="164"/>
      <c r="S502" s="164"/>
      <c r="T502" s="164"/>
      <c r="U502" s="164"/>
    </row>
    <row r="503" spans="1:21" ht="19.5" hidden="1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373">
        <f ca="1">IFERROR(__xludf.DUMMYFUNCTION("IMPORTRANGE(""https://docs.google.com/spreadsheets/d/1eHaY18a8A9IcSdp1K8H6x8fbOy06t2VsZHhMHf-1x7Y/edit?usp=sharing"",""แผน!GX44"")"),0)</f>
        <v>0</v>
      </c>
      <c r="J503" s="373">
        <f ca="1">IF(AND(J504=I504,J505=I505,J506=I506,J507=I507),I503,0)</f>
        <v>0</v>
      </c>
      <c r="K503" s="540">
        <f ca="1">IF(I503&gt;0,J503*100/I503,0)</f>
        <v>0</v>
      </c>
      <c r="L503" s="62"/>
      <c r="M503" s="55"/>
      <c r="N503" s="55"/>
      <c r="O503" s="55"/>
      <c r="P503" s="55"/>
      <c r="Q503" s="55"/>
      <c r="R503" s="55"/>
      <c r="S503" s="55"/>
      <c r="T503" s="55"/>
      <c r="U503" s="55"/>
    </row>
    <row r="504" spans="1:21" ht="18.75" hidden="1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212">
        <f ca="1">IFERROR(__xludf.DUMMYFUNCTION("IMPORTRANGE(""https://docs.google.com/spreadsheets/d/1eHaY18a8A9IcSdp1K8H6x8fbOy06t2VsZHhMHf-1x7Y/edit?usp=sharing"",""แผน!GY44"")"),0)</f>
        <v>0</v>
      </c>
      <c r="J504" s="467">
        <v>0</v>
      </c>
      <c r="K504" s="255">
        <f ca="1">IF(I504&gt;0,J504*100/I504,0)</f>
        <v>0</v>
      </c>
      <c r="L504" s="62"/>
      <c r="M504" s="55"/>
      <c r="N504" s="55"/>
      <c r="O504" s="55"/>
      <c r="P504" s="55"/>
      <c r="Q504" s="55"/>
      <c r="R504" s="55"/>
      <c r="S504" s="55"/>
      <c r="T504" s="55"/>
      <c r="U504" s="55"/>
    </row>
    <row r="505" spans="1:21" ht="18.75" hidden="1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212">
        <f ca="1">IFERROR(__xludf.DUMMYFUNCTION("IMPORTRANGE(""https://docs.google.com/spreadsheets/d/1eHaY18a8A9IcSdp1K8H6x8fbOy06t2VsZHhMHf-1x7Y/edit?usp=sharing"",""แผน!GZ44"")"),0)</f>
        <v>0</v>
      </c>
      <c r="J505" s="467">
        <v>0</v>
      </c>
      <c r="K505" s="255">
        <f ca="1">IF(I505&gt;0,J505*100/I505,0)</f>
        <v>0</v>
      </c>
      <c r="L505" s="62"/>
      <c r="M505" s="55"/>
      <c r="N505" s="55"/>
      <c r="O505" s="55"/>
      <c r="P505" s="55"/>
      <c r="Q505" s="55"/>
      <c r="R505" s="55"/>
      <c r="S505" s="55"/>
      <c r="T505" s="55"/>
      <c r="U505" s="55"/>
    </row>
    <row r="506" spans="1:21" ht="18.75" hidden="1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212">
        <f ca="1">IFERROR(__xludf.DUMMYFUNCTION("IMPORTRANGE(""https://docs.google.com/spreadsheets/d/1eHaY18a8A9IcSdp1K8H6x8fbOy06t2VsZHhMHf-1x7Y/edit?usp=sharing"",""แผน!HA44"")"),0)</f>
        <v>0</v>
      </c>
      <c r="J506" s="467">
        <v>0</v>
      </c>
      <c r="K506" s="255">
        <f ca="1">IF(I506&gt;0,J506*100/I506,0)</f>
        <v>0</v>
      </c>
      <c r="L506" s="62"/>
      <c r="M506" s="55"/>
      <c r="N506" s="55"/>
      <c r="O506" s="55"/>
      <c r="P506" s="55"/>
      <c r="Q506" s="55"/>
      <c r="R506" s="55"/>
      <c r="S506" s="55"/>
      <c r="T506" s="55"/>
      <c r="U506" s="55"/>
    </row>
    <row r="507" spans="1:21" ht="18.75" hidden="1">
      <c r="A507" s="238"/>
      <c r="B507" s="188"/>
      <c r="C507" s="188"/>
      <c r="D507" s="188"/>
      <c r="E507" s="377" t="s">
        <v>204</v>
      </c>
      <c r="F507" s="50"/>
      <c r="G507" s="52"/>
      <c r="H507" s="161" t="s">
        <v>35</v>
      </c>
      <c r="I507" s="212">
        <f ca="1">IFERROR(__xludf.DUMMYFUNCTION("IMPORTRANGE(""https://docs.google.com/spreadsheets/d/1eHaY18a8A9IcSdp1K8H6x8fbOy06t2VsZHhMHf-1x7Y/edit?usp=sharing"",""แผน!HB44"")"),0)</f>
        <v>0</v>
      </c>
      <c r="J507" s="467">
        <v>0</v>
      </c>
      <c r="K507" s="255">
        <f ca="1">IF(I507&gt;0,J507*100/I507,0)</f>
        <v>0</v>
      </c>
      <c r="L507" s="62"/>
      <c r="M507" s="55"/>
      <c r="N507" s="55"/>
      <c r="O507" s="55"/>
      <c r="P507" s="55"/>
      <c r="Q507" s="55"/>
      <c r="R507" s="55"/>
      <c r="S507" s="55"/>
      <c r="T507" s="55"/>
      <c r="U507" s="55"/>
    </row>
    <row r="508" spans="1:21" ht="18.75" hidden="1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255">
        <f>IF(I508&gt;0,J508*100/I508,0)</f>
        <v>0</v>
      </c>
      <c r="L508" s="62"/>
      <c r="M508" s="55"/>
      <c r="N508" s="55"/>
      <c r="O508" s="55"/>
      <c r="P508" s="55"/>
      <c r="Q508" s="55"/>
      <c r="R508" s="55"/>
      <c r="S508" s="55"/>
      <c r="T508" s="55"/>
      <c r="U508" s="55"/>
    </row>
    <row r="509" spans="1:21" ht="19.5" hidden="1">
      <c r="A509" s="374"/>
      <c r="B509" s="5"/>
      <c r="C509" s="5"/>
      <c r="D509" s="378" t="s">
        <v>50</v>
      </c>
      <c r="E509" s="4"/>
      <c r="F509" s="4"/>
      <c r="G509" s="65"/>
      <c r="H509" s="376" t="s">
        <v>35</v>
      </c>
      <c r="I509" s="216">
        <f ca="1">IFERROR(__xludf.DUMMYFUNCTION("IMPORTRANGE(""https://docs.google.com/spreadsheets/d/1eHaY18a8A9IcSdp1K8H6x8fbOy06t2VsZHhMHf-1x7Y/edit?usp=sharing"",""แผน!HC44"")"),0)</f>
        <v>0</v>
      </c>
      <c r="J509" s="538">
        <v>0</v>
      </c>
      <c r="K509" s="506">
        <f ca="1">IF(I509&gt;0,J509*100/I509,0)</f>
        <v>0</v>
      </c>
      <c r="L509" s="68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 hidden="1">
      <c r="A510" s="601" t="s">
        <v>206</v>
      </c>
      <c r="B510" s="381"/>
      <c r="C510" s="381"/>
      <c r="D510" s="381"/>
      <c r="E510" s="382"/>
      <c r="F510" s="382"/>
      <c r="G510" s="382"/>
      <c r="H510" s="382"/>
      <c r="I510" s="383"/>
      <c r="J510" s="383"/>
      <c r="K510" s="384"/>
      <c r="L510" s="600"/>
      <c r="M510" s="386"/>
      <c r="N510" s="386"/>
      <c r="O510" s="386"/>
      <c r="P510" s="386"/>
      <c r="Q510" s="386"/>
      <c r="R510" s="386"/>
      <c r="S510" s="386"/>
      <c r="T510" s="386"/>
      <c r="U510" s="386"/>
    </row>
    <row r="511" spans="1:21" ht="19.5" hidden="1">
      <c r="A511" s="599" t="s">
        <v>207</v>
      </c>
      <c r="B511" s="388"/>
      <c r="C511" s="388"/>
      <c r="D511" s="389"/>
      <c r="E511" s="388"/>
      <c r="F511" s="388"/>
      <c r="G511" s="388"/>
      <c r="H511" s="390"/>
      <c r="I511" s="391"/>
      <c r="J511" s="391"/>
      <c r="K511" s="392"/>
      <c r="L511" s="598"/>
      <c r="M511" s="394"/>
      <c r="N511" s="394"/>
      <c r="O511" s="394"/>
      <c r="P511" s="394"/>
      <c r="Q511" s="394"/>
      <c r="R511" s="394"/>
      <c r="S511" s="394"/>
      <c r="T511" s="394"/>
      <c r="U511" s="394"/>
    </row>
    <row r="512" spans="1:21" ht="19.5" hidden="1">
      <c r="A512" s="395"/>
      <c r="B512" s="597" t="s">
        <v>208</v>
      </c>
      <c r="C512" s="397"/>
      <c r="D512" s="398"/>
      <c r="E512" s="398"/>
      <c r="F512" s="398"/>
      <c r="G512" s="399"/>
      <c r="H512" s="596" t="s">
        <v>61</v>
      </c>
      <c r="I512" s="595">
        <f>I524</f>
        <v>0</v>
      </c>
      <c r="J512" s="595">
        <f>J524</f>
        <v>0</v>
      </c>
      <c r="K512" s="594">
        <f>IF(I512&gt;0,J512*100/I512,0)</f>
        <v>0</v>
      </c>
      <c r="L512" s="404"/>
      <c r="M512" s="403"/>
      <c r="N512" s="403"/>
      <c r="O512" s="403"/>
      <c r="P512" s="403"/>
      <c r="Q512" s="403"/>
      <c r="R512" s="403"/>
      <c r="S512" s="403"/>
      <c r="T512" s="403"/>
      <c r="U512" s="403"/>
    </row>
    <row r="513" spans="1:21" ht="19.5" hidden="1">
      <c r="A513" s="155"/>
      <c r="B513" s="50"/>
      <c r="C513" s="591" t="s">
        <v>18</v>
      </c>
      <c r="D513" s="562" t="s">
        <v>19</v>
      </c>
      <c r="E513" s="50"/>
      <c r="F513" s="50"/>
      <c r="G513" s="52"/>
      <c r="H513" s="593" t="s">
        <v>14</v>
      </c>
      <c r="I513" s="54"/>
      <c r="J513" s="54"/>
      <c r="K513" s="55"/>
      <c r="L513" s="541">
        <f ca="1">L514+L515</f>
        <v>0</v>
      </c>
      <c r="M513" s="540">
        <f ca="1">M514+M515</f>
        <v>0</v>
      </c>
      <c r="N513" s="540">
        <f ca="1">N514+N515</f>
        <v>0</v>
      </c>
      <c r="O513" s="540">
        <f ca="1">IF(L513&gt;0,N513*100/L513,0)</f>
        <v>0</v>
      </c>
      <c r="P513" s="540">
        <f ca="1">IF(M513&gt;0,N513*100/M513,0)</f>
        <v>0</v>
      </c>
      <c r="Q513" s="540">
        <f>Q514+Q515</f>
        <v>0</v>
      </c>
      <c r="R513" s="540">
        <f>R514+R515</f>
        <v>0</v>
      </c>
      <c r="S513" s="540">
        <f>S514+S515</f>
        <v>0</v>
      </c>
      <c r="T513" s="540">
        <f>IF(Q513&gt;0,S513*100/Q513,0)</f>
        <v>0</v>
      </c>
      <c r="U513" s="540">
        <f>IF(R513&gt;0,S513*100/R513,0)</f>
        <v>0</v>
      </c>
    </row>
    <row r="514" spans="1:21" ht="18.75" hidden="1">
      <c r="A514" s="155"/>
      <c r="B514" s="50"/>
      <c r="C514" s="50"/>
      <c r="D514" s="50"/>
      <c r="E514" s="186" t="s">
        <v>20</v>
      </c>
      <c r="F514" s="50"/>
      <c r="G514" s="52"/>
      <c r="H514" s="187" t="s">
        <v>14</v>
      </c>
      <c r="I514" s="54"/>
      <c r="J514" s="54"/>
      <c r="K514" s="55"/>
      <c r="L514" s="103">
        <f>L517+L520</f>
        <v>0</v>
      </c>
      <c r="M514" s="102">
        <f>M517+M520</f>
        <v>0</v>
      </c>
      <c r="N514" s="102">
        <f>N517+N520</f>
        <v>0</v>
      </c>
      <c r="O514" s="102">
        <f>IF(L514&gt;0,N514*100/L514,0)</f>
        <v>0</v>
      </c>
      <c r="P514" s="102">
        <f>IF(M514&gt;0,N514*100/M514,0)</f>
        <v>0</v>
      </c>
      <c r="Q514" s="102">
        <f>Q517+Q520</f>
        <v>0</v>
      </c>
      <c r="R514" s="102">
        <f>R517+R520</f>
        <v>0</v>
      </c>
      <c r="S514" s="102">
        <f>S517+S520</f>
        <v>0</v>
      </c>
      <c r="T514" s="102">
        <f>IF(Q514&gt;0,S514*100/Q514,0)</f>
        <v>0</v>
      </c>
      <c r="U514" s="102">
        <f>IF(R514&gt;0,S514*100/R514,0)</f>
        <v>0</v>
      </c>
    </row>
    <row r="515" spans="1:21" ht="18.75" hidden="1">
      <c r="A515" s="155"/>
      <c r="B515" s="50"/>
      <c r="C515" s="50"/>
      <c r="D515" s="50"/>
      <c r="E515" s="186" t="s">
        <v>21</v>
      </c>
      <c r="F515" s="50"/>
      <c r="G515" s="52"/>
      <c r="H515" s="187" t="s">
        <v>14</v>
      </c>
      <c r="I515" s="54"/>
      <c r="J515" s="54"/>
      <c r="K515" s="55"/>
      <c r="L515" s="256">
        <f ca="1">L518+L521</f>
        <v>0</v>
      </c>
      <c r="M515" s="255">
        <f ca="1">M518+M521</f>
        <v>0</v>
      </c>
      <c r="N515" s="255">
        <f ca="1">N518+N521</f>
        <v>0</v>
      </c>
      <c r="O515" s="255">
        <f ca="1">IF(L515&gt;0,N515*100/L515,0)</f>
        <v>0</v>
      </c>
      <c r="P515" s="255">
        <f ca="1">IF(M515&gt;0,N515*100/M515,0)</f>
        <v>0</v>
      </c>
      <c r="Q515" s="255">
        <f>Q518+Q521</f>
        <v>0</v>
      </c>
      <c r="R515" s="255">
        <f>R518+R521</f>
        <v>0</v>
      </c>
      <c r="S515" s="255">
        <f>S518+S521</f>
        <v>0</v>
      </c>
      <c r="T515" s="255">
        <f>IF(Q515&gt;0,S515*100/Q515,0)</f>
        <v>0</v>
      </c>
      <c r="U515" s="255">
        <f>IF(R515&gt;0,S515*100/R515,0)</f>
        <v>0</v>
      </c>
    </row>
    <row r="516" spans="1:21" ht="18.75" hidden="1">
      <c r="A516" s="155"/>
      <c r="B516" s="50"/>
      <c r="C516" s="50"/>
      <c r="D516" s="592" t="s">
        <v>22</v>
      </c>
      <c r="E516" s="50"/>
      <c r="F516" s="50"/>
      <c r="G516" s="52"/>
      <c r="H516" s="189" t="s">
        <v>14</v>
      </c>
      <c r="I516" s="163"/>
      <c r="J516" s="163"/>
      <c r="K516" s="164"/>
      <c r="L516" s="256">
        <f ca="1">L517+L518</f>
        <v>0</v>
      </c>
      <c r="M516" s="255">
        <f ca="1">M517+M518</f>
        <v>0</v>
      </c>
      <c r="N516" s="255">
        <f ca="1">N517+N518</f>
        <v>0</v>
      </c>
      <c r="O516" s="255">
        <f ca="1">IF(L516&gt;0,N516*100/L516,0)</f>
        <v>0</v>
      </c>
      <c r="P516" s="255">
        <f ca="1">IF(M516&gt;0,N516*100/M516,0)</f>
        <v>0</v>
      </c>
      <c r="Q516" s="255">
        <f>Q517+Q518</f>
        <v>0</v>
      </c>
      <c r="R516" s="255">
        <f>R517+R518</f>
        <v>0</v>
      </c>
      <c r="S516" s="255">
        <f>S517+S518</f>
        <v>0</v>
      </c>
      <c r="T516" s="255">
        <f>IF(Q516&gt;0,S516*100/Q516,0)</f>
        <v>0</v>
      </c>
      <c r="U516" s="255">
        <f>IF(R516&gt;0,S516*100/R516,0)</f>
        <v>0</v>
      </c>
    </row>
    <row r="517" spans="1:21" ht="18.75" hidden="1">
      <c r="A517" s="155"/>
      <c r="B517" s="50"/>
      <c r="C517" s="50"/>
      <c r="D517" s="50"/>
      <c r="E517" s="186" t="s">
        <v>36</v>
      </c>
      <c r="F517" s="50"/>
      <c r="G517" s="52"/>
      <c r="H517" s="189" t="s">
        <v>14</v>
      </c>
      <c r="I517" s="163"/>
      <c r="J517" s="163"/>
      <c r="K517" s="164"/>
      <c r="L517" s="103">
        <v>0</v>
      </c>
      <c r="M517" s="102">
        <v>0</v>
      </c>
      <c r="N517" s="102">
        <v>0</v>
      </c>
      <c r="O517" s="102">
        <f>IF(L517&gt;0,N517*100/L517,0)</f>
        <v>0</v>
      </c>
      <c r="P517" s="102">
        <f>IF(M517&gt;0,N517*100/M517,0)</f>
        <v>0</v>
      </c>
      <c r="Q517" s="102">
        <v>0</v>
      </c>
      <c r="R517" s="102">
        <v>0</v>
      </c>
      <c r="S517" s="102">
        <v>0</v>
      </c>
      <c r="T517" s="102">
        <f>IF(Q517&gt;0,S517*100/Q517,0)</f>
        <v>0</v>
      </c>
      <c r="U517" s="102">
        <f>IF(R517&gt;0,S517*100/R517,0)</f>
        <v>0</v>
      </c>
    </row>
    <row r="518" spans="1:21" ht="18.75" hidden="1">
      <c r="A518" s="155"/>
      <c r="B518" s="50"/>
      <c r="C518" s="50"/>
      <c r="D518" s="50"/>
      <c r="E518" s="186" t="s">
        <v>37</v>
      </c>
      <c r="F518" s="50"/>
      <c r="G518" s="52"/>
      <c r="H518" s="189" t="s">
        <v>14</v>
      </c>
      <c r="I518" s="163"/>
      <c r="J518" s="163"/>
      <c r="K518" s="164"/>
      <c r="L518" s="256">
        <f ca="1">IFERROR(__xludf.DUMMYFUNCTION("IMPORTRANGE(""https://docs.google.com/spreadsheets/d/1-uDff_7J0KD5mKrp0Vvzr7lt3OU09vwQwhkpOPPYv2Y/edit?usp=sharing"",""งบพรบ!FM44"")"),0)</f>
        <v>0</v>
      </c>
      <c r="M518" s="255">
        <f ca="1">IFERROR(__xludf.DUMMYFUNCTION("IMPORTRANGE(""https://docs.google.com/spreadsheets/d/1-uDff_7J0KD5mKrp0Vvzr7lt3OU09vwQwhkpOPPYv2Y/edit?usp=sharing"",""งบพรบ!FR44"")"),0)</f>
        <v>0</v>
      </c>
      <c r="N518" s="255">
        <f ca="1">IFERROR(__xludf.DUMMYFUNCTION("IMPORTRANGE(""https://docs.google.com/spreadsheets/d/1-uDff_7J0KD5mKrp0Vvzr7lt3OU09vwQwhkpOPPYv2Y/edit?usp=sharing"",""งบพรบ!FT44"")"),0)</f>
        <v>0</v>
      </c>
      <c r="O518" s="255">
        <f ca="1">IF(L518&gt;0,N518*100/L518,0)</f>
        <v>0</v>
      </c>
      <c r="P518" s="255">
        <f ca="1">IF(M518&gt;0,N518*100/M518,0)</f>
        <v>0</v>
      </c>
      <c r="Q518" s="255">
        <v>0</v>
      </c>
      <c r="R518" s="255">
        <v>0</v>
      </c>
      <c r="S518" s="255">
        <v>0</v>
      </c>
      <c r="T518" s="255">
        <f>IF(Q518&gt;0,S518*100/Q518,0)</f>
        <v>0</v>
      </c>
      <c r="U518" s="255">
        <f>IF(R518&gt;0,S518*100/R518,0)</f>
        <v>0</v>
      </c>
    </row>
    <row r="519" spans="1:21" ht="18.75" hidden="1">
      <c r="A519" s="155"/>
      <c r="B519" s="50"/>
      <c r="C519" s="50"/>
      <c r="D519" s="592" t="s">
        <v>23</v>
      </c>
      <c r="E519" s="50"/>
      <c r="F519" s="50"/>
      <c r="G519" s="52"/>
      <c r="H519" s="421" t="s">
        <v>14</v>
      </c>
      <c r="I519" s="163"/>
      <c r="J519" s="163"/>
      <c r="K519" s="164"/>
      <c r="L519" s="256">
        <f ca="1">L520+L521</f>
        <v>0</v>
      </c>
      <c r="M519" s="255">
        <f ca="1">M520+M521</f>
        <v>0</v>
      </c>
      <c r="N519" s="255">
        <f ca="1">N520+N521</f>
        <v>0</v>
      </c>
      <c r="O519" s="255">
        <f ca="1">IF(L519&gt;0,N519*100/L519,0)</f>
        <v>0</v>
      </c>
      <c r="P519" s="255">
        <f ca="1">IF(M519&gt;0,N519*100/M519,0)</f>
        <v>0</v>
      </c>
      <c r="Q519" s="255">
        <f>Q520+Q521</f>
        <v>0</v>
      </c>
      <c r="R519" s="255">
        <f>R520+R521</f>
        <v>0</v>
      </c>
      <c r="S519" s="255">
        <f>S520+S521</f>
        <v>0</v>
      </c>
      <c r="T519" s="255">
        <f>IF(Q519&gt;0,S519*100/Q519,0)</f>
        <v>0</v>
      </c>
      <c r="U519" s="255">
        <f>IF(R519&gt;0,S519*100/R519,0)</f>
        <v>0</v>
      </c>
    </row>
    <row r="520" spans="1:21" ht="18.75" hidden="1">
      <c r="A520" s="155"/>
      <c r="B520" s="50"/>
      <c r="C520" s="50"/>
      <c r="D520" s="50"/>
      <c r="E520" s="186" t="s">
        <v>20</v>
      </c>
      <c r="F520" s="50"/>
      <c r="G520" s="52"/>
      <c r="H520" s="189" t="s">
        <v>14</v>
      </c>
      <c r="I520" s="163"/>
      <c r="J520" s="163"/>
      <c r="K520" s="164"/>
      <c r="L520" s="103">
        <v>0</v>
      </c>
      <c r="M520" s="102">
        <v>0</v>
      </c>
      <c r="N520" s="102">
        <v>0</v>
      </c>
      <c r="O520" s="102">
        <f>IF(L520&gt;0,N520*100/L520,0)</f>
        <v>0</v>
      </c>
      <c r="P520" s="102">
        <f>IF(M520&gt;0,N520*100/M520,0)</f>
        <v>0</v>
      </c>
      <c r="Q520" s="102">
        <v>0</v>
      </c>
      <c r="R520" s="102">
        <v>0</v>
      </c>
      <c r="S520" s="102">
        <v>0</v>
      </c>
      <c r="T520" s="102">
        <f>IF(Q520&gt;0,S520*100/Q520,0)</f>
        <v>0</v>
      </c>
      <c r="U520" s="102">
        <f>IF(R520&gt;0,S520*100/R520,0)</f>
        <v>0</v>
      </c>
    </row>
    <row r="521" spans="1:21" ht="18.75" hidden="1">
      <c r="A521" s="155"/>
      <c r="B521" s="50"/>
      <c r="C521" s="50"/>
      <c r="D521" s="50"/>
      <c r="E521" s="186" t="s">
        <v>21</v>
      </c>
      <c r="F521" s="50"/>
      <c r="G521" s="52"/>
      <c r="H521" s="421" t="s">
        <v>14</v>
      </c>
      <c r="I521" s="163"/>
      <c r="J521" s="163"/>
      <c r="K521" s="164"/>
      <c r="L521" s="256">
        <f ca="1">IFERROR(__xludf.DUMMYFUNCTION("IMPORTRANGE(""https://docs.google.com/spreadsheets/d/1-uDff_7J0KD5mKrp0Vvzr7lt3OU09vwQwhkpOPPYv2Y/edit?usp=sharing"",""งบพรบ!FP44"")"),0)</f>
        <v>0</v>
      </c>
      <c r="M521" s="255">
        <f ca="1">IFERROR(__xludf.DUMMYFUNCTION("IMPORTRANGE(""https://docs.google.com/spreadsheets/d/1-uDff_7J0KD5mKrp0Vvzr7lt3OU09vwQwhkpOPPYv2Y/edit?usp=sharing"",""งบพรบ!FS44"")"),0)</f>
        <v>0</v>
      </c>
      <c r="N521" s="255">
        <f ca="1">IFERROR(__xludf.DUMMYFUNCTION("IMPORTRANGE(""https://docs.google.com/spreadsheets/d/1-uDff_7J0KD5mKrp0Vvzr7lt3OU09vwQwhkpOPPYv2Y/edit?usp=sharing"",""งบพรบ!FU44"")"),0)</f>
        <v>0</v>
      </c>
      <c r="O521" s="255">
        <f ca="1">IF(L521&gt;0,N521*100/L521,0)</f>
        <v>0</v>
      </c>
      <c r="P521" s="255">
        <f ca="1">IF(M521&gt;0,N521*100/M521,0)</f>
        <v>0</v>
      </c>
      <c r="Q521" s="255">
        <v>0</v>
      </c>
      <c r="R521" s="255">
        <v>0</v>
      </c>
      <c r="S521" s="255">
        <v>0</v>
      </c>
      <c r="T521" s="255">
        <f>IF(Q521&gt;0,S521*100/Q521,0)</f>
        <v>0</v>
      </c>
      <c r="U521" s="255">
        <f>IF(R521&gt;0,S521*100/R521,0)</f>
        <v>0</v>
      </c>
    </row>
    <row r="522" spans="1:21" ht="19.5" hidden="1">
      <c r="A522" s="166"/>
      <c r="B522" s="167"/>
      <c r="C522" s="591" t="s">
        <v>18</v>
      </c>
      <c r="D522" s="574" t="s">
        <v>38</v>
      </c>
      <c r="E522" s="169"/>
      <c r="F522" s="169"/>
      <c r="G522" s="170"/>
      <c r="H522" s="171"/>
      <c r="I522" s="163"/>
      <c r="J522" s="54"/>
      <c r="K522" s="55"/>
      <c r="L522" s="62"/>
      <c r="M522" s="55"/>
      <c r="N522" s="55"/>
      <c r="O522" s="164"/>
      <c r="P522" s="164"/>
      <c r="Q522" s="55"/>
      <c r="R522" s="55"/>
      <c r="S522" s="55"/>
      <c r="T522" s="164"/>
      <c r="U522" s="164"/>
    </row>
    <row r="523" spans="1:21" ht="18.75" hidden="1">
      <c r="A523" s="238"/>
      <c r="B523" s="50"/>
      <c r="C523" s="188"/>
      <c r="D523" s="207" t="s">
        <v>209</v>
      </c>
      <c r="E523" s="167"/>
      <c r="F523" s="50"/>
      <c r="G523" s="52"/>
      <c r="H523" s="590" t="s">
        <v>11</v>
      </c>
      <c r="I523" s="483">
        <v>0</v>
      </c>
      <c r="J523" s="589">
        <v>0</v>
      </c>
      <c r="K523" s="102">
        <f>IF(I523&gt;0,J523*100/I523,0)</f>
        <v>0</v>
      </c>
      <c r="L523" s="62"/>
      <c r="M523" s="55"/>
      <c r="N523" s="55"/>
      <c r="O523" s="55"/>
      <c r="P523" s="55"/>
      <c r="Q523" s="55"/>
      <c r="R523" s="55"/>
      <c r="S523" s="55"/>
      <c r="T523" s="55"/>
      <c r="U523" s="55"/>
    </row>
    <row r="524" spans="1:21" ht="18.75" hidden="1">
      <c r="A524" s="374"/>
      <c r="B524" s="4"/>
      <c r="C524" s="5"/>
      <c r="D524" s="588" t="s">
        <v>210</v>
      </c>
      <c r="E524" s="282"/>
      <c r="F524" s="4"/>
      <c r="G524" s="65"/>
      <c r="H524" s="587" t="s">
        <v>61</v>
      </c>
      <c r="I524" s="486">
        <v>0</v>
      </c>
      <c r="J524" s="586">
        <v>0</v>
      </c>
      <c r="K524" s="585">
        <f>IF(I524&gt;0,J524*100/I524,0)</f>
        <v>0</v>
      </c>
      <c r="L524" s="62"/>
      <c r="M524" s="55"/>
      <c r="N524" s="55"/>
      <c r="O524" s="55"/>
      <c r="P524" s="55"/>
      <c r="Q524" s="55"/>
      <c r="R524" s="55"/>
      <c r="S524" s="55"/>
      <c r="T524" s="55"/>
      <c r="U524" s="55"/>
    </row>
    <row r="525" spans="1:21" ht="12.75" hidden="1">
      <c r="A525" s="584"/>
      <c r="B525" s="583"/>
      <c r="C525" s="583"/>
      <c r="D525" s="582"/>
      <c r="E525" s="582"/>
      <c r="F525" s="582"/>
      <c r="G525" s="581"/>
      <c r="H525" s="580"/>
      <c r="I525" s="579"/>
      <c r="J525" s="579"/>
      <c r="K525" s="578"/>
      <c r="L525" s="265"/>
      <c r="M525" s="264"/>
      <c r="N525" s="264"/>
      <c r="O525" s="264"/>
      <c r="P525" s="264"/>
      <c r="Q525" s="264"/>
      <c r="R525" s="264"/>
      <c r="S525" s="264"/>
      <c r="T525" s="264"/>
      <c r="U525" s="264"/>
    </row>
    <row r="526" spans="1:21" ht="12.75" hidden="1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5"/>
      <c r="M526" s="264"/>
      <c r="N526" s="264"/>
      <c r="O526" s="264"/>
      <c r="P526" s="264"/>
      <c r="Q526" s="264"/>
      <c r="R526" s="264"/>
      <c r="S526" s="264"/>
      <c r="T526" s="264"/>
      <c r="U526" s="264"/>
    </row>
    <row r="527" spans="1:21" ht="12.75" hidden="1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5"/>
      <c r="M527" s="264"/>
      <c r="N527" s="264"/>
      <c r="O527" s="264"/>
      <c r="P527" s="264"/>
      <c r="Q527" s="264"/>
      <c r="R527" s="264"/>
      <c r="S527" s="264"/>
      <c r="T527" s="264"/>
      <c r="U527" s="264"/>
    </row>
    <row r="528" spans="1:21" ht="12.75" hidden="1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5"/>
      <c r="M528" s="264"/>
      <c r="N528" s="264"/>
      <c r="O528" s="264"/>
      <c r="P528" s="264"/>
      <c r="Q528" s="264"/>
      <c r="R528" s="264"/>
      <c r="S528" s="264"/>
      <c r="T528" s="264"/>
      <c r="U528" s="264"/>
    </row>
    <row r="529" spans="1:21" ht="12.75" hidden="1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5"/>
      <c r="M529" s="264"/>
      <c r="N529" s="264"/>
      <c r="O529" s="264"/>
      <c r="P529" s="264"/>
      <c r="Q529" s="264"/>
      <c r="R529" s="264"/>
      <c r="S529" s="264"/>
      <c r="T529" s="264"/>
      <c r="U529" s="264"/>
    </row>
    <row r="530" spans="1:21" ht="12.75" hidden="1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5"/>
      <c r="M530" s="264"/>
      <c r="N530" s="264"/>
      <c r="O530" s="264"/>
      <c r="P530" s="264"/>
      <c r="Q530" s="264"/>
      <c r="R530" s="264"/>
      <c r="S530" s="264"/>
      <c r="T530" s="264"/>
      <c r="U530" s="264"/>
    </row>
    <row r="531" spans="1:21" ht="12.75" hidden="1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5"/>
      <c r="M531" s="264"/>
      <c r="N531" s="264"/>
      <c r="O531" s="264"/>
      <c r="P531" s="264"/>
      <c r="Q531" s="264"/>
      <c r="R531" s="264"/>
      <c r="S531" s="264"/>
      <c r="T531" s="264"/>
      <c r="U531" s="264"/>
    </row>
    <row r="532" spans="1:21" ht="12.75" hidden="1">
      <c r="A532" s="407"/>
      <c r="B532" s="360"/>
      <c r="C532" s="360"/>
      <c r="D532" s="408"/>
      <c r="E532" s="408"/>
      <c r="F532" s="408"/>
      <c r="G532" s="409"/>
      <c r="H532" s="361"/>
      <c r="I532" s="362"/>
      <c r="J532" s="362"/>
      <c r="K532" s="363"/>
      <c r="L532" s="364"/>
      <c r="M532" s="363"/>
      <c r="N532" s="363"/>
      <c r="O532" s="363"/>
      <c r="P532" s="363"/>
      <c r="Q532" s="363"/>
      <c r="R532" s="363"/>
      <c r="S532" s="363"/>
      <c r="T532" s="363"/>
      <c r="U532" s="363"/>
    </row>
    <row r="533" spans="1:21" ht="19.5" hidden="1">
      <c r="A533" s="395"/>
      <c r="B533" s="396" t="s">
        <v>211</v>
      </c>
      <c r="C533" s="397"/>
      <c r="D533" s="398"/>
      <c r="E533" s="398"/>
      <c r="F533" s="398"/>
      <c r="G533" s="399"/>
      <c r="H533" s="410" t="s">
        <v>61</v>
      </c>
      <c r="I533" s="577">
        <f>I545</f>
        <v>0</v>
      </c>
      <c r="J533" s="577">
        <f>J545</f>
        <v>0</v>
      </c>
      <c r="K533" s="576">
        <f>IF(I533&gt;0,J533*100/I533,0)</f>
        <v>0</v>
      </c>
      <c r="L533" s="404"/>
      <c r="M533" s="403"/>
      <c r="N533" s="403"/>
      <c r="O533" s="403"/>
      <c r="P533" s="403"/>
      <c r="Q533" s="403"/>
      <c r="R533" s="403"/>
      <c r="S533" s="403"/>
      <c r="T533" s="403"/>
      <c r="U533" s="403"/>
    </row>
    <row r="534" spans="1:21" ht="19.5" hidden="1">
      <c r="A534" s="155"/>
      <c r="B534" s="50"/>
      <c r="C534" s="156" t="s">
        <v>18</v>
      </c>
      <c r="D534" s="575" t="s">
        <v>19</v>
      </c>
      <c r="E534" s="50"/>
      <c r="F534" s="50"/>
      <c r="G534" s="52"/>
      <c r="H534" s="158" t="s">
        <v>14</v>
      </c>
      <c r="I534" s="54"/>
      <c r="J534" s="54"/>
      <c r="K534" s="55"/>
      <c r="L534" s="541">
        <f>L535+L536</f>
        <v>0</v>
      </c>
      <c r="M534" s="540">
        <f>M535+M536</f>
        <v>0</v>
      </c>
      <c r="N534" s="540">
        <f>N535+N536</f>
        <v>0</v>
      </c>
      <c r="O534" s="540">
        <f>IF(L534&gt;0,N534*100/L534,0)</f>
        <v>0</v>
      </c>
      <c r="P534" s="540">
        <f>IF(M534&gt;0,N534*100/M534,0)</f>
        <v>0</v>
      </c>
      <c r="Q534" s="540">
        <f>Q535+Q536</f>
        <v>0</v>
      </c>
      <c r="R534" s="540">
        <f>R535+R536</f>
        <v>0</v>
      </c>
      <c r="S534" s="540">
        <f>S535+S536</f>
        <v>0</v>
      </c>
      <c r="T534" s="540">
        <f>IF(Q534&gt;0,S534*100/Q534,0)</f>
        <v>0</v>
      </c>
      <c r="U534" s="540">
        <f>IF(R534&gt;0,S534*100/R534,0)</f>
        <v>0</v>
      </c>
    </row>
    <row r="535" spans="1:21" ht="18.75" hidden="1">
      <c r="A535" s="155"/>
      <c r="B535" s="188"/>
      <c r="C535" s="50"/>
      <c r="D535" s="50"/>
      <c r="E535" s="186" t="s">
        <v>20</v>
      </c>
      <c r="F535" s="50"/>
      <c r="G535" s="52"/>
      <c r="H535" s="187" t="s">
        <v>14</v>
      </c>
      <c r="I535" s="54"/>
      <c r="J535" s="54"/>
      <c r="K535" s="55"/>
      <c r="L535" s="103">
        <f>L538+L541</f>
        <v>0</v>
      </c>
      <c r="M535" s="102">
        <f>M538+M541</f>
        <v>0</v>
      </c>
      <c r="N535" s="102">
        <f>N538+N541</f>
        <v>0</v>
      </c>
      <c r="O535" s="102">
        <f>IF(L535&gt;0,N535*100/L535,0)</f>
        <v>0</v>
      </c>
      <c r="P535" s="102">
        <f>IF(M535&gt;0,N535*100/M535,0)</f>
        <v>0</v>
      </c>
      <c r="Q535" s="102">
        <f>Q538+Q541</f>
        <v>0</v>
      </c>
      <c r="R535" s="102">
        <f>R538+R541</f>
        <v>0</v>
      </c>
      <c r="S535" s="102">
        <f>S538+S541</f>
        <v>0</v>
      </c>
      <c r="T535" s="102">
        <f>IF(Q535&gt;0,S535*100/Q535,0)</f>
        <v>0</v>
      </c>
      <c r="U535" s="102">
        <f>IF(R535&gt;0,S535*100/R535,0)</f>
        <v>0</v>
      </c>
    </row>
    <row r="536" spans="1:21" ht="18.75" hidden="1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256">
        <f>L539+L542</f>
        <v>0</v>
      </c>
      <c r="M536" s="255">
        <f>M539+M542</f>
        <v>0</v>
      </c>
      <c r="N536" s="255">
        <f>N539+N542</f>
        <v>0</v>
      </c>
      <c r="O536" s="255">
        <f>IF(L536&gt;0,N536*100/L536,0)</f>
        <v>0</v>
      </c>
      <c r="P536" s="255">
        <f>IF(M536&gt;0,N536*100/M536,0)</f>
        <v>0</v>
      </c>
      <c r="Q536" s="255">
        <f>Q539+Q542</f>
        <v>0</v>
      </c>
      <c r="R536" s="255">
        <f>R539+R542</f>
        <v>0</v>
      </c>
      <c r="S536" s="255">
        <f>S539+S542</f>
        <v>0</v>
      </c>
      <c r="T536" s="255">
        <f>IF(Q536&gt;0,S536*100/Q536,0)</f>
        <v>0</v>
      </c>
      <c r="U536" s="255">
        <f>IF(R536&gt;0,S536*100/R536,0)</f>
        <v>0</v>
      </c>
    </row>
    <row r="537" spans="1:21" ht="18.75" hidden="1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256">
        <f>L538+L539</f>
        <v>0</v>
      </c>
      <c r="M537" s="255">
        <f>M538+M539</f>
        <v>0</v>
      </c>
      <c r="N537" s="255">
        <f>N538+N539</f>
        <v>0</v>
      </c>
      <c r="O537" s="255">
        <f>IF(L537&gt;0,N537*100/L537,0)</f>
        <v>0</v>
      </c>
      <c r="P537" s="255">
        <f>IF(M537&gt;0,N537*100/M537,0)</f>
        <v>0</v>
      </c>
      <c r="Q537" s="255">
        <f>Q538+Q539</f>
        <v>0</v>
      </c>
      <c r="R537" s="255">
        <f>R538+R539</f>
        <v>0</v>
      </c>
      <c r="S537" s="255">
        <f>S538+S539</f>
        <v>0</v>
      </c>
      <c r="T537" s="255">
        <f>IF(Q537&gt;0,S537*100/Q537,0)</f>
        <v>0</v>
      </c>
      <c r="U537" s="255">
        <f>IF(R537&gt;0,S537*100/R537,0)</f>
        <v>0</v>
      </c>
    </row>
    <row r="538" spans="1:21" ht="18.75" hidden="1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103">
        <v>0</v>
      </c>
      <c r="M538" s="102">
        <v>0</v>
      </c>
      <c r="N538" s="102">
        <v>0</v>
      </c>
      <c r="O538" s="102">
        <f>IF(L538&gt;0,N538*100/L538,0)</f>
        <v>0</v>
      </c>
      <c r="P538" s="102">
        <f>IF(M538&gt;0,N538*100/M538,0)</f>
        <v>0</v>
      </c>
      <c r="Q538" s="102">
        <v>0</v>
      </c>
      <c r="R538" s="102">
        <v>0</v>
      </c>
      <c r="S538" s="102">
        <v>0</v>
      </c>
      <c r="T538" s="102">
        <f>IF(Q538&gt;0,S538*100/Q538,0)</f>
        <v>0</v>
      </c>
      <c r="U538" s="102">
        <f>IF(R538&gt;0,S538*100/R538,0)</f>
        <v>0</v>
      </c>
    </row>
    <row r="539" spans="1:21" ht="18.75" hidden="1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256">
        <v>0</v>
      </c>
      <c r="M539" s="255">
        <v>0</v>
      </c>
      <c r="N539" s="255">
        <v>0</v>
      </c>
      <c r="O539" s="255">
        <f>IF(L539&gt;0,N539*100/L539,0)</f>
        <v>0</v>
      </c>
      <c r="P539" s="255">
        <f>IF(M539&gt;0,N539*100/M539,0)</f>
        <v>0</v>
      </c>
      <c r="Q539" s="255">
        <v>0</v>
      </c>
      <c r="R539" s="255">
        <v>0</v>
      </c>
      <c r="S539" s="255">
        <v>0</v>
      </c>
      <c r="T539" s="255">
        <f>IF(Q539&gt;0,S539*100/Q539,0)</f>
        <v>0</v>
      </c>
      <c r="U539" s="255">
        <f>IF(R539&gt;0,S539*100/R539,0)</f>
        <v>0</v>
      </c>
    </row>
    <row r="540" spans="1:21" ht="18.75" hidden="1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256">
        <f>L541+L542</f>
        <v>0</v>
      </c>
      <c r="M540" s="255">
        <f>M541+M542</f>
        <v>0</v>
      </c>
      <c r="N540" s="255">
        <f>N541+N542</f>
        <v>0</v>
      </c>
      <c r="O540" s="255">
        <f>IF(L540&gt;0,N540*100/L540,0)</f>
        <v>0</v>
      </c>
      <c r="P540" s="255">
        <f>IF(M540&gt;0,N540*100/M540,0)</f>
        <v>0</v>
      </c>
      <c r="Q540" s="255">
        <f>Q541+Q542</f>
        <v>0</v>
      </c>
      <c r="R540" s="255">
        <f>R541+R542</f>
        <v>0</v>
      </c>
      <c r="S540" s="255">
        <f>S541+S542</f>
        <v>0</v>
      </c>
      <c r="T540" s="255">
        <f>IF(Q540&gt;0,S540*100/Q540,0)</f>
        <v>0</v>
      </c>
      <c r="U540" s="255">
        <f>IF(R540&gt;0,S540*100/R540,0)</f>
        <v>0</v>
      </c>
    </row>
    <row r="541" spans="1:21" ht="18.75" hidden="1">
      <c r="A541" s="155"/>
      <c r="B541" s="50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103">
        <v>0</v>
      </c>
      <c r="M541" s="102">
        <v>0</v>
      </c>
      <c r="N541" s="102">
        <v>0</v>
      </c>
      <c r="O541" s="102">
        <f>IF(L541&gt;0,N541*100/L541,0)</f>
        <v>0</v>
      </c>
      <c r="P541" s="102">
        <f>IF(M541&gt;0,N541*100/M541,0)</f>
        <v>0</v>
      </c>
      <c r="Q541" s="102">
        <v>0</v>
      </c>
      <c r="R541" s="102">
        <v>0</v>
      </c>
      <c r="S541" s="102">
        <v>0</v>
      </c>
      <c r="T541" s="102">
        <f>IF(Q541&gt;0,S541*100/Q541,0)</f>
        <v>0</v>
      </c>
      <c r="U541" s="102">
        <f>IF(R541&gt;0,S541*100/R541,0)</f>
        <v>0</v>
      </c>
    </row>
    <row r="542" spans="1:21" ht="18.75" hidden="1">
      <c r="A542" s="155"/>
      <c r="B542" s="50"/>
      <c r="C542" s="50"/>
      <c r="D542" s="50"/>
      <c r="E542" s="58" t="s">
        <v>21</v>
      </c>
      <c r="F542" s="50"/>
      <c r="G542" s="52"/>
      <c r="H542" s="165" t="s">
        <v>14</v>
      </c>
      <c r="I542" s="163"/>
      <c r="J542" s="163"/>
      <c r="K542" s="164"/>
      <c r="L542" s="256">
        <v>0</v>
      </c>
      <c r="M542" s="255">
        <v>0</v>
      </c>
      <c r="N542" s="255">
        <v>0</v>
      </c>
      <c r="O542" s="255">
        <f>IF(L542&gt;0,N542*100/L542,0)</f>
        <v>0</v>
      </c>
      <c r="P542" s="255">
        <f>IF(M542&gt;0,N542*100/M542,0)</f>
        <v>0</v>
      </c>
      <c r="Q542" s="255">
        <v>0</v>
      </c>
      <c r="R542" s="255">
        <v>0</v>
      </c>
      <c r="S542" s="255">
        <v>0</v>
      </c>
      <c r="T542" s="255">
        <f>IF(Q542&gt;0,S542*100/Q542,0)</f>
        <v>0</v>
      </c>
      <c r="U542" s="255">
        <f>IF(R542&gt;0,S542*100/R542,0)</f>
        <v>0</v>
      </c>
    </row>
    <row r="543" spans="1:21" ht="19.5" hidden="1">
      <c r="A543" s="166"/>
      <c r="B543" s="167"/>
      <c r="C543" s="411" t="s">
        <v>18</v>
      </c>
      <c r="D543" s="566" t="s">
        <v>38</v>
      </c>
      <c r="E543" s="169"/>
      <c r="F543" s="169"/>
      <c r="G543" s="170"/>
      <c r="H543" s="171"/>
      <c r="I543" s="163"/>
      <c r="J543" s="54"/>
      <c r="K543" s="55"/>
      <c r="L543" s="62"/>
      <c r="M543" s="55"/>
      <c r="N543" s="55"/>
      <c r="O543" s="164"/>
      <c r="P543" s="164"/>
      <c r="Q543" s="55"/>
      <c r="R543" s="55"/>
      <c r="S543" s="55"/>
      <c r="T543" s="164"/>
      <c r="U543" s="164"/>
    </row>
    <row r="544" spans="1:21" ht="12.75" hidden="1">
      <c r="A544" s="258"/>
      <c r="B544" s="260"/>
      <c r="C544" s="259"/>
      <c r="D544" s="260"/>
      <c r="E544" s="259"/>
      <c r="F544" s="260"/>
      <c r="G544" s="261"/>
      <c r="H544" s="261"/>
      <c r="I544" s="263"/>
      <c r="J544" s="263"/>
      <c r="K544" s="264"/>
      <c r="L544" s="265"/>
      <c r="M544" s="264"/>
      <c r="N544" s="264"/>
      <c r="O544" s="264"/>
      <c r="P544" s="264"/>
      <c r="Q544" s="264"/>
      <c r="R544" s="264"/>
      <c r="S544" s="264"/>
      <c r="T544" s="264"/>
      <c r="U544" s="264"/>
    </row>
    <row r="545" spans="1:21" ht="12.75" hidden="1">
      <c r="A545" s="258"/>
      <c r="B545" s="260"/>
      <c r="C545" s="259"/>
      <c r="D545" s="260"/>
      <c r="E545" s="259"/>
      <c r="F545" s="260"/>
      <c r="G545" s="261"/>
      <c r="H545" s="261"/>
      <c r="I545" s="263"/>
      <c r="J545" s="263"/>
      <c r="K545" s="264"/>
      <c r="L545" s="265"/>
      <c r="M545" s="264"/>
      <c r="N545" s="264"/>
      <c r="O545" s="264"/>
      <c r="P545" s="264"/>
      <c r="Q545" s="264"/>
      <c r="R545" s="264"/>
      <c r="S545" s="264"/>
      <c r="T545" s="264"/>
      <c r="U545" s="264"/>
    </row>
    <row r="546" spans="1:21" ht="12.75" hidden="1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5"/>
      <c r="M546" s="264"/>
      <c r="N546" s="264"/>
      <c r="O546" s="264"/>
      <c r="P546" s="264"/>
      <c r="Q546" s="264"/>
      <c r="R546" s="264"/>
      <c r="S546" s="264"/>
      <c r="T546" s="264"/>
      <c r="U546" s="264"/>
    </row>
    <row r="547" spans="1:21" ht="12.75" hidden="1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5"/>
      <c r="M547" s="264"/>
      <c r="N547" s="264"/>
      <c r="O547" s="264"/>
      <c r="P547" s="264"/>
      <c r="Q547" s="264"/>
      <c r="R547" s="264"/>
      <c r="S547" s="264"/>
      <c r="T547" s="264"/>
      <c r="U547" s="264"/>
    </row>
    <row r="548" spans="1:21" ht="12.75" hidden="1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5"/>
      <c r="M548" s="264"/>
      <c r="N548" s="264"/>
      <c r="O548" s="264"/>
      <c r="P548" s="264"/>
      <c r="Q548" s="264"/>
      <c r="R548" s="264"/>
      <c r="S548" s="264"/>
      <c r="T548" s="264"/>
      <c r="U548" s="264"/>
    </row>
    <row r="549" spans="1:21" ht="12.75" hidden="1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5"/>
      <c r="M549" s="264"/>
      <c r="N549" s="264"/>
      <c r="O549" s="264"/>
      <c r="P549" s="264"/>
      <c r="Q549" s="264"/>
      <c r="R549" s="264"/>
      <c r="S549" s="264"/>
      <c r="T549" s="264"/>
      <c r="U549" s="264"/>
    </row>
    <row r="550" spans="1:21" ht="12.75" hidden="1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5"/>
      <c r="M550" s="264"/>
      <c r="N550" s="264"/>
      <c r="O550" s="264"/>
      <c r="P550" s="264"/>
      <c r="Q550" s="264"/>
      <c r="R550" s="264"/>
      <c r="S550" s="264"/>
      <c r="T550" s="264"/>
      <c r="U550" s="264"/>
    </row>
    <row r="551" spans="1:21" ht="12.75" hidden="1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5"/>
      <c r="M551" s="264"/>
      <c r="N551" s="264"/>
      <c r="O551" s="264"/>
      <c r="P551" s="264"/>
      <c r="Q551" s="264"/>
      <c r="R551" s="264"/>
      <c r="S551" s="264"/>
      <c r="T551" s="264"/>
      <c r="U551" s="264"/>
    </row>
    <row r="552" spans="1:21" ht="12.75" hidden="1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5"/>
      <c r="M552" s="264"/>
      <c r="N552" s="264"/>
      <c r="O552" s="264"/>
      <c r="P552" s="264"/>
      <c r="Q552" s="264"/>
      <c r="R552" s="264"/>
      <c r="S552" s="264"/>
      <c r="T552" s="264"/>
      <c r="U552" s="264"/>
    </row>
    <row r="553" spans="1:21" ht="12.75" hidden="1">
      <c r="A553" s="407"/>
      <c r="B553" s="360"/>
      <c r="C553" s="360"/>
      <c r="D553" s="408"/>
      <c r="E553" s="408"/>
      <c r="F553" s="408"/>
      <c r="G553" s="409"/>
      <c r="H553" s="361"/>
      <c r="I553" s="362"/>
      <c r="J553" s="362"/>
      <c r="K553" s="363"/>
      <c r="L553" s="364"/>
      <c r="M553" s="363"/>
      <c r="N553" s="363"/>
      <c r="O553" s="363"/>
      <c r="P553" s="363"/>
      <c r="Q553" s="363"/>
      <c r="R553" s="363"/>
      <c r="S553" s="363"/>
      <c r="T553" s="363"/>
      <c r="U553" s="363"/>
    </row>
    <row r="554" spans="1:21" ht="19.5" hidden="1">
      <c r="A554" s="395"/>
      <c r="B554" s="396" t="s">
        <v>212</v>
      </c>
      <c r="C554" s="397"/>
      <c r="D554" s="398"/>
      <c r="E554" s="398"/>
      <c r="F554" s="398"/>
      <c r="G554" s="399"/>
      <c r="H554" s="410" t="s">
        <v>61</v>
      </c>
      <c r="I554" s="577">
        <f>I566</f>
        <v>0</v>
      </c>
      <c r="J554" s="577">
        <f>J566</f>
        <v>0</v>
      </c>
      <c r="K554" s="576">
        <f>IF(I554&gt;0,J554*100/I554,0)</f>
        <v>0</v>
      </c>
      <c r="L554" s="404"/>
      <c r="M554" s="403"/>
      <c r="N554" s="403"/>
      <c r="O554" s="403"/>
      <c r="P554" s="403"/>
      <c r="Q554" s="403"/>
      <c r="R554" s="403"/>
      <c r="S554" s="403"/>
      <c r="T554" s="403"/>
      <c r="U554" s="403"/>
    </row>
    <row r="555" spans="1:21" ht="19.5" hidden="1">
      <c r="A555" s="155"/>
      <c r="B555" s="50"/>
      <c r="C555" s="156" t="s">
        <v>18</v>
      </c>
      <c r="D555" s="575" t="s">
        <v>19</v>
      </c>
      <c r="E555" s="50"/>
      <c r="F555" s="50"/>
      <c r="G555" s="52"/>
      <c r="H555" s="158" t="s">
        <v>14</v>
      </c>
      <c r="I555" s="54"/>
      <c r="J555" s="54"/>
      <c r="K555" s="55"/>
      <c r="L555" s="541">
        <f>L556+L557</f>
        <v>0</v>
      </c>
      <c r="M555" s="540">
        <f>M556+M557</f>
        <v>0</v>
      </c>
      <c r="N555" s="540">
        <f>N556+N557</f>
        <v>0</v>
      </c>
      <c r="O555" s="540">
        <f>IF(L555&gt;0,N555*100/L555,0)</f>
        <v>0</v>
      </c>
      <c r="P555" s="540">
        <f>IF(M555&gt;0,N555*100/M555,0)</f>
        <v>0</v>
      </c>
      <c r="Q555" s="540">
        <f>Q556+Q557</f>
        <v>0</v>
      </c>
      <c r="R555" s="540">
        <f>R556+R557</f>
        <v>0</v>
      </c>
      <c r="S555" s="540">
        <f>S556+S557</f>
        <v>0</v>
      </c>
      <c r="T555" s="540">
        <f>IF(Q555&gt;0,S555*100/Q555,0)</f>
        <v>0</v>
      </c>
      <c r="U555" s="540">
        <f>IF(R555&gt;0,S555*100/R555,0)</f>
        <v>0</v>
      </c>
    </row>
    <row r="556" spans="1:21" ht="18.75" hidden="1">
      <c r="A556" s="155"/>
      <c r="B556" s="188"/>
      <c r="C556" s="50"/>
      <c r="D556" s="50"/>
      <c r="E556" s="186" t="s">
        <v>20</v>
      </c>
      <c r="F556" s="50"/>
      <c r="G556" s="52"/>
      <c r="H556" s="187" t="s">
        <v>14</v>
      </c>
      <c r="I556" s="54"/>
      <c r="J556" s="54"/>
      <c r="K556" s="55"/>
      <c r="L556" s="103">
        <f>L559+L562</f>
        <v>0</v>
      </c>
      <c r="M556" s="102">
        <f>M559+M562</f>
        <v>0</v>
      </c>
      <c r="N556" s="102">
        <f>N559+N562</f>
        <v>0</v>
      </c>
      <c r="O556" s="102">
        <f>IF(L556&gt;0,N556*100/L556,0)</f>
        <v>0</v>
      </c>
      <c r="P556" s="102">
        <f>IF(M556&gt;0,N556*100/M556,0)</f>
        <v>0</v>
      </c>
      <c r="Q556" s="102">
        <f>Q559+Q562</f>
        <v>0</v>
      </c>
      <c r="R556" s="102">
        <f>R559+R562</f>
        <v>0</v>
      </c>
      <c r="S556" s="102">
        <f>S559+S562</f>
        <v>0</v>
      </c>
      <c r="T556" s="102">
        <f>IF(Q556&gt;0,S556*100/Q556,0)</f>
        <v>0</v>
      </c>
      <c r="U556" s="102">
        <f>IF(R556&gt;0,S556*100/R556,0)</f>
        <v>0</v>
      </c>
    </row>
    <row r="557" spans="1:21" ht="18.75" hidden="1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256">
        <f>L560+L563</f>
        <v>0</v>
      </c>
      <c r="M557" s="255">
        <f>M560+M563</f>
        <v>0</v>
      </c>
      <c r="N557" s="255">
        <f>N560+N563</f>
        <v>0</v>
      </c>
      <c r="O557" s="255">
        <f>IF(L557&gt;0,N557*100/L557,0)</f>
        <v>0</v>
      </c>
      <c r="P557" s="255">
        <f>IF(M557&gt;0,N557*100/M557,0)</f>
        <v>0</v>
      </c>
      <c r="Q557" s="255">
        <f>Q560+Q563</f>
        <v>0</v>
      </c>
      <c r="R557" s="255">
        <f>R560+R563</f>
        <v>0</v>
      </c>
      <c r="S557" s="255">
        <f>S560+S563</f>
        <v>0</v>
      </c>
      <c r="T557" s="255">
        <f>IF(Q557&gt;0,S557*100/Q557,0)</f>
        <v>0</v>
      </c>
      <c r="U557" s="255">
        <f>IF(R557&gt;0,S557*100/R557,0)</f>
        <v>0</v>
      </c>
    </row>
    <row r="558" spans="1:21" ht="18.75" hidden="1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256">
        <f>L559+L560</f>
        <v>0</v>
      </c>
      <c r="M558" s="255">
        <f>M559+M560</f>
        <v>0</v>
      </c>
      <c r="N558" s="255">
        <f>N559+N560</f>
        <v>0</v>
      </c>
      <c r="O558" s="255">
        <f>IF(L558&gt;0,N558*100/L558,0)</f>
        <v>0</v>
      </c>
      <c r="P558" s="255">
        <f>IF(M558&gt;0,N558*100/M558,0)</f>
        <v>0</v>
      </c>
      <c r="Q558" s="255">
        <f>Q559+Q560</f>
        <v>0</v>
      </c>
      <c r="R558" s="255">
        <f>R559+R560</f>
        <v>0</v>
      </c>
      <c r="S558" s="255">
        <f>S559+S560</f>
        <v>0</v>
      </c>
      <c r="T558" s="255">
        <f>IF(Q558&gt;0,S558*100/Q558,0)</f>
        <v>0</v>
      </c>
      <c r="U558" s="255">
        <f>IF(R558&gt;0,S558*100/R558,0)</f>
        <v>0</v>
      </c>
    </row>
    <row r="559" spans="1:21" ht="18.75" hidden="1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103">
        <v>0</v>
      </c>
      <c r="M559" s="102">
        <v>0</v>
      </c>
      <c r="N559" s="102">
        <v>0</v>
      </c>
      <c r="O559" s="102">
        <f>IF(L559&gt;0,N559*100/L559,0)</f>
        <v>0</v>
      </c>
      <c r="P559" s="102">
        <f>IF(M559&gt;0,N559*100/M559,0)</f>
        <v>0</v>
      </c>
      <c r="Q559" s="102">
        <v>0</v>
      </c>
      <c r="R559" s="102">
        <v>0</v>
      </c>
      <c r="S559" s="102">
        <v>0</v>
      </c>
      <c r="T559" s="102">
        <f>IF(Q559&gt;0,S559*100/Q559,0)</f>
        <v>0</v>
      </c>
      <c r="U559" s="102">
        <f>IF(R559&gt;0,S559*100/R559,0)</f>
        <v>0</v>
      </c>
    </row>
    <row r="560" spans="1:21" ht="18.75" hidden="1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256">
        <v>0</v>
      </c>
      <c r="M560" s="255">
        <v>0</v>
      </c>
      <c r="N560" s="255">
        <v>0</v>
      </c>
      <c r="O560" s="255">
        <f>IF(L560&gt;0,N560*100/L560,0)</f>
        <v>0</v>
      </c>
      <c r="P560" s="255">
        <f>IF(M560&gt;0,N560*100/M560,0)</f>
        <v>0</v>
      </c>
      <c r="Q560" s="255">
        <v>0</v>
      </c>
      <c r="R560" s="255">
        <v>0</v>
      </c>
      <c r="S560" s="255">
        <v>0</v>
      </c>
      <c r="T560" s="255">
        <f>IF(Q560&gt;0,S560*100/Q560,0)</f>
        <v>0</v>
      </c>
      <c r="U560" s="255">
        <f>IF(R560&gt;0,S560*100/R560,0)</f>
        <v>0</v>
      </c>
    </row>
    <row r="561" spans="1:21" ht="18.75" hidden="1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256">
        <f>L562+L563</f>
        <v>0</v>
      </c>
      <c r="M561" s="255">
        <f>M562+M563</f>
        <v>0</v>
      </c>
      <c r="N561" s="255">
        <f>N562+N563</f>
        <v>0</v>
      </c>
      <c r="O561" s="255">
        <f>IF(L561&gt;0,N561*100/L561,0)</f>
        <v>0</v>
      </c>
      <c r="P561" s="255">
        <f>IF(M561&gt;0,N561*100/M561,0)</f>
        <v>0</v>
      </c>
      <c r="Q561" s="255">
        <f>Q562+Q563</f>
        <v>0</v>
      </c>
      <c r="R561" s="255">
        <f>R562+R563</f>
        <v>0</v>
      </c>
      <c r="S561" s="255">
        <f>S562+S563</f>
        <v>0</v>
      </c>
      <c r="T561" s="255">
        <f>IF(Q561&gt;0,S561*100/Q561,0)</f>
        <v>0</v>
      </c>
      <c r="U561" s="255">
        <f>IF(R561&gt;0,S561*100/R561,0)</f>
        <v>0</v>
      </c>
    </row>
    <row r="562" spans="1:21" ht="18.75" hidden="1">
      <c r="A562" s="155"/>
      <c r="B562" s="50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103">
        <v>0</v>
      </c>
      <c r="M562" s="102">
        <v>0</v>
      </c>
      <c r="N562" s="102">
        <v>0</v>
      </c>
      <c r="O562" s="102">
        <f>IF(L562&gt;0,N562*100/L562,0)</f>
        <v>0</v>
      </c>
      <c r="P562" s="102">
        <f>IF(M562&gt;0,N562*100/M562,0)</f>
        <v>0</v>
      </c>
      <c r="Q562" s="102">
        <v>0</v>
      </c>
      <c r="R562" s="102">
        <v>0</v>
      </c>
      <c r="S562" s="102">
        <v>0</v>
      </c>
      <c r="T562" s="102">
        <f>IF(Q562&gt;0,S562*100/Q562,0)</f>
        <v>0</v>
      </c>
      <c r="U562" s="102">
        <f>IF(R562&gt;0,S562*100/R562,0)</f>
        <v>0</v>
      </c>
    </row>
    <row r="563" spans="1:21" ht="18.75" hidden="1">
      <c r="A563" s="155"/>
      <c r="B563" s="50"/>
      <c r="C563" s="50"/>
      <c r="D563" s="50"/>
      <c r="E563" s="58" t="s">
        <v>21</v>
      </c>
      <c r="F563" s="50"/>
      <c r="G563" s="52"/>
      <c r="H563" s="165" t="s">
        <v>14</v>
      </c>
      <c r="I563" s="163"/>
      <c r="J563" s="163"/>
      <c r="K563" s="164"/>
      <c r="L563" s="256">
        <v>0</v>
      </c>
      <c r="M563" s="255">
        <v>0</v>
      </c>
      <c r="N563" s="255">
        <v>0</v>
      </c>
      <c r="O563" s="255">
        <f>IF(L563&gt;0,N563*100/L563,0)</f>
        <v>0</v>
      </c>
      <c r="P563" s="255">
        <f>IF(M563&gt;0,N563*100/M563,0)</f>
        <v>0</v>
      </c>
      <c r="Q563" s="255">
        <v>0</v>
      </c>
      <c r="R563" s="255">
        <v>0</v>
      </c>
      <c r="S563" s="255">
        <v>0</v>
      </c>
      <c r="T563" s="255">
        <f>IF(Q563&gt;0,S563*100/Q563,0)</f>
        <v>0</v>
      </c>
      <c r="U563" s="255">
        <f>IF(R563&gt;0,S563*100/R563,0)</f>
        <v>0</v>
      </c>
    </row>
    <row r="564" spans="1:21" ht="19.5" hidden="1">
      <c r="A564" s="166"/>
      <c r="B564" s="167"/>
      <c r="C564" s="411" t="s">
        <v>18</v>
      </c>
      <c r="D564" s="566" t="s">
        <v>38</v>
      </c>
      <c r="E564" s="169"/>
      <c r="F564" s="169"/>
      <c r="G564" s="170"/>
      <c r="H564" s="171"/>
      <c r="I564" s="163"/>
      <c r="J564" s="54"/>
      <c r="K564" s="55"/>
      <c r="L564" s="62"/>
      <c r="M564" s="55"/>
      <c r="N564" s="55"/>
      <c r="O564" s="164"/>
      <c r="P564" s="164"/>
      <c r="Q564" s="55"/>
      <c r="R564" s="55"/>
      <c r="S564" s="55"/>
      <c r="T564" s="164"/>
      <c r="U564" s="164"/>
    </row>
    <row r="565" spans="1:21" ht="12.75" hidden="1">
      <c r="A565" s="258"/>
      <c r="B565" s="260"/>
      <c r="C565" s="259"/>
      <c r="D565" s="260"/>
      <c r="E565" s="259"/>
      <c r="F565" s="260"/>
      <c r="G565" s="261"/>
      <c r="H565" s="261"/>
      <c r="I565" s="263"/>
      <c r="J565" s="263"/>
      <c r="K565" s="264"/>
      <c r="L565" s="265"/>
      <c r="M565" s="264"/>
      <c r="N565" s="264"/>
      <c r="O565" s="264"/>
      <c r="P565" s="264"/>
      <c r="Q565" s="264"/>
      <c r="R565" s="264"/>
      <c r="S565" s="264"/>
      <c r="T565" s="264"/>
      <c r="U565" s="264"/>
    </row>
    <row r="566" spans="1:21" ht="12.75" hidden="1">
      <c r="A566" s="258"/>
      <c r="B566" s="260"/>
      <c r="C566" s="259"/>
      <c r="D566" s="260"/>
      <c r="E566" s="259"/>
      <c r="F566" s="260"/>
      <c r="G566" s="261"/>
      <c r="H566" s="261"/>
      <c r="I566" s="263"/>
      <c r="J566" s="263"/>
      <c r="K566" s="264"/>
      <c r="L566" s="265"/>
      <c r="M566" s="264"/>
      <c r="N566" s="264"/>
      <c r="O566" s="264"/>
      <c r="P566" s="264"/>
      <c r="Q566" s="264"/>
      <c r="R566" s="264"/>
      <c r="S566" s="264"/>
      <c r="T566" s="264"/>
      <c r="U566" s="264"/>
    </row>
    <row r="567" spans="1:21" ht="12.75" hidden="1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5"/>
      <c r="M567" s="264"/>
      <c r="N567" s="264"/>
      <c r="O567" s="264"/>
      <c r="P567" s="264"/>
      <c r="Q567" s="264"/>
      <c r="R567" s="264"/>
      <c r="S567" s="264"/>
      <c r="T567" s="264"/>
      <c r="U567" s="264"/>
    </row>
    <row r="568" spans="1:21" ht="12.75" hidden="1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5"/>
      <c r="M568" s="264"/>
      <c r="N568" s="264"/>
      <c r="O568" s="264"/>
      <c r="P568" s="264"/>
      <c r="Q568" s="264"/>
      <c r="R568" s="264"/>
      <c r="S568" s="264"/>
      <c r="T568" s="264"/>
      <c r="U568" s="264"/>
    </row>
    <row r="569" spans="1:21" ht="12.75" hidden="1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5"/>
      <c r="M569" s="264"/>
      <c r="N569" s="264"/>
      <c r="O569" s="264"/>
      <c r="P569" s="264"/>
      <c r="Q569" s="264"/>
      <c r="R569" s="264"/>
      <c r="S569" s="264"/>
      <c r="T569" s="264"/>
      <c r="U569" s="264"/>
    </row>
    <row r="570" spans="1:21" ht="12.75" hidden="1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5"/>
      <c r="M570" s="264"/>
      <c r="N570" s="264"/>
      <c r="O570" s="264"/>
      <c r="P570" s="264"/>
      <c r="Q570" s="264"/>
      <c r="R570" s="264"/>
      <c r="S570" s="264"/>
      <c r="T570" s="264"/>
      <c r="U570" s="264"/>
    </row>
    <row r="571" spans="1:21" ht="12.75" hidden="1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5"/>
      <c r="M571" s="264"/>
      <c r="N571" s="264"/>
      <c r="O571" s="264"/>
      <c r="P571" s="264"/>
      <c r="Q571" s="264"/>
      <c r="R571" s="264"/>
      <c r="S571" s="264"/>
      <c r="T571" s="264"/>
      <c r="U571" s="264"/>
    </row>
    <row r="572" spans="1:21" ht="12.75" hidden="1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5"/>
      <c r="M572" s="264"/>
      <c r="N572" s="264"/>
      <c r="O572" s="264"/>
      <c r="P572" s="264"/>
      <c r="Q572" s="264"/>
      <c r="R572" s="264"/>
      <c r="S572" s="264"/>
      <c r="T572" s="264"/>
      <c r="U572" s="264"/>
    </row>
    <row r="573" spans="1:21" ht="12.75" hidden="1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5"/>
      <c r="M573" s="264"/>
      <c r="N573" s="264"/>
      <c r="O573" s="264"/>
      <c r="P573" s="264"/>
      <c r="Q573" s="264"/>
      <c r="R573" s="264"/>
      <c r="S573" s="264"/>
      <c r="T573" s="264"/>
      <c r="U573" s="264"/>
    </row>
    <row r="574" spans="1:21" ht="12.75" hidden="1">
      <c r="A574" s="407"/>
      <c r="B574" s="360"/>
      <c r="C574" s="360"/>
      <c r="D574" s="408"/>
      <c r="E574" s="408"/>
      <c r="F574" s="408"/>
      <c r="G574" s="409"/>
      <c r="H574" s="361"/>
      <c r="I574" s="362"/>
      <c r="J574" s="362"/>
      <c r="K574" s="363"/>
      <c r="L574" s="364"/>
      <c r="M574" s="363"/>
      <c r="N574" s="363"/>
      <c r="O574" s="363"/>
      <c r="P574" s="363"/>
      <c r="Q574" s="363"/>
      <c r="R574" s="363"/>
      <c r="S574" s="363"/>
      <c r="T574" s="363"/>
      <c r="U574" s="363"/>
    </row>
    <row r="575" spans="1:21" ht="19.5" hidden="1">
      <c r="A575" s="395"/>
      <c r="B575" s="396" t="s">
        <v>213</v>
      </c>
      <c r="C575" s="397"/>
      <c r="D575" s="398"/>
      <c r="E575" s="398"/>
      <c r="F575" s="398"/>
      <c r="G575" s="399"/>
      <c r="H575" s="410" t="s">
        <v>61</v>
      </c>
      <c r="I575" s="577">
        <f>I587</f>
        <v>0</v>
      </c>
      <c r="J575" s="577">
        <f>J587</f>
        <v>0</v>
      </c>
      <c r="K575" s="576">
        <f>IF(I575&gt;0,J575*100/I575,0)</f>
        <v>0</v>
      </c>
      <c r="L575" s="404"/>
      <c r="M575" s="403"/>
      <c r="N575" s="403"/>
      <c r="O575" s="403"/>
      <c r="P575" s="403"/>
      <c r="Q575" s="403"/>
      <c r="R575" s="403"/>
      <c r="S575" s="403"/>
      <c r="T575" s="403"/>
      <c r="U575" s="403"/>
    </row>
    <row r="576" spans="1:21" ht="19.5" hidden="1">
      <c r="A576" s="155"/>
      <c r="B576" s="50"/>
      <c r="C576" s="156" t="s">
        <v>18</v>
      </c>
      <c r="D576" s="575" t="s">
        <v>19</v>
      </c>
      <c r="E576" s="50"/>
      <c r="F576" s="50"/>
      <c r="G576" s="52"/>
      <c r="H576" s="158" t="s">
        <v>14</v>
      </c>
      <c r="I576" s="54"/>
      <c r="J576" s="54"/>
      <c r="K576" s="55"/>
      <c r="L576" s="541">
        <f>L577+L578</f>
        <v>0</v>
      </c>
      <c r="M576" s="540">
        <f>M577+M578</f>
        <v>0</v>
      </c>
      <c r="N576" s="540">
        <f>N577+N578</f>
        <v>0</v>
      </c>
      <c r="O576" s="540">
        <f>IF(L576&gt;0,N576*100/L576,0)</f>
        <v>0</v>
      </c>
      <c r="P576" s="540">
        <f>IF(M576&gt;0,N576*100/M576,0)</f>
        <v>0</v>
      </c>
      <c r="Q576" s="540">
        <f>Q577+Q578</f>
        <v>0</v>
      </c>
      <c r="R576" s="540">
        <f>R577+R578</f>
        <v>0</v>
      </c>
      <c r="S576" s="540">
        <f>S577+S578</f>
        <v>0</v>
      </c>
      <c r="T576" s="540">
        <f>IF(Q576&gt;0,S576*100/Q576,0)</f>
        <v>0</v>
      </c>
      <c r="U576" s="540">
        <f>IF(R576&gt;0,S576*100/R576,0)</f>
        <v>0</v>
      </c>
    </row>
    <row r="577" spans="1:21" ht="18.75" hidden="1">
      <c r="A577" s="155"/>
      <c r="B577" s="188"/>
      <c r="C577" s="50"/>
      <c r="D577" s="50"/>
      <c r="E577" s="186" t="s">
        <v>20</v>
      </c>
      <c r="F577" s="50"/>
      <c r="G577" s="52"/>
      <c r="H577" s="187" t="s">
        <v>14</v>
      </c>
      <c r="I577" s="54"/>
      <c r="J577" s="54"/>
      <c r="K577" s="55"/>
      <c r="L577" s="103">
        <f>L580+L583</f>
        <v>0</v>
      </c>
      <c r="M577" s="102">
        <f>M580+M583</f>
        <v>0</v>
      </c>
      <c r="N577" s="102">
        <f>N580+N583</f>
        <v>0</v>
      </c>
      <c r="O577" s="102">
        <f>IF(L577&gt;0,N577*100/L577,0)</f>
        <v>0</v>
      </c>
      <c r="P577" s="102">
        <f>IF(M577&gt;0,N577*100/M577,0)</f>
        <v>0</v>
      </c>
      <c r="Q577" s="102">
        <f>Q580+Q583</f>
        <v>0</v>
      </c>
      <c r="R577" s="102">
        <f>R580+R583</f>
        <v>0</v>
      </c>
      <c r="S577" s="102">
        <f>S580+S583</f>
        <v>0</v>
      </c>
      <c r="T577" s="102">
        <f>IF(Q577&gt;0,S577*100/Q577,0)</f>
        <v>0</v>
      </c>
      <c r="U577" s="102">
        <f>IF(R577&gt;0,S577*100/R577,0)</f>
        <v>0</v>
      </c>
    </row>
    <row r="578" spans="1:21" ht="18.75" hidden="1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256">
        <f>L581+L584</f>
        <v>0</v>
      </c>
      <c r="M578" s="255">
        <f>M581+M584</f>
        <v>0</v>
      </c>
      <c r="N578" s="255">
        <f>N581+N584</f>
        <v>0</v>
      </c>
      <c r="O578" s="255">
        <f>IF(L578&gt;0,N578*100/L578,0)</f>
        <v>0</v>
      </c>
      <c r="P578" s="255">
        <f>IF(M578&gt;0,N578*100/M578,0)</f>
        <v>0</v>
      </c>
      <c r="Q578" s="255">
        <f>Q581+Q584</f>
        <v>0</v>
      </c>
      <c r="R578" s="255">
        <f>R581+R584</f>
        <v>0</v>
      </c>
      <c r="S578" s="255">
        <f>S581+S584</f>
        <v>0</v>
      </c>
      <c r="T578" s="255">
        <f>IF(Q578&gt;0,S578*100/Q578,0)</f>
        <v>0</v>
      </c>
      <c r="U578" s="255">
        <f>IF(R578&gt;0,S578*100/R578,0)</f>
        <v>0</v>
      </c>
    </row>
    <row r="579" spans="1:21" ht="18.75" hidden="1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256">
        <f>L580+L581</f>
        <v>0</v>
      </c>
      <c r="M579" s="255">
        <f>M580+M581</f>
        <v>0</v>
      </c>
      <c r="N579" s="255">
        <f>N580+N581</f>
        <v>0</v>
      </c>
      <c r="O579" s="255">
        <f>IF(L579&gt;0,N579*100/L579,0)</f>
        <v>0</v>
      </c>
      <c r="P579" s="255">
        <f>IF(M579&gt;0,N579*100/M579,0)</f>
        <v>0</v>
      </c>
      <c r="Q579" s="255">
        <f>Q580+Q581</f>
        <v>0</v>
      </c>
      <c r="R579" s="255">
        <f>R580+R581</f>
        <v>0</v>
      </c>
      <c r="S579" s="255">
        <f>S580+S581</f>
        <v>0</v>
      </c>
      <c r="T579" s="255">
        <f>IF(Q579&gt;0,S579*100/Q579,0)</f>
        <v>0</v>
      </c>
      <c r="U579" s="255">
        <f>IF(R579&gt;0,S579*100/R579,0)</f>
        <v>0</v>
      </c>
    </row>
    <row r="580" spans="1:21" ht="18.75" hidden="1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103">
        <v>0</v>
      </c>
      <c r="M580" s="102">
        <v>0</v>
      </c>
      <c r="N580" s="102">
        <v>0</v>
      </c>
      <c r="O580" s="102">
        <f>IF(L580&gt;0,N580*100/L580,0)</f>
        <v>0</v>
      </c>
      <c r="P580" s="102">
        <f>IF(M580&gt;0,N580*100/M580,0)</f>
        <v>0</v>
      </c>
      <c r="Q580" s="102">
        <v>0</v>
      </c>
      <c r="R580" s="102">
        <v>0</v>
      </c>
      <c r="S580" s="102">
        <v>0</v>
      </c>
      <c r="T580" s="102">
        <f>IF(Q580&gt;0,S580*100/Q580,0)</f>
        <v>0</v>
      </c>
      <c r="U580" s="102">
        <f>IF(R580&gt;0,S580*100/R580,0)</f>
        <v>0</v>
      </c>
    </row>
    <row r="581" spans="1:21" ht="18.75" hidden="1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256">
        <v>0</v>
      </c>
      <c r="M581" s="255">
        <v>0</v>
      </c>
      <c r="N581" s="255">
        <v>0</v>
      </c>
      <c r="O581" s="255">
        <f>IF(L581&gt;0,N581*100/L581,0)</f>
        <v>0</v>
      </c>
      <c r="P581" s="255">
        <f>IF(M581&gt;0,N581*100/M581,0)</f>
        <v>0</v>
      </c>
      <c r="Q581" s="255">
        <v>0</v>
      </c>
      <c r="R581" s="255">
        <v>0</v>
      </c>
      <c r="S581" s="255">
        <v>0</v>
      </c>
      <c r="T581" s="255">
        <f>IF(Q581&gt;0,S581*100/Q581,0)</f>
        <v>0</v>
      </c>
      <c r="U581" s="255">
        <f>IF(R581&gt;0,S581*100/R581,0)</f>
        <v>0</v>
      </c>
    </row>
    <row r="582" spans="1:21" ht="18.75" hidden="1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256">
        <f>L583+L584</f>
        <v>0</v>
      </c>
      <c r="M582" s="255">
        <f>M583+M584</f>
        <v>0</v>
      </c>
      <c r="N582" s="255">
        <f>N583+N584</f>
        <v>0</v>
      </c>
      <c r="O582" s="255">
        <f>IF(L582&gt;0,N582*100/L582,0)</f>
        <v>0</v>
      </c>
      <c r="P582" s="255">
        <f>IF(M582&gt;0,N582*100/M582,0)</f>
        <v>0</v>
      </c>
      <c r="Q582" s="255">
        <f>Q583+Q584</f>
        <v>0</v>
      </c>
      <c r="R582" s="255">
        <f>R583+R584</f>
        <v>0</v>
      </c>
      <c r="S582" s="255">
        <f>S583+S584</f>
        <v>0</v>
      </c>
      <c r="T582" s="255">
        <f>IF(Q582&gt;0,S582*100/Q582,0)</f>
        <v>0</v>
      </c>
      <c r="U582" s="255">
        <f>IF(R582&gt;0,S582*100/R582,0)</f>
        <v>0</v>
      </c>
    </row>
    <row r="583" spans="1:21" ht="18.75" hidden="1">
      <c r="A583" s="155"/>
      <c r="B583" s="50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103">
        <v>0</v>
      </c>
      <c r="M583" s="102">
        <v>0</v>
      </c>
      <c r="N583" s="102">
        <v>0</v>
      </c>
      <c r="O583" s="102">
        <f>IF(L583&gt;0,N583*100/L583,0)</f>
        <v>0</v>
      </c>
      <c r="P583" s="102">
        <f>IF(M583&gt;0,N583*100/M583,0)</f>
        <v>0</v>
      </c>
      <c r="Q583" s="102">
        <v>0</v>
      </c>
      <c r="R583" s="102">
        <v>0</v>
      </c>
      <c r="S583" s="102">
        <v>0</v>
      </c>
      <c r="T583" s="102">
        <f>IF(Q583&gt;0,S583*100/Q583,0)</f>
        <v>0</v>
      </c>
      <c r="U583" s="102">
        <f>IF(R583&gt;0,S583*100/R583,0)</f>
        <v>0</v>
      </c>
    </row>
    <row r="584" spans="1:21" ht="18.75" hidden="1">
      <c r="A584" s="155"/>
      <c r="B584" s="50"/>
      <c r="C584" s="50"/>
      <c r="D584" s="50"/>
      <c r="E584" s="58" t="s">
        <v>21</v>
      </c>
      <c r="F584" s="50"/>
      <c r="G584" s="52"/>
      <c r="H584" s="165" t="s">
        <v>14</v>
      </c>
      <c r="I584" s="163"/>
      <c r="J584" s="163"/>
      <c r="K584" s="164"/>
      <c r="L584" s="256">
        <v>0</v>
      </c>
      <c r="M584" s="255">
        <v>0</v>
      </c>
      <c r="N584" s="255">
        <v>0</v>
      </c>
      <c r="O584" s="255">
        <f>IF(L584&gt;0,N584*100/L584,0)</f>
        <v>0</v>
      </c>
      <c r="P584" s="255">
        <f>IF(M584&gt;0,N584*100/M584,0)</f>
        <v>0</v>
      </c>
      <c r="Q584" s="255">
        <v>0</v>
      </c>
      <c r="R584" s="255">
        <v>0</v>
      </c>
      <c r="S584" s="255">
        <v>0</v>
      </c>
      <c r="T584" s="255">
        <f>IF(Q584&gt;0,S584*100/Q584,0)</f>
        <v>0</v>
      </c>
      <c r="U584" s="255">
        <f>IF(R584&gt;0,S584*100/R584,0)</f>
        <v>0</v>
      </c>
    </row>
    <row r="585" spans="1:21" ht="19.5" hidden="1">
      <c r="A585" s="166"/>
      <c r="B585" s="167"/>
      <c r="C585" s="411" t="s">
        <v>18</v>
      </c>
      <c r="D585" s="566" t="s">
        <v>38</v>
      </c>
      <c r="E585" s="169"/>
      <c r="F585" s="169"/>
      <c r="G585" s="170"/>
      <c r="H585" s="171"/>
      <c r="I585" s="163"/>
      <c r="J585" s="54"/>
      <c r="K585" s="55"/>
      <c r="L585" s="62"/>
      <c r="M585" s="55"/>
      <c r="N585" s="55"/>
      <c r="O585" s="164"/>
      <c r="P585" s="164"/>
      <c r="Q585" s="55"/>
      <c r="R585" s="55"/>
      <c r="S585" s="55"/>
      <c r="T585" s="164"/>
      <c r="U585" s="164"/>
    </row>
    <row r="586" spans="1:21" ht="12.75" hidden="1">
      <c r="A586" s="258"/>
      <c r="B586" s="260"/>
      <c r="C586" s="259"/>
      <c r="D586" s="260"/>
      <c r="E586" s="259"/>
      <c r="F586" s="260"/>
      <c r="G586" s="261"/>
      <c r="H586" s="261"/>
      <c r="I586" s="263"/>
      <c r="J586" s="263"/>
      <c r="K586" s="264"/>
      <c r="L586" s="265"/>
      <c r="M586" s="264"/>
      <c r="N586" s="264"/>
      <c r="O586" s="264"/>
      <c r="P586" s="264"/>
      <c r="Q586" s="264"/>
      <c r="R586" s="264"/>
      <c r="S586" s="264"/>
      <c r="T586" s="264"/>
      <c r="U586" s="264"/>
    </row>
    <row r="587" spans="1:21" ht="12.75" hidden="1">
      <c r="A587" s="258"/>
      <c r="B587" s="260"/>
      <c r="C587" s="259"/>
      <c r="D587" s="260"/>
      <c r="E587" s="259"/>
      <c r="F587" s="260"/>
      <c r="G587" s="261"/>
      <c r="H587" s="261"/>
      <c r="I587" s="263"/>
      <c r="J587" s="263"/>
      <c r="K587" s="264"/>
      <c r="L587" s="265"/>
      <c r="M587" s="264"/>
      <c r="N587" s="264"/>
      <c r="O587" s="264"/>
      <c r="P587" s="264"/>
      <c r="Q587" s="264"/>
      <c r="R587" s="264"/>
      <c r="S587" s="264"/>
      <c r="T587" s="264"/>
      <c r="U587" s="264"/>
    </row>
    <row r="588" spans="1:21" ht="12.75" hidden="1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5"/>
      <c r="M588" s="264"/>
      <c r="N588" s="264"/>
      <c r="O588" s="264"/>
      <c r="P588" s="264"/>
      <c r="Q588" s="264"/>
      <c r="R588" s="264"/>
      <c r="S588" s="264"/>
      <c r="T588" s="264"/>
      <c r="U588" s="264"/>
    </row>
    <row r="589" spans="1:21" ht="12.75" hidden="1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5"/>
      <c r="M589" s="264"/>
      <c r="N589" s="264"/>
      <c r="O589" s="264"/>
      <c r="P589" s="264"/>
      <c r="Q589" s="264"/>
      <c r="R589" s="264"/>
      <c r="S589" s="264"/>
      <c r="T589" s="264"/>
      <c r="U589" s="264"/>
    </row>
    <row r="590" spans="1:21" ht="12.75" hidden="1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5"/>
      <c r="M590" s="264"/>
      <c r="N590" s="264"/>
      <c r="O590" s="264"/>
      <c r="P590" s="264"/>
      <c r="Q590" s="264"/>
      <c r="R590" s="264"/>
      <c r="S590" s="264"/>
      <c r="T590" s="264"/>
      <c r="U590" s="264"/>
    </row>
    <row r="591" spans="1:21" ht="12.75" hidden="1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5"/>
      <c r="M591" s="264"/>
      <c r="N591" s="264"/>
      <c r="O591" s="264"/>
      <c r="P591" s="264"/>
      <c r="Q591" s="264"/>
      <c r="R591" s="264"/>
      <c r="S591" s="264"/>
      <c r="T591" s="264"/>
      <c r="U591" s="264"/>
    </row>
    <row r="592" spans="1:21" ht="12.75" hidden="1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5"/>
      <c r="M592" s="264"/>
      <c r="N592" s="264"/>
      <c r="O592" s="264"/>
      <c r="P592" s="264"/>
      <c r="Q592" s="264"/>
      <c r="R592" s="264"/>
      <c r="S592" s="264"/>
      <c r="T592" s="264"/>
      <c r="U592" s="264"/>
    </row>
    <row r="593" spans="1:21" ht="12.75" hidden="1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5"/>
      <c r="M593" s="264"/>
      <c r="N593" s="264"/>
      <c r="O593" s="264"/>
      <c r="P593" s="264"/>
      <c r="Q593" s="264"/>
      <c r="R593" s="264"/>
      <c r="S593" s="264"/>
      <c r="T593" s="264"/>
      <c r="U593" s="264"/>
    </row>
    <row r="594" spans="1:21" ht="12.75" hidden="1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5"/>
      <c r="M594" s="264"/>
      <c r="N594" s="264"/>
      <c r="O594" s="264"/>
      <c r="P594" s="264"/>
      <c r="Q594" s="264"/>
      <c r="R594" s="264"/>
      <c r="S594" s="264"/>
      <c r="T594" s="264"/>
      <c r="U594" s="264"/>
    </row>
    <row r="595" spans="1:21" ht="12.75" hidden="1">
      <c r="A595" s="407"/>
      <c r="B595" s="360"/>
      <c r="C595" s="360"/>
      <c r="D595" s="408"/>
      <c r="E595" s="408"/>
      <c r="F595" s="408"/>
      <c r="G595" s="409"/>
      <c r="H595" s="361"/>
      <c r="I595" s="362"/>
      <c r="J595" s="362"/>
      <c r="K595" s="363"/>
      <c r="L595" s="364"/>
      <c r="M595" s="363"/>
      <c r="N595" s="363"/>
      <c r="O595" s="363"/>
      <c r="P595" s="363"/>
      <c r="Q595" s="363"/>
      <c r="R595" s="363"/>
      <c r="S595" s="363"/>
      <c r="T595" s="363"/>
      <c r="U595" s="363"/>
    </row>
    <row r="596" spans="1:21" ht="19.5" hidden="1">
      <c r="A596" s="412" t="s">
        <v>214</v>
      </c>
      <c r="B596" s="144"/>
      <c r="C596" s="196"/>
      <c r="D596" s="144"/>
      <c r="E596" s="144"/>
      <c r="F596" s="144"/>
      <c r="G596" s="144"/>
      <c r="H596" s="145"/>
      <c r="I596" s="197"/>
      <c r="J596" s="197"/>
      <c r="K596" s="19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8"/>
    </row>
    <row r="597" spans="1:21" ht="19.5" hidden="1">
      <c r="A597" s="150"/>
      <c r="B597" s="413" t="s">
        <v>215</v>
      </c>
      <c r="C597" s="200"/>
      <c r="D597" s="151"/>
      <c r="E597" s="34"/>
      <c r="F597" s="34"/>
      <c r="G597" s="34"/>
      <c r="H597" s="414" t="s">
        <v>99</v>
      </c>
      <c r="I597" s="210"/>
      <c r="J597" s="39"/>
      <c r="K597" s="40"/>
      <c r="L597" s="154"/>
      <c r="M597" s="40"/>
      <c r="N597" s="40"/>
      <c r="O597" s="40"/>
      <c r="P597" s="40"/>
      <c r="Q597" s="40"/>
      <c r="R597" s="40"/>
      <c r="S597" s="40"/>
      <c r="T597" s="40"/>
      <c r="U597" s="40"/>
    </row>
    <row r="598" spans="1:21" ht="19.5" hidden="1">
      <c r="A598" s="415"/>
      <c r="B598" s="416" t="s">
        <v>216</v>
      </c>
      <c r="C598" s="151"/>
      <c r="D598" s="34"/>
      <c r="E598" s="34"/>
      <c r="F598" s="34"/>
      <c r="G598" s="37"/>
      <c r="H598" s="417" t="s">
        <v>35</v>
      </c>
      <c r="I598" s="39"/>
      <c r="J598" s="39"/>
      <c r="K598" s="40"/>
      <c r="L598" s="154"/>
      <c r="M598" s="40"/>
      <c r="N598" s="40"/>
      <c r="O598" s="40"/>
      <c r="P598" s="40"/>
      <c r="Q598" s="40"/>
      <c r="R598" s="40"/>
      <c r="S598" s="40"/>
      <c r="T598" s="40"/>
      <c r="U598" s="40"/>
    </row>
    <row r="599" spans="1:21" ht="19.5" hidden="1">
      <c r="A599" s="155"/>
      <c r="B599" s="188"/>
      <c r="C599" s="205" t="s">
        <v>18</v>
      </c>
      <c r="D599" s="563" t="s">
        <v>19</v>
      </c>
      <c r="E599" s="529"/>
      <c r="F599" s="529"/>
      <c r="G599" s="530"/>
      <c r="H599" s="418" t="s">
        <v>14</v>
      </c>
      <c r="I599" s="54"/>
      <c r="J599" s="54"/>
      <c r="K599" s="55"/>
      <c r="L599" s="541">
        <f>L600+L601</f>
        <v>0</v>
      </c>
      <c r="M599" s="540">
        <f>M600+M601</f>
        <v>0</v>
      </c>
      <c r="N599" s="540">
        <f>N600+N601</f>
        <v>0</v>
      </c>
      <c r="O599" s="540">
        <f>IF(L599&gt;0,N599*100/L599,0)</f>
        <v>0</v>
      </c>
      <c r="P599" s="540">
        <f>IF(M599&gt;0,N599*100/M599,0)</f>
        <v>0</v>
      </c>
      <c r="Q599" s="540">
        <f>Q600+Q601</f>
        <v>0</v>
      </c>
      <c r="R599" s="540">
        <f>R600+R601</f>
        <v>0</v>
      </c>
      <c r="S599" s="540">
        <f>S600+S601</f>
        <v>0</v>
      </c>
      <c r="T599" s="540">
        <f>IF(Q599&gt;0,S599*100/Q599,0)</f>
        <v>0</v>
      </c>
      <c r="U599" s="540">
        <f>IF(R599&gt;0,S599*100/R599,0)</f>
        <v>0</v>
      </c>
    </row>
    <row r="600" spans="1:21" ht="18.75" hidden="1">
      <c r="A600" s="155"/>
      <c r="B600" s="188"/>
      <c r="C600" s="188"/>
      <c r="D600" s="174"/>
      <c r="E600" s="186" t="s">
        <v>159</v>
      </c>
      <c r="F600" s="50"/>
      <c r="G600" s="52"/>
      <c r="H600" s="189" t="s">
        <v>14</v>
      </c>
      <c r="I600" s="54"/>
      <c r="J600" s="54"/>
      <c r="K600" s="55"/>
      <c r="L600" s="103">
        <f>L603+L606</f>
        <v>0</v>
      </c>
      <c r="M600" s="102">
        <f>M603+M606</f>
        <v>0</v>
      </c>
      <c r="N600" s="102">
        <f>N603+N606</f>
        <v>0</v>
      </c>
      <c r="O600" s="102">
        <f>IF(L600&gt;0,N600*100/L600,0)</f>
        <v>0</v>
      </c>
      <c r="P600" s="102">
        <f>IF(M600&gt;0,N600*100/M600,0)</f>
        <v>0</v>
      </c>
      <c r="Q600" s="102">
        <f>Q603+Q606</f>
        <v>0</v>
      </c>
      <c r="R600" s="102">
        <f>R603+R606</f>
        <v>0</v>
      </c>
      <c r="S600" s="102">
        <f>S603+S606</f>
        <v>0</v>
      </c>
      <c r="T600" s="102">
        <f>IF(Q600&gt;0,S600*100/Q600,0)</f>
        <v>0</v>
      </c>
      <c r="U600" s="102">
        <f>IF(R600&gt;0,S600*100/R600,0)</f>
        <v>0</v>
      </c>
    </row>
    <row r="601" spans="1:21" ht="18.75" hidden="1">
      <c r="A601" s="155"/>
      <c r="B601" s="188"/>
      <c r="C601" s="188"/>
      <c r="D601" s="174"/>
      <c r="E601" s="186" t="s">
        <v>160</v>
      </c>
      <c r="F601" s="50"/>
      <c r="G601" s="52"/>
      <c r="H601" s="189" t="s">
        <v>14</v>
      </c>
      <c r="I601" s="54"/>
      <c r="J601" s="54"/>
      <c r="K601" s="55"/>
      <c r="L601" s="256">
        <f>L604+L607</f>
        <v>0</v>
      </c>
      <c r="M601" s="255">
        <f>M604+M607</f>
        <v>0</v>
      </c>
      <c r="N601" s="255">
        <f>N604+N607</f>
        <v>0</v>
      </c>
      <c r="O601" s="255">
        <f>IF(L601&gt;0,N601*100/L601,0)</f>
        <v>0</v>
      </c>
      <c r="P601" s="255">
        <f>IF(M601&gt;0,N601*100/M601,0)</f>
        <v>0</v>
      </c>
      <c r="Q601" s="255">
        <f>Q604+Q607</f>
        <v>0</v>
      </c>
      <c r="R601" s="255">
        <f>R604+R607</f>
        <v>0</v>
      </c>
      <c r="S601" s="255">
        <f>S604+S607</f>
        <v>0</v>
      </c>
      <c r="T601" s="255">
        <f>IF(Q601&gt;0,S601*100/Q601,0)</f>
        <v>0</v>
      </c>
      <c r="U601" s="255">
        <f>IF(R601&gt;0,S601*100/R601,0)</f>
        <v>0</v>
      </c>
    </row>
    <row r="602" spans="1:21" ht="19.5" hidden="1">
      <c r="A602" s="155"/>
      <c r="B602" s="188"/>
      <c r="C602" s="188"/>
      <c r="D602" s="562" t="s">
        <v>22</v>
      </c>
      <c r="E602" s="50"/>
      <c r="F602" s="50"/>
      <c r="G602" s="52"/>
      <c r="H602" s="418" t="s">
        <v>14</v>
      </c>
      <c r="I602" s="163"/>
      <c r="J602" s="163"/>
      <c r="K602" s="164"/>
      <c r="L602" s="256">
        <f>L603+L604</f>
        <v>0</v>
      </c>
      <c r="M602" s="255">
        <f>M603+M604</f>
        <v>0</v>
      </c>
      <c r="N602" s="255">
        <f>N603+N604</f>
        <v>0</v>
      </c>
      <c r="O602" s="255">
        <f>IF(L602&gt;0,N602*100/L602,0)</f>
        <v>0</v>
      </c>
      <c r="P602" s="255">
        <f>IF(M602&gt;0,N602*100/M602,0)</f>
        <v>0</v>
      </c>
      <c r="Q602" s="255">
        <f>Q603+Q604</f>
        <v>0</v>
      </c>
      <c r="R602" s="255">
        <f>R603+R604</f>
        <v>0</v>
      </c>
      <c r="S602" s="255">
        <f>S603+S604</f>
        <v>0</v>
      </c>
      <c r="T602" s="255">
        <f>IF(Q602&gt;0,S602*100/Q602,0)</f>
        <v>0</v>
      </c>
      <c r="U602" s="255">
        <f>IF(R602&gt;0,S602*100/R602,0)</f>
        <v>0</v>
      </c>
    </row>
    <row r="603" spans="1:21" ht="18.75" hidden="1">
      <c r="A603" s="155"/>
      <c r="B603" s="188"/>
      <c r="C603" s="188"/>
      <c r="D603" s="174"/>
      <c r="E603" s="186" t="s">
        <v>159</v>
      </c>
      <c r="F603" s="50"/>
      <c r="G603" s="52"/>
      <c r="H603" s="189" t="s">
        <v>14</v>
      </c>
      <c r="I603" s="54"/>
      <c r="J603" s="54"/>
      <c r="K603" s="55"/>
      <c r="L603" s="103">
        <v>0</v>
      </c>
      <c r="M603" s="102">
        <v>0</v>
      </c>
      <c r="N603" s="102">
        <v>0</v>
      </c>
      <c r="O603" s="102">
        <f>IF(L603&gt;0,N603*100/L603,0)</f>
        <v>0</v>
      </c>
      <c r="P603" s="102">
        <f>IF(M603&gt;0,N603*100/M603,0)</f>
        <v>0</v>
      </c>
      <c r="Q603" s="102">
        <v>0</v>
      </c>
      <c r="R603" s="102">
        <v>0</v>
      </c>
      <c r="S603" s="102">
        <v>0</v>
      </c>
      <c r="T603" s="102">
        <f>IF(Q603&gt;0,S603*100/Q603,0)</f>
        <v>0</v>
      </c>
      <c r="U603" s="102">
        <f>IF(R603&gt;0,S603*100/R603,0)</f>
        <v>0</v>
      </c>
    </row>
    <row r="604" spans="1:21" ht="18.75" hidden="1">
      <c r="A604" s="155"/>
      <c r="B604" s="188"/>
      <c r="C604" s="188"/>
      <c r="D604" s="174"/>
      <c r="E604" s="186" t="s">
        <v>160</v>
      </c>
      <c r="F604" s="50"/>
      <c r="G604" s="52"/>
      <c r="H604" s="189" t="s">
        <v>14</v>
      </c>
      <c r="I604" s="54"/>
      <c r="J604" s="54"/>
      <c r="K604" s="55"/>
      <c r="L604" s="256">
        <v>0</v>
      </c>
      <c r="M604" s="255">
        <v>0</v>
      </c>
      <c r="N604" s="255">
        <v>0</v>
      </c>
      <c r="O604" s="255">
        <f>IF(L604&gt;0,N604*100/L604,0)</f>
        <v>0</v>
      </c>
      <c r="P604" s="255">
        <f>IF(M604&gt;0,N604*100/M604,0)</f>
        <v>0</v>
      </c>
      <c r="Q604" s="255">
        <v>0</v>
      </c>
      <c r="R604" s="255">
        <v>0</v>
      </c>
      <c r="S604" s="255">
        <v>0</v>
      </c>
      <c r="T604" s="255">
        <f>IF(Q604&gt;0,S604*100/Q604,0)</f>
        <v>0</v>
      </c>
      <c r="U604" s="255">
        <f>IF(R604&gt;0,S604*100/R604,0)</f>
        <v>0</v>
      </c>
    </row>
    <row r="605" spans="1:21" ht="19.5" hidden="1">
      <c r="A605" s="155"/>
      <c r="B605" s="188"/>
      <c r="C605" s="188"/>
      <c r="D605" s="562" t="s">
        <v>23</v>
      </c>
      <c r="E605" s="188"/>
      <c r="F605" s="50"/>
      <c r="G605" s="52"/>
      <c r="H605" s="420" t="s">
        <v>14</v>
      </c>
      <c r="I605" s="163"/>
      <c r="J605" s="163"/>
      <c r="K605" s="164"/>
      <c r="L605" s="256">
        <f>L606+L607</f>
        <v>0</v>
      </c>
      <c r="M605" s="255">
        <f>M606+M607</f>
        <v>0</v>
      </c>
      <c r="N605" s="255">
        <f>N606+N607</f>
        <v>0</v>
      </c>
      <c r="O605" s="255">
        <f>IF(L605&gt;0,N605*100/L605,0)</f>
        <v>0</v>
      </c>
      <c r="P605" s="255">
        <f>IF(M605&gt;0,N605*100/M605,0)</f>
        <v>0</v>
      </c>
      <c r="Q605" s="255">
        <f>Q606+Q607</f>
        <v>0</v>
      </c>
      <c r="R605" s="255">
        <f>R606+R607</f>
        <v>0</v>
      </c>
      <c r="S605" s="255">
        <f>S606+S607</f>
        <v>0</v>
      </c>
      <c r="T605" s="255">
        <f>IF(Q605&gt;0,S605*100/Q605,0)</f>
        <v>0</v>
      </c>
      <c r="U605" s="255">
        <f>IF(R605&gt;0,S605*100/R605,0)</f>
        <v>0</v>
      </c>
    </row>
    <row r="606" spans="1:21" ht="18.75" hidden="1">
      <c r="A606" s="155"/>
      <c r="B606" s="188"/>
      <c r="C606" s="188"/>
      <c r="D606" s="188"/>
      <c r="E606" s="358" t="s">
        <v>20</v>
      </c>
      <c r="F606" s="50"/>
      <c r="G606" s="52"/>
      <c r="H606" s="189" t="s">
        <v>14</v>
      </c>
      <c r="I606" s="163"/>
      <c r="J606" s="163"/>
      <c r="K606" s="164"/>
      <c r="L606" s="103">
        <v>0</v>
      </c>
      <c r="M606" s="102">
        <v>0</v>
      </c>
      <c r="N606" s="102">
        <v>0</v>
      </c>
      <c r="O606" s="102">
        <f>IF(L606&gt;0,N606*100/L606,0)</f>
        <v>0</v>
      </c>
      <c r="P606" s="102">
        <f>IF(M606&gt;0,N606*100/M606,0)</f>
        <v>0</v>
      </c>
      <c r="Q606" s="102">
        <v>0</v>
      </c>
      <c r="R606" s="102">
        <v>0</v>
      </c>
      <c r="S606" s="102">
        <v>0</v>
      </c>
      <c r="T606" s="102">
        <f>IF(Q606&gt;0,S606*100/Q606,0)</f>
        <v>0</v>
      </c>
      <c r="U606" s="102">
        <f>IF(R606&gt;0,S606*100/R606,0)</f>
        <v>0</v>
      </c>
    </row>
    <row r="607" spans="1:21" ht="18.75" hidden="1">
      <c r="A607" s="155"/>
      <c r="B607" s="188"/>
      <c r="C607" s="188"/>
      <c r="D607" s="50"/>
      <c r="E607" s="358" t="s">
        <v>21</v>
      </c>
      <c r="F607" s="50"/>
      <c r="G607" s="52"/>
      <c r="H607" s="421" t="s">
        <v>14</v>
      </c>
      <c r="I607" s="163"/>
      <c r="J607" s="163"/>
      <c r="K607" s="164"/>
      <c r="L607" s="256">
        <v>0</v>
      </c>
      <c r="M607" s="255">
        <v>0</v>
      </c>
      <c r="N607" s="255">
        <v>0</v>
      </c>
      <c r="O607" s="255">
        <f>IF(L607&gt;0,N607*100/L607,0)</f>
        <v>0</v>
      </c>
      <c r="P607" s="255">
        <f>IF(M607&gt;0,N607*100/M607,0)</f>
        <v>0</v>
      </c>
      <c r="Q607" s="255">
        <v>0</v>
      </c>
      <c r="R607" s="255">
        <v>0</v>
      </c>
      <c r="S607" s="255">
        <v>0</v>
      </c>
      <c r="T607" s="255">
        <f>IF(Q607&gt;0,S607*100/Q607,0)</f>
        <v>0</v>
      </c>
      <c r="U607" s="255">
        <f>IF(R607&gt;0,S607*100/R607,0)</f>
        <v>0</v>
      </c>
    </row>
    <row r="608" spans="1:21" ht="19.5" hidden="1">
      <c r="A608" s="166"/>
      <c r="B608" s="167"/>
      <c r="C608" s="205" t="s">
        <v>18</v>
      </c>
      <c r="D608" s="574" t="s">
        <v>38</v>
      </c>
      <c r="E608" s="169"/>
      <c r="F608" s="169"/>
      <c r="G608" s="170"/>
      <c r="H608" s="206"/>
      <c r="I608" s="163"/>
      <c r="J608" s="163"/>
      <c r="K608" s="164"/>
      <c r="L608" s="62"/>
      <c r="M608" s="55"/>
      <c r="N608" s="55"/>
      <c r="O608" s="55"/>
      <c r="P608" s="55"/>
      <c r="Q608" s="55"/>
      <c r="R608" s="55"/>
      <c r="S608" s="55"/>
      <c r="T608" s="55"/>
      <c r="U608" s="55"/>
    </row>
    <row r="609" spans="1:21" ht="18.75" hidden="1">
      <c r="A609" s="166"/>
      <c r="B609" s="167"/>
      <c r="C609" s="167"/>
      <c r="D609" s="423" t="s">
        <v>217</v>
      </c>
      <c r="E609" s="174"/>
      <c r="F609" s="174"/>
      <c r="G609" s="171"/>
      <c r="H609" s="189" t="s">
        <v>99</v>
      </c>
      <c r="I609" s="54"/>
      <c r="J609" s="54"/>
      <c r="K609" s="164"/>
      <c r="L609" s="62"/>
      <c r="M609" s="55"/>
      <c r="N609" s="55"/>
      <c r="O609" s="55"/>
      <c r="P609" s="55"/>
      <c r="Q609" s="55"/>
      <c r="R609" s="55"/>
      <c r="S609" s="55"/>
      <c r="T609" s="55"/>
      <c r="U609" s="55"/>
    </row>
    <row r="610" spans="1:21" ht="19.5" hidden="1">
      <c r="A610" s="166"/>
      <c r="B610" s="167"/>
      <c r="C610" s="167"/>
      <c r="D610" s="423" t="s">
        <v>218</v>
      </c>
      <c r="E610" s="174"/>
      <c r="F610" s="174"/>
      <c r="G610" s="171"/>
      <c r="H610" s="418" t="s">
        <v>35</v>
      </c>
      <c r="I610" s="54"/>
      <c r="J610" s="54"/>
      <c r="K610" s="164"/>
      <c r="L610" s="62"/>
      <c r="M610" s="55"/>
      <c r="N610" s="55"/>
      <c r="O610" s="55"/>
      <c r="P610" s="55"/>
      <c r="Q610" s="55"/>
      <c r="R610" s="55"/>
      <c r="S610" s="55"/>
      <c r="T610" s="55"/>
      <c r="U610" s="55"/>
    </row>
    <row r="611" spans="1:21" ht="18.75" hidden="1">
      <c r="A611" s="166"/>
      <c r="B611" s="167"/>
      <c r="C611" s="167"/>
      <c r="D611" s="167"/>
      <c r="E611" s="423" t="s">
        <v>219</v>
      </c>
      <c r="F611" s="174"/>
      <c r="G611" s="171"/>
      <c r="H611" s="421" t="s">
        <v>35</v>
      </c>
      <c r="I611" s="54"/>
      <c r="J611" s="54"/>
      <c r="K611" s="164"/>
      <c r="L611" s="62"/>
      <c r="M611" s="55"/>
      <c r="N611" s="55"/>
      <c r="O611" s="55"/>
      <c r="P611" s="55"/>
      <c r="Q611" s="55"/>
      <c r="R611" s="55"/>
      <c r="S611" s="55"/>
      <c r="T611" s="55"/>
      <c r="U611" s="55"/>
    </row>
    <row r="612" spans="1:21" ht="19.5" hidden="1" thickBot="1">
      <c r="A612" s="424"/>
      <c r="B612" s="425"/>
      <c r="C612" s="425"/>
      <c r="D612" s="425"/>
      <c r="E612" s="426" t="s">
        <v>220</v>
      </c>
      <c r="F612" s="427"/>
      <c r="G612" s="428"/>
      <c r="H612" s="429" t="s">
        <v>35</v>
      </c>
      <c r="I612" s="430"/>
      <c r="J612" s="430"/>
      <c r="K612" s="431"/>
      <c r="L612" s="433"/>
      <c r="M612" s="432"/>
      <c r="N612" s="432"/>
      <c r="O612" s="432"/>
      <c r="P612" s="432"/>
      <c r="Q612" s="432"/>
      <c r="R612" s="432"/>
      <c r="S612" s="432"/>
      <c r="T612" s="432"/>
      <c r="U612" s="432"/>
    </row>
    <row r="613" spans="1:21" ht="19.5" hidden="1">
      <c r="A613" s="434" t="s">
        <v>221</v>
      </c>
      <c r="B613" s="435"/>
      <c r="C613" s="435"/>
      <c r="D613" s="436"/>
      <c r="E613" s="436"/>
      <c r="F613" s="436"/>
      <c r="G613" s="437"/>
      <c r="H613" s="438"/>
      <c r="I613" s="439"/>
      <c r="J613" s="439"/>
      <c r="K613" s="440"/>
      <c r="L613" s="441"/>
      <c r="M613" s="440"/>
      <c r="N613" s="440"/>
      <c r="O613" s="440"/>
      <c r="P613" s="440"/>
      <c r="Q613" s="440"/>
      <c r="R613" s="440"/>
      <c r="S613" s="440"/>
      <c r="T613" s="440"/>
      <c r="U613" s="440"/>
    </row>
    <row r="614" spans="1:21" ht="19.5">
      <c r="A614" s="442"/>
      <c r="B614" s="443" t="s">
        <v>222</v>
      </c>
      <c r="C614" s="442"/>
      <c r="D614" s="444"/>
      <c r="E614" s="444"/>
      <c r="F614" s="444"/>
      <c r="G614" s="445"/>
      <c r="H614" s="446"/>
      <c r="I614" s="447"/>
      <c r="J614" s="447"/>
      <c r="K614" s="448"/>
      <c r="L614" s="449"/>
      <c r="M614" s="448"/>
      <c r="N614" s="448"/>
      <c r="O614" s="448"/>
      <c r="P614" s="448"/>
      <c r="Q614" s="448"/>
      <c r="R614" s="448"/>
      <c r="S614" s="448"/>
      <c r="T614" s="448"/>
      <c r="U614" s="448"/>
    </row>
    <row r="615" spans="1:21" ht="19.5">
      <c r="A615" s="450"/>
      <c r="B615" s="451" t="s">
        <v>223</v>
      </c>
      <c r="C615" s="450"/>
      <c r="D615" s="452"/>
      <c r="E615" s="452"/>
      <c r="F615" s="452"/>
      <c r="G615" s="453"/>
      <c r="H615" s="454" t="s">
        <v>46</v>
      </c>
      <c r="I615" s="573">
        <f ca="1">I626</f>
        <v>50</v>
      </c>
      <c r="J615" s="573">
        <f>J626</f>
        <v>0</v>
      </c>
      <c r="K615" s="572">
        <f ca="1">IF(I615&gt;0,J615*100/I615,0)</f>
        <v>0</v>
      </c>
      <c r="L615" s="458"/>
      <c r="M615" s="457"/>
      <c r="N615" s="457"/>
      <c r="O615" s="457"/>
      <c r="P615" s="457"/>
      <c r="Q615" s="457"/>
      <c r="R615" s="457"/>
      <c r="S615" s="457"/>
      <c r="T615" s="457"/>
      <c r="U615" s="457"/>
    </row>
    <row r="616" spans="1:21" ht="19.5">
      <c r="A616" s="155"/>
      <c r="B616" s="188"/>
      <c r="C616" s="205" t="s">
        <v>18</v>
      </c>
      <c r="D616" s="542" t="s">
        <v>19</v>
      </c>
      <c r="E616" s="529"/>
      <c r="F616" s="529"/>
      <c r="G616" s="530"/>
      <c r="H616" s="252" t="s">
        <v>14</v>
      </c>
      <c r="I616" s="54"/>
      <c r="J616" s="54"/>
      <c r="K616" s="55"/>
      <c r="L616" s="541">
        <f>L617+L618</f>
        <v>0</v>
      </c>
      <c r="M616" s="540">
        <f>M617+M618</f>
        <v>0</v>
      </c>
      <c r="N616" s="540">
        <f>N617+N618</f>
        <v>0</v>
      </c>
      <c r="O616" s="540">
        <f>IF(L616&gt;0,N616*100/L616,0)</f>
        <v>0</v>
      </c>
      <c r="P616" s="540">
        <f>IF(M616&gt;0,N616*100/M616,0)</f>
        <v>0</v>
      </c>
      <c r="Q616" s="540">
        <f ca="1">Q617+Q618</f>
        <v>7050</v>
      </c>
      <c r="R616" s="540">
        <f ca="1">R617+R618</f>
        <v>7050</v>
      </c>
      <c r="S616" s="540">
        <f ca="1">S617+S618</f>
        <v>0</v>
      </c>
      <c r="T616" s="540">
        <f ca="1">IF(Q616&gt;0,S616*100/Q616,0)</f>
        <v>0</v>
      </c>
      <c r="U616" s="540">
        <f ca="1">IF(R616&gt;0,S616*100/R616,0)</f>
        <v>0</v>
      </c>
    </row>
    <row r="617" spans="1:21" ht="18.75" hidden="1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103">
        <f>L620+L623</f>
        <v>0</v>
      </c>
      <c r="M617" s="102">
        <f>M620+M623</f>
        <v>0</v>
      </c>
      <c r="N617" s="102">
        <f>N620+N623</f>
        <v>0</v>
      </c>
      <c r="O617" s="102">
        <f>IF(L617&gt;0,N617*100/L617,0)</f>
        <v>0</v>
      </c>
      <c r="P617" s="102">
        <f>IF(M617&gt;0,N617*100/M617,0)</f>
        <v>0</v>
      </c>
      <c r="Q617" s="102">
        <f>Q620+Q623</f>
        <v>0</v>
      </c>
      <c r="R617" s="102">
        <f>R620+R623</f>
        <v>0</v>
      </c>
      <c r="S617" s="102">
        <f>S620+S623</f>
        <v>0</v>
      </c>
      <c r="T617" s="102">
        <f>IF(Q617&gt;0,S617*100/Q617,0)</f>
        <v>0</v>
      </c>
      <c r="U617" s="102">
        <f>IF(R617&gt;0,S617*100/R617,0)</f>
        <v>0</v>
      </c>
    </row>
    <row r="618" spans="1:21" ht="18.75" hidden="1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256">
        <f>L621+L624</f>
        <v>0</v>
      </c>
      <c r="M618" s="255">
        <f>M621+M624</f>
        <v>0</v>
      </c>
      <c r="N618" s="255">
        <f>N621+N624</f>
        <v>0</v>
      </c>
      <c r="O618" s="255">
        <f>IF(L618&gt;0,N618*100/L618,0)</f>
        <v>0</v>
      </c>
      <c r="P618" s="255">
        <f>IF(M618&gt;0,N618*100/M618,0)</f>
        <v>0</v>
      </c>
      <c r="Q618" s="255">
        <f ca="1">Q621+Q624</f>
        <v>7050</v>
      </c>
      <c r="R618" s="255">
        <f ca="1">R621+R624</f>
        <v>7050</v>
      </c>
      <c r="S618" s="255">
        <f ca="1">S621+S624</f>
        <v>0</v>
      </c>
      <c r="T618" s="255">
        <f ca="1">IF(Q618&gt;0,S618*100/Q618,0)</f>
        <v>0</v>
      </c>
      <c r="U618" s="255">
        <f ca="1">IF(R618&gt;0,S618*100/R618,0)</f>
        <v>0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256">
        <f>L620+L621</f>
        <v>0</v>
      </c>
      <c r="M619" s="255">
        <f>M620+M621</f>
        <v>0</v>
      </c>
      <c r="N619" s="255">
        <f>N620+N621</f>
        <v>0</v>
      </c>
      <c r="O619" s="255">
        <f>IF(L619&gt;0,N619*100/L619,0)</f>
        <v>0</v>
      </c>
      <c r="P619" s="255">
        <f>IF(M619&gt;0,N619*100/M619,0)</f>
        <v>0</v>
      </c>
      <c r="Q619" s="255">
        <f ca="1">Q620+Q621</f>
        <v>7050</v>
      </c>
      <c r="R619" s="255">
        <f ca="1">R620+R621</f>
        <v>7050</v>
      </c>
      <c r="S619" s="255">
        <f ca="1">S620+S621</f>
        <v>0</v>
      </c>
      <c r="T619" s="255">
        <f ca="1">IF(Q619&gt;0,S619*100/Q619,0)</f>
        <v>0</v>
      </c>
      <c r="U619" s="255">
        <f ca="1">IF(R619&gt;0,S619*100/R619,0)</f>
        <v>0</v>
      </c>
    </row>
    <row r="620" spans="1:21" ht="18.75" hidden="1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103">
        <v>0</v>
      </c>
      <c r="M620" s="102">
        <v>0</v>
      </c>
      <c r="N620" s="102">
        <v>0</v>
      </c>
      <c r="O620" s="102">
        <f>IF(L620&gt;0,N620*100/L620,0)</f>
        <v>0</v>
      </c>
      <c r="P620" s="102">
        <f>IF(M620&gt;0,N620*100/M620,0)</f>
        <v>0</v>
      </c>
      <c r="Q620" s="102">
        <v>0</v>
      </c>
      <c r="R620" s="102">
        <v>0</v>
      </c>
      <c r="S620" s="102">
        <v>0</v>
      </c>
      <c r="T620" s="102">
        <f>IF(Q620&gt;0,S620*100/Q620,0)</f>
        <v>0</v>
      </c>
      <c r="U620" s="102">
        <f>IF(R620&gt;0,S620*100/R620,0)</f>
        <v>0</v>
      </c>
    </row>
    <row r="621" spans="1:21" ht="18.75" hidden="1">
      <c r="A621" s="155"/>
      <c r="B621" s="188"/>
      <c r="C621" s="188"/>
      <c r="D621" s="174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256">
        <v>0</v>
      </c>
      <c r="M621" s="255">
        <v>0</v>
      </c>
      <c r="N621" s="255">
        <v>0</v>
      </c>
      <c r="O621" s="255">
        <f>IF(L621&gt;0,N621*100/L621,0)</f>
        <v>0</v>
      </c>
      <c r="P621" s="255">
        <f>IF(M621&gt;0,N621*100/M621,0)</f>
        <v>0</v>
      </c>
      <c r="Q621" s="255">
        <f ca="1">IFERROR(__xludf.DUMMYFUNCTION("IMPORTRANGE(""https://docs.google.com/spreadsheets/d/1ItG2mGa2ceCfYo0BwxsXqNm01IGEUdYcSSLTEv9YCik/edit?usp=sharing"",""เบิกจ่ายกองทุน!F44"")"),7050)</f>
        <v>7050</v>
      </c>
      <c r="R621" s="255">
        <f ca="1">IFERROR(__xludf.DUMMYFUNCTION("IMPORTRANGE(""https://docs.google.com/spreadsheets/d/1ItG2mGa2ceCfYo0BwxsXqNm01IGEUdYcSSLTEv9YCik/edit?usp=sharing"",""เบิกจ่ายกองทุน!G44"")"),7050)</f>
        <v>7050</v>
      </c>
      <c r="S621" s="255">
        <f ca="1">IFERROR(__xludf.DUMMYFUNCTION("IMPORTRANGE(""https://docs.google.com/spreadsheets/d/1ItG2mGa2ceCfYo0BwxsXqNm01IGEUdYcSSLTEv9YCik/edit?usp=sharing"",""เบิกจ่ายกองทุน!H44"")"),0)</f>
        <v>0</v>
      </c>
      <c r="T621" s="255">
        <f ca="1">IF(Q621&gt;0,S621*100/Q621,0)</f>
        <v>0</v>
      </c>
      <c r="U621" s="255">
        <f ca="1">IF(R621&gt;0,S621*100/R621,0)</f>
        <v>0</v>
      </c>
    </row>
    <row r="622" spans="1:21" ht="18.75">
      <c r="A622" s="155"/>
      <c r="B622" s="188"/>
      <c r="C622" s="188"/>
      <c r="D622" s="51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256">
        <f>L623+L624</f>
        <v>0</v>
      </c>
      <c r="M622" s="255">
        <f>M623+M624</f>
        <v>0</v>
      </c>
      <c r="N622" s="255">
        <f>N623+N624</f>
        <v>0</v>
      </c>
      <c r="O622" s="255">
        <f>IF(L622&gt;0,N622*100/L622,0)</f>
        <v>0</v>
      </c>
      <c r="P622" s="255">
        <f>IF(M622&gt;0,N622*100/M622,0)</f>
        <v>0</v>
      </c>
      <c r="Q622" s="255">
        <f>Q623+Q624</f>
        <v>0</v>
      </c>
      <c r="R622" s="255">
        <f>R623+R624</f>
        <v>0</v>
      </c>
      <c r="S622" s="255">
        <f>S623+S624</f>
        <v>0</v>
      </c>
      <c r="T622" s="255">
        <f>IF(Q622&gt;0,S622*100/Q622,0)</f>
        <v>0</v>
      </c>
      <c r="U622" s="255">
        <f>IF(R622&gt;0,S622*100/R622,0)</f>
        <v>0</v>
      </c>
    </row>
    <row r="623" spans="1:21" ht="18.75" hidden="1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103">
        <v>0</v>
      </c>
      <c r="M623" s="102">
        <v>0</v>
      </c>
      <c r="N623" s="102">
        <v>0</v>
      </c>
      <c r="O623" s="102">
        <f>IF(L623&gt;0,N623*100/L623,0)</f>
        <v>0</v>
      </c>
      <c r="P623" s="102">
        <f>IF(M623&gt;0,N623*100/M623,0)</f>
        <v>0</v>
      </c>
      <c r="Q623" s="102">
        <v>0</v>
      </c>
      <c r="R623" s="102">
        <v>0</v>
      </c>
      <c r="S623" s="102">
        <v>0</v>
      </c>
      <c r="T623" s="102">
        <f>IF(Q623&gt;0,S623*100/Q623,0)</f>
        <v>0</v>
      </c>
      <c r="U623" s="102">
        <f>IF(R623&gt;0,S623*100/R623,0)</f>
        <v>0</v>
      </c>
    </row>
    <row r="624" spans="1:21" ht="18.75" hidden="1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256">
        <v>0</v>
      </c>
      <c r="M624" s="255">
        <v>0</v>
      </c>
      <c r="N624" s="255">
        <v>0</v>
      </c>
      <c r="O624" s="255">
        <f>IF(L624&gt;0,N624*100/L624,0)</f>
        <v>0</v>
      </c>
      <c r="P624" s="255">
        <f>IF(M624&gt;0,N624*100/M624,0)</f>
        <v>0</v>
      </c>
      <c r="Q624" s="255">
        <v>0</v>
      </c>
      <c r="R624" s="255">
        <v>0</v>
      </c>
      <c r="S624" s="255">
        <v>0</v>
      </c>
      <c r="T624" s="255">
        <f>IF(Q624&gt;0,S624*100/Q624,0)</f>
        <v>0</v>
      </c>
      <c r="U624" s="255">
        <f>IF(R624&gt;0,S624*100/R624,0)</f>
        <v>0</v>
      </c>
    </row>
    <row r="625" spans="1:21" ht="19.5">
      <c r="A625" s="166"/>
      <c r="B625" s="167"/>
      <c r="C625" s="205" t="s">
        <v>18</v>
      </c>
      <c r="D625" s="539" t="s">
        <v>38</v>
      </c>
      <c r="E625" s="169"/>
      <c r="F625" s="169"/>
      <c r="G625" s="170"/>
      <c r="H625" s="206"/>
      <c r="I625" s="163"/>
      <c r="J625" s="163"/>
      <c r="K625" s="164"/>
      <c r="L625" s="172"/>
      <c r="M625" s="164"/>
      <c r="N625" s="164"/>
      <c r="O625" s="164"/>
      <c r="P625" s="164"/>
      <c r="Q625" s="164"/>
      <c r="R625" s="164"/>
      <c r="S625" s="164"/>
      <c r="T625" s="164"/>
      <c r="U625" s="164"/>
    </row>
    <row r="626" spans="1:21" ht="19.5">
      <c r="A626" s="166"/>
      <c r="B626" s="167"/>
      <c r="C626" s="167"/>
      <c r="D626" s="460" t="s">
        <v>224</v>
      </c>
      <c r="E626" s="174"/>
      <c r="F626" s="174"/>
      <c r="G626" s="171"/>
      <c r="H626" s="461" t="s">
        <v>46</v>
      </c>
      <c r="I626" s="373">
        <f ca="1">IFERROR(__xludf.DUMMYFUNCTION("IMPORTRANGE(""https://docs.google.com/spreadsheets/d/1eHaY18a8A9IcSdp1K8H6x8fbOy06t2VsZHhMHf-1x7Y/edit?usp=sharing"",""แผน!ID44"")"),50)</f>
        <v>50</v>
      </c>
      <c r="J626" s="373">
        <f>J632</f>
        <v>0</v>
      </c>
      <c r="K626" s="540">
        <f ca="1">IF(I626&gt;0,J626*100/I626,0)</f>
        <v>0</v>
      </c>
      <c r="L626" s="172"/>
      <c r="M626" s="164"/>
      <c r="N626" s="164"/>
      <c r="O626" s="164"/>
      <c r="P626" s="164"/>
      <c r="Q626" s="164"/>
      <c r="R626" s="164"/>
      <c r="S626" s="164"/>
      <c r="T626" s="164"/>
      <c r="U626" s="164"/>
    </row>
    <row r="627" spans="1:21" ht="18.75">
      <c r="A627" s="166"/>
      <c r="B627" s="167"/>
      <c r="C627" s="167"/>
      <c r="D627" s="167"/>
      <c r="E627" s="178" t="s">
        <v>225</v>
      </c>
      <c r="F627" s="174"/>
      <c r="G627" s="171"/>
      <c r="H627" s="165" t="s">
        <v>61</v>
      </c>
      <c r="I627" s="212">
        <f ca="1">IFERROR(__xludf.DUMMYFUNCTION("IMPORTRANGE(""https://docs.google.com/spreadsheets/d/1eHaY18a8A9IcSdp1K8H6x8fbOy06t2VsZHhMHf-1x7Y/edit?usp=sharing"",""แผน!IC44"")"),0)</f>
        <v>0</v>
      </c>
      <c r="J627" s="467">
        <v>0</v>
      </c>
      <c r="K627" s="255">
        <f ca="1">IF(I627&gt;0,(J627*100)/I627,0)</f>
        <v>0</v>
      </c>
      <c r="L627" s="172"/>
      <c r="M627" s="164"/>
      <c r="N627" s="164"/>
      <c r="O627" s="164"/>
      <c r="P627" s="164"/>
      <c r="Q627" s="164"/>
      <c r="R627" s="164"/>
      <c r="S627" s="164"/>
      <c r="T627" s="164"/>
      <c r="U627" s="164"/>
    </row>
    <row r="628" spans="1:21" ht="18.75">
      <c r="A628" s="166"/>
      <c r="B628" s="167"/>
      <c r="C628" s="167"/>
      <c r="D628" s="167"/>
      <c r="E628" s="178" t="s">
        <v>226</v>
      </c>
      <c r="F628" s="174"/>
      <c r="G628" s="171"/>
      <c r="H628" s="165" t="s">
        <v>61</v>
      </c>
      <c r="I628" s="212">
        <f ca="1">IFERROR(__xludf.DUMMYFUNCTION("IMPORTRANGE(""https://docs.google.com/spreadsheets/d/1eHaY18a8A9IcSdp1K8H6x8fbOy06t2VsZHhMHf-1x7Y/edit?usp=sharing"",""แผน!IC44"")"),0)</f>
        <v>0</v>
      </c>
      <c r="J628" s="467">
        <v>0</v>
      </c>
      <c r="K628" s="255">
        <f ca="1">IF(I628&gt;0,(J628*100)/I628,0)</f>
        <v>0</v>
      </c>
      <c r="L628" s="172"/>
      <c r="M628" s="164"/>
      <c r="N628" s="164"/>
      <c r="O628" s="164"/>
      <c r="P628" s="164"/>
      <c r="Q628" s="164"/>
      <c r="R628" s="164"/>
      <c r="S628" s="164"/>
      <c r="T628" s="164"/>
      <c r="U628" s="164"/>
    </row>
    <row r="629" spans="1:21" ht="18.75">
      <c r="A629" s="166"/>
      <c r="B629" s="167"/>
      <c r="C629" s="167"/>
      <c r="D629" s="167"/>
      <c r="E629" s="178" t="s">
        <v>227</v>
      </c>
      <c r="F629" s="174"/>
      <c r="G629" s="171"/>
      <c r="H629" s="165" t="s">
        <v>46</v>
      </c>
      <c r="I629" s="54"/>
      <c r="J629" s="467">
        <v>0</v>
      </c>
      <c r="K629" s="255">
        <f ca="1">IF(I$626&gt;0,J629*100/I$626,0)</f>
        <v>0</v>
      </c>
      <c r="L629" s="172"/>
      <c r="M629" s="164"/>
      <c r="N629" s="164"/>
      <c r="O629" s="164"/>
      <c r="P629" s="164"/>
      <c r="Q629" s="164"/>
      <c r="R629" s="164"/>
      <c r="S629" s="164"/>
      <c r="T629" s="164"/>
      <c r="U629" s="164"/>
    </row>
    <row r="630" spans="1:21" ht="18.75">
      <c r="A630" s="166"/>
      <c r="B630" s="167"/>
      <c r="C630" s="167"/>
      <c r="D630" s="167"/>
      <c r="E630" s="178" t="s">
        <v>228</v>
      </c>
      <c r="F630" s="174"/>
      <c r="G630" s="171"/>
      <c r="H630" s="165" t="s">
        <v>46</v>
      </c>
      <c r="I630" s="54"/>
      <c r="J630" s="467">
        <v>0</v>
      </c>
      <c r="K630" s="255">
        <f ca="1">IF(I$626&gt;0,J630*100/I$626,0)</f>
        <v>0</v>
      </c>
      <c r="L630" s="172"/>
      <c r="M630" s="164"/>
      <c r="N630" s="164"/>
      <c r="O630" s="164"/>
      <c r="P630" s="164"/>
      <c r="Q630" s="164"/>
      <c r="R630" s="164"/>
      <c r="S630" s="164"/>
      <c r="T630" s="164"/>
      <c r="U630" s="164"/>
    </row>
    <row r="631" spans="1:21" ht="18.75">
      <c r="A631" s="166"/>
      <c r="B631" s="167"/>
      <c r="C631" s="167"/>
      <c r="D631" s="167"/>
      <c r="E631" s="178" t="s">
        <v>229</v>
      </c>
      <c r="F631" s="174"/>
      <c r="G631" s="171"/>
      <c r="H631" s="165" t="s">
        <v>46</v>
      </c>
      <c r="I631" s="54"/>
      <c r="J631" s="467">
        <v>0</v>
      </c>
      <c r="K631" s="255">
        <f ca="1">IF(I$626&gt;0,J631*100/I$626,0)</f>
        <v>0</v>
      </c>
      <c r="L631" s="172"/>
      <c r="M631" s="164"/>
      <c r="N631" s="164"/>
      <c r="O631" s="164"/>
      <c r="P631" s="164"/>
      <c r="Q631" s="164"/>
      <c r="R631" s="164"/>
      <c r="S631" s="164"/>
      <c r="T631" s="164"/>
      <c r="U631" s="164"/>
    </row>
    <row r="632" spans="1:21" ht="19.5">
      <c r="A632" s="166"/>
      <c r="B632" s="167"/>
      <c r="C632" s="167"/>
      <c r="D632" s="167"/>
      <c r="E632" s="178" t="s">
        <v>230</v>
      </c>
      <c r="F632" s="174"/>
      <c r="G632" s="171"/>
      <c r="H632" s="165" t="s">
        <v>46</v>
      </c>
      <c r="I632" s="54"/>
      <c r="J632" s="373">
        <f>J633+J634</f>
        <v>0</v>
      </c>
      <c r="K632" s="540">
        <f ca="1">IF(I626&gt;0,J632*100/I626,0)</f>
        <v>0</v>
      </c>
      <c r="L632" s="172"/>
      <c r="M632" s="164"/>
      <c r="N632" s="164"/>
      <c r="O632" s="164"/>
      <c r="P632" s="164"/>
      <c r="Q632" s="164"/>
      <c r="R632" s="164"/>
      <c r="S632" s="164"/>
      <c r="T632" s="164"/>
      <c r="U632" s="164"/>
    </row>
    <row r="633" spans="1:21" ht="18.75">
      <c r="A633" s="166"/>
      <c r="B633" s="167"/>
      <c r="C633" s="167"/>
      <c r="D633" s="167"/>
      <c r="E633" s="174"/>
      <c r="F633" s="178" t="s">
        <v>231</v>
      </c>
      <c r="G633" s="171"/>
      <c r="H633" s="165" t="s">
        <v>46</v>
      </c>
      <c r="I633" s="54"/>
      <c r="J633" s="467">
        <v>0</v>
      </c>
      <c r="K633" s="55"/>
      <c r="L633" s="172"/>
      <c r="M633" s="164"/>
      <c r="N633" s="164"/>
      <c r="O633" s="164"/>
      <c r="P633" s="164"/>
      <c r="Q633" s="164"/>
      <c r="R633" s="164"/>
      <c r="S633" s="164"/>
      <c r="T633" s="164"/>
      <c r="U633" s="164"/>
    </row>
    <row r="634" spans="1:21" ht="18.75">
      <c r="A634" s="166"/>
      <c r="B634" s="167"/>
      <c r="C634" s="167"/>
      <c r="D634" s="167"/>
      <c r="E634" s="174"/>
      <c r="F634" s="178" t="s">
        <v>232</v>
      </c>
      <c r="G634" s="171"/>
      <c r="H634" s="165" t="s">
        <v>46</v>
      </c>
      <c r="I634" s="54"/>
      <c r="J634" s="467">
        <v>0</v>
      </c>
      <c r="K634" s="55"/>
      <c r="L634" s="172"/>
      <c r="M634" s="164"/>
      <c r="N634" s="164"/>
      <c r="O634" s="164"/>
      <c r="P634" s="164"/>
      <c r="Q634" s="164"/>
      <c r="R634" s="164"/>
      <c r="S634" s="164"/>
      <c r="T634" s="164"/>
      <c r="U634" s="164"/>
    </row>
    <row r="635" spans="1:21" ht="19.5">
      <c r="A635" s="166"/>
      <c r="B635" s="167"/>
      <c r="C635" s="167"/>
      <c r="D635" s="460" t="s">
        <v>233</v>
      </c>
      <c r="E635" s="174"/>
      <c r="F635" s="174"/>
      <c r="G635" s="171"/>
      <c r="H635" s="165" t="s">
        <v>46</v>
      </c>
      <c r="I635" s="373">
        <f ca="1">IFERROR(__xludf.DUMMYFUNCTION("IMPORTRANGE(""https://docs.google.com/spreadsheets/d/1eHaY18a8A9IcSdp1K8H6x8fbOy06t2VsZHhMHf-1x7Y/edit?usp=sharing"",""แผน!IE44"")"),0)</f>
        <v>0</v>
      </c>
      <c r="J635" s="373">
        <f>J636</f>
        <v>0</v>
      </c>
      <c r="K635" s="540">
        <f ca="1">IF(I635&gt;0,J635*100/I635,0)</f>
        <v>0</v>
      </c>
      <c r="L635" s="172"/>
      <c r="M635" s="164"/>
      <c r="N635" s="164"/>
      <c r="O635" s="164"/>
      <c r="P635" s="164"/>
      <c r="Q635" s="164"/>
      <c r="R635" s="164"/>
      <c r="S635" s="164"/>
      <c r="T635" s="164"/>
      <c r="U635" s="164"/>
    </row>
    <row r="636" spans="1:21" ht="18.75">
      <c r="A636" s="166"/>
      <c r="B636" s="167"/>
      <c r="C636" s="167"/>
      <c r="D636" s="167"/>
      <c r="E636" s="178" t="s">
        <v>234</v>
      </c>
      <c r="F636" s="174"/>
      <c r="G636" s="171"/>
      <c r="H636" s="165" t="s">
        <v>46</v>
      </c>
      <c r="I636" s="54"/>
      <c r="J636" s="212">
        <f>J637+J638</f>
        <v>0</v>
      </c>
      <c r="K636" s="55"/>
      <c r="L636" s="172"/>
      <c r="M636" s="164"/>
      <c r="N636" s="164"/>
      <c r="O636" s="164"/>
      <c r="P636" s="164"/>
      <c r="Q636" s="164"/>
      <c r="R636" s="164"/>
      <c r="S636" s="164"/>
      <c r="T636" s="164"/>
      <c r="U636" s="164"/>
    </row>
    <row r="637" spans="1:21" ht="18.75">
      <c r="A637" s="166"/>
      <c r="B637" s="167"/>
      <c r="C637" s="167"/>
      <c r="D637" s="167"/>
      <c r="E637" s="174"/>
      <c r="F637" s="178" t="s">
        <v>231</v>
      </c>
      <c r="G637" s="171"/>
      <c r="H637" s="165" t="s">
        <v>46</v>
      </c>
      <c r="I637" s="54"/>
      <c r="J637" s="467">
        <v>0</v>
      </c>
      <c r="K637" s="55"/>
      <c r="L637" s="172"/>
      <c r="M637" s="164"/>
      <c r="N637" s="164"/>
      <c r="O637" s="164"/>
      <c r="P637" s="164"/>
      <c r="Q637" s="164"/>
      <c r="R637" s="164"/>
      <c r="S637" s="164"/>
      <c r="T637" s="164"/>
      <c r="U637" s="164"/>
    </row>
    <row r="638" spans="1:21" ht="18.75">
      <c r="A638" s="166"/>
      <c r="B638" s="167"/>
      <c r="C638" s="167"/>
      <c r="D638" s="167"/>
      <c r="E638" s="174"/>
      <c r="F638" s="178" t="s">
        <v>232</v>
      </c>
      <c r="G638" s="171"/>
      <c r="H638" s="165" t="s">
        <v>46</v>
      </c>
      <c r="I638" s="54"/>
      <c r="J638" s="467">
        <v>0</v>
      </c>
      <c r="K638" s="55"/>
      <c r="L638" s="172"/>
      <c r="M638" s="164"/>
      <c r="N638" s="164"/>
      <c r="O638" s="164"/>
      <c r="P638" s="164"/>
      <c r="Q638" s="164"/>
      <c r="R638" s="164"/>
      <c r="S638" s="164"/>
      <c r="T638" s="164"/>
      <c r="U638" s="164"/>
    </row>
    <row r="639" spans="1:21" ht="18.75">
      <c r="A639" s="166"/>
      <c r="B639" s="167"/>
      <c r="C639" s="167"/>
      <c r="D639" s="167"/>
      <c r="E639" s="178" t="s">
        <v>235</v>
      </c>
      <c r="F639" s="174"/>
      <c r="G639" s="171"/>
      <c r="H639" s="165" t="s">
        <v>46</v>
      </c>
      <c r="I639" s="54"/>
      <c r="J639" s="467">
        <v>0</v>
      </c>
      <c r="K639" s="55"/>
      <c r="L639" s="172"/>
      <c r="M639" s="164"/>
      <c r="N639" s="164"/>
      <c r="O639" s="164"/>
      <c r="P639" s="164"/>
      <c r="Q639" s="164"/>
      <c r="R639" s="164"/>
      <c r="S639" s="164"/>
      <c r="T639" s="164"/>
      <c r="U639" s="164"/>
    </row>
    <row r="640" spans="1:21" ht="18.75">
      <c r="A640" s="166"/>
      <c r="B640" s="167"/>
      <c r="C640" s="167"/>
      <c r="D640" s="167"/>
      <c r="E640" s="174"/>
      <c r="F640" s="178" t="s">
        <v>236</v>
      </c>
      <c r="G640" s="171"/>
      <c r="H640" s="165" t="s">
        <v>46</v>
      </c>
      <c r="I640" s="54"/>
      <c r="J640" s="467">
        <v>0</v>
      </c>
      <c r="K640" s="55"/>
      <c r="L640" s="172"/>
      <c r="M640" s="164"/>
      <c r="N640" s="164"/>
      <c r="O640" s="164"/>
      <c r="P640" s="164"/>
      <c r="Q640" s="164"/>
      <c r="R640" s="164"/>
      <c r="S640" s="164"/>
      <c r="T640" s="164"/>
      <c r="U640" s="164"/>
    </row>
    <row r="641" spans="1:21" ht="19.5" hidden="1">
      <c r="A641" s="450"/>
      <c r="B641" s="451" t="s">
        <v>237</v>
      </c>
      <c r="C641" s="450"/>
      <c r="D641" s="452"/>
      <c r="E641" s="452"/>
      <c r="F641" s="452"/>
      <c r="G641" s="453"/>
      <c r="H641" s="462"/>
      <c r="I641" s="463"/>
      <c r="J641" s="463"/>
      <c r="K641" s="457"/>
      <c r="L641" s="458"/>
      <c r="M641" s="457"/>
      <c r="N641" s="457"/>
      <c r="O641" s="457"/>
      <c r="P641" s="457"/>
      <c r="Q641" s="457"/>
      <c r="R641" s="457"/>
      <c r="S641" s="457"/>
      <c r="T641" s="457"/>
      <c r="U641" s="457"/>
    </row>
    <row r="642" spans="1:21" ht="19.5" hidden="1">
      <c r="A642" s="155"/>
      <c r="B642" s="188"/>
      <c r="C642" s="239" t="s">
        <v>18</v>
      </c>
      <c r="D642" s="542" t="s">
        <v>19</v>
      </c>
      <c r="E642" s="529"/>
      <c r="F642" s="529"/>
      <c r="G642" s="530"/>
      <c r="H642" s="252" t="s">
        <v>14</v>
      </c>
      <c r="I642" s="54"/>
      <c r="J642" s="54"/>
      <c r="K642" s="55"/>
      <c r="L642" s="541">
        <f>L643+L644</f>
        <v>0</v>
      </c>
      <c r="M642" s="540">
        <f>M643+M644</f>
        <v>0</v>
      </c>
      <c r="N642" s="540">
        <f>N643+N644</f>
        <v>0</v>
      </c>
      <c r="O642" s="540">
        <f>IF(L642&gt;0,N642*100/L642,0)</f>
        <v>0</v>
      </c>
      <c r="P642" s="540">
        <f>IF(M642&gt;0,N642*100/M642,0)</f>
        <v>0</v>
      </c>
      <c r="Q642" s="540">
        <f ca="1">Q643+Q644</f>
        <v>0</v>
      </c>
      <c r="R642" s="540">
        <f ca="1">R643+R644</f>
        <v>0</v>
      </c>
      <c r="S642" s="540">
        <f ca="1">S643+S644</f>
        <v>0</v>
      </c>
      <c r="T642" s="540">
        <f ca="1">IF(Q642&gt;0,S642*100/Q642,0)</f>
        <v>0</v>
      </c>
      <c r="U642" s="540">
        <f ca="1">IF(R642&gt;0,S642*100/R642,0)</f>
        <v>0</v>
      </c>
    </row>
    <row r="643" spans="1:21" ht="18.75" hidden="1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103">
        <f>L646+L649</f>
        <v>0</v>
      </c>
      <c r="M643" s="102">
        <f>M646+M649</f>
        <v>0</v>
      </c>
      <c r="N643" s="102">
        <f>N646+N649</f>
        <v>0</v>
      </c>
      <c r="O643" s="102">
        <f>IF(L643&gt;0,N643*100/L643,0)</f>
        <v>0</v>
      </c>
      <c r="P643" s="102">
        <f>IF(M643&gt;0,N643*100/M643,0)</f>
        <v>0</v>
      </c>
      <c r="Q643" s="102">
        <f>Q646+Q649</f>
        <v>0</v>
      </c>
      <c r="R643" s="102">
        <f>R646+R649</f>
        <v>0</v>
      </c>
      <c r="S643" s="102">
        <f>S646+S649</f>
        <v>0</v>
      </c>
      <c r="T643" s="102">
        <f>IF(Q643&gt;0,S643*100/Q643,0)</f>
        <v>0</v>
      </c>
      <c r="U643" s="102">
        <f>IF(R643&gt;0,S643*100/R643,0)</f>
        <v>0</v>
      </c>
    </row>
    <row r="644" spans="1:21" ht="18.75" hidden="1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256">
        <f>L647+L650</f>
        <v>0</v>
      </c>
      <c r="M644" s="255">
        <f>M647+M650</f>
        <v>0</v>
      </c>
      <c r="N644" s="255">
        <f>N647+N650</f>
        <v>0</v>
      </c>
      <c r="O644" s="255">
        <f>IF(L644&gt;0,N644*100/L644,0)</f>
        <v>0</v>
      </c>
      <c r="P644" s="255">
        <f>IF(M644&gt;0,N644*100/M644,0)</f>
        <v>0</v>
      </c>
      <c r="Q644" s="255">
        <f ca="1">Q647+Q650</f>
        <v>0</v>
      </c>
      <c r="R644" s="255">
        <f ca="1">R647+R650</f>
        <v>0</v>
      </c>
      <c r="S644" s="255">
        <f ca="1">S647+S650</f>
        <v>0</v>
      </c>
      <c r="T644" s="255">
        <f ca="1">IF(Q644&gt;0,S644*100/Q644,0)</f>
        <v>0</v>
      </c>
      <c r="U644" s="255">
        <f ca="1">IF(R644&gt;0,S644*100/R644,0)</f>
        <v>0</v>
      </c>
    </row>
    <row r="645" spans="1:21" ht="18.75" hidden="1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256">
        <f>L646+L647</f>
        <v>0</v>
      </c>
      <c r="M645" s="255">
        <f>M646+M647</f>
        <v>0</v>
      </c>
      <c r="N645" s="255">
        <f>N646+N647</f>
        <v>0</v>
      </c>
      <c r="O645" s="255">
        <f>IF(L645&gt;0,N645*100/L645,0)</f>
        <v>0</v>
      </c>
      <c r="P645" s="255">
        <f>IF(M645&gt;0,N645*100/M645,0)</f>
        <v>0</v>
      </c>
      <c r="Q645" s="255">
        <f ca="1">Q646+Q647</f>
        <v>0</v>
      </c>
      <c r="R645" s="255">
        <f ca="1">R646+R647</f>
        <v>0</v>
      </c>
      <c r="S645" s="255">
        <f ca="1">S646+S647</f>
        <v>0</v>
      </c>
      <c r="T645" s="255">
        <f ca="1">IF(Q645&gt;0,S645*100/Q645,0)</f>
        <v>0</v>
      </c>
      <c r="U645" s="255">
        <f ca="1">IF(R645&gt;0,S645*100/R645,0)</f>
        <v>0</v>
      </c>
    </row>
    <row r="646" spans="1:21" ht="18.75" hidden="1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103">
        <v>0</v>
      </c>
      <c r="M646" s="102">
        <v>0</v>
      </c>
      <c r="N646" s="102">
        <v>0</v>
      </c>
      <c r="O646" s="102">
        <f>IF(L646&gt;0,N646*100/L646,0)</f>
        <v>0</v>
      </c>
      <c r="P646" s="102">
        <f>IF(M646&gt;0,N646*100/M646,0)</f>
        <v>0</v>
      </c>
      <c r="Q646" s="102">
        <v>0</v>
      </c>
      <c r="R646" s="102">
        <v>0</v>
      </c>
      <c r="S646" s="102">
        <v>0</v>
      </c>
      <c r="T646" s="102">
        <f>IF(Q646&gt;0,S646*100/Q646,0)</f>
        <v>0</v>
      </c>
      <c r="U646" s="102">
        <f>IF(R646&gt;0,S646*100/R646,0)</f>
        <v>0</v>
      </c>
    </row>
    <row r="647" spans="1:21" ht="18.75" hidden="1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256">
        <v>0</v>
      </c>
      <c r="M647" s="255">
        <v>0</v>
      </c>
      <c r="N647" s="255">
        <v>0</v>
      </c>
      <c r="O647" s="255">
        <f>IF(L647&gt;0,N647*100/L647,0)</f>
        <v>0</v>
      </c>
      <c r="P647" s="255">
        <f>IF(M647&gt;0,N647*100/M647,0)</f>
        <v>0</v>
      </c>
      <c r="Q647" s="255">
        <f ca="1">IFERROR(__xludf.DUMMYFUNCTION("IMPORTRANGE(""https://docs.google.com/spreadsheets/d/1ItG2mGa2ceCfYo0BwxsXqNm01IGEUdYcSSLTEv9YCik/edit?usp=sharing"",""เบิกจ่ายกองทุน!I44"")"),0)</f>
        <v>0</v>
      </c>
      <c r="R647" s="255">
        <f ca="1">IFERROR(__xludf.DUMMYFUNCTION("IMPORTRANGE(""https://docs.google.com/spreadsheets/d/1ItG2mGa2ceCfYo0BwxsXqNm01IGEUdYcSSLTEv9YCik/edit?usp=sharing"",""เบิกจ่ายกองทุน!J44"")"),0)</f>
        <v>0</v>
      </c>
      <c r="S647" s="255">
        <f ca="1">IFERROR(__xludf.DUMMYFUNCTION("IMPORTRANGE(""https://docs.google.com/spreadsheets/d/1ItG2mGa2ceCfYo0BwxsXqNm01IGEUdYcSSLTEv9YCik/edit?usp=sharing"",""เบิกจ่ายกองทุน!K44"")"),0)</f>
        <v>0</v>
      </c>
      <c r="T647" s="255">
        <f ca="1">IF(Q647&gt;0,S647*100/Q647,0)</f>
        <v>0</v>
      </c>
      <c r="U647" s="255">
        <f ca="1">IF(R647&gt;0,S647*100/R647,0)</f>
        <v>0</v>
      </c>
    </row>
    <row r="648" spans="1:21" ht="18.75" hidden="1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256">
        <f>L649+L650</f>
        <v>0</v>
      </c>
      <c r="M648" s="255">
        <f>M649+M650</f>
        <v>0</v>
      </c>
      <c r="N648" s="255">
        <f>N649+N650</f>
        <v>0</v>
      </c>
      <c r="O648" s="255">
        <f>IF(L648&gt;0,N648*100/L648,0)</f>
        <v>0</v>
      </c>
      <c r="P648" s="255">
        <f>IF(M648&gt;0,N648*100/M648,0)</f>
        <v>0</v>
      </c>
      <c r="Q648" s="255">
        <f>Q649+Q650</f>
        <v>0</v>
      </c>
      <c r="R648" s="255">
        <f>R649+R650</f>
        <v>0</v>
      </c>
      <c r="S648" s="255">
        <f>S649+S650</f>
        <v>0</v>
      </c>
      <c r="T648" s="255">
        <f>IF(Q648&gt;0,S648*100/Q648,0)</f>
        <v>0</v>
      </c>
      <c r="U648" s="255">
        <f>IF(R648&gt;0,S648*100/R648,0)</f>
        <v>0</v>
      </c>
    </row>
    <row r="649" spans="1:21" ht="18.75" hidden="1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103">
        <v>0</v>
      </c>
      <c r="M649" s="102">
        <v>0</v>
      </c>
      <c r="N649" s="102">
        <v>0</v>
      </c>
      <c r="O649" s="102">
        <f>IF(L649&gt;0,N649*100/L649,0)</f>
        <v>0</v>
      </c>
      <c r="P649" s="102">
        <f>IF(M649&gt;0,N649*100/M649,0)</f>
        <v>0</v>
      </c>
      <c r="Q649" s="102">
        <v>0</v>
      </c>
      <c r="R649" s="102">
        <v>0</v>
      </c>
      <c r="S649" s="102">
        <v>0</v>
      </c>
      <c r="T649" s="102">
        <f>IF(Q649&gt;0,S649*100/Q649,0)</f>
        <v>0</v>
      </c>
      <c r="U649" s="102">
        <f>IF(R649&gt;0,S649*100/R649,0)</f>
        <v>0</v>
      </c>
    </row>
    <row r="650" spans="1:21" ht="18.75" hidden="1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256">
        <v>0</v>
      </c>
      <c r="M650" s="255">
        <v>0</v>
      </c>
      <c r="N650" s="255">
        <v>0</v>
      </c>
      <c r="O650" s="255">
        <f>IF(L650&gt;0,N650*100/L650,0)</f>
        <v>0</v>
      </c>
      <c r="P650" s="255">
        <f>IF(M650&gt;0,N650*100/M650,0)</f>
        <v>0</v>
      </c>
      <c r="Q650" s="255">
        <v>0</v>
      </c>
      <c r="R650" s="255">
        <v>0</v>
      </c>
      <c r="S650" s="255">
        <v>0</v>
      </c>
      <c r="T650" s="255">
        <f>IF(Q650&gt;0,S650*100/Q650,0)</f>
        <v>0</v>
      </c>
      <c r="U650" s="255">
        <f>IF(R650&gt;0,S650*100/R650,0)</f>
        <v>0</v>
      </c>
    </row>
    <row r="651" spans="1:21" ht="19.5" hidden="1">
      <c r="A651" s="166"/>
      <c r="B651" s="167"/>
      <c r="C651" s="239" t="s">
        <v>18</v>
      </c>
      <c r="D651" s="571" t="s">
        <v>38</v>
      </c>
      <c r="E651" s="169"/>
      <c r="F651" s="169"/>
      <c r="G651" s="170"/>
      <c r="H651" s="206"/>
      <c r="I651" s="163"/>
      <c r="J651" s="163"/>
      <c r="K651" s="164"/>
      <c r="L651" s="172"/>
      <c r="M651" s="164"/>
      <c r="N651" s="164"/>
      <c r="O651" s="164"/>
      <c r="P651" s="164"/>
      <c r="Q651" s="55"/>
      <c r="R651" s="55"/>
      <c r="S651" s="55"/>
      <c r="T651" s="164"/>
      <c r="U651" s="164"/>
    </row>
    <row r="652" spans="1:21" ht="18.75" hidden="1">
      <c r="A652" s="238"/>
      <c r="B652" s="188"/>
      <c r="C652" s="188"/>
      <c r="D652" s="58" t="s">
        <v>238</v>
      </c>
      <c r="E652" s="50"/>
      <c r="F652" s="50"/>
      <c r="G652" s="52"/>
      <c r="H652" s="165" t="s">
        <v>46</v>
      </c>
      <c r="I652" s="570">
        <f ca="1">IFERROR(__xludf.DUMMYFUNCTION("IMPORTRANGE(""https://docs.google.com/spreadsheets/d/1eHaY18a8A9IcSdp1K8H6x8fbOy06t2VsZHhMHf-1x7Y/edit?usp=sharing"",""แผน!IF44"")"),0)</f>
        <v>0</v>
      </c>
      <c r="J652" s="212">
        <f ca="1">IFERROR(__xludf.DUMMYFUNCTION("IMPORTRANGE(""https://docs.google.com/spreadsheets/d/1tdoBKaGub7dwA3U6UFTqxio9LNnvDCQjHKmttSEBsFQ/edit?usp=sharing"",""จัดที่ดิน!AU44"")"),0)</f>
        <v>0</v>
      </c>
      <c r="K652" s="255">
        <f ca="1">IF(I652&gt;0,J652*100/I652,0)</f>
        <v>0</v>
      </c>
      <c r="L652" s="62"/>
      <c r="M652" s="55"/>
      <c r="N652" s="468"/>
      <c r="O652" s="55"/>
      <c r="P652" s="55"/>
      <c r="Q652" s="55"/>
      <c r="R652" s="55"/>
      <c r="S652" s="468"/>
      <c r="T652" s="55"/>
      <c r="U652" s="55"/>
    </row>
    <row r="653" spans="1:21" ht="18.75" hidden="1">
      <c r="A653" s="238"/>
      <c r="B653" s="188"/>
      <c r="C653" s="188"/>
      <c r="D653" s="58" t="s">
        <v>239</v>
      </c>
      <c r="E653" s="50"/>
      <c r="F653" s="50"/>
      <c r="G653" s="52"/>
      <c r="H653" s="165" t="s">
        <v>35</v>
      </c>
      <c r="I653" s="570">
        <f ca="1">IFERROR(__xludf.DUMMYFUNCTION("IMPORTRANGE(""https://docs.google.com/spreadsheets/d/1eHaY18a8A9IcSdp1K8H6x8fbOy06t2VsZHhMHf-1x7Y/edit?usp=sharing"",""แผน!IG44"")"),0)</f>
        <v>0</v>
      </c>
      <c r="J653" s="212">
        <f ca="1">IFERROR(__xludf.DUMMYFUNCTION("IMPORTRANGE(""https://docs.google.com/spreadsheets/d/1tdoBKaGub7dwA3U6UFTqxio9LNnvDCQjHKmttSEBsFQ/edit?usp=sharing"",""จัดที่ดิน!AW44"")"),0)</f>
        <v>0</v>
      </c>
      <c r="K653" s="255">
        <f ca="1">IF(I653&gt;0,J653*100/I653,0)</f>
        <v>0</v>
      </c>
      <c r="L653" s="62"/>
      <c r="M653" s="55"/>
      <c r="N653" s="468"/>
      <c r="O653" s="55"/>
      <c r="P653" s="55"/>
      <c r="Q653" s="55"/>
      <c r="R653" s="55"/>
      <c r="S653" s="468"/>
      <c r="T653" s="55"/>
      <c r="U653" s="55"/>
    </row>
    <row r="654" spans="1:21" ht="19.5" hidden="1">
      <c r="A654" s="238"/>
      <c r="B654" s="188"/>
      <c r="C654" s="188"/>
      <c r="D654" s="58" t="s">
        <v>240</v>
      </c>
      <c r="E654" s="50"/>
      <c r="F654" s="50"/>
      <c r="G654" s="52"/>
      <c r="H654" s="461" t="s">
        <v>46</v>
      </c>
      <c r="I654" s="569">
        <f ca="1">IFERROR(__xludf.DUMMYFUNCTION("IMPORTRANGE(""https://docs.google.com/spreadsheets/d/1eHaY18a8A9IcSdp1K8H6x8fbOy06t2VsZHhMHf-1x7Y/edit?usp=sharing"",""แผน!IH44"")"),0)</f>
        <v>0</v>
      </c>
      <c r="J654" s="373">
        <f>J657+J660</f>
        <v>0</v>
      </c>
      <c r="K654" s="540">
        <f ca="1">IF(I654&gt;0,J654*100/I654,0)</f>
        <v>0</v>
      </c>
      <c r="L654" s="62"/>
      <c r="M654" s="55"/>
      <c r="N654" s="468"/>
      <c r="O654" s="55"/>
      <c r="P654" s="55"/>
      <c r="Q654" s="55"/>
      <c r="R654" s="55"/>
      <c r="S654" s="468"/>
      <c r="T654" s="55"/>
      <c r="U654" s="55"/>
    </row>
    <row r="655" spans="1:21" ht="18.75" hidden="1">
      <c r="A655" s="238"/>
      <c r="B655" s="188"/>
      <c r="C655" s="188"/>
      <c r="D655" s="50"/>
      <c r="E655" s="58" t="s">
        <v>241</v>
      </c>
      <c r="F655" s="50"/>
      <c r="G655" s="52"/>
      <c r="H655" s="165" t="s">
        <v>35</v>
      </c>
      <c r="I655" s="208"/>
      <c r="J655" s="467">
        <v>0</v>
      </c>
      <c r="K655" s="55"/>
      <c r="L655" s="62"/>
      <c r="M655" s="55"/>
      <c r="N655" s="468"/>
      <c r="O655" s="55"/>
      <c r="P655" s="55"/>
      <c r="Q655" s="55"/>
      <c r="R655" s="55"/>
      <c r="S655" s="468"/>
      <c r="T655" s="55"/>
      <c r="U655" s="55"/>
    </row>
    <row r="656" spans="1:21" ht="18.75" hidden="1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67">
        <v>0</v>
      </c>
      <c r="K656" s="55"/>
      <c r="L656" s="62"/>
      <c r="M656" s="55"/>
      <c r="N656" s="468"/>
      <c r="O656" s="55"/>
      <c r="P656" s="55"/>
      <c r="Q656" s="55"/>
      <c r="R656" s="55"/>
      <c r="S656" s="468"/>
      <c r="T656" s="55"/>
      <c r="U656" s="55"/>
    </row>
    <row r="657" spans="1:21" ht="18.75" hidden="1">
      <c r="A657" s="238"/>
      <c r="B657" s="188"/>
      <c r="C657" s="188"/>
      <c r="D657" s="50"/>
      <c r="E657" s="50"/>
      <c r="F657" s="50"/>
      <c r="G657" s="52"/>
      <c r="H657" s="165" t="s">
        <v>46</v>
      </c>
      <c r="I657" s="570">
        <f ca="1">IFERROR(__xludf.DUMMYFUNCTION("IMPORTRANGE(""https://docs.google.com/spreadsheets/d/1eHaY18a8A9IcSdp1K8H6x8fbOy06t2VsZHhMHf-1x7Y/edit?usp=sharing"",""แผน!II44"")"),0)</f>
        <v>0</v>
      </c>
      <c r="J657" s="467">
        <v>0</v>
      </c>
      <c r="K657" s="55"/>
      <c r="L657" s="62"/>
      <c r="M657" s="55"/>
      <c r="N657" s="468"/>
      <c r="O657" s="55"/>
      <c r="P657" s="55"/>
      <c r="Q657" s="55"/>
      <c r="R657" s="55"/>
      <c r="S657" s="468"/>
      <c r="T657" s="55"/>
      <c r="U657" s="55"/>
    </row>
    <row r="658" spans="1:21" ht="18.75" hidden="1">
      <c r="A658" s="238"/>
      <c r="B658" s="188"/>
      <c r="C658" s="188"/>
      <c r="D658" s="50"/>
      <c r="E658" s="58" t="s">
        <v>242</v>
      </c>
      <c r="F658" s="50"/>
      <c r="G658" s="52"/>
      <c r="H658" s="165" t="s">
        <v>35</v>
      </c>
      <c r="I658" s="208"/>
      <c r="J658" s="467">
        <v>0</v>
      </c>
      <c r="K658" s="55"/>
      <c r="L658" s="62"/>
      <c r="M658" s="55"/>
      <c r="N658" s="468"/>
      <c r="O658" s="55"/>
      <c r="P658" s="55"/>
      <c r="Q658" s="55"/>
      <c r="R658" s="55"/>
      <c r="S658" s="468"/>
      <c r="T658" s="55"/>
      <c r="U658" s="55"/>
    </row>
    <row r="659" spans="1:21" ht="18.75" hidden="1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67">
        <v>0</v>
      </c>
      <c r="K659" s="55"/>
      <c r="L659" s="62"/>
      <c r="M659" s="55"/>
      <c r="N659" s="468"/>
      <c r="O659" s="55"/>
      <c r="P659" s="55"/>
      <c r="Q659" s="55"/>
      <c r="R659" s="55"/>
      <c r="S659" s="468"/>
      <c r="T659" s="55"/>
      <c r="U659" s="55"/>
    </row>
    <row r="660" spans="1:21" ht="18.75" hidden="1">
      <c r="A660" s="238"/>
      <c r="B660" s="188"/>
      <c r="C660" s="188"/>
      <c r="D660" s="50"/>
      <c r="E660" s="50"/>
      <c r="F660" s="50"/>
      <c r="G660" s="52"/>
      <c r="H660" s="165" t="s">
        <v>46</v>
      </c>
      <c r="I660" s="570">
        <f ca="1">IFERROR(__xludf.DUMMYFUNCTION("IMPORTRANGE(""https://docs.google.com/spreadsheets/d/1eHaY18a8A9IcSdp1K8H6x8fbOy06t2VsZHhMHf-1x7Y/edit?usp=sharing"",""แผน!IJ44"")"),0)</f>
        <v>0</v>
      </c>
      <c r="J660" s="467">
        <v>0</v>
      </c>
      <c r="K660" s="55"/>
      <c r="L660" s="62"/>
      <c r="M660" s="55"/>
      <c r="N660" s="468"/>
      <c r="O660" s="55"/>
      <c r="P660" s="55"/>
      <c r="Q660" s="55"/>
      <c r="R660" s="55"/>
      <c r="S660" s="468"/>
      <c r="T660" s="55"/>
      <c r="U660" s="55"/>
    </row>
    <row r="661" spans="1:21" ht="19.5" hidden="1">
      <c r="A661" s="238"/>
      <c r="B661" s="188"/>
      <c r="C661" s="188"/>
      <c r="D661" s="377" t="s">
        <v>243</v>
      </c>
      <c r="E661" s="50"/>
      <c r="F661" s="50"/>
      <c r="G661" s="52"/>
      <c r="H661" s="461" t="s">
        <v>46</v>
      </c>
      <c r="I661" s="569">
        <f ca="1">IFERROR(__xludf.DUMMYFUNCTION("IMPORTRANGE(""https://docs.google.com/spreadsheets/d/1eHaY18a8A9IcSdp1K8H6x8fbOy06t2VsZHhMHf-1x7Y/edit?usp=sharing"",""แผน!IK44"")"),0)</f>
        <v>0</v>
      </c>
      <c r="J661" s="373">
        <f>J667+J670</f>
        <v>0</v>
      </c>
      <c r="K661" s="540">
        <f ca="1">IF(I661&gt;0,J661*100/I661,0)</f>
        <v>0</v>
      </c>
      <c r="L661" s="62"/>
      <c r="M661" s="55"/>
      <c r="N661" s="468"/>
      <c r="O661" s="55"/>
      <c r="P661" s="55"/>
      <c r="Q661" s="55"/>
      <c r="R661" s="55"/>
      <c r="S661" s="468"/>
      <c r="T661" s="55"/>
      <c r="U661" s="55"/>
    </row>
    <row r="662" spans="1:21" ht="18.75" hidden="1">
      <c r="A662" s="238"/>
      <c r="B662" s="188"/>
      <c r="C662" s="188"/>
      <c r="D662" s="50"/>
      <c r="E662" s="58" t="s">
        <v>244</v>
      </c>
      <c r="F662" s="50"/>
      <c r="G662" s="52"/>
      <c r="H662" s="165" t="s">
        <v>34</v>
      </c>
      <c r="I662" s="208"/>
      <c r="J662" s="467">
        <v>0</v>
      </c>
      <c r="K662" s="55"/>
      <c r="L662" s="469"/>
      <c r="M662" s="55"/>
      <c r="N662" s="468"/>
      <c r="O662" s="55"/>
      <c r="P662" s="55"/>
      <c r="Q662" s="468"/>
      <c r="R662" s="55"/>
      <c r="S662" s="468"/>
      <c r="T662" s="55"/>
      <c r="U662" s="55"/>
    </row>
    <row r="663" spans="1:21" ht="18.75" hidden="1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67">
        <v>0</v>
      </c>
      <c r="K663" s="55"/>
      <c r="L663" s="469"/>
      <c r="M663" s="55"/>
      <c r="N663" s="468"/>
      <c r="O663" s="55"/>
      <c r="P663" s="55"/>
      <c r="Q663" s="468"/>
      <c r="R663" s="55"/>
      <c r="S663" s="468"/>
      <c r="T663" s="55"/>
      <c r="U663" s="55"/>
    </row>
    <row r="664" spans="1:21" ht="18.75" hidden="1">
      <c r="A664" s="238"/>
      <c r="B664" s="188"/>
      <c r="C664" s="188"/>
      <c r="D664" s="50"/>
      <c r="E664" s="58" t="s">
        <v>245</v>
      </c>
      <c r="F664" s="50"/>
      <c r="G664" s="52"/>
      <c r="H664" s="206"/>
      <c r="I664" s="208"/>
      <c r="J664" s="54"/>
      <c r="K664" s="55"/>
      <c r="L664" s="469"/>
      <c r="M664" s="55"/>
      <c r="N664" s="468"/>
      <c r="O664" s="55"/>
      <c r="P664" s="55"/>
      <c r="Q664" s="468"/>
      <c r="R664" s="55"/>
      <c r="S664" s="468"/>
      <c r="T664" s="55"/>
      <c r="U664" s="55"/>
    </row>
    <row r="665" spans="1:21" ht="18.75" hidden="1">
      <c r="A665" s="238"/>
      <c r="B665" s="188"/>
      <c r="C665" s="188"/>
      <c r="D665" s="50"/>
      <c r="E665" s="50"/>
      <c r="F665" s="58" t="s">
        <v>246</v>
      </c>
      <c r="G665" s="52"/>
      <c r="H665" s="165" t="s">
        <v>35</v>
      </c>
      <c r="I665" s="208"/>
      <c r="J665" s="467">
        <v>0</v>
      </c>
      <c r="K665" s="55"/>
      <c r="L665" s="469"/>
      <c r="M665" s="55"/>
      <c r="N665" s="468"/>
      <c r="O665" s="55"/>
      <c r="P665" s="55"/>
      <c r="Q665" s="468"/>
      <c r="R665" s="55"/>
      <c r="S665" s="468"/>
      <c r="T665" s="55"/>
      <c r="U665" s="55"/>
    </row>
    <row r="666" spans="1:21" ht="18.75" hidden="1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67">
        <v>0</v>
      </c>
      <c r="K666" s="55"/>
      <c r="L666" s="469"/>
      <c r="M666" s="55"/>
      <c r="N666" s="468"/>
      <c r="O666" s="55"/>
      <c r="P666" s="55"/>
      <c r="Q666" s="468"/>
      <c r="R666" s="55"/>
      <c r="S666" s="468"/>
      <c r="T666" s="55"/>
      <c r="U666" s="55"/>
    </row>
    <row r="667" spans="1:21" ht="18.75" hidden="1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67">
        <v>0</v>
      </c>
      <c r="K667" s="55"/>
      <c r="L667" s="469"/>
      <c r="M667" s="55"/>
      <c r="N667" s="468"/>
      <c r="O667" s="55"/>
      <c r="P667" s="55"/>
      <c r="Q667" s="468"/>
      <c r="R667" s="55"/>
      <c r="S667" s="468"/>
      <c r="T667" s="55"/>
      <c r="U667" s="55"/>
    </row>
    <row r="668" spans="1:21" ht="18.75" hidden="1">
      <c r="A668" s="238"/>
      <c r="B668" s="188"/>
      <c r="C668" s="188"/>
      <c r="D668" s="50"/>
      <c r="E668" s="50"/>
      <c r="F668" s="58" t="s">
        <v>247</v>
      </c>
      <c r="G668" s="52"/>
      <c r="H668" s="165" t="s">
        <v>35</v>
      </c>
      <c r="I668" s="208"/>
      <c r="J668" s="467">
        <v>0</v>
      </c>
      <c r="K668" s="55"/>
      <c r="L668" s="469"/>
      <c r="M668" s="55"/>
      <c r="N668" s="468"/>
      <c r="O668" s="55"/>
      <c r="P668" s="55"/>
      <c r="Q668" s="468"/>
      <c r="R668" s="55"/>
      <c r="S668" s="468"/>
      <c r="T668" s="55"/>
      <c r="U668" s="55"/>
    </row>
    <row r="669" spans="1:21" ht="18.75" hidden="1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67">
        <v>0</v>
      </c>
      <c r="K669" s="55"/>
      <c r="L669" s="469"/>
      <c r="M669" s="55"/>
      <c r="N669" s="468"/>
      <c r="O669" s="55"/>
      <c r="P669" s="55"/>
      <c r="Q669" s="468"/>
      <c r="R669" s="55"/>
      <c r="S669" s="468"/>
      <c r="T669" s="55"/>
      <c r="U669" s="55"/>
    </row>
    <row r="670" spans="1:21" ht="18.75" hidden="1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67">
        <v>0</v>
      </c>
      <c r="K670" s="55"/>
      <c r="L670" s="469"/>
      <c r="M670" s="55"/>
      <c r="N670" s="468"/>
      <c r="O670" s="55"/>
      <c r="P670" s="55"/>
      <c r="Q670" s="468"/>
      <c r="R670" s="55"/>
      <c r="S670" s="468"/>
      <c r="T670" s="55"/>
      <c r="U670" s="55"/>
    </row>
    <row r="671" spans="1:21" ht="18.75" hidden="1">
      <c r="A671" s="238"/>
      <c r="B671" s="188"/>
      <c r="C671" s="188"/>
      <c r="D671" s="58" t="s">
        <v>248</v>
      </c>
      <c r="E671" s="50"/>
      <c r="F671" s="50"/>
      <c r="G671" s="52"/>
      <c r="H671" s="165" t="s">
        <v>35</v>
      </c>
      <c r="I671" s="208"/>
      <c r="J671" s="212">
        <f ca="1">IFERROR(__xludf.DUMMYFUNCTION("IMPORTRANGE(""https://docs.google.com/spreadsheets/d/1tdoBKaGub7dwA3U6UFTqxio9LNnvDCQjHKmttSEBsFQ/edit?usp=sharing"",""จัดที่ดิน!AY44"")"),0)</f>
        <v>0</v>
      </c>
      <c r="K671" s="55"/>
      <c r="L671" s="62"/>
      <c r="M671" s="55"/>
      <c r="N671" s="468"/>
      <c r="O671" s="55"/>
      <c r="P671" s="55"/>
      <c r="Q671" s="55"/>
      <c r="R671" s="55"/>
      <c r="S671" s="468"/>
      <c r="T671" s="55"/>
      <c r="U671" s="55"/>
    </row>
    <row r="672" spans="1:21" ht="18.75" hidden="1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212">
        <f ca="1">IFERROR(__xludf.DUMMYFUNCTION("IMPORTRANGE(""https://docs.google.com/spreadsheets/d/1tdoBKaGub7dwA3U6UFTqxio9LNnvDCQjHKmttSEBsFQ/edit?usp=sharing"",""จัดที่ดิน!AZ44"")"),0)</f>
        <v>0</v>
      </c>
      <c r="K672" s="55"/>
      <c r="L672" s="469"/>
      <c r="M672" s="55"/>
      <c r="N672" s="468"/>
      <c r="O672" s="55"/>
      <c r="P672" s="55"/>
      <c r="Q672" s="468"/>
      <c r="R672" s="55"/>
      <c r="S672" s="468"/>
      <c r="T672" s="55"/>
      <c r="U672" s="55"/>
    </row>
    <row r="673" spans="1:21" ht="18.75" hidden="1">
      <c r="A673" s="238"/>
      <c r="B673" s="188"/>
      <c r="C673" s="188"/>
      <c r="D673" s="50"/>
      <c r="E673" s="50"/>
      <c r="F673" s="50"/>
      <c r="G673" s="52"/>
      <c r="H673" s="165" t="s">
        <v>46</v>
      </c>
      <c r="I673" s="570">
        <f ca="1">IFERROR(__xludf.DUMMYFUNCTION("IMPORTRANGE(""https://docs.google.com/spreadsheets/d/1eHaY18a8A9IcSdp1K8H6x8fbOy06t2VsZHhMHf-1x7Y/edit?usp=sharing"",""แผน!IL44"")"),0)</f>
        <v>0</v>
      </c>
      <c r="J673" s="212">
        <f ca="1">IFERROR(__xludf.DUMMYFUNCTION("IMPORTRANGE(""https://docs.google.com/spreadsheets/d/1tdoBKaGub7dwA3U6UFTqxio9LNnvDCQjHKmttSEBsFQ/edit?usp=sharing"",""จัดที่ดิน!BA44"")"),0)</f>
        <v>0</v>
      </c>
      <c r="K673" s="255">
        <f ca="1">IF(I673&gt;0,J673*100/I673,0)</f>
        <v>0</v>
      </c>
      <c r="L673" s="469"/>
      <c r="M673" s="55"/>
      <c r="N673" s="468"/>
      <c r="O673" s="55"/>
      <c r="P673" s="55"/>
      <c r="Q673" s="468"/>
      <c r="R673" s="55"/>
      <c r="S673" s="468"/>
      <c r="T673" s="55"/>
      <c r="U673" s="55"/>
    </row>
    <row r="674" spans="1:21" ht="19.5" hidden="1">
      <c r="A674" s="238"/>
      <c r="B674" s="188"/>
      <c r="C674" s="188"/>
      <c r="D674" s="58" t="s">
        <v>249</v>
      </c>
      <c r="E674" s="50"/>
      <c r="F674" s="50"/>
      <c r="G674" s="52"/>
      <c r="H674" s="461" t="s">
        <v>35</v>
      </c>
      <c r="I674" s="569">
        <f ca="1">IFERROR(__xludf.DUMMYFUNCTION("IMPORTRANGE(""https://docs.google.com/spreadsheets/d/1eHaY18a8A9IcSdp1K8H6x8fbOy06t2VsZHhMHf-1x7Y/edit?usp=sharing"",""แผน!IM44"")"),0)</f>
        <v>0</v>
      </c>
      <c r="J674" s="373">
        <f ca="1">J676+J679</f>
        <v>0</v>
      </c>
      <c r="K674" s="540">
        <f ca="1">IF(I674&gt;0,J674*100/I674,0)</f>
        <v>0</v>
      </c>
      <c r="L674" s="469"/>
      <c r="M674" s="55"/>
      <c r="N674" s="468"/>
      <c r="O674" s="55"/>
      <c r="P674" s="55"/>
      <c r="Q674" s="468"/>
      <c r="R674" s="55"/>
      <c r="S674" s="468"/>
      <c r="T674" s="55"/>
      <c r="U674" s="55"/>
    </row>
    <row r="675" spans="1:21" ht="19.5" hidden="1">
      <c r="A675" s="238"/>
      <c r="B675" s="188"/>
      <c r="C675" s="188"/>
      <c r="D675" s="50"/>
      <c r="E675" s="50"/>
      <c r="F675" s="50"/>
      <c r="G675" s="52"/>
      <c r="H675" s="461" t="s">
        <v>46</v>
      </c>
      <c r="I675" s="569">
        <f ca="1">IFERROR(__xludf.DUMMYFUNCTION("IMPORTRANGE(""https://docs.google.com/spreadsheets/d/1eHaY18a8A9IcSdp1K8H6x8fbOy06t2VsZHhMHf-1x7Y/edit?usp=sharing"",""แผน!IN44"")"),0)</f>
        <v>0</v>
      </c>
      <c r="J675" s="373">
        <f ca="1">J678+J681</f>
        <v>0</v>
      </c>
      <c r="K675" s="540">
        <f ca="1">IF(I675&gt;0,J675*100/I675,0)</f>
        <v>0</v>
      </c>
      <c r="L675" s="62"/>
      <c r="M675" s="55"/>
      <c r="N675" s="468"/>
      <c r="O675" s="55"/>
      <c r="P675" s="55"/>
      <c r="Q675" s="55"/>
      <c r="R675" s="55"/>
      <c r="S675" s="468"/>
      <c r="T675" s="55"/>
      <c r="U675" s="55"/>
    </row>
    <row r="676" spans="1:21" ht="18.75" hidden="1">
      <c r="A676" s="238"/>
      <c r="B676" s="188"/>
      <c r="C676" s="188"/>
      <c r="D676" s="50"/>
      <c r="E676" s="58" t="s">
        <v>250</v>
      </c>
      <c r="F676" s="50"/>
      <c r="G676" s="52"/>
      <c r="H676" s="165" t="s">
        <v>35</v>
      </c>
      <c r="I676" s="570">
        <f ca="1">IFERROR(__xludf.DUMMYFUNCTION("IMPORTRANGE(""https://docs.google.com/spreadsheets/d/1eHaY18a8A9IcSdp1K8H6x8fbOy06t2VsZHhMHf-1x7Y/edit?usp=sharing"",""แผน!IO44"")"),0)</f>
        <v>0</v>
      </c>
      <c r="J676" s="212">
        <f ca="1">IFERROR(__xludf.DUMMYFUNCTION("IMPORTRANGE(""https://docs.google.com/spreadsheets/d/1tdoBKaGub7dwA3U6UFTqxio9LNnvDCQjHKmttSEBsFQ/edit?usp=sharing"",""จัดที่ดิน!BF44"")"),0)</f>
        <v>0</v>
      </c>
      <c r="K676" s="255">
        <f ca="1">IF(I676&gt;0,J676*100/I676,0)</f>
        <v>0</v>
      </c>
      <c r="L676" s="62"/>
      <c r="M676" s="55"/>
      <c r="N676" s="468"/>
      <c r="O676" s="55"/>
      <c r="P676" s="55"/>
      <c r="Q676" s="55"/>
      <c r="R676" s="55"/>
      <c r="S676" s="468"/>
      <c r="T676" s="55"/>
      <c r="U676" s="55"/>
    </row>
    <row r="677" spans="1:21" ht="18.75" hidden="1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212">
        <f ca="1">IFERROR(__xludf.DUMMYFUNCTION("IMPORTRANGE(""https://docs.google.com/spreadsheets/d/1tdoBKaGub7dwA3U6UFTqxio9LNnvDCQjHKmttSEBsFQ/edit?usp=sharing"",""จัดที่ดิน!BG44"")"),0)</f>
        <v>0</v>
      </c>
      <c r="K677" s="55"/>
      <c r="L677" s="469"/>
      <c r="M677" s="55"/>
      <c r="N677" s="468"/>
      <c r="O677" s="55"/>
      <c r="P677" s="55"/>
      <c r="Q677" s="468"/>
      <c r="R677" s="55"/>
      <c r="S677" s="468"/>
      <c r="T677" s="55"/>
      <c r="U677" s="55"/>
    </row>
    <row r="678" spans="1:21" ht="18.75" hidden="1">
      <c r="A678" s="238"/>
      <c r="B678" s="188"/>
      <c r="C678" s="188"/>
      <c r="D678" s="50"/>
      <c r="E678" s="50"/>
      <c r="F678" s="50"/>
      <c r="G678" s="52"/>
      <c r="H678" s="165" t="s">
        <v>46</v>
      </c>
      <c r="I678" s="570">
        <f ca="1">IFERROR(__xludf.DUMMYFUNCTION("IMPORTRANGE(""https://docs.google.com/spreadsheets/d/1eHaY18a8A9IcSdp1K8H6x8fbOy06t2VsZHhMHf-1x7Y/edit?usp=sharing"",""แผน!IP44"")"),0)</f>
        <v>0</v>
      </c>
      <c r="J678" s="212">
        <f ca="1">IFERROR(__xludf.DUMMYFUNCTION("IMPORTRANGE(""https://docs.google.com/spreadsheets/d/1tdoBKaGub7dwA3U6UFTqxio9LNnvDCQjHKmttSEBsFQ/edit?usp=sharing"",""จัดที่ดิน!BH44"")"),0)</f>
        <v>0</v>
      </c>
      <c r="K678" s="255">
        <f ca="1">IF(I678&gt;0,J678*100/I678,0)</f>
        <v>0</v>
      </c>
      <c r="L678" s="469"/>
      <c r="M678" s="55"/>
      <c r="N678" s="468"/>
      <c r="O678" s="55"/>
      <c r="P678" s="55"/>
      <c r="Q678" s="468"/>
      <c r="R678" s="55"/>
      <c r="S678" s="468"/>
      <c r="T678" s="55"/>
      <c r="U678" s="55"/>
    </row>
    <row r="679" spans="1:21" ht="18.75" hidden="1">
      <c r="A679" s="238"/>
      <c r="B679" s="188"/>
      <c r="C679" s="188"/>
      <c r="D679" s="50"/>
      <c r="E679" s="58" t="s">
        <v>251</v>
      </c>
      <c r="F679" s="50"/>
      <c r="G679" s="52"/>
      <c r="H679" s="165" t="s">
        <v>35</v>
      </c>
      <c r="I679" s="570">
        <f ca="1">IFERROR(__xludf.DUMMYFUNCTION("IMPORTRANGE(""https://docs.google.com/spreadsheets/d/1eHaY18a8A9IcSdp1K8H6x8fbOy06t2VsZHhMHf-1x7Y/edit?usp=sharing"",""แผน!IQ44"")"),0)</f>
        <v>0</v>
      </c>
      <c r="J679" s="212">
        <f ca="1">IFERROR(__xludf.DUMMYFUNCTION("IMPORTRANGE(""https://docs.google.com/spreadsheets/d/1tdoBKaGub7dwA3U6UFTqxio9LNnvDCQjHKmttSEBsFQ/edit?usp=sharing"",""จัดที่ดิน!BK44"")"),0)</f>
        <v>0</v>
      </c>
      <c r="K679" s="255">
        <f ca="1">IF(I679&gt;0,J679*100/I679,0)</f>
        <v>0</v>
      </c>
      <c r="L679" s="62"/>
      <c r="M679" s="55"/>
      <c r="N679" s="468"/>
      <c r="O679" s="55"/>
      <c r="P679" s="55"/>
      <c r="Q679" s="55"/>
      <c r="R679" s="55"/>
      <c r="S679" s="468"/>
      <c r="T679" s="55"/>
      <c r="U679" s="55"/>
    </row>
    <row r="680" spans="1:21" ht="18.75" hidden="1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212">
        <f ca="1">IFERROR(__xludf.DUMMYFUNCTION("IMPORTRANGE(""https://docs.google.com/spreadsheets/d/1tdoBKaGub7dwA3U6UFTqxio9LNnvDCQjHKmttSEBsFQ/edit?usp=sharing"",""จัดที่ดิน!BL44"")"),0)</f>
        <v>0</v>
      </c>
      <c r="K680" s="55"/>
      <c r="L680" s="469"/>
      <c r="M680" s="55"/>
      <c r="N680" s="468"/>
      <c r="O680" s="55"/>
      <c r="P680" s="55"/>
      <c r="Q680" s="468"/>
      <c r="R680" s="55"/>
      <c r="S680" s="468"/>
      <c r="T680" s="55"/>
      <c r="U680" s="55"/>
    </row>
    <row r="681" spans="1:21" ht="18.75" hidden="1">
      <c r="A681" s="238"/>
      <c r="B681" s="188"/>
      <c r="C681" s="188"/>
      <c r="D681" s="50"/>
      <c r="E681" s="50"/>
      <c r="F681" s="50"/>
      <c r="G681" s="52"/>
      <c r="H681" s="165" t="s">
        <v>46</v>
      </c>
      <c r="I681" s="570">
        <f ca="1">IFERROR(__xludf.DUMMYFUNCTION("IMPORTRANGE(""https://docs.google.com/spreadsheets/d/1eHaY18a8A9IcSdp1K8H6x8fbOy06t2VsZHhMHf-1x7Y/edit?usp=sharing"",""แผน!IR44"")"),0)</f>
        <v>0</v>
      </c>
      <c r="J681" s="212">
        <f ca="1">IFERROR(__xludf.DUMMYFUNCTION("IMPORTRANGE(""https://docs.google.com/spreadsheets/d/1tdoBKaGub7dwA3U6UFTqxio9LNnvDCQjHKmttSEBsFQ/edit?usp=sharing"",""จัดที่ดิน!BM44"")"),0)</f>
        <v>0</v>
      </c>
      <c r="K681" s="255">
        <f ca="1">IF(I681&gt;0,J681*100/I681,0)</f>
        <v>0</v>
      </c>
      <c r="L681" s="469"/>
      <c r="M681" s="55"/>
      <c r="N681" s="468"/>
      <c r="O681" s="55"/>
      <c r="P681" s="55"/>
      <c r="Q681" s="468"/>
      <c r="R681" s="55"/>
      <c r="S681" s="468"/>
      <c r="T681" s="55"/>
      <c r="U681" s="55"/>
    </row>
    <row r="682" spans="1:21" ht="19.5" hidden="1">
      <c r="A682" s="238"/>
      <c r="B682" s="188"/>
      <c r="C682" s="188"/>
      <c r="D682" s="58" t="s">
        <v>252</v>
      </c>
      <c r="E682" s="50"/>
      <c r="F682" s="50"/>
      <c r="G682" s="52"/>
      <c r="H682" s="461" t="s">
        <v>46</v>
      </c>
      <c r="I682" s="569">
        <f ca="1">IFERROR(__xludf.DUMMYFUNCTION("IMPORTRANGE(""https://docs.google.com/spreadsheets/d/1eHaY18a8A9IcSdp1K8H6x8fbOy06t2VsZHhMHf-1x7Y/edit?usp=sharing"",""แผน!IS44"")"),0)</f>
        <v>0</v>
      </c>
      <c r="J682" s="373">
        <f>J685+J688</f>
        <v>0</v>
      </c>
      <c r="K682" s="540">
        <f ca="1">IF(I682&gt;0,J682*100/I682,0)</f>
        <v>0</v>
      </c>
      <c r="L682" s="62"/>
      <c r="M682" s="55"/>
      <c r="N682" s="468"/>
      <c r="O682" s="55"/>
      <c r="P682" s="55"/>
      <c r="Q682" s="55"/>
      <c r="R682" s="55"/>
      <c r="S682" s="468"/>
      <c r="T682" s="55"/>
      <c r="U682" s="55"/>
    </row>
    <row r="683" spans="1:21" ht="18.75" hidden="1">
      <c r="A683" s="238"/>
      <c r="B683" s="188"/>
      <c r="C683" s="188"/>
      <c r="D683" s="50"/>
      <c r="E683" s="58" t="s">
        <v>253</v>
      </c>
      <c r="F683" s="50"/>
      <c r="G683" s="52"/>
      <c r="H683" s="165" t="s">
        <v>35</v>
      </c>
      <c r="I683" s="208"/>
      <c r="J683" s="467">
        <v>0</v>
      </c>
      <c r="K683" s="55"/>
      <c r="L683" s="469"/>
      <c r="M683" s="55"/>
      <c r="N683" s="468"/>
      <c r="O683" s="55"/>
      <c r="P683" s="55"/>
      <c r="Q683" s="468"/>
      <c r="R683" s="55"/>
      <c r="S683" s="468"/>
      <c r="T683" s="55"/>
      <c r="U683" s="55"/>
    </row>
    <row r="684" spans="1:21" ht="18.75" hidden="1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467">
        <v>0</v>
      </c>
      <c r="K684" s="55"/>
      <c r="L684" s="469"/>
      <c r="M684" s="55"/>
      <c r="N684" s="468"/>
      <c r="O684" s="55"/>
      <c r="P684" s="55"/>
      <c r="Q684" s="468"/>
      <c r="R684" s="55"/>
      <c r="S684" s="468"/>
      <c r="T684" s="55"/>
      <c r="U684" s="55"/>
    </row>
    <row r="685" spans="1:21" ht="18.75" hidden="1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467">
        <v>0</v>
      </c>
      <c r="K685" s="55"/>
      <c r="L685" s="469"/>
      <c r="M685" s="55"/>
      <c r="N685" s="468"/>
      <c r="O685" s="55"/>
      <c r="P685" s="55"/>
      <c r="Q685" s="468"/>
      <c r="R685" s="55"/>
      <c r="S685" s="468"/>
      <c r="T685" s="55"/>
      <c r="U685" s="55"/>
    </row>
    <row r="686" spans="1:21" ht="18.75" hidden="1">
      <c r="A686" s="238"/>
      <c r="B686" s="188"/>
      <c r="C686" s="188"/>
      <c r="D686" s="50"/>
      <c r="E686" s="58" t="s">
        <v>254</v>
      </c>
      <c r="F686" s="50"/>
      <c r="G686" s="52"/>
      <c r="H686" s="165" t="s">
        <v>35</v>
      </c>
      <c r="I686" s="208"/>
      <c r="J686" s="467">
        <v>0</v>
      </c>
      <c r="K686" s="55"/>
      <c r="L686" s="469"/>
      <c r="M686" s="55"/>
      <c r="N686" s="468"/>
      <c r="O686" s="55"/>
      <c r="P686" s="55"/>
      <c r="Q686" s="468"/>
      <c r="R686" s="55"/>
      <c r="S686" s="468"/>
      <c r="T686" s="55"/>
      <c r="U686" s="55"/>
    </row>
    <row r="687" spans="1:21" ht="18.75" hidden="1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467">
        <v>0</v>
      </c>
      <c r="K687" s="55"/>
      <c r="L687" s="469"/>
      <c r="M687" s="55"/>
      <c r="N687" s="468"/>
      <c r="O687" s="55"/>
      <c r="P687" s="55"/>
      <c r="Q687" s="468"/>
      <c r="R687" s="55"/>
      <c r="S687" s="468"/>
      <c r="T687" s="55"/>
      <c r="U687" s="55"/>
    </row>
    <row r="688" spans="1:21" ht="19.5" hidden="1">
      <c r="A688" s="281"/>
      <c r="B688" s="470" t="s">
        <v>255</v>
      </c>
      <c r="C688" s="282"/>
      <c r="D688" s="2"/>
      <c r="E688" s="2"/>
      <c r="F688" s="2"/>
      <c r="G688" s="284"/>
      <c r="H688" s="214" t="s">
        <v>46</v>
      </c>
      <c r="I688" s="375"/>
      <c r="J688" s="538">
        <v>0</v>
      </c>
      <c r="K688" s="6"/>
      <c r="L688" s="472"/>
      <c r="M688" s="6"/>
      <c r="N688" s="471"/>
      <c r="O688" s="6"/>
      <c r="P688" s="6"/>
      <c r="Q688" s="471"/>
      <c r="R688" s="6"/>
      <c r="S688" s="471"/>
      <c r="T688" s="6"/>
      <c r="U688" s="6"/>
    </row>
    <row r="689" spans="1:21" ht="19.5">
      <c r="A689" s="442"/>
      <c r="B689" s="443" t="s">
        <v>256</v>
      </c>
      <c r="C689" s="442"/>
      <c r="D689" s="444"/>
      <c r="E689" s="444"/>
      <c r="F689" s="444"/>
      <c r="G689" s="445"/>
      <c r="H689" s="473" t="s">
        <v>35</v>
      </c>
      <c r="I689" s="544">
        <f ca="1">I707</f>
        <v>260</v>
      </c>
      <c r="J689" s="544">
        <f ca="1">J707</f>
        <v>0</v>
      </c>
      <c r="K689" s="543">
        <f ca="1">IF(I689&gt;0,J689*100/I689,0)</f>
        <v>0</v>
      </c>
      <c r="L689" s="449"/>
      <c r="M689" s="448"/>
      <c r="N689" s="448"/>
      <c r="O689" s="448"/>
      <c r="P689" s="448"/>
      <c r="Q689" s="448"/>
      <c r="R689" s="448"/>
      <c r="S689" s="448"/>
      <c r="T689" s="448"/>
      <c r="U689" s="448"/>
    </row>
    <row r="690" spans="1:21" ht="19.5">
      <c r="A690" s="155"/>
      <c r="B690" s="188"/>
      <c r="C690" s="205" t="s">
        <v>18</v>
      </c>
      <c r="D690" s="542" t="s">
        <v>19</v>
      </c>
      <c r="E690" s="529"/>
      <c r="F690" s="529"/>
      <c r="G690" s="530"/>
      <c r="H690" s="252" t="s">
        <v>14</v>
      </c>
      <c r="I690" s="54"/>
      <c r="J690" s="54"/>
      <c r="K690" s="55"/>
      <c r="L690" s="541">
        <f>L691+L692</f>
        <v>0</v>
      </c>
      <c r="M690" s="540">
        <f>M691+M692</f>
        <v>0</v>
      </c>
      <c r="N690" s="540">
        <f>N691+N692</f>
        <v>0</v>
      </c>
      <c r="O690" s="540">
        <f>IF(L690&gt;0,N690*100/L690,0)</f>
        <v>0</v>
      </c>
      <c r="P690" s="540">
        <f>IF(M690&gt;0,N690*100/M690,0)</f>
        <v>0</v>
      </c>
      <c r="Q690" s="540">
        <f ca="1">Q691+Q692</f>
        <v>390610</v>
      </c>
      <c r="R690" s="540">
        <f ca="1">R691+R692</f>
        <v>390610</v>
      </c>
      <c r="S690" s="540">
        <f ca="1">S691+S692</f>
        <v>119460</v>
      </c>
      <c r="T690" s="540">
        <f ca="1">IF(Q690&gt;0,S690*100/Q690,0)</f>
        <v>30.582934384680371</v>
      </c>
      <c r="U690" s="540">
        <f ca="1">IF(R690&gt;0,S690*100/R690,0)</f>
        <v>30.582934384680371</v>
      </c>
    </row>
    <row r="691" spans="1:21" ht="18.75" hidden="1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103">
        <f>L694+L697</f>
        <v>0</v>
      </c>
      <c r="M691" s="102">
        <f>M694+M697</f>
        <v>0</v>
      </c>
      <c r="N691" s="102">
        <f>N694+N697</f>
        <v>0</v>
      </c>
      <c r="O691" s="102">
        <f>IF(L691&gt;0,N691*100/L691,0)</f>
        <v>0</v>
      </c>
      <c r="P691" s="102">
        <f>IF(M691&gt;0,N691*100/M691,0)</f>
        <v>0</v>
      </c>
      <c r="Q691" s="102">
        <f>Q694+Q697</f>
        <v>0</v>
      </c>
      <c r="R691" s="102">
        <f>R694+R697</f>
        <v>0</v>
      </c>
      <c r="S691" s="102">
        <f>S694+S697</f>
        <v>0</v>
      </c>
      <c r="T691" s="102">
        <f>IF(Q691&gt;0,S691*100/Q691,0)</f>
        <v>0</v>
      </c>
      <c r="U691" s="102">
        <f>IF(R691&gt;0,S691*100/R691,0)</f>
        <v>0</v>
      </c>
    </row>
    <row r="692" spans="1:21" ht="18.75" hidden="1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256">
        <f>L695+L698</f>
        <v>0</v>
      </c>
      <c r="M692" s="255">
        <f>M695+M698</f>
        <v>0</v>
      </c>
      <c r="N692" s="255">
        <f>N695+N698</f>
        <v>0</v>
      </c>
      <c r="O692" s="255">
        <f>IF(L692&gt;0,N692*100/L692,0)</f>
        <v>0</v>
      </c>
      <c r="P692" s="255">
        <f>IF(M692&gt;0,N692*100/M692,0)</f>
        <v>0</v>
      </c>
      <c r="Q692" s="255">
        <f ca="1">Q695+Q698</f>
        <v>390610</v>
      </c>
      <c r="R692" s="255">
        <f ca="1">R695+R698</f>
        <v>390610</v>
      </c>
      <c r="S692" s="255">
        <f ca="1">S695+S698</f>
        <v>119460</v>
      </c>
      <c r="T692" s="255">
        <f ca="1">IF(Q692&gt;0,S692*100/Q692,0)</f>
        <v>30.582934384680371</v>
      </c>
      <c r="U692" s="255">
        <f ca="1">IF(R692&gt;0,S692*100/R692,0)</f>
        <v>30.582934384680371</v>
      </c>
    </row>
    <row r="693" spans="1:21" ht="18.75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256">
        <f>L694+L695</f>
        <v>0</v>
      </c>
      <c r="M693" s="255">
        <f>M694+M695</f>
        <v>0</v>
      </c>
      <c r="N693" s="255">
        <f>N694+N695</f>
        <v>0</v>
      </c>
      <c r="O693" s="255">
        <f>IF(L693&gt;0,N693*100/L693,0)</f>
        <v>0</v>
      </c>
      <c r="P693" s="255">
        <f>IF(M693&gt;0,N693*100/M693,0)</f>
        <v>0</v>
      </c>
      <c r="Q693" s="255">
        <f ca="1">Q694+Q695</f>
        <v>390610</v>
      </c>
      <c r="R693" s="255">
        <f ca="1">R694+R695</f>
        <v>390610</v>
      </c>
      <c r="S693" s="255">
        <f ca="1">S694+S695</f>
        <v>119460</v>
      </c>
      <c r="T693" s="255">
        <f ca="1">IF(Q693&gt;0,S693*100/Q693,0)</f>
        <v>30.582934384680371</v>
      </c>
      <c r="U693" s="255">
        <f ca="1">IF(R693&gt;0,S693*100/R693,0)</f>
        <v>30.582934384680371</v>
      </c>
    </row>
    <row r="694" spans="1:21" ht="18.75" hidden="1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103">
        <v>0</v>
      </c>
      <c r="M694" s="102">
        <v>0</v>
      </c>
      <c r="N694" s="102">
        <v>0</v>
      </c>
      <c r="O694" s="102">
        <f>IF(L694&gt;0,N694*100/L694,0)</f>
        <v>0</v>
      </c>
      <c r="P694" s="102">
        <f>IF(M694&gt;0,N694*100/M694,0)</f>
        <v>0</v>
      </c>
      <c r="Q694" s="102">
        <v>0</v>
      </c>
      <c r="R694" s="102">
        <v>0</v>
      </c>
      <c r="S694" s="102">
        <v>0</v>
      </c>
      <c r="T694" s="102">
        <f>IF(Q694&gt;0,S694*100/Q694,0)</f>
        <v>0</v>
      </c>
      <c r="U694" s="102">
        <f>IF(R694&gt;0,S694*100/R694,0)</f>
        <v>0</v>
      </c>
    </row>
    <row r="695" spans="1:21" ht="18.75" hidden="1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256">
        <v>0</v>
      </c>
      <c r="M695" s="255">
        <v>0</v>
      </c>
      <c r="N695" s="255">
        <v>0</v>
      </c>
      <c r="O695" s="255">
        <f>IF(L695&gt;0,N695*100/L695,0)</f>
        <v>0</v>
      </c>
      <c r="P695" s="255">
        <f>IF(M695&gt;0,N695*100/M695,0)</f>
        <v>0</v>
      </c>
      <c r="Q695" s="255">
        <f ca="1">IFERROR(__xludf.DUMMYFUNCTION("IMPORTRANGE(""https://docs.google.com/spreadsheets/d/1ItG2mGa2ceCfYo0BwxsXqNm01IGEUdYcSSLTEv9YCik/edit?usp=sharing"",""เบิกจ่ายกองทุน!L44"")"),390610)</f>
        <v>390610</v>
      </c>
      <c r="R695" s="255">
        <f ca="1">IFERROR(__xludf.DUMMYFUNCTION("IMPORTRANGE(""https://docs.google.com/spreadsheets/d/1ItG2mGa2ceCfYo0BwxsXqNm01IGEUdYcSSLTEv9YCik/edit?usp=sharing"",""เบิกจ่ายกองทุน!M44"")"),390610)</f>
        <v>390610</v>
      </c>
      <c r="S695" s="255">
        <f ca="1">IFERROR(__xludf.DUMMYFUNCTION("IMPORTRANGE(""https://docs.google.com/spreadsheets/d/1ItG2mGa2ceCfYo0BwxsXqNm01IGEUdYcSSLTEv9YCik/edit?usp=sharing"",""เบิกจ่ายกองทุน!N44"")"),119460)</f>
        <v>119460</v>
      </c>
      <c r="T695" s="255">
        <f ca="1">IF(Q695&gt;0,S695*100/Q695,0)</f>
        <v>30.582934384680371</v>
      </c>
      <c r="U695" s="255">
        <f ca="1">IF(R695&gt;0,S695*100/R695,0)</f>
        <v>30.582934384680371</v>
      </c>
    </row>
    <row r="696" spans="1:21" ht="18.75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256">
        <f>L697+L698</f>
        <v>0</v>
      </c>
      <c r="M696" s="255">
        <f>M697+M698</f>
        <v>0</v>
      </c>
      <c r="N696" s="255">
        <f>N697+N698</f>
        <v>0</v>
      </c>
      <c r="O696" s="255">
        <f>IF(L696&gt;0,N696*100/L696,0)</f>
        <v>0</v>
      </c>
      <c r="P696" s="255">
        <f>IF(M696&gt;0,N696*100/M696,0)</f>
        <v>0</v>
      </c>
      <c r="Q696" s="255">
        <f>Q697+Q698</f>
        <v>0</v>
      </c>
      <c r="R696" s="255">
        <f>R697+R698</f>
        <v>0</v>
      </c>
      <c r="S696" s="255">
        <f>S697+S698</f>
        <v>0</v>
      </c>
      <c r="T696" s="255">
        <f>IF(Q696&gt;0,S696*100/Q696,0)</f>
        <v>0</v>
      </c>
      <c r="U696" s="255">
        <f>IF(R696&gt;0,S696*100/R696,0)</f>
        <v>0</v>
      </c>
    </row>
    <row r="697" spans="1:21" ht="18.75" hidden="1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103">
        <v>0</v>
      </c>
      <c r="M697" s="102">
        <v>0</v>
      </c>
      <c r="N697" s="102">
        <v>0</v>
      </c>
      <c r="O697" s="102">
        <f>IF(L697&gt;0,N697*100/L697,0)</f>
        <v>0</v>
      </c>
      <c r="P697" s="102">
        <f>IF(M697&gt;0,N697*100/M697,0)</f>
        <v>0</v>
      </c>
      <c r="Q697" s="102">
        <v>0</v>
      </c>
      <c r="R697" s="102">
        <v>0</v>
      </c>
      <c r="S697" s="102">
        <v>0</v>
      </c>
      <c r="T697" s="102">
        <f>IF(Q697&gt;0,S697*100/Q697,0)</f>
        <v>0</v>
      </c>
      <c r="U697" s="102">
        <f>IF(R697&gt;0,S697*100/R697,0)</f>
        <v>0</v>
      </c>
    </row>
    <row r="698" spans="1:21" ht="18.75" hidden="1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256">
        <v>0</v>
      </c>
      <c r="M698" s="255">
        <v>0</v>
      </c>
      <c r="N698" s="255">
        <v>0</v>
      </c>
      <c r="O698" s="255">
        <f>IF(L698&gt;0,N698*100/L698,0)</f>
        <v>0</v>
      </c>
      <c r="P698" s="255">
        <f>IF(M698&gt;0,N698*100/M698,0)</f>
        <v>0</v>
      </c>
      <c r="Q698" s="255">
        <v>0</v>
      </c>
      <c r="R698" s="255">
        <v>0</v>
      </c>
      <c r="S698" s="255">
        <v>0</v>
      </c>
      <c r="T698" s="255">
        <f>IF(Q698&gt;0,S698*100/Q698,0)</f>
        <v>0</v>
      </c>
      <c r="U698" s="255">
        <f>IF(R698&gt;0,S698*100/R698,0)</f>
        <v>0</v>
      </c>
    </row>
    <row r="699" spans="1:21" ht="19.5">
      <c r="A699" s="166"/>
      <c r="B699" s="167"/>
      <c r="C699" s="205" t="s">
        <v>18</v>
      </c>
      <c r="D699" s="566" t="s">
        <v>38</v>
      </c>
      <c r="E699" s="169"/>
      <c r="F699" s="169"/>
      <c r="G699" s="169"/>
      <c r="H699" s="206"/>
      <c r="I699" s="163"/>
      <c r="J699" s="163"/>
      <c r="K699" s="164"/>
      <c r="L699" s="62"/>
      <c r="M699" s="55"/>
      <c r="N699" s="55"/>
      <c r="O699" s="55"/>
      <c r="P699" s="55"/>
      <c r="Q699" s="55"/>
      <c r="R699" s="55"/>
      <c r="S699" s="55"/>
      <c r="T699" s="55"/>
      <c r="U699" s="55"/>
    </row>
    <row r="700" spans="1:21" ht="18.75">
      <c r="A700" s="238"/>
      <c r="B700" s="188"/>
      <c r="C700" s="188"/>
      <c r="D700" s="174"/>
      <c r="E700" s="173" t="s">
        <v>257</v>
      </c>
      <c r="F700" s="174"/>
      <c r="G700" s="171"/>
      <c r="H700" s="165" t="s">
        <v>258</v>
      </c>
      <c r="I700" s="212">
        <f ca="1">IFERROR(__xludf.DUMMYFUNCTION("IMPORTRANGE(""https://docs.google.com/spreadsheets/d/1eHaY18a8A9IcSdp1K8H6x8fbOy06t2VsZHhMHf-1x7Y/edit?usp=sharing"",""แผน!LC44"")"),0)</f>
        <v>0</v>
      </c>
      <c r="J700" s="467">
        <v>0</v>
      </c>
      <c r="K700" s="565">
        <f ca="1">IF(I700&gt;0,J700*100/I700,0)</f>
        <v>0</v>
      </c>
      <c r="L700" s="172"/>
      <c r="M700" s="164"/>
      <c r="N700" s="55"/>
      <c r="O700" s="164"/>
      <c r="P700" s="164"/>
      <c r="Q700" s="164"/>
      <c r="R700" s="164"/>
      <c r="S700" s="55"/>
      <c r="T700" s="164"/>
      <c r="U700" s="164"/>
    </row>
    <row r="701" spans="1:21" ht="19.5">
      <c r="A701" s="238"/>
      <c r="B701" s="188"/>
      <c r="C701" s="188"/>
      <c r="D701" s="174"/>
      <c r="E701" s="476" t="s">
        <v>259</v>
      </c>
      <c r="F701" s="174"/>
      <c r="G701" s="171"/>
      <c r="H701" s="158" t="s">
        <v>35</v>
      </c>
      <c r="I701" s="373">
        <f ca="1">I703+I705</f>
        <v>265</v>
      </c>
      <c r="J701" s="373">
        <f ca="1">J703+J705</f>
        <v>0</v>
      </c>
      <c r="K701" s="540">
        <f ca="1">IF(I701&gt;0,J701*100/I701,0)</f>
        <v>0</v>
      </c>
      <c r="L701" s="172"/>
      <c r="M701" s="164"/>
      <c r="N701" s="164"/>
      <c r="O701" s="164"/>
      <c r="P701" s="164"/>
      <c r="Q701" s="164"/>
      <c r="R701" s="164"/>
      <c r="S701" s="164"/>
      <c r="T701" s="164"/>
      <c r="U701" s="164"/>
    </row>
    <row r="702" spans="1:21" ht="19.5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73">
        <v>0</v>
      </c>
      <c r="J702" s="373">
        <f ca="1">J704+J706</f>
        <v>0</v>
      </c>
      <c r="K702" s="540">
        <f>IF(I702&gt;0,J702*100/I702,0)</f>
        <v>0</v>
      </c>
      <c r="L702" s="172"/>
      <c r="M702" s="164"/>
      <c r="N702" s="164"/>
      <c r="O702" s="164"/>
      <c r="P702" s="164"/>
      <c r="Q702" s="164"/>
      <c r="R702" s="164"/>
      <c r="S702" s="164"/>
      <c r="T702" s="164"/>
      <c r="U702" s="164"/>
    </row>
    <row r="703" spans="1:21" ht="18.75">
      <c r="A703" s="238"/>
      <c r="B703" s="188"/>
      <c r="C703" s="188"/>
      <c r="D703" s="174"/>
      <c r="E703" s="174"/>
      <c r="F703" s="173" t="s">
        <v>260</v>
      </c>
      <c r="G703" s="171"/>
      <c r="H703" s="165" t="s">
        <v>35</v>
      </c>
      <c r="I703" s="212">
        <f ca="1">IFERROR(__xludf.DUMMYFUNCTION("IMPORTRANGE(""https://docs.google.com/spreadsheets/d/1eHaY18a8A9IcSdp1K8H6x8fbOy06t2VsZHhMHf-1x7Y/edit?usp=sharing"",""แผน!LJ44"")"),260)</f>
        <v>260</v>
      </c>
      <c r="J703" s="212">
        <f ca="1">IFERROR(__xludf.DUMMYFUNCTION("IMPORTRANGE(""https://docs.google.com/spreadsheets/d/1tdoBKaGub7dwA3U6UFTqxio9LNnvDCQjHKmttSEBsFQ/edit?usp=sharing"",""จัดที่ดิน!AP44"")"),0)</f>
        <v>0</v>
      </c>
      <c r="K703" s="255">
        <f ca="1">IF(I703&gt;0,J703*100/I703,0)</f>
        <v>0</v>
      </c>
      <c r="L703" s="172"/>
      <c r="M703" s="164"/>
      <c r="N703" s="164"/>
      <c r="O703" s="164"/>
      <c r="P703" s="164"/>
      <c r="Q703" s="164"/>
      <c r="R703" s="164"/>
      <c r="S703" s="164"/>
      <c r="T703" s="164"/>
      <c r="U703" s="164"/>
    </row>
    <row r="704" spans="1:21" ht="18.75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212">
        <f ca="1">IFERROR(__xludf.DUMMYFUNCTION("IMPORTRANGE(""https://docs.google.com/spreadsheets/d/1tdoBKaGub7dwA3U6UFTqxio9LNnvDCQjHKmttSEBsFQ/edit?usp=sharing"",""จัดที่ดิน!AQ44"")"),0)</f>
        <v>0</v>
      </c>
      <c r="K704" s="255">
        <f>IF(I704&gt;0,J704*100/I704,0)</f>
        <v>0</v>
      </c>
      <c r="L704" s="172"/>
      <c r="M704" s="164"/>
      <c r="N704" s="164"/>
      <c r="O704" s="164"/>
      <c r="P704" s="164"/>
      <c r="Q704" s="164"/>
      <c r="R704" s="164"/>
      <c r="S704" s="164"/>
      <c r="T704" s="164"/>
      <c r="U704" s="164"/>
    </row>
    <row r="705" spans="1:21" ht="18.75">
      <c r="A705" s="238"/>
      <c r="B705" s="188"/>
      <c r="C705" s="188"/>
      <c r="D705" s="174"/>
      <c r="E705" s="174"/>
      <c r="F705" s="173" t="s">
        <v>261</v>
      </c>
      <c r="G705" s="171"/>
      <c r="H705" s="165" t="s">
        <v>35</v>
      </c>
      <c r="I705" s="212">
        <f ca="1">IFERROR(__xludf.DUMMYFUNCTION("IMPORTRANGE(""https://docs.google.com/spreadsheets/d/1eHaY18a8A9IcSdp1K8H6x8fbOy06t2VsZHhMHf-1x7Y/edit?usp=sharing"",""แผน!LK44"")"),5)</f>
        <v>5</v>
      </c>
      <c r="J705" s="212">
        <f ca="1">IFERROR(__xludf.DUMMYFUNCTION("IMPORTRANGE(""https://docs.google.com/spreadsheets/d/1tdoBKaGub7dwA3U6UFTqxio9LNnvDCQjHKmttSEBsFQ/edit?usp=sharing"",""จัดที่ดิน!AR44"")"),0)</f>
        <v>0</v>
      </c>
      <c r="K705" s="565">
        <f ca="1">IF(I705&gt;0,J705*100/I705,0)</f>
        <v>0</v>
      </c>
      <c r="L705" s="172"/>
      <c r="M705" s="164"/>
      <c r="N705" s="164"/>
      <c r="O705" s="164"/>
      <c r="P705" s="164"/>
      <c r="Q705" s="164"/>
      <c r="R705" s="164"/>
      <c r="S705" s="164"/>
      <c r="T705" s="164"/>
      <c r="U705" s="164"/>
    </row>
    <row r="706" spans="1:21" ht="18.75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212">
        <f ca="1">IFERROR(__xludf.DUMMYFUNCTION("IMPORTRANGE(""https://docs.google.com/spreadsheets/d/1tdoBKaGub7dwA3U6UFTqxio9LNnvDCQjHKmttSEBsFQ/edit?usp=sharing"",""จัดที่ดิน!AS44"")"),0)</f>
        <v>0</v>
      </c>
      <c r="K706" s="255">
        <f>IF(I706&gt;0,J706*100/I706,0)</f>
        <v>0</v>
      </c>
      <c r="L706" s="172"/>
      <c r="M706" s="164"/>
      <c r="N706" s="164"/>
      <c r="O706" s="164"/>
      <c r="P706" s="164"/>
      <c r="Q706" s="164"/>
      <c r="R706" s="164"/>
      <c r="S706" s="164"/>
      <c r="T706" s="164"/>
      <c r="U706" s="164"/>
    </row>
    <row r="707" spans="1:21" ht="18.75">
      <c r="A707" s="238"/>
      <c r="B707" s="188"/>
      <c r="C707" s="188"/>
      <c r="D707" s="174"/>
      <c r="E707" s="173" t="s">
        <v>262</v>
      </c>
      <c r="F707" s="174"/>
      <c r="G707" s="171"/>
      <c r="H707" s="162" t="s">
        <v>35</v>
      </c>
      <c r="I707" s="212">
        <f ca="1">IFERROR(__xludf.DUMMYFUNCTION("IMPORTRANGE(""https://docs.google.com/spreadsheets/d/1eHaY18a8A9IcSdp1K8H6x8fbOy06t2VsZHhMHf-1x7Y/edit?usp=sharing"",""แผน!LJ44"")"),260)</f>
        <v>260</v>
      </c>
      <c r="J707" s="212">
        <f ca="1">IFERROR(__xludf.DUMMYFUNCTION("IMPORTRANGE(""https://docs.google.com/spreadsheets/d/1tdoBKaGub7dwA3U6UFTqxio9LNnvDCQjHKmttSEBsFQ/edit?usp=sharing"",""จัดที่ดิน!BN44"")"),0)</f>
        <v>0</v>
      </c>
      <c r="K707" s="255">
        <f ca="1">IF(I707&gt;0,J707*100/I707,0)</f>
        <v>0</v>
      </c>
      <c r="L707" s="172"/>
      <c r="M707" s="164"/>
      <c r="N707" s="164"/>
      <c r="O707" s="164"/>
      <c r="P707" s="164"/>
      <c r="Q707" s="164"/>
      <c r="R707" s="164"/>
      <c r="S707" s="164"/>
      <c r="T707" s="164"/>
      <c r="U707" s="164"/>
    </row>
    <row r="708" spans="1:21" ht="18.75">
      <c r="A708" s="238"/>
      <c r="B708" s="188"/>
      <c r="C708" s="188"/>
      <c r="D708" s="174"/>
      <c r="E708" s="477" t="s">
        <v>263</v>
      </c>
      <c r="F708" s="174"/>
      <c r="G708" s="171"/>
      <c r="H708" s="162" t="s">
        <v>46</v>
      </c>
      <c r="I708" s="212">
        <v>0</v>
      </c>
      <c r="J708" s="212">
        <f ca="1">IFERROR(__xludf.DUMMYFUNCTION("IMPORTRANGE(""https://docs.google.com/spreadsheets/d/1tdoBKaGub7dwA3U6UFTqxio9LNnvDCQjHKmttSEBsFQ/edit?usp=sharing"",""จัดที่ดิน!BO44"")"),0)</f>
        <v>0</v>
      </c>
      <c r="K708" s="255">
        <f>IF(I708&gt;0,J708*100/I708,0)</f>
        <v>0</v>
      </c>
      <c r="L708" s="172"/>
      <c r="M708" s="164"/>
      <c r="N708" s="164"/>
      <c r="O708" s="164"/>
      <c r="P708" s="164"/>
      <c r="Q708" s="164"/>
      <c r="R708" s="164"/>
      <c r="S708" s="164"/>
      <c r="T708" s="164"/>
      <c r="U708" s="164"/>
    </row>
    <row r="709" spans="1:21" ht="18.75">
      <c r="A709" s="238"/>
      <c r="B709" s="188"/>
      <c r="C709" s="188"/>
      <c r="D709" s="50"/>
      <c r="E709" s="58" t="s">
        <v>264</v>
      </c>
      <c r="F709" s="50"/>
      <c r="G709" s="52"/>
      <c r="H709" s="203" t="s">
        <v>35</v>
      </c>
      <c r="I709" s="212">
        <f ca="1">IFERROR(__xludf.DUMMYFUNCTION("IMPORTRANGE(""https://docs.google.com/spreadsheets/d/1eHaY18a8A9IcSdp1K8H6x8fbOy06t2VsZHhMHf-1x7Y/edit?usp=sharing"",""แผน!LK44"")"),5)</f>
        <v>5</v>
      </c>
      <c r="J709" s="212">
        <f ca="1">IFERROR(__xludf.DUMMYFUNCTION("IMPORTRANGE(""https://docs.google.com/spreadsheets/d/1tdoBKaGub7dwA3U6UFTqxio9LNnvDCQjHKmttSEBsFQ/edit?usp=sharing"",""จัดที่ดิน!BP44"")"),0)</f>
        <v>0</v>
      </c>
      <c r="K709" s="255">
        <f ca="1">IF(I709&gt;0,J709*100/I709,0)</f>
        <v>0</v>
      </c>
      <c r="L709" s="62"/>
      <c r="M709" s="55"/>
      <c r="N709" s="55"/>
      <c r="O709" s="55"/>
      <c r="P709" s="55"/>
      <c r="Q709" s="55"/>
      <c r="R709" s="55"/>
      <c r="S709" s="55"/>
      <c r="T709" s="55"/>
      <c r="U709" s="55"/>
    </row>
    <row r="710" spans="1:21" ht="18.75">
      <c r="A710" s="238"/>
      <c r="B710" s="188"/>
      <c r="C710" s="188"/>
      <c r="D710" s="50"/>
      <c r="E710" s="477" t="s">
        <v>265</v>
      </c>
      <c r="F710" s="50"/>
      <c r="G710" s="52"/>
      <c r="H710" s="203" t="s">
        <v>46</v>
      </c>
      <c r="I710" s="212">
        <v>0</v>
      </c>
      <c r="J710" s="212">
        <f ca="1">IFERROR(__xludf.DUMMYFUNCTION("IMPORTRANGE(""https://docs.google.com/spreadsheets/d/1tdoBKaGub7dwA3U6UFTqxio9LNnvDCQjHKmttSEBsFQ/edit?usp=sharing"",""จัดที่ดิน!BQ44"")"),0)</f>
        <v>0</v>
      </c>
      <c r="K710" s="255">
        <f>IF(I710&gt;0,J710*100/I710,0)</f>
        <v>0</v>
      </c>
      <c r="L710" s="62"/>
      <c r="M710" s="55"/>
      <c r="N710" s="55"/>
      <c r="O710" s="55"/>
      <c r="P710" s="55"/>
      <c r="Q710" s="55"/>
      <c r="R710" s="55"/>
      <c r="S710" s="55"/>
      <c r="T710" s="55"/>
      <c r="U710" s="55"/>
    </row>
    <row r="711" spans="1:21" ht="12.75" hidden="1">
      <c r="A711" s="407"/>
      <c r="B711" s="360"/>
      <c r="C711" s="360"/>
      <c r="D711" s="408"/>
      <c r="E711" s="408"/>
      <c r="F711" s="408"/>
      <c r="G711" s="409"/>
      <c r="H711" s="361"/>
      <c r="I711" s="362"/>
      <c r="J711" s="362"/>
      <c r="K711" s="363"/>
      <c r="L711" s="364"/>
      <c r="M711" s="363"/>
      <c r="N711" s="363"/>
      <c r="O711" s="363"/>
      <c r="P711" s="363"/>
      <c r="Q711" s="363"/>
      <c r="R711" s="363"/>
      <c r="S711" s="363"/>
      <c r="T711" s="363"/>
      <c r="U711" s="363"/>
    </row>
    <row r="712" spans="1:21" ht="19.5" hidden="1">
      <c r="A712" s="442"/>
      <c r="B712" s="478" t="s">
        <v>266</v>
      </c>
      <c r="C712" s="442"/>
      <c r="D712" s="444"/>
      <c r="E712" s="444"/>
      <c r="F712" s="444"/>
      <c r="G712" s="445"/>
      <c r="H712" s="479" t="s">
        <v>46</v>
      </c>
      <c r="I712" s="447"/>
      <c r="J712" s="447">
        <f>J724</f>
        <v>0</v>
      </c>
      <c r="K712" s="564">
        <f>IF(I712&gt;0,J712*100/I712,0)</f>
        <v>0</v>
      </c>
      <c r="L712" s="449"/>
      <c r="M712" s="448"/>
      <c r="N712" s="448"/>
      <c r="O712" s="448"/>
      <c r="P712" s="448"/>
      <c r="Q712" s="448"/>
      <c r="R712" s="448"/>
      <c r="S712" s="448"/>
      <c r="T712" s="448"/>
      <c r="U712" s="448"/>
    </row>
    <row r="713" spans="1:21" ht="19.5" hidden="1">
      <c r="A713" s="442"/>
      <c r="B713" s="478" t="s">
        <v>267</v>
      </c>
      <c r="C713" s="442"/>
      <c r="D713" s="444"/>
      <c r="E713" s="444"/>
      <c r="F713" s="444"/>
      <c r="G713" s="445"/>
      <c r="H713" s="446"/>
      <c r="I713" s="447"/>
      <c r="J713" s="447"/>
      <c r="K713" s="448"/>
      <c r="L713" s="449"/>
      <c r="M713" s="448"/>
      <c r="N713" s="448"/>
      <c r="O713" s="448"/>
      <c r="P713" s="448"/>
      <c r="Q713" s="448"/>
      <c r="R713" s="448"/>
      <c r="S713" s="448"/>
      <c r="T713" s="448"/>
      <c r="U713" s="448"/>
    </row>
    <row r="714" spans="1:21" ht="19.5" hidden="1">
      <c r="A714" s="155"/>
      <c r="B714" s="188"/>
      <c r="C714" s="358" t="s">
        <v>18</v>
      </c>
      <c r="D714" s="563" t="s">
        <v>19</v>
      </c>
      <c r="E714" s="529"/>
      <c r="F714" s="529"/>
      <c r="G714" s="530"/>
      <c r="H714" s="418" t="s">
        <v>14</v>
      </c>
      <c r="I714" s="54"/>
      <c r="J714" s="54"/>
      <c r="K714" s="55"/>
      <c r="L714" s="541">
        <f>L715+L716</f>
        <v>0</v>
      </c>
      <c r="M714" s="540">
        <f>M715+M716</f>
        <v>0</v>
      </c>
      <c r="N714" s="540">
        <f>N715+N716</f>
        <v>0</v>
      </c>
      <c r="O714" s="540">
        <f>IF(L714&gt;0,N714*100/L714,0)</f>
        <v>0</v>
      </c>
      <c r="P714" s="540">
        <f>IF(M714&gt;0,N714*100/M714,0)</f>
        <v>0</v>
      </c>
      <c r="Q714" s="540">
        <f>Q715+Q716</f>
        <v>0</v>
      </c>
      <c r="R714" s="540">
        <f>R715+R716</f>
        <v>0</v>
      </c>
      <c r="S714" s="540">
        <f>S715+S716</f>
        <v>0</v>
      </c>
      <c r="T714" s="540">
        <f>IF(Q714&gt;0,S714*100/Q714,0)</f>
        <v>0</v>
      </c>
      <c r="U714" s="540">
        <f>IF(R714&gt;0,S714*100/R714,0)</f>
        <v>0</v>
      </c>
    </row>
    <row r="715" spans="1:21" ht="18.75" hidden="1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103">
        <f>L718+L721</f>
        <v>0</v>
      </c>
      <c r="M715" s="102">
        <f>M718+M721</f>
        <v>0</v>
      </c>
      <c r="N715" s="102">
        <f>N718+N721</f>
        <v>0</v>
      </c>
      <c r="O715" s="102">
        <f>IF(L715&gt;0,N715*100/L715,0)</f>
        <v>0</v>
      </c>
      <c r="P715" s="102">
        <f>IF(M715&gt;0,N715*100/M715,0)</f>
        <v>0</v>
      </c>
      <c r="Q715" s="102">
        <f>Q718+Q721</f>
        <v>0</v>
      </c>
      <c r="R715" s="102">
        <f>R718+R721</f>
        <v>0</v>
      </c>
      <c r="S715" s="102">
        <f>S718+S721</f>
        <v>0</v>
      </c>
      <c r="T715" s="102">
        <f>IF(Q715&gt;0,S715*100/Q715,0)</f>
        <v>0</v>
      </c>
      <c r="U715" s="102">
        <f>IF(R715&gt;0,S715*100/R715,0)</f>
        <v>0</v>
      </c>
    </row>
    <row r="716" spans="1:21" ht="18.75" hidden="1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256">
        <f>L719+L722</f>
        <v>0</v>
      </c>
      <c r="M716" s="255">
        <f>M719+M722</f>
        <v>0</v>
      </c>
      <c r="N716" s="255">
        <f>N719+N722</f>
        <v>0</v>
      </c>
      <c r="O716" s="255">
        <f>IF(L716&gt;0,N716*100/L716,0)</f>
        <v>0</v>
      </c>
      <c r="P716" s="255">
        <f>IF(M716&gt;0,N716*100/M716,0)</f>
        <v>0</v>
      </c>
      <c r="Q716" s="255">
        <f>Q719+Q722</f>
        <v>0</v>
      </c>
      <c r="R716" s="255">
        <f>R719+R722</f>
        <v>0</v>
      </c>
      <c r="S716" s="255">
        <f>S719+S722</f>
        <v>0</v>
      </c>
      <c r="T716" s="255">
        <f>IF(Q716&gt;0,S716*100/Q716,0)</f>
        <v>0</v>
      </c>
      <c r="U716" s="255">
        <f>IF(R716&gt;0,S716*100/R716,0)</f>
        <v>0</v>
      </c>
    </row>
    <row r="717" spans="1:21" ht="19.5" hidden="1">
      <c r="A717" s="155"/>
      <c r="B717" s="188"/>
      <c r="C717" s="188"/>
      <c r="D717" s="562" t="s">
        <v>22</v>
      </c>
      <c r="E717" s="50"/>
      <c r="F717" s="50"/>
      <c r="G717" s="52"/>
      <c r="H717" s="418" t="s">
        <v>14</v>
      </c>
      <c r="I717" s="163"/>
      <c r="J717" s="163"/>
      <c r="K717" s="164"/>
      <c r="L717" s="256">
        <f>L718+L719</f>
        <v>0</v>
      </c>
      <c r="M717" s="255">
        <f>M718+M719</f>
        <v>0</v>
      </c>
      <c r="N717" s="255">
        <f>N718+N719</f>
        <v>0</v>
      </c>
      <c r="O717" s="255">
        <f>IF(L717&gt;0,N717*100/L717,0)</f>
        <v>0</v>
      </c>
      <c r="P717" s="255">
        <f>IF(M717&gt;0,N717*100/M717,0)</f>
        <v>0</v>
      </c>
      <c r="Q717" s="255">
        <f>Q718+Q719</f>
        <v>0</v>
      </c>
      <c r="R717" s="255">
        <f>R718+R719</f>
        <v>0</v>
      </c>
      <c r="S717" s="255">
        <f>S718+S719</f>
        <v>0</v>
      </c>
      <c r="T717" s="255">
        <f>IF(Q717&gt;0,S717*100/Q717,0)</f>
        <v>0</v>
      </c>
      <c r="U717" s="255">
        <f>IF(R717&gt;0,S717*100/R717,0)</f>
        <v>0</v>
      </c>
    </row>
    <row r="718" spans="1:21" ht="18.75" hidden="1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103">
        <v>0</v>
      </c>
      <c r="M718" s="102">
        <v>0</v>
      </c>
      <c r="N718" s="102">
        <v>0</v>
      </c>
      <c r="O718" s="102">
        <f>IF(L718&gt;0,N718*100/L718,0)</f>
        <v>0</v>
      </c>
      <c r="P718" s="102">
        <f>IF(M718&gt;0,N718*100/M718,0)</f>
        <v>0</v>
      </c>
      <c r="Q718" s="102">
        <v>0</v>
      </c>
      <c r="R718" s="102">
        <v>0</v>
      </c>
      <c r="S718" s="102">
        <v>0</v>
      </c>
      <c r="T718" s="102">
        <f>IF(Q718&gt;0,S718*100/Q718,0)</f>
        <v>0</v>
      </c>
      <c r="U718" s="102">
        <f>IF(R718&gt;0,S718*100/R718,0)</f>
        <v>0</v>
      </c>
    </row>
    <row r="719" spans="1:21" ht="18.75" hidden="1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256">
        <v>0</v>
      </c>
      <c r="M719" s="255">
        <v>0</v>
      </c>
      <c r="N719" s="255">
        <v>0</v>
      </c>
      <c r="O719" s="255">
        <f>IF(L719&gt;0,N719*100/L719,0)</f>
        <v>0</v>
      </c>
      <c r="P719" s="255">
        <f>IF(M719&gt;0,N719*100/M719,0)</f>
        <v>0</v>
      </c>
      <c r="Q719" s="255">
        <v>0</v>
      </c>
      <c r="R719" s="255">
        <v>0</v>
      </c>
      <c r="S719" s="255">
        <v>0</v>
      </c>
      <c r="T719" s="255">
        <f>IF(Q719&gt;0,S719*100/Q719,0)</f>
        <v>0</v>
      </c>
      <c r="U719" s="255">
        <f>IF(R719&gt;0,S719*100/R719,0)</f>
        <v>0</v>
      </c>
    </row>
    <row r="720" spans="1:21" ht="19.5" hidden="1">
      <c r="A720" s="155"/>
      <c r="B720" s="188"/>
      <c r="C720" s="188"/>
      <c r="D720" s="562" t="s">
        <v>23</v>
      </c>
      <c r="E720" s="50"/>
      <c r="F720" s="50"/>
      <c r="G720" s="52"/>
      <c r="H720" s="420" t="s">
        <v>14</v>
      </c>
      <c r="I720" s="163"/>
      <c r="J720" s="163"/>
      <c r="K720" s="164"/>
      <c r="L720" s="256">
        <f>L721+L722</f>
        <v>0</v>
      </c>
      <c r="M720" s="255">
        <f>M721+M722</f>
        <v>0</v>
      </c>
      <c r="N720" s="255">
        <f>N721+N722</f>
        <v>0</v>
      </c>
      <c r="O720" s="255">
        <f>IF(L720&gt;0,N720*100/L720,0)</f>
        <v>0</v>
      </c>
      <c r="P720" s="255">
        <f>IF(M720&gt;0,N720*100/M720,0)</f>
        <v>0</v>
      </c>
      <c r="Q720" s="255">
        <f>Q721+Q722</f>
        <v>0</v>
      </c>
      <c r="R720" s="255">
        <f>R721+R722</f>
        <v>0</v>
      </c>
      <c r="S720" s="255">
        <f>S721+S722</f>
        <v>0</v>
      </c>
      <c r="T720" s="255">
        <f>IF(Q720&gt;0,S720*100/Q720,0)</f>
        <v>0</v>
      </c>
      <c r="U720" s="255">
        <f>IF(R720&gt;0,S720*100/R720,0)</f>
        <v>0</v>
      </c>
    </row>
    <row r="721" spans="1:21" ht="18.75" hidden="1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103">
        <v>0</v>
      </c>
      <c r="M721" s="102">
        <v>0</v>
      </c>
      <c r="N721" s="102">
        <v>0</v>
      </c>
      <c r="O721" s="102">
        <f>IF(L721&gt;0,N721*100/L721,0)</f>
        <v>0</v>
      </c>
      <c r="P721" s="102">
        <f>IF(M721&gt;0,N721*100/M721,0)</f>
        <v>0</v>
      </c>
      <c r="Q721" s="102">
        <v>0</v>
      </c>
      <c r="R721" s="102">
        <v>0</v>
      </c>
      <c r="S721" s="102">
        <v>0</v>
      </c>
      <c r="T721" s="102">
        <f>IF(Q721&gt;0,S721*100/Q721,0)</f>
        <v>0</v>
      </c>
      <c r="U721" s="102">
        <f>IF(R721&gt;0,S721*100/R721,0)</f>
        <v>0</v>
      </c>
    </row>
    <row r="722" spans="1:21" ht="18.75" hidden="1">
      <c r="A722" s="155"/>
      <c r="B722" s="188"/>
      <c r="C722" s="188"/>
      <c r="D722" s="50"/>
      <c r="E722" s="186" t="s">
        <v>21</v>
      </c>
      <c r="F722" s="50"/>
      <c r="G722" s="52"/>
      <c r="H722" s="421" t="s">
        <v>14</v>
      </c>
      <c r="I722" s="163"/>
      <c r="J722" s="163"/>
      <c r="K722" s="164"/>
      <c r="L722" s="256">
        <v>0</v>
      </c>
      <c r="M722" s="255">
        <v>0</v>
      </c>
      <c r="N722" s="255">
        <v>0</v>
      </c>
      <c r="O722" s="255">
        <f>IF(L722&gt;0,N722*100/L722,0)</f>
        <v>0</v>
      </c>
      <c r="P722" s="255">
        <f>IF(M722&gt;0,N722*100/M722,0)</f>
        <v>0</v>
      </c>
      <c r="Q722" s="255">
        <v>0</v>
      </c>
      <c r="R722" s="255">
        <v>0</v>
      </c>
      <c r="S722" s="255">
        <v>0</v>
      </c>
      <c r="T722" s="255">
        <f>IF(Q722&gt;0,S722*100/Q722,0)</f>
        <v>0</v>
      </c>
      <c r="U722" s="255">
        <f>IF(R722&gt;0,S722*100/R722,0)</f>
        <v>0</v>
      </c>
    </row>
    <row r="723" spans="1:21" ht="19.5" hidden="1">
      <c r="A723" s="166"/>
      <c r="B723" s="167"/>
      <c r="C723" s="358" t="s">
        <v>18</v>
      </c>
      <c r="D723" s="561" t="s">
        <v>38</v>
      </c>
      <c r="E723" s="169"/>
      <c r="F723" s="169"/>
      <c r="G723" s="170"/>
      <c r="H723" s="206"/>
      <c r="I723" s="163"/>
      <c r="J723" s="163"/>
      <c r="K723" s="164"/>
      <c r="L723" s="172"/>
      <c r="M723" s="164"/>
      <c r="N723" s="164"/>
      <c r="O723" s="164"/>
      <c r="P723" s="164"/>
      <c r="Q723" s="164"/>
      <c r="R723" s="164"/>
      <c r="S723" s="164"/>
      <c r="T723" s="164"/>
      <c r="U723" s="164"/>
    </row>
    <row r="724" spans="1:21" ht="18.75" hidden="1">
      <c r="A724" s="238"/>
      <c r="B724" s="188"/>
      <c r="C724" s="188"/>
      <c r="D724" s="50"/>
      <c r="E724" s="186" t="s">
        <v>268</v>
      </c>
      <c r="F724" s="50"/>
      <c r="G724" s="52"/>
      <c r="H724" s="189" t="s">
        <v>46</v>
      </c>
      <c r="I724" s="483">
        <v>0</v>
      </c>
      <c r="J724" s="54"/>
      <c r="K724" s="55"/>
      <c r="L724" s="62"/>
      <c r="M724" s="55"/>
      <c r="N724" s="55"/>
      <c r="O724" s="55"/>
      <c r="P724" s="55"/>
      <c r="Q724" s="55"/>
      <c r="R724" s="55"/>
      <c r="S724" s="55"/>
      <c r="T724" s="55"/>
      <c r="U724" s="55"/>
    </row>
    <row r="725" spans="1:21" ht="18.75" hidden="1">
      <c r="A725" s="374"/>
      <c r="B725" s="5"/>
      <c r="C725" s="5"/>
      <c r="D725" s="4"/>
      <c r="E725" s="484" t="s">
        <v>269</v>
      </c>
      <c r="F725" s="4"/>
      <c r="G725" s="65"/>
      <c r="H725" s="485" t="s">
        <v>46</v>
      </c>
      <c r="I725" s="486">
        <v>0</v>
      </c>
      <c r="J725" s="67"/>
      <c r="K725" s="6"/>
      <c r="L725" s="68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>
      <c r="A726" s="442"/>
      <c r="B726" s="443" t="s">
        <v>270</v>
      </c>
      <c r="C726" s="442"/>
      <c r="D726" s="444"/>
      <c r="E726" s="444"/>
      <c r="F726" s="444"/>
      <c r="G726" s="445"/>
      <c r="H726" s="473" t="s">
        <v>35</v>
      </c>
      <c r="I726" s="544">
        <f ca="1">IFERROR(__xludf.DUMMYFUNCTION("IMPORTRANGE(""https://docs.google.com/spreadsheets/d/1eHaY18a8A9IcSdp1K8H6x8fbOy06t2VsZHhMHf-1x7Y/edit?usp=sharing"",""แผน!GA44"")"),128)</f>
        <v>128</v>
      </c>
      <c r="J726" s="544">
        <f>J742+J746+J749</f>
        <v>0</v>
      </c>
      <c r="K726" s="543">
        <f ca="1">IF(I726&gt;0,J726*100/I726,0)</f>
        <v>0</v>
      </c>
      <c r="L726" s="449"/>
      <c r="M726" s="448"/>
      <c r="N726" s="448"/>
      <c r="O726" s="448"/>
      <c r="P726" s="448"/>
      <c r="Q726" s="448"/>
      <c r="R726" s="448"/>
      <c r="S726" s="448"/>
      <c r="T726" s="448"/>
      <c r="U726" s="448"/>
    </row>
    <row r="727" spans="1:21" ht="19.5">
      <c r="A727" s="487"/>
      <c r="B727" s="442"/>
      <c r="C727" s="442"/>
      <c r="D727" s="444"/>
      <c r="E727" s="444"/>
      <c r="F727" s="444"/>
      <c r="G727" s="445"/>
      <c r="H727" s="473" t="s">
        <v>46</v>
      </c>
      <c r="I727" s="544">
        <f ca="1">IFERROR(__xludf.DUMMYFUNCTION("IMPORTRANGE(""https://docs.google.com/spreadsheets/d/1eHaY18a8A9IcSdp1K8H6x8fbOy06t2VsZHhMHf-1x7Y/edit?usp=sharing"",""แผน!FZ44"")"),1250)</f>
        <v>1250</v>
      </c>
      <c r="J727" s="544">
        <f>J752+J755</f>
        <v>0</v>
      </c>
      <c r="K727" s="543">
        <f ca="1">IF(I727&gt;0,J727*100/I727,0)</f>
        <v>0</v>
      </c>
      <c r="L727" s="449"/>
      <c r="M727" s="448"/>
      <c r="N727" s="448"/>
      <c r="O727" s="448"/>
      <c r="P727" s="448"/>
      <c r="Q727" s="448"/>
      <c r="R727" s="448"/>
      <c r="S727" s="448"/>
      <c r="T727" s="448"/>
      <c r="U727" s="448"/>
    </row>
    <row r="728" spans="1:21" ht="19.5">
      <c r="A728" s="155"/>
      <c r="B728" s="188"/>
      <c r="C728" s="205" t="s">
        <v>18</v>
      </c>
      <c r="D728" s="542" t="s">
        <v>19</v>
      </c>
      <c r="E728" s="529"/>
      <c r="F728" s="529"/>
      <c r="G728" s="530"/>
      <c r="H728" s="252" t="s">
        <v>14</v>
      </c>
      <c r="I728" s="54"/>
      <c r="J728" s="54"/>
      <c r="K728" s="55"/>
      <c r="L728" s="541">
        <f>L729+L730</f>
        <v>0</v>
      </c>
      <c r="M728" s="540">
        <f>M729+M730</f>
        <v>0</v>
      </c>
      <c r="N728" s="540">
        <f>N729+N730</f>
        <v>0</v>
      </c>
      <c r="O728" s="540">
        <f>IF(L728&gt;0,N728*100/L728,0)</f>
        <v>0</v>
      </c>
      <c r="P728" s="540">
        <f>IF(M728&gt;0,N728*100/M728,0)</f>
        <v>0</v>
      </c>
      <c r="Q728" s="540">
        <f ca="1">Q729+Q730</f>
        <v>1008470</v>
      </c>
      <c r="R728" s="540">
        <f ca="1">R729+R730</f>
        <v>1008470</v>
      </c>
      <c r="S728" s="540">
        <f ca="1">S729+S730</f>
        <v>30000</v>
      </c>
      <c r="T728" s="540">
        <f ca="1">IF(Q728&gt;0,S728*100/Q728,0)</f>
        <v>2.9748034150743203</v>
      </c>
      <c r="U728" s="540">
        <f ca="1">IF(R728&gt;0,S728*100/R728,0)</f>
        <v>2.9748034150743203</v>
      </c>
    </row>
    <row r="729" spans="1:21" ht="18.75" hidden="1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103">
        <f>L732+L735</f>
        <v>0</v>
      </c>
      <c r="M729" s="102">
        <f>M732+M735</f>
        <v>0</v>
      </c>
      <c r="N729" s="102">
        <f>N732+N735</f>
        <v>0</v>
      </c>
      <c r="O729" s="102">
        <f>IF(L729&gt;0,N729*100/L729,0)</f>
        <v>0</v>
      </c>
      <c r="P729" s="102">
        <f>IF(M729&gt;0,N729*100/M729,0)</f>
        <v>0</v>
      </c>
      <c r="Q729" s="102">
        <f>Q732+Q735</f>
        <v>0</v>
      </c>
      <c r="R729" s="102">
        <f>R732+R735</f>
        <v>0</v>
      </c>
      <c r="S729" s="102">
        <f>S732+S735</f>
        <v>0</v>
      </c>
      <c r="T729" s="102">
        <f>IF(Q729&gt;0,S729*100/Q729,0)</f>
        <v>0</v>
      </c>
      <c r="U729" s="102">
        <f>IF(R729&gt;0,S729*100/R729,0)</f>
        <v>0</v>
      </c>
    </row>
    <row r="730" spans="1:21" ht="18.75" hidden="1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256">
        <f>L733+L736</f>
        <v>0</v>
      </c>
      <c r="M730" s="255">
        <f>M733+M736</f>
        <v>0</v>
      </c>
      <c r="N730" s="255">
        <f>N733+N736</f>
        <v>0</v>
      </c>
      <c r="O730" s="255">
        <f>IF(L730&gt;0,N730*100/L730,0)</f>
        <v>0</v>
      </c>
      <c r="P730" s="255">
        <f>IF(M730&gt;0,N730*100/M730,0)</f>
        <v>0</v>
      </c>
      <c r="Q730" s="255">
        <f ca="1">Q733+Q736</f>
        <v>1008470</v>
      </c>
      <c r="R730" s="255">
        <f ca="1">R733+R736</f>
        <v>1008470</v>
      </c>
      <c r="S730" s="255">
        <f ca="1">S733+S736</f>
        <v>30000</v>
      </c>
      <c r="T730" s="255">
        <f ca="1">IF(Q730&gt;0,S730*100/Q730,0)</f>
        <v>2.9748034150743203</v>
      </c>
      <c r="U730" s="255">
        <f ca="1">IF(R730&gt;0,S730*100/R730,0)</f>
        <v>2.9748034150743203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256">
        <f>L732+L733</f>
        <v>0</v>
      </c>
      <c r="M731" s="255">
        <f>M732+M733</f>
        <v>0</v>
      </c>
      <c r="N731" s="255">
        <f>N732+N733</f>
        <v>0</v>
      </c>
      <c r="O731" s="255">
        <f>IF(L731&gt;0,N731*100/L731,0)</f>
        <v>0</v>
      </c>
      <c r="P731" s="255">
        <f>IF(M731&gt;0,N731*100/M731,0)</f>
        <v>0</v>
      </c>
      <c r="Q731" s="255">
        <f ca="1">Q732+Q733</f>
        <v>1008470</v>
      </c>
      <c r="R731" s="255">
        <f ca="1">R732+R733</f>
        <v>1008470</v>
      </c>
      <c r="S731" s="255">
        <f ca="1">S732+S733</f>
        <v>30000</v>
      </c>
      <c r="T731" s="255">
        <f ca="1">IF(Q731&gt;0,S731*100/Q731,0)</f>
        <v>2.9748034150743203</v>
      </c>
      <c r="U731" s="255">
        <f ca="1">IF(R731&gt;0,S731*100/R731,0)</f>
        <v>2.9748034150743203</v>
      </c>
    </row>
    <row r="732" spans="1:21" ht="18.75" hidden="1">
      <c r="A732" s="155"/>
      <c r="B732" s="188"/>
      <c r="C732" s="188"/>
      <c r="D732" s="174"/>
      <c r="E732" s="186" t="s">
        <v>159</v>
      </c>
      <c r="F732" s="50"/>
      <c r="G732" s="52"/>
      <c r="H732" s="189" t="s">
        <v>14</v>
      </c>
      <c r="I732" s="54"/>
      <c r="J732" s="54"/>
      <c r="K732" s="55"/>
      <c r="L732" s="103">
        <v>0</v>
      </c>
      <c r="M732" s="102">
        <v>0</v>
      </c>
      <c r="N732" s="102">
        <v>0</v>
      </c>
      <c r="O732" s="102">
        <f>IF(L732&gt;0,N732*100/L732,0)</f>
        <v>0</v>
      </c>
      <c r="P732" s="102">
        <f>IF(M732&gt;0,N732*100/M732,0)</f>
        <v>0</v>
      </c>
      <c r="Q732" s="102">
        <v>0</v>
      </c>
      <c r="R732" s="102">
        <v>0</v>
      </c>
      <c r="S732" s="102">
        <v>0</v>
      </c>
      <c r="T732" s="102">
        <f>IF(Q732&gt;0,S732*100/Q732,0)</f>
        <v>0</v>
      </c>
      <c r="U732" s="102">
        <f>IF(R732&gt;0,S732*100/R732,0)</f>
        <v>0</v>
      </c>
    </row>
    <row r="733" spans="1:21" ht="18.75" hidden="1">
      <c r="A733" s="155"/>
      <c r="B733" s="188"/>
      <c r="C733" s="188"/>
      <c r="D733" s="174"/>
      <c r="E733" s="58" t="s">
        <v>160</v>
      </c>
      <c r="F733" s="50"/>
      <c r="G733" s="52"/>
      <c r="H733" s="162" t="s">
        <v>14</v>
      </c>
      <c r="I733" s="54"/>
      <c r="J733" s="54"/>
      <c r="K733" s="55"/>
      <c r="L733" s="256">
        <v>0</v>
      </c>
      <c r="M733" s="255">
        <v>0</v>
      </c>
      <c r="N733" s="255">
        <v>0</v>
      </c>
      <c r="O733" s="255">
        <f>IF(L733&gt;0,N733*100/L733,0)</f>
        <v>0</v>
      </c>
      <c r="P733" s="255">
        <f>IF(M733&gt;0,N733*100/M733,0)</f>
        <v>0</v>
      </c>
      <c r="Q733" s="255">
        <f ca="1">IFERROR(__xludf.DUMMYFUNCTION("IMPORTRANGE(""https://docs.google.com/spreadsheets/d/1ItG2mGa2ceCfYo0BwxsXqNm01IGEUdYcSSLTEv9YCik/edit?usp=sharing"",""เบิกจ่ายกองทุน!O44"")"),1008470)</f>
        <v>1008470</v>
      </c>
      <c r="R733" s="255">
        <f ca="1">IFERROR(__xludf.DUMMYFUNCTION("IMPORTRANGE(""https://docs.google.com/spreadsheets/d/1ItG2mGa2ceCfYo0BwxsXqNm01IGEUdYcSSLTEv9YCik/edit?usp=sharing"",""เบิกจ่ายกองทุน!P44"")"),1008470)</f>
        <v>1008470</v>
      </c>
      <c r="S733" s="255">
        <f ca="1">IFERROR(__xludf.DUMMYFUNCTION("IMPORTRANGE(""https://docs.google.com/spreadsheets/d/1ItG2mGa2ceCfYo0BwxsXqNm01IGEUdYcSSLTEv9YCik/edit?usp=sharing"",""เบิกจ่ายกองทุน!Q44"")"),30000)</f>
        <v>30000</v>
      </c>
      <c r="T733" s="255">
        <f ca="1">IF(Q733&gt;0,S733*100/Q733,0)</f>
        <v>2.9748034150743203</v>
      </c>
      <c r="U733" s="255">
        <f ca="1">IF(R733&gt;0,S733*100/R733,0)</f>
        <v>2.9748034150743203</v>
      </c>
    </row>
    <row r="734" spans="1:21" ht="18.75">
      <c r="A734" s="155"/>
      <c r="B734" s="188"/>
      <c r="C734" s="188"/>
      <c r="D734" s="51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256">
        <f>L735+L736</f>
        <v>0</v>
      </c>
      <c r="M734" s="255">
        <f>M735+M736</f>
        <v>0</v>
      </c>
      <c r="N734" s="255">
        <f>N735+N736</f>
        <v>0</v>
      </c>
      <c r="O734" s="255">
        <f>IF(L734&gt;0,N734*100/L734,0)</f>
        <v>0</v>
      </c>
      <c r="P734" s="255">
        <f>IF(M734&gt;0,N734*100/M734,0)</f>
        <v>0</v>
      </c>
      <c r="Q734" s="255">
        <f>Q735+Q736</f>
        <v>0</v>
      </c>
      <c r="R734" s="255">
        <f>R735+R736</f>
        <v>0</v>
      </c>
      <c r="S734" s="255">
        <f>S735+S736</f>
        <v>0</v>
      </c>
      <c r="T734" s="255">
        <f>IF(Q734&gt;0,S734*100/Q734,0)</f>
        <v>0</v>
      </c>
      <c r="U734" s="255">
        <f>IF(R734&gt;0,S734*100/R734,0)</f>
        <v>0</v>
      </c>
    </row>
    <row r="735" spans="1:21" ht="18.75" hidden="1">
      <c r="A735" s="155"/>
      <c r="B735" s="188"/>
      <c r="C735" s="188"/>
      <c r="D735" s="188"/>
      <c r="E735" s="358" t="s">
        <v>20</v>
      </c>
      <c r="F735" s="188"/>
      <c r="G735" s="52"/>
      <c r="H735" s="189" t="s">
        <v>14</v>
      </c>
      <c r="I735" s="163"/>
      <c r="J735" s="163"/>
      <c r="K735" s="164"/>
      <c r="L735" s="103">
        <v>0</v>
      </c>
      <c r="M735" s="102">
        <v>0</v>
      </c>
      <c r="N735" s="102">
        <v>0</v>
      </c>
      <c r="O735" s="102">
        <f>IF(L735&gt;0,N735*100/L735,0)</f>
        <v>0</v>
      </c>
      <c r="P735" s="102">
        <f>IF(M735&gt;0,N735*100/M735,0)</f>
        <v>0</v>
      </c>
      <c r="Q735" s="102">
        <v>0</v>
      </c>
      <c r="R735" s="102">
        <v>0</v>
      </c>
      <c r="S735" s="102">
        <v>0</v>
      </c>
      <c r="T735" s="102">
        <f>IF(Q735&gt;0,S735*100/Q735,0)</f>
        <v>0</v>
      </c>
      <c r="U735" s="102">
        <f>IF(R735&gt;0,S735*100/R735,0)</f>
        <v>0</v>
      </c>
    </row>
    <row r="736" spans="1:21" ht="18.75" hidden="1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256">
        <v>0</v>
      </c>
      <c r="M736" s="255">
        <v>0</v>
      </c>
      <c r="N736" s="255">
        <v>0</v>
      </c>
      <c r="O736" s="255">
        <f>IF(L736&gt;0,N736*100/L736,0)</f>
        <v>0</v>
      </c>
      <c r="P736" s="255">
        <f>IF(M736&gt;0,N736*100/M736,0)</f>
        <v>0</v>
      </c>
      <c r="Q736" s="255">
        <v>0</v>
      </c>
      <c r="R736" s="255">
        <v>0</v>
      </c>
      <c r="S736" s="255">
        <v>0</v>
      </c>
      <c r="T736" s="255">
        <f>IF(Q736&gt;0,S736*100/Q736,0)</f>
        <v>0</v>
      </c>
      <c r="U736" s="255">
        <f>IF(R736&gt;0,S736*100/R736,0)</f>
        <v>0</v>
      </c>
    </row>
    <row r="737" spans="1:21" ht="19.5">
      <c r="A737" s="166"/>
      <c r="B737" s="167"/>
      <c r="C737" s="205" t="s">
        <v>18</v>
      </c>
      <c r="D737" s="560" t="s">
        <v>38</v>
      </c>
      <c r="E737" s="232"/>
      <c r="F737" s="169"/>
      <c r="G737" s="170"/>
      <c r="H737" s="206"/>
      <c r="I737" s="54"/>
      <c r="J737" s="54"/>
      <c r="K737" s="55"/>
      <c r="L737" s="62"/>
      <c r="M737" s="55"/>
      <c r="N737" s="55"/>
      <c r="O737" s="55"/>
      <c r="P737" s="55"/>
      <c r="Q737" s="55"/>
      <c r="R737" s="55"/>
      <c r="S737" s="55"/>
      <c r="T737" s="55"/>
      <c r="U737" s="55"/>
    </row>
    <row r="738" spans="1:21" ht="19.5">
      <c r="A738" s="166"/>
      <c r="B738" s="167"/>
      <c r="C738" s="167"/>
      <c r="D738" s="488" t="s">
        <v>121</v>
      </c>
      <c r="E738" s="167"/>
      <c r="F738" s="167"/>
      <c r="G738" s="171"/>
      <c r="H738" s="208"/>
      <c r="I738" s="54"/>
      <c r="J738" s="54"/>
      <c r="K738" s="55"/>
      <c r="L738" s="62"/>
      <c r="M738" s="55"/>
      <c r="N738" s="55"/>
      <c r="O738" s="55"/>
      <c r="P738" s="55"/>
      <c r="Q738" s="55"/>
      <c r="R738" s="55"/>
      <c r="S738" s="55"/>
      <c r="T738" s="55"/>
      <c r="U738" s="55"/>
    </row>
    <row r="739" spans="1:21" ht="18.75">
      <c r="A739" s="166"/>
      <c r="B739" s="167"/>
      <c r="C739" s="167"/>
      <c r="D739" s="167"/>
      <c r="E739" s="460" t="s">
        <v>271</v>
      </c>
      <c r="F739" s="167"/>
      <c r="G739" s="171"/>
      <c r="H739" s="208"/>
      <c r="I739" s="54"/>
      <c r="J739" s="54"/>
      <c r="K739" s="55"/>
      <c r="L739" s="62"/>
      <c r="M739" s="55"/>
      <c r="N739" s="55"/>
      <c r="O739" s="55"/>
      <c r="P739" s="55"/>
      <c r="Q739" s="55"/>
      <c r="R739" s="55"/>
      <c r="S739" s="55"/>
      <c r="T739" s="55"/>
      <c r="U739" s="55"/>
    </row>
    <row r="740" spans="1:21" ht="18.75">
      <c r="A740" s="554"/>
      <c r="B740" s="553"/>
      <c r="C740" s="553"/>
      <c r="D740" s="553"/>
      <c r="E740" s="553"/>
      <c r="F740" s="558" t="s">
        <v>272</v>
      </c>
      <c r="G740" s="550"/>
      <c r="H740" s="549" t="s">
        <v>46</v>
      </c>
      <c r="I740" s="556">
        <f ca="1">IFERROR(__xludf.DUMMYFUNCTION("IMPORTRANGE(""https://docs.google.com/spreadsheets/d/1eHaY18a8A9IcSdp1K8H6x8fbOy06t2VsZHhMHf-1x7Y/edit?usp=sharing"",""แผน!GB44"")"),1000)</f>
        <v>1000</v>
      </c>
      <c r="J740" s="547">
        <v>0</v>
      </c>
      <c r="K740" s="555">
        <f ca="1">IF(I740&gt;0,J740*100/I740,0)</f>
        <v>0</v>
      </c>
      <c r="L740" s="546"/>
      <c r="M740" s="545"/>
      <c r="N740" s="545"/>
      <c r="O740" s="545"/>
      <c r="P740" s="545"/>
      <c r="Q740" s="545"/>
      <c r="R740" s="545"/>
      <c r="S740" s="545"/>
      <c r="T740" s="545"/>
      <c r="U740" s="545"/>
    </row>
    <row r="741" spans="1:21" ht="18.75">
      <c r="A741" s="554"/>
      <c r="B741" s="553"/>
      <c r="C741" s="553"/>
      <c r="D741" s="553"/>
      <c r="E741" s="553"/>
      <c r="F741" s="558" t="s">
        <v>307</v>
      </c>
      <c r="G741" s="550"/>
      <c r="H741" s="549" t="s">
        <v>35</v>
      </c>
      <c r="I741" s="548"/>
      <c r="J741" s="547">
        <v>0</v>
      </c>
      <c r="K741" s="545"/>
      <c r="L741" s="546"/>
      <c r="M741" s="545"/>
      <c r="N741" s="545"/>
      <c r="O741" s="545"/>
      <c r="P741" s="545"/>
      <c r="Q741" s="545"/>
      <c r="R741" s="545"/>
      <c r="S741" s="545"/>
      <c r="T741" s="545"/>
      <c r="U741" s="545"/>
    </row>
    <row r="742" spans="1:21" ht="18.75">
      <c r="A742" s="554"/>
      <c r="B742" s="553"/>
      <c r="C742" s="553"/>
      <c r="D742" s="553"/>
      <c r="E742" s="553"/>
      <c r="F742" s="558" t="s">
        <v>306</v>
      </c>
      <c r="G742" s="550"/>
      <c r="H742" s="549" t="s">
        <v>35</v>
      </c>
      <c r="I742" s="556">
        <f ca="1">IFERROR(__xludf.DUMMYFUNCTION("IMPORTRANGE(""https://docs.google.com/spreadsheets/d/1eHaY18a8A9IcSdp1K8H6x8fbOy06t2VsZHhMHf-1x7Y/edit?usp=sharing"",""แผน!GC44"")"),100)</f>
        <v>100</v>
      </c>
      <c r="J742" s="547">
        <v>0</v>
      </c>
      <c r="K742" s="555">
        <f ca="1">IF(I742&gt;0,J742*100/I742,0)</f>
        <v>0</v>
      </c>
      <c r="L742" s="546"/>
      <c r="M742" s="545"/>
      <c r="N742" s="545"/>
      <c r="O742" s="545"/>
      <c r="P742" s="545"/>
      <c r="Q742" s="545"/>
      <c r="R742" s="545"/>
      <c r="S742" s="545"/>
      <c r="T742" s="545"/>
      <c r="U742" s="545"/>
    </row>
    <row r="743" spans="1:21" ht="18.75">
      <c r="A743" s="554"/>
      <c r="B743" s="553"/>
      <c r="C743" s="553"/>
      <c r="D743" s="553"/>
      <c r="E743" s="558" t="s">
        <v>275</v>
      </c>
      <c r="F743" s="553"/>
      <c r="G743" s="550"/>
      <c r="H743" s="557"/>
      <c r="I743" s="548"/>
      <c r="J743" s="548"/>
      <c r="K743" s="545"/>
      <c r="L743" s="546"/>
      <c r="M743" s="545"/>
      <c r="N743" s="545"/>
      <c r="O743" s="545"/>
      <c r="P743" s="545"/>
      <c r="Q743" s="545"/>
      <c r="R743" s="545"/>
      <c r="S743" s="545"/>
      <c r="T743" s="545"/>
      <c r="U743" s="545"/>
    </row>
    <row r="744" spans="1:21" ht="18.75">
      <c r="A744" s="554"/>
      <c r="B744" s="553"/>
      <c r="C744" s="553"/>
      <c r="D744" s="553"/>
      <c r="E744" s="553"/>
      <c r="F744" s="558" t="s">
        <v>272</v>
      </c>
      <c r="G744" s="550"/>
      <c r="H744" s="549" t="s">
        <v>46</v>
      </c>
      <c r="I744" s="556">
        <f ca="1">IFERROR(__xludf.DUMMYFUNCTION("IMPORTRANGE(""https://docs.google.com/spreadsheets/d/1eHaY18a8A9IcSdp1K8H6x8fbOy06t2VsZHhMHf-1x7Y/edit?usp=sharing"",""แผน!GD44"")"),250)</f>
        <v>250</v>
      </c>
      <c r="J744" s="547">
        <v>0</v>
      </c>
      <c r="K744" s="555">
        <f ca="1">IF(I744&gt;0,J744*100/I744,0)</f>
        <v>0</v>
      </c>
      <c r="L744" s="546"/>
      <c r="M744" s="545"/>
      <c r="N744" s="545"/>
      <c r="O744" s="545"/>
      <c r="P744" s="545"/>
      <c r="Q744" s="545"/>
      <c r="R744" s="545"/>
      <c r="S744" s="545"/>
      <c r="T744" s="545"/>
      <c r="U744" s="545"/>
    </row>
    <row r="745" spans="1:21" ht="18.75">
      <c r="A745" s="554"/>
      <c r="B745" s="553"/>
      <c r="C745" s="553"/>
      <c r="D745" s="553"/>
      <c r="E745" s="553"/>
      <c r="F745" s="558" t="s">
        <v>305</v>
      </c>
      <c r="G745" s="550"/>
      <c r="H745" s="549" t="s">
        <v>35</v>
      </c>
      <c r="I745" s="548"/>
      <c r="J745" s="547">
        <v>0</v>
      </c>
      <c r="K745" s="545"/>
      <c r="L745" s="546"/>
      <c r="M745" s="545"/>
      <c r="N745" s="545"/>
      <c r="O745" s="545"/>
      <c r="P745" s="545"/>
      <c r="Q745" s="545"/>
      <c r="R745" s="545"/>
      <c r="S745" s="545"/>
      <c r="T745" s="545"/>
      <c r="U745" s="545"/>
    </row>
    <row r="746" spans="1:21" ht="18.75">
      <c r="A746" s="554"/>
      <c r="B746" s="553"/>
      <c r="C746" s="553"/>
      <c r="D746" s="553"/>
      <c r="E746" s="553"/>
      <c r="F746" s="558" t="s">
        <v>304</v>
      </c>
      <c r="G746" s="550"/>
      <c r="H746" s="549" t="s">
        <v>35</v>
      </c>
      <c r="I746" s="556">
        <f ca="1">IFERROR(__xludf.DUMMYFUNCTION("IMPORTRANGE(""https://docs.google.com/spreadsheets/d/1eHaY18a8A9IcSdp1K8H6x8fbOy06t2VsZHhMHf-1x7Y/edit?usp=sharing"",""แผน!GE44"")"),25)</f>
        <v>25</v>
      </c>
      <c r="J746" s="547">
        <v>0</v>
      </c>
      <c r="K746" s="555">
        <f ca="1">IF(I746&gt;0,J746*100/I746,0)</f>
        <v>0</v>
      </c>
      <c r="L746" s="546"/>
      <c r="M746" s="545"/>
      <c r="N746" s="545"/>
      <c r="O746" s="545"/>
      <c r="P746" s="545"/>
      <c r="Q746" s="545"/>
      <c r="R746" s="545"/>
      <c r="S746" s="545"/>
      <c r="T746" s="545"/>
      <c r="U746" s="545"/>
    </row>
    <row r="747" spans="1:21" ht="18.75">
      <c r="A747" s="554"/>
      <c r="B747" s="553"/>
      <c r="C747" s="553"/>
      <c r="D747" s="553"/>
      <c r="E747" s="558" t="s">
        <v>278</v>
      </c>
      <c r="F747" s="552"/>
      <c r="G747" s="550"/>
      <c r="H747" s="557"/>
      <c r="I747" s="548"/>
      <c r="J747" s="548"/>
      <c r="K747" s="545"/>
      <c r="L747" s="546"/>
      <c r="M747" s="545"/>
      <c r="N747" s="545"/>
      <c r="O747" s="545"/>
      <c r="P747" s="545"/>
      <c r="Q747" s="545"/>
      <c r="R747" s="545"/>
      <c r="S747" s="545"/>
      <c r="T747" s="545"/>
      <c r="U747" s="545"/>
    </row>
    <row r="748" spans="1:21" ht="18.75">
      <c r="A748" s="554"/>
      <c r="B748" s="553"/>
      <c r="C748" s="553"/>
      <c r="D748" s="553"/>
      <c r="E748" s="553"/>
      <c r="F748" s="558" t="s">
        <v>303</v>
      </c>
      <c r="G748" s="550"/>
      <c r="H748" s="549" t="s">
        <v>35</v>
      </c>
      <c r="I748" s="548"/>
      <c r="J748" s="547">
        <v>0</v>
      </c>
      <c r="K748" s="545"/>
      <c r="L748" s="546"/>
      <c r="M748" s="545"/>
      <c r="N748" s="545"/>
      <c r="O748" s="545"/>
      <c r="P748" s="545"/>
      <c r="Q748" s="545"/>
      <c r="R748" s="545"/>
      <c r="S748" s="545"/>
      <c r="T748" s="545"/>
      <c r="U748" s="545"/>
    </row>
    <row r="749" spans="1:21" ht="18.75">
      <c r="A749" s="554"/>
      <c r="B749" s="553"/>
      <c r="C749" s="553"/>
      <c r="D749" s="553"/>
      <c r="E749" s="553"/>
      <c r="F749" s="558" t="s">
        <v>302</v>
      </c>
      <c r="G749" s="550"/>
      <c r="H749" s="549" t="s">
        <v>35</v>
      </c>
      <c r="I749" s="556">
        <f ca="1">IFERROR(__xludf.DUMMYFUNCTION("IMPORTRANGE(""https://docs.google.com/spreadsheets/d/1eHaY18a8A9IcSdp1K8H6x8fbOy06t2VsZHhMHf-1x7Y/edit?usp=sharing"",""แผน!GF44"")"),3)</f>
        <v>3</v>
      </c>
      <c r="J749" s="547">
        <v>0</v>
      </c>
      <c r="K749" s="555">
        <f ca="1">IF(I749&gt;0,J749*100/I749,0)</f>
        <v>0</v>
      </c>
      <c r="L749" s="546"/>
      <c r="M749" s="545"/>
      <c r="N749" s="545"/>
      <c r="O749" s="545"/>
      <c r="P749" s="545"/>
      <c r="Q749" s="545"/>
      <c r="R749" s="545"/>
      <c r="S749" s="545"/>
      <c r="T749" s="545"/>
      <c r="U749" s="545"/>
    </row>
    <row r="750" spans="1:21" ht="19.5">
      <c r="A750" s="554"/>
      <c r="B750" s="553"/>
      <c r="C750" s="553"/>
      <c r="D750" s="559" t="s">
        <v>50</v>
      </c>
      <c r="E750" s="553"/>
      <c r="F750" s="552"/>
      <c r="G750" s="550"/>
      <c r="H750" s="557"/>
      <c r="I750" s="548"/>
      <c r="J750" s="548"/>
      <c r="K750" s="545"/>
      <c r="L750" s="546"/>
      <c r="M750" s="545"/>
      <c r="N750" s="545"/>
      <c r="O750" s="545"/>
      <c r="P750" s="545"/>
      <c r="Q750" s="545"/>
      <c r="R750" s="545"/>
      <c r="S750" s="545"/>
      <c r="T750" s="545"/>
      <c r="U750" s="545"/>
    </row>
    <row r="751" spans="1:21" ht="18.75">
      <c r="A751" s="554"/>
      <c r="B751" s="553"/>
      <c r="C751" s="553"/>
      <c r="D751" s="553"/>
      <c r="E751" s="558" t="s">
        <v>271</v>
      </c>
      <c r="F751" s="552"/>
      <c r="G751" s="550"/>
      <c r="H751" s="557"/>
      <c r="I751" s="548"/>
      <c r="J751" s="548"/>
      <c r="K751" s="545"/>
      <c r="L751" s="546"/>
      <c r="M751" s="545"/>
      <c r="N751" s="545"/>
      <c r="O751" s="545"/>
      <c r="P751" s="545"/>
      <c r="Q751" s="545"/>
      <c r="R751" s="545"/>
      <c r="S751" s="545"/>
      <c r="T751" s="545"/>
      <c r="U751" s="545"/>
    </row>
    <row r="752" spans="1:21" ht="18.75">
      <c r="A752" s="554"/>
      <c r="B752" s="553"/>
      <c r="C752" s="553"/>
      <c r="D752" s="553"/>
      <c r="E752" s="553"/>
      <c r="F752" s="551" t="s">
        <v>301</v>
      </c>
      <c r="G752" s="550"/>
      <c r="H752" s="549" t="s">
        <v>46</v>
      </c>
      <c r="I752" s="556">
        <f ca="1">IFERROR(__xludf.DUMMYFUNCTION("IMPORTRANGE(""https://docs.google.com/spreadsheets/d/1eHaY18a8A9IcSdp1K8H6x8fbOy06t2VsZHhMHf-1x7Y/edit?usp=sharing"",""แผน!GB44"")"),1000)</f>
        <v>1000</v>
      </c>
      <c r="J752" s="547">
        <v>0</v>
      </c>
      <c r="K752" s="555">
        <f ca="1">IF(I752&gt;0,J752*100/I752,0)</f>
        <v>0</v>
      </c>
      <c r="L752" s="546"/>
      <c r="M752" s="545"/>
      <c r="N752" s="545"/>
      <c r="O752" s="545"/>
      <c r="P752" s="545"/>
      <c r="Q752" s="545"/>
      <c r="R752" s="545"/>
      <c r="S752" s="545"/>
      <c r="T752" s="545"/>
      <c r="U752" s="545"/>
    </row>
    <row r="753" spans="1:21" ht="18.75">
      <c r="A753" s="554"/>
      <c r="B753" s="553"/>
      <c r="C753" s="553"/>
      <c r="D753" s="553"/>
      <c r="E753" s="553"/>
      <c r="F753" s="551" t="s">
        <v>300</v>
      </c>
      <c r="G753" s="550"/>
      <c r="H753" s="549" t="s">
        <v>46</v>
      </c>
      <c r="I753" s="548"/>
      <c r="J753" s="547">
        <v>0</v>
      </c>
      <c r="K753" s="545"/>
      <c r="L753" s="546"/>
      <c r="M753" s="545"/>
      <c r="N753" s="545"/>
      <c r="O753" s="545"/>
      <c r="P753" s="545"/>
      <c r="Q753" s="545"/>
      <c r="R753" s="545"/>
      <c r="S753" s="545"/>
      <c r="T753" s="545"/>
      <c r="U753" s="545"/>
    </row>
    <row r="754" spans="1:21" ht="18.75">
      <c r="A754" s="554"/>
      <c r="B754" s="553"/>
      <c r="C754" s="553"/>
      <c r="D754" s="553"/>
      <c r="E754" s="558" t="s">
        <v>275</v>
      </c>
      <c r="F754" s="552"/>
      <c r="G754" s="550"/>
      <c r="H754" s="557"/>
      <c r="I754" s="548"/>
      <c r="J754" s="548"/>
      <c r="K754" s="545"/>
      <c r="L754" s="546"/>
      <c r="M754" s="545"/>
      <c r="N754" s="545"/>
      <c r="O754" s="545"/>
      <c r="P754" s="545"/>
      <c r="Q754" s="545"/>
      <c r="R754" s="545"/>
      <c r="S754" s="545"/>
      <c r="T754" s="545"/>
      <c r="U754" s="545"/>
    </row>
    <row r="755" spans="1:21" ht="18.75">
      <c r="A755" s="554"/>
      <c r="B755" s="553"/>
      <c r="C755" s="553"/>
      <c r="D755" s="553"/>
      <c r="E755" s="552"/>
      <c r="F755" s="551" t="s">
        <v>299</v>
      </c>
      <c r="G755" s="550"/>
      <c r="H755" s="549" t="s">
        <v>46</v>
      </c>
      <c r="I755" s="556">
        <f ca="1">IFERROR(__xludf.DUMMYFUNCTION("IMPORTRANGE(""https://docs.google.com/spreadsheets/d/1eHaY18a8A9IcSdp1K8H6x8fbOy06t2VsZHhMHf-1x7Y/edit?usp=sharing"",""แผน!GD44"")"),250)</f>
        <v>250</v>
      </c>
      <c r="J755" s="547">
        <v>0</v>
      </c>
      <c r="K755" s="555">
        <f ca="1">IF(I755&gt;0,J755*100/I755,0)</f>
        <v>0</v>
      </c>
      <c r="L755" s="546"/>
      <c r="M755" s="545"/>
      <c r="N755" s="545"/>
      <c r="O755" s="545"/>
      <c r="P755" s="545"/>
      <c r="Q755" s="545"/>
      <c r="R755" s="545"/>
      <c r="S755" s="545"/>
      <c r="T755" s="545"/>
      <c r="U755" s="545"/>
    </row>
    <row r="756" spans="1:21" ht="18.75">
      <c r="A756" s="554"/>
      <c r="B756" s="553"/>
      <c r="C756" s="553"/>
      <c r="D756" s="553"/>
      <c r="E756" s="552"/>
      <c r="F756" s="551" t="s">
        <v>298</v>
      </c>
      <c r="G756" s="550"/>
      <c r="H756" s="549" t="s">
        <v>46</v>
      </c>
      <c r="I756" s="548"/>
      <c r="J756" s="547">
        <v>0</v>
      </c>
      <c r="K756" s="545"/>
      <c r="L756" s="546"/>
      <c r="M756" s="545"/>
      <c r="N756" s="545"/>
      <c r="O756" s="545"/>
      <c r="P756" s="545"/>
      <c r="Q756" s="545"/>
      <c r="R756" s="545"/>
      <c r="S756" s="545"/>
      <c r="T756" s="545"/>
      <c r="U756" s="545"/>
    </row>
    <row r="757" spans="1:21" ht="18.75">
      <c r="A757" s="489"/>
      <c r="B757" s="489"/>
      <c r="C757" s="489"/>
      <c r="D757" s="489"/>
      <c r="E757" s="490" t="s">
        <v>285</v>
      </c>
      <c r="F757" s="491"/>
      <c r="G757" s="492"/>
      <c r="H757" s="493" t="s">
        <v>35</v>
      </c>
      <c r="I757" s="494"/>
      <c r="J757" s="495">
        <v>0</v>
      </c>
      <c r="K757" s="496"/>
      <c r="L757" s="496"/>
      <c r="M757" s="496"/>
      <c r="N757" s="496"/>
      <c r="O757" s="496"/>
      <c r="P757" s="496"/>
      <c r="Q757" s="496"/>
      <c r="R757" s="496"/>
      <c r="S757" s="496"/>
      <c r="T757" s="496"/>
      <c r="U757" s="496"/>
    </row>
    <row r="758" spans="1:21" ht="19.5">
      <c r="A758" s="442"/>
      <c r="B758" s="443" t="s">
        <v>286</v>
      </c>
      <c r="C758" s="442"/>
      <c r="D758" s="444"/>
      <c r="E758" s="444"/>
      <c r="F758" s="444"/>
      <c r="G758" s="445"/>
      <c r="H758" s="473" t="s">
        <v>35</v>
      </c>
      <c r="I758" s="544">
        <f ca="1">I772</f>
        <v>55</v>
      </c>
      <c r="J758" s="544">
        <f>J772</f>
        <v>0</v>
      </c>
      <c r="K758" s="543">
        <f ca="1">IF(I758&gt;0,J758*100/I758,0)</f>
        <v>0</v>
      </c>
      <c r="L758" s="449"/>
      <c r="M758" s="448"/>
      <c r="N758" s="448"/>
      <c r="O758" s="448"/>
      <c r="P758" s="448"/>
      <c r="Q758" s="448"/>
      <c r="R758" s="448"/>
      <c r="S758" s="448"/>
      <c r="T758" s="448"/>
      <c r="U758" s="448"/>
    </row>
    <row r="759" spans="1:21" ht="19.5">
      <c r="A759" s="487"/>
      <c r="B759" s="442"/>
      <c r="C759" s="442"/>
      <c r="D759" s="444"/>
      <c r="E759" s="444"/>
      <c r="F759" s="444"/>
      <c r="G759" s="445"/>
      <c r="H759" s="473" t="s">
        <v>46</v>
      </c>
      <c r="I759" s="544">
        <f ca="1">I774</f>
        <v>230</v>
      </c>
      <c r="J759" s="544">
        <f>J774</f>
        <v>0</v>
      </c>
      <c r="K759" s="543">
        <f ca="1">IF(I759&gt;0,J759*100/I759,0)</f>
        <v>0</v>
      </c>
      <c r="L759" s="449"/>
      <c r="M759" s="448"/>
      <c r="N759" s="448"/>
      <c r="O759" s="448"/>
      <c r="P759" s="448"/>
      <c r="Q759" s="448"/>
      <c r="R759" s="448"/>
      <c r="S759" s="448"/>
      <c r="T759" s="448"/>
      <c r="U759" s="448"/>
    </row>
    <row r="760" spans="1:21" ht="19.5">
      <c r="A760" s="155"/>
      <c r="B760" s="188"/>
      <c r="C760" s="205" t="s">
        <v>18</v>
      </c>
      <c r="D760" s="542" t="s">
        <v>19</v>
      </c>
      <c r="E760" s="529"/>
      <c r="F760" s="529"/>
      <c r="G760" s="530"/>
      <c r="H760" s="252" t="s">
        <v>14</v>
      </c>
      <c r="I760" s="54"/>
      <c r="J760" s="54"/>
      <c r="K760" s="55"/>
      <c r="L760" s="541">
        <f>L761+L762</f>
        <v>0</v>
      </c>
      <c r="M760" s="540">
        <f>M761+M762</f>
        <v>0</v>
      </c>
      <c r="N760" s="540">
        <f>N761+N762</f>
        <v>0</v>
      </c>
      <c r="O760" s="540">
        <f>IF(L760&gt;0,N760*100/L760,0)</f>
        <v>0</v>
      </c>
      <c r="P760" s="540">
        <f>IF(M760&gt;0,N760*100/M760,0)</f>
        <v>0</v>
      </c>
      <c r="Q760" s="540">
        <f ca="1">Q761+Q762</f>
        <v>521950</v>
      </c>
      <c r="R760" s="540">
        <f ca="1">R761+R762</f>
        <v>521950</v>
      </c>
      <c r="S760" s="540">
        <f ca="1">S761+S762</f>
        <v>83280</v>
      </c>
      <c r="T760" s="540">
        <f ca="1">IF(Q760&gt;0,S760*100/Q760,0)</f>
        <v>15.955551298017051</v>
      </c>
      <c r="U760" s="540">
        <f ca="1">IF(R760&gt;0,S760*100/R760,0)</f>
        <v>15.955551298017051</v>
      </c>
    </row>
    <row r="761" spans="1:21" ht="18.75" hidden="1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103">
        <f>L764+L767</f>
        <v>0</v>
      </c>
      <c r="M761" s="102">
        <f>M764+M767</f>
        <v>0</v>
      </c>
      <c r="N761" s="102">
        <f>N764+N767</f>
        <v>0</v>
      </c>
      <c r="O761" s="102">
        <f>IF(L761&gt;0,N761*100/L761,0)</f>
        <v>0</v>
      </c>
      <c r="P761" s="102">
        <f>IF(M761&gt;0,N761*100/M761,0)</f>
        <v>0</v>
      </c>
      <c r="Q761" s="102">
        <f>Q764+Q767</f>
        <v>0</v>
      </c>
      <c r="R761" s="102">
        <f>R764+R767</f>
        <v>0</v>
      </c>
      <c r="S761" s="102">
        <f>S764+S767</f>
        <v>0</v>
      </c>
      <c r="T761" s="102">
        <f>IF(Q761&gt;0,S761*100/Q761,0)</f>
        <v>0</v>
      </c>
      <c r="U761" s="102">
        <f>IF(R761&gt;0,S761*100/R761,0)</f>
        <v>0</v>
      </c>
    </row>
    <row r="762" spans="1:21" ht="18.75" hidden="1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256">
        <f>L765+L768</f>
        <v>0</v>
      </c>
      <c r="M762" s="255">
        <f>M765+M768</f>
        <v>0</v>
      </c>
      <c r="N762" s="255">
        <f>N765+N768</f>
        <v>0</v>
      </c>
      <c r="O762" s="255">
        <f>IF(L762&gt;0,N762*100/L762,0)</f>
        <v>0</v>
      </c>
      <c r="P762" s="255">
        <f>IF(M762&gt;0,N762*100/M762,0)</f>
        <v>0</v>
      </c>
      <c r="Q762" s="255">
        <f ca="1">Q765+Q768</f>
        <v>521950</v>
      </c>
      <c r="R762" s="255">
        <f ca="1">R765+R768</f>
        <v>521950</v>
      </c>
      <c r="S762" s="255">
        <f ca="1">S765+S768</f>
        <v>83280</v>
      </c>
      <c r="T762" s="255">
        <f ca="1">IF(Q762&gt;0,S762*100/Q762,0)</f>
        <v>15.955551298017051</v>
      </c>
      <c r="U762" s="255">
        <f ca="1">IF(R762&gt;0,S762*100/R762,0)</f>
        <v>15.955551298017051</v>
      </c>
    </row>
    <row r="763" spans="1:21" ht="18.75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256">
        <f>L764+L765</f>
        <v>0</v>
      </c>
      <c r="M763" s="255">
        <f>M764+M765</f>
        <v>0</v>
      </c>
      <c r="N763" s="255">
        <f>N764+N765</f>
        <v>0</v>
      </c>
      <c r="O763" s="255">
        <f>IF(L763&gt;0,N763*100/L763,0)</f>
        <v>0</v>
      </c>
      <c r="P763" s="255">
        <f>IF(M763&gt;0,N763*100/M763,0)</f>
        <v>0</v>
      </c>
      <c r="Q763" s="255">
        <f ca="1">Q764+Q765</f>
        <v>521950</v>
      </c>
      <c r="R763" s="255">
        <f ca="1">R764+R765</f>
        <v>521950</v>
      </c>
      <c r="S763" s="255">
        <f ca="1">S764+S765</f>
        <v>83280</v>
      </c>
      <c r="T763" s="255">
        <f ca="1">IF(Q763&gt;0,S763*100/Q763,0)</f>
        <v>15.955551298017051</v>
      </c>
      <c r="U763" s="255">
        <f ca="1">IF(R763&gt;0,S763*100/R763,0)</f>
        <v>15.955551298017051</v>
      </c>
    </row>
    <row r="764" spans="1:21" ht="18.75" hidden="1">
      <c r="A764" s="155"/>
      <c r="B764" s="188"/>
      <c r="C764" s="202"/>
      <c r="D764" s="174"/>
      <c r="E764" s="186" t="s">
        <v>159</v>
      </c>
      <c r="F764" s="50"/>
      <c r="G764" s="52"/>
      <c r="H764" s="189" t="s">
        <v>14</v>
      </c>
      <c r="I764" s="54"/>
      <c r="J764" s="54"/>
      <c r="K764" s="55"/>
      <c r="L764" s="103">
        <v>0</v>
      </c>
      <c r="M764" s="102">
        <v>0</v>
      </c>
      <c r="N764" s="102">
        <v>0</v>
      </c>
      <c r="O764" s="102">
        <f>IF(L764&gt;0,N764*100/L764,0)</f>
        <v>0</v>
      </c>
      <c r="P764" s="102">
        <f>IF(M764&gt;0,N764*100/M764,0)</f>
        <v>0</v>
      </c>
      <c r="Q764" s="102">
        <v>0</v>
      </c>
      <c r="R764" s="102">
        <v>0</v>
      </c>
      <c r="S764" s="102">
        <v>0</v>
      </c>
      <c r="T764" s="102">
        <f>IF(Q764&gt;0,S764*100/Q764,0)</f>
        <v>0</v>
      </c>
      <c r="U764" s="102">
        <f>IF(R764&gt;0,S764*100/R764,0)</f>
        <v>0</v>
      </c>
    </row>
    <row r="765" spans="1:21" ht="18.75" hidden="1">
      <c r="A765" s="155"/>
      <c r="B765" s="188"/>
      <c r="C765" s="202"/>
      <c r="D765" s="174"/>
      <c r="E765" s="58" t="s">
        <v>160</v>
      </c>
      <c r="F765" s="50"/>
      <c r="G765" s="52"/>
      <c r="H765" s="162" t="s">
        <v>14</v>
      </c>
      <c r="I765" s="54"/>
      <c r="J765" s="54"/>
      <c r="K765" s="55"/>
      <c r="L765" s="256">
        <v>0</v>
      </c>
      <c r="M765" s="255">
        <v>0</v>
      </c>
      <c r="N765" s="255">
        <v>0</v>
      </c>
      <c r="O765" s="255">
        <f>IF(L765&gt;0,N765*100/L765,0)</f>
        <v>0</v>
      </c>
      <c r="P765" s="255">
        <f>IF(M765&gt;0,N765*100/M765,0)</f>
        <v>0</v>
      </c>
      <c r="Q765" s="255">
        <f ca="1">IFERROR(__xludf.DUMMYFUNCTION("IMPORTRANGE(""https://docs.google.com/spreadsheets/d/1ItG2mGa2ceCfYo0BwxsXqNm01IGEUdYcSSLTEv9YCik/edit?usp=sharing"",""เบิกจ่ายกองทุน!U44"")"),521950)</f>
        <v>521950</v>
      </c>
      <c r="R765" s="255">
        <f ca="1">IFERROR(__xludf.DUMMYFUNCTION("IMPORTRANGE(""https://docs.google.com/spreadsheets/d/1ItG2mGa2ceCfYo0BwxsXqNm01IGEUdYcSSLTEv9YCik/edit?usp=sharing"",""เบิกจ่ายกองทุน!V44"")"),521950)</f>
        <v>521950</v>
      </c>
      <c r="S765" s="255">
        <f ca="1">IFERROR(__xludf.DUMMYFUNCTION("IMPORTRANGE(""https://docs.google.com/spreadsheets/d/1ItG2mGa2ceCfYo0BwxsXqNm01IGEUdYcSSLTEv9YCik/edit?usp=sharing"",""เบิกจ่ายกองทุน!W44"")"),83280)</f>
        <v>83280</v>
      </c>
      <c r="T765" s="255">
        <f ca="1">IF(Q765&gt;0,S765*100/Q765,0)</f>
        <v>15.955551298017051</v>
      </c>
      <c r="U765" s="255">
        <f ca="1">IF(R765&gt;0,S765*100/R765,0)</f>
        <v>15.955551298017051</v>
      </c>
    </row>
    <row r="766" spans="1:21" ht="18.75">
      <c r="A766" s="155"/>
      <c r="B766" s="188"/>
      <c r="C766" s="188"/>
      <c r="D766" s="51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256">
        <f>L767+L768</f>
        <v>0</v>
      </c>
      <c r="M766" s="255">
        <f>M767+M768</f>
        <v>0</v>
      </c>
      <c r="N766" s="255">
        <f>N767+N768</f>
        <v>0</v>
      </c>
      <c r="O766" s="255">
        <f>IF(L766&gt;0,N766*100/L766,0)</f>
        <v>0</v>
      </c>
      <c r="P766" s="255">
        <f>IF(M766&gt;0,N766*100/M766,0)</f>
        <v>0</v>
      </c>
      <c r="Q766" s="255">
        <f>Q767+Q768</f>
        <v>0</v>
      </c>
      <c r="R766" s="255">
        <f>R767+R768</f>
        <v>0</v>
      </c>
      <c r="S766" s="255">
        <f>S767+S768</f>
        <v>0</v>
      </c>
      <c r="T766" s="255">
        <f>IF(Q766&gt;0,S766*100/Q766,0)</f>
        <v>0</v>
      </c>
      <c r="U766" s="255">
        <f>IF(R766&gt;0,S766*100/R766,0)</f>
        <v>0</v>
      </c>
    </row>
    <row r="767" spans="1:21" ht="18.75" hidden="1">
      <c r="A767" s="155"/>
      <c r="B767" s="188"/>
      <c r="C767" s="188"/>
      <c r="D767" s="188"/>
      <c r="E767" s="358" t="s">
        <v>20</v>
      </c>
      <c r="F767" s="50"/>
      <c r="G767" s="52"/>
      <c r="H767" s="189" t="s">
        <v>14</v>
      </c>
      <c r="I767" s="163"/>
      <c r="J767" s="163"/>
      <c r="K767" s="164"/>
      <c r="L767" s="103">
        <v>0</v>
      </c>
      <c r="M767" s="102">
        <v>0</v>
      </c>
      <c r="N767" s="102">
        <v>0</v>
      </c>
      <c r="O767" s="102">
        <f>IF(L767&gt;0,N767*100/L767,0)</f>
        <v>0</v>
      </c>
      <c r="P767" s="102">
        <f>IF(M767&gt;0,N767*100/M767,0)</f>
        <v>0</v>
      </c>
      <c r="Q767" s="102">
        <v>0</v>
      </c>
      <c r="R767" s="102">
        <v>0</v>
      </c>
      <c r="S767" s="102">
        <v>0</v>
      </c>
      <c r="T767" s="102">
        <f>IF(Q767&gt;0,S767*100/Q767,0)</f>
        <v>0</v>
      </c>
      <c r="U767" s="102">
        <f>IF(R767&gt;0,S767*100/R767,0)</f>
        <v>0</v>
      </c>
    </row>
    <row r="768" spans="1:21" ht="18.75" hidden="1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256">
        <v>0</v>
      </c>
      <c r="M768" s="255">
        <v>0</v>
      </c>
      <c r="N768" s="255">
        <v>0</v>
      </c>
      <c r="O768" s="255">
        <f>IF(L768&gt;0,N768*100/L768,0)</f>
        <v>0</v>
      </c>
      <c r="P768" s="255">
        <f>IF(M768&gt;0,N768*100/M768,0)</f>
        <v>0</v>
      </c>
      <c r="Q768" s="255">
        <v>0</v>
      </c>
      <c r="R768" s="255">
        <v>0</v>
      </c>
      <c r="S768" s="255">
        <v>0</v>
      </c>
      <c r="T768" s="255">
        <f>IF(Q768&gt;0,S768*100/Q768,0)</f>
        <v>0</v>
      </c>
      <c r="U768" s="255">
        <f>IF(R768&gt;0,S768*100/R768,0)</f>
        <v>0</v>
      </c>
    </row>
    <row r="769" spans="1:21" ht="19.5">
      <c r="A769" s="166"/>
      <c r="B769" s="167"/>
      <c r="C769" s="497" t="s">
        <v>18</v>
      </c>
      <c r="D769" s="539" t="s">
        <v>38</v>
      </c>
      <c r="E769" s="232"/>
      <c r="F769" s="169"/>
      <c r="G769" s="170"/>
      <c r="H769" s="206"/>
      <c r="I769" s="54"/>
      <c r="J769" s="54"/>
      <c r="K769" s="55"/>
      <c r="L769" s="62"/>
      <c r="M769" s="55"/>
      <c r="N769" s="55"/>
      <c r="O769" s="55"/>
      <c r="P769" s="55"/>
      <c r="Q769" s="55"/>
      <c r="R769" s="55"/>
      <c r="S769" s="55"/>
      <c r="T769" s="55"/>
      <c r="U769" s="55"/>
    </row>
    <row r="770" spans="1:21" ht="18.75" hidden="1">
      <c r="A770" s="166"/>
      <c r="B770" s="167"/>
      <c r="C770" s="167"/>
      <c r="D770" s="423" t="s">
        <v>287</v>
      </c>
      <c r="E770" s="167"/>
      <c r="F770" s="174"/>
      <c r="G770" s="171"/>
      <c r="H770" s="421" t="s">
        <v>35</v>
      </c>
      <c r="I770" s="483">
        <f ca="1">IFERROR(__xludf.DUMMYFUNCTION("IMPORTRANGE(""https://docs.google.com/spreadsheets/d/1eHaY18a8A9IcSdp1K8H6x8fbOy06t2VsZHhMHf-1x7Y/edit?usp=sharing"",""แผน!FI44"")"),0)</f>
        <v>0</v>
      </c>
      <c r="J770" s="483">
        <v>0</v>
      </c>
      <c r="K770" s="102">
        <f ca="1">IF(I770&gt;0,J770*100/I770,0)</f>
        <v>0</v>
      </c>
      <c r="L770" s="62"/>
      <c r="M770" s="55"/>
      <c r="N770" s="55"/>
      <c r="O770" s="55"/>
      <c r="P770" s="55"/>
      <c r="Q770" s="55"/>
      <c r="R770" s="55"/>
      <c r="S770" s="55"/>
      <c r="T770" s="55"/>
      <c r="U770" s="55"/>
    </row>
    <row r="771" spans="1:21" ht="18.75" hidden="1">
      <c r="A771" s="166"/>
      <c r="B771" s="167"/>
      <c r="C771" s="167"/>
      <c r="D771" s="423" t="s">
        <v>288</v>
      </c>
      <c r="E771" s="167"/>
      <c r="F771" s="174"/>
      <c r="G771" s="171"/>
      <c r="H771" s="206"/>
      <c r="I771" s="54"/>
      <c r="J771" s="54"/>
      <c r="K771" s="55"/>
      <c r="L771" s="62"/>
      <c r="M771" s="55"/>
      <c r="N771" s="55"/>
      <c r="O771" s="55"/>
      <c r="P771" s="55"/>
      <c r="Q771" s="55"/>
      <c r="R771" s="55"/>
      <c r="S771" s="55"/>
      <c r="T771" s="55"/>
      <c r="U771" s="55"/>
    </row>
    <row r="772" spans="1:21" ht="18.75">
      <c r="A772" s="166"/>
      <c r="B772" s="167"/>
      <c r="C772" s="167"/>
      <c r="D772" s="460" t="s">
        <v>289</v>
      </c>
      <c r="E772" s="167"/>
      <c r="F772" s="174"/>
      <c r="G772" s="171"/>
      <c r="H772" s="165" t="s">
        <v>35</v>
      </c>
      <c r="I772" s="212">
        <f ca="1">IFERROR(__xludf.DUMMYFUNCTION("IMPORTRANGE(""https://docs.google.com/spreadsheets/d/1eHaY18a8A9IcSdp1K8H6x8fbOy06t2VsZHhMHf-1x7Y/edit?usp=sharing"",""แผน!FQ44"")"),55)</f>
        <v>55</v>
      </c>
      <c r="J772" s="467">
        <v>0</v>
      </c>
      <c r="K772" s="255">
        <f ca="1">IF(I772&gt;0,J772*100/I772,0)</f>
        <v>0</v>
      </c>
      <c r="L772" s="62"/>
      <c r="M772" s="55"/>
      <c r="N772" s="55"/>
      <c r="O772" s="55"/>
      <c r="P772" s="55"/>
      <c r="Q772" s="55"/>
      <c r="R772" s="55"/>
      <c r="S772" s="55"/>
      <c r="T772" s="55"/>
      <c r="U772" s="55"/>
    </row>
    <row r="773" spans="1:21" ht="18.75">
      <c r="A773" s="166"/>
      <c r="B773" s="167"/>
      <c r="C773" s="167"/>
      <c r="D773" s="460" t="s">
        <v>290</v>
      </c>
      <c r="E773" s="167"/>
      <c r="F773" s="174"/>
      <c r="G773" s="171"/>
      <c r="H773" s="206"/>
      <c r="I773" s="54"/>
      <c r="J773" s="54"/>
      <c r="K773" s="55"/>
      <c r="L773" s="62"/>
      <c r="M773" s="55"/>
      <c r="N773" s="55"/>
      <c r="O773" s="55"/>
      <c r="P773" s="55"/>
      <c r="Q773" s="55"/>
      <c r="R773" s="55"/>
      <c r="S773" s="55"/>
      <c r="T773" s="55"/>
      <c r="U773" s="55"/>
    </row>
    <row r="774" spans="1:21" ht="18.75">
      <c r="A774" s="166"/>
      <c r="B774" s="167"/>
      <c r="C774" s="167"/>
      <c r="D774" s="460" t="s">
        <v>291</v>
      </c>
      <c r="E774" s="167"/>
      <c r="F774" s="174"/>
      <c r="G774" s="171"/>
      <c r="H774" s="165" t="s">
        <v>46</v>
      </c>
      <c r="I774" s="212">
        <f ca="1">IFERROR(__xludf.DUMMYFUNCTION("IMPORTRANGE(""https://docs.google.com/spreadsheets/d/1eHaY18a8A9IcSdp1K8H6x8fbOy06t2VsZHhMHf-1x7Y/edit?usp=sharing"",""แผน!FR44"")"),230)</f>
        <v>230</v>
      </c>
      <c r="J774" s="467">
        <v>0</v>
      </c>
      <c r="K774" s="255">
        <f ca="1">IF(I774&gt;0,J774*100/I774,0)</f>
        <v>0</v>
      </c>
      <c r="L774" s="62"/>
      <c r="M774" s="55"/>
      <c r="N774" s="55"/>
      <c r="O774" s="55"/>
      <c r="P774" s="55"/>
      <c r="Q774" s="55"/>
      <c r="R774" s="55"/>
      <c r="S774" s="55"/>
      <c r="T774" s="55"/>
      <c r="U774" s="55"/>
    </row>
    <row r="775" spans="1:21" ht="18.75">
      <c r="A775" s="166"/>
      <c r="B775" s="167"/>
      <c r="C775" s="167"/>
      <c r="D775" s="460" t="s">
        <v>50</v>
      </c>
      <c r="E775" s="174"/>
      <c r="F775" s="50"/>
      <c r="G775" s="52"/>
      <c r="H775" s="165" t="s">
        <v>46</v>
      </c>
      <c r="I775" s="212">
        <f ca="1">IFERROR(__xludf.DUMMYFUNCTION("IMPORTRANGE(""https://docs.google.com/spreadsheets/d/1eHaY18a8A9IcSdp1K8H6x8fbOy06t2VsZHhMHf-1x7Y/edit?usp=sharing"",""แผน!FS44"")"),230)</f>
        <v>230</v>
      </c>
      <c r="J775" s="467">
        <v>0</v>
      </c>
      <c r="K775" s="55"/>
      <c r="L775" s="62"/>
      <c r="M775" s="55"/>
      <c r="N775" s="55"/>
      <c r="O775" s="55"/>
      <c r="P775" s="55"/>
      <c r="Q775" s="55"/>
      <c r="R775" s="55"/>
      <c r="S775" s="55"/>
      <c r="T775" s="55"/>
      <c r="U775" s="55"/>
    </row>
    <row r="776" spans="1:21" ht="18.75">
      <c r="A776" s="281"/>
      <c r="B776" s="282"/>
      <c r="C776" s="282"/>
      <c r="D776" s="282"/>
      <c r="E776" s="2"/>
      <c r="F776" s="2"/>
      <c r="G776" s="65"/>
      <c r="H776" s="214" t="s">
        <v>35</v>
      </c>
      <c r="I776" s="216">
        <f ca="1">IFERROR(__xludf.DUMMYFUNCTION("IMPORTRANGE(""https://docs.google.com/spreadsheets/d/1eHaY18a8A9IcSdp1K8H6x8fbOy06t2VsZHhMHf-1x7Y/edit?usp=sharing"",""แผน!FT44"")"),55)</f>
        <v>55</v>
      </c>
      <c r="J776" s="538">
        <v>0</v>
      </c>
      <c r="K776" s="6"/>
      <c r="L776" s="68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>
      <c r="A777" s="537" t="s">
        <v>292</v>
      </c>
      <c r="B777" s="500"/>
      <c r="C777" s="500"/>
      <c r="D777" s="499"/>
      <c r="E777" s="500"/>
      <c r="F777" s="500"/>
      <c r="G777" s="501"/>
      <c r="H777" s="536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503"/>
      <c r="J777" s="504"/>
      <c r="K777" s="505"/>
      <c r="L777" s="505"/>
      <c r="M777" s="505"/>
      <c r="N777" s="505"/>
      <c r="O777" s="505"/>
      <c r="P777" s="505"/>
      <c r="Q777" s="505"/>
      <c r="R777" s="505"/>
      <c r="S777" s="505"/>
      <c r="T777" s="505"/>
      <c r="U777" s="505"/>
    </row>
    <row r="778" spans="1:21" ht="18.75">
      <c r="A778" s="49"/>
      <c r="B778" s="58" t="s">
        <v>293</v>
      </c>
      <c r="C778" s="50"/>
      <c r="D778" s="188"/>
      <c r="E778" s="50"/>
      <c r="F778" s="50"/>
      <c r="G778" s="52"/>
      <c r="H778" s="53" t="s">
        <v>14</v>
      </c>
      <c r="I778" s="212">
        <f ca="1">IFERROR(__xludf.DUMMYFUNCTION("IMPORTRANGE(""https://docs.google.com/spreadsheets/d/10OvvATaaLtwErnr3qtWFcTmtbfpFEt5Bsqel9sXx0uE/edit?usp=sharing"",""งานกองทุน!D44"")"),9479626.27)</f>
        <v>9479626.2699999996</v>
      </c>
      <c r="J778" s="212">
        <f ca="1">IFERROR(__xludf.DUMMYFUNCTION("IMPORTRANGE(""https://docs.google.com/spreadsheets/d/10OvvATaaLtwErnr3qtWFcTmtbfpFEt5Bsqel9sXx0uE/edit?usp=sharing"",""งานกองทุน!F44"")"),5630924.23)</f>
        <v>5630924.2300000004</v>
      </c>
      <c r="K778" s="255">
        <f ca="1">IF(I778&gt;0,J778*100/I778,0)</f>
        <v>59.400276652467653</v>
      </c>
      <c r="L778" s="55"/>
      <c r="M778" s="55"/>
      <c r="N778" s="55"/>
      <c r="O778" s="55"/>
      <c r="P778" s="55"/>
      <c r="Q778" s="55"/>
      <c r="R778" s="55"/>
      <c r="S778" s="55"/>
      <c r="T778" s="55"/>
      <c r="U778" s="55"/>
    </row>
    <row r="779" spans="1:21" ht="18.75">
      <c r="A779" s="49"/>
      <c r="B779" s="50"/>
      <c r="C779" s="50"/>
      <c r="D779" s="188"/>
      <c r="E779" s="50"/>
      <c r="F779" s="50"/>
      <c r="G779" s="52"/>
      <c r="H779" s="53" t="s">
        <v>35</v>
      </c>
      <c r="I779" s="212">
        <f ca="1">IFERROR(__xludf.DUMMYFUNCTION("IMPORTRANGE(""https://docs.google.com/spreadsheets/d/10OvvATaaLtwErnr3qtWFcTmtbfpFEt5Bsqel9sXx0uE/edit?usp=sharing"",""งานกองทุน!C44"")"),581)</f>
        <v>581</v>
      </c>
      <c r="J779" s="212">
        <f ca="1">IFERROR(__xludf.DUMMYFUNCTION("IMPORTRANGE(""https://docs.google.com/spreadsheets/d/10OvvATaaLtwErnr3qtWFcTmtbfpFEt5Bsqel9sXx0uE/edit?usp=sharing"",""งานกองทุน!E44"")"),471)</f>
        <v>471</v>
      </c>
      <c r="K779" s="255">
        <f ca="1">IF(I779&gt;0,J779*100/I779,0)</f>
        <v>81.067125645438892</v>
      </c>
      <c r="L779" s="55"/>
      <c r="M779" s="55"/>
      <c r="N779" s="55"/>
      <c r="O779" s="55"/>
      <c r="P779" s="55"/>
      <c r="Q779" s="55"/>
      <c r="R779" s="55"/>
      <c r="S779" s="55"/>
      <c r="T779" s="55"/>
      <c r="U779" s="55"/>
    </row>
    <row r="780" spans="1:21" ht="18.75">
      <c r="A780" s="49"/>
      <c r="B780" s="58" t="s">
        <v>294</v>
      </c>
      <c r="C780" s="50"/>
      <c r="D780" s="188"/>
      <c r="E780" s="50"/>
      <c r="F780" s="50"/>
      <c r="G780" s="52"/>
      <c r="H780" s="53" t="s">
        <v>14</v>
      </c>
      <c r="I780" s="212">
        <f ca="1">IFERROR(__xludf.DUMMYFUNCTION("IMPORTRANGE(""https://docs.google.com/spreadsheets/d/10OvvATaaLtwErnr3qtWFcTmtbfpFEt5Bsqel9sXx0uE/edit?usp=sharing"",""งานกองทุน!I44"")"),19815343.34)</f>
        <v>19815343.34</v>
      </c>
      <c r="J780" s="212">
        <f ca="1">IFERROR(__xludf.DUMMYFUNCTION("IMPORTRANGE(""https://docs.google.com/spreadsheets/d/10OvvATaaLtwErnr3qtWFcTmtbfpFEt5Bsqel9sXx0uE/edit?usp=sharing"",""งานกองทุน!K44"")"),2064634.11)</f>
        <v>2064634.11</v>
      </c>
      <c r="K780" s="255">
        <f ca="1">IF(I780&gt;0,J780*100/I780,0)</f>
        <v>10.419370861125842</v>
      </c>
      <c r="L780" s="55"/>
      <c r="M780" s="55"/>
      <c r="N780" s="55"/>
      <c r="O780" s="55"/>
      <c r="P780" s="55"/>
      <c r="Q780" s="55"/>
      <c r="R780" s="55"/>
      <c r="S780" s="55"/>
      <c r="T780" s="55"/>
      <c r="U780" s="55"/>
    </row>
    <row r="781" spans="1:21" ht="18.75">
      <c r="A781" s="49"/>
      <c r="B781" s="50"/>
      <c r="C781" s="50"/>
      <c r="D781" s="188"/>
      <c r="E781" s="50"/>
      <c r="F781" s="50"/>
      <c r="G781" s="52"/>
      <c r="H781" s="53" t="s">
        <v>35</v>
      </c>
      <c r="I781" s="212">
        <f ca="1">IFERROR(__xludf.DUMMYFUNCTION("IMPORTRANGE(""https://docs.google.com/spreadsheets/d/10OvvATaaLtwErnr3qtWFcTmtbfpFEt5Bsqel9sXx0uE/edit?usp=sharing"",""งานกองทุน!H44"")"),1113)</f>
        <v>1113</v>
      </c>
      <c r="J781" s="212">
        <f ca="1">IFERROR(__xludf.DUMMYFUNCTION("IMPORTRANGE(""https://docs.google.com/spreadsheets/d/10OvvATaaLtwErnr3qtWFcTmtbfpFEt5Bsqel9sXx0uE/edit?usp=sharing"",""งานกองทุน!J44"")"),315)</f>
        <v>315</v>
      </c>
      <c r="K781" s="255">
        <f ca="1">IF(I781&gt;0,J781*100/I781,0)</f>
        <v>28.30188679245283</v>
      </c>
      <c r="L781" s="55"/>
      <c r="M781" s="55"/>
      <c r="N781" s="55"/>
      <c r="O781" s="55"/>
      <c r="P781" s="55"/>
      <c r="Q781" s="55"/>
      <c r="R781" s="55"/>
      <c r="S781" s="55"/>
      <c r="T781" s="55"/>
      <c r="U781" s="55"/>
    </row>
    <row r="782" spans="1:21" ht="18.75">
      <c r="A782" s="49"/>
      <c r="B782" s="58" t="s">
        <v>295</v>
      </c>
      <c r="C782" s="50"/>
      <c r="D782" s="188"/>
      <c r="E782" s="50"/>
      <c r="F782" s="50"/>
      <c r="G782" s="52"/>
      <c r="H782" s="53" t="s">
        <v>14</v>
      </c>
      <c r="I782" s="212">
        <f ca="1">IFERROR(__xludf.DUMMYFUNCTION("IMPORTRANGE(""https://docs.google.com/spreadsheets/d/10OvvATaaLtwErnr3qtWFcTmtbfpFEt5Bsqel9sXx0uE/edit?usp=sharing"",""งานกองทุน!N44"")"),2258196.63)</f>
        <v>2258196.63</v>
      </c>
      <c r="J782" s="212">
        <f ca="1">IFERROR(__xludf.DUMMYFUNCTION("IMPORTRANGE(""https://docs.google.com/spreadsheets/d/10OvvATaaLtwErnr3qtWFcTmtbfpFEt5Bsqel9sXx0uE/edit?usp=sharing"",""งานกองทุน!P44"")"),195959.74)</f>
        <v>195959.74</v>
      </c>
      <c r="K782" s="255">
        <f ca="1">IF(I782&gt;0,J782*100/I782,0)</f>
        <v>8.6777093454434926</v>
      </c>
      <c r="L782" s="55"/>
      <c r="M782" s="55"/>
      <c r="N782" s="55"/>
      <c r="O782" s="55"/>
      <c r="P782" s="55"/>
      <c r="Q782" s="55"/>
      <c r="R782" s="55"/>
      <c r="S782" s="55"/>
      <c r="T782" s="55"/>
      <c r="U782" s="55"/>
    </row>
    <row r="783" spans="1:21" ht="18.75">
      <c r="A783" s="49"/>
      <c r="B783" s="50"/>
      <c r="C783" s="50"/>
      <c r="D783" s="188"/>
      <c r="E783" s="50"/>
      <c r="F783" s="50"/>
      <c r="G783" s="52"/>
      <c r="H783" s="53" t="s">
        <v>35</v>
      </c>
      <c r="I783" s="212">
        <f ca="1">IFERROR(__xludf.DUMMYFUNCTION("IMPORTRANGE(""https://docs.google.com/spreadsheets/d/10OvvATaaLtwErnr3qtWFcTmtbfpFEt5Bsqel9sXx0uE/edit?usp=sharing"",""งานกองทุน!M44"")"),113)</f>
        <v>113</v>
      </c>
      <c r="J783" s="212">
        <f ca="1">IFERROR(__xludf.DUMMYFUNCTION("IMPORTRANGE(""https://docs.google.com/spreadsheets/d/10OvvATaaLtwErnr3qtWFcTmtbfpFEt5Bsqel9sXx0uE/edit?usp=sharing"",""งานกองทุน!O44"")"),18)</f>
        <v>18</v>
      </c>
      <c r="K783" s="255">
        <f ca="1">IF(I783&gt;0,J783*100/I783,0)</f>
        <v>15.929203539823009</v>
      </c>
      <c r="L783" s="55"/>
      <c r="M783" s="55"/>
      <c r="N783" s="55"/>
      <c r="O783" s="55"/>
      <c r="P783" s="55"/>
      <c r="Q783" s="55"/>
      <c r="R783" s="55"/>
      <c r="S783" s="55"/>
      <c r="T783" s="55"/>
      <c r="U783" s="55"/>
    </row>
    <row r="784" spans="1:21" ht="18.75">
      <c r="A784" s="49"/>
      <c r="B784" s="58" t="s">
        <v>296</v>
      </c>
      <c r="C784" s="50"/>
      <c r="D784" s="188"/>
      <c r="E784" s="50"/>
      <c r="F784" s="50"/>
      <c r="G784" s="52"/>
      <c r="H784" s="53" t="s">
        <v>14</v>
      </c>
      <c r="I784" s="212">
        <f ca="1">IFERROR(__xludf.DUMMYFUNCTION("IMPORTRANGE(""https://docs.google.com/spreadsheets/d/10OvvATaaLtwErnr3qtWFcTmtbfpFEt5Bsqel9sXx0uE/edit?usp=sharing"",""งานกองทุน!S44"")"),9296000)</f>
        <v>9296000</v>
      </c>
      <c r="J784" s="212">
        <f ca="1">IFERROR(__xludf.DUMMYFUNCTION("IMPORTRANGE(""https://docs.google.com/spreadsheets/d/10OvvATaaLtwErnr3qtWFcTmtbfpFEt5Bsqel9sXx0uE/edit?usp=sharing"",""งานกองทุน!U44"")"),11270000)</f>
        <v>11270000</v>
      </c>
      <c r="K784" s="255">
        <f ca="1">IF(I784&gt;0,J784*100/I784,0)</f>
        <v>121.23493975903614</v>
      </c>
      <c r="L784" s="55"/>
      <c r="M784" s="55"/>
      <c r="N784" s="55"/>
      <c r="O784" s="55"/>
      <c r="P784" s="55"/>
      <c r="Q784" s="55"/>
      <c r="R784" s="55"/>
      <c r="S784" s="55"/>
      <c r="T784" s="55"/>
      <c r="U784" s="55"/>
    </row>
    <row r="785" spans="1:21" ht="18.75">
      <c r="A785" s="63"/>
      <c r="B785" s="4"/>
      <c r="C785" s="4"/>
      <c r="D785" s="5"/>
      <c r="E785" s="4"/>
      <c r="F785" s="4"/>
      <c r="G785" s="65"/>
      <c r="H785" s="66" t="s">
        <v>35</v>
      </c>
      <c r="I785" s="216">
        <f ca="1">IFERROR(__xludf.DUMMYFUNCTION("IMPORTRANGE(""https://docs.google.com/spreadsheets/d/10OvvATaaLtwErnr3qtWFcTmtbfpFEt5Bsqel9sXx0uE/edit?usp=sharing"",""งานกองทุน!R44"")"),332)</f>
        <v>332</v>
      </c>
      <c r="J785" s="216">
        <f ca="1">IFERROR(__xludf.DUMMYFUNCTION("IMPORTRANGE(""https://docs.google.com/spreadsheets/d/10OvvATaaLtwErnr3qtWFcTmtbfpFEt5Bsqel9sXx0uE/edit?usp=sharing"",""งานกองทุน!T44"")"),254)</f>
        <v>254</v>
      </c>
      <c r="K785" s="506">
        <f ca="1">IF(I785&gt;0,J785*100/I785,0)</f>
        <v>76.506024096385545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6.5">
      <c r="A787" s="535" t="s">
        <v>297</v>
      </c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6.5">
      <c r="A788" s="535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</v>
      </c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6.5">
      <c r="A789" s="535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</v>
      </c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</sheetData>
  <mergeCells count="26">
    <mergeCell ref="A1:U1"/>
    <mergeCell ref="A2:U2"/>
    <mergeCell ref="A3:U3"/>
    <mergeCell ref="L4:P4"/>
    <mergeCell ref="Q4:U4"/>
    <mergeCell ref="A5:G6"/>
    <mergeCell ref="H5:H6"/>
    <mergeCell ref="I5:K5"/>
    <mergeCell ref="L5:M5"/>
    <mergeCell ref="N5:P5"/>
    <mergeCell ref="D616:G616"/>
    <mergeCell ref="D642:G642"/>
    <mergeCell ref="D690:G690"/>
    <mergeCell ref="D714:G714"/>
    <mergeCell ref="Q5:R5"/>
    <mergeCell ref="S5:U5"/>
    <mergeCell ref="D728:G728"/>
    <mergeCell ref="D760:G760"/>
    <mergeCell ref="A7:G7"/>
    <mergeCell ref="A17:G17"/>
    <mergeCell ref="A30:G30"/>
    <mergeCell ref="A56:G56"/>
    <mergeCell ref="B57:G57"/>
    <mergeCell ref="D413:G413"/>
    <mergeCell ref="D493:F493"/>
    <mergeCell ref="D599:G599"/>
  </mergeCells>
  <printOptions horizontalCentered="1"/>
  <pageMargins left="0.23622047244094491" right="0.23622047244094491" top="0.55118110236220474" bottom="0.55118110236220474" header="0" footer="0"/>
  <pageSetup paperSize="9" scale="28" fitToHeight="0" pageOrder="overThenDown" orientation="portrait" cellComments="atEnd" horizontalDpi="4294967293" verticalDpi="4294967293" r:id="rId1"/>
  <headerFooter>
    <oddFooter>&amp;Cหน้า &amp;P/&amp;N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836785-24B6-48AE-A25F-5ABEA18CABA6}">
  <sheetPr>
    <outlinePr summaryBelow="0" summaryRight="0"/>
    <pageSetUpPr fitToPage="1"/>
  </sheetPr>
  <dimension ref="A1:U789"/>
  <sheetViews>
    <sheetView view="pageBreakPreview" zoomScale="60" zoomScaleNormal="60" workbookViewId="0">
      <pane xSplit="8" ySplit="17" topLeftCell="I18" activePane="bottomRight" state="frozen"/>
      <selection activeCell="T32" sqref="T32"/>
      <selection pane="topRight" activeCell="T32" sqref="T32"/>
      <selection pane="bottomLeft" activeCell="T32" sqref="T32"/>
      <selection pane="bottomRight" activeCell="T32" sqref="T32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bestFit="1" customWidth="1"/>
    <col min="12" max="14" width="21.28515625" bestFit="1" customWidth="1"/>
    <col min="15" max="15" width="20.140625" bestFit="1" customWidth="1"/>
    <col min="16" max="16" width="22" bestFit="1" customWidth="1"/>
    <col min="17" max="18" width="21.28515625" bestFit="1" customWidth="1"/>
    <col min="19" max="19" width="18.7109375" bestFit="1" customWidth="1"/>
    <col min="20" max="20" width="20.140625" bestFit="1" customWidth="1"/>
    <col min="21" max="21" width="22" bestFit="1" customWidth="1"/>
  </cols>
  <sheetData>
    <row r="1" spans="1:21" ht="19.5">
      <c r="A1" s="894" t="s">
        <v>0</v>
      </c>
      <c r="B1" s="894"/>
      <c r="C1" s="894"/>
      <c r="D1" s="894"/>
      <c r="E1" s="894"/>
      <c r="F1" s="894"/>
      <c r="G1" s="894"/>
      <c r="H1" s="894"/>
      <c r="I1" s="894"/>
      <c r="J1" s="894"/>
      <c r="K1" s="894"/>
      <c r="L1" s="894"/>
      <c r="M1" s="894"/>
      <c r="N1" s="894"/>
      <c r="O1" s="894"/>
      <c r="P1" s="894"/>
      <c r="Q1" s="894"/>
      <c r="R1" s="894"/>
      <c r="S1" s="894"/>
      <c r="T1" s="894"/>
      <c r="U1" s="894"/>
    </row>
    <row r="2" spans="1:21" ht="19.5">
      <c r="A2" s="894" t="s">
        <v>326</v>
      </c>
      <c r="B2" s="894"/>
      <c r="C2" s="894"/>
      <c r="D2" s="894"/>
      <c r="E2" s="894"/>
      <c r="F2" s="894"/>
      <c r="G2" s="894"/>
      <c r="H2" s="894"/>
      <c r="I2" s="894"/>
      <c r="J2" s="894"/>
      <c r="K2" s="894"/>
      <c r="L2" s="894"/>
      <c r="M2" s="894"/>
      <c r="N2" s="894"/>
      <c r="O2" s="894"/>
      <c r="P2" s="894"/>
      <c r="Q2" s="894"/>
      <c r="R2" s="894"/>
      <c r="S2" s="894"/>
      <c r="T2" s="894"/>
      <c r="U2" s="894"/>
    </row>
    <row r="3" spans="1:21" ht="19.5">
      <c r="A3" s="894" t="s">
        <v>339</v>
      </c>
      <c r="B3" s="894"/>
      <c r="C3" s="894"/>
      <c r="D3" s="894"/>
      <c r="E3" s="894"/>
      <c r="F3" s="894"/>
      <c r="G3" s="894"/>
      <c r="H3" s="894"/>
      <c r="I3" s="894"/>
      <c r="J3" s="894"/>
      <c r="K3" s="894"/>
      <c r="L3" s="894"/>
      <c r="M3" s="894"/>
      <c r="N3" s="894"/>
      <c r="O3" s="894"/>
      <c r="P3" s="894"/>
      <c r="Q3" s="894"/>
      <c r="R3" s="894"/>
      <c r="S3" s="894"/>
      <c r="T3" s="894"/>
      <c r="U3" s="894"/>
    </row>
    <row r="4" spans="1:21" ht="19.5">
      <c r="A4" s="4"/>
      <c r="B4" s="4"/>
      <c r="C4" s="4"/>
      <c r="D4" s="4"/>
      <c r="E4" s="4"/>
      <c r="F4" s="4"/>
      <c r="G4" s="4"/>
      <c r="H4" s="4"/>
      <c r="I4" s="4"/>
      <c r="J4" s="5"/>
      <c r="K4" s="766"/>
      <c r="L4" s="765" t="s">
        <v>2</v>
      </c>
      <c r="M4" s="514"/>
      <c r="N4" s="514"/>
      <c r="O4" s="514"/>
      <c r="P4" s="512"/>
      <c r="Q4" s="518" t="s">
        <v>3</v>
      </c>
      <c r="R4" s="514"/>
      <c r="S4" s="514"/>
      <c r="T4" s="514"/>
      <c r="U4" s="512"/>
    </row>
    <row r="5" spans="1:21" ht="19.5">
      <c r="A5" s="764" t="s">
        <v>4</v>
      </c>
      <c r="B5" s="516"/>
      <c r="C5" s="516"/>
      <c r="D5" s="516"/>
      <c r="E5" s="516"/>
      <c r="F5" s="516"/>
      <c r="G5" s="763"/>
      <c r="H5" s="772" t="s">
        <v>5</v>
      </c>
      <c r="I5" s="761" t="s">
        <v>6</v>
      </c>
      <c r="J5" s="514"/>
      <c r="K5" s="512"/>
      <c r="L5" s="760" t="s">
        <v>7</v>
      </c>
      <c r="M5" s="512"/>
      <c r="N5" s="513" t="s">
        <v>8</v>
      </c>
      <c r="O5" s="514"/>
      <c r="P5" s="512"/>
      <c r="Q5" s="511" t="s">
        <v>7</v>
      </c>
      <c r="R5" s="512"/>
      <c r="S5" s="513" t="s">
        <v>8</v>
      </c>
      <c r="T5" s="514"/>
      <c r="U5" s="512"/>
    </row>
    <row r="6" spans="1:21" ht="19.5">
      <c r="A6" s="522"/>
      <c r="B6" s="514"/>
      <c r="C6" s="514"/>
      <c r="D6" s="514"/>
      <c r="E6" s="514"/>
      <c r="F6" s="514"/>
      <c r="G6" s="512"/>
      <c r="H6" s="512"/>
      <c r="I6" s="9" t="s">
        <v>9</v>
      </c>
      <c r="J6" s="10" t="s">
        <v>10</v>
      </c>
      <c r="K6" s="9" t="s">
        <v>11</v>
      </c>
      <c r="L6" s="758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 hidden="1">
      <c r="A7" s="750"/>
      <c r="B7" s="514"/>
      <c r="C7" s="514"/>
      <c r="D7" s="514"/>
      <c r="E7" s="514"/>
      <c r="F7" s="514"/>
      <c r="G7" s="512"/>
      <c r="H7" s="17"/>
      <c r="I7" s="18"/>
      <c r="J7" s="18"/>
      <c r="K7" s="19"/>
      <c r="L7" s="28"/>
      <c r="M7" s="19"/>
      <c r="N7" s="19"/>
      <c r="O7" s="19"/>
      <c r="P7" s="19"/>
      <c r="Q7" s="19"/>
      <c r="R7" s="19"/>
      <c r="S7" s="19"/>
      <c r="T7" s="19"/>
      <c r="U7" s="19"/>
    </row>
    <row r="8" spans="1:21" ht="12.75" hidden="1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6"/>
      <c r="M8" s="25"/>
      <c r="N8" s="25"/>
      <c r="O8" s="25"/>
      <c r="P8" s="25"/>
      <c r="Q8" s="25"/>
      <c r="R8" s="25"/>
      <c r="S8" s="25"/>
      <c r="T8" s="25"/>
      <c r="U8" s="25"/>
    </row>
    <row r="9" spans="1:21" ht="12.75" hidden="1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6"/>
      <c r="M9" s="25"/>
      <c r="N9" s="25"/>
      <c r="O9" s="25"/>
      <c r="P9" s="25"/>
      <c r="Q9" s="25"/>
      <c r="R9" s="25"/>
      <c r="S9" s="25"/>
      <c r="T9" s="25"/>
      <c r="U9" s="25"/>
    </row>
    <row r="10" spans="1:21" ht="12.75" hidden="1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6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2.75" hidden="1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6"/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2.75" hidden="1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6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2.75" hidden="1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6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2.75" hidden="1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2.75" hidden="1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6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2.75" hidden="1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28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9.5">
      <c r="A17" s="532" t="s">
        <v>311</v>
      </c>
      <c r="B17" s="514"/>
      <c r="C17" s="514"/>
      <c r="D17" s="514"/>
      <c r="E17" s="514"/>
      <c r="F17" s="514"/>
      <c r="G17" s="512"/>
      <c r="H17" s="29"/>
      <c r="I17" s="30"/>
      <c r="J17" s="30"/>
      <c r="K17" s="31"/>
      <c r="L17" s="32"/>
      <c r="M17" s="31"/>
      <c r="N17" s="31"/>
      <c r="O17" s="31"/>
      <c r="P17" s="31"/>
      <c r="Q17" s="31"/>
      <c r="R17" s="31"/>
      <c r="S17" s="31"/>
      <c r="T17" s="31"/>
      <c r="U17" s="31"/>
    </row>
    <row r="18" spans="1:21" ht="19.5">
      <c r="A18" s="33"/>
      <c r="B18" s="34"/>
      <c r="C18" s="35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757">
        <f ca="1">L19+L20</f>
        <v>2864020</v>
      </c>
      <c r="M18" s="720">
        <f ca="1">M19+M20</f>
        <v>2807238</v>
      </c>
      <c r="N18" s="720">
        <f ca="1">N19+N20</f>
        <v>2335492.16</v>
      </c>
      <c r="O18" s="720">
        <f ca="1">IF(L18&gt;0,N18*100/L18,0)</f>
        <v>81.545944511560677</v>
      </c>
      <c r="P18" s="720">
        <f ca="1">IF(M18&gt;0,N18*100/M18,0)</f>
        <v>83.195374243295362</v>
      </c>
      <c r="Q18" s="720">
        <f ca="1">Q19+Q20</f>
        <v>4473659.24</v>
      </c>
      <c r="R18" s="720">
        <f ca="1">R19+R20</f>
        <v>4487659</v>
      </c>
      <c r="S18" s="720">
        <f ca="1">S19+S20</f>
        <v>868202</v>
      </c>
      <c r="T18" s="720">
        <f ca="1">IF(Q18&gt;0,S18*100/Q18,0)</f>
        <v>19.406976558187743</v>
      </c>
      <c r="U18" s="720">
        <f ca="1">IF(R18&gt;0,S18*100/R18,0)</f>
        <v>19.346434299040993</v>
      </c>
    </row>
    <row r="19" spans="1:21" ht="18.75" hidden="1">
      <c r="A19" s="33"/>
      <c r="B19" s="34"/>
      <c r="C19" s="34"/>
      <c r="D19" s="34"/>
      <c r="E19" s="756" t="s">
        <v>20</v>
      </c>
      <c r="F19" s="34"/>
      <c r="G19" s="37"/>
      <c r="H19" s="755" t="s">
        <v>14</v>
      </c>
      <c r="I19" s="39"/>
      <c r="J19" s="39"/>
      <c r="K19" s="40"/>
      <c r="L19" s="754">
        <f>L22+L25</f>
        <v>0</v>
      </c>
      <c r="M19" s="753">
        <f>M22+M25</f>
        <v>0</v>
      </c>
      <c r="N19" s="753">
        <f>N22+N25</f>
        <v>0</v>
      </c>
      <c r="O19" s="753">
        <f>IF(L19&gt;0,N19*100/L19,0)</f>
        <v>0</v>
      </c>
      <c r="P19" s="753">
        <f>IF(M19&gt;0,N19*100/M19,0)</f>
        <v>0</v>
      </c>
      <c r="Q19" s="753">
        <f>Q22+Q25</f>
        <v>0</v>
      </c>
      <c r="R19" s="753">
        <f>R22+R25</f>
        <v>0</v>
      </c>
      <c r="S19" s="753">
        <f>S22+S25</f>
        <v>0</v>
      </c>
      <c r="T19" s="753">
        <f>IF(Q19&gt;0,S19*100/Q19,0)</f>
        <v>0</v>
      </c>
      <c r="U19" s="753">
        <f>IF(R19&gt;0,S19*100/R19,0)</f>
        <v>0</v>
      </c>
    </row>
    <row r="20" spans="1:21" ht="18.75" hidden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752">
        <f ca="1">L23+L26</f>
        <v>2864020</v>
      </c>
      <c r="M20" s="751">
        <f ca="1">M23+M26</f>
        <v>2807238</v>
      </c>
      <c r="N20" s="751">
        <f ca="1">N23+N26</f>
        <v>2335492.16</v>
      </c>
      <c r="O20" s="751">
        <f ca="1">IF(L20&gt;0,N20*100/L20,0)</f>
        <v>81.545944511560677</v>
      </c>
      <c r="P20" s="751">
        <f ca="1">IF(M20&gt;0,N20*100/M20,0)</f>
        <v>83.195374243295362</v>
      </c>
      <c r="Q20" s="751">
        <f ca="1">Q23+Q26</f>
        <v>4473659.24</v>
      </c>
      <c r="R20" s="751">
        <f ca="1">R23+R26</f>
        <v>4487659</v>
      </c>
      <c r="S20" s="751">
        <f ca="1">S23+S26</f>
        <v>868202</v>
      </c>
      <c r="T20" s="751">
        <f ca="1">IF(Q20&gt;0,S20*100/Q20,0)</f>
        <v>19.406976558187743</v>
      </c>
      <c r="U20" s="751">
        <f ca="1">IF(R20&gt;0,S20*100/R20,0)</f>
        <v>19.346434299040993</v>
      </c>
    </row>
    <row r="21" spans="1:21" ht="18.75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256">
        <f ca="1">L22+L23</f>
        <v>2864020</v>
      </c>
      <c r="M21" s="255">
        <f ca="1">M22+M23</f>
        <v>2807238</v>
      </c>
      <c r="N21" s="255">
        <f ca="1">N22+N23</f>
        <v>2335492.16</v>
      </c>
      <c r="O21" s="255">
        <f ca="1">IF(L21&gt;0,N21*100/L21,0)</f>
        <v>81.545944511560677</v>
      </c>
      <c r="P21" s="255">
        <f ca="1">IF(M21&gt;0,N21*100/M21,0)</f>
        <v>83.195374243295362</v>
      </c>
      <c r="Q21" s="255">
        <f ca="1">Q22+Q23</f>
        <v>4473659.24</v>
      </c>
      <c r="R21" s="255">
        <f ca="1">R22+R23</f>
        <v>4487659</v>
      </c>
      <c r="S21" s="255">
        <f ca="1">S22+S23</f>
        <v>868202</v>
      </c>
      <c r="T21" s="255">
        <f ca="1">IF(Q21&gt;0,S21*100/Q21,0)</f>
        <v>19.406976558187743</v>
      </c>
      <c r="U21" s="255">
        <f ca="1">IF(R21&gt;0,S21*100/R21,0)</f>
        <v>19.346434299040993</v>
      </c>
    </row>
    <row r="22" spans="1:21" ht="18.75" hidden="1">
      <c r="A22" s="49"/>
      <c r="B22" s="50"/>
      <c r="C22" s="50"/>
      <c r="D22" s="50"/>
      <c r="E22" s="186" t="s">
        <v>20</v>
      </c>
      <c r="F22" s="50"/>
      <c r="G22" s="52"/>
      <c r="H22" s="729" t="s">
        <v>14</v>
      </c>
      <c r="I22" s="54"/>
      <c r="J22" s="54"/>
      <c r="K22" s="55"/>
      <c r="L22" s="103">
        <f>L48+L63+L76+L98+L129+L143+L161+L190+L177+L270+L286+L307+L324+L337+L360+L517</f>
        <v>0</v>
      </c>
      <c r="M22" s="102">
        <f>M48+M63+M76+M98+M129+M143+M161+M190+M177+M270+M286+M307+M324+M337+M360+M517</f>
        <v>0</v>
      </c>
      <c r="N22" s="102">
        <f>N48+N63+N76+N98+N129+N143+N161+N190+N177+N270+N286+N307+N324+N337+N360+N517</f>
        <v>0</v>
      </c>
      <c r="O22" s="102">
        <f>IF(L22&gt;0,N22*100/L22,0)</f>
        <v>0</v>
      </c>
      <c r="P22" s="102">
        <f>IF(M22&gt;0,N22*100/M22,0)</f>
        <v>0</v>
      </c>
      <c r="Q22" s="102">
        <f>Q76+Q98+Q121+Q143+Q161+Q177+Q190+Q270+Q286+Q307+Q337+Q379+Q396+Q417+Q497+Q603+Q620+Q646+Q694+Q718+Q732+Q764</f>
        <v>0</v>
      </c>
      <c r="R22" s="102">
        <f>R76+R98+R121+R143+R161+R177+R190+R270+R286+R307+R337+R379+R396+R417+R497+R603+R620+R646+R694+R718+R732+R764</f>
        <v>0</v>
      </c>
      <c r="S22" s="102">
        <f>S76+S98+S121+S143+S161+S177+S190+S270+S286+S307+S337+S379+S396+S417+S497+S603+S620+S646+S694+S718+S732+S764</f>
        <v>0</v>
      </c>
      <c r="T22" s="102">
        <f>IF(Q22&gt;0,S22*100/Q22,0)</f>
        <v>0</v>
      </c>
      <c r="U22" s="102">
        <f>IF(R22&gt;0,S22*100/R22,0)</f>
        <v>0</v>
      </c>
    </row>
    <row r="23" spans="1:21" ht="18.75" hidden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256">
        <f ca="1">L49+L64+L77+L99+L130+L144+L162+L191+L178+L271+L287+L308+L325+L338+L361+L518</f>
        <v>2864020</v>
      </c>
      <c r="M23" s="255">
        <f ca="1">M49+M64+M77+M99+M130+M144+M162+M191+M178+M271+M287+M308+M325+M338+M361+M518</f>
        <v>2807238</v>
      </c>
      <c r="N23" s="255">
        <f ca="1">N49+N64+N77+N99+N130+N144+N162+N191+N178+N271+N287+N308+N325+N338+N361+N518</f>
        <v>2335492.16</v>
      </c>
      <c r="O23" s="255">
        <f ca="1">IF(L23&gt;0,N23*100/L23,0)</f>
        <v>81.545944511560677</v>
      </c>
      <c r="P23" s="255">
        <f ca="1">IF(M23&gt;0,N23*100/M23,0)</f>
        <v>83.195374243295362</v>
      </c>
      <c r="Q23" s="255">
        <f ca="1">Q77+Q99+Q122+Q144+Q162+Q178+Q191+Q271+Q287+Q308+Q338+Q380+Q397+Q418+Q498+Q604+Q621+Q647+Q695+Q719+Q733+Q765</f>
        <v>4473659.24</v>
      </c>
      <c r="R23" s="255">
        <f ca="1">R77+R99+R122+R144+R162+R178+R191+R271+R287+R308+R338+R380+R397+R418+R498+R604+R621+R647+R695+R719+R733+R765</f>
        <v>4487659</v>
      </c>
      <c r="S23" s="255">
        <f ca="1">S77+S99+S122+S144+S162+S178+S191+S271+S287+S308+S338+S380+S397+S418+S498+S604+S621+S647+S695+S719+S733+S765</f>
        <v>868202</v>
      </c>
      <c r="T23" s="255">
        <f ca="1">IF(Q23&gt;0,S23*100/Q23,0)</f>
        <v>19.406976558187743</v>
      </c>
      <c r="U23" s="255">
        <f ca="1">IF(R23&gt;0,S23*100/R23,0)</f>
        <v>19.346434299040993</v>
      </c>
    </row>
    <row r="24" spans="1:21" ht="18.75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256">
        <f ca="1">L25+L26</f>
        <v>0</v>
      </c>
      <c r="M24" s="255">
        <f ca="1">M25+M26</f>
        <v>0</v>
      </c>
      <c r="N24" s="255">
        <f ca="1">N25+N26</f>
        <v>0</v>
      </c>
      <c r="O24" s="255">
        <f ca="1">IF(L24&gt;0,N24*100/L24,0)</f>
        <v>0</v>
      </c>
      <c r="P24" s="255">
        <f ca="1">IF(M24&gt;0,N24*100/M24,0)</f>
        <v>0</v>
      </c>
      <c r="Q24" s="255">
        <f>Q25+Q26</f>
        <v>0</v>
      </c>
      <c r="R24" s="255">
        <f>R25+R26</f>
        <v>0</v>
      </c>
      <c r="S24" s="255">
        <f>S25+S26</f>
        <v>0</v>
      </c>
      <c r="T24" s="255">
        <f>IF(Q24&gt;0,S24*100/Q24,0)</f>
        <v>0</v>
      </c>
      <c r="U24" s="255">
        <f>IF(R24&gt;0,S24*100/R24,0)</f>
        <v>0</v>
      </c>
    </row>
    <row r="25" spans="1:21" ht="18.75" hidden="1">
      <c r="A25" s="49"/>
      <c r="B25" s="50"/>
      <c r="C25" s="50"/>
      <c r="D25" s="50"/>
      <c r="E25" s="186" t="s">
        <v>20</v>
      </c>
      <c r="F25" s="50"/>
      <c r="G25" s="52"/>
      <c r="H25" s="729" t="s">
        <v>14</v>
      </c>
      <c r="I25" s="54"/>
      <c r="J25" s="54"/>
      <c r="K25" s="55"/>
      <c r="L25" s="103">
        <f>L51+L66+L79+L101+L132+L146+L164+L193+L180+L273+L289+L310+L327+L340+L363+L520</f>
        <v>0</v>
      </c>
      <c r="M25" s="102">
        <f>M51+M66+M79+M101+M132+M146+M164+M193+M180+M273+M289+M310+M327+M340+M363+M520</f>
        <v>0</v>
      </c>
      <c r="N25" s="102">
        <f>N51+N66+N79+N101+N132+N146+N164+N193+N180+N273+N289+N310+N327+N340+N363+N520</f>
        <v>0</v>
      </c>
      <c r="O25" s="102">
        <f>IF(L25&gt;0,N25*100/L25,0)</f>
        <v>0</v>
      </c>
      <c r="P25" s="102">
        <f>IF(M25&gt;0,N25*100/M25,0)</f>
        <v>0</v>
      </c>
      <c r="Q25" s="102">
        <f>Q79+Q101+Q124+Q146+Q164+Q180+Q193+Q273+Q289+Q310+Q340+Q382+Q399+Q420+Q500+Q606+Q623+Q649+Q697+Q721+Q735+Q767</f>
        <v>0</v>
      </c>
      <c r="R25" s="102">
        <f>R79+R101+R124+R146+R164+R180+R193+R273+R289+R310+R340+R382+R399+R420+R500+R606+R623+R649+R697+R721+R735+R767</f>
        <v>0</v>
      </c>
      <c r="S25" s="102">
        <f>S79+S101+S124+S146+S164+S180+S193+S273+S289+S310+S340+S382+S399+S420+S500+S606+S623+S649+S697+S721+S735+S767</f>
        <v>0</v>
      </c>
      <c r="T25" s="102">
        <f>IF(Q25&gt;0,S25*100/Q25,0)</f>
        <v>0</v>
      </c>
      <c r="U25" s="102">
        <f>IF(R25&gt;0,S25*100/R25,0)</f>
        <v>0</v>
      </c>
    </row>
    <row r="26" spans="1:21" ht="18.75" hidden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256">
        <f ca="1">L52+L67+L80+L102+L133+L147+L165+L194+L181+L274+L290+L311+L328+L341+L364+L521</f>
        <v>0</v>
      </c>
      <c r="M26" s="255">
        <f ca="1">M52+M67+M80+M102+M133+M147+M165+M194+M181+M274+M290+M311+M328+M341+M364+M521</f>
        <v>0</v>
      </c>
      <c r="N26" s="255">
        <f ca="1">N52+N67+N80+N102+N133+N147+N165+N194+N181+N274+N290+N311+N328+N341+N364+N521</f>
        <v>0</v>
      </c>
      <c r="O26" s="255">
        <f ca="1">IF(L26&gt;0,N26*100/L26,0)</f>
        <v>0</v>
      </c>
      <c r="P26" s="255">
        <f ca="1">IF(M26&gt;0,N26*100/M26,0)</f>
        <v>0</v>
      </c>
      <c r="Q26" s="102">
        <f>Q80+Q102+Q125+Q147+Q165+Q181+Q194+Q274+Q290+Q311+Q341+Q383+Q400+Q421+Q501+Q607+Q624+Q650+Q698+Q722+Q736+Q768</f>
        <v>0</v>
      </c>
      <c r="R26" s="102">
        <f>R80+R102+R125+R147+R165+R181+R194+R274+R290+R311+R341+R383+R400+R421+R501+R607+R624+R650+R698+R722+R736+R768</f>
        <v>0</v>
      </c>
      <c r="S26" s="102">
        <f>S80+S102+S125+S147+S165+S181+S194+S274+S290+S311+S341+S383+S400+S421+S501+S607+S624+S650+S698+S722+S736+S768</f>
        <v>0</v>
      </c>
      <c r="T26" s="255">
        <f>IF(Q26&gt;0,S26*100/Q26,0)</f>
        <v>0</v>
      </c>
      <c r="U26" s="255">
        <f>IF(R26&gt;0,S26*100/R26,0)</f>
        <v>0</v>
      </c>
    </row>
    <row r="27" spans="1:21" ht="18.75">
      <c r="A27" s="49"/>
      <c r="B27" s="50"/>
      <c r="C27" s="50"/>
      <c r="D27" s="51" t="s">
        <v>24</v>
      </c>
      <c r="E27" s="50"/>
      <c r="F27" s="50"/>
      <c r="G27" s="52"/>
      <c r="H27" s="53" t="s">
        <v>14</v>
      </c>
      <c r="I27" s="54"/>
      <c r="J27" s="54"/>
      <c r="K27" s="55"/>
      <c r="L27" s="62"/>
      <c r="M27" s="55"/>
      <c r="N27" s="55"/>
      <c r="O27" s="55"/>
      <c r="P27" s="55"/>
      <c r="Q27" s="55"/>
      <c r="R27" s="55"/>
      <c r="S27" s="55"/>
      <c r="T27" s="55"/>
      <c r="U27" s="55"/>
    </row>
    <row r="28" spans="1:21" ht="18.75" hidden="1">
      <c r="A28" s="49"/>
      <c r="B28" s="50"/>
      <c r="C28" s="50"/>
      <c r="D28" s="50"/>
      <c r="E28" s="186" t="s">
        <v>20</v>
      </c>
      <c r="F28" s="50"/>
      <c r="G28" s="52"/>
      <c r="H28" s="729" t="s">
        <v>14</v>
      </c>
      <c r="I28" s="54"/>
      <c r="J28" s="54"/>
      <c r="K28" s="55"/>
      <c r="L28" s="62"/>
      <c r="M28" s="55"/>
      <c r="N28" s="55"/>
      <c r="O28" s="55"/>
      <c r="P28" s="55"/>
      <c r="Q28" s="55"/>
      <c r="R28" s="55"/>
      <c r="S28" s="55"/>
      <c r="T28" s="55"/>
      <c r="U28" s="55"/>
    </row>
    <row r="29" spans="1:21" ht="18.75" hidden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8"/>
      <c r="M29" s="6"/>
      <c r="N29" s="6"/>
      <c r="O29" s="6"/>
      <c r="P29" s="6"/>
      <c r="Q29" s="6"/>
      <c r="R29" s="6"/>
      <c r="S29" s="6"/>
      <c r="T29" s="6"/>
      <c r="U29" s="6"/>
    </row>
    <row r="30" spans="1:21" ht="12.75" hidden="1">
      <c r="A30" s="750"/>
      <c r="B30" s="514"/>
      <c r="C30" s="514"/>
      <c r="D30" s="514"/>
      <c r="E30" s="514"/>
      <c r="F30" s="514"/>
      <c r="G30" s="512"/>
      <c r="H30" s="17"/>
      <c r="I30" s="18"/>
      <c r="J30" s="18"/>
      <c r="K30" s="19"/>
      <c r="L30" s="28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 hidden="1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6"/>
      <c r="M31" s="25"/>
      <c r="N31" s="25"/>
      <c r="O31" s="25"/>
      <c r="P31" s="25"/>
      <c r="Q31" s="25"/>
      <c r="R31" s="25"/>
      <c r="S31" s="25"/>
      <c r="T31" s="25"/>
      <c r="U31" s="25"/>
    </row>
    <row r="32" spans="1:21" ht="12.75" hidden="1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6"/>
      <c r="M32" s="25"/>
      <c r="N32" s="25"/>
      <c r="O32" s="25"/>
      <c r="P32" s="25"/>
      <c r="Q32" s="25"/>
      <c r="R32" s="25"/>
      <c r="S32" s="25"/>
      <c r="T32" s="25"/>
      <c r="U32" s="25"/>
    </row>
    <row r="33" spans="1:21" ht="12.75" hidden="1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6"/>
      <c r="M33" s="25"/>
      <c r="N33" s="25"/>
      <c r="O33" s="25"/>
      <c r="P33" s="25"/>
      <c r="Q33" s="25"/>
      <c r="R33" s="25"/>
      <c r="S33" s="25"/>
      <c r="T33" s="25"/>
      <c r="U33" s="25"/>
    </row>
    <row r="34" spans="1:21" ht="12.75" hidden="1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6"/>
      <c r="M34" s="25"/>
      <c r="N34" s="25"/>
      <c r="O34" s="25"/>
      <c r="P34" s="25"/>
      <c r="Q34" s="25"/>
      <c r="R34" s="25"/>
      <c r="S34" s="25"/>
      <c r="T34" s="25"/>
      <c r="U34" s="25"/>
    </row>
    <row r="35" spans="1:21" ht="12.75" hidden="1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6"/>
      <c r="M35" s="25"/>
      <c r="N35" s="25"/>
      <c r="O35" s="25"/>
      <c r="P35" s="25"/>
      <c r="Q35" s="25"/>
      <c r="R35" s="25"/>
      <c r="S35" s="25"/>
      <c r="T35" s="25"/>
      <c r="U35" s="25"/>
    </row>
    <row r="36" spans="1:21" ht="12.75" hidden="1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6"/>
      <c r="M36" s="25"/>
      <c r="N36" s="25"/>
      <c r="O36" s="25"/>
      <c r="P36" s="25"/>
      <c r="Q36" s="25"/>
      <c r="R36" s="25"/>
      <c r="S36" s="25"/>
      <c r="T36" s="25"/>
      <c r="U36" s="25"/>
    </row>
    <row r="37" spans="1:21" ht="12.75" hidden="1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6"/>
      <c r="M37" s="25"/>
      <c r="N37" s="25"/>
      <c r="O37" s="25"/>
      <c r="P37" s="25"/>
      <c r="Q37" s="25"/>
      <c r="R37" s="25"/>
      <c r="S37" s="25"/>
      <c r="T37" s="25"/>
      <c r="U37" s="25"/>
    </row>
    <row r="38" spans="1:21" ht="12.75" hidden="1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6"/>
      <c r="M38" s="25"/>
      <c r="N38" s="25"/>
      <c r="O38" s="25"/>
      <c r="P38" s="25"/>
      <c r="Q38" s="25"/>
      <c r="R38" s="25"/>
      <c r="S38" s="25"/>
      <c r="T38" s="25"/>
      <c r="U38" s="25"/>
    </row>
    <row r="39" spans="1:21" ht="12.75" hidden="1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28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9.5" hidden="1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749">
        <f ca="1">L44+L59+L72+L94+L125+L139+L157+L173+L186+L266+L282+L303+L320+L333+L356</f>
        <v>2864020</v>
      </c>
      <c r="M40" s="748">
        <f ca="1">M44+M59+M72+M94+M125+M139+M157+M173+M186+M266+M282+M303+M320+M333+M356</f>
        <v>2807238</v>
      </c>
      <c r="N40" s="748">
        <f ca="1">N44+N59+N72+N94+N125+N139+N157+N173+N186+N266+N282+N303+N320+N333+N356</f>
        <v>2335492.16</v>
      </c>
      <c r="O40" s="748">
        <f ca="1">IF(L40&gt;0,N40*100/L40,0)</f>
        <v>81.545944511560677</v>
      </c>
      <c r="P40" s="748">
        <f ca="1">IF(M40&gt;0,N40*100/M40,0)</f>
        <v>83.195374243295362</v>
      </c>
      <c r="Q40" s="73"/>
      <c r="R40" s="73"/>
      <c r="S40" s="73"/>
      <c r="T40" s="73"/>
      <c r="U40" s="73"/>
    </row>
    <row r="41" spans="1:21" ht="19.5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78"/>
      <c r="R41" s="78"/>
      <c r="S41" s="78"/>
      <c r="T41" s="78"/>
      <c r="U41" s="79"/>
    </row>
    <row r="42" spans="1:21" ht="19.5">
      <c r="A42" s="80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5"/>
      <c r="M42" s="84"/>
      <c r="N42" s="84"/>
      <c r="O42" s="84"/>
      <c r="P42" s="84"/>
      <c r="Q42" s="84"/>
      <c r="R42" s="84"/>
      <c r="S42" s="84"/>
      <c r="T42" s="84"/>
      <c r="U42" s="84"/>
    </row>
    <row r="43" spans="1:21" ht="12.75" hidden="1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6"/>
      <c r="M43" s="25"/>
      <c r="N43" s="25"/>
      <c r="O43" s="25"/>
      <c r="P43" s="25"/>
      <c r="Q43" s="25"/>
      <c r="R43" s="25"/>
      <c r="S43" s="25"/>
      <c r="T43" s="25"/>
      <c r="U43" s="25"/>
    </row>
    <row r="44" spans="1:21" ht="19.5">
      <c r="A44" s="86"/>
      <c r="B44" s="87"/>
      <c r="C44" s="88" t="s">
        <v>18</v>
      </c>
      <c r="D44" s="747" t="s">
        <v>19</v>
      </c>
      <c r="E44" s="87"/>
      <c r="F44" s="87"/>
      <c r="G44" s="90"/>
      <c r="H44" s="91" t="s">
        <v>14</v>
      </c>
      <c r="I44" s="92"/>
      <c r="J44" s="92"/>
      <c r="K44" s="93"/>
      <c r="L44" s="746">
        <f ca="1">L45+L46</f>
        <v>541600</v>
      </c>
      <c r="M44" s="745">
        <f ca="1">M45+M46</f>
        <v>552586</v>
      </c>
      <c r="N44" s="745">
        <f ca="1">N45+N46</f>
        <v>476786</v>
      </c>
      <c r="O44" s="745">
        <f ca="1">IF(L44&gt;0,N44*100/L44,0)</f>
        <v>88.032865583456427</v>
      </c>
      <c r="P44" s="745">
        <f ca="1">IF(M44&gt;0,N44*100/M44,0)</f>
        <v>86.282678171361567</v>
      </c>
      <c r="Q44" s="745">
        <f>Q45+Q46</f>
        <v>0</v>
      </c>
      <c r="R44" s="745">
        <f>R45+R46</f>
        <v>0</v>
      </c>
      <c r="S44" s="745">
        <f>S45+S46</f>
        <v>0</v>
      </c>
      <c r="T44" s="745">
        <f>IF(Q44&gt;0,S44*100/Q44,0)</f>
        <v>0</v>
      </c>
      <c r="U44" s="745">
        <f>IF(R44&gt;0,S44*100/R44,0)</f>
        <v>0</v>
      </c>
    </row>
    <row r="45" spans="1:21" ht="18.75" hidden="1">
      <c r="A45" s="86"/>
      <c r="B45" s="87"/>
      <c r="C45" s="87"/>
      <c r="D45" s="87"/>
      <c r="E45" s="744" t="s">
        <v>20</v>
      </c>
      <c r="F45" s="87"/>
      <c r="G45" s="90"/>
      <c r="H45" s="743" t="s">
        <v>14</v>
      </c>
      <c r="I45" s="92"/>
      <c r="J45" s="92"/>
      <c r="K45" s="93"/>
      <c r="L45" s="742">
        <f>L48+L51</f>
        <v>0</v>
      </c>
      <c r="M45" s="741">
        <f>M48+M51</f>
        <v>0</v>
      </c>
      <c r="N45" s="741">
        <f>N48+N51</f>
        <v>0</v>
      </c>
      <c r="O45" s="741">
        <f>IF(L45&gt;0,N45*100/L45,0)</f>
        <v>0</v>
      </c>
      <c r="P45" s="741">
        <f>IF(M45&gt;0,N45*100/M45,0)</f>
        <v>0</v>
      </c>
      <c r="Q45" s="741">
        <f>Q48+Q51</f>
        <v>0</v>
      </c>
      <c r="R45" s="741">
        <f>R48+R51</f>
        <v>0</v>
      </c>
      <c r="S45" s="741">
        <f>S48+S51</f>
        <v>0</v>
      </c>
      <c r="T45" s="741">
        <f>IF(Q45&gt;0,S45*100/Q45,0)</f>
        <v>0</v>
      </c>
      <c r="U45" s="741">
        <f>IF(R45&gt;0,S45*100/R45,0)</f>
        <v>0</v>
      </c>
    </row>
    <row r="46" spans="1:21" ht="18.75" hidden="1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740">
        <f ca="1">L49+L52</f>
        <v>541600</v>
      </c>
      <c r="M46" s="739">
        <f ca="1">M49+M52</f>
        <v>552586</v>
      </c>
      <c r="N46" s="739">
        <f ca="1">N49+N52</f>
        <v>476786</v>
      </c>
      <c r="O46" s="739">
        <f ca="1">IF(L46&gt;0,N46*100/L46,0)</f>
        <v>88.032865583456427</v>
      </c>
      <c r="P46" s="739">
        <f ca="1">IF(M46&gt;0,N46*100/M46,0)</f>
        <v>86.282678171361567</v>
      </c>
      <c r="Q46" s="739">
        <f>Q49+Q52</f>
        <v>0</v>
      </c>
      <c r="R46" s="739">
        <f>R49+R52</f>
        <v>0</v>
      </c>
      <c r="S46" s="739">
        <f>S49+S52</f>
        <v>0</v>
      </c>
      <c r="T46" s="739">
        <f>IF(Q46&gt;0,S46*100/Q46,0)</f>
        <v>0</v>
      </c>
      <c r="U46" s="739">
        <f>IF(R46&gt;0,S46*100/R46,0)</f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256">
        <f ca="1">L48+L49</f>
        <v>541600</v>
      </c>
      <c r="M47" s="255">
        <f ca="1">M48+M49</f>
        <v>552586</v>
      </c>
      <c r="N47" s="255">
        <f ca="1">N48+N49</f>
        <v>476786</v>
      </c>
      <c r="O47" s="255">
        <f ca="1">IF(L47&gt;0,N47*100/L47,0)</f>
        <v>88.032865583456427</v>
      </c>
      <c r="P47" s="255">
        <f ca="1">IF(M47&gt;0,N47*100/M47,0)</f>
        <v>86.282678171361567</v>
      </c>
      <c r="Q47" s="255">
        <f>Q48+Q49</f>
        <v>0</v>
      </c>
      <c r="R47" s="255">
        <f>R48+R49</f>
        <v>0</v>
      </c>
      <c r="S47" s="255">
        <f>S48+S49</f>
        <v>0</v>
      </c>
      <c r="T47" s="255">
        <f>IF(Q47&gt;0,S47*100/Q47,0)</f>
        <v>0</v>
      </c>
      <c r="U47" s="255">
        <f>IF(R47&gt;0,S47*100/R47,0)</f>
        <v>0</v>
      </c>
    </row>
    <row r="48" spans="1:21" ht="18.75" hidden="1">
      <c r="A48" s="49"/>
      <c r="B48" s="50"/>
      <c r="C48" s="50"/>
      <c r="D48" s="50"/>
      <c r="E48" s="186" t="s">
        <v>20</v>
      </c>
      <c r="F48" s="50"/>
      <c r="G48" s="52"/>
      <c r="H48" s="729" t="s">
        <v>14</v>
      </c>
      <c r="I48" s="54"/>
      <c r="J48" s="54"/>
      <c r="K48" s="55"/>
      <c r="L48" s="103">
        <v>0</v>
      </c>
      <c r="M48" s="102">
        <v>0</v>
      </c>
      <c r="N48" s="102">
        <v>0</v>
      </c>
      <c r="O48" s="102">
        <f>IF(L48&gt;0,N48*100/L48,0)</f>
        <v>0</v>
      </c>
      <c r="P48" s="102">
        <f>IF(M48&gt;0,N48*100/M48,0)</f>
        <v>0</v>
      </c>
      <c r="Q48" s="102">
        <v>0</v>
      </c>
      <c r="R48" s="102">
        <v>0</v>
      </c>
      <c r="S48" s="102">
        <v>0</v>
      </c>
      <c r="T48" s="102">
        <f>IF(Q48&gt;0,S48*100/Q48,0)</f>
        <v>0</v>
      </c>
      <c r="U48" s="102">
        <f>IF(R48&gt;0,S48*100/R48,0)</f>
        <v>0</v>
      </c>
    </row>
    <row r="49" spans="1:21" ht="18.75" hidden="1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256">
        <f ca="1">IFERROR(__xludf.DUMMYFUNCTION("IMPORTRANGE(""https://docs.google.com/spreadsheets/d/1-uDff_7J0KD5mKrp0Vvzr7lt3OU09vwQwhkpOPPYv2Y/edit?usp=sharing"",""งบพรบ!P45"")"),541600)</f>
        <v>541600</v>
      </c>
      <c r="M49" s="255">
        <f ca="1">IFERROR(__xludf.DUMMYFUNCTION("IMPORTRANGE(""https://docs.google.com/spreadsheets/d/1-uDff_7J0KD5mKrp0Vvzr7lt3OU09vwQwhkpOPPYv2Y/edit?usp=sharing"",""งบพรบ!V45"")"),552586)</f>
        <v>552586</v>
      </c>
      <c r="N49" s="255">
        <f ca="1">IFERROR(__xludf.DUMMYFUNCTION("IMPORTRANGE(""https://docs.google.com/spreadsheets/d/1-uDff_7J0KD5mKrp0Vvzr7lt3OU09vwQwhkpOPPYv2Y/edit?usp=sharing"",""งบพรบ!Y45"")"),476786)</f>
        <v>476786</v>
      </c>
      <c r="O49" s="255">
        <f ca="1">IF(L49&gt;0,N49*100/L49,0)</f>
        <v>88.032865583456427</v>
      </c>
      <c r="P49" s="255">
        <f ca="1">IF(M49&gt;0,N49*100/M49,0)</f>
        <v>86.282678171361567</v>
      </c>
      <c r="Q49" s="255">
        <v>0</v>
      </c>
      <c r="R49" s="255">
        <v>0</v>
      </c>
      <c r="S49" s="255">
        <v>0</v>
      </c>
      <c r="T49" s="255">
        <f>IF(Q49&gt;0,S49*100/Q49,0)</f>
        <v>0</v>
      </c>
      <c r="U49" s="255">
        <f>IF(R49&gt;0,S49*100/R49,0)</f>
        <v>0</v>
      </c>
    </row>
    <row r="50" spans="1:21" ht="18.75">
      <c r="A50" s="49"/>
      <c r="B50" s="50"/>
      <c r="C50" s="50"/>
      <c r="D50" s="51" t="s">
        <v>23</v>
      </c>
      <c r="E50" s="50"/>
      <c r="F50" s="50"/>
      <c r="G50" s="52"/>
      <c r="H50" s="53" t="s">
        <v>14</v>
      </c>
      <c r="I50" s="54"/>
      <c r="J50" s="54"/>
      <c r="K50" s="55"/>
      <c r="L50" s="256">
        <f ca="1">L51+L52</f>
        <v>0</v>
      </c>
      <c r="M50" s="255">
        <f ca="1">M51+M52</f>
        <v>0</v>
      </c>
      <c r="N50" s="255">
        <f ca="1">N51+N52</f>
        <v>0</v>
      </c>
      <c r="O50" s="255">
        <f ca="1">IF(L50&gt;0,N50*100/L50,0)</f>
        <v>0</v>
      </c>
      <c r="P50" s="255">
        <f ca="1">IF(M50&gt;0,N50*100/M50,0)</f>
        <v>0</v>
      </c>
      <c r="Q50" s="255">
        <f>Q51+Q52</f>
        <v>0</v>
      </c>
      <c r="R50" s="255">
        <f>R51+R52</f>
        <v>0</v>
      </c>
      <c r="S50" s="255">
        <f>S51+S52</f>
        <v>0</v>
      </c>
      <c r="T50" s="255">
        <f>IF(Q50&gt;0,S50*100/Q50,0)</f>
        <v>0</v>
      </c>
      <c r="U50" s="255">
        <f>IF(R50&gt;0,S50*100/R50,0)</f>
        <v>0</v>
      </c>
    </row>
    <row r="51" spans="1:21" ht="18.75" hidden="1">
      <c r="A51" s="49"/>
      <c r="B51" s="50"/>
      <c r="C51" s="50"/>
      <c r="D51" s="50"/>
      <c r="E51" s="186" t="s">
        <v>20</v>
      </c>
      <c r="F51" s="50"/>
      <c r="G51" s="52"/>
      <c r="H51" s="729" t="s">
        <v>14</v>
      </c>
      <c r="I51" s="54"/>
      <c r="J51" s="54"/>
      <c r="K51" s="55"/>
      <c r="L51" s="103">
        <v>0</v>
      </c>
      <c r="M51" s="102">
        <v>0</v>
      </c>
      <c r="N51" s="102">
        <v>0</v>
      </c>
      <c r="O51" s="102">
        <f>IF(L51&gt;0,N51*100/L51,0)</f>
        <v>0</v>
      </c>
      <c r="P51" s="102">
        <f>IF(M51&gt;0,N51*100/M51,0)</f>
        <v>0</v>
      </c>
      <c r="Q51" s="102">
        <v>0</v>
      </c>
      <c r="R51" s="102">
        <v>0</v>
      </c>
      <c r="S51" s="102">
        <v>0</v>
      </c>
      <c r="T51" s="102">
        <f>IF(Q51&gt;0,S51*100/Q51,0)</f>
        <v>0</v>
      </c>
      <c r="U51" s="102">
        <f>IF(R51&gt;0,S51*100/R51,0)</f>
        <v>0</v>
      </c>
    </row>
    <row r="52" spans="1:21" ht="18.75" hidden="1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256">
        <f ca="1">IFERROR(__xludf.DUMMYFUNCTION("IMPORTRANGE(""https://docs.google.com/spreadsheets/d/1-uDff_7J0KD5mKrp0Vvzr7lt3OU09vwQwhkpOPPYv2Y/edit?usp=sharing"",""งบพรบ!S45"")"),0)</f>
        <v>0</v>
      </c>
      <c r="M52" s="255">
        <f ca="1">IFERROR(__xludf.DUMMYFUNCTION("IMPORTRANGE(""https://docs.google.com/spreadsheets/d/1-uDff_7J0KD5mKrp0Vvzr7lt3OU09vwQwhkpOPPYv2Y/edit?usp=sharing"",""งบพรบ!W45"")"),0)</f>
        <v>0</v>
      </c>
      <c r="N52" s="255">
        <f ca="1">IFERROR(__xludf.DUMMYFUNCTION("IMPORTRANGE(""https://docs.google.com/spreadsheets/d/1-uDff_7J0KD5mKrp0Vvzr7lt3OU09vwQwhkpOPPYv2Y/edit?usp=sharing"",""งบพรบ!Z45"")"),0)</f>
        <v>0</v>
      </c>
      <c r="O52" s="255">
        <f ca="1">IF(L52&gt;0,N52*100/L52,0)</f>
        <v>0</v>
      </c>
      <c r="P52" s="255">
        <f ca="1">IF(M52&gt;0,N52*100/M52,0)</f>
        <v>0</v>
      </c>
      <c r="Q52" s="255">
        <v>0</v>
      </c>
      <c r="R52" s="255">
        <v>0</v>
      </c>
      <c r="S52" s="255">
        <v>0</v>
      </c>
      <c r="T52" s="255">
        <f>IF(Q52&gt;0,S52*100/Q52,0)</f>
        <v>0</v>
      </c>
      <c r="U52" s="255">
        <f>IF(R52&gt;0,S52*100/R52,0)</f>
        <v>0</v>
      </c>
    </row>
    <row r="53" spans="1:21" ht="18.75">
      <c r="A53" s="49"/>
      <c r="B53" s="50"/>
      <c r="C53" s="50"/>
      <c r="D53" s="51" t="s">
        <v>24</v>
      </c>
      <c r="E53" s="50"/>
      <c r="F53" s="50"/>
      <c r="G53" s="52"/>
      <c r="H53" s="53" t="s">
        <v>14</v>
      </c>
      <c r="I53" s="54"/>
      <c r="J53" s="54"/>
      <c r="K53" s="55"/>
      <c r="L53" s="62"/>
      <c r="M53" s="55"/>
      <c r="N53" s="55"/>
      <c r="O53" s="55"/>
      <c r="P53" s="55"/>
      <c r="Q53" s="55"/>
      <c r="R53" s="55"/>
      <c r="S53" s="55"/>
      <c r="T53" s="55"/>
      <c r="U53" s="55"/>
    </row>
    <row r="54" spans="1:21" ht="18.75" hidden="1">
      <c r="A54" s="49"/>
      <c r="B54" s="50"/>
      <c r="C54" s="50"/>
      <c r="D54" s="50"/>
      <c r="E54" s="186" t="s">
        <v>20</v>
      </c>
      <c r="F54" s="50"/>
      <c r="G54" s="52"/>
      <c r="H54" s="729" t="s">
        <v>14</v>
      </c>
      <c r="I54" s="54"/>
      <c r="J54" s="54"/>
      <c r="K54" s="55"/>
      <c r="L54" s="62"/>
      <c r="M54" s="55"/>
      <c r="N54" s="55"/>
      <c r="O54" s="55"/>
      <c r="P54" s="55"/>
      <c r="Q54" s="55"/>
      <c r="R54" s="55"/>
      <c r="S54" s="55"/>
      <c r="T54" s="55"/>
      <c r="U54" s="55"/>
    </row>
    <row r="55" spans="1:21" ht="18.75" hidden="1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8"/>
      <c r="M55" s="6"/>
      <c r="N55" s="6"/>
      <c r="O55" s="6"/>
      <c r="P55" s="6"/>
      <c r="Q55" s="6"/>
      <c r="R55" s="6"/>
      <c r="S55" s="6"/>
      <c r="T55" s="6"/>
      <c r="U55" s="6"/>
    </row>
    <row r="56" spans="1:21" ht="19.5">
      <c r="A56" s="533" t="s">
        <v>28</v>
      </c>
      <c r="B56" s="514"/>
      <c r="C56" s="514"/>
      <c r="D56" s="514"/>
      <c r="E56" s="514"/>
      <c r="F56" s="514"/>
      <c r="G56" s="512"/>
      <c r="H56" s="104"/>
      <c r="I56" s="105"/>
      <c r="J56" s="105"/>
      <c r="K56" s="106"/>
      <c r="L56" s="106"/>
      <c r="M56" s="106"/>
      <c r="N56" s="106"/>
      <c r="O56" s="106"/>
      <c r="P56" s="107"/>
      <c r="Q56" s="106"/>
      <c r="R56" s="106"/>
      <c r="S56" s="106"/>
      <c r="T56" s="106"/>
      <c r="U56" s="107"/>
    </row>
    <row r="57" spans="1:21" ht="19.5">
      <c r="A57" s="108"/>
      <c r="B57" s="534" t="s">
        <v>29</v>
      </c>
      <c r="C57" s="529"/>
      <c r="D57" s="529"/>
      <c r="E57" s="529"/>
      <c r="F57" s="529"/>
      <c r="G57" s="530"/>
      <c r="H57" s="109"/>
      <c r="I57" s="110"/>
      <c r="J57" s="110"/>
      <c r="K57" s="111"/>
      <c r="L57" s="112"/>
      <c r="M57" s="111"/>
      <c r="N57" s="111"/>
      <c r="O57" s="111"/>
      <c r="P57" s="111"/>
      <c r="Q57" s="111"/>
      <c r="R57" s="111"/>
      <c r="S57" s="111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9"/>
      <c r="M58" s="118"/>
      <c r="N58" s="118"/>
      <c r="O58" s="118"/>
      <c r="P58" s="118"/>
      <c r="Q58" s="118"/>
      <c r="R58" s="118"/>
      <c r="S58" s="118"/>
      <c r="T58" s="118"/>
      <c r="U58" s="118"/>
    </row>
    <row r="59" spans="1:21" ht="19.5">
      <c r="A59" s="120"/>
      <c r="B59" s="121"/>
      <c r="C59" s="122" t="s">
        <v>18</v>
      </c>
      <c r="D59" s="738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737">
        <f ca="1">L60+L61</f>
        <v>536100</v>
      </c>
      <c r="M59" s="736">
        <f ca="1">M60+M61</f>
        <v>536100</v>
      </c>
      <c r="N59" s="736">
        <f ca="1">N60+N61</f>
        <v>503517.9</v>
      </c>
      <c r="O59" s="736">
        <f ca="1">IF(L59&gt;0,N59*100/L59,0)</f>
        <v>93.9223838836038</v>
      </c>
      <c r="P59" s="736">
        <f ca="1">IF(M59&gt;0,N59*100/M59,0)</f>
        <v>93.9223838836038</v>
      </c>
      <c r="Q59" s="736">
        <f>Q60+Q61</f>
        <v>0</v>
      </c>
      <c r="R59" s="736">
        <f>R60+R61</f>
        <v>0</v>
      </c>
      <c r="S59" s="736">
        <f>S60+S61</f>
        <v>0</v>
      </c>
      <c r="T59" s="736">
        <f>IF(Q59&gt;0,S59*100/Q59,0)</f>
        <v>0</v>
      </c>
      <c r="U59" s="736">
        <f>IF(R59&gt;0,S59*100/R59,0)</f>
        <v>0</v>
      </c>
    </row>
    <row r="60" spans="1:21" ht="18.75" hidden="1">
      <c r="A60" s="120"/>
      <c r="B60" s="121"/>
      <c r="C60" s="121"/>
      <c r="D60" s="121"/>
      <c r="E60" s="735" t="s">
        <v>20</v>
      </c>
      <c r="F60" s="121"/>
      <c r="G60" s="124"/>
      <c r="H60" s="734" t="s">
        <v>14</v>
      </c>
      <c r="I60" s="126"/>
      <c r="J60" s="126"/>
      <c r="K60" s="127"/>
      <c r="L60" s="733">
        <f>L63+L66</f>
        <v>0</v>
      </c>
      <c r="M60" s="732">
        <f>M63+M66</f>
        <v>0</v>
      </c>
      <c r="N60" s="732">
        <f>N63+N66</f>
        <v>0</v>
      </c>
      <c r="O60" s="732">
        <f>IF(L60&gt;0,N60*100/L60,0)</f>
        <v>0</v>
      </c>
      <c r="P60" s="732">
        <f>IF(M60&gt;0,N60*100/M60,0)</f>
        <v>0</v>
      </c>
      <c r="Q60" s="732">
        <f>Q63+Q66</f>
        <v>0</v>
      </c>
      <c r="R60" s="732">
        <f>R63+R66</f>
        <v>0</v>
      </c>
      <c r="S60" s="732">
        <f>S63+S66</f>
        <v>0</v>
      </c>
      <c r="T60" s="732">
        <f>IF(Q60&gt;0,S60*100/Q60,0)</f>
        <v>0</v>
      </c>
      <c r="U60" s="732">
        <f>IF(R60&gt;0,S60*100/R60,0)</f>
        <v>0</v>
      </c>
    </row>
    <row r="61" spans="1:21" ht="18.75" hidden="1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731">
        <f ca="1">L64+L67</f>
        <v>536100</v>
      </c>
      <c r="M61" s="730">
        <f ca="1">M64+M67</f>
        <v>536100</v>
      </c>
      <c r="N61" s="730">
        <f ca="1">N64+N67</f>
        <v>503517.9</v>
      </c>
      <c r="O61" s="730">
        <f ca="1">IF(L61&gt;0,N61*100/L61,0)</f>
        <v>93.9223838836038</v>
      </c>
      <c r="P61" s="730">
        <f ca="1">IF(M61&gt;0,N61*100/M61,0)</f>
        <v>93.9223838836038</v>
      </c>
      <c r="Q61" s="730">
        <f>Q64+Q67</f>
        <v>0</v>
      </c>
      <c r="R61" s="730">
        <f>R64+R67</f>
        <v>0</v>
      </c>
      <c r="S61" s="730">
        <f>S64+S67</f>
        <v>0</v>
      </c>
      <c r="T61" s="730">
        <f>IF(Q61&gt;0,S61*100/Q61,0)</f>
        <v>0</v>
      </c>
      <c r="U61" s="730">
        <f>IF(R61&gt;0,S61*100/R61,0)</f>
        <v>0</v>
      </c>
    </row>
    <row r="62" spans="1:21" ht="18.75">
      <c r="A62" s="49"/>
      <c r="B62" s="50"/>
      <c r="C62" s="50"/>
      <c r="D62" s="51" t="s">
        <v>22</v>
      </c>
      <c r="E62" s="50"/>
      <c r="F62" s="50"/>
      <c r="G62" s="52"/>
      <c r="H62" s="53" t="s">
        <v>14</v>
      </c>
      <c r="I62" s="54"/>
      <c r="J62" s="54"/>
      <c r="K62" s="55"/>
      <c r="L62" s="256">
        <f ca="1">L63+L64</f>
        <v>536100</v>
      </c>
      <c r="M62" s="255">
        <f ca="1">M63+M64</f>
        <v>536100</v>
      </c>
      <c r="N62" s="255">
        <f ca="1">N63+N64</f>
        <v>503517.9</v>
      </c>
      <c r="O62" s="255">
        <f ca="1">IF(L62&gt;0,N62*100/L62,0)</f>
        <v>93.9223838836038</v>
      </c>
      <c r="P62" s="255">
        <f ca="1">IF(M62&gt;0,N62*100/M62,0)</f>
        <v>93.9223838836038</v>
      </c>
      <c r="Q62" s="255">
        <f>Q63+Q64</f>
        <v>0</v>
      </c>
      <c r="R62" s="255">
        <f>R63+R64</f>
        <v>0</v>
      </c>
      <c r="S62" s="255">
        <f>S63+S64</f>
        <v>0</v>
      </c>
      <c r="T62" s="255">
        <f>IF(Q62&gt;0,S62*100/Q62,0)</f>
        <v>0</v>
      </c>
      <c r="U62" s="255">
        <f>IF(R62&gt;0,S62*100/R62,0)</f>
        <v>0</v>
      </c>
    </row>
    <row r="63" spans="1:21" ht="18.75" hidden="1">
      <c r="A63" s="49"/>
      <c r="B63" s="50"/>
      <c r="C63" s="50"/>
      <c r="D63" s="50"/>
      <c r="E63" s="186" t="s">
        <v>20</v>
      </c>
      <c r="F63" s="50"/>
      <c r="G63" s="52"/>
      <c r="H63" s="729" t="s">
        <v>14</v>
      </c>
      <c r="I63" s="54"/>
      <c r="J63" s="54"/>
      <c r="K63" s="55"/>
      <c r="L63" s="103">
        <v>0</v>
      </c>
      <c r="M63" s="102">
        <v>0</v>
      </c>
      <c r="N63" s="102">
        <v>0</v>
      </c>
      <c r="O63" s="102">
        <f>IF(L63&gt;0,N63*100/L63,0)</f>
        <v>0</v>
      </c>
      <c r="P63" s="102">
        <f>IF(M63&gt;0,N63*100/M63,0)</f>
        <v>0</v>
      </c>
      <c r="Q63" s="102">
        <v>0</v>
      </c>
      <c r="R63" s="102">
        <v>0</v>
      </c>
      <c r="S63" s="102">
        <v>0</v>
      </c>
      <c r="T63" s="102">
        <f>IF(Q63&gt;0,S63*100/Q63,0)</f>
        <v>0</v>
      </c>
      <c r="U63" s="102">
        <f>IF(R63&gt;0,S63*100/R63,0)</f>
        <v>0</v>
      </c>
    </row>
    <row r="64" spans="1:21" ht="18.75" hidden="1">
      <c r="A64" s="49"/>
      <c r="B64" s="50"/>
      <c r="C64" s="50"/>
      <c r="D64" s="50"/>
      <c r="E64" s="58" t="s">
        <v>21</v>
      </c>
      <c r="F64" s="50"/>
      <c r="G64" s="52"/>
      <c r="H64" s="53" t="s">
        <v>14</v>
      </c>
      <c r="I64" s="54"/>
      <c r="J64" s="54"/>
      <c r="K64" s="55"/>
      <c r="L64" s="256">
        <f ca="1">IFERROR(__xludf.DUMMYFUNCTION("IMPORTRANGE(""https://docs.google.com/spreadsheets/d/1-uDff_7J0KD5mKrp0Vvzr7lt3OU09vwQwhkpOPPYv2Y/edit?usp=sharing"",""งบพรบ!AC45"")"),536100)</f>
        <v>536100</v>
      </c>
      <c r="M64" s="255">
        <f ca="1">IFERROR(__xludf.DUMMYFUNCTION("IMPORTRANGE(""https://docs.google.com/spreadsheets/d/1-uDff_7J0KD5mKrp0Vvzr7lt3OU09vwQwhkpOPPYv2Y/edit?usp=sharing"",""งบพรบ!AH45"")"),536100)</f>
        <v>536100</v>
      </c>
      <c r="N64" s="255">
        <f ca="1">IFERROR(__xludf.DUMMYFUNCTION("IMPORTRANGE(""https://docs.google.com/spreadsheets/d/1-uDff_7J0KD5mKrp0Vvzr7lt3OU09vwQwhkpOPPYv2Y/edit?usp=sharing"",""งบพรบ!AJ45"")"),503517.9)</f>
        <v>503517.9</v>
      </c>
      <c r="O64" s="255">
        <f ca="1">IF(L64&gt;0,N64*100/L64,0)</f>
        <v>93.9223838836038</v>
      </c>
      <c r="P64" s="255">
        <f ca="1">IF(M64&gt;0,N64*100/M64,0)</f>
        <v>93.9223838836038</v>
      </c>
      <c r="Q64" s="255">
        <v>0</v>
      </c>
      <c r="R64" s="255">
        <v>0</v>
      </c>
      <c r="S64" s="255">
        <v>0</v>
      </c>
      <c r="T64" s="255">
        <f>IF(Q64&gt;0,S64*100/Q64,0)</f>
        <v>0</v>
      </c>
      <c r="U64" s="255">
        <f>IF(R64&gt;0,S64*100/R64,0)</f>
        <v>0</v>
      </c>
    </row>
    <row r="65" spans="1:21" ht="18.75">
      <c r="A65" s="49"/>
      <c r="B65" s="50"/>
      <c r="C65" s="50"/>
      <c r="D65" s="51" t="s">
        <v>23</v>
      </c>
      <c r="E65" s="50"/>
      <c r="F65" s="50"/>
      <c r="G65" s="52"/>
      <c r="H65" s="53" t="s">
        <v>14</v>
      </c>
      <c r="I65" s="54"/>
      <c r="J65" s="54"/>
      <c r="K65" s="55"/>
      <c r="L65" s="256">
        <f ca="1">L66+L67</f>
        <v>0</v>
      </c>
      <c r="M65" s="255">
        <f ca="1">M66+M67</f>
        <v>0</v>
      </c>
      <c r="N65" s="255">
        <f ca="1">N66+N67</f>
        <v>0</v>
      </c>
      <c r="O65" s="255">
        <f ca="1">IF(L65&gt;0,N65*100/L65,0)</f>
        <v>0</v>
      </c>
      <c r="P65" s="255">
        <f ca="1">IF(M65&gt;0,N65*100/M65,0)</f>
        <v>0</v>
      </c>
      <c r="Q65" s="255">
        <f>Q66+Q67</f>
        <v>0</v>
      </c>
      <c r="R65" s="255">
        <f>R66+R67</f>
        <v>0</v>
      </c>
      <c r="S65" s="255">
        <f>S66+S67</f>
        <v>0</v>
      </c>
      <c r="T65" s="255">
        <f>IF(Q65&gt;0,S65*100/Q65,0)</f>
        <v>0</v>
      </c>
      <c r="U65" s="255">
        <f>IF(R65&gt;0,S65*100/R65,0)</f>
        <v>0</v>
      </c>
    </row>
    <row r="66" spans="1:21" ht="18.75" hidden="1">
      <c r="A66" s="49"/>
      <c r="B66" s="50"/>
      <c r="C66" s="50"/>
      <c r="D66" s="50"/>
      <c r="E66" s="186" t="s">
        <v>20</v>
      </c>
      <c r="F66" s="50"/>
      <c r="G66" s="52"/>
      <c r="H66" s="729" t="s">
        <v>14</v>
      </c>
      <c r="I66" s="54"/>
      <c r="J66" s="54"/>
      <c r="K66" s="55"/>
      <c r="L66" s="103">
        <v>0</v>
      </c>
      <c r="M66" s="102">
        <v>0</v>
      </c>
      <c r="N66" s="102">
        <v>0</v>
      </c>
      <c r="O66" s="102">
        <f>IF(L66&gt;0,N66*100/L66,0)</f>
        <v>0</v>
      </c>
      <c r="P66" s="102">
        <f>IF(M66&gt;0,N66*100/M66,0)</f>
        <v>0</v>
      </c>
      <c r="Q66" s="102">
        <v>0</v>
      </c>
      <c r="R66" s="102">
        <v>0</v>
      </c>
      <c r="S66" s="102">
        <v>0</v>
      </c>
      <c r="T66" s="102">
        <f>IF(Q66&gt;0,S66*100/Q66,0)</f>
        <v>0</v>
      </c>
      <c r="U66" s="102">
        <f>IF(R66&gt;0,S66*100/R66,0)</f>
        <v>0</v>
      </c>
    </row>
    <row r="67" spans="1:21" ht="18.75" hidden="1">
      <c r="A67" s="63"/>
      <c r="B67" s="4"/>
      <c r="C67" s="4"/>
      <c r="D67" s="4"/>
      <c r="E67" s="64" t="s">
        <v>21</v>
      </c>
      <c r="F67" s="4"/>
      <c r="G67" s="65"/>
      <c r="H67" s="66" t="s">
        <v>14</v>
      </c>
      <c r="I67" s="67"/>
      <c r="J67" s="67"/>
      <c r="K67" s="6"/>
      <c r="L67" s="728">
        <f ca="1">IFERROR(__xludf.DUMMYFUNCTION("IMPORTRANGE(""https://docs.google.com/spreadsheets/d/1-uDff_7J0KD5mKrp0Vvzr7lt3OU09vwQwhkpOPPYv2Y/edit?usp=sharing"",""งบพรบ!AF45"")"),0)</f>
        <v>0</v>
      </c>
      <c r="M67" s="506">
        <f ca="1">IFERROR(__xludf.DUMMYFUNCTION("IMPORTRANGE(""https://docs.google.com/spreadsheets/d/1-uDff_7J0KD5mKrp0Vvzr7lt3OU09vwQwhkpOPPYv2Y/edit?usp=sharing"",""งบพรบ!AI45"")"),0)</f>
        <v>0</v>
      </c>
      <c r="N67" s="506">
        <f ca="1">IFERROR(__xludf.DUMMYFUNCTION("IMPORTRANGE(""https://docs.google.com/spreadsheets/d/1-uDff_7J0KD5mKrp0Vvzr7lt3OU09vwQwhkpOPPYv2Y/edit?usp=sharing"",""งบพรบ!AK45"")"),0)</f>
        <v>0</v>
      </c>
      <c r="O67" s="506">
        <f ca="1">IF(L67&gt;0,N67*100/L67,0)</f>
        <v>0</v>
      </c>
      <c r="P67" s="506">
        <f ca="1">IF(M67&gt;0,N67*100/M67,0)</f>
        <v>0</v>
      </c>
      <c r="Q67" s="506">
        <v>0</v>
      </c>
      <c r="R67" s="506">
        <v>0</v>
      </c>
      <c r="S67" s="506">
        <v>0</v>
      </c>
      <c r="T67" s="506">
        <f>IF(Q67&gt;0,S67*100/Q67,0)</f>
        <v>0</v>
      </c>
      <c r="U67" s="506">
        <f>IF(R67&gt;0,S67*100/R67,0)</f>
        <v>0</v>
      </c>
    </row>
    <row r="68" spans="1:21" ht="19.5">
      <c r="A68" s="137" t="s">
        <v>31</v>
      </c>
      <c r="B68" s="138"/>
      <c r="C68" s="138"/>
      <c r="D68" s="138"/>
      <c r="E68" s="139"/>
      <c r="F68" s="139"/>
      <c r="G68" s="139"/>
      <c r="H68" s="139"/>
      <c r="I68" s="140"/>
      <c r="J68" s="140"/>
      <c r="K68" s="141"/>
      <c r="L68" s="141"/>
      <c r="M68" s="141"/>
      <c r="N68" s="141"/>
      <c r="O68" s="141"/>
      <c r="P68" s="142"/>
      <c r="Q68" s="141"/>
      <c r="R68" s="141"/>
      <c r="S68" s="141"/>
      <c r="T68" s="141"/>
      <c r="U68" s="142"/>
    </row>
    <row r="69" spans="1:21" ht="19.5">
      <c r="A69" s="143" t="s">
        <v>32</v>
      </c>
      <c r="B69" s="144"/>
      <c r="C69" s="145"/>
      <c r="D69" s="144"/>
      <c r="E69" s="144"/>
      <c r="F69" s="144"/>
      <c r="G69" s="146"/>
      <c r="H69" s="146"/>
      <c r="I69" s="147"/>
      <c r="J69" s="147"/>
      <c r="K69" s="148"/>
      <c r="L69" s="149"/>
      <c r="M69" s="148"/>
      <c r="N69" s="148"/>
      <c r="O69" s="148"/>
      <c r="P69" s="148"/>
      <c r="Q69" s="148"/>
      <c r="R69" s="148"/>
      <c r="S69" s="148"/>
      <c r="T69" s="148"/>
      <c r="U69" s="148"/>
    </row>
    <row r="70" spans="1:21" ht="19.5">
      <c r="A70" s="150"/>
      <c r="B70" s="35" t="s">
        <v>33</v>
      </c>
      <c r="C70" s="34"/>
      <c r="D70" s="151"/>
      <c r="E70" s="34"/>
      <c r="F70" s="34"/>
      <c r="G70" s="37"/>
      <c r="H70" s="152" t="s">
        <v>34</v>
      </c>
      <c r="I70" s="721">
        <f ca="1">I82</f>
        <v>1</v>
      </c>
      <c r="J70" s="721">
        <f>J82</f>
        <v>0</v>
      </c>
      <c r="K70" s="720">
        <f ca="1">IF(I70&gt;0,J70*100/I70,0)</f>
        <v>0</v>
      </c>
      <c r="L70" s="154"/>
      <c r="M70" s="40"/>
      <c r="N70" s="40"/>
      <c r="O70" s="40"/>
      <c r="P70" s="40"/>
      <c r="Q70" s="40"/>
      <c r="R70" s="40"/>
      <c r="S70" s="40"/>
      <c r="T70" s="40"/>
      <c r="U70" s="40"/>
    </row>
    <row r="71" spans="1:21" ht="19.5">
      <c r="A71" s="150"/>
      <c r="B71" s="34"/>
      <c r="C71" s="34"/>
      <c r="D71" s="151"/>
      <c r="E71" s="34"/>
      <c r="F71" s="34"/>
      <c r="G71" s="37"/>
      <c r="H71" s="152" t="s">
        <v>35</v>
      </c>
      <c r="I71" s="721">
        <f ca="1">I83</f>
        <v>30</v>
      </c>
      <c r="J71" s="721">
        <f>J83</f>
        <v>0</v>
      </c>
      <c r="K71" s="720">
        <f ca="1">IF(I71&gt;0,J71*100/I71,0)</f>
        <v>0</v>
      </c>
      <c r="L71" s="154"/>
      <c r="M71" s="40"/>
      <c r="N71" s="40"/>
      <c r="O71" s="40"/>
      <c r="P71" s="40"/>
      <c r="Q71" s="40"/>
      <c r="R71" s="40"/>
      <c r="S71" s="40"/>
      <c r="T71" s="40"/>
      <c r="U71" s="40"/>
    </row>
    <row r="72" spans="1:21" ht="19.5">
      <c r="A72" s="155"/>
      <c r="B72" s="50"/>
      <c r="C72" s="156" t="s">
        <v>18</v>
      </c>
      <c r="D72" s="575" t="s">
        <v>19</v>
      </c>
      <c r="E72" s="50"/>
      <c r="F72" s="50"/>
      <c r="G72" s="52"/>
      <c r="H72" s="158" t="s">
        <v>14</v>
      </c>
      <c r="I72" s="54"/>
      <c r="J72" s="54"/>
      <c r="K72" s="55"/>
      <c r="L72" s="541">
        <f ca="1">L73+L74</f>
        <v>90000</v>
      </c>
      <c r="M72" s="540">
        <f ca="1">M73+M74</f>
        <v>90000</v>
      </c>
      <c r="N72" s="540">
        <f ca="1">N73+N74</f>
        <v>26000</v>
      </c>
      <c r="O72" s="540">
        <f ca="1">IF(L72&gt;0,N72*100/L72,0)</f>
        <v>28.888888888888889</v>
      </c>
      <c r="P72" s="540">
        <f ca="1">IF(M72&gt;0,N72*100/M72,0)</f>
        <v>28.888888888888889</v>
      </c>
      <c r="Q72" s="540">
        <f ca="1">Q73+Q74</f>
        <v>403700</v>
      </c>
      <c r="R72" s="540">
        <f ca="1">R73+R74</f>
        <v>403700</v>
      </c>
      <c r="S72" s="540">
        <f ca="1">S73+S74</f>
        <v>0</v>
      </c>
      <c r="T72" s="540">
        <f ca="1">IF(Q72&gt;0,S72*100/Q72,0)</f>
        <v>0</v>
      </c>
      <c r="U72" s="540">
        <f ca="1">IF(R72&gt;0,S72*100/R72,0)</f>
        <v>0</v>
      </c>
    </row>
    <row r="73" spans="1:21" ht="18.75" hidden="1">
      <c r="A73" s="155"/>
      <c r="B73" s="50"/>
      <c r="C73" s="50"/>
      <c r="D73" s="50"/>
      <c r="E73" s="186" t="s">
        <v>20</v>
      </c>
      <c r="F73" s="50"/>
      <c r="G73" s="52"/>
      <c r="H73" s="187" t="s">
        <v>14</v>
      </c>
      <c r="I73" s="54"/>
      <c r="J73" s="54"/>
      <c r="K73" s="55"/>
      <c r="L73" s="103">
        <f>L76+L79</f>
        <v>0</v>
      </c>
      <c r="M73" s="102">
        <f>M76+M79</f>
        <v>0</v>
      </c>
      <c r="N73" s="102">
        <f>N76+N79</f>
        <v>0</v>
      </c>
      <c r="O73" s="102">
        <f>IF(L73&gt;0,N73*100/L73,0)</f>
        <v>0</v>
      </c>
      <c r="P73" s="102">
        <f>IF(M73&gt;0,N73*100/M73,0)</f>
        <v>0</v>
      </c>
      <c r="Q73" s="102">
        <f>Q76+Q79</f>
        <v>0</v>
      </c>
      <c r="R73" s="102">
        <f>R76+R79</f>
        <v>0</v>
      </c>
      <c r="S73" s="102">
        <f>S76+S79</f>
        <v>0</v>
      </c>
      <c r="T73" s="102">
        <f>IF(Q73&gt;0,S73*100/Q73,0)</f>
        <v>0</v>
      </c>
      <c r="U73" s="102">
        <f>IF(R73&gt;0,S73*100/R73,0)</f>
        <v>0</v>
      </c>
    </row>
    <row r="74" spans="1:21" ht="18.75" hidden="1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256">
        <f ca="1">L77+L80</f>
        <v>90000</v>
      </c>
      <c r="M74" s="255">
        <f ca="1">M77+M80</f>
        <v>90000</v>
      </c>
      <c r="N74" s="255">
        <f ca="1">N77+N80</f>
        <v>26000</v>
      </c>
      <c r="O74" s="255">
        <f ca="1">IF(L74&gt;0,N74*100/L74,0)</f>
        <v>28.888888888888889</v>
      </c>
      <c r="P74" s="255">
        <f ca="1">IF(M74&gt;0,N74*100/M74,0)</f>
        <v>28.888888888888889</v>
      </c>
      <c r="Q74" s="255">
        <f ca="1">Q77+Q80</f>
        <v>403700</v>
      </c>
      <c r="R74" s="255">
        <f ca="1">R77+R80</f>
        <v>403700</v>
      </c>
      <c r="S74" s="255">
        <f ca="1">S77+S80</f>
        <v>0</v>
      </c>
      <c r="T74" s="255">
        <f ca="1">IF(Q74&gt;0,S74*100/Q74,0)</f>
        <v>0</v>
      </c>
      <c r="U74" s="255">
        <f ca="1">IF(R74&gt;0,S74*100/R74,0)</f>
        <v>0</v>
      </c>
    </row>
    <row r="75" spans="1:21" ht="18.75">
      <c r="A75" s="155"/>
      <c r="B75" s="50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256">
        <f ca="1">L76+L77</f>
        <v>90000</v>
      </c>
      <c r="M75" s="255">
        <f ca="1">M76+M77</f>
        <v>90000</v>
      </c>
      <c r="N75" s="255">
        <f ca="1">N76+N77</f>
        <v>26000</v>
      </c>
      <c r="O75" s="255">
        <f ca="1">IF(L75&gt;0,N75*100/L75,0)</f>
        <v>28.888888888888889</v>
      </c>
      <c r="P75" s="255">
        <f ca="1">IF(M75&gt;0,N75*100/M75,0)</f>
        <v>28.888888888888889</v>
      </c>
      <c r="Q75" s="255">
        <f ca="1">Q76+Q77</f>
        <v>403700</v>
      </c>
      <c r="R75" s="255">
        <f ca="1">R76+R77</f>
        <v>403700</v>
      </c>
      <c r="S75" s="255">
        <f ca="1">S76+S77</f>
        <v>0</v>
      </c>
      <c r="T75" s="255">
        <f ca="1">IF(Q75&gt;0,S75*100/Q75,0)</f>
        <v>0</v>
      </c>
      <c r="U75" s="255">
        <f ca="1">IF(R75&gt;0,S75*100/R75,0)</f>
        <v>0</v>
      </c>
    </row>
    <row r="76" spans="1:21" ht="18.75" hidden="1">
      <c r="A76" s="155"/>
      <c r="B76" s="50"/>
      <c r="C76" s="50"/>
      <c r="D76" s="50"/>
      <c r="E76" s="186" t="s">
        <v>36</v>
      </c>
      <c r="F76" s="50"/>
      <c r="G76" s="52"/>
      <c r="H76" s="189" t="s">
        <v>14</v>
      </c>
      <c r="I76" s="163"/>
      <c r="J76" s="163"/>
      <c r="K76" s="164"/>
      <c r="L76" s="103">
        <v>0</v>
      </c>
      <c r="M76" s="102">
        <v>0</v>
      </c>
      <c r="N76" s="102">
        <v>0</v>
      </c>
      <c r="O76" s="102">
        <f>IF(L76&gt;0,N76*100/L76,0)</f>
        <v>0</v>
      </c>
      <c r="P76" s="102">
        <f>IF(M76&gt;0,N76*100/M76,0)</f>
        <v>0</v>
      </c>
      <c r="Q76" s="102">
        <v>0</v>
      </c>
      <c r="R76" s="102">
        <v>0</v>
      </c>
      <c r="S76" s="102">
        <v>0</v>
      </c>
      <c r="T76" s="102">
        <f>IF(Q76&gt;0,S76*100/Q76,0)</f>
        <v>0</v>
      </c>
      <c r="U76" s="102">
        <f>IF(R76&gt;0,S76*100/R76,0)</f>
        <v>0</v>
      </c>
    </row>
    <row r="77" spans="1:21" ht="18.75" hidden="1">
      <c r="A77" s="155"/>
      <c r="B77" s="50"/>
      <c r="C77" s="50"/>
      <c r="D77" s="50"/>
      <c r="E77" s="58" t="s">
        <v>37</v>
      </c>
      <c r="F77" s="50"/>
      <c r="G77" s="52"/>
      <c r="H77" s="162" t="s">
        <v>14</v>
      </c>
      <c r="I77" s="163"/>
      <c r="J77" s="163"/>
      <c r="K77" s="164"/>
      <c r="L77" s="256">
        <f ca="1">IFERROR(__xludf.DUMMYFUNCTION("IMPORTRANGE(""https://docs.google.com/spreadsheets/d/1-uDff_7J0KD5mKrp0Vvzr7lt3OU09vwQwhkpOPPYv2Y/edit?usp=sharing"",""งบพรบ!AM45"")"),90000)</f>
        <v>90000</v>
      </c>
      <c r="M77" s="255">
        <f ca="1">IFERROR(__xludf.DUMMYFUNCTION("IMPORTRANGE(""https://docs.google.com/spreadsheets/d/1-uDff_7J0KD5mKrp0Vvzr7lt3OU09vwQwhkpOPPYv2Y/edit?usp=sharing"",""งบพรบ!AR45"")"),90000)</f>
        <v>90000</v>
      </c>
      <c r="N77" s="255">
        <f ca="1">IFERROR(__xludf.DUMMYFUNCTION("IMPORTRANGE(""https://docs.google.com/spreadsheets/d/1-uDff_7J0KD5mKrp0Vvzr7lt3OU09vwQwhkpOPPYv2Y/edit?usp=sharing"",""งบพรบ!AT45"")"),26000)</f>
        <v>26000</v>
      </c>
      <c r="O77" s="255">
        <f ca="1">IF(L77&gt;0,N77*100/L77,0)</f>
        <v>28.888888888888889</v>
      </c>
      <c r="P77" s="255">
        <f ca="1">IF(M77&gt;0,N77*100/M77,0)</f>
        <v>28.888888888888889</v>
      </c>
      <c r="Q77" s="255">
        <f ca="1">IFERROR(__xludf.DUMMYFUNCTION("IMPORTRANGE(""https://docs.google.com/spreadsheets/d/1ItG2mGa2ceCfYo0BwxsXqNm01IGEUdYcSSLTEv9YCik/edit?usp=sharing"",""เบิกจ่ายกองทุน!AS45"")"),403700)</f>
        <v>403700</v>
      </c>
      <c r="R77" s="255">
        <f ca="1">IFERROR(__xludf.DUMMYFUNCTION("IMPORTRANGE(""https://docs.google.com/spreadsheets/d/1ItG2mGa2ceCfYo0BwxsXqNm01IGEUdYcSSLTEv9YCik/edit?usp=sharing"",""เบิกจ่ายกองทุน!AT45"")"),403700)</f>
        <v>403700</v>
      </c>
      <c r="S77" s="255">
        <f ca="1">IFERROR(__xludf.DUMMYFUNCTION("IMPORTRANGE(""https://docs.google.com/spreadsheets/d/1ItG2mGa2ceCfYo0BwxsXqNm01IGEUdYcSSLTEv9YCik/edit?usp=sharing"",""เบิกจ่ายกองทุน!AU45"")"),0)</f>
        <v>0</v>
      </c>
      <c r="T77" s="255">
        <f ca="1">IF(Q77&gt;0,S77*100/Q77,0)</f>
        <v>0</v>
      </c>
      <c r="U77" s="255">
        <f ca="1">IF(R77&gt;0,S77*100/R77,0)</f>
        <v>0</v>
      </c>
    </row>
    <row r="78" spans="1:21" ht="18.75">
      <c r="A78" s="155"/>
      <c r="B78" s="50"/>
      <c r="C78" s="50"/>
      <c r="D78" s="51" t="s">
        <v>23</v>
      </c>
      <c r="E78" s="50"/>
      <c r="F78" s="50"/>
      <c r="G78" s="52"/>
      <c r="H78" s="165" t="s">
        <v>14</v>
      </c>
      <c r="I78" s="163"/>
      <c r="J78" s="163"/>
      <c r="K78" s="164"/>
      <c r="L78" s="256">
        <f ca="1">L79+L80</f>
        <v>0</v>
      </c>
      <c r="M78" s="255">
        <f ca="1">M79+M80</f>
        <v>0</v>
      </c>
      <c r="N78" s="255">
        <f ca="1">N79+N80</f>
        <v>0</v>
      </c>
      <c r="O78" s="255">
        <f ca="1">IF(L78&gt;0,N78*100/L78,0)</f>
        <v>0</v>
      </c>
      <c r="P78" s="255">
        <f ca="1">IF(M78&gt;0,N78*100/M78,0)</f>
        <v>0</v>
      </c>
      <c r="Q78" s="255">
        <f>Q79+Q80</f>
        <v>0</v>
      </c>
      <c r="R78" s="255">
        <f>R79+R80</f>
        <v>0</v>
      </c>
      <c r="S78" s="255">
        <f>S79+S80</f>
        <v>0</v>
      </c>
      <c r="T78" s="255">
        <f>IF(Q78&gt;0,S78*100/Q78,0)</f>
        <v>0</v>
      </c>
      <c r="U78" s="255">
        <f>IF(R78&gt;0,S78*100/R78,0)</f>
        <v>0</v>
      </c>
    </row>
    <row r="79" spans="1:21" ht="18.75" hidden="1">
      <c r="A79" s="155"/>
      <c r="B79" s="50"/>
      <c r="C79" s="50"/>
      <c r="D79" s="50"/>
      <c r="E79" s="186" t="s">
        <v>20</v>
      </c>
      <c r="F79" s="50"/>
      <c r="G79" s="52"/>
      <c r="H79" s="189" t="s">
        <v>14</v>
      </c>
      <c r="I79" s="163"/>
      <c r="J79" s="163"/>
      <c r="K79" s="164"/>
      <c r="L79" s="103">
        <v>0</v>
      </c>
      <c r="M79" s="255">
        <v>0</v>
      </c>
      <c r="N79" s="255">
        <v>0</v>
      </c>
      <c r="O79" s="102">
        <f>IF(L79&gt;0,N79*100/L79,0)</f>
        <v>0</v>
      </c>
      <c r="P79" s="102">
        <f>IF(M79&gt;0,N79*100/M79,0)</f>
        <v>0</v>
      </c>
      <c r="Q79" s="102">
        <v>0</v>
      </c>
      <c r="R79" s="255">
        <v>0</v>
      </c>
      <c r="S79" s="255">
        <v>0</v>
      </c>
      <c r="T79" s="102">
        <f>IF(Q79&gt;0,S79*100/Q79,0)</f>
        <v>0</v>
      </c>
      <c r="U79" s="102">
        <f>IF(R79&gt;0,S79*100/R79,0)</f>
        <v>0</v>
      </c>
    </row>
    <row r="80" spans="1:21" ht="18.75" hidden="1">
      <c r="A80" s="155"/>
      <c r="B80" s="50"/>
      <c r="C80" s="50"/>
      <c r="D80" s="50"/>
      <c r="E80" s="58" t="s">
        <v>21</v>
      </c>
      <c r="F80" s="50"/>
      <c r="G80" s="52"/>
      <c r="H80" s="165" t="s">
        <v>14</v>
      </c>
      <c r="I80" s="163"/>
      <c r="J80" s="163"/>
      <c r="K80" s="164"/>
      <c r="L80" s="256">
        <f ca="1">IFERROR(__xludf.DUMMYFUNCTION("IMPORTRANGE(""https://docs.google.com/spreadsheets/d/1-uDff_7J0KD5mKrp0Vvzr7lt3OU09vwQwhkpOPPYv2Y/edit?usp=sharing"",""งบพรบ!AP45"")"),0)</f>
        <v>0</v>
      </c>
      <c r="M80" s="255">
        <f ca="1">IFERROR(__xludf.DUMMYFUNCTION("IMPORTRANGE(""https://docs.google.com/spreadsheets/d/1-uDff_7J0KD5mKrp0Vvzr7lt3OU09vwQwhkpOPPYv2Y/edit?usp=sharing"",""งบพรบ!AS45"")"),0)</f>
        <v>0</v>
      </c>
      <c r="N80" s="255">
        <f ca="1">IFERROR(__xludf.DUMMYFUNCTION("IMPORTRANGE(""https://docs.google.com/spreadsheets/d/1-uDff_7J0KD5mKrp0Vvzr7lt3OU09vwQwhkpOPPYv2Y/edit?usp=sharing"",""งบพรบ!AU45"")"),0)</f>
        <v>0</v>
      </c>
      <c r="O80" s="255">
        <f ca="1">IF(L80&gt;0,N80*100/L80,0)</f>
        <v>0</v>
      </c>
      <c r="P80" s="255">
        <f ca="1">IF(M80&gt;0,N80*100/M80,0)</f>
        <v>0</v>
      </c>
      <c r="Q80" s="255">
        <v>0</v>
      </c>
      <c r="R80" s="255">
        <v>0</v>
      </c>
      <c r="S80" s="255">
        <v>0</v>
      </c>
      <c r="T80" s="255">
        <f>IF(Q80&gt;0,S80*100/Q80,0)</f>
        <v>0</v>
      </c>
      <c r="U80" s="255">
        <f>IF(R80&gt;0,S80*100/R80,0)</f>
        <v>0</v>
      </c>
    </row>
    <row r="81" spans="1:21" ht="19.5">
      <c r="A81" s="166"/>
      <c r="B81" s="167"/>
      <c r="C81" s="156" t="s">
        <v>18</v>
      </c>
      <c r="D81" s="566" t="s">
        <v>38</v>
      </c>
      <c r="E81" s="169"/>
      <c r="F81" s="169"/>
      <c r="G81" s="170"/>
      <c r="H81" s="171"/>
      <c r="I81" s="163"/>
      <c r="J81" s="163"/>
      <c r="K81" s="164"/>
      <c r="L81" s="172"/>
      <c r="M81" s="164"/>
      <c r="N81" s="164"/>
      <c r="O81" s="164"/>
      <c r="P81" s="164"/>
      <c r="Q81" s="164"/>
      <c r="R81" s="164"/>
      <c r="S81" s="164"/>
      <c r="T81" s="164"/>
      <c r="U81" s="164"/>
    </row>
    <row r="82" spans="1:21" ht="19.5">
      <c r="A82" s="166"/>
      <c r="B82" s="167"/>
      <c r="C82" s="167"/>
      <c r="D82" s="173" t="s">
        <v>39</v>
      </c>
      <c r="E82" s="174"/>
      <c r="F82" s="174"/>
      <c r="G82" s="171"/>
      <c r="H82" s="175" t="s">
        <v>34</v>
      </c>
      <c r="I82" s="373">
        <f ca="1">I84+I86+I88</f>
        <v>1</v>
      </c>
      <c r="J82" s="373">
        <f>J84+J86+J88</f>
        <v>0</v>
      </c>
      <c r="K82" s="642">
        <f ca="1">IF(I82&gt;0,J82*100/I82,0)</f>
        <v>0</v>
      </c>
      <c r="L82" s="172"/>
      <c r="M82" s="164"/>
      <c r="N82" s="164"/>
      <c r="O82" s="164"/>
      <c r="P82" s="164"/>
      <c r="Q82" s="164"/>
      <c r="R82" s="164"/>
      <c r="S82" s="164"/>
      <c r="T82" s="164"/>
      <c r="U82" s="164"/>
    </row>
    <row r="83" spans="1:21" ht="19.5">
      <c r="A83" s="166"/>
      <c r="B83" s="167"/>
      <c r="C83" s="167"/>
      <c r="D83" s="167"/>
      <c r="E83" s="174"/>
      <c r="F83" s="174"/>
      <c r="G83" s="171"/>
      <c r="H83" s="175" t="s">
        <v>35</v>
      </c>
      <c r="I83" s="373">
        <f ca="1">I85+I87+I89</f>
        <v>30</v>
      </c>
      <c r="J83" s="373">
        <f>J85+J87+J89</f>
        <v>0</v>
      </c>
      <c r="K83" s="642">
        <f ca="1">IF(I83&gt;0,J83*100/I83,0)</f>
        <v>0</v>
      </c>
      <c r="L83" s="172"/>
      <c r="M83" s="164"/>
      <c r="N83" s="164"/>
      <c r="O83" s="164"/>
      <c r="P83" s="164"/>
      <c r="Q83" s="164"/>
      <c r="R83" s="164"/>
      <c r="S83" s="164"/>
      <c r="T83" s="164"/>
      <c r="U83" s="164"/>
    </row>
    <row r="84" spans="1:21" ht="18.75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641">
        <f ca="1">IFERROR(__xludf.DUMMYFUNCTION("IMPORTRANGE(""https://docs.google.com/spreadsheets/d/1eHaY18a8A9IcSdp1K8H6x8fbOy06t2VsZHhMHf-1x7Y/edit?usp=sharing"",""แผน!H45"")"),1)</f>
        <v>1</v>
      </c>
      <c r="J84" s="467">
        <v>0</v>
      </c>
      <c r="K84" s="565">
        <f ca="1">IF(I84&gt;0,J84*100/I84,0)</f>
        <v>0</v>
      </c>
      <c r="L84" s="172"/>
      <c r="M84" s="164"/>
      <c r="N84" s="164"/>
      <c r="O84" s="164"/>
      <c r="P84" s="164"/>
      <c r="Q84" s="164"/>
      <c r="R84" s="164"/>
      <c r="S84" s="164"/>
      <c r="T84" s="164"/>
      <c r="U84" s="164"/>
    </row>
    <row r="85" spans="1:21" ht="18.75">
      <c r="A85" s="166"/>
      <c r="B85" s="167"/>
      <c r="C85" s="167"/>
      <c r="D85" s="167"/>
      <c r="E85" s="174"/>
      <c r="F85" s="174"/>
      <c r="G85" s="171"/>
      <c r="H85" s="179" t="s">
        <v>35</v>
      </c>
      <c r="I85" s="641">
        <f ca="1">IFERROR(__xludf.DUMMYFUNCTION("IMPORTRANGE(""https://docs.google.com/spreadsheets/d/1eHaY18a8A9IcSdp1K8H6x8fbOy06t2VsZHhMHf-1x7Y/edit?usp=sharing"",""แผน!I45"")"),30)</f>
        <v>30</v>
      </c>
      <c r="J85" s="467">
        <v>0</v>
      </c>
      <c r="K85" s="565">
        <f ca="1">IF(I85&gt;0,J85*100/I85,0)</f>
        <v>0</v>
      </c>
      <c r="L85" s="172"/>
      <c r="M85" s="164"/>
      <c r="N85" s="164"/>
      <c r="O85" s="164"/>
      <c r="P85" s="164"/>
      <c r="Q85" s="164"/>
      <c r="R85" s="164"/>
      <c r="S85" s="164"/>
      <c r="T85" s="164"/>
      <c r="U85" s="164"/>
    </row>
    <row r="86" spans="1:21" ht="18.75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641">
        <f ca="1">IFERROR(__xludf.DUMMYFUNCTION("IMPORTRANGE(""https://docs.google.com/spreadsheets/d/1eHaY18a8A9IcSdp1K8H6x8fbOy06t2VsZHhMHf-1x7Y/edit?usp=sharing"",""แผน!F45"")"),0)</f>
        <v>0</v>
      </c>
      <c r="J86" s="467">
        <v>0</v>
      </c>
      <c r="K86" s="565">
        <f ca="1">IF(I86&gt;0,J86*100/I86,0)</f>
        <v>0</v>
      </c>
      <c r="L86" s="172"/>
      <c r="M86" s="164"/>
      <c r="N86" s="164"/>
      <c r="O86" s="164"/>
      <c r="P86" s="164"/>
      <c r="Q86" s="164"/>
      <c r="R86" s="164"/>
      <c r="S86" s="164"/>
      <c r="T86" s="164"/>
      <c r="U86" s="164"/>
    </row>
    <row r="87" spans="1:21" ht="18.75">
      <c r="A87" s="166"/>
      <c r="B87" s="167"/>
      <c r="C87" s="167"/>
      <c r="D87" s="167"/>
      <c r="E87" s="174"/>
      <c r="F87" s="174"/>
      <c r="G87" s="171"/>
      <c r="H87" s="179" t="s">
        <v>35</v>
      </c>
      <c r="I87" s="641">
        <f ca="1">IFERROR(__xludf.DUMMYFUNCTION("IMPORTRANGE(""https://docs.google.com/spreadsheets/d/1eHaY18a8A9IcSdp1K8H6x8fbOy06t2VsZHhMHf-1x7Y/edit?usp=sharing"",""แผน!G45"")"),0)</f>
        <v>0</v>
      </c>
      <c r="J87" s="467">
        <v>0</v>
      </c>
      <c r="K87" s="565">
        <f ca="1">IF(I87&gt;0,J87*100/I87,0)</f>
        <v>0</v>
      </c>
      <c r="L87" s="172"/>
      <c r="M87" s="164"/>
      <c r="N87" s="164"/>
      <c r="O87" s="164"/>
      <c r="P87" s="164"/>
      <c r="Q87" s="164"/>
      <c r="R87" s="164"/>
      <c r="S87" s="164"/>
      <c r="T87" s="164"/>
      <c r="U87" s="164"/>
    </row>
    <row r="88" spans="1:21" ht="18.75">
      <c r="A88" s="166"/>
      <c r="B88" s="167"/>
      <c r="C88" s="167"/>
      <c r="D88" s="167"/>
      <c r="E88" s="178" t="s">
        <v>42</v>
      </c>
      <c r="F88" s="174"/>
      <c r="G88" s="171"/>
      <c r="H88" s="179" t="s">
        <v>34</v>
      </c>
      <c r="I88" s="641">
        <f ca="1">IFERROR(__xludf.DUMMYFUNCTION("IMPORTRANGE(""https://docs.google.com/spreadsheets/d/1eHaY18a8A9IcSdp1K8H6x8fbOy06t2VsZHhMHf-1x7Y/edit?usp=sharing"",""แผน!D45"")"),0)</f>
        <v>0</v>
      </c>
      <c r="J88" s="467">
        <v>0</v>
      </c>
      <c r="K88" s="565">
        <f ca="1">IF(I88&gt;0,J88*100/I88,0)</f>
        <v>0</v>
      </c>
      <c r="L88" s="172"/>
      <c r="M88" s="164"/>
      <c r="N88" s="164"/>
      <c r="O88" s="164"/>
      <c r="P88" s="164"/>
      <c r="Q88" s="164"/>
      <c r="R88" s="164"/>
      <c r="S88" s="164"/>
      <c r="T88" s="164"/>
      <c r="U88" s="164"/>
    </row>
    <row r="89" spans="1:21" ht="18.75">
      <c r="A89" s="166"/>
      <c r="B89" s="167"/>
      <c r="C89" s="167"/>
      <c r="D89" s="167"/>
      <c r="E89" s="174"/>
      <c r="F89" s="174"/>
      <c r="G89" s="171"/>
      <c r="H89" s="179" t="s">
        <v>35</v>
      </c>
      <c r="I89" s="641">
        <f ca="1">IFERROR(__xludf.DUMMYFUNCTION("IMPORTRANGE(""https://docs.google.com/spreadsheets/d/1eHaY18a8A9IcSdp1K8H6x8fbOy06t2VsZHhMHf-1x7Y/edit?usp=sharing"",""แผน!E45"")"),0)</f>
        <v>0</v>
      </c>
      <c r="J89" s="467">
        <v>0</v>
      </c>
      <c r="K89" s="565">
        <f ca="1">IF(I89&gt;0,J89*100/I89,0)</f>
        <v>0</v>
      </c>
      <c r="L89" s="172"/>
      <c r="M89" s="164"/>
      <c r="N89" s="164"/>
      <c r="O89" s="164"/>
      <c r="P89" s="164"/>
      <c r="Q89" s="164"/>
      <c r="R89" s="164"/>
      <c r="S89" s="164"/>
      <c r="T89" s="164"/>
      <c r="U89" s="164"/>
    </row>
    <row r="90" spans="1:21" ht="18.75">
      <c r="A90" s="166"/>
      <c r="B90" s="167"/>
      <c r="C90" s="167"/>
      <c r="D90" s="173" t="s">
        <v>43</v>
      </c>
      <c r="E90" s="174"/>
      <c r="F90" s="174"/>
      <c r="G90" s="171"/>
      <c r="H90" s="183" t="s">
        <v>34</v>
      </c>
      <c r="I90" s="641">
        <f ca="1">IFERROR(__xludf.DUMMYFUNCTION("IMPORTRANGE(""https://docs.google.com/spreadsheets/d/1eHaY18a8A9IcSdp1K8H6x8fbOy06t2VsZHhMHf-1x7Y/edit?usp=sharing"",""แผน!J45"")"),1)</f>
        <v>1</v>
      </c>
      <c r="J90" s="467">
        <v>0</v>
      </c>
      <c r="K90" s="565">
        <f ca="1">IF(I90&gt;0,J90*100/I90,0)</f>
        <v>0</v>
      </c>
      <c r="L90" s="172"/>
      <c r="M90" s="164"/>
      <c r="N90" s="164"/>
      <c r="O90" s="164"/>
      <c r="P90" s="164"/>
      <c r="Q90" s="164"/>
      <c r="R90" s="164"/>
      <c r="S90" s="164"/>
      <c r="T90" s="164"/>
      <c r="U90" s="164"/>
    </row>
    <row r="91" spans="1:21" ht="19.5" hidden="1">
      <c r="A91" s="143" t="s">
        <v>44</v>
      </c>
      <c r="B91" s="144"/>
      <c r="C91" s="145"/>
      <c r="D91" s="144"/>
      <c r="E91" s="144"/>
      <c r="F91" s="144"/>
      <c r="G91" s="146"/>
      <c r="H91" s="146"/>
      <c r="I91" s="147"/>
      <c r="J91" s="147"/>
      <c r="K91" s="148"/>
      <c r="L91" s="149"/>
      <c r="M91" s="148"/>
      <c r="N91" s="148"/>
      <c r="O91" s="148"/>
      <c r="P91" s="148"/>
      <c r="Q91" s="148"/>
      <c r="R91" s="148"/>
      <c r="S91" s="148"/>
      <c r="T91" s="148"/>
      <c r="U91" s="148"/>
    </row>
    <row r="92" spans="1:21" ht="19.5" hidden="1">
      <c r="A92" s="150"/>
      <c r="B92" s="35" t="s">
        <v>45</v>
      </c>
      <c r="C92" s="34"/>
      <c r="D92" s="151"/>
      <c r="E92" s="34"/>
      <c r="F92" s="34"/>
      <c r="G92" s="37"/>
      <c r="H92" s="152" t="s">
        <v>46</v>
      </c>
      <c r="I92" s="721">
        <f ca="1">I108</f>
        <v>0</v>
      </c>
      <c r="J92" s="721">
        <f>J108</f>
        <v>0</v>
      </c>
      <c r="K92" s="720">
        <f ca="1">IF(I92&gt;0,J92*100/I92,0)</f>
        <v>0</v>
      </c>
      <c r="L92" s="154"/>
      <c r="M92" s="40"/>
      <c r="N92" s="40"/>
      <c r="O92" s="40"/>
      <c r="P92" s="40"/>
      <c r="Q92" s="40"/>
      <c r="R92" s="40"/>
      <c r="S92" s="40"/>
      <c r="T92" s="40"/>
      <c r="U92" s="40"/>
    </row>
    <row r="93" spans="1:21" ht="19.5" hidden="1">
      <c r="A93" s="150"/>
      <c r="B93" s="34"/>
      <c r="C93" s="34"/>
      <c r="D93" s="151"/>
      <c r="E93" s="34"/>
      <c r="F93" s="34"/>
      <c r="G93" s="37"/>
      <c r="H93" s="152" t="s">
        <v>35</v>
      </c>
      <c r="I93" s="721">
        <f ca="1">I109</f>
        <v>0</v>
      </c>
      <c r="J93" s="721">
        <f>J109</f>
        <v>0</v>
      </c>
      <c r="K93" s="720">
        <f ca="1">IF(I93&gt;0,J93*100/I93,0)</f>
        <v>0</v>
      </c>
      <c r="L93" s="154"/>
      <c r="M93" s="40"/>
      <c r="N93" s="40"/>
      <c r="O93" s="40"/>
      <c r="P93" s="40"/>
      <c r="Q93" s="40"/>
      <c r="R93" s="40"/>
      <c r="S93" s="40"/>
      <c r="T93" s="40"/>
      <c r="U93" s="40"/>
    </row>
    <row r="94" spans="1:21" ht="19.5" hidden="1">
      <c r="A94" s="155"/>
      <c r="B94" s="50"/>
      <c r="C94" s="156" t="s">
        <v>18</v>
      </c>
      <c r="D94" s="575" t="s">
        <v>19</v>
      </c>
      <c r="E94" s="50"/>
      <c r="F94" s="50"/>
      <c r="G94" s="52"/>
      <c r="H94" s="158" t="s">
        <v>14</v>
      </c>
      <c r="I94" s="54"/>
      <c r="J94" s="54"/>
      <c r="K94" s="55"/>
      <c r="L94" s="541">
        <f ca="1">L95+L96</f>
        <v>0</v>
      </c>
      <c r="M94" s="540">
        <f ca="1">M95+M96</f>
        <v>0</v>
      </c>
      <c r="N94" s="540">
        <f ca="1">N95+N96</f>
        <v>0</v>
      </c>
      <c r="O94" s="540">
        <f ca="1">IF(L94&gt;0,N94*100/L94,0)</f>
        <v>0</v>
      </c>
      <c r="P94" s="540">
        <f ca="1">IF(M94&gt;0,N94*100/M94,0)</f>
        <v>0</v>
      </c>
      <c r="Q94" s="540">
        <f ca="1">Q95+Q96</f>
        <v>0</v>
      </c>
      <c r="R94" s="540">
        <f ca="1">R95+R96</f>
        <v>0</v>
      </c>
      <c r="S94" s="540">
        <f ca="1">S95+S96</f>
        <v>0</v>
      </c>
      <c r="T94" s="540">
        <f ca="1">IF(Q94&gt;0,S94*100/Q94,0)</f>
        <v>0</v>
      </c>
      <c r="U94" s="540">
        <f ca="1">IF(R94&gt;0,S94*100/R94,0)</f>
        <v>0</v>
      </c>
    </row>
    <row r="95" spans="1:21" ht="18.75" hidden="1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103">
        <f>L98+L101</f>
        <v>0</v>
      </c>
      <c r="M95" s="102">
        <f>M98+M101</f>
        <v>0</v>
      </c>
      <c r="N95" s="102">
        <f>N98+N101</f>
        <v>0</v>
      </c>
      <c r="O95" s="102">
        <f>IF(L95&gt;0,N95*100/L95,0)</f>
        <v>0</v>
      </c>
      <c r="P95" s="102">
        <f>IF(M95&gt;0,N95*100/M95,0)</f>
        <v>0</v>
      </c>
      <c r="Q95" s="102">
        <f>Q98+Q101</f>
        <v>0</v>
      </c>
      <c r="R95" s="102">
        <f>R98+R101</f>
        <v>0</v>
      </c>
      <c r="S95" s="102">
        <f>S98+S101</f>
        <v>0</v>
      </c>
      <c r="T95" s="102">
        <f>IF(Q95&gt;0,S95*100/Q95,0)</f>
        <v>0</v>
      </c>
      <c r="U95" s="102">
        <f>IF(R95&gt;0,S95*100/R95,0)</f>
        <v>0</v>
      </c>
    </row>
    <row r="96" spans="1:21" ht="18.75" hidden="1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256">
        <f ca="1">L99+L102</f>
        <v>0</v>
      </c>
      <c r="M96" s="255">
        <f ca="1">M99+M102</f>
        <v>0</v>
      </c>
      <c r="N96" s="255">
        <f ca="1">N99+N102</f>
        <v>0</v>
      </c>
      <c r="O96" s="255">
        <f ca="1">IF(L96&gt;0,N96*100/L96,0)</f>
        <v>0</v>
      </c>
      <c r="P96" s="255">
        <f ca="1">IF(M96&gt;0,N96*100/M96,0)</f>
        <v>0</v>
      </c>
      <c r="Q96" s="255">
        <f ca="1">Q99+Q102</f>
        <v>0</v>
      </c>
      <c r="R96" s="255">
        <f ca="1">R99+R102</f>
        <v>0</v>
      </c>
      <c r="S96" s="255">
        <f ca="1">S99+S102</f>
        <v>0</v>
      </c>
      <c r="T96" s="255">
        <f ca="1">IF(Q96&gt;0,S96*100/Q96,0)</f>
        <v>0</v>
      </c>
      <c r="U96" s="255">
        <f ca="1">IF(R96&gt;0,S96*100/R96,0)</f>
        <v>0</v>
      </c>
    </row>
    <row r="97" spans="1:21" ht="18.75" hidden="1">
      <c r="A97" s="155"/>
      <c r="B97" s="50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256">
        <f ca="1">L98+L99</f>
        <v>0</v>
      </c>
      <c r="M97" s="255">
        <f ca="1">M98+M99</f>
        <v>0</v>
      </c>
      <c r="N97" s="255">
        <f ca="1">N98+N99</f>
        <v>0</v>
      </c>
      <c r="O97" s="255">
        <f ca="1">IF(L97&gt;0,N97*100/L97,0)</f>
        <v>0</v>
      </c>
      <c r="P97" s="255">
        <f ca="1">IF(M97&gt;0,N97*100/M97,0)</f>
        <v>0</v>
      </c>
      <c r="Q97" s="255">
        <f ca="1">Q98+Q99</f>
        <v>0</v>
      </c>
      <c r="R97" s="255">
        <f ca="1">R98+R99</f>
        <v>0</v>
      </c>
      <c r="S97" s="255">
        <f ca="1">S98+S99</f>
        <v>0</v>
      </c>
      <c r="T97" s="255">
        <f ca="1">IF(Q97&gt;0,S97*100/Q97,0)</f>
        <v>0</v>
      </c>
      <c r="U97" s="255">
        <f ca="1">IF(R97&gt;0,S97*100/R97,0)</f>
        <v>0</v>
      </c>
    </row>
    <row r="98" spans="1:21" ht="18.75" hidden="1">
      <c r="A98" s="155"/>
      <c r="B98" s="50"/>
      <c r="C98" s="50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103">
        <v>0</v>
      </c>
      <c r="M98" s="102">
        <v>0</v>
      </c>
      <c r="N98" s="102">
        <v>0</v>
      </c>
      <c r="O98" s="102">
        <f>IF(L98&gt;0,N98*100/L98,0)</f>
        <v>0</v>
      </c>
      <c r="P98" s="102">
        <f>IF(M98&gt;0,N98*100/M98,0)</f>
        <v>0</v>
      </c>
      <c r="Q98" s="102">
        <v>0</v>
      </c>
      <c r="R98" s="102">
        <v>0</v>
      </c>
      <c r="S98" s="102">
        <v>0</v>
      </c>
      <c r="T98" s="102">
        <f>IF(Q98&gt;0,S98*100/Q98,0)</f>
        <v>0</v>
      </c>
      <c r="U98" s="102">
        <f>IF(R98&gt;0,S98*100/R98,0)</f>
        <v>0</v>
      </c>
    </row>
    <row r="99" spans="1:21" ht="18.75" hidden="1">
      <c r="A99" s="155"/>
      <c r="B99" s="50"/>
      <c r="C99" s="50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256">
        <f ca="1">IFERROR(__xludf.DUMMYFUNCTION("IMPORTRANGE(""https://docs.google.com/spreadsheets/d/1-uDff_7J0KD5mKrp0Vvzr7lt3OU09vwQwhkpOPPYv2Y/edit?usp=sharing"",""งบพรบ!AW45"")"),0)</f>
        <v>0</v>
      </c>
      <c r="M99" s="255">
        <f ca="1">IFERROR(__xludf.DUMMYFUNCTION("IMPORTRANGE(""https://docs.google.com/spreadsheets/d/1-uDff_7J0KD5mKrp0Vvzr7lt3OU09vwQwhkpOPPYv2Y/edit?usp=sharing"",""งบพรบ!BB45"")"),0)</f>
        <v>0</v>
      </c>
      <c r="N99" s="255">
        <f ca="1">IFERROR(__xludf.DUMMYFUNCTION("IMPORTRANGE(""https://docs.google.com/spreadsheets/d/1-uDff_7J0KD5mKrp0Vvzr7lt3OU09vwQwhkpOPPYv2Y/edit?usp=sharing"",""งบพรบ!BD45"")"),0)</f>
        <v>0</v>
      </c>
      <c r="O99" s="255">
        <f ca="1">IF(L99&gt;0,N99*100/L99,0)</f>
        <v>0</v>
      </c>
      <c r="P99" s="255">
        <f ca="1">IF(M99&gt;0,N99*100/M99,0)</f>
        <v>0</v>
      </c>
      <c r="Q99" s="255">
        <f ca="1">IFERROR(__xludf.DUMMYFUNCTION("IMPORTRANGE(""https://docs.google.com/spreadsheets/d/1ItG2mGa2ceCfYo0BwxsXqNm01IGEUdYcSSLTEv9YCik/edit?usp=sharing"",""เบิกจ่ายกองทุน!AD45"")"),0)</f>
        <v>0</v>
      </c>
      <c r="R99" s="255">
        <f ca="1">IFERROR(__xludf.DUMMYFUNCTION("IMPORTRANGE(""https://docs.google.com/spreadsheets/d/1ItG2mGa2ceCfYo0BwxsXqNm01IGEUdYcSSLTEv9YCik/edit?usp=sharing"",""เบิกจ่ายกองทุน!AE45"")"),0)</f>
        <v>0</v>
      </c>
      <c r="S99" s="255">
        <f ca="1">IFERROR(__xludf.DUMMYFUNCTION("IMPORTRANGE(""https://docs.google.com/spreadsheets/d/1ItG2mGa2ceCfYo0BwxsXqNm01IGEUdYcSSLTEv9YCik/edit?usp=sharing"",""เบิกจ่ายกองทุน!AF45"")"),0)</f>
        <v>0</v>
      </c>
      <c r="T99" s="255">
        <f ca="1">IF(Q99&gt;0,S99*100/Q99,0)</f>
        <v>0</v>
      </c>
      <c r="U99" s="255">
        <f ca="1">IF(R99&gt;0,S99*100/R99,0)</f>
        <v>0</v>
      </c>
    </row>
    <row r="100" spans="1:21" ht="18.75" hidden="1">
      <c r="A100" s="155"/>
      <c r="B100" s="50"/>
      <c r="C100" s="50"/>
      <c r="D100" s="51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256">
        <f ca="1">L101+L102</f>
        <v>0</v>
      </c>
      <c r="M100" s="255">
        <f ca="1">M101+M102</f>
        <v>0</v>
      </c>
      <c r="N100" s="255">
        <f ca="1">N101+N102</f>
        <v>0</v>
      </c>
      <c r="O100" s="255">
        <f ca="1">IF(L100&gt;0,N100*100/L100,0)</f>
        <v>0</v>
      </c>
      <c r="P100" s="255">
        <f ca="1">IF(M100&gt;0,N100*100/M100,0)</f>
        <v>0</v>
      </c>
      <c r="Q100" s="255">
        <f>Q101+Q102</f>
        <v>0</v>
      </c>
      <c r="R100" s="255">
        <f>R101+R102</f>
        <v>0</v>
      </c>
      <c r="S100" s="255">
        <f>S101+S102</f>
        <v>0</v>
      </c>
      <c r="T100" s="255">
        <f>IF(Q100&gt;0,S100*100/Q100,0)</f>
        <v>0</v>
      </c>
      <c r="U100" s="255">
        <f>IF(R100&gt;0,S100*100/R100,0)</f>
        <v>0</v>
      </c>
    </row>
    <row r="101" spans="1:21" ht="18.75" hidden="1">
      <c r="A101" s="155"/>
      <c r="B101" s="50"/>
      <c r="C101" s="50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103">
        <v>0</v>
      </c>
      <c r="M101" s="102">
        <v>0</v>
      </c>
      <c r="N101" s="102">
        <v>0</v>
      </c>
      <c r="O101" s="102">
        <f>IF(L101&gt;0,N101*100/L101,0)</f>
        <v>0</v>
      </c>
      <c r="P101" s="102">
        <f>IF(M101&gt;0,N101*100/M101,0)</f>
        <v>0</v>
      </c>
      <c r="Q101" s="102">
        <v>0</v>
      </c>
      <c r="R101" s="102">
        <v>0</v>
      </c>
      <c r="S101" s="102">
        <v>0</v>
      </c>
      <c r="T101" s="102">
        <f>IF(Q101&gt;0,S101*100/Q101,0)</f>
        <v>0</v>
      </c>
      <c r="U101" s="102">
        <f>IF(R101&gt;0,S101*100/R101,0)</f>
        <v>0</v>
      </c>
    </row>
    <row r="102" spans="1:21" ht="18.75" hidden="1">
      <c r="A102" s="155"/>
      <c r="B102" s="50"/>
      <c r="C102" s="50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256">
        <f ca="1">IFERROR(__xludf.DUMMYFUNCTION("IMPORTRANGE(""https://docs.google.com/spreadsheets/d/1-uDff_7J0KD5mKrp0Vvzr7lt3OU09vwQwhkpOPPYv2Y/edit?usp=sharing"",""งบพรบ!AZ45"")"),0)</f>
        <v>0</v>
      </c>
      <c r="M102" s="255">
        <f ca="1">IFERROR(__xludf.DUMMYFUNCTION("IMPORTRANGE(""https://docs.google.com/spreadsheets/d/1-uDff_7J0KD5mKrp0Vvzr7lt3OU09vwQwhkpOPPYv2Y/edit?usp=sharing"",""งบพรบ!BC45"")"),0)</f>
        <v>0</v>
      </c>
      <c r="N102" s="255">
        <f ca="1">IFERROR(__xludf.DUMMYFUNCTION("IMPORTRANGE(""https://docs.google.com/spreadsheets/d/1-uDff_7J0KD5mKrp0Vvzr7lt3OU09vwQwhkpOPPYv2Y/edit?usp=sharing"",""งบพรบ!BE45"")"),0)</f>
        <v>0</v>
      </c>
      <c r="O102" s="255">
        <f ca="1">IF(L102&gt;0,N102*100/L102,0)</f>
        <v>0</v>
      </c>
      <c r="P102" s="255">
        <f ca="1">IF(M102&gt;0,N102*100/M102,0)</f>
        <v>0</v>
      </c>
      <c r="Q102" s="255">
        <v>0</v>
      </c>
      <c r="R102" s="255">
        <v>0</v>
      </c>
      <c r="S102" s="255">
        <v>0</v>
      </c>
      <c r="T102" s="255">
        <f>IF(Q102&gt;0,S102*100/Q102,0)</f>
        <v>0</v>
      </c>
      <c r="U102" s="255">
        <f>IF(R102&gt;0,S102*100/R102,0)</f>
        <v>0</v>
      </c>
    </row>
    <row r="103" spans="1:21" ht="19.5" hidden="1">
      <c r="A103" s="166"/>
      <c r="B103" s="167"/>
      <c r="C103" s="156" t="s">
        <v>18</v>
      </c>
      <c r="D103" s="566" t="s">
        <v>38</v>
      </c>
      <c r="E103" s="169"/>
      <c r="F103" s="169"/>
      <c r="G103" s="170"/>
      <c r="H103" s="171"/>
      <c r="I103" s="163"/>
      <c r="J103" s="54"/>
      <c r="K103" s="55"/>
      <c r="L103" s="62"/>
      <c r="M103" s="55"/>
      <c r="N103" s="55"/>
      <c r="O103" s="164"/>
      <c r="P103" s="164"/>
      <c r="Q103" s="55"/>
      <c r="R103" s="55"/>
      <c r="S103" s="55"/>
      <c r="T103" s="164"/>
      <c r="U103" s="164"/>
    </row>
    <row r="104" spans="1:21" ht="12.75" hidden="1">
      <c r="A104" s="192"/>
      <c r="B104" s="193"/>
      <c r="C104" s="193"/>
      <c r="D104" s="22"/>
      <c r="E104" s="22"/>
      <c r="F104" s="22"/>
      <c r="G104" s="23"/>
      <c r="H104" s="23"/>
      <c r="I104" s="24"/>
      <c r="J104" s="24"/>
      <c r="K104" s="25"/>
      <c r="L104" s="26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2.75" hidden="1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6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2.75" hidden="1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9.5" hidden="1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62"/>
      <c r="M107" s="55"/>
      <c r="N107" s="55"/>
      <c r="O107" s="164"/>
      <c r="P107" s="164"/>
      <c r="Q107" s="55"/>
      <c r="R107" s="55"/>
      <c r="S107" s="55"/>
      <c r="T107" s="164"/>
      <c r="U107" s="164"/>
    </row>
    <row r="108" spans="1:21" ht="18.75" hidden="1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212">
        <f ca="1">IFERROR(__xludf.DUMMYFUNCTION("IMPORTRANGE(""https://docs.google.com/spreadsheets/d/1eHaY18a8A9IcSdp1K8H6x8fbOy06t2VsZHhMHf-1x7Y/edit?usp=sharing"",""แผน!N45"")"),0)</f>
        <v>0</v>
      </c>
      <c r="J108" s="467">
        <v>0</v>
      </c>
      <c r="K108" s="255">
        <f ca="1">IF(I108&gt;0,J108*100/I108,0)</f>
        <v>0</v>
      </c>
      <c r="L108" s="62"/>
      <c r="M108" s="55"/>
      <c r="N108" s="55"/>
      <c r="O108" s="164"/>
      <c r="P108" s="164"/>
      <c r="Q108" s="55"/>
      <c r="R108" s="55"/>
      <c r="S108" s="55"/>
      <c r="T108" s="164"/>
      <c r="U108" s="164"/>
    </row>
    <row r="109" spans="1:21" ht="18.75" hidden="1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212">
        <f ca="1">IFERROR(__xludf.DUMMYFUNCTION("IMPORTRANGE(""https://docs.google.com/spreadsheets/d/1eHaY18a8A9IcSdp1K8H6x8fbOy06t2VsZHhMHf-1x7Y/edit?usp=sharing"",""แผน!O45"")"),0)</f>
        <v>0</v>
      </c>
      <c r="J109" s="467">
        <v>0</v>
      </c>
      <c r="K109" s="255">
        <f ca="1">IF(I109&gt;0,J109*100/I109,0)</f>
        <v>0</v>
      </c>
      <c r="L109" s="62"/>
      <c r="M109" s="55"/>
      <c r="N109" s="55"/>
      <c r="O109" s="164"/>
      <c r="P109" s="164"/>
      <c r="Q109" s="55"/>
      <c r="R109" s="55"/>
      <c r="S109" s="55"/>
      <c r="T109" s="164"/>
      <c r="U109" s="164"/>
    </row>
    <row r="110" spans="1:21" ht="12.75" hidden="1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6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2.75" hidden="1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6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2.75" hidden="1">
      <c r="A112" s="192"/>
      <c r="B112" s="193"/>
      <c r="C112" s="193"/>
      <c r="D112" s="22"/>
      <c r="E112" s="22"/>
      <c r="F112" s="22"/>
      <c r="G112" s="23"/>
      <c r="H112" s="23"/>
      <c r="I112" s="24"/>
      <c r="J112" s="24"/>
      <c r="K112" s="25"/>
      <c r="L112" s="26"/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2.75" hidden="1">
      <c r="A113" s="192"/>
      <c r="B113" s="193"/>
      <c r="C113" s="193"/>
      <c r="D113" s="22"/>
      <c r="E113" s="22"/>
      <c r="F113" s="22"/>
      <c r="G113" s="23"/>
      <c r="H113" s="23"/>
      <c r="I113" s="24">
        <v>0</v>
      </c>
      <c r="J113" s="24">
        <v>0</v>
      </c>
      <c r="K113" s="25"/>
      <c r="L113" s="26"/>
      <c r="M113" s="25"/>
      <c r="N113" s="25"/>
      <c r="O113" s="25"/>
      <c r="P113" s="25"/>
      <c r="Q113" s="25"/>
      <c r="R113" s="25"/>
      <c r="S113" s="25"/>
      <c r="T113" s="25"/>
      <c r="U113" s="25"/>
    </row>
    <row r="114" spans="1:21" ht="18.75" hidden="1">
      <c r="A114" s="166"/>
      <c r="B114" s="167"/>
      <c r="C114" s="167"/>
      <c r="D114" s="178" t="s">
        <v>50</v>
      </c>
      <c r="E114" s="174"/>
      <c r="F114" s="174"/>
      <c r="G114" s="171"/>
      <c r="H114" s="179" t="s">
        <v>35</v>
      </c>
      <c r="I114" s="641">
        <f ca="1">IFERROR(__xludf.DUMMYFUNCTION("IMPORTRANGE(""https://docs.google.com/spreadsheets/d/1eHaY18a8A9IcSdp1K8H6x8fbOy06t2VsZHhMHf-1x7Y/edit?usp=sharing"",""แผน!R45"")"),0)</f>
        <v>0</v>
      </c>
      <c r="J114" s="467">
        <v>0</v>
      </c>
      <c r="K114" s="255">
        <f ca="1">IF(I114&gt;0,J114*100/I114,0)</f>
        <v>0</v>
      </c>
      <c r="L114" s="62"/>
      <c r="M114" s="55"/>
      <c r="N114" s="55"/>
      <c r="O114" s="164"/>
      <c r="P114" s="164"/>
      <c r="Q114" s="55"/>
      <c r="R114" s="55"/>
      <c r="S114" s="55"/>
      <c r="T114" s="164"/>
      <c r="U114" s="164"/>
    </row>
    <row r="115" spans="1:21" ht="19.5">
      <c r="A115" s="727" t="s">
        <v>51</v>
      </c>
      <c r="B115" s="724"/>
      <c r="C115" s="726"/>
      <c r="D115" s="725"/>
      <c r="E115" s="725"/>
      <c r="F115" s="725"/>
      <c r="G115" s="725"/>
      <c r="H115" s="724"/>
      <c r="I115" s="723"/>
      <c r="J115" s="723"/>
      <c r="K115" s="722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721">
        <f ca="1">I127</f>
        <v>14</v>
      </c>
      <c r="J116" s="721">
        <f>J127</f>
        <v>14</v>
      </c>
      <c r="K116" s="720">
        <f ca="1">IF(I116&gt;0,J116*100/I116,0)</f>
        <v>100</v>
      </c>
      <c r="L116" s="154"/>
      <c r="M116" s="40"/>
      <c r="N116" s="40"/>
      <c r="O116" s="40"/>
      <c r="P116" s="40"/>
      <c r="Q116" s="40"/>
      <c r="R116" s="40"/>
      <c r="S116" s="40"/>
      <c r="T116" s="40"/>
      <c r="U116" s="40"/>
    </row>
    <row r="117" spans="1:21" ht="19.5">
      <c r="A117" s="155"/>
      <c r="B117" s="188"/>
      <c r="C117" s="191" t="s">
        <v>18</v>
      </c>
      <c r="D117" s="575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541">
        <f ca="1">L118+L119</f>
        <v>0</v>
      </c>
      <c r="M117" s="540">
        <f ca="1">M118+M119</f>
        <v>0</v>
      </c>
      <c r="N117" s="540">
        <f ca="1">N118+N119</f>
        <v>0</v>
      </c>
      <c r="O117" s="540">
        <f ca="1">IF(L117&gt;0,N117*100/L117,0)</f>
        <v>0</v>
      </c>
      <c r="P117" s="540">
        <f ca="1">IF(M117&gt;0,N117*100/M117,0)</f>
        <v>0</v>
      </c>
      <c r="Q117" s="540">
        <f ca="1">Q118+Q119</f>
        <v>188160</v>
      </c>
      <c r="R117" s="540">
        <f ca="1">R118+R119</f>
        <v>188160</v>
      </c>
      <c r="S117" s="540">
        <f ca="1">S118+S119</f>
        <v>115161</v>
      </c>
      <c r="T117" s="540">
        <f ca="1">IF(Q117&gt;0,S117*100/Q117,0)</f>
        <v>61.203762755102041</v>
      </c>
      <c r="U117" s="540">
        <f ca="1">IF(R117&gt;0,S117*100/R117,0)</f>
        <v>61.203762755102041</v>
      </c>
    </row>
    <row r="118" spans="1:21" ht="18.75" hidden="1">
      <c r="A118" s="155"/>
      <c r="B118" s="188"/>
      <c r="C118" s="188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103">
        <f>L121+L124</f>
        <v>0</v>
      </c>
      <c r="M118" s="102">
        <f>M121+M124</f>
        <v>0</v>
      </c>
      <c r="N118" s="102">
        <f>N121+N124</f>
        <v>0</v>
      </c>
      <c r="O118" s="102">
        <f>IF(L118&gt;0,N118*100/L118,0)</f>
        <v>0</v>
      </c>
      <c r="P118" s="102">
        <f>IF(M118&gt;0,N118*100/M118,0)</f>
        <v>0</v>
      </c>
      <c r="Q118" s="102">
        <f>Q121+Q124</f>
        <v>0</v>
      </c>
      <c r="R118" s="102">
        <f>R121+R124</f>
        <v>0</v>
      </c>
      <c r="S118" s="102">
        <f>S121+S124</f>
        <v>0</v>
      </c>
      <c r="T118" s="102">
        <f>IF(Q118&gt;0,S118*100/Q118,0)</f>
        <v>0</v>
      </c>
      <c r="U118" s="102">
        <f>IF(R118&gt;0,S118*100/R118,0)</f>
        <v>0</v>
      </c>
    </row>
    <row r="119" spans="1:21" ht="18.75" hidden="1">
      <c r="A119" s="155"/>
      <c r="B119" s="188"/>
      <c r="C119" s="188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256">
        <f ca="1">L122+L125</f>
        <v>0</v>
      </c>
      <c r="M119" s="255">
        <f ca="1">M122+M125</f>
        <v>0</v>
      </c>
      <c r="N119" s="255">
        <f ca="1">N122+N125</f>
        <v>0</v>
      </c>
      <c r="O119" s="255">
        <f ca="1">IF(L119&gt;0,N119*100/L119,0)</f>
        <v>0</v>
      </c>
      <c r="P119" s="255">
        <f ca="1">IF(M119&gt;0,N119*100/M119,0)</f>
        <v>0</v>
      </c>
      <c r="Q119" s="255">
        <f ca="1">Q122+Q125</f>
        <v>188160</v>
      </c>
      <c r="R119" s="255">
        <f ca="1">R122+R125</f>
        <v>188160</v>
      </c>
      <c r="S119" s="255">
        <f ca="1">S122+S125</f>
        <v>115161</v>
      </c>
      <c r="T119" s="255">
        <f ca="1">IF(Q119&gt;0,S119*100/Q119,0)</f>
        <v>61.203762755102041</v>
      </c>
      <c r="U119" s="255">
        <f ca="1">IF(R119&gt;0,S119*100/R119,0)</f>
        <v>61.203762755102041</v>
      </c>
    </row>
    <row r="120" spans="1:21" ht="18.75">
      <c r="A120" s="155"/>
      <c r="B120" s="188"/>
      <c r="C120" s="202"/>
      <c r="D120" s="602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256">
        <f ca="1">L121+L122</f>
        <v>0</v>
      </c>
      <c r="M120" s="255">
        <f ca="1">M121+M122</f>
        <v>0</v>
      </c>
      <c r="N120" s="255">
        <f ca="1">N121+N122</f>
        <v>0</v>
      </c>
      <c r="O120" s="255">
        <f ca="1">IF(L120&gt;0,N120*100/L120,0)</f>
        <v>0</v>
      </c>
      <c r="P120" s="255">
        <f ca="1">IF(M120&gt;0,N120*100/M120,0)</f>
        <v>0</v>
      </c>
      <c r="Q120" s="255">
        <f ca="1">Q121+Q122</f>
        <v>188160</v>
      </c>
      <c r="R120" s="255">
        <f ca="1">R121+R122</f>
        <v>188160</v>
      </c>
      <c r="S120" s="255">
        <f ca="1">S121+S122</f>
        <v>115161</v>
      </c>
      <c r="T120" s="255">
        <f ca="1">IF(Q120&gt;0,S120*100/Q120,0)</f>
        <v>61.203762755102041</v>
      </c>
      <c r="U120" s="255">
        <f ca="1">IF(R120&gt;0,S120*100/R120,0)</f>
        <v>61.203762755102041</v>
      </c>
    </row>
    <row r="121" spans="1:21" ht="18.75" hidden="1">
      <c r="A121" s="155"/>
      <c r="B121" s="188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103">
        <v>0</v>
      </c>
      <c r="M121" s="102">
        <v>0</v>
      </c>
      <c r="N121" s="102">
        <v>0</v>
      </c>
      <c r="O121" s="102">
        <f>IF(L121&gt;0,N121*100/L121,0)</f>
        <v>0</v>
      </c>
      <c r="P121" s="102">
        <f>IF(M121&gt;0,N121*100/M121,0)</f>
        <v>0</v>
      </c>
      <c r="Q121" s="102">
        <v>0</v>
      </c>
      <c r="R121" s="102">
        <v>0</v>
      </c>
      <c r="S121" s="102">
        <v>0</v>
      </c>
      <c r="T121" s="102">
        <f>IF(Q121&gt;0,S121*100/Q121,0)</f>
        <v>0</v>
      </c>
      <c r="U121" s="102">
        <f>IF(R121&gt;0,S121*100/R121,0)</f>
        <v>0</v>
      </c>
    </row>
    <row r="122" spans="1:21" ht="18.75" hidden="1">
      <c r="A122" s="155"/>
      <c r="B122" s="188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256">
        <f ca="1">IFERROR(__xludf.DUMMYFUNCTION("IMPORTRANGE(""https://docs.google.com/spreadsheets/d/1-uDff_7J0KD5mKrp0Vvzr7lt3OU09vwQwhkpOPPYv2Y/edit?usp=sharing"",""งบพรบ!BG45"")"),0)</f>
        <v>0</v>
      </c>
      <c r="M122" s="255">
        <f ca="1">IFERROR(__xludf.DUMMYFUNCTION("IMPORTRANGE(""https://docs.google.com/spreadsheets/d/1-uDff_7J0KD5mKrp0Vvzr7lt3OU09vwQwhkpOPPYv2Y/edit?usp=sharing"",""งบพรบ!BL45"")"),0)</f>
        <v>0</v>
      </c>
      <c r="N122" s="255">
        <f ca="1">IFERROR(__xludf.DUMMYFUNCTION("IMPORTRANGE(""https://docs.google.com/spreadsheets/d/1-uDff_7J0KD5mKrp0Vvzr7lt3OU09vwQwhkpOPPYv2Y/edit?usp=sharing"",""งบพรบ!BN45"")"),0)</f>
        <v>0</v>
      </c>
      <c r="O122" s="255">
        <f ca="1">IF(L122&gt;0,N122*100/L122,0)</f>
        <v>0</v>
      </c>
      <c r="P122" s="255">
        <f ca="1">IF(M122&gt;0,N122*100/M122,0)</f>
        <v>0</v>
      </c>
      <c r="Q122" s="255">
        <f ca="1">IFERROR(__xludf.DUMMYFUNCTION("IMPORTRANGE(""https://docs.google.com/spreadsheets/d/1ItG2mGa2ceCfYo0BwxsXqNm01IGEUdYcSSLTEv9YCik/edit?usp=sharing"",""เบิกจ่ายกองทุน!R45"")"),188160)</f>
        <v>188160</v>
      </c>
      <c r="R122" s="255">
        <f ca="1">IFERROR(__xludf.DUMMYFUNCTION("IMPORTRANGE(""https://docs.google.com/spreadsheets/d/1ItG2mGa2ceCfYo0BwxsXqNm01IGEUdYcSSLTEv9YCik/edit?usp=sharing"",""เบิกจ่ายกองทุน!S45"")"),188160)</f>
        <v>188160</v>
      </c>
      <c r="S122" s="255">
        <f ca="1">IFERROR(__xludf.DUMMYFUNCTION("IMPORTRANGE(""https://docs.google.com/spreadsheets/d/1ItG2mGa2ceCfYo0BwxsXqNm01IGEUdYcSSLTEv9YCik/edit?usp=sharing"",""เบิกจ่ายกองทุน!T45"")"),115161)</f>
        <v>115161</v>
      </c>
      <c r="T122" s="255">
        <f ca="1">IF(Q122&gt;0,S122*100/Q122,0)</f>
        <v>61.203762755102041</v>
      </c>
      <c r="U122" s="255">
        <f ca="1">IF(R122&gt;0,S122*100/R122,0)</f>
        <v>61.203762755102041</v>
      </c>
    </row>
    <row r="123" spans="1:21" ht="18.75">
      <c r="A123" s="155"/>
      <c r="B123" s="50"/>
      <c r="C123" s="202"/>
      <c r="D123" s="602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256">
        <f ca="1">L124+L125</f>
        <v>0</v>
      </c>
      <c r="M123" s="255">
        <f ca="1">M124+M125</f>
        <v>0</v>
      </c>
      <c r="N123" s="255">
        <f ca="1">N124+N125</f>
        <v>0</v>
      </c>
      <c r="O123" s="255">
        <f ca="1">IF(L123&gt;0,N123*100/L123,0)</f>
        <v>0</v>
      </c>
      <c r="P123" s="255">
        <f ca="1">IF(M123&gt;0,N123*100/M123,0)</f>
        <v>0</v>
      </c>
      <c r="Q123" s="255">
        <f>Q124+Q125</f>
        <v>0</v>
      </c>
      <c r="R123" s="255">
        <f>R124+R125</f>
        <v>0</v>
      </c>
      <c r="S123" s="255">
        <f>S124+S125</f>
        <v>0</v>
      </c>
      <c r="T123" s="255">
        <f>IF(Q123&gt;0,S123*100/Q123,0)</f>
        <v>0</v>
      </c>
      <c r="U123" s="255">
        <f>IF(R123&gt;0,S123*100/R123,0)</f>
        <v>0</v>
      </c>
    </row>
    <row r="124" spans="1:21" ht="18.75" hidden="1">
      <c r="A124" s="155"/>
      <c r="B124" s="50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103">
        <v>0</v>
      </c>
      <c r="M124" s="102">
        <v>0</v>
      </c>
      <c r="N124" s="102">
        <v>0</v>
      </c>
      <c r="O124" s="102">
        <f>IF(L124&gt;0,N124*100/L124,0)</f>
        <v>0</v>
      </c>
      <c r="P124" s="102">
        <f>IF(M124&gt;0,N124*100/M124,0)</f>
        <v>0</v>
      </c>
      <c r="Q124" s="102">
        <v>0</v>
      </c>
      <c r="R124" s="102">
        <v>0</v>
      </c>
      <c r="S124" s="102">
        <v>0</v>
      </c>
      <c r="T124" s="102">
        <f>IF(Q124&gt;0,S124*100/Q124,0)</f>
        <v>0</v>
      </c>
      <c r="U124" s="102">
        <f>IF(R124&gt;0,S124*100/R124,0)</f>
        <v>0</v>
      </c>
    </row>
    <row r="125" spans="1:21" ht="18.75" hidden="1">
      <c r="A125" s="155"/>
      <c r="B125" s="50"/>
      <c r="C125" s="50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256">
        <f ca="1">IFERROR(__xludf.DUMMYFUNCTION("IMPORTRANGE(""https://docs.google.com/spreadsheets/d/1-uDff_7J0KD5mKrp0Vvzr7lt3OU09vwQwhkpOPPYv2Y/edit?usp=sharing"",""งบพรบ!BJ45"")"),0)</f>
        <v>0</v>
      </c>
      <c r="M125" s="255">
        <f ca="1">IFERROR(__xludf.DUMMYFUNCTION("IMPORTRANGE(""https://docs.google.com/spreadsheets/d/1-uDff_7J0KD5mKrp0Vvzr7lt3OU09vwQwhkpOPPYv2Y/edit?usp=sharing"",""งบพรบ!BM45"")"),0)</f>
        <v>0</v>
      </c>
      <c r="N125" s="255">
        <f ca="1">IFERROR(__xludf.DUMMYFUNCTION("IMPORTRANGE(""https://docs.google.com/spreadsheets/d/1-uDff_7J0KD5mKrp0Vvzr7lt3OU09vwQwhkpOPPYv2Y/edit?usp=sharing"",""งบพรบ!BO45"")"),0)</f>
        <v>0</v>
      </c>
      <c r="O125" s="255">
        <f ca="1">IF(L125&gt;0,N125*100/L125,0)</f>
        <v>0</v>
      </c>
      <c r="P125" s="255">
        <f ca="1">IF(M125&gt;0,N125*100/M125,0)</f>
        <v>0</v>
      </c>
      <c r="Q125" s="255">
        <v>0</v>
      </c>
      <c r="R125" s="255">
        <v>0</v>
      </c>
      <c r="S125" s="255">
        <v>0</v>
      </c>
      <c r="T125" s="255">
        <f>IF(Q125&gt;0,S125*100/Q125,0)</f>
        <v>0</v>
      </c>
      <c r="U125" s="255">
        <f>IF(R125&gt;0,S125*100/R125,0)</f>
        <v>0</v>
      </c>
    </row>
    <row r="126" spans="1:21" ht="19.5">
      <c r="A126" s="166"/>
      <c r="B126" s="167"/>
      <c r="C126" s="205" t="s">
        <v>18</v>
      </c>
      <c r="D126" s="566" t="s">
        <v>38</v>
      </c>
      <c r="E126" s="169"/>
      <c r="F126" s="169"/>
      <c r="G126" s="170"/>
      <c r="H126" s="206"/>
      <c r="I126" s="54"/>
      <c r="J126" s="54"/>
      <c r="K126" s="55"/>
      <c r="L126" s="62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212">
        <f ca="1">IFERROR(__xludf.DUMMYFUNCTION("IMPORTRANGE(""https://docs.google.com/spreadsheets/d/1eHaY18a8A9IcSdp1K8H6x8fbOy06t2VsZHhMHf-1x7Y/edit?usp=sharing"",""แผน!FF45"")"),14)</f>
        <v>14</v>
      </c>
      <c r="J127" s="467">
        <v>14</v>
      </c>
      <c r="K127" s="255">
        <f ca="1">IF(I127&gt;0,J127*100/I127,0)</f>
        <v>100</v>
      </c>
      <c r="L127" s="62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212">
        <f ca="1">IFERROR(__xludf.DUMMYFUNCTION("IMPORTRANGE(""https://docs.google.com/spreadsheets/d/1eHaY18a8A9IcSdp1K8H6x8fbOy06t2VsZHhMHf-1x7Y/edit?usp=sharing"",""แผน!FG45"")"),0)</f>
        <v>0</v>
      </c>
      <c r="J128" s="467">
        <v>0</v>
      </c>
      <c r="K128" s="255">
        <f ca="1">IF(I128&gt;0,J128*100/I128,0)</f>
        <v>0</v>
      </c>
      <c r="L128" s="62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212">
        <f ca="1">IFERROR(__xludf.DUMMYFUNCTION("IMPORTRANGE(""https://docs.google.com/spreadsheets/d/1eHaY18a8A9IcSdp1K8H6x8fbOy06t2VsZHhMHf-1x7Y/edit?usp=sharing"",""แผน!FH45"")"),14)</f>
        <v>14</v>
      </c>
      <c r="J129" s="467">
        <v>14</v>
      </c>
      <c r="K129" s="255">
        <f ca="1">IF(I129&gt;0,J129*100/I129,0)</f>
        <v>100</v>
      </c>
      <c r="L129" s="62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212">
        <f ca="1">IFERROR(__xludf.DUMMYFUNCTION("IMPORTRANGE(""https://docs.google.com/spreadsheets/d/1eHaY18a8A9IcSdp1K8H6x8fbOy06t2VsZHhMHf-1x7Y/edit?usp=sharing"",""แผน!FI45"")"),0)</f>
        <v>0</v>
      </c>
      <c r="J130" s="467">
        <v>0</v>
      </c>
      <c r="K130" s="255">
        <f ca="1">IF(I130&gt;0,J130*100/I130,0)</f>
        <v>0</v>
      </c>
      <c r="L130" s="62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8.75" hidden="1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62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8.75" hidden="1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62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2.75" hidden="1">
      <c r="A133" s="192"/>
      <c r="B133" s="193"/>
      <c r="C133" s="193"/>
      <c r="D133" s="22"/>
      <c r="E133" s="22"/>
      <c r="F133" s="22"/>
      <c r="G133" s="23"/>
      <c r="H133" s="209"/>
      <c r="I133" s="24"/>
      <c r="J133" s="24"/>
      <c r="K133" s="25"/>
      <c r="L133" s="26"/>
      <c r="M133" s="25"/>
      <c r="N133" s="25"/>
      <c r="O133" s="25"/>
      <c r="P133" s="25"/>
      <c r="Q133" s="25"/>
      <c r="R133" s="25"/>
      <c r="S133" s="25"/>
      <c r="T133" s="25"/>
      <c r="U133" s="25"/>
    </row>
    <row r="134" spans="1:21" ht="19.5">
      <c r="A134" s="143" t="s">
        <v>58</v>
      </c>
      <c r="B134" s="144"/>
      <c r="C134" s="196"/>
      <c r="D134" s="144"/>
      <c r="E134" s="144"/>
      <c r="F134" s="144"/>
      <c r="G134" s="144"/>
      <c r="H134" s="144"/>
      <c r="I134" s="197"/>
      <c r="J134" s="197"/>
      <c r="K134" s="19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</row>
    <row r="135" spans="1:21" ht="19.5">
      <c r="A135" s="150"/>
      <c r="B135" s="35" t="s">
        <v>59</v>
      </c>
      <c r="C135" s="200"/>
      <c r="D135" s="151"/>
      <c r="E135" s="34"/>
      <c r="F135" s="34"/>
      <c r="G135" s="34"/>
      <c r="H135" s="34"/>
      <c r="I135" s="210"/>
      <c r="J135" s="39"/>
      <c r="K135" s="40"/>
      <c r="L135" s="154"/>
      <c r="M135" s="40"/>
      <c r="N135" s="40"/>
      <c r="O135" s="40"/>
      <c r="P135" s="40"/>
      <c r="Q135" s="40"/>
      <c r="R135" s="40"/>
      <c r="S135" s="40"/>
      <c r="T135" s="40"/>
      <c r="U135" s="40"/>
    </row>
    <row r="136" spans="1:21" ht="19.5">
      <c r="A136" s="150"/>
      <c r="B136" s="34"/>
      <c r="C136" s="211" t="s">
        <v>60</v>
      </c>
      <c r="D136" s="151"/>
      <c r="E136" s="34"/>
      <c r="F136" s="34"/>
      <c r="G136" s="37"/>
      <c r="H136" s="152" t="s">
        <v>61</v>
      </c>
      <c r="I136" s="721">
        <f ca="1">I154</f>
        <v>0</v>
      </c>
      <c r="J136" s="721">
        <f>J154</f>
        <v>0</v>
      </c>
      <c r="K136" s="720">
        <f ca="1">IF(I136&gt;0,J136*100/I136,0)</f>
        <v>0</v>
      </c>
      <c r="L136" s="154"/>
      <c r="M136" s="40"/>
      <c r="N136" s="40"/>
      <c r="O136" s="40"/>
      <c r="P136" s="40"/>
      <c r="Q136" s="40"/>
      <c r="R136" s="40"/>
      <c r="S136" s="40"/>
      <c r="T136" s="40"/>
      <c r="U136" s="40"/>
    </row>
    <row r="137" spans="1:21" ht="19.5">
      <c r="A137" s="150"/>
      <c r="B137" s="34"/>
      <c r="C137" s="211" t="s">
        <v>62</v>
      </c>
      <c r="D137" s="151"/>
      <c r="E137" s="34"/>
      <c r="F137" s="34"/>
      <c r="G137" s="37"/>
      <c r="H137" s="152" t="s">
        <v>35</v>
      </c>
      <c r="I137" s="721">
        <f ca="1">I152</f>
        <v>40</v>
      </c>
      <c r="J137" s="721">
        <f>J152</f>
        <v>0</v>
      </c>
      <c r="K137" s="720">
        <f ca="1">IF(I137&gt;0,J137*100/I137,0)</f>
        <v>0</v>
      </c>
      <c r="L137" s="154"/>
      <c r="M137" s="40"/>
      <c r="N137" s="40"/>
      <c r="O137" s="40"/>
      <c r="P137" s="40"/>
      <c r="Q137" s="40"/>
      <c r="R137" s="40"/>
      <c r="S137" s="40"/>
      <c r="T137" s="40"/>
      <c r="U137" s="40"/>
    </row>
    <row r="138" spans="1:21" ht="19.5">
      <c r="A138" s="150"/>
      <c r="B138" s="34"/>
      <c r="C138" s="200"/>
      <c r="D138" s="151"/>
      <c r="E138" s="34"/>
      <c r="F138" s="34"/>
      <c r="G138" s="37"/>
      <c r="H138" s="152" t="s">
        <v>54</v>
      </c>
      <c r="I138" s="721">
        <f ca="1">I153</f>
        <v>4</v>
      </c>
      <c r="J138" s="721">
        <f>J153</f>
        <v>0</v>
      </c>
      <c r="K138" s="720">
        <f ca="1">IF(I138&gt;0,J138*100/I138,0)</f>
        <v>0</v>
      </c>
      <c r="L138" s="154"/>
      <c r="M138" s="40"/>
      <c r="N138" s="40"/>
      <c r="O138" s="40"/>
      <c r="P138" s="40"/>
      <c r="Q138" s="40"/>
      <c r="R138" s="40"/>
      <c r="S138" s="40"/>
      <c r="T138" s="40"/>
      <c r="U138" s="40"/>
    </row>
    <row r="139" spans="1:21" ht="19.5">
      <c r="A139" s="155"/>
      <c r="B139" s="50"/>
      <c r="C139" s="156" t="s">
        <v>18</v>
      </c>
      <c r="D139" s="575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541">
        <f ca="1">L140+L141</f>
        <v>48200</v>
      </c>
      <c r="M139" s="540">
        <f ca="1">M140+M141</f>
        <v>43200</v>
      </c>
      <c r="N139" s="540">
        <f ca="1">N140+N141</f>
        <v>0</v>
      </c>
      <c r="O139" s="540">
        <f ca="1">IF(L139&gt;0,N139*100/L139,0)</f>
        <v>0</v>
      </c>
      <c r="P139" s="540">
        <f ca="1">IF(M139&gt;0,N139*100/M139,0)</f>
        <v>0</v>
      </c>
      <c r="Q139" s="540">
        <f ca="1">Q140+Q141</f>
        <v>0</v>
      </c>
      <c r="R139" s="540">
        <f ca="1">R140+R141</f>
        <v>0</v>
      </c>
      <c r="S139" s="540">
        <f ca="1">S140+S141</f>
        <v>0</v>
      </c>
      <c r="T139" s="540">
        <f ca="1">IF(Q139&gt;0,S139*100/Q139,0)</f>
        <v>0</v>
      </c>
      <c r="U139" s="540">
        <f ca="1">IF(R139&gt;0,S139*100/R139,0)</f>
        <v>0</v>
      </c>
    </row>
    <row r="140" spans="1:21" ht="18.75" hidden="1">
      <c r="A140" s="155"/>
      <c r="B140" s="50"/>
      <c r="C140" s="50"/>
      <c r="D140" s="50"/>
      <c r="E140" s="186" t="s">
        <v>20</v>
      </c>
      <c r="F140" s="50"/>
      <c r="G140" s="52"/>
      <c r="H140" s="187" t="s">
        <v>14</v>
      </c>
      <c r="I140" s="54"/>
      <c r="J140" s="54"/>
      <c r="K140" s="55"/>
      <c r="L140" s="103">
        <f>L143+L146</f>
        <v>0</v>
      </c>
      <c r="M140" s="102">
        <f>M143+M146</f>
        <v>0</v>
      </c>
      <c r="N140" s="102">
        <f>N143+N146</f>
        <v>0</v>
      </c>
      <c r="O140" s="102">
        <f>IF(L140&gt;0,N140*100/L140,0)</f>
        <v>0</v>
      </c>
      <c r="P140" s="102">
        <f>IF(M140&gt;0,N140*100/M140,0)</f>
        <v>0</v>
      </c>
      <c r="Q140" s="102">
        <f>Q143+Q146</f>
        <v>0</v>
      </c>
      <c r="R140" s="102">
        <f>R143+R146</f>
        <v>0</v>
      </c>
      <c r="S140" s="102">
        <f>S143+S146</f>
        <v>0</v>
      </c>
      <c r="T140" s="102">
        <f>IF(Q140&gt;0,S140*100/Q140,0)</f>
        <v>0</v>
      </c>
      <c r="U140" s="102">
        <f>IF(R140&gt;0,S140*100/R140,0)</f>
        <v>0</v>
      </c>
    </row>
    <row r="141" spans="1:21" ht="18.75" hidden="1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256">
        <f ca="1">L144+L147</f>
        <v>48200</v>
      </c>
      <c r="M141" s="255">
        <f ca="1">M144+M147</f>
        <v>43200</v>
      </c>
      <c r="N141" s="255">
        <f ca="1">N144+N147</f>
        <v>0</v>
      </c>
      <c r="O141" s="255">
        <f ca="1">IF(L141&gt;0,N141*100/L141,0)</f>
        <v>0</v>
      </c>
      <c r="P141" s="255">
        <f ca="1">IF(M141&gt;0,N141*100/M141,0)</f>
        <v>0</v>
      </c>
      <c r="Q141" s="255">
        <f ca="1">Q144+Q147</f>
        <v>0</v>
      </c>
      <c r="R141" s="255">
        <f ca="1">R144+R147</f>
        <v>0</v>
      </c>
      <c r="S141" s="255">
        <f ca="1">S144+S147</f>
        <v>0</v>
      </c>
      <c r="T141" s="255">
        <f ca="1">IF(Q141&gt;0,S141*100/Q141,0)</f>
        <v>0</v>
      </c>
      <c r="U141" s="255">
        <f ca="1">IF(R141&gt;0,S141*100/R141,0)</f>
        <v>0</v>
      </c>
    </row>
    <row r="142" spans="1:21" ht="18.75">
      <c r="A142" s="155"/>
      <c r="B142" s="50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256">
        <f ca="1">L143+L144</f>
        <v>48200</v>
      </c>
      <c r="M142" s="255">
        <f ca="1">M143+M144</f>
        <v>43200</v>
      </c>
      <c r="N142" s="255">
        <f ca="1">N143+N144</f>
        <v>0</v>
      </c>
      <c r="O142" s="255">
        <f ca="1">IF(L142&gt;0,N142*100/L142,0)</f>
        <v>0</v>
      </c>
      <c r="P142" s="255">
        <f ca="1">IF(M142&gt;0,N142*100/M142,0)</f>
        <v>0</v>
      </c>
      <c r="Q142" s="255">
        <f ca="1">Q143+Q144</f>
        <v>0</v>
      </c>
      <c r="R142" s="255">
        <f ca="1">R143+R144</f>
        <v>0</v>
      </c>
      <c r="S142" s="255">
        <f ca="1">S143+S144</f>
        <v>0</v>
      </c>
      <c r="T142" s="255">
        <f ca="1">IF(Q142&gt;0,S142*100/Q142,0)</f>
        <v>0</v>
      </c>
      <c r="U142" s="255">
        <f ca="1">IF(R142&gt;0,S142*100/R142,0)</f>
        <v>0</v>
      </c>
    </row>
    <row r="143" spans="1:21" ht="18.75" hidden="1">
      <c r="A143" s="155"/>
      <c r="B143" s="50"/>
      <c r="C143" s="50"/>
      <c r="D143" s="50"/>
      <c r="E143" s="186" t="s">
        <v>36</v>
      </c>
      <c r="F143" s="50"/>
      <c r="G143" s="52"/>
      <c r="H143" s="189" t="s">
        <v>14</v>
      </c>
      <c r="I143" s="163"/>
      <c r="J143" s="163"/>
      <c r="K143" s="164"/>
      <c r="L143" s="103">
        <v>0</v>
      </c>
      <c r="M143" s="102">
        <v>0</v>
      </c>
      <c r="N143" s="102">
        <v>0</v>
      </c>
      <c r="O143" s="102">
        <f>IF(L143&gt;0,N143*100/L143,0)</f>
        <v>0</v>
      </c>
      <c r="P143" s="102">
        <f>IF(M143&gt;0,N143*100/M143,0)</f>
        <v>0</v>
      </c>
      <c r="Q143" s="102">
        <v>0</v>
      </c>
      <c r="R143" s="102">
        <v>0</v>
      </c>
      <c r="S143" s="102">
        <v>0</v>
      </c>
      <c r="T143" s="102">
        <f>IF(Q143&gt;0,S143*100/Q143,0)</f>
        <v>0</v>
      </c>
      <c r="U143" s="102">
        <f>IF(R143&gt;0,S143*100/R143,0)</f>
        <v>0</v>
      </c>
    </row>
    <row r="144" spans="1:21" ht="18.75" hidden="1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256">
        <f ca="1">IFERROR(__xludf.DUMMYFUNCTION("IMPORTRANGE(""https://docs.google.com/spreadsheets/d/1-uDff_7J0KD5mKrp0Vvzr7lt3OU09vwQwhkpOPPYv2Y/edit?usp=sharing"",""งบพรบ!BQ45"")"),48200)</f>
        <v>48200</v>
      </c>
      <c r="M144" s="255">
        <f ca="1">IFERROR(__xludf.DUMMYFUNCTION("IMPORTRANGE(""https://docs.google.com/spreadsheets/d/1-uDff_7J0KD5mKrp0Vvzr7lt3OU09vwQwhkpOPPYv2Y/edit?usp=sharing"",""งบพรบ!BV45"")"),43200)</f>
        <v>43200</v>
      </c>
      <c r="N144" s="255">
        <f ca="1">IFERROR(__xludf.DUMMYFUNCTION("IMPORTRANGE(""https://docs.google.com/spreadsheets/d/1-uDff_7J0KD5mKrp0Vvzr7lt3OU09vwQwhkpOPPYv2Y/edit?usp=sharing"",""งบพรบ!BX45"")"),0)</f>
        <v>0</v>
      </c>
      <c r="O144" s="255">
        <f ca="1">IF(L144&gt;0,N144*100/L144,0)</f>
        <v>0</v>
      </c>
      <c r="P144" s="255">
        <f ca="1">IF(M144&gt;0,N144*100/M144,0)</f>
        <v>0</v>
      </c>
      <c r="Q144" s="255">
        <f ca="1">IFERROR(__xludf.DUMMYFUNCTION("IMPORTRANGE(""https://docs.google.com/spreadsheets/d/1ItG2mGa2ceCfYo0BwxsXqNm01IGEUdYcSSLTEv9YCik/edit?usp=sharing"",""เบิกจ่ายกองทุน!BB45"")"),0)</f>
        <v>0</v>
      </c>
      <c r="R144" s="255">
        <f ca="1">IFERROR(__xludf.DUMMYFUNCTION("IMPORTRANGE(""https://docs.google.com/spreadsheets/d/1ItG2mGa2ceCfYo0BwxsXqNm01IGEUdYcSSLTEv9YCik/edit?usp=sharing"",""เบิกจ่ายกองทุน!BC45"")"),0)</f>
        <v>0</v>
      </c>
      <c r="S144" s="255">
        <f ca="1">IFERROR(__xludf.DUMMYFUNCTION("IMPORTRANGE(""https://docs.google.com/spreadsheets/d/1ItG2mGa2ceCfYo0BwxsXqNm01IGEUdYcSSLTEv9YCik/edit?usp=sharing"",""เบิกจ่ายกองทุน!BD45"")"),0)</f>
        <v>0</v>
      </c>
      <c r="T144" s="255">
        <f ca="1">IF(Q144&gt;0,S144*100/Q144,0)</f>
        <v>0</v>
      </c>
      <c r="U144" s="255">
        <f ca="1">IF(R144&gt;0,S144*100/R144,0)</f>
        <v>0</v>
      </c>
    </row>
    <row r="145" spans="1:21" ht="18.75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256">
        <f ca="1">L146+L147</f>
        <v>0</v>
      </c>
      <c r="M145" s="255">
        <f ca="1">M146+M147</f>
        <v>0</v>
      </c>
      <c r="N145" s="255">
        <f ca="1">N146+N147</f>
        <v>0</v>
      </c>
      <c r="O145" s="255">
        <f ca="1">IF(L145&gt;0,N145*100/L145,0)</f>
        <v>0</v>
      </c>
      <c r="P145" s="255">
        <f ca="1">IF(M145&gt;0,N145*100/M145,0)</f>
        <v>0</v>
      </c>
      <c r="Q145" s="255">
        <f>Q146+Q147</f>
        <v>0</v>
      </c>
      <c r="R145" s="255">
        <f>R146+R147</f>
        <v>0</v>
      </c>
      <c r="S145" s="255">
        <f>S146+S147</f>
        <v>0</v>
      </c>
      <c r="T145" s="255">
        <f>IF(Q145&gt;0,S145*100/Q145,0)</f>
        <v>0</v>
      </c>
      <c r="U145" s="255">
        <f>IF(R145&gt;0,S145*100/R145,0)</f>
        <v>0</v>
      </c>
    </row>
    <row r="146" spans="1:21" ht="18.75" hidden="1">
      <c r="A146" s="155"/>
      <c r="B146" s="50"/>
      <c r="C146" s="50"/>
      <c r="D146" s="50"/>
      <c r="E146" s="186" t="s">
        <v>20</v>
      </c>
      <c r="F146" s="50"/>
      <c r="G146" s="52"/>
      <c r="H146" s="189" t="s">
        <v>14</v>
      </c>
      <c r="I146" s="163"/>
      <c r="J146" s="163"/>
      <c r="K146" s="164"/>
      <c r="L146" s="103">
        <v>0</v>
      </c>
      <c r="M146" s="102">
        <v>0</v>
      </c>
      <c r="N146" s="102">
        <v>0</v>
      </c>
      <c r="O146" s="102">
        <f>IF(L146&gt;0,N146*100/L146,0)</f>
        <v>0</v>
      </c>
      <c r="P146" s="102">
        <f>IF(M146&gt;0,N146*100/M146,0)</f>
        <v>0</v>
      </c>
      <c r="Q146" s="102">
        <v>0</v>
      </c>
      <c r="R146" s="102">
        <v>0</v>
      </c>
      <c r="S146" s="102">
        <v>0</v>
      </c>
      <c r="T146" s="102">
        <f>IF(Q146&gt;0,S146*100/Q146,0)</f>
        <v>0</v>
      </c>
      <c r="U146" s="102">
        <f>IF(R146&gt;0,S146*100/R146,0)</f>
        <v>0</v>
      </c>
    </row>
    <row r="147" spans="1:21" ht="18.75" hidden="1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256">
        <f ca="1">IFERROR(__xludf.DUMMYFUNCTION("IMPORTRANGE(""https://docs.google.com/spreadsheets/d/1-uDff_7J0KD5mKrp0Vvzr7lt3OU09vwQwhkpOPPYv2Y/edit?usp=sharing"",""งบพรบ!BT45"")"),0)</f>
        <v>0</v>
      </c>
      <c r="M147" s="255">
        <f ca="1">IFERROR(__xludf.DUMMYFUNCTION("IMPORTRANGE(""https://docs.google.com/spreadsheets/d/1-uDff_7J0KD5mKrp0Vvzr7lt3OU09vwQwhkpOPPYv2Y/edit?usp=sharing"",""งบพรบ!BW45"")"),0)</f>
        <v>0</v>
      </c>
      <c r="N147" s="255">
        <f ca="1">IFERROR(__xludf.DUMMYFUNCTION("IMPORTRANGE(""https://docs.google.com/spreadsheets/d/1-uDff_7J0KD5mKrp0Vvzr7lt3OU09vwQwhkpOPPYv2Y/edit?usp=sharing"",""งบพรบ!BY45"")"),0)</f>
        <v>0</v>
      </c>
      <c r="O147" s="255">
        <f ca="1">IF(L147&gt;0,N147*100/L147,0)</f>
        <v>0</v>
      </c>
      <c r="P147" s="255">
        <f ca="1">IF(M147&gt;0,N147*100/M147,0)</f>
        <v>0</v>
      </c>
      <c r="Q147" s="255">
        <v>0</v>
      </c>
      <c r="R147" s="255">
        <v>0</v>
      </c>
      <c r="S147" s="255">
        <v>0</v>
      </c>
      <c r="T147" s="255">
        <f>IF(Q147&gt;0,S147*100/Q147,0)</f>
        <v>0</v>
      </c>
      <c r="U147" s="255">
        <f>IF(R147&gt;0,S147*100/R147,0)</f>
        <v>0</v>
      </c>
    </row>
    <row r="148" spans="1:21" ht="19.5">
      <c r="A148" s="166"/>
      <c r="B148" s="167"/>
      <c r="C148" s="156" t="s">
        <v>18</v>
      </c>
      <c r="D148" s="566" t="s">
        <v>38</v>
      </c>
      <c r="E148" s="169"/>
      <c r="F148" s="169"/>
      <c r="G148" s="170"/>
      <c r="H148" s="206"/>
      <c r="I148" s="54"/>
      <c r="J148" s="54"/>
      <c r="K148" s="55"/>
      <c r="L148" s="62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8.75">
      <c r="A149" s="155"/>
      <c r="B149" s="50"/>
      <c r="C149" s="50"/>
      <c r="D149" s="58" t="s">
        <v>63</v>
      </c>
      <c r="E149" s="50"/>
      <c r="F149" s="50"/>
      <c r="G149" s="52"/>
      <c r="H149" s="206"/>
      <c r="I149" s="54"/>
      <c r="J149" s="467">
        <v>0</v>
      </c>
      <c r="K149" s="55"/>
      <c r="L149" s="62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9.5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212">
        <f ca="1">IFERROR(__xludf.DUMMYFUNCTION("IMPORTRANGE(""https://docs.google.com/spreadsheets/d/1eHaY18a8A9IcSdp1K8H6x8fbOy06t2VsZHhMHf-1x7Y/edit?usp=sharing"",""แผน!U45"")"),0)</f>
        <v>0</v>
      </c>
      <c r="J150" s="467">
        <v>0</v>
      </c>
      <c r="K150" s="255">
        <f ca="1">IF(I150&gt;0,J150*100/I150,0)</f>
        <v>0</v>
      </c>
      <c r="L150" s="62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8.75">
      <c r="A151" s="155"/>
      <c r="B151" s="50"/>
      <c r="C151" s="50"/>
      <c r="D151" s="174"/>
      <c r="E151" s="50"/>
      <c r="F151" s="50"/>
      <c r="G151" s="52"/>
      <c r="H151" s="165" t="s">
        <v>54</v>
      </c>
      <c r="I151" s="212">
        <f ca="1">IFERROR(__xludf.DUMMYFUNCTION("IMPORTRANGE(""https://docs.google.com/spreadsheets/d/1eHaY18a8A9IcSdp1K8H6x8fbOy06t2VsZHhMHf-1x7Y/edit?usp=sharing"",""แผน!V45"")"),0)</f>
        <v>0</v>
      </c>
      <c r="J151" s="467">
        <v>0</v>
      </c>
      <c r="K151" s="255">
        <f ca="1">IF(I151&gt;0,J151*100/I151,0)</f>
        <v>0</v>
      </c>
      <c r="L151" s="62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9.5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212">
        <f ca="1">IFERROR(__xludf.DUMMYFUNCTION("IMPORTRANGE(""https://docs.google.com/spreadsheets/d/1eHaY18a8A9IcSdp1K8H6x8fbOy06t2VsZHhMHf-1x7Y/edit?usp=sharing"",""แผน!W45"")"),40)</f>
        <v>40</v>
      </c>
      <c r="J152" s="467">
        <v>0</v>
      </c>
      <c r="K152" s="255">
        <f ca="1">IF(I152&gt;0,J152*100/I152,0)</f>
        <v>0</v>
      </c>
      <c r="L152" s="62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8.75">
      <c r="A153" s="155"/>
      <c r="B153" s="50"/>
      <c r="C153" s="50"/>
      <c r="D153" s="50"/>
      <c r="E153" s="50"/>
      <c r="F153" s="50"/>
      <c r="G153" s="52"/>
      <c r="H153" s="165" t="s">
        <v>54</v>
      </c>
      <c r="I153" s="212">
        <f ca="1">IFERROR(__xludf.DUMMYFUNCTION("IMPORTRANGE(""https://docs.google.com/spreadsheets/d/1eHaY18a8A9IcSdp1K8H6x8fbOy06t2VsZHhMHf-1x7Y/edit?usp=sharing"",""แผน!X45"")"),4)</f>
        <v>4</v>
      </c>
      <c r="J153" s="467">
        <v>0</v>
      </c>
      <c r="K153" s="255">
        <f ca="1">IF(I153&gt;0,J153*100/I153,0)</f>
        <v>0</v>
      </c>
      <c r="L153" s="62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8.75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212">
        <f ca="1">IFERROR(__xludf.DUMMYFUNCTION("IMPORTRANGE(""https://docs.google.com/spreadsheets/d/1eHaY18a8A9IcSdp1K8H6x8fbOy06t2VsZHhMHf-1x7Y/edit?usp=sharing"",""แผน!Y45"")"),0)</f>
        <v>0</v>
      </c>
      <c r="J154" s="467">
        <v>0</v>
      </c>
      <c r="K154" s="255">
        <f ca="1">IF(I154&gt;0,J154*100/I154,0)</f>
        <v>0</v>
      </c>
      <c r="L154" s="62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9.5">
      <c r="A155" s="143" t="s">
        <v>67</v>
      </c>
      <c r="B155" s="144"/>
      <c r="C155" s="196"/>
      <c r="D155" s="144"/>
      <c r="E155" s="144"/>
      <c r="F155" s="144"/>
      <c r="G155" s="144"/>
      <c r="H155" s="144"/>
      <c r="I155" s="197"/>
      <c r="J155" s="197"/>
      <c r="K155" s="19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</row>
    <row r="156" spans="1:21" ht="19.5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721">
        <f ca="1">I167</f>
        <v>15</v>
      </c>
      <c r="J156" s="721">
        <f>J167</f>
        <v>15</v>
      </c>
      <c r="K156" s="720">
        <f ca="1">IF(I156&gt;0,J156*100/I156,0)</f>
        <v>100</v>
      </c>
      <c r="L156" s="154"/>
      <c r="M156" s="40"/>
      <c r="N156" s="40"/>
      <c r="O156" s="40"/>
      <c r="P156" s="40"/>
      <c r="Q156" s="40"/>
      <c r="R156" s="40"/>
      <c r="S156" s="40"/>
      <c r="T156" s="40"/>
      <c r="U156" s="40"/>
    </row>
    <row r="157" spans="1:21" ht="19.5">
      <c r="A157" s="155"/>
      <c r="B157" s="50"/>
      <c r="C157" s="156" t="s">
        <v>18</v>
      </c>
      <c r="D157" s="575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541">
        <f ca="1">L158+L159</f>
        <v>3000</v>
      </c>
      <c r="M157" s="540">
        <f ca="1">M158+M159</f>
        <v>6762</v>
      </c>
      <c r="N157" s="540">
        <f ca="1">N158+N159</f>
        <v>2250</v>
      </c>
      <c r="O157" s="540">
        <f ca="1">IF(L157&gt;0,N157*100/L157,0)</f>
        <v>75</v>
      </c>
      <c r="P157" s="540">
        <f ca="1">IF(M157&gt;0,N157*100/M157,0)</f>
        <v>33.274179236912154</v>
      </c>
      <c r="Q157" s="540">
        <f ca="1">Q158+Q159</f>
        <v>0</v>
      </c>
      <c r="R157" s="540">
        <f ca="1">R158+R159</f>
        <v>0</v>
      </c>
      <c r="S157" s="540">
        <f ca="1">S158+S159</f>
        <v>0</v>
      </c>
      <c r="T157" s="540">
        <f ca="1">IF(Q157&gt;0,S157*100/Q157,0)</f>
        <v>0</v>
      </c>
      <c r="U157" s="540">
        <f ca="1">IF(R157&gt;0,S157*100/R157,0)</f>
        <v>0</v>
      </c>
    </row>
    <row r="158" spans="1:21" ht="18.75" hidden="1">
      <c r="A158" s="155"/>
      <c r="B158" s="50"/>
      <c r="C158" s="50"/>
      <c r="D158" s="50"/>
      <c r="E158" s="186" t="s">
        <v>20</v>
      </c>
      <c r="F158" s="50"/>
      <c r="G158" s="52"/>
      <c r="H158" s="187" t="s">
        <v>14</v>
      </c>
      <c r="I158" s="54"/>
      <c r="J158" s="54"/>
      <c r="K158" s="55"/>
      <c r="L158" s="103">
        <f>L161+L164</f>
        <v>0</v>
      </c>
      <c r="M158" s="102">
        <f>M161+M164</f>
        <v>0</v>
      </c>
      <c r="N158" s="102">
        <f>N161+N164</f>
        <v>0</v>
      </c>
      <c r="O158" s="102">
        <f>IF(L158&gt;0,N158*100/L158,0)</f>
        <v>0</v>
      </c>
      <c r="P158" s="102">
        <f>IF(M158&gt;0,N158*100/M158,0)</f>
        <v>0</v>
      </c>
      <c r="Q158" s="102">
        <f>Q161+Q164</f>
        <v>0</v>
      </c>
      <c r="R158" s="102">
        <f>R161+R164</f>
        <v>0</v>
      </c>
      <c r="S158" s="102">
        <f>S161+S164</f>
        <v>0</v>
      </c>
      <c r="T158" s="102">
        <f>IF(Q158&gt;0,S158*100/Q158,0)</f>
        <v>0</v>
      </c>
      <c r="U158" s="102">
        <f>IF(R158&gt;0,S158*100/R158,0)</f>
        <v>0</v>
      </c>
    </row>
    <row r="159" spans="1:21" ht="18.75" hidden="1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256">
        <f ca="1">L162+L165</f>
        <v>3000</v>
      </c>
      <c r="M159" s="255">
        <f ca="1">M162+M165</f>
        <v>6762</v>
      </c>
      <c r="N159" s="255">
        <f ca="1">N162+N165</f>
        <v>2250</v>
      </c>
      <c r="O159" s="255">
        <f ca="1">IF(L159&gt;0,N159*100/L159,0)</f>
        <v>75</v>
      </c>
      <c r="P159" s="255">
        <f ca="1">IF(M159&gt;0,N159*100/M159,0)</f>
        <v>33.274179236912154</v>
      </c>
      <c r="Q159" s="255">
        <f ca="1">Q162+Q165</f>
        <v>0</v>
      </c>
      <c r="R159" s="255">
        <f ca="1">R162+R165</f>
        <v>0</v>
      </c>
      <c r="S159" s="255">
        <f ca="1">S162+S165</f>
        <v>0</v>
      </c>
      <c r="T159" s="255">
        <f ca="1">IF(Q159&gt;0,S159*100/Q159,0)</f>
        <v>0</v>
      </c>
      <c r="U159" s="255">
        <f ca="1">IF(R159&gt;0,S159*100/R159,0)</f>
        <v>0</v>
      </c>
    </row>
    <row r="160" spans="1:21" ht="18.75">
      <c r="A160" s="155"/>
      <c r="B160" s="50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256">
        <f ca="1">L161+L162</f>
        <v>3000</v>
      </c>
      <c r="M160" s="255">
        <f ca="1">M161+M162</f>
        <v>6762</v>
      </c>
      <c r="N160" s="255">
        <f ca="1">N161+N162</f>
        <v>2250</v>
      </c>
      <c r="O160" s="255">
        <f ca="1">IF(L160&gt;0,N160*100/L160,0)</f>
        <v>75</v>
      </c>
      <c r="P160" s="255">
        <f ca="1">IF(M160&gt;0,N160*100/M160,0)</f>
        <v>33.274179236912154</v>
      </c>
      <c r="Q160" s="255">
        <f ca="1">Q161+Q162</f>
        <v>0</v>
      </c>
      <c r="R160" s="255">
        <f ca="1">R161+R162</f>
        <v>0</v>
      </c>
      <c r="S160" s="255">
        <f ca="1">S161+S162</f>
        <v>0</v>
      </c>
      <c r="T160" s="255">
        <f ca="1">IF(Q160&gt;0,S160*100/Q160,0)</f>
        <v>0</v>
      </c>
      <c r="U160" s="255">
        <f ca="1">IF(R160&gt;0,S160*100/R160,0)</f>
        <v>0</v>
      </c>
    </row>
    <row r="161" spans="1:21" ht="18.75" hidden="1">
      <c r="A161" s="155"/>
      <c r="B161" s="50"/>
      <c r="C161" s="50"/>
      <c r="D161" s="50"/>
      <c r="E161" s="186" t="s">
        <v>36</v>
      </c>
      <c r="F161" s="50"/>
      <c r="G161" s="52"/>
      <c r="H161" s="189" t="s">
        <v>14</v>
      </c>
      <c r="I161" s="163"/>
      <c r="J161" s="163"/>
      <c r="K161" s="164"/>
      <c r="L161" s="103">
        <v>0</v>
      </c>
      <c r="M161" s="102">
        <v>0</v>
      </c>
      <c r="N161" s="102">
        <v>0</v>
      </c>
      <c r="O161" s="102">
        <f>IF(L161&gt;0,N161*100/L161,0)</f>
        <v>0</v>
      </c>
      <c r="P161" s="102">
        <f>IF(M161&gt;0,N161*100/M161,0)</f>
        <v>0</v>
      </c>
      <c r="Q161" s="102">
        <v>0</v>
      </c>
      <c r="R161" s="102">
        <v>0</v>
      </c>
      <c r="S161" s="102">
        <v>0</v>
      </c>
      <c r="T161" s="102">
        <f>IF(Q161&gt;0,S161*100/Q161,0)</f>
        <v>0</v>
      </c>
      <c r="U161" s="102">
        <f>IF(R161&gt;0,S161*100/R161,0)</f>
        <v>0</v>
      </c>
    </row>
    <row r="162" spans="1:21" ht="18.75" hidden="1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256">
        <f ca="1">IFERROR(__xludf.DUMMYFUNCTION("IMPORTRANGE(""https://docs.google.com/spreadsheets/d/1-uDff_7J0KD5mKrp0Vvzr7lt3OU09vwQwhkpOPPYv2Y/edit?usp=sharing"",""งบพรบ!CA45"")"),3000)</f>
        <v>3000</v>
      </c>
      <c r="M162" s="255">
        <f ca="1">IFERROR(__xludf.DUMMYFUNCTION("IMPORTRANGE(""https://docs.google.com/spreadsheets/d/1-uDff_7J0KD5mKrp0Vvzr7lt3OU09vwQwhkpOPPYv2Y/edit?usp=sharing"",""งบพรบ!CF45"")"),6762)</f>
        <v>6762</v>
      </c>
      <c r="N162" s="255">
        <f ca="1">IFERROR(__xludf.DUMMYFUNCTION("IMPORTRANGE(""https://docs.google.com/spreadsheets/d/1-uDff_7J0KD5mKrp0Vvzr7lt3OU09vwQwhkpOPPYv2Y/edit?usp=sharing"",""งบพรบ!CH45"")"),2250)</f>
        <v>2250</v>
      </c>
      <c r="O162" s="255">
        <f ca="1">IF(L162&gt;0,N162*100/L162,0)</f>
        <v>75</v>
      </c>
      <c r="P162" s="255">
        <f ca="1">IF(M162&gt;0,N162*100/M162,0)</f>
        <v>33.274179236912154</v>
      </c>
      <c r="Q162" s="255">
        <f ca="1">IFERROR(__xludf.DUMMYFUNCTION("IMPORTRANGE(""https://docs.google.com/spreadsheets/d/1ItG2mGa2ceCfYo0BwxsXqNm01IGEUdYcSSLTEv9YCik/edit?usp=sharing"",""เบิกจ่ายกองทุน!AG45"")"),0)</f>
        <v>0</v>
      </c>
      <c r="R162" s="255">
        <f ca="1">IFERROR(__xludf.DUMMYFUNCTION("IMPORTRANGE(""https://docs.google.com/spreadsheets/d/1ItG2mGa2ceCfYo0BwxsXqNm01IGEUdYcSSLTEv9YCik/edit?usp=sharing"",""เบิกจ่ายกองทุน!AH45"")"),0)</f>
        <v>0</v>
      </c>
      <c r="S162" s="255">
        <f ca="1">IFERROR(__xludf.DUMMYFUNCTION("IMPORTRANGE(""https://docs.google.com/spreadsheets/d/1ItG2mGa2ceCfYo0BwxsXqNm01IGEUdYcSSLTEv9YCik/edit?usp=sharing"",""เบิกจ่ายกองทุน!AI45"")"),0)</f>
        <v>0</v>
      </c>
      <c r="T162" s="255">
        <f ca="1">IF(Q162&gt;0,S162*100/Q162,0)</f>
        <v>0</v>
      </c>
      <c r="U162" s="255">
        <f ca="1">IF(R162&gt;0,S162*100/R162,0)</f>
        <v>0</v>
      </c>
    </row>
    <row r="163" spans="1:21" ht="18.75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256">
        <f ca="1">L164+L165</f>
        <v>0</v>
      </c>
      <c r="M163" s="255">
        <f ca="1">M164+M165</f>
        <v>0</v>
      </c>
      <c r="N163" s="255">
        <f ca="1">N164+N165</f>
        <v>0</v>
      </c>
      <c r="O163" s="255">
        <f ca="1">IF(L163&gt;0,N163*100/L163,0)</f>
        <v>0</v>
      </c>
      <c r="P163" s="255">
        <f ca="1">IF(M163&gt;0,N163*100/M163,0)</f>
        <v>0</v>
      </c>
      <c r="Q163" s="255">
        <f>Q164+Q165</f>
        <v>0</v>
      </c>
      <c r="R163" s="255">
        <f>R164+R165</f>
        <v>0</v>
      </c>
      <c r="S163" s="255">
        <f>S164+S165</f>
        <v>0</v>
      </c>
      <c r="T163" s="255">
        <f>IF(Q163&gt;0,S163*100/Q163,0)</f>
        <v>0</v>
      </c>
      <c r="U163" s="255">
        <f>IF(R163&gt;0,S163*100/R163,0)</f>
        <v>0</v>
      </c>
    </row>
    <row r="164" spans="1:21" ht="18.75" hidden="1">
      <c r="A164" s="155"/>
      <c r="B164" s="50"/>
      <c r="C164" s="50"/>
      <c r="D164" s="50"/>
      <c r="E164" s="186" t="s">
        <v>20</v>
      </c>
      <c r="F164" s="50"/>
      <c r="G164" s="52"/>
      <c r="H164" s="189" t="s">
        <v>14</v>
      </c>
      <c r="I164" s="163"/>
      <c r="J164" s="163"/>
      <c r="K164" s="164"/>
      <c r="L164" s="103">
        <v>0</v>
      </c>
      <c r="M164" s="102">
        <v>0</v>
      </c>
      <c r="N164" s="102">
        <v>0</v>
      </c>
      <c r="O164" s="102">
        <f>IF(L164&gt;0,N164*100/L164,0)</f>
        <v>0</v>
      </c>
      <c r="P164" s="102">
        <f>IF(M164&gt;0,N164*100/M164,0)</f>
        <v>0</v>
      </c>
      <c r="Q164" s="102">
        <v>0</v>
      </c>
      <c r="R164" s="102">
        <v>0</v>
      </c>
      <c r="S164" s="102">
        <v>0</v>
      </c>
      <c r="T164" s="102">
        <f>IF(Q164&gt;0,S164*100/Q164,0)</f>
        <v>0</v>
      </c>
      <c r="U164" s="102">
        <f>IF(R164&gt;0,S164*100/R164,0)</f>
        <v>0</v>
      </c>
    </row>
    <row r="165" spans="1:21" ht="18.75" hidden="1">
      <c r="A165" s="155"/>
      <c r="B165" s="50"/>
      <c r="C165" s="50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256">
        <f ca="1">IFERROR(__xludf.DUMMYFUNCTION("IMPORTRANGE(""https://docs.google.com/spreadsheets/d/1-uDff_7J0KD5mKrp0Vvzr7lt3OU09vwQwhkpOPPYv2Y/edit?usp=sharing"",""งบพรบ!CD45"")"),0)</f>
        <v>0</v>
      </c>
      <c r="M165" s="255">
        <f ca="1">IFERROR(__xludf.DUMMYFUNCTION("IMPORTRANGE(""https://docs.google.com/spreadsheets/d/1-uDff_7J0KD5mKrp0Vvzr7lt3OU09vwQwhkpOPPYv2Y/edit?usp=sharing"",""งบพรบ!CG45"")"),0)</f>
        <v>0</v>
      </c>
      <c r="N165" s="255">
        <f ca="1">IFERROR(__xludf.DUMMYFUNCTION("IMPORTRANGE(""https://docs.google.com/spreadsheets/d/1-uDff_7J0KD5mKrp0Vvzr7lt3OU09vwQwhkpOPPYv2Y/edit?usp=sharing"",""งบพรบ!CI45"")"),0)</f>
        <v>0</v>
      </c>
      <c r="O165" s="255">
        <f ca="1">IF(L165&gt;0,N165*100/L165,0)</f>
        <v>0</v>
      </c>
      <c r="P165" s="255">
        <f ca="1">IF(M165&gt;0,N165*100/M165,0)</f>
        <v>0</v>
      </c>
      <c r="Q165" s="255">
        <v>0</v>
      </c>
      <c r="R165" s="255">
        <v>0</v>
      </c>
      <c r="S165" s="255">
        <v>0</v>
      </c>
      <c r="T165" s="255">
        <f>IF(Q165&gt;0,S165*100/Q165,0)</f>
        <v>0</v>
      </c>
      <c r="U165" s="255">
        <f>IF(R165&gt;0,S165*100/R165,0)</f>
        <v>0</v>
      </c>
    </row>
    <row r="166" spans="1:21" ht="19.5">
      <c r="A166" s="166"/>
      <c r="B166" s="167"/>
      <c r="C166" s="156" t="s">
        <v>18</v>
      </c>
      <c r="D166" s="566" t="s">
        <v>38</v>
      </c>
      <c r="E166" s="169"/>
      <c r="F166" s="169"/>
      <c r="G166" s="170"/>
      <c r="H166" s="206"/>
      <c r="I166" s="54"/>
      <c r="J166" s="54"/>
      <c r="K166" s="55"/>
      <c r="L166" s="62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8.75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212">
        <f ca="1">IFERROR(__xludf.DUMMYFUNCTION("IMPORTRANGE(""https://docs.google.com/spreadsheets/d/1eHaY18a8A9IcSdp1K8H6x8fbOy06t2VsZHhMHf-1x7Y/edit?usp=sharing"",""แผน!Z45"")"),15)</f>
        <v>15</v>
      </c>
      <c r="J167" s="467">
        <v>15</v>
      </c>
      <c r="K167" s="255">
        <f ca="1">IF(I167&gt;0,J167*100/I167,0)</f>
        <v>100</v>
      </c>
      <c r="L167" s="62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8.75" hidden="1">
      <c r="A168" s="155"/>
      <c r="B168" s="50"/>
      <c r="C168" s="50"/>
      <c r="D168" s="186" t="s">
        <v>70</v>
      </c>
      <c r="E168" s="50"/>
      <c r="F168" s="50"/>
      <c r="G168" s="52"/>
      <c r="H168" s="421" t="s">
        <v>35</v>
      </c>
      <c r="I168" s="483">
        <f ca="1">I167</f>
        <v>15</v>
      </c>
      <c r="J168" s="589">
        <v>0</v>
      </c>
      <c r="K168" s="102">
        <f ca="1">IF(I168&gt;0,J168*100/I168,0)</f>
        <v>0</v>
      </c>
      <c r="L168" s="62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8.75" hidden="1">
      <c r="A169" s="213"/>
      <c r="B169" s="4"/>
      <c r="C169" s="4"/>
      <c r="D169" s="484" t="s">
        <v>71</v>
      </c>
      <c r="E169" s="4"/>
      <c r="F169" s="4"/>
      <c r="G169" s="65"/>
      <c r="H169" s="719" t="s">
        <v>35</v>
      </c>
      <c r="I169" s="486">
        <f ca="1">I167</f>
        <v>15</v>
      </c>
      <c r="J169" s="586">
        <v>0</v>
      </c>
      <c r="K169" s="585">
        <f ca="1">IF(I169&gt;0,J169*100/I169,0)</f>
        <v>0</v>
      </c>
      <c r="L169" s="68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9"/>
      <c r="I170" s="220"/>
      <c r="J170" s="220"/>
      <c r="K170" s="221"/>
      <c r="L170" s="221"/>
      <c r="M170" s="221"/>
      <c r="N170" s="221"/>
      <c r="O170" s="221"/>
      <c r="P170" s="222"/>
      <c r="Q170" s="221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226"/>
      <c r="I171" s="227"/>
      <c r="J171" s="227"/>
      <c r="K171" s="228"/>
      <c r="L171" s="229"/>
      <c r="M171" s="228"/>
      <c r="N171" s="228"/>
      <c r="O171" s="228"/>
      <c r="P171" s="228"/>
      <c r="Q171" s="228"/>
      <c r="R171" s="228"/>
      <c r="S171" s="228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233" t="s">
        <v>35</v>
      </c>
      <c r="I172" s="718">
        <f ca="1">I183+I184</f>
        <v>7</v>
      </c>
      <c r="J172" s="718">
        <f>J183+J184</f>
        <v>7</v>
      </c>
      <c r="K172" s="717">
        <f ca="1">IF(I172&gt;0,J172*100/I172,0)</f>
        <v>100</v>
      </c>
      <c r="L172" s="237"/>
      <c r="M172" s="236"/>
      <c r="N172" s="236"/>
      <c r="O172" s="236"/>
      <c r="P172" s="236"/>
      <c r="Q172" s="236"/>
      <c r="R172" s="236"/>
      <c r="S172" s="236"/>
      <c r="T172" s="236"/>
      <c r="U172" s="236"/>
    </row>
    <row r="173" spans="1:21" ht="19.5">
      <c r="A173" s="155"/>
      <c r="B173" s="50"/>
      <c r="C173" s="156" t="s">
        <v>18</v>
      </c>
      <c r="D173" s="575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541">
        <f ca="1">L174+L175</f>
        <v>19590</v>
      </c>
      <c r="M173" s="540">
        <f ca="1">M174+M175</f>
        <v>35660</v>
      </c>
      <c r="N173" s="540">
        <f ca="1">N174+N175</f>
        <v>35315</v>
      </c>
      <c r="O173" s="540">
        <f ca="1">IF(L173&gt;0,N173*100/L173,0)</f>
        <v>180.27054619703929</v>
      </c>
      <c r="P173" s="540">
        <f ca="1">IF(M173&gt;0,N173*100/M173,0)</f>
        <v>99.032529444756022</v>
      </c>
      <c r="Q173" s="540">
        <f ca="1">Q174+Q175</f>
        <v>0</v>
      </c>
      <c r="R173" s="540">
        <f ca="1">R174+R175</f>
        <v>0</v>
      </c>
      <c r="S173" s="540">
        <f ca="1">S174+S175</f>
        <v>0</v>
      </c>
      <c r="T173" s="540">
        <f ca="1">IF(Q173&gt;0,S173*100/Q173,0)</f>
        <v>0</v>
      </c>
      <c r="U173" s="540">
        <f ca="1">IF(R173&gt;0,S173*100/R173,0)</f>
        <v>0</v>
      </c>
    </row>
    <row r="174" spans="1:21" ht="18.75" hidden="1">
      <c r="A174" s="155"/>
      <c r="B174" s="50"/>
      <c r="C174" s="50"/>
      <c r="D174" s="50"/>
      <c r="E174" s="186" t="s">
        <v>20</v>
      </c>
      <c r="F174" s="50"/>
      <c r="G174" s="52"/>
      <c r="H174" s="187" t="s">
        <v>14</v>
      </c>
      <c r="I174" s="54"/>
      <c r="J174" s="54"/>
      <c r="K174" s="55"/>
      <c r="L174" s="103">
        <f>L177+L180</f>
        <v>0</v>
      </c>
      <c r="M174" s="102">
        <f>M177+M180</f>
        <v>0</v>
      </c>
      <c r="N174" s="102">
        <f>N177+N180</f>
        <v>0</v>
      </c>
      <c r="O174" s="102">
        <f>IF(L174&gt;0,N174*100/L174,0)</f>
        <v>0</v>
      </c>
      <c r="P174" s="102">
        <f>IF(M174&gt;0,N174*100/M174,0)</f>
        <v>0</v>
      </c>
      <c r="Q174" s="102">
        <f>Q177+Q180</f>
        <v>0</v>
      </c>
      <c r="R174" s="102">
        <f>R177+R180</f>
        <v>0</v>
      </c>
      <c r="S174" s="102">
        <f>S177+S180</f>
        <v>0</v>
      </c>
      <c r="T174" s="102">
        <f>IF(Q174&gt;0,S174*100/Q174,0)</f>
        <v>0</v>
      </c>
      <c r="U174" s="102">
        <f>IF(R174&gt;0,S174*100/R174,0)</f>
        <v>0</v>
      </c>
    </row>
    <row r="175" spans="1:21" ht="18.75" hidden="1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256">
        <f ca="1">L178+L181</f>
        <v>19590</v>
      </c>
      <c r="M175" s="255">
        <f ca="1">M178+M181</f>
        <v>35660</v>
      </c>
      <c r="N175" s="255">
        <f ca="1">N178+N181</f>
        <v>35315</v>
      </c>
      <c r="O175" s="255">
        <f ca="1">IF(L175&gt;0,N175*100/L175,0)</f>
        <v>180.27054619703929</v>
      </c>
      <c r="P175" s="255">
        <f ca="1">IF(M175&gt;0,N175*100/M175,0)</f>
        <v>99.032529444756022</v>
      </c>
      <c r="Q175" s="255">
        <f ca="1">Q178+Q181</f>
        <v>0</v>
      </c>
      <c r="R175" s="255">
        <f ca="1">R178+R181</f>
        <v>0</v>
      </c>
      <c r="S175" s="255">
        <f ca="1">S178+S181</f>
        <v>0</v>
      </c>
      <c r="T175" s="255">
        <f ca="1">IF(Q175&gt;0,S175*100/Q175,0)</f>
        <v>0</v>
      </c>
      <c r="U175" s="255">
        <f ca="1">IF(R175&gt;0,S175*100/R175,0)</f>
        <v>0</v>
      </c>
    </row>
    <row r="176" spans="1:21" ht="18.75">
      <c r="A176" s="155"/>
      <c r="B176" s="50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256">
        <f ca="1">L177+L178</f>
        <v>19590</v>
      </c>
      <c r="M176" s="255">
        <f ca="1">M177+M178</f>
        <v>35660</v>
      </c>
      <c r="N176" s="255">
        <f ca="1">N177+N178</f>
        <v>35315</v>
      </c>
      <c r="O176" s="255">
        <f ca="1">IF(L176&gt;0,N176*100/L176,0)</f>
        <v>180.27054619703929</v>
      </c>
      <c r="P176" s="255">
        <f ca="1">IF(M176&gt;0,N176*100/M176,0)</f>
        <v>99.032529444756022</v>
      </c>
      <c r="Q176" s="255">
        <f ca="1">Q177+Q178</f>
        <v>0</v>
      </c>
      <c r="R176" s="255">
        <f ca="1">R177+R178</f>
        <v>0</v>
      </c>
      <c r="S176" s="255">
        <f ca="1">S177+S178</f>
        <v>0</v>
      </c>
      <c r="T176" s="255">
        <f ca="1">IF(Q176&gt;0,S176*100/Q176,0)</f>
        <v>0</v>
      </c>
      <c r="U176" s="255">
        <f ca="1">IF(R176&gt;0,S176*100/R176,0)</f>
        <v>0</v>
      </c>
    </row>
    <row r="177" spans="1:21" ht="18.75" hidden="1">
      <c r="A177" s="155"/>
      <c r="B177" s="50"/>
      <c r="C177" s="50"/>
      <c r="D177" s="50"/>
      <c r="E177" s="186" t="s">
        <v>36</v>
      </c>
      <c r="F177" s="50"/>
      <c r="G177" s="52"/>
      <c r="H177" s="189" t="s">
        <v>14</v>
      </c>
      <c r="I177" s="163"/>
      <c r="J177" s="163"/>
      <c r="K177" s="164"/>
      <c r="L177" s="103">
        <v>0</v>
      </c>
      <c r="M177" s="102">
        <v>0</v>
      </c>
      <c r="N177" s="102">
        <v>0</v>
      </c>
      <c r="O177" s="102">
        <f>IF(L177&gt;0,N177*100/L177,0)</f>
        <v>0</v>
      </c>
      <c r="P177" s="102">
        <f>IF(M177&gt;0,N177*100/M177,0)</f>
        <v>0</v>
      </c>
      <c r="Q177" s="102">
        <v>0</v>
      </c>
      <c r="R177" s="102">
        <v>0</v>
      </c>
      <c r="S177" s="102">
        <v>0</v>
      </c>
      <c r="T177" s="102">
        <f>IF(Q177&gt;0,S177*100/Q177,0)</f>
        <v>0</v>
      </c>
      <c r="U177" s="102">
        <f>IF(R177&gt;0,S177*100/R177,0)</f>
        <v>0</v>
      </c>
    </row>
    <row r="178" spans="1:21" ht="18.75" hidden="1">
      <c r="A178" s="155"/>
      <c r="B178" s="50"/>
      <c r="C178" s="50"/>
      <c r="D178" s="50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256">
        <f ca="1">IFERROR(__xludf.DUMMYFUNCTION("IMPORTRANGE(""https://docs.google.com/spreadsheets/d/1-uDff_7J0KD5mKrp0Vvzr7lt3OU09vwQwhkpOPPYv2Y/edit?usp=sharing"",""งบพรบ!CK45"")"),19590)</f>
        <v>19590</v>
      </c>
      <c r="M178" s="255">
        <f ca="1">IFERROR(__xludf.DUMMYFUNCTION("IMPORTRANGE(""https://docs.google.com/spreadsheets/d/1-uDff_7J0KD5mKrp0Vvzr7lt3OU09vwQwhkpOPPYv2Y/edit?usp=sharing"",""งบพรบ!CP45"")"),35660)</f>
        <v>35660</v>
      </c>
      <c r="N178" s="255">
        <f ca="1">IFERROR(__xludf.DUMMYFUNCTION("IMPORTRANGE(""https://docs.google.com/spreadsheets/d/1-uDff_7J0KD5mKrp0Vvzr7lt3OU09vwQwhkpOPPYv2Y/edit?usp=sharing"",""งบพรบ!CR45"")"),35315)</f>
        <v>35315</v>
      </c>
      <c r="O178" s="255">
        <f ca="1">IF(L178&gt;0,N178*100/L178,0)</f>
        <v>180.27054619703929</v>
      </c>
      <c r="P178" s="255">
        <f ca="1">IF(M178&gt;0,N178*100/M178,0)</f>
        <v>99.032529444756022</v>
      </c>
      <c r="Q178" s="255">
        <f ca="1">IFERROR(__xludf.DUMMYFUNCTION("IMPORTRANGE(""https://docs.google.com/spreadsheets/d/1ItG2mGa2ceCfYo0BwxsXqNm01IGEUdYcSSLTEv9YCik/edit?usp=sharing"",""เบิกจ่ายกองทุน!BE45"")"),0)</f>
        <v>0</v>
      </c>
      <c r="R178" s="255">
        <f ca="1">IFERROR(__xludf.DUMMYFUNCTION("IMPORTRANGE(""https://docs.google.com/spreadsheets/d/1ItG2mGa2ceCfYo0BwxsXqNm01IGEUdYcSSLTEv9YCik/edit?usp=sharing"",""เบิกจ่ายกองทุน!BF45"")"),0)</f>
        <v>0</v>
      </c>
      <c r="S178" s="255">
        <f ca="1">IFERROR(__xludf.DUMMYFUNCTION("IMPORTRANGE(""https://docs.google.com/spreadsheets/d/1ItG2mGa2ceCfYo0BwxsXqNm01IGEUdYcSSLTEv9YCik/edit?usp=sharing"",""เบิกจ่ายกองทุน!BG45"")"),0)</f>
        <v>0</v>
      </c>
      <c r="T178" s="255">
        <f ca="1">IF(Q178&gt;0,S178*100/Q178,0)</f>
        <v>0</v>
      </c>
      <c r="U178" s="255">
        <f ca="1">IF(R178&gt;0,S178*100/R178,0)</f>
        <v>0</v>
      </c>
    </row>
    <row r="179" spans="1:21" ht="18.75">
      <c r="A179" s="155"/>
      <c r="B179" s="50"/>
      <c r="C179" s="50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256">
        <f ca="1">L180+L181</f>
        <v>0</v>
      </c>
      <c r="M179" s="255">
        <f ca="1">M180+M181</f>
        <v>0</v>
      </c>
      <c r="N179" s="255">
        <f ca="1">N180+N181</f>
        <v>0</v>
      </c>
      <c r="O179" s="255">
        <f ca="1">IF(L179&gt;0,N179*100/L179,0)</f>
        <v>0</v>
      </c>
      <c r="P179" s="255">
        <f ca="1">IF(M179&gt;0,N179*100/M179,0)</f>
        <v>0</v>
      </c>
      <c r="Q179" s="255">
        <f>Q180+Q181</f>
        <v>0</v>
      </c>
      <c r="R179" s="255">
        <f>R180+R181</f>
        <v>0</v>
      </c>
      <c r="S179" s="255">
        <f>S180+S181</f>
        <v>0</v>
      </c>
      <c r="T179" s="255">
        <f>IF(Q179&gt;0,S179*100/Q179,0)</f>
        <v>0</v>
      </c>
      <c r="U179" s="255">
        <f>IF(R179&gt;0,S179*100/R179,0)</f>
        <v>0</v>
      </c>
    </row>
    <row r="180" spans="1:21" ht="18.75" hidden="1">
      <c r="A180" s="155"/>
      <c r="B180" s="50"/>
      <c r="C180" s="50"/>
      <c r="D180" s="50"/>
      <c r="E180" s="186" t="s">
        <v>20</v>
      </c>
      <c r="F180" s="50"/>
      <c r="G180" s="52"/>
      <c r="H180" s="189" t="s">
        <v>14</v>
      </c>
      <c r="I180" s="163"/>
      <c r="J180" s="163"/>
      <c r="K180" s="164"/>
      <c r="L180" s="103">
        <v>0</v>
      </c>
      <c r="M180" s="102">
        <v>0</v>
      </c>
      <c r="N180" s="102">
        <v>0</v>
      </c>
      <c r="O180" s="102">
        <f>IF(L180&gt;0,N180*100/L180,0)</f>
        <v>0</v>
      </c>
      <c r="P180" s="102">
        <f>IF(M180&gt;0,N180*100/M180,0)</f>
        <v>0</v>
      </c>
      <c r="Q180" s="102">
        <v>0</v>
      </c>
      <c r="R180" s="102">
        <v>0</v>
      </c>
      <c r="S180" s="102">
        <v>0</v>
      </c>
      <c r="T180" s="102">
        <f>IF(Q180&gt;0,S180*100/Q180,0)</f>
        <v>0</v>
      </c>
      <c r="U180" s="102">
        <f>IF(R180&gt;0,S180*100/R180,0)</f>
        <v>0</v>
      </c>
    </row>
    <row r="181" spans="1:21" ht="18.75" hidden="1">
      <c r="A181" s="155"/>
      <c r="B181" s="50"/>
      <c r="C181" s="50"/>
      <c r="D181" s="50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256">
        <f ca="1">IFERROR(__xludf.DUMMYFUNCTION("IMPORTRANGE(""https://docs.google.com/spreadsheets/d/1-uDff_7J0KD5mKrp0Vvzr7lt3OU09vwQwhkpOPPYv2Y/edit?usp=sharing"",""งบพรบ!CN45"")"),0)</f>
        <v>0</v>
      </c>
      <c r="M181" s="255">
        <f ca="1">IFERROR(__xludf.DUMMYFUNCTION("IMPORTRANGE(""https://docs.google.com/spreadsheets/d/1-uDff_7J0KD5mKrp0Vvzr7lt3OU09vwQwhkpOPPYv2Y/edit?usp=sharing"",""งบพรบ!CQ45"")"),0)</f>
        <v>0</v>
      </c>
      <c r="N181" s="255">
        <f ca="1">IFERROR(__xludf.DUMMYFUNCTION("IMPORTRANGE(""https://docs.google.com/spreadsheets/d/1-uDff_7J0KD5mKrp0Vvzr7lt3OU09vwQwhkpOPPYv2Y/edit?usp=sharing"",""งบพรบ!CS45"")"),0)</f>
        <v>0</v>
      </c>
      <c r="O181" s="255">
        <f ca="1">IF(L181&gt;0,N181*100/L181,0)</f>
        <v>0</v>
      </c>
      <c r="P181" s="255">
        <f ca="1">IF(M181&gt;0,N181*100/M181,0)</f>
        <v>0</v>
      </c>
      <c r="Q181" s="255">
        <v>0</v>
      </c>
      <c r="R181" s="255">
        <v>0</v>
      </c>
      <c r="S181" s="255">
        <v>0</v>
      </c>
      <c r="T181" s="255">
        <f>IF(Q181&gt;0,S181*100/Q181,0)</f>
        <v>0</v>
      </c>
      <c r="U181" s="255">
        <f>IF(R181&gt;0,S181*100/R181,0)</f>
        <v>0</v>
      </c>
    </row>
    <row r="182" spans="1:21" ht="19.5">
      <c r="A182" s="166"/>
      <c r="B182" s="167"/>
      <c r="C182" s="156" t="s">
        <v>18</v>
      </c>
      <c r="D182" s="566" t="s">
        <v>38</v>
      </c>
      <c r="E182" s="169"/>
      <c r="F182" s="169"/>
      <c r="G182" s="170"/>
      <c r="H182" s="206"/>
      <c r="I182" s="54"/>
      <c r="J182" s="54"/>
      <c r="K182" s="55"/>
      <c r="L182" s="62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40" t="s">
        <v>35</v>
      </c>
      <c r="I183" s="212">
        <f ca="1">IFERROR(__xludf.DUMMYFUNCTION("IMPORTRANGE(""https://docs.google.com/spreadsheets/d/1eHaY18a8A9IcSdp1K8H6x8fbOy06t2VsZHhMHf-1x7Y/edit?usp=sharing"",""แผน!AA45"")"),7)</f>
        <v>7</v>
      </c>
      <c r="J183" s="467">
        <v>7</v>
      </c>
      <c r="K183" s="255">
        <f ca="1">IF(I183&gt;0,J183*100/I183,0)</f>
        <v>100</v>
      </c>
      <c r="L183" s="62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8.75" hidden="1">
      <c r="A184" s="238"/>
      <c r="B184" s="188"/>
      <c r="C184" s="188"/>
      <c r="D184" s="358" t="s">
        <v>76</v>
      </c>
      <c r="E184" s="50"/>
      <c r="F184" s="50"/>
      <c r="G184" s="52"/>
      <c r="H184" s="590" t="s">
        <v>35</v>
      </c>
      <c r="I184" s="483">
        <v>0</v>
      </c>
      <c r="J184" s="483">
        <v>0</v>
      </c>
      <c r="K184" s="102">
        <f>IF(I184&gt;0,J184*100/I184,0)</f>
        <v>0</v>
      </c>
      <c r="L184" s="62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233" t="s">
        <v>35</v>
      </c>
      <c r="I185" s="718">
        <f ca="1">I230+I231</f>
        <v>100</v>
      </c>
      <c r="J185" s="718">
        <f>J230+J231</f>
        <v>51</v>
      </c>
      <c r="K185" s="717">
        <f ca="1">IF(I185&gt;0,J185*100/I185,0)</f>
        <v>51</v>
      </c>
      <c r="L185" s="237"/>
      <c r="M185" s="236"/>
      <c r="N185" s="236"/>
      <c r="O185" s="236"/>
      <c r="P185" s="236"/>
      <c r="Q185" s="236"/>
      <c r="R185" s="236"/>
      <c r="S185" s="236"/>
      <c r="T185" s="236"/>
      <c r="U185" s="236"/>
    </row>
    <row r="186" spans="1:21" ht="19.5">
      <c r="A186" s="155"/>
      <c r="B186" s="50"/>
      <c r="C186" s="156" t="s">
        <v>18</v>
      </c>
      <c r="D186" s="575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541">
        <f ca="1">L187+L188</f>
        <v>391900</v>
      </c>
      <c r="M186" s="540">
        <f ca="1">M187+M188</f>
        <v>258700</v>
      </c>
      <c r="N186" s="540">
        <f ca="1">N187+N188</f>
        <v>184183.96</v>
      </c>
      <c r="O186" s="540">
        <f ca="1">IF(L186&gt;0,N186*100/L186,0)</f>
        <v>46.997693289104362</v>
      </c>
      <c r="P186" s="540">
        <f ca="1">IF(M186&gt;0,N186*100/M186,0)</f>
        <v>71.195964437572471</v>
      </c>
      <c r="Q186" s="540">
        <f ca="1">Q187+Q188</f>
        <v>262400</v>
      </c>
      <c r="R186" s="540">
        <f ca="1">R187+R188</f>
        <v>276400</v>
      </c>
      <c r="S186" s="540">
        <f ca="1">S187+S188</f>
        <v>93746</v>
      </c>
      <c r="T186" s="540">
        <f ca="1">IF(Q186&gt;0,S186*100/Q186,0)</f>
        <v>35.726371951219512</v>
      </c>
      <c r="U186" s="540">
        <f ca="1">IF(R186&gt;0,S186*100/R186,0)</f>
        <v>33.916787264833573</v>
      </c>
    </row>
    <row r="187" spans="1:21" ht="18.75" hidden="1">
      <c r="A187" s="155"/>
      <c r="B187" s="50"/>
      <c r="C187" s="50"/>
      <c r="D187" s="50"/>
      <c r="E187" s="186" t="s">
        <v>20</v>
      </c>
      <c r="F187" s="50"/>
      <c r="G187" s="52"/>
      <c r="H187" s="187" t="s">
        <v>14</v>
      </c>
      <c r="I187" s="54"/>
      <c r="J187" s="54"/>
      <c r="K187" s="55"/>
      <c r="L187" s="103">
        <f>L190+L193</f>
        <v>0</v>
      </c>
      <c r="M187" s="102">
        <f>M190+M193</f>
        <v>0</v>
      </c>
      <c r="N187" s="102">
        <f>N190+N193</f>
        <v>0</v>
      </c>
      <c r="O187" s="102">
        <f>IF(L187&gt;0,N187*100/L187,0)</f>
        <v>0</v>
      </c>
      <c r="P187" s="102">
        <f>IF(M187&gt;0,N187*100/M187,0)</f>
        <v>0</v>
      </c>
      <c r="Q187" s="102">
        <f>Q190+Q193</f>
        <v>0</v>
      </c>
      <c r="R187" s="102">
        <f>R190+R193</f>
        <v>0</v>
      </c>
      <c r="S187" s="102">
        <f>S190+S193</f>
        <v>0</v>
      </c>
      <c r="T187" s="102">
        <f>IF(Q187&gt;0,S187*100/Q187,0)</f>
        <v>0</v>
      </c>
      <c r="U187" s="102">
        <f>IF(R187&gt;0,S187*100/R187,0)</f>
        <v>0</v>
      </c>
    </row>
    <row r="188" spans="1:21" ht="18.75" hidden="1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256">
        <f ca="1">L191+L194</f>
        <v>391900</v>
      </c>
      <c r="M188" s="255">
        <f ca="1">M191+M194</f>
        <v>258700</v>
      </c>
      <c r="N188" s="255">
        <f ca="1">N191+N194</f>
        <v>184183.96</v>
      </c>
      <c r="O188" s="255">
        <f ca="1">IF(L188&gt;0,N188*100/L188,0)</f>
        <v>46.997693289104362</v>
      </c>
      <c r="P188" s="255">
        <f ca="1">IF(M188&gt;0,N188*100/M188,0)</f>
        <v>71.195964437572471</v>
      </c>
      <c r="Q188" s="255">
        <f ca="1">Q191+Q194</f>
        <v>262400</v>
      </c>
      <c r="R188" s="255">
        <f ca="1">R191+R194</f>
        <v>276400</v>
      </c>
      <c r="S188" s="255">
        <f ca="1">S191+S194</f>
        <v>93746</v>
      </c>
      <c r="T188" s="255">
        <f ca="1">IF(Q188&gt;0,S188*100/Q188,0)</f>
        <v>35.726371951219512</v>
      </c>
      <c r="U188" s="255">
        <f ca="1">IF(R188&gt;0,S188*100/R188,0)</f>
        <v>33.916787264833573</v>
      </c>
    </row>
    <row r="189" spans="1:21" ht="18.75">
      <c r="A189" s="155"/>
      <c r="B189" s="50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256">
        <f ca="1">L190+L191</f>
        <v>391900</v>
      </c>
      <c r="M189" s="255">
        <f ca="1">M190+M191</f>
        <v>258700</v>
      </c>
      <c r="N189" s="255">
        <f ca="1">N190+N191</f>
        <v>184183.96</v>
      </c>
      <c r="O189" s="255">
        <f ca="1">IF(L189&gt;0,N189*100/L189,0)</f>
        <v>46.997693289104362</v>
      </c>
      <c r="P189" s="255">
        <f ca="1">IF(M189&gt;0,N189*100/M189,0)</f>
        <v>71.195964437572471</v>
      </c>
      <c r="Q189" s="255">
        <f ca="1">Q190+Q191</f>
        <v>262400</v>
      </c>
      <c r="R189" s="255">
        <f ca="1">R190+R191</f>
        <v>276400</v>
      </c>
      <c r="S189" s="255">
        <f ca="1">S190+S191</f>
        <v>93746</v>
      </c>
      <c r="T189" s="255">
        <f ca="1">IF(Q189&gt;0,S189*100/Q189,0)</f>
        <v>35.726371951219512</v>
      </c>
      <c r="U189" s="255">
        <f ca="1">IF(R189&gt;0,S189*100/R189,0)</f>
        <v>33.916787264833573</v>
      </c>
    </row>
    <row r="190" spans="1:21" ht="18.75" hidden="1">
      <c r="A190" s="155"/>
      <c r="B190" s="50"/>
      <c r="C190" s="50"/>
      <c r="D190" s="50"/>
      <c r="E190" s="186" t="s">
        <v>36</v>
      </c>
      <c r="F190" s="50"/>
      <c r="G190" s="52"/>
      <c r="H190" s="189" t="s">
        <v>14</v>
      </c>
      <c r="I190" s="163"/>
      <c r="J190" s="163"/>
      <c r="K190" s="164"/>
      <c r="L190" s="103">
        <v>0</v>
      </c>
      <c r="M190" s="102">
        <v>0</v>
      </c>
      <c r="N190" s="102">
        <v>0</v>
      </c>
      <c r="O190" s="102">
        <f>IF(L190&gt;0,N190*100/L190,0)</f>
        <v>0</v>
      </c>
      <c r="P190" s="102">
        <f>IF(M190&gt;0,N190*100/M190,0)</f>
        <v>0</v>
      </c>
      <c r="Q190" s="102">
        <v>0</v>
      </c>
      <c r="R190" s="102">
        <v>0</v>
      </c>
      <c r="S190" s="102">
        <v>0</v>
      </c>
      <c r="T190" s="102">
        <f>IF(Q190&gt;0,S190*100/Q190,0)</f>
        <v>0</v>
      </c>
      <c r="U190" s="102">
        <f>IF(R190&gt;0,S190*100/R190,0)</f>
        <v>0</v>
      </c>
    </row>
    <row r="191" spans="1:21" ht="18.75" hidden="1">
      <c r="A191" s="155"/>
      <c r="B191" s="50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256">
        <f ca="1">IFERROR(__xludf.DUMMYFUNCTION("IMPORTRANGE(""https://docs.google.com/spreadsheets/d/1-uDff_7J0KD5mKrp0Vvzr7lt3OU09vwQwhkpOPPYv2Y/edit?usp=sharing"",""งบพรบ!CU45"")"),391900)</f>
        <v>391900</v>
      </c>
      <c r="M191" s="255">
        <f ca="1">IFERROR(__xludf.DUMMYFUNCTION("IMPORTRANGE(""https://docs.google.com/spreadsheets/d/1-uDff_7J0KD5mKrp0Vvzr7lt3OU09vwQwhkpOPPYv2Y/edit?usp=sharing"",""งบพรบ!CZ45"")"),258700)</f>
        <v>258700</v>
      </c>
      <c r="N191" s="255">
        <f ca="1">IFERROR(__xludf.DUMMYFUNCTION("IMPORTRANGE(""https://docs.google.com/spreadsheets/d/1-uDff_7J0KD5mKrp0Vvzr7lt3OU09vwQwhkpOPPYv2Y/edit?usp=sharing"",""งบพรบ!DB45"")"),184183.96)</f>
        <v>184183.96</v>
      </c>
      <c r="O191" s="255">
        <f ca="1">IF(L191&gt;0,N191*100/L191,0)</f>
        <v>46.997693289104362</v>
      </c>
      <c r="P191" s="255">
        <f ca="1">IF(M191&gt;0,N191*100/M191,0)</f>
        <v>71.195964437572471</v>
      </c>
      <c r="Q191" s="255">
        <f ca="1">IFERROR(__xludf.DUMMYFUNCTION("IMPORTRANGE(""https://docs.google.com/spreadsheets/d/1ItG2mGa2ceCfYo0BwxsXqNm01IGEUdYcSSLTEv9YCik/edit?usp=sharing"",""เบิกจ่ายกองทุน!AV45"")"),262400)</f>
        <v>262400</v>
      </c>
      <c r="R191" s="255">
        <f ca="1">IFERROR(__xludf.DUMMYFUNCTION("IMPORTRANGE(""https://docs.google.com/spreadsheets/d/1ItG2mGa2ceCfYo0BwxsXqNm01IGEUdYcSSLTEv9YCik/edit?usp=sharing"",""เบิกจ่ายกองทุน!AW45"")"),276400)</f>
        <v>276400</v>
      </c>
      <c r="S191" s="255">
        <f ca="1">IFERROR(__xludf.DUMMYFUNCTION("IMPORTRANGE(""https://docs.google.com/spreadsheets/d/1ItG2mGa2ceCfYo0BwxsXqNm01IGEUdYcSSLTEv9YCik/edit?usp=sharing"",""เบิกจ่ายกองทุน!AX45"")"),93746)</f>
        <v>93746</v>
      </c>
      <c r="T191" s="255">
        <f ca="1">IF(Q191&gt;0,S191*100/Q191,0)</f>
        <v>35.726371951219512</v>
      </c>
      <c r="U191" s="255">
        <f ca="1">IF(R191&gt;0,S191*100/R191,0)</f>
        <v>33.916787264833573</v>
      </c>
    </row>
    <row r="192" spans="1:21" ht="18.75">
      <c r="A192" s="155"/>
      <c r="B192" s="50"/>
      <c r="C192" s="50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256">
        <f ca="1">L193+L194</f>
        <v>0</v>
      </c>
      <c r="M192" s="255">
        <f ca="1">M193+M194</f>
        <v>0</v>
      </c>
      <c r="N192" s="255">
        <f ca="1">N193+N194</f>
        <v>0</v>
      </c>
      <c r="O192" s="255">
        <f ca="1">IF(L192&gt;0,N192*100/L192,0)</f>
        <v>0</v>
      </c>
      <c r="P192" s="255">
        <f ca="1">IF(M192&gt;0,N192*100/M192,0)</f>
        <v>0</v>
      </c>
      <c r="Q192" s="255">
        <f>Q193+Q194</f>
        <v>0</v>
      </c>
      <c r="R192" s="255">
        <f>R193+R194</f>
        <v>0</v>
      </c>
      <c r="S192" s="255">
        <f>S193+S194</f>
        <v>0</v>
      </c>
      <c r="T192" s="255">
        <f>IF(Q192&gt;0,S192*100/Q192,0)</f>
        <v>0</v>
      </c>
      <c r="U192" s="255">
        <f>IF(R192&gt;0,S192*100/R192,0)</f>
        <v>0</v>
      </c>
    </row>
    <row r="193" spans="1:21" ht="18.75" hidden="1">
      <c r="A193" s="155"/>
      <c r="B193" s="50"/>
      <c r="C193" s="50"/>
      <c r="D193" s="50"/>
      <c r="E193" s="186" t="s">
        <v>20</v>
      </c>
      <c r="F193" s="50"/>
      <c r="G193" s="52"/>
      <c r="H193" s="189" t="s">
        <v>14</v>
      </c>
      <c r="I193" s="163"/>
      <c r="J193" s="163"/>
      <c r="K193" s="164"/>
      <c r="L193" s="103">
        <v>0</v>
      </c>
      <c r="M193" s="102">
        <v>0</v>
      </c>
      <c r="N193" s="102">
        <v>0</v>
      </c>
      <c r="O193" s="102">
        <f>IF(L193&gt;0,N193*100/L193,0)</f>
        <v>0</v>
      </c>
      <c r="P193" s="102">
        <f>IF(M193&gt;0,N193*100/M193,0)</f>
        <v>0</v>
      </c>
      <c r="Q193" s="102">
        <v>0</v>
      </c>
      <c r="R193" s="102">
        <v>0</v>
      </c>
      <c r="S193" s="102">
        <v>0</v>
      </c>
      <c r="T193" s="102">
        <f>IF(Q193&gt;0,S193*100/Q193,0)</f>
        <v>0</v>
      </c>
      <c r="U193" s="102">
        <f>IF(R193&gt;0,S193*100/R193,0)</f>
        <v>0</v>
      </c>
    </row>
    <row r="194" spans="1:21" ht="18.75" hidden="1">
      <c r="A194" s="155"/>
      <c r="B194" s="50"/>
      <c r="C194" s="50"/>
      <c r="D194" s="50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256">
        <f ca="1">IFERROR(__xludf.DUMMYFUNCTION("IMPORTRANGE(""https://docs.google.com/spreadsheets/d/1-uDff_7J0KD5mKrp0Vvzr7lt3OU09vwQwhkpOPPYv2Y/edit?usp=sharing"",""งบพรบ!CX45"")"),0)</f>
        <v>0</v>
      </c>
      <c r="M194" s="255">
        <f ca="1">IFERROR(__xludf.DUMMYFUNCTION("IMPORTRANGE(""https://docs.google.com/spreadsheets/d/1-uDff_7J0KD5mKrp0Vvzr7lt3OU09vwQwhkpOPPYv2Y/edit?usp=sharing"",""งบพรบ!DA45"")"),0)</f>
        <v>0</v>
      </c>
      <c r="N194" s="255">
        <f ca="1">IFERROR(__xludf.DUMMYFUNCTION("IMPORTRANGE(""https://docs.google.com/spreadsheets/d/1-uDff_7J0KD5mKrp0Vvzr7lt3OU09vwQwhkpOPPYv2Y/edit?usp=sharing"",""งบพรบ!DC45"")"),0)</f>
        <v>0</v>
      </c>
      <c r="O194" s="255">
        <f ca="1">IF(L194&gt;0,N194*100/L194,0)</f>
        <v>0</v>
      </c>
      <c r="P194" s="255">
        <f ca="1">IF(M194&gt;0,N194*100/M194,0)</f>
        <v>0</v>
      </c>
      <c r="Q194" s="255">
        <v>0</v>
      </c>
      <c r="R194" s="255">
        <v>0</v>
      </c>
      <c r="S194" s="255">
        <v>0</v>
      </c>
      <c r="T194" s="255">
        <f>IF(Q194&gt;0,S194*100/Q194,0)</f>
        <v>0</v>
      </c>
      <c r="U194" s="255">
        <f>IF(R194&gt;0,S194*100/R194,0)</f>
        <v>0</v>
      </c>
    </row>
    <row r="195" spans="1:21" ht="19.5">
      <c r="A195" s="241"/>
      <c r="B195" s="242"/>
      <c r="C195" s="243" t="s">
        <v>78</v>
      </c>
      <c r="D195" s="244"/>
      <c r="E195" s="244"/>
      <c r="F195" s="244"/>
      <c r="G195" s="245"/>
      <c r="H195" s="246" t="s">
        <v>79</v>
      </c>
      <c r="I195" s="339">
        <f ca="1">I198</f>
        <v>4</v>
      </c>
      <c r="J195" s="339">
        <f>J198</f>
        <v>2</v>
      </c>
      <c r="K195" s="340">
        <f ca="1">IF(I195&gt;0,J195*100/I195,0)</f>
        <v>50</v>
      </c>
      <c r="L195" s="250"/>
      <c r="M195" s="249"/>
      <c r="N195" s="249"/>
      <c r="O195" s="249"/>
      <c r="P195" s="249"/>
      <c r="Q195" s="249"/>
      <c r="R195" s="249"/>
      <c r="S195" s="249"/>
      <c r="T195" s="249"/>
      <c r="U195" s="249"/>
    </row>
    <row r="196" spans="1:21" ht="19.5">
      <c r="A196" s="155"/>
      <c r="B196" s="50"/>
      <c r="C196" s="156" t="s">
        <v>18</v>
      </c>
      <c r="D196" s="713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541">
        <f ca="1">IFERROR(__xludf.DUMMYFUNCTION("IMPORTRANGE(""https://docs.google.com/spreadsheets/d/1eHaY18a8A9IcSdp1K8H6x8fbOy06t2VsZHhMHf-1x7Y/edit?usp=sharing"",""แผน!AB45"")"),6000)</f>
        <v>6000</v>
      </c>
      <c r="M196" s="55"/>
      <c r="N196" s="716">
        <v>720</v>
      </c>
      <c r="O196" s="540">
        <f ca="1">IF(L196&gt;0,N196*100/L196,0)</f>
        <v>12</v>
      </c>
      <c r="P196" s="540">
        <f>IF(M196&gt;0,N196*100/M196,0)</f>
        <v>0</v>
      </c>
      <c r="Q196" s="55"/>
      <c r="R196" s="55"/>
      <c r="S196" s="55"/>
      <c r="T196" s="55"/>
      <c r="U196" s="55"/>
    </row>
    <row r="197" spans="1:21" ht="19.5">
      <c r="A197" s="166"/>
      <c r="B197" s="167"/>
      <c r="C197" s="156" t="s">
        <v>18</v>
      </c>
      <c r="D197" s="566" t="s">
        <v>38</v>
      </c>
      <c r="E197" s="169"/>
      <c r="F197" s="169"/>
      <c r="G197" s="170"/>
      <c r="H197" s="171"/>
      <c r="I197" s="54"/>
      <c r="J197" s="54"/>
      <c r="K197" s="55"/>
      <c r="L197" s="62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8.75">
      <c r="A198" s="166"/>
      <c r="B198" s="167"/>
      <c r="C198" s="167"/>
      <c r="D198" s="178" t="s">
        <v>80</v>
      </c>
      <c r="E198" s="174"/>
      <c r="F198" s="174"/>
      <c r="G198" s="171"/>
      <c r="H198" s="179" t="s">
        <v>79</v>
      </c>
      <c r="I198" s="212">
        <f ca="1">IFERROR(__xludf.DUMMYFUNCTION("IMPORTRANGE(""https://docs.google.com/spreadsheets/d/1eHaY18a8A9IcSdp1K8H6x8fbOy06t2VsZHhMHf-1x7Y/edit?usp=sharing"",""แผน!AE45"")"),4)</f>
        <v>4</v>
      </c>
      <c r="J198" s="467">
        <v>2</v>
      </c>
      <c r="K198" s="255">
        <f ca="1">IF(I198&gt;0,J198*100/I198,0)</f>
        <v>50</v>
      </c>
      <c r="L198" s="62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8.75">
      <c r="A199" s="166"/>
      <c r="B199" s="167"/>
      <c r="C199" s="167"/>
      <c r="D199" s="178" t="s">
        <v>81</v>
      </c>
      <c r="E199" s="174"/>
      <c r="F199" s="174"/>
      <c r="G199" s="171"/>
      <c r="H199" s="240" t="s">
        <v>35</v>
      </c>
      <c r="I199" s="54"/>
      <c r="J199" s="212">
        <f>J200+J201</f>
        <v>0</v>
      </c>
      <c r="K199" s="55"/>
      <c r="L199" s="62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467">
        <v>0</v>
      </c>
      <c r="K200" s="55"/>
      <c r="L200" s="62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40" t="s">
        <v>35</v>
      </c>
      <c r="I201" s="54"/>
      <c r="J201" s="467">
        <v>0</v>
      </c>
      <c r="K201" s="55"/>
      <c r="L201" s="62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254" t="s">
        <v>85</v>
      </c>
      <c r="I202" s="339">
        <f ca="1">I209</f>
        <v>2</v>
      </c>
      <c r="J202" s="339">
        <f>J209</f>
        <v>1</v>
      </c>
      <c r="K202" s="340">
        <f ca="1">IF(I202&gt;0,J202*100/I202,0)</f>
        <v>50</v>
      </c>
      <c r="L202" s="250"/>
      <c r="M202" s="249"/>
      <c r="N202" s="249"/>
      <c r="O202" s="249"/>
      <c r="P202" s="249"/>
      <c r="Q202" s="249"/>
      <c r="R202" s="249"/>
      <c r="S202" s="249"/>
      <c r="T202" s="249"/>
      <c r="U202" s="249"/>
    </row>
    <row r="203" spans="1:21" ht="19.5">
      <c r="A203" s="155"/>
      <c r="B203" s="50"/>
      <c r="C203" s="156" t="s">
        <v>18</v>
      </c>
      <c r="D203" s="713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541">
        <f ca="1">L204+L205+L206+L207</f>
        <v>13000</v>
      </c>
      <c r="M203" s="55"/>
      <c r="N203" s="540">
        <f>N204+N205+N206+N207</f>
        <v>13000</v>
      </c>
      <c r="O203" s="540">
        <f ca="1">IF(L203&gt;0,N203*100/L203,0)</f>
        <v>100</v>
      </c>
      <c r="P203" s="540">
        <f>IF(M203&gt;0,N203*100/M203,0)</f>
        <v>0</v>
      </c>
      <c r="Q203" s="715">
        <f ca="1">Q204+Q205+Q206+Q207</f>
        <v>28000</v>
      </c>
      <c r="R203" s="350"/>
      <c r="S203" s="714">
        <f>S204+S205+S206+S207</f>
        <v>9500</v>
      </c>
      <c r="T203" s="714">
        <f ca="1">IF(Q203&gt;0,S203*100/Q203,0)</f>
        <v>33.928571428571431</v>
      </c>
      <c r="U203" s="714">
        <f>IF(R203&gt;0,S203*100/R203,0)</f>
        <v>0</v>
      </c>
    </row>
    <row r="204" spans="1:21" ht="18.75">
      <c r="A204" s="155"/>
      <c r="B204" s="188"/>
      <c r="C204" s="50"/>
      <c r="D204" s="712" t="s">
        <v>310</v>
      </c>
      <c r="E204" s="50"/>
      <c r="F204" s="50"/>
      <c r="G204" s="52"/>
      <c r="H204" s="162" t="s">
        <v>14</v>
      </c>
      <c r="I204" s="163"/>
      <c r="J204" s="163"/>
      <c r="K204" s="164"/>
      <c r="L204" s="256">
        <f ca="1">IFERROR(__xludf.DUMMYFUNCTION("IMPORTRANGE(""https://docs.google.com/spreadsheets/d/1eHaY18a8A9IcSdp1K8H6x8fbOy06t2VsZHhMHf-1x7Y/edit?usp=sharing"",""แผน!AG45"")"),2000)</f>
        <v>2000</v>
      </c>
      <c r="M204" s="55"/>
      <c r="N204" s="702">
        <v>2000</v>
      </c>
      <c r="O204" s="164"/>
      <c r="P204" s="55"/>
      <c r="Q204" s="256">
        <v>0</v>
      </c>
      <c r="R204" s="55"/>
      <c r="S204" s="255">
        <v>0</v>
      </c>
      <c r="T204" s="164"/>
      <c r="U204" s="55"/>
    </row>
    <row r="205" spans="1:21" ht="18.75">
      <c r="A205" s="238"/>
      <c r="B205" s="188"/>
      <c r="C205" s="50"/>
      <c r="D205" s="58" t="s">
        <v>308</v>
      </c>
      <c r="E205" s="50"/>
      <c r="F205" s="50"/>
      <c r="G205" s="52"/>
      <c r="H205" s="53" t="s">
        <v>14</v>
      </c>
      <c r="I205" s="54"/>
      <c r="J205" s="54"/>
      <c r="K205" s="55"/>
      <c r="L205" s="256">
        <f ca="1">IFERROR(__xludf.DUMMYFUNCTION("IMPORTRANGE(""https://docs.google.com/spreadsheets/d/1eHaY18a8A9IcSdp1K8H6x8fbOy06t2VsZHhMHf-1x7Y/edit?usp=sharing"",""แผน!AH45"")"),0)</f>
        <v>0</v>
      </c>
      <c r="M205" s="55"/>
      <c r="N205" s="702">
        <v>0</v>
      </c>
      <c r="O205" s="164"/>
      <c r="P205" s="55"/>
      <c r="Q205" s="256">
        <v>0</v>
      </c>
      <c r="R205" s="55"/>
      <c r="S205" s="255">
        <v>0</v>
      </c>
      <c r="T205" s="164"/>
      <c r="U205" s="55"/>
    </row>
    <row r="206" spans="1:21" ht="18.75">
      <c r="A206" s="238"/>
      <c r="B206" s="188"/>
      <c r="C206" s="50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256">
        <f ca="1">IFERROR(__xludf.DUMMYFUNCTION("IMPORTRANGE(""https://docs.google.com/spreadsheets/d/1eHaY18a8A9IcSdp1K8H6x8fbOy06t2VsZHhMHf-1x7Y/edit?usp=sharing"",""แผน!AI45"")"),0)</f>
        <v>0</v>
      </c>
      <c r="M206" s="55"/>
      <c r="N206" s="702">
        <v>0</v>
      </c>
      <c r="O206" s="164"/>
      <c r="P206" s="55"/>
      <c r="Q206" s="256">
        <f ca="1">IFERROR(__xludf.DUMMYFUNCTION("IMPORTRANGE(""https://docs.google.com/spreadsheets/d/1eHaY18a8A9IcSdp1K8H6x8fbOy06t2VsZHhMHf-1x7Y/edit?usp=sharing"",""แผน!LV45"")"),28000)</f>
        <v>28000</v>
      </c>
      <c r="R206" s="55"/>
      <c r="S206" s="702">
        <v>9500</v>
      </c>
      <c r="T206" s="164"/>
      <c r="U206" s="55"/>
    </row>
    <row r="207" spans="1:21" ht="18.75">
      <c r="A207" s="238"/>
      <c r="B207" s="188"/>
      <c r="C207" s="50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256">
        <f ca="1">IFERROR(__xludf.DUMMYFUNCTION("IMPORTRANGE(""https://docs.google.com/spreadsheets/d/1eHaY18a8A9IcSdp1K8H6x8fbOy06t2VsZHhMHf-1x7Y/edit?usp=sharing"",""แผน!AJ45"")"),11000)</f>
        <v>11000</v>
      </c>
      <c r="M207" s="55"/>
      <c r="N207" s="702">
        <v>11000</v>
      </c>
      <c r="O207" s="164"/>
      <c r="P207" s="55"/>
      <c r="Q207" s="256">
        <v>0</v>
      </c>
      <c r="R207" s="55"/>
      <c r="S207" s="255">
        <v>0</v>
      </c>
      <c r="T207" s="164"/>
      <c r="U207" s="55"/>
    </row>
    <row r="208" spans="1:21" ht="19.5">
      <c r="A208" s="166"/>
      <c r="B208" s="167"/>
      <c r="C208" s="156" t="s">
        <v>18</v>
      </c>
      <c r="D208" s="566" t="s">
        <v>38</v>
      </c>
      <c r="E208" s="169"/>
      <c r="F208" s="169"/>
      <c r="G208" s="170"/>
      <c r="H208" s="171"/>
      <c r="I208" s="163"/>
      <c r="J208" s="163"/>
      <c r="K208" s="164"/>
      <c r="L208" s="172"/>
      <c r="M208" s="164"/>
      <c r="N208" s="164"/>
      <c r="O208" s="164"/>
      <c r="P208" s="164"/>
      <c r="Q208" s="172"/>
      <c r="R208" s="164"/>
      <c r="S208" s="164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257" t="s">
        <v>85</v>
      </c>
      <c r="I209" s="212">
        <f ca="1">IFERROR(__xludf.DUMMYFUNCTION("IMPORTRANGE(""https://docs.google.com/spreadsheets/d/1eHaY18a8A9IcSdp1K8H6x8fbOy06t2VsZHhMHf-1x7Y/edit?usp=sharing"",""แผน!AK45"")"),2)</f>
        <v>2</v>
      </c>
      <c r="J209" s="467">
        <v>1</v>
      </c>
      <c r="K209" s="565">
        <f ca="1">IF(I209&gt;0,J209*100/I209,0)</f>
        <v>50</v>
      </c>
      <c r="L209" s="62"/>
      <c r="M209" s="55"/>
      <c r="N209" s="55"/>
      <c r="O209" s="55"/>
      <c r="P209" s="55"/>
      <c r="Q209" s="62"/>
      <c r="R209" s="55"/>
      <c r="S209" s="55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171"/>
      <c r="I210" s="54"/>
      <c r="J210" s="54"/>
      <c r="K210" s="164"/>
      <c r="L210" s="62"/>
      <c r="M210" s="55"/>
      <c r="N210" s="55"/>
      <c r="O210" s="55"/>
      <c r="P210" s="55"/>
      <c r="Q210" s="62"/>
      <c r="R210" s="55"/>
      <c r="S210" s="55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257" t="s">
        <v>85</v>
      </c>
      <c r="I211" s="212">
        <f ca="1">IFERROR(__xludf.DUMMYFUNCTION("IMPORTRANGE(""https://docs.google.com/spreadsheets/d/1eHaY18a8A9IcSdp1K8H6x8fbOy06t2VsZHhMHf-1x7Y/edit?usp=sharing"",""แผน!JX45"")"),2)</f>
        <v>2</v>
      </c>
      <c r="J211" s="467">
        <v>2</v>
      </c>
      <c r="K211" s="565">
        <f ca="1">IF(I211&gt;0,J211*100/I211,0)</f>
        <v>100</v>
      </c>
      <c r="L211" s="62"/>
      <c r="M211" s="55"/>
      <c r="N211" s="55"/>
      <c r="O211" s="55"/>
      <c r="P211" s="55"/>
      <c r="Q211" s="62"/>
      <c r="R211" s="55"/>
      <c r="S211" s="55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79" t="s">
        <v>93</v>
      </c>
      <c r="I212" s="212">
        <f ca="1">IFERROR(__xludf.DUMMYFUNCTION("IMPORTRANGE(""https://docs.google.com/spreadsheets/d/1eHaY18a8A9IcSdp1K8H6x8fbOy06t2VsZHhMHf-1x7Y/edit?usp=sharing"",""แผน!JY45"")"),1)</f>
        <v>1</v>
      </c>
      <c r="J212" s="467">
        <v>1</v>
      </c>
      <c r="K212" s="565">
        <f ca="1">IF(I212&gt;0,J212*100/I212,0)</f>
        <v>100</v>
      </c>
      <c r="L212" s="62"/>
      <c r="M212" s="55"/>
      <c r="N212" s="55"/>
      <c r="O212" s="55"/>
      <c r="P212" s="55"/>
      <c r="Q212" s="62"/>
      <c r="R212" s="55"/>
      <c r="S212" s="55"/>
      <c r="T212" s="55"/>
      <c r="U212" s="55"/>
    </row>
    <row r="213" spans="1:21" ht="19.5" hidden="1">
      <c r="A213" s="241"/>
      <c r="B213" s="242"/>
      <c r="C213" s="243" t="s">
        <v>94</v>
      </c>
      <c r="D213" s="244"/>
      <c r="E213" s="244"/>
      <c r="F213" s="244"/>
      <c r="G213" s="245"/>
      <c r="H213" s="254" t="s">
        <v>85</v>
      </c>
      <c r="I213" s="339">
        <f ca="1">I220</f>
        <v>0</v>
      </c>
      <c r="J213" s="339">
        <f>J220</f>
        <v>0</v>
      </c>
      <c r="K213" s="340">
        <f ca="1">IF(I213&gt;0,J213*100/I213,0)</f>
        <v>0</v>
      </c>
      <c r="L213" s="250"/>
      <c r="M213" s="249"/>
      <c r="N213" s="249"/>
      <c r="O213" s="249"/>
      <c r="P213" s="249"/>
      <c r="Q213" s="250"/>
      <c r="R213" s="249"/>
      <c r="S213" s="249"/>
      <c r="T213" s="249"/>
      <c r="U213" s="249"/>
    </row>
    <row r="214" spans="1:21" ht="19.5" hidden="1">
      <c r="A214" s="155"/>
      <c r="B214" s="50"/>
      <c r="C214" s="156" t="s">
        <v>18</v>
      </c>
      <c r="D214" s="713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541">
        <f ca="1">L215+L216+L217</f>
        <v>0</v>
      </c>
      <c r="M214" s="55"/>
      <c r="N214" s="540">
        <f>N215+N216+N217</f>
        <v>0</v>
      </c>
      <c r="O214" s="540">
        <f ca="1">IF(L214&gt;0,N214*100/L214,0)</f>
        <v>0</v>
      </c>
      <c r="P214" s="540">
        <f>IF(M214&gt;0,N214*100/M214,0)</f>
        <v>0</v>
      </c>
      <c r="Q214" s="541">
        <f ca="1">Q215+Q216+Q217</f>
        <v>0</v>
      </c>
      <c r="R214" s="55"/>
      <c r="S214" s="540">
        <f>S215+S216+S217</f>
        <v>0</v>
      </c>
      <c r="T214" s="540">
        <f ca="1">IF(Q214&gt;0,S214*100/Q214,0)</f>
        <v>0</v>
      </c>
      <c r="U214" s="540">
        <f>IF(R214&gt;0,S214*100/R214,0)</f>
        <v>0</v>
      </c>
    </row>
    <row r="215" spans="1:21" ht="18.75" hidden="1">
      <c r="A215" s="155"/>
      <c r="B215" s="188"/>
      <c r="C215" s="50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256">
        <f ca="1">IFERROR(__xludf.DUMMYFUNCTION("IMPORTRANGE(""https://docs.google.com/spreadsheets/d/1eHaY18a8A9IcSdp1K8H6x8fbOy06t2VsZHhMHf-1x7Y/edit?usp=sharing"",""แผน!AM45"")"),0)</f>
        <v>0</v>
      </c>
      <c r="M215" s="55"/>
      <c r="N215" s="702">
        <v>0</v>
      </c>
      <c r="O215" s="164"/>
      <c r="P215" s="55"/>
      <c r="Q215" s="256">
        <v>0</v>
      </c>
      <c r="R215" s="55"/>
      <c r="S215" s="255">
        <v>0</v>
      </c>
      <c r="T215" s="164"/>
      <c r="U215" s="55"/>
    </row>
    <row r="216" spans="1:21" ht="18.75" hidden="1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256">
        <f ca="1">IFERROR(__xludf.DUMMYFUNCTION("IMPORTRANGE(""https://docs.google.com/spreadsheets/d/1eHaY18a8A9IcSdp1K8H6x8fbOy06t2VsZHhMHf-1x7Y/edit?usp=sharing"",""แผน!AN45"")"),0)</f>
        <v>0</v>
      </c>
      <c r="M216" s="55"/>
      <c r="N216" s="702">
        <v>0</v>
      </c>
      <c r="O216" s="164"/>
      <c r="P216" s="55"/>
      <c r="Q216" s="256">
        <v>0</v>
      </c>
      <c r="R216" s="55"/>
      <c r="S216" s="255">
        <v>0</v>
      </c>
      <c r="T216" s="164"/>
      <c r="U216" s="55"/>
    </row>
    <row r="217" spans="1:21" ht="18.75" hidden="1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256">
        <f ca="1">IFERROR(__xludf.DUMMYFUNCTION("IMPORTRANGE(""https://docs.google.com/spreadsheets/d/1eHaY18a8A9IcSdp1K8H6x8fbOy06t2VsZHhMHf-1x7Y/edit?usp=sharing"",""แผน!AO45"")"),0)</f>
        <v>0</v>
      </c>
      <c r="M217" s="55"/>
      <c r="N217" s="702">
        <v>0</v>
      </c>
      <c r="O217" s="164"/>
      <c r="P217" s="55"/>
      <c r="Q217" s="256">
        <f ca="1">IFERROR(__xludf.DUMMYFUNCTION("IMPORTRANGE(""https://docs.google.com/spreadsheets/d/1eHaY18a8A9IcSdp1K8H6x8fbOy06t2VsZHhMHf-1x7Y/edit?usp=sharing"",""แผน!LY45"")"),0)</f>
        <v>0</v>
      </c>
      <c r="R217" s="55"/>
      <c r="S217" s="702">
        <v>0</v>
      </c>
      <c r="T217" s="164"/>
      <c r="U217" s="55"/>
    </row>
    <row r="218" spans="1:21" ht="19.5" hidden="1">
      <c r="A218" s="166"/>
      <c r="B218" s="167"/>
      <c r="C218" s="191" t="s">
        <v>18</v>
      </c>
      <c r="D218" s="566" t="s">
        <v>38</v>
      </c>
      <c r="E218" s="169"/>
      <c r="F218" s="169"/>
      <c r="G218" s="170"/>
      <c r="H218" s="171"/>
      <c r="I218" s="163"/>
      <c r="J218" s="54"/>
      <c r="K218" s="55"/>
      <c r="L218" s="62"/>
      <c r="M218" s="55"/>
      <c r="N218" s="55"/>
      <c r="O218" s="164"/>
      <c r="P218" s="164"/>
      <c r="Q218" s="62"/>
      <c r="R218" s="55"/>
      <c r="S218" s="55"/>
      <c r="T218" s="164"/>
      <c r="U218" s="164"/>
    </row>
    <row r="219" spans="1:21" ht="18.75" hidden="1">
      <c r="A219" s="166"/>
      <c r="B219" s="167"/>
      <c r="C219" s="167"/>
      <c r="D219" s="173" t="s">
        <v>96</v>
      </c>
      <c r="E219" s="174"/>
      <c r="F219" s="174"/>
      <c r="G219" s="171"/>
      <c r="H219" s="257" t="s">
        <v>85</v>
      </c>
      <c r="I219" s="212">
        <f ca="1">IFERROR(__xludf.DUMMYFUNCTION("IMPORTRANGE(""https://docs.google.com/spreadsheets/d/1eHaY18a8A9IcSdp1K8H6x8fbOy06t2VsZHhMHf-1x7Y/edit?usp=sharing"",""แผน!AP45"")"),0)</f>
        <v>0</v>
      </c>
      <c r="J219" s="467">
        <v>0</v>
      </c>
      <c r="K219" s="255">
        <f ca="1">IF(I219&gt;0,J219*100/I219,0)</f>
        <v>0</v>
      </c>
      <c r="L219" s="62"/>
      <c r="M219" s="55"/>
      <c r="N219" s="55"/>
      <c r="O219" s="55"/>
      <c r="P219" s="55"/>
      <c r="Q219" s="62"/>
      <c r="R219" s="55"/>
      <c r="S219" s="55"/>
      <c r="T219" s="55"/>
      <c r="U219" s="55"/>
    </row>
    <row r="220" spans="1:21" ht="18.75" hidden="1">
      <c r="A220" s="166"/>
      <c r="B220" s="167"/>
      <c r="C220" s="167"/>
      <c r="D220" s="173" t="s">
        <v>97</v>
      </c>
      <c r="E220" s="174"/>
      <c r="F220" s="174"/>
      <c r="G220" s="171"/>
      <c r="H220" s="257" t="s">
        <v>85</v>
      </c>
      <c r="I220" s="212">
        <f ca="1">IFERROR(__xludf.DUMMYFUNCTION("IMPORTRANGE(""https://docs.google.com/spreadsheets/d/1eHaY18a8A9IcSdp1K8H6x8fbOy06t2VsZHhMHf-1x7Y/edit?usp=sharing"",""แผน!AP45"")"),0)</f>
        <v>0</v>
      </c>
      <c r="J220" s="467">
        <v>0</v>
      </c>
      <c r="K220" s="255">
        <f ca="1">IF(I220&gt;0,J220*100/I220,0)</f>
        <v>0</v>
      </c>
      <c r="L220" s="62"/>
      <c r="M220" s="55"/>
      <c r="N220" s="55"/>
      <c r="O220" s="55"/>
      <c r="P220" s="55"/>
      <c r="Q220" s="62"/>
      <c r="R220" s="55"/>
      <c r="S220" s="55"/>
      <c r="T220" s="55"/>
      <c r="U220" s="55"/>
    </row>
    <row r="221" spans="1:21" ht="19.5">
      <c r="A221" s="241"/>
      <c r="B221" s="242"/>
      <c r="C221" s="243" t="s">
        <v>98</v>
      </c>
      <c r="D221" s="244"/>
      <c r="E221" s="244"/>
      <c r="F221" s="244"/>
      <c r="G221" s="245"/>
      <c r="H221" s="246" t="s">
        <v>99</v>
      </c>
      <c r="I221" s="339">
        <f ca="1">I229</f>
        <v>12800</v>
      </c>
      <c r="J221" s="339">
        <f>J229</f>
        <v>0</v>
      </c>
      <c r="K221" s="340">
        <f ca="1">IF(I221&gt;0,J221*100/I221,0)</f>
        <v>0</v>
      </c>
      <c r="L221" s="250"/>
      <c r="M221" s="249"/>
      <c r="N221" s="249"/>
      <c r="O221" s="249"/>
      <c r="P221" s="249"/>
      <c r="Q221" s="249"/>
      <c r="R221" s="249"/>
      <c r="S221" s="249"/>
      <c r="T221" s="249"/>
      <c r="U221" s="249"/>
    </row>
    <row r="222" spans="1:21" ht="19.5">
      <c r="A222" s="155"/>
      <c r="B222" s="50"/>
      <c r="C222" s="156" t="s">
        <v>18</v>
      </c>
      <c r="D222" s="713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541">
        <f ca="1">L223+L224+L225</f>
        <v>4500</v>
      </c>
      <c r="M222" s="55"/>
      <c r="N222" s="540">
        <f>N223+N224+N225</f>
        <v>0</v>
      </c>
      <c r="O222" s="540">
        <f ca="1">IF(L222&gt;0,N222*100/L222,0)</f>
        <v>0</v>
      </c>
      <c r="P222" s="540">
        <f>IF(M222&gt;0,N222*100/M222,0)</f>
        <v>0</v>
      </c>
      <c r="Q222" s="55"/>
      <c r="R222" s="55"/>
      <c r="S222" s="55"/>
      <c r="T222" s="55"/>
      <c r="U222" s="55"/>
    </row>
    <row r="223" spans="1:21" ht="18.75">
      <c r="A223" s="155"/>
      <c r="B223" s="188"/>
      <c r="C223" s="50"/>
      <c r="D223" s="712" t="s">
        <v>309</v>
      </c>
      <c r="E223" s="50"/>
      <c r="F223" s="50"/>
      <c r="G223" s="52"/>
      <c r="H223" s="162" t="s">
        <v>14</v>
      </c>
      <c r="I223" s="163"/>
      <c r="J223" s="163"/>
      <c r="K223" s="164"/>
      <c r="L223" s="256">
        <f ca="1">IFERROR(__xludf.DUMMYFUNCTION("IMPORTRANGE(""https://docs.google.com/spreadsheets/d/1eHaY18a8A9IcSdp1K8H6x8fbOy06t2VsZHhMHf-1x7Y/edit?usp=sharing"",""แผน!AR45"")"),2500)</f>
        <v>2500</v>
      </c>
      <c r="M223" s="55"/>
      <c r="N223" s="702">
        <v>0</v>
      </c>
      <c r="O223" s="164"/>
      <c r="P223" s="55"/>
      <c r="Q223" s="55"/>
      <c r="R223" s="55"/>
      <c r="S223" s="55"/>
      <c r="T223" s="164"/>
      <c r="U223" s="55"/>
    </row>
    <row r="224" spans="1:21" ht="18.75">
      <c r="A224" s="238"/>
      <c r="B224" s="188"/>
      <c r="C224" s="188"/>
      <c r="D224" s="58" t="s">
        <v>308</v>
      </c>
      <c r="E224" s="50"/>
      <c r="F224" s="50"/>
      <c r="G224" s="52"/>
      <c r="H224" s="162" t="s">
        <v>14</v>
      </c>
      <c r="I224" s="54"/>
      <c r="J224" s="54"/>
      <c r="K224" s="55"/>
      <c r="L224" s="256">
        <f ca="1">IFERROR(__xludf.DUMMYFUNCTION("IMPORTRANGE(""https://docs.google.com/spreadsheets/d/1eHaY18a8A9IcSdp1K8H6x8fbOy06t2VsZHhMHf-1x7Y/edit?usp=sharing"",""แผน!AS45"")"),2000)</f>
        <v>2000</v>
      </c>
      <c r="M224" s="55"/>
      <c r="N224" s="702">
        <v>0</v>
      </c>
      <c r="O224" s="164"/>
      <c r="P224" s="55"/>
      <c r="Q224" s="55"/>
      <c r="R224" s="55"/>
      <c r="S224" s="55"/>
      <c r="T224" s="164"/>
      <c r="U224" s="55"/>
    </row>
    <row r="225" spans="1:21" ht="18.75">
      <c r="A225" s="238"/>
      <c r="B225" s="188"/>
      <c r="C225" s="188"/>
      <c r="D225" s="58" t="s">
        <v>88</v>
      </c>
      <c r="E225" s="50"/>
      <c r="F225" s="50"/>
      <c r="G225" s="52"/>
      <c r="H225" s="162" t="s">
        <v>14</v>
      </c>
      <c r="I225" s="54"/>
      <c r="J225" s="54"/>
      <c r="K225" s="55"/>
      <c r="L225" s="256">
        <f ca="1">IFERROR(__xludf.DUMMYFUNCTION("IMPORTRANGE(""https://docs.google.com/spreadsheets/d/1eHaY18a8A9IcSdp1K8H6x8fbOy06t2VsZHhMHf-1x7Y/edit?usp=sharing"",""แผน!AT45"")"),0)</f>
        <v>0</v>
      </c>
      <c r="M225" s="55"/>
      <c r="N225" s="702">
        <v>0</v>
      </c>
      <c r="O225" s="164"/>
      <c r="P225" s="55"/>
      <c r="Q225" s="55"/>
      <c r="R225" s="55"/>
      <c r="S225" s="55"/>
      <c r="T225" s="164"/>
      <c r="U225" s="55"/>
    </row>
    <row r="226" spans="1:21" ht="19.5">
      <c r="A226" s="166"/>
      <c r="B226" s="167"/>
      <c r="C226" s="191" t="s">
        <v>18</v>
      </c>
      <c r="D226" s="566" t="s">
        <v>38</v>
      </c>
      <c r="E226" s="169"/>
      <c r="F226" s="169"/>
      <c r="G226" s="170"/>
      <c r="H226" s="171"/>
      <c r="I226" s="163"/>
      <c r="J226" s="163"/>
      <c r="K226" s="164"/>
      <c r="L226" s="172"/>
      <c r="M226" s="164"/>
      <c r="N226" s="164"/>
      <c r="O226" s="164"/>
      <c r="P226" s="164"/>
      <c r="Q226" s="164"/>
      <c r="R226" s="164"/>
      <c r="S226" s="164"/>
      <c r="T226" s="164"/>
      <c r="U226" s="164"/>
    </row>
    <row r="227" spans="1:21" ht="18.75">
      <c r="A227" s="166"/>
      <c r="B227" s="167"/>
      <c r="C227" s="167"/>
      <c r="D227" s="58" t="s">
        <v>101</v>
      </c>
      <c r="E227" s="174"/>
      <c r="F227" s="174"/>
      <c r="G227" s="171"/>
      <c r="H227" s="171"/>
      <c r="I227" s="54"/>
      <c r="J227" s="54"/>
      <c r="K227" s="164"/>
      <c r="L227" s="172"/>
      <c r="M227" s="164"/>
      <c r="N227" s="164"/>
      <c r="O227" s="164"/>
      <c r="P227" s="164"/>
      <c r="Q227" s="164"/>
      <c r="R227" s="164"/>
      <c r="S227" s="164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79" t="s">
        <v>99</v>
      </c>
      <c r="I228" s="212">
        <f ca="1">IFERROR(__xludf.DUMMYFUNCTION("IMPORTRANGE(""https://docs.google.com/spreadsheets/d/1eHaY18a8A9IcSdp1K8H6x8fbOy06t2VsZHhMHf-1x7Y/edit?usp=sharing"",""แผน!AV45"")"),12800)</f>
        <v>12800</v>
      </c>
      <c r="J228" s="467">
        <v>12800</v>
      </c>
      <c r="K228" s="565">
        <f ca="1">IF(I228&gt;0,J228*100/I228,0)</f>
        <v>100</v>
      </c>
      <c r="L228" s="172"/>
      <c r="M228" s="164"/>
      <c r="N228" s="164"/>
      <c r="O228" s="164"/>
      <c r="P228" s="164"/>
      <c r="Q228" s="164"/>
      <c r="R228" s="164"/>
      <c r="S228" s="164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79" t="s">
        <v>99</v>
      </c>
      <c r="I229" s="212">
        <f ca="1">IFERROR(__xludf.DUMMYFUNCTION("IMPORTRANGE(""https://docs.google.com/spreadsheets/d/1eHaY18a8A9IcSdp1K8H6x8fbOy06t2VsZHhMHf-1x7Y/edit?usp=sharing"",""แผน!AV45"")"),12800)</f>
        <v>12800</v>
      </c>
      <c r="J229" s="467">
        <v>0</v>
      </c>
      <c r="K229" s="565">
        <f ca="1">IF(I229&gt;0,J229*100/I229,0)</f>
        <v>0</v>
      </c>
      <c r="L229" s="62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79" t="s">
        <v>35</v>
      </c>
      <c r="I230" s="212">
        <f ca="1">IFERROR(__xludf.DUMMYFUNCTION("IMPORTRANGE(""https://docs.google.com/spreadsheets/d/1eHaY18a8A9IcSdp1K8H6x8fbOy06t2VsZHhMHf-1x7Y/edit?usp=sharing"",""แผน!AU45"")"),0)</f>
        <v>0</v>
      </c>
      <c r="J230" s="467">
        <v>0</v>
      </c>
      <c r="K230" s="565">
        <f ca="1">IF(I230&gt;0,J230*100/I230,0)</f>
        <v>0</v>
      </c>
      <c r="L230" s="62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9.5" hidden="1">
      <c r="A231" s="812"/>
      <c r="B231" s="811"/>
      <c r="C231" s="707" t="s">
        <v>105</v>
      </c>
      <c r="D231" s="810"/>
      <c r="E231" s="810"/>
      <c r="F231" s="810"/>
      <c r="G231" s="809"/>
      <c r="H231" s="706" t="s">
        <v>35</v>
      </c>
      <c r="I231" s="705">
        <f ca="1">I242+I253</f>
        <v>100</v>
      </c>
      <c r="J231" s="705">
        <f>J242+J253</f>
        <v>51</v>
      </c>
      <c r="K231" s="704">
        <f ca="1">IF(I231&gt;0,J231*100/I231,0)</f>
        <v>51</v>
      </c>
      <c r="L231" s="250"/>
      <c r="M231" s="249"/>
      <c r="N231" s="249"/>
      <c r="O231" s="249"/>
      <c r="P231" s="249"/>
      <c r="Q231" s="249"/>
      <c r="R231" s="249"/>
      <c r="S231" s="249"/>
      <c r="T231" s="249"/>
      <c r="U231" s="249"/>
    </row>
    <row r="232" spans="1:21" ht="19.5" hidden="1">
      <c r="A232" s="673"/>
      <c r="B232" s="672"/>
      <c r="C232" s="591" t="s">
        <v>18</v>
      </c>
      <c r="D232" s="562" t="s">
        <v>19</v>
      </c>
      <c r="E232" s="672"/>
      <c r="F232" s="672"/>
      <c r="G232" s="671"/>
      <c r="H232" s="418" t="s">
        <v>14</v>
      </c>
      <c r="I232" s="670"/>
      <c r="J232" s="670"/>
      <c r="K232" s="669"/>
      <c r="L232" s="711">
        <f ca="1">L243+L254</f>
        <v>46000</v>
      </c>
      <c r="M232" s="55"/>
      <c r="N232" s="710">
        <f>N243+N254</f>
        <v>38100</v>
      </c>
      <c r="O232" s="55"/>
      <c r="P232" s="55"/>
      <c r="Q232" s="711">
        <f ca="1">Q243+Q254</f>
        <v>234400</v>
      </c>
      <c r="R232" s="55"/>
      <c r="S232" s="710">
        <f>S243+S254</f>
        <v>84246</v>
      </c>
      <c r="T232" s="55"/>
      <c r="U232" s="55"/>
    </row>
    <row r="233" spans="1:21" ht="18.75" hidden="1">
      <c r="A233" s="673"/>
      <c r="B233" s="807"/>
      <c r="C233" s="672"/>
      <c r="D233" s="712" t="s">
        <v>310</v>
      </c>
      <c r="E233" s="672"/>
      <c r="F233" s="672"/>
      <c r="G233" s="671"/>
      <c r="H233" s="189" t="s">
        <v>14</v>
      </c>
      <c r="I233" s="670"/>
      <c r="J233" s="670"/>
      <c r="K233" s="669"/>
      <c r="L233" s="103">
        <f ca="1">L244+L255</f>
        <v>13000</v>
      </c>
      <c r="M233" s="55"/>
      <c r="N233" s="102">
        <f>N244+N255</f>
        <v>5100</v>
      </c>
      <c r="O233" s="55"/>
      <c r="P233" s="55"/>
      <c r="Q233" s="103">
        <f>Q244+Q255</f>
        <v>0</v>
      </c>
      <c r="R233" s="55"/>
      <c r="S233" s="102">
        <f>S244+S255</f>
        <v>0</v>
      </c>
      <c r="T233" s="55"/>
      <c r="U233" s="55"/>
    </row>
    <row r="234" spans="1:21" ht="18.75" hidden="1">
      <c r="A234" s="808"/>
      <c r="B234" s="807"/>
      <c r="C234" s="807"/>
      <c r="D234" s="58" t="s">
        <v>87</v>
      </c>
      <c r="E234" s="672"/>
      <c r="F234" s="672"/>
      <c r="G234" s="671"/>
      <c r="H234" s="189" t="s">
        <v>14</v>
      </c>
      <c r="I234" s="677"/>
      <c r="J234" s="677"/>
      <c r="K234" s="676"/>
      <c r="L234" s="103">
        <f ca="1">L245+L256</f>
        <v>0</v>
      </c>
      <c r="M234" s="55"/>
      <c r="N234" s="102">
        <f>N245+N256</f>
        <v>0</v>
      </c>
      <c r="O234" s="55"/>
      <c r="P234" s="55"/>
      <c r="Q234" s="103">
        <f>Q245+Q256</f>
        <v>0</v>
      </c>
      <c r="R234" s="55"/>
      <c r="S234" s="102">
        <f>S245+S256</f>
        <v>0</v>
      </c>
      <c r="T234" s="55"/>
      <c r="U234" s="55"/>
    </row>
    <row r="235" spans="1:21" ht="18.75" hidden="1">
      <c r="A235" s="808"/>
      <c r="B235" s="807"/>
      <c r="C235" s="807"/>
      <c r="D235" s="58" t="s">
        <v>88</v>
      </c>
      <c r="E235" s="672"/>
      <c r="F235" s="672"/>
      <c r="G235" s="671"/>
      <c r="H235" s="189" t="s">
        <v>14</v>
      </c>
      <c r="I235" s="677"/>
      <c r="J235" s="677"/>
      <c r="K235" s="676"/>
      <c r="L235" s="103">
        <f ca="1">L246+L257</f>
        <v>0</v>
      </c>
      <c r="M235" s="55"/>
      <c r="N235" s="102">
        <f>N246+N257</f>
        <v>0</v>
      </c>
      <c r="O235" s="55"/>
      <c r="P235" s="55"/>
      <c r="Q235" s="103">
        <f ca="1">Q246+Q257</f>
        <v>234400</v>
      </c>
      <c r="R235" s="55"/>
      <c r="S235" s="102">
        <f>S246+S257</f>
        <v>84246</v>
      </c>
      <c r="T235" s="55"/>
      <c r="U235" s="55"/>
    </row>
    <row r="236" spans="1:21" ht="18.75" hidden="1">
      <c r="A236" s="808"/>
      <c r="B236" s="807"/>
      <c r="C236" s="807"/>
      <c r="D236" s="58" t="s">
        <v>89</v>
      </c>
      <c r="E236" s="672"/>
      <c r="F236" s="672"/>
      <c r="G236" s="671"/>
      <c r="H236" s="189" t="s">
        <v>14</v>
      </c>
      <c r="I236" s="677"/>
      <c r="J236" s="677"/>
      <c r="K236" s="676"/>
      <c r="L236" s="103">
        <f ca="1">L247+L258</f>
        <v>33000</v>
      </c>
      <c r="M236" s="55"/>
      <c r="N236" s="102">
        <f>N247+N258</f>
        <v>33000</v>
      </c>
      <c r="O236" s="55"/>
      <c r="P236" s="55"/>
      <c r="Q236" s="103">
        <f>Q247+Q258</f>
        <v>0</v>
      </c>
      <c r="R236" s="55"/>
      <c r="S236" s="102">
        <f>S247+S258</f>
        <v>0</v>
      </c>
      <c r="T236" s="55"/>
      <c r="U236" s="55"/>
    </row>
    <row r="237" spans="1:21" ht="19.5" hidden="1">
      <c r="A237" s="804"/>
      <c r="B237" s="803"/>
      <c r="C237" s="701" t="s">
        <v>18</v>
      </c>
      <c r="D237" s="574" t="s">
        <v>38</v>
      </c>
      <c r="E237" s="806"/>
      <c r="F237" s="806"/>
      <c r="G237" s="805"/>
      <c r="H237" s="801"/>
      <c r="I237" s="670"/>
      <c r="J237" s="677"/>
      <c r="K237" s="676"/>
      <c r="L237" s="62"/>
      <c r="M237" s="55"/>
      <c r="N237" s="55"/>
      <c r="O237" s="164"/>
      <c r="P237" s="164"/>
      <c r="Q237" s="55"/>
      <c r="R237" s="55"/>
      <c r="S237" s="55"/>
      <c r="T237" s="164"/>
      <c r="U237" s="164"/>
    </row>
    <row r="238" spans="1:21" ht="18.75" hidden="1">
      <c r="A238" s="804"/>
      <c r="B238" s="803"/>
      <c r="C238" s="803"/>
      <c r="D238" s="207" t="s">
        <v>108</v>
      </c>
      <c r="E238" s="802"/>
      <c r="F238" s="802"/>
      <c r="G238" s="801"/>
      <c r="H238" s="698" t="s">
        <v>35</v>
      </c>
      <c r="I238" s="483">
        <f ca="1">I249+I260</f>
        <v>100</v>
      </c>
      <c r="J238" s="483">
        <f>J249+J260</f>
        <v>51</v>
      </c>
      <c r="K238" s="102">
        <f ca="1">IF(I238&gt;0,J238*100/I238,0)</f>
        <v>51</v>
      </c>
      <c r="L238" s="62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ht="18.75" hidden="1">
      <c r="A239" s="804"/>
      <c r="B239" s="803"/>
      <c r="C239" s="803"/>
      <c r="D239" s="700" t="s">
        <v>43</v>
      </c>
      <c r="E239" s="802"/>
      <c r="F239" s="802"/>
      <c r="G239" s="801"/>
      <c r="H239" s="801"/>
      <c r="I239" s="677"/>
      <c r="J239" s="677"/>
      <c r="K239" s="676"/>
      <c r="L239" s="62"/>
      <c r="M239" s="55"/>
      <c r="N239" s="55"/>
      <c r="O239" s="164"/>
      <c r="P239" s="164"/>
      <c r="Q239" s="55"/>
      <c r="R239" s="55"/>
      <c r="S239" s="55"/>
      <c r="T239" s="164"/>
      <c r="U239" s="164"/>
    </row>
    <row r="240" spans="1:21" ht="18.75" hidden="1">
      <c r="A240" s="804"/>
      <c r="B240" s="803"/>
      <c r="C240" s="803"/>
      <c r="D240" s="803"/>
      <c r="E240" s="699" t="s">
        <v>109</v>
      </c>
      <c r="F240" s="802"/>
      <c r="G240" s="801"/>
      <c r="H240" s="698" t="s">
        <v>35</v>
      </c>
      <c r="I240" s="483">
        <f ca="1">I251+I262</f>
        <v>40</v>
      </c>
      <c r="J240" s="483">
        <f>J251+J262</f>
        <v>40</v>
      </c>
      <c r="K240" s="102">
        <f ca="1">IF(I240&gt;0,J240*100/I240,0)</f>
        <v>100</v>
      </c>
      <c r="L240" s="62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ht="18.75" hidden="1">
      <c r="A241" s="804"/>
      <c r="B241" s="803"/>
      <c r="C241" s="803"/>
      <c r="D241" s="803"/>
      <c r="E241" s="699" t="s">
        <v>110</v>
      </c>
      <c r="F241" s="802"/>
      <c r="G241" s="801"/>
      <c r="H241" s="698" t="s">
        <v>61</v>
      </c>
      <c r="I241" s="483">
        <f ca="1">I252+I263</f>
        <v>1</v>
      </c>
      <c r="J241" s="483">
        <f>J252+J263</f>
        <v>1</v>
      </c>
      <c r="K241" s="102">
        <f ca="1">IF(I241&gt;0,J241*100/I241,0)</f>
        <v>100</v>
      </c>
      <c r="L241" s="62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ht="19.5">
      <c r="A242" s="800"/>
      <c r="B242" s="799"/>
      <c r="C242" s="798" t="s">
        <v>325</v>
      </c>
      <c r="D242" s="797"/>
      <c r="E242" s="797"/>
      <c r="F242" s="797"/>
      <c r="G242" s="796"/>
      <c r="H242" s="795" t="s">
        <v>35</v>
      </c>
      <c r="I242" s="794">
        <f ca="1">I249</f>
        <v>100</v>
      </c>
      <c r="J242" s="794">
        <f>J249</f>
        <v>51</v>
      </c>
      <c r="K242" s="793">
        <f ca="1">IF(I242&gt;0,J242*100/I242,0)</f>
        <v>51</v>
      </c>
      <c r="L242" s="250"/>
      <c r="M242" s="249"/>
      <c r="N242" s="249"/>
      <c r="O242" s="249"/>
      <c r="P242" s="249"/>
      <c r="Q242" s="249"/>
      <c r="R242" s="249"/>
      <c r="S242" s="249"/>
      <c r="T242" s="249"/>
      <c r="U242" s="249"/>
    </row>
    <row r="243" spans="1:21" ht="19.5">
      <c r="A243" s="668"/>
      <c r="B243" s="667"/>
      <c r="C243" s="682" t="s">
        <v>18</v>
      </c>
      <c r="D243" s="681" t="s">
        <v>19</v>
      </c>
      <c r="E243" s="667"/>
      <c r="F243" s="667"/>
      <c r="G243" s="666"/>
      <c r="H243" s="792" t="s">
        <v>14</v>
      </c>
      <c r="I243" s="659"/>
      <c r="J243" s="659"/>
      <c r="K243" s="657"/>
      <c r="L243" s="541">
        <f ca="1">L244+L245+L246+L247</f>
        <v>46000</v>
      </c>
      <c r="M243" s="55"/>
      <c r="N243" s="540">
        <f>N244+N245+N246+N247</f>
        <v>38100</v>
      </c>
      <c r="O243" s="540">
        <f ca="1">IF(L243&gt;0,N243*100/L243,0)</f>
        <v>82.826086956521735</v>
      </c>
      <c r="P243" s="540">
        <f>IF(M243&gt;0,N243*100/M243,0)</f>
        <v>0</v>
      </c>
      <c r="Q243" s="159">
        <f ca="1">Q244+Q245+Q246+Q247</f>
        <v>234400</v>
      </c>
      <c r="R243" s="159"/>
      <c r="S243" s="159">
        <f>S244+S245+S246+S247</f>
        <v>84246</v>
      </c>
      <c r="T243" s="159">
        <f ca="1">IF(Q243&gt;0,S243*100/Q243,0)</f>
        <v>35.941126279863482</v>
      </c>
      <c r="U243" s="159">
        <f>IF(R243&gt;0,S243*100/R243,0)</f>
        <v>0</v>
      </c>
    </row>
    <row r="244" spans="1:21" ht="18.75">
      <c r="A244" s="668"/>
      <c r="B244" s="609"/>
      <c r="C244" s="667"/>
      <c r="D244" s="712" t="s">
        <v>310</v>
      </c>
      <c r="E244" s="667"/>
      <c r="F244" s="667"/>
      <c r="G244" s="666"/>
      <c r="H244" s="675" t="s">
        <v>14</v>
      </c>
      <c r="I244" s="659"/>
      <c r="J244" s="659"/>
      <c r="K244" s="657"/>
      <c r="L244" s="256">
        <f ca="1">IFERROR(__xludf.DUMMYFUNCTION("IMPORTRANGE(""https://docs.google.com/spreadsheets/d/1eHaY18a8A9IcSdp1K8H6x8fbOy06t2VsZHhMHf-1x7Y/edit?usp=sharing"",""แผน!AX45"")"),13000)</f>
        <v>13000</v>
      </c>
      <c r="M244" s="55"/>
      <c r="N244" s="791">
        <v>5100</v>
      </c>
      <c r="O244" s="55"/>
      <c r="P244" s="55"/>
      <c r="Q244" s="56">
        <v>0</v>
      </c>
      <c r="R244" s="56"/>
      <c r="S244" s="56">
        <v>0</v>
      </c>
      <c r="T244" s="56"/>
      <c r="U244" s="56"/>
    </row>
    <row r="245" spans="1:21" ht="18.75">
      <c r="A245" s="789"/>
      <c r="B245" s="609"/>
      <c r="C245" s="609"/>
      <c r="D245" s="58" t="s">
        <v>308</v>
      </c>
      <c r="E245" s="667"/>
      <c r="F245" s="667"/>
      <c r="G245" s="666"/>
      <c r="H245" s="675" t="s">
        <v>14</v>
      </c>
      <c r="I245" s="548"/>
      <c r="J245" s="548"/>
      <c r="K245" s="545"/>
      <c r="L245" s="256">
        <f ca="1">IFERROR(__xludf.DUMMYFUNCTION("IMPORTRANGE(""https://docs.google.com/spreadsheets/d/1eHaY18a8A9IcSdp1K8H6x8fbOy06t2VsZHhMHf-1x7Y/edit?usp=sharing"",""แผน!AY45"")"),0)</f>
        <v>0</v>
      </c>
      <c r="M245" s="55"/>
      <c r="N245" s="702">
        <v>0</v>
      </c>
      <c r="O245" s="55"/>
      <c r="P245" s="55"/>
      <c r="Q245" s="56">
        <v>0</v>
      </c>
      <c r="R245" s="56"/>
      <c r="S245" s="56">
        <v>0</v>
      </c>
      <c r="T245" s="56"/>
      <c r="U245" s="56"/>
    </row>
    <row r="246" spans="1:21" ht="18.75">
      <c r="A246" s="789"/>
      <c r="B246" s="609"/>
      <c r="C246" s="609"/>
      <c r="D246" s="58" t="s">
        <v>88</v>
      </c>
      <c r="E246" s="667"/>
      <c r="F246" s="667"/>
      <c r="G246" s="666"/>
      <c r="H246" s="675" t="s">
        <v>14</v>
      </c>
      <c r="I246" s="548"/>
      <c r="J246" s="548"/>
      <c r="K246" s="545"/>
      <c r="L246" s="256">
        <f ca="1">IFERROR(__xludf.DUMMYFUNCTION("IMPORTRANGE(""https://docs.google.com/spreadsheets/d/1eHaY18a8A9IcSdp1K8H6x8fbOy06t2VsZHhMHf-1x7Y/edit?usp=sharing"",""แผน!AZ45"")"),0)</f>
        <v>0</v>
      </c>
      <c r="M246" s="55"/>
      <c r="N246" s="702">
        <v>0</v>
      </c>
      <c r="O246" s="55"/>
      <c r="P246" s="55"/>
      <c r="Q246" s="56">
        <f ca="1">IFERROR(__xludf.DUMMYFUNCTION("IMPORTRANGE(""https://docs.google.com/spreadsheets/d/1eHaY18a8A9IcSdp1K8H6x8fbOy06t2VsZHhMHf-1x7Y/edit?usp=sharing"",""แผน!MB45"")"),234400)</f>
        <v>234400</v>
      </c>
      <c r="R246" s="56"/>
      <c r="S246" s="790">
        <v>84246</v>
      </c>
      <c r="T246" s="56"/>
      <c r="U246" s="56"/>
    </row>
    <row r="247" spans="1:21" ht="18.75">
      <c r="A247" s="789"/>
      <c r="B247" s="609"/>
      <c r="C247" s="609"/>
      <c r="D247" s="58" t="s">
        <v>89</v>
      </c>
      <c r="E247" s="667"/>
      <c r="F247" s="667"/>
      <c r="G247" s="666"/>
      <c r="H247" s="675" t="s">
        <v>14</v>
      </c>
      <c r="I247" s="548"/>
      <c r="J247" s="548"/>
      <c r="K247" s="545"/>
      <c r="L247" s="256">
        <f ca="1">IFERROR(__xludf.DUMMYFUNCTION("IMPORTRANGE(""https://docs.google.com/spreadsheets/d/1eHaY18a8A9IcSdp1K8H6x8fbOy06t2VsZHhMHf-1x7Y/edit?usp=sharing"",""แผน!BA45"")"),33000)</f>
        <v>33000</v>
      </c>
      <c r="M247" s="55"/>
      <c r="N247" s="702">
        <v>33000</v>
      </c>
      <c r="O247" s="55"/>
      <c r="P247" s="55"/>
      <c r="Q247" s="56">
        <v>0</v>
      </c>
      <c r="R247" s="56"/>
      <c r="S247" s="56">
        <v>0</v>
      </c>
      <c r="T247" s="56"/>
      <c r="U247" s="56"/>
    </row>
    <row r="248" spans="1:21" ht="19.5">
      <c r="A248" s="554"/>
      <c r="B248" s="553"/>
      <c r="C248" s="788" t="s">
        <v>18</v>
      </c>
      <c r="D248" s="662" t="s">
        <v>38</v>
      </c>
      <c r="E248" s="661"/>
      <c r="F248" s="661"/>
      <c r="G248" s="660"/>
      <c r="H248" s="550"/>
      <c r="I248" s="659"/>
      <c r="J248" s="548"/>
      <c r="K248" s="545"/>
      <c r="L248" s="62"/>
      <c r="M248" s="55"/>
      <c r="N248" s="55"/>
      <c r="O248" s="164"/>
      <c r="P248" s="164"/>
      <c r="Q248" s="55"/>
      <c r="R248" s="55"/>
      <c r="S248" s="55"/>
      <c r="T248" s="164"/>
      <c r="U248" s="164"/>
    </row>
    <row r="249" spans="1:21" ht="18.75">
      <c r="A249" s="554"/>
      <c r="B249" s="553"/>
      <c r="C249" s="553"/>
      <c r="D249" s="551" t="s">
        <v>108</v>
      </c>
      <c r="E249" s="552"/>
      <c r="F249" s="552"/>
      <c r="G249" s="550"/>
      <c r="H249" s="786" t="s">
        <v>35</v>
      </c>
      <c r="I249" s="556">
        <f ca="1">IFERROR(__xludf.DUMMYFUNCTION("IMPORTRANGE(""https://docs.google.com/spreadsheets/d/1eHaY18a8A9IcSdp1K8H6x8fbOy06t2VsZHhMHf-1x7Y/edit?usp=sharing"",""แผน!BG45"")"),100)</f>
        <v>100</v>
      </c>
      <c r="J249" s="547">
        <v>51</v>
      </c>
      <c r="K249" s="555">
        <f ca="1">IF(I249&gt;0,J249*100/I249,0)</f>
        <v>51</v>
      </c>
      <c r="L249" s="62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8.75">
      <c r="A250" s="554"/>
      <c r="B250" s="553"/>
      <c r="C250" s="553"/>
      <c r="D250" s="787" t="s">
        <v>43</v>
      </c>
      <c r="E250" s="552"/>
      <c r="F250" s="552"/>
      <c r="G250" s="550"/>
      <c r="H250" s="550"/>
      <c r="I250" s="548"/>
      <c r="J250" s="548"/>
      <c r="K250" s="545"/>
      <c r="L250" s="62"/>
      <c r="M250" s="55"/>
      <c r="N250" s="55"/>
      <c r="O250" s="164"/>
      <c r="P250" s="164"/>
      <c r="Q250" s="55"/>
      <c r="R250" s="55"/>
      <c r="S250" s="55"/>
      <c r="T250" s="164"/>
      <c r="U250" s="164"/>
    </row>
    <row r="251" spans="1:21" ht="18.75">
      <c r="A251" s="554"/>
      <c r="B251" s="553"/>
      <c r="C251" s="553"/>
      <c r="D251" s="553"/>
      <c r="E251" s="352" t="s">
        <v>109</v>
      </c>
      <c r="F251" s="552"/>
      <c r="G251" s="550"/>
      <c r="H251" s="786" t="s">
        <v>35</v>
      </c>
      <c r="I251" s="556">
        <f ca="1">IFERROR(__xludf.DUMMYFUNCTION("IMPORTRANGE(""https://docs.google.com/spreadsheets/d/1eHaY18a8A9IcSdp1K8H6x8fbOy06t2VsZHhMHf-1x7Y/edit?usp=sharing"",""แผน!KL45"")"),40)</f>
        <v>40</v>
      </c>
      <c r="J251" s="547">
        <v>40</v>
      </c>
      <c r="K251" s="555">
        <f ca="1">IF(I251&gt;0,J251*100/I251,0)</f>
        <v>100</v>
      </c>
      <c r="L251" s="62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8.75">
      <c r="A252" s="554"/>
      <c r="B252" s="553"/>
      <c r="C252" s="553"/>
      <c r="D252" s="553"/>
      <c r="E252" s="352" t="s">
        <v>110</v>
      </c>
      <c r="F252" s="552"/>
      <c r="G252" s="550"/>
      <c r="H252" s="786" t="s">
        <v>61</v>
      </c>
      <c r="I252" s="556">
        <f ca="1">IFERROR(__xludf.DUMMYFUNCTION("IMPORTRANGE(""https://docs.google.com/spreadsheets/d/1eHaY18a8A9IcSdp1K8H6x8fbOy06t2VsZHhMHf-1x7Y/edit?usp=sharing"",""แผน!KM45"")"),1)</f>
        <v>1</v>
      </c>
      <c r="J252" s="547">
        <v>1</v>
      </c>
      <c r="K252" s="555">
        <f ca="1">IF(I252&gt;0,J252*100/I252,0)</f>
        <v>100</v>
      </c>
      <c r="L252" s="62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9.5" hidden="1">
      <c r="A253" s="241"/>
      <c r="B253" s="242"/>
      <c r="C253" s="707" t="s">
        <v>112</v>
      </c>
      <c r="D253" s="244"/>
      <c r="E253" s="244"/>
      <c r="F253" s="244"/>
      <c r="G253" s="245"/>
      <c r="H253" s="706" t="s">
        <v>35</v>
      </c>
      <c r="I253" s="705">
        <f ca="1">I260</f>
        <v>0</v>
      </c>
      <c r="J253" s="705">
        <f>J260</f>
        <v>0</v>
      </c>
      <c r="K253" s="704">
        <f ca="1">IF(I253&gt;0,J253*100/I253,0)</f>
        <v>0</v>
      </c>
      <c r="L253" s="250"/>
      <c r="M253" s="249"/>
      <c r="N253" s="249"/>
      <c r="O253" s="249"/>
      <c r="P253" s="249"/>
      <c r="Q253" s="249"/>
      <c r="R253" s="249"/>
      <c r="S253" s="249"/>
      <c r="T253" s="249"/>
      <c r="U253" s="249"/>
    </row>
    <row r="254" spans="1:21" ht="19.5" hidden="1">
      <c r="A254" s="155"/>
      <c r="B254" s="50"/>
      <c r="C254" s="591" t="s">
        <v>18</v>
      </c>
      <c r="D254" s="703" t="s">
        <v>19</v>
      </c>
      <c r="E254" s="50"/>
      <c r="F254" s="50"/>
      <c r="G254" s="52"/>
      <c r="H254" s="418" t="s">
        <v>14</v>
      </c>
      <c r="I254" s="163"/>
      <c r="J254" s="163"/>
      <c r="K254" s="164"/>
      <c r="L254" s="541">
        <f ca="1">L255+L256+L257+L258</f>
        <v>0</v>
      </c>
      <c r="M254" s="55"/>
      <c r="N254" s="540">
        <f>N255+N256+N257+N258</f>
        <v>0</v>
      </c>
      <c r="O254" s="540">
        <f ca="1">IF(L254&gt;0,N254*100/L254,0)</f>
        <v>0</v>
      </c>
      <c r="P254" s="540">
        <f>IF(M254&gt;0,N254*100/M254,0)</f>
        <v>0</v>
      </c>
      <c r="Q254" s="55"/>
      <c r="R254" s="55"/>
      <c r="S254" s="55"/>
      <c r="T254" s="55"/>
      <c r="U254" s="55"/>
    </row>
    <row r="255" spans="1:21" ht="18.75" hidden="1">
      <c r="A255" s="155"/>
      <c r="B255" s="188"/>
      <c r="C255" s="50"/>
      <c r="D255" s="712" t="s">
        <v>310</v>
      </c>
      <c r="E255" s="50"/>
      <c r="F255" s="50"/>
      <c r="G255" s="52"/>
      <c r="H255" s="189" t="s">
        <v>14</v>
      </c>
      <c r="I255" s="163"/>
      <c r="J255" s="163"/>
      <c r="K255" s="164"/>
      <c r="L255" s="256">
        <f ca="1">IFERROR(__xludf.DUMMYFUNCTION("IMPORTRANGE(""https://docs.google.com/spreadsheets/d/1eHaY18a8A9IcSdp1K8H6x8fbOy06t2VsZHhMHf-1x7Y/edit?usp=sharing"",""แผน!BB45"")"),0)</f>
        <v>0</v>
      </c>
      <c r="M255" s="55"/>
      <c r="N255" s="702">
        <v>0</v>
      </c>
      <c r="O255" s="55"/>
      <c r="P255" s="55"/>
      <c r="Q255" s="709">
        <v>0</v>
      </c>
      <c r="R255" s="708">
        <v>0</v>
      </c>
      <c r="S255" s="708">
        <v>0</v>
      </c>
      <c r="T255" s="55"/>
      <c r="U255" s="55"/>
    </row>
    <row r="256" spans="1:21" ht="18.75" hidden="1">
      <c r="A256" s="238"/>
      <c r="B256" s="188"/>
      <c r="C256" s="188"/>
      <c r="D256" s="58" t="s">
        <v>87</v>
      </c>
      <c r="E256" s="50"/>
      <c r="F256" s="50"/>
      <c r="G256" s="52"/>
      <c r="H256" s="189" t="s">
        <v>14</v>
      </c>
      <c r="I256" s="54"/>
      <c r="J256" s="54"/>
      <c r="K256" s="55"/>
      <c r="L256" s="256">
        <f ca="1">IFERROR(__xludf.DUMMYFUNCTION("IMPORTRANGE(""https://docs.google.com/spreadsheets/d/1eHaY18a8A9IcSdp1K8H6x8fbOy06t2VsZHhMHf-1x7Y/edit?usp=sharing"",""แผน!BC45"")"),0)</f>
        <v>0</v>
      </c>
      <c r="M256" s="55"/>
      <c r="N256" s="702">
        <v>0</v>
      </c>
      <c r="O256" s="55"/>
      <c r="P256" s="55"/>
      <c r="Q256" s="256">
        <v>0</v>
      </c>
      <c r="R256" s="255">
        <v>0</v>
      </c>
      <c r="S256" s="255">
        <v>0</v>
      </c>
      <c r="T256" s="55"/>
      <c r="U256" s="55"/>
    </row>
    <row r="257" spans="1:21" ht="18.75" hidden="1">
      <c r="A257" s="238"/>
      <c r="B257" s="188"/>
      <c r="C257" s="188"/>
      <c r="D257" s="58" t="s">
        <v>88</v>
      </c>
      <c r="E257" s="50"/>
      <c r="F257" s="50"/>
      <c r="G257" s="52"/>
      <c r="H257" s="189" t="s">
        <v>14</v>
      </c>
      <c r="I257" s="54"/>
      <c r="J257" s="54"/>
      <c r="K257" s="55"/>
      <c r="L257" s="256">
        <f ca="1">IFERROR(__xludf.DUMMYFUNCTION("IMPORTRANGE(""https://docs.google.com/spreadsheets/d/1eHaY18a8A9IcSdp1K8H6x8fbOy06t2VsZHhMHf-1x7Y/edit?usp=sharing"",""แผน!BD45"")"),0)</f>
        <v>0</v>
      </c>
      <c r="M257" s="55"/>
      <c r="N257" s="702">
        <v>0</v>
      </c>
      <c r="O257" s="55"/>
      <c r="P257" s="55"/>
      <c r="Q257" s="256">
        <v>0</v>
      </c>
      <c r="R257" s="255">
        <v>0</v>
      </c>
      <c r="S257" s="255">
        <v>0</v>
      </c>
      <c r="T257" s="55"/>
      <c r="U257" s="55"/>
    </row>
    <row r="258" spans="1:21" ht="18.75" hidden="1">
      <c r="A258" s="238"/>
      <c r="B258" s="188"/>
      <c r="C258" s="188"/>
      <c r="D258" s="58" t="s">
        <v>89</v>
      </c>
      <c r="E258" s="50"/>
      <c r="F258" s="50"/>
      <c r="G258" s="52"/>
      <c r="H258" s="189" t="s">
        <v>14</v>
      </c>
      <c r="I258" s="54"/>
      <c r="J258" s="54"/>
      <c r="K258" s="55"/>
      <c r="L258" s="256">
        <f ca="1">IFERROR(__xludf.DUMMYFUNCTION("IMPORTRANGE(""https://docs.google.com/spreadsheets/d/1eHaY18a8A9IcSdp1K8H6x8fbOy06t2VsZHhMHf-1x7Y/edit?usp=sharing"",""แผน!BE45"")"),0)</f>
        <v>0</v>
      </c>
      <c r="M258" s="55"/>
      <c r="N258" s="702">
        <v>0</v>
      </c>
      <c r="O258" s="55"/>
      <c r="P258" s="55"/>
      <c r="Q258" s="256">
        <v>0</v>
      </c>
      <c r="R258" s="255">
        <v>0</v>
      </c>
      <c r="S258" s="255">
        <v>0</v>
      </c>
      <c r="T258" s="55"/>
      <c r="U258" s="55"/>
    </row>
    <row r="259" spans="1:21" ht="19.5" hidden="1">
      <c r="A259" s="166"/>
      <c r="B259" s="167"/>
      <c r="C259" s="701" t="s">
        <v>18</v>
      </c>
      <c r="D259" s="574" t="s">
        <v>38</v>
      </c>
      <c r="E259" s="169"/>
      <c r="F259" s="169"/>
      <c r="G259" s="170"/>
      <c r="H259" s="171"/>
      <c r="I259" s="163"/>
      <c r="J259" s="54"/>
      <c r="K259" s="55"/>
      <c r="L259" s="62"/>
      <c r="M259" s="55"/>
      <c r="N259" s="55"/>
      <c r="O259" s="164"/>
      <c r="P259" s="164"/>
      <c r="Q259" s="55"/>
      <c r="R259" s="55"/>
      <c r="S259" s="55"/>
      <c r="T259" s="164"/>
      <c r="U259" s="164"/>
    </row>
    <row r="260" spans="1:21" ht="18.75" hidden="1">
      <c r="A260" s="166"/>
      <c r="B260" s="167"/>
      <c r="C260" s="167"/>
      <c r="D260" s="207" t="s">
        <v>108</v>
      </c>
      <c r="E260" s="174"/>
      <c r="F260" s="174"/>
      <c r="G260" s="171"/>
      <c r="H260" s="698" t="s">
        <v>35</v>
      </c>
      <c r="I260" s="483">
        <f ca="1">IFERROR(__xludf.DUMMYFUNCTION("IMPORTRANGE(""https://docs.google.com/spreadsheets/d/1eHaY18a8A9IcSdp1K8H6x8fbOy06t2VsZHhMHf-1x7Y/edit?usp=sharing"",""แผน!BH45"")"),0)</f>
        <v>0</v>
      </c>
      <c r="J260" s="589">
        <v>0</v>
      </c>
      <c r="K260" s="102">
        <f ca="1">IF(I260&gt;0,J260*100/I260,0)</f>
        <v>0</v>
      </c>
      <c r="L260" s="62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8.75" hidden="1">
      <c r="A261" s="166"/>
      <c r="B261" s="167"/>
      <c r="C261" s="167"/>
      <c r="D261" s="700" t="s">
        <v>43</v>
      </c>
      <c r="E261" s="174"/>
      <c r="F261" s="174"/>
      <c r="G261" s="171"/>
      <c r="H261" s="171"/>
      <c r="I261" s="54"/>
      <c r="J261" s="54"/>
      <c r="K261" s="55"/>
      <c r="L261" s="62"/>
      <c r="M261" s="55"/>
      <c r="N261" s="55"/>
      <c r="O261" s="164"/>
      <c r="P261" s="164"/>
      <c r="Q261" s="55"/>
      <c r="R261" s="55"/>
      <c r="S261" s="55"/>
      <c r="T261" s="164"/>
      <c r="U261" s="164"/>
    </row>
    <row r="262" spans="1:21" ht="18.75" hidden="1">
      <c r="A262" s="166"/>
      <c r="B262" s="167"/>
      <c r="C262" s="167"/>
      <c r="D262" s="167"/>
      <c r="E262" s="699" t="s">
        <v>109</v>
      </c>
      <c r="F262" s="174"/>
      <c r="G262" s="171"/>
      <c r="H262" s="698" t="s">
        <v>35</v>
      </c>
      <c r="I262" s="54"/>
      <c r="J262" s="589">
        <v>0</v>
      </c>
      <c r="K262" s="102">
        <f>IF(I262&gt;0,J262*100/I262,0)</f>
        <v>0</v>
      </c>
      <c r="L262" s="62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8.75" hidden="1">
      <c r="A263" s="166"/>
      <c r="B263" s="167"/>
      <c r="C263" s="167"/>
      <c r="D263" s="167"/>
      <c r="E263" s="699" t="s">
        <v>110</v>
      </c>
      <c r="F263" s="174"/>
      <c r="G263" s="171"/>
      <c r="H263" s="698" t="s">
        <v>61</v>
      </c>
      <c r="I263" s="54"/>
      <c r="J263" s="589">
        <v>0</v>
      </c>
      <c r="K263" s="102">
        <f>IF(I263&gt;0,J263*100/I263,0)</f>
        <v>0</v>
      </c>
      <c r="L263" s="62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9.5">
      <c r="A264" s="697" t="s">
        <v>113</v>
      </c>
      <c r="B264" s="696"/>
      <c r="C264" s="696"/>
      <c r="D264" s="695"/>
      <c r="E264" s="695"/>
      <c r="F264" s="695"/>
      <c r="G264" s="694"/>
      <c r="H264" s="694"/>
      <c r="I264" s="693"/>
      <c r="J264" s="693"/>
      <c r="K264" s="691"/>
      <c r="L264" s="692"/>
      <c r="M264" s="691"/>
      <c r="N264" s="691"/>
      <c r="O264" s="691"/>
      <c r="P264" s="691"/>
      <c r="Q264" s="691"/>
      <c r="R264" s="691"/>
      <c r="S264" s="691"/>
      <c r="T264" s="691"/>
      <c r="U264" s="691"/>
    </row>
    <row r="265" spans="1:21" ht="19.5">
      <c r="A265" s="690"/>
      <c r="B265" s="689" t="s">
        <v>114</v>
      </c>
      <c r="C265" s="688"/>
      <c r="D265" s="661"/>
      <c r="E265" s="661"/>
      <c r="F265" s="661"/>
      <c r="G265" s="660"/>
      <c r="H265" s="687" t="s">
        <v>35</v>
      </c>
      <c r="I265" s="686">
        <f ca="1">I276</f>
        <v>22</v>
      </c>
      <c r="J265" s="686">
        <f>J276</f>
        <v>0</v>
      </c>
      <c r="K265" s="685">
        <f ca="1">IF(I265&gt;0,J265*100/I265,0)</f>
        <v>0</v>
      </c>
      <c r="L265" s="684"/>
      <c r="M265" s="683"/>
      <c r="N265" s="683"/>
      <c r="O265" s="683"/>
      <c r="P265" s="683"/>
      <c r="Q265" s="683"/>
      <c r="R265" s="683"/>
      <c r="S265" s="683"/>
      <c r="T265" s="683"/>
      <c r="U265" s="683"/>
    </row>
    <row r="266" spans="1:21" ht="19.5">
      <c r="A266" s="668"/>
      <c r="B266" s="667"/>
      <c r="C266" s="682" t="s">
        <v>18</v>
      </c>
      <c r="D266" s="681" t="s">
        <v>19</v>
      </c>
      <c r="E266" s="667"/>
      <c r="F266" s="667"/>
      <c r="G266" s="666"/>
      <c r="H266" s="680" t="s">
        <v>14</v>
      </c>
      <c r="I266" s="548"/>
      <c r="J266" s="548"/>
      <c r="K266" s="545"/>
      <c r="L266" s="679">
        <f ca="1">L267+L268</f>
        <v>0</v>
      </c>
      <c r="M266" s="678">
        <f ca="1">M267+M268</f>
        <v>5000</v>
      </c>
      <c r="N266" s="678">
        <f ca="1">N267+N268</f>
        <v>5000</v>
      </c>
      <c r="O266" s="678">
        <f ca="1">IF(L266&gt;0,N266*100/L266,0)</f>
        <v>0</v>
      </c>
      <c r="P266" s="678">
        <f ca="1">IF(M266&gt;0,N266*100/M266,0)</f>
        <v>100</v>
      </c>
      <c r="Q266" s="678">
        <f ca="1">Q267+Q268</f>
        <v>50660</v>
      </c>
      <c r="R266" s="678">
        <f ca="1">R267+R268</f>
        <v>50660</v>
      </c>
      <c r="S266" s="678">
        <f ca="1">S267+S268</f>
        <v>40120</v>
      </c>
      <c r="T266" s="678">
        <f ca="1">IF(Q266&gt;0,S266*100/Q266,0)</f>
        <v>79.194630872483216</v>
      </c>
      <c r="U266" s="678">
        <f ca="1">IF(R266&gt;0,S266*100/R266,0)</f>
        <v>79.194630872483216</v>
      </c>
    </row>
    <row r="267" spans="1:21" ht="18.75" hidden="1">
      <c r="A267" s="673"/>
      <c r="B267" s="672"/>
      <c r="C267" s="672"/>
      <c r="D267" s="672"/>
      <c r="E267" s="186" t="s">
        <v>20</v>
      </c>
      <c r="F267" s="672"/>
      <c r="G267" s="671"/>
      <c r="H267" s="187" t="s">
        <v>14</v>
      </c>
      <c r="I267" s="677"/>
      <c r="J267" s="677"/>
      <c r="K267" s="676"/>
      <c r="L267" s="103">
        <f>L270+L273</f>
        <v>0</v>
      </c>
      <c r="M267" s="102">
        <f>M270+M273</f>
        <v>0</v>
      </c>
      <c r="N267" s="102">
        <f>N270+N273</f>
        <v>0</v>
      </c>
      <c r="O267" s="102">
        <f>IF(L267&gt;0,N267*100/L267,0)</f>
        <v>0</v>
      </c>
      <c r="P267" s="102">
        <f>IF(M267&gt;0,N267*100/M267,0)</f>
        <v>0</v>
      </c>
      <c r="Q267" s="102">
        <f>Q270+Q273</f>
        <v>0</v>
      </c>
      <c r="R267" s="102">
        <f>R270+R273</f>
        <v>0</v>
      </c>
      <c r="S267" s="102">
        <f>S270+S273</f>
        <v>0</v>
      </c>
      <c r="T267" s="102">
        <f>IF(Q267&gt;0,S267*100/Q267,0)</f>
        <v>0</v>
      </c>
      <c r="U267" s="102">
        <f>IF(R267&gt;0,S267*100/R267,0)</f>
        <v>0</v>
      </c>
    </row>
    <row r="268" spans="1:21" ht="18.75" hidden="1">
      <c r="A268" s="668"/>
      <c r="B268" s="667"/>
      <c r="C268" s="667"/>
      <c r="D268" s="667"/>
      <c r="E268" s="663" t="s">
        <v>21</v>
      </c>
      <c r="F268" s="667"/>
      <c r="G268" s="666"/>
      <c r="H268" s="549" t="s">
        <v>14</v>
      </c>
      <c r="I268" s="548"/>
      <c r="J268" s="548"/>
      <c r="K268" s="545"/>
      <c r="L268" s="664">
        <f ca="1">L271+L274</f>
        <v>0</v>
      </c>
      <c r="M268" s="555">
        <f ca="1">M271+M274</f>
        <v>5000</v>
      </c>
      <c r="N268" s="555">
        <f ca="1">N271+N274</f>
        <v>5000</v>
      </c>
      <c r="O268" s="555">
        <f ca="1">IF(L268&gt;0,N268*100/L268,0)</f>
        <v>0</v>
      </c>
      <c r="P268" s="555">
        <f ca="1">IF(M268&gt;0,N268*100/M268,0)</f>
        <v>100</v>
      </c>
      <c r="Q268" s="555">
        <f ca="1">Q271+Q274</f>
        <v>50660</v>
      </c>
      <c r="R268" s="555">
        <f ca="1">R271+R274</f>
        <v>50660</v>
      </c>
      <c r="S268" s="555">
        <f ca="1">S271+S274</f>
        <v>40120</v>
      </c>
      <c r="T268" s="555">
        <f ca="1">IF(Q268&gt;0,S268*100/Q268,0)</f>
        <v>79.194630872483216</v>
      </c>
      <c r="U268" s="555">
        <f ca="1">IF(R268&gt;0,S268*100/R268,0)</f>
        <v>79.194630872483216</v>
      </c>
    </row>
    <row r="269" spans="1:21" ht="18.75">
      <c r="A269" s="668"/>
      <c r="B269" s="667"/>
      <c r="C269" s="667"/>
      <c r="D269" s="674" t="s">
        <v>22</v>
      </c>
      <c r="E269" s="667"/>
      <c r="F269" s="667"/>
      <c r="G269" s="666"/>
      <c r="H269" s="675" t="s">
        <v>14</v>
      </c>
      <c r="I269" s="659"/>
      <c r="J269" s="659"/>
      <c r="K269" s="657"/>
      <c r="L269" s="664">
        <f ca="1">L270+L271</f>
        <v>0</v>
      </c>
      <c r="M269" s="555">
        <f ca="1">M270+M271</f>
        <v>5000</v>
      </c>
      <c r="N269" s="555">
        <f ca="1">N270+N271</f>
        <v>5000</v>
      </c>
      <c r="O269" s="555">
        <f ca="1">IF(L269&gt;0,N269*100/L269,0)</f>
        <v>0</v>
      </c>
      <c r="P269" s="555">
        <f ca="1">IF(M269&gt;0,N269*100/M269,0)</f>
        <v>100</v>
      </c>
      <c r="Q269" s="555">
        <f ca="1">Q270+Q271</f>
        <v>50660</v>
      </c>
      <c r="R269" s="555">
        <f ca="1">R270+R271</f>
        <v>50660</v>
      </c>
      <c r="S269" s="555">
        <f ca="1">S270+S271</f>
        <v>40120</v>
      </c>
      <c r="T269" s="555">
        <f ca="1">IF(Q269&gt;0,S269*100/Q269,0)</f>
        <v>79.194630872483216</v>
      </c>
      <c r="U269" s="555">
        <f ca="1">IF(R269&gt;0,S269*100/R269,0)</f>
        <v>79.194630872483216</v>
      </c>
    </row>
    <row r="270" spans="1:21" ht="18.75" hidden="1">
      <c r="A270" s="673"/>
      <c r="B270" s="672"/>
      <c r="C270" s="672"/>
      <c r="D270" s="672"/>
      <c r="E270" s="186" t="s">
        <v>36</v>
      </c>
      <c r="F270" s="672"/>
      <c r="G270" s="671"/>
      <c r="H270" s="189" t="s">
        <v>14</v>
      </c>
      <c r="I270" s="670"/>
      <c r="J270" s="670"/>
      <c r="K270" s="669"/>
      <c r="L270" s="103">
        <v>0</v>
      </c>
      <c r="M270" s="102">
        <v>0</v>
      </c>
      <c r="N270" s="102">
        <v>0</v>
      </c>
      <c r="O270" s="102">
        <f>IF(L270&gt;0,N270*100/L270,0)</f>
        <v>0</v>
      </c>
      <c r="P270" s="102">
        <f>IF(M270&gt;0,N270*100/M270,0)</f>
        <v>0</v>
      </c>
      <c r="Q270" s="102">
        <v>0</v>
      </c>
      <c r="R270" s="102">
        <v>0</v>
      </c>
      <c r="S270" s="102">
        <v>0</v>
      </c>
      <c r="T270" s="102">
        <f>IF(Q270&gt;0,S270*100/Q270,0)</f>
        <v>0</v>
      </c>
      <c r="U270" s="102">
        <f>IF(R270&gt;0,S270*100/R270,0)</f>
        <v>0</v>
      </c>
    </row>
    <row r="271" spans="1:21" ht="18.75" hidden="1">
      <c r="A271" s="668"/>
      <c r="B271" s="667"/>
      <c r="C271" s="667"/>
      <c r="D271" s="667"/>
      <c r="E271" s="663" t="s">
        <v>37</v>
      </c>
      <c r="F271" s="667"/>
      <c r="G271" s="666"/>
      <c r="H271" s="675" t="s">
        <v>14</v>
      </c>
      <c r="I271" s="659"/>
      <c r="J271" s="659"/>
      <c r="K271" s="657"/>
      <c r="L271" s="664">
        <f ca="1">IFERROR(__xludf.DUMMYFUNCTION("IMPORTRANGE(""https://docs.google.com/spreadsheets/d/1-uDff_7J0KD5mKrp0Vvzr7lt3OU09vwQwhkpOPPYv2Y/edit?usp=sharing"",""งบพรบ!DE45"")"),0)</f>
        <v>0</v>
      </c>
      <c r="M271" s="555">
        <f ca="1">IFERROR(__xludf.DUMMYFUNCTION("IMPORTRANGE(""https://docs.google.com/spreadsheets/d/1-uDff_7J0KD5mKrp0Vvzr7lt3OU09vwQwhkpOPPYv2Y/edit?usp=sharing"",""งบพรบ!DJ45"")"),5000)</f>
        <v>5000</v>
      </c>
      <c r="N271" s="555">
        <f ca="1">IFERROR(__xludf.DUMMYFUNCTION("IMPORTRANGE(""https://docs.google.com/spreadsheets/d/1-uDff_7J0KD5mKrp0Vvzr7lt3OU09vwQwhkpOPPYv2Y/edit?usp=sharing"",""งบพรบ!DL45"")"),5000)</f>
        <v>5000</v>
      </c>
      <c r="O271" s="555">
        <f ca="1">IF(L271&gt;0,N271*100/L271,0)</f>
        <v>0</v>
      </c>
      <c r="P271" s="555">
        <f ca="1">IF(M271&gt;0,N271*100/M271,0)</f>
        <v>100</v>
      </c>
      <c r="Q271" s="555">
        <f ca="1">IFERROR(__xludf.DUMMYFUNCTION("IMPORTRANGE(""https://docs.google.com/spreadsheets/d/1ItG2mGa2ceCfYo0BwxsXqNm01IGEUdYcSSLTEv9YCik/edit?usp=sharing"",""เบิกจ่ายกองทุน!AJ45"")"),50660)</f>
        <v>50660</v>
      </c>
      <c r="R271" s="555">
        <f ca="1">IFERROR(__xludf.DUMMYFUNCTION("IMPORTRANGE(""https://docs.google.com/spreadsheets/d/1ItG2mGa2ceCfYo0BwxsXqNm01IGEUdYcSSLTEv9YCik/edit?usp=sharing"",""เบิกจ่ายกองทุน!AK45"")"),50660)</f>
        <v>50660</v>
      </c>
      <c r="S271" s="555">
        <f ca="1">IFERROR(__xludf.DUMMYFUNCTION("IMPORTRANGE(""https://docs.google.com/spreadsheets/d/1ItG2mGa2ceCfYo0BwxsXqNm01IGEUdYcSSLTEv9YCik/edit?usp=sharing"",""เบิกจ่ายกองทุน!AL45"")"),40120)</f>
        <v>40120</v>
      </c>
      <c r="T271" s="555">
        <f ca="1">IF(Q271&gt;0,S271*100/Q271,0)</f>
        <v>79.194630872483216</v>
      </c>
      <c r="U271" s="555">
        <f ca="1">IF(R271&gt;0,S271*100/R271,0)</f>
        <v>79.194630872483216</v>
      </c>
    </row>
    <row r="272" spans="1:21" ht="18.75">
      <c r="A272" s="668"/>
      <c r="B272" s="667"/>
      <c r="C272" s="667"/>
      <c r="D272" s="674" t="s">
        <v>23</v>
      </c>
      <c r="E272" s="667"/>
      <c r="F272" s="667"/>
      <c r="G272" s="666"/>
      <c r="H272" s="665" t="s">
        <v>14</v>
      </c>
      <c r="I272" s="659"/>
      <c r="J272" s="659"/>
      <c r="K272" s="657"/>
      <c r="L272" s="664">
        <f ca="1">L273+L274</f>
        <v>0</v>
      </c>
      <c r="M272" s="555">
        <f ca="1">M273+M274</f>
        <v>0</v>
      </c>
      <c r="N272" s="555">
        <f ca="1">N273+N274</f>
        <v>0</v>
      </c>
      <c r="O272" s="555">
        <f ca="1">IF(L272&gt;0,N272*100/L272,0)</f>
        <v>0</v>
      </c>
      <c r="P272" s="555">
        <f ca="1">IF(M272&gt;0,N272*100/M272,0)</f>
        <v>0</v>
      </c>
      <c r="Q272" s="555">
        <f>Q273+Q274</f>
        <v>0</v>
      </c>
      <c r="R272" s="555">
        <f>R273+R274</f>
        <v>0</v>
      </c>
      <c r="S272" s="555">
        <f>S273+S274</f>
        <v>0</v>
      </c>
      <c r="T272" s="555">
        <f>IF(Q272&gt;0,S272*100/Q272,0)</f>
        <v>0</v>
      </c>
      <c r="U272" s="555">
        <f>IF(R272&gt;0,S272*100/R272,0)</f>
        <v>0</v>
      </c>
    </row>
    <row r="273" spans="1:21" ht="18.75" hidden="1">
      <c r="A273" s="673"/>
      <c r="B273" s="672"/>
      <c r="C273" s="672"/>
      <c r="D273" s="672"/>
      <c r="E273" s="186" t="s">
        <v>20</v>
      </c>
      <c r="F273" s="672"/>
      <c r="G273" s="671"/>
      <c r="H273" s="189" t="s">
        <v>14</v>
      </c>
      <c r="I273" s="670"/>
      <c r="J273" s="670"/>
      <c r="K273" s="669"/>
      <c r="L273" s="103">
        <v>0</v>
      </c>
      <c r="M273" s="102">
        <v>0</v>
      </c>
      <c r="N273" s="102">
        <v>0</v>
      </c>
      <c r="O273" s="102">
        <f>IF(L273&gt;0,N273*100/L273,0)</f>
        <v>0</v>
      </c>
      <c r="P273" s="102">
        <f>IF(M273&gt;0,N273*100/M273,0)</f>
        <v>0</v>
      </c>
      <c r="Q273" s="102">
        <v>0</v>
      </c>
      <c r="R273" s="102">
        <v>0</v>
      </c>
      <c r="S273" s="102">
        <v>0</v>
      </c>
      <c r="T273" s="102">
        <f>IF(Q273&gt;0,S273*100/Q273,0)</f>
        <v>0</v>
      </c>
      <c r="U273" s="102">
        <f>IF(R273&gt;0,S273*100/R273,0)</f>
        <v>0</v>
      </c>
    </row>
    <row r="274" spans="1:21" ht="18.75" hidden="1">
      <c r="A274" s="668"/>
      <c r="B274" s="667"/>
      <c r="C274" s="667"/>
      <c r="D274" s="667"/>
      <c r="E274" s="663" t="s">
        <v>21</v>
      </c>
      <c r="F274" s="667"/>
      <c r="G274" s="666"/>
      <c r="H274" s="665" t="s">
        <v>14</v>
      </c>
      <c r="I274" s="659"/>
      <c r="J274" s="659"/>
      <c r="K274" s="657"/>
      <c r="L274" s="664">
        <f ca="1">IFERROR(__xludf.DUMMYFUNCTION("IMPORTRANGE(""https://docs.google.com/spreadsheets/d/1-uDff_7J0KD5mKrp0Vvzr7lt3OU09vwQwhkpOPPYv2Y/edit?usp=sharing"",""งบพรบ!DH45"")"),0)</f>
        <v>0</v>
      </c>
      <c r="M274" s="555">
        <f ca="1">IFERROR(__xludf.DUMMYFUNCTION("IMPORTRANGE(""https://docs.google.com/spreadsheets/d/1-uDff_7J0KD5mKrp0Vvzr7lt3OU09vwQwhkpOPPYv2Y/edit?usp=sharing"",""งบพรบ!DK45"")"),0)</f>
        <v>0</v>
      </c>
      <c r="N274" s="555">
        <f ca="1">IFERROR(__xludf.DUMMYFUNCTION("IMPORTRANGE(""https://docs.google.com/spreadsheets/d/1-uDff_7J0KD5mKrp0Vvzr7lt3OU09vwQwhkpOPPYv2Y/edit?usp=sharing"",""งบพรบ!DM45"")"),0)</f>
        <v>0</v>
      </c>
      <c r="O274" s="555">
        <f ca="1">IF(L274&gt;0,N274*100/L274,0)</f>
        <v>0</v>
      </c>
      <c r="P274" s="555">
        <f ca="1">IF(M274&gt;0,N274*100/M274,0)</f>
        <v>0</v>
      </c>
      <c r="Q274" s="555">
        <v>0</v>
      </c>
      <c r="R274" s="555">
        <v>0</v>
      </c>
      <c r="S274" s="555">
        <v>0</v>
      </c>
      <c r="T274" s="555">
        <f>IF(Q274&gt;0,S274*100/Q274,0)</f>
        <v>0</v>
      </c>
      <c r="U274" s="555">
        <f>IF(R274&gt;0,S274*100/R274,0)</f>
        <v>0</v>
      </c>
    </row>
    <row r="275" spans="1:21" ht="19.5">
      <c r="A275" s="554"/>
      <c r="B275" s="553"/>
      <c r="C275" s="663" t="s">
        <v>18</v>
      </c>
      <c r="D275" s="662" t="s">
        <v>38</v>
      </c>
      <c r="E275" s="661"/>
      <c r="F275" s="661"/>
      <c r="G275" s="660"/>
      <c r="H275" s="550"/>
      <c r="I275" s="659"/>
      <c r="J275" s="659"/>
      <c r="K275" s="657"/>
      <c r="L275" s="658"/>
      <c r="M275" s="657"/>
      <c r="N275" s="657"/>
      <c r="O275" s="657"/>
      <c r="P275" s="657"/>
      <c r="Q275" s="657"/>
      <c r="R275" s="657"/>
      <c r="S275" s="657"/>
      <c r="T275" s="657"/>
      <c r="U275" s="657"/>
    </row>
    <row r="276" spans="1:21" ht="18.75">
      <c r="A276" s="656"/>
      <c r="B276" s="655"/>
      <c r="C276" s="655"/>
      <c r="D276" s="654" t="s">
        <v>115</v>
      </c>
      <c r="E276" s="653"/>
      <c r="F276" s="653"/>
      <c r="G276" s="652"/>
      <c r="H276" s="651" t="s">
        <v>35</v>
      </c>
      <c r="I276" s="650">
        <f ca="1">IFERROR(__xludf.DUMMYFUNCTION("IMPORTRANGE(""https://docs.google.com/spreadsheets/d/1eHaY18a8A9IcSdp1K8H6x8fbOy06t2VsZHhMHf-1x7Y/edit?usp=sharing"",""แผน!EC45"")"),22)</f>
        <v>22</v>
      </c>
      <c r="J276" s="649">
        <v>0</v>
      </c>
      <c r="K276" s="648">
        <f ca="1">IF(I276&gt;0,J276*100/I276,0)</f>
        <v>0</v>
      </c>
      <c r="L276" s="546"/>
      <c r="M276" s="545"/>
      <c r="N276" s="545"/>
      <c r="O276" s="545"/>
      <c r="P276" s="545"/>
      <c r="Q276" s="545"/>
      <c r="R276" s="545"/>
      <c r="S276" s="545"/>
      <c r="T276" s="545"/>
      <c r="U276" s="545"/>
    </row>
    <row r="277" spans="1:21" ht="18.75" hidden="1">
      <c r="A277" s="281"/>
      <c r="B277" s="282"/>
      <c r="C277" s="282"/>
      <c r="D277" s="647" t="s">
        <v>116</v>
      </c>
      <c r="E277" s="2"/>
      <c r="F277" s="2"/>
      <c r="G277" s="284"/>
      <c r="H277" s="646" t="s">
        <v>35</v>
      </c>
      <c r="I277" s="486">
        <v>0</v>
      </c>
      <c r="J277" s="486">
        <v>0</v>
      </c>
      <c r="K277" s="645">
        <v>0</v>
      </c>
      <c r="L277" s="287"/>
      <c r="M277" s="286"/>
      <c r="N277" s="286"/>
      <c r="O277" s="286"/>
      <c r="P277" s="286"/>
      <c r="Q277" s="286"/>
      <c r="R277" s="286"/>
      <c r="S277" s="286"/>
      <c r="T277" s="286"/>
      <c r="U277" s="286"/>
    </row>
    <row r="278" spans="1:21" ht="19.5">
      <c r="A278" s="288" t="s">
        <v>117</v>
      </c>
      <c r="B278" s="289"/>
      <c r="C278" s="289"/>
      <c r="D278" s="289"/>
      <c r="E278" s="290"/>
      <c r="F278" s="290"/>
      <c r="G278" s="290"/>
      <c r="H278" s="290"/>
      <c r="I278" s="291"/>
      <c r="J278" s="291"/>
      <c r="K278" s="292"/>
      <c r="L278" s="292"/>
      <c r="M278" s="292"/>
      <c r="N278" s="292"/>
      <c r="O278" s="292"/>
      <c r="P278" s="293"/>
      <c r="Q278" s="292"/>
      <c r="R278" s="292"/>
      <c r="S278" s="292"/>
      <c r="T278" s="292"/>
      <c r="U278" s="293"/>
    </row>
    <row r="279" spans="1:21" ht="19.5">
      <c r="A279" s="294" t="s">
        <v>118</v>
      </c>
      <c r="B279" s="295"/>
      <c r="C279" s="296"/>
      <c r="D279" s="295"/>
      <c r="E279" s="295"/>
      <c r="F279" s="295"/>
      <c r="G279" s="295"/>
      <c r="H279" s="295"/>
      <c r="I279" s="297"/>
      <c r="J279" s="298"/>
      <c r="K279" s="299"/>
      <c r="L279" s="300"/>
      <c r="M279" s="299"/>
      <c r="N279" s="299"/>
      <c r="O279" s="299"/>
      <c r="P279" s="299"/>
      <c r="Q279" s="299"/>
      <c r="R279" s="299"/>
      <c r="S279" s="299"/>
      <c r="T279" s="299"/>
      <c r="U279" s="299"/>
    </row>
    <row r="280" spans="1:21" ht="19.5">
      <c r="A280" s="301"/>
      <c r="B280" s="302" t="s">
        <v>119</v>
      </c>
      <c r="C280" s="303"/>
      <c r="D280" s="304"/>
      <c r="E280" s="303"/>
      <c r="F280" s="303"/>
      <c r="G280" s="305"/>
      <c r="H280" s="306" t="s">
        <v>35</v>
      </c>
      <c r="I280" s="644">
        <f ca="1">I293</f>
        <v>30</v>
      </c>
      <c r="J280" s="644">
        <f>J293</f>
        <v>30</v>
      </c>
      <c r="K280" s="643">
        <f ca="1">IF(I280&gt;0,J280*100/I280,0)</f>
        <v>100</v>
      </c>
      <c r="L280" s="310"/>
      <c r="M280" s="309"/>
      <c r="N280" s="309"/>
      <c r="O280" s="309"/>
      <c r="P280" s="309"/>
      <c r="Q280" s="309"/>
      <c r="R280" s="309"/>
      <c r="S280" s="309"/>
      <c r="T280" s="309"/>
      <c r="U280" s="309"/>
    </row>
    <row r="281" spans="1:21" ht="19.5">
      <c r="A281" s="301"/>
      <c r="B281" s="303"/>
      <c r="C281" s="303"/>
      <c r="D281" s="304"/>
      <c r="E281" s="303"/>
      <c r="F281" s="303"/>
      <c r="G281" s="305"/>
      <c r="H281" s="306" t="s">
        <v>46</v>
      </c>
      <c r="I281" s="644">
        <f ca="1">I292</f>
        <v>300</v>
      </c>
      <c r="J281" s="644">
        <f>J292</f>
        <v>300</v>
      </c>
      <c r="K281" s="643">
        <f ca="1">IF(I281&gt;0,J281*100/I281,0)</f>
        <v>100</v>
      </c>
      <c r="L281" s="310"/>
      <c r="M281" s="309"/>
      <c r="N281" s="309"/>
      <c r="O281" s="309"/>
      <c r="P281" s="309"/>
      <c r="Q281" s="309"/>
      <c r="R281" s="309"/>
      <c r="S281" s="309"/>
      <c r="T281" s="309"/>
      <c r="U281" s="309"/>
    </row>
    <row r="282" spans="1:21" ht="19.5">
      <c r="A282" s="155"/>
      <c r="B282" s="50"/>
      <c r="C282" s="156" t="s">
        <v>18</v>
      </c>
      <c r="D282" s="575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541">
        <f ca="1">L283+L284</f>
        <v>175420</v>
      </c>
      <c r="M282" s="540">
        <f ca="1">M283+M284</f>
        <v>175420</v>
      </c>
      <c r="N282" s="540">
        <f ca="1">N283+N284</f>
        <v>151545.60999999999</v>
      </c>
      <c r="O282" s="540">
        <f ca="1">IF(L282&gt;0,N282*100/L282,0)</f>
        <v>86.390155056435972</v>
      </c>
      <c r="P282" s="540">
        <f ca="1">IF(M282&gt;0,N282*100/M282,0)</f>
        <v>86.390155056435972</v>
      </c>
      <c r="Q282" s="540">
        <f>Q283+Q284</f>
        <v>0</v>
      </c>
      <c r="R282" s="540">
        <f>R283+R284</f>
        <v>0</v>
      </c>
      <c r="S282" s="540">
        <f>S283+S284</f>
        <v>0</v>
      </c>
      <c r="T282" s="540">
        <f>IF(Q282&gt;0,S282*100/Q282,0)</f>
        <v>0</v>
      </c>
      <c r="U282" s="540">
        <f>IF(R282&gt;0,S282*100/R282,0)</f>
        <v>0</v>
      </c>
    </row>
    <row r="283" spans="1:21" ht="18.75" hidden="1">
      <c r="A283" s="155"/>
      <c r="B283" s="50"/>
      <c r="C283" s="50"/>
      <c r="D283" s="50"/>
      <c r="E283" s="186" t="s">
        <v>20</v>
      </c>
      <c r="F283" s="50"/>
      <c r="G283" s="52"/>
      <c r="H283" s="187" t="s">
        <v>14</v>
      </c>
      <c r="I283" s="54"/>
      <c r="J283" s="54"/>
      <c r="K283" s="55"/>
      <c r="L283" s="103">
        <f>L286+L289</f>
        <v>0</v>
      </c>
      <c r="M283" s="102">
        <f>M286+M289</f>
        <v>0</v>
      </c>
      <c r="N283" s="102">
        <f>N286+N289</f>
        <v>0</v>
      </c>
      <c r="O283" s="102">
        <f>IF(L283&gt;0,N283*100/L283,0)</f>
        <v>0</v>
      </c>
      <c r="P283" s="102">
        <f>IF(M283&gt;0,N283*100/M283,0)</f>
        <v>0</v>
      </c>
      <c r="Q283" s="102">
        <f>Q286+Q289</f>
        <v>0</v>
      </c>
      <c r="R283" s="102">
        <f>R286+R289</f>
        <v>0</v>
      </c>
      <c r="S283" s="102">
        <f>S286+S289</f>
        <v>0</v>
      </c>
      <c r="T283" s="102">
        <f>IF(Q283&gt;0,S283*100/Q283,0)</f>
        <v>0</v>
      </c>
      <c r="U283" s="102">
        <f>IF(R283&gt;0,S283*100/R283,0)</f>
        <v>0</v>
      </c>
    </row>
    <row r="284" spans="1:21" ht="18.75" hidden="1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256">
        <f ca="1">L287+L290</f>
        <v>175420</v>
      </c>
      <c r="M284" s="255">
        <f ca="1">M287+M290</f>
        <v>175420</v>
      </c>
      <c r="N284" s="255">
        <f ca="1">N287+N290</f>
        <v>151545.60999999999</v>
      </c>
      <c r="O284" s="255">
        <f ca="1">IF(L284&gt;0,N284*100/L284,0)</f>
        <v>86.390155056435972</v>
      </c>
      <c r="P284" s="255">
        <f ca="1">IF(M284&gt;0,N284*100/M284,0)</f>
        <v>86.390155056435972</v>
      </c>
      <c r="Q284" s="255">
        <f>Q287+Q290</f>
        <v>0</v>
      </c>
      <c r="R284" s="255">
        <f>R287+R290</f>
        <v>0</v>
      </c>
      <c r="S284" s="255">
        <f>S287+S290</f>
        <v>0</v>
      </c>
      <c r="T284" s="255">
        <f>IF(Q284&gt;0,S284*100/Q284,0)</f>
        <v>0</v>
      </c>
      <c r="U284" s="255">
        <f>IF(R284&gt;0,S284*100/R284,0)</f>
        <v>0</v>
      </c>
    </row>
    <row r="285" spans="1:21" ht="18.75">
      <c r="A285" s="155"/>
      <c r="B285" s="50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256">
        <f ca="1">L286+L287</f>
        <v>175420</v>
      </c>
      <c r="M285" s="255">
        <f ca="1">M286+M287</f>
        <v>175420</v>
      </c>
      <c r="N285" s="255">
        <f ca="1">N286+N287</f>
        <v>151545.60999999999</v>
      </c>
      <c r="O285" s="255">
        <f ca="1">IF(L285&gt;0,N285*100/L285,0)</f>
        <v>86.390155056435972</v>
      </c>
      <c r="P285" s="255">
        <f ca="1">IF(M285&gt;0,N285*100/M285,0)</f>
        <v>86.390155056435972</v>
      </c>
      <c r="Q285" s="255">
        <f>Q286+Q287</f>
        <v>0</v>
      </c>
      <c r="R285" s="255">
        <f>R286+R287</f>
        <v>0</v>
      </c>
      <c r="S285" s="255">
        <f>S286+S287</f>
        <v>0</v>
      </c>
      <c r="T285" s="255">
        <f>IF(Q285&gt;0,S285*100/Q285,0)</f>
        <v>0</v>
      </c>
      <c r="U285" s="255">
        <f>IF(R285&gt;0,S285*100/R285,0)</f>
        <v>0</v>
      </c>
    </row>
    <row r="286" spans="1:21" ht="18.75" hidden="1">
      <c r="A286" s="155"/>
      <c r="B286" s="50"/>
      <c r="C286" s="50"/>
      <c r="D286" s="50"/>
      <c r="E286" s="186" t="s">
        <v>36</v>
      </c>
      <c r="F286" s="50"/>
      <c r="G286" s="52"/>
      <c r="H286" s="189" t="s">
        <v>14</v>
      </c>
      <c r="I286" s="163"/>
      <c r="J286" s="163"/>
      <c r="K286" s="164"/>
      <c r="L286" s="103">
        <v>0</v>
      </c>
      <c r="M286" s="102">
        <v>0</v>
      </c>
      <c r="N286" s="102">
        <v>0</v>
      </c>
      <c r="O286" s="102">
        <f>IF(L286&gt;0,N286*100/L286,0)</f>
        <v>0</v>
      </c>
      <c r="P286" s="102">
        <f>IF(M286&gt;0,N286*100/M286,0)</f>
        <v>0</v>
      </c>
      <c r="Q286" s="102">
        <v>0</v>
      </c>
      <c r="R286" s="102">
        <v>0</v>
      </c>
      <c r="S286" s="102">
        <v>0</v>
      </c>
      <c r="T286" s="102">
        <f>IF(Q286&gt;0,S286*100/Q286,0)</f>
        <v>0</v>
      </c>
      <c r="U286" s="102">
        <f>IF(R286&gt;0,S286*100/R286,0)</f>
        <v>0</v>
      </c>
    </row>
    <row r="287" spans="1:21" ht="18.75" hidden="1">
      <c r="A287" s="155"/>
      <c r="B287" s="50"/>
      <c r="C287" s="50"/>
      <c r="D287" s="50"/>
      <c r="E287" s="58" t="s">
        <v>37</v>
      </c>
      <c r="F287" s="50"/>
      <c r="G287" s="52"/>
      <c r="H287" s="162" t="s">
        <v>14</v>
      </c>
      <c r="I287" s="163"/>
      <c r="J287" s="163"/>
      <c r="K287" s="164"/>
      <c r="L287" s="256">
        <f ca="1">IFERROR(__xludf.DUMMYFUNCTION("IMPORTRANGE(""https://docs.google.com/spreadsheets/d/1-uDff_7J0KD5mKrp0Vvzr7lt3OU09vwQwhkpOPPYv2Y/edit?usp=sharing"",""งบพรบ!DO45"")"),175420)</f>
        <v>175420</v>
      </c>
      <c r="M287" s="255">
        <f ca="1">IFERROR(__xludf.DUMMYFUNCTION("IMPORTRANGE(""https://docs.google.com/spreadsheets/d/1-uDff_7J0KD5mKrp0Vvzr7lt3OU09vwQwhkpOPPYv2Y/edit?usp=sharing"",""งบพรบ!DT45"")"),175420)</f>
        <v>175420</v>
      </c>
      <c r="N287" s="255">
        <f ca="1">IFERROR(__xludf.DUMMYFUNCTION("IMPORTRANGE(""https://docs.google.com/spreadsheets/d/1-uDff_7J0KD5mKrp0Vvzr7lt3OU09vwQwhkpOPPYv2Y/edit?usp=sharing"",""งบพรบ!DV45"")"),151545.61)</f>
        <v>151545.60999999999</v>
      </c>
      <c r="O287" s="255">
        <f ca="1">IF(L287&gt;0,N287*100/L287,0)</f>
        <v>86.390155056435972</v>
      </c>
      <c r="P287" s="255">
        <f ca="1">IF(M287&gt;0,N287*100/M287,0)</f>
        <v>86.390155056435972</v>
      </c>
      <c r="Q287" s="255">
        <v>0</v>
      </c>
      <c r="R287" s="255">
        <v>0</v>
      </c>
      <c r="S287" s="255">
        <v>0</v>
      </c>
      <c r="T287" s="102">
        <f>IF(Q287&gt;0,S287*100/Q287,0)</f>
        <v>0</v>
      </c>
      <c r="U287" s="102">
        <f>IF(R287&gt;0,S287*100/R287,0)</f>
        <v>0</v>
      </c>
    </row>
    <row r="288" spans="1:21" ht="18.75">
      <c r="A288" s="155"/>
      <c r="B288" s="50"/>
      <c r="C288" s="50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256">
        <f ca="1">L289+L290</f>
        <v>0</v>
      </c>
      <c r="M288" s="255">
        <f ca="1">M289+M290</f>
        <v>0</v>
      </c>
      <c r="N288" s="255">
        <f ca="1">N289+N290</f>
        <v>0</v>
      </c>
      <c r="O288" s="255">
        <f ca="1">IF(L288&gt;0,N288*100/L288,0)</f>
        <v>0</v>
      </c>
      <c r="P288" s="255">
        <f ca="1">IF(M288&gt;0,N288*100/M288,0)</f>
        <v>0</v>
      </c>
      <c r="Q288" s="255">
        <f>Q289+Q290</f>
        <v>0</v>
      </c>
      <c r="R288" s="255">
        <f>R289+R290</f>
        <v>0</v>
      </c>
      <c r="S288" s="255">
        <f>S289+S290</f>
        <v>0</v>
      </c>
      <c r="T288" s="255">
        <f>IF(Q288&gt;0,S288*100/Q288,0)</f>
        <v>0</v>
      </c>
      <c r="U288" s="255">
        <f>IF(R288&gt;0,S288*100/R288,0)</f>
        <v>0</v>
      </c>
    </row>
    <row r="289" spans="1:21" ht="18.75" hidden="1">
      <c r="A289" s="155"/>
      <c r="B289" s="50"/>
      <c r="C289" s="50"/>
      <c r="D289" s="50"/>
      <c r="E289" s="186" t="s">
        <v>20</v>
      </c>
      <c r="F289" s="50"/>
      <c r="G289" s="52"/>
      <c r="H289" s="189" t="s">
        <v>14</v>
      </c>
      <c r="I289" s="163"/>
      <c r="J289" s="163"/>
      <c r="K289" s="164"/>
      <c r="L289" s="103">
        <v>0</v>
      </c>
      <c r="M289" s="102">
        <v>0</v>
      </c>
      <c r="N289" s="102">
        <v>0</v>
      </c>
      <c r="O289" s="102">
        <f>IF(L289&gt;0,N289*100/L289,0)</f>
        <v>0</v>
      </c>
      <c r="P289" s="102">
        <f>IF(M289&gt;0,N289*100/M289,0)</f>
        <v>0</v>
      </c>
      <c r="Q289" s="102">
        <v>0</v>
      </c>
      <c r="R289" s="102">
        <v>0</v>
      </c>
      <c r="S289" s="102">
        <v>0</v>
      </c>
      <c r="T289" s="102">
        <f>IF(Q289&gt;0,S289*100/Q289,0)</f>
        <v>0</v>
      </c>
      <c r="U289" s="102">
        <f>IF(R289&gt;0,S289*100/R289,0)</f>
        <v>0</v>
      </c>
    </row>
    <row r="290" spans="1:21" ht="18.75" hidden="1">
      <c r="A290" s="155"/>
      <c r="B290" s="50"/>
      <c r="C290" s="50"/>
      <c r="D290" s="50"/>
      <c r="E290" s="58" t="s">
        <v>21</v>
      </c>
      <c r="F290" s="50"/>
      <c r="G290" s="52"/>
      <c r="H290" s="165" t="s">
        <v>14</v>
      </c>
      <c r="I290" s="163"/>
      <c r="J290" s="163"/>
      <c r="K290" s="164"/>
      <c r="L290" s="256">
        <f ca="1">IFERROR(__xludf.DUMMYFUNCTION("IMPORTRANGE(""https://docs.google.com/spreadsheets/d/1-uDff_7J0KD5mKrp0Vvzr7lt3OU09vwQwhkpOPPYv2Y/edit?usp=sharing"",""งบพรบ!DR45"")"),0)</f>
        <v>0</v>
      </c>
      <c r="M290" s="255">
        <f ca="1">IFERROR(__xludf.DUMMYFUNCTION("IMPORTRANGE(""https://docs.google.com/spreadsheets/d/1-uDff_7J0KD5mKrp0Vvzr7lt3OU09vwQwhkpOPPYv2Y/edit?usp=sharing"",""งบพรบ!DU45"")"),0)</f>
        <v>0</v>
      </c>
      <c r="N290" s="255">
        <f ca="1">IFERROR(__xludf.DUMMYFUNCTION("IMPORTRANGE(""https://docs.google.com/spreadsheets/d/1-uDff_7J0KD5mKrp0Vvzr7lt3OU09vwQwhkpOPPYv2Y/edit?usp=sharing"",""งบพรบ!DW45"")"),0)</f>
        <v>0</v>
      </c>
      <c r="O290" s="255">
        <f ca="1">IF(L290&gt;0,N290*100/L290,0)</f>
        <v>0</v>
      </c>
      <c r="P290" s="255">
        <f ca="1">IF(M290&gt;0,N290*100/M290,0)</f>
        <v>0</v>
      </c>
      <c r="Q290" s="255">
        <v>0</v>
      </c>
      <c r="R290" s="255">
        <v>0</v>
      </c>
      <c r="S290" s="255">
        <v>0</v>
      </c>
      <c r="T290" s="255">
        <f>IF(Q290&gt;0,S290*100/Q290,0)</f>
        <v>0</v>
      </c>
      <c r="U290" s="255">
        <f>IF(R290&gt;0,S290*100/R290,0)</f>
        <v>0</v>
      </c>
    </row>
    <row r="291" spans="1:21" ht="19.5">
      <c r="A291" s="166"/>
      <c r="B291" s="167"/>
      <c r="C291" s="156" t="s">
        <v>18</v>
      </c>
      <c r="D291" s="566" t="s">
        <v>38</v>
      </c>
      <c r="E291" s="169"/>
      <c r="F291" s="169"/>
      <c r="G291" s="170"/>
      <c r="H291" s="171"/>
      <c r="I291" s="163"/>
      <c r="J291" s="163"/>
      <c r="K291" s="164"/>
      <c r="L291" s="172"/>
      <c r="M291" s="164"/>
      <c r="N291" s="164"/>
      <c r="O291" s="164"/>
      <c r="P291" s="164"/>
      <c r="Q291" s="164"/>
      <c r="R291" s="164"/>
      <c r="S291" s="164"/>
      <c r="T291" s="164"/>
      <c r="U291" s="164"/>
    </row>
    <row r="292" spans="1:21" ht="18.75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212">
        <f ca="1">IFERROR(__xludf.DUMMYFUNCTION("IMPORTRANGE(""https://docs.google.com/spreadsheets/d/1eHaY18a8A9IcSdp1K8H6x8fbOy06t2VsZHhMHf-1x7Y/edit?usp=sharing"",""แผน!EE45"")"),300)</f>
        <v>300</v>
      </c>
      <c r="J292" s="467">
        <v>300</v>
      </c>
      <c r="K292" s="565">
        <f ca="1">IF(I292&gt;0,J292*100/I292,0)</f>
        <v>100</v>
      </c>
      <c r="L292" s="172"/>
      <c r="M292" s="164"/>
      <c r="N292" s="164"/>
      <c r="O292" s="164"/>
      <c r="P292" s="164"/>
      <c r="Q292" s="164"/>
      <c r="R292" s="164"/>
      <c r="S292" s="164"/>
      <c r="T292" s="164"/>
      <c r="U292" s="164"/>
    </row>
    <row r="293" spans="1:21" ht="19.5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373">
        <f ca="1">IFERROR(__xludf.DUMMYFUNCTION("IMPORTRANGE(""https://docs.google.com/spreadsheets/d/1eHaY18a8A9IcSdp1K8H6x8fbOy06t2VsZHhMHf-1x7Y/edit?usp=sharing"",""แผน!ED45"")"),30)</f>
        <v>30</v>
      </c>
      <c r="J293" s="373">
        <f>J296</f>
        <v>30</v>
      </c>
      <c r="K293" s="642">
        <f ca="1">IF(I293&gt;0,J293*100/I293,0)</f>
        <v>100</v>
      </c>
      <c r="L293" s="172"/>
      <c r="M293" s="164"/>
      <c r="N293" s="164"/>
      <c r="O293" s="164"/>
      <c r="P293" s="164"/>
      <c r="Q293" s="164"/>
      <c r="R293" s="164"/>
      <c r="S293" s="164"/>
      <c r="T293" s="164"/>
      <c r="U293" s="164"/>
    </row>
    <row r="294" spans="1:21" ht="19.5">
      <c r="A294" s="166"/>
      <c r="B294" s="167"/>
      <c r="C294" s="167"/>
      <c r="D294" s="174"/>
      <c r="E294" s="194" t="s">
        <v>122</v>
      </c>
      <c r="F294" s="174"/>
      <c r="G294" s="171"/>
      <c r="H294" s="171"/>
      <c r="I294" s="163"/>
      <c r="J294" s="54"/>
      <c r="K294" s="164"/>
      <c r="L294" s="172"/>
      <c r="M294" s="164"/>
      <c r="N294" s="164"/>
      <c r="O294" s="164"/>
      <c r="P294" s="164"/>
      <c r="Q294" s="164"/>
      <c r="R294" s="164"/>
      <c r="S294" s="164"/>
      <c r="T294" s="164"/>
      <c r="U294" s="164"/>
    </row>
    <row r="295" spans="1:21" ht="19.5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641">
        <f ca="1">IFERROR(__xludf.DUMMYFUNCTION("IMPORTRANGE(""https://docs.google.com/spreadsheets/d/1eHaY18a8A9IcSdp1K8H6x8fbOy06t2VsZHhMHf-1x7Y/edit?usp=sharing"",""แผน!ED45"")"),30)</f>
        <v>30</v>
      </c>
      <c r="J295" s="467">
        <v>30</v>
      </c>
      <c r="K295" s="565">
        <f ca="1">IF(I295&gt;0,J295*100/I295,0)</f>
        <v>100</v>
      </c>
      <c r="L295" s="172"/>
      <c r="M295" s="164"/>
      <c r="N295" s="164"/>
      <c r="O295" s="164"/>
      <c r="P295" s="164"/>
      <c r="Q295" s="164"/>
      <c r="R295" s="164"/>
      <c r="S295" s="164"/>
      <c r="T295" s="164"/>
      <c r="U295" s="164"/>
    </row>
    <row r="296" spans="1:21" ht="19.5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641">
        <f ca="1">IFERROR(__xludf.DUMMYFUNCTION("IMPORTRANGE(""https://docs.google.com/spreadsheets/d/1eHaY18a8A9IcSdp1K8H6x8fbOy06t2VsZHhMHf-1x7Y/edit?usp=sharing"",""แผน!ED45"")"),30)</f>
        <v>30</v>
      </c>
      <c r="J296" s="467">
        <v>30</v>
      </c>
      <c r="K296" s="565">
        <f ca="1">IF(I296&gt;0,J296*100/I296,0)</f>
        <v>100</v>
      </c>
      <c r="L296" s="172"/>
      <c r="M296" s="164"/>
      <c r="N296" s="164"/>
      <c r="O296" s="164"/>
      <c r="P296" s="164"/>
      <c r="Q296" s="164"/>
      <c r="R296" s="164"/>
      <c r="S296" s="164"/>
      <c r="T296" s="164"/>
      <c r="U296" s="164"/>
    </row>
    <row r="297" spans="1:21" ht="12.75" hidden="1">
      <c r="A297" s="192"/>
      <c r="B297" s="193"/>
      <c r="C297" s="193"/>
      <c r="D297" s="22"/>
      <c r="E297" s="22"/>
      <c r="F297" s="22"/>
      <c r="G297" s="23"/>
      <c r="H297" s="23"/>
      <c r="I297" s="24"/>
      <c r="J297" s="24"/>
      <c r="K297" s="25"/>
      <c r="L297" s="26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2.75" hidden="1">
      <c r="A298" s="192"/>
      <c r="B298" s="193"/>
      <c r="C298" s="193"/>
      <c r="D298" s="22"/>
      <c r="E298" s="22"/>
      <c r="F298" s="22"/>
      <c r="G298" s="23"/>
      <c r="H298" s="23"/>
      <c r="I298" s="24"/>
      <c r="J298" s="24"/>
      <c r="K298" s="25"/>
      <c r="L298" s="26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2.75" hidden="1">
      <c r="A299" s="311"/>
      <c r="B299" s="312"/>
      <c r="C299" s="312"/>
      <c r="D299" s="27"/>
      <c r="E299" s="27"/>
      <c r="F299" s="27"/>
      <c r="G299" s="17"/>
      <c r="H299" s="17"/>
      <c r="I299" s="18"/>
      <c r="J299" s="18"/>
      <c r="K299" s="19"/>
      <c r="L299" s="28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>
      <c r="A300" s="313" t="s">
        <v>125</v>
      </c>
      <c r="B300" s="314"/>
      <c r="C300" s="314"/>
      <c r="D300" s="314"/>
      <c r="E300" s="315"/>
      <c r="F300" s="315"/>
      <c r="G300" s="315"/>
      <c r="H300" s="315"/>
      <c r="I300" s="316"/>
      <c r="J300" s="316"/>
      <c r="K300" s="317"/>
      <c r="L300" s="317"/>
      <c r="M300" s="317"/>
      <c r="N300" s="317"/>
      <c r="O300" s="317"/>
      <c r="P300" s="318"/>
      <c r="Q300" s="317"/>
      <c r="R300" s="317"/>
      <c r="S300" s="317"/>
      <c r="T300" s="317"/>
      <c r="U300" s="318"/>
    </row>
    <row r="301" spans="1:21" ht="19.5">
      <c r="A301" s="319" t="s">
        <v>126</v>
      </c>
      <c r="B301" s="320"/>
      <c r="C301" s="320"/>
      <c r="D301" s="321"/>
      <c r="E301" s="321"/>
      <c r="F301" s="321"/>
      <c r="G301" s="322"/>
      <c r="H301" s="322"/>
      <c r="I301" s="323"/>
      <c r="J301" s="323"/>
      <c r="K301" s="324"/>
      <c r="L301" s="325"/>
      <c r="M301" s="324"/>
      <c r="N301" s="324"/>
      <c r="O301" s="324"/>
      <c r="P301" s="324"/>
      <c r="Q301" s="324"/>
      <c r="R301" s="324"/>
      <c r="S301" s="324"/>
      <c r="T301" s="324"/>
      <c r="U301" s="324"/>
    </row>
    <row r="302" spans="1:21" ht="19.5">
      <c r="A302" s="326"/>
      <c r="B302" s="327" t="s">
        <v>127</v>
      </c>
      <c r="C302" s="328"/>
      <c r="D302" s="328"/>
      <c r="E302" s="328"/>
      <c r="F302" s="328"/>
      <c r="G302" s="329"/>
      <c r="H302" s="330" t="s">
        <v>35</v>
      </c>
      <c r="I302" s="605">
        <f ca="1">I314</f>
        <v>20</v>
      </c>
      <c r="J302" s="605">
        <f>J314</f>
        <v>20</v>
      </c>
      <c r="K302" s="604">
        <f ca="1">IF(I302&gt;0,J302*100/I302,0)</f>
        <v>100</v>
      </c>
      <c r="L302" s="334"/>
      <c r="M302" s="333"/>
      <c r="N302" s="333"/>
      <c r="O302" s="333"/>
      <c r="P302" s="333"/>
      <c r="Q302" s="333"/>
      <c r="R302" s="333"/>
      <c r="S302" s="333"/>
      <c r="T302" s="333"/>
      <c r="U302" s="333"/>
    </row>
    <row r="303" spans="1:21" ht="19.5">
      <c r="A303" s="155"/>
      <c r="B303" s="50"/>
      <c r="C303" s="156" t="s">
        <v>18</v>
      </c>
      <c r="D303" s="575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541">
        <f ca="1">L304+L305</f>
        <v>133500</v>
      </c>
      <c r="M303" s="540">
        <f ca="1">M304+M305</f>
        <v>133500</v>
      </c>
      <c r="N303" s="540">
        <f ca="1">N304+N305</f>
        <v>130400</v>
      </c>
      <c r="O303" s="540">
        <f ca="1">IF(L303&gt;0,N303*100/L303,0)</f>
        <v>97.677902621722851</v>
      </c>
      <c r="P303" s="540">
        <f ca="1">IF(M303&gt;0,N303*100/M303,0)</f>
        <v>97.677902621722851</v>
      </c>
      <c r="Q303" s="540">
        <f ca="1">Q304+Q305</f>
        <v>144609.24</v>
      </c>
      <c r="R303" s="540">
        <f ca="1">R304+R305</f>
        <v>144609</v>
      </c>
      <c r="S303" s="540">
        <f ca="1">S304+S305</f>
        <v>0</v>
      </c>
      <c r="T303" s="540">
        <f ca="1">IF(Q303&gt;0,S303*100/Q303,0)</f>
        <v>0</v>
      </c>
      <c r="U303" s="540">
        <f ca="1">IF(R303&gt;0,S303*100/R303,0)</f>
        <v>0</v>
      </c>
    </row>
    <row r="304" spans="1:21" ht="18.75" hidden="1">
      <c r="A304" s="155"/>
      <c r="B304" s="50"/>
      <c r="C304" s="50"/>
      <c r="D304" s="50"/>
      <c r="E304" s="186" t="s">
        <v>20</v>
      </c>
      <c r="F304" s="50"/>
      <c r="G304" s="52"/>
      <c r="H304" s="187" t="s">
        <v>14</v>
      </c>
      <c r="I304" s="54"/>
      <c r="J304" s="54"/>
      <c r="K304" s="55"/>
      <c r="L304" s="103">
        <f>L307+L310</f>
        <v>0</v>
      </c>
      <c r="M304" s="102">
        <f>M307+M310</f>
        <v>0</v>
      </c>
      <c r="N304" s="102">
        <f>N307+N310</f>
        <v>0</v>
      </c>
      <c r="O304" s="102">
        <f>IF(L304&gt;0,N304*100/L304,0)</f>
        <v>0</v>
      </c>
      <c r="P304" s="102">
        <f>IF(M304&gt;0,N304*100/M304,0)</f>
        <v>0</v>
      </c>
      <c r="Q304" s="102">
        <f>Q307+Q310</f>
        <v>0</v>
      </c>
      <c r="R304" s="102">
        <f>R307+R310</f>
        <v>0</v>
      </c>
      <c r="S304" s="102">
        <f>S307+S310</f>
        <v>0</v>
      </c>
      <c r="T304" s="102">
        <f>IF(Q304&gt;0,S304*100/Q304,0)</f>
        <v>0</v>
      </c>
      <c r="U304" s="102">
        <f>IF(R304&gt;0,S304*100/R304,0)</f>
        <v>0</v>
      </c>
    </row>
    <row r="305" spans="1:21" ht="18.75" hidden="1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256">
        <f ca="1">L308+L311</f>
        <v>133500</v>
      </c>
      <c r="M305" s="255">
        <f ca="1">M308+M311</f>
        <v>133500</v>
      </c>
      <c r="N305" s="255">
        <f ca="1">N308+N311</f>
        <v>130400</v>
      </c>
      <c r="O305" s="255">
        <f ca="1">IF(L305&gt;0,N305*100/L305,0)</f>
        <v>97.677902621722851</v>
      </c>
      <c r="P305" s="255">
        <f ca="1">IF(M305&gt;0,N305*100/M305,0)</f>
        <v>97.677902621722851</v>
      </c>
      <c r="Q305" s="255">
        <f ca="1">Q308+Q311</f>
        <v>144609.24</v>
      </c>
      <c r="R305" s="255">
        <f ca="1">R308+R311</f>
        <v>144609</v>
      </c>
      <c r="S305" s="255">
        <f ca="1">S308+S311</f>
        <v>0</v>
      </c>
      <c r="T305" s="255">
        <f ca="1">IF(Q305&gt;0,S305*100/Q305,0)</f>
        <v>0</v>
      </c>
      <c r="U305" s="255">
        <f ca="1">IF(R305&gt;0,S305*100/R305,0)</f>
        <v>0</v>
      </c>
    </row>
    <row r="306" spans="1:21" ht="18.75">
      <c r="A306" s="155"/>
      <c r="B306" s="50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256">
        <f ca="1">L307+L308</f>
        <v>133500</v>
      </c>
      <c r="M306" s="255">
        <f ca="1">M307+M308</f>
        <v>133500</v>
      </c>
      <c r="N306" s="255">
        <f ca="1">N307+N308</f>
        <v>130400</v>
      </c>
      <c r="O306" s="255">
        <f ca="1">IF(L306&gt;0,N306*100/L306,0)</f>
        <v>97.677902621722851</v>
      </c>
      <c r="P306" s="255">
        <f ca="1">IF(M306&gt;0,N306*100/M306,0)</f>
        <v>97.677902621722851</v>
      </c>
      <c r="Q306" s="255">
        <f ca="1">Q307+Q308</f>
        <v>144609.24</v>
      </c>
      <c r="R306" s="255">
        <f ca="1">R307+R308</f>
        <v>144609</v>
      </c>
      <c r="S306" s="255">
        <f ca="1">S307+S308</f>
        <v>0</v>
      </c>
      <c r="T306" s="255">
        <f ca="1">IF(Q306&gt;0,S306*100/Q306,0)</f>
        <v>0</v>
      </c>
      <c r="U306" s="255">
        <f ca="1">IF(R306&gt;0,S306*100/R306,0)</f>
        <v>0</v>
      </c>
    </row>
    <row r="307" spans="1:21" ht="18.75" hidden="1">
      <c r="A307" s="155"/>
      <c r="B307" s="50"/>
      <c r="C307" s="50"/>
      <c r="D307" s="50"/>
      <c r="E307" s="186" t="s">
        <v>36</v>
      </c>
      <c r="F307" s="50"/>
      <c r="G307" s="52"/>
      <c r="H307" s="189" t="s">
        <v>14</v>
      </c>
      <c r="I307" s="163"/>
      <c r="J307" s="163"/>
      <c r="K307" s="164"/>
      <c r="L307" s="103">
        <v>0</v>
      </c>
      <c r="M307" s="102">
        <v>0</v>
      </c>
      <c r="N307" s="102">
        <v>0</v>
      </c>
      <c r="O307" s="102">
        <f>IF(L307&gt;0,N307*100/L307,0)</f>
        <v>0</v>
      </c>
      <c r="P307" s="102">
        <f>IF(M307&gt;0,N307*100/M307,0)</f>
        <v>0</v>
      </c>
      <c r="Q307" s="102">
        <v>0</v>
      </c>
      <c r="R307" s="102">
        <v>0</v>
      </c>
      <c r="S307" s="102">
        <v>0</v>
      </c>
      <c r="T307" s="102">
        <f>IF(Q307&gt;0,S307*100/Q307,0)</f>
        <v>0</v>
      </c>
      <c r="U307" s="102">
        <f>IF(R307&gt;0,S307*100/R307,0)</f>
        <v>0</v>
      </c>
    </row>
    <row r="308" spans="1:21" ht="18.75" hidden="1">
      <c r="A308" s="155"/>
      <c r="B308" s="50"/>
      <c r="C308" s="50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256">
        <f ca="1">IFERROR(__xludf.DUMMYFUNCTION("IMPORTRANGE(""https://docs.google.com/spreadsheets/d/1-uDff_7J0KD5mKrp0Vvzr7lt3OU09vwQwhkpOPPYv2Y/edit?usp=sharing"",""งบพรบ!DY45"")"),133500)</f>
        <v>133500</v>
      </c>
      <c r="M308" s="255">
        <f ca="1">IFERROR(__xludf.DUMMYFUNCTION("IMPORTRANGE(""https://docs.google.com/spreadsheets/d/1-uDff_7J0KD5mKrp0Vvzr7lt3OU09vwQwhkpOPPYv2Y/edit?usp=sharing"",""งบพรบ!ED45"")"),133500)</f>
        <v>133500</v>
      </c>
      <c r="N308" s="255">
        <f ca="1">IFERROR(__xludf.DUMMYFUNCTION("IMPORTRANGE(""https://docs.google.com/spreadsheets/d/1-uDff_7J0KD5mKrp0Vvzr7lt3OU09vwQwhkpOPPYv2Y/edit?usp=sharing"",""งบพรบ!EF45"")"),130400)</f>
        <v>130400</v>
      </c>
      <c r="O308" s="255">
        <f ca="1">IF(L308&gt;0,N308*100/L308,0)</f>
        <v>97.677902621722851</v>
      </c>
      <c r="P308" s="255">
        <f ca="1">IF(M308&gt;0,N308*100/M308,0)</f>
        <v>97.677902621722851</v>
      </c>
      <c r="Q308" s="255">
        <f ca="1">IFERROR(__xludf.DUMMYFUNCTION("IMPORTRANGE(""https://docs.google.com/spreadsheets/d/1ItG2mGa2ceCfYo0BwxsXqNm01IGEUdYcSSLTEv9YCik/edit?usp=sharing"",""เบิกจ่ายกองทุน!AP45"")"),144609.24)</f>
        <v>144609.24</v>
      </c>
      <c r="R308" s="255">
        <f ca="1">IFERROR(__xludf.DUMMYFUNCTION("IMPORTRANGE(""https://docs.google.com/spreadsheets/d/1ItG2mGa2ceCfYo0BwxsXqNm01IGEUdYcSSLTEv9YCik/edit?usp=sharing"",""เบิกจ่ายกองทุน!AQ45"")"),144609)</f>
        <v>144609</v>
      </c>
      <c r="S308" s="255">
        <f ca="1">IFERROR(__xludf.DUMMYFUNCTION("IMPORTRANGE(""https://docs.google.com/spreadsheets/d/1ItG2mGa2ceCfYo0BwxsXqNm01IGEUdYcSSLTEv9YCik/edit?usp=sharing"",""เบิกจ่ายกองทุน!AR45"")"),0)</f>
        <v>0</v>
      </c>
      <c r="T308" s="255">
        <f ca="1">IF(Q308&gt;0,S308*100/Q308,0)</f>
        <v>0</v>
      </c>
      <c r="U308" s="255">
        <f ca="1">IF(R308&gt;0,S308*100/R308,0)</f>
        <v>0</v>
      </c>
    </row>
    <row r="309" spans="1:21" ht="18.75">
      <c r="A309" s="155"/>
      <c r="B309" s="50"/>
      <c r="C309" s="50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256">
        <f ca="1">L310+L311</f>
        <v>0</v>
      </c>
      <c r="M309" s="255">
        <f ca="1">M310+M311</f>
        <v>0</v>
      </c>
      <c r="N309" s="255">
        <f ca="1">N310+N311</f>
        <v>0</v>
      </c>
      <c r="O309" s="255">
        <f ca="1">IF(L309&gt;0,N309*100/L309,0)</f>
        <v>0</v>
      </c>
      <c r="P309" s="255">
        <f ca="1">IF(M309&gt;0,N309*100/M309,0)</f>
        <v>0</v>
      </c>
      <c r="Q309" s="255">
        <f>Q310+Q311</f>
        <v>0</v>
      </c>
      <c r="R309" s="255">
        <f>R310+R311</f>
        <v>0</v>
      </c>
      <c r="S309" s="255">
        <f>S310+S311</f>
        <v>0</v>
      </c>
      <c r="T309" s="255">
        <f>IF(Q309&gt;0,S309*100/Q309,0)</f>
        <v>0</v>
      </c>
      <c r="U309" s="255">
        <f>IF(R309&gt;0,S309*100/R309,0)</f>
        <v>0</v>
      </c>
    </row>
    <row r="310" spans="1:21" ht="18.75" hidden="1">
      <c r="A310" s="155"/>
      <c r="B310" s="50"/>
      <c r="C310" s="50"/>
      <c r="D310" s="50"/>
      <c r="E310" s="186" t="s">
        <v>20</v>
      </c>
      <c r="F310" s="50"/>
      <c r="G310" s="52"/>
      <c r="H310" s="189" t="s">
        <v>14</v>
      </c>
      <c r="I310" s="163"/>
      <c r="J310" s="163"/>
      <c r="K310" s="164"/>
      <c r="L310" s="103">
        <v>0</v>
      </c>
      <c r="M310" s="102">
        <v>0</v>
      </c>
      <c r="N310" s="102">
        <v>0</v>
      </c>
      <c r="O310" s="102">
        <f>IF(L310&gt;0,N310*100/L310,0)</f>
        <v>0</v>
      </c>
      <c r="P310" s="102">
        <f>IF(M310&gt;0,N310*100/M310,0)</f>
        <v>0</v>
      </c>
      <c r="Q310" s="102">
        <v>0</v>
      </c>
      <c r="R310" s="102">
        <v>0</v>
      </c>
      <c r="S310" s="102">
        <v>0</v>
      </c>
      <c r="T310" s="102">
        <f>IF(Q310&gt;0,S310*100/Q310,0)</f>
        <v>0</v>
      </c>
      <c r="U310" s="102">
        <f>IF(R310&gt;0,S310*100/R310,0)</f>
        <v>0</v>
      </c>
    </row>
    <row r="311" spans="1:21" ht="18.75" hidden="1">
      <c r="A311" s="155"/>
      <c r="B311" s="50"/>
      <c r="C311" s="50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256">
        <f ca="1">IFERROR(__xludf.DUMMYFUNCTION("IMPORTRANGE(""https://docs.google.com/spreadsheets/d/1-uDff_7J0KD5mKrp0Vvzr7lt3OU09vwQwhkpOPPYv2Y/edit?usp=sharing"",""งบพรบ!EB45"")"),0)</f>
        <v>0</v>
      </c>
      <c r="M311" s="255">
        <f ca="1">IFERROR(__xludf.DUMMYFUNCTION("IMPORTRANGE(""https://docs.google.com/spreadsheets/d/1-uDff_7J0KD5mKrp0Vvzr7lt3OU09vwQwhkpOPPYv2Y/edit?usp=sharing"",""งบพรบ!EE45"")"),0)</f>
        <v>0</v>
      </c>
      <c r="N311" s="255">
        <f ca="1">IFERROR(__xludf.DUMMYFUNCTION("IMPORTRANGE(""https://docs.google.com/spreadsheets/d/1-uDff_7J0KD5mKrp0Vvzr7lt3OU09vwQwhkpOPPYv2Y/edit?usp=sharing"",""งบพรบ!EG45"")"),0)</f>
        <v>0</v>
      </c>
      <c r="O311" s="255">
        <f ca="1">IF(L311&gt;0,N311*100/L311,0)</f>
        <v>0</v>
      </c>
      <c r="P311" s="255">
        <f ca="1">IF(M311&gt;0,N311*100/M311,0)</f>
        <v>0</v>
      </c>
      <c r="Q311" s="255">
        <v>0</v>
      </c>
      <c r="R311" s="255">
        <v>0</v>
      </c>
      <c r="S311" s="255">
        <v>0</v>
      </c>
      <c r="T311" s="255">
        <f>IF(Q311&gt;0,S311*100/Q311,0)</f>
        <v>0</v>
      </c>
      <c r="U311" s="255">
        <f>IF(R311&gt;0,S311*100/R311,0)</f>
        <v>0</v>
      </c>
    </row>
    <row r="312" spans="1:21" ht="19.5">
      <c r="A312" s="166"/>
      <c r="B312" s="167"/>
      <c r="C312" s="156" t="s">
        <v>18</v>
      </c>
      <c r="D312" s="566" t="s">
        <v>38</v>
      </c>
      <c r="E312" s="169"/>
      <c r="F312" s="169"/>
      <c r="G312" s="170"/>
      <c r="H312" s="171"/>
      <c r="I312" s="54"/>
      <c r="J312" s="54"/>
      <c r="K312" s="55"/>
      <c r="L312" s="62"/>
      <c r="M312" s="55"/>
      <c r="N312" s="55"/>
      <c r="O312" s="55"/>
      <c r="P312" s="55"/>
      <c r="Q312" s="55"/>
      <c r="R312" s="55"/>
      <c r="S312" s="55"/>
      <c r="T312" s="55"/>
      <c r="U312" s="55"/>
    </row>
    <row r="313" spans="1:21" ht="18.75" hidden="1">
      <c r="A313" s="192"/>
      <c r="B313" s="193"/>
      <c r="C313" s="193"/>
      <c r="D313" s="640"/>
      <c r="E313" s="22"/>
      <c r="F313" s="22"/>
      <c r="G313" s="23"/>
      <c r="H313" s="23"/>
      <c r="I313" s="24"/>
      <c r="J313" s="638"/>
      <c r="K313" s="25"/>
      <c r="L313" s="26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8.75">
      <c r="A314" s="166"/>
      <c r="B314" s="167"/>
      <c r="C314" s="167"/>
      <c r="D314" s="178" t="s">
        <v>121</v>
      </c>
      <c r="E314" s="174"/>
      <c r="F314" s="174"/>
      <c r="G314" s="171"/>
      <c r="H314" s="179" t="s">
        <v>35</v>
      </c>
      <c r="I314" s="212">
        <f ca="1">IFERROR(__xludf.DUMMYFUNCTION("IMPORTRANGE(""https://docs.google.com/spreadsheets/d/1eHaY18a8A9IcSdp1K8H6x8fbOy06t2VsZHhMHf-1x7Y/edit?usp=sharing"",""แผน!EF45"")"),20)</f>
        <v>20</v>
      </c>
      <c r="J314" s="467">
        <v>20</v>
      </c>
      <c r="K314" s="255">
        <f ca="1">IF(I314&gt;0,J314*100/I314,0)</f>
        <v>100</v>
      </c>
      <c r="L314" s="62"/>
      <c r="M314" s="55"/>
      <c r="N314" s="55"/>
      <c r="O314" s="55"/>
      <c r="P314" s="55"/>
      <c r="Q314" s="55"/>
      <c r="R314" s="55"/>
      <c r="S314" s="55"/>
      <c r="T314" s="55"/>
      <c r="U314" s="55"/>
    </row>
    <row r="315" spans="1:21" ht="18.75" hidden="1">
      <c r="A315" s="192"/>
      <c r="B315" s="193"/>
      <c r="C315" s="193"/>
      <c r="D315" s="640"/>
      <c r="E315" s="22"/>
      <c r="F315" s="22"/>
      <c r="G315" s="23"/>
      <c r="H315" s="639"/>
      <c r="I315" s="638"/>
      <c r="J315" s="638"/>
      <c r="K315" s="637"/>
      <c r="L315" s="26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8.75" hidden="1">
      <c r="A316" s="192"/>
      <c r="B316" s="193"/>
      <c r="C316" s="193"/>
      <c r="D316" s="640"/>
      <c r="E316" s="22"/>
      <c r="F316" s="22"/>
      <c r="G316" s="23"/>
      <c r="H316" s="639"/>
      <c r="I316" s="638"/>
      <c r="J316" s="638"/>
      <c r="K316" s="637"/>
      <c r="L316" s="26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8.75" hidden="1">
      <c r="A317" s="192"/>
      <c r="B317" s="193"/>
      <c r="C317" s="193"/>
      <c r="D317" s="636"/>
      <c r="E317" s="22"/>
      <c r="F317" s="22"/>
      <c r="G317" s="23"/>
      <c r="H317" s="635"/>
      <c r="I317" s="638"/>
      <c r="J317" s="634"/>
      <c r="K317" s="633"/>
      <c r="L317" s="26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9.5" hidden="1">
      <c r="A318" s="319" t="s">
        <v>131</v>
      </c>
      <c r="B318" s="320"/>
      <c r="C318" s="320"/>
      <c r="D318" s="321"/>
      <c r="E318" s="320"/>
      <c r="F318" s="320"/>
      <c r="G318" s="320"/>
      <c r="H318" s="321"/>
      <c r="I318" s="323"/>
      <c r="J318" s="323"/>
      <c r="K318" s="324"/>
      <c r="L318" s="325"/>
      <c r="M318" s="324"/>
      <c r="N318" s="324"/>
      <c r="O318" s="324"/>
      <c r="P318" s="324"/>
      <c r="Q318" s="324"/>
      <c r="R318" s="324"/>
      <c r="S318" s="324"/>
      <c r="T318" s="324"/>
      <c r="U318" s="324"/>
    </row>
    <row r="319" spans="1:21" ht="19.5" hidden="1">
      <c r="A319" s="335"/>
      <c r="B319" s="327" t="s">
        <v>132</v>
      </c>
      <c r="C319" s="336"/>
      <c r="D319" s="337"/>
      <c r="E319" s="328"/>
      <c r="F319" s="328"/>
      <c r="G319" s="329"/>
      <c r="H319" s="330" t="s">
        <v>133</v>
      </c>
      <c r="I319" s="605">
        <f ca="1">I330</f>
        <v>0</v>
      </c>
      <c r="J319" s="605">
        <f>J330</f>
        <v>0</v>
      </c>
      <c r="K319" s="604">
        <f ca="1">IF(I319&gt;0,J319*100/I319,0)</f>
        <v>0</v>
      </c>
      <c r="L319" s="334"/>
      <c r="M319" s="333"/>
      <c r="N319" s="333"/>
      <c r="O319" s="333"/>
      <c r="P319" s="333"/>
      <c r="Q319" s="333"/>
      <c r="R319" s="333"/>
      <c r="S319" s="333"/>
      <c r="T319" s="333"/>
      <c r="U319" s="333"/>
    </row>
    <row r="320" spans="1:21" ht="19.5" hidden="1">
      <c r="A320" s="155"/>
      <c r="B320" s="50"/>
      <c r="C320" s="156" t="s">
        <v>18</v>
      </c>
      <c r="D320" s="575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541">
        <f ca="1">L321+L322</f>
        <v>0</v>
      </c>
      <c r="M320" s="540">
        <f ca="1">M321+M322</f>
        <v>0</v>
      </c>
      <c r="N320" s="540">
        <f ca="1">N321+N322</f>
        <v>0</v>
      </c>
      <c r="O320" s="540">
        <f ca="1">IF(L320&gt;0,N320*100/L320,0)</f>
        <v>0</v>
      </c>
      <c r="P320" s="540">
        <f ca="1">IF(M320&gt;0,N320*100/M320,0)</f>
        <v>0</v>
      </c>
      <c r="Q320" s="540">
        <f>Q321+Q322</f>
        <v>0</v>
      </c>
      <c r="R320" s="540">
        <f>R321+R322</f>
        <v>0</v>
      </c>
      <c r="S320" s="540">
        <f>S321+S322</f>
        <v>0</v>
      </c>
      <c r="T320" s="540">
        <f>IF(Q320&gt;0,S320*100/Q320,0)</f>
        <v>0</v>
      </c>
      <c r="U320" s="540">
        <f>IF(R320&gt;0,S320*100/R320,0)</f>
        <v>0</v>
      </c>
    </row>
    <row r="321" spans="1:21" ht="18.75" hidden="1">
      <c r="A321" s="155"/>
      <c r="B321" s="50"/>
      <c r="C321" s="50"/>
      <c r="D321" s="50"/>
      <c r="E321" s="186" t="s">
        <v>20</v>
      </c>
      <c r="F321" s="50"/>
      <c r="G321" s="52"/>
      <c r="H321" s="187" t="s">
        <v>14</v>
      </c>
      <c r="I321" s="54"/>
      <c r="J321" s="54"/>
      <c r="K321" s="55"/>
      <c r="L321" s="103">
        <f>L324+L327</f>
        <v>0</v>
      </c>
      <c r="M321" s="102">
        <f>M324+M327</f>
        <v>0</v>
      </c>
      <c r="N321" s="102">
        <f>N324+N327</f>
        <v>0</v>
      </c>
      <c r="O321" s="102">
        <f>IF(L321&gt;0,N321*100/L321,0)</f>
        <v>0</v>
      </c>
      <c r="P321" s="102">
        <f>IF(M321&gt;0,N321*100/M321,0)</f>
        <v>0</v>
      </c>
      <c r="Q321" s="102">
        <f>Q324+Q327</f>
        <v>0</v>
      </c>
      <c r="R321" s="102">
        <f>R324+R327</f>
        <v>0</v>
      </c>
      <c r="S321" s="102">
        <f>S324+S327</f>
        <v>0</v>
      </c>
      <c r="T321" s="102">
        <f>IF(Q321&gt;0,S321*100/Q321,0)</f>
        <v>0</v>
      </c>
      <c r="U321" s="102">
        <f>IF(R321&gt;0,S321*100/R321,0)</f>
        <v>0</v>
      </c>
    </row>
    <row r="322" spans="1:21" ht="18.75" hidden="1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256">
        <f ca="1">L325+L328</f>
        <v>0</v>
      </c>
      <c r="M322" s="255">
        <f ca="1">M325+M328</f>
        <v>0</v>
      </c>
      <c r="N322" s="255">
        <f ca="1">N325+N328</f>
        <v>0</v>
      </c>
      <c r="O322" s="255">
        <f ca="1">IF(L322&gt;0,N322*100/L322,0)</f>
        <v>0</v>
      </c>
      <c r="P322" s="255">
        <f ca="1">IF(M322&gt;0,N322*100/M322,0)</f>
        <v>0</v>
      </c>
      <c r="Q322" s="255">
        <f>Q325+Q328</f>
        <v>0</v>
      </c>
      <c r="R322" s="255">
        <f>R325+R328</f>
        <v>0</v>
      </c>
      <c r="S322" s="255">
        <f>S325+S328</f>
        <v>0</v>
      </c>
      <c r="T322" s="255">
        <f>IF(Q322&gt;0,S322*100/Q322,0)</f>
        <v>0</v>
      </c>
      <c r="U322" s="255">
        <f>IF(R322&gt;0,S322*100/R322,0)</f>
        <v>0</v>
      </c>
    </row>
    <row r="323" spans="1:21" ht="18.75" hidden="1">
      <c r="A323" s="155"/>
      <c r="B323" s="50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256">
        <f ca="1">L324+L325</f>
        <v>0</v>
      </c>
      <c r="M323" s="255">
        <f ca="1">M324+M325</f>
        <v>0</v>
      </c>
      <c r="N323" s="255">
        <f ca="1">N324+N325</f>
        <v>0</v>
      </c>
      <c r="O323" s="255">
        <f ca="1">IF(L323&gt;0,N323*100/L323,0)</f>
        <v>0</v>
      </c>
      <c r="P323" s="255">
        <f ca="1">IF(M323&gt;0,N323*100/M323,0)</f>
        <v>0</v>
      </c>
      <c r="Q323" s="255">
        <f>Q324+Q325</f>
        <v>0</v>
      </c>
      <c r="R323" s="255">
        <f>R324+R325</f>
        <v>0</v>
      </c>
      <c r="S323" s="255">
        <f>S324+S325</f>
        <v>0</v>
      </c>
      <c r="T323" s="255">
        <f>IF(Q323&gt;0,S323*100/Q323,0)</f>
        <v>0</v>
      </c>
      <c r="U323" s="255">
        <f>IF(R323&gt;0,S323*100/R323,0)</f>
        <v>0</v>
      </c>
    </row>
    <row r="324" spans="1:21" ht="18.75" hidden="1">
      <c r="A324" s="155"/>
      <c r="B324" s="50"/>
      <c r="C324" s="50"/>
      <c r="D324" s="50"/>
      <c r="E324" s="186" t="s">
        <v>36</v>
      </c>
      <c r="F324" s="50"/>
      <c r="G324" s="52"/>
      <c r="H324" s="189" t="s">
        <v>14</v>
      </c>
      <c r="I324" s="163"/>
      <c r="J324" s="163"/>
      <c r="K324" s="164"/>
      <c r="L324" s="103">
        <v>0</v>
      </c>
      <c r="M324" s="102">
        <v>0</v>
      </c>
      <c r="N324" s="102">
        <v>0</v>
      </c>
      <c r="O324" s="102">
        <f>IF(L324&gt;0,N324*100/L324,0)</f>
        <v>0</v>
      </c>
      <c r="P324" s="102">
        <f>IF(M324&gt;0,N324*100/M324,0)</f>
        <v>0</v>
      </c>
      <c r="Q324" s="102">
        <v>0</v>
      </c>
      <c r="R324" s="102">
        <v>0</v>
      </c>
      <c r="S324" s="102">
        <v>0</v>
      </c>
      <c r="T324" s="102">
        <f>IF(Q324&gt;0,S324*100/Q324,0)</f>
        <v>0</v>
      </c>
      <c r="U324" s="102">
        <f>IF(R324&gt;0,S324*100/R324,0)</f>
        <v>0</v>
      </c>
    </row>
    <row r="325" spans="1:21" ht="18.75" hidden="1">
      <c r="A325" s="155"/>
      <c r="B325" s="50"/>
      <c r="C325" s="50"/>
      <c r="D325" s="50"/>
      <c r="E325" s="58" t="s">
        <v>37</v>
      </c>
      <c r="F325" s="50"/>
      <c r="G325" s="52"/>
      <c r="H325" s="162" t="s">
        <v>14</v>
      </c>
      <c r="I325" s="163"/>
      <c r="J325" s="163"/>
      <c r="K325" s="164"/>
      <c r="L325" s="256">
        <f ca="1">IFERROR(__xludf.DUMMYFUNCTION("IMPORTRANGE(""https://docs.google.com/spreadsheets/d/1-uDff_7J0KD5mKrp0Vvzr7lt3OU09vwQwhkpOPPYv2Y/edit?usp=sharing"",""งบพรบ!EI45"")"),0)</f>
        <v>0</v>
      </c>
      <c r="M325" s="255">
        <f ca="1">IFERROR(__xludf.DUMMYFUNCTION("IMPORTRANGE(""https://docs.google.com/spreadsheets/d/1-uDff_7J0KD5mKrp0Vvzr7lt3OU09vwQwhkpOPPYv2Y/edit?usp=sharing"",""งบพรบ!EN45"")"),0)</f>
        <v>0</v>
      </c>
      <c r="N325" s="255">
        <f ca="1">IFERROR(__xludf.DUMMYFUNCTION("IMPORTRANGE(""https://docs.google.com/spreadsheets/d/1-uDff_7J0KD5mKrp0Vvzr7lt3OU09vwQwhkpOPPYv2Y/edit?usp=sharing"",""งบพรบ!EP45"")"),0)</f>
        <v>0</v>
      </c>
      <c r="O325" s="255">
        <f ca="1">IF(L325&gt;0,N325*100/L325,0)</f>
        <v>0</v>
      </c>
      <c r="P325" s="255">
        <f ca="1">IF(M325&gt;0,N325*100/M325,0)</f>
        <v>0</v>
      </c>
      <c r="Q325" s="255">
        <v>0</v>
      </c>
      <c r="R325" s="255">
        <v>0</v>
      </c>
      <c r="S325" s="255">
        <v>0</v>
      </c>
      <c r="T325" s="255">
        <f>IF(Q325&gt;0,S325*100/Q325,0)</f>
        <v>0</v>
      </c>
      <c r="U325" s="255">
        <f>IF(R325&gt;0,S325*100/R325,0)</f>
        <v>0</v>
      </c>
    </row>
    <row r="326" spans="1:21" ht="18.75" hidden="1">
      <c r="A326" s="155"/>
      <c r="B326" s="50"/>
      <c r="C326" s="50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256">
        <f ca="1">L327+L328</f>
        <v>0</v>
      </c>
      <c r="M326" s="255">
        <f ca="1">M327+M328</f>
        <v>0</v>
      </c>
      <c r="N326" s="255">
        <f ca="1">N327+N328</f>
        <v>0</v>
      </c>
      <c r="O326" s="255">
        <f ca="1">IF(L326&gt;0,N326*100/L326,0)</f>
        <v>0</v>
      </c>
      <c r="P326" s="255">
        <f ca="1">IF(M326&gt;0,N326*100/M326,0)</f>
        <v>0</v>
      </c>
      <c r="Q326" s="255">
        <f>Q327+Q328</f>
        <v>0</v>
      </c>
      <c r="R326" s="255">
        <f>R327+R328</f>
        <v>0</v>
      </c>
      <c r="S326" s="255">
        <f>S327+S328</f>
        <v>0</v>
      </c>
      <c r="T326" s="255">
        <f>IF(Q326&gt;0,S326*100/Q326,0)</f>
        <v>0</v>
      </c>
      <c r="U326" s="255">
        <f>IF(R326&gt;0,S326*100/R326,0)</f>
        <v>0</v>
      </c>
    </row>
    <row r="327" spans="1:21" ht="18.75" hidden="1">
      <c r="A327" s="155"/>
      <c r="B327" s="50"/>
      <c r="C327" s="50"/>
      <c r="D327" s="50"/>
      <c r="E327" s="186" t="s">
        <v>20</v>
      </c>
      <c r="F327" s="50"/>
      <c r="G327" s="52"/>
      <c r="H327" s="189" t="s">
        <v>14</v>
      </c>
      <c r="I327" s="163"/>
      <c r="J327" s="163"/>
      <c r="K327" s="164"/>
      <c r="L327" s="103">
        <v>0</v>
      </c>
      <c r="M327" s="102">
        <v>0</v>
      </c>
      <c r="N327" s="102">
        <v>0</v>
      </c>
      <c r="O327" s="102">
        <f>IF(L327&gt;0,N327*100/L327,0)</f>
        <v>0</v>
      </c>
      <c r="P327" s="102">
        <f>IF(M327&gt;0,N327*100/M327,0)</f>
        <v>0</v>
      </c>
      <c r="Q327" s="102">
        <v>0</v>
      </c>
      <c r="R327" s="102">
        <v>0</v>
      </c>
      <c r="S327" s="102">
        <v>0</v>
      </c>
      <c r="T327" s="102">
        <f>IF(Q327&gt;0,S327*100/Q327,0)</f>
        <v>0</v>
      </c>
      <c r="U327" s="102">
        <f>IF(R327&gt;0,S327*100/R327,0)</f>
        <v>0</v>
      </c>
    </row>
    <row r="328" spans="1:21" ht="18.75" hidden="1">
      <c r="A328" s="155"/>
      <c r="B328" s="50"/>
      <c r="C328" s="50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256">
        <f ca="1">IFERROR(__xludf.DUMMYFUNCTION("IMPORTRANGE(""https://docs.google.com/spreadsheets/d/1-uDff_7J0KD5mKrp0Vvzr7lt3OU09vwQwhkpOPPYv2Y/edit?usp=sharing"",""งบพรบ!EL45"")"),0)</f>
        <v>0</v>
      </c>
      <c r="M328" s="255">
        <f ca="1">IFERROR(__xludf.DUMMYFUNCTION("IMPORTRANGE(""https://docs.google.com/spreadsheets/d/1-uDff_7J0KD5mKrp0Vvzr7lt3OU09vwQwhkpOPPYv2Y/edit?usp=sharing"",""งบพรบ!EO45"")"),0)</f>
        <v>0</v>
      </c>
      <c r="N328" s="255">
        <f ca="1">IFERROR(__xludf.DUMMYFUNCTION("IMPORTRANGE(""https://docs.google.com/spreadsheets/d/1-uDff_7J0KD5mKrp0Vvzr7lt3OU09vwQwhkpOPPYv2Y/edit?usp=sharing"",""งบพรบ!EQ45"")"),0)</f>
        <v>0</v>
      </c>
      <c r="O328" s="255">
        <f ca="1">IF(L328&gt;0,N328*100/L328,0)</f>
        <v>0</v>
      </c>
      <c r="P328" s="255">
        <f ca="1">IF(M328&gt;0,N328*100/M328,0)</f>
        <v>0</v>
      </c>
      <c r="Q328" s="255">
        <v>0</v>
      </c>
      <c r="R328" s="255">
        <v>0</v>
      </c>
      <c r="S328" s="255">
        <v>0</v>
      </c>
      <c r="T328" s="255">
        <f>IF(Q328&gt;0,S328*100/Q328,0)</f>
        <v>0</v>
      </c>
      <c r="U328" s="255">
        <f>IF(R328&gt;0,S328*100/R328,0)</f>
        <v>0</v>
      </c>
    </row>
    <row r="329" spans="1:21" ht="19.5" hidden="1">
      <c r="A329" s="166"/>
      <c r="B329" s="167"/>
      <c r="C329" s="156" t="s">
        <v>18</v>
      </c>
      <c r="D329" s="566" t="s">
        <v>38</v>
      </c>
      <c r="E329" s="169"/>
      <c r="F329" s="169"/>
      <c r="G329" s="170"/>
      <c r="H329" s="171"/>
      <c r="I329" s="163"/>
      <c r="J329" s="54"/>
      <c r="K329" s="55"/>
      <c r="L329" s="62"/>
      <c r="M329" s="55"/>
      <c r="N329" s="55"/>
      <c r="O329" s="164"/>
      <c r="P329" s="164"/>
      <c r="Q329" s="55"/>
      <c r="R329" s="55"/>
      <c r="S329" s="55"/>
      <c r="T329" s="164"/>
      <c r="U329" s="164"/>
    </row>
    <row r="330" spans="1:21" ht="18.75" hidden="1">
      <c r="A330" s="166"/>
      <c r="B330" s="167"/>
      <c r="C330" s="167"/>
      <c r="D330" s="173" t="s">
        <v>134</v>
      </c>
      <c r="E330" s="174"/>
      <c r="F330" s="174"/>
      <c r="G330" s="171"/>
      <c r="H330" s="53" t="s">
        <v>133</v>
      </c>
      <c r="I330" s="212">
        <f ca="1">IFERROR(__xludf.DUMMYFUNCTION("IMPORTRANGE(""https://docs.google.com/spreadsheets/d/1eHaY18a8A9IcSdp1K8H6x8fbOy06t2VsZHhMHf-1x7Y/edit?usp=sharing"",""แผน!EJ45"")"),0)</f>
        <v>0</v>
      </c>
      <c r="J330" s="467">
        <v>0</v>
      </c>
      <c r="K330" s="255">
        <f ca="1">IF(I330&gt;0,J330*100/I330,0)</f>
        <v>0</v>
      </c>
      <c r="L330" s="62"/>
      <c r="M330" s="55"/>
      <c r="N330" s="55"/>
      <c r="O330" s="164"/>
      <c r="P330" s="164"/>
      <c r="Q330" s="55"/>
      <c r="R330" s="55"/>
      <c r="S330" s="55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1"/>
      <c r="I331" s="323"/>
      <c r="J331" s="323"/>
      <c r="K331" s="324"/>
      <c r="L331" s="325"/>
      <c r="M331" s="324"/>
      <c r="N331" s="324"/>
      <c r="O331" s="324"/>
      <c r="P331" s="324"/>
      <c r="Q331" s="324"/>
      <c r="R331" s="324"/>
      <c r="S331" s="324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30" t="s">
        <v>35</v>
      </c>
      <c r="I332" s="632">
        <f ca="1">I344</f>
        <v>2000</v>
      </c>
      <c r="J332" s="631">
        <f ca="1">J344+J347+J348+J349+J353</f>
        <v>14263</v>
      </c>
      <c r="K332" s="630">
        <f ca="1">IF(I332&gt;0,J332*100/I332,0)</f>
        <v>713.15</v>
      </c>
      <c r="L332" s="334"/>
      <c r="M332" s="333"/>
      <c r="N332" s="333"/>
      <c r="O332" s="333"/>
      <c r="P332" s="333"/>
      <c r="Q332" s="333"/>
      <c r="R332" s="333"/>
      <c r="S332" s="333"/>
      <c r="T332" s="333"/>
      <c r="U332" s="333"/>
    </row>
    <row r="333" spans="1:21" ht="19.5">
      <c r="A333" s="155"/>
      <c r="B333" s="50"/>
      <c r="C333" s="156" t="s">
        <v>18</v>
      </c>
      <c r="D333" s="575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541">
        <f ca="1">L334+L335</f>
        <v>112000</v>
      </c>
      <c r="M333" s="540">
        <f ca="1">M334+M335</f>
        <v>117000</v>
      </c>
      <c r="N333" s="540">
        <f ca="1">N334+N335</f>
        <v>111639</v>
      </c>
      <c r="O333" s="540">
        <f ca="1">IF(L333&gt;0,N333*100/L333,0)</f>
        <v>99.677678571428572</v>
      </c>
      <c r="P333" s="540">
        <f ca="1">IF(M333&gt;0,N333*100/M333,0)</f>
        <v>95.417948717948718</v>
      </c>
      <c r="Q333" s="540">
        <f>Q334+Q335</f>
        <v>0</v>
      </c>
      <c r="R333" s="540">
        <f>R334+R335</f>
        <v>0</v>
      </c>
      <c r="S333" s="540">
        <f>S334+S335</f>
        <v>0</v>
      </c>
      <c r="T333" s="540">
        <f>IF(Q333&gt;0,S333*100/Q333,0)</f>
        <v>0</v>
      </c>
      <c r="U333" s="540">
        <f>IF(R333&gt;0,S333*100/R333,0)</f>
        <v>0</v>
      </c>
    </row>
    <row r="334" spans="1:21" ht="18.75" hidden="1">
      <c r="A334" s="155"/>
      <c r="B334" s="50"/>
      <c r="C334" s="50"/>
      <c r="D334" s="50"/>
      <c r="E334" s="186" t="s">
        <v>20</v>
      </c>
      <c r="F334" s="50"/>
      <c r="G334" s="52"/>
      <c r="H334" s="187" t="s">
        <v>14</v>
      </c>
      <c r="I334" s="54"/>
      <c r="J334" s="54"/>
      <c r="K334" s="55"/>
      <c r="L334" s="103">
        <f>L337+L340</f>
        <v>0</v>
      </c>
      <c r="M334" s="102">
        <f>M337+M340</f>
        <v>0</v>
      </c>
      <c r="N334" s="102">
        <f>N337+N340</f>
        <v>0</v>
      </c>
      <c r="O334" s="102">
        <f>IF(L334&gt;0,N334*100/L334,0)</f>
        <v>0</v>
      </c>
      <c r="P334" s="102">
        <f>IF(M334&gt;0,N334*100/M334,0)</f>
        <v>0</v>
      </c>
      <c r="Q334" s="102">
        <f>Q337+Q340</f>
        <v>0</v>
      </c>
      <c r="R334" s="102">
        <f>R337+R340</f>
        <v>0</v>
      </c>
      <c r="S334" s="102">
        <f>S337+S340</f>
        <v>0</v>
      </c>
      <c r="T334" s="102">
        <f>IF(Q334&gt;0,S334*100/Q334,0)</f>
        <v>0</v>
      </c>
      <c r="U334" s="102">
        <f>IF(R334&gt;0,S334*100/R334,0)</f>
        <v>0</v>
      </c>
    </row>
    <row r="335" spans="1:21" ht="18.75" hidden="1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256">
        <f ca="1">L338+L341</f>
        <v>112000</v>
      </c>
      <c r="M335" s="255">
        <f ca="1">M338+M341</f>
        <v>117000</v>
      </c>
      <c r="N335" s="255">
        <f ca="1">N338+N341</f>
        <v>111639</v>
      </c>
      <c r="O335" s="255">
        <f ca="1">IF(L335&gt;0,N335*100/L335,0)</f>
        <v>99.677678571428572</v>
      </c>
      <c r="P335" s="255">
        <f ca="1">IF(M335&gt;0,N335*100/M335,0)</f>
        <v>95.417948717948718</v>
      </c>
      <c r="Q335" s="255">
        <f>Q338+Q341</f>
        <v>0</v>
      </c>
      <c r="R335" s="255">
        <f>R338+R341</f>
        <v>0</v>
      </c>
      <c r="S335" s="255">
        <f>S338+S341</f>
        <v>0</v>
      </c>
      <c r="T335" s="255">
        <f>IF(Q335&gt;0,S335*100/Q335,0)</f>
        <v>0</v>
      </c>
      <c r="U335" s="255">
        <f>IF(R335&gt;0,S335*100/R335,0)</f>
        <v>0</v>
      </c>
    </row>
    <row r="336" spans="1:21" ht="18.75">
      <c r="A336" s="155"/>
      <c r="B336" s="50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256">
        <f ca="1">L337+L338</f>
        <v>112000</v>
      </c>
      <c r="M336" s="255">
        <f ca="1">M337+M338</f>
        <v>117000</v>
      </c>
      <c r="N336" s="255">
        <f ca="1">N337+N338</f>
        <v>111639</v>
      </c>
      <c r="O336" s="255">
        <f ca="1">IF(L336&gt;0,N336*100/L336,0)</f>
        <v>99.677678571428572</v>
      </c>
      <c r="P336" s="255">
        <f ca="1">IF(M336&gt;0,N336*100/M336,0)</f>
        <v>95.417948717948718</v>
      </c>
      <c r="Q336" s="255">
        <f>Q337+Q338</f>
        <v>0</v>
      </c>
      <c r="R336" s="255">
        <f>R337+R338</f>
        <v>0</v>
      </c>
      <c r="S336" s="255">
        <f>S337+S338</f>
        <v>0</v>
      </c>
      <c r="T336" s="255">
        <f>IF(Q336&gt;0,S336*100/Q336,0)</f>
        <v>0</v>
      </c>
      <c r="U336" s="255">
        <f>IF(R336&gt;0,S336*100/R336,0)</f>
        <v>0</v>
      </c>
    </row>
    <row r="337" spans="1:21" ht="18.75" hidden="1">
      <c r="A337" s="155"/>
      <c r="B337" s="50"/>
      <c r="C337" s="50"/>
      <c r="D337" s="50"/>
      <c r="E337" s="186" t="s">
        <v>36</v>
      </c>
      <c r="F337" s="50"/>
      <c r="G337" s="52"/>
      <c r="H337" s="189" t="s">
        <v>14</v>
      </c>
      <c r="I337" s="163"/>
      <c r="J337" s="163"/>
      <c r="K337" s="164"/>
      <c r="L337" s="103">
        <v>0</v>
      </c>
      <c r="M337" s="102">
        <v>0</v>
      </c>
      <c r="N337" s="102">
        <v>0</v>
      </c>
      <c r="O337" s="102">
        <f>IF(L337&gt;0,N337*100/L337,0)</f>
        <v>0</v>
      </c>
      <c r="P337" s="102">
        <f>IF(M337&gt;0,N337*100/M337,0)</f>
        <v>0</v>
      </c>
      <c r="Q337" s="102">
        <v>0</v>
      </c>
      <c r="R337" s="102">
        <v>0</v>
      </c>
      <c r="S337" s="102">
        <v>0</v>
      </c>
      <c r="T337" s="102">
        <f>IF(Q337&gt;0,S337*100/Q337,0)</f>
        <v>0</v>
      </c>
      <c r="U337" s="102">
        <f>IF(R337&gt;0,S337*100/R337,0)</f>
        <v>0</v>
      </c>
    </row>
    <row r="338" spans="1:21" ht="18.75" hidden="1">
      <c r="A338" s="155"/>
      <c r="B338" s="50"/>
      <c r="C338" s="50"/>
      <c r="D338" s="50"/>
      <c r="E338" s="58" t="s">
        <v>37</v>
      </c>
      <c r="F338" s="50"/>
      <c r="G338" s="52"/>
      <c r="H338" s="162" t="s">
        <v>14</v>
      </c>
      <c r="I338" s="163"/>
      <c r="J338" s="163"/>
      <c r="K338" s="164"/>
      <c r="L338" s="256">
        <f ca="1">IFERROR(__xludf.DUMMYFUNCTION("IMPORTRANGE(""https://docs.google.com/spreadsheets/d/1-uDff_7J0KD5mKrp0Vvzr7lt3OU09vwQwhkpOPPYv2Y/edit?usp=sharing"",""งบพรบ!ES45"")"),112000)</f>
        <v>112000</v>
      </c>
      <c r="M338" s="255">
        <f ca="1">IFERROR(__xludf.DUMMYFUNCTION("IMPORTRANGE(""https://docs.google.com/spreadsheets/d/1-uDff_7J0KD5mKrp0Vvzr7lt3OU09vwQwhkpOPPYv2Y/edit?usp=sharing"",""งบพรบ!EX45"")"),117000)</f>
        <v>117000</v>
      </c>
      <c r="N338" s="255">
        <f ca="1">IFERROR(__xludf.DUMMYFUNCTION("IMPORTRANGE(""https://docs.google.com/spreadsheets/d/1-uDff_7J0KD5mKrp0Vvzr7lt3OU09vwQwhkpOPPYv2Y/edit?usp=sharing"",""งบพรบ!EZ45"")"),111639)</f>
        <v>111639</v>
      </c>
      <c r="O338" s="255">
        <f ca="1">IF(L338&gt;0,N338*100/L338,0)</f>
        <v>99.677678571428572</v>
      </c>
      <c r="P338" s="255">
        <f ca="1">IF(M338&gt;0,N338*100/M338,0)</f>
        <v>95.417948717948718</v>
      </c>
      <c r="Q338" s="255">
        <v>0</v>
      </c>
      <c r="R338" s="255">
        <v>0</v>
      </c>
      <c r="S338" s="255">
        <v>0</v>
      </c>
      <c r="T338" s="255">
        <f>IF(Q338&gt;0,S338*100/Q338,0)</f>
        <v>0</v>
      </c>
      <c r="U338" s="255">
        <f>IF(R338&gt;0,S338*100/R338,0)</f>
        <v>0</v>
      </c>
    </row>
    <row r="339" spans="1:21" ht="18.75">
      <c r="A339" s="155"/>
      <c r="B339" s="50"/>
      <c r="C339" s="50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256">
        <f ca="1">L340+L341</f>
        <v>0</v>
      </c>
      <c r="M339" s="255">
        <f ca="1">M340+M341</f>
        <v>0</v>
      </c>
      <c r="N339" s="255">
        <f ca="1">N340+N341</f>
        <v>0</v>
      </c>
      <c r="O339" s="255">
        <f ca="1">IF(L339&gt;0,N339*100/L339,0)</f>
        <v>0</v>
      </c>
      <c r="P339" s="255">
        <f ca="1">IF(M339&gt;0,N339*100/M339,0)</f>
        <v>0</v>
      </c>
      <c r="Q339" s="255">
        <f>Q340+Q341</f>
        <v>0</v>
      </c>
      <c r="R339" s="255">
        <f>R340+R341</f>
        <v>0</v>
      </c>
      <c r="S339" s="255">
        <f>S340+S341</f>
        <v>0</v>
      </c>
      <c r="T339" s="255">
        <f>IF(Q339&gt;0,S339*100/Q339,0)</f>
        <v>0</v>
      </c>
      <c r="U339" s="255">
        <f>IF(R339&gt;0,S339*100/R339,0)</f>
        <v>0</v>
      </c>
    </row>
    <row r="340" spans="1:21" ht="18.75" hidden="1">
      <c r="A340" s="155"/>
      <c r="B340" s="50"/>
      <c r="C340" s="50"/>
      <c r="D340" s="50"/>
      <c r="E340" s="186" t="s">
        <v>20</v>
      </c>
      <c r="F340" s="50"/>
      <c r="G340" s="52"/>
      <c r="H340" s="189" t="s">
        <v>14</v>
      </c>
      <c r="I340" s="163"/>
      <c r="J340" s="163"/>
      <c r="K340" s="164"/>
      <c r="L340" s="103">
        <v>0</v>
      </c>
      <c r="M340" s="102">
        <v>0</v>
      </c>
      <c r="N340" s="102">
        <v>0</v>
      </c>
      <c r="O340" s="102">
        <f>IF(L340&gt;0,N340*100/L340,0)</f>
        <v>0</v>
      </c>
      <c r="P340" s="102">
        <f>IF(M340&gt;0,N340*100/M340,0)</f>
        <v>0</v>
      </c>
      <c r="Q340" s="102">
        <v>0</v>
      </c>
      <c r="R340" s="102">
        <v>0</v>
      </c>
      <c r="S340" s="102">
        <v>0</v>
      </c>
      <c r="T340" s="102">
        <f>IF(Q340&gt;0,S340*100/Q340,0)</f>
        <v>0</v>
      </c>
      <c r="U340" s="102">
        <f>IF(R340&gt;0,S340*100/R340,0)</f>
        <v>0</v>
      </c>
    </row>
    <row r="341" spans="1:21" ht="18.75" hidden="1">
      <c r="A341" s="155"/>
      <c r="B341" s="50"/>
      <c r="C341" s="50"/>
      <c r="D341" s="50"/>
      <c r="E341" s="58" t="s">
        <v>21</v>
      </c>
      <c r="F341" s="50"/>
      <c r="G341" s="52"/>
      <c r="H341" s="165" t="s">
        <v>14</v>
      </c>
      <c r="I341" s="163"/>
      <c r="J341" s="163"/>
      <c r="K341" s="164"/>
      <c r="L341" s="256">
        <f ca="1">IFERROR(__xludf.DUMMYFUNCTION("IMPORTRANGE(""https://docs.google.com/spreadsheets/d/1-uDff_7J0KD5mKrp0Vvzr7lt3OU09vwQwhkpOPPYv2Y/edit?usp=sharing"",""งบพรบ!EV45"")"),0)</f>
        <v>0</v>
      </c>
      <c r="M341" s="255">
        <f ca="1">IFERROR(__xludf.DUMMYFUNCTION("IMPORTRANGE(""https://docs.google.com/spreadsheets/d/1-uDff_7J0KD5mKrp0Vvzr7lt3OU09vwQwhkpOPPYv2Y/edit?usp=sharing"",""งบพรบ!EY45"")"),0)</f>
        <v>0</v>
      </c>
      <c r="N341" s="255">
        <f ca="1">IFERROR(__xludf.DUMMYFUNCTION("IMPORTRANGE(""https://docs.google.com/spreadsheets/d/1-uDff_7J0KD5mKrp0Vvzr7lt3OU09vwQwhkpOPPYv2Y/edit?usp=sharing"",""งบพรบ!FA45"")"),0)</f>
        <v>0</v>
      </c>
      <c r="O341" s="255">
        <f ca="1">IF(L341&gt;0,N341*100/L341,0)</f>
        <v>0</v>
      </c>
      <c r="P341" s="255">
        <f ca="1">IF(M341&gt;0,N341*100/M341,0)</f>
        <v>0</v>
      </c>
      <c r="Q341" s="255">
        <v>0</v>
      </c>
      <c r="R341" s="255">
        <v>0</v>
      </c>
      <c r="S341" s="255">
        <v>0</v>
      </c>
      <c r="T341" s="255">
        <f>IF(Q341&gt;0,S341*100/Q341,0)</f>
        <v>0</v>
      </c>
      <c r="U341" s="255">
        <f>IF(R341&gt;0,S341*100/R341,0)</f>
        <v>0</v>
      </c>
    </row>
    <row r="342" spans="1:21" ht="19.5">
      <c r="A342" s="166"/>
      <c r="B342" s="167"/>
      <c r="C342" s="156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62"/>
      <c r="M342" s="55"/>
      <c r="N342" s="55"/>
      <c r="O342" s="164"/>
      <c r="P342" s="164"/>
      <c r="Q342" s="55"/>
      <c r="R342" s="55"/>
      <c r="S342" s="55"/>
      <c r="T342" s="164"/>
      <c r="U342" s="164"/>
    </row>
    <row r="343" spans="1:21" ht="19.5">
      <c r="A343" s="629"/>
      <c r="B343" s="626"/>
      <c r="C343" s="628"/>
      <c r="D343" s="626"/>
      <c r="E343" s="627" t="s">
        <v>137</v>
      </c>
      <c r="F343" s="626"/>
      <c r="G343" s="625"/>
      <c r="H343" s="624" t="s">
        <v>35</v>
      </c>
      <c r="I343" s="623">
        <v>0</v>
      </c>
      <c r="J343" s="623">
        <f ca="1">J344+J347+J348+J349</f>
        <v>6562</v>
      </c>
      <c r="K343" s="622">
        <v>0</v>
      </c>
      <c r="L343" s="250"/>
      <c r="M343" s="249"/>
      <c r="N343" s="249"/>
      <c r="O343" s="249"/>
      <c r="P343" s="249"/>
      <c r="Q343" s="249"/>
      <c r="R343" s="249"/>
      <c r="S343" s="249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40" t="s">
        <v>35</v>
      </c>
      <c r="I344" s="212">
        <f ca="1">IFERROR(__xludf.DUMMYFUNCTION("IMPORTRANGE(""https://docs.google.com/spreadsheets/d/1eHaY18a8A9IcSdp1K8H6x8fbOy06t2VsZHhMHf-1x7Y/edit?usp=sharing"",""แผน!EK45"")"),2000)</f>
        <v>2000</v>
      </c>
      <c r="J344" s="212">
        <f ca="1">IFERROR(__xludf.DUMMYFUNCTION("IMPORTRANGE(""https://docs.google.com/spreadsheets/d/1awYsYK3VOup2i3Pq_Yjnu8DRu_mYwSBnCR2QPthd0rU/edit?usp=sharing"",""ศูนย์ยกเว้นโฉนด!D45"")"),6103)</f>
        <v>6103</v>
      </c>
      <c r="K344" s="255">
        <f ca="1">IF(I344&gt;0,J344*100/I344,0)</f>
        <v>305.14999999999998</v>
      </c>
      <c r="L344" s="62"/>
      <c r="M344" s="55"/>
      <c r="N344" s="55"/>
      <c r="O344" s="55"/>
      <c r="P344" s="55"/>
      <c r="Q344" s="55"/>
      <c r="R344" s="55"/>
      <c r="S344" s="55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62"/>
      <c r="M345" s="55"/>
      <c r="N345" s="55"/>
      <c r="O345" s="55"/>
      <c r="P345" s="55"/>
      <c r="Q345" s="55"/>
      <c r="R345" s="55"/>
      <c r="S345" s="55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212">
        <f ca="1">IFERROR(__xludf.DUMMYFUNCTION("IMPORTRANGE(""https://docs.google.com/spreadsheets/d/1eHaY18a8A9IcSdp1K8H6x8fbOy06t2VsZHhMHf-1x7Y/edit?usp=sharing"",""แผน!EL45"")"),6)</f>
        <v>6</v>
      </c>
      <c r="J346" s="212">
        <f ca="1">IFERROR(__xludf.DUMMYFUNCTION("IMPORTRANGE(""https://docs.google.com/spreadsheets/d/1awYsYK3VOup2i3Pq_Yjnu8DRu_mYwSBnCR2QPthd0rU/edit?usp=sharing"",""ศูนย์รวม!E45"")"),3)</f>
        <v>3</v>
      </c>
      <c r="K346" s="255">
        <f ca="1">IF(I346&gt;0,J346*100/I346,0)</f>
        <v>50</v>
      </c>
      <c r="L346" s="62"/>
      <c r="M346" s="55"/>
      <c r="N346" s="55"/>
      <c r="O346" s="55"/>
      <c r="P346" s="55"/>
      <c r="Q346" s="55"/>
      <c r="R346" s="55"/>
      <c r="S346" s="55"/>
      <c r="T346" s="55"/>
      <c r="U346" s="55"/>
    </row>
    <row r="347" spans="1:21" ht="18.75">
      <c r="A347" s="238"/>
      <c r="B347" s="50"/>
      <c r="C347" s="188"/>
      <c r="D347" s="174"/>
      <c r="E347" s="174"/>
      <c r="F347" s="178" t="s">
        <v>142</v>
      </c>
      <c r="G347" s="52"/>
      <c r="H347" s="203" t="s">
        <v>35</v>
      </c>
      <c r="I347" s="54"/>
      <c r="J347" s="212">
        <f ca="1">IFERROR(__xludf.DUMMYFUNCTION("IMPORTRANGE(""https://docs.google.com/spreadsheets/d/1awYsYK3VOup2i3Pq_Yjnu8DRu_mYwSBnCR2QPthd0rU/edit?usp=sharing"",""ศูนย์ยกเว้นโฉนด!F45"")"),459)</f>
        <v>459</v>
      </c>
      <c r="K347" s="55"/>
      <c r="L347" s="62"/>
      <c r="M347" s="55"/>
      <c r="N347" s="55"/>
      <c r="O347" s="55"/>
      <c r="P347" s="55"/>
      <c r="Q347" s="55"/>
      <c r="R347" s="55"/>
      <c r="S347" s="55"/>
      <c r="T347" s="55"/>
      <c r="U347" s="55"/>
    </row>
    <row r="348" spans="1:21" ht="18.75">
      <c r="A348" s="238"/>
      <c r="B348" s="50"/>
      <c r="C348" s="188"/>
      <c r="D348" s="174"/>
      <c r="E348" s="178" t="s">
        <v>143</v>
      </c>
      <c r="F348" s="174"/>
      <c r="G348" s="52"/>
      <c r="H348" s="203" t="s">
        <v>35</v>
      </c>
      <c r="I348" s="54"/>
      <c r="J348" s="212">
        <f ca="1">IFERROR(__xludf.DUMMYFUNCTION("IMPORTRANGE(""https://docs.google.com/spreadsheets/d/1awYsYK3VOup2i3Pq_Yjnu8DRu_mYwSBnCR2QPthd0rU/edit?usp=sharing"",""ศูนย์ยกเว้นโฉนด!G45"")"),0)</f>
        <v>0</v>
      </c>
      <c r="K348" s="55"/>
      <c r="L348" s="62"/>
      <c r="M348" s="55"/>
      <c r="N348" s="55"/>
      <c r="O348" s="55"/>
      <c r="P348" s="55"/>
      <c r="Q348" s="55"/>
      <c r="R348" s="55"/>
      <c r="S348" s="55"/>
      <c r="T348" s="55"/>
      <c r="U348" s="55"/>
    </row>
    <row r="349" spans="1:21" ht="18.75">
      <c r="A349" s="238"/>
      <c r="B349" s="50"/>
      <c r="C349" s="188"/>
      <c r="D349" s="167"/>
      <c r="E349" s="178" t="s">
        <v>144</v>
      </c>
      <c r="F349" s="174"/>
      <c r="G349" s="52"/>
      <c r="H349" s="203" t="s">
        <v>35</v>
      </c>
      <c r="I349" s="54"/>
      <c r="J349" s="212">
        <f ca="1">IFERROR(__xludf.DUMMYFUNCTION("IMPORTRANGE(""https://docs.google.com/spreadsheets/d/1awYsYK3VOup2i3Pq_Yjnu8DRu_mYwSBnCR2QPthd0rU/edit?usp=sharing"",""ศูนย์ยกเว้นโฉนด!H45"")"),0)</f>
        <v>0</v>
      </c>
      <c r="K349" s="55"/>
      <c r="L349" s="62"/>
      <c r="M349" s="55"/>
      <c r="N349" s="55"/>
      <c r="O349" s="55"/>
      <c r="P349" s="55"/>
      <c r="Q349" s="55"/>
      <c r="R349" s="55"/>
      <c r="S349" s="55"/>
      <c r="T349" s="55"/>
      <c r="U349" s="55"/>
    </row>
    <row r="350" spans="1:21" ht="16.5">
      <c r="A350" s="18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0" s="50"/>
      <c r="F350" s="50"/>
      <c r="G350" s="52"/>
      <c r="H350" s="208"/>
      <c r="I350" s="54"/>
      <c r="J350" s="54"/>
      <c r="K350" s="55"/>
      <c r="L350" s="62"/>
      <c r="M350" s="55"/>
      <c r="N350" s="55"/>
      <c r="O350" s="55"/>
      <c r="P350" s="55"/>
      <c r="Q350" s="55"/>
      <c r="R350" s="55"/>
      <c r="S350" s="55"/>
      <c r="T350" s="55"/>
      <c r="U350" s="55"/>
    </row>
    <row r="351" spans="1:21" ht="19.5">
      <c r="A351" s="241"/>
      <c r="B351" s="244"/>
      <c r="C351" s="242"/>
      <c r="D351" s="244"/>
      <c r="E351" s="621" t="s">
        <v>145</v>
      </c>
      <c r="F351" s="244"/>
      <c r="G351" s="245"/>
      <c r="H351" s="246" t="s">
        <v>35</v>
      </c>
      <c r="I351" s="339">
        <v>0</v>
      </c>
      <c r="J351" s="339">
        <f ca="1">J352+J353</f>
        <v>9800</v>
      </c>
      <c r="K351" s="340">
        <v>0</v>
      </c>
      <c r="L351" s="250"/>
      <c r="M351" s="249"/>
      <c r="N351" s="249"/>
      <c r="O351" s="249"/>
      <c r="P351" s="249"/>
      <c r="Q351" s="249"/>
      <c r="R351" s="249"/>
      <c r="S351" s="249"/>
      <c r="T351" s="249"/>
      <c r="U351" s="249"/>
    </row>
    <row r="352" spans="1:21" ht="18.75">
      <c r="A352" s="188"/>
      <c r="B352" s="50"/>
      <c r="C352" s="188"/>
      <c r="D352" s="174"/>
      <c r="E352" s="178" t="s">
        <v>146</v>
      </c>
      <c r="F352" s="50"/>
      <c r="G352" s="52"/>
      <c r="H352" s="161" t="s">
        <v>35</v>
      </c>
      <c r="I352" s="54"/>
      <c r="J352" s="212">
        <f ca="1">IFERROR(__xludf.DUMMYFUNCTION("IMPORTRANGE(""https://docs.google.com/spreadsheets/d/1awYsYK3VOup2i3Pq_Yjnu8DRu_mYwSBnCR2QPthd0rU/edit?usp=sharing"",""โฉนดM3!G45"")"),2099)</f>
        <v>2099</v>
      </c>
      <c r="K352" s="55"/>
      <c r="L352" s="62"/>
      <c r="M352" s="55"/>
      <c r="N352" s="55"/>
      <c r="O352" s="55"/>
      <c r="P352" s="55"/>
      <c r="Q352" s="55"/>
      <c r="R352" s="55"/>
      <c r="S352" s="55"/>
      <c r="T352" s="55"/>
      <c r="U352" s="55"/>
    </row>
    <row r="353" spans="1:21" ht="18.75">
      <c r="A353" s="18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212">
        <f ca="1">IFERROR(__xludf.DUMMYFUNCTION("IMPORTRANGE(""https://docs.google.com/spreadsheets/d/1awYsYK3VOup2i3Pq_Yjnu8DRu_mYwSBnCR2QPthd0rU/edit?usp=sharing"",""โฉนดM3!H45"")"),7701)</f>
        <v>7701</v>
      </c>
      <c r="K353" s="55"/>
      <c r="L353" s="62"/>
      <c r="M353" s="55"/>
      <c r="N353" s="55"/>
      <c r="O353" s="55"/>
      <c r="P353" s="55"/>
      <c r="Q353" s="55"/>
      <c r="R353" s="55"/>
      <c r="S353" s="55"/>
      <c r="T353" s="55"/>
      <c r="U353" s="55"/>
    </row>
    <row r="354" spans="1:21" ht="16.5">
      <c r="A354" s="188"/>
      <c r="B354" s="50"/>
      <c r="C354" s="188"/>
      <c r="D354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4" s="50"/>
      <c r="F354" s="50"/>
      <c r="G354" s="52"/>
      <c r="H354" s="208"/>
      <c r="I354" s="54"/>
      <c r="J354" s="54"/>
      <c r="K354" s="55"/>
      <c r="L354" s="62"/>
      <c r="M354" s="55"/>
      <c r="N354" s="55"/>
      <c r="O354" s="55"/>
      <c r="P354" s="55"/>
      <c r="Q354" s="55"/>
      <c r="R354" s="55"/>
      <c r="S354" s="55"/>
      <c r="T354" s="55"/>
      <c r="U354" s="55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29"/>
      <c r="I355" s="351"/>
      <c r="J355" s="351"/>
      <c r="K355" s="333"/>
      <c r="L355" s="334"/>
      <c r="M355" s="333"/>
      <c r="N355" s="333"/>
      <c r="O355" s="333"/>
      <c r="P355" s="333"/>
      <c r="Q355" s="333"/>
      <c r="R355" s="333"/>
      <c r="S355" s="333"/>
      <c r="T355" s="333"/>
      <c r="U355" s="333"/>
    </row>
    <row r="356" spans="1:21" ht="19.5">
      <c r="A356" s="155"/>
      <c r="B356" s="50"/>
      <c r="C356" s="156" t="s">
        <v>18</v>
      </c>
      <c r="D356" s="575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541">
        <f ca="1">L357+L358</f>
        <v>812710</v>
      </c>
      <c r="M356" s="540">
        <f ca="1">M357+M358</f>
        <v>853310</v>
      </c>
      <c r="N356" s="540">
        <f ca="1">N357+N358</f>
        <v>708854.69</v>
      </c>
      <c r="O356" s="540">
        <f ca="1">IF(L356&gt;0,N356*100/L356,0)</f>
        <v>87.221110851349195</v>
      </c>
      <c r="P356" s="540">
        <f ca="1">IF(M356&gt;0,N356*100/M356,0)</f>
        <v>83.071180461965753</v>
      </c>
      <c r="Q356" s="540">
        <f>Q357+Q358</f>
        <v>0</v>
      </c>
      <c r="R356" s="540">
        <f>R357+R358</f>
        <v>0</v>
      </c>
      <c r="S356" s="540">
        <f>S357+S358</f>
        <v>0</v>
      </c>
      <c r="T356" s="540">
        <f>IF(Q356&gt;0,S356*100/Q356,0)</f>
        <v>0</v>
      </c>
      <c r="U356" s="540">
        <f>IF(R356&gt;0,S356*100/R356,0)</f>
        <v>0</v>
      </c>
    </row>
    <row r="357" spans="1:21" ht="18.75" hidden="1">
      <c r="A357" s="155"/>
      <c r="B357" s="50"/>
      <c r="C357" s="50"/>
      <c r="D357" s="50"/>
      <c r="E357" s="186" t="s">
        <v>20</v>
      </c>
      <c r="F357" s="50"/>
      <c r="G357" s="52"/>
      <c r="H357" s="187" t="s">
        <v>14</v>
      </c>
      <c r="I357" s="54"/>
      <c r="J357" s="54"/>
      <c r="K357" s="55"/>
      <c r="L357" s="103">
        <f>L360+L363</f>
        <v>0</v>
      </c>
      <c r="M357" s="102">
        <f>M360+M363</f>
        <v>0</v>
      </c>
      <c r="N357" s="102">
        <f>N360+N363</f>
        <v>0</v>
      </c>
      <c r="O357" s="102">
        <f>IF(L357&gt;0,N357*100/L357,0)</f>
        <v>0</v>
      </c>
      <c r="P357" s="102">
        <f>IF(M357&gt;0,N357*100/M357,0)</f>
        <v>0</v>
      </c>
      <c r="Q357" s="102">
        <f>Q360+Q363</f>
        <v>0</v>
      </c>
      <c r="R357" s="102">
        <f>R360+R363</f>
        <v>0</v>
      </c>
      <c r="S357" s="102">
        <f>S360+S363</f>
        <v>0</v>
      </c>
      <c r="T357" s="102">
        <f>IF(Q357&gt;0,S357*100/Q357,0)</f>
        <v>0</v>
      </c>
      <c r="U357" s="102">
        <f>IF(R357&gt;0,S357*100/R357,0)</f>
        <v>0</v>
      </c>
    </row>
    <row r="358" spans="1:21" ht="18.75" hidden="1">
      <c r="A358" s="155"/>
      <c r="B358" s="50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256">
        <f ca="1">L361+L364</f>
        <v>812710</v>
      </c>
      <c r="M358" s="255">
        <f ca="1">M361+M364</f>
        <v>853310</v>
      </c>
      <c r="N358" s="255">
        <f ca="1">N361+N364</f>
        <v>708854.69</v>
      </c>
      <c r="O358" s="255">
        <f ca="1">IF(L358&gt;0,N358*100/L358,0)</f>
        <v>87.221110851349195</v>
      </c>
      <c r="P358" s="255">
        <f ca="1">IF(M358&gt;0,N358*100/M358,0)</f>
        <v>83.071180461965753</v>
      </c>
      <c r="Q358" s="255">
        <f>Q361+Q364</f>
        <v>0</v>
      </c>
      <c r="R358" s="255">
        <f>R361+R364</f>
        <v>0</v>
      </c>
      <c r="S358" s="255">
        <f>S361+S364</f>
        <v>0</v>
      </c>
      <c r="T358" s="255">
        <f>IF(Q358&gt;0,S358*100/Q358,0)</f>
        <v>0</v>
      </c>
      <c r="U358" s="255">
        <f>IF(R358&gt;0,S358*100/R358,0)</f>
        <v>0</v>
      </c>
    </row>
    <row r="359" spans="1:21" ht="18.75">
      <c r="A359" s="155"/>
      <c r="B359" s="50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256">
        <f ca="1">L360+L361</f>
        <v>812710</v>
      </c>
      <c r="M359" s="255">
        <f ca="1">M360+M361</f>
        <v>853310</v>
      </c>
      <c r="N359" s="255">
        <f ca="1">N360+N361</f>
        <v>708854.69</v>
      </c>
      <c r="O359" s="255">
        <f ca="1">IF(L359&gt;0,N359*100/L359,0)</f>
        <v>87.221110851349195</v>
      </c>
      <c r="P359" s="255">
        <f ca="1">IF(M359&gt;0,N359*100/M359,0)</f>
        <v>83.071180461965753</v>
      </c>
      <c r="Q359" s="255">
        <f>Q360+Q361</f>
        <v>0</v>
      </c>
      <c r="R359" s="255">
        <f>R360+R361</f>
        <v>0</v>
      </c>
      <c r="S359" s="255">
        <f>S360+S361</f>
        <v>0</v>
      </c>
      <c r="T359" s="255">
        <f>IF(Q359&gt;0,S359*100/Q359,0)</f>
        <v>0</v>
      </c>
      <c r="U359" s="255">
        <f>IF(R359&gt;0,S359*100/R359,0)</f>
        <v>0</v>
      </c>
    </row>
    <row r="360" spans="1:21" ht="18.75" hidden="1">
      <c r="A360" s="155"/>
      <c r="B360" s="50"/>
      <c r="C360" s="50"/>
      <c r="D360" s="50"/>
      <c r="E360" s="186" t="s">
        <v>36</v>
      </c>
      <c r="F360" s="50"/>
      <c r="G360" s="52"/>
      <c r="H360" s="189" t="s">
        <v>14</v>
      </c>
      <c r="I360" s="163"/>
      <c r="J360" s="163"/>
      <c r="K360" s="164"/>
      <c r="L360" s="103">
        <v>0</v>
      </c>
      <c r="M360" s="102">
        <v>0</v>
      </c>
      <c r="N360" s="102">
        <v>0</v>
      </c>
      <c r="O360" s="102">
        <f>IF(L360&gt;0,N360*100/L360,0)</f>
        <v>0</v>
      </c>
      <c r="P360" s="102">
        <f>IF(M360&gt;0,N360*100/M360,0)</f>
        <v>0</v>
      </c>
      <c r="Q360" s="102">
        <v>0</v>
      </c>
      <c r="R360" s="102">
        <v>0</v>
      </c>
      <c r="S360" s="102">
        <v>0</v>
      </c>
      <c r="T360" s="102">
        <f>IF(Q360&gt;0,S360*100/Q360,0)</f>
        <v>0</v>
      </c>
      <c r="U360" s="102">
        <f>IF(R360&gt;0,S360*100/R360,0)</f>
        <v>0</v>
      </c>
    </row>
    <row r="361" spans="1:21" ht="18.75" hidden="1">
      <c r="A361" s="155"/>
      <c r="B361" s="50"/>
      <c r="C361" s="50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256">
        <f ca="1">IFERROR(__xludf.DUMMYFUNCTION("IMPORTRANGE(""https://docs.google.com/spreadsheets/d/1-uDff_7J0KD5mKrp0Vvzr7lt3OU09vwQwhkpOPPYv2Y/edit?usp=sharing"",""งบพรบ!FC45"")"),812710)</f>
        <v>812710</v>
      </c>
      <c r="M361" s="255">
        <f ca="1">IFERROR(__xludf.DUMMYFUNCTION("IMPORTRANGE(""https://docs.google.com/spreadsheets/d/1-uDff_7J0KD5mKrp0Vvzr7lt3OU09vwQwhkpOPPYv2Y/edit?usp=sharing"",""งบพรบ!FH45"")"),853310)</f>
        <v>853310</v>
      </c>
      <c r="N361" s="255">
        <f ca="1">IFERROR(__xludf.DUMMYFUNCTION("IMPORTRANGE(""https://docs.google.com/spreadsheets/d/1-uDff_7J0KD5mKrp0Vvzr7lt3OU09vwQwhkpOPPYv2Y/edit?usp=sharing"",""งบพรบ!FJ45"")"),708854.69)</f>
        <v>708854.69</v>
      </c>
      <c r="O361" s="255">
        <f ca="1">IF(L361&gt;0,N361*100/L361,0)</f>
        <v>87.221110851349195</v>
      </c>
      <c r="P361" s="255">
        <f ca="1">IF(M361&gt;0,N361*100/M361,0)</f>
        <v>83.071180461965753</v>
      </c>
      <c r="Q361" s="255">
        <v>0</v>
      </c>
      <c r="R361" s="255">
        <v>0</v>
      </c>
      <c r="S361" s="255">
        <v>0</v>
      </c>
      <c r="T361" s="255">
        <f>IF(Q361&gt;0,S361*100/Q361,0)</f>
        <v>0</v>
      </c>
      <c r="U361" s="255">
        <f>IF(R361&gt;0,S361*100/R361,0)</f>
        <v>0</v>
      </c>
    </row>
    <row r="362" spans="1:21" ht="18.75">
      <c r="A362" s="155"/>
      <c r="B362" s="50"/>
      <c r="C362" s="50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256">
        <f ca="1">L363+L364</f>
        <v>0</v>
      </c>
      <c r="M362" s="255">
        <f ca="1">M363+M364</f>
        <v>0</v>
      </c>
      <c r="N362" s="255">
        <f ca="1">N363+N364</f>
        <v>0</v>
      </c>
      <c r="O362" s="255">
        <f ca="1">IF(L362&gt;0,N362*100/L362,0)</f>
        <v>0</v>
      </c>
      <c r="P362" s="255">
        <f ca="1">IF(M362&gt;0,N362*100/M362,0)</f>
        <v>0</v>
      </c>
      <c r="Q362" s="255">
        <f>Q363+Q364</f>
        <v>0</v>
      </c>
      <c r="R362" s="255">
        <f>R363+R364</f>
        <v>0</v>
      </c>
      <c r="S362" s="255">
        <f>S363+S364</f>
        <v>0</v>
      </c>
      <c r="T362" s="255">
        <f>IF(Q362&gt;0,S362*100/Q362,0)</f>
        <v>0</v>
      </c>
      <c r="U362" s="255">
        <f>IF(R362&gt;0,S362*100/R362,0)</f>
        <v>0</v>
      </c>
    </row>
    <row r="363" spans="1:21" ht="18.75" hidden="1">
      <c r="A363" s="155"/>
      <c r="B363" s="50"/>
      <c r="C363" s="50"/>
      <c r="D363" s="50"/>
      <c r="E363" s="186" t="s">
        <v>20</v>
      </c>
      <c r="F363" s="50"/>
      <c r="G363" s="52"/>
      <c r="H363" s="189" t="s">
        <v>14</v>
      </c>
      <c r="I363" s="163"/>
      <c r="J363" s="163"/>
      <c r="K363" s="164"/>
      <c r="L363" s="103">
        <v>0</v>
      </c>
      <c r="M363" s="102">
        <v>0</v>
      </c>
      <c r="N363" s="102">
        <v>0</v>
      </c>
      <c r="O363" s="102">
        <f>IF(L363&gt;0,N363*100/L363,0)</f>
        <v>0</v>
      </c>
      <c r="P363" s="102">
        <f>IF(M363&gt;0,N363*100/M363,0)</f>
        <v>0</v>
      </c>
      <c r="Q363" s="102">
        <v>0</v>
      </c>
      <c r="R363" s="102">
        <v>0</v>
      </c>
      <c r="S363" s="102">
        <v>0</v>
      </c>
      <c r="T363" s="102">
        <f>IF(Q363&gt;0,S363*100/Q363,0)</f>
        <v>0</v>
      </c>
      <c r="U363" s="102">
        <f>IF(R363&gt;0,S363*100/R363,0)</f>
        <v>0</v>
      </c>
    </row>
    <row r="364" spans="1:21" ht="18.75" hidden="1">
      <c r="A364" s="155"/>
      <c r="B364" s="50"/>
      <c r="C364" s="50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256">
        <f ca="1">IFERROR(__xludf.DUMMYFUNCTION("IMPORTRANGE(""https://docs.google.com/spreadsheets/d/1-uDff_7J0KD5mKrp0Vvzr7lt3OU09vwQwhkpOPPYv2Y/edit?usp=sharing"",""งบพรบ!FF45"")"),0)</f>
        <v>0</v>
      </c>
      <c r="M364" s="255">
        <f ca="1">IFERROR(__xludf.DUMMYFUNCTION("IMPORTRANGE(""https://docs.google.com/spreadsheets/d/1-uDff_7J0KD5mKrp0Vvzr7lt3OU09vwQwhkpOPPYv2Y/edit?usp=sharing"",""งบพรบ!FI45"")"),0)</f>
        <v>0</v>
      </c>
      <c r="N364" s="255">
        <f ca="1">IFERROR(__xludf.DUMMYFUNCTION("IMPORTRANGE(""https://docs.google.com/spreadsheets/d/1-uDff_7J0KD5mKrp0Vvzr7lt3OU09vwQwhkpOPPYv2Y/edit?usp=sharing"",""งบพรบ!FK45"")"),0)</f>
        <v>0</v>
      </c>
      <c r="O364" s="255">
        <f ca="1">IF(L364&gt;0,N364*100/L364,0)</f>
        <v>0</v>
      </c>
      <c r="P364" s="255">
        <f ca="1">IF(M364&gt;0,N364*100/M364,0)</f>
        <v>0</v>
      </c>
      <c r="Q364" s="255">
        <v>0</v>
      </c>
      <c r="R364" s="255">
        <v>0</v>
      </c>
      <c r="S364" s="255">
        <v>0</v>
      </c>
      <c r="T364" s="255">
        <f>IF(Q364&gt;0,S364*100/Q364,0)</f>
        <v>0</v>
      </c>
      <c r="U364" s="255">
        <f>IF(R364&gt;0,S364*100/R364,0)</f>
        <v>0</v>
      </c>
    </row>
    <row r="365" spans="1:21" ht="19.5">
      <c r="A365" s="241"/>
      <c r="B365" s="242"/>
      <c r="C365" s="244"/>
      <c r="D365" s="621" t="s">
        <v>150</v>
      </c>
      <c r="E365" s="244"/>
      <c r="F365" s="244"/>
      <c r="G365" s="245"/>
      <c r="H365" s="254" t="s">
        <v>35</v>
      </c>
      <c r="I365" s="339">
        <f ca="1">I371</f>
        <v>663</v>
      </c>
      <c r="J365" s="339">
        <f ca="1">J371</f>
        <v>754</v>
      </c>
      <c r="K365" s="340">
        <f ca="1">IF(I365&gt;0,J365*100/I365,0)</f>
        <v>113.72549019607843</v>
      </c>
      <c r="L365" s="250"/>
      <c r="M365" s="249"/>
      <c r="N365" s="249"/>
      <c r="O365" s="249"/>
      <c r="P365" s="249"/>
      <c r="Q365" s="249"/>
      <c r="R365" s="249"/>
      <c r="S365" s="249"/>
      <c r="T365" s="249"/>
      <c r="U365" s="249"/>
    </row>
    <row r="366" spans="1:21" ht="19.5">
      <c r="A366" s="166"/>
      <c r="B366" s="167"/>
      <c r="C366" s="156" t="s">
        <v>18</v>
      </c>
      <c r="D366" s="566" t="s">
        <v>38</v>
      </c>
      <c r="E366" s="169"/>
      <c r="F366" s="169"/>
      <c r="G366" s="170"/>
      <c r="H366" s="171"/>
      <c r="I366" s="54"/>
      <c r="J366" s="54"/>
      <c r="K366" s="55"/>
      <c r="L366" s="172"/>
      <c r="M366" s="164"/>
      <c r="N366" s="164"/>
      <c r="O366" s="164"/>
      <c r="P366" s="164"/>
      <c r="Q366" s="164"/>
      <c r="R366" s="164"/>
      <c r="S366" s="164"/>
      <c r="T366" s="164"/>
      <c r="U366" s="164"/>
    </row>
    <row r="367" spans="1:21" ht="18.75">
      <c r="A367" s="166"/>
      <c r="B367" s="174"/>
      <c r="C367" s="167"/>
      <c r="D367" s="174"/>
      <c r="E367" s="173" t="s">
        <v>151</v>
      </c>
      <c r="F367" s="174"/>
      <c r="G367" s="171"/>
      <c r="H367" s="183" t="s">
        <v>35</v>
      </c>
      <c r="I367" s="212">
        <v>0</v>
      </c>
      <c r="J367" s="212">
        <f ca="1">IFERROR(__xludf.DUMMYFUNCTION("IMPORTRANGE(""https://docs.google.com/spreadsheets/d/1tdoBKaGub7dwA3U6UFTqxio9LNnvDCQjHKmttSEBsFQ/edit?usp=sharing"",""จัดที่ดิน!AB45"")"),511)</f>
        <v>511</v>
      </c>
      <c r="K367" s="255">
        <f>IF(I367&gt;0,J367*100/I367,0)</f>
        <v>0</v>
      </c>
      <c r="L367" s="172"/>
      <c r="M367" s="164"/>
      <c r="N367" s="164"/>
      <c r="O367" s="164"/>
      <c r="P367" s="164"/>
      <c r="Q367" s="164"/>
      <c r="R367" s="164"/>
      <c r="S367" s="164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212">
        <f ca="1">IFERROR(__xludf.DUMMYFUNCTION("IMPORTRANGE(""https://docs.google.com/spreadsheets/d/1eHaY18a8A9IcSdp1K8H6x8fbOy06t2VsZHhMHf-1x7Y/edit?usp=sharing"",""แผน!EW45"")"),2550)</f>
        <v>2550</v>
      </c>
      <c r="J368" s="620">
        <f ca="1">IFERROR(__xludf.DUMMYFUNCTION("IMPORTRANGE(""https://docs.google.com/spreadsheets/d/1tdoBKaGub7dwA3U6UFTqxio9LNnvDCQjHKmttSEBsFQ/edit?usp=sharing"",""จัดที่ดิน!AC45"")"),3628.58)</f>
        <v>3628.58</v>
      </c>
      <c r="K368" s="255">
        <f ca="1">IF(I368&gt;0,J368*100/I368,0)</f>
        <v>142.2972549019608</v>
      </c>
      <c r="L368" s="172"/>
      <c r="M368" s="164"/>
      <c r="N368" s="164"/>
      <c r="O368" s="164"/>
      <c r="P368" s="164"/>
      <c r="Q368" s="164"/>
      <c r="R368" s="164"/>
      <c r="S368" s="164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79" t="s">
        <v>35</v>
      </c>
      <c r="I369" s="212">
        <f ca="1">IFERROR(__xludf.DUMMYFUNCTION("IMPORTRANGE(""https://docs.google.com/spreadsheets/d/1eHaY18a8A9IcSdp1K8H6x8fbOy06t2VsZHhMHf-1x7Y/edit?usp=sharing"",""แผน!EX45"")"),663)</f>
        <v>663</v>
      </c>
      <c r="J369" s="212">
        <f ca="1">IFERROR(__xludf.DUMMYFUNCTION("IMPORTRANGE(""https://docs.google.com/spreadsheets/d/1tdoBKaGub7dwA3U6UFTqxio9LNnvDCQjHKmttSEBsFQ/edit?usp=sharing"",""จัดที่ดิน!AD45"")"),1002)</f>
        <v>1002</v>
      </c>
      <c r="K369" s="255">
        <f ca="1">IF(I369&gt;0,J369*100/I369,0)</f>
        <v>151.13122171945702</v>
      </c>
      <c r="L369" s="172"/>
      <c r="M369" s="164"/>
      <c r="N369" s="164"/>
      <c r="O369" s="164"/>
      <c r="P369" s="164"/>
      <c r="Q369" s="164"/>
      <c r="R369" s="164"/>
      <c r="S369" s="164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79" t="s">
        <v>46</v>
      </c>
      <c r="I370" s="212">
        <v>0</v>
      </c>
      <c r="J370" s="620">
        <f ca="1">IFERROR(__xludf.DUMMYFUNCTION("IMPORTRANGE(""https://docs.google.com/spreadsheets/d/1tdoBKaGub7dwA3U6UFTqxio9LNnvDCQjHKmttSEBsFQ/edit?usp=sharing"",""จัดที่ดิน!AE45"")"),9924.3)</f>
        <v>9924.2999999999993</v>
      </c>
      <c r="K370" s="255">
        <f>IF(I370&gt;0,J370*100/I370,0)</f>
        <v>0</v>
      </c>
      <c r="L370" s="172"/>
      <c r="M370" s="164"/>
      <c r="N370" s="164"/>
      <c r="O370" s="164"/>
      <c r="P370" s="164"/>
      <c r="Q370" s="164"/>
      <c r="R370" s="164"/>
      <c r="S370" s="164"/>
      <c r="T370" s="164"/>
      <c r="U370" s="164"/>
    </row>
    <row r="371" spans="1:21" ht="18.75">
      <c r="A371" s="166"/>
      <c r="B371" s="174"/>
      <c r="C371" s="167"/>
      <c r="D371" s="174"/>
      <c r="E371" s="352" t="s">
        <v>153</v>
      </c>
      <c r="F371" s="174"/>
      <c r="G371" s="171"/>
      <c r="H371" s="179" t="s">
        <v>35</v>
      </c>
      <c r="I371" s="212">
        <f ca="1">IFERROR(__xludf.DUMMYFUNCTION("IMPORTRANGE(""https://docs.google.com/spreadsheets/d/1eHaY18a8A9IcSdp1K8H6x8fbOy06t2VsZHhMHf-1x7Y/edit?usp=sharing"",""แผน!EY45"")"),663)</f>
        <v>663</v>
      </c>
      <c r="J371" s="212">
        <f ca="1">IFERROR(__xludf.DUMMYFUNCTION("IMPORTRANGE(""https://docs.google.com/spreadsheets/d/1tdoBKaGub7dwA3U6UFTqxio9LNnvDCQjHKmttSEBsFQ/edit?usp=sharing"",""จัดที่ดิน!AF45"")"),754)</f>
        <v>754</v>
      </c>
      <c r="K371" s="255">
        <f ca="1">IF(I371&gt;0,J371*100/I371,0)</f>
        <v>113.72549019607843</v>
      </c>
      <c r="L371" s="172"/>
      <c r="M371" s="164"/>
      <c r="N371" s="164"/>
      <c r="O371" s="164"/>
      <c r="P371" s="164"/>
      <c r="Q371" s="164"/>
      <c r="R371" s="164"/>
      <c r="S371" s="164"/>
      <c r="T371" s="164"/>
      <c r="U371" s="164"/>
    </row>
    <row r="372" spans="1:21" ht="18.75">
      <c r="A372" s="166"/>
      <c r="B372" s="174"/>
      <c r="C372" s="167"/>
      <c r="D372" s="174"/>
      <c r="E372" s="174"/>
      <c r="F372" s="174"/>
      <c r="G372" s="171"/>
      <c r="H372" s="179" t="s">
        <v>46</v>
      </c>
      <c r="I372" s="212">
        <v>0</v>
      </c>
      <c r="J372" s="620">
        <f ca="1">IFERROR(__xludf.DUMMYFUNCTION("IMPORTRANGE(""https://docs.google.com/spreadsheets/d/1tdoBKaGub7dwA3U6UFTqxio9LNnvDCQjHKmttSEBsFQ/edit?usp=sharing"",""จัดที่ดิน!AG45"")"),8211.93)</f>
        <v>8211.93</v>
      </c>
      <c r="K372" s="255">
        <f>IF(I372&gt;0,J372*100/I372,0)</f>
        <v>0</v>
      </c>
      <c r="L372" s="172"/>
      <c r="M372" s="164"/>
      <c r="N372" s="164"/>
      <c r="O372" s="164"/>
      <c r="P372" s="164"/>
      <c r="Q372" s="164"/>
      <c r="R372" s="164"/>
      <c r="S372" s="164"/>
      <c r="T372" s="164"/>
      <c r="U372" s="164"/>
    </row>
    <row r="373" spans="1:21" ht="16.5">
      <c r="A373" s="5"/>
      <c r="B373" s="4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พ.ค. 67 เวลา 07.29 น.]")</f>
        <v xml:space="preserve"> [ข้อมูลจาก ระบบ ALRO Land Online ข้อมูล ณ 1 พ.ค. 67 เวลา 07.29 น.]</v>
      </c>
      <c r="E373" s="4"/>
      <c r="F373" s="4"/>
      <c r="G373" s="65"/>
      <c r="H373" s="65"/>
      <c r="I373" s="67"/>
      <c r="J373" s="67"/>
      <c r="K373" s="6"/>
      <c r="L373" s="68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>
      <c r="A374" s="619"/>
      <c r="B374" s="618" t="s">
        <v>154</v>
      </c>
      <c r="C374" s="617"/>
      <c r="D374" s="616"/>
      <c r="E374" s="615"/>
      <c r="F374" s="615"/>
      <c r="G374" s="614"/>
      <c r="H374" s="613" t="s">
        <v>46</v>
      </c>
      <c r="I374" s="612">
        <f ca="1">I386+I388</f>
        <v>7800</v>
      </c>
      <c r="J374" s="612">
        <f ca="1">J386+J388</f>
        <v>580</v>
      </c>
      <c r="K374" s="611">
        <f ca="1">IF(I374&gt;0,J374*100/I374,0)</f>
        <v>7.4358974358974361</v>
      </c>
      <c r="L374" s="334"/>
      <c r="M374" s="333"/>
      <c r="N374" s="333"/>
      <c r="O374" s="333"/>
      <c r="P374" s="333"/>
      <c r="Q374" s="333"/>
      <c r="R374" s="333"/>
      <c r="S374" s="333"/>
      <c r="T374" s="333"/>
      <c r="U374" s="333"/>
    </row>
    <row r="375" spans="1:21" ht="19.5">
      <c r="A375" s="155"/>
      <c r="B375" s="188"/>
      <c r="C375" s="191" t="s">
        <v>18</v>
      </c>
      <c r="D375" s="608" t="s">
        <v>19</v>
      </c>
      <c r="E375" s="50"/>
      <c r="F375" s="50"/>
      <c r="G375" s="52"/>
      <c r="H375" s="158" t="s">
        <v>14</v>
      </c>
      <c r="I375" s="54"/>
      <c r="J375" s="54"/>
      <c r="K375" s="55"/>
      <c r="L375" s="541">
        <f>L376+L377</f>
        <v>0</v>
      </c>
      <c r="M375" s="540">
        <f>M376+M377</f>
        <v>0</v>
      </c>
      <c r="N375" s="540">
        <f>N376+N377</f>
        <v>0</v>
      </c>
      <c r="O375" s="540">
        <f>IF(L375&gt;0,N375*100/L375,0)</f>
        <v>0</v>
      </c>
      <c r="P375" s="540">
        <f>IF(M375&gt;0,N375*100/M375,0)</f>
        <v>0</v>
      </c>
      <c r="Q375" s="540">
        <f ca="1">Q376+Q377</f>
        <v>487500</v>
      </c>
      <c r="R375" s="540">
        <f ca="1">R376+R377</f>
        <v>487500</v>
      </c>
      <c r="S375" s="540">
        <f ca="1">S376+S377</f>
        <v>0</v>
      </c>
      <c r="T375" s="540">
        <f ca="1">IF(Q375&gt;0,S375*100/Q375,0)</f>
        <v>0</v>
      </c>
      <c r="U375" s="540">
        <f ca="1">IF(R375&gt;0,S375*100/R375,0)</f>
        <v>0</v>
      </c>
    </row>
    <row r="376" spans="1:21" ht="18.75" hidden="1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103">
        <f>L379+L382</f>
        <v>0</v>
      </c>
      <c r="M376" s="102">
        <f>M379+M382</f>
        <v>0</v>
      </c>
      <c r="N376" s="102">
        <f>N379+N382</f>
        <v>0</v>
      </c>
      <c r="O376" s="102">
        <f>IF(L376&gt;0,N376*100/L376,0)</f>
        <v>0</v>
      </c>
      <c r="P376" s="102">
        <f>IF(M376&gt;0,N376*100/M376,0)</f>
        <v>0</v>
      </c>
      <c r="Q376" s="102">
        <f>Q379+Q382</f>
        <v>0</v>
      </c>
      <c r="R376" s="102">
        <f>R379+R382</f>
        <v>0</v>
      </c>
      <c r="S376" s="102">
        <f>S379+S382</f>
        <v>0</v>
      </c>
      <c r="T376" s="102">
        <f>IF(Q376&gt;0,S376*100/Q376,0)</f>
        <v>0</v>
      </c>
      <c r="U376" s="102">
        <f>IF(R376&gt;0,S376*100/R376,0)</f>
        <v>0</v>
      </c>
    </row>
    <row r="377" spans="1:21" ht="18.75" hidden="1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256">
        <f>L380+L383</f>
        <v>0</v>
      </c>
      <c r="M377" s="255">
        <f>M380+M383</f>
        <v>0</v>
      </c>
      <c r="N377" s="255">
        <f>N380+N383</f>
        <v>0</v>
      </c>
      <c r="O377" s="255">
        <f>IF(L377&gt;0,N377*100/L377,0)</f>
        <v>0</v>
      </c>
      <c r="P377" s="255">
        <f>IF(M377&gt;0,N377*100/M377,0)</f>
        <v>0</v>
      </c>
      <c r="Q377" s="255">
        <f ca="1">Q380+Q383</f>
        <v>487500</v>
      </c>
      <c r="R377" s="255">
        <f ca="1">R380+R383</f>
        <v>487500</v>
      </c>
      <c r="S377" s="255">
        <f ca="1">S380+S383</f>
        <v>0</v>
      </c>
      <c r="T377" s="255">
        <f ca="1">IF(Q377&gt;0,S377*100/Q377,0)</f>
        <v>0</v>
      </c>
      <c r="U377" s="255">
        <f ca="1">IF(R377&gt;0,S377*100/R377,0)</f>
        <v>0</v>
      </c>
    </row>
    <row r="378" spans="1:21" ht="18.75">
      <c r="A378" s="155"/>
      <c r="B378" s="188"/>
      <c r="C378" s="188"/>
      <c r="D378" s="602" t="s">
        <v>22</v>
      </c>
      <c r="E378" s="50"/>
      <c r="F378" s="50"/>
      <c r="G378" s="52"/>
      <c r="H378" s="162" t="s">
        <v>14</v>
      </c>
      <c r="I378" s="163"/>
      <c r="J378" s="163"/>
      <c r="K378" s="164"/>
      <c r="L378" s="256">
        <f>L379+L380</f>
        <v>0</v>
      </c>
      <c r="M378" s="255">
        <f>M379+M380</f>
        <v>0</v>
      </c>
      <c r="N378" s="255">
        <f>N379+N380</f>
        <v>0</v>
      </c>
      <c r="O378" s="255">
        <f>IF(L378&gt;0,N378*100/L378,0)</f>
        <v>0</v>
      </c>
      <c r="P378" s="255">
        <f>IF(M378&gt;0,N378*100/M378,0)</f>
        <v>0</v>
      </c>
      <c r="Q378" s="255">
        <f ca="1">Q379+Q380</f>
        <v>487500</v>
      </c>
      <c r="R378" s="255">
        <f ca="1">R379+R380</f>
        <v>487500</v>
      </c>
      <c r="S378" s="255">
        <f ca="1">S379+S380</f>
        <v>0</v>
      </c>
      <c r="T378" s="255">
        <f ca="1">IF(Q378&gt;0,S378*100/Q378,0)</f>
        <v>0</v>
      </c>
      <c r="U378" s="255">
        <f ca="1">IF(R378&gt;0,S378*100/R378,0)</f>
        <v>0</v>
      </c>
    </row>
    <row r="379" spans="1:21" ht="18.75" hidden="1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103">
        <v>0</v>
      </c>
      <c r="M379" s="102">
        <v>0</v>
      </c>
      <c r="N379" s="102">
        <v>0</v>
      </c>
      <c r="O379" s="102">
        <f>IF(L379&gt;0,N379*100/L379,0)</f>
        <v>0</v>
      </c>
      <c r="P379" s="102">
        <f>IF(M379&gt;0,N379*100/M379,0)</f>
        <v>0</v>
      </c>
      <c r="Q379" s="102">
        <v>0</v>
      </c>
      <c r="R379" s="102">
        <v>0</v>
      </c>
      <c r="S379" s="102">
        <v>0</v>
      </c>
      <c r="T379" s="102">
        <f>IF(Q379&gt;0,S379*100/Q379,0)</f>
        <v>0</v>
      </c>
      <c r="U379" s="102">
        <f>IF(R379&gt;0,S379*100/R379,0)</f>
        <v>0</v>
      </c>
    </row>
    <row r="380" spans="1:21" ht="18.75" hidden="1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256">
        <v>0</v>
      </c>
      <c r="M380" s="255">
        <v>0</v>
      </c>
      <c r="N380" s="255">
        <v>0</v>
      </c>
      <c r="O380" s="255">
        <f>IF(L380&gt;0,N380*100/L380,0)</f>
        <v>0</v>
      </c>
      <c r="P380" s="255">
        <f>IF(M380&gt;0,N380*100/M380,0)</f>
        <v>0</v>
      </c>
      <c r="Q380" s="255">
        <f ca="1">IFERROR(__xludf.DUMMYFUNCTION("IMPORTRANGE(""https://docs.google.com/spreadsheets/d/1ItG2mGa2ceCfYo0BwxsXqNm01IGEUdYcSSLTEv9YCik/edit?usp=sharing"",""เบิกจ่ายกองทุน!AY45"")"),487500)</f>
        <v>487500</v>
      </c>
      <c r="R380" s="255">
        <f ca="1">IFERROR(__xludf.DUMMYFUNCTION("IMPORTRANGE(""https://docs.google.com/spreadsheets/d/1ItG2mGa2ceCfYo0BwxsXqNm01IGEUdYcSSLTEv9YCik/edit?usp=sharing"",""เบิกจ่ายกองทุน!AZ45"")"),487500)</f>
        <v>487500</v>
      </c>
      <c r="S380" s="255">
        <f ca="1">IFERROR(__xludf.DUMMYFUNCTION("IMPORTRANGE(""https://docs.google.com/spreadsheets/d/1ItG2mGa2ceCfYo0BwxsXqNm01IGEUdYcSSLTEv9YCik/edit?usp=sharing"",""เบิกจ่ายกองทุน!BA45"")"),0)</f>
        <v>0</v>
      </c>
      <c r="T380" s="255">
        <f ca="1">IF(Q380&gt;0,S380*100/Q380,0)</f>
        <v>0</v>
      </c>
      <c r="U380" s="255">
        <f ca="1">IF(R380&gt;0,S380*100/R380,0)</f>
        <v>0</v>
      </c>
    </row>
    <row r="381" spans="1:21" ht="18.75">
      <c r="A381" s="155"/>
      <c r="B381" s="188"/>
      <c r="C381" s="188"/>
      <c r="D381" s="602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256">
        <f>L382+L383</f>
        <v>0</v>
      </c>
      <c r="M381" s="255">
        <f>M382+M383</f>
        <v>0</v>
      </c>
      <c r="N381" s="255">
        <f>N382+N383</f>
        <v>0</v>
      </c>
      <c r="O381" s="255">
        <f>IF(L381&gt;0,N381*100/L381,0)</f>
        <v>0</v>
      </c>
      <c r="P381" s="255">
        <f>IF(M381&gt;0,N381*100/M381,0)</f>
        <v>0</v>
      </c>
      <c r="Q381" s="255">
        <f>Q382+Q383</f>
        <v>0</v>
      </c>
      <c r="R381" s="255">
        <f>R382+R383</f>
        <v>0</v>
      </c>
      <c r="S381" s="255">
        <f>S382+S383</f>
        <v>0</v>
      </c>
      <c r="T381" s="255">
        <f>IF(Q381&gt;0,S381*100/Q381,0)</f>
        <v>0</v>
      </c>
      <c r="U381" s="255">
        <f>IF(R381&gt;0,S381*100/R381,0)</f>
        <v>0</v>
      </c>
    </row>
    <row r="382" spans="1:21" ht="18.75" hidden="1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103">
        <v>0</v>
      </c>
      <c r="M382" s="102">
        <v>0</v>
      </c>
      <c r="N382" s="102">
        <v>0</v>
      </c>
      <c r="O382" s="102">
        <f>IF(L382&gt;0,N382*100/L382,0)</f>
        <v>0</v>
      </c>
      <c r="P382" s="102">
        <f>IF(M382&gt;0,N382*100/M382,0)</f>
        <v>0</v>
      </c>
      <c r="Q382" s="102">
        <v>0</v>
      </c>
      <c r="R382" s="102">
        <v>0</v>
      </c>
      <c r="S382" s="102">
        <v>0</v>
      </c>
      <c r="T382" s="102">
        <f>IF(Q382&gt;0,S382*100/Q382,0)</f>
        <v>0</v>
      </c>
      <c r="U382" s="102">
        <f>IF(R382&gt;0,S382*100/R382,0)</f>
        <v>0</v>
      </c>
    </row>
    <row r="383" spans="1:21" ht="18.75" hidden="1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256">
        <v>0</v>
      </c>
      <c r="M383" s="255">
        <v>0</v>
      </c>
      <c r="N383" s="255">
        <v>0</v>
      </c>
      <c r="O383" s="255">
        <f>IF(L383&gt;0,N383*100/L383,0)</f>
        <v>0</v>
      </c>
      <c r="P383" s="255">
        <f>IF(M383&gt;0,N383*100/M383,0)</f>
        <v>0</v>
      </c>
      <c r="Q383" s="255">
        <v>0</v>
      </c>
      <c r="R383" s="255">
        <v>0</v>
      </c>
      <c r="S383" s="255">
        <v>0</v>
      </c>
      <c r="T383" s="255">
        <f>IF(Q383&gt;0,S383*100/Q383,0)</f>
        <v>0</v>
      </c>
      <c r="U383" s="255">
        <f>IF(R383&gt;0,S383*100/R383,0)</f>
        <v>0</v>
      </c>
    </row>
    <row r="384" spans="1:21" ht="19.5">
      <c r="A384" s="166"/>
      <c r="B384" s="167"/>
      <c r="C384" s="191" t="s">
        <v>18</v>
      </c>
      <c r="D384" s="560" t="s">
        <v>38</v>
      </c>
      <c r="E384" s="169"/>
      <c r="F384" s="169"/>
      <c r="G384" s="170"/>
      <c r="H384" s="206"/>
      <c r="I384" s="163"/>
      <c r="J384" s="54"/>
      <c r="K384" s="55"/>
      <c r="L384" s="62"/>
      <c r="M384" s="55"/>
      <c r="N384" s="55"/>
      <c r="O384" s="164"/>
      <c r="P384" s="164"/>
      <c r="Q384" s="55"/>
      <c r="R384" s="55"/>
      <c r="S384" s="55"/>
      <c r="T384" s="164"/>
      <c r="U384" s="164"/>
    </row>
    <row r="385" spans="1:21" ht="18.75">
      <c r="A385" s="238"/>
      <c r="B385" s="188"/>
      <c r="C385" s="188"/>
      <c r="D385" s="188"/>
      <c r="E385" s="58" t="s">
        <v>155</v>
      </c>
      <c r="F385" s="50"/>
      <c r="G385" s="52"/>
      <c r="H385" s="161" t="s">
        <v>34</v>
      </c>
      <c r="I385" s="212">
        <v>0</v>
      </c>
      <c r="J385" s="212">
        <f ca="1">IFERROR(__xludf.DUMMYFUNCTION("IMPORTRANGE(""https://docs.google.com/spreadsheets/d/1w5rwWK1o49a35cNtocGL0gxDwhFSTZUQu90BiH9_zqM/edit?usp=sharing"",""RTK!H45"")"),56)</f>
        <v>56</v>
      </c>
      <c r="K385" s="255">
        <f>IF(I385&gt;0,J385*100/I385,0)</f>
        <v>0</v>
      </c>
      <c r="L385" s="62"/>
      <c r="M385" s="55"/>
      <c r="N385" s="55"/>
      <c r="O385" s="55"/>
      <c r="P385" s="55"/>
      <c r="Q385" s="55"/>
      <c r="R385" s="55"/>
      <c r="S385" s="55"/>
      <c r="T385" s="55"/>
      <c r="U385" s="55"/>
    </row>
    <row r="386" spans="1:21" ht="18.75">
      <c r="A386" s="188"/>
      <c r="B386" s="188"/>
      <c r="C386" s="188"/>
      <c r="D386" s="188"/>
      <c r="E386" s="188"/>
      <c r="F386" s="188"/>
      <c r="G386" s="208"/>
      <c r="H386" s="161" t="s">
        <v>46</v>
      </c>
      <c r="I386" s="212">
        <f ca="1">IFERROR(__xludf.DUMMYFUNCTION("IMPORTRANGE(""https://docs.google.com/spreadsheets/d/1w5rwWK1o49a35cNtocGL0gxDwhFSTZUQu90BiH9_zqM/edit?usp=sharing"",""RTK!G45"")"),7800)</f>
        <v>7800</v>
      </c>
      <c r="J386" s="212">
        <f ca="1">IFERROR(__xludf.DUMMYFUNCTION("IMPORTRANGE(""https://docs.google.com/spreadsheets/d/1w5rwWK1o49a35cNtocGL0gxDwhFSTZUQu90BiH9_zqM/edit?usp=sharing"",""RTK!I45"")"),580)</f>
        <v>580</v>
      </c>
      <c r="K386" s="255">
        <f ca="1">IF(I386&gt;0,J386*100/I386,0)</f>
        <v>7.4358974358974361</v>
      </c>
      <c r="L386" s="62"/>
      <c r="M386" s="55"/>
      <c r="N386" s="55"/>
      <c r="O386" s="55"/>
      <c r="P386" s="55"/>
      <c r="Q386" s="55"/>
      <c r="R386" s="55"/>
      <c r="S386" s="55"/>
      <c r="T386" s="55"/>
      <c r="U386" s="55"/>
    </row>
    <row r="387" spans="1:21" ht="18.75">
      <c r="A387" s="609"/>
      <c r="B387" s="609"/>
      <c r="C387" s="609"/>
      <c r="D387" s="609"/>
      <c r="E387" s="610" t="s">
        <v>156</v>
      </c>
      <c r="F387" s="609"/>
      <c r="G387" s="557"/>
      <c r="H387" s="549" t="s">
        <v>34</v>
      </c>
      <c r="I387" s="556">
        <v>0</v>
      </c>
      <c r="J387" s="556">
        <f ca="1">IFERROR(__xludf.DUMMYFUNCTION("IMPORTRANGE(""https://docs.google.com/spreadsheets/d/1w5rwWK1o49a35cNtocGL0gxDwhFSTZUQu90BiH9_zqM/edit?usp=sharing"",""RTK!L45"")"),0)</f>
        <v>0</v>
      </c>
      <c r="K387" s="555">
        <f>IF(I387&gt;0,J387*100/I387,0)</f>
        <v>0</v>
      </c>
      <c r="L387" s="546"/>
      <c r="M387" s="545"/>
      <c r="N387" s="545"/>
      <c r="O387" s="545"/>
      <c r="P387" s="545"/>
      <c r="Q387" s="545"/>
      <c r="R387" s="545"/>
      <c r="S387" s="545"/>
      <c r="T387" s="545"/>
      <c r="U387" s="545"/>
    </row>
    <row r="388" spans="1:21" ht="18.75">
      <c r="A388" s="609"/>
      <c r="B388" s="609"/>
      <c r="C388" s="609"/>
      <c r="D388" s="609"/>
      <c r="E388" s="609"/>
      <c r="F388" s="609"/>
      <c r="G388" s="557"/>
      <c r="H388" s="549" t="s">
        <v>46</v>
      </c>
      <c r="I388" s="556">
        <f ca="1">IFERROR(__xludf.DUMMYFUNCTION("IMPORTRANGE(""https://docs.google.com/spreadsheets/d/1w5rwWK1o49a35cNtocGL0gxDwhFSTZUQu90BiH9_zqM/edit?usp=sharing"",""RTK!K45"")"),0)</f>
        <v>0</v>
      </c>
      <c r="J388" s="556">
        <f ca="1">IFERROR(__xludf.DUMMYFUNCTION("IMPORTRANGE(""https://docs.google.com/spreadsheets/d/1w5rwWK1o49a35cNtocGL0gxDwhFSTZUQu90BiH9_zqM/edit?usp=sharing"",""RTK!M45"")"),0)</f>
        <v>0</v>
      </c>
      <c r="K388" s="555">
        <f ca="1">IF(I388&gt;0,J388*100/I388,0)</f>
        <v>0</v>
      </c>
      <c r="L388" s="546"/>
      <c r="M388" s="545"/>
      <c r="N388" s="545"/>
      <c r="O388" s="545"/>
      <c r="P388" s="545"/>
      <c r="Q388" s="545"/>
      <c r="R388" s="545"/>
      <c r="S388" s="545"/>
      <c r="T388" s="545"/>
      <c r="U388" s="545"/>
    </row>
    <row r="389" spans="1:21" ht="12.75" hidden="1">
      <c r="A389" s="259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5"/>
      <c r="M389" s="264"/>
      <c r="N389" s="264"/>
      <c r="O389" s="264"/>
      <c r="P389" s="264"/>
      <c r="Q389" s="264"/>
      <c r="R389" s="264"/>
      <c r="S389" s="264"/>
      <c r="T389" s="264"/>
      <c r="U389" s="264"/>
    </row>
    <row r="390" spans="1:21" ht="12.75" hidden="1">
      <c r="A390" s="360"/>
      <c r="B390" s="360"/>
      <c r="C390" s="360"/>
      <c r="D390" s="360"/>
      <c r="E390" s="360"/>
      <c r="F390" s="360"/>
      <c r="G390" s="361"/>
      <c r="H390" s="361"/>
      <c r="I390" s="362"/>
      <c r="J390" s="362"/>
      <c r="K390" s="363"/>
      <c r="L390" s="364"/>
      <c r="M390" s="363"/>
      <c r="N390" s="363"/>
      <c r="O390" s="363"/>
      <c r="P390" s="363"/>
      <c r="Q390" s="363"/>
      <c r="R390" s="363"/>
      <c r="S390" s="363"/>
      <c r="T390" s="363"/>
      <c r="U390" s="363"/>
    </row>
    <row r="391" spans="1:21" ht="19.5" hidden="1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51">
        <f>I402</f>
        <v>0</v>
      </c>
      <c r="J391" s="351">
        <f>J402</f>
        <v>0</v>
      </c>
      <c r="K391" s="604">
        <f>IF(I391&gt;0,J391*100/I391,0)</f>
        <v>0</v>
      </c>
      <c r="L391" s="334"/>
      <c r="M391" s="333"/>
      <c r="N391" s="333"/>
      <c r="O391" s="333"/>
      <c r="P391" s="333"/>
      <c r="Q391" s="333"/>
      <c r="R391" s="333"/>
      <c r="S391" s="333"/>
      <c r="T391" s="333"/>
      <c r="U391" s="333"/>
    </row>
    <row r="392" spans="1:21" ht="19.5" hidden="1">
      <c r="A392" s="155"/>
      <c r="B392" s="188"/>
      <c r="C392" s="191" t="s">
        <v>18</v>
      </c>
      <c r="D392" s="608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541">
        <f>L393+L394</f>
        <v>0</v>
      </c>
      <c r="M392" s="540">
        <f>M393+M394</f>
        <v>0</v>
      </c>
      <c r="N392" s="540">
        <f>N393+N394</f>
        <v>0</v>
      </c>
      <c r="O392" s="540">
        <f>IF(L392&gt;0,N392*100/L392,0)</f>
        <v>0</v>
      </c>
      <c r="P392" s="540">
        <f>IF(M392&gt;0,N392*100/M392,0)</f>
        <v>0</v>
      </c>
      <c r="Q392" s="540">
        <f>Q393+Q394</f>
        <v>0</v>
      </c>
      <c r="R392" s="540">
        <f>R393+R394</f>
        <v>0</v>
      </c>
      <c r="S392" s="540">
        <f>S393+S394</f>
        <v>0</v>
      </c>
      <c r="T392" s="540">
        <f>IF(Q392&gt;0,S392*100/Q392,0)</f>
        <v>0</v>
      </c>
      <c r="U392" s="540">
        <f>IF(R392&gt;0,S392*100/R392,0)</f>
        <v>0</v>
      </c>
    </row>
    <row r="393" spans="1:21" ht="18.75" hidden="1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103">
        <f>L396+L399</f>
        <v>0</v>
      </c>
      <c r="M393" s="102">
        <f>M396+M399</f>
        <v>0</v>
      </c>
      <c r="N393" s="102">
        <f>N396+N399</f>
        <v>0</v>
      </c>
      <c r="O393" s="102">
        <f>IF(L393&gt;0,N393*100/L393,0)</f>
        <v>0</v>
      </c>
      <c r="P393" s="102">
        <f>IF(M393&gt;0,N393*100/M393,0)</f>
        <v>0</v>
      </c>
      <c r="Q393" s="102">
        <f>Q396+Q399</f>
        <v>0</v>
      </c>
      <c r="R393" s="102">
        <f>R396+R399</f>
        <v>0</v>
      </c>
      <c r="S393" s="102">
        <f>S396+S399</f>
        <v>0</v>
      </c>
      <c r="T393" s="102">
        <f>IF(Q393&gt;0,S393*100/Q393,0)</f>
        <v>0</v>
      </c>
      <c r="U393" s="102">
        <f>IF(R393&gt;0,S393*100/R393,0)</f>
        <v>0</v>
      </c>
    </row>
    <row r="394" spans="1:21" ht="18.75" hidden="1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256">
        <f>L397+L400</f>
        <v>0</v>
      </c>
      <c r="M394" s="255">
        <f>M397+M400</f>
        <v>0</v>
      </c>
      <c r="N394" s="255">
        <f>N397+N400</f>
        <v>0</v>
      </c>
      <c r="O394" s="255">
        <f>IF(L394&gt;0,N394*100/L394,0)</f>
        <v>0</v>
      </c>
      <c r="P394" s="255">
        <f>IF(M394&gt;0,N394*100/M394,0)</f>
        <v>0</v>
      </c>
      <c r="Q394" s="255">
        <f>Q397+Q400</f>
        <v>0</v>
      </c>
      <c r="R394" s="255">
        <f>R397+R400</f>
        <v>0</v>
      </c>
      <c r="S394" s="255">
        <f>S397+S400</f>
        <v>0</v>
      </c>
      <c r="T394" s="255">
        <f>IF(Q394&gt;0,S394*100/Q394,0)</f>
        <v>0</v>
      </c>
      <c r="U394" s="255">
        <f>IF(R394&gt;0,S394*100/R394,0)</f>
        <v>0</v>
      </c>
    </row>
    <row r="395" spans="1:21" ht="18.75" hidden="1">
      <c r="A395" s="155"/>
      <c r="B395" s="188"/>
      <c r="C395" s="188"/>
      <c r="D395" s="602" t="s">
        <v>22</v>
      </c>
      <c r="E395" s="50"/>
      <c r="F395" s="50"/>
      <c r="G395" s="52"/>
      <c r="H395" s="162" t="s">
        <v>14</v>
      </c>
      <c r="I395" s="163"/>
      <c r="J395" s="163"/>
      <c r="K395" s="164"/>
      <c r="L395" s="256">
        <f>L396+L397</f>
        <v>0</v>
      </c>
      <c r="M395" s="255">
        <f>M396+M397</f>
        <v>0</v>
      </c>
      <c r="N395" s="255">
        <f>N396+N397</f>
        <v>0</v>
      </c>
      <c r="O395" s="255">
        <f>IF(L395&gt;0,N395*100/L395,0)</f>
        <v>0</v>
      </c>
      <c r="P395" s="255">
        <f>IF(M395&gt;0,N395*100/M395,0)</f>
        <v>0</v>
      </c>
      <c r="Q395" s="255">
        <f>Q396+Q397</f>
        <v>0</v>
      </c>
      <c r="R395" s="255">
        <f>R396+R397</f>
        <v>0</v>
      </c>
      <c r="S395" s="255">
        <f>S396+S397</f>
        <v>0</v>
      </c>
      <c r="T395" s="255">
        <f>IF(Q395&gt;0,S395*100/Q395,0)</f>
        <v>0</v>
      </c>
      <c r="U395" s="255">
        <f>IF(R395&gt;0,S395*100/R395,0)</f>
        <v>0</v>
      </c>
    </row>
    <row r="396" spans="1:21" ht="18.75" hidden="1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103">
        <v>0</v>
      </c>
      <c r="M396" s="102">
        <v>0</v>
      </c>
      <c r="N396" s="102">
        <v>0</v>
      </c>
      <c r="O396" s="102">
        <f>IF(L396&gt;0,N396*100/L396,0)</f>
        <v>0</v>
      </c>
      <c r="P396" s="102">
        <f>IF(M396&gt;0,N396*100/M396,0)</f>
        <v>0</v>
      </c>
      <c r="Q396" s="102">
        <v>0</v>
      </c>
      <c r="R396" s="102">
        <v>0</v>
      </c>
      <c r="S396" s="102">
        <v>0</v>
      </c>
      <c r="T396" s="102">
        <f>IF(Q396&gt;0,S396*100/Q396,0)</f>
        <v>0</v>
      </c>
      <c r="U396" s="102">
        <f>IF(R396&gt;0,S396*100/R396,0)</f>
        <v>0</v>
      </c>
    </row>
    <row r="397" spans="1:21" ht="18.75" hidden="1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256">
        <v>0</v>
      </c>
      <c r="M397" s="255">
        <v>0</v>
      </c>
      <c r="N397" s="255">
        <v>0</v>
      </c>
      <c r="O397" s="255">
        <f>IF(L397&gt;0,N397*100/L397,0)</f>
        <v>0</v>
      </c>
      <c r="P397" s="255">
        <f>IF(M397&gt;0,N397*100/M397,0)</f>
        <v>0</v>
      </c>
      <c r="Q397" s="255">
        <v>0</v>
      </c>
      <c r="R397" s="255">
        <v>0</v>
      </c>
      <c r="S397" s="255">
        <v>0</v>
      </c>
      <c r="T397" s="255">
        <f>IF(Q397&gt;0,S397*100/Q397,0)</f>
        <v>0</v>
      </c>
      <c r="U397" s="255">
        <f>IF(R397&gt;0,S397*100/R397,0)</f>
        <v>0</v>
      </c>
    </row>
    <row r="398" spans="1:21" ht="18.75" hidden="1">
      <c r="A398" s="155"/>
      <c r="B398" s="188"/>
      <c r="C398" s="188"/>
      <c r="D398" s="602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256">
        <f>L399+L400</f>
        <v>0</v>
      </c>
      <c r="M398" s="255">
        <f>M399+M400</f>
        <v>0</v>
      </c>
      <c r="N398" s="255">
        <f>N399+N400</f>
        <v>0</v>
      </c>
      <c r="O398" s="255">
        <f>IF(L398&gt;0,N398*100/L398,0)</f>
        <v>0</v>
      </c>
      <c r="P398" s="255">
        <f>IF(M398&gt;0,N398*100/M398,0)</f>
        <v>0</v>
      </c>
      <c r="Q398" s="255">
        <f>Q399+Q400</f>
        <v>0</v>
      </c>
      <c r="R398" s="255">
        <f>R399+R400</f>
        <v>0</v>
      </c>
      <c r="S398" s="255">
        <f>S399+S400</f>
        <v>0</v>
      </c>
      <c r="T398" s="255">
        <f>IF(Q398&gt;0,S398*100/Q398,0)</f>
        <v>0</v>
      </c>
      <c r="U398" s="255">
        <f>IF(R398&gt;0,S398*100/R398,0)</f>
        <v>0</v>
      </c>
    </row>
    <row r="399" spans="1:21" ht="18.75" hidden="1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103">
        <v>0</v>
      </c>
      <c r="M399" s="102">
        <v>0</v>
      </c>
      <c r="N399" s="102">
        <v>0</v>
      </c>
      <c r="O399" s="102">
        <f>IF(L399&gt;0,N399*100/L399,0)</f>
        <v>0</v>
      </c>
      <c r="P399" s="102">
        <f>IF(M399&gt;0,N399*100/M399,0)</f>
        <v>0</v>
      </c>
      <c r="Q399" s="102">
        <v>0</v>
      </c>
      <c r="R399" s="102">
        <v>0</v>
      </c>
      <c r="S399" s="102">
        <v>0</v>
      </c>
      <c r="T399" s="102">
        <f>IF(Q399&gt;0,S399*100/Q399,0)</f>
        <v>0</v>
      </c>
      <c r="U399" s="102">
        <f>IF(R399&gt;0,S399*100/R399,0)</f>
        <v>0</v>
      </c>
    </row>
    <row r="400" spans="1:21" ht="18.75" hidden="1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256">
        <v>0</v>
      </c>
      <c r="M400" s="255">
        <v>0</v>
      </c>
      <c r="N400" s="255">
        <v>0</v>
      </c>
      <c r="O400" s="255">
        <f>IF(L400&gt;0,N400*100/L400,0)</f>
        <v>0</v>
      </c>
      <c r="P400" s="255">
        <f>IF(M400&gt;0,N400*100/M400,0)</f>
        <v>0</v>
      </c>
      <c r="Q400" s="255">
        <v>0</v>
      </c>
      <c r="R400" s="255">
        <v>0</v>
      </c>
      <c r="S400" s="255">
        <v>0</v>
      </c>
      <c r="T400" s="255">
        <f>IF(Q400&gt;0,S400*100/Q400,0)</f>
        <v>0</v>
      </c>
      <c r="U400" s="255">
        <f>IF(R400&gt;0,S400*100/R400,0)</f>
        <v>0</v>
      </c>
    </row>
    <row r="401" spans="1:21" ht="19.5" hidden="1">
      <c r="A401" s="166"/>
      <c r="B401" s="167"/>
      <c r="C401" s="191" t="s">
        <v>18</v>
      </c>
      <c r="D401" s="560" t="s">
        <v>38</v>
      </c>
      <c r="E401" s="169"/>
      <c r="F401" s="169"/>
      <c r="G401" s="170"/>
      <c r="H401" s="206"/>
      <c r="I401" s="163"/>
      <c r="J401" s="54"/>
      <c r="K401" s="55"/>
      <c r="L401" s="62"/>
      <c r="M401" s="55"/>
      <c r="N401" s="55"/>
      <c r="O401" s="164"/>
      <c r="P401" s="164"/>
      <c r="Q401" s="55"/>
      <c r="R401" s="55"/>
      <c r="S401" s="55"/>
      <c r="T401" s="164"/>
      <c r="U401" s="164"/>
    </row>
    <row r="402" spans="1:21" ht="12.75" hidden="1">
      <c r="A402" s="258"/>
      <c r="B402" s="259"/>
      <c r="C402" s="259"/>
      <c r="D402" s="259"/>
      <c r="E402" s="260"/>
      <c r="F402" s="260"/>
      <c r="G402" s="261"/>
      <c r="H402" s="262"/>
      <c r="I402" s="263"/>
      <c r="J402" s="263"/>
      <c r="K402" s="264"/>
      <c r="L402" s="265"/>
      <c r="M402" s="264"/>
      <c r="N402" s="264"/>
      <c r="O402" s="264"/>
      <c r="P402" s="264"/>
      <c r="Q402" s="264"/>
      <c r="R402" s="264"/>
      <c r="S402" s="264"/>
      <c r="T402" s="264"/>
      <c r="U402" s="264"/>
    </row>
    <row r="403" spans="1:21" ht="12.75" hidden="1">
      <c r="A403" s="259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5"/>
      <c r="M403" s="264"/>
      <c r="N403" s="264"/>
      <c r="O403" s="264"/>
      <c r="P403" s="264"/>
      <c r="Q403" s="264"/>
      <c r="R403" s="264"/>
      <c r="S403" s="264"/>
      <c r="T403" s="264"/>
      <c r="U403" s="264"/>
    </row>
    <row r="404" spans="1:21" ht="12.75" hidden="1">
      <c r="A404" s="259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5"/>
      <c r="M404" s="264"/>
      <c r="N404" s="264"/>
      <c r="O404" s="264"/>
      <c r="P404" s="264"/>
      <c r="Q404" s="264"/>
      <c r="R404" s="264"/>
      <c r="S404" s="264"/>
      <c r="T404" s="264"/>
      <c r="U404" s="264"/>
    </row>
    <row r="405" spans="1:21" ht="12.75" hidden="1">
      <c r="A405" s="259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5"/>
      <c r="M405" s="264"/>
      <c r="N405" s="264"/>
      <c r="O405" s="264"/>
      <c r="P405" s="264"/>
      <c r="Q405" s="264"/>
      <c r="R405" s="264"/>
      <c r="S405" s="264"/>
      <c r="T405" s="264"/>
      <c r="U405" s="264"/>
    </row>
    <row r="406" spans="1:21" ht="12.75" hidden="1">
      <c r="A406" s="259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5"/>
      <c r="M406" s="264"/>
      <c r="N406" s="264"/>
      <c r="O406" s="264"/>
      <c r="P406" s="264"/>
      <c r="Q406" s="264"/>
      <c r="R406" s="264"/>
      <c r="S406" s="264"/>
      <c r="T406" s="264"/>
      <c r="U406" s="264"/>
    </row>
    <row r="407" spans="1:21" ht="12.75" hidden="1">
      <c r="A407" s="259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5"/>
      <c r="M407" s="264"/>
      <c r="N407" s="264"/>
      <c r="O407" s="264"/>
      <c r="P407" s="264"/>
      <c r="Q407" s="264"/>
      <c r="R407" s="264"/>
      <c r="S407" s="264"/>
      <c r="T407" s="264"/>
      <c r="U407" s="264"/>
    </row>
    <row r="408" spans="1:21" ht="12.75" hidden="1">
      <c r="A408" s="259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5"/>
      <c r="M408" s="264"/>
      <c r="N408" s="264"/>
      <c r="O408" s="264"/>
      <c r="P408" s="264"/>
      <c r="Q408" s="264"/>
      <c r="R408" s="264"/>
      <c r="S408" s="264"/>
      <c r="T408" s="264"/>
      <c r="U408" s="264"/>
    </row>
    <row r="409" spans="1:21" ht="12.75" hidden="1">
      <c r="A409" s="259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5"/>
      <c r="M409" s="264"/>
      <c r="N409" s="264"/>
      <c r="O409" s="264"/>
      <c r="P409" s="264"/>
      <c r="Q409" s="264"/>
      <c r="R409" s="264"/>
      <c r="S409" s="264"/>
      <c r="T409" s="264"/>
      <c r="U409" s="264"/>
    </row>
    <row r="410" spans="1:21" ht="12.75" hidden="1">
      <c r="A410" s="259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5"/>
      <c r="M410" s="264"/>
      <c r="N410" s="264"/>
      <c r="O410" s="264"/>
      <c r="P410" s="264"/>
      <c r="Q410" s="264"/>
      <c r="R410" s="264"/>
      <c r="S410" s="264"/>
      <c r="T410" s="264"/>
      <c r="U410" s="264"/>
    </row>
    <row r="411" spans="1:21" ht="12.75" hidden="1">
      <c r="A411" s="360"/>
      <c r="B411" s="360"/>
      <c r="C411" s="360"/>
      <c r="D411" s="360"/>
      <c r="E411" s="360"/>
      <c r="F411" s="360"/>
      <c r="G411" s="361"/>
      <c r="H411" s="361"/>
      <c r="I411" s="362"/>
      <c r="J411" s="362"/>
      <c r="K411" s="363"/>
      <c r="L411" s="364"/>
      <c r="M411" s="363"/>
      <c r="N411" s="363"/>
      <c r="O411" s="363"/>
      <c r="P411" s="363"/>
      <c r="Q411" s="363"/>
      <c r="R411" s="363"/>
      <c r="S411" s="363"/>
      <c r="T411" s="363"/>
      <c r="U411" s="363"/>
    </row>
    <row r="412" spans="1:21" ht="19.5" hidden="1">
      <c r="A412" s="337"/>
      <c r="B412" s="354" t="s">
        <v>158</v>
      </c>
      <c r="C412" s="337"/>
      <c r="D412" s="337"/>
      <c r="E412" s="337"/>
      <c r="F412" s="337"/>
      <c r="G412" s="365"/>
      <c r="H412" s="366" t="s">
        <v>46</v>
      </c>
      <c r="I412" s="605">
        <f ca="1">I423</f>
        <v>0</v>
      </c>
      <c r="J412" s="605">
        <f>J423</f>
        <v>0</v>
      </c>
      <c r="K412" s="604">
        <f ca="1">IF(I412&gt;0,J412*100/I412,0)</f>
        <v>0</v>
      </c>
      <c r="L412" s="334"/>
      <c r="M412" s="333"/>
      <c r="N412" s="333"/>
      <c r="O412" s="333"/>
      <c r="P412" s="333"/>
      <c r="Q412" s="333"/>
      <c r="R412" s="333"/>
      <c r="S412" s="333"/>
      <c r="T412" s="333"/>
      <c r="U412" s="333"/>
    </row>
    <row r="413" spans="1:21" ht="19.5" hidden="1">
      <c r="A413" s="155"/>
      <c r="B413" s="188"/>
      <c r="C413" s="367" t="s">
        <v>18</v>
      </c>
      <c r="D413" s="603" t="s">
        <v>19</v>
      </c>
      <c r="E413" s="514"/>
      <c r="F413" s="514"/>
      <c r="G413" s="512"/>
      <c r="H413" s="368" t="s">
        <v>14</v>
      </c>
      <c r="I413" s="54"/>
      <c r="J413" s="54"/>
      <c r="K413" s="55"/>
      <c r="L413" s="541">
        <f>L414+L415</f>
        <v>0</v>
      </c>
      <c r="M413" s="540">
        <f>M414+M415</f>
        <v>0</v>
      </c>
      <c r="N413" s="540">
        <f>N414+N415</f>
        <v>0</v>
      </c>
      <c r="O413" s="540">
        <f>IF(L413&gt;0,N413*100/L413,0)</f>
        <v>0</v>
      </c>
      <c r="P413" s="540">
        <f>IF(M413&gt;0,N413*100/M413,0)</f>
        <v>0</v>
      </c>
      <c r="Q413" s="540">
        <f ca="1">Q414+Q415</f>
        <v>0</v>
      </c>
      <c r="R413" s="540">
        <f ca="1">R414+R415</f>
        <v>0</v>
      </c>
      <c r="S413" s="540">
        <f ca="1">S414+S415</f>
        <v>0</v>
      </c>
      <c r="T413" s="540">
        <f ca="1">IF(Q413&gt;0,S413*100/Q413,0)</f>
        <v>0</v>
      </c>
      <c r="U413" s="540">
        <f ca="1">IF(R413&gt;0,S413*100/R413,0)</f>
        <v>0</v>
      </c>
    </row>
    <row r="414" spans="1:21" ht="18.75" hidden="1">
      <c r="A414" s="155"/>
      <c r="B414" s="188"/>
      <c r="C414" s="188"/>
      <c r="D414" s="188"/>
      <c r="E414" s="358" t="s">
        <v>159</v>
      </c>
      <c r="F414" s="188"/>
      <c r="G414" s="208"/>
      <c r="H414" s="204" t="s">
        <v>14</v>
      </c>
      <c r="I414" s="54"/>
      <c r="J414" s="54"/>
      <c r="K414" s="55"/>
      <c r="L414" s="103">
        <f>L417+L420</f>
        <v>0</v>
      </c>
      <c r="M414" s="102">
        <f>M417+M420</f>
        <v>0</v>
      </c>
      <c r="N414" s="102">
        <f>N417+N420</f>
        <v>0</v>
      </c>
      <c r="O414" s="102">
        <f>IF(L414&gt;0,N414*100/L414,0)</f>
        <v>0</v>
      </c>
      <c r="P414" s="102">
        <f>IF(M414&gt;0,N414*100/M414,0)</f>
        <v>0</v>
      </c>
      <c r="Q414" s="102">
        <f>Q417+Q420</f>
        <v>0</v>
      </c>
      <c r="R414" s="102">
        <f>R417+R420</f>
        <v>0</v>
      </c>
      <c r="S414" s="102">
        <f>S417+S420</f>
        <v>0</v>
      </c>
      <c r="T414" s="102">
        <f>IF(Q414&gt;0,S414*100/Q414,0)</f>
        <v>0</v>
      </c>
      <c r="U414" s="102">
        <f>IF(R414&gt;0,S414*100/R414,0)</f>
        <v>0</v>
      </c>
    </row>
    <row r="415" spans="1:21" ht="18.75" hidden="1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256">
        <f>L418+L421</f>
        <v>0</v>
      </c>
      <c r="M415" s="255">
        <f>M418+M421</f>
        <v>0</v>
      </c>
      <c r="N415" s="255">
        <f>N418+N421</f>
        <v>0</v>
      </c>
      <c r="O415" s="255">
        <f>IF(L415&gt;0,N415*100/L415,0)</f>
        <v>0</v>
      </c>
      <c r="P415" s="255">
        <f>IF(M415&gt;0,N415*100/M415,0)</f>
        <v>0</v>
      </c>
      <c r="Q415" s="255">
        <f ca="1">Q418+Q421</f>
        <v>0</v>
      </c>
      <c r="R415" s="255">
        <f ca="1">R418+R421</f>
        <v>0</v>
      </c>
      <c r="S415" s="255">
        <f ca="1">S418+S421</f>
        <v>0</v>
      </c>
      <c r="T415" s="255">
        <f ca="1">IF(Q415&gt;0,S415*100/Q415,0)</f>
        <v>0</v>
      </c>
      <c r="U415" s="255">
        <f ca="1">IF(R415&gt;0,S415*100/R415,0)</f>
        <v>0</v>
      </c>
    </row>
    <row r="416" spans="1:21" ht="19.5" hidden="1">
      <c r="A416" s="155"/>
      <c r="B416" s="188"/>
      <c r="C416" s="188"/>
      <c r="D416" s="608" t="s">
        <v>22</v>
      </c>
      <c r="E416" s="188"/>
      <c r="F416" s="188"/>
      <c r="G416" s="208"/>
      <c r="H416" s="368" t="s">
        <v>14</v>
      </c>
      <c r="I416" s="54"/>
      <c r="J416" s="54"/>
      <c r="K416" s="55"/>
      <c r="L416" s="256">
        <f>L417+L418</f>
        <v>0</v>
      </c>
      <c r="M416" s="255">
        <f>M417+M418</f>
        <v>0</v>
      </c>
      <c r="N416" s="255">
        <f>N417+N418</f>
        <v>0</v>
      </c>
      <c r="O416" s="255">
        <f>IF(L416&gt;0,N416*100/L416,0)</f>
        <v>0</v>
      </c>
      <c r="P416" s="255">
        <f>IF(M416&gt;0,N416*100/M416,0)</f>
        <v>0</v>
      </c>
      <c r="Q416" s="255">
        <f ca="1">Q417+Q418</f>
        <v>0</v>
      </c>
      <c r="R416" s="255">
        <f ca="1">R417+R418</f>
        <v>0</v>
      </c>
      <c r="S416" s="255">
        <f ca="1">S417+S418</f>
        <v>0</v>
      </c>
      <c r="T416" s="255">
        <f ca="1">IF(Q416&gt;0,S416*100/Q416,0)</f>
        <v>0</v>
      </c>
      <c r="U416" s="255">
        <f ca="1">IF(R416&gt;0,S416*100/R416,0)</f>
        <v>0</v>
      </c>
    </row>
    <row r="417" spans="1:21" ht="18.75" hidden="1">
      <c r="A417" s="155"/>
      <c r="B417" s="188"/>
      <c r="C417" s="188"/>
      <c r="D417" s="188"/>
      <c r="E417" s="358" t="s">
        <v>159</v>
      </c>
      <c r="F417" s="188"/>
      <c r="G417" s="208"/>
      <c r="H417" s="204" t="s">
        <v>14</v>
      </c>
      <c r="I417" s="54"/>
      <c r="J417" s="54"/>
      <c r="K417" s="55"/>
      <c r="L417" s="103">
        <v>0</v>
      </c>
      <c r="M417" s="102">
        <v>0</v>
      </c>
      <c r="N417" s="102">
        <v>0</v>
      </c>
      <c r="O417" s="102">
        <f>IF(L417&gt;0,N417*100/L417,0)</f>
        <v>0</v>
      </c>
      <c r="P417" s="102">
        <f>IF(M417&gt;0,N417*100/M417,0)</f>
        <v>0</v>
      </c>
      <c r="Q417" s="102">
        <v>0</v>
      </c>
      <c r="R417" s="102">
        <v>0</v>
      </c>
      <c r="S417" s="102">
        <v>0</v>
      </c>
      <c r="T417" s="102">
        <f>IF(Q417&gt;0,S417*100/Q417,0)</f>
        <v>0</v>
      </c>
      <c r="U417" s="102">
        <f>IF(R417&gt;0,S417*100/R417,0)</f>
        <v>0</v>
      </c>
    </row>
    <row r="418" spans="1:21" ht="18.75" hidden="1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256">
        <v>0</v>
      </c>
      <c r="M418" s="255">
        <v>0</v>
      </c>
      <c r="N418" s="255">
        <v>0</v>
      </c>
      <c r="O418" s="255">
        <f>IF(L418&gt;0,N418*100/L418,0)</f>
        <v>0</v>
      </c>
      <c r="P418" s="255">
        <f>IF(M418&gt;0,N418*100/M418,0)</f>
        <v>0</v>
      </c>
      <c r="Q418" s="255">
        <f ca="1">IFERROR(__xludf.DUMMYFUNCTION("IMPORTRANGE(""https://docs.google.com/spreadsheets/d/1ItG2mGa2ceCfYo0BwxsXqNm01IGEUdYcSSLTEv9YCik/edit?usp=sharing"",""เบิกจ่ายกองทุน!BH45"")"),0)</f>
        <v>0</v>
      </c>
      <c r="R418" s="255">
        <f ca="1">IFERROR(__xludf.DUMMYFUNCTION("IMPORTRANGE(""https://docs.google.com/spreadsheets/d/1ItG2mGa2ceCfYo0BwxsXqNm01IGEUdYcSSLTEv9YCik/edit?usp=sharing"",""เบิกจ่ายกองทุน!BI45"")"),0)</f>
        <v>0</v>
      </c>
      <c r="S418" s="255">
        <f ca="1">IFERROR(__xludf.DUMMYFUNCTION("IMPORTRANGE(""https://docs.google.com/spreadsheets/d/1ItG2mGa2ceCfYo0BwxsXqNm01IGEUdYcSSLTEv9YCik/edit?usp=sharing"",""เบิกจ่ายกองทุน!BJ45"")"),0)</f>
        <v>0</v>
      </c>
      <c r="T418" s="255">
        <f ca="1">IF(Q418&gt;0,S418*100/Q418,0)</f>
        <v>0</v>
      </c>
      <c r="U418" s="255">
        <f ca="1">IF(R418&gt;0,S418*100/R418,0)</f>
        <v>0</v>
      </c>
    </row>
    <row r="419" spans="1:21" ht="19.5" hidden="1">
      <c r="A419" s="155"/>
      <c r="B419" s="188"/>
      <c r="C419" s="188"/>
      <c r="D419" s="608" t="s">
        <v>23</v>
      </c>
      <c r="E419" s="188"/>
      <c r="F419" s="188"/>
      <c r="G419" s="208"/>
      <c r="H419" s="158" t="s">
        <v>14</v>
      </c>
      <c r="I419" s="54"/>
      <c r="J419" s="54"/>
      <c r="K419" s="55"/>
      <c r="L419" s="256">
        <f>L420+L421</f>
        <v>0</v>
      </c>
      <c r="M419" s="255">
        <f>M420+M421</f>
        <v>0</v>
      </c>
      <c r="N419" s="255">
        <f>N420+N421</f>
        <v>0</v>
      </c>
      <c r="O419" s="255">
        <f>IF(L419&gt;0,N419*100/L419,0)</f>
        <v>0</v>
      </c>
      <c r="P419" s="255">
        <f>IF(M419&gt;0,N419*100/M419,0)</f>
        <v>0</v>
      </c>
      <c r="Q419" s="255">
        <f>Q420+Q421</f>
        <v>0</v>
      </c>
      <c r="R419" s="255">
        <f>R420+R421</f>
        <v>0</v>
      </c>
      <c r="S419" s="255">
        <f>S420+S421</f>
        <v>0</v>
      </c>
      <c r="T419" s="255">
        <f>IF(Q419&gt;0,S419*100/Q419,0)</f>
        <v>0</v>
      </c>
      <c r="U419" s="255">
        <f>IF(R419&gt;0,S419*100/R419,0)</f>
        <v>0</v>
      </c>
    </row>
    <row r="420" spans="1:21" ht="18.75" hidden="1">
      <c r="A420" s="155"/>
      <c r="B420" s="188"/>
      <c r="C420" s="188"/>
      <c r="D420" s="188"/>
      <c r="E420" s="358" t="s">
        <v>20</v>
      </c>
      <c r="F420" s="188"/>
      <c r="G420" s="208"/>
      <c r="H420" s="204" t="s">
        <v>14</v>
      </c>
      <c r="I420" s="54"/>
      <c r="J420" s="54"/>
      <c r="K420" s="55"/>
      <c r="L420" s="103">
        <v>0</v>
      </c>
      <c r="M420" s="102">
        <v>0</v>
      </c>
      <c r="N420" s="102">
        <v>0</v>
      </c>
      <c r="O420" s="102">
        <f>IF(L420&gt;0,N420*100/L420,0)</f>
        <v>0</v>
      </c>
      <c r="P420" s="102">
        <f>IF(M420&gt;0,N420*100/M420,0)</f>
        <v>0</v>
      </c>
      <c r="Q420" s="102">
        <v>0</v>
      </c>
      <c r="R420" s="102">
        <v>0</v>
      </c>
      <c r="S420" s="102">
        <v>0</v>
      </c>
      <c r="T420" s="102">
        <f>IF(Q420&gt;0,S420*100/Q420,0)</f>
        <v>0</v>
      </c>
      <c r="U420" s="102">
        <f>IF(R420&gt;0,S420*100/R420,0)</f>
        <v>0</v>
      </c>
    </row>
    <row r="421" spans="1:21" ht="18.75" hidden="1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256">
        <v>0</v>
      </c>
      <c r="M421" s="255">
        <v>0</v>
      </c>
      <c r="N421" s="255">
        <v>0</v>
      </c>
      <c r="O421" s="255">
        <f>IF(L421&gt;0,N421*100/L421,0)</f>
        <v>0</v>
      </c>
      <c r="P421" s="255">
        <f>IF(M421&gt;0,N421*100/M421,0)</f>
        <v>0</v>
      </c>
      <c r="Q421" s="255">
        <v>0</v>
      </c>
      <c r="R421" s="255">
        <v>0</v>
      </c>
      <c r="S421" s="255">
        <v>0</v>
      </c>
      <c r="T421" s="255">
        <f>IF(Q421&gt;0,S421*100/Q421,0)</f>
        <v>0</v>
      </c>
      <c r="U421" s="255">
        <f>IF(R421&gt;0,S421*100/R421,0)</f>
        <v>0</v>
      </c>
    </row>
    <row r="422" spans="1:21" ht="19.5" hidden="1">
      <c r="A422" s="238"/>
      <c r="B422" s="188"/>
      <c r="C422" s="367" t="s">
        <v>18</v>
      </c>
      <c r="D422" s="607" t="s">
        <v>38</v>
      </c>
      <c r="E422" s="188"/>
      <c r="F422" s="188"/>
      <c r="G422" s="208"/>
      <c r="H422" s="208"/>
      <c r="I422" s="54"/>
      <c r="J422" s="54"/>
      <c r="K422" s="55"/>
      <c r="L422" s="62"/>
      <c r="M422" s="55"/>
      <c r="N422" s="55"/>
      <c r="O422" s="55"/>
      <c r="P422" s="55"/>
      <c r="Q422" s="55"/>
      <c r="R422" s="55"/>
      <c r="S422" s="55"/>
      <c r="T422" s="55"/>
      <c r="U422" s="55"/>
    </row>
    <row r="423" spans="1:21" ht="19.5" hidden="1">
      <c r="A423" s="238"/>
      <c r="B423" s="191" t="s">
        <v>161</v>
      </c>
      <c r="C423" s="188"/>
      <c r="D423" s="188"/>
      <c r="E423" s="188"/>
      <c r="F423" s="188"/>
      <c r="G423" s="208"/>
      <c r="H423" s="368" t="s">
        <v>46</v>
      </c>
      <c r="I423" s="373">
        <f ca="1">I440</f>
        <v>0</v>
      </c>
      <c r="J423" s="373">
        <f>J440</f>
        <v>0</v>
      </c>
      <c r="K423" s="540">
        <f ca="1">IF(I423&gt;0,J423*100/I423,0)</f>
        <v>0</v>
      </c>
      <c r="L423" s="62"/>
      <c r="M423" s="55"/>
      <c r="N423" s="55"/>
      <c r="O423" s="55"/>
      <c r="P423" s="55"/>
      <c r="Q423" s="55"/>
      <c r="R423" s="55"/>
      <c r="S423" s="55"/>
      <c r="T423" s="55"/>
      <c r="U423" s="55"/>
    </row>
    <row r="424" spans="1:21" ht="19.5" hidden="1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373">
        <f ca="1">IFERROR(__xludf.DUMMYFUNCTION("IMPORTRANGE(""https://docs.google.com/spreadsheets/d/1eHaY18a8A9IcSdp1K8H6x8fbOy06t2VsZHhMHf-1x7Y/edit?usp=sharing"",""แผน!HJ45"")"),0)</f>
        <v>0</v>
      </c>
      <c r="J424" s="373">
        <f>J426+J428+J430</f>
        <v>0</v>
      </c>
      <c r="K424" s="540">
        <f ca="1">IF(I424&gt;0,J424*100/I424,0)</f>
        <v>0</v>
      </c>
      <c r="L424" s="62"/>
      <c r="M424" s="55"/>
      <c r="N424" s="55"/>
      <c r="O424" s="55"/>
      <c r="P424" s="55"/>
      <c r="Q424" s="55"/>
      <c r="R424" s="55"/>
      <c r="S424" s="55"/>
      <c r="T424" s="55"/>
      <c r="U424" s="55"/>
    </row>
    <row r="425" spans="1:21" ht="19.5" hidden="1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373">
        <f ca="1">IFERROR(__xludf.DUMMYFUNCTION("IMPORTRANGE(""https://docs.google.com/spreadsheets/d/1eHaY18a8A9IcSdp1K8H6x8fbOy06t2VsZHhMHf-1x7Y/edit?usp=sharing"",""แผน!HK45"")"),0)</f>
        <v>0</v>
      </c>
      <c r="J425" s="373">
        <f>J427+J429+J431</f>
        <v>0</v>
      </c>
      <c r="K425" s="540">
        <f ca="1">IF(I425&gt;0,J425*100/I425,0)</f>
        <v>0</v>
      </c>
      <c r="L425" s="62"/>
      <c r="M425" s="55"/>
      <c r="N425" s="55"/>
      <c r="O425" s="55"/>
      <c r="P425" s="55"/>
      <c r="Q425" s="55"/>
      <c r="R425" s="55"/>
      <c r="S425" s="55"/>
      <c r="T425" s="55"/>
      <c r="U425" s="55"/>
    </row>
    <row r="426" spans="1:21" ht="18.75" hidden="1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54"/>
      <c r="K426" s="55"/>
      <c r="L426" s="62"/>
      <c r="M426" s="55"/>
      <c r="N426" s="55"/>
      <c r="O426" s="55"/>
      <c r="P426" s="55"/>
      <c r="Q426" s="55"/>
      <c r="R426" s="55"/>
      <c r="S426" s="55"/>
      <c r="T426" s="55"/>
      <c r="U426" s="55"/>
    </row>
    <row r="427" spans="1:21" ht="18.75" hidden="1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54"/>
      <c r="K427" s="55"/>
      <c r="L427" s="62"/>
      <c r="M427" s="55"/>
      <c r="N427" s="55"/>
      <c r="O427" s="55"/>
      <c r="P427" s="55"/>
      <c r="Q427" s="55"/>
      <c r="R427" s="55"/>
      <c r="S427" s="55"/>
      <c r="T427" s="55"/>
      <c r="U427" s="55"/>
    </row>
    <row r="428" spans="1:21" ht="18.75" hidden="1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54"/>
      <c r="K428" s="55"/>
      <c r="L428" s="62"/>
      <c r="M428" s="55"/>
      <c r="N428" s="55"/>
      <c r="O428" s="55"/>
      <c r="P428" s="55"/>
      <c r="Q428" s="55"/>
      <c r="R428" s="55"/>
      <c r="S428" s="55"/>
      <c r="T428" s="55"/>
      <c r="U428" s="55"/>
    </row>
    <row r="429" spans="1:21" ht="18.75" hidden="1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54"/>
      <c r="K429" s="55"/>
      <c r="L429" s="62"/>
      <c r="M429" s="55"/>
      <c r="N429" s="55"/>
      <c r="O429" s="55"/>
      <c r="P429" s="55"/>
      <c r="Q429" s="55"/>
      <c r="R429" s="55"/>
      <c r="S429" s="55"/>
      <c r="T429" s="55"/>
      <c r="U429" s="55"/>
    </row>
    <row r="430" spans="1:21" ht="18.75" hidden="1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54"/>
      <c r="K430" s="55"/>
      <c r="L430" s="62"/>
      <c r="M430" s="55"/>
      <c r="N430" s="55"/>
      <c r="O430" s="55"/>
      <c r="P430" s="55"/>
      <c r="Q430" s="55"/>
      <c r="R430" s="55"/>
      <c r="S430" s="55"/>
      <c r="T430" s="55"/>
      <c r="U430" s="55"/>
    </row>
    <row r="431" spans="1:21" ht="18.75" hidden="1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54"/>
      <c r="K431" s="55"/>
      <c r="L431" s="62"/>
      <c r="M431" s="55"/>
      <c r="N431" s="55"/>
      <c r="O431" s="55"/>
      <c r="P431" s="55"/>
      <c r="Q431" s="55"/>
      <c r="R431" s="55"/>
      <c r="S431" s="55"/>
      <c r="T431" s="55"/>
      <c r="U431" s="55"/>
    </row>
    <row r="432" spans="1:21" ht="19.5" hidden="1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373">
        <f ca="1">IFERROR(__xludf.DUMMYFUNCTION("IMPORTRANGE(""https://docs.google.com/spreadsheets/d/1eHaY18a8A9IcSdp1K8H6x8fbOy06t2VsZHhMHf-1x7Y/edit?usp=sharing"",""แผน!HJ45"")"),0)</f>
        <v>0</v>
      </c>
      <c r="J432" s="373">
        <f>J434+J436+J438</f>
        <v>0</v>
      </c>
      <c r="K432" s="540">
        <f ca="1">IF(I432&gt;0,J432*100/I432,0)</f>
        <v>0</v>
      </c>
      <c r="L432" s="62"/>
      <c r="M432" s="55"/>
      <c r="N432" s="55"/>
      <c r="O432" s="55"/>
      <c r="P432" s="55"/>
      <c r="Q432" s="55"/>
      <c r="R432" s="55"/>
      <c r="S432" s="55"/>
      <c r="T432" s="55"/>
      <c r="U432" s="55"/>
    </row>
    <row r="433" spans="1:21" ht="19.5" hidden="1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373">
        <f ca="1">IFERROR(__xludf.DUMMYFUNCTION("IMPORTRANGE(""https://docs.google.com/spreadsheets/d/1eHaY18a8A9IcSdp1K8H6x8fbOy06t2VsZHhMHf-1x7Y/edit?usp=sharing"",""แผน!HK45"")"),0)</f>
        <v>0</v>
      </c>
      <c r="J433" s="373">
        <f>J435+J437+J439</f>
        <v>0</v>
      </c>
      <c r="K433" s="540">
        <f ca="1">IF(I433&gt;0,J433*100/I433,0)</f>
        <v>0</v>
      </c>
      <c r="L433" s="62"/>
      <c r="M433" s="55"/>
      <c r="N433" s="55"/>
      <c r="O433" s="55"/>
      <c r="P433" s="55"/>
      <c r="Q433" s="55"/>
      <c r="R433" s="55"/>
      <c r="S433" s="55"/>
      <c r="T433" s="55"/>
      <c r="U433" s="55"/>
    </row>
    <row r="434" spans="1:21" ht="18.75" hidden="1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54"/>
      <c r="K434" s="55"/>
      <c r="L434" s="62"/>
      <c r="M434" s="55"/>
      <c r="N434" s="55"/>
      <c r="O434" s="55"/>
      <c r="P434" s="55"/>
      <c r="Q434" s="55"/>
      <c r="R434" s="55"/>
      <c r="S434" s="55"/>
      <c r="T434" s="55"/>
      <c r="U434" s="55"/>
    </row>
    <row r="435" spans="1:21" ht="18.75" hidden="1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54"/>
      <c r="K435" s="55"/>
      <c r="L435" s="62"/>
      <c r="M435" s="55"/>
      <c r="N435" s="55"/>
      <c r="O435" s="55"/>
      <c r="P435" s="55"/>
      <c r="Q435" s="55"/>
      <c r="R435" s="55"/>
      <c r="S435" s="55"/>
      <c r="T435" s="55"/>
      <c r="U435" s="55"/>
    </row>
    <row r="436" spans="1:21" ht="18.75" hidden="1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54"/>
      <c r="K436" s="55"/>
      <c r="L436" s="62"/>
      <c r="M436" s="55"/>
      <c r="N436" s="55"/>
      <c r="O436" s="55"/>
      <c r="P436" s="55"/>
      <c r="Q436" s="55"/>
      <c r="R436" s="55"/>
      <c r="S436" s="55"/>
      <c r="T436" s="55"/>
      <c r="U436" s="55"/>
    </row>
    <row r="437" spans="1:21" ht="18.75" hidden="1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54"/>
      <c r="K437" s="55"/>
      <c r="L437" s="62"/>
      <c r="M437" s="55"/>
      <c r="N437" s="55"/>
      <c r="O437" s="55"/>
      <c r="P437" s="55"/>
      <c r="Q437" s="55"/>
      <c r="R437" s="55"/>
      <c r="S437" s="55"/>
      <c r="T437" s="55"/>
      <c r="U437" s="55"/>
    </row>
    <row r="438" spans="1:21" ht="18.75" hidden="1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54"/>
      <c r="K438" s="55"/>
      <c r="L438" s="62"/>
      <c r="M438" s="55"/>
      <c r="N438" s="55"/>
      <c r="O438" s="55"/>
      <c r="P438" s="55"/>
      <c r="Q438" s="55"/>
      <c r="R438" s="55"/>
      <c r="S438" s="55"/>
      <c r="T438" s="55"/>
      <c r="U438" s="55"/>
    </row>
    <row r="439" spans="1:21" ht="18.75" hidden="1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54"/>
      <c r="K439" s="55"/>
      <c r="L439" s="62"/>
      <c r="M439" s="55"/>
      <c r="N439" s="55"/>
      <c r="O439" s="55"/>
      <c r="P439" s="55"/>
      <c r="Q439" s="55"/>
      <c r="R439" s="55"/>
      <c r="S439" s="55"/>
      <c r="T439" s="55"/>
      <c r="U439" s="55"/>
    </row>
    <row r="440" spans="1:21" ht="19.5" hidden="1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373">
        <f ca="1">IFERROR(__xludf.DUMMYFUNCTION("IMPORTRANGE(""https://docs.google.com/spreadsheets/d/1eHaY18a8A9IcSdp1K8H6x8fbOy06t2VsZHhMHf-1x7Y/edit?usp=sharing"",""แผน!HJ45"")"),0)</f>
        <v>0</v>
      </c>
      <c r="J440" s="373">
        <f>J442+J444+J446+J452+J454</f>
        <v>0</v>
      </c>
      <c r="K440" s="540">
        <f ca="1">IF(I440&gt;0,J440*100/I440,0)</f>
        <v>0</v>
      </c>
      <c r="L440" s="62"/>
      <c r="M440" s="55"/>
      <c r="N440" s="55"/>
      <c r="O440" s="55"/>
      <c r="P440" s="55"/>
      <c r="Q440" s="55"/>
      <c r="R440" s="55"/>
      <c r="S440" s="55"/>
      <c r="T440" s="55"/>
      <c r="U440" s="55"/>
    </row>
    <row r="441" spans="1:21" ht="19.5" hidden="1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373">
        <f ca="1">IFERROR(__xludf.DUMMYFUNCTION("IMPORTRANGE(""https://docs.google.com/spreadsheets/d/1eHaY18a8A9IcSdp1K8H6x8fbOy06t2VsZHhMHf-1x7Y/edit?usp=sharing"",""แผน!HK45"")"),0)</f>
        <v>0</v>
      </c>
      <c r="J441" s="373">
        <f>J443+J445+J447+J453+J455</f>
        <v>0</v>
      </c>
      <c r="K441" s="540">
        <f ca="1">IF(I441&gt;0,J441*100/I441,0)</f>
        <v>0</v>
      </c>
      <c r="L441" s="62"/>
      <c r="M441" s="55"/>
      <c r="N441" s="55"/>
      <c r="O441" s="55"/>
      <c r="P441" s="55"/>
      <c r="Q441" s="55"/>
      <c r="R441" s="55"/>
      <c r="S441" s="55"/>
      <c r="T441" s="55"/>
      <c r="U441" s="55"/>
    </row>
    <row r="442" spans="1:21" ht="18.75" hidden="1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54"/>
      <c r="K442" s="55"/>
      <c r="L442" s="62"/>
      <c r="M442" s="55"/>
      <c r="N442" s="55"/>
      <c r="O442" s="55"/>
      <c r="P442" s="55"/>
      <c r="Q442" s="55"/>
      <c r="R442" s="55"/>
      <c r="S442" s="55"/>
      <c r="T442" s="55"/>
      <c r="U442" s="55"/>
    </row>
    <row r="443" spans="1:21" ht="18.75" hidden="1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54"/>
      <c r="K443" s="55"/>
      <c r="L443" s="62"/>
      <c r="M443" s="55"/>
      <c r="N443" s="55"/>
      <c r="O443" s="55"/>
      <c r="P443" s="55"/>
      <c r="Q443" s="55"/>
      <c r="R443" s="55"/>
      <c r="S443" s="55"/>
      <c r="T443" s="55"/>
      <c r="U443" s="55"/>
    </row>
    <row r="444" spans="1:21" ht="18.75" hidden="1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54"/>
      <c r="K444" s="55"/>
      <c r="L444" s="62"/>
      <c r="M444" s="55"/>
      <c r="N444" s="55"/>
      <c r="O444" s="55"/>
      <c r="P444" s="55"/>
      <c r="Q444" s="55"/>
      <c r="R444" s="55"/>
      <c r="S444" s="55"/>
      <c r="T444" s="55"/>
      <c r="U444" s="55"/>
    </row>
    <row r="445" spans="1:21" ht="18.75" hidden="1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54"/>
      <c r="K445" s="55"/>
      <c r="L445" s="62"/>
      <c r="M445" s="55"/>
      <c r="N445" s="55"/>
      <c r="O445" s="55"/>
      <c r="P445" s="55"/>
      <c r="Q445" s="55"/>
      <c r="R445" s="55"/>
      <c r="S445" s="55"/>
      <c r="T445" s="55"/>
      <c r="U445" s="55"/>
    </row>
    <row r="446" spans="1:21" ht="19.5" hidden="1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373">
        <f>J448+J450</f>
        <v>0</v>
      </c>
      <c r="K446" s="55"/>
      <c r="L446" s="62"/>
      <c r="M446" s="55"/>
      <c r="N446" s="55"/>
      <c r="O446" s="55"/>
      <c r="P446" s="55"/>
      <c r="Q446" s="55"/>
      <c r="R446" s="55"/>
      <c r="S446" s="55"/>
      <c r="T446" s="55"/>
      <c r="U446" s="55"/>
    </row>
    <row r="447" spans="1:21" ht="19.5" hidden="1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373">
        <f>J449+J451</f>
        <v>0</v>
      </c>
      <c r="K447" s="55"/>
      <c r="L447" s="62"/>
      <c r="M447" s="55"/>
      <c r="N447" s="55"/>
      <c r="O447" s="55"/>
      <c r="P447" s="55"/>
      <c r="Q447" s="55"/>
      <c r="R447" s="55"/>
      <c r="S447" s="55"/>
      <c r="T447" s="55"/>
      <c r="U447" s="55"/>
    </row>
    <row r="448" spans="1:21" ht="18.75" hidden="1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54"/>
      <c r="K448" s="55"/>
      <c r="L448" s="62"/>
      <c r="M448" s="55"/>
      <c r="N448" s="55"/>
      <c r="O448" s="55"/>
      <c r="P448" s="55"/>
      <c r="Q448" s="55"/>
      <c r="R448" s="55"/>
      <c r="S448" s="55"/>
      <c r="T448" s="55"/>
      <c r="U448" s="55"/>
    </row>
    <row r="449" spans="1:21" ht="18.75" hidden="1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54"/>
      <c r="K449" s="55"/>
      <c r="L449" s="62"/>
      <c r="M449" s="55"/>
      <c r="N449" s="55"/>
      <c r="O449" s="55"/>
      <c r="P449" s="55"/>
      <c r="Q449" s="55"/>
      <c r="R449" s="55"/>
      <c r="S449" s="55"/>
      <c r="T449" s="55"/>
      <c r="U449" s="55"/>
    </row>
    <row r="450" spans="1:21" ht="18.75" hidden="1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54"/>
      <c r="K450" s="55"/>
      <c r="L450" s="62"/>
      <c r="M450" s="55"/>
      <c r="N450" s="55"/>
      <c r="O450" s="55"/>
      <c r="P450" s="55"/>
      <c r="Q450" s="55"/>
      <c r="R450" s="55"/>
      <c r="S450" s="55"/>
      <c r="T450" s="55"/>
      <c r="U450" s="55"/>
    </row>
    <row r="451" spans="1:21" ht="18.75" hidden="1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54"/>
      <c r="K451" s="55"/>
      <c r="L451" s="62"/>
      <c r="M451" s="55"/>
      <c r="N451" s="55"/>
      <c r="O451" s="55"/>
      <c r="P451" s="55"/>
      <c r="Q451" s="55"/>
      <c r="R451" s="55"/>
      <c r="S451" s="55"/>
      <c r="T451" s="55"/>
      <c r="U451" s="55"/>
    </row>
    <row r="452" spans="1:21" ht="18.75" hidden="1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54"/>
      <c r="K452" s="55"/>
      <c r="L452" s="62"/>
      <c r="M452" s="55"/>
      <c r="N452" s="55"/>
      <c r="O452" s="55"/>
      <c r="P452" s="55"/>
      <c r="Q452" s="55"/>
      <c r="R452" s="55"/>
      <c r="S452" s="55"/>
      <c r="T452" s="55"/>
      <c r="U452" s="55"/>
    </row>
    <row r="453" spans="1:21" ht="18.75" hidden="1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54"/>
      <c r="K453" s="55"/>
      <c r="L453" s="62"/>
      <c r="M453" s="55"/>
      <c r="N453" s="55"/>
      <c r="O453" s="55"/>
      <c r="P453" s="55"/>
      <c r="Q453" s="55"/>
      <c r="R453" s="55"/>
      <c r="S453" s="55"/>
      <c r="T453" s="55"/>
      <c r="U453" s="55"/>
    </row>
    <row r="454" spans="1:21" ht="18.75" hidden="1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606"/>
      <c r="K454" s="55"/>
      <c r="L454" s="62"/>
      <c r="M454" s="55"/>
      <c r="N454" s="55"/>
      <c r="O454" s="55"/>
      <c r="P454" s="55"/>
      <c r="Q454" s="55"/>
      <c r="R454" s="55"/>
      <c r="S454" s="55"/>
      <c r="T454" s="55"/>
      <c r="U454" s="55"/>
    </row>
    <row r="455" spans="1:21" ht="18.75" hidden="1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54"/>
      <c r="K455" s="55"/>
      <c r="L455" s="62"/>
      <c r="M455" s="55"/>
      <c r="N455" s="55"/>
      <c r="O455" s="55"/>
      <c r="P455" s="55"/>
      <c r="Q455" s="55"/>
      <c r="R455" s="55"/>
      <c r="S455" s="55"/>
      <c r="T455" s="55"/>
      <c r="U455" s="55"/>
    </row>
    <row r="456" spans="1:21" ht="19.5" hidden="1">
      <c r="A456" s="238"/>
      <c r="B456" s="191" t="s">
        <v>178</v>
      </c>
      <c r="C456" s="188"/>
      <c r="D456" s="188"/>
      <c r="E456" s="188"/>
      <c r="F456" s="188"/>
      <c r="G456" s="208"/>
      <c r="H456" s="368" t="s">
        <v>46</v>
      </c>
      <c r="I456" s="373">
        <f ca="1">I457</f>
        <v>0</v>
      </c>
      <c r="J456" s="373">
        <f>J457</f>
        <v>0</v>
      </c>
      <c r="K456" s="540">
        <f ca="1">IF(I456&gt;0,J456*100/I456,0)</f>
        <v>0</v>
      </c>
      <c r="L456" s="62"/>
      <c r="M456" s="55"/>
      <c r="N456" s="55"/>
      <c r="O456" s="55"/>
      <c r="P456" s="55"/>
      <c r="Q456" s="55"/>
      <c r="R456" s="55"/>
      <c r="S456" s="55"/>
      <c r="T456" s="55"/>
      <c r="U456" s="55"/>
    </row>
    <row r="457" spans="1:21" ht="19.5" hidden="1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373">
        <f ca="1">IFERROR(__xludf.DUMMYFUNCTION("IMPORTRANGE(""https://docs.google.com/spreadsheets/d/1eHaY18a8A9IcSdp1K8H6x8fbOy06t2VsZHhMHf-1x7Y/edit?usp=sharing"",""แผน!HL45"")"),0)</f>
        <v>0</v>
      </c>
      <c r="J457" s="373">
        <f>J459+J467+J473</f>
        <v>0</v>
      </c>
      <c r="K457" s="540">
        <f ca="1">IF(I457&gt;0,J457*100/I457,0)</f>
        <v>0</v>
      </c>
      <c r="L457" s="62"/>
      <c r="M457" s="55"/>
      <c r="N457" s="55"/>
      <c r="O457" s="55"/>
      <c r="P457" s="55"/>
      <c r="Q457" s="55"/>
      <c r="R457" s="55"/>
      <c r="S457" s="55"/>
      <c r="T457" s="55"/>
      <c r="U457" s="55"/>
    </row>
    <row r="458" spans="1:21" ht="19.5" hidden="1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373">
        <f ca="1">IFERROR(__xludf.DUMMYFUNCTION("IMPORTRANGE(""https://docs.google.com/spreadsheets/d/1eHaY18a8A9IcSdp1K8H6x8fbOy06t2VsZHhMHf-1x7Y/edit?usp=sharing"",""แผน!HM45"")"),0)</f>
        <v>0</v>
      </c>
      <c r="J458" s="373">
        <f>J460+J468+J474</f>
        <v>0</v>
      </c>
      <c r="K458" s="540">
        <f ca="1">IF(I458&gt;0,J458*100/I458,0)</f>
        <v>0</v>
      </c>
      <c r="L458" s="62"/>
      <c r="M458" s="55"/>
      <c r="N458" s="55"/>
      <c r="O458" s="55"/>
      <c r="P458" s="55"/>
      <c r="Q458" s="55"/>
      <c r="R458" s="55"/>
      <c r="S458" s="55"/>
      <c r="T458" s="55"/>
      <c r="U458" s="55"/>
    </row>
    <row r="459" spans="1:21" ht="18.75" hidden="1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212">
        <f>J461+J463</f>
        <v>0</v>
      </c>
      <c r="K459" s="55"/>
      <c r="L459" s="62"/>
      <c r="M459" s="55"/>
      <c r="N459" s="55"/>
      <c r="O459" s="55"/>
      <c r="P459" s="55"/>
      <c r="Q459" s="55"/>
      <c r="R459" s="55"/>
      <c r="S459" s="55"/>
      <c r="T459" s="55"/>
      <c r="U459" s="55"/>
    </row>
    <row r="460" spans="1:21" ht="18.75" hidden="1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212">
        <f>J462+J464</f>
        <v>0</v>
      </c>
      <c r="K460" s="55"/>
      <c r="L460" s="62"/>
      <c r="M460" s="55"/>
      <c r="N460" s="55"/>
      <c r="O460" s="55"/>
      <c r="P460" s="55"/>
      <c r="Q460" s="55"/>
      <c r="R460" s="55"/>
      <c r="S460" s="55"/>
      <c r="T460" s="55"/>
      <c r="U460" s="55"/>
    </row>
    <row r="461" spans="1:21" ht="18.75" hidden="1">
      <c r="A461" s="238"/>
      <c r="B461" s="188"/>
      <c r="C461" s="188"/>
      <c r="D461" s="371" t="s">
        <v>181</v>
      </c>
      <c r="E461" s="188"/>
      <c r="F461" s="188"/>
      <c r="G461" s="208"/>
      <c r="H461" s="161" t="s">
        <v>46</v>
      </c>
      <c r="I461" s="54"/>
      <c r="J461" s="54"/>
      <c r="K461" s="55"/>
      <c r="L461" s="62"/>
      <c r="M461" s="55"/>
      <c r="N461" s="55"/>
      <c r="O461" s="55"/>
      <c r="P461" s="55"/>
      <c r="Q461" s="55"/>
      <c r="R461" s="55"/>
      <c r="S461" s="55"/>
      <c r="T461" s="55"/>
      <c r="U461" s="55"/>
    </row>
    <row r="462" spans="1:21" ht="18.75" hidden="1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54"/>
      <c r="K462" s="55"/>
      <c r="L462" s="62"/>
      <c r="M462" s="55"/>
      <c r="N462" s="55"/>
      <c r="O462" s="55"/>
      <c r="P462" s="55"/>
      <c r="Q462" s="55"/>
      <c r="R462" s="55"/>
      <c r="S462" s="55"/>
      <c r="T462" s="55"/>
      <c r="U462" s="55"/>
    </row>
    <row r="463" spans="1:21" ht="18.75" hidden="1">
      <c r="A463" s="238"/>
      <c r="B463" s="188"/>
      <c r="C463" s="188"/>
      <c r="D463" s="371" t="s">
        <v>182</v>
      </c>
      <c r="E463" s="188"/>
      <c r="F463" s="188"/>
      <c r="G463" s="208"/>
      <c r="H463" s="161" t="s">
        <v>46</v>
      </c>
      <c r="I463" s="54"/>
      <c r="J463" s="54"/>
      <c r="K463" s="55"/>
      <c r="L463" s="62"/>
      <c r="M463" s="55"/>
      <c r="N463" s="55"/>
      <c r="O463" s="55"/>
      <c r="P463" s="55"/>
      <c r="Q463" s="55"/>
      <c r="R463" s="55"/>
      <c r="S463" s="55"/>
      <c r="T463" s="55"/>
      <c r="U463" s="55"/>
    </row>
    <row r="464" spans="1:21" ht="18.75" hidden="1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54"/>
      <c r="K464" s="55"/>
      <c r="L464" s="62"/>
      <c r="M464" s="55"/>
      <c r="N464" s="55"/>
      <c r="O464" s="55"/>
      <c r="P464" s="55"/>
      <c r="Q464" s="55"/>
      <c r="R464" s="55"/>
      <c r="S464" s="55"/>
      <c r="T464" s="55"/>
      <c r="U464" s="55"/>
    </row>
    <row r="465" spans="1:21" ht="18.75" hidden="1">
      <c r="A465" s="238"/>
      <c r="B465" s="188"/>
      <c r="C465" s="188"/>
      <c r="D465" s="371" t="s">
        <v>183</v>
      </c>
      <c r="E465" s="188"/>
      <c r="F465" s="188"/>
      <c r="G465" s="208"/>
      <c r="H465" s="161" t="s">
        <v>46</v>
      </c>
      <c r="I465" s="54"/>
      <c r="J465" s="54"/>
      <c r="K465" s="55"/>
      <c r="L465" s="62"/>
      <c r="M465" s="55"/>
      <c r="N465" s="55"/>
      <c r="O465" s="55"/>
      <c r="P465" s="55"/>
      <c r="Q465" s="55"/>
      <c r="R465" s="55"/>
      <c r="S465" s="55"/>
      <c r="T465" s="55"/>
      <c r="U465" s="55"/>
    </row>
    <row r="466" spans="1:21" ht="18.75" hidden="1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54"/>
      <c r="K466" s="55"/>
      <c r="L466" s="62"/>
      <c r="M466" s="55"/>
      <c r="N466" s="55"/>
      <c r="O466" s="55"/>
      <c r="P466" s="55"/>
      <c r="Q466" s="55"/>
      <c r="R466" s="55"/>
      <c r="S466" s="55"/>
      <c r="T466" s="55"/>
      <c r="U466" s="55"/>
    </row>
    <row r="467" spans="1:21" ht="18.75" hidden="1">
      <c r="A467" s="238"/>
      <c r="B467" s="188"/>
      <c r="C467" s="371" t="s">
        <v>184</v>
      </c>
      <c r="D467" s="188"/>
      <c r="E467" s="188"/>
      <c r="F467" s="188"/>
      <c r="G467" s="208"/>
      <c r="H467" s="161" t="s">
        <v>46</v>
      </c>
      <c r="I467" s="54"/>
      <c r="J467" s="212">
        <f>J469+J471</f>
        <v>0</v>
      </c>
      <c r="K467" s="55"/>
      <c r="L467" s="62"/>
      <c r="M467" s="55"/>
      <c r="N467" s="55"/>
      <c r="O467" s="55"/>
      <c r="P467" s="55"/>
      <c r="Q467" s="55"/>
      <c r="R467" s="55"/>
      <c r="S467" s="55"/>
      <c r="T467" s="55"/>
      <c r="U467" s="55"/>
    </row>
    <row r="468" spans="1:21" ht="18.75" hidden="1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212">
        <f>J470+J472</f>
        <v>0</v>
      </c>
      <c r="K468" s="55"/>
      <c r="L468" s="62"/>
      <c r="M468" s="55"/>
      <c r="N468" s="55"/>
      <c r="O468" s="55"/>
      <c r="P468" s="55"/>
      <c r="Q468" s="55"/>
      <c r="R468" s="55"/>
      <c r="S468" s="55"/>
      <c r="T468" s="55"/>
      <c r="U468" s="55"/>
    </row>
    <row r="469" spans="1:21" ht="18.75" hidden="1">
      <c r="A469" s="238"/>
      <c r="B469" s="188"/>
      <c r="C469" s="188"/>
      <c r="D469" s="371" t="s">
        <v>185</v>
      </c>
      <c r="E469" s="188"/>
      <c r="F469" s="188"/>
      <c r="G469" s="208"/>
      <c r="H469" s="161" t="s">
        <v>46</v>
      </c>
      <c r="I469" s="54"/>
      <c r="J469" s="54"/>
      <c r="K469" s="55"/>
      <c r="L469" s="62"/>
      <c r="M469" s="55"/>
      <c r="N469" s="55"/>
      <c r="O469" s="55"/>
      <c r="P469" s="55"/>
      <c r="Q469" s="55"/>
      <c r="R469" s="55"/>
      <c r="S469" s="55"/>
      <c r="T469" s="55"/>
      <c r="U469" s="55"/>
    </row>
    <row r="470" spans="1:21" ht="18.75" hidden="1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54"/>
      <c r="K470" s="55"/>
      <c r="L470" s="62"/>
      <c r="M470" s="55"/>
      <c r="N470" s="55"/>
      <c r="O470" s="55"/>
      <c r="P470" s="55"/>
      <c r="Q470" s="55"/>
      <c r="R470" s="55"/>
      <c r="S470" s="55"/>
      <c r="T470" s="55"/>
      <c r="U470" s="55"/>
    </row>
    <row r="471" spans="1:21" ht="18.75" hidden="1">
      <c r="A471" s="238"/>
      <c r="B471" s="188"/>
      <c r="C471" s="188"/>
      <c r="D471" s="371" t="s">
        <v>186</v>
      </c>
      <c r="E471" s="188"/>
      <c r="F471" s="188"/>
      <c r="G471" s="208"/>
      <c r="H471" s="161" t="s">
        <v>46</v>
      </c>
      <c r="I471" s="54"/>
      <c r="J471" s="54"/>
      <c r="K471" s="55"/>
      <c r="L471" s="62"/>
      <c r="M471" s="55"/>
      <c r="N471" s="55"/>
      <c r="O471" s="55"/>
      <c r="P471" s="55"/>
      <c r="Q471" s="55"/>
      <c r="R471" s="55"/>
      <c r="S471" s="55"/>
      <c r="T471" s="55"/>
      <c r="U471" s="55"/>
    </row>
    <row r="472" spans="1:21" ht="18.75" hidden="1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54"/>
      <c r="K472" s="55"/>
      <c r="L472" s="62"/>
      <c r="M472" s="55"/>
      <c r="N472" s="55"/>
      <c r="O472" s="55"/>
      <c r="P472" s="55"/>
      <c r="Q472" s="55"/>
      <c r="R472" s="55"/>
      <c r="S472" s="55"/>
      <c r="T472" s="55"/>
      <c r="U472" s="55"/>
    </row>
    <row r="473" spans="1:21" ht="18.75" hidden="1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54"/>
      <c r="K473" s="55"/>
      <c r="L473" s="62"/>
      <c r="M473" s="55"/>
      <c r="N473" s="55"/>
      <c r="O473" s="55"/>
      <c r="P473" s="55"/>
      <c r="Q473" s="55"/>
      <c r="R473" s="55"/>
      <c r="S473" s="55"/>
      <c r="T473" s="55"/>
      <c r="U473" s="55"/>
    </row>
    <row r="474" spans="1:21" ht="18.75" hidden="1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54"/>
      <c r="K474" s="55"/>
      <c r="L474" s="62"/>
      <c r="M474" s="55"/>
      <c r="N474" s="55"/>
      <c r="O474" s="55"/>
      <c r="P474" s="55"/>
      <c r="Q474" s="55"/>
      <c r="R474" s="55"/>
      <c r="S474" s="55"/>
      <c r="T474" s="55"/>
      <c r="U474" s="55"/>
    </row>
    <row r="475" spans="1:21" ht="19.5" hidden="1">
      <c r="A475" s="238"/>
      <c r="B475" s="372" t="s">
        <v>188</v>
      </c>
      <c r="C475" s="188"/>
      <c r="D475" s="188"/>
      <c r="E475" s="188"/>
      <c r="F475" s="188"/>
      <c r="G475" s="208"/>
      <c r="H475" s="158" t="s">
        <v>46</v>
      </c>
      <c r="I475" s="373">
        <v>0</v>
      </c>
      <c r="J475" s="373">
        <f>J478+J480</f>
        <v>0</v>
      </c>
      <c r="K475" s="540">
        <f>IF(I475&gt;0,J475*100/I475,0)</f>
        <v>0</v>
      </c>
      <c r="L475" s="62"/>
      <c r="M475" s="55"/>
      <c r="N475" s="55"/>
      <c r="O475" s="55"/>
      <c r="P475" s="55"/>
      <c r="Q475" s="55"/>
      <c r="R475" s="55"/>
      <c r="S475" s="55"/>
      <c r="T475" s="55"/>
      <c r="U475" s="55"/>
    </row>
    <row r="476" spans="1:21" ht="19.5" hidden="1">
      <c r="A476" s="238"/>
      <c r="B476" s="188"/>
      <c r="C476" s="191" t="s">
        <v>189</v>
      </c>
      <c r="D476" s="188"/>
      <c r="E476" s="188"/>
      <c r="F476" s="188"/>
      <c r="G476" s="208"/>
      <c r="H476" s="158" t="s">
        <v>46</v>
      </c>
      <c r="I476" s="373">
        <v>0</v>
      </c>
      <c r="J476" s="373">
        <f>J478+J480</f>
        <v>0</v>
      </c>
      <c r="K476" s="540">
        <f>IF(I476&gt;0,J476*100/I476,0)</f>
        <v>0</v>
      </c>
      <c r="L476" s="62"/>
      <c r="M476" s="55"/>
      <c r="N476" s="55"/>
      <c r="O476" s="55"/>
      <c r="P476" s="55"/>
      <c r="Q476" s="55"/>
      <c r="R476" s="55"/>
      <c r="S476" s="55"/>
      <c r="T476" s="55"/>
      <c r="U476" s="55"/>
    </row>
    <row r="477" spans="1:21" ht="19.5" hidden="1">
      <c r="A477" s="238"/>
      <c r="B477" s="188"/>
      <c r="C477" s="239" t="s">
        <v>190</v>
      </c>
      <c r="D477" s="188"/>
      <c r="E477" s="188"/>
      <c r="F477" s="188"/>
      <c r="G477" s="208"/>
      <c r="H477" s="158" t="s">
        <v>34</v>
      </c>
      <c r="I477" s="373">
        <v>0</v>
      </c>
      <c r="J477" s="373">
        <f>J479+J481</f>
        <v>0</v>
      </c>
      <c r="K477" s="540">
        <f>IF(I477&gt;0,J477*100/I477,0)</f>
        <v>0</v>
      </c>
      <c r="L477" s="62"/>
      <c r="M477" s="55"/>
      <c r="N477" s="55"/>
      <c r="O477" s="55"/>
      <c r="P477" s="55"/>
      <c r="Q477" s="55"/>
      <c r="R477" s="55"/>
      <c r="S477" s="55"/>
      <c r="T477" s="55"/>
      <c r="U477" s="55"/>
    </row>
    <row r="478" spans="1:21" ht="18.75" hidden="1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54"/>
      <c r="K478" s="55"/>
      <c r="L478" s="62"/>
      <c r="M478" s="55"/>
      <c r="N478" s="55"/>
      <c r="O478" s="55"/>
      <c r="P478" s="55"/>
      <c r="Q478" s="55"/>
      <c r="R478" s="55"/>
      <c r="S478" s="55"/>
      <c r="T478" s="55"/>
      <c r="U478" s="55"/>
    </row>
    <row r="479" spans="1:21" ht="18.75" hidden="1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54"/>
      <c r="K479" s="55"/>
      <c r="L479" s="62"/>
      <c r="M479" s="55"/>
      <c r="N479" s="55"/>
      <c r="O479" s="55"/>
      <c r="P479" s="55"/>
      <c r="Q479" s="55"/>
      <c r="R479" s="55"/>
      <c r="S479" s="55"/>
      <c r="T479" s="55"/>
      <c r="U479" s="55"/>
    </row>
    <row r="480" spans="1:21" ht="18.75" hidden="1">
      <c r="A480" s="238"/>
      <c r="B480" s="188"/>
      <c r="C480" s="188"/>
      <c r="D480" s="371" t="s">
        <v>192</v>
      </c>
      <c r="E480" s="188"/>
      <c r="F480" s="188"/>
      <c r="G480" s="208"/>
      <c r="H480" s="161" t="s">
        <v>46</v>
      </c>
      <c r="I480" s="54"/>
      <c r="J480" s="54"/>
      <c r="K480" s="55"/>
      <c r="L480" s="62"/>
      <c r="M480" s="55"/>
      <c r="N480" s="55"/>
      <c r="O480" s="55"/>
      <c r="P480" s="55"/>
      <c r="Q480" s="55"/>
      <c r="R480" s="55"/>
      <c r="S480" s="55"/>
      <c r="T480" s="55"/>
      <c r="U480" s="55"/>
    </row>
    <row r="481" spans="1:21" ht="18.75" hidden="1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54"/>
      <c r="K481" s="55"/>
      <c r="L481" s="62"/>
      <c r="M481" s="55"/>
      <c r="N481" s="55"/>
      <c r="O481" s="55"/>
      <c r="P481" s="55"/>
      <c r="Q481" s="55"/>
      <c r="R481" s="55"/>
      <c r="S481" s="55"/>
      <c r="T481" s="55"/>
      <c r="U481" s="55"/>
    </row>
    <row r="482" spans="1:21" ht="18.75" hidden="1">
      <c r="A482" s="238"/>
      <c r="B482" s="188"/>
      <c r="C482" s="188"/>
      <c r="D482" s="371" t="s">
        <v>193</v>
      </c>
      <c r="E482" s="188"/>
      <c r="F482" s="188"/>
      <c r="G482" s="208"/>
      <c r="H482" s="161" t="s">
        <v>46</v>
      </c>
      <c r="I482" s="54"/>
      <c r="J482" s="212">
        <f ca="1">IFERROR(__xludf.DUMMYFUNCTION("IMPORTRANGE(""https://docs.google.com/spreadsheets/d/1eHaY18a8A9IcSdp1K8H6x8fbOy06t2VsZHhMHf-1x7Y/edit?usp=sharing"",""แผน!HN45"")"),0)</f>
        <v>0</v>
      </c>
      <c r="K482" s="55"/>
      <c r="L482" s="62"/>
      <c r="M482" s="55"/>
      <c r="N482" s="55"/>
      <c r="O482" s="55"/>
      <c r="P482" s="55"/>
      <c r="Q482" s="55"/>
      <c r="R482" s="55"/>
      <c r="S482" s="55"/>
      <c r="T482" s="55"/>
      <c r="U482" s="55"/>
    </row>
    <row r="483" spans="1:21" ht="18.75" hidden="1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212">
        <f ca="1">IFERROR(__xludf.DUMMYFUNCTION("IMPORTRANGE(""https://docs.google.com/spreadsheets/d/1eHaY18a8A9IcSdp1K8H6x8fbOy06t2VsZHhMHf-1x7Y/edit?usp=sharing"",""แผน!HO45"")"),0)</f>
        <v>0</v>
      </c>
      <c r="K483" s="55"/>
      <c r="L483" s="62"/>
      <c r="M483" s="55"/>
      <c r="N483" s="55"/>
      <c r="O483" s="55"/>
      <c r="P483" s="55"/>
      <c r="Q483" s="55"/>
      <c r="R483" s="55"/>
      <c r="S483" s="55"/>
      <c r="T483" s="55"/>
      <c r="U483" s="55"/>
    </row>
    <row r="484" spans="1:21" ht="19.5" hidden="1">
      <c r="A484" s="238"/>
      <c r="B484" s="188"/>
      <c r="C484" s="191" t="s">
        <v>194</v>
      </c>
      <c r="D484" s="188"/>
      <c r="E484" s="188"/>
      <c r="F484" s="188"/>
      <c r="G484" s="208"/>
      <c r="H484" s="158" t="s">
        <v>46</v>
      </c>
      <c r="I484" s="54">
        <f>J480</f>
        <v>0</v>
      </c>
      <c r="J484" s="373">
        <f>J486+J488+J490</f>
        <v>0</v>
      </c>
      <c r="K484" s="540">
        <f>IF(I484&gt;0,J484*100/I484,0)</f>
        <v>0</v>
      </c>
      <c r="L484" s="62"/>
      <c r="M484" s="55"/>
      <c r="N484" s="55"/>
      <c r="O484" s="55"/>
      <c r="P484" s="55"/>
      <c r="Q484" s="55"/>
      <c r="R484" s="55"/>
      <c r="S484" s="55"/>
      <c r="T484" s="55"/>
      <c r="U484" s="55"/>
    </row>
    <row r="485" spans="1:21" ht="19.5" hidden="1">
      <c r="A485" s="238"/>
      <c r="B485" s="188"/>
      <c r="C485" s="239" t="s">
        <v>195</v>
      </c>
      <c r="D485" s="188"/>
      <c r="E485" s="188"/>
      <c r="F485" s="188"/>
      <c r="G485" s="208"/>
      <c r="H485" s="158" t="s">
        <v>34</v>
      </c>
      <c r="I485" s="54">
        <f>J481</f>
        <v>0</v>
      </c>
      <c r="J485" s="373">
        <f>J487+J489+J491</f>
        <v>0</v>
      </c>
      <c r="K485" s="540">
        <f>IF(I485&gt;0,J485*100/I485,0)</f>
        <v>0</v>
      </c>
      <c r="L485" s="62"/>
      <c r="M485" s="55"/>
      <c r="N485" s="55"/>
      <c r="O485" s="55"/>
      <c r="P485" s="55"/>
      <c r="Q485" s="55"/>
      <c r="R485" s="55"/>
      <c r="S485" s="55"/>
      <c r="T485" s="55"/>
      <c r="U485" s="55"/>
    </row>
    <row r="486" spans="1:21" ht="18.75" hidden="1">
      <c r="A486" s="238"/>
      <c r="B486" s="188"/>
      <c r="C486" s="188"/>
      <c r="D486" s="371" t="s">
        <v>196</v>
      </c>
      <c r="E486" s="188"/>
      <c r="F486" s="188"/>
      <c r="G486" s="208"/>
      <c r="H486" s="161" t="s">
        <v>46</v>
      </c>
      <c r="I486" s="54"/>
      <c r="J486" s="54"/>
      <c r="K486" s="55"/>
      <c r="L486" s="62"/>
      <c r="M486" s="55"/>
      <c r="N486" s="55"/>
      <c r="O486" s="55"/>
      <c r="P486" s="55"/>
      <c r="Q486" s="55"/>
      <c r="R486" s="55"/>
      <c r="S486" s="55"/>
      <c r="T486" s="55"/>
      <c r="U486" s="55"/>
    </row>
    <row r="487" spans="1:21" ht="18.75" hidden="1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54"/>
      <c r="K487" s="55"/>
      <c r="L487" s="62"/>
      <c r="M487" s="55"/>
      <c r="N487" s="55"/>
      <c r="O487" s="55"/>
      <c r="P487" s="55"/>
      <c r="Q487" s="55"/>
      <c r="R487" s="55"/>
      <c r="S487" s="55"/>
      <c r="T487" s="55"/>
      <c r="U487" s="55"/>
    </row>
    <row r="488" spans="1:21" ht="18.75" hidden="1">
      <c r="A488" s="238"/>
      <c r="B488" s="188"/>
      <c r="C488" s="188"/>
      <c r="D488" s="371" t="s">
        <v>197</v>
      </c>
      <c r="E488" s="188"/>
      <c r="F488" s="188"/>
      <c r="G488" s="208"/>
      <c r="H488" s="161" t="s">
        <v>46</v>
      </c>
      <c r="I488" s="54"/>
      <c r="J488" s="54"/>
      <c r="K488" s="55"/>
      <c r="L488" s="62"/>
      <c r="M488" s="55"/>
      <c r="N488" s="55"/>
      <c r="O488" s="55"/>
      <c r="P488" s="55"/>
      <c r="Q488" s="55"/>
      <c r="R488" s="55"/>
      <c r="S488" s="55"/>
      <c r="T488" s="55"/>
      <c r="U488" s="55"/>
    </row>
    <row r="489" spans="1:21" ht="18.75" hidden="1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54"/>
      <c r="K489" s="55"/>
      <c r="L489" s="62"/>
      <c r="M489" s="55"/>
      <c r="N489" s="55"/>
      <c r="O489" s="55"/>
      <c r="P489" s="55"/>
      <c r="Q489" s="55"/>
      <c r="R489" s="55"/>
      <c r="S489" s="55"/>
      <c r="T489" s="55"/>
      <c r="U489" s="55"/>
    </row>
    <row r="490" spans="1:21" ht="18.75" hidden="1">
      <c r="A490" s="238"/>
      <c r="B490" s="188"/>
      <c r="C490" s="188"/>
      <c r="D490" s="371" t="s">
        <v>198</v>
      </c>
      <c r="E490" s="188"/>
      <c r="F490" s="188"/>
      <c r="G490" s="208"/>
      <c r="H490" s="161" t="s">
        <v>46</v>
      </c>
      <c r="I490" s="54"/>
      <c r="J490" s="54"/>
      <c r="K490" s="55"/>
      <c r="L490" s="62"/>
      <c r="M490" s="55"/>
      <c r="N490" s="55"/>
      <c r="O490" s="55"/>
      <c r="P490" s="55"/>
      <c r="Q490" s="55"/>
      <c r="R490" s="55"/>
      <c r="S490" s="55"/>
      <c r="T490" s="55"/>
      <c r="U490" s="55"/>
    </row>
    <row r="491" spans="1:21" ht="18.75" hidden="1">
      <c r="A491" s="374"/>
      <c r="B491" s="5"/>
      <c r="C491" s="5"/>
      <c r="D491" s="5"/>
      <c r="E491" s="5"/>
      <c r="F491" s="5"/>
      <c r="G491" s="375"/>
      <c r="H491" s="376" t="s">
        <v>34</v>
      </c>
      <c r="I491" s="67"/>
      <c r="J491" s="67"/>
      <c r="K491" s="6"/>
      <c r="L491" s="68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 hidden="1">
      <c r="A492" s="335"/>
      <c r="B492" s="354" t="s">
        <v>199</v>
      </c>
      <c r="C492" s="337"/>
      <c r="D492" s="337"/>
      <c r="E492" s="328"/>
      <c r="F492" s="328"/>
      <c r="G492" s="329"/>
      <c r="H492" s="366" t="s">
        <v>35</v>
      </c>
      <c r="I492" s="605">
        <f ca="1">I503</f>
        <v>0</v>
      </c>
      <c r="J492" s="605">
        <f ca="1">J503</f>
        <v>0</v>
      </c>
      <c r="K492" s="604">
        <f ca="1">IF(I492&gt;0,J492*100/I492,0)</f>
        <v>0</v>
      </c>
      <c r="L492" s="334"/>
      <c r="M492" s="333"/>
      <c r="N492" s="333"/>
      <c r="O492" s="333"/>
      <c r="P492" s="333"/>
      <c r="Q492" s="333"/>
      <c r="R492" s="333"/>
      <c r="S492" s="333"/>
      <c r="T492" s="333"/>
      <c r="U492" s="333"/>
    </row>
    <row r="493" spans="1:21" ht="19.5" hidden="1">
      <c r="A493" s="155"/>
      <c r="B493" s="188"/>
      <c r="C493" s="205" t="s">
        <v>18</v>
      </c>
      <c r="D493" s="603" t="s">
        <v>19</v>
      </c>
      <c r="E493" s="514"/>
      <c r="F493" s="514"/>
      <c r="G493" s="52"/>
      <c r="H493" s="252" t="s">
        <v>14</v>
      </c>
      <c r="I493" s="54"/>
      <c r="J493" s="54"/>
      <c r="K493" s="55"/>
      <c r="L493" s="541">
        <f>L494+L495</f>
        <v>0</v>
      </c>
      <c r="M493" s="540">
        <f>M494+M495</f>
        <v>0</v>
      </c>
      <c r="N493" s="540">
        <f>N494+N495</f>
        <v>0</v>
      </c>
      <c r="O493" s="540">
        <f>IF(L493&gt;0,N493*100/L493,0)</f>
        <v>0</v>
      </c>
      <c r="P493" s="540">
        <f>IF(M493&gt;0,N493*100/M493,0)</f>
        <v>0</v>
      </c>
      <c r="Q493" s="540">
        <f ca="1">Q494+Q495</f>
        <v>0</v>
      </c>
      <c r="R493" s="540">
        <f ca="1">R494+R495</f>
        <v>0</v>
      </c>
      <c r="S493" s="540">
        <f ca="1">S494+S495</f>
        <v>0</v>
      </c>
      <c r="T493" s="540">
        <f ca="1">IF(Q493&gt;0,S493*100/Q493,0)</f>
        <v>0</v>
      </c>
      <c r="U493" s="540">
        <f ca="1">IF(R493&gt;0,S493*100/R493,0)</f>
        <v>0</v>
      </c>
    </row>
    <row r="494" spans="1:21" ht="18.75" hidden="1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103">
        <f>L497+L500</f>
        <v>0</v>
      </c>
      <c r="M494" s="102">
        <f>M497+M500</f>
        <v>0</v>
      </c>
      <c r="N494" s="102">
        <f>N497+N500</f>
        <v>0</v>
      </c>
      <c r="O494" s="102">
        <f>IF(L494&gt;0,N494*100/L494,0)</f>
        <v>0</v>
      </c>
      <c r="P494" s="102">
        <f>IF(M494&gt;0,N494*100/M494,0)</f>
        <v>0</v>
      </c>
      <c r="Q494" s="102">
        <f>Q497+Q500</f>
        <v>0</v>
      </c>
      <c r="R494" s="102">
        <f>R497+R500</f>
        <v>0</v>
      </c>
      <c r="S494" s="102">
        <f>S497+S500</f>
        <v>0</v>
      </c>
      <c r="T494" s="102">
        <f>IF(Q494&gt;0,S494*100/Q494,0)</f>
        <v>0</v>
      </c>
      <c r="U494" s="102">
        <f>IF(R494&gt;0,S494*100/R494,0)</f>
        <v>0</v>
      </c>
    </row>
    <row r="495" spans="1:21" ht="18.75" hidden="1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256">
        <f>L498+L501</f>
        <v>0</v>
      </c>
      <c r="M495" s="255">
        <f>M498+M501</f>
        <v>0</v>
      </c>
      <c r="N495" s="255">
        <f>N498+N501</f>
        <v>0</v>
      </c>
      <c r="O495" s="255">
        <f>IF(L495&gt;0,N495*100/L495,0)</f>
        <v>0</v>
      </c>
      <c r="P495" s="255">
        <f>IF(M495&gt;0,N495*100/M495,0)</f>
        <v>0</v>
      </c>
      <c r="Q495" s="255">
        <f ca="1">Q498+Q501</f>
        <v>0</v>
      </c>
      <c r="R495" s="255">
        <f ca="1">R498+R501</f>
        <v>0</v>
      </c>
      <c r="S495" s="255">
        <f ca="1">S498+S501</f>
        <v>0</v>
      </c>
      <c r="T495" s="255">
        <f ca="1">IF(Q495&gt;0,S495*100/Q495,0)</f>
        <v>0</v>
      </c>
      <c r="U495" s="255">
        <f ca="1">IF(R495&gt;0,S495*100/R495,0)</f>
        <v>0</v>
      </c>
    </row>
    <row r="496" spans="1:21" ht="18.75" hidden="1">
      <c r="A496" s="155"/>
      <c r="B496" s="188"/>
      <c r="C496" s="188"/>
      <c r="D496" s="602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256">
        <f>L497+L498</f>
        <v>0</v>
      </c>
      <c r="M496" s="255">
        <f>M497+M498</f>
        <v>0</v>
      </c>
      <c r="N496" s="255">
        <f>N497+N498</f>
        <v>0</v>
      </c>
      <c r="O496" s="255">
        <f>IF(L496&gt;0,N496*100/L496,0)</f>
        <v>0</v>
      </c>
      <c r="P496" s="255">
        <f>IF(M496&gt;0,N496*100/M496,0)</f>
        <v>0</v>
      </c>
      <c r="Q496" s="255">
        <f ca="1">Q497+Q498</f>
        <v>0</v>
      </c>
      <c r="R496" s="255">
        <f ca="1">R497+R498</f>
        <v>0</v>
      </c>
      <c r="S496" s="255">
        <f ca="1">S497+S498</f>
        <v>0</v>
      </c>
      <c r="T496" s="255">
        <f ca="1">IF(Q496&gt;0,S496*100/Q496,0)</f>
        <v>0</v>
      </c>
      <c r="U496" s="255">
        <f ca="1">IF(R496&gt;0,S496*100/R496,0)</f>
        <v>0</v>
      </c>
    </row>
    <row r="497" spans="1:21" ht="18.75" hidden="1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103">
        <v>0</v>
      </c>
      <c r="M497" s="102">
        <v>0</v>
      </c>
      <c r="N497" s="102">
        <v>0</v>
      </c>
      <c r="O497" s="102">
        <f>IF(L497&gt;0,N497*100/L497,0)</f>
        <v>0</v>
      </c>
      <c r="P497" s="102">
        <f>IF(M497&gt;0,N497*100/M497,0)</f>
        <v>0</v>
      </c>
      <c r="Q497" s="102">
        <v>0</v>
      </c>
      <c r="R497" s="102">
        <v>0</v>
      </c>
      <c r="S497" s="102">
        <v>0</v>
      </c>
      <c r="T497" s="102">
        <f>IF(Q497&gt;0,S497*100/Q497,0)</f>
        <v>0</v>
      </c>
      <c r="U497" s="102">
        <f>IF(R497&gt;0,S497*100/R497,0)</f>
        <v>0</v>
      </c>
    </row>
    <row r="498" spans="1:21" ht="18.75" hidden="1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256">
        <v>0</v>
      </c>
      <c r="M498" s="255">
        <v>0</v>
      </c>
      <c r="N498" s="255">
        <v>0</v>
      </c>
      <c r="O498" s="255">
        <f>IF(L498&gt;0,N498*100/L498,0)</f>
        <v>0</v>
      </c>
      <c r="P498" s="255">
        <f>IF(M498&gt;0,N498*100/M498,0)</f>
        <v>0</v>
      </c>
      <c r="Q498" s="255">
        <f ca="1">IFERROR(__xludf.DUMMYFUNCTION("IMPORTRANGE(""https://docs.google.com/spreadsheets/d/1ItG2mGa2ceCfYo0BwxsXqNm01IGEUdYcSSLTEv9YCik/edit?usp=sharing"",""เบิกจ่ายกองทุน!X45"")"),0)</f>
        <v>0</v>
      </c>
      <c r="R498" s="255">
        <f ca="1">IFERROR(__xludf.DUMMYFUNCTION("IMPORTRANGE(""https://docs.google.com/spreadsheets/d/1ItG2mGa2ceCfYo0BwxsXqNm01IGEUdYcSSLTEv9YCik/edit?usp=sharing"",""เบิกจ่ายกองทุน!Y45"")"),0)</f>
        <v>0</v>
      </c>
      <c r="S498" s="255">
        <f ca="1">IFERROR(__xludf.DUMMYFUNCTION("IMPORTRANGE(""https://docs.google.com/spreadsheets/d/1ItG2mGa2ceCfYo0BwxsXqNm01IGEUdYcSSLTEv9YCik/edit?usp=sharing"",""เบิกจ่ายกองทุน!Z45"")"),0)</f>
        <v>0</v>
      </c>
      <c r="T498" s="255">
        <f ca="1">IF(Q498&gt;0,S498*100/Q498,0)</f>
        <v>0</v>
      </c>
      <c r="U498" s="255">
        <f ca="1">IF(R498&gt;0,S498*100/R498,0)</f>
        <v>0</v>
      </c>
    </row>
    <row r="499" spans="1:21" ht="18.75" hidden="1">
      <c r="A499" s="155"/>
      <c r="B499" s="188"/>
      <c r="C499" s="188"/>
      <c r="D499" s="602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256">
        <f>L500+L501</f>
        <v>0</v>
      </c>
      <c r="M499" s="255">
        <f>M500+M501</f>
        <v>0</v>
      </c>
      <c r="N499" s="255">
        <f>N500+N501</f>
        <v>0</v>
      </c>
      <c r="O499" s="255">
        <f>IF(L499&gt;0,N499*100/L499,0)</f>
        <v>0</v>
      </c>
      <c r="P499" s="255">
        <f>IF(M499&gt;0,N499*100/M499,0)</f>
        <v>0</v>
      </c>
      <c r="Q499" s="255">
        <f>Q500+Q501</f>
        <v>0</v>
      </c>
      <c r="R499" s="255">
        <f>R500+R501</f>
        <v>0</v>
      </c>
      <c r="S499" s="255">
        <f>S500+S501</f>
        <v>0</v>
      </c>
      <c r="T499" s="255">
        <f>IF(Q499&gt;0,S499*100/Q499,0)</f>
        <v>0</v>
      </c>
      <c r="U499" s="255">
        <f>IF(R499&gt;0,S499*100/R499,0)</f>
        <v>0</v>
      </c>
    </row>
    <row r="500" spans="1:21" ht="18.75" hidden="1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103">
        <v>0</v>
      </c>
      <c r="M500" s="102">
        <v>0</v>
      </c>
      <c r="N500" s="102">
        <v>0</v>
      </c>
      <c r="O500" s="102">
        <f>IF(L500&gt;0,N500*100/L500,0)</f>
        <v>0</v>
      </c>
      <c r="P500" s="102">
        <f>IF(M500&gt;0,N500*100/M500,0)</f>
        <v>0</v>
      </c>
      <c r="Q500" s="102">
        <v>0</v>
      </c>
      <c r="R500" s="102">
        <v>0</v>
      </c>
      <c r="S500" s="102">
        <v>0</v>
      </c>
      <c r="T500" s="102">
        <f>IF(Q500&gt;0,S500*100/Q500,0)</f>
        <v>0</v>
      </c>
      <c r="U500" s="102">
        <f>IF(R500&gt;0,S500*100/R500,0)</f>
        <v>0</v>
      </c>
    </row>
    <row r="501" spans="1:21" ht="18.75" hidden="1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256">
        <v>0</v>
      </c>
      <c r="M501" s="255">
        <v>0</v>
      </c>
      <c r="N501" s="255">
        <v>0</v>
      </c>
      <c r="O501" s="255">
        <f>IF(L501&gt;0,N501*100/L501,0)</f>
        <v>0</v>
      </c>
      <c r="P501" s="255">
        <f>IF(M501&gt;0,N501*100/M501,0)</f>
        <v>0</v>
      </c>
      <c r="Q501" s="255">
        <v>0</v>
      </c>
      <c r="R501" s="255">
        <v>0</v>
      </c>
      <c r="S501" s="255">
        <v>0</v>
      </c>
      <c r="T501" s="255">
        <f>IF(Q501&gt;0,S501*100/Q501,0)</f>
        <v>0</v>
      </c>
      <c r="U501" s="255">
        <f>IF(R501&gt;0,S501*100/R501,0)</f>
        <v>0</v>
      </c>
    </row>
    <row r="502" spans="1:21" ht="19.5" hidden="1">
      <c r="A502" s="166"/>
      <c r="B502" s="167"/>
      <c r="C502" s="205" t="s">
        <v>18</v>
      </c>
      <c r="D502" s="560" t="s">
        <v>38</v>
      </c>
      <c r="E502" s="169"/>
      <c r="F502" s="169"/>
      <c r="G502" s="170"/>
      <c r="H502" s="206"/>
      <c r="I502" s="163"/>
      <c r="J502" s="163"/>
      <c r="K502" s="164"/>
      <c r="L502" s="172"/>
      <c r="M502" s="164"/>
      <c r="N502" s="164"/>
      <c r="O502" s="164"/>
      <c r="P502" s="164"/>
      <c r="Q502" s="164"/>
      <c r="R502" s="164"/>
      <c r="S502" s="164"/>
      <c r="T502" s="164"/>
      <c r="U502" s="164"/>
    </row>
    <row r="503" spans="1:21" ht="19.5" hidden="1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373">
        <f ca="1">IFERROR(__xludf.DUMMYFUNCTION("IMPORTRANGE(""https://docs.google.com/spreadsheets/d/1eHaY18a8A9IcSdp1K8H6x8fbOy06t2VsZHhMHf-1x7Y/edit?usp=sharing"",""แผน!GX45"")"),0)</f>
        <v>0</v>
      </c>
      <c r="J503" s="373">
        <f ca="1">IF(AND(J504=I504,J505=I505,J506=I506,J507=I507),I503,0)</f>
        <v>0</v>
      </c>
      <c r="K503" s="540">
        <f ca="1">IF(I503&gt;0,J503*100/I503,0)</f>
        <v>0</v>
      </c>
      <c r="L503" s="62"/>
      <c r="M503" s="55"/>
      <c r="N503" s="55"/>
      <c r="O503" s="55"/>
      <c r="P503" s="55"/>
      <c r="Q503" s="55"/>
      <c r="R503" s="55"/>
      <c r="S503" s="55"/>
      <c r="T503" s="55"/>
      <c r="U503" s="55"/>
    </row>
    <row r="504" spans="1:21" ht="18.75" hidden="1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212">
        <f ca="1">IFERROR(__xludf.DUMMYFUNCTION("IMPORTRANGE(""https://docs.google.com/spreadsheets/d/1eHaY18a8A9IcSdp1K8H6x8fbOy06t2VsZHhMHf-1x7Y/edit?usp=sharing"",""แผน!GY45"")"),0)</f>
        <v>0</v>
      </c>
      <c r="J504" s="467">
        <v>0</v>
      </c>
      <c r="K504" s="255">
        <f ca="1">IF(I504&gt;0,J504*100/I504,0)</f>
        <v>0</v>
      </c>
      <c r="L504" s="62"/>
      <c r="M504" s="55"/>
      <c r="N504" s="55"/>
      <c r="O504" s="55"/>
      <c r="P504" s="55"/>
      <c r="Q504" s="55"/>
      <c r="R504" s="55"/>
      <c r="S504" s="55"/>
      <c r="T504" s="55"/>
      <c r="U504" s="55"/>
    </row>
    <row r="505" spans="1:21" ht="18.75" hidden="1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212">
        <f ca="1">IFERROR(__xludf.DUMMYFUNCTION("IMPORTRANGE(""https://docs.google.com/spreadsheets/d/1eHaY18a8A9IcSdp1K8H6x8fbOy06t2VsZHhMHf-1x7Y/edit?usp=sharing"",""แผน!GZ45"")"),0)</f>
        <v>0</v>
      </c>
      <c r="J505" s="467">
        <v>0</v>
      </c>
      <c r="K505" s="255">
        <f ca="1">IF(I505&gt;0,J505*100/I505,0)</f>
        <v>0</v>
      </c>
      <c r="L505" s="62"/>
      <c r="M505" s="55"/>
      <c r="N505" s="55"/>
      <c r="O505" s="55"/>
      <c r="P505" s="55"/>
      <c r="Q505" s="55"/>
      <c r="R505" s="55"/>
      <c r="S505" s="55"/>
      <c r="T505" s="55"/>
      <c r="U505" s="55"/>
    </row>
    <row r="506" spans="1:21" ht="18.75" hidden="1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212">
        <f ca="1">IFERROR(__xludf.DUMMYFUNCTION("IMPORTRANGE(""https://docs.google.com/spreadsheets/d/1eHaY18a8A9IcSdp1K8H6x8fbOy06t2VsZHhMHf-1x7Y/edit?usp=sharing"",""แผน!HA45"")"),0)</f>
        <v>0</v>
      </c>
      <c r="J506" s="467">
        <v>0</v>
      </c>
      <c r="K506" s="255">
        <f ca="1">IF(I506&gt;0,J506*100/I506,0)</f>
        <v>0</v>
      </c>
      <c r="L506" s="62"/>
      <c r="M506" s="55"/>
      <c r="N506" s="55"/>
      <c r="O506" s="55"/>
      <c r="P506" s="55"/>
      <c r="Q506" s="55"/>
      <c r="R506" s="55"/>
      <c r="S506" s="55"/>
      <c r="T506" s="55"/>
      <c r="U506" s="55"/>
    </row>
    <row r="507" spans="1:21" ht="18.75" hidden="1">
      <c r="A507" s="238"/>
      <c r="B507" s="188"/>
      <c r="C507" s="188"/>
      <c r="D507" s="188"/>
      <c r="E507" s="377" t="s">
        <v>204</v>
      </c>
      <c r="F507" s="50"/>
      <c r="G507" s="52"/>
      <c r="H507" s="161" t="s">
        <v>35</v>
      </c>
      <c r="I507" s="212">
        <f ca="1">IFERROR(__xludf.DUMMYFUNCTION("IMPORTRANGE(""https://docs.google.com/spreadsheets/d/1eHaY18a8A9IcSdp1K8H6x8fbOy06t2VsZHhMHf-1x7Y/edit?usp=sharing"",""แผน!HB45"")"),0)</f>
        <v>0</v>
      </c>
      <c r="J507" s="467">
        <v>0</v>
      </c>
      <c r="K507" s="255">
        <f ca="1">IF(I507&gt;0,J507*100/I507,0)</f>
        <v>0</v>
      </c>
      <c r="L507" s="62"/>
      <c r="M507" s="55"/>
      <c r="N507" s="55"/>
      <c r="O507" s="55"/>
      <c r="P507" s="55"/>
      <c r="Q507" s="55"/>
      <c r="R507" s="55"/>
      <c r="S507" s="55"/>
      <c r="T507" s="55"/>
      <c r="U507" s="55"/>
    </row>
    <row r="508" spans="1:21" ht="18.75" hidden="1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255">
        <f>IF(I508&gt;0,J508*100/I508,0)</f>
        <v>0</v>
      </c>
      <c r="L508" s="62"/>
      <c r="M508" s="55"/>
      <c r="N508" s="55"/>
      <c r="O508" s="55"/>
      <c r="P508" s="55"/>
      <c r="Q508" s="55"/>
      <c r="R508" s="55"/>
      <c r="S508" s="55"/>
      <c r="T508" s="55"/>
      <c r="U508" s="55"/>
    </row>
    <row r="509" spans="1:21" ht="19.5" hidden="1">
      <c r="A509" s="374"/>
      <c r="B509" s="5"/>
      <c r="C509" s="5"/>
      <c r="D509" s="378" t="s">
        <v>50</v>
      </c>
      <c r="E509" s="4"/>
      <c r="F509" s="4"/>
      <c r="G509" s="65"/>
      <c r="H509" s="376" t="s">
        <v>35</v>
      </c>
      <c r="I509" s="216">
        <f ca="1">IFERROR(__xludf.DUMMYFUNCTION("IMPORTRANGE(""https://docs.google.com/spreadsheets/d/1eHaY18a8A9IcSdp1K8H6x8fbOy06t2VsZHhMHf-1x7Y/edit?usp=sharing"",""แผน!HC45"")"),0)</f>
        <v>0</v>
      </c>
      <c r="J509" s="538">
        <v>0</v>
      </c>
      <c r="K509" s="506">
        <f ca="1">IF(I509&gt;0,J509*100/I509,0)</f>
        <v>0</v>
      </c>
      <c r="L509" s="68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 hidden="1">
      <c r="A510" s="601" t="s">
        <v>206</v>
      </c>
      <c r="B510" s="381"/>
      <c r="C510" s="381"/>
      <c r="D510" s="381"/>
      <c r="E510" s="382"/>
      <c r="F510" s="382"/>
      <c r="G510" s="382"/>
      <c r="H510" s="382"/>
      <c r="I510" s="383"/>
      <c r="J510" s="383"/>
      <c r="K510" s="384"/>
      <c r="L510" s="600"/>
      <c r="M510" s="386"/>
      <c r="N510" s="386"/>
      <c r="O510" s="386"/>
      <c r="P510" s="386"/>
      <c r="Q510" s="386"/>
      <c r="R510" s="386"/>
      <c r="S510" s="386"/>
      <c r="T510" s="386"/>
      <c r="U510" s="386"/>
    </row>
    <row r="511" spans="1:21" ht="19.5" hidden="1">
      <c r="A511" s="599" t="s">
        <v>207</v>
      </c>
      <c r="B511" s="388"/>
      <c r="C511" s="388"/>
      <c r="D511" s="389"/>
      <c r="E511" s="388"/>
      <c r="F511" s="388"/>
      <c r="G511" s="388"/>
      <c r="H511" s="390"/>
      <c r="I511" s="391"/>
      <c r="J511" s="391"/>
      <c r="K511" s="392"/>
      <c r="L511" s="598"/>
      <c r="M511" s="394"/>
      <c r="N511" s="394"/>
      <c r="O511" s="394"/>
      <c r="P511" s="394"/>
      <c r="Q511" s="394"/>
      <c r="R511" s="394"/>
      <c r="S511" s="394"/>
      <c r="T511" s="394"/>
      <c r="U511" s="394"/>
    </row>
    <row r="512" spans="1:21" ht="19.5" hidden="1">
      <c r="A512" s="395"/>
      <c r="B512" s="597" t="s">
        <v>208</v>
      </c>
      <c r="C512" s="397"/>
      <c r="D512" s="398"/>
      <c r="E512" s="398"/>
      <c r="F512" s="398"/>
      <c r="G512" s="399"/>
      <c r="H512" s="596" t="s">
        <v>61</v>
      </c>
      <c r="I512" s="595">
        <f>I524</f>
        <v>0</v>
      </c>
      <c r="J512" s="595">
        <f>J524</f>
        <v>0</v>
      </c>
      <c r="K512" s="594">
        <f>IF(I512&gt;0,J512*100/I512,0)</f>
        <v>0</v>
      </c>
      <c r="L512" s="404"/>
      <c r="M512" s="403"/>
      <c r="N512" s="403"/>
      <c r="O512" s="403"/>
      <c r="P512" s="403"/>
      <c r="Q512" s="403"/>
      <c r="R512" s="403"/>
      <c r="S512" s="403"/>
      <c r="T512" s="403"/>
      <c r="U512" s="403"/>
    </row>
    <row r="513" spans="1:21" ht="19.5" hidden="1">
      <c r="A513" s="155"/>
      <c r="B513" s="50"/>
      <c r="C513" s="591" t="s">
        <v>18</v>
      </c>
      <c r="D513" s="562" t="s">
        <v>19</v>
      </c>
      <c r="E513" s="50"/>
      <c r="F513" s="50"/>
      <c r="G513" s="52"/>
      <c r="H513" s="593" t="s">
        <v>14</v>
      </c>
      <c r="I513" s="54"/>
      <c r="J513" s="54"/>
      <c r="K513" s="55"/>
      <c r="L513" s="541">
        <f ca="1">L514+L515</f>
        <v>0</v>
      </c>
      <c r="M513" s="540">
        <f ca="1">M514+M515</f>
        <v>0</v>
      </c>
      <c r="N513" s="540">
        <f ca="1">N514+N515</f>
        <v>0</v>
      </c>
      <c r="O513" s="540">
        <f ca="1">IF(L513&gt;0,N513*100/L513,0)</f>
        <v>0</v>
      </c>
      <c r="P513" s="540">
        <f ca="1">IF(M513&gt;0,N513*100/M513,0)</f>
        <v>0</v>
      </c>
      <c r="Q513" s="540">
        <f>Q514+Q515</f>
        <v>0</v>
      </c>
      <c r="R513" s="540">
        <f>R514+R515</f>
        <v>0</v>
      </c>
      <c r="S513" s="540">
        <f>S514+S515</f>
        <v>0</v>
      </c>
      <c r="T513" s="540">
        <f>IF(Q513&gt;0,S513*100/Q513,0)</f>
        <v>0</v>
      </c>
      <c r="U513" s="540">
        <f>IF(R513&gt;0,S513*100/R513,0)</f>
        <v>0</v>
      </c>
    </row>
    <row r="514" spans="1:21" ht="18.75" hidden="1">
      <c r="A514" s="155"/>
      <c r="B514" s="50"/>
      <c r="C514" s="50"/>
      <c r="D514" s="50"/>
      <c r="E514" s="186" t="s">
        <v>20</v>
      </c>
      <c r="F514" s="50"/>
      <c r="G514" s="52"/>
      <c r="H514" s="187" t="s">
        <v>14</v>
      </c>
      <c r="I514" s="54"/>
      <c r="J514" s="54"/>
      <c r="K514" s="55"/>
      <c r="L514" s="103">
        <f>L517+L520</f>
        <v>0</v>
      </c>
      <c r="M514" s="102">
        <f>M517+M520</f>
        <v>0</v>
      </c>
      <c r="N514" s="102">
        <f>N517+N520</f>
        <v>0</v>
      </c>
      <c r="O514" s="102">
        <f>IF(L514&gt;0,N514*100/L514,0)</f>
        <v>0</v>
      </c>
      <c r="P514" s="102">
        <f>IF(M514&gt;0,N514*100/M514,0)</f>
        <v>0</v>
      </c>
      <c r="Q514" s="102">
        <f>Q517+Q520</f>
        <v>0</v>
      </c>
      <c r="R514" s="102">
        <f>R517+R520</f>
        <v>0</v>
      </c>
      <c r="S514" s="102">
        <f>S517+S520</f>
        <v>0</v>
      </c>
      <c r="T514" s="102">
        <f>IF(Q514&gt;0,S514*100/Q514,0)</f>
        <v>0</v>
      </c>
      <c r="U514" s="102">
        <f>IF(R514&gt;0,S514*100/R514,0)</f>
        <v>0</v>
      </c>
    </row>
    <row r="515" spans="1:21" ht="18.75" hidden="1">
      <c r="A515" s="155"/>
      <c r="B515" s="50"/>
      <c r="C515" s="50"/>
      <c r="D515" s="50"/>
      <c r="E515" s="186" t="s">
        <v>21</v>
      </c>
      <c r="F515" s="50"/>
      <c r="G515" s="52"/>
      <c r="H515" s="187" t="s">
        <v>14</v>
      </c>
      <c r="I515" s="54"/>
      <c r="J515" s="54"/>
      <c r="K515" s="55"/>
      <c r="L515" s="256">
        <f ca="1">L518+L521</f>
        <v>0</v>
      </c>
      <c r="M515" s="255">
        <f ca="1">M518+M521</f>
        <v>0</v>
      </c>
      <c r="N515" s="255">
        <f ca="1">N518+N521</f>
        <v>0</v>
      </c>
      <c r="O515" s="255">
        <f ca="1">IF(L515&gt;0,N515*100/L515,0)</f>
        <v>0</v>
      </c>
      <c r="P515" s="255">
        <f ca="1">IF(M515&gt;0,N515*100/M515,0)</f>
        <v>0</v>
      </c>
      <c r="Q515" s="255">
        <f>Q518+Q521</f>
        <v>0</v>
      </c>
      <c r="R515" s="255">
        <f>R518+R521</f>
        <v>0</v>
      </c>
      <c r="S515" s="255">
        <f>S518+S521</f>
        <v>0</v>
      </c>
      <c r="T515" s="255">
        <f>IF(Q515&gt;0,S515*100/Q515,0)</f>
        <v>0</v>
      </c>
      <c r="U515" s="255">
        <f>IF(R515&gt;0,S515*100/R515,0)</f>
        <v>0</v>
      </c>
    </row>
    <row r="516" spans="1:21" ht="18.75" hidden="1">
      <c r="A516" s="155"/>
      <c r="B516" s="50"/>
      <c r="C516" s="50"/>
      <c r="D516" s="592" t="s">
        <v>22</v>
      </c>
      <c r="E516" s="50"/>
      <c r="F516" s="50"/>
      <c r="G516" s="52"/>
      <c r="H516" s="189" t="s">
        <v>14</v>
      </c>
      <c r="I516" s="163"/>
      <c r="J516" s="163"/>
      <c r="K516" s="164"/>
      <c r="L516" s="256">
        <f ca="1">L517+L518</f>
        <v>0</v>
      </c>
      <c r="M516" s="255">
        <f ca="1">M517+M518</f>
        <v>0</v>
      </c>
      <c r="N516" s="255">
        <f ca="1">N517+N518</f>
        <v>0</v>
      </c>
      <c r="O516" s="255">
        <f ca="1">IF(L516&gt;0,N516*100/L516,0)</f>
        <v>0</v>
      </c>
      <c r="P516" s="255">
        <f ca="1">IF(M516&gt;0,N516*100/M516,0)</f>
        <v>0</v>
      </c>
      <c r="Q516" s="255">
        <f>Q517+Q518</f>
        <v>0</v>
      </c>
      <c r="R516" s="255">
        <f>R517+R518</f>
        <v>0</v>
      </c>
      <c r="S516" s="255">
        <f>S517+S518</f>
        <v>0</v>
      </c>
      <c r="T516" s="255">
        <f>IF(Q516&gt;0,S516*100/Q516,0)</f>
        <v>0</v>
      </c>
      <c r="U516" s="255">
        <f>IF(R516&gt;0,S516*100/R516,0)</f>
        <v>0</v>
      </c>
    </row>
    <row r="517" spans="1:21" ht="18.75" hidden="1">
      <c r="A517" s="155"/>
      <c r="B517" s="50"/>
      <c r="C517" s="50"/>
      <c r="D517" s="50"/>
      <c r="E517" s="186" t="s">
        <v>36</v>
      </c>
      <c r="F517" s="50"/>
      <c r="G517" s="52"/>
      <c r="H517" s="189" t="s">
        <v>14</v>
      </c>
      <c r="I517" s="163"/>
      <c r="J517" s="163"/>
      <c r="K517" s="164"/>
      <c r="L517" s="103">
        <v>0</v>
      </c>
      <c r="M517" s="102">
        <v>0</v>
      </c>
      <c r="N517" s="102">
        <v>0</v>
      </c>
      <c r="O517" s="102">
        <f>IF(L517&gt;0,N517*100/L517,0)</f>
        <v>0</v>
      </c>
      <c r="P517" s="102">
        <f>IF(M517&gt;0,N517*100/M517,0)</f>
        <v>0</v>
      </c>
      <c r="Q517" s="102">
        <v>0</v>
      </c>
      <c r="R517" s="102">
        <v>0</v>
      </c>
      <c r="S517" s="102">
        <v>0</v>
      </c>
      <c r="T517" s="102">
        <f>IF(Q517&gt;0,S517*100/Q517,0)</f>
        <v>0</v>
      </c>
      <c r="U517" s="102">
        <f>IF(R517&gt;0,S517*100/R517,0)</f>
        <v>0</v>
      </c>
    </row>
    <row r="518" spans="1:21" ht="18.75" hidden="1">
      <c r="A518" s="155"/>
      <c r="B518" s="50"/>
      <c r="C518" s="50"/>
      <c r="D518" s="50"/>
      <c r="E518" s="186" t="s">
        <v>37</v>
      </c>
      <c r="F518" s="50"/>
      <c r="G518" s="52"/>
      <c r="H518" s="189" t="s">
        <v>14</v>
      </c>
      <c r="I518" s="163"/>
      <c r="J518" s="163"/>
      <c r="K518" s="164"/>
      <c r="L518" s="256">
        <f ca="1">IFERROR(__xludf.DUMMYFUNCTION("IMPORTRANGE(""https://docs.google.com/spreadsheets/d/1-uDff_7J0KD5mKrp0Vvzr7lt3OU09vwQwhkpOPPYv2Y/edit?usp=sharing"",""งบพรบ!FM45"")"),0)</f>
        <v>0</v>
      </c>
      <c r="M518" s="255">
        <f ca="1">IFERROR(__xludf.DUMMYFUNCTION("IMPORTRANGE(""https://docs.google.com/spreadsheets/d/1-uDff_7J0KD5mKrp0Vvzr7lt3OU09vwQwhkpOPPYv2Y/edit?usp=sharing"",""งบพรบ!FR45"")"),0)</f>
        <v>0</v>
      </c>
      <c r="N518" s="255">
        <f ca="1">IFERROR(__xludf.DUMMYFUNCTION("IMPORTRANGE(""https://docs.google.com/spreadsheets/d/1-uDff_7J0KD5mKrp0Vvzr7lt3OU09vwQwhkpOPPYv2Y/edit?usp=sharing"",""งบพรบ!FT45"")"),0)</f>
        <v>0</v>
      </c>
      <c r="O518" s="255">
        <f ca="1">IF(L518&gt;0,N518*100/L518,0)</f>
        <v>0</v>
      </c>
      <c r="P518" s="255">
        <f ca="1">IF(M518&gt;0,N518*100/M518,0)</f>
        <v>0</v>
      </c>
      <c r="Q518" s="255">
        <v>0</v>
      </c>
      <c r="R518" s="255">
        <v>0</v>
      </c>
      <c r="S518" s="255">
        <v>0</v>
      </c>
      <c r="T518" s="255">
        <f>IF(Q518&gt;0,S518*100/Q518,0)</f>
        <v>0</v>
      </c>
      <c r="U518" s="255">
        <f>IF(R518&gt;0,S518*100/R518,0)</f>
        <v>0</v>
      </c>
    </row>
    <row r="519" spans="1:21" ht="18.75" hidden="1">
      <c r="A519" s="155"/>
      <c r="B519" s="50"/>
      <c r="C519" s="50"/>
      <c r="D519" s="592" t="s">
        <v>23</v>
      </c>
      <c r="E519" s="50"/>
      <c r="F519" s="50"/>
      <c r="G519" s="52"/>
      <c r="H519" s="421" t="s">
        <v>14</v>
      </c>
      <c r="I519" s="163"/>
      <c r="J519" s="163"/>
      <c r="K519" s="164"/>
      <c r="L519" s="256">
        <f ca="1">L520+L521</f>
        <v>0</v>
      </c>
      <c r="M519" s="255">
        <f ca="1">M520+M521</f>
        <v>0</v>
      </c>
      <c r="N519" s="255">
        <f ca="1">N520+N521</f>
        <v>0</v>
      </c>
      <c r="O519" s="255">
        <f ca="1">IF(L519&gt;0,N519*100/L519,0)</f>
        <v>0</v>
      </c>
      <c r="P519" s="255">
        <f ca="1">IF(M519&gt;0,N519*100/M519,0)</f>
        <v>0</v>
      </c>
      <c r="Q519" s="255">
        <f>Q520+Q521</f>
        <v>0</v>
      </c>
      <c r="R519" s="255">
        <f>R520+R521</f>
        <v>0</v>
      </c>
      <c r="S519" s="255">
        <f>S520+S521</f>
        <v>0</v>
      </c>
      <c r="T519" s="255">
        <f>IF(Q519&gt;0,S519*100/Q519,0)</f>
        <v>0</v>
      </c>
      <c r="U519" s="255">
        <f>IF(R519&gt;0,S519*100/R519,0)</f>
        <v>0</v>
      </c>
    </row>
    <row r="520" spans="1:21" ht="18.75" hidden="1">
      <c r="A520" s="155"/>
      <c r="B520" s="50"/>
      <c r="C520" s="50"/>
      <c r="D520" s="50"/>
      <c r="E520" s="186" t="s">
        <v>20</v>
      </c>
      <c r="F520" s="50"/>
      <c r="G520" s="52"/>
      <c r="H520" s="189" t="s">
        <v>14</v>
      </c>
      <c r="I520" s="163"/>
      <c r="J520" s="163"/>
      <c r="K520" s="164"/>
      <c r="L520" s="103">
        <v>0</v>
      </c>
      <c r="M520" s="102">
        <v>0</v>
      </c>
      <c r="N520" s="102">
        <v>0</v>
      </c>
      <c r="O520" s="102">
        <f>IF(L520&gt;0,N520*100/L520,0)</f>
        <v>0</v>
      </c>
      <c r="P520" s="102">
        <f>IF(M520&gt;0,N520*100/M520,0)</f>
        <v>0</v>
      </c>
      <c r="Q520" s="102">
        <v>0</v>
      </c>
      <c r="R520" s="102">
        <v>0</v>
      </c>
      <c r="S520" s="102">
        <v>0</v>
      </c>
      <c r="T520" s="102">
        <f>IF(Q520&gt;0,S520*100/Q520,0)</f>
        <v>0</v>
      </c>
      <c r="U520" s="102">
        <f>IF(R520&gt;0,S520*100/R520,0)</f>
        <v>0</v>
      </c>
    </row>
    <row r="521" spans="1:21" ht="18.75" hidden="1">
      <c r="A521" s="155"/>
      <c r="B521" s="50"/>
      <c r="C521" s="50"/>
      <c r="D521" s="50"/>
      <c r="E521" s="186" t="s">
        <v>21</v>
      </c>
      <c r="F521" s="50"/>
      <c r="G521" s="52"/>
      <c r="H521" s="421" t="s">
        <v>14</v>
      </c>
      <c r="I521" s="163"/>
      <c r="J521" s="163"/>
      <c r="K521" s="164"/>
      <c r="L521" s="256">
        <f ca="1">IFERROR(__xludf.DUMMYFUNCTION("IMPORTRANGE(""https://docs.google.com/spreadsheets/d/1-uDff_7J0KD5mKrp0Vvzr7lt3OU09vwQwhkpOPPYv2Y/edit?usp=sharing"",""งบพรบ!FP45"")"),0)</f>
        <v>0</v>
      </c>
      <c r="M521" s="255">
        <f ca="1">IFERROR(__xludf.DUMMYFUNCTION("IMPORTRANGE(""https://docs.google.com/spreadsheets/d/1-uDff_7J0KD5mKrp0Vvzr7lt3OU09vwQwhkpOPPYv2Y/edit?usp=sharing"",""งบพรบ!FS45"")"),0)</f>
        <v>0</v>
      </c>
      <c r="N521" s="255">
        <f ca="1">IFERROR(__xludf.DUMMYFUNCTION("IMPORTRANGE(""https://docs.google.com/spreadsheets/d/1-uDff_7J0KD5mKrp0Vvzr7lt3OU09vwQwhkpOPPYv2Y/edit?usp=sharing"",""งบพรบ!FU45"")"),0)</f>
        <v>0</v>
      </c>
      <c r="O521" s="255">
        <f ca="1">IF(L521&gt;0,N521*100/L521,0)</f>
        <v>0</v>
      </c>
      <c r="P521" s="255">
        <f ca="1">IF(M521&gt;0,N521*100/M521,0)</f>
        <v>0</v>
      </c>
      <c r="Q521" s="255">
        <v>0</v>
      </c>
      <c r="R521" s="255">
        <v>0</v>
      </c>
      <c r="S521" s="255">
        <v>0</v>
      </c>
      <c r="T521" s="255">
        <f>IF(Q521&gt;0,S521*100/Q521,0)</f>
        <v>0</v>
      </c>
      <c r="U521" s="255">
        <f>IF(R521&gt;0,S521*100/R521,0)</f>
        <v>0</v>
      </c>
    </row>
    <row r="522" spans="1:21" ht="19.5" hidden="1">
      <c r="A522" s="166"/>
      <c r="B522" s="167"/>
      <c r="C522" s="591" t="s">
        <v>18</v>
      </c>
      <c r="D522" s="574" t="s">
        <v>38</v>
      </c>
      <c r="E522" s="169"/>
      <c r="F522" s="169"/>
      <c r="G522" s="170"/>
      <c r="H522" s="171"/>
      <c r="I522" s="163"/>
      <c r="J522" s="54"/>
      <c r="K522" s="55"/>
      <c r="L522" s="62"/>
      <c r="M522" s="55"/>
      <c r="N522" s="55"/>
      <c r="O522" s="164"/>
      <c r="P522" s="164"/>
      <c r="Q522" s="55"/>
      <c r="R522" s="55"/>
      <c r="S522" s="55"/>
      <c r="T522" s="164"/>
      <c r="U522" s="164"/>
    </row>
    <row r="523" spans="1:21" ht="18.75" hidden="1">
      <c r="A523" s="238"/>
      <c r="B523" s="50"/>
      <c r="C523" s="188"/>
      <c r="D523" s="207" t="s">
        <v>209</v>
      </c>
      <c r="E523" s="167"/>
      <c r="F523" s="50"/>
      <c r="G523" s="52"/>
      <c r="H523" s="590" t="s">
        <v>11</v>
      </c>
      <c r="I523" s="483">
        <v>0</v>
      </c>
      <c r="J523" s="589">
        <v>0</v>
      </c>
      <c r="K523" s="102">
        <f>IF(I523&gt;0,J523*100/I523,0)</f>
        <v>0</v>
      </c>
      <c r="L523" s="62"/>
      <c r="M523" s="55"/>
      <c r="N523" s="55"/>
      <c r="O523" s="55"/>
      <c r="P523" s="55"/>
      <c r="Q523" s="55"/>
      <c r="R523" s="55"/>
      <c r="S523" s="55"/>
      <c r="T523" s="55"/>
      <c r="U523" s="55"/>
    </row>
    <row r="524" spans="1:21" ht="18.75" hidden="1">
      <c r="A524" s="374"/>
      <c r="B524" s="4"/>
      <c r="C524" s="5"/>
      <c r="D524" s="588" t="s">
        <v>210</v>
      </c>
      <c r="E524" s="282"/>
      <c r="F524" s="4"/>
      <c r="G524" s="65"/>
      <c r="H524" s="587" t="s">
        <v>61</v>
      </c>
      <c r="I524" s="486">
        <v>0</v>
      </c>
      <c r="J524" s="586">
        <v>0</v>
      </c>
      <c r="K524" s="585">
        <f>IF(I524&gt;0,J524*100/I524,0)</f>
        <v>0</v>
      </c>
      <c r="L524" s="62"/>
      <c r="M524" s="55"/>
      <c r="N524" s="55"/>
      <c r="O524" s="55"/>
      <c r="P524" s="55"/>
      <c r="Q524" s="55"/>
      <c r="R524" s="55"/>
      <c r="S524" s="55"/>
      <c r="T524" s="55"/>
      <c r="U524" s="55"/>
    </row>
    <row r="525" spans="1:21" ht="12.75" hidden="1">
      <c r="A525" s="584"/>
      <c r="B525" s="583"/>
      <c r="C525" s="583"/>
      <c r="D525" s="582"/>
      <c r="E525" s="582"/>
      <c r="F525" s="582"/>
      <c r="G525" s="581"/>
      <c r="H525" s="580"/>
      <c r="I525" s="579"/>
      <c r="J525" s="579"/>
      <c r="K525" s="578"/>
      <c r="L525" s="265"/>
      <c r="M525" s="264"/>
      <c r="N525" s="264"/>
      <c r="O525" s="264"/>
      <c r="P525" s="264"/>
      <c r="Q525" s="264"/>
      <c r="R525" s="264"/>
      <c r="S525" s="264"/>
      <c r="T525" s="264"/>
      <c r="U525" s="264"/>
    </row>
    <row r="526" spans="1:21" ht="12.75" hidden="1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5"/>
      <c r="M526" s="264"/>
      <c r="N526" s="264"/>
      <c r="O526" s="264"/>
      <c r="P526" s="264"/>
      <c r="Q526" s="264"/>
      <c r="R526" s="264"/>
      <c r="S526" s="264"/>
      <c r="T526" s="264"/>
      <c r="U526" s="264"/>
    </row>
    <row r="527" spans="1:21" ht="12.75" hidden="1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5"/>
      <c r="M527" s="264"/>
      <c r="N527" s="264"/>
      <c r="O527" s="264"/>
      <c r="P527" s="264"/>
      <c r="Q527" s="264"/>
      <c r="R527" s="264"/>
      <c r="S527" s="264"/>
      <c r="T527" s="264"/>
      <c r="U527" s="264"/>
    </row>
    <row r="528" spans="1:21" ht="12.75" hidden="1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5"/>
      <c r="M528" s="264"/>
      <c r="N528" s="264"/>
      <c r="O528" s="264"/>
      <c r="P528" s="264"/>
      <c r="Q528" s="264"/>
      <c r="R528" s="264"/>
      <c r="S528" s="264"/>
      <c r="T528" s="264"/>
      <c r="U528" s="264"/>
    </row>
    <row r="529" spans="1:21" ht="12.75" hidden="1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5"/>
      <c r="M529" s="264"/>
      <c r="N529" s="264"/>
      <c r="O529" s="264"/>
      <c r="P529" s="264"/>
      <c r="Q529" s="264"/>
      <c r="R529" s="264"/>
      <c r="S529" s="264"/>
      <c r="T529" s="264"/>
      <c r="U529" s="264"/>
    </row>
    <row r="530" spans="1:21" ht="12.75" hidden="1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5"/>
      <c r="M530" s="264"/>
      <c r="N530" s="264"/>
      <c r="O530" s="264"/>
      <c r="P530" s="264"/>
      <c r="Q530" s="264"/>
      <c r="R530" s="264"/>
      <c r="S530" s="264"/>
      <c r="T530" s="264"/>
      <c r="U530" s="264"/>
    </row>
    <row r="531" spans="1:21" ht="12.75" hidden="1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5"/>
      <c r="M531" s="264"/>
      <c r="N531" s="264"/>
      <c r="O531" s="264"/>
      <c r="P531" s="264"/>
      <c r="Q531" s="264"/>
      <c r="R531" s="264"/>
      <c r="S531" s="264"/>
      <c r="T531" s="264"/>
      <c r="U531" s="264"/>
    </row>
    <row r="532" spans="1:21" ht="12.75" hidden="1">
      <c r="A532" s="407"/>
      <c r="B532" s="360"/>
      <c r="C532" s="360"/>
      <c r="D532" s="408"/>
      <c r="E532" s="408"/>
      <c r="F532" s="408"/>
      <c r="G532" s="409"/>
      <c r="H532" s="361"/>
      <c r="I532" s="362"/>
      <c r="J532" s="362"/>
      <c r="K532" s="363"/>
      <c r="L532" s="364"/>
      <c r="M532" s="363"/>
      <c r="N532" s="363"/>
      <c r="O532" s="363"/>
      <c r="P532" s="363"/>
      <c r="Q532" s="363"/>
      <c r="R532" s="363"/>
      <c r="S532" s="363"/>
      <c r="T532" s="363"/>
      <c r="U532" s="363"/>
    </row>
    <row r="533" spans="1:21" ht="19.5" hidden="1">
      <c r="A533" s="395"/>
      <c r="B533" s="396" t="s">
        <v>211</v>
      </c>
      <c r="C533" s="397"/>
      <c r="D533" s="398"/>
      <c r="E533" s="398"/>
      <c r="F533" s="398"/>
      <c r="G533" s="399"/>
      <c r="H533" s="410" t="s">
        <v>61</v>
      </c>
      <c r="I533" s="577">
        <f>I545</f>
        <v>0</v>
      </c>
      <c r="J533" s="577">
        <f>J545</f>
        <v>0</v>
      </c>
      <c r="K533" s="576">
        <f>IF(I533&gt;0,J533*100/I533,0)</f>
        <v>0</v>
      </c>
      <c r="L533" s="404"/>
      <c r="M533" s="403"/>
      <c r="N533" s="403"/>
      <c r="O533" s="403"/>
      <c r="P533" s="403"/>
      <c r="Q533" s="403"/>
      <c r="R533" s="403"/>
      <c r="S533" s="403"/>
      <c r="T533" s="403"/>
      <c r="U533" s="403"/>
    </row>
    <row r="534" spans="1:21" ht="19.5" hidden="1">
      <c r="A534" s="155"/>
      <c r="B534" s="50"/>
      <c r="C534" s="156" t="s">
        <v>18</v>
      </c>
      <c r="D534" s="575" t="s">
        <v>19</v>
      </c>
      <c r="E534" s="50"/>
      <c r="F534" s="50"/>
      <c r="G534" s="52"/>
      <c r="H534" s="158" t="s">
        <v>14</v>
      </c>
      <c r="I534" s="54"/>
      <c r="J534" s="54"/>
      <c r="K534" s="55"/>
      <c r="L534" s="541">
        <f>L535+L536</f>
        <v>0</v>
      </c>
      <c r="M534" s="540">
        <f>M535+M536</f>
        <v>0</v>
      </c>
      <c r="N534" s="540">
        <f>N535+N536</f>
        <v>0</v>
      </c>
      <c r="O534" s="540">
        <f>IF(L534&gt;0,N534*100/L534,0)</f>
        <v>0</v>
      </c>
      <c r="P534" s="540">
        <f>IF(M534&gt;0,N534*100/M534,0)</f>
        <v>0</v>
      </c>
      <c r="Q534" s="540">
        <f>Q535+Q536</f>
        <v>0</v>
      </c>
      <c r="R534" s="540">
        <f>R535+R536</f>
        <v>0</v>
      </c>
      <c r="S534" s="540">
        <f>S535+S536</f>
        <v>0</v>
      </c>
      <c r="T534" s="540">
        <f>IF(Q534&gt;0,S534*100/Q534,0)</f>
        <v>0</v>
      </c>
      <c r="U534" s="540">
        <f>IF(R534&gt;0,S534*100/R534,0)</f>
        <v>0</v>
      </c>
    </row>
    <row r="535" spans="1:21" ht="18.75" hidden="1">
      <c r="A535" s="155"/>
      <c r="B535" s="188"/>
      <c r="C535" s="50"/>
      <c r="D535" s="50"/>
      <c r="E535" s="186" t="s">
        <v>20</v>
      </c>
      <c r="F535" s="50"/>
      <c r="G535" s="52"/>
      <c r="H535" s="187" t="s">
        <v>14</v>
      </c>
      <c r="I535" s="54"/>
      <c r="J535" s="54"/>
      <c r="K535" s="55"/>
      <c r="L535" s="103">
        <f>L538+L541</f>
        <v>0</v>
      </c>
      <c r="M535" s="102">
        <f>M538+M541</f>
        <v>0</v>
      </c>
      <c r="N535" s="102">
        <f>N538+N541</f>
        <v>0</v>
      </c>
      <c r="O535" s="102">
        <f>IF(L535&gt;0,N535*100/L535,0)</f>
        <v>0</v>
      </c>
      <c r="P535" s="102">
        <f>IF(M535&gt;0,N535*100/M535,0)</f>
        <v>0</v>
      </c>
      <c r="Q535" s="102">
        <f>Q538+Q541</f>
        <v>0</v>
      </c>
      <c r="R535" s="102">
        <f>R538+R541</f>
        <v>0</v>
      </c>
      <c r="S535" s="102">
        <f>S538+S541</f>
        <v>0</v>
      </c>
      <c r="T535" s="102">
        <f>IF(Q535&gt;0,S535*100/Q535,0)</f>
        <v>0</v>
      </c>
      <c r="U535" s="102">
        <f>IF(R535&gt;0,S535*100/R535,0)</f>
        <v>0</v>
      </c>
    </row>
    <row r="536" spans="1:21" ht="18.75" hidden="1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256">
        <f>L539+L542</f>
        <v>0</v>
      </c>
      <c r="M536" s="255">
        <f>M539+M542</f>
        <v>0</v>
      </c>
      <c r="N536" s="255">
        <f>N539+N542</f>
        <v>0</v>
      </c>
      <c r="O536" s="255">
        <f>IF(L536&gt;0,N536*100/L536,0)</f>
        <v>0</v>
      </c>
      <c r="P536" s="255">
        <f>IF(M536&gt;0,N536*100/M536,0)</f>
        <v>0</v>
      </c>
      <c r="Q536" s="255">
        <f>Q539+Q542</f>
        <v>0</v>
      </c>
      <c r="R536" s="255">
        <f>R539+R542</f>
        <v>0</v>
      </c>
      <c r="S536" s="255">
        <f>S539+S542</f>
        <v>0</v>
      </c>
      <c r="T536" s="255">
        <f>IF(Q536&gt;0,S536*100/Q536,0)</f>
        <v>0</v>
      </c>
      <c r="U536" s="255">
        <f>IF(R536&gt;0,S536*100/R536,0)</f>
        <v>0</v>
      </c>
    </row>
    <row r="537" spans="1:21" ht="18.75" hidden="1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256">
        <f>L538+L539</f>
        <v>0</v>
      </c>
      <c r="M537" s="255">
        <f>M538+M539</f>
        <v>0</v>
      </c>
      <c r="N537" s="255">
        <f>N538+N539</f>
        <v>0</v>
      </c>
      <c r="O537" s="255">
        <f>IF(L537&gt;0,N537*100/L537,0)</f>
        <v>0</v>
      </c>
      <c r="P537" s="255">
        <f>IF(M537&gt;0,N537*100/M537,0)</f>
        <v>0</v>
      </c>
      <c r="Q537" s="255">
        <f>Q538+Q539</f>
        <v>0</v>
      </c>
      <c r="R537" s="255">
        <f>R538+R539</f>
        <v>0</v>
      </c>
      <c r="S537" s="255">
        <f>S538+S539</f>
        <v>0</v>
      </c>
      <c r="T537" s="255">
        <f>IF(Q537&gt;0,S537*100/Q537,0)</f>
        <v>0</v>
      </c>
      <c r="U537" s="255">
        <f>IF(R537&gt;0,S537*100/R537,0)</f>
        <v>0</v>
      </c>
    </row>
    <row r="538" spans="1:21" ht="18.75" hidden="1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103">
        <v>0</v>
      </c>
      <c r="M538" s="102">
        <v>0</v>
      </c>
      <c r="N538" s="102">
        <v>0</v>
      </c>
      <c r="O538" s="102">
        <f>IF(L538&gt;0,N538*100/L538,0)</f>
        <v>0</v>
      </c>
      <c r="P538" s="102">
        <f>IF(M538&gt;0,N538*100/M538,0)</f>
        <v>0</v>
      </c>
      <c r="Q538" s="102">
        <v>0</v>
      </c>
      <c r="R538" s="102">
        <v>0</v>
      </c>
      <c r="S538" s="102">
        <v>0</v>
      </c>
      <c r="T538" s="102">
        <f>IF(Q538&gt;0,S538*100/Q538,0)</f>
        <v>0</v>
      </c>
      <c r="U538" s="102">
        <f>IF(R538&gt;0,S538*100/R538,0)</f>
        <v>0</v>
      </c>
    </row>
    <row r="539" spans="1:21" ht="18.75" hidden="1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256">
        <v>0</v>
      </c>
      <c r="M539" s="255">
        <v>0</v>
      </c>
      <c r="N539" s="255">
        <v>0</v>
      </c>
      <c r="O539" s="255">
        <f>IF(L539&gt;0,N539*100/L539,0)</f>
        <v>0</v>
      </c>
      <c r="P539" s="255">
        <f>IF(M539&gt;0,N539*100/M539,0)</f>
        <v>0</v>
      </c>
      <c r="Q539" s="255">
        <v>0</v>
      </c>
      <c r="R539" s="255">
        <v>0</v>
      </c>
      <c r="S539" s="255">
        <v>0</v>
      </c>
      <c r="T539" s="255">
        <f>IF(Q539&gt;0,S539*100/Q539,0)</f>
        <v>0</v>
      </c>
      <c r="U539" s="255">
        <f>IF(R539&gt;0,S539*100/R539,0)</f>
        <v>0</v>
      </c>
    </row>
    <row r="540" spans="1:21" ht="18.75" hidden="1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256">
        <f>L541+L542</f>
        <v>0</v>
      </c>
      <c r="M540" s="255">
        <f>M541+M542</f>
        <v>0</v>
      </c>
      <c r="N540" s="255">
        <f>N541+N542</f>
        <v>0</v>
      </c>
      <c r="O540" s="255">
        <f>IF(L540&gt;0,N540*100/L540,0)</f>
        <v>0</v>
      </c>
      <c r="P540" s="255">
        <f>IF(M540&gt;0,N540*100/M540,0)</f>
        <v>0</v>
      </c>
      <c r="Q540" s="255">
        <f>Q541+Q542</f>
        <v>0</v>
      </c>
      <c r="R540" s="255">
        <f>R541+R542</f>
        <v>0</v>
      </c>
      <c r="S540" s="255">
        <f>S541+S542</f>
        <v>0</v>
      </c>
      <c r="T540" s="255">
        <f>IF(Q540&gt;0,S540*100/Q540,0)</f>
        <v>0</v>
      </c>
      <c r="U540" s="255">
        <f>IF(R540&gt;0,S540*100/R540,0)</f>
        <v>0</v>
      </c>
    </row>
    <row r="541" spans="1:21" ht="18.75" hidden="1">
      <c r="A541" s="155"/>
      <c r="B541" s="50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103">
        <v>0</v>
      </c>
      <c r="M541" s="102">
        <v>0</v>
      </c>
      <c r="N541" s="102">
        <v>0</v>
      </c>
      <c r="O541" s="102">
        <f>IF(L541&gt;0,N541*100/L541,0)</f>
        <v>0</v>
      </c>
      <c r="P541" s="102">
        <f>IF(M541&gt;0,N541*100/M541,0)</f>
        <v>0</v>
      </c>
      <c r="Q541" s="102">
        <v>0</v>
      </c>
      <c r="R541" s="102">
        <v>0</v>
      </c>
      <c r="S541" s="102">
        <v>0</v>
      </c>
      <c r="T541" s="102">
        <f>IF(Q541&gt;0,S541*100/Q541,0)</f>
        <v>0</v>
      </c>
      <c r="U541" s="102">
        <f>IF(R541&gt;0,S541*100/R541,0)</f>
        <v>0</v>
      </c>
    </row>
    <row r="542" spans="1:21" ht="18.75" hidden="1">
      <c r="A542" s="155"/>
      <c r="B542" s="50"/>
      <c r="C542" s="50"/>
      <c r="D542" s="50"/>
      <c r="E542" s="58" t="s">
        <v>21</v>
      </c>
      <c r="F542" s="50"/>
      <c r="G542" s="52"/>
      <c r="H542" s="165" t="s">
        <v>14</v>
      </c>
      <c r="I542" s="163"/>
      <c r="J542" s="163"/>
      <c r="K542" s="164"/>
      <c r="L542" s="256">
        <v>0</v>
      </c>
      <c r="M542" s="255">
        <v>0</v>
      </c>
      <c r="N542" s="255">
        <v>0</v>
      </c>
      <c r="O542" s="255">
        <f>IF(L542&gt;0,N542*100/L542,0)</f>
        <v>0</v>
      </c>
      <c r="P542" s="255">
        <f>IF(M542&gt;0,N542*100/M542,0)</f>
        <v>0</v>
      </c>
      <c r="Q542" s="255">
        <v>0</v>
      </c>
      <c r="R542" s="255">
        <v>0</v>
      </c>
      <c r="S542" s="255">
        <v>0</v>
      </c>
      <c r="T542" s="255">
        <f>IF(Q542&gt;0,S542*100/Q542,0)</f>
        <v>0</v>
      </c>
      <c r="U542" s="255">
        <f>IF(R542&gt;0,S542*100/R542,0)</f>
        <v>0</v>
      </c>
    </row>
    <row r="543" spans="1:21" ht="19.5" hidden="1">
      <c r="A543" s="166"/>
      <c r="B543" s="167"/>
      <c r="C543" s="411" t="s">
        <v>18</v>
      </c>
      <c r="D543" s="566" t="s">
        <v>38</v>
      </c>
      <c r="E543" s="169"/>
      <c r="F543" s="169"/>
      <c r="G543" s="170"/>
      <c r="H543" s="171"/>
      <c r="I543" s="163"/>
      <c r="J543" s="54"/>
      <c r="K543" s="55"/>
      <c r="L543" s="62"/>
      <c r="M543" s="55"/>
      <c r="N543" s="55"/>
      <c r="O543" s="164"/>
      <c r="P543" s="164"/>
      <c r="Q543" s="55"/>
      <c r="R543" s="55"/>
      <c r="S543" s="55"/>
      <c r="T543" s="164"/>
      <c r="U543" s="164"/>
    </row>
    <row r="544" spans="1:21" ht="12.75" hidden="1">
      <c r="A544" s="258"/>
      <c r="B544" s="260"/>
      <c r="C544" s="259"/>
      <c r="D544" s="260"/>
      <c r="E544" s="259"/>
      <c r="F544" s="260"/>
      <c r="G544" s="261"/>
      <c r="H544" s="261"/>
      <c r="I544" s="263"/>
      <c r="J544" s="263"/>
      <c r="K544" s="264"/>
      <c r="L544" s="265"/>
      <c r="M544" s="264"/>
      <c r="N544" s="264"/>
      <c r="O544" s="264"/>
      <c r="P544" s="264"/>
      <c r="Q544" s="264"/>
      <c r="R544" s="264"/>
      <c r="S544" s="264"/>
      <c r="T544" s="264"/>
      <c r="U544" s="264"/>
    </row>
    <row r="545" spans="1:21" ht="12.75" hidden="1">
      <c r="A545" s="258"/>
      <c r="B545" s="260"/>
      <c r="C545" s="259"/>
      <c r="D545" s="260"/>
      <c r="E545" s="259"/>
      <c r="F545" s="260"/>
      <c r="G545" s="261"/>
      <c r="H545" s="261"/>
      <c r="I545" s="263"/>
      <c r="J545" s="263"/>
      <c r="K545" s="264"/>
      <c r="L545" s="265"/>
      <c r="M545" s="264"/>
      <c r="N545" s="264"/>
      <c r="O545" s="264"/>
      <c r="P545" s="264"/>
      <c r="Q545" s="264"/>
      <c r="R545" s="264"/>
      <c r="S545" s="264"/>
      <c r="T545" s="264"/>
      <c r="U545" s="264"/>
    </row>
    <row r="546" spans="1:21" ht="12.75" hidden="1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5"/>
      <c r="M546" s="264"/>
      <c r="N546" s="264"/>
      <c r="O546" s="264"/>
      <c r="P546" s="264"/>
      <c r="Q546" s="264"/>
      <c r="R546" s="264"/>
      <c r="S546" s="264"/>
      <c r="T546" s="264"/>
      <c r="U546" s="264"/>
    </row>
    <row r="547" spans="1:21" ht="12.75" hidden="1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5"/>
      <c r="M547" s="264"/>
      <c r="N547" s="264"/>
      <c r="O547" s="264"/>
      <c r="P547" s="264"/>
      <c r="Q547" s="264"/>
      <c r="R547" s="264"/>
      <c r="S547" s="264"/>
      <c r="T547" s="264"/>
      <c r="U547" s="264"/>
    </row>
    <row r="548" spans="1:21" ht="12.75" hidden="1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5"/>
      <c r="M548" s="264"/>
      <c r="N548" s="264"/>
      <c r="O548" s="264"/>
      <c r="P548" s="264"/>
      <c r="Q548" s="264"/>
      <c r="R548" s="264"/>
      <c r="S548" s="264"/>
      <c r="T548" s="264"/>
      <c r="U548" s="264"/>
    </row>
    <row r="549" spans="1:21" ht="12.75" hidden="1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5"/>
      <c r="M549" s="264"/>
      <c r="N549" s="264"/>
      <c r="O549" s="264"/>
      <c r="P549" s="264"/>
      <c r="Q549" s="264"/>
      <c r="R549" s="264"/>
      <c r="S549" s="264"/>
      <c r="T549" s="264"/>
      <c r="U549" s="264"/>
    </row>
    <row r="550" spans="1:21" ht="12.75" hidden="1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5"/>
      <c r="M550" s="264"/>
      <c r="N550" s="264"/>
      <c r="O550" s="264"/>
      <c r="P550" s="264"/>
      <c r="Q550" s="264"/>
      <c r="R550" s="264"/>
      <c r="S550" s="264"/>
      <c r="T550" s="264"/>
      <c r="U550" s="264"/>
    </row>
    <row r="551" spans="1:21" ht="12.75" hidden="1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5"/>
      <c r="M551" s="264"/>
      <c r="N551" s="264"/>
      <c r="O551" s="264"/>
      <c r="P551" s="264"/>
      <c r="Q551" s="264"/>
      <c r="R551" s="264"/>
      <c r="S551" s="264"/>
      <c r="T551" s="264"/>
      <c r="U551" s="264"/>
    </row>
    <row r="552" spans="1:21" ht="12.75" hidden="1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5"/>
      <c r="M552" s="264"/>
      <c r="N552" s="264"/>
      <c r="O552" s="264"/>
      <c r="P552" s="264"/>
      <c r="Q552" s="264"/>
      <c r="R552" s="264"/>
      <c r="S552" s="264"/>
      <c r="T552" s="264"/>
      <c r="U552" s="264"/>
    </row>
    <row r="553" spans="1:21" ht="12.75" hidden="1">
      <c r="A553" s="407"/>
      <c r="B553" s="360"/>
      <c r="C553" s="360"/>
      <c r="D553" s="408"/>
      <c r="E553" s="408"/>
      <c r="F553" s="408"/>
      <c r="G553" s="409"/>
      <c r="H553" s="361"/>
      <c r="I553" s="362"/>
      <c r="J553" s="362"/>
      <c r="K553" s="363"/>
      <c r="L553" s="364"/>
      <c r="M553" s="363"/>
      <c r="N553" s="363"/>
      <c r="O553" s="363"/>
      <c r="P553" s="363"/>
      <c r="Q553" s="363"/>
      <c r="R553" s="363"/>
      <c r="S553" s="363"/>
      <c r="T553" s="363"/>
      <c r="U553" s="363"/>
    </row>
    <row r="554" spans="1:21" ht="19.5" hidden="1">
      <c r="A554" s="395"/>
      <c r="B554" s="396" t="s">
        <v>212</v>
      </c>
      <c r="C554" s="397"/>
      <c r="D554" s="398"/>
      <c r="E554" s="398"/>
      <c r="F554" s="398"/>
      <c r="G554" s="399"/>
      <c r="H554" s="410" t="s">
        <v>61</v>
      </c>
      <c r="I554" s="577">
        <f>I566</f>
        <v>0</v>
      </c>
      <c r="J554" s="577">
        <f>J566</f>
        <v>0</v>
      </c>
      <c r="K554" s="576">
        <f>IF(I554&gt;0,J554*100/I554,0)</f>
        <v>0</v>
      </c>
      <c r="L554" s="404"/>
      <c r="M554" s="403"/>
      <c r="N554" s="403"/>
      <c r="O554" s="403"/>
      <c r="P554" s="403"/>
      <c r="Q554" s="403"/>
      <c r="R554" s="403"/>
      <c r="S554" s="403"/>
      <c r="T554" s="403"/>
      <c r="U554" s="403"/>
    </row>
    <row r="555" spans="1:21" ht="19.5" hidden="1">
      <c r="A555" s="155"/>
      <c r="B555" s="50"/>
      <c r="C555" s="156" t="s">
        <v>18</v>
      </c>
      <c r="D555" s="575" t="s">
        <v>19</v>
      </c>
      <c r="E555" s="50"/>
      <c r="F555" s="50"/>
      <c r="G555" s="52"/>
      <c r="H555" s="158" t="s">
        <v>14</v>
      </c>
      <c r="I555" s="54"/>
      <c r="J555" s="54"/>
      <c r="K555" s="55"/>
      <c r="L555" s="541">
        <f>L556+L557</f>
        <v>0</v>
      </c>
      <c r="M555" s="540">
        <f>M556+M557</f>
        <v>0</v>
      </c>
      <c r="N555" s="540">
        <f>N556+N557</f>
        <v>0</v>
      </c>
      <c r="O555" s="540">
        <f>IF(L555&gt;0,N555*100/L555,0)</f>
        <v>0</v>
      </c>
      <c r="P555" s="540">
        <f>IF(M555&gt;0,N555*100/M555,0)</f>
        <v>0</v>
      </c>
      <c r="Q555" s="540">
        <f>Q556+Q557</f>
        <v>0</v>
      </c>
      <c r="R555" s="540">
        <f>R556+R557</f>
        <v>0</v>
      </c>
      <c r="S555" s="540">
        <f>S556+S557</f>
        <v>0</v>
      </c>
      <c r="T555" s="540">
        <f>IF(Q555&gt;0,S555*100/Q555,0)</f>
        <v>0</v>
      </c>
      <c r="U555" s="540">
        <f>IF(R555&gt;0,S555*100/R555,0)</f>
        <v>0</v>
      </c>
    </row>
    <row r="556" spans="1:21" ht="18.75" hidden="1">
      <c r="A556" s="155"/>
      <c r="B556" s="188"/>
      <c r="C556" s="50"/>
      <c r="D556" s="50"/>
      <c r="E556" s="186" t="s">
        <v>20</v>
      </c>
      <c r="F556" s="50"/>
      <c r="G556" s="52"/>
      <c r="H556" s="187" t="s">
        <v>14</v>
      </c>
      <c r="I556" s="54"/>
      <c r="J556" s="54"/>
      <c r="K556" s="55"/>
      <c r="L556" s="103">
        <f>L559+L562</f>
        <v>0</v>
      </c>
      <c r="M556" s="102">
        <f>M559+M562</f>
        <v>0</v>
      </c>
      <c r="N556" s="102">
        <f>N559+N562</f>
        <v>0</v>
      </c>
      <c r="O556" s="102">
        <f>IF(L556&gt;0,N556*100/L556,0)</f>
        <v>0</v>
      </c>
      <c r="P556" s="102">
        <f>IF(M556&gt;0,N556*100/M556,0)</f>
        <v>0</v>
      </c>
      <c r="Q556" s="102">
        <f>Q559+Q562</f>
        <v>0</v>
      </c>
      <c r="R556" s="102">
        <f>R559+R562</f>
        <v>0</v>
      </c>
      <c r="S556" s="102">
        <f>S559+S562</f>
        <v>0</v>
      </c>
      <c r="T556" s="102">
        <f>IF(Q556&gt;0,S556*100/Q556,0)</f>
        <v>0</v>
      </c>
      <c r="U556" s="102">
        <f>IF(R556&gt;0,S556*100/R556,0)</f>
        <v>0</v>
      </c>
    </row>
    <row r="557" spans="1:21" ht="18.75" hidden="1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256">
        <f>L560+L563</f>
        <v>0</v>
      </c>
      <c r="M557" s="255">
        <f>M560+M563</f>
        <v>0</v>
      </c>
      <c r="N557" s="255">
        <f>N560+N563</f>
        <v>0</v>
      </c>
      <c r="O557" s="255">
        <f>IF(L557&gt;0,N557*100/L557,0)</f>
        <v>0</v>
      </c>
      <c r="P557" s="255">
        <f>IF(M557&gt;0,N557*100/M557,0)</f>
        <v>0</v>
      </c>
      <c r="Q557" s="255">
        <f>Q560+Q563</f>
        <v>0</v>
      </c>
      <c r="R557" s="255">
        <f>R560+R563</f>
        <v>0</v>
      </c>
      <c r="S557" s="255">
        <f>S560+S563</f>
        <v>0</v>
      </c>
      <c r="T557" s="255">
        <f>IF(Q557&gt;0,S557*100/Q557,0)</f>
        <v>0</v>
      </c>
      <c r="U557" s="255">
        <f>IF(R557&gt;0,S557*100/R557,0)</f>
        <v>0</v>
      </c>
    </row>
    <row r="558" spans="1:21" ht="18.75" hidden="1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256">
        <f>L559+L560</f>
        <v>0</v>
      </c>
      <c r="M558" s="255">
        <f>M559+M560</f>
        <v>0</v>
      </c>
      <c r="N558" s="255">
        <f>N559+N560</f>
        <v>0</v>
      </c>
      <c r="O558" s="255">
        <f>IF(L558&gt;0,N558*100/L558,0)</f>
        <v>0</v>
      </c>
      <c r="P558" s="255">
        <f>IF(M558&gt;0,N558*100/M558,0)</f>
        <v>0</v>
      </c>
      <c r="Q558" s="255">
        <f>Q559+Q560</f>
        <v>0</v>
      </c>
      <c r="R558" s="255">
        <f>R559+R560</f>
        <v>0</v>
      </c>
      <c r="S558" s="255">
        <f>S559+S560</f>
        <v>0</v>
      </c>
      <c r="T558" s="255">
        <f>IF(Q558&gt;0,S558*100/Q558,0)</f>
        <v>0</v>
      </c>
      <c r="U558" s="255">
        <f>IF(R558&gt;0,S558*100/R558,0)</f>
        <v>0</v>
      </c>
    </row>
    <row r="559" spans="1:21" ht="18.75" hidden="1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103">
        <v>0</v>
      </c>
      <c r="M559" s="102">
        <v>0</v>
      </c>
      <c r="N559" s="102">
        <v>0</v>
      </c>
      <c r="O559" s="102">
        <f>IF(L559&gt;0,N559*100/L559,0)</f>
        <v>0</v>
      </c>
      <c r="P559" s="102">
        <f>IF(M559&gt;0,N559*100/M559,0)</f>
        <v>0</v>
      </c>
      <c r="Q559" s="102">
        <v>0</v>
      </c>
      <c r="R559" s="102">
        <v>0</v>
      </c>
      <c r="S559" s="102">
        <v>0</v>
      </c>
      <c r="T559" s="102">
        <f>IF(Q559&gt;0,S559*100/Q559,0)</f>
        <v>0</v>
      </c>
      <c r="U559" s="102">
        <f>IF(R559&gt;0,S559*100/R559,0)</f>
        <v>0</v>
      </c>
    </row>
    <row r="560" spans="1:21" ht="18.75" hidden="1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256">
        <v>0</v>
      </c>
      <c r="M560" s="255">
        <v>0</v>
      </c>
      <c r="N560" s="255">
        <v>0</v>
      </c>
      <c r="O560" s="255">
        <f>IF(L560&gt;0,N560*100/L560,0)</f>
        <v>0</v>
      </c>
      <c r="P560" s="255">
        <f>IF(M560&gt;0,N560*100/M560,0)</f>
        <v>0</v>
      </c>
      <c r="Q560" s="255">
        <v>0</v>
      </c>
      <c r="R560" s="255">
        <v>0</v>
      </c>
      <c r="S560" s="255">
        <v>0</v>
      </c>
      <c r="T560" s="255">
        <f>IF(Q560&gt;0,S560*100/Q560,0)</f>
        <v>0</v>
      </c>
      <c r="U560" s="255">
        <f>IF(R560&gt;0,S560*100/R560,0)</f>
        <v>0</v>
      </c>
    </row>
    <row r="561" spans="1:21" ht="18.75" hidden="1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256">
        <f>L562+L563</f>
        <v>0</v>
      </c>
      <c r="M561" s="255">
        <f>M562+M563</f>
        <v>0</v>
      </c>
      <c r="N561" s="255">
        <f>N562+N563</f>
        <v>0</v>
      </c>
      <c r="O561" s="255">
        <f>IF(L561&gt;0,N561*100/L561,0)</f>
        <v>0</v>
      </c>
      <c r="P561" s="255">
        <f>IF(M561&gt;0,N561*100/M561,0)</f>
        <v>0</v>
      </c>
      <c r="Q561" s="255">
        <f>Q562+Q563</f>
        <v>0</v>
      </c>
      <c r="R561" s="255">
        <f>R562+R563</f>
        <v>0</v>
      </c>
      <c r="S561" s="255">
        <f>S562+S563</f>
        <v>0</v>
      </c>
      <c r="T561" s="255">
        <f>IF(Q561&gt;0,S561*100/Q561,0)</f>
        <v>0</v>
      </c>
      <c r="U561" s="255">
        <f>IF(R561&gt;0,S561*100/R561,0)</f>
        <v>0</v>
      </c>
    </row>
    <row r="562" spans="1:21" ht="18.75" hidden="1">
      <c r="A562" s="155"/>
      <c r="B562" s="50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103">
        <v>0</v>
      </c>
      <c r="M562" s="102">
        <v>0</v>
      </c>
      <c r="N562" s="102">
        <v>0</v>
      </c>
      <c r="O562" s="102">
        <f>IF(L562&gt;0,N562*100/L562,0)</f>
        <v>0</v>
      </c>
      <c r="P562" s="102">
        <f>IF(M562&gt;0,N562*100/M562,0)</f>
        <v>0</v>
      </c>
      <c r="Q562" s="102">
        <v>0</v>
      </c>
      <c r="R562" s="102">
        <v>0</v>
      </c>
      <c r="S562" s="102">
        <v>0</v>
      </c>
      <c r="T562" s="102">
        <f>IF(Q562&gt;0,S562*100/Q562,0)</f>
        <v>0</v>
      </c>
      <c r="U562" s="102">
        <f>IF(R562&gt;0,S562*100/R562,0)</f>
        <v>0</v>
      </c>
    </row>
    <row r="563" spans="1:21" ht="18.75" hidden="1">
      <c r="A563" s="155"/>
      <c r="B563" s="50"/>
      <c r="C563" s="50"/>
      <c r="D563" s="50"/>
      <c r="E563" s="58" t="s">
        <v>21</v>
      </c>
      <c r="F563" s="50"/>
      <c r="G563" s="52"/>
      <c r="H563" s="165" t="s">
        <v>14</v>
      </c>
      <c r="I563" s="163"/>
      <c r="J563" s="163"/>
      <c r="K563" s="164"/>
      <c r="L563" s="256">
        <v>0</v>
      </c>
      <c r="M563" s="255">
        <v>0</v>
      </c>
      <c r="N563" s="255">
        <v>0</v>
      </c>
      <c r="O563" s="255">
        <f>IF(L563&gt;0,N563*100/L563,0)</f>
        <v>0</v>
      </c>
      <c r="P563" s="255">
        <f>IF(M563&gt;0,N563*100/M563,0)</f>
        <v>0</v>
      </c>
      <c r="Q563" s="255">
        <v>0</v>
      </c>
      <c r="R563" s="255">
        <v>0</v>
      </c>
      <c r="S563" s="255">
        <v>0</v>
      </c>
      <c r="T563" s="255">
        <f>IF(Q563&gt;0,S563*100/Q563,0)</f>
        <v>0</v>
      </c>
      <c r="U563" s="255">
        <f>IF(R563&gt;0,S563*100/R563,0)</f>
        <v>0</v>
      </c>
    </row>
    <row r="564" spans="1:21" ht="19.5" hidden="1">
      <c r="A564" s="166"/>
      <c r="B564" s="167"/>
      <c r="C564" s="411" t="s">
        <v>18</v>
      </c>
      <c r="D564" s="566" t="s">
        <v>38</v>
      </c>
      <c r="E564" s="169"/>
      <c r="F564" s="169"/>
      <c r="G564" s="170"/>
      <c r="H564" s="171"/>
      <c r="I564" s="163"/>
      <c r="J564" s="54"/>
      <c r="K564" s="55"/>
      <c r="L564" s="62"/>
      <c r="M564" s="55"/>
      <c r="N564" s="55"/>
      <c r="O564" s="164"/>
      <c r="P564" s="164"/>
      <c r="Q564" s="55"/>
      <c r="R564" s="55"/>
      <c r="S564" s="55"/>
      <c r="T564" s="164"/>
      <c r="U564" s="164"/>
    </row>
    <row r="565" spans="1:21" ht="12.75" hidden="1">
      <c r="A565" s="258"/>
      <c r="B565" s="260"/>
      <c r="C565" s="259"/>
      <c r="D565" s="260"/>
      <c r="E565" s="259"/>
      <c r="F565" s="260"/>
      <c r="G565" s="261"/>
      <c r="H565" s="261"/>
      <c r="I565" s="263"/>
      <c r="J565" s="263"/>
      <c r="K565" s="264"/>
      <c r="L565" s="265"/>
      <c r="M565" s="264"/>
      <c r="N565" s="264"/>
      <c r="O565" s="264"/>
      <c r="P565" s="264"/>
      <c r="Q565" s="264"/>
      <c r="R565" s="264"/>
      <c r="S565" s="264"/>
      <c r="T565" s="264"/>
      <c r="U565" s="264"/>
    </row>
    <row r="566" spans="1:21" ht="12.75" hidden="1">
      <c r="A566" s="258"/>
      <c r="B566" s="260"/>
      <c r="C566" s="259"/>
      <c r="D566" s="260"/>
      <c r="E566" s="259"/>
      <c r="F566" s="260"/>
      <c r="G566" s="261"/>
      <c r="H566" s="261"/>
      <c r="I566" s="263"/>
      <c r="J566" s="263"/>
      <c r="K566" s="264"/>
      <c r="L566" s="265"/>
      <c r="M566" s="264"/>
      <c r="N566" s="264"/>
      <c r="O566" s="264"/>
      <c r="P566" s="264"/>
      <c r="Q566" s="264"/>
      <c r="R566" s="264"/>
      <c r="S566" s="264"/>
      <c r="T566" s="264"/>
      <c r="U566" s="264"/>
    </row>
    <row r="567" spans="1:21" ht="12.75" hidden="1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5"/>
      <c r="M567" s="264"/>
      <c r="N567" s="264"/>
      <c r="O567" s="264"/>
      <c r="P567" s="264"/>
      <c r="Q567" s="264"/>
      <c r="R567" s="264"/>
      <c r="S567" s="264"/>
      <c r="T567" s="264"/>
      <c r="U567" s="264"/>
    </row>
    <row r="568" spans="1:21" ht="12.75" hidden="1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5"/>
      <c r="M568" s="264"/>
      <c r="N568" s="264"/>
      <c r="O568" s="264"/>
      <c r="P568" s="264"/>
      <c r="Q568" s="264"/>
      <c r="R568" s="264"/>
      <c r="S568" s="264"/>
      <c r="T568" s="264"/>
      <c r="U568" s="264"/>
    </row>
    <row r="569" spans="1:21" ht="12.75" hidden="1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5"/>
      <c r="M569" s="264"/>
      <c r="N569" s="264"/>
      <c r="O569" s="264"/>
      <c r="P569" s="264"/>
      <c r="Q569" s="264"/>
      <c r="R569" s="264"/>
      <c r="S569" s="264"/>
      <c r="T569" s="264"/>
      <c r="U569" s="264"/>
    </row>
    <row r="570" spans="1:21" ht="12.75" hidden="1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5"/>
      <c r="M570" s="264"/>
      <c r="N570" s="264"/>
      <c r="O570" s="264"/>
      <c r="P570" s="264"/>
      <c r="Q570" s="264"/>
      <c r="R570" s="264"/>
      <c r="S570" s="264"/>
      <c r="T570" s="264"/>
      <c r="U570" s="264"/>
    </row>
    <row r="571" spans="1:21" ht="12.75" hidden="1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5"/>
      <c r="M571" s="264"/>
      <c r="N571" s="264"/>
      <c r="O571" s="264"/>
      <c r="P571" s="264"/>
      <c r="Q571" s="264"/>
      <c r="R571" s="264"/>
      <c r="S571" s="264"/>
      <c r="T571" s="264"/>
      <c r="U571" s="264"/>
    </row>
    <row r="572" spans="1:21" ht="12.75" hidden="1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5"/>
      <c r="M572" s="264"/>
      <c r="N572" s="264"/>
      <c r="O572" s="264"/>
      <c r="P572" s="264"/>
      <c r="Q572" s="264"/>
      <c r="R572" s="264"/>
      <c r="S572" s="264"/>
      <c r="T572" s="264"/>
      <c r="U572" s="264"/>
    </row>
    <row r="573" spans="1:21" ht="12.75" hidden="1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5"/>
      <c r="M573" s="264"/>
      <c r="N573" s="264"/>
      <c r="O573" s="264"/>
      <c r="P573" s="264"/>
      <c r="Q573" s="264"/>
      <c r="R573" s="264"/>
      <c r="S573" s="264"/>
      <c r="T573" s="264"/>
      <c r="U573" s="264"/>
    </row>
    <row r="574" spans="1:21" ht="12.75" hidden="1">
      <c r="A574" s="407"/>
      <c r="B574" s="360"/>
      <c r="C574" s="360"/>
      <c r="D574" s="408"/>
      <c r="E574" s="408"/>
      <c r="F574" s="408"/>
      <c r="G574" s="409"/>
      <c r="H574" s="361"/>
      <c r="I574" s="362"/>
      <c r="J574" s="362"/>
      <c r="K574" s="363"/>
      <c r="L574" s="364"/>
      <c r="M574" s="363"/>
      <c r="N574" s="363"/>
      <c r="O574" s="363"/>
      <c r="P574" s="363"/>
      <c r="Q574" s="363"/>
      <c r="R574" s="363"/>
      <c r="S574" s="363"/>
      <c r="T574" s="363"/>
      <c r="U574" s="363"/>
    </row>
    <row r="575" spans="1:21" ht="19.5" hidden="1">
      <c r="A575" s="395"/>
      <c r="B575" s="396" t="s">
        <v>213</v>
      </c>
      <c r="C575" s="397"/>
      <c r="D575" s="398"/>
      <c r="E575" s="398"/>
      <c r="F575" s="398"/>
      <c r="G575" s="399"/>
      <c r="H575" s="410" t="s">
        <v>61</v>
      </c>
      <c r="I575" s="577">
        <f>I587</f>
        <v>0</v>
      </c>
      <c r="J575" s="577">
        <f>J587</f>
        <v>0</v>
      </c>
      <c r="K575" s="576">
        <f>IF(I575&gt;0,J575*100/I575,0)</f>
        <v>0</v>
      </c>
      <c r="L575" s="404"/>
      <c r="M575" s="403"/>
      <c r="N575" s="403"/>
      <c r="O575" s="403"/>
      <c r="P575" s="403"/>
      <c r="Q575" s="403"/>
      <c r="R575" s="403"/>
      <c r="S575" s="403"/>
      <c r="T575" s="403"/>
      <c r="U575" s="403"/>
    </row>
    <row r="576" spans="1:21" ht="19.5" hidden="1">
      <c r="A576" s="155"/>
      <c r="B576" s="50"/>
      <c r="C576" s="156" t="s">
        <v>18</v>
      </c>
      <c r="D576" s="575" t="s">
        <v>19</v>
      </c>
      <c r="E576" s="50"/>
      <c r="F576" s="50"/>
      <c r="G576" s="52"/>
      <c r="H576" s="158" t="s">
        <v>14</v>
      </c>
      <c r="I576" s="54"/>
      <c r="J576" s="54"/>
      <c r="K576" s="55"/>
      <c r="L576" s="541">
        <f>L577+L578</f>
        <v>0</v>
      </c>
      <c r="M576" s="540">
        <f>M577+M578</f>
        <v>0</v>
      </c>
      <c r="N576" s="540">
        <f>N577+N578</f>
        <v>0</v>
      </c>
      <c r="O576" s="540">
        <f>IF(L576&gt;0,N576*100/L576,0)</f>
        <v>0</v>
      </c>
      <c r="P576" s="540">
        <f>IF(M576&gt;0,N576*100/M576,0)</f>
        <v>0</v>
      </c>
      <c r="Q576" s="540">
        <f>Q577+Q578</f>
        <v>0</v>
      </c>
      <c r="R576" s="540">
        <f>R577+R578</f>
        <v>0</v>
      </c>
      <c r="S576" s="540">
        <f>S577+S578</f>
        <v>0</v>
      </c>
      <c r="T576" s="540">
        <f>IF(Q576&gt;0,S576*100/Q576,0)</f>
        <v>0</v>
      </c>
      <c r="U576" s="540">
        <f>IF(R576&gt;0,S576*100/R576,0)</f>
        <v>0</v>
      </c>
    </row>
    <row r="577" spans="1:21" ht="18.75" hidden="1">
      <c r="A577" s="155"/>
      <c r="B577" s="188"/>
      <c r="C577" s="50"/>
      <c r="D577" s="50"/>
      <c r="E577" s="186" t="s">
        <v>20</v>
      </c>
      <c r="F577" s="50"/>
      <c r="G577" s="52"/>
      <c r="H577" s="187" t="s">
        <v>14</v>
      </c>
      <c r="I577" s="54"/>
      <c r="J577" s="54"/>
      <c r="K577" s="55"/>
      <c r="L577" s="103">
        <f>L580+L583</f>
        <v>0</v>
      </c>
      <c r="M577" s="102">
        <f>M580+M583</f>
        <v>0</v>
      </c>
      <c r="N577" s="102">
        <f>N580+N583</f>
        <v>0</v>
      </c>
      <c r="O577" s="102">
        <f>IF(L577&gt;0,N577*100/L577,0)</f>
        <v>0</v>
      </c>
      <c r="P577" s="102">
        <f>IF(M577&gt;0,N577*100/M577,0)</f>
        <v>0</v>
      </c>
      <c r="Q577" s="102">
        <f>Q580+Q583</f>
        <v>0</v>
      </c>
      <c r="R577" s="102">
        <f>R580+R583</f>
        <v>0</v>
      </c>
      <c r="S577" s="102">
        <f>S580+S583</f>
        <v>0</v>
      </c>
      <c r="T577" s="102">
        <f>IF(Q577&gt;0,S577*100/Q577,0)</f>
        <v>0</v>
      </c>
      <c r="U577" s="102">
        <f>IF(R577&gt;0,S577*100/R577,0)</f>
        <v>0</v>
      </c>
    </row>
    <row r="578" spans="1:21" ht="18.75" hidden="1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256">
        <f>L581+L584</f>
        <v>0</v>
      </c>
      <c r="M578" s="255">
        <f>M581+M584</f>
        <v>0</v>
      </c>
      <c r="N578" s="255">
        <f>N581+N584</f>
        <v>0</v>
      </c>
      <c r="O578" s="255">
        <f>IF(L578&gt;0,N578*100/L578,0)</f>
        <v>0</v>
      </c>
      <c r="P578" s="255">
        <f>IF(M578&gt;0,N578*100/M578,0)</f>
        <v>0</v>
      </c>
      <c r="Q578" s="255">
        <f>Q581+Q584</f>
        <v>0</v>
      </c>
      <c r="R578" s="255">
        <f>R581+R584</f>
        <v>0</v>
      </c>
      <c r="S578" s="255">
        <f>S581+S584</f>
        <v>0</v>
      </c>
      <c r="T578" s="255">
        <f>IF(Q578&gt;0,S578*100/Q578,0)</f>
        <v>0</v>
      </c>
      <c r="U578" s="255">
        <f>IF(R578&gt;0,S578*100/R578,0)</f>
        <v>0</v>
      </c>
    </row>
    <row r="579" spans="1:21" ht="18.75" hidden="1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256">
        <f>L580+L581</f>
        <v>0</v>
      </c>
      <c r="M579" s="255">
        <f>M580+M581</f>
        <v>0</v>
      </c>
      <c r="N579" s="255">
        <f>N580+N581</f>
        <v>0</v>
      </c>
      <c r="O579" s="255">
        <f>IF(L579&gt;0,N579*100/L579,0)</f>
        <v>0</v>
      </c>
      <c r="P579" s="255">
        <f>IF(M579&gt;0,N579*100/M579,0)</f>
        <v>0</v>
      </c>
      <c r="Q579" s="255">
        <f>Q580+Q581</f>
        <v>0</v>
      </c>
      <c r="R579" s="255">
        <f>R580+R581</f>
        <v>0</v>
      </c>
      <c r="S579" s="255">
        <f>S580+S581</f>
        <v>0</v>
      </c>
      <c r="T579" s="255">
        <f>IF(Q579&gt;0,S579*100/Q579,0)</f>
        <v>0</v>
      </c>
      <c r="U579" s="255">
        <f>IF(R579&gt;0,S579*100/R579,0)</f>
        <v>0</v>
      </c>
    </row>
    <row r="580" spans="1:21" ht="18.75" hidden="1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103">
        <v>0</v>
      </c>
      <c r="M580" s="102">
        <v>0</v>
      </c>
      <c r="N580" s="102">
        <v>0</v>
      </c>
      <c r="O580" s="102">
        <f>IF(L580&gt;0,N580*100/L580,0)</f>
        <v>0</v>
      </c>
      <c r="P580" s="102">
        <f>IF(M580&gt;0,N580*100/M580,0)</f>
        <v>0</v>
      </c>
      <c r="Q580" s="102">
        <v>0</v>
      </c>
      <c r="R580" s="102">
        <v>0</v>
      </c>
      <c r="S580" s="102">
        <v>0</v>
      </c>
      <c r="T580" s="102">
        <f>IF(Q580&gt;0,S580*100/Q580,0)</f>
        <v>0</v>
      </c>
      <c r="U580" s="102">
        <f>IF(R580&gt;0,S580*100/R580,0)</f>
        <v>0</v>
      </c>
    </row>
    <row r="581" spans="1:21" ht="18.75" hidden="1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256">
        <v>0</v>
      </c>
      <c r="M581" s="255">
        <v>0</v>
      </c>
      <c r="N581" s="255">
        <v>0</v>
      </c>
      <c r="O581" s="255">
        <f>IF(L581&gt;0,N581*100/L581,0)</f>
        <v>0</v>
      </c>
      <c r="P581" s="255">
        <f>IF(M581&gt;0,N581*100/M581,0)</f>
        <v>0</v>
      </c>
      <c r="Q581" s="255">
        <v>0</v>
      </c>
      <c r="R581" s="255">
        <v>0</v>
      </c>
      <c r="S581" s="255">
        <v>0</v>
      </c>
      <c r="T581" s="255">
        <f>IF(Q581&gt;0,S581*100/Q581,0)</f>
        <v>0</v>
      </c>
      <c r="U581" s="255">
        <f>IF(R581&gt;0,S581*100/R581,0)</f>
        <v>0</v>
      </c>
    </row>
    <row r="582" spans="1:21" ht="18.75" hidden="1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256">
        <f>L583+L584</f>
        <v>0</v>
      </c>
      <c r="M582" s="255">
        <f>M583+M584</f>
        <v>0</v>
      </c>
      <c r="N582" s="255">
        <f>N583+N584</f>
        <v>0</v>
      </c>
      <c r="O582" s="255">
        <f>IF(L582&gt;0,N582*100/L582,0)</f>
        <v>0</v>
      </c>
      <c r="P582" s="255">
        <f>IF(M582&gt;0,N582*100/M582,0)</f>
        <v>0</v>
      </c>
      <c r="Q582" s="255">
        <f>Q583+Q584</f>
        <v>0</v>
      </c>
      <c r="R582" s="255">
        <f>R583+R584</f>
        <v>0</v>
      </c>
      <c r="S582" s="255">
        <f>S583+S584</f>
        <v>0</v>
      </c>
      <c r="T582" s="255">
        <f>IF(Q582&gt;0,S582*100/Q582,0)</f>
        <v>0</v>
      </c>
      <c r="U582" s="255">
        <f>IF(R582&gt;0,S582*100/R582,0)</f>
        <v>0</v>
      </c>
    </row>
    <row r="583" spans="1:21" ht="18.75" hidden="1">
      <c r="A583" s="155"/>
      <c r="B583" s="50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103">
        <v>0</v>
      </c>
      <c r="M583" s="102">
        <v>0</v>
      </c>
      <c r="N583" s="102">
        <v>0</v>
      </c>
      <c r="O583" s="102">
        <f>IF(L583&gt;0,N583*100/L583,0)</f>
        <v>0</v>
      </c>
      <c r="P583" s="102">
        <f>IF(M583&gt;0,N583*100/M583,0)</f>
        <v>0</v>
      </c>
      <c r="Q583" s="102">
        <v>0</v>
      </c>
      <c r="R583" s="102">
        <v>0</v>
      </c>
      <c r="S583" s="102">
        <v>0</v>
      </c>
      <c r="T583" s="102">
        <f>IF(Q583&gt;0,S583*100/Q583,0)</f>
        <v>0</v>
      </c>
      <c r="U583" s="102">
        <f>IF(R583&gt;0,S583*100/R583,0)</f>
        <v>0</v>
      </c>
    </row>
    <row r="584" spans="1:21" ht="18.75" hidden="1">
      <c r="A584" s="155"/>
      <c r="B584" s="50"/>
      <c r="C584" s="50"/>
      <c r="D584" s="50"/>
      <c r="E584" s="58" t="s">
        <v>21</v>
      </c>
      <c r="F584" s="50"/>
      <c r="G584" s="52"/>
      <c r="H584" s="165" t="s">
        <v>14</v>
      </c>
      <c r="I584" s="163"/>
      <c r="J584" s="163"/>
      <c r="K584" s="164"/>
      <c r="L584" s="256">
        <v>0</v>
      </c>
      <c r="M584" s="255">
        <v>0</v>
      </c>
      <c r="N584" s="255">
        <v>0</v>
      </c>
      <c r="O584" s="255">
        <f>IF(L584&gt;0,N584*100/L584,0)</f>
        <v>0</v>
      </c>
      <c r="P584" s="255">
        <f>IF(M584&gt;0,N584*100/M584,0)</f>
        <v>0</v>
      </c>
      <c r="Q584" s="255">
        <v>0</v>
      </c>
      <c r="R584" s="255">
        <v>0</v>
      </c>
      <c r="S584" s="255">
        <v>0</v>
      </c>
      <c r="T584" s="255">
        <f>IF(Q584&gt;0,S584*100/Q584,0)</f>
        <v>0</v>
      </c>
      <c r="U584" s="255">
        <f>IF(R584&gt;0,S584*100/R584,0)</f>
        <v>0</v>
      </c>
    </row>
    <row r="585" spans="1:21" ht="19.5" hidden="1">
      <c r="A585" s="166"/>
      <c r="B585" s="167"/>
      <c r="C585" s="411" t="s">
        <v>18</v>
      </c>
      <c r="D585" s="566" t="s">
        <v>38</v>
      </c>
      <c r="E585" s="169"/>
      <c r="F585" s="169"/>
      <c r="G585" s="170"/>
      <c r="H585" s="171"/>
      <c r="I585" s="163"/>
      <c r="J585" s="54"/>
      <c r="K585" s="55"/>
      <c r="L585" s="62"/>
      <c r="M585" s="55"/>
      <c r="N585" s="55"/>
      <c r="O585" s="164"/>
      <c r="P585" s="164"/>
      <c r="Q585" s="55"/>
      <c r="R585" s="55"/>
      <c r="S585" s="55"/>
      <c r="T585" s="164"/>
      <c r="U585" s="164"/>
    </row>
    <row r="586" spans="1:21" ht="12.75" hidden="1">
      <c r="A586" s="258"/>
      <c r="B586" s="260"/>
      <c r="C586" s="259"/>
      <c r="D586" s="260"/>
      <c r="E586" s="259"/>
      <c r="F586" s="260"/>
      <c r="G586" s="261"/>
      <c r="H586" s="261"/>
      <c r="I586" s="263"/>
      <c r="J586" s="263"/>
      <c r="K586" s="264"/>
      <c r="L586" s="265"/>
      <c r="M586" s="264"/>
      <c r="N586" s="264"/>
      <c r="O586" s="264"/>
      <c r="P586" s="264"/>
      <c r="Q586" s="264"/>
      <c r="R586" s="264"/>
      <c r="S586" s="264"/>
      <c r="T586" s="264"/>
      <c r="U586" s="264"/>
    </row>
    <row r="587" spans="1:21" ht="12.75" hidden="1">
      <c r="A587" s="258"/>
      <c r="B587" s="260"/>
      <c r="C587" s="259"/>
      <c r="D587" s="260"/>
      <c r="E587" s="259"/>
      <c r="F587" s="260"/>
      <c r="G587" s="261"/>
      <c r="H587" s="261"/>
      <c r="I587" s="263"/>
      <c r="J587" s="263"/>
      <c r="K587" s="264"/>
      <c r="L587" s="265"/>
      <c r="M587" s="264"/>
      <c r="N587" s="264"/>
      <c r="O587" s="264"/>
      <c r="P587" s="264"/>
      <c r="Q587" s="264"/>
      <c r="R587" s="264"/>
      <c r="S587" s="264"/>
      <c r="T587" s="264"/>
      <c r="U587" s="264"/>
    </row>
    <row r="588" spans="1:21" ht="12.75" hidden="1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5"/>
      <c r="M588" s="264"/>
      <c r="N588" s="264"/>
      <c r="O588" s="264"/>
      <c r="P588" s="264"/>
      <c r="Q588" s="264"/>
      <c r="R588" s="264"/>
      <c r="S588" s="264"/>
      <c r="T588" s="264"/>
      <c r="U588" s="264"/>
    </row>
    <row r="589" spans="1:21" ht="12.75" hidden="1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5"/>
      <c r="M589" s="264"/>
      <c r="N589" s="264"/>
      <c r="O589" s="264"/>
      <c r="P589" s="264"/>
      <c r="Q589" s="264"/>
      <c r="R589" s="264"/>
      <c r="S589" s="264"/>
      <c r="T589" s="264"/>
      <c r="U589" s="264"/>
    </row>
    <row r="590" spans="1:21" ht="12.75" hidden="1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5"/>
      <c r="M590" s="264"/>
      <c r="N590" s="264"/>
      <c r="O590" s="264"/>
      <c r="P590" s="264"/>
      <c r="Q590" s="264"/>
      <c r="R590" s="264"/>
      <c r="S590" s="264"/>
      <c r="T590" s="264"/>
      <c r="U590" s="264"/>
    </row>
    <row r="591" spans="1:21" ht="12.75" hidden="1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5"/>
      <c r="M591" s="264"/>
      <c r="N591" s="264"/>
      <c r="O591" s="264"/>
      <c r="P591" s="264"/>
      <c r="Q591" s="264"/>
      <c r="R591" s="264"/>
      <c r="S591" s="264"/>
      <c r="T591" s="264"/>
      <c r="U591" s="264"/>
    </row>
    <row r="592" spans="1:21" ht="12.75" hidden="1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5"/>
      <c r="M592" s="264"/>
      <c r="N592" s="264"/>
      <c r="O592" s="264"/>
      <c r="P592" s="264"/>
      <c r="Q592" s="264"/>
      <c r="R592" s="264"/>
      <c r="S592" s="264"/>
      <c r="T592" s="264"/>
      <c r="U592" s="264"/>
    </row>
    <row r="593" spans="1:21" ht="12.75" hidden="1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5"/>
      <c r="M593" s="264"/>
      <c r="N593" s="264"/>
      <c r="O593" s="264"/>
      <c r="P593" s="264"/>
      <c r="Q593" s="264"/>
      <c r="R593" s="264"/>
      <c r="S593" s="264"/>
      <c r="T593" s="264"/>
      <c r="U593" s="264"/>
    </row>
    <row r="594" spans="1:21" ht="12.75" hidden="1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5"/>
      <c r="M594" s="264"/>
      <c r="N594" s="264"/>
      <c r="O594" s="264"/>
      <c r="P594" s="264"/>
      <c r="Q594" s="264"/>
      <c r="R594" s="264"/>
      <c r="S594" s="264"/>
      <c r="T594" s="264"/>
      <c r="U594" s="264"/>
    </row>
    <row r="595" spans="1:21" ht="12.75" hidden="1">
      <c r="A595" s="407"/>
      <c r="B595" s="360"/>
      <c r="C595" s="360"/>
      <c r="D595" s="408"/>
      <c r="E595" s="408"/>
      <c r="F595" s="408"/>
      <c r="G595" s="409"/>
      <c r="H595" s="361"/>
      <c r="I595" s="362"/>
      <c r="J595" s="362"/>
      <c r="K595" s="363"/>
      <c r="L595" s="364"/>
      <c r="M595" s="363"/>
      <c r="N595" s="363"/>
      <c r="O595" s="363"/>
      <c r="P595" s="363"/>
      <c r="Q595" s="363"/>
      <c r="R595" s="363"/>
      <c r="S595" s="363"/>
      <c r="T595" s="363"/>
      <c r="U595" s="363"/>
    </row>
    <row r="596" spans="1:21" ht="19.5" hidden="1">
      <c r="A596" s="412" t="s">
        <v>214</v>
      </c>
      <c r="B596" s="144"/>
      <c r="C596" s="196"/>
      <c r="D596" s="144"/>
      <c r="E596" s="144"/>
      <c r="F596" s="144"/>
      <c r="G596" s="144"/>
      <c r="H596" s="145"/>
      <c r="I596" s="197"/>
      <c r="J596" s="197"/>
      <c r="K596" s="19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8"/>
    </row>
    <row r="597" spans="1:21" ht="19.5" hidden="1">
      <c r="A597" s="150"/>
      <c r="B597" s="413" t="s">
        <v>215</v>
      </c>
      <c r="C597" s="200"/>
      <c r="D597" s="151"/>
      <c r="E597" s="34"/>
      <c r="F597" s="34"/>
      <c r="G597" s="34"/>
      <c r="H597" s="414" t="s">
        <v>99</v>
      </c>
      <c r="I597" s="210"/>
      <c r="J597" s="39"/>
      <c r="K597" s="40"/>
      <c r="L597" s="154"/>
      <c r="M597" s="40"/>
      <c r="N597" s="40"/>
      <c r="O597" s="40"/>
      <c r="P597" s="40"/>
      <c r="Q597" s="40"/>
      <c r="R597" s="40"/>
      <c r="S597" s="40"/>
      <c r="T597" s="40"/>
      <c r="U597" s="40"/>
    </row>
    <row r="598" spans="1:21" ht="19.5" hidden="1">
      <c r="A598" s="415"/>
      <c r="B598" s="416" t="s">
        <v>216</v>
      </c>
      <c r="C598" s="151"/>
      <c r="D598" s="34"/>
      <c r="E598" s="34"/>
      <c r="F598" s="34"/>
      <c r="G598" s="37"/>
      <c r="H598" s="417" t="s">
        <v>35</v>
      </c>
      <c r="I598" s="39"/>
      <c r="J598" s="39"/>
      <c r="K598" s="40"/>
      <c r="L598" s="154"/>
      <c r="M598" s="40"/>
      <c r="N598" s="40"/>
      <c r="O598" s="40"/>
      <c r="P598" s="40"/>
      <c r="Q598" s="40"/>
      <c r="R598" s="40"/>
      <c r="S598" s="40"/>
      <c r="T598" s="40"/>
      <c r="U598" s="40"/>
    </row>
    <row r="599" spans="1:21" ht="19.5" hidden="1">
      <c r="A599" s="155"/>
      <c r="B599" s="188"/>
      <c r="C599" s="205" t="s">
        <v>18</v>
      </c>
      <c r="D599" s="563" t="s">
        <v>19</v>
      </c>
      <c r="E599" s="529"/>
      <c r="F599" s="529"/>
      <c r="G599" s="530"/>
      <c r="H599" s="418" t="s">
        <v>14</v>
      </c>
      <c r="I599" s="54"/>
      <c r="J599" s="54"/>
      <c r="K599" s="55"/>
      <c r="L599" s="541">
        <f>L600+L601</f>
        <v>0</v>
      </c>
      <c r="M599" s="540">
        <f>M600+M601</f>
        <v>0</v>
      </c>
      <c r="N599" s="540">
        <f>N600+N601</f>
        <v>0</v>
      </c>
      <c r="O599" s="540">
        <f>IF(L599&gt;0,N599*100/L599,0)</f>
        <v>0</v>
      </c>
      <c r="P599" s="540">
        <f>IF(M599&gt;0,N599*100/M599,0)</f>
        <v>0</v>
      </c>
      <c r="Q599" s="540">
        <f>Q600+Q601</f>
        <v>0</v>
      </c>
      <c r="R599" s="540">
        <f>R600+R601</f>
        <v>0</v>
      </c>
      <c r="S599" s="540">
        <f>S600+S601</f>
        <v>0</v>
      </c>
      <c r="T599" s="540">
        <f>IF(Q599&gt;0,S599*100/Q599,0)</f>
        <v>0</v>
      </c>
      <c r="U599" s="540">
        <f>IF(R599&gt;0,S599*100/R599,0)</f>
        <v>0</v>
      </c>
    </row>
    <row r="600" spans="1:21" ht="18.75" hidden="1">
      <c r="A600" s="155"/>
      <c r="B600" s="188"/>
      <c r="C600" s="188"/>
      <c r="D600" s="174"/>
      <c r="E600" s="186" t="s">
        <v>159</v>
      </c>
      <c r="F600" s="50"/>
      <c r="G600" s="52"/>
      <c r="H600" s="189" t="s">
        <v>14</v>
      </c>
      <c r="I600" s="54"/>
      <c r="J600" s="54"/>
      <c r="K600" s="55"/>
      <c r="L600" s="103">
        <f>L603+L606</f>
        <v>0</v>
      </c>
      <c r="M600" s="102">
        <f>M603+M606</f>
        <v>0</v>
      </c>
      <c r="N600" s="102">
        <f>N603+N606</f>
        <v>0</v>
      </c>
      <c r="O600" s="102">
        <f>IF(L600&gt;0,N600*100/L600,0)</f>
        <v>0</v>
      </c>
      <c r="P600" s="102">
        <f>IF(M600&gt;0,N600*100/M600,0)</f>
        <v>0</v>
      </c>
      <c r="Q600" s="102">
        <f>Q603+Q606</f>
        <v>0</v>
      </c>
      <c r="R600" s="102">
        <f>R603+R606</f>
        <v>0</v>
      </c>
      <c r="S600" s="102">
        <f>S603+S606</f>
        <v>0</v>
      </c>
      <c r="T600" s="102">
        <f>IF(Q600&gt;0,S600*100/Q600,0)</f>
        <v>0</v>
      </c>
      <c r="U600" s="102">
        <f>IF(R600&gt;0,S600*100/R600,0)</f>
        <v>0</v>
      </c>
    </row>
    <row r="601" spans="1:21" ht="18.75" hidden="1">
      <c r="A601" s="155"/>
      <c r="B601" s="188"/>
      <c r="C601" s="188"/>
      <c r="D601" s="174"/>
      <c r="E601" s="186" t="s">
        <v>160</v>
      </c>
      <c r="F601" s="50"/>
      <c r="G601" s="52"/>
      <c r="H601" s="189" t="s">
        <v>14</v>
      </c>
      <c r="I601" s="54"/>
      <c r="J601" s="54"/>
      <c r="K601" s="55"/>
      <c r="L601" s="256">
        <f>L604+L607</f>
        <v>0</v>
      </c>
      <c r="M601" s="255">
        <f>M604+M607</f>
        <v>0</v>
      </c>
      <c r="N601" s="255">
        <f>N604+N607</f>
        <v>0</v>
      </c>
      <c r="O601" s="255">
        <f>IF(L601&gt;0,N601*100/L601,0)</f>
        <v>0</v>
      </c>
      <c r="P601" s="255">
        <f>IF(M601&gt;0,N601*100/M601,0)</f>
        <v>0</v>
      </c>
      <c r="Q601" s="255">
        <f>Q604+Q607</f>
        <v>0</v>
      </c>
      <c r="R601" s="255">
        <f>R604+R607</f>
        <v>0</v>
      </c>
      <c r="S601" s="255">
        <f>S604+S607</f>
        <v>0</v>
      </c>
      <c r="T601" s="255">
        <f>IF(Q601&gt;0,S601*100/Q601,0)</f>
        <v>0</v>
      </c>
      <c r="U601" s="255">
        <f>IF(R601&gt;0,S601*100/R601,0)</f>
        <v>0</v>
      </c>
    </row>
    <row r="602" spans="1:21" ht="19.5" hidden="1">
      <c r="A602" s="155"/>
      <c r="B602" s="188"/>
      <c r="C602" s="188"/>
      <c r="D602" s="562" t="s">
        <v>22</v>
      </c>
      <c r="E602" s="50"/>
      <c r="F602" s="50"/>
      <c r="G602" s="52"/>
      <c r="H602" s="418" t="s">
        <v>14</v>
      </c>
      <c r="I602" s="163"/>
      <c r="J602" s="163"/>
      <c r="K602" s="164"/>
      <c r="L602" s="256">
        <f>L603+L604</f>
        <v>0</v>
      </c>
      <c r="M602" s="255">
        <f>M603+M604</f>
        <v>0</v>
      </c>
      <c r="N602" s="255">
        <f>N603+N604</f>
        <v>0</v>
      </c>
      <c r="O602" s="255">
        <f>IF(L602&gt;0,N602*100/L602,0)</f>
        <v>0</v>
      </c>
      <c r="P602" s="255">
        <f>IF(M602&gt;0,N602*100/M602,0)</f>
        <v>0</v>
      </c>
      <c r="Q602" s="255">
        <f>Q603+Q604</f>
        <v>0</v>
      </c>
      <c r="R602" s="255">
        <f>R603+R604</f>
        <v>0</v>
      </c>
      <c r="S602" s="255">
        <f>S603+S604</f>
        <v>0</v>
      </c>
      <c r="T602" s="255">
        <f>IF(Q602&gt;0,S602*100/Q602,0)</f>
        <v>0</v>
      </c>
      <c r="U602" s="255">
        <f>IF(R602&gt;0,S602*100/R602,0)</f>
        <v>0</v>
      </c>
    </row>
    <row r="603" spans="1:21" ht="18.75" hidden="1">
      <c r="A603" s="155"/>
      <c r="B603" s="188"/>
      <c r="C603" s="188"/>
      <c r="D603" s="174"/>
      <c r="E603" s="186" t="s">
        <v>159</v>
      </c>
      <c r="F603" s="50"/>
      <c r="G603" s="52"/>
      <c r="H603" s="189" t="s">
        <v>14</v>
      </c>
      <c r="I603" s="54"/>
      <c r="J603" s="54"/>
      <c r="K603" s="55"/>
      <c r="L603" s="103">
        <v>0</v>
      </c>
      <c r="M603" s="102">
        <v>0</v>
      </c>
      <c r="N603" s="102">
        <v>0</v>
      </c>
      <c r="O603" s="102">
        <f>IF(L603&gt;0,N603*100/L603,0)</f>
        <v>0</v>
      </c>
      <c r="P603" s="102">
        <f>IF(M603&gt;0,N603*100/M603,0)</f>
        <v>0</v>
      </c>
      <c r="Q603" s="102">
        <v>0</v>
      </c>
      <c r="R603" s="102">
        <v>0</v>
      </c>
      <c r="S603" s="102">
        <v>0</v>
      </c>
      <c r="T603" s="102">
        <f>IF(Q603&gt;0,S603*100/Q603,0)</f>
        <v>0</v>
      </c>
      <c r="U603" s="102">
        <f>IF(R603&gt;0,S603*100/R603,0)</f>
        <v>0</v>
      </c>
    </row>
    <row r="604" spans="1:21" ht="18.75" hidden="1">
      <c r="A604" s="155"/>
      <c r="B604" s="188"/>
      <c r="C604" s="188"/>
      <c r="D604" s="174"/>
      <c r="E604" s="186" t="s">
        <v>160</v>
      </c>
      <c r="F604" s="50"/>
      <c r="G604" s="52"/>
      <c r="H604" s="189" t="s">
        <v>14</v>
      </c>
      <c r="I604" s="54"/>
      <c r="J604" s="54"/>
      <c r="K604" s="55"/>
      <c r="L604" s="256">
        <v>0</v>
      </c>
      <c r="M604" s="255">
        <v>0</v>
      </c>
      <c r="N604" s="255">
        <v>0</v>
      </c>
      <c r="O604" s="255">
        <f>IF(L604&gt;0,N604*100/L604,0)</f>
        <v>0</v>
      </c>
      <c r="P604" s="255">
        <f>IF(M604&gt;0,N604*100/M604,0)</f>
        <v>0</v>
      </c>
      <c r="Q604" s="255">
        <v>0</v>
      </c>
      <c r="R604" s="255">
        <v>0</v>
      </c>
      <c r="S604" s="255">
        <v>0</v>
      </c>
      <c r="T604" s="255">
        <f>IF(Q604&gt;0,S604*100/Q604,0)</f>
        <v>0</v>
      </c>
      <c r="U604" s="255">
        <f>IF(R604&gt;0,S604*100/R604,0)</f>
        <v>0</v>
      </c>
    </row>
    <row r="605" spans="1:21" ht="19.5" hidden="1">
      <c r="A605" s="155"/>
      <c r="B605" s="188"/>
      <c r="C605" s="188"/>
      <c r="D605" s="562" t="s">
        <v>23</v>
      </c>
      <c r="E605" s="188"/>
      <c r="F605" s="50"/>
      <c r="G605" s="52"/>
      <c r="H605" s="420" t="s">
        <v>14</v>
      </c>
      <c r="I605" s="163"/>
      <c r="J605" s="163"/>
      <c r="K605" s="164"/>
      <c r="L605" s="256">
        <f>L606+L607</f>
        <v>0</v>
      </c>
      <c r="M605" s="255">
        <f>M606+M607</f>
        <v>0</v>
      </c>
      <c r="N605" s="255">
        <f>N606+N607</f>
        <v>0</v>
      </c>
      <c r="O605" s="255">
        <f>IF(L605&gt;0,N605*100/L605,0)</f>
        <v>0</v>
      </c>
      <c r="P605" s="255">
        <f>IF(M605&gt;0,N605*100/M605,0)</f>
        <v>0</v>
      </c>
      <c r="Q605" s="255">
        <f>Q606+Q607</f>
        <v>0</v>
      </c>
      <c r="R605" s="255">
        <f>R606+R607</f>
        <v>0</v>
      </c>
      <c r="S605" s="255">
        <f>S606+S607</f>
        <v>0</v>
      </c>
      <c r="T605" s="255">
        <f>IF(Q605&gt;0,S605*100/Q605,0)</f>
        <v>0</v>
      </c>
      <c r="U605" s="255">
        <f>IF(R605&gt;0,S605*100/R605,0)</f>
        <v>0</v>
      </c>
    </row>
    <row r="606" spans="1:21" ht="18.75" hidden="1">
      <c r="A606" s="155"/>
      <c r="B606" s="188"/>
      <c r="C606" s="188"/>
      <c r="D606" s="188"/>
      <c r="E606" s="358" t="s">
        <v>20</v>
      </c>
      <c r="F606" s="50"/>
      <c r="G606" s="52"/>
      <c r="H606" s="189" t="s">
        <v>14</v>
      </c>
      <c r="I606" s="163"/>
      <c r="J606" s="163"/>
      <c r="K606" s="164"/>
      <c r="L606" s="103">
        <v>0</v>
      </c>
      <c r="M606" s="102">
        <v>0</v>
      </c>
      <c r="N606" s="102">
        <v>0</v>
      </c>
      <c r="O606" s="102">
        <f>IF(L606&gt;0,N606*100/L606,0)</f>
        <v>0</v>
      </c>
      <c r="P606" s="102">
        <f>IF(M606&gt;0,N606*100/M606,0)</f>
        <v>0</v>
      </c>
      <c r="Q606" s="102">
        <v>0</v>
      </c>
      <c r="R606" s="102">
        <v>0</v>
      </c>
      <c r="S606" s="102">
        <v>0</v>
      </c>
      <c r="T606" s="102">
        <f>IF(Q606&gt;0,S606*100/Q606,0)</f>
        <v>0</v>
      </c>
      <c r="U606" s="102">
        <f>IF(R606&gt;0,S606*100/R606,0)</f>
        <v>0</v>
      </c>
    </row>
    <row r="607" spans="1:21" ht="18.75" hidden="1">
      <c r="A607" s="155"/>
      <c r="B607" s="188"/>
      <c r="C607" s="188"/>
      <c r="D607" s="50"/>
      <c r="E607" s="358" t="s">
        <v>21</v>
      </c>
      <c r="F607" s="50"/>
      <c r="G607" s="52"/>
      <c r="H607" s="421" t="s">
        <v>14</v>
      </c>
      <c r="I607" s="163"/>
      <c r="J607" s="163"/>
      <c r="K607" s="164"/>
      <c r="L607" s="256">
        <v>0</v>
      </c>
      <c r="M607" s="255">
        <v>0</v>
      </c>
      <c r="N607" s="255">
        <v>0</v>
      </c>
      <c r="O607" s="255">
        <f>IF(L607&gt;0,N607*100/L607,0)</f>
        <v>0</v>
      </c>
      <c r="P607" s="255">
        <f>IF(M607&gt;0,N607*100/M607,0)</f>
        <v>0</v>
      </c>
      <c r="Q607" s="255">
        <v>0</v>
      </c>
      <c r="R607" s="255">
        <v>0</v>
      </c>
      <c r="S607" s="255">
        <v>0</v>
      </c>
      <c r="T607" s="255">
        <f>IF(Q607&gt;0,S607*100/Q607,0)</f>
        <v>0</v>
      </c>
      <c r="U607" s="255">
        <f>IF(R607&gt;0,S607*100/R607,0)</f>
        <v>0</v>
      </c>
    </row>
    <row r="608" spans="1:21" ht="19.5" hidden="1">
      <c r="A608" s="166"/>
      <c r="B608" s="167"/>
      <c r="C608" s="205" t="s">
        <v>18</v>
      </c>
      <c r="D608" s="574" t="s">
        <v>38</v>
      </c>
      <c r="E608" s="169"/>
      <c r="F608" s="169"/>
      <c r="G608" s="170"/>
      <c r="H608" s="206"/>
      <c r="I608" s="163"/>
      <c r="J608" s="163"/>
      <c r="K608" s="164"/>
      <c r="L608" s="62"/>
      <c r="M608" s="55"/>
      <c r="N608" s="55"/>
      <c r="O608" s="55"/>
      <c r="P608" s="55"/>
      <c r="Q608" s="55"/>
      <c r="R608" s="55"/>
      <c r="S608" s="55"/>
      <c r="T608" s="55"/>
      <c r="U608" s="55"/>
    </row>
    <row r="609" spans="1:21" ht="18.75" hidden="1">
      <c r="A609" s="166"/>
      <c r="B609" s="167"/>
      <c r="C609" s="167"/>
      <c r="D609" s="423" t="s">
        <v>217</v>
      </c>
      <c r="E609" s="174"/>
      <c r="F609" s="174"/>
      <c r="G609" s="171"/>
      <c r="H609" s="189" t="s">
        <v>99</v>
      </c>
      <c r="I609" s="54"/>
      <c r="J609" s="54"/>
      <c r="K609" s="164"/>
      <c r="L609" s="62"/>
      <c r="M609" s="55"/>
      <c r="N609" s="55"/>
      <c r="O609" s="55"/>
      <c r="P609" s="55"/>
      <c r="Q609" s="55"/>
      <c r="R609" s="55"/>
      <c r="S609" s="55"/>
      <c r="T609" s="55"/>
      <c r="U609" s="55"/>
    </row>
    <row r="610" spans="1:21" ht="19.5" hidden="1">
      <c r="A610" s="166"/>
      <c r="B610" s="167"/>
      <c r="C610" s="167"/>
      <c r="D610" s="423" t="s">
        <v>218</v>
      </c>
      <c r="E610" s="174"/>
      <c r="F610" s="174"/>
      <c r="G610" s="171"/>
      <c r="H610" s="418" t="s">
        <v>35</v>
      </c>
      <c r="I610" s="54"/>
      <c r="J610" s="54"/>
      <c r="K610" s="164"/>
      <c r="L610" s="62"/>
      <c r="M610" s="55"/>
      <c r="N610" s="55"/>
      <c r="O610" s="55"/>
      <c r="P610" s="55"/>
      <c r="Q610" s="55"/>
      <c r="R610" s="55"/>
      <c r="S610" s="55"/>
      <c r="T610" s="55"/>
      <c r="U610" s="55"/>
    </row>
    <row r="611" spans="1:21" ht="18.75" hidden="1">
      <c r="A611" s="166"/>
      <c r="B611" s="167"/>
      <c r="C611" s="167"/>
      <c r="D611" s="167"/>
      <c r="E611" s="423" t="s">
        <v>219</v>
      </c>
      <c r="F611" s="174"/>
      <c r="G611" s="171"/>
      <c r="H611" s="421" t="s">
        <v>35</v>
      </c>
      <c r="I611" s="54"/>
      <c r="J611" s="54"/>
      <c r="K611" s="164"/>
      <c r="L611" s="62"/>
      <c r="M611" s="55"/>
      <c r="N611" s="55"/>
      <c r="O611" s="55"/>
      <c r="P611" s="55"/>
      <c r="Q611" s="55"/>
      <c r="R611" s="55"/>
      <c r="S611" s="55"/>
      <c r="T611" s="55"/>
      <c r="U611" s="55"/>
    </row>
    <row r="612" spans="1:21" ht="19.5" hidden="1" thickBot="1">
      <c r="A612" s="424"/>
      <c r="B612" s="425"/>
      <c r="C612" s="425"/>
      <c r="D612" s="425"/>
      <c r="E612" s="426" t="s">
        <v>220</v>
      </c>
      <c r="F612" s="427"/>
      <c r="G612" s="428"/>
      <c r="H612" s="429" t="s">
        <v>35</v>
      </c>
      <c r="I612" s="430"/>
      <c r="J612" s="430"/>
      <c r="K612" s="431"/>
      <c r="L612" s="433"/>
      <c r="M612" s="432"/>
      <c r="N612" s="432"/>
      <c r="O612" s="432"/>
      <c r="P612" s="432"/>
      <c r="Q612" s="432"/>
      <c r="R612" s="432"/>
      <c r="S612" s="432"/>
      <c r="T612" s="432"/>
      <c r="U612" s="432"/>
    </row>
    <row r="613" spans="1:21" ht="19.5" hidden="1">
      <c r="A613" s="434" t="s">
        <v>221</v>
      </c>
      <c r="B613" s="435"/>
      <c r="C613" s="435"/>
      <c r="D613" s="436"/>
      <c r="E613" s="436"/>
      <c r="F613" s="436"/>
      <c r="G613" s="437"/>
      <c r="H613" s="438"/>
      <c r="I613" s="439"/>
      <c r="J613" s="439"/>
      <c r="K613" s="440"/>
      <c r="L613" s="441"/>
      <c r="M613" s="440"/>
      <c r="N613" s="440"/>
      <c r="O613" s="440"/>
      <c r="P613" s="440"/>
      <c r="Q613" s="440"/>
      <c r="R613" s="440"/>
      <c r="S613" s="440"/>
      <c r="T613" s="440"/>
      <c r="U613" s="440"/>
    </row>
    <row r="614" spans="1:21" ht="19.5">
      <c r="A614" s="442"/>
      <c r="B614" s="443" t="s">
        <v>222</v>
      </c>
      <c r="C614" s="442"/>
      <c r="D614" s="444"/>
      <c r="E614" s="444"/>
      <c r="F614" s="444"/>
      <c r="G614" s="445"/>
      <c r="H614" s="446"/>
      <c r="I614" s="447"/>
      <c r="J614" s="447"/>
      <c r="K614" s="448"/>
      <c r="L614" s="449"/>
      <c r="M614" s="448"/>
      <c r="N614" s="448"/>
      <c r="O614" s="448"/>
      <c r="P614" s="448"/>
      <c r="Q614" s="448"/>
      <c r="R614" s="448"/>
      <c r="S614" s="448"/>
      <c r="T614" s="448"/>
      <c r="U614" s="448"/>
    </row>
    <row r="615" spans="1:21" ht="19.5">
      <c r="A615" s="450"/>
      <c r="B615" s="451" t="s">
        <v>223</v>
      </c>
      <c r="C615" s="450"/>
      <c r="D615" s="452"/>
      <c r="E615" s="452"/>
      <c r="F615" s="452"/>
      <c r="G615" s="453"/>
      <c r="H615" s="454" t="s">
        <v>46</v>
      </c>
      <c r="I615" s="573">
        <f ca="1">I626</f>
        <v>100</v>
      </c>
      <c r="J615" s="573">
        <f>J626</f>
        <v>0</v>
      </c>
      <c r="K615" s="572">
        <f ca="1">IF(I615&gt;0,J615*100/I615,0)</f>
        <v>0</v>
      </c>
      <c r="L615" s="458"/>
      <c r="M615" s="457"/>
      <c r="N615" s="457"/>
      <c r="O615" s="457"/>
      <c r="P615" s="457"/>
      <c r="Q615" s="457"/>
      <c r="R615" s="457"/>
      <c r="S615" s="457"/>
      <c r="T615" s="457"/>
      <c r="U615" s="457"/>
    </row>
    <row r="616" spans="1:21" ht="19.5">
      <c r="A616" s="155"/>
      <c r="B616" s="188"/>
      <c r="C616" s="205" t="s">
        <v>18</v>
      </c>
      <c r="D616" s="542" t="s">
        <v>19</v>
      </c>
      <c r="E616" s="529"/>
      <c r="F616" s="529"/>
      <c r="G616" s="530"/>
      <c r="H616" s="252" t="s">
        <v>14</v>
      </c>
      <c r="I616" s="54"/>
      <c r="J616" s="54"/>
      <c r="K616" s="55"/>
      <c r="L616" s="541">
        <f>L617+L618</f>
        <v>0</v>
      </c>
      <c r="M616" s="540">
        <f>M617+M618</f>
        <v>0</v>
      </c>
      <c r="N616" s="540">
        <f>N617+N618</f>
        <v>0</v>
      </c>
      <c r="O616" s="540">
        <f>IF(L616&gt;0,N616*100/L616,0)</f>
        <v>0</v>
      </c>
      <c r="P616" s="540">
        <f>IF(M616&gt;0,N616*100/M616,0)</f>
        <v>0</v>
      </c>
      <c r="Q616" s="540">
        <f ca="1">Q617+Q618</f>
        <v>12550</v>
      </c>
      <c r="R616" s="540">
        <f ca="1">R617+R618</f>
        <v>12550</v>
      </c>
      <c r="S616" s="540">
        <f ca="1">S617+S618</f>
        <v>0</v>
      </c>
      <c r="T616" s="540">
        <f ca="1">IF(Q616&gt;0,S616*100/Q616,0)</f>
        <v>0</v>
      </c>
      <c r="U616" s="540">
        <f ca="1">IF(R616&gt;0,S616*100/R616,0)</f>
        <v>0</v>
      </c>
    </row>
    <row r="617" spans="1:21" ht="18.75" hidden="1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103">
        <f>L620+L623</f>
        <v>0</v>
      </c>
      <c r="M617" s="102">
        <f>M620+M623</f>
        <v>0</v>
      </c>
      <c r="N617" s="102">
        <f>N620+N623</f>
        <v>0</v>
      </c>
      <c r="O617" s="102">
        <f>IF(L617&gt;0,N617*100/L617,0)</f>
        <v>0</v>
      </c>
      <c r="P617" s="102">
        <f>IF(M617&gt;0,N617*100/M617,0)</f>
        <v>0</v>
      </c>
      <c r="Q617" s="102">
        <f>Q620+Q623</f>
        <v>0</v>
      </c>
      <c r="R617" s="102">
        <f>R620+R623</f>
        <v>0</v>
      </c>
      <c r="S617" s="102">
        <f>S620+S623</f>
        <v>0</v>
      </c>
      <c r="T617" s="102">
        <f>IF(Q617&gt;0,S617*100/Q617,0)</f>
        <v>0</v>
      </c>
      <c r="U617" s="102">
        <f>IF(R617&gt;0,S617*100/R617,0)</f>
        <v>0</v>
      </c>
    </row>
    <row r="618" spans="1:21" ht="18.75" hidden="1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256">
        <f>L621+L624</f>
        <v>0</v>
      </c>
      <c r="M618" s="255">
        <f>M621+M624</f>
        <v>0</v>
      </c>
      <c r="N618" s="255">
        <f>N621+N624</f>
        <v>0</v>
      </c>
      <c r="O618" s="255">
        <f>IF(L618&gt;0,N618*100/L618,0)</f>
        <v>0</v>
      </c>
      <c r="P618" s="255">
        <f>IF(M618&gt;0,N618*100/M618,0)</f>
        <v>0</v>
      </c>
      <c r="Q618" s="255">
        <f ca="1">Q621+Q624</f>
        <v>12550</v>
      </c>
      <c r="R618" s="255">
        <f ca="1">R621+R624</f>
        <v>12550</v>
      </c>
      <c r="S618" s="255">
        <f ca="1">S621+S624</f>
        <v>0</v>
      </c>
      <c r="T618" s="255">
        <f ca="1">IF(Q618&gt;0,S618*100/Q618,0)</f>
        <v>0</v>
      </c>
      <c r="U618" s="255">
        <f ca="1">IF(R618&gt;0,S618*100/R618,0)</f>
        <v>0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256">
        <f>L620+L621</f>
        <v>0</v>
      </c>
      <c r="M619" s="255">
        <f>M620+M621</f>
        <v>0</v>
      </c>
      <c r="N619" s="255">
        <f>N620+N621</f>
        <v>0</v>
      </c>
      <c r="O619" s="255">
        <f>IF(L619&gt;0,N619*100/L619,0)</f>
        <v>0</v>
      </c>
      <c r="P619" s="255">
        <f>IF(M619&gt;0,N619*100/M619,0)</f>
        <v>0</v>
      </c>
      <c r="Q619" s="255">
        <f ca="1">Q620+Q621</f>
        <v>12550</v>
      </c>
      <c r="R619" s="255">
        <f ca="1">R620+R621</f>
        <v>12550</v>
      </c>
      <c r="S619" s="255">
        <f ca="1">S620+S621</f>
        <v>0</v>
      </c>
      <c r="T619" s="255">
        <f ca="1">IF(Q619&gt;0,S619*100/Q619,0)</f>
        <v>0</v>
      </c>
      <c r="U619" s="255">
        <f ca="1">IF(R619&gt;0,S619*100/R619,0)</f>
        <v>0</v>
      </c>
    </row>
    <row r="620" spans="1:21" ht="18.75" hidden="1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103">
        <v>0</v>
      </c>
      <c r="M620" s="102">
        <v>0</v>
      </c>
      <c r="N620" s="102">
        <v>0</v>
      </c>
      <c r="O620" s="102">
        <f>IF(L620&gt;0,N620*100/L620,0)</f>
        <v>0</v>
      </c>
      <c r="P620" s="102">
        <f>IF(M620&gt;0,N620*100/M620,0)</f>
        <v>0</v>
      </c>
      <c r="Q620" s="102">
        <v>0</v>
      </c>
      <c r="R620" s="102">
        <v>0</v>
      </c>
      <c r="S620" s="102">
        <v>0</v>
      </c>
      <c r="T620" s="102">
        <f>IF(Q620&gt;0,S620*100/Q620,0)</f>
        <v>0</v>
      </c>
      <c r="U620" s="102">
        <f>IF(R620&gt;0,S620*100/R620,0)</f>
        <v>0</v>
      </c>
    </row>
    <row r="621" spans="1:21" ht="18.75" hidden="1">
      <c r="A621" s="155"/>
      <c r="B621" s="188"/>
      <c r="C621" s="188"/>
      <c r="D621" s="174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256">
        <v>0</v>
      </c>
      <c r="M621" s="255">
        <v>0</v>
      </c>
      <c r="N621" s="255">
        <v>0</v>
      </c>
      <c r="O621" s="255">
        <f>IF(L621&gt;0,N621*100/L621,0)</f>
        <v>0</v>
      </c>
      <c r="P621" s="255">
        <f>IF(M621&gt;0,N621*100/M621,0)</f>
        <v>0</v>
      </c>
      <c r="Q621" s="255">
        <f ca="1">IFERROR(__xludf.DUMMYFUNCTION("IMPORTRANGE(""https://docs.google.com/spreadsheets/d/1ItG2mGa2ceCfYo0BwxsXqNm01IGEUdYcSSLTEv9YCik/edit?usp=sharing"",""เบิกจ่ายกองทุน!F45"")"),12550)</f>
        <v>12550</v>
      </c>
      <c r="R621" s="255">
        <f ca="1">IFERROR(__xludf.DUMMYFUNCTION("IMPORTRANGE(""https://docs.google.com/spreadsheets/d/1ItG2mGa2ceCfYo0BwxsXqNm01IGEUdYcSSLTEv9YCik/edit?usp=sharing"",""เบิกจ่ายกองทุน!G45"")"),12550)</f>
        <v>12550</v>
      </c>
      <c r="S621" s="255">
        <f ca="1">IFERROR(__xludf.DUMMYFUNCTION("IMPORTRANGE(""https://docs.google.com/spreadsheets/d/1ItG2mGa2ceCfYo0BwxsXqNm01IGEUdYcSSLTEv9YCik/edit?usp=sharing"",""เบิกจ่ายกองทุน!H45"")"),0)</f>
        <v>0</v>
      </c>
      <c r="T621" s="255">
        <f ca="1">IF(Q621&gt;0,S621*100/Q621,0)</f>
        <v>0</v>
      </c>
      <c r="U621" s="255">
        <f ca="1">IF(R621&gt;0,S621*100/R621,0)</f>
        <v>0</v>
      </c>
    </row>
    <row r="622" spans="1:21" ht="18.75">
      <c r="A622" s="155"/>
      <c r="B622" s="188"/>
      <c r="C622" s="188"/>
      <c r="D622" s="51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256">
        <f>L623+L624</f>
        <v>0</v>
      </c>
      <c r="M622" s="255">
        <f>M623+M624</f>
        <v>0</v>
      </c>
      <c r="N622" s="255">
        <f>N623+N624</f>
        <v>0</v>
      </c>
      <c r="O622" s="255">
        <f>IF(L622&gt;0,N622*100/L622,0)</f>
        <v>0</v>
      </c>
      <c r="P622" s="255">
        <f>IF(M622&gt;0,N622*100/M622,0)</f>
        <v>0</v>
      </c>
      <c r="Q622" s="255">
        <f>Q623+Q624</f>
        <v>0</v>
      </c>
      <c r="R622" s="255">
        <f>R623+R624</f>
        <v>0</v>
      </c>
      <c r="S622" s="255">
        <f>S623+S624</f>
        <v>0</v>
      </c>
      <c r="T622" s="255">
        <f>IF(Q622&gt;0,S622*100/Q622,0)</f>
        <v>0</v>
      </c>
      <c r="U622" s="255">
        <f>IF(R622&gt;0,S622*100/R622,0)</f>
        <v>0</v>
      </c>
    </row>
    <row r="623" spans="1:21" ht="18.75" hidden="1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103">
        <v>0</v>
      </c>
      <c r="M623" s="102">
        <v>0</v>
      </c>
      <c r="N623" s="102">
        <v>0</v>
      </c>
      <c r="O623" s="102">
        <f>IF(L623&gt;0,N623*100/L623,0)</f>
        <v>0</v>
      </c>
      <c r="P623" s="102">
        <f>IF(M623&gt;0,N623*100/M623,0)</f>
        <v>0</v>
      </c>
      <c r="Q623" s="102">
        <v>0</v>
      </c>
      <c r="R623" s="102">
        <v>0</v>
      </c>
      <c r="S623" s="102">
        <v>0</v>
      </c>
      <c r="T623" s="102">
        <f>IF(Q623&gt;0,S623*100/Q623,0)</f>
        <v>0</v>
      </c>
      <c r="U623" s="102">
        <f>IF(R623&gt;0,S623*100/R623,0)</f>
        <v>0</v>
      </c>
    </row>
    <row r="624" spans="1:21" ht="18.75" hidden="1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256">
        <v>0</v>
      </c>
      <c r="M624" s="255">
        <v>0</v>
      </c>
      <c r="N624" s="255">
        <v>0</v>
      </c>
      <c r="O624" s="255">
        <f>IF(L624&gt;0,N624*100/L624,0)</f>
        <v>0</v>
      </c>
      <c r="P624" s="255">
        <f>IF(M624&gt;0,N624*100/M624,0)</f>
        <v>0</v>
      </c>
      <c r="Q624" s="255">
        <v>0</v>
      </c>
      <c r="R624" s="255">
        <v>0</v>
      </c>
      <c r="S624" s="255">
        <v>0</v>
      </c>
      <c r="T624" s="255">
        <f>IF(Q624&gt;0,S624*100/Q624,0)</f>
        <v>0</v>
      </c>
      <c r="U624" s="255">
        <f>IF(R624&gt;0,S624*100/R624,0)</f>
        <v>0</v>
      </c>
    </row>
    <row r="625" spans="1:21" ht="19.5">
      <c r="A625" s="166"/>
      <c r="B625" s="167"/>
      <c r="C625" s="205" t="s">
        <v>18</v>
      </c>
      <c r="D625" s="539" t="s">
        <v>38</v>
      </c>
      <c r="E625" s="169"/>
      <c r="F625" s="169"/>
      <c r="G625" s="170"/>
      <c r="H625" s="206"/>
      <c r="I625" s="163"/>
      <c r="J625" s="163"/>
      <c r="K625" s="164"/>
      <c r="L625" s="172"/>
      <c r="M625" s="164"/>
      <c r="N625" s="164"/>
      <c r="O625" s="164"/>
      <c r="P625" s="164"/>
      <c r="Q625" s="164"/>
      <c r="R625" s="164"/>
      <c r="S625" s="164"/>
      <c r="T625" s="164"/>
      <c r="U625" s="164"/>
    </row>
    <row r="626" spans="1:21" ht="19.5">
      <c r="A626" s="166"/>
      <c r="B626" s="167"/>
      <c r="C626" s="167"/>
      <c r="D626" s="460" t="s">
        <v>224</v>
      </c>
      <c r="E626" s="174"/>
      <c r="F626" s="174"/>
      <c r="G626" s="171"/>
      <c r="H626" s="461" t="s">
        <v>46</v>
      </c>
      <c r="I626" s="373">
        <f ca="1">IFERROR(__xludf.DUMMYFUNCTION("IMPORTRANGE(""https://docs.google.com/spreadsheets/d/1eHaY18a8A9IcSdp1K8H6x8fbOy06t2VsZHhMHf-1x7Y/edit?usp=sharing"",""แผน!ID45"")"),100)</f>
        <v>100</v>
      </c>
      <c r="J626" s="373">
        <f>J632</f>
        <v>0</v>
      </c>
      <c r="K626" s="540">
        <f ca="1">IF(I626&gt;0,J626*100/I626,0)</f>
        <v>0</v>
      </c>
      <c r="L626" s="172"/>
      <c r="M626" s="164"/>
      <c r="N626" s="164"/>
      <c r="O626" s="164"/>
      <c r="P626" s="164"/>
      <c r="Q626" s="164"/>
      <c r="R626" s="164"/>
      <c r="S626" s="164"/>
      <c r="T626" s="164"/>
      <c r="U626" s="164"/>
    </row>
    <row r="627" spans="1:21" ht="18.75">
      <c r="A627" s="166"/>
      <c r="B627" s="167"/>
      <c r="C627" s="167"/>
      <c r="D627" s="167"/>
      <c r="E627" s="178" t="s">
        <v>225</v>
      </c>
      <c r="F627" s="174"/>
      <c r="G627" s="171"/>
      <c r="H627" s="165" t="s">
        <v>61</v>
      </c>
      <c r="I627" s="212">
        <f ca="1">IFERROR(__xludf.DUMMYFUNCTION("IMPORTRANGE(""https://docs.google.com/spreadsheets/d/1eHaY18a8A9IcSdp1K8H6x8fbOy06t2VsZHhMHf-1x7Y/edit?usp=sharing"",""แผน!IC45"")"),1)</f>
        <v>1</v>
      </c>
      <c r="J627" s="467">
        <v>0</v>
      </c>
      <c r="K627" s="255">
        <f ca="1">IF(I627&gt;0,(J627*100)/I627,0)</f>
        <v>0</v>
      </c>
      <c r="L627" s="172"/>
      <c r="M627" s="164"/>
      <c r="N627" s="164"/>
      <c r="O627" s="164"/>
      <c r="P627" s="164"/>
      <c r="Q627" s="164"/>
      <c r="R627" s="164"/>
      <c r="S627" s="164"/>
      <c r="T627" s="164"/>
      <c r="U627" s="164"/>
    </row>
    <row r="628" spans="1:21" ht="18.75">
      <c r="A628" s="166"/>
      <c r="B628" s="167"/>
      <c r="C628" s="167"/>
      <c r="D628" s="167"/>
      <c r="E628" s="178" t="s">
        <v>226</v>
      </c>
      <c r="F628" s="174"/>
      <c r="G628" s="171"/>
      <c r="H628" s="165" t="s">
        <v>61</v>
      </c>
      <c r="I628" s="212">
        <f ca="1">IFERROR(__xludf.DUMMYFUNCTION("IMPORTRANGE(""https://docs.google.com/spreadsheets/d/1eHaY18a8A9IcSdp1K8H6x8fbOy06t2VsZHhMHf-1x7Y/edit?usp=sharing"",""แผน!IC45"")"),1)</f>
        <v>1</v>
      </c>
      <c r="J628" s="467">
        <v>0</v>
      </c>
      <c r="K628" s="255">
        <f ca="1">IF(I628&gt;0,(J628*100)/I628,0)</f>
        <v>0</v>
      </c>
      <c r="L628" s="172"/>
      <c r="M628" s="164"/>
      <c r="N628" s="164"/>
      <c r="O628" s="164"/>
      <c r="P628" s="164"/>
      <c r="Q628" s="164"/>
      <c r="R628" s="164"/>
      <c r="S628" s="164"/>
      <c r="T628" s="164"/>
      <c r="U628" s="164"/>
    </row>
    <row r="629" spans="1:21" ht="18.75">
      <c r="A629" s="166"/>
      <c r="B629" s="167"/>
      <c r="C629" s="167"/>
      <c r="D629" s="167"/>
      <c r="E629" s="178" t="s">
        <v>227</v>
      </c>
      <c r="F629" s="174"/>
      <c r="G629" s="171"/>
      <c r="H629" s="165" t="s">
        <v>46</v>
      </c>
      <c r="I629" s="54"/>
      <c r="J629" s="467">
        <v>0</v>
      </c>
      <c r="K629" s="255">
        <f ca="1">IF(I$626&gt;0,J629*100/I$626,0)</f>
        <v>0</v>
      </c>
      <c r="L629" s="172"/>
      <c r="M629" s="164"/>
      <c r="N629" s="164"/>
      <c r="O629" s="164"/>
      <c r="P629" s="164"/>
      <c r="Q629" s="164"/>
      <c r="R629" s="164"/>
      <c r="S629" s="164"/>
      <c r="T629" s="164"/>
      <c r="U629" s="164"/>
    </row>
    <row r="630" spans="1:21" ht="18.75">
      <c r="A630" s="166"/>
      <c r="B630" s="167"/>
      <c r="C630" s="167"/>
      <c r="D630" s="167"/>
      <c r="E630" s="178" t="s">
        <v>228</v>
      </c>
      <c r="F630" s="174"/>
      <c r="G630" s="171"/>
      <c r="H630" s="165" t="s">
        <v>46</v>
      </c>
      <c r="I630" s="54"/>
      <c r="J630" s="467">
        <v>0</v>
      </c>
      <c r="K630" s="255">
        <f ca="1">IF(I$626&gt;0,J630*100/I$626,0)</f>
        <v>0</v>
      </c>
      <c r="L630" s="172"/>
      <c r="M630" s="164"/>
      <c r="N630" s="164"/>
      <c r="O630" s="164"/>
      <c r="P630" s="164"/>
      <c r="Q630" s="164"/>
      <c r="R630" s="164"/>
      <c r="S630" s="164"/>
      <c r="T630" s="164"/>
      <c r="U630" s="164"/>
    </row>
    <row r="631" spans="1:21" ht="18.75">
      <c r="A631" s="166"/>
      <c r="B631" s="167"/>
      <c r="C631" s="167"/>
      <c r="D631" s="167"/>
      <c r="E631" s="178" t="s">
        <v>229</v>
      </c>
      <c r="F631" s="174"/>
      <c r="G631" s="171"/>
      <c r="H631" s="165" t="s">
        <v>46</v>
      </c>
      <c r="I631" s="54"/>
      <c r="J631" s="467">
        <v>0</v>
      </c>
      <c r="K631" s="255">
        <f ca="1">IF(I$626&gt;0,J631*100/I$626,0)</f>
        <v>0</v>
      </c>
      <c r="L631" s="172"/>
      <c r="M631" s="164"/>
      <c r="N631" s="164"/>
      <c r="O631" s="164"/>
      <c r="P631" s="164"/>
      <c r="Q631" s="164"/>
      <c r="R631" s="164"/>
      <c r="S631" s="164"/>
      <c r="T631" s="164"/>
      <c r="U631" s="164"/>
    </row>
    <row r="632" spans="1:21" ht="19.5">
      <c r="A632" s="166"/>
      <c r="B632" s="167"/>
      <c r="C632" s="167"/>
      <c r="D632" s="167"/>
      <c r="E632" s="178" t="s">
        <v>230</v>
      </c>
      <c r="F632" s="174"/>
      <c r="G632" s="171"/>
      <c r="H632" s="165" t="s">
        <v>46</v>
      </c>
      <c r="I632" s="54"/>
      <c r="J632" s="373">
        <f>J633+J634</f>
        <v>0</v>
      </c>
      <c r="K632" s="540">
        <f ca="1">IF(I626&gt;0,J632*100/I626,0)</f>
        <v>0</v>
      </c>
      <c r="L632" s="172"/>
      <c r="M632" s="164"/>
      <c r="N632" s="164"/>
      <c r="O632" s="164"/>
      <c r="P632" s="164"/>
      <c r="Q632" s="164"/>
      <c r="R632" s="164"/>
      <c r="S632" s="164"/>
      <c r="T632" s="164"/>
      <c r="U632" s="164"/>
    </row>
    <row r="633" spans="1:21" ht="18.75">
      <c r="A633" s="166"/>
      <c r="B633" s="167"/>
      <c r="C633" s="167"/>
      <c r="D633" s="167"/>
      <c r="E633" s="174"/>
      <c r="F633" s="178" t="s">
        <v>231</v>
      </c>
      <c r="G633" s="171"/>
      <c r="H633" s="165" t="s">
        <v>46</v>
      </c>
      <c r="I633" s="54"/>
      <c r="J633" s="467">
        <v>0</v>
      </c>
      <c r="K633" s="55"/>
      <c r="L633" s="172"/>
      <c r="M633" s="164"/>
      <c r="N633" s="164"/>
      <c r="O633" s="164"/>
      <c r="P633" s="164"/>
      <c r="Q633" s="164"/>
      <c r="R633" s="164"/>
      <c r="S633" s="164"/>
      <c r="T633" s="164"/>
      <c r="U633" s="164"/>
    </row>
    <row r="634" spans="1:21" ht="18.75">
      <c r="A634" s="166"/>
      <c r="B634" s="167"/>
      <c r="C634" s="167"/>
      <c r="D634" s="167"/>
      <c r="E634" s="174"/>
      <c r="F634" s="178" t="s">
        <v>232</v>
      </c>
      <c r="G634" s="171"/>
      <c r="H634" s="165" t="s">
        <v>46</v>
      </c>
      <c r="I634" s="54"/>
      <c r="J634" s="467">
        <v>0</v>
      </c>
      <c r="K634" s="55"/>
      <c r="L634" s="172"/>
      <c r="M634" s="164"/>
      <c r="N634" s="164"/>
      <c r="O634" s="164"/>
      <c r="P634" s="164"/>
      <c r="Q634" s="164"/>
      <c r="R634" s="164"/>
      <c r="S634" s="164"/>
      <c r="T634" s="164"/>
      <c r="U634" s="164"/>
    </row>
    <row r="635" spans="1:21" ht="19.5">
      <c r="A635" s="166"/>
      <c r="B635" s="167"/>
      <c r="C635" s="167"/>
      <c r="D635" s="460" t="s">
        <v>233</v>
      </c>
      <c r="E635" s="174"/>
      <c r="F635" s="174"/>
      <c r="G635" s="171"/>
      <c r="H635" s="165" t="s">
        <v>46</v>
      </c>
      <c r="I635" s="373">
        <f ca="1">IFERROR(__xludf.DUMMYFUNCTION("IMPORTRANGE(""https://docs.google.com/spreadsheets/d/1eHaY18a8A9IcSdp1K8H6x8fbOy06t2VsZHhMHf-1x7Y/edit?usp=sharing"",""แผน!IE45"")"),0)</f>
        <v>0</v>
      </c>
      <c r="J635" s="373">
        <f>J636</f>
        <v>0</v>
      </c>
      <c r="K635" s="540">
        <f ca="1">IF(I635&gt;0,J635*100/I635,0)</f>
        <v>0</v>
      </c>
      <c r="L635" s="172"/>
      <c r="M635" s="164"/>
      <c r="N635" s="164"/>
      <c r="O635" s="164"/>
      <c r="P635" s="164"/>
      <c r="Q635" s="164"/>
      <c r="R635" s="164"/>
      <c r="S635" s="164"/>
      <c r="T635" s="164"/>
      <c r="U635" s="164"/>
    </row>
    <row r="636" spans="1:21" ht="18.75">
      <c r="A636" s="166"/>
      <c r="B636" s="167"/>
      <c r="C636" s="167"/>
      <c r="D636" s="167"/>
      <c r="E636" s="178" t="s">
        <v>234</v>
      </c>
      <c r="F636" s="174"/>
      <c r="G636" s="171"/>
      <c r="H636" s="165" t="s">
        <v>46</v>
      </c>
      <c r="I636" s="54"/>
      <c r="J636" s="212">
        <f>J637+J638</f>
        <v>0</v>
      </c>
      <c r="K636" s="55"/>
      <c r="L636" s="172"/>
      <c r="M636" s="164"/>
      <c r="N636" s="164"/>
      <c r="O636" s="164"/>
      <c r="P636" s="164"/>
      <c r="Q636" s="164"/>
      <c r="R636" s="164"/>
      <c r="S636" s="164"/>
      <c r="T636" s="164"/>
      <c r="U636" s="164"/>
    </row>
    <row r="637" spans="1:21" ht="18.75">
      <c r="A637" s="166"/>
      <c r="B637" s="167"/>
      <c r="C637" s="167"/>
      <c r="D637" s="167"/>
      <c r="E637" s="174"/>
      <c r="F637" s="178" t="s">
        <v>231</v>
      </c>
      <c r="G637" s="171"/>
      <c r="H637" s="165" t="s">
        <v>46</v>
      </c>
      <c r="I637" s="54"/>
      <c r="J637" s="467">
        <v>0</v>
      </c>
      <c r="K637" s="55"/>
      <c r="L637" s="172"/>
      <c r="M637" s="164"/>
      <c r="N637" s="164"/>
      <c r="O637" s="164"/>
      <c r="P637" s="164"/>
      <c r="Q637" s="164"/>
      <c r="R637" s="164"/>
      <c r="S637" s="164"/>
      <c r="T637" s="164"/>
      <c r="U637" s="164"/>
    </row>
    <row r="638" spans="1:21" ht="18.75">
      <c r="A638" s="166"/>
      <c r="B638" s="167"/>
      <c r="C638" s="167"/>
      <c r="D638" s="167"/>
      <c r="E638" s="174"/>
      <c r="F638" s="178" t="s">
        <v>232</v>
      </c>
      <c r="G638" s="171"/>
      <c r="H638" s="165" t="s">
        <v>46</v>
      </c>
      <c r="I638" s="54"/>
      <c r="J638" s="467">
        <v>0</v>
      </c>
      <c r="K638" s="55"/>
      <c r="L638" s="172"/>
      <c r="M638" s="164"/>
      <c r="N638" s="164"/>
      <c r="O638" s="164"/>
      <c r="P638" s="164"/>
      <c r="Q638" s="164"/>
      <c r="R638" s="164"/>
      <c r="S638" s="164"/>
      <c r="T638" s="164"/>
      <c r="U638" s="164"/>
    </row>
    <row r="639" spans="1:21" ht="18.75">
      <c r="A639" s="166"/>
      <c r="B639" s="167"/>
      <c r="C639" s="167"/>
      <c r="D639" s="167"/>
      <c r="E639" s="178" t="s">
        <v>235</v>
      </c>
      <c r="F639" s="174"/>
      <c r="G639" s="171"/>
      <c r="H639" s="165" t="s">
        <v>46</v>
      </c>
      <c r="I639" s="54"/>
      <c r="J639" s="467">
        <v>0</v>
      </c>
      <c r="K639" s="55"/>
      <c r="L639" s="172"/>
      <c r="M639" s="164"/>
      <c r="N639" s="164"/>
      <c r="O639" s="164"/>
      <c r="P639" s="164"/>
      <c r="Q639" s="164"/>
      <c r="R639" s="164"/>
      <c r="S639" s="164"/>
      <c r="T639" s="164"/>
      <c r="U639" s="164"/>
    </row>
    <row r="640" spans="1:21" ht="18.75">
      <c r="A640" s="166"/>
      <c r="B640" s="167"/>
      <c r="C640" s="167"/>
      <c r="D640" s="167"/>
      <c r="E640" s="174"/>
      <c r="F640" s="178" t="s">
        <v>236</v>
      </c>
      <c r="G640" s="171"/>
      <c r="H640" s="165" t="s">
        <v>46</v>
      </c>
      <c r="I640" s="54"/>
      <c r="J640" s="467">
        <v>0</v>
      </c>
      <c r="K640" s="55"/>
      <c r="L640" s="172"/>
      <c r="M640" s="164"/>
      <c r="N640" s="164"/>
      <c r="O640" s="164"/>
      <c r="P640" s="164"/>
      <c r="Q640" s="164"/>
      <c r="R640" s="164"/>
      <c r="S640" s="164"/>
      <c r="T640" s="164"/>
      <c r="U640" s="164"/>
    </row>
    <row r="641" spans="1:21" ht="19.5" hidden="1">
      <c r="A641" s="450"/>
      <c r="B641" s="451" t="s">
        <v>237</v>
      </c>
      <c r="C641" s="450"/>
      <c r="D641" s="452"/>
      <c r="E641" s="452"/>
      <c r="F641" s="452"/>
      <c r="G641" s="453"/>
      <c r="H641" s="462"/>
      <c r="I641" s="463"/>
      <c r="J641" s="463"/>
      <c r="K641" s="457"/>
      <c r="L641" s="458"/>
      <c r="M641" s="457"/>
      <c r="N641" s="457"/>
      <c r="O641" s="457"/>
      <c r="P641" s="457"/>
      <c r="Q641" s="457"/>
      <c r="R641" s="457"/>
      <c r="S641" s="457"/>
      <c r="T641" s="457"/>
      <c r="U641" s="457"/>
    </row>
    <row r="642" spans="1:21" ht="19.5" hidden="1">
      <c r="A642" s="155"/>
      <c r="B642" s="188"/>
      <c r="C642" s="239" t="s">
        <v>18</v>
      </c>
      <c r="D642" s="542" t="s">
        <v>19</v>
      </c>
      <c r="E642" s="529"/>
      <c r="F642" s="529"/>
      <c r="G642" s="530"/>
      <c r="H642" s="252" t="s">
        <v>14</v>
      </c>
      <c r="I642" s="54"/>
      <c r="J642" s="54"/>
      <c r="K642" s="55"/>
      <c r="L642" s="541">
        <f>L643+L644</f>
        <v>0</v>
      </c>
      <c r="M642" s="540">
        <f>M643+M644</f>
        <v>0</v>
      </c>
      <c r="N642" s="540">
        <f>N643+N644</f>
        <v>0</v>
      </c>
      <c r="O642" s="540">
        <f>IF(L642&gt;0,N642*100/L642,0)</f>
        <v>0</v>
      </c>
      <c r="P642" s="540">
        <f>IF(M642&gt;0,N642*100/M642,0)</f>
        <v>0</v>
      </c>
      <c r="Q642" s="540">
        <f ca="1">Q643+Q644</f>
        <v>0</v>
      </c>
      <c r="R642" s="540">
        <f ca="1">R643+R644</f>
        <v>0</v>
      </c>
      <c r="S642" s="540">
        <f ca="1">S643+S644</f>
        <v>0</v>
      </c>
      <c r="T642" s="540">
        <f ca="1">IF(Q642&gt;0,S642*100/Q642,0)</f>
        <v>0</v>
      </c>
      <c r="U642" s="540">
        <f ca="1">IF(R642&gt;0,S642*100/R642,0)</f>
        <v>0</v>
      </c>
    </row>
    <row r="643" spans="1:21" ht="18.75" hidden="1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103">
        <f>L646+L649</f>
        <v>0</v>
      </c>
      <c r="M643" s="102">
        <f>M646+M649</f>
        <v>0</v>
      </c>
      <c r="N643" s="102">
        <f>N646+N649</f>
        <v>0</v>
      </c>
      <c r="O643" s="102">
        <f>IF(L643&gt;0,N643*100/L643,0)</f>
        <v>0</v>
      </c>
      <c r="P643" s="102">
        <f>IF(M643&gt;0,N643*100/M643,0)</f>
        <v>0</v>
      </c>
      <c r="Q643" s="102">
        <f>Q646+Q649</f>
        <v>0</v>
      </c>
      <c r="R643" s="102">
        <f>R646+R649</f>
        <v>0</v>
      </c>
      <c r="S643" s="102">
        <f>S646+S649</f>
        <v>0</v>
      </c>
      <c r="T643" s="102">
        <f>IF(Q643&gt;0,S643*100/Q643,0)</f>
        <v>0</v>
      </c>
      <c r="U643" s="102">
        <f>IF(R643&gt;0,S643*100/R643,0)</f>
        <v>0</v>
      </c>
    </row>
    <row r="644" spans="1:21" ht="18.75" hidden="1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256">
        <f>L647+L650</f>
        <v>0</v>
      </c>
      <c r="M644" s="255">
        <f>M647+M650</f>
        <v>0</v>
      </c>
      <c r="N644" s="255">
        <f>N647+N650</f>
        <v>0</v>
      </c>
      <c r="O644" s="255">
        <f>IF(L644&gt;0,N644*100/L644,0)</f>
        <v>0</v>
      </c>
      <c r="P644" s="255">
        <f>IF(M644&gt;0,N644*100/M644,0)</f>
        <v>0</v>
      </c>
      <c r="Q644" s="255">
        <f ca="1">Q647+Q650</f>
        <v>0</v>
      </c>
      <c r="R644" s="255">
        <f ca="1">R647+R650</f>
        <v>0</v>
      </c>
      <c r="S644" s="255">
        <f ca="1">S647+S650</f>
        <v>0</v>
      </c>
      <c r="T644" s="255">
        <f ca="1">IF(Q644&gt;0,S644*100/Q644,0)</f>
        <v>0</v>
      </c>
      <c r="U644" s="255">
        <f ca="1">IF(R644&gt;0,S644*100/R644,0)</f>
        <v>0</v>
      </c>
    </row>
    <row r="645" spans="1:21" ht="18.75" hidden="1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256">
        <f>L646+L647</f>
        <v>0</v>
      </c>
      <c r="M645" s="255">
        <f>M646+M647</f>
        <v>0</v>
      </c>
      <c r="N645" s="255">
        <f>N646+N647</f>
        <v>0</v>
      </c>
      <c r="O645" s="255">
        <f>IF(L645&gt;0,N645*100/L645,0)</f>
        <v>0</v>
      </c>
      <c r="P645" s="255">
        <f>IF(M645&gt;0,N645*100/M645,0)</f>
        <v>0</v>
      </c>
      <c r="Q645" s="255">
        <f ca="1">Q646+Q647</f>
        <v>0</v>
      </c>
      <c r="R645" s="255">
        <f ca="1">R646+R647</f>
        <v>0</v>
      </c>
      <c r="S645" s="255">
        <f ca="1">S646+S647</f>
        <v>0</v>
      </c>
      <c r="T645" s="255">
        <f ca="1">IF(Q645&gt;0,S645*100/Q645,0)</f>
        <v>0</v>
      </c>
      <c r="U645" s="255">
        <f ca="1">IF(R645&gt;0,S645*100/R645,0)</f>
        <v>0</v>
      </c>
    </row>
    <row r="646" spans="1:21" ht="18.75" hidden="1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103">
        <v>0</v>
      </c>
      <c r="M646" s="102">
        <v>0</v>
      </c>
      <c r="N646" s="102">
        <v>0</v>
      </c>
      <c r="O646" s="102">
        <f>IF(L646&gt;0,N646*100/L646,0)</f>
        <v>0</v>
      </c>
      <c r="P646" s="102">
        <f>IF(M646&gt;0,N646*100/M646,0)</f>
        <v>0</v>
      </c>
      <c r="Q646" s="102">
        <v>0</v>
      </c>
      <c r="R646" s="102">
        <v>0</v>
      </c>
      <c r="S646" s="102">
        <v>0</v>
      </c>
      <c r="T646" s="102">
        <f>IF(Q646&gt;0,S646*100/Q646,0)</f>
        <v>0</v>
      </c>
      <c r="U646" s="102">
        <f>IF(R646&gt;0,S646*100/R646,0)</f>
        <v>0</v>
      </c>
    </row>
    <row r="647" spans="1:21" ht="18.75" hidden="1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256">
        <v>0</v>
      </c>
      <c r="M647" s="255">
        <v>0</v>
      </c>
      <c r="N647" s="255">
        <v>0</v>
      </c>
      <c r="O647" s="255">
        <f>IF(L647&gt;0,N647*100/L647,0)</f>
        <v>0</v>
      </c>
      <c r="P647" s="255">
        <f>IF(M647&gt;0,N647*100/M647,0)</f>
        <v>0</v>
      </c>
      <c r="Q647" s="255">
        <f ca="1">IFERROR(__xludf.DUMMYFUNCTION("IMPORTRANGE(""https://docs.google.com/spreadsheets/d/1ItG2mGa2ceCfYo0BwxsXqNm01IGEUdYcSSLTEv9YCik/edit?usp=sharing"",""เบิกจ่ายกองทุน!I45"")"),0)</f>
        <v>0</v>
      </c>
      <c r="R647" s="255">
        <f ca="1">IFERROR(__xludf.DUMMYFUNCTION("IMPORTRANGE(""https://docs.google.com/spreadsheets/d/1ItG2mGa2ceCfYo0BwxsXqNm01IGEUdYcSSLTEv9YCik/edit?usp=sharing"",""เบิกจ่ายกองทุน!J45"")"),0)</f>
        <v>0</v>
      </c>
      <c r="S647" s="255">
        <f ca="1">IFERROR(__xludf.DUMMYFUNCTION("IMPORTRANGE(""https://docs.google.com/spreadsheets/d/1ItG2mGa2ceCfYo0BwxsXqNm01IGEUdYcSSLTEv9YCik/edit?usp=sharing"",""เบิกจ่ายกองทุน!K45"")"),0)</f>
        <v>0</v>
      </c>
      <c r="T647" s="255">
        <f ca="1">IF(Q647&gt;0,S647*100/Q647,0)</f>
        <v>0</v>
      </c>
      <c r="U647" s="255">
        <f ca="1">IF(R647&gt;0,S647*100/R647,0)</f>
        <v>0</v>
      </c>
    </row>
    <row r="648" spans="1:21" ht="18.75" hidden="1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256">
        <f>L649+L650</f>
        <v>0</v>
      </c>
      <c r="M648" s="255">
        <f>M649+M650</f>
        <v>0</v>
      </c>
      <c r="N648" s="255">
        <f>N649+N650</f>
        <v>0</v>
      </c>
      <c r="O648" s="255">
        <f>IF(L648&gt;0,N648*100/L648,0)</f>
        <v>0</v>
      </c>
      <c r="P648" s="255">
        <f>IF(M648&gt;0,N648*100/M648,0)</f>
        <v>0</v>
      </c>
      <c r="Q648" s="255">
        <f>Q649+Q650</f>
        <v>0</v>
      </c>
      <c r="R648" s="255">
        <f>R649+R650</f>
        <v>0</v>
      </c>
      <c r="S648" s="255">
        <f>S649+S650</f>
        <v>0</v>
      </c>
      <c r="T648" s="255">
        <f>IF(Q648&gt;0,S648*100/Q648,0)</f>
        <v>0</v>
      </c>
      <c r="U648" s="255">
        <f>IF(R648&gt;0,S648*100/R648,0)</f>
        <v>0</v>
      </c>
    </row>
    <row r="649" spans="1:21" ht="18.75" hidden="1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103">
        <v>0</v>
      </c>
      <c r="M649" s="102">
        <v>0</v>
      </c>
      <c r="N649" s="102">
        <v>0</v>
      </c>
      <c r="O649" s="102">
        <f>IF(L649&gt;0,N649*100/L649,0)</f>
        <v>0</v>
      </c>
      <c r="P649" s="102">
        <f>IF(M649&gt;0,N649*100/M649,0)</f>
        <v>0</v>
      </c>
      <c r="Q649" s="102">
        <v>0</v>
      </c>
      <c r="R649" s="102">
        <v>0</v>
      </c>
      <c r="S649" s="102">
        <v>0</v>
      </c>
      <c r="T649" s="102">
        <f>IF(Q649&gt;0,S649*100/Q649,0)</f>
        <v>0</v>
      </c>
      <c r="U649" s="102">
        <f>IF(R649&gt;0,S649*100/R649,0)</f>
        <v>0</v>
      </c>
    </row>
    <row r="650" spans="1:21" ht="18.75" hidden="1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256">
        <v>0</v>
      </c>
      <c r="M650" s="255">
        <v>0</v>
      </c>
      <c r="N650" s="255">
        <v>0</v>
      </c>
      <c r="O650" s="255">
        <f>IF(L650&gt;0,N650*100/L650,0)</f>
        <v>0</v>
      </c>
      <c r="P650" s="255">
        <f>IF(M650&gt;0,N650*100/M650,0)</f>
        <v>0</v>
      </c>
      <c r="Q650" s="255">
        <v>0</v>
      </c>
      <c r="R650" s="255">
        <v>0</v>
      </c>
      <c r="S650" s="255">
        <v>0</v>
      </c>
      <c r="T650" s="255">
        <f>IF(Q650&gt;0,S650*100/Q650,0)</f>
        <v>0</v>
      </c>
      <c r="U650" s="255">
        <f>IF(R650&gt;0,S650*100/R650,0)</f>
        <v>0</v>
      </c>
    </row>
    <row r="651" spans="1:21" ht="19.5" hidden="1">
      <c r="A651" s="166"/>
      <c r="B651" s="167"/>
      <c r="C651" s="239" t="s">
        <v>18</v>
      </c>
      <c r="D651" s="571" t="s">
        <v>38</v>
      </c>
      <c r="E651" s="169"/>
      <c r="F651" s="169"/>
      <c r="G651" s="170"/>
      <c r="H651" s="206"/>
      <c r="I651" s="163"/>
      <c r="J651" s="163"/>
      <c r="K651" s="164"/>
      <c r="L651" s="172"/>
      <c r="M651" s="164"/>
      <c r="N651" s="164"/>
      <c r="O651" s="164"/>
      <c r="P651" s="164"/>
      <c r="Q651" s="55"/>
      <c r="R651" s="55"/>
      <c r="S651" s="55"/>
      <c r="T651" s="164"/>
      <c r="U651" s="164"/>
    </row>
    <row r="652" spans="1:21" ht="18.75" hidden="1">
      <c r="A652" s="238"/>
      <c r="B652" s="188"/>
      <c r="C652" s="188"/>
      <c r="D652" s="58" t="s">
        <v>238</v>
      </c>
      <c r="E652" s="50"/>
      <c r="F652" s="50"/>
      <c r="G652" s="52"/>
      <c r="H652" s="165" t="s">
        <v>46</v>
      </c>
      <c r="I652" s="570">
        <f ca="1">IFERROR(__xludf.DUMMYFUNCTION("IMPORTRANGE(""https://docs.google.com/spreadsheets/d/1eHaY18a8A9IcSdp1K8H6x8fbOy06t2VsZHhMHf-1x7Y/edit?usp=sharing"",""แผน!IF45"")"),0)</f>
        <v>0</v>
      </c>
      <c r="J652" s="212">
        <f ca="1">IFERROR(__xludf.DUMMYFUNCTION("IMPORTRANGE(""https://docs.google.com/spreadsheets/d/1tdoBKaGub7dwA3U6UFTqxio9LNnvDCQjHKmttSEBsFQ/edit?usp=sharing"",""จัดที่ดิน!AU45"")"),0)</f>
        <v>0</v>
      </c>
      <c r="K652" s="255">
        <f ca="1">IF(I652&gt;0,J652*100/I652,0)</f>
        <v>0</v>
      </c>
      <c r="L652" s="62"/>
      <c r="M652" s="55"/>
      <c r="N652" s="468"/>
      <c r="O652" s="55"/>
      <c r="P652" s="55"/>
      <c r="Q652" s="55"/>
      <c r="R652" s="55"/>
      <c r="S652" s="468"/>
      <c r="T652" s="55"/>
      <c r="U652" s="55"/>
    </row>
    <row r="653" spans="1:21" ht="18.75" hidden="1">
      <c r="A653" s="238"/>
      <c r="B653" s="188"/>
      <c r="C653" s="188"/>
      <c r="D653" s="58" t="s">
        <v>239</v>
      </c>
      <c r="E653" s="50"/>
      <c r="F653" s="50"/>
      <c r="G653" s="52"/>
      <c r="H653" s="165" t="s">
        <v>35</v>
      </c>
      <c r="I653" s="570">
        <f ca="1">IFERROR(__xludf.DUMMYFUNCTION("IMPORTRANGE(""https://docs.google.com/spreadsheets/d/1eHaY18a8A9IcSdp1K8H6x8fbOy06t2VsZHhMHf-1x7Y/edit?usp=sharing"",""แผน!IG45"")"),0)</f>
        <v>0</v>
      </c>
      <c r="J653" s="212">
        <f ca="1">IFERROR(__xludf.DUMMYFUNCTION("IMPORTRANGE(""https://docs.google.com/spreadsheets/d/1tdoBKaGub7dwA3U6UFTqxio9LNnvDCQjHKmttSEBsFQ/edit?usp=sharing"",""จัดที่ดิน!AW45"")"),0)</f>
        <v>0</v>
      </c>
      <c r="K653" s="255">
        <f ca="1">IF(I653&gt;0,J653*100/I653,0)</f>
        <v>0</v>
      </c>
      <c r="L653" s="62"/>
      <c r="M653" s="55"/>
      <c r="N653" s="468"/>
      <c r="O653" s="55"/>
      <c r="P653" s="55"/>
      <c r="Q653" s="55"/>
      <c r="R653" s="55"/>
      <c r="S653" s="468"/>
      <c r="T653" s="55"/>
      <c r="U653" s="55"/>
    </row>
    <row r="654" spans="1:21" ht="19.5" hidden="1">
      <c r="A654" s="238"/>
      <c r="B654" s="188"/>
      <c r="C654" s="188"/>
      <c r="D654" s="58" t="s">
        <v>240</v>
      </c>
      <c r="E654" s="50"/>
      <c r="F654" s="50"/>
      <c r="G654" s="52"/>
      <c r="H654" s="461" t="s">
        <v>46</v>
      </c>
      <c r="I654" s="569">
        <f ca="1">IFERROR(__xludf.DUMMYFUNCTION("IMPORTRANGE(""https://docs.google.com/spreadsheets/d/1eHaY18a8A9IcSdp1K8H6x8fbOy06t2VsZHhMHf-1x7Y/edit?usp=sharing"",""แผน!IH45"")"),0)</f>
        <v>0</v>
      </c>
      <c r="J654" s="373">
        <f>J657+J660</f>
        <v>0</v>
      </c>
      <c r="K654" s="540">
        <f ca="1">IF(I654&gt;0,J654*100/I654,0)</f>
        <v>0</v>
      </c>
      <c r="L654" s="62"/>
      <c r="M654" s="55"/>
      <c r="N654" s="468"/>
      <c r="O654" s="55"/>
      <c r="P654" s="55"/>
      <c r="Q654" s="55"/>
      <c r="R654" s="55"/>
      <c r="S654" s="468"/>
      <c r="T654" s="55"/>
      <c r="U654" s="55"/>
    </row>
    <row r="655" spans="1:21" ht="18.75" hidden="1">
      <c r="A655" s="238"/>
      <c r="B655" s="188"/>
      <c r="C655" s="188"/>
      <c r="D655" s="50"/>
      <c r="E655" s="58" t="s">
        <v>241</v>
      </c>
      <c r="F655" s="50"/>
      <c r="G655" s="52"/>
      <c r="H655" s="165" t="s">
        <v>35</v>
      </c>
      <c r="I655" s="208"/>
      <c r="J655" s="467">
        <v>0</v>
      </c>
      <c r="K655" s="55"/>
      <c r="L655" s="62"/>
      <c r="M655" s="55"/>
      <c r="N655" s="468"/>
      <c r="O655" s="55"/>
      <c r="P655" s="55"/>
      <c r="Q655" s="55"/>
      <c r="R655" s="55"/>
      <c r="S655" s="468"/>
      <c r="T655" s="55"/>
      <c r="U655" s="55"/>
    </row>
    <row r="656" spans="1:21" ht="18.75" hidden="1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67">
        <v>0</v>
      </c>
      <c r="K656" s="55"/>
      <c r="L656" s="62"/>
      <c r="M656" s="55"/>
      <c r="N656" s="468"/>
      <c r="O656" s="55"/>
      <c r="P656" s="55"/>
      <c r="Q656" s="55"/>
      <c r="R656" s="55"/>
      <c r="S656" s="468"/>
      <c r="T656" s="55"/>
      <c r="U656" s="55"/>
    </row>
    <row r="657" spans="1:21" ht="18.75" hidden="1">
      <c r="A657" s="238"/>
      <c r="B657" s="188"/>
      <c r="C657" s="188"/>
      <c r="D657" s="50"/>
      <c r="E657" s="50"/>
      <c r="F657" s="50"/>
      <c r="G657" s="52"/>
      <c r="H657" s="165" t="s">
        <v>46</v>
      </c>
      <c r="I657" s="570">
        <f ca="1">IFERROR(__xludf.DUMMYFUNCTION("IMPORTRANGE(""https://docs.google.com/spreadsheets/d/1eHaY18a8A9IcSdp1K8H6x8fbOy06t2VsZHhMHf-1x7Y/edit?usp=sharing"",""แผน!II45"")"),0)</f>
        <v>0</v>
      </c>
      <c r="J657" s="467">
        <v>0</v>
      </c>
      <c r="K657" s="55"/>
      <c r="L657" s="62"/>
      <c r="M657" s="55"/>
      <c r="N657" s="468"/>
      <c r="O657" s="55"/>
      <c r="P657" s="55"/>
      <c r="Q657" s="55"/>
      <c r="R657" s="55"/>
      <c r="S657" s="468"/>
      <c r="T657" s="55"/>
      <c r="U657" s="55"/>
    </row>
    <row r="658" spans="1:21" ht="18.75" hidden="1">
      <c r="A658" s="238"/>
      <c r="B658" s="188"/>
      <c r="C658" s="188"/>
      <c r="D658" s="50"/>
      <c r="E658" s="58" t="s">
        <v>242</v>
      </c>
      <c r="F658" s="50"/>
      <c r="G658" s="52"/>
      <c r="H658" s="165" t="s">
        <v>35</v>
      </c>
      <c r="I658" s="208"/>
      <c r="J658" s="467">
        <v>0</v>
      </c>
      <c r="K658" s="55"/>
      <c r="L658" s="62"/>
      <c r="M658" s="55"/>
      <c r="N658" s="468"/>
      <c r="O658" s="55"/>
      <c r="P658" s="55"/>
      <c r="Q658" s="55"/>
      <c r="R658" s="55"/>
      <c r="S658" s="468"/>
      <c r="T658" s="55"/>
      <c r="U658" s="55"/>
    </row>
    <row r="659" spans="1:21" ht="18.75" hidden="1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67">
        <v>0</v>
      </c>
      <c r="K659" s="55"/>
      <c r="L659" s="62"/>
      <c r="M659" s="55"/>
      <c r="N659" s="468"/>
      <c r="O659" s="55"/>
      <c r="P659" s="55"/>
      <c r="Q659" s="55"/>
      <c r="R659" s="55"/>
      <c r="S659" s="468"/>
      <c r="T659" s="55"/>
      <c r="U659" s="55"/>
    </row>
    <row r="660" spans="1:21" ht="18.75" hidden="1">
      <c r="A660" s="238"/>
      <c r="B660" s="188"/>
      <c r="C660" s="188"/>
      <c r="D660" s="50"/>
      <c r="E660" s="50"/>
      <c r="F660" s="50"/>
      <c r="G660" s="52"/>
      <c r="H660" s="165" t="s">
        <v>46</v>
      </c>
      <c r="I660" s="570">
        <f ca="1">IFERROR(__xludf.DUMMYFUNCTION("IMPORTRANGE(""https://docs.google.com/spreadsheets/d/1eHaY18a8A9IcSdp1K8H6x8fbOy06t2VsZHhMHf-1x7Y/edit?usp=sharing"",""แผน!IJ45"")"),0)</f>
        <v>0</v>
      </c>
      <c r="J660" s="467">
        <v>0</v>
      </c>
      <c r="K660" s="55"/>
      <c r="L660" s="62"/>
      <c r="M660" s="55"/>
      <c r="N660" s="468"/>
      <c r="O660" s="55"/>
      <c r="P660" s="55"/>
      <c r="Q660" s="55"/>
      <c r="R660" s="55"/>
      <c r="S660" s="468"/>
      <c r="T660" s="55"/>
      <c r="U660" s="55"/>
    </row>
    <row r="661" spans="1:21" ht="19.5" hidden="1">
      <c r="A661" s="238"/>
      <c r="B661" s="188"/>
      <c r="C661" s="188"/>
      <c r="D661" s="377" t="s">
        <v>243</v>
      </c>
      <c r="E661" s="50"/>
      <c r="F661" s="50"/>
      <c r="G661" s="52"/>
      <c r="H661" s="461" t="s">
        <v>46</v>
      </c>
      <c r="I661" s="569">
        <f ca="1">IFERROR(__xludf.DUMMYFUNCTION("IMPORTRANGE(""https://docs.google.com/spreadsheets/d/1eHaY18a8A9IcSdp1K8H6x8fbOy06t2VsZHhMHf-1x7Y/edit?usp=sharing"",""แผน!IK45"")"),0)</f>
        <v>0</v>
      </c>
      <c r="J661" s="373">
        <f>J667+J670</f>
        <v>0</v>
      </c>
      <c r="K661" s="540">
        <f ca="1">IF(I661&gt;0,J661*100/I661,0)</f>
        <v>0</v>
      </c>
      <c r="L661" s="62"/>
      <c r="M661" s="55"/>
      <c r="N661" s="468"/>
      <c r="O661" s="55"/>
      <c r="P661" s="55"/>
      <c r="Q661" s="55"/>
      <c r="R661" s="55"/>
      <c r="S661" s="468"/>
      <c r="T661" s="55"/>
      <c r="U661" s="55"/>
    </row>
    <row r="662" spans="1:21" ht="18.75" hidden="1">
      <c r="A662" s="238"/>
      <c r="B662" s="188"/>
      <c r="C662" s="188"/>
      <c r="D662" s="50"/>
      <c r="E662" s="58" t="s">
        <v>244</v>
      </c>
      <c r="F662" s="50"/>
      <c r="G662" s="52"/>
      <c r="H662" s="165" t="s">
        <v>34</v>
      </c>
      <c r="I662" s="208"/>
      <c r="J662" s="467">
        <v>0</v>
      </c>
      <c r="K662" s="55"/>
      <c r="L662" s="469"/>
      <c r="M662" s="55"/>
      <c r="N662" s="468"/>
      <c r="O662" s="55"/>
      <c r="P662" s="55"/>
      <c r="Q662" s="468"/>
      <c r="R662" s="55"/>
      <c r="S662" s="468"/>
      <c r="T662" s="55"/>
      <c r="U662" s="55"/>
    </row>
    <row r="663" spans="1:21" ht="18.75" hidden="1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67">
        <v>0</v>
      </c>
      <c r="K663" s="55"/>
      <c r="L663" s="469"/>
      <c r="M663" s="55"/>
      <c r="N663" s="468"/>
      <c r="O663" s="55"/>
      <c r="P663" s="55"/>
      <c r="Q663" s="468"/>
      <c r="R663" s="55"/>
      <c r="S663" s="468"/>
      <c r="T663" s="55"/>
      <c r="U663" s="55"/>
    </row>
    <row r="664" spans="1:21" ht="18.75" hidden="1">
      <c r="A664" s="238"/>
      <c r="B664" s="188"/>
      <c r="C664" s="188"/>
      <c r="D664" s="50"/>
      <c r="E664" s="58" t="s">
        <v>245</v>
      </c>
      <c r="F664" s="50"/>
      <c r="G664" s="52"/>
      <c r="H664" s="206"/>
      <c r="I664" s="208"/>
      <c r="J664" s="54"/>
      <c r="K664" s="55"/>
      <c r="L664" s="469"/>
      <c r="M664" s="55"/>
      <c r="N664" s="468"/>
      <c r="O664" s="55"/>
      <c r="P664" s="55"/>
      <c r="Q664" s="468"/>
      <c r="R664" s="55"/>
      <c r="S664" s="468"/>
      <c r="T664" s="55"/>
      <c r="U664" s="55"/>
    </row>
    <row r="665" spans="1:21" ht="18.75" hidden="1">
      <c r="A665" s="238"/>
      <c r="B665" s="188"/>
      <c r="C665" s="188"/>
      <c r="D665" s="50"/>
      <c r="E665" s="50"/>
      <c r="F665" s="58" t="s">
        <v>246</v>
      </c>
      <c r="G665" s="52"/>
      <c r="H665" s="165" t="s">
        <v>35</v>
      </c>
      <c r="I665" s="208"/>
      <c r="J665" s="467">
        <v>0</v>
      </c>
      <c r="K665" s="55"/>
      <c r="L665" s="469"/>
      <c r="M665" s="55"/>
      <c r="N665" s="468"/>
      <c r="O665" s="55"/>
      <c r="P665" s="55"/>
      <c r="Q665" s="468"/>
      <c r="R665" s="55"/>
      <c r="S665" s="468"/>
      <c r="T665" s="55"/>
      <c r="U665" s="55"/>
    </row>
    <row r="666" spans="1:21" ht="18.75" hidden="1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67">
        <v>0</v>
      </c>
      <c r="K666" s="55"/>
      <c r="L666" s="469"/>
      <c r="M666" s="55"/>
      <c r="N666" s="468"/>
      <c r="O666" s="55"/>
      <c r="P666" s="55"/>
      <c r="Q666" s="468"/>
      <c r="R666" s="55"/>
      <c r="S666" s="468"/>
      <c r="T666" s="55"/>
      <c r="U666" s="55"/>
    </row>
    <row r="667" spans="1:21" ht="18.75" hidden="1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67">
        <v>0</v>
      </c>
      <c r="K667" s="55"/>
      <c r="L667" s="469"/>
      <c r="M667" s="55"/>
      <c r="N667" s="468"/>
      <c r="O667" s="55"/>
      <c r="P667" s="55"/>
      <c r="Q667" s="468"/>
      <c r="R667" s="55"/>
      <c r="S667" s="468"/>
      <c r="T667" s="55"/>
      <c r="U667" s="55"/>
    </row>
    <row r="668" spans="1:21" ht="18.75" hidden="1">
      <c r="A668" s="238"/>
      <c r="B668" s="188"/>
      <c r="C668" s="188"/>
      <c r="D668" s="50"/>
      <c r="E668" s="50"/>
      <c r="F668" s="58" t="s">
        <v>247</v>
      </c>
      <c r="G668" s="52"/>
      <c r="H668" s="165" t="s">
        <v>35</v>
      </c>
      <c r="I668" s="208"/>
      <c r="J668" s="467">
        <v>0</v>
      </c>
      <c r="K668" s="55"/>
      <c r="L668" s="469"/>
      <c r="M668" s="55"/>
      <c r="N668" s="468"/>
      <c r="O668" s="55"/>
      <c r="P668" s="55"/>
      <c r="Q668" s="468"/>
      <c r="R668" s="55"/>
      <c r="S668" s="468"/>
      <c r="T668" s="55"/>
      <c r="U668" s="55"/>
    </row>
    <row r="669" spans="1:21" ht="18.75" hidden="1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67">
        <v>0</v>
      </c>
      <c r="K669" s="55"/>
      <c r="L669" s="469"/>
      <c r="M669" s="55"/>
      <c r="N669" s="468"/>
      <c r="O669" s="55"/>
      <c r="P669" s="55"/>
      <c r="Q669" s="468"/>
      <c r="R669" s="55"/>
      <c r="S669" s="468"/>
      <c r="T669" s="55"/>
      <c r="U669" s="55"/>
    </row>
    <row r="670" spans="1:21" ht="18.75" hidden="1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67">
        <v>0</v>
      </c>
      <c r="K670" s="55"/>
      <c r="L670" s="469"/>
      <c r="M670" s="55"/>
      <c r="N670" s="468"/>
      <c r="O670" s="55"/>
      <c r="P670" s="55"/>
      <c r="Q670" s="468"/>
      <c r="R670" s="55"/>
      <c r="S670" s="468"/>
      <c r="T670" s="55"/>
      <c r="U670" s="55"/>
    </row>
    <row r="671" spans="1:21" ht="18.75" hidden="1">
      <c r="A671" s="238"/>
      <c r="B671" s="188"/>
      <c r="C671" s="188"/>
      <c r="D671" s="58" t="s">
        <v>248</v>
      </c>
      <c r="E671" s="50"/>
      <c r="F671" s="50"/>
      <c r="G671" s="52"/>
      <c r="H671" s="165" t="s">
        <v>35</v>
      </c>
      <c r="I671" s="208"/>
      <c r="J671" s="212">
        <f ca="1">IFERROR(__xludf.DUMMYFUNCTION("IMPORTRANGE(""https://docs.google.com/spreadsheets/d/1tdoBKaGub7dwA3U6UFTqxio9LNnvDCQjHKmttSEBsFQ/edit?usp=sharing"",""จัดที่ดิน!AY45"")"),0)</f>
        <v>0</v>
      </c>
      <c r="K671" s="55"/>
      <c r="L671" s="62"/>
      <c r="M671" s="55"/>
      <c r="N671" s="468"/>
      <c r="O671" s="55"/>
      <c r="P671" s="55"/>
      <c r="Q671" s="55"/>
      <c r="R671" s="55"/>
      <c r="S671" s="468"/>
      <c r="T671" s="55"/>
      <c r="U671" s="55"/>
    </row>
    <row r="672" spans="1:21" ht="18.75" hidden="1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212">
        <f ca="1">IFERROR(__xludf.DUMMYFUNCTION("IMPORTRANGE(""https://docs.google.com/spreadsheets/d/1tdoBKaGub7dwA3U6UFTqxio9LNnvDCQjHKmttSEBsFQ/edit?usp=sharing"",""จัดที่ดิน!AZ45"")"),0)</f>
        <v>0</v>
      </c>
      <c r="K672" s="55"/>
      <c r="L672" s="469"/>
      <c r="M672" s="55"/>
      <c r="N672" s="468"/>
      <c r="O672" s="55"/>
      <c r="P672" s="55"/>
      <c r="Q672" s="468"/>
      <c r="R672" s="55"/>
      <c r="S672" s="468"/>
      <c r="T672" s="55"/>
      <c r="U672" s="55"/>
    </row>
    <row r="673" spans="1:21" ht="18.75" hidden="1">
      <c r="A673" s="238"/>
      <c r="B673" s="188"/>
      <c r="C673" s="188"/>
      <c r="D673" s="50"/>
      <c r="E673" s="50"/>
      <c r="F673" s="50"/>
      <c r="G673" s="52"/>
      <c r="H673" s="165" t="s">
        <v>46</v>
      </c>
      <c r="I673" s="570">
        <f ca="1">IFERROR(__xludf.DUMMYFUNCTION("IMPORTRANGE(""https://docs.google.com/spreadsheets/d/1eHaY18a8A9IcSdp1K8H6x8fbOy06t2VsZHhMHf-1x7Y/edit?usp=sharing"",""แผน!IL45"")"),0)</f>
        <v>0</v>
      </c>
      <c r="J673" s="212">
        <f ca="1">IFERROR(__xludf.DUMMYFUNCTION("IMPORTRANGE(""https://docs.google.com/spreadsheets/d/1tdoBKaGub7dwA3U6UFTqxio9LNnvDCQjHKmttSEBsFQ/edit?usp=sharing"",""จัดที่ดิน!BA45"")"),0)</f>
        <v>0</v>
      </c>
      <c r="K673" s="255">
        <f ca="1">IF(I673&gt;0,J673*100/I673,0)</f>
        <v>0</v>
      </c>
      <c r="L673" s="469"/>
      <c r="M673" s="55"/>
      <c r="N673" s="468"/>
      <c r="O673" s="55"/>
      <c r="P673" s="55"/>
      <c r="Q673" s="468"/>
      <c r="R673" s="55"/>
      <c r="S673" s="468"/>
      <c r="T673" s="55"/>
      <c r="U673" s="55"/>
    </row>
    <row r="674" spans="1:21" ht="19.5" hidden="1">
      <c r="A674" s="238"/>
      <c r="B674" s="188"/>
      <c r="C674" s="188"/>
      <c r="D674" s="58" t="s">
        <v>249</v>
      </c>
      <c r="E674" s="50"/>
      <c r="F674" s="50"/>
      <c r="G674" s="52"/>
      <c r="H674" s="461" t="s">
        <v>35</v>
      </c>
      <c r="I674" s="569">
        <f ca="1">IFERROR(__xludf.DUMMYFUNCTION("IMPORTRANGE(""https://docs.google.com/spreadsheets/d/1eHaY18a8A9IcSdp1K8H6x8fbOy06t2VsZHhMHf-1x7Y/edit?usp=sharing"",""แผน!IM45"")"),0)</f>
        <v>0</v>
      </c>
      <c r="J674" s="373">
        <f ca="1">J676+J679</f>
        <v>0</v>
      </c>
      <c r="K674" s="540">
        <f ca="1">IF(I674&gt;0,J674*100/I674,0)</f>
        <v>0</v>
      </c>
      <c r="L674" s="469"/>
      <c r="M674" s="55"/>
      <c r="N674" s="468"/>
      <c r="O674" s="55"/>
      <c r="P674" s="55"/>
      <c r="Q674" s="468"/>
      <c r="R674" s="55"/>
      <c r="S674" s="468"/>
      <c r="T674" s="55"/>
      <c r="U674" s="55"/>
    </row>
    <row r="675" spans="1:21" ht="19.5" hidden="1">
      <c r="A675" s="238"/>
      <c r="B675" s="188"/>
      <c r="C675" s="188"/>
      <c r="D675" s="50"/>
      <c r="E675" s="50"/>
      <c r="F675" s="50"/>
      <c r="G675" s="52"/>
      <c r="H675" s="461" t="s">
        <v>46</v>
      </c>
      <c r="I675" s="569">
        <f ca="1">IFERROR(__xludf.DUMMYFUNCTION("IMPORTRANGE(""https://docs.google.com/spreadsheets/d/1eHaY18a8A9IcSdp1K8H6x8fbOy06t2VsZHhMHf-1x7Y/edit?usp=sharing"",""แผน!IN45"")"),0)</f>
        <v>0</v>
      </c>
      <c r="J675" s="373">
        <f ca="1">J678+J681</f>
        <v>0</v>
      </c>
      <c r="K675" s="540">
        <f ca="1">IF(I675&gt;0,J675*100/I675,0)</f>
        <v>0</v>
      </c>
      <c r="L675" s="62"/>
      <c r="M675" s="55"/>
      <c r="N675" s="468"/>
      <c r="O675" s="55"/>
      <c r="P675" s="55"/>
      <c r="Q675" s="55"/>
      <c r="R675" s="55"/>
      <c r="S675" s="468"/>
      <c r="T675" s="55"/>
      <c r="U675" s="55"/>
    </row>
    <row r="676" spans="1:21" ht="18.75" hidden="1">
      <c r="A676" s="238"/>
      <c r="B676" s="188"/>
      <c r="C676" s="188"/>
      <c r="D676" s="50"/>
      <c r="E676" s="58" t="s">
        <v>250</v>
      </c>
      <c r="F676" s="50"/>
      <c r="G676" s="52"/>
      <c r="H676" s="165" t="s">
        <v>35</v>
      </c>
      <c r="I676" s="570">
        <f ca="1">IFERROR(__xludf.DUMMYFUNCTION("IMPORTRANGE(""https://docs.google.com/spreadsheets/d/1eHaY18a8A9IcSdp1K8H6x8fbOy06t2VsZHhMHf-1x7Y/edit?usp=sharing"",""แผน!IO45"")"),0)</f>
        <v>0</v>
      </c>
      <c r="J676" s="212">
        <f ca="1">IFERROR(__xludf.DUMMYFUNCTION("IMPORTRANGE(""https://docs.google.com/spreadsheets/d/1tdoBKaGub7dwA3U6UFTqxio9LNnvDCQjHKmttSEBsFQ/edit?usp=sharing"",""จัดที่ดิน!BF45"")"),0)</f>
        <v>0</v>
      </c>
      <c r="K676" s="255">
        <f ca="1">IF(I676&gt;0,J676*100/I676,0)</f>
        <v>0</v>
      </c>
      <c r="L676" s="62"/>
      <c r="M676" s="55"/>
      <c r="N676" s="468"/>
      <c r="O676" s="55"/>
      <c r="P676" s="55"/>
      <c r="Q676" s="55"/>
      <c r="R676" s="55"/>
      <c r="S676" s="468"/>
      <c r="T676" s="55"/>
      <c r="U676" s="55"/>
    </row>
    <row r="677" spans="1:21" ht="18.75" hidden="1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212">
        <f ca="1">IFERROR(__xludf.DUMMYFUNCTION("IMPORTRANGE(""https://docs.google.com/spreadsheets/d/1tdoBKaGub7dwA3U6UFTqxio9LNnvDCQjHKmttSEBsFQ/edit?usp=sharing"",""จัดที่ดิน!BG45"")"),0)</f>
        <v>0</v>
      </c>
      <c r="K677" s="55"/>
      <c r="L677" s="469"/>
      <c r="M677" s="55"/>
      <c r="N677" s="468"/>
      <c r="O677" s="55"/>
      <c r="P677" s="55"/>
      <c r="Q677" s="468"/>
      <c r="R677" s="55"/>
      <c r="S677" s="468"/>
      <c r="T677" s="55"/>
      <c r="U677" s="55"/>
    </row>
    <row r="678" spans="1:21" ht="18.75" hidden="1">
      <c r="A678" s="238"/>
      <c r="B678" s="188"/>
      <c r="C678" s="188"/>
      <c r="D678" s="50"/>
      <c r="E678" s="50"/>
      <c r="F678" s="50"/>
      <c r="G678" s="52"/>
      <c r="H678" s="165" t="s">
        <v>46</v>
      </c>
      <c r="I678" s="570">
        <f ca="1">IFERROR(__xludf.DUMMYFUNCTION("IMPORTRANGE(""https://docs.google.com/spreadsheets/d/1eHaY18a8A9IcSdp1K8H6x8fbOy06t2VsZHhMHf-1x7Y/edit?usp=sharing"",""แผน!IP45"")"),0)</f>
        <v>0</v>
      </c>
      <c r="J678" s="212">
        <f ca="1">IFERROR(__xludf.DUMMYFUNCTION("IMPORTRANGE(""https://docs.google.com/spreadsheets/d/1tdoBKaGub7dwA3U6UFTqxio9LNnvDCQjHKmttSEBsFQ/edit?usp=sharing"",""จัดที่ดิน!BH45"")"),0)</f>
        <v>0</v>
      </c>
      <c r="K678" s="255">
        <f ca="1">IF(I678&gt;0,J678*100/I678,0)</f>
        <v>0</v>
      </c>
      <c r="L678" s="469"/>
      <c r="M678" s="55"/>
      <c r="N678" s="468"/>
      <c r="O678" s="55"/>
      <c r="P678" s="55"/>
      <c r="Q678" s="468"/>
      <c r="R678" s="55"/>
      <c r="S678" s="468"/>
      <c r="T678" s="55"/>
      <c r="U678" s="55"/>
    </row>
    <row r="679" spans="1:21" ht="18.75" hidden="1">
      <c r="A679" s="238"/>
      <c r="B679" s="188"/>
      <c r="C679" s="188"/>
      <c r="D679" s="50"/>
      <c r="E679" s="58" t="s">
        <v>251</v>
      </c>
      <c r="F679" s="50"/>
      <c r="G679" s="52"/>
      <c r="H679" s="165" t="s">
        <v>35</v>
      </c>
      <c r="I679" s="570">
        <f ca="1">IFERROR(__xludf.DUMMYFUNCTION("IMPORTRANGE(""https://docs.google.com/spreadsheets/d/1eHaY18a8A9IcSdp1K8H6x8fbOy06t2VsZHhMHf-1x7Y/edit?usp=sharing"",""แผน!IQ45"")"),0)</f>
        <v>0</v>
      </c>
      <c r="J679" s="212">
        <f ca="1">IFERROR(__xludf.DUMMYFUNCTION("IMPORTRANGE(""https://docs.google.com/spreadsheets/d/1tdoBKaGub7dwA3U6UFTqxio9LNnvDCQjHKmttSEBsFQ/edit?usp=sharing"",""จัดที่ดิน!BK45"")"),0)</f>
        <v>0</v>
      </c>
      <c r="K679" s="255">
        <f ca="1">IF(I679&gt;0,J679*100/I679,0)</f>
        <v>0</v>
      </c>
      <c r="L679" s="62"/>
      <c r="M679" s="55"/>
      <c r="N679" s="468"/>
      <c r="O679" s="55"/>
      <c r="P679" s="55"/>
      <c r="Q679" s="55"/>
      <c r="R679" s="55"/>
      <c r="S679" s="468"/>
      <c r="T679" s="55"/>
      <c r="U679" s="55"/>
    </row>
    <row r="680" spans="1:21" ht="18.75" hidden="1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212">
        <f ca="1">IFERROR(__xludf.DUMMYFUNCTION("IMPORTRANGE(""https://docs.google.com/spreadsheets/d/1tdoBKaGub7dwA3U6UFTqxio9LNnvDCQjHKmttSEBsFQ/edit?usp=sharing"",""จัดที่ดิน!BL45"")"),0)</f>
        <v>0</v>
      </c>
      <c r="K680" s="55"/>
      <c r="L680" s="469"/>
      <c r="M680" s="55"/>
      <c r="N680" s="468"/>
      <c r="O680" s="55"/>
      <c r="P680" s="55"/>
      <c r="Q680" s="468"/>
      <c r="R680" s="55"/>
      <c r="S680" s="468"/>
      <c r="T680" s="55"/>
      <c r="U680" s="55"/>
    </row>
    <row r="681" spans="1:21" ht="18.75" hidden="1">
      <c r="A681" s="238"/>
      <c r="B681" s="188"/>
      <c r="C681" s="188"/>
      <c r="D681" s="50"/>
      <c r="E681" s="50"/>
      <c r="F681" s="50"/>
      <c r="G681" s="52"/>
      <c r="H681" s="165" t="s">
        <v>46</v>
      </c>
      <c r="I681" s="570">
        <f ca="1">IFERROR(__xludf.DUMMYFUNCTION("IMPORTRANGE(""https://docs.google.com/spreadsheets/d/1eHaY18a8A9IcSdp1K8H6x8fbOy06t2VsZHhMHf-1x7Y/edit?usp=sharing"",""แผน!IR45"")"),0)</f>
        <v>0</v>
      </c>
      <c r="J681" s="212">
        <f ca="1">IFERROR(__xludf.DUMMYFUNCTION("IMPORTRANGE(""https://docs.google.com/spreadsheets/d/1tdoBKaGub7dwA3U6UFTqxio9LNnvDCQjHKmttSEBsFQ/edit?usp=sharing"",""จัดที่ดิน!BM45"")"),0)</f>
        <v>0</v>
      </c>
      <c r="K681" s="255">
        <f ca="1">IF(I681&gt;0,J681*100/I681,0)</f>
        <v>0</v>
      </c>
      <c r="L681" s="469"/>
      <c r="M681" s="55"/>
      <c r="N681" s="468"/>
      <c r="O681" s="55"/>
      <c r="P681" s="55"/>
      <c r="Q681" s="468"/>
      <c r="R681" s="55"/>
      <c r="S681" s="468"/>
      <c r="T681" s="55"/>
      <c r="U681" s="55"/>
    </row>
    <row r="682" spans="1:21" ht="19.5" hidden="1">
      <c r="A682" s="238"/>
      <c r="B682" s="188"/>
      <c r="C682" s="188"/>
      <c r="D682" s="58" t="s">
        <v>252</v>
      </c>
      <c r="E682" s="50"/>
      <c r="F682" s="50"/>
      <c r="G682" s="52"/>
      <c r="H682" s="461" t="s">
        <v>46</v>
      </c>
      <c r="I682" s="569">
        <f ca="1">IFERROR(__xludf.DUMMYFUNCTION("IMPORTRANGE(""https://docs.google.com/spreadsheets/d/1eHaY18a8A9IcSdp1K8H6x8fbOy06t2VsZHhMHf-1x7Y/edit?usp=sharing"",""แผน!IS45"")"),0)</f>
        <v>0</v>
      </c>
      <c r="J682" s="373">
        <f>J685+J688</f>
        <v>0</v>
      </c>
      <c r="K682" s="540">
        <f ca="1">IF(I682&gt;0,J682*100/I682,0)</f>
        <v>0</v>
      </c>
      <c r="L682" s="62"/>
      <c r="M682" s="55"/>
      <c r="N682" s="468"/>
      <c r="O682" s="55"/>
      <c r="P682" s="55"/>
      <c r="Q682" s="55"/>
      <c r="R682" s="55"/>
      <c r="S682" s="468"/>
      <c r="T682" s="55"/>
      <c r="U682" s="55"/>
    </row>
    <row r="683" spans="1:21" ht="18.75" hidden="1">
      <c r="A683" s="238"/>
      <c r="B683" s="188"/>
      <c r="C683" s="188"/>
      <c r="D683" s="50"/>
      <c r="E683" s="58" t="s">
        <v>253</v>
      </c>
      <c r="F683" s="50"/>
      <c r="G683" s="52"/>
      <c r="H683" s="165" t="s">
        <v>35</v>
      </c>
      <c r="I683" s="208"/>
      <c r="J683" s="467">
        <v>0</v>
      </c>
      <c r="K683" s="55"/>
      <c r="L683" s="469"/>
      <c r="M683" s="55"/>
      <c r="N683" s="468"/>
      <c r="O683" s="55"/>
      <c r="P683" s="55"/>
      <c r="Q683" s="468"/>
      <c r="R683" s="55"/>
      <c r="S683" s="468"/>
      <c r="T683" s="55"/>
      <c r="U683" s="55"/>
    </row>
    <row r="684" spans="1:21" ht="18.75" hidden="1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467">
        <v>0</v>
      </c>
      <c r="K684" s="55"/>
      <c r="L684" s="469"/>
      <c r="M684" s="55"/>
      <c r="N684" s="468"/>
      <c r="O684" s="55"/>
      <c r="P684" s="55"/>
      <c r="Q684" s="468"/>
      <c r="R684" s="55"/>
      <c r="S684" s="468"/>
      <c r="T684" s="55"/>
      <c r="U684" s="55"/>
    </row>
    <row r="685" spans="1:21" ht="18.75" hidden="1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467">
        <v>0</v>
      </c>
      <c r="K685" s="55"/>
      <c r="L685" s="469"/>
      <c r="M685" s="55"/>
      <c r="N685" s="468"/>
      <c r="O685" s="55"/>
      <c r="P685" s="55"/>
      <c r="Q685" s="468"/>
      <c r="R685" s="55"/>
      <c r="S685" s="468"/>
      <c r="T685" s="55"/>
      <c r="U685" s="55"/>
    </row>
    <row r="686" spans="1:21" ht="18.75" hidden="1">
      <c r="A686" s="238"/>
      <c r="B686" s="188"/>
      <c r="C686" s="188"/>
      <c r="D686" s="50"/>
      <c r="E686" s="58" t="s">
        <v>254</v>
      </c>
      <c r="F686" s="50"/>
      <c r="G686" s="52"/>
      <c r="H686" s="165" t="s">
        <v>35</v>
      </c>
      <c r="I686" s="208"/>
      <c r="J686" s="467">
        <v>0</v>
      </c>
      <c r="K686" s="55"/>
      <c r="L686" s="469"/>
      <c r="M686" s="55"/>
      <c r="N686" s="468"/>
      <c r="O686" s="55"/>
      <c r="P686" s="55"/>
      <c r="Q686" s="468"/>
      <c r="R686" s="55"/>
      <c r="S686" s="468"/>
      <c r="T686" s="55"/>
      <c r="U686" s="55"/>
    </row>
    <row r="687" spans="1:21" ht="18.75" hidden="1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467">
        <v>0</v>
      </c>
      <c r="K687" s="55"/>
      <c r="L687" s="469"/>
      <c r="M687" s="55"/>
      <c r="N687" s="468"/>
      <c r="O687" s="55"/>
      <c r="P687" s="55"/>
      <c r="Q687" s="468"/>
      <c r="R687" s="55"/>
      <c r="S687" s="468"/>
      <c r="T687" s="55"/>
      <c r="U687" s="55"/>
    </row>
    <row r="688" spans="1:21" ht="19.5" hidden="1">
      <c r="A688" s="281"/>
      <c r="B688" s="470" t="s">
        <v>255</v>
      </c>
      <c r="C688" s="282"/>
      <c r="D688" s="2"/>
      <c r="E688" s="2"/>
      <c r="F688" s="2"/>
      <c r="G688" s="284"/>
      <c r="H688" s="214" t="s">
        <v>46</v>
      </c>
      <c r="I688" s="375"/>
      <c r="J688" s="538">
        <v>0</v>
      </c>
      <c r="K688" s="6"/>
      <c r="L688" s="472"/>
      <c r="M688" s="6"/>
      <c r="N688" s="471"/>
      <c r="O688" s="6"/>
      <c r="P688" s="6"/>
      <c r="Q688" s="471"/>
      <c r="R688" s="6"/>
      <c r="S688" s="471"/>
      <c r="T688" s="6"/>
      <c r="U688" s="6"/>
    </row>
    <row r="689" spans="1:21" ht="19.5">
      <c r="A689" s="442"/>
      <c r="B689" s="443" t="s">
        <v>256</v>
      </c>
      <c r="C689" s="442"/>
      <c r="D689" s="444"/>
      <c r="E689" s="444"/>
      <c r="F689" s="444"/>
      <c r="G689" s="445"/>
      <c r="H689" s="473" t="s">
        <v>35</v>
      </c>
      <c r="I689" s="544">
        <f ca="1">I707</f>
        <v>1246</v>
      </c>
      <c r="J689" s="544">
        <f ca="1">J707</f>
        <v>0</v>
      </c>
      <c r="K689" s="543">
        <f ca="1">IF(I689&gt;0,J689*100/I689,0)</f>
        <v>0</v>
      </c>
      <c r="L689" s="449"/>
      <c r="M689" s="448"/>
      <c r="N689" s="448"/>
      <c r="O689" s="448"/>
      <c r="P689" s="448"/>
      <c r="Q689" s="448"/>
      <c r="R689" s="448"/>
      <c r="S689" s="448"/>
      <c r="T689" s="448"/>
      <c r="U689" s="448"/>
    </row>
    <row r="690" spans="1:21" ht="19.5">
      <c r="A690" s="155"/>
      <c r="B690" s="188"/>
      <c r="C690" s="205" t="s">
        <v>18</v>
      </c>
      <c r="D690" s="542" t="s">
        <v>19</v>
      </c>
      <c r="E690" s="529"/>
      <c r="F690" s="529"/>
      <c r="G690" s="530"/>
      <c r="H690" s="252" t="s">
        <v>14</v>
      </c>
      <c r="I690" s="54"/>
      <c r="J690" s="54"/>
      <c r="K690" s="55"/>
      <c r="L690" s="541">
        <f>L691+L692</f>
        <v>0</v>
      </c>
      <c r="M690" s="540">
        <f>M691+M692</f>
        <v>0</v>
      </c>
      <c r="N690" s="540">
        <f>N691+N692</f>
        <v>0</v>
      </c>
      <c r="O690" s="540">
        <f>IF(L690&gt;0,N690*100/L690,0)</f>
        <v>0</v>
      </c>
      <c r="P690" s="540">
        <f>IF(M690&gt;0,N690*100/M690,0)</f>
        <v>0</v>
      </c>
      <c r="Q690" s="540">
        <f ca="1">Q691+Q692</f>
        <v>1359910</v>
      </c>
      <c r="R690" s="540">
        <f ca="1">R691+R692</f>
        <v>1359910</v>
      </c>
      <c r="S690" s="540">
        <f ca="1">S691+S692</f>
        <v>457940</v>
      </c>
      <c r="T690" s="540">
        <f ca="1">IF(Q690&gt;0,S690*100/Q690,0)</f>
        <v>33.674287269010449</v>
      </c>
      <c r="U690" s="540">
        <f ca="1">IF(R690&gt;0,S690*100/R690,0)</f>
        <v>33.674287269010449</v>
      </c>
    </row>
    <row r="691" spans="1:21" ht="18.75" hidden="1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103">
        <f>L694+L697</f>
        <v>0</v>
      </c>
      <c r="M691" s="102">
        <f>M694+M697</f>
        <v>0</v>
      </c>
      <c r="N691" s="102">
        <f>N694+N697</f>
        <v>0</v>
      </c>
      <c r="O691" s="102">
        <f>IF(L691&gt;0,N691*100/L691,0)</f>
        <v>0</v>
      </c>
      <c r="P691" s="102">
        <f>IF(M691&gt;0,N691*100/M691,0)</f>
        <v>0</v>
      </c>
      <c r="Q691" s="102">
        <f>Q694+Q697</f>
        <v>0</v>
      </c>
      <c r="R691" s="102">
        <f>R694+R697</f>
        <v>0</v>
      </c>
      <c r="S691" s="102">
        <f>S694+S697</f>
        <v>0</v>
      </c>
      <c r="T691" s="102">
        <f>IF(Q691&gt;0,S691*100/Q691,0)</f>
        <v>0</v>
      </c>
      <c r="U691" s="102">
        <f>IF(R691&gt;0,S691*100/R691,0)</f>
        <v>0</v>
      </c>
    </row>
    <row r="692" spans="1:21" ht="18.75" hidden="1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256">
        <f>L695+L698</f>
        <v>0</v>
      </c>
      <c r="M692" s="255">
        <f>M695+M698</f>
        <v>0</v>
      </c>
      <c r="N692" s="255">
        <f>N695+N698</f>
        <v>0</v>
      </c>
      <c r="O692" s="255">
        <f>IF(L692&gt;0,N692*100/L692,0)</f>
        <v>0</v>
      </c>
      <c r="P692" s="255">
        <f>IF(M692&gt;0,N692*100/M692,0)</f>
        <v>0</v>
      </c>
      <c r="Q692" s="255">
        <f ca="1">Q695+Q698</f>
        <v>1359910</v>
      </c>
      <c r="R692" s="255">
        <f ca="1">R695+R698</f>
        <v>1359910</v>
      </c>
      <c r="S692" s="255">
        <f ca="1">S695+S698</f>
        <v>457940</v>
      </c>
      <c r="T692" s="255">
        <f ca="1">IF(Q692&gt;0,S692*100/Q692,0)</f>
        <v>33.674287269010449</v>
      </c>
      <c r="U692" s="255">
        <f ca="1">IF(R692&gt;0,S692*100/R692,0)</f>
        <v>33.674287269010449</v>
      </c>
    </row>
    <row r="693" spans="1:21" ht="18.75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256">
        <f>L694+L695</f>
        <v>0</v>
      </c>
      <c r="M693" s="255">
        <f>M694+M695</f>
        <v>0</v>
      </c>
      <c r="N693" s="255">
        <f>N694+N695</f>
        <v>0</v>
      </c>
      <c r="O693" s="255">
        <f>IF(L693&gt;0,N693*100/L693,0)</f>
        <v>0</v>
      </c>
      <c r="P693" s="255">
        <f>IF(M693&gt;0,N693*100/M693,0)</f>
        <v>0</v>
      </c>
      <c r="Q693" s="255">
        <f ca="1">Q694+Q695</f>
        <v>1359910</v>
      </c>
      <c r="R693" s="255">
        <f ca="1">R694+R695</f>
        <v>1359910</v>
      </c>
      <c r="S693" s="255">
        <f ca="1">S694+S695</f>
        <v>457940</v>
      </c>
      <c r="T693" s="255">
        <f ca="1">IF(Q693&gt;0,S693*100/Q693,0)</f>
        <v>33.674287269010449</v>
      </c>
      <c r="U693" s="255">
        <f ca="1">IF(R693&gt;0,S693*100/R693,0)</f>
        <v>33.674287269010449</v>
      </c>
    </row>
    <row r="694" spans="1:21" ht="18.75" hidden="1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103">
        <v>0</v>
      </c>
      <c r="M694" s="102">
        <v>0</v>
      </c>
      <c r="N694" s="102">
        <v>0</v>
      </c>
      <c r="O694" s="102">
        <f>IF(L694&gt;0,N694*100/L694,0)</f>
        <v>0</v>
      </c>
      <c r="P694" s="102">
        <f>IF(M694&gt;0,N694*100/M694,0)</f>
        <v>0</v>
      </c>
      <c r="Q694" s="102">
        <v>0</v>
      </c>
      <c r="R694" s="102">
        <v>0</v>
      </c>
      <c r="S694" s="102">
        <v>0</v>
      </c>
      <c r="T694" s="102">
        <f>IF(Q694&gt;0,S694*100/Q694,0)</f>
        <v>0</v>
      </c>
      <c r="U694" s="102">
        <f>IF(R694&gt;0,S694*100/R694,0)</f>
        <v>0</v>
      </c>
    </row>
    <row r="695" spans="1:21" ht="18.75" hidden="1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256">
        <v>0</v>
      </c>
      <c r="M695" s="255">
        <v>0</v>
      </c>
      <c r="N695" s="255">
        <v>0</v>
      </c>
      <c r="O695" s="255">
        <f>IF(L695&gt;0,N695*100/L695,0)</f>
        <v>0</v>
      </c>
      <c r="P695" s="255">
        <f>IF(M695&gt;0,N695*100/M695,0)</f>
        <v>0</v>
      </c>
      <c r="Q695" s="255">
        <f ca="1">IFERROR(__xludf.DUMMYFUNCTION("IMPORTRANGE(""https://docs.google.com/spreadsheets/d/1ItG2mGa2ceCfYo0BwxsXqNm01IGEUdYcSSLTEv9YCik/edit?usp=sharing"",""เบิกจ่ายกองทุน!L45"")"),1359910)</f>
        <v>1359910</v>
      </c>
      <c r="R695" s="255">
        <f ca="1">IFERROR(__xludf.DUMMYFUNCTION("IMPORTRANGE(""https://docs.google.com/spreadsheets/d/1ItG2mGa2ceCfYo0BwxsXqNm01IGEUdYcSSLTEv9YCik/edit?usp=sharing"",""เบิกจ่ายกองทุน!M45"")"),1359910)</f>
        <v>1359910</v>
      </c>
      <c r="S695" s="255">
        <f ca="1">IFERROR(__xludf.DUMMYFUNCTION("IMPORTRANGE(""https://docs.google.com/spreadsheets/d/1ItG2mGa2ceCfYo0BwxsXqNm01IGEUdYcSSLTEv9YCik/edit?usp=sharing"",""เบิกจ่ายกองทุน!N45"")"),457940)</f>
        <v>457940</v>
      </c>
      <c r="T695" s="255">
        <f ca="1">IF(Q695&gt;0,S695*100/Q695,0)</f>
        <v>33.674287269010449</v>
      </c>
      <c r="U695" s="255">
        <f ca="1">IF(R695&gt;0,S695*100/R695,0)</f>
        <v>33.674287269010449</v>
      </c>
    </row>
    <row r="696" spans="1:21" ht="18.75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256">
        <f>L697+L698</f>
        <v>0</v>
      </c>
      <c r="M696" s="255">
        <f>M697+M698</f>
        <v>0</v>
      </c>
      <c r="N696" s="255">
        <f>N697+N698</f>
        <v>0</v>
      </c>
      <c r="O696" s="255">
        <f>IF(L696&gt;0,N696*100/L696,0)</f>
        <v>0</v>
      </c>
      <c r="P696" s="255">
        <f>IF(M696&gt;0,N696*100/M696,0)</f>
        <v>0</v>
      </c>
      <c r="Q696" s="255">
        <f>Q697+Q698</f>
        <v>0</v>
      </c>
      <c r="R696" s="255">
        <f>R697+R698</f>
        <v>0</v>
      </c>
      <c r="S696" s="255">
        <f>S697+S698</f>
        <v>0</v>
      </c>
      <c r="T696" s="255">
        <f>IF(Q696&gt;0,S696*100/Q696,0)</f>
        <v>0</v>
      </c>
      <c r="U696" s="255">
        <f>IF(R696&gt;0,S696*100/R696,0)</f>
        <v>0</v>
      </c>
    </row>
    <row r="697" spans="1:21" ht="18.75" hidden="1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103">
        <v>0</v>
      </c>
      <c r="M697" s="102">
        <v>0</v>
      </c>
      <c r="N697" s="102">
        <v>0</v>
      </c>
      <c r="O697" s="102">
        <f>IF(L697&gt;0,N697*100/L697,0)</f>
        <v>0</v>
      </c>
      <c r="P697" s="102">
        <f>IF(M697&gt;0,N697*100/M697,0)</f>
        <v>0</v>
      </c>
      <c r="Q697" s="102">
        <v>0</v>
      </c>
      <c r="R697" s="102">
        <v>0</v>
      </c>
      <c r="S697" s="102">
        <v>0</v>
      </c>
      <c r="T697" s="102">
        <f>IF(Q697&gt;0,S697*100/Q697,0)</f>
        <v>0</v>
      </c>
      <c r="U697" s="102">
        <f>IF(R697&gt;0,S697*100/R697,0)</f>
        <v>0</v>
      </c>
    </row>
    <row r="698" spans="1:21" ht="18.75" hidden="1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256">
        <v>0</v>
      </c>
      <c r="M698" s="255">
        <v>0</v>
      </c>
      <c r="N698" s="255">
        <v>0</v>
      </c>
      <c r="O698" s="255">
        <f>IF(L698&gt;0,N698*100/L698,0)</f>
        <v>0</v>
      </c>
      <c r="P698" s="255">
        <f>IF(M698&gt;0,N698*100/M698,0)</f>
        <v>0</v>
      </c>
      <c r="Q698" s="255">
        <v>0</v>
      </c>
      <c r="R698" s="255">
        <v>0</v>
      </c>
      <c r="S698" s="255">
        <v>0</v>
      </c>
      <c r="T698" s="255">
        <f>IF(Q698&gt;0,S698*100/Q698,0)</f>
        <v>0</v>
      </c>
      <c r="U698" s="255">
        <f>IF(R698&gt;0,S698*100/R698,0)</f>
        <v>0</v>
      </c>
    </row>
    <row r="699" spans="1:21" ht="19.5">
      <c r="A699" s="166"/>
      <c r="B699" s="167"/>
      <c r="C699" s="205" t="s">
        <v>18</v>
      </c>
      <c r="D699" s="566" t="s">
        <v>38</v>
      </c>
      <c r="E699" s="169"/>
      <c r="F699" s="169"/>
      <c r="G699" s="169"/>
      <c r="H699" s="206"/>
      <c r="I699" s="163"/>
      <c r="J699" s="163"/>
      <c r="K699" s="164"/>
      <c r="L699" s="62"/>
      <c r="M699" s="55"/>
      <c r="N699" s="55"/>
      <c r="O699" s="55"/>
      <c r="P699" s="55"/>
      <c r="Q699" s="55"/>
      <c r="R699" s="55"/>
      <c r="S699" s="55"/>
      <c r="T699" s="55"/>
      <c r="U699" s="55"/>
    </row>
    <row r="700" spans="1:21" ht="18.75">
      <c r="A700" s="238"/>
      <c r="B700" s="188"/>
      <c r="C700" s="188"/>
      <c r="D700" s="174"/>
      <c r="E700" s="173" t="s">
        <v>257</v>
      </c>
      <c r="F700" s="174"/>
      <c r="G700" s="171"/>
      <c r="H700" s="165" t="s">
        <v>258</v>
      </c>
      <c r="I700" s="212">
        <f ca="1">IFERROR(__xludf.DUMMYFUNCTION("IMPORTRANGE(""https://docs.google.com/spreadsheets/d/1eHaY18a8A9IcSdp1K8H6x8fbOy06t2VsZHhMHf-1x7Y/edit?usp=sharing"",""แผน!LC45"")"),0)</f>
        <v>0</v>
      </c>
      <c r="J700" s="467">
        <v>0</v>
      </c>
      <c r="K700" s="565">
        <f ca="1">IF(I700&gt;0,J700*100/I700,0)</f>
        <v>0</v>
      </c>
      <c r="L700" s="172"/>
      <c r="M700" s="164"/>
      <c r="N700" s="55"/>
      <c r="O700" s="164"/>
      <c r="P700" s="164"/>
      <c r="Q700" s="164"/>
      <c r="R700" s="164"/>
      <c r="S700" s="55"/>
      <c r="T700" s="164"/>
      <c r="U700" s="164"/>
    </row>
    <row r="701" spans="1:21" ht="19.5">
      <c r="A701" s="238"/>
      <c r="B701" s="188"/>
      <c r="C701" s="188"/>
      <c r="D701" s="174"/>
      <c r="E701" s="476" t="s">
        <v>259</v>
      </c>
      <c r="F701" s="174"/>
      <c r="G701" s="171"/>
      <c r="H701" s="158" t="s">
        <v>35</v>
      </c>
      <c r="I701" s="373">
        <f ca="1">I703+I705</f>
        <v>1265</v>
      </c>
      <c r="J701" s="373">
        <f ca="1">J703+J705</f>
        <v>1</v>
      </c>
      <c r="K701" s="540">
        <f ca="1">IF(I701&gt;0,J701*100/I701,0)</f>
        <v>7.9051383399209488E-2</v>
      </c>
      <c r="L701" s="172"/>
      <c r="M701" s="164"/>
      <c r="N701" s="164"/>
      <c r="O701" s="164"/>
      <c r="P701" s="164"/>
      <c r="Q701" s="164"/>
      <c r="R701" s="164"/>
      <c r="S701" s="164"/>
      <c r="T701" s="164"/>
      <c r="U701" s="164"/>
    </row>
    <row r="702" spans="1:21" ht="19.5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73">
        <v>0</v>
      </c>
      <c r="J702" s="373">
        <f ca="1">J704+J706</f>
        <v>0</v>
      </c>
      <c r="K702" s="540">
        <f>IF(I702&gt;0,J702*100/I702,0)</f>
        <v>0</v>
      </c>
      <c r="L702" s="172"/>
      <c r="M702" s="164"/>
      <c r="N702" s="164"/>
      <c r="O702" s="164"/>
      <c r="P702" s="164"/>
      <c r="Q702" s="164"/>
      <c r="R702" s="164"/>
      <c r="S702" s="164"/>
      <c r="T702" s="164"/>
      <c r="U702" s="164"/>
    </row>
    <row r="703" spans="1:21" ht="18.75">
      <c r="A703" s="238"/>
      <c r="B703" s="188"/>
      <c r="C703" s="188"/>
      <c r="D703" s="174"/>
      <c r="E703" s="174"/>
      <c r="F703" s="173" t="s">
        <v>260</v>
      </c>
      <c r="G703" s="171"/>
      <c r="H703" s="165" t="s">
        <v>35</v>
      </c>
      <c r="I703" s="212">
        <f ca="1">IFERROR(__xludf.DUMMYFUNCTION("IMPORTRANGE(""https://docs.google.com/spreadsheets/d/1eHaY18a8A9IcSdp1K8H6x8fbOy06t2VsZHhMHf-1x7Y/edit?usp=sharing"",""แผน!LJ45"")"),1246)</f>
        <v>1246</v>
      </c>
      <c r="J703" s="212">
        <f ca="1">IFERROR(__xludf.DUMMYFUNCTION("IMPORTRANGE(""https://docs.google.com/spreadsheets/d/1tdoBKaGub7dwA3U6UFTqxio9LNnvDCQjHKmttSEBsFQ/edit?usp=sharing"",""จัดที่ดิน!AP45"")"),1)</f>
        <v>1</v>
      </c>
      <c r="K703" s="255">
        <f ca="1">IF(I703&gt;0,J703*100/I703,0)</f>
        <v>8.0256821829855537E-2</v>
      </c>
      <c r="L703" s="172"/>
      <c r="M703" s="164"/>
      <c r="N703" s="164"/>
      <c r="O703" s="164"/>
      <c r="P703" s="164"/>
      <c r="Q703" s="164"/>
      <c r="R703" s="164"/>
      <c r="S703" s="164"/>
      <c r="T703" s="164"/>
      <c r="U703" s="164"/>
    </row>
    <row r="704" spans="1:21" ht="18.75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212">
        <f ca="1">IFERROR(__xludf.DUMMYFUNCTION("IMPORTRANGE(""https://docs.google.com/spreadsheets/d/1tdoBKaGub7dwA3U6UFTqxio9LNnvDCQjHKmttSEBsFQ/edit?usp=sharing"",""จัดที่ดิน!AQ45"")"),0)</f>
        <v>0</v>
      </c>
      <c r="K704" s="255">
        <f>IF(I704&gt;0,J704*100/I704,0)</f>
        <v>0</v>
      </c>
      <c r="L704" s="172"/>
      <c r="M704" s="164"/>
      <c r="N704" s="164"/>
      <c r="O704" s="164"/>
      <c r="P704" s="164"/>
      <c r="Q704" s="164"/>
      <c r="R704" s="164"/>
      <c r="S704" s="164"/>
      <c r="T704" s="164"/>
      <c r="U704" s="164"/>
    </row>
    <row r="705" spans="1:21" ht="18.75">
      <c r="A705" s="238"/>
      <c r="B705" s="188"/>
      <c r="C705" s="188"/>
      <c r="D705" s="174"/>
      <c r="E705" s="174"/>
      <c r="F705" s="173" t="s">
        <v>261</v>
      </c>
      <c r="G705" s="171"/>
      <c r="H705" s="165" t="s">
        <v>35</v>
      </c>
      <c r="I705" s="212">
        <f ca="1">IFERROR(__xludf.DUMMYFUNCTION("IMPORTRANGE(""https://docs.google.com/spreadsheets/d/1eHaY18a8A9IcSdp1K8H6x8fbOy06t2VsZHhMHf-1x7Y/edit?usp=sharing"",""แผน!LK45"")"),19)</f>
        <v>19</v>
      </c>
      <c r="J705" s="212">
        <f ca="1">IFERROR(__xludf.DUMMYFUNCTION("IMPORTRANGE(""https://docs.google.com/spreadsheets/d/1tdoBKaGub7dwA3U6UFTqxio9LNnvDCQjHKmttSEBsFQ/edit?usp=sharing"",""จัดที่ดิน!AR45"")"),0)</f>
        <v>0</v>
      </c>
      <c r="K705" s="565">
        <f ca="1">IF(I705&gt;0,J705*100/I705,0)</f>
        <v>0</v>
      </c>
      <c r="L705" s="172"/>
      <c r="M705" s="164"/>
      <c r="N705" s="164"/>
      <c r="O705" s="164"/>
      <c r="P705" s="164"/>
      <c r="Q705" s="164"/>
      <c r="R705" s="164"/>
      <c r="S705" s="164"/>
      <c r="T705" s="164"/>
      <c r="U705" s="164"/>
    </row>
    <row r="706" spans="1:21" ht="18.75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212">
        <f ca="1">IFERROR(__xludf.DUMMYFUNCTION("IMPORTRANGE(""https://docs.google.com/spreadsheets/d/1tdoBKaGub7dwA3U6UFTqxio9LNnvDCQjHKmttSEBsFQ/edit?usp=sharing"",""จัดที่ดิน!AS45"")"),0)</f>
        <v>0</v>
      </c>
      <c r="K706" s="255">
        <f>IF(I706&gt;0,J706*100/I706,0)</f>
        <v>0</v>
      </c>
      <c r="L706" s="172"/>
      <c r="M706" s="164"/>
      <c r="N706" s="164"/>
      <c r="O706" s="164"/>
      <c r="P706" s="164"/>
      <c r="Q706" s="164"/>
      <c r="R706" s="164"/>
      <c r="S706" s="164"/>
      <c r="T706" s="164"/>
      <c r="U706" s="164"/>
    </row>
    <row r="707" spans="1:21" ht="18.75">
      <c r="A707" s="238"/>
      <c r="B707" s="188"/>
      <c r="C707" s="188"/>
      <c r="D707" s="174"/>
      <c r="E707" s="173" t="s">
        <v>262</v>
      </c>
      <c r="F707" s="174"/>
      <c r="G707" s="171"/>
      <c r="H707" s="162" t="s">
        <v>35</v>
      </c>
      <c r="I707" s="212">
        <f ca="1">IFERROR(__xludf.DUMMYFUNCTION("IMPORTRANGE(""https://docs.google.com/spreadsheets/d/1eHaY18a8A9IcSdp1K8H6x8fbOy06t2VsZHhMHf-1x7Y/edit?usp=sharing"",""แผน!LJ45"")"),1246)</f>
        <v>1246</v>
      </c>
      <c r="J707" s="212">
        <f ca="1">IFERROR(__xludf.DUMMYFUNCTION("IMPORTRANGE(""https://docs.google.com/spreadsheets/d/1tdoBKaGub7dwA3U6UFTqxio9LNnvDCQjHKmttSEBsFQ/edit?usp=sharing"",""จัดที่ดิน!BN45"")"),0)</f>
        <v>0</v>
      </c>
      <c r="K707" s="255">
        <f ca="1">IF(I707&gt;0,J707*100/I707,0)</f>
        <v>0</v>
      </c>
      <c r="L707" s="172"/>
      <c r="M707" s="164"/>
      <c r="N707" s="164"/>
      <c r="O707" s="164"/>
      <c r="P707" s="164"/>
      <c r="Q707" s="164"/>
      <c r="R707" s="164"/>
      <c r="S707" s="164"/>
      <c r="T707" s="164"/>
      <c r="U707" s="164"/>
    </row>
    <row r="708" spans="1:21" ht="18.75">
      <c r="A708" s="238"/>
      <c r="B708" s="188"/>
      <c r="C708" s="188"/>
      <c r="D708" s="174"/>
      <c r="E708" s="477" t="s">
        <v>263</v>
      </c>
      <c r="F708" s="174"/>
      <c r="G708" s="171"/>
      <c r="H708" s="162" t="s">
        <v>46</v>
      </c>
      <c r="I708" s="212">
        <v>0</v>
      </c>
      <c r="J708" s="212">
        <f ca="1">IFERROR(__xludf.DUMMYFUNCTION("IMPORTRANGE(""https://docs.google.com/spreadsheets/d/1tdoBKaGub7dwA3U6UFTqxio9LNnvDCQjHKmttSEBsFQ/edit?usp=sharing"",""จัดที่ดิน!BO45"")"),0)</f>
        <v>0</v>
      </c>
      <c r="K708" s="255">
        <f>IF(I708&gt;0,J708*100/I708,0)</f>
        <v>0</v>
      </c>
      <c r="L708" s="172"/>
      <c r="M708" s="164"/>
      <c r="N708" s="164"/>
      <c r="O708" s="164"/>
      <c r="P708" s="164"/>
      <c r="Q708" s="164"/>
      <c r="R708" s="164"/>
      <c r="S708" s="164"/>
      <c r="T708" s="164"/>
      <c r="U708" s="164"/>
    </row>
    <row r="709" spans="1:21" ht="18.75">
      <c r="A709" s="238"/>
      <c r="B709" s="188"/>
      <c r="C709" s="188"/>
      <c r="D709" s="50"/>
      <c r="E709" s="58" t="s">
        <v>264</v>
      </c>
      <c r="F709" s="50"/>
      <c r="G709" s="52"/>
      <c r="H709" s="203" t="s">
        <v>35</v>
      </c>
      <c r="I709" s="212">
        <f ca="1">IFERROR(__xludf.DUMMYFUNCTION("IMPORTRANGE(""https://docs.google.com/spreadsheets/d/1eHaY18a8A9IcSdp1K8H6x8fbOy06t2VsZHhMHf-1x7Y/edit?usp=sharing"",""แผน!LK45"")"),19)</f>
        <v>19</v>
      </c>
      <c r="J709" s="212">
        <f ca="1">IFERROR(__xludf.DUMMYFUNCTION("IMPORTRANGE(""https://docs.google.com/spreadsheets/d/1tdoBKaGub7dwA3U6UFTqxio9LNnvDCQjHKmttSEBsFQ/edit?usp=sharing"",""จัดที่ดิน!BP45"")"),30)</f>
        <v>30</v>
      </c>
      <c r="K709" s="255">
        <f ca="1">IF(I709&gt;0,J709*100/I709,0)</f>
        <v>157.89473684210526</v>
      </c>
      <c r="L709" s="62"/>
      <c r="M709" s="55"/>
      <c r="N709" s="55"/>
      <c r="O709" s="55"/>
      <c r="P709" s="55"/>
      <c r="Q709" s="55"/>
      <c r="R709" s="55"/>
      <c r="S709" s="55"/>
      <c r="T709" s="55"/>
      <c r="U709" s="55"/>
    </row>
    <row r="710" spans="1:21" ht="18.75">
      <c r="A710" s="238"/>
      <c r="B710" s="188"/>
      <c r="C710" s="188"/>
      <c r="D710" s="50"/>
      <c r="E710" s="477" t="s">
        <v>265</v>
      </c>
      <c r="F710" s="50"/>
      <c r="G710" s="52"/>
      <c r="H710" s="203" t="s">
        <v>46</v>
      </c>
      <c r="I710" s="212">
        <v>0</v>
      </c>
      <c r="J710" s="212">
        <f ca="1">IFERROR(__xludf.DUMMYFUNCTION("IMPORTRANGE(""https://docs.google.com/spreadsheets/d/1tdoBKaGub7dwA3U6UFTqxio9LNnvDCQjHKmttSEBsFQ/edit?usp=sharing"",""จัดที่ดิน!BQ45"")"),0)</f>
        <v>0</v>
      </c>
      <c r="K710" s="255">
        <f>IF(I710&gt;0,J710*100/I710,0)</f>
        <v>0</v>
      </c>
      <c r="L710" s="62"/>
      <c r="M710" s="55"/>
      <c r="N710" s="55"/>
      <c r="O710" s="55"/>
      <c r="P710" s="55"/>
      <c r="Q710" s="55"/>
      <c r="R710" s="55"/>
      <c r="S710" s="55"/>
      <c r="T710" s="55"/>
      <c r="U710" s="55"/>
    </row>
    <row r="711" spans="1:21" ht="12.75" hidden="1">
      <c r="A711" s="407"/>
      <c r="B711" s="360"/>
      <c r="C711" s="360"/>
      <c r="D711" s="408"/>
      <c r="E711" s="408"/>
      <c r="F711" s="408"/>
      <c r="G711" s="409"/>
      <c r="H711" s="361"/>
      <c r="I711" s="362"/>
      <c r="J711" s="362"/>
      <c r="K711" s="363"/>
      <c r="L711" s="364"/>
      <c r="M711" s="363"/>
      <c r="N711" s="363"/>
      <c r="O711" s="363"/>
      <c r="P711" s="363"/>
      <c r="Q711" s="363"/>
      <c r="R711" s="363"/>
      <c r="S711" s="363"/>
      <c r="T711" s="363"/>
      <c r="U711" s="363"/>
    </row>
    <row r="712" spans="1:21" ht="19.5" hidden="1">
      <c r="A712" s="442"/>
      <c r="B712" s="478" t="s">
        <v>266</v>
      </c>
      <c r="C712" s="442"/>
      <c r="D712" s="444"/>
      <c r="E712" s="444"/>
      <c r="F712" s="444"/>
      <c r="G712" s="445"/>
      <c r="H712" s="479" t="s">
        <v>46</v>
      </c>
      <c r="I712" s="447"/>
      <c r="J712" s="447">
        <f>J724</f>
        <v>0</v>
      </c>
      <c r="K712" s="564">
        <f>IF(I712&gt;0,J712*100/I712,0)</f>
        <v>0</v>
      </c>
      <c r="L712" s="449"/>
      <c r="M712" s="448"/>
      <c r="N712" s="448"/>
      <c r="O712" s="448"/>
      <c r="P712" s="448"/>
      <c r="Q712" s="448"/>
      <c r="R712" s="448"/>
      <c r="S712" s="448"/>
      <c r="T712" s="448"/>
      <c r="U712" s="448"/>
    </row>
    <row r="713" spans="1:21" ht="19.5" hidden="1">
      <c r="A713" s="442"/>
      <c r="B713" s="478" t="s">
        <v>267</v>
      </c>
      <c r="C713" s="442"/>
      <c r="D713" s="444"/>
      <c r="E713" s="444"/>
      <c r="F713" s="444"/>
      <c r="G713" s="445"/>
      <c r="H713" s="446"/>
      <c r="I713" s="447"/>
      <c r="J713" s="447"/>
      <c r="K713" s="448"/>
      <c r="L713" s="449"/>
      <c r="M713" s="448"/>
      <c r="N713" s="448"/>
      <c r="O713" s="448"/>
      <c r="P713" s="448"/>
      <c r="Q713" s="448"/>
      <c r="R713" s="448"/>
      <c r="S713" s="448"/>
      <c r="T713" s="448"/>
      <c r="U713" s="448"/>
    </row>
    <row r="714" spans="1:21" ht="19.5" hidden="1">
      <c r="A714" s="155"/>
      <c r="B714" s="188"/>
      <c r="C714" s="358" t="s">
        <v>18</v>
      </c>
      <c r="D714" s="563" t="s">
        <v>19</v>
      </c>
      <c r="E714" s="529"/>
      <c r="F714" s="529"/>
      <c r="G714" s="530"/>
      <c r="H714" s="418" t="s">
        <v>14</v>
      </c>
      <c r="I714" s="54"/>
      <c r="J714" s="54"/>
      <c r="K714" s="55"/>
      <c r="L714" s="541">
        <f>L715+L716</f>
        <v>0</v>
      </c>
      <c r="M714" s="540">
        <f>M715+M716</f>
        <v>0</v>
      </c>
      <c r="N714" s="540">
        <f>N715+N716</f>
        <v>0</v>
      </c>
      <c r="O714" s="540">
        <f>IF(L714&gt;0,N714*100/L714,0)</f>
        <v>0</v>
      </c>
      <c r="P714" s="540">
        <f>IF(M714&gt;0,N714*100/M714,0)</f>
        <v>0</v>
      </c>
      <c r="Q714" s="540">
        <f>Q715+Q716</f>
        <v>0</v>
      </c>
      <c r="R714" s="540">
        <f>R715+R716</f>
        <v>0</v>
      </c>
      <c r="S714" s="540">
        <f>S715+S716</f>
        <v>0</v>
      </c>
      <c r="T714" s="540">
        <f>IF(Q714&gt;0,S714*100/Q714,0)</f>
        <v>0</v>
      </c>
      <c r="U714" s="540">
        <f>IF(R714&gt;0,S714*100/R714,0)</f>
        <v>0</v>
      </c>
    </row>
    <row r="715" spans="1:21" ht="18.75" hidden="1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103">
        <f>L718+L721</f>
        <v>0</v>
      </c>
      <c r="M715" s="102">
        <f>M718+M721</f>
        <v>0</v>
      </c>
      <c r="N715" s="102">
        <f>N718+N721</f>
        <v>0</v>
      </c>
      <c r="O715" s="102">
        <f>IF(L715&gt;0,N715*100/L715,0)</f>
        <v>0</v>
      </c>
      <c r="P715" s="102">
        <f>IF(M715&gt;0,N715*100/M715,0)</f>
        <v>0</v>
      </c>
      <c r="Q715" s="102">
        <f>Q718+Q721</f>
        <v>0</v>
      </c>
      <c r="R715" s="102">
        <f>R718+R721</f>
        <v>0</v>
      </c>
      <c r="S715" s="102">
        <f>S718+S721</f>
        <v>0</v>
      </c>
      <c r="T715" s="102">
        <f>IF(Q715&gt;0,S715*100/Q715,0)</f>
        <v>0</v>
      </c>
      <c r="U715" s="102">
        <f>IF(R715&gt;0,S715*100/R715,0)</f>
        <v>0</v>
      </c>
    </row>
    <row r="716" spans="1:21" ht="18.75" hidden="1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256">
        <f>L719+L722</f>
        <v>0</v>
      </c>
      <c r="M716" s="255">
        <f>M719+M722</f>
        <v>0</v>
      </c>
      <c r="N716" s="255">
        <f>N719+N722</f>
        <v>0</v>
      </c>
      <c r="O716" s="255">
        <f>IF(L716&gt;0,N716*100/L716,0)</f>
        <v>0</v>
      </c>
      <c r="P716" s="255">
        <f>IF(M716&gt;0,N716*100/M716,0)</f>
        <v>0</v>
      </c>
      <c r="Q716" s="255">
        <f>Q719+Q722</f>
        <v>0</v>
      </c>
      <c r="R716" s="255">
        <f>R719+R722</f>
        <v>0</v>
      </c>
      <c r="S716" s="255">
        <f>S719+S722</f>
        <v>0</v>
      </c>
      <c r="T716" s="255">
        <f>IF(Q716&gt;0,S716*100/Q716,0)</f>
        <v>0</v>
      </c>
      <c r="U716" s="255">
        <f>IF(R716&gt;0,S716*100/R716,0)</f>
        <v>0</v>
      </c>
    </row>
    <row r="717" spans="1:21" ht="19.5" hidden="1">
      <c r="A717" s="155"/>
      <c r="B717" s="188"/>
      <c r="C717" s="188"/>
      <c r="D717" s="562" t="s">
        <v>22</v>
      </c>
      <c r="E717" s="50"/>
      <c r="F717" s="50"/>
      <c r="G717" s="52"/>
      <c r="H717" s="418" t="s">
        <v>14</v>
      </c>
      <c r="I717" s="163"/>
      <c r="J717" s="163"/>
      <c r="K717" s="164"/>
      <c r="L717" s="256">
        <f>L718+L719</f>
        <v>0</v>
      </c>
      <c r="M717" s="255">
        <f>M718+M719</f>
        <v>0</v>
      </c>
      <c r="N717" s="255">
        <f>N718+N719</f>
        <v>0</v>
      </c>
      <c r="O717" s="255">
        <f>IF(L717&gt;0,N717*100/L717,0)</f>
        <v>0</v>
      </c>
      <c r="P717" s="255">
        <f>IF(M717&gt;0,N717*100/M717,0)</f>
        <v>0</v>
      </c>
      <c r="Q717" s="255">
        <f>Q718+Q719</f>
        <v>0</v>
      </c>
      <c r="R717" s="255">
        <f>R718+R719</f>
        <v>0</v>
      </c>
      <c r="S717" s="255">
        <f>S718+S719</f>
        <v>0</v>
      </c>
      <c r="T717" s="255">
        <f>IF(Q717&gt;0,S717*100/Q717,0)</f>
        <v>0</v>
      </c>
      <c r="U717" s="255">
        <f>IF(R717&gt;0,S717*100/R717,0)</f>
        <v>0</v>
      </c>
    </row>
    <row r="718" spans="1:21" ht="18.75" hidden="1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103">
        <v>0</v>
      </c>
      <c r="M718" s="102">
        <v>0</v>
      </c>
      <c r="N718" s="102">
        <v>0</v>
      </c>
      <c r="O718" s="102">
        <f>IF(L718&gt;0,N718*100/L718,0)</f>
        <v>0</v>
      </c>
      <c r="P718" s="102">
        <f>IF(M718&gt;0,N718*100/M718,0)</f>
        <v>0</v>
      </c>
      <c r="Q718" s="102">
        <v>0</v>
      </c>
      <c r="R718" s="102">
        <v>0</v>
      </c>
      <c r="S718" s="102">
        <v>0</v>
      </c>
      <c r="T718" s="102">
        <f>IF(Q718&gt;0,S718*100/Q718,0)</f>
        <v>0</v>
      </c>
      <c r="U718" s="102">
        <f>IF(R718&gt;0,S718*100/R718,0)</f>
        <v>0</v>
      </c>
    </row>
    <row r="719" spans="1:21" ht="18.75" hidden="1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256">
        <v>0</v>
      </c>
      <c r="M719" s="255">
        <v>0</v>
      </c>
      <c r="N719" s="255">
        <v>0</v>
      </c>
      <c r="O719" s="255">
        <f>IF(L719&gt;0,N719*100/L719,0)</f>
        <v>0</v>
      </c>
      <c r="P719" s="255">
        <f>IF(M719&gt;0,N719*100/M719,0)</f>
        <v>0</v>
      </c>
      <c r="Q719" s="255">
        <v>0</v>
      </c>
      <c r="R719" s="255">
        <v>0</v>
      </c>
      <c r="S719" s="255">
        <v>0</v>
      </c>
      <c r="T719" s="255">
        <f>IF(Q719&gt;0,S719*100/Q719,0)</f>
        <v>0</v>
      </c>
      <c r="U719" s="255">
        <f>IF(R719&gt;0,S719*100/R719,0)</f>
        <v>0</v>
      </c>
    </row>
    <row r="720" spans="1:21" ht="19.5" hidden="1">
      <c r="A720" s="155"/>
      <c r="B720" s="188"/>
      <c r="C720" s="188"/>
      <c r="D720" s="562" t="s">
        <v>23</v>
      </c>
      <c r="E720" s="50"/>
      <c r="F720" s="50"/>
      <c r="G720" s="52"/>
      <c r="H720" s="420" t="s">
        <v>14</v>
      </c>
      <c r="I720" s="163"/>
      <c r="J720" s="163"/>
      <c r="K720" s="164"/>
      <c r="L720" s="256">
        <f>L721+L722</f>
        <v>0</v>
      </c>
      <c r="M720" s="255">
        <f>M721+M722</f>
        <v>0</v>
      </c>
      <c r="N720" s="255">
        <f>N721+N722</f>
        <v>0</v>
      </c>
      <c r="O720" s="255">
        <f>IF(L720&gt;0,N720*100/L720,0)</f>
        <v>0</v>
      </c>
      <c r="P720" s="255">
        <f>IF(M720&gt;0,N720*100/M720,0)</f>
        <v>0</v>
      </c>
      <c r="Q720" s="255">
        <f>Q721+Q722</f>
        <v>0</v>
      </c>
      <c r="R720" s="255">
        <f>R721+R722</f>
        <v>0</v>
      </c>
      <c r="S720" s="255">
        <f>S721+S722</f>
        <v>0</v>
      </c>
      <c r="T720" s="255">
        <f>IF(Q720&gt;0,S720*100/Q720,0)</f>
        <v>0</v>
      </c>
      <c r="U720" s="255">
        <f>IF(R720&gt;0,S720*100/R720,0)</f>
        <v>0</v>
      </c>
    </row>
    <row r="721" spans="1:21" ht="18.75" hidden="1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103">
        <v>0</v>
      </c>
      <c r="M721" s="102">
        <v>0</v>
      </c>
      <c r="N721" s="102">
        <v>0</v>
      </c>
      <c r="O721" s="102">
        <f>IF(L721&gt;0,N721*100/L721,0)</f>
        <v>0</v>
      </c>
      <c r="P721" s="102">
        <f>IF(M721&gt;0,N721*100/M721,0)</f>
        <v>0</v>
      </c>
      <c r="Q721" s="102">
        <v>0</v>
      </c>
      <c r="R721" s="102">
        <v>0</v>
      </c>
      <c r="S721" s="102">
        <v>0</v>
      </c>
      <c r="T721" s="102">
        <f>IF(Q721&gt;0,S721*100/Q721,0)</f>
        <v>0</v>
      </c>
      <c r="U721" s="102">
        <f>IF(R721&gt;0,S721*100/R721,0)</f>
        <v>0</v>
      </c>
    </row>
    <row r="722" spans="1:21" ht="18.75" hidden="1">
      <c r="A722" s="155"/>
      <c r="B722" s="188"/>
      <c r="C722" s="188"/>
      <c r="D722" s="50"/>
      <c r="E722" s="186" t="s">
        <v>21</v>
      </c>
      <c r="F722" s="50"/>
      <c r="G722" s="52"/>
      <c r="H722" s="421" t="s">
        <v>14</v>
      </c>
      <c r="I722" s="163"/>
      <c r="J722" s="163"/>
      <c r="K722" s="164"/>
      <c r="L722" s="256">
        <v>0</v>
      </c>
      <c r="M722" s="255">
        <v>0</v>
      </c>
      <c r="N722" s="255">
        <v>0</v>
      </c>
      <c r="O722" s="255">
        <f>IF(L722&gt;0,N722*100/L722,0)</f>
        <v>0</v>
      </c>
      <c r="P722" s="255">
        <f>IF(M722&gt;0,N722*100/M722,0)</f>
        <v>0</v>
      </c>
      <c r="Q722" s="255">
        <v>0</v>
      </c>
      <c r="R722" s="255">
        <v>0</v>
      </c>
      <c r="S722" s="255">
        <v>0</v>
      </c>
      <c r="T722" s="255">
        <f>IF(Q722&gt;0,S722*100/Q722,0)</f>
        <v>0</v>
      </c>
      <c r="U722" s="255">
        <f>IF(R722&gt;0,S722*100/R722,0)</f>
        <v>0</v>
      </c>
    </row>
    <row r="723" spans="1:21" ht="19.5" hidden="1">
      <c r="A723" s="166"/>
      <c r="B723" s="167"/>
      <c r="C723" s="358" t="s">
        <v>18</v>
      </c>
      <c r="D723" s="561" t="s">
        <v>38</v>
      </c>
      <c r="E723" s="169"/>
      <c r="F723" s="169"/>
      <c r="G723" s="170"/>
      <c r="H723" s="206"/>
      <c r="I723" s="163"/>
      <c r="J723" s="163"/>
      <c r="K723" s="164"/>
      <c r="L723" s="172"/>
      <c r="M723" s="164"/>
      <c r="N723" s="164"/>
      <c r="O723" s="164"/>
      <c r="P723" s="164"/>
      <c r="Q723" s="164"/>
      <c r="R723" s="164"/>
      <c r="S723" s="164"/>
      <c r="T723" s="164"/>
      <c r="U723" s="164"/>
    </row>
    <row r="724" spans="1:21" ht="18.75" hidden="1">
      <c r="A724" s="238"/>
      <c r="B724" s="188"/>
      <c r="C724" s="188"/>
      <c r="D724" s="50"/>
      <c r="E724" s="186" t="s">
        <v>268</v>
      </c>
      <c r="F724" s="50"/>
      <c r="G724" s="52"/>
      <c r="H724" s="189" t="s">
        <v>46</v>
      </c>
      <c r="I724" s="483">
        <v>0</v>
      </c>
      <c r="J724" s="54"/>
      <c r="K724" s="55"/>
      <c r="L724" s="62"/>
      <c r="M724" s="55"/>
      <c r="N724" s="55"/>
      <c r="O724" s="55"/>
      <c r="P724" s="55"/>
      <c r="Q724" s="55"/>
      <c r="R724" s="55"/>
      <c r="S724" s="55"/>
      <c r="T724" s="55"/>
      <c r="U724" s="55"/>
    </row>
    <row r="725" spans="1:21" ht="18.75" hidden="1">
      <c r="A725" s="374"/>
      <c r="B725" s="5"/>
      <c r="C725" s="5"/>
      <c r="D725" s="4"/>
      <c r="E725" s="484" t="s">
        <v>269</v>
      </c>
      <c r="F725" s="4"/>
      <c r="G725" s="65"/>
      <c r="H725" s="485" t="s">
        <v>46</v>
      </c>
      <c r="I725" s="486">
        <v>0</v>
      </c>
      <c r="J725" s="67"/>
      <c r="K725" s="6"/>
      <c r="L725" s="68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>
      <c r="A726" s="442"/>
      <c r="B726" s="443" t="s">
        <v>270</v>
      </c>
      <c r="C726" s="442"/>
      <c r="D726" s="444"/>
      <c r="E726" s="444"/>
      <c r="F726" s="444"/>
      <c r="G726" s="445"/>
      <c r="H726" s="473" t="s">
        <v>35</v>
      </c>
      <c r="I726" s="544">
        <f ca="1">IFERROR(__xludf.DUMMYFUNCTION("IMPORTRANGE(""https://docs.google.com/spreadsheets/d/1eHaY18a8A9IcSdp1K8H6x8fbOy06t2VsZHhMHf-1x7Y/edit?usp=sharing"",""แผน!GA45"")"),128)</f>
        <v>128</v>
      </c>
      <c r="J726" s="544">
        <f>J742+J746+J749</f>
        <v>0</v>
      </c>
      <c r="K726" s="543">
        <f ca="1">IF(I726&gt;0,J726*100/I726,0)</f>
        <v>0</v>
      </c>
      <c r="L726" s="449"/>
      <c r="M726" s="448"/>
      <c r="N726" s="448"/>
      <c r="O726" s="448"/>
      <c r="P726" s="448"/>
      <c r="Q726" s="448"/>
      <c r="R726" s="448"/>
      <c r="S726" s="448"/>
      <c r="T726" s="448"/>
      <c r="U726" s="448"/>
    </row>
    <row r="727" spans="1:21" ht="19.5">
      <c r="A727" s="487"/>
      <c r="B727" s="442"/>
      <c r="C727" s="442"/>
      <c r="D727" s="444"/>
      <c r="E727" s="444"/>
      <c r="F727" s="444"/>
      <c r="G727" s="445"/>
      <c r="H727" s="473" t="s">
        <v>46</v>
      </c>
      <c r="I727" s="544">
        <f ca="1">IFERROR(__xludf.DUMMYFUNCTION("IMPORTRANGE(""https://docs.google.com/spreadsheets/d/1eHaY18a8A9IcSdp1K8H6x8fbOy06t2VsZHhMHf-1x7Y/edit?usp=sharing"",""แผน!FZ45"")"),1250)</f>
        <v>1250</v>
      </c>
      <c r="J727" s="544">
        <f>J752+J755</f>
        <v>0</v>
      </c>
      <c r="K727" s="543">
        <f ca="1">IF(I727&gt;0,J727*100/I727,0)</f>
        <v>0</v>
      </c>
      <c r="L727" s="449"/>
      <c r="M727" s="448"/>
      <c r="N727" s="448"/>
      <c r="O727" s="448"/>
      <c r="P727" s="448"/>
      <c r="Q727" s="448"/>
      <c r="R727" s="448"/>
      <c r="S727" s="448"/>
      <c r="T727" s="448"/>
      <c r="U727" s="448"/>
    </row>
    <row r="728" spans="1:21" ht="19.5">
      <c r="A728" s="155"/>
      <c r="B728" s="188"/>
      <c r="C728" s="205" t="s">
        <v>18</v>
      </c>
      <c r="D728" s="542" t="s">
        <v>19</v>
      </c>
      <c r="E728" s="529"/>
      <c r="F728" s="529"/>
      <c r="G728" s="530"/>
      <c r="H728" s="252" t="s">
        <v>14</v>
      </c>
      <c r="I728" s="54"/>
      <c r="J728" s="54"/>
      <c r="K728" s="55"/>
      <c r="L728" s="541">
        <f>L729+L730</f>
        <v>0</v>
      </c>
      <c r="M728" s="540">
        <f>M729+M730</f>
        <v>0</v>
      </c>
      <c r="N728" s="540">
        <f>N729+N730</f>
        <v>0</v>
      </c>
      <c r="O728" s="540">
        <f>IF(L728&gt;0,N728*100/L728,0)</f>
        <v>0</v>
      </c>
      <c r="P728" s="540">
        <f>IF(M728&gt;0,N728*100/M728,0)</f>
        <v>0</v>
      </c>
      <c r="Q728" s="540">
        <f ca="1">Q729+Q730</f>
        <v>1008470</v>
      </c>
      <c r="R728" s="540">
        <f ca="1">R729+R730</f>
        <v>1008470</v>
      </c>
      <c r="S728" s="540">
        <f ca="1">S729+S730</f>
        <v>43180</v>
      </c>
      <c r="T728" s="540">
        <f ca="1">IF(Q728&gt;0,S728*100/Q728,0)</f>
        <v>4.2817337154303052</v>
      </c>
      <c r="U728" s="540">
        <f ca="1">IF(R728&gt;0,S728*100/R728,0)</f>
        <v>4.2817337154303052</v>
      </c>
    </row>
    <row r="729" spans="1:21" ht="18.75" hidden="1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103">
        <f>L732+L735</f>
        <v>0</v>
      </c>
      <c r="M729" s="102">
        <f>M732+M735</f>
        <v>0</v>
      </c>
      <c r="N729" s="102">
        <f>N732+N735</f>
        <v>0</v>
      </c>
      <c r="O729" s="102">
        <f>IF(L729&gt;0,N729*100/L729,0)</f>
        <v>0</v>
      </c>
      <c r="P729" s="102">
        <f>IF(M729&gt;0,N729*100/M729,0)</f>
        <v>0</v>
      </c>
      <c r="Q729" s="102">
        <f>Q732+Q735</f>
        <v>0</v>
      </c>
      <c r="R729" s="102">
        <f>R732+R735</f>
        <v>0</v>
      </c>
      <c r="S729" s="102">
        <f>S732+S735</f>
        <v>0</v>
      </c>
      <c r="T729" s="102">
        <f>IF(Q729&gt;0,S729*100/Q729,0)</f>
        <v>0</v>
      </c>
      <c r="U729" s="102">
        <f>IF(R729&gt;0,S729*100/R729,0)</f>
        <v>0</v>
      </c>
    </row>
    <row r="730" spans="1:21" ht="18.75" hidden="1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256">
        <f>L733+L736</f>
        <v>0</v>
      </c>
      <c r="M730" s="255">
        <f>M733+M736</f>
        <v>0</v>
      </c>
      <c r="N730" s="255">
        <f>N733+N736</f>
        <v>0</v>
      </c>
      <c r="O730" s="255">
        <f>IF(L730&gt;0,N730*100/L730,0)</f>
        <v>0</v>
      </c>
      <c r="P730" s="255">
        <f>IF(M730&gt;0,N730*100/M730,0)</f>
        <v>0</v>
      </c>
      <c r="Q730" s="255">
        <f ca="1">Q733+Q736</f>
        <v>1008470</v>
      </c>
      <c r="R730" s="255">
        <f ca="1">R733+R736</f>
        <v>1008470</v>
      </c>
      <c r="S730" s="255">
        <f ca="1">S733+S736</f>
        <v>43180</v>
      </c>
      <c r="T730" s="255">
        <f ca="1">IF(Q730&gt;0,S730*100/Q730,0)</f>
        <v>4.2817337154303052</v>
      </c>
      <c r="U730" s="255">
        <f ca="1">IF(R730&gt;0,S730*100/R730,0)</f>
        <v>4.2817337154303052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256">
        <f>L732+L733</f>
        <v>0</v>
      </c>
      <c r="M731" s="255">
        <f>M732+M733</f>
        <v>0</v>
      </c>
      <c r="N731" s="255">
        <f>N732+N733</f>
        <v>0</v>
      </c>
      <c r="O731" s="255">
        <f>IF(L731&gt;0,N731*100/L731,0)</f>
        <v>0</v>
      </c>
      <c r="P731" s="255">
        <f>IF(M731&gt;0,N731*100/M731,0)</f>
        <v>0</v>
      </c>
      <c r="Q731" s="255">
        <f ca="1">Q732+Q733</f>
        <v>1008470</v>
      </c>
      <c r="R731" s="255">
        <f ca="1">R732+R733</f>
        <v>1008470</v>
      </c>
      <c r="S731" s="255">
        <f ca="1">S732+S733</f>
        <v>43180</v>
      </c>
      <c r="T731" s="255">
        <f ca="1">IF(Q731&gt;0,S731*100/Q731,0)</f>
        <v>4.2817337154303052</v>
      </c>
      <c r="U731" s="255">
        <f ca="1">IF(R731&gt;0,S731*100/R731,0)</f>
        <v>4.2817337154303052</v>
      </c>
    </row>
    <row r="732" spans="1:21" ht="18.75" hidden="1">
      <c r="A732" s="155"/>
      <c r="B732" s="188"/>
      <c r="C732" s="188"/>
      <c r="D732" s="174"/>
      <c r="E732" s="186" t="s">
        <v>159</v>
      </c>
      <c r="F732" s="50"/>
      <c r="G732" s="52"/>
      <c r="H732" s="189" t="s">
        <v>14</v>
      </c>
      <c r="I732" s="54"/>
      <c r="J732" s="54"/>
      <c r="K732" s="55"/>
      <c r="L732" s="103">
        <v>0</v>
      </c>
      <c r="M732" s="102">
        <v>0</v>
      </c>
      <c r="N732" s="102">
        <v>0</v>
      </c>
      <c r="O732" s="102">
        <f>IF(L732&gt;0,N732*100/L732,0)</f>
        <v>0</v>
      </c>
      <c r="P732" s="102">
        <f>IF(M732&gt;0,N732*100/M732,0)</f>
        <v>0</v>
      </c>
      <c r="Q732" s="102">
        <v>0</v>
      </c>
      <c r="R732" s="102">
        <v>0</v>
      </c>
      <c r="S732" s="102">
        <v>0</v>
      </c>
      <c r="T732" s="102">
        <f>IF(Q732&gt;0,S732*100/Q732,0)</f>
        <v>0</v>
      </c>
      <c r="U732" s="102">
        <f>IF(R732&gt;0,S732*100/R732,0)</f>
        <v>0</v>
      </c>
    </row>
    <row r="733" spans="1:21" ht="18.75" hidden="1">
      <c r="A733" s="155"/>
      <c r="B733" s="188"/>
      <c r="C733" s="188"/>
      <c r="D733" s="174"/>
      <c r="E733" s="58" t="s">
        <v>160</v>
      </c>
      <c r="F733" s="50"/>
      <c r="G733" s="52"/>
      <c r="H733" s="162" t="s">
        <v>14</v>
      </c>
      <c r="I733" s="54"/>
      <c r="J733" s="54"/>
      <c r="K733" s="55"/>
      <c r="L733" s="256">
        <v>0</v>
      </c>
      <c r="M733" s="255">
        <v>0</v>
      </c>
      <c r="N733" s="255">
        <v>0</v>
      </c>
      <c r="O733" s="255">
        <f>IF(L733&gt;0,N733*100/L733,0)</f>
        <v>0</v>
      </c>
      <c r="P733" s="255">
        <f>IF(M733&gt;0,N733*100/M733,0)</f>
        <v>0</v>
      </c>
      <c r="Q733" s="255">
        <f ca="1">IFERROR(__xludf.DUMMYFUNCTION("IMPORTRANGE(""https://docs.google.com/spreadsheets/d/1ItG2mGa2ceCfYo0BwxsXqNm01IGEUdYcSSLTEv9YCik/edit?usp=sharing"",""เบิกจ่ายกองทุน!O45"")"),1008470)</f>
        <v>1008470</v>
      </c>
      <c r="R733" s="255">
        <f ca="1">IFERROR(__xludf.DUMMYFUNCTION("IMPORTRANGE(""https://docs.google.com/spreadsheets/d/1ItG2mGa2ceCfYo0BwxsXqNm01IGEUdYcSSLTEv9YCik/edit?usp=sharing"",""เบิกจ่ายกองทุน!P45"")"),1008470)</f>
        <v>1008470</v>
      </c>
      <c r="S733" s="255">
        <f ca="1">IFERROR(__xludf.DUMMYFUNCTION("IMPORTRANGE(""https://docs.google.com/spreadsheets/d/1ItG2mGa2ceCfYo0BwxsXqNm01IGEUdYcSSLTEv9YCik/edit?usp=sharing"",""เบิกจ่ายกองทุน!Q45"")"),43180)</f>
        <v>43180</v>
      </c>
      <c r="T733" s="255">
        <f ca="1">IF(Q733&gt;0,S733*100/Q733,0)</f>
        <v>4.2817337154303052</v>
      </c>
      <c r="U733" s="255">
        <f ca="1">IF(R733&gt;0,S733*100/R733,0)</f>
        <v>4.2817337154303052</v>
      </c>
    </row>
    <row r="734" spans="1:21" ht="18.75">
      <c r="A734" s="155"/>
      <c r="B734" s="188"/>
      <c r="C734" s="188"/>
      <c r="D734" s="51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256">
        <f>L735+L736</f>
        <v>0</v>
      </c>
      <c r="M734" s="255">
        <f>M735+M736</f>
        <v>0</v>
      </c>
      <c r="N734" s="255">
        <f>N735+N736</f>
        <v>0</v>
      </c>
      <c r="O734" s="255">
        <f>IF(L734&gt;0,N734*100/L734,0)</f>
        <v>0</v>
      </c>
      <c r="P734" s="255">
        <f>IF(M734&gt;0,N734*100/M734,0)</f>
        <v>0</v>
      </c>
      <c r="Q734" s="255">
        <f>Q735+Q736</f>
        <v>0</v>
      </c>
      <c r="R734" s="255">
        <f>R735+R736</f>
        <v>0</v>
      </c>
      <c r="S734" s="255">
        <f>S735+S736</f>
        <v>0</v>
      </c>
      <c r="T734" s="255">
        <f>IF(Q734&gt;0,S734*100/Q734,0)</f>
        <v>0</v>
      </c>
      <c r="U734" s="255">
        <f>IF(R734&gt;0,S734*100/R734,0)</f>
        <v>0</v>
      </c>
    </row>
    <row r="735" spans="1:21" ht="18.75" hidden="1">
      <c r="A735" s="155"/>
      <c r="B735" s="188"/>
      <c r="C735" s="188"/>
      <c r="D735" s="188"/>
      <c r="E735" s="358" t="s">
        <v>20</v>
      </c>
      <c r="F735" s="188"/>
      <c r="G735" s="52"/>
      <c r="H735" s="189" t="s">
        <v>14</v>
      </c>
      <c r="I735" s="163"/>
      <c r="J735" s="163"/>
      <c r="K735" s="164"/>
      <c r="L735" s="103">
        <v>0</v>
      </c>
      <c r="M735" s="102">
        <v>0</v>
      </c>
      <c r="N735" s="102">
        <v>0</v>
      </c>
      <c r="O735" s="102">
        <f>IF(L735&gt;0,N735*100/L735,0)</f>
        <v>0</v>
      </c>
      <c r="P735" s="102">
        <f>IF(M735&gt;0,N735*100/M735,0)</f>
        <v>0</v>
      </c>
      <c r="Q735" s="102">
        <v>0</v>
      </c>
      <c r="R735" s="102">
        <v>0</v>
      </c>
      <c r="S735" s="102">
        <v>0</v>
      </c>
      <c r="T735" s="102">
        <f>IF(Q735&gt;0,S735*100/Q735,0)</f>
        <v>0</v>
      </c>
      <c r="U735" s="102">
        <f>IF(R735&gt;0,S735*100/R735,0)</f>
        <v>0</v>
      </c>
    </row>
    <row r="736" spans="1:21" ht="18.75" hidden="1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256">
        <v>0</v>
      </c>
      <c r="M736" s="255">
        <v>0</v>
      </c>
      <c r="N736" s="255">
        <v>0</v>
      </c>
      <c r="O736" s="255">
        <f>IF(L736&gt;0,N736*100/L736,0)</f>
        <v>0</v>
      </c>
      <c r="P736" s="255">
        <f>IF(M736&gt;0,N736*100/M736,0)</f>
        <v>0</v>
      </c>
      <c r="Q736" s="255">
        <v>0</v>
      </c>
      <c r="R736" s="255">
        <v>0</v>
      </c>
      <c r="S736" s="255">
        <v>0</v>
      </c>
      <c r="T736" s="255">
        <f>IF(Q736&gt;0,S736*100/Q736,0)</f>
        <v>0</v>
      </c>
      <c r="U736" s="255">
        <f>IF(R736&gt;0,S736*100/R736,0)</f>
        <v>0</v>
      </c>
    </row>
    <row r="737" spans="1:21" ht="19.5">
      <c r="A737" s="166"/>
      <c r="B737" s="167"/>
      <c r="C737" s="205" t="s">
        <v>18</v>
      </c>
      <c r="D737" s="560" t="s">
        <v>38</v>
      </c>
      <c r="E737" s="232"/>
      <c r="F737" s="169"/>
      <c r="G737" s="170"/>
      <c r="H737" s="206"/>
      <c r="I737" s="54"/>
      <c r="J737" s="54"/>
      <c r="K737" s="55"/>
      <c r="L737" s="62"/>
      <c r="M737" s="55"/>
      <c r="N737" s="55"/>
      <c r="O737" s="55"/>
      <c r="P737" s="55"/>
      <c r="Q737" s="55"/>
      <c r="R737" s="55"/>
      <c r="S737" s="55"/>
      <c r="T737" s="55"/>
      <c r="U737" s="55"/>
    </row>
    <row r="738" spans="1:21" ht="19.5">
      <c r="A738" s="166"/>
      <c r="B738" s="167"/>
      <c r="C738" s="167"/>
      <c r="D738" s="488" t="s">
        <v>121</v>
      </c>
      <c r="E738" s="167"/>
      <c r="F738" s="167"/>
      <c r="G738" s="171"/>
      <c r="H738" s="208"/>
      <c r="I738" s="54"/>
      <c r="J738" s="54"/>
      <c r="K738" s="55"/>
      <c r="L738" s="62"/>
      <c r="M738" s="55"/>
      <c r="N738" s="55"/>
      <c r="O738" s="55"/>
      <c r="P738" s="55"/>
      <c r="Q738" s="55"/>
      <c r="R738" s="55"/>
      <c r="S738" s="55"/>
      <c r="T738" s="55"/>
      <c r="U738" s="55"/>
    </row>
    <row r="739" spans="1:21" ht="18.75">
      <c r="A739" s="166"/>
      <c r="B739" s="167"/>
      <c r="C739" s="167"/>
      <c r="D739" s="167"/>
      <c r="E739" s="460" t="s">
        <v>271</v>
      </c>
      <c r="F739" s="167"/>
      <c r="G739" s="171"/>
      <c r="H739" s="208"/>
      <c r="I739" s="54"/>
      <c r="J739" s="54"/>
      <c r="K739" s="55"/>
      <c r="L739" s="62"/>
      <c r="M739" s="55"/>
      <c r="N739" s="55"/>
      <c r="O739" s="55"/>
      <c r="P739" s="55"/>
      <c r="Q739" s="55"/>
      <c r="R739" s="55"/>
      <c r="S739" s="55"/>
      <c r="T739" s="55"/>
      <c r="U739" s="55"/>
    </row>
    <row r="740" spans="1:21" ht="18.75">
      <c r="A740" s="554"/>
      <c r="B740" s="553"/>
      <c r="C740" s="553"/>
      <c r="D740" s="553"/>
      <c r="E740" s="553"/>
      <c r="F740" s="558" t="s">
        <v>272</v>
      </c>
      <c r="G740" s="550"/>
      <c r="H740" s="549" t="s">
        <v>46</v>
      </c>
      <c r="I740" s="556">
        <f ca="1">IFERROR(__xludf.DUMMYFUNCTION("IMPORTRANGE(""https://docs.google.com/spreadsheets/d/1eHaY18a8A9IcSdp1K8H6x8fbOy06t2VsZHhMHf-1x7Y/edit?usp=sharing"",""แผน!GB45"")"),1000)</f>
        <v>1000</v>
      </c>
      <c r="J740" s="547">
        <v>0</v>
      </c>
      <c r="K740" s="555">
        <f ca="1">IF(I740&gt;0,J740*100/I740,0)</f>
        <v>0</v>
      </c>
      <c r="L740" s="546"/>
      <c r="M740" s="545"/>
      <c r="N740" s="545"/>
      <c r="O740" s="545"/>
      <c r="P740" s="545"/>
      <c r="Q740" s="545"/>
      <c r="R740" s="545"/>
      <c r="S740" s="545"/>
      <c r="T740" s="545"/>
      <c r="U740" s="545"/>
    </row>
    <row r="741" spans="1:21" ht="18.75">
      <c r="A741" s="554"/>
      <c r="B741" s="553"/>
      <c r="C741" s="553"/>
      <c r="D741" s="553"/>
      <c r="E741" s="553"/>
      <c r="F741" s="558" t="s">
        <v>307</v>
      </c>
      <c r="G741" s="550"/>
      <c r="H741" s="549" t="s">
        <v>35</v>
      </c>
      <c r="I741" s="548"/>
      <c r="J741" s="547">
        <v>0</v>
      </c>
      <c r="K741" s="545"/>
      <c r="L741" s="546"/>
      <c r="M741" s="545"/>
      <c r="N741" s="545"/>
      <c r="O741" s="545"/>
      <c r="P741" s="545"/>
      <c r="Q741" s="545"/>
      <c r="R741" s="545"/>
      <c r="S741" s="545"/>
      <c r="T741" s="545"/>
      <c r="U741" s="545"/>
    </row>
    <row r="742" spans="1:21" ht="18.75">
      <c r="A742" s="554"/>
      <c r="B742" s="553"/>
      <c r="C742" s="553"/>
      <c r="D742" s="553"/>
      <c r="E742" s="553"/>
      <c r="F742" s="558" t="s">
        <v>306</v>
      </c>
      <c r="G742" s="550"/>
      <c r="H742" s="549" t="s">
        <v>35</v>
      </c>
      <c r="I742" s="556">
        <f ca="1">IFERROR(__xludf.DUMMYFUNCTION("IMPORTRANGE(""https://docs.google.com/spreadsheets/d/1eHaY18a8A9IcSdp1K8H6x8fbOy06t2VsZHhMHf-1x7Y/edit?usp=sharing"",""แผน!GC45"")"),100)</f>
        <v>100</v>
      </c>
      <c r="J742" s="547">
        <v>0</v>
      </c>
      <c r="K742" s="555">
        <f ca="1">IF(I742&gt;0,J742*100/I742,0)</f>
        <v>0</v>
      </c>
      <c r="L742" s="546"/>
      <c r="M742" s="545"/>
      <c r="N742" s="545"/>
      <c r="O742" s="545"/>
      <c r="P742" s="545"/>
      <c r="Q742" s="545"/>
      <c r="R742" s="545"/>
      <c r="S742" s="545"/>
      <c r="T742" s="545"/>
      <c r="U742" s="545"/>
    </row>
    <row r="743" spans="1:21" ht="18.75">
      <c r="A743" s="554"/>
      <c r="B743" s="553"/>
      <c r="C743" s="553"/>
      <c r="D743" s="553"/>
      <c r="E743" s="558" t="s">
        <v>275</v>
      </c>
      <c r="F743" s="553"/>
      <c r="G743" s="550"/>
      <c r="H743" s="557"/>
      <c r="I743" s="548"/>
      <c r="J743" s="548"/>
      <c r="K743" s="545"/>
      <c r="L743" s="546"/>
      <c r="M743" s="545"/>
      <c r="N743" s="545"/>
      <c r="O743" s="545"/>
      <c r="P743" s="545"/>
      <c r="Q743" s="545"/>
      <c r="R743" s="545"/>
      <c r="S743" s="545"/>
      <c r="T743" s="545"/>
      <c r="U743" s="545"/>
    </row>
    <row r="744" spans="1:21" ht="18.75">
      <c r="A744" s="554"/>
      <c r="B744" s="553"/>
      <c r="C744" s="553"/>
      <c r="D744" s="553"/>
      <c r="E744" s="553"/>
      <c r="F744" s="558" t="s">
        <v>272</v>
      </c>
      <c r="G744" s="550"/>
      <c r="H744" s="549" t="s">
        <v>46</v>
      </c>
      <c r="I744" s="556">
        <f ca="1">IFERROR(__xludf.DUMMYFUNCTION("IMPORTRANGE(""https://docs.google.com/spreadsheets/d/1eHaY18a8A9IcSdp1K8H6x8fbOy06t2VsZHhMHf-1x7Y/edit?usp=sharing"",""แผน!GD45"")"),250)</f>
        <v>250</v>
      </c>
      <c r="J744" s="547">
        <v>0</v>
      </c>
      <c r="K744" s="555">
        <f ca="1">IF(I744&gt;0,J744*100/I744,0)</f>
        <v>0</v>
      </c>
      <c r="L744" s="546"/>
      <c r="M744" s="545"/>
      <c r="N744" s="545"/>
      <c r="O744" s="545"/>
      <c r="P744" s="545"/>
      <c r="Q744" s="545"/>
      <c r="R744" s="545"/>
      <c r="S744" s="545"/>
      <c r="T744" s="545"/>
      <c r="U744" s="545"/>
    </row>
    <row r="745" spans="1:21" ht="18.75">
      <c r="A745" s="554"/>
      <c r="B745" s="553"/>
      <c r="C745" s="553"/>
      <c r="D745" s="553"/>
      <c r="E745" s="553"/>
      <c r="F745" s="558" t="s">
        <v>305</v>
      </c>
      <c r="G745" s="550"/>
      <c r="H745" s="549" t="s">
        <v>35</v>
      </c>
      <c r="I745" s="548"/>
      <c r="J745" s="547">
        <v>0</v>
      </c>
      <c r="K745" s="545"/>
      <c r="L745" s="546"/>
      <c r="M745" s="545"/>
      <c r="N745" s="545"/>
      <c r="O745" s="545"/>
      <c r="P745" s="545"/>
      <c r="Q745" s="545"/>
      <c r="R745" s="545"/>
      <c r="S745" s="545"/>
      <c r="T745" s="545"/>
      <c r="U745" s="545"/>
    </row>
    <row r="746" spans="1:21" ht="18.75">
      <c r="A746" s="554"/>
      <c r="B746" s="553"/>
      <c r="C746" s="553"/>
      <c r="D746" s="553"/>
      <c r="E746" s="553"/>
      <c r="F746" s="558" t="s">
        <v>304</v>
      </c>
      <c r="G746" s="550"/>
      <c r="H746" s="549" t="s">
        <v>35</v>
      </c>
      <c r="I746" s="556">
        <f ca="1">IFERROR(__xludf.DUMMYFUNCTION("IMPORTRANGE(""https://docs.google.com/spreadsheets/d/1eHaY18a8A9IcSdp1K8H6x8fbOy06t2VsZHhMHf-1x7Y/edit?usp=sharing"",""แผน!GE45"")"),25)</f>
        <v>25</v>
      </c>
      <c r="J746" s="547">
        <v>0</v>
      </c>
      <c r="K746" s="555">
        <f ca="1">IF(I746&gt;0,J746*100/I746,0)</f>
        <v>0</v>
      </c>
      <c r="L746" s="546"/>
      <c r="M746" s="545"/>
      <c r="N746" s="545"/>
      <c r="O746" s="545"/>
      <c r="P746" s="545"/>
      <c r="Q746" s="545"/>
      <c r="R746" s="545"/>
      <c r="S746" s="545"/>
      <c r="T746" s="545"/>
      <c r="U746" s="545"/>
    </row>
    <row r="747" spans="1:21" ht="18.75">
      <c r="A747" s="554"/>
      <c r="B747" s="553"/>
      <c r="C747" s="553"/>
      <c r="D747" s="553"/>
      <c r="E747" s="558" t="s">
        <v>278</v>
      </c>
      <c r="F747" s="552"/>
      <c r="G747" s="550"/>
      <c r="H747" s="557"/>
      <c r="I747" s="548"/>
      <c r="J747" s="548"/>
      <c r="K747" s="545"/>
      <c r="L747" s="546"/>
      <c r="M747" s="545"/>
      <c r="N747" s="545"/>
      <c r="O747" s="545"/>
      <c r="P747" s="545"/>
      <c r="Q747" s="545"/>
      <c r="R747" s="545"/>
      <c r="S747" s="545"/>
      <c r="T747" s="545"/>
      <c r="U747" s="545"/>
    </row>
    <row r="748" spans="1:21" ht="18.75">
      <c r="A748" s="554"/>
      <c r="B748" s="553"/>
      <c r="C748" s="553"/>
      <c r="D748" s="553"/>
      <c r="E748" s="553"/>
      <c r="F748" s="558" t="s">
        <v>303</v>
      </c>
      <c r="G748" s="550"/>
      <c r="H748" s="549" t="s">
        <v>35</v>
      </c>
      <c r="I748" s="548"/>
      <c r="J748" s="547">
        <v>0</v>
      </c>
      <c r="K748" s="545"/>
      <c r="L748" s="546"/>
      <c r="M748" s="545"/>
      <c r="N748" s="545"/>
      <c r="O748" s="545"/>
      <c r="P748" s="545"/>
      <c r="Q748" s="545"/>
      <c r="R748" s="545"/>
      <c r="S748" s="545"/>
      <c r="T748" s="545"/>
      <c r="U748" s="545"/>
    </row>
    <row r="749" spans="1:21" ht="18.75">
      <c r="A749" s="554"/>
      <c r="B749" s="553"/>
      <c r="C749" s="553"/>
      <c r="D749" s="553"/>
      <c r="E749" s="553"/>
      <c r="F749" s="558" t="s">
        <v>302</v>
      </c>
      <c r="G749" s="550"/>
      <c r="H749" s="549" t="s">
        <v>35</v>
      </c>
      <c r="I749" s="556">
        <f ca="1">IFERROR(__xludf.DUMMYFUNCTION("IMPORTRANGE(""https://docs.google.com/spreadsheets/d/1eHaY18a8A9IcSdp1K8H6x8fbOy06t2VsZHhMHf-1x7Y/edit?usp=sharing"",""แผน!GF45"")"),3)</f>
        <v>3</v>
      </c>
      <c r="J749" s="547">
        <v>0</v>
      </c>
      <c r="K749" s="555">
        <f ca="1">IF(I749&gt;0,J749*100/I749,0)</f>
        <v>0</v>
      </c>
      <c r="L749" s="546"/>
      <c r="M749" s="545"/>
      <c r="N749" s="545"/>
      <c r="O749" s="545"/>
      <c r="P749" s="545"/>
      <c r="Q749" s="545"/>
      <c r="R749" s="545"/>
      <c r="S749" s="545"/>
      <c r="T749" s="545"/>
      <c r="U749" s="545"/>
    </row>
    <row r="750" spans="1:21" ht="19.5">
      <c r="A750" s="554"/>
      <c r="B750" s="553"/>
      <c r="C750" s="553"/>
      <c r="D750" s="559" t="s">
        <v>50</v>
      </c>
      <c r="E750" s="553"/>
      <c r="F750" s="552"/>
      <c r="G750" s="550"/>
      <c r="H750" s="557"/>
      <c r="I750" s="548"/>
      <c r="J750" s="548"/>
      <c r="K750" s="545"/>
      <c r="L750" s="546"/>
      <c r="M750" s="545"/>
      <c r="N750" s="545"/>
      <c r="O750" s="545"/>
      <c r="P750" s="545"/>
      <c r="Q750" s="545"/>
      <c r="R750" s="545"/>
      <c r="S750" s="545"/>
      <c r="T750" s="545"/>
      <c r="U750" s="545"/>
    </row>
    <row r="751" spans="1:21" ht="18.75">
      <c r="A751" s="554"/>
      <c r="B751" s="553"/>
      <c r="C751" s="553"/>
      <c r="D751" s="553"/>
      <c r="E751" s="558" t="s">
        <v>271</v>
      </c>
      <c r="F751" s="552"/>
      <c r="G751" s="550"/>
      <c r="H751" s="557"/>
      <c r="I751" s="548"/>
      <c r="J751" s="548"/>
      <c r="K751" s="545"/>
      <c r="L751" s="546"/>
      <c r="M751" s="545"/>
      <c r="N751" s="545"/>
      <c r="O751" s="545"/>
      <c r="P751" s="545"/>
      <c r="Q751" s="545"/>
      <c r="R751" s="545"/>
      <c r="S751" s="545"/>
      <c r="T751" s="545"/>
      <c r="U751" s="545"/>
    </row>
    <row r="752" spans="1:21" ht="18.75">
      <c r="A752" s="554"/>
      <c r="B752" s="553"/>
      <c r="C752" s="553"/>
      <c r="D752" s="553"/>
      <c r="E752" s="553"/>
      <c r="F752" s="551" t="s">
        <v>301</v>
      </c>
      <c r="G752" s="550"/>
      <c r="H752" s="549" t="s">
        <v>46</v>
      </c>
      <c r="I752" s="556">
        <f ca="1">IFERROR(__xludf.DUMMYFUNCTION("IMPORTRANGE(""https://docs.google.com/spreadsheets/d/1eHaY18a8A9IcSdp1K8H6x8fbOy06t2VsZHhMHf-1x7Y/edit?usp=sharing"",""แผน!GB45"")"),1000)</f>
        <v>1000</v>
      </c>
      <c r="J752" s="547">
        <v>0</v>
      </c>
      <c r="K752" s="555">
        <f ca="1">IF(I752&gt;0,J752*100/I752,0)</f>
        <v>0</v>
      </c>
      <c r="L752" s="546"/>
      <c r="M752" s="545"/>
      <c r="N752" s="545"/>
      <c r="O752" s="545"/>
      <c r="P752" s="545"/>
      <c r="Q752" s="545"/>
      <c r="R752" s="545"/>
      <c r="S752" s="545"/>
      <c r="T752" s="545"/>
      <c r="U752" s="545"/>
    </row>
    <row r="753" spans="1:21" ht="18.75">
      <c r="A753" s="554"/>
      <c r="B753" s="553"/>
      <c r="C753" s="553"/>
      <c r="D753" s="553"/>
      <c r="E753" s="553"/>
      <c r="F753" s="551" t="s">
        <v>300</v>
      </c>
      <c r="G753" s="550"/>
      <c r="H753" s="549" t="s">
        <v>46</v>
      </c>
      <c r="I753" s="548"/>
      <c r="J753" s="547">
        <v>0</v>
      </c>
      <c r="K753" s="545"/>
      <c r="L753" s="546"/>
      <c r="M753" s="545"/>
      <c r="N753" s="545"/>
      <c r="O753" s="545"/>
      <c r="P753" s="545"/>
      <c r="Q753" s="545"/>
      <c r="R753" s="545"/>
      <c r="S753" s="545"/>
      <c r="T753" s="545"/>
      <c r="U753" s="545"/>
    </row>
    <row r="754" spans="1:21" ht="18.75">
      <c r="A754" s="554"/>
      <c r="B754" s="553"/>
      <c r="C754" s="553"/>
      <c r="D754" s="553"/>
      <c r="E754" s="558" t="s">
        <v>275</v>
      </c>
      <c r="F754" s="552"/>
      <c r="G754" s="550"/>
      <c r="H754" s="557"/>
      <c r="I754" s="548"/>
      <c r="J754" s="548"/>
      <c r="K754" s="545"/>
      <c r="L754" s="546"/>
      <c r="M754" s="545"/>
      <c r="N754" s="545"/>
      <c r="O754" s="545"/>
      <c r="P754" s="545"/>
      <c r="Q754" s="545"/>
      <c r="R754" s="545"/>
      <c r="S754" s="545"/>
      <c r="T754" s="545"/>
      <c r="U754" s="545"/>
    </row>
    <row r="755" spans="1:21" ht="18.75">
      <c r="A755" s="554"/>
      <c r="B755" s="553"/>
      <c r="C755" s="553"/>
      <c r="D755" s="553"/>
      <c r="E755" s="552"/>
      <c r="F755" s="551" t="s">
        <v>299</v>
      </c>
      <c r="G755" s="550"/>
      <c r="H755" s="549" t="s">
        <v>46</v>
      </c>
      <c r="I755" s="556">
        <f ca="1">IFERROR(__xludf.DUMMYFUNCTION("IMPORTRANGE(""https://docs.google.com/spreadsheets/d/1eHaY18a8A9IcSdp1K8H6x8fbOy06t2VsZHhMHf-1x7Y/edit?usp=sharing"",""แผน!GD45"")"),250)</f>
        <v>250</v>
      </c>
      <c r="J755" s="547">
        <v>0</v>
      </c>
      <c r="K755" s="555">
        <f ca="1">IF(I755&gt;0,J755*100/I755,0)</f>
        <v>0</v>
      </c>
      <c r="L755" s="546"/>
      <c r="M755" s="545"/>
      <c r="N755" s="545"/>
      <c r="O755" s="545"/>
      <c r="P755" s="545"/>
      <c r="Q755" s="545"/>
      <c r="R755" s="545"/>
      <c r="S755" s="545"/>
      <c r="T755" s="545"/>
      <c r="U755" s="545"/>
    </row>
    <row r="756" spans="1:21" ht="18.75">
      <c r="A756" s="554"/>
      <c r="B756" s="553"/>
      <c r="C756" s="553"/>
      <c r="D756" s="553"/>
      <c r="E756" s="552"/>
      <c r="F756" s="551" t="s">
        <v>298</v>
      </c>
      <c r="G756" s="550"/>
      <c r="H756" s="549" t="s">
        <v>46</v>
      </c>
      <c r="I756" s="548"/>
      <c r="J756" s="547">
        <v>0</v>
      </c>
      <c r="K756" s="545"/>
      <c r="L756" s="546"/>
      <c r="M756" s="545"/>
      <c r="N756" s="545"/>
      <c r="O756" s="545"/>
      <c r="P756" s="545"/>
      <c r="Q756" s="545"/>
      <c r="R756" s="545"/>
      <c r="S756" s="545"/>
      <c r="T756" s="545"/>
      <c r="U756" s="545"/>
    </row>
    <row r="757" spans="1:21" ht="18.75">
      <c r="A757" s="489"/>
      <c r="B757" s="489"/>
      <c r="C757" s="489"/>
      <c r="D757" s="489"/>
      <c r="E757" s="490" t="s">
        <v>285</v>
      </c>
      <c r="F757" s="491"/>
      <c r="G757" s="492"/>
      <c r="H757" s="493" t="s">
        <v>35</v>
      </c>
      <c r="I757" s="494"/>
      <c r="J757" s="495">
        <v>0</v>
      </c>
      <c r="K757" s="496"/>
      <c r="L757" s="496"/>
      <c r="M757" s="496"/>
      <c r="N757" s="496"/>
      <c r="O757" s="496"/>
      <c r="P757" s="496"/>
      <c r="Q757" s="496"/>
      <c r="R757" s="496"/>
      <c r="S757" s="496"/>
      <c r="T757" s="496"/>
      <c r="U757" s="496"/>
    </row>
    <row r="758" spans="1:21" ht="19.5">
      <c r="A758" s="442"/>
      <c r="B758" s="443" t="s">
        <v>286</v>
      </c>
      <c r="C758" s="442"/>
      <c r="D758" s="444"/>
      <c r="E758" s="444"/>
      <c r="F758" s="444"/>
      <c r="G758" s="445"/>
      <c r="H758" s="473" t="s">
        <v>35</v>
      </c>
      <c r="I758" s="544">
        <f ca="1">I772</f>
        <v>80</v>
      </c>
      <c r="J758" s="544">
        <f>J772</f>
        <v>10</v>
      </c>
      <c r="K758" s="543">
        <f ca="1">IF(I758&gt;0,J758*100/I758,0)</f>
        <v>12.5</v>
      </c>
      <c r="L758" s="449"/>
      <c r="M758" s="448"/>
      <c r="N758" s="448"/>
      <c r="O758" s="448"/>
      <c r="P758" s="448"/>
      <c r="Q758" s="448"/>
      <c r="R758" s="448"/>
      <c r="S758" s="448"/>
      <c r="T758" s="448"/>
      <c r="U758" s="448"/>
    </row>
    <row r="759" spans="1:21" ht="19.5">
      <c r="A759" s="487"/>
      <c r="B759" s="442"/>
      <c r="C759" s="442"/>
      <c r="D759" s="444"/>
      <c r="E759" s="444"/>
      <c r="F759" s="444"/>
      <c r="G759" s="445"/>
      <c r="H759" s="473" t="s">
        <v>46</v>
      </c>
      <c r="I759" s="544">
        <f ca="1">I774</f>
        <v>200</v>
      </c>
      <c r="J759" s="544">
        <f>J774</f>
        <v>20</v>
      </c>
      <c r="K759" s="543">
        <f ca="1">IF(I759&gt;0,J759*100/I759,0)</f>
        <v>10</v>
      </c>
      <c r="L759" s="449"/>
      <c r="M759" s="448"/>
      <c r="N759" s="448"/>
      <c r="O759" s="448"/>
      <c r="P759" s="448"/>
      <c r="Q759" s="448"/>
      <c r="R759" s="448"/>
      <c r="S759" s="448"/>
      <c r="T759" s="448"/>
      <c r="U759" s="448"/>
    </row>
    <row r="760" spans="1:21" ht="19.5">
      <c r="A760" s="155"/>
      <c r="B760" s="188"/>
      <c r="C760" s="205" t="s">
        <v>18</v>
      </c>
      <c r="D760" s="542" t="s">
        <v>19</v>
      </c>
      <c r="E760" s="529"/>
      <c r="F760" s="529"/>
      <c r="G760" s="530"/>
      <c r="H760" s="252" t="s">
        <v>14</v>
      </c>
      <c r="I760" s="54"/>
      <c r="J760" s="54"/>
      <c r="K760" s="55"/>
      <c r="L760" s="541">
        <f>L761+L762</f>
        <v>0</v>
      </c>
      <c r="M760" s="540">
        <f>M761+M762</f>
        <v>0</v>
      </c>
      <c r="N760" s="540">
        <f>N761+N762</f>
        <v>0</v>
      </c>
      <c r="O760" s="540">
        <f>IF(L760&gt;0,N760*100/L760,0)</f>
        <v>0</v>
      </c>
      <c r="P760" s="540">
        <f>IF(M760&gt;0,N760*100/M760,0)</f>
        <v>0</v>
      </c>
      <c r="Q760" s="540">
        <f ca="1">Q761+Q762</f>
        <v>555700</v>
      </c>
      <c r="R760" s="540">
        <f ca="1">R761+R762</f>
        <v>555700</v>
      </c>
      <c r="S760" s="540">
        <f ca="1">S761+S762</f>
        <v>118055</v>
      </c>
      <c r="T760" s="540">
        <f ca="1">IF(Q760&gt;0,S760*100/Q760,0)</f>
        <v>21.244376462119849</v>
      </c>
      <c r="U760" s="540">
        <f ca="1">IF(R760&gt;0,S760*100/R760,0)</f>
        <v>21.244376462119849</v>
      </c>
    </row>
    <row r="761" spans="1:21" ht="18.75" hidden="1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103">
        <f>L764+L767</f>
        <v>0</v>
      </c>
      <c r="M761" s="102">
        <f>M764+M767</f>
        <v>0</v>
      </c>
      <c r="N761" s="102">
        <f>N764+N767</f>
        <v>0</v>
      </c>
      <c r="O761" s="102">
        <f>IF(L761&gt;0,N761*100/L761,0)</f>
        <v>0</v>
      </c>
      <c r="P761" s="102">
        <f>IF(M761&gt;0,N761*100/M761,0)</f>
        <v>0</v>
      </c>
      <c r="Q761" s="102">
        <f>Q764+Q767</f>
        <v>0</v>
      </c>
      <c r="R761" s="102">
        <f>R764+R767</f>
        <v>0</v>
      </c>
      <c r="S761" s="102">
        <f>S764+S767</f>
        <v>0</v>
      </c>
      <c r="T761" s="102">
        <f>IF(Q761&gt;0,S761*100/Q761,0)</f>
        <v>0</v>
      </c>
      <c r="U761" s="102">
        <f>IF(R761&gt;0,S761*100/R761,0)</f>
        <v>0</v>
      </c>
    </row>
    <row r="762" spans="1:21" ht="18.75" hidden="1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256">
        <f>L765+L768</f>
        <v>0</v>
      </c>
      <c r="M762" s="255">
        <f>M765+M768</f>
        <v>0</v>
      </c>
      <c r="N762" s="255">
        <f>N765+N768</f>
        <v>0</v>
      </c>
      <c r="O762" s="255">
        <f>IF(L762&gt;0,N762*100/L762,0)</f>
        <v>0</v>
      </c>
      <c r="P762" s="255">
        <f>IF(M762&gt;0,N762*100/M762,0)</f>
        <v>0</v>
      </c>
      <c r="Q762" s="255">
        <f ca="1">Q765+Q768</f>
        <v>555700</v>
      </c>
      <c r="R762" s="255">
        <f ca="1">R765+R768</f>
        <v>555700</v>
      </c>
      <c r="S762" s="255">
        <f ca="1">S765+S768</f>
        <v>118055</v>
      </c>
      <c r="T762" s="255">
        <f ca="1">IF(Q762&gt;0,S762*100/Q762,0)</f>
        <v>21.244376462119849</v>
      </c>
      <c r="U762" s="255">
        <f ca="1">IF(R762&gt;0,S762*100/R762,0)</f>
        <v>21.244376462119849</v>
      </c>
    </row>
    <row r="763" spans="1:21" ht="18.75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256">
        <f>L764+L765</f>
        <v>0</v>
      </c>
      <c r="M763" s="255">
        <f>M764+M765</f>
        <v>0</v>
      </c>
      <c r="N763" s="255">
        <f>N764+N765</f>
        <v>0</v>
      </c>
      <c r="O763" s="255">
        <f>IF(L763&gt;0,N763*100/L763,0)</f>
        <v>0</v>
      </c>
      <c r="P763" s="255">
        <f>IF(M763&gt;0,N763*100/M763,0)</f>
        <v>0</v>
      </c>
      <c r="Q763" s="255">
        <f ca="1">Q764+Q765</f>
        <v>555700</v>
      </c>
      <c r="R763" s="255">
        <f ca="1">R764+R765</f>
        <v>555700</v>
      </c>
      <c r="S763" s="255">
        <f ca="1">S764+S765</f>
        <v>118055</v>
      </c>
      <c r="T763" s="255">
        <f ca="1">IF(Q763&gt;0,S763*100/Q763,0)</f>
        <v>21.244376462119849</v>
      </c>
      <c r="U763" s="255">
        <f ca="1">IF(R763&gt;0,S763*100/R763,0)</f>
        <v>21.244376462119849</v>
      </c>
    </row>
    <row r="764" spans="1:21" ht="18.75" hidden="1">
      <c r="A764" s="155"/>
      <c r="B764" s="188"/>
      <c r="C764" s="202"/>
      <c r="D764" s="174"/>
      <c r="E764" s="186" t="s">
        <v>159</v>
      </c>
      <c r="F764" s="50"/>
      <c r="G764" s="52"/>
      <c r="H764" s="189" t="s">
        <v>14</v>
      </c>
      <c r="I764" s="54"/>
      <c r="J764" s="54"/>
      <c r="K764" s="55"/>
      <c r="L764" s="103">
        <v>0</v>
      </c>
      <c r="M764" s="102">
        <v>0</v>
      </c>
      <c r="N764" s="102">
        <v>0</v>
      </c>
      <c r="O764" s="102">
        <f>IF(L764&gt;0,N764*100/L764,0)</f>
        <v>0</v>
      </c>
      <c r="P764" s="102">
        <f>IF(M764&gt;0,N764*100/M764,0)</f>
        <v>0</v>
      </c>
      <c r="Q764" s="102">
        <v>0</v>
      </c>
      <c r="R764" s="102">
        <v>0</v>
      </c>
      <c r="S764" s="102">
        <v>0</v>
      </c>
      <c r="T764" s="102">
        <f>IF(Q764&gt;0,S764*100/Q764,0)</f>
        <v>0</v>
      </c>
      <c r="U764" s="102">
        <f>IF(R764&gt;0,S764*100/R764,0)</f>
        <v>0</v>
      </c>
    </row>
    <row r="765" spans="1:21" ht="18.75" hidden="1">
      <c r="A765" s="155"/>
      <c r="B765" s="188"/>
      <c r="C765" s="202"/>
      <c r="D765" s="174"/>
      <c r="E765" s="58" t="s">
        <v>160</v>
      </c>
      <c r="F765" s="50"/>
      <c r="G765" s="52"/>
      <c r="H765" s="162" t="s">
        <v>14</v>
      </c>
      <c r="I765" s="54"/>
      <c r="J765" s="54"/>
      <c r="K765" s="55"/>
      <c r="L765" s="256">
        <v>0</v>
      </c>
      <c r="M765" s="255">
        <v>0</v>
      </c>
      <c r="N765" s="255">
        <v>0</v>
      </c>
      <c r="O765" s="255">
        <f>IF(L765&gt;0,N765*100/L765,0)</f>
        <v>0</v>
      </c>
      <c r="P765" s="255">
        <f>IF(M765&gt;0,N765*100/M765,0)</f>
        <v>0</v>
      </c>
      <c r="Q765" s="255">
        <f ca="1">IFERROR(__xludf.DUMMYFUNCTION("IMPORTRANGE(""https://docs.google.com/spreadsheets/d/1ItG2mGa2ceCfYo0BwxsXqNm01IGEUdYcSSLTEv9YCik/edit?usp=sharing"",""เบิกจ่ายกองทุน!U45"")"),555700)</f>
        <v>555700</v>
      </c>
      <c r="R765" s="255">
        <f ca="1">IFERROR(__xludf.DUMMYFUNCTION("IMPORTRANGE(""https://docs.google.com/spreadsheets/d/1ItG2mGa2ceCfYo0BwxsXqNm01IGEUdYcSSLTEv9YCik/edit?usp=sharing"",""เบิกจ่ายกองทุน!V45"")"),555700)</f>
        <v>555700</v>
      </c>
      <c r="S765" s="255">
        <f ca="1">IFERROR(__xludf.DUMMYFUNCTION("IMPORTRANGE(""https://docs.google.com/spreadsheets/d/1ItG2mGa2ceCfYo0BwxsXqNm01IGEUdYcSSLTEv9YCik/edit?usp=sharing"",""เบิกจ่ายกองทุน!W45"")"),118055)</f>
        <v>118055</v>
      </c>
      <c r="T765" s="255">
        <f ca="1">IF(Q765&gt;0,S765*100/Q765,0)</f>
        <v>21.244376462119849</v>
      </c>
      <c r="U765" s="255">
        <f ca="1">IF(R765&gt;0,S765*100/R765,0)</f>
        <v>21.244376462119849</v>
      </c>
    </row>
    <row r="766" spans="1:21" ht="18.75">
      <c r="A766" s="155"/>
      <c r="B766" s="188"/>
      <c r="C766" s="188"/>
      <c r="D766" s="51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256">
        <f>L767+L768</f>
        <v>0</v>
      </c>
      <c r="M766" s="255">
        <f>M767+M768</f>
        <v>0</v>
      </c>
      <c r="N766" s="255">
        <f>N767+N768</f>
        <v>0</v>
      </c>
      <c r="O766" s="255">
        <f>IF(L766&gt;0,N766*100/L766,0)</f>
        <v>0</v>
      </c>
      <c r="P766" s="255">
        <f>IF(M766&gt;0,N766*100/M766,0)</f>
        <v>0</v>
      </c>
      <c r="Q766" s="255">
        <f>Q767+Q768</f>
        <v>0</v>
      </c>
      <c r="R766" s="255">
        <f>R767+R768</f>
        <v>0</v>
      </c>
      <c r="S766" s="255">
        <f>S767+S768</f>
        <v>0</v>
      </c>
      <c r="T766" s="255">
        <f>IF(Q766&gt;0,S766*100/Q766,0)</f>
        <v>0</v>
      </c>
      <c r="U766" s="255">
        <f>IF(R766&gt;0,S766*100/R766,0)</f>
        <v>0</v>
      </c>
    </row>
    <row r="767" spans="1:21" ht="18.75" hidden="1">
      <c r="A767" s="155"/>
      <c r="B767" s="188"/>
      <c r="C767" s="188"/>
      <c r="D767" s="188"/>
      <c r="E767" s="358" t="s">
        <v>20</v>
      </c>
      <c r="F767" s="50"/>
      <c r="G767" s="52"/>
      <c r="H767" s="189" t="s">
        <v>14</v>
      </c>
      <c r="I767" s="163"/>
      <c r="J767" s="163"/>
      <c r="K767" s="164"/>
      <c r="L767" s="103">
        <v>0</v>
      </c>
      <c r="M767" s="102">
        <v>0</v>
      </c>
      <c r="N767" s="102">
        <v>0</v>
      </c>
      <c r="O767" s="102">
        <f>IF(L767&gt;0,N767*100/L767,0)</f>
        <v>0</v>
      </c>
      <c r="P767" s="102">
        <f>IF(M767&gt;0,N767*100/M767,0)</f>
        <v>0</v>
      </c>
      <c r="Q767" s="102">
        <v>0</v>
      </c>
      <c r="R767" s="102">
        <v>0</v>
      </c>
      <c r="S767" s="102">
        <v>0</v>
      </c>
      <c r="T767" s="102">
        <f>IF(Q767&gt;0,S767*100/Q767,0)</f>
        <v>0</v>
      </c>
      <c r="U767" s="102">
        <f>IF(R767&gt;0,S767*100/R767,0)</f>
        <v>0</v>
      </c>
    </row>
    <row r="768" spans="1:21" ht="18.75" hidden="1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256">
        <v>0</v>
      </c>
      <c r="M768" s="255">
        <v>0</v>
      </c>
      <c r="N768" s="255">
        <v>0</v>
      </c>
      <c r="O768" s="255">
        <f>IF(L768&gt;0,N768*100/L768,0)</f>
        <v>0</v>
      </c>
      <c r="P768" s="255">
        <f>IF(M768&gt;0,N768*100/M768,0)</f>
        <v>0</v>
      </c>
      <c r="Q768" s="255">
        <v>0</v>
      </c>
      <c r="R768" s="255">
        <v>0</v>
      </c>
      <c r="S768" s="255">
        <v>0</v>
      </c>
      <c r="T768" s="255">
        <f>IF(Q768&gt;0,S768*100/Q768,0)</f>
        <v>0</v>
      </c>
      <c r="U768" s="255">
        <f>IF(R768&gt;0,S768*100/R768,0)</f>
        <v>0</v>
      </c>
    </row>
    <row r="769" spans="1:21" ht="19.5">
      <c r="A769" s="166"/>
      <c r="B769" s="167"/>
      <c r="C769" s="497" t="s">
        <v>18</v>
      </c>
      <c r="D769" s="539" t="s">
        <v>38</v>
      </c>
      <c r="E769" s="232"/>
      <c r="F769" s="169"/>
      <c r="G769" s="170"/>
      <c r="H769" s="206"/>
      <c r="I769" s="54"/>
      <c r="J769" s="54"/>
      <c r="K769" s="55"/>
      <c r="L769" s="62"/>
      <c r="M769" s="55"/>
      <c r="N769" s="55"/>
      <c r="O769" s="55"/>
      <c r="P769" s="55"/>
      <c r="Q769" s="55"/>
      <c r="R769" s="55"/>
      <c r="S769" s="55"/>
      <c r="T769" s="55"/>
      <c r="U769" s="55"/>
    </row>
    <row r="770" spans="1:21" ht="18.75" hidden="1">
      <c r="A770" s="166"/>
      <c r="B770" s="167"/>
      <c r="C770" s="167"/>
      <c r="D770" s="423" t="s">
        <v>287</v>
      </c>
      <c r="E770" s="167"/>
      <c r="F770" s="174"/>
      <c r="G770" s="171"/>
      <c r="H770" s="421" t="s">
        <v>35</v>
      </c>
      <c r="I770" s="483">
        <f ca="1">IFERROR(__xludf.DUMMYFUNCTION("IMPORTRANGE(""https://docs.google.com/spreadsheets/d/1eHaY18a8A9IcSdp1K8H6x8fbOy06t2VsZHhMHf-1x7Y/edit?usp=sharing"",""แผน!FI45"")"),0)</f>
        <v>0</v>
      </c>
      <c r="J770" s="483">
        <v>0</v>
      </c>
      <c r="K770" s="102">
        <f ca="1">IF(I770&gt;0,J770*100/I770,0)</f>
        <v>0</v>
      </c>
      <c r="L770" s="62"/>
      <c r="M770" s="55"/>
      <c r="N770" s="55"/>
      <c r="O770" s="55"/>
      <c r="P770" s="55"/>
      <c r="Q770" s="55"/>
      <c r="R770" s="55"/>
      <c r="S770" s="55"/>
      <c r="T770" s="55"/>
      <c r="U770" s="55"/>
    </row>
    <row r="771" spans="1:21" ht="18.75" hidden="1">
      <c r="A771" s="166"/>
      <c r="B771" s="167"/>
      <c r="C771" s="167"/>
      <c r="D771" s="423" t="s">
        <v>288</v>
      </c>
      <c r="E771" s="167"/>
      <c r="F771" s="174"/>
      <c r="G771" s="171"/>
      <c r="H771" s="206"/>
      <c r="I771" s="54"/>
      <c r="J771" s="54"/>
      <c r="K771" s="55"/>
      <c r="L771" s="62"/>
      <c r="M771" s="55"/>
      <c r="N771" s="55"/>
      <c r="O771" s="55"/>
      <c r="P771" s="55"/>
      <c r="Q771" s="55"/>
      <c r="R771" s="55"/>
      <c r="S771" s="55"/>
      <c r="T771" s="55"/>
      <c r="U771" s="55"/>
    </row>
    <row r="772" spans="1:21" ht="18.75">
      <c r="A772" s="166"/>
      <c r="B772" s="167"/>
      <c r="C772" s="167"/>
      <c r="D772" s="460" t="s">
        <v>289</v>
      </c>
      <c r="E772" s="167"/>
      <c r="F772" s="174"/>
      <c r="G772" s="171"/>
      <c r="H772" s="165" t="s">
        <v>35</v>
      </c>
      <c r="I772" s="212">
        <f ca="1">IFERROR(__xludf.DUMMYFUNCTION("IMPORTRANGE(""https://docs.google.com/spreadsheets/d/1eHaY18a8A9IcSdp1K8H6x8fbOy06t2VsZHhMHf-1x7Y/edit?usp=sharing"",""แผน!FQ45"")"),80)</f>
        <v>80</v>
      </c>
      <c r="J772" s="467">
        <v>10</v>
      </c>
      <c r="K772" s="255">
        <f ca="1">IF(I772&gt;0,J772*100/I772,0)</f>
        <v>12.5</v>
      </c>
      <c r="L772" s="62"/>
      <c r="M772" s="55"/>
      <c r="N772" s="55"/>
      <c r="O772" s="55"/>
      <c r="P772" s="55"/>
      <c r="Q772" s="55"/>
      <c r="R772" s="55"/>
      <c r="S772" s="55"/>
      <c r="T772" s="55"/>
      <c r="U772" s="55"/>
    </row>
    <row r="773" spans="1:21" ht="18.75">
      <c r="A773" s="166"/>
      <c r="B773" s="167"/>
      <c r="C773" s="167"/>
      <c r="D773" s="460" t="s">
        <v>290</v>
      </c>
      <c r="E773" s="167"/>
      <c r="F773" s="174"/>
      <c r="G773" s="171"/>
      <c r="H773" s="206"/>
      <c r="I773" s="54"/>
      <c r="J773" s="54"/>
      <c r="K773" s="55"/>
      <c r="L773" s="62"/>
      <c r="M773" s="55"/>
      <c r="N773" s="55"/>
      <c r="O773" s="55"/>
      <c r="P773" s="55"/>
      <c r="Q773" s="55"/>
      <c r="R773" s="55"/>
      <c r="S773" s="55"/>
      <c r="T773" s="55"/>
      <c r="U773" s="55"/>
    </row>
    <row r="774" spans="1:21" ht="18.75">
      <c r="A774" s="166"/>
      <c r="B774" s="167"/>
      <c r="C774" s="167"/>
      <c r="D774" s="460" t="s">
        <v>291</v>
      </c>
      <c r="E774" s="167"/>
      <c r="F774" s="174"/>
      <c r="G774" s="171"/>
      <c r="H774" s="165" t="s">
        <v>46</v>
      </c>
      <c r="I774" s="212">
        <f ca="1">IFERROR(__xludf.DUMMYFUNCTION("IMPORTRANGE(""https://docs.google.com/spreadsheets/d/1eHaY18a8A9IcSdp1K8H6x8fbOy06t2VsZHhMHf-1x7Y/edit?usp=sharing"",""แผน!FR45"")"),200)</f>
        <v>200</v>
      </c>
      <c r="J774" s="467">
        <v>20</v>
      </c>
      <c r="K774" s="255">
        <f ca="1">IF(I774&gt;0,J774*100/I774,0)</f>
        <v>10</v>
      </c>
      <c r="L774" s="62"/>
      <c r="M774" s="55"/>
      <c r="N774" s="55"/>
      <c r="O774" s="55"/>
      <c r="P774" s="55"/>
      <c r="Q774" s="55"/>
      <c r="R774" s="55"/>
      <c r="S774" s="55"/>
      <c r="T774" s="55"/>
      <c r="U774" s="55"/>
    </row>
    <row r="775" spans="1:21" ht="18.75">
      <c r="A775" s="166"/>
      <c r="B775" s="167"/>
      <c r="C775" s="167"/>
      <c r="D775" s="460" t="s">
        <v>50</v>
      </c>
      <c r="E775" s="174"/>
      <c r="F775" s="50"/>
      <c r="G775" s="52"/>
      <c r="H775" s="165" t="s">
        <v>46</v>
      </c>
      <c r="I775" s="212">
        <f ca="1">IFERROR(__xludf.DUMMYFUNCTION("IMPORTRANGE(""https://docs.google.com/spreadsheets/d/1eHaY18a8A9IcSdp1K8H6x8fbOy06t2VsZHhMHf-1x7Y/edit?usp=sharing"",""แผน!FS45"")"),200)</f>
        <v>200</v>
      </c>
      <c r="J775" s="467">
        <v>0</v>
      </c>
      <c r="K775" s="55"/>
      <c r="L775" s="62"/>
      <c r="M775" s="55"/>
      <c r="N775" s="55"/>
      <c r="O775" s="55"/>
      <c r="P775" s="55"/>
      <c r="Q775" s="55"/>
      <c r="R775" s="55"/>
      <c r="S775" s="55"/>
      <c r="T775" s="55"/>
      <c r="U775" s="55"/>
    </row>
    <row r="776" spans="1:21" ht="18.75">
      <c r="A776" s="281"/>
      <c r="B776" s="282"/>
      <c r="C776" s="282"/>
      <c r="D776" s="282"/>
      <c r="E776" s="2"/>
      <c r="F776" s="2"/>
      <c r="G776" s="65"/>
      <c r="H776" s="214" t="s">
        <v>35</v>
      </c>
      <c r="I776" s="216">
        <f ca="1">IFERROR(__xludf.DUMMYFUNCTION("IMPORTRANGE(""https://docs.google.com/spreadsheets/d/1eHaY18a8A9IcSdp1K8H6x8fbOy06t2VsZHhMHf-1x7Y/edit?usp=sharing"",""แผน!FT45"")"),80)</f>
        <v>80</v>
      </c>
      <c r="J776" s="538">
        <v>0</v>
      </c>
      <c r="K776" s="6"/>
      <c r="L776" s="68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>
      <c r="A777" s="537" t="s">
        <v>292</v>
      </c>
      <c r="B777" s="500"/>
      <c r="C777" s="500"/>
      <c r="D777" s="499"/>
      <c r="E777" s="500"/>
      <c r="F777" s="500"/>
      <c r="G777" s="501"/>
      <c r="H777" s="536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503"/>
      <c r="J777" s="504"/>
      <c r="K777" s="505"/>
      <c r="L777" s="505"/>
      <c r="M777" s="505"/>
      <c r="N777" s="505"/>
      <c r="O777" s="505"/>
      <c r="P777" s="505"/>
      <c r="Q777" s="505"/>
      <c r="R777" s="505"/>
      <c r="S777" s="505"/>
      <c r="T777" s="505"/>
      <c r="U777" s="505"/>
    </row>
    <row r="778" spans="1:21" ht="18.75">
      <c r="A778" s="49"/>
      <c r="B778" s="58" t="s">
        <v>293</v>
      </c>
      <c r="C778" s="50"/>
      <c r="D778" s="188"/>
      <c r="E778" s="50"/>
      <c r="F778" s="50"/>
      <c r="G778" s="52"/>
      <c r="H778" s="53" t="s">
        <v>14</v>
      </c>
      <c r="I778" s="212">
        <f ca="1">IFERROR(__xludf.DUMMYFUNCTION("IMPORTRANGE(""https://docs.google.com/spreadsheets/d/10OvvATaaLtwErnr3qtWFcTmtbfpFEt5Bsqel9sXx0uE/edit?usp=sharing"",""งานกองทุน!D45"")"),6919798.53)</f>
        <v>6919798.5300000003</v>
      </c>
      <c r="J778" s="212">
        <f ca="1">IFERROR(__xludf.DUMMYFUNCTION("IMPORTRANGE(""https://docs.google.com/spreadsheets/d/10OvvATaaLtwErnr3qtWFcTmtbfpFEt5Bsqel9sXx0uE/edit?usp=sharing"",""งานกองทุน!F45"")"),1086246.64)</f>
        <v>1086246.6399999999</v>
      </c>
      <c r="K778" s="255">
        <f ca="1">IF(I778&gt;0,J778*100/I778,0)</f>
        <v>15.697662804642375</v>
      </c>
      <c r="L778" s="55"/>
      <c r="M778" s="55"/>
      <c r="N778" s="55"/>
      <c r="O778" s="55"/>
      <c r="P778" s="55"/>
      <c r="Q778" s="55"/>
      <c r="R778" s="55"/>
      <c r="S778" s="55"/>
      <c r="T778" s="55"/>
      <c r="U778" s="55"/>
    </row>
    <row r="779" spans="1:21" ht="18.75">
      <c r="A779" s="49"/>
      <c r="B779" s="50"/>
      <c r="C779" s="50"/>
      <c r="D779" s="188"/>
      <c r="E779" s="50"/>
      <c r="F779" s="50"/>
      <c r="G779" s="52"/>
      <c r="H779" s="53" t="s">
        <v>35</v>
      </c>
      <c r="I779" s="212">
        <f ca="1">IFERROR(__xludf.DUMMYFUNCTION("IMPORTRANGE(""https://docs.google.com/spreadsheets/d/10OvvATaaLtwErnr3qtWFcTmtbfpFEt5Bsqel9sXx0uE/edit?usp=sharing"",""งานกองทุน!C45"")"),518)</f>
        <v>518</v>
      </c>
      <c r="J779" s="212">
        <f ca="1">IFERROR(__xludf.DUMMYFUNCTION("IMPORTRANGE(""https://docs.google.com/spreadsheets/d/10OvvATaaLtwErnr3qtWFcTmtbfpFEt5Bsqel9sXx0uE/edit?usp=sharing"",""งานกองทุน!E45"")"),97)</f>
        <v>97</v>
      </c>
      <c r="K779" s="255">
        <f ca="1">IF(I779&gt;0,J779*100/I779,0)</f>
        <v>18.725868725868725</v>
      </c>
      <c r="L779" s="55"/>
      <c r="M779" s="55"/>
      <c r="N779" s="55"/>
      <c r="O779" s="55"/>
      <c r="P779" s="55"/>
      <c r="Q779" s="55"/>
      <c r="R779" s="55"/>
      <c r="S779" s="55"/>
      <c r="T779" s="55"/>
      <c r="U779" s="55"/>
    </row>
    <row r="780" spans="1:21" ht="18.75">
      <c r="A780" s="49"/>
      <c r="B780" s="58" t="s">
        <v>294</v>
      </c>
      <c r="C780" s="50"/>
      <c r="D780" s="188"/>
      <c r="E780" s="50"/>
      <c r="F780" s="50"/>
      <c r="G780" s="52"/>
      <c r="H780" s="53" t="s">
        <v>14</v>
      </c>
      <c r="I780" s="212">
        <f ca="1">IFERROR(__xludf.DUMMYFUNCTION("IMPORTRANGE(""https://docs.google.com/spreadsheets/d/10OvvATaaLtwErnr3qtWFcTmtbfpFEt5Bsqel9sXx0uE/edit?usp=sharing"",""งานกองทุน!I45"")"),11899123.94)</f>
        <v>11899123.939999999</v>
      </c>
      <c r="J780" s="212">
        <f ca="1">IFERROR(__xludf.DUMMYFUNCTION("IMPORTRANGE(""https://docs.google.com/spreadsheets/d/10OvvATaaLtwErnr3qtWFcTmtbfpFEt5Bsqel9sXx0uE/edit?usp=sharing"",""งานกองทุน!K45"")"),739800.2)</f>
        <v>739800.2</v>
      </c>
      <c r="K780" s="255">
        <f ca="1">IF(I780&gt;0,J780*100/I780,0)</f>
        <v>6.2172661090880279</v>
      </c>
      <c r="L780" s="55"/>
      <c r="M780" s="55"/>
      <c r="N780" s="55"/>
      <c r="O780" s="55"/>
      <c r="P780" s="55"/>
      <c r="Q780" s="55"/>
      <c r="R780" s="55"/>
      <c r="S780" s="55"/>
      <c r="T780" s="55"/>
      <c r="U780" s="55"/>
    </row>
    <row r="781" spans="1:21" ht="18.75">
      <c r="A781" s="49"/>
      <c r="B781" s="50"/>
      <c r="C781" s="50"/>
      <c r="D781" s="188"/>
      <c r="E781" s="50"/>
      <c r="F781" s="50"/>
      <c r="G781" s="52"/>
      <c r="H781" s="53" t="s">
        <v>35</v>
      </c>
      <c r="I781" s="212">
        <f ca="1">IFERROR(__xludf.DUMMYFUNCTION("IMPORTRANGE(""https://docs.google.com/spreadsheets/d/10OvvATaaLtwErnr3qtWFcTmtbfpFEt5Bsqel9sXx0uE/edit?usp=sharing"",""งานกองทุน!H45"")"),577)</f>
        <v>577</v>
      </c>
      <c r="J781" s="212">
        <f ca="1">IFERROR(__xludf.DUMMYFUNCTION("IMPORTRANGE(""https://docs.google.com/spreadsheets/d/10OvvATaaLtwErnr3qtWFcTmtbfpFEt5Bsqel9sXx0uE/edit?usp=sharing"",""งานกองทุน!J45"")"),109)</f>
        <v>109</v>
      </c>
      <c r="K781" s="255">
        <f ca="1">IF(I781&gt;0,J781*100/I781,0)</f>
        <v>18.890814558058924</v>
      </c>
      <c r="L781" s="55"/>
      <c r="M781" s="55"/>
      <c r="N781" s="55"/>
      <c r="O781" s="55"/>
      <c r="P781" s="55"/>
      <c r="Q781" s="55"/>
      <c r="R781" s="55"/>
      <c r="S781" s="55"/>
      <c r="T781" s="55"/>
      <c r="U781" s="55"/>
    </row>
    <row r="782" spans="1:21" ht="18.75">
      <c r="A782" s="49"/>
      <c r="B782" s="58" t="s">
        <v>295</v>
      </c>
      <c r="C782" s="50"/>
      <c r="D782" s="188"/>
      <c r="E782" s="50"/>
      <c r="F782" s="50"/>
      <c r="G782" s="52"/>
      <c r="H782" s="53" t="s">
        <v>14</v>
      </c>
      <c r="I782" s="212">
        <f ca="1">IFERROR(__xludf.DUMMYFUNCTION("IMPORTRANGE(""https://docs.google.com/spreadsheets/d/10OvvATaaLtwErnr3qtWFcTmtbfpFEt5Bsqel9sXx0uE/edit?usp=sharing"",""งานกองทุน!N45"")"),0)</f>
        <v>0</v>
      </c>
      <c r="J782" s="212">
        <f ca="1">IFERROR(__xludf.DUMMYFUNCTION("IMPORTRANGE(""https://docs.google.com/spreadsheets/d/10OvvATaaLtwErnr3qtWFcTmtbfpFEt5Bsqel9sXx0uE/edit?usp=sharing"",""งานกองทุน!P45"")"),110847.72)</f>
        <v>110847.72</v>
      </c>
      <c r="K782" s="255">
        <f ca="1">IF(I782&gt;0,J782*100/I782,0)</f>
        <v>0</v>
      </c>
      <c r="L782" s="55"/>
      <c r="M782" s="55"/>
      <c r="N782" s="55"/>
      <c r="O782" s="55"/>
      <c r="P782" s="55"/>
      <c r="Q782" s="55"/>
      <c r="R782" s="55"/>
      <c r="S782" s="55"/>
      <c r="T782" s="55"/>
      <c r="U782" s="55"/>
    </row>
    <row r="783" spans="1:21" ht="18.75">
      <c r="A783" s="49"/>
      <c r="B783" s="50"/>
      <c r="C783" s="50"/>
      <c r="D783" s="188"/>
      <c r="E783" s="50"/>
      <c r="F783" s="50"/>
      <c r="G783" s="52"/>
      <c r="H783" s="53" t="s">
        <v>35</v>
      </c>
      <c r="I783" s="212">
        <f ca="1">IFERROR(__xludf.DUMMYFUNCTION("IMPORTRANGE(""https://docs.google.com/spreadsheets/d/10OvvATaaLtwErnr3qtWFcTmtbfpFEt5Bsqel9sXx0uE/edit?usp=sharing"",""งานกองทุน!M45"")"),0)</f>
        <v>0</v>
      </c>
      <c r="J783" s="212">
        <f ca="1">IFERROR(__xludf.DUMMYFUNCTION("IMPORTRANGE(""https://docs.google.com/spreadsheets/d/10OvvATaaLtwErnr3qtWFcTmtbfpFEt5Bsqel9sXx0uE/edit?usp=sharing"",""งานกองทุน!O45"")"),1)</f>
        <v>1</v>
      </c>
      <c r="K783" s="255">
        <f ca="1">IF(I783&gt;0,J783*100/I783,0)</f>
        <v>0</v>
      </c>
      <c r="L783" s="55"/>
      <c r="M783" s="55"/>
      <c r="N783" s="55"/>
      <c r="O783" s="55"/>
      <c r="P783" s="55"/>
      <c r="Q783" s="55"/>
      <c r="R783" s="55"/>
      <c r="S783" s="55"/>
      <c r="T783" s="55"/>
      <c r="U783" s="55"/>
    </row>
    <row r="784" spans="1:21" ht="18.75">
      <c r="A784" s="49"/>
      <c r="B784" s="58" t="s">
        <v>296</v>
      </c>
      <c r="C784" s="50"/>
      <c r="D784" s="188"/>
      <c r="E784" s="50"/>
      <c r="F784" s="50"/>
      <c r="G784" s="52"/>
      <c r="H784" s="53" t="s">
        <v>14</v>
      </c>
      <c r="I784" s="212">
        <f ca="1">IFERROR(__xludf.DUMMYFUNCTION("IMPORTRANGE(""https://docs.google.com/spreadsheets/d/10OvvATaaLtwErnr3qtWFcTmtbfpFEt5Bsqel9sXx0uE/edit?usp=sharing"",""งานกองทุน!S45"")"),8624000)</f>
        <v>8624000</v>
      </c>
      <c r="J784" s="212">
        <f ca="1">IFERROR(__xludf.DUMMYFUNCTION("IMPORTRANGE(""https://docs.google.com/spreadsheets/d/10OvvATaaLtwErnr3qtWFcTmtbfpFEt5Bsqel9sXx0uE/edit?usp=sharing"",""งานกองทุน!U45"")"),5880000)</f>
        <v>5880000</v>
      </c>
      <c r="K784" s="255">
        <f ca="1">IF(I784&gt;0,J784*100/I784,0)</f>
        <v>68.181818181818187</v>
      </c>
      <c r="L784" s="55"/>
      <c r="M784" s="55"/>
      <c r="N784" s="55"/>
      <c r="O784" s="55"/>
      <c r="P784" s="55"/>
      <c r="Q784" s="55"/>
      <c r="R784" s="55"/>
      <c r="S784" s="55"/>
      <c r="T784" s="55"/>
      <c r="U784" s="55"/>
    </row>
    <row r="785" spans="1:21" ht="18.75">
      <c r="A785" s="63"/>
      <c r="B785" s="4"/>
      <c r="C785" s="4"/>
      <c r="D785" s="5"/>
      <c r="E785" s="4"/>
      <c r="F785" s="4"/>
      <c r="G785" s="65"/>
      <c r="H785" s="66" t="s">
        <v>35</v>
      </c>
      <c r="I785" s="216">
        <f ca="1">IFERROR(__xludf.DUMMYFUNCTION("IMPORTRANGE(""https://docs.google.com/spreadsheets/d/10OvvATaaLtwErnr3qtWFcTmtbfpFEt5Bsqel9sXx0uE/edit?usp=sharing"",""งานกองทุน!R45"")"),308)</f>
        <v>308</v>
      </c>
      <c r="J785" s="216">
        <f ca="1">IFERROR(__xludf.DUMMYFUNCTION("IMPORTRANGE(""https://docs.google.com/spreadsheets/d/10OvvATaaLtwErnr3qtWFcTmtbfpFEt5Bsqel9sXx0uE/edit?usp=sharing"",""งานกองทุน!T45"")"),139)</f>
        <v>139</v>
      </c>
      <c r="K785" s="506">
        <f ca="1">IF(I785&gt;0,J785*100/I785,0)</f>
        <v>45.129870129870127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6.5">
      <c r="A787" s="535" t="s">
        <v>297</v>
      </c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6.5">
      <c r="A788" s="535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</v>
      </c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6.5">
      <c r="A789" s="535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</v>
      </c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</sheetData>
  <mergeCells count="26">
    <mergeCell ref="A1:U1"/>
    <mergeCell ref="A2:U2"/>
    <mergeCell ref="A3:U3"/>
    <mergeCell ref="L4:P4"/>
    <mergeCell ref="Q4:U4"/>
    <mergeCell ref="A5:G6"/>
    <mergeCell ref="H5:H6"/>
    <mergeCell ref="I5:K5"/>
    <mergeCell ref="L5:M5"/>
    <mergeCell ref="N5:P5"/>
    <mergeCell ref="D616:G616"/>
    <mergeCell ref="D642:G642"/>
    <mergeCell ref="D690:G690"/>
    <mergeCell ref="D714:G714"/>
    <mergeCell ref="Q5:R5"/>
    <mergeCell ref="S5:U5"/>
    <mergeCell ref="D728:G728"/>
    <mergeCell ref="D760:G760"/>
    <mergeCell ref="A7:G7"/>
    <mergeCell ref="A17:G17"/>
    <mergeCell ref="A30:G30"/>
    <mergeCell ref="A56:G56"/>
    <mergeCell ref="B57:G57"/>
    <mergeCell ref="D413:G413"/>
    <mergeCell ref="D493:F493"/>
    <mergeCell ref="D599:G599"/>
  </mergeCells>
  <printOptions horizontalCentered="1"/>
  <pageMargins left="0.23622047244094491" right="0.23622047244094491" top="0.55118110236220474" bottom="0.55118110236220474" header="0" footer="0"/>
  <pageSetup paperSize="9" scale="29" fitToHeight="0" pageOrder="overThenDown" orientation="portrait" cellComments="atEnd" horizontalDpi="4294967293" verticalDpi="4294967293" r:id="rId1"/>
  <headerFooter>
    <oddFooter>&amp;Cหน้า 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D3F7EC-2AF6-420D-9D72-ACF1983705FA}">
  <sheetPr>
    <outlinePr summaryBelow="0" summaryRight="0"/>
    <pageSetUpPr fitToPage="1"/>
  </sheetPr>
  <dimension ref="A1:U789"/>
  <sheetViews>
    <sheetView view="pageBreakPreview" zoomScale="60" zoomScaleNormal="60" workbookViewId="0">
      <pane xSplit="8" ySplit="17" topLeftCell="I18" activePane="bottomRight" state="frozen"/>
      <selection activeCell="T32" sqref="T32"/>
      <selection pane="topRight" activeCell="T32" sqref="T32"/>
      <selection pane="bottomLeft" activeCell="T32" sqref="T32"/>
      <selection pane="bottomRight" activeCell="T32" sqref="T32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bestFit="1" customWidth="1"/>
    <col min="12" max="14" width="21.28515625" bestFit="1" customWidth="1"/>
    <col min="15" max="15" width="20.140625" bestFit="1" customWidth="1"/>
    <col min="16" max="16" width="22" bestFit="1" customWidth="1"/>
    <col min="17" max="18" width="21.28515625" bestFit="1" customWidth="1"/>
    <col min="19" max="19" width="18.7109375" bestFit="1" customWidth="1"/>
    <col min="20" max="20" width="20.140625" bestFit="1" customWidth="1"/>
    <col min="21" max="21" width="22" bestFit="1" customWidth="1"/>
  </cols>
  <sheetData>
    <row r="1" spans="1:21" ht="19.5">
      <c r="A1" s="894" t="s">
        <v>0</v>
      </c>
      <c r="B1" s="894"/>
      <c r="C1" s="894"/>
      <c r="D1" s="894"/>
      <c r="E1" s="894"/>
      <c r="F1" s="894"/>
      <c r="G1" s="894"/>
      <c r="H1" s="894"/>
      <c r="I1" s="894"/>
      <c r="J1" s="894"/>
      <c r="K1" s="894"/>
      <c r="L1" s="894"/>
      <c r="M1" s="894"/>
      <c r="N1" s="894"/>
      <c r="O1" s="894"/>
      <c r="P1" s="894"/>
      <c r="Q1" s="894"/>
      <c r="R1" s="894"/>
      <c r="S1" s="894"/>
      <c r="T1" s="894"/>
      <c r="U1" s="894"/>
    </row>
    <row r="2" spans="1:21" ht="19.5">
      <c r="A2" s="894" t="s">
        <v>327</v>
      </c>
      <c r="B2" s="894"/>
      <c r="C2" s="894"/>
      <c r="D2" s="894"/>
      <c r="E2" s="894"/>
      <c r="F2" s="894"/>
      <c r="G2" s="894"/>
      <c r="H2" s="894"/>
      <c r="I2" s="894"/>
      <c r="J2" s="894"/>
      <c r="K2" s="894"/>
      <c r="L2" s="894"/>
      <c r="M2" s="894"/>
      <c r="N2" s="894"/>
      <c r="O2" s="894"/>
      <c r="P2" s="894"/>
      <c r="Q2" s="894"/>
      <c r="R2" s="894"/>
      <c r="S2" s="894"/>
      <c r="T2" s="894"/>
      <c r="U2" s="894"/>
    </row>
    <row r="3" spans="1:21" ht="19.5">
      <c r="A3" s="894" t="s">
        <v>339</v>
      </c>
      <c r="B3" s="894"/>
      <c r="C3" s="894"/>
      <c r="D3" s="894"/>
      <c r="E3" s="894"/>
      <c r="F3" s="894"/>
      <c r="G3" s="894"/>
      <c r="H3" s="894"/>
      <c r="I3" s="894"/>
      <c r="J3" s="894"/>
      <c r="K3" s="894"/>
      <c r="L3" s="894"/>
      <c r="M3" s="894"/>
      <c r="N3" s="894"/>
      <c r="O3" s="894"/>
      <c r="P3" s="894"/>
      <c r="Q3" s="894"/>
      <c r="R3" s="894"/>
      <c r="S3" s="894"/>
      <c r="T3" s="894"/>
      <c r="U3" s="894"/>
    </row>
    <row r="4" spans="1:21" ht="19.5">
      <c r="A4" s="4"/>
      <c r="B4" s="4"/>
      <c r="C4" s="4"/>
      <c r="D4" s="4"/>
      <c r="E4" s="4"/>
      <c r="F4" s="4"/>
      <c r="G4" s="4"/>
      <c r="H4" s="4"/>
      <c r="I4" s="4"/>
      <c r="J4" s="5"/>
      <c r="K4" s="766"/>
      <c r="L4" s="765" t="s">
        <v>2</v>
      </c>
      <c r="M4" s="514"/>
      <c r="N4" s="514"/>
      <c r="O4" s="514"/>
      <c r="P4" s="512"/>
      <c r="Q4" s="518" t="s">
        <v>3</v>
      </c>
      <c r="R4" s="514"/>
      <c r="S4" s="514"/>
      <c r="T4" s="514"/>
      <c r="U4" s="512"/>
    </row>
    <row r="5" spans="1:21" ht="19.5">
      <c r="A5" s="764" t="s">
        <v>4</v>
      </c>
      <c r="B5" s="516"/>
      <c r="C5" s="516"/>
      <c r="D5" s="516"/>
      <c r="E5" s="516"/>
      <c r="F5" s="516"/>
      <c r="G5" s="763"/>
      <c r="H5" s="772" t="s">
        <v>5</v>
      </c>
      <c r="I5" s="761" t="s">
        <v>6</v>
      </c>
      <c r="J5" s="514"/>
      <c r="K5" s="512"/>
      <c r="L5" s="760" t="s">
        <v>7</v>
      </c>
      <c r="M5" s="512"/>
      <c r="N5" s="513" t="s">
        <v>8</v>
      </c>
      <c r="O5" s="514"/>
      <c r="P5" s="512"/>
      <c r="Q5" s="511" t="s">
        <v>7</v>
      </c>
      <c r="R5" s="512"/>
      <c r="S5" s="513" t="s">
        <v>8</v>
      </c>
      <c r="T5" s="514"/>
      <c r="U5" s="512"/>
    </row>
    <row r="6" spans="1:21" ht="19.5">
      <c r="A6" s="522"/>
      <c r="B6" s="514"/>
      <c r="C6" s="514"/>
      <c r="D6" s="514"/>
      <c r="E6" s="514"/>
      <c r="F6" s="514"/>
      <c r="G6" s="512"/>
      <c r="H6" s="512"/>
      <c r="I6" s="9" t="s">
        <v>9</v>
      </c>
      <c r="J6" s="10" t="s">
        <v>10</v>
      </c>
      <c r="K6" s="9" t="s">
        <v>11</v>
      </c>
      <c r="L6" s="758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 hidden="1">
      <c r="A7" s="750"/>
      <c r="B7" s="514"/>
      <c r="C7" s="514"/>
      <c r="D7" s="514"/>
      <c r="E7" s="514"/>
      <c r="F7" s="514"/>
      <c r="G7" s="512"/>
      <c r="H7" s="17"/>
      <c r="I7" s="18"/>
      <c r="J7" s="18"/>
      <c r="K7" s="19"/>
      <c r="L7" s="28"/>
      <c r="M7" s="19"/>
      <c r="N7" s="19"/>
      <c r="O7" s="19"/>
      <c r="P7" s="19"/>
      <c r="Q7" s="19"/>
      <c r="R7" s="19"/>
      <c r="S7" s="19"/>
      <c r="T7" s="19"/>
      <c r="U7" s="19"/>
    </row>
    <row r="8" spans="1:21" ht="12.75" hidden="1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6"/>
      <c r="M8" s="25"/>
      <c r="N8" s="25"/>
      <c r="O8" s="25"/>
      <c r="P8" s="25"/>
      <c r="Q8" s="25"/>
      <c r="R8" s="25"/>
      <c r="S8" s="25"/>
      <c r="T8" s="25"/>
      <c r="U8" s="25"/>
    </row>
    <row r="9" spans="1:21" ht="12.75" hidden="1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6"/>
      <c r="M9" s="25"/>
      <c r="N9" s="25"/>
      <c r="O9" s="25"/>
      <c r="P9" s="25"/>
      <c r="Q9" s="25"/>
      <c r="R9" s="25"/>
      <c r="S9" s="25"/>
      <c r="T9" s="25"/>
      <c r="U9" s="25"/>
    </row>
    <row r="10" spans="1:21" ht="12.75" hidden="1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6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2.75" hidden="1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6"/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2.75" hidden="1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6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2.75" hidden="1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6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2.75" hidden="1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2.75" hidden="1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6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2.75" hidden="1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28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9.5">
      <c r="A17" s="532" t="s">
        <v>311</v>
      </c>
      <c r="B17" s="514"/>
      <c r="C17" s="514"/>
      <c r="D17" s="514"/>
      <c r="E17" s="514"/>
      <c r="F17" s="514"/>
      <c r="G17" s="512"/>
      <c r="H17" s="29"/>
      <c r="I17" s="30"/>
      <c r="J17" s="30"/>
      <c r="K17" s="31"/>
      <c r="L17" s="32"/>
      <c r="M17" s="31"/>
      <c r="N17" s="31"/>
      <c r="O17" s="31"/>
      <c r="P17" s="31"/>
      <c r="Q17" s="31"/>
      <c r="R17" s="31"/>
      <c r="S17" s="31"/>
      <c r="T17" s="31"/>
      <c r="U17" s="31"/>
    </row>
    <row r="18" spans="1:21" ht="19.5">
      <c r="A18" s="33"/>
      <c r="B18" s="34"/>
      <c r="C18" s="35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757">
        <f ca="1">L19+L20</f>
        <v>2298866</v>
      </c>
      <c r="M18" s="720">
        <f ca="1">M19+M20</f>
        <v>2460605.66</v>
      </c>
      <c r="N18" s="720">
        <f ca="1">N19+N20</f>
        <v>2000540.19</v>
      </c>
      <c r="O18" s="720">
        <f ca="1">IF(L18&gt;0,N18*100/L18,0)</f>
        <v>87.022914341244771</v>
      </c>
      <c r="P18" s="720">
        <f ca="1">IF(M18&gt;0,N18*100/M18,0)</f>
        <v>81.302754948551964</v>
      </c>
      <c r="Q18" s="720">
        <f ca="1">Q19+Q20</f>
        <v>2966804.24</v>
      </c>
      <c r="R18" s="720">
        <f ca="1">R19+R20</f>
        <v>2980804</v>
      </c>
      <c r="S18" s="720">
        <f ca="1">S19+S20</f>
        <v>334706.81</v>
      </c>
      <c r="T18" s="720">
        <f ca="1">IF(Q18&gt;0,S18*100/Q18,0)</f>
        <v>11.281728854479457</v>
      </c>
      <c r="U18" s="720">
        <f ca="1">IF(R18&gt;0,S18*100/R18,0)</f>
        <v>11.228742647956725</v>
      </c>
    </row>
    <row r="19" spans="1:21" ht="18.75" hidden="1">
      <c r="A19" s="33"/>
      <c r="B19" s="34"/>
      <c r="C19" s="34"/>
      <c r="D19" s="34"/>
      <c r="E19" s="756" t="s">
        <v>20</v>
      </c>
      <c r="F19" s="34"/>
      <c r="G19" s="37"/>
      <c r="H19" s="755" t="s">
        <v>14</v>
      </c>
      <c r="I19" s="39"/>
      <c r="J19" s="39"/>
      <c r="K19" s="40"/>
      <c r="L19" s="754">
        <f>L22+L25</f>
        <v>0</v>
      </c>
      <c r="M19" s="753">
        <f>M22+M25</f>
        <v>0</v>
      </c>
      <c r="N19" s="753">
        <f>N22+N25</f>
        <v>0</v>
      </c>
      <c r="O19" s="753">
        <f>IF(L19&gt;0,N19*100/L19,0)</f>
        <v>0</v>
      </c>
      <c r="P19" s="753">
        <f>IF(M19&gt;0,N19*100/M19,0)</f>
        <v>0</v>
      </c>
      <c r="Q19" s="753">
        <f>Q22+Q25</f>
        <v>0</v>
      </c>
      <c r="R19" s="753">
        <f>R22+R25</f>
        <v>0</v>
      </c>
      <c r="S19" s="753">
        <f>S22+S25</f>
        <v>0</v>
      </c>
      <c r="T19" s="753">
        <f>IF(Q19&gt;0,S19*100/Q19,0)</f>
        <v>0</v>
      </c>
      <c r="U19" s="753">
        <f>IF(R19&gt;0,S19*100/R19,0)</f>
        <v>0</v>
      </c>
    </row>
    <row r="20" spans="1:21" ht="18.75" hidden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752">
        <f ca="1">L23+L26</f>
        <v>2298866</v>
      </c>
      <c r="M20" s="751">
        <f ca="1">M23+M26</f>
        <v>2460605.66</v>
      </c>
      <c r="N20" s="751">
        <f ca="1">N23+N26</f>
        <v>2000540.19</v>
      </c>
      <c r="O20" s="751">
        <f ca="1">IF(L20&gt;0,N20*100/L20,0)</f>
        <v>87.022914341244771</v>
      </c>
      <c r="P20" s="751">
        <f ca="1">IF(M20&gt;0,N20*100/M20,0)</f>
        <v>81.302754948551964</v>
      </c>
      <c r="Q20" s="751">
        <f ca="1">Q23+Q26</f>
        <v>2966804.24</v>
      </c>
      <c r="R20" s="751">
        <f ca="1">R23+R26</f>
        <v>2980804</v>
      </c>
      <c r="S20" s="751">
        <f ca="1">S23+S26</f>
        <v>334706.81</v>
      </c>
      <c r="T20" s="751">
        <f ca="1">IF(Q20&gt;0,S20*100/Q20,0)</f>
        <v>11.281728854479457</v>
      </c>
      <c r="U20" s="751">
        <f ca="1">IF(R20&gt;0,S20*100/R20,0)</f>
        <v>11.228742647956725</v>
      </c>
    </row>
    <row r="21" spans="1:21" ht="18.75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256">
        <f ca="1">L22+L23</f>
        <v>2298866</v>
      </c>
      <c r="M21" s="255">
        <f ca="1">M22+M23</f>
        <v>2460605.66</v>
      </c>
      <c r="N21" s="255">
        <f ca="1">N22+N23</f>
        <v>2000540.19</v>
      </c>
      <c r="O21" s="255">
        <f ca="1">IF(L21&gt;0,N21*100/L21,0)</f>
        <v>87.022914341244771</v>
      </c>
      <c r="P21" s="255">
        <f ca="1">IF(M21&gt;0,N21*100/M21,0)</f>
        <v>81.302754948551964</v>
      </c>
      <c r="Q21" s="255">
        <f ca="1">Q22+Q23</f>
        <v>2966804.24</v>
      </c>
      <c r="R21" s="255">
        <f ca="1">R22+R23</f>
        <v>2980804</v>
      </c>
      <c r="S21" s="255">
        <f ca="1">S22+S23</f>
        <v>334706.81</v>
      </c>
      <c r="T21" s="255">
        <f ca="1">IF(Q21&gt;0,S21*100/Q21,0)</f>
        <v>11.281728854479457</v>
      </c>
      <c r="U21" s="255">
        <f ca="1">IF(R21&gt;0,S21*100/R21,0)</f>
        <v>11.228742647956725</v>
      </c>
    </row>
    <row r="22" spans="1:21" ht="18.75" hidden="1">
      <c r="A22" s="49"/>
      <c r="B22" s="50"/>
      <c r="C22" s="50"/>
      <c r="D22" s="50"/>
      <c r="E22" s="186" t="s">
        <v>20</v>
      </c>
      <c r="F22" s="50"/>
      <c r="G22" s="52"/>
      <c r="H22" s="729" t="s">
        <v>14</v>
      </c>
      <c r="I22" s="54"/>
      <c r="J22" s="54"/>
      <c r="K22" s="55"/>
      <c r="L22" s="103">
        <f>L48+L63+L76+L98+L129+L143+L161+L190+L177+L270+L286+L307+L324+L337+L360+L517</f>
        <v>0</v>
      </c>
      <c r="M22" s="102">
        <f>M48+M63+M76+M98+M129+M143+M161+M190+M177+M270+M286+M307+M324+M337+M360+M517</f>
        <v>0</v>
      </c>
      <c r="N22" s="102">
        <f>N48+N63+N76+N98+N129+N143+N161+N190+N177+N270+N286+N307+N324+N337+N360+N517</f>
        <v>0</v>
      </c>
      <c r="O22" s="102">
        <f>IF(L22&gt;0,N22*100/L22,0)</f>
        <v>0</v>
      </c>
      <c r="P22" s="102">
        <f>IF(M22&gt;0,N22*100/M22,0)</f>
        <v>0</v>
      </c>
      <c r="Q22" s="102">
        <f>Q76+Q98+Q121+Q143+Q161+Q177+Q190+Q270+Q286+Q307+Q337+Q379+Q396+Q417+Q497+Q603+Q620+Q646+Q694+Q718+Q732+Q764</f>
        <v>0</v>
      </c>
      <c r="R22" s="102">
        <f>R76+R98+R121+R143+R161+R177+R190+R270+R286+R307+R337+R379+R396+R417+R497+R603+R620+R646+R694+R718+R732+R764</f>
        <v>0</v>
      </c>
      <c r="S22" s="102">
        <f>S76+S98+S121+S143+S161+S177+S190+S270+S286+S307+S337+S379+S396+S417+S497+S603+S620+S646+S694+S718+S732+S764</f>
        <v>0</v>
      </c>
      <c r="T22" s="102">
        <f>IF(Q22&gt;0,S22*100/Q22,0)</f>
        <v>0</v>
      </c>
      <c r="U22" s="102">
        <f>IF(R22&gt;0,S22*100/R22,0)</f>
        <v>0</v>
      </c>
    </row>
    <row r="23" spans="1:21" ht="18.75" hidden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256">
        <f ca="1">L49+L64+L77+L99+L130+L144+L162+L191+L178+L271+L287+L308+L325+L338+L361+L518</f>
        <v>2298866</v>
      </c>
      <c r="M23" s="255">
        <f ca="1">M49+M64+M77+M99+M130+M144+M162+M191+M178+M271+M287+M308+M325+M338+M361+M518</f>
        <v>2460605.66</v>
      </c>
      <c r="N23" s="255">
        <f ca="1">N49+N64+N77+N99+N130+N144+N162+N191+N178+N271+N287+N308+N325+N338+N361+N518</f>
        <v>2000540.19</v>
      </c>
      <c r="O23" s="255">
        <f ca="1">IF(L23&gt;0,N23*100/L23,0)</f>
        <v>87.022914341244771</v>
      </c>
      <c r="P23" s="255">
        <f ca="1">IF(M23&gt;0,N23*100/M23,0)</f>
        <v>81.302754948551964</v>
      </c>
      <c r="Q23" s="255">
        <f ca="1">Q77+Q99+Q122+Q144+Q162+Q178+Q191+Q271+Q287+Q308+Q338+Q380+Q397+Q418+Q498+Q604+Q621+Q647+Q695+Q719+Q733+Q765</f>
        <v>2966804.24</v>
      </c>
      <c r="R23" s="255">
        <f ca="1">R77+R99+R122+R144+R162+R178+R191+R271+R287+R308+R338+R380+R397+R418+R498+R604+R621+R647+R695+R719+R733+R765</f>
        <v>2980804</v>
      </c>
      <c r="S23" s="255">
        <f ca="1">S77+S99+S122+S144+S162+S178+S191+S271+S287+S308+S338+S380+S397+S418+S498+S604+S621+S647+S695+S719+S733+S765</f>
        <v>334706.81</v>
      </c>
      <c r="T23" s="255">
        <f ca="1">IF(Q23&gt;0,S23*100/Q23,0)</f>
        <v>11.281728854479457</v>
      </c>
      <c r="U23" s="255">
        <f ca="1">IF(R23&gt;0,S23*100/R23,0)</f>
        <v>11.228742647956725</v>
      </c>
    </row>
    <row r="24" spans="1:21" ht="18.75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256">
        <f ca="1">L25+L26</f>
        <v>0</v>
      </c>
      <c r="M24" s="255">
        <f ca="1">M25+M26</f>
        <v>0</v>
      </c>
      <c r="N24" s="255">
        <f ca="1">N25+N26</f>
        <v>0</v>
      </c>
      <c r="O24" s="255">
        <f ca="1">IF(L24&gt;0,N24*100/L24,0)</f>
        <v>0</v>
      </c>
      <c r="P24" s="255">
        <f ca="1">IF(M24&gt;0,N24*100/M24,0)</f>
        <v>0</v>
      </c>
      <c r="Q24" s="255">
        <f>Q25+Q26</f>
        <v>0</v>
      </c>
      <c r="R24" s="255">
        <f>R25+R26</f>
        <v>0</v>
      </c>
      <c r="S24" s="255">
        <f>S25+S26</f>
        <v>0</v>
      </c>
      <c r="T24" s="255">
        <f>IF(Q24&gt;0,S24*100/Q24,0)</f>
        <v>0</v>
      </c>
      <c r="U24" s="255">
        <f>IF(R24&gt;0,S24*100/R24,0)</f>
        <v>0</v>
      </c>
    </row>
    <row r="25" spans="1:21" ht="18.75" hidden="1">
      <c r="A25" s="49"/>
      <c r="B25" s="50"/>
      <c r="C25" s="50"/>
      <c r="D25" s="50"/>
      <c r="E25" s="186" t="s">
        <v>20</v>
      </c>
      <c r="F25" s="50"/>
      <c r="G25" s="52"/>
      <c r="H25" s="729" t="s">
        <v>14</v>
      </c>
      <c r="I25" s="54"/>
      <c r="J25" s="54"/>
      <c r="K25" s="55"/>
      <c r="L25" s="103">
        <f>L51+L66+L79+L101+L132+L146+L164+L193+L180+L273+L289+L310+L327+L340+L363+L520</f>
        <v>0</v>
      </c>
      <c r="M25" s="102">
        <f>M51+M66+M79+M101+M132+M146+M164+M193+M180+M273+M289+M310+M327+M340+M363+M520</f>
        <v>0</v>
      </c>
      <c r="N25" s="102">
        <f>N51+N66+N79+N101+N132+N146+N164+N193+N180+N273+N289+N310+N327+N340+N363+N520</f>
        <v>0</v>
      </c>
      <c r="O25" s="102">
        <f>IF(L25&gt;0,N25*100/L25,0)</f>
        <v>0</v>
      </c>
      <c r="P25" s="102">
        <f>IF(M25&gt;0,N25*100/M25,0)</f>
        <v>0</v>
      </c>
      <c r="Q25" s="102">
        <f>Q79+Q101+Q124+Q146+Q164+Q180+Q193+Q273+Q289+Q310+Q340+Q382+Q399+Q420+Q500+Q606+Q623+Q649+Q697+Q721+Q735+Q767</f>
        <v>0</v>
      </c>
      <c r="R25" s="102">
        <f>R79+R101+R124+R146+R164+R180+R193+R273+R289+R310+R340+R382+R399+R420+R500+R606+R623+R649+R697+R721+R735+R767</f>
        <v>0</v>
      </c>
      <c r="S25" s="102">
        <f>S79+S101+S124+S146+S164+S180+S193+S273+S289+S310+S340+S382+S399+S420+S500+S606+S623+S649+S697+S721+S735+S767</f>
        <v>0</v>
      </c>
      <c r="T25" s="102">
        <f>IF(Q25&gt;0,S25*100/Q25,0)</f>
        <v>0</v>
      </c>
      <c r="U25" s="102">
        <f>IF(R25&gt;0,S25*100/R25,0)</f>
        <v>0</v>
      </c>
    </row>
    <row r="26" spans="1:21" ht="18.75" hidden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256">
        <f ca="1">L52+L67+L80+L102+L133+L147+L165+L194+L181+L274+L290+L311+L328+L341+L364+L521</f>
        <v>0</v>
      </c>
      <c r="M26" s="255">
        <f ca="1">M52+M67+M80+M102+M133+M147+M165+M194+M181+M274+M290+M311+M328+M341+M364+M521</f>
        <v>0</v>
      </c>
      <c r="N26" s="255">
        <f ca="1">N52+N67+N80+N102+N133+N147+N165+N194+N181+N274+N290+N311+N328+N341+N364+N521</f>
        <v>0</v>
      </c>
      <c r="O26" s="255">
        <f ca="1">IF(L26&gt;0,N26*100/L26,0)</f>
        <v>0</v>
      </c>
      <c r="P26" s="255">
        <f ca="1">IF(M26&gt;0,N26*100/M26,0)</f>
        <v>0</v>
      </c>
      <c r="Q26" s="102">
        <f>Q80+Q102+Q125+Q147+Q165+Q181+Q194+Q274+Q290+Q311+Q341+Q383+Q400+Q421+Q501+Q607+Q624+Q650+Q698+Q722+Q736+Q768</f>
        <v>0</v>
      </c>
      <c r="R26" s="102">
        <f>R80+R102+R125+R147+R165+R181+R194+R274+R290+R311+R341+R383+R400+R421+R501+R607+R624+R650+R698+R722+R736+R768</f>
        <v>0</v>
      </c>
      <c r="S26" s="102">
        <f>S80+S102+S125+S147+S165+S181+S194+S274+S290+S311+S341+S383+S400+S421+S501+S607+S624+S650+S698+S722+S736+S768</f>
        <v>0</v>
      </c>
      <c r="T26" s="255">
        <f>IF(Q26&gt;0,S26*100/Q26,0)</f>
        <v>0</v>
      </c>
      <c r="U26" s="255">
        <f>IF(R26&gt;0,S26*100/R26,0)</f>
        <v>0</v>
      </c>
    </row>
    <row r="27" spans="1:21" ht="18.75">
      <c r="A27" s="49"/>
      <c r="B27" s="50"/>
      <c r="C27" s="50"/>
      <c r="D27" s="51" t="s">
        <v>24</v>
      </c>
      <c r="E27" s="50"/>
      <c r="F27" s="50"/>
      <c r="G27" s="52"/>
      <c r="H27" s="53" t="s">
        <v>14</v>
      </c>
      <c r="I27" s="54"/>
      <c r="J27" s="54"/>
      <c r="K27" s="55"/>
      <c r="L27" s="62"/>
      <c r="M27" s="55"/>
      <c r="N27" s="55"/>
      <c r="O27" s="55"/>
      <c r="P27" s="55"/>
      <c r="Q27" s="55"/>
      <c r="R27" s="55"/>
      <c r="S27" s="55"/>
      <c r="T27" s="55"/>
      <c r="U27" s="55"/>
    </row>
    <row r="28" spans="1:21" ht="18.75" hidden="1">
      <c r="A28" s="49"/>
      <c r="B28" s="50"/>
      <c r="C28" s="50"/>
      <c r="D28" s="50"/>
      <c r="E28" s="186" t="s">
        <v>20</v>
      </c>
      <c r="F28" s="50"/>
      <c r="G28" s="52"/>
      <c r="H28" s="729" t="s">
        <v>14</v>
      </c>
      <c r="I28" s="54"/>
      <c r="J28" s="54"/>
      <c r="K28" s="55"/>
      <c r="L28" s="62"/>
      <c r="M28" s="55"/>
      <c r="N28" s="55"/>
      <c r="O28" s="55"/>
      <c r="P28" s="55"/>
      <c r="Q28" s="55"/>
      <c r="R28" s="55"/>
      <c r="S28" s="55"/>
      <c r="T28" s="55"/>
      <c r="U28" s="55"/>
    </row>
    <row r="29" spans="1:21" ht="18.75" hidden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8"/>
      <c r="M29" s="6"/>
      <c r="N29" s="6"/>
      <c r="O29" s="6"/>
      <c r="P29" s="6"/>
      <c r="Q29" s="6"/>
      <c r="R29" s="6"/>
      <c r="S29" s="6"/>
      <c r="T29" s="6"/>
      <c r="U29" s="6"/>
    </row>
    <row r="30" spans="1:21" ht="12.75" hidden="1">
      <c r="A30" s="750"/>
      <c r="B30" s="514"/>
      <c r="C30" s="514"/>
      <c r="D30" s="514"/>
      <c r="E30" s="514"/>
      <c r="F30" s="514"/>
      <c r="G30" s="512"/>
      <c r="H30" s="17"/>
      <c r="I30" s="18"/>
      <c r="J30" s="18"/>
      <c r="K30" s="19"/>
      <c r="L30" s="28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 hidden="1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6"/>
      <c r="M31" s="25"/>
      <c r="N31" s="25"/>
      <c r="O31" s="25"/>
      <c r="P31" s="25"/>
      <c r="Q31" s="25"/>
      <c r="R31" s="25"/>
      <c r="S31" s="25"/>
      <c r="T31" s="25"/>
      <c r="U31" s="25"/>
    </row>
    <row r="32" spans="1:21" ht="12.75" hidden="1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6"/>
      <c r="M32" s="25"/>
      <c r="N32" s="25"/>
      <c r="O32" s="25"/>
      <c r="P32" s="25"/>
      <c r="Q32" s="25"/>
      <c r="R32" s="25"/>
      <c r="S32" s="25"/>
      <c r="T32" s="25"/>
      <c r="U32" s="25"/>
    </row>
    <row r="33" spans="1:21" ht="12.75" hidden="1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6"/>
      <c r="M33" s="25"/>
      <c r="N33" s="25"/>
      <c r="O33" s="25"/>
      <c r="P33" s="25"/>
      <c r="Q33" s="25"/>
      <c r="R33" s="25"/>
      <c r="S33" s="25"/>
      <c r="T33" s="25"/>
      <c r="U33" s="25"/>
    </row>
    <row r="34" spans="1:21" ht="12.75" hidden="1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6"/>
      <c r="M34" s="25"/>
      <c r="N34" s="25"/>
      <c r="O34" s="25"/>
      <c r="P34" s="25"/>
      <c r="Q34" s="25"/>
      <c r="R34" s="25"/>
      <c r="S34" s="25"/>
      <c r="T34" s="25"/>
      <c r="U34" s="25"/>
    </row>
    <row r="35" spans="1:21" ht="12.75" hidden="1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6"/>
      <c r="M35" s="25"/>
      <c r="N35" s="25"/>
      <c r="O35" s="25"/>
      <c r="P35" s="25"/>
      <c r="Q35" s="25"/>
      <c r="R35" s="25"/>
      <c r="S35" s="25"/>
      <c r="T35" s="25"/>
      <c r="U35" s="25"/>
    </row>
    <row r="36" spans="1:21" ht="12.75" hidden="1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6"/>
      <c r="M36" s="25"/>
      <c r="N36" s="25"/>
      <c r="O36" s="25"/>
      <c r="P36" s="25"/>
      <c r="Q36" s="25"/>
      <c r="R36" s="25"/>
      <c r="S36" s="25"/>
      <c r="T36" s="25"/>
      <c r="U36" s="25"/>
    </row>
    <row r="37" spans="1:21" ht="12.75" hidden="1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6"/>
      <c r="M37" s="25"/>
      <c r="N37" s="25"/>
      <c r="O37" s="25"/>
      <c r="P37" s="25"/>
      <c r="Q37" s="25"/>
      <c r="R37" s="25"/>
      <c r="S37" s="25"/>
      <c r="T37" s="25"/>
      <c r="U37" s="25"/>
    </row>
    <row r="38" spans="1:21" ht="12.75" hidden="1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6"/>
      <c r="M38" s="25"/>
      <c r="N38" s="25"/>
      <c r="O38" s="25"/>
      <c r="P38" s="25"/>
      <c r="Q38" s="25"/>
      <c r="R38" s="25"/>
      <c r="S38" s="25"/>
      <c r="T38" s="25"/>
      <c r="U38" s="25"/>
    </row>
    <row r="39" spans="1:21" ht="12.75" hidden="1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28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9.5" hidden="1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749">
        <f ca="1">L44+L59+L72+L94+L125+L139+L157+L173+L186+L266+L282+L303+L320+L333+L356</f>
        <v>2298866</v>
      </c>
      <c r="M40" s="748">
        <f ca="1">M44+M59+M72+M94+M125+M139+M157+M173+M186+M266+M282+M303+M320+M333+M356</f>
        <v>2460605.66</v>
      </c>
      <c r="N40" s="748">
        <f ca="1">N44+N59+N72+N94+N125+N139+N157+N173+N186+N266+N282+N303+N320+N333+N356</f>
        <v>2000540.19</v>
      </c>
      <c r="O40" s="748">
        <f ca="1">IF(L40&gt;0,N40*100/L40,0)</f>
        <v>87.022914341244771</v>
      </c>
      <c r="P40" s="748">
        <f ca="1">IF(M40&gt;0,N40*100/M40,0)</f>
        <v>81.302754948551964</v>
      </c>
      <c r="Q40" s="73"/>
      <c r="R40" s="73"/>
      <c r="S40" s="73"/>
      <c r="T40" s="73"/>
      <c r="U40" s="73"/>
    </row>
    <row r="41" spans="1:21" ht="19.5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78"/>
      <c r="R41" s="78"/>
      <c r="S41" s="78"/>
      <c r="T41" s="78"/>
      <c r="U41" s="79"/>
    </row>
    <row r="42" spans="1:21" ht="19.5">
      <c r="A42" s="80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5"/>
      <c r="M42" s="84"/>
      <c r="N42" s="84"/>
      <c r="O42" s="84"/>
      <c r="P42" s="84"/>
      <c r="Q42" s="84"/>
      <c r="R42" s="84"/>
      <c r="S42" s="84"/>
      <c r="T42" s="84"/>
      <c r="U42" s="84"/>
    </row>
    <row r="43" spans="1:21" ht="12.75" hidden="1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6"/>
      <c r="M43" s="25"/>
      <c r="N43" s="25"/>
      <c r="O43" s="25"/>
      <c r="P43" s="25"/>
      <c r="Q43" s="25"/>
      <c r="R43" s="25"/>
      <c r="S43" s="25"/>
      <c r="T43" s="25"/>
      <c r="U43" s="25"/>
    </row>
    <row r="44" spans="1:21" ht="19.5">
      <c r="A44" s="86"/>
      <c r="B44" s="87"/>
      <c r="C44" s="88" t="s">
        <v>18</v>
      </c>
      <c r="D44" s="747" t="s">
        <v>19</v>
      </c>
      <c r="E44" s="87"/>
      <c r="F44" s="87"/>
      <c r="G44" s="90"/>
      <c r="H44" s="91" t="s">
        <v>14</v>
      </c>
      <c r="I44" s="92"/>
      <c r="J44" s="92"/>
      <c r="K44" s="93"/>
      <c r="L44" s="746">
        <f ca="1">L45+L46</f>
        <v>294516</v>
      </c>
      <c r="M44" s="745">
        <f ca="1">M45+M46</f>
        <v>456715.66</v>
      </c>
      <c r="N44" s="745">
        <f ca="1">N45+N46</f>
        <v>378088.56</v>
      </c>
      <c r="O44" s="745">
        <f ca="1">IF(L44&gt;0,N44*100/L44,0)</f>
        <v>128.37623762376236</v>
      </c>
      <c r="P44" s="745">
        <f ca="1">IF(M44&gt;0,N44*100/M44,0)</f>
        <v>82.784233849130558</v>
      </c>
      <c r="Q44" s="745">
        <f>Q45+Q46</f>
        <v>0</v>
      </c>
      <c r="R44" s="745">
        <f>R45+R46</f>
        <v>0</v>
      </c>
      <c r="S44" s="745">
        <f>S45+S46</f>
        <v>0</v>
      </c>
      <c r="T44" s="745">
        <f>IF(Q44&gt;0,S44*100/Q44,0)</f>
        <v>0</v>
      </c>
      <c r="U44" s="745">
        <f>IF(R44&gt;0,S44*100/R44,0)</f>
        <v>0</v>
      </c>
    </row>
    <row r="45" spans="1:21" ht="18.75" hidden="1">
      <c r="A45" s="86"/>
      <c r="B45" s="87"/>
      <c r="C45" s="87"/>
      <c r="D45" s="87"/>
      <c r="E45" s="744" t="s">
        <v>20</v>
      </c>
      <c r="F45" s="87"/>
      <c r="G45" s="90"/>
      <c r="H45" s="743" t="s">
        <v>14</v>
      </c>
      <c r="I45" s="92"/>
      <c r="J45" s="92"/>
      <c r="K45" s="93"/>
      <c r="L45" s="742">
        <f>L48+L51</f>
        <v>0</v>
      </c>
      <c r="M45" s="741">
        <f>M48+M51</f>
        <v>0</v>
      </c>
      <c r="N45" s="741">
        <f>N48+N51</f>
        <v>0</v>
      </c>
      <c r="O45" s="741">
        <f>IF(L45&gt;0,N45*100/L45,0)</f>
        <v>0</v>
      </c>
      <c r="P45" s="741">
        <f>IF(M45&gt;0,N45*100/M45,0)</f>
        <v>0</v>
      </c>
      <c r="Q45" s="741">
        <f>Q48+Q51</f>
        <v>0</v>
      </c>
      <c r="R45" s="741">
        <f>R48+R51</f>
        <v>0</v>
      </c>
      <c r="S45" s="741">
        <f>S48+S51</f>
        <v>0</v>
      </c>
      <c r="T45" s="741">
        <f>IF(Q45&gt;0,S45*100/Q45,0)</f>
        <v>0</v>
      </c>
      <c r="U45" s="741">
        <f>IF(R45&gt;0,S45*100/R45,0)</f>
        <v>0</v>
      </c>
    </row>
    <row r="46" spans="1:21" ht="18.75" hidden="1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740">
        <f ca="1">L49+L52</f>
        <v>294516</v>
      </c>
      <c r="M46" s="739">
        <f ca="1">M49+M52</f>
        <v>456715.66</v>
      </c>
      <c r="N46" s="739">
        <f ca="1">N49+N52</f>
        <v>378088.56</v>
      </c>
      <c r="O46" s="739">
        <f ca="1">IF(L46&gt;0,N46*100/L46,0)</f>
        <v>128.37623762376236</v>
      </c>
      <c r="P46" s="739">
        <f ca="1">IF(M46&gt;0,N46*100/M46,0)</f>
        <v>82.784233849130558</v>
      </c>
      <c r="Q46" s="739">
        <f>Q49+Q52</f>
        <v>0</v>
      </c>
      <c r="R46" s="739">
        <f>R49+R52</f>
        <v>0</v>
      </c>
      <c r="S46" s="739">
        <f>S49+S52</f>
        <v>0</v>
      </c>
      <c r="T46" s="739">
        <f>IF(Q46&gt;0,S46*100/Q46,0)</f>
        <v>0</v>
      </c>
      <c r="U46" s="739">
        <f>IF(R46&gt;0,S46*100/R46,0)</f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256">
        <f ca="1">L48+L49</f>
        <v>294516</v>
      </c>
      <c r="M47" s="255">
        <f ca="1">M48+M49</f>
        <v>456715.66</v>
      </c>
      <c r="N47" s="255">
        <f ca="1">N48+N49</f>
        <v>378088.56</v>
      </c>
      <c r="O47" s="255">
        <f ca="1">IF(L47&gt;0,N47*100/L47,0)</f>
        <v>128.37623762376236</v>
      </c>
      <c r="P47" s="255">
        <f ca="1">IF(M47&gt;0,N47*100/M47,0)</f>
        <v>82.784233849130558</v>
      </c>
      <c r="Q47" s="255">
        <f>Q48+Q49</f>
        <v>0</v>
      </c>
      <c r="R47" s="255">
        <f>R48+R49</f>
        <v>0</v>
      </c>
      <c r="S47" s="255">
        <f>S48+S49</f>
        <v>0</v>
      </c>
      <c r="T47" s="255">
        <f>IF(Q47&gt;0,S47*100/Q47,0)</f>
        <v>0</v>
      </c>
      <c r="U47" s="255">
        <f>IF(R47&gt;0,S47*100/R47,0)</f>
        <v>0</v>
      </c>
    </row>
    <row r="48" spans="1:21" ht="18.75" hidden="1">
      <c r="A48" s="49"/>
      <c r="B48" s="50"/>
      <c r="C48" s="50"/>
      <c r="D48" s="50"/>
      <c r="E48" s="186" t="s">
        <v>20</v>
      </c>
      <c r="F48" s="50"/>
      <c r="G48" s="52"/>
      <c r="H48" s="729" t="s">
        <v>14</v>
      </c>
      <c r="I48" s="54"/>
      <c r="J48" s="54"/>
      <c r="K48" s="55"/>
      <c r="L48" s="103">
        <v>0</v>
      </c>
      <c r="M48" s="102">
        <v>0</v>
      </c>
      <c r="N48" s="102">
        <v>0</v>
      </c>
      <c r="O48" s="102">
        <f>IF(L48&gt;0,N48*100/L48,0)</f>
        <v>0</v>
      </c>
      <c r="P48" s="102">
        <f>IF(M48&gt;0,N48*100/M48,0)</f>
        <v>0</v>
      </c>
      <c r="Q48" s="102">
        <v>0</v>
      </c>
      <c r="R48" s="102">
        <v>0</v>
      </c>
      <c r="S48" s="102">
        <v>0</v>
      </c>
      <c r="T48" s="102">
        <f>IF(Q48&gt;0,S48*100/Q48,0)</f>
        <v>0</v>
      </c>
      <c r="U48" s="102">
        <f>IF(R48&gt;0,S48*100/R48,0)</f>
        <v>0</v>
      </c>
    </row>
    <row r="49" spans="1:21" ht="18.75" hidden="1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256">
        <f ca="1">IFERROR(__xludf.DUMMYFUNCTION("IMPORTRANGE(""https://docs.google.com/spreadsheets/d/1-uDff_7J0KD5mKrp0Vvzr7lt3OU09vwQwhkpOPPYv2Y/edit?usp=sharing"",""งบพรบ!P46"")"),294516)</f>
        <v>294516</v>
      </c>
      <c r="M49" s="255">
        <f ca="1">IFERROR(__xludf.DUMMYFUNCTION("IMPORTRANGE(""https://docs.google.com/spreadsheets/d/1-uDff_7J0KD5mKrp0Vvzr7lt3OU09vwQwhkpOPPYv2Y/edit?usp=sharing"",""งบพรบ!V46"")"),456715.66)</f>
        <v>456715.66</v>
      </c>
      <c r="N49" s="255">
        <f ca="1">IFERROR(__xludf.DUMMYFUNCTION("IMPORTRANGE(""https://docs.google.com/spreadsheets/d/1-uDff_7J0KD5mKrp0Vvzr7lt3OU09vwQwhkpOPPYv2Y/edit?usp=sharing"",""งบพรบ!Y46"")"),378088.56)</f>
        <v>378088.56</v>
      </c>
      <c r="O49" s="255">
        <f ca="1">IF(L49&gt;0,N49*100/L49,0)</f>
        <v>128.37623762376236</v>
      </c>
      <c r="P49" s="255">
        <f ca="1">IF(M49&gt;0,N49*100/M49,0)</f>
        <v>82.784233849130558</v>
      </c>
      <c r="Q49" s="255">
        <v>0</v>
      </c>
      <c r="R49" s="255">
        <v>0</v>
      </c>
      <c r="S49" s="255">
        <v>0</v>
      </c>
      <c r="T49" s="255">
        <f>IF(Q49&gt;0,S49*100/Q49,0)</f>
        <v>0</v>
      </c>
      <c r="U49" s="255">
        <f>IF(R49&gt;0,S49*100/R49,0)</f>
        <v>0</v>
      </c>
    </row>
    <row r="50" spans="1:21" ht="18.75">
      <c r="A50" s="49"/>
      <c r="B50" s="50"/>
      <c r="C50" s="50"/>
      <c r="D50" s="51" t="s">
        <v>23</v>
      </c>
      <c r="E50" s="50"/>
      <c r="F50" s="50"/>
      <c r="G50" s="52"/>
      <c r="H50" s="53" t="s">
        <v>14</v>
      </c>
      <c r="I50" s="54"/>
      <c r="J50" s="54"/>
      <c r="K50" s="55"/>
      <c r="L50" s="256">
        <f ca="1">L51+L52</f>
        <v>0</v>
      </c>
      <c r="M50" s="255">
        <f ca="1">M51+M52</f>
        <v>0</v>
      </c>
      <c r="N50" s="255">
        <f ca="1">N51+N52</f>
        <v>0</v>
      </c>
      <c r="O50" s="255">
        <f ca="1">IF(L50&gt;0,N50*100/L50,0)</f>
        <v>0</v>
      </c>
      <c r="P50" s="255">
        <f ca="1">IF(M50&gt;0,N50*100/M50,0)</f>
        <v>0</v>
      </c>
      <c r="Q50" s="255">
        <f>Q51+Q52</f>
        <v>0</v>
      </c>
      <c r="R50" s="255">
        <f>R51+R52</f>
        <v>0</v>
      </c>
      <c r="S50" s="255">
        <f>S51+S52</f>
        <v>0</v>
      </c>
      <c r="T50" s="255">
        <f>IF(Q50&gt;0,S50*100/Q50,0)</f>
        <v>0</v>
      </c>
      <c r="U50" s="255">
        <f>IF(R50&gt;0,S50*100/R50,0)</f>
        <v>0</v>
      </c>
    </row>
    <row r="51" spans="1:21" ht="18.75" hidden="1">
      <c r="A51" s="49"/>
      <c r="B51" s="50"/>
      <c r="C51" s="50"/>
      <c r="D51" s="50"/>
      <c r="E51" s="186" t="s">
        <v>20</v>
      </c>
      <c r="F51" s="50"/>
      <c r="G51" s="52"/>
      <c r="H51" s="729" t="s">
        <v>14</v>
      </c>
      <c r="I51" s="54"/>
      <c r="J51" s="54"/>
      <c r="K51" s="55"/>
      <c r="L51" s="103">
        <v>0</v>
      </c>
      <c r="M51" s="102">
        <v>0</v>
      </c>
      <c r="N51" s="102">
        <v>0</v>
      </c>
      <c r="O51" s="102">
        <f>IF(L51&gt;0,N51*100/L51,0)</f>
        <v>0</v>
      </c>
      <c r="P51" s="102">
        <f>IF(M51&gt;0,N51*100/M51,0)</f>
        <v>0</v>
      </c>
      <c r="Q51" s="102">
        <v>0</v>
      </c>
      <c r="R51" s="102">
        <v>0</v>
      </c>
      <c r="S51" s="102">
        <v>0</v>
      </c>
      <c r="T51" s="102">
        <f>IF(Q51&gt;0,S51*100/Q51,0)</f>
        <v>0</v>
      </c>
      <c r="U51" s="102">
        <f>IF(R51&gt;0,S51*100/R51,0)</f>
        <v>0</v>
      </c>
    </row>
    <row r="52" spans="1:21" ht="18.75" hidden="1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256">
        <f ca="1">IFERROR(__xludf.DUMMYFUNCTION("IMPORTRANGE(""https://docs.google.com/spreadsheets/d/1-uDff_7J0KD5mKrp0Vvzr7lt3OU09vwQwhkpOPPYv2Y/edit?usp=sharing"",""งบพรบ!S46"")"),0)</f>
        <v>0</v>
      </c>
      <c r="M52" s="255">
        <f ca="1">IFERROR(__xludf.DUMMYFUNCTION("IMPORTRANGE(""https://docs.google.com/spreadsheets/d/1-uDff_7J0KD5mKrp0Vvzr7lt3OU09vwQwhkpOPPYv2Y/edit?usp=sharing"",""งบพรบ!W46"")"),0)</f>
        <v>0</v>
      </c>
      <c r="N52" s="255">
        <f ca="1">IFERROR(__xludf.DUMMYFUNCTION("IMPORTRANGE(""https://docs.google.com/spreadsheets/d/1-uDff_7J0KD5mKrp0Vvzr7lt3OU09vwQwhkpOPPYv2Y/edit?usp=sharing"",""งบพรบ!Z46"")"),0)</f>
        <v>0</v>
      </c>
      <c r="O52" s="255">
        <f ca="1">IF(L52&gt;0,N52*100/L52,0)</f>
        <v>0</v>
      </c>
      <c r="P52" s="255">
        <f ca="1">IF(M52&gt;0,N52*100/M52,0)</f>
        <v>0</v>
      </c>
      <c r="Q52" s="255">
        <v>0</v>
      </c>
      <c r="R52" s="255">
        <v>0</v>
      </c>
      <c r="S52" s="255">
        <v>0</v>
      </c>
      <c r="T52" s="255">
        <f>IF(Q52&gt;0,S52*100/Q52,0)</f>
        <v>0</v>
      </c>
      <c r="U52" s="255">
        <f>IF(R52&gt;0,S52*100/R52,0)</f>
        <v>0</v>
      </c>
    </row>
    <row r="53" spans="1:21" ht="18.75">
      <c r="A53" s="49"/>
      <c r="B53" s="50"/>
      <c r="C53" s="50"/>
      <c r="D53" s="51" t="s">
        <v>24</v>
      </c>
      <c r="E53" s="50"/>
      <c r="F53" s="50"/>
      <c r="G53" s="52"/>
      <c r="H53" s="53" t="s">
        <v>14</v>
      </c>
      <c r="I53" s="54"/>
      <c r="J53" s="54"/>
      <c r="K53" s="55"/>
      <c r="L53" s="62"/>
      <c r="M53" s="55"/>
      <c r="N53" s="55"/>
      <c r="O53" s="55"/>
      <c r="P53" s="55"/>
      <c r="Q53" s="55"/>
      <c r="R53" s="55"/>
      <c r="S53" s="55"/>
      <c r="T53" s="55"/>
      <c r="U53" s="55"/>
    </row>
    <row r="54" spans="1:21" ht="18.75" hidden="1">
      <c r="A54" s="49"/>
      <c r="B54" s="50"/>
      <c r="C54" s="50"/>
      <c r="D54" s="50"/>
      <c r="E54" s="186" t="s">
        <v>20</v>
      </c>
      <c r="F54" s="50"/>
      <c r="G54" s="52"/>
      <c r="H54" s="729" t="s">
        <v>14</v>
      </c>
      <c r="I54" s="54"/>
      <c r="J54" s="54"/>
      <c r="K54" s="55"/>
      <c r="L54" s="62"/>
      <c r="M54" s="55"/>
      <c r="N54" s="55"/>
      <c r="O54" s="55"/>
      <c r="P54" s="55"/>
      <c r="Q54" s="55"/>
      <c r="R54" s="55"/>
      <c r="S54" s="55"/>
      <c r="T54" s="55"/>
      <c r="U54" s="55"/>
    </row>
    <row r="55" spans="1:21" ht="18.75" hidden="1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8"/>
      <c r="M55" s="6"/>
      <c r="N55" s="6"/>
      <c r="O55" s="6"/>
      <c r="P55" s="6"/>
      <c r="Q55" s="6"/>
      <c r="R55" s="6"/>
      <c r="S55" s="6"/>
      <c r="T55" s="6"/>
      <c r="U55" s="6"/>
    </row>
    <row r="56" spans="1:21" ht="19.5">
      <c r="A56" s="533" t="s">
        <v>28</v>
      </c>
      <c r="B56" s="514"/>
      <c r="C56" s="514"/>
      <c r="D56" s="514"/>
      <c r="E56" s="514"/>
      <c r="F56" s="514"/>
      <c r="G56" s="512"/>
      <c r="H56" s="104"/>
      <c r="I56" s="105"/>
      <c r="J56" s="105"/>
      <c r="K56" s="106"/>
      <c r="L56" s="106"/>
      <c r="M56" s="106"/>
      <c r="N56" s="106"/>
      <c r="O56" s="106"/>
      <c r="P56" s="107"/>
      <c r="Q56" s="106"/>
      <c r="R56" s="106"/>
      <c r="S56" s="106"/>
      <c r="T56" s="106"/>
      <c r="U56" s="107"/>
    </row>
    <row r="57" spans="1:21" ht="19.5">
      <c r="A57" s="108"/>
      <c r="B57" s="534" t="s">
        <v>29</v>
      </c>
      <c r="C57" s="529"/>
      <c r="D57" s="529"/>
      <c r="E57" s="529"/>
      <c r="F57" s="529"/>
      <c r="G57" s="530"/>
      <c r="H57" s="109"/>
      <c r="I57" s="110"/>
      <c r="J57" s="110"/>
      <c r="K57" s="111"/>
      <c r="L57" s="112"/>
      <c r="M57" s="111"/>
      <c r="N57" s="111"/>
      <c r="O57" s="111"/>
      <c r="P57" s="111"/>
      <c r="Q57" s="111"/>
      <c r="R57" s="111"/>
      <c r="S57" s="111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9"/>
      <c r="M58" s="118"/>
      <c r="N58" s="118"/>
      <c r="O58" s="118"/>
      <c r="P58" s="118"/>
      <c r="Q58" s="118"/>
      <c r="R58" s="118"/>
      <c r="S58" s="118"/>
      <c r="T58" s="118"/>
      <c r="U58" s="118"/>
    </row>
    <row r="59" spans="1:21" ht="19.5">
      <c r="A59" s="120"/>
      <c r="B59" s="121"/>
      <c r="C59" s="122" t="s">
        <v>18</v>
      </c>
      <c r="D59" s="738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737">
        <f ca="1">L60+L61</f>
        <v>525800</v>
      </c>
      <c r="M59" s="736">
        <f ca="1">M60+M61</f>
        <v>525800</v>
      </c>
      <c r="N59" s="736">
        <f ca="1">N60+N61</f>
        <v>490550.83</v>
      </c>
      <c r="O59" s="736">
        <f ca="1">IF(L59&gt;0,N59*100/L59,0)</f>
        <v>93.296087866108792</v>
      </c>
      <c r="P59" s="736">
        <f ca="1">IF(M59&gt;0,N59*100/M59,0)</f>
        <v>93.296087866108792</v>
      </c>
      <c r="Q59" s="736">
        <f>Q60+Q61</f>
        <v>0</v>
      </c>
      <c r="R59" s="736">
        <f>R60+R61</f>
        <v>0</v>
      </c>
      <c r="S59" s="736">
        <f>S60+S61</f>
        <v>0</v>
      </c>
      <c r="T59" s="736">
        <f>IF(Q59&gt;0,S59*100/Q59,0)</f>
        <v>0</v>
      </c>
      <c r="U59" s="736">
        <f>IF(R59&gt;0,S59*100/R59,0)</f>
        <v>0</v>
      </c>
    </row>
    <row r="60" spans="1:21" ht="18.75" hidden="1">
      <c r="A60" s="120"/>
      <c r="B60" s="121"/>
      <c r="C60" s="121"/>
      <c r="D60" s="121"/>
      <c r="E60" s="735" t="s">
        <v>20</v>
      </c>
      <c r="F60" s="121"/>
      <c r="G60" s="124"/>
      <c r="H60" s="734" t="s">
        <v>14</v>
      </c>
      <c r="I60" s="126"/>
      <c r="J60" s="126"/>
      <c r="K60" s="127"/>
      <c r="L60" s="733">
        <f>L63+L66</f>
        <v>0</v>
      </c>
      <c r="M60" s="732">
        <f>M63+M66</f>
        <v>0</v>
      </c>
      <c r="N60" s="732">
        <f>N63+N66</f>
        <v>0</v>
      </c>
      <c r="O60" s="732">
        <f>IF(L60&gt;0,N60*100/L60,0)</f>
        <v>0</v>
      </c>
      <c r="P60" s="732">
        <f>IF(M60&gt;0,N60*100/M60,0)</f>
        <v>0</v>
      </c>
      <c r="Q60" s="732">
        <f>Q63+Q66</f>
        <v>0</v>
      </c>
      <c r="R60" s="732">
        <f>R63+R66</f>
        <v>0</v>
      </c>
      <c r="S60" s="732">
        <f>S63+S66</f>
        <v>0</v>
      </c>
      <c r="T60" s="732">
        <f>IF(Q60&gt;0,S60*100/Q60,0)</f>
        <v>0</v>
      </c>
      <c r="U60" s="732">
        <f>IF(R60&gt;0,S60*100/R60,0)</f>
        <v>0</v>
      </c>
    </row>
    <row r="61" spans="1:21" ht="18.75" hidden="1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731">
        <f ca="1">L64+L67</f>
        <v>525800</v>
      </c>
      <c r="M61" s="730">
        <f ca="1">M64+M67</f>
        <v>525800</v>
      </c>
      <c r="N61" s="730">
        <f ca="1">N64+N67</f>
        <v>490550.83</v>
      </c>
      <c r="O61" s="730">
        <f ca="1">IF(L61&gt;0,N61*100/L61,0)</f>
        <v>93.296087866108792</v>
      </c>
      <c r="P61" s="730">
        <f ca="1">IF(M61&gt;0,N61*100/M61,0)</f>
        <v>93.296087866108792</v>
      </c>
      <c r="Q61" s="730">
        <f>Q64+Q67</f>
        <v>0</v>
      </c>
      <c r="R61" s="730">
        <f>R64+R67</f>
        <v>0</v>
      </c>
      <c r="S61" s="730">
        <f>S64+S67</f>
        <v>0</v>
      </c>
      <c r="T61" s="730">
        <f>IF(Q61&gt;0,S61*100/Q61,0)</f>
        <v>0</v>
      </c>
      <c r="U61" s="730">
        <f>IF(R61&gt;0,S61*100/R61,0)</f>
        <v>0</v>
      </c>
    </row>
    <row r="62" spans="1:21" ht="18.75">
      <c r="A62" s="49"/>
      <c r="B62" s="50"/>
      <c r="C62" s="50"/>
      <c r="D62" s="51" t="s">
        <v>22</v>
      </c>
      <c r="E62" s="50"/>
      <c r="F62" s="50"/>
      <c r="G62" s="52"/>
      <c r="H62" s="53" t="s">
        <v>14</v>
      </c>
      <c r="I62" s="54"/>
      <c r="J62" s="54"/>
      <c r="K62" s="55"/>
      <c r="L62" s="256">
        <f ca="1">L63+L64</f>
        <v>525800</v>
      </c>
      <c r="M62" s="255">
        <f ca="1">M63+M64</f>
        <v>525800</v>
      </c>
      <c r="N62" s="255">
        <f ca="1">N63+N64</f>
        <v>490550.83</v>
      </c>
      <c r="O62" s="255">
        <f ca="1">IF(L62&gt;0,N62*100/L62,0)</f>
        <v>93.296087866108792</v>
      </c>
      <c r="P62" s="255">
        <f ca="1">IF(M62&gt;0,N62*100/M62,0)</f>
        <v>93.296087866108792</v>
      </c>
      <c r="Q62" s="255">
        <f>Q63+Q64</f>
        <v>0</v>
      </c>
      <c r="R62" s="255">
        <f>R63+R64</f>
        <v>0</v>
      </c>
      <c r="S62" s="255">
        <f>S63+S64</f>
        <v>0</v>
      </c>
      <c r="T62" s="255">
        <f>IF(Q62&gt;0,S62*100/Q62,0)</f>
        <v>0</v>
      </c>
      <c r="U62" s="255">
        <f>IF(R62&gt;0,S62*100/R62,0)</f>
        <v>0</v>
      </c>
    </row>
    <row r="63" spans="1:21" ht="18.75" hidden="1">
      <c r="A63" s="49"/>
      <c r="B63" s="50"/>
      <c r="C63" s="50"/>
      <c r="D63" s="50"/>
      <c r="E63" s="186" t="s">
        <v>20</v>
      </c>
      <c r="F63" s="50"/>
      <c r="G63" s="52"/>
      <c r="H63" s="729" t="s">
        <v>14</v>
      </c>
      <c r="I63" s="54"/>
      <c r="J63" s="54"/>
      <c r="K63" s="55"/>
      <c r="L63" s="103">
        <v>0</v>
      </c>
      <c r="M63" s="102">
        <v>0</v>
      </c>
      <c r="N63" s="102">
        <v>0</v>
      </c>
      <c r="O63" s="102">
        <f>IF(L63&gt;0,N63*100/L63,0)</f>
        <v>0</v>
      </c>
      <c r="P63" s="102">
        <f>IF(M63&gt;0,N63*100/M63,0)</f>
        <v>0</v>
      </c>
      <c r="Q63" s="102">
        <v>0</v>
      </c>
      <c r="R63" s="102">
        <v>0</v>
      </c>
      <c r="S63" s="102">
        <v>0</v>
      </c>
      <c r="T63" s="102">
        <f>IF(Q63&gt;0,S63*100/Q63,0)</f>
        <v>0</v>
      </c>
      <c r="U63" s="102">
        <f>IF(R63&gt;0,S63*100/R63,0)</f>
        <v>0</v>
      </c>
    </row>
    <row r="64" spans="1:21" ht="18.75" hidden="1">
      <c r="A64" s="49"/>
      <c r="B64" s="50"/>
      <c r="C64" s="50"/>
      <c r="D64" s="50"/>
      <c r="E64" s="58" t="s">
        <v>21</v>
      </c>
      <c r="F64" s="50"/>
      <c r="G64" s="52"/>
      <c r="H64" s="53" t="s">
        <v>14</v>
      </c>
      <c r="I64" s="54"/>
      <c r="J64" s="54"/>
      <c r="K64" s="55"/>
      <c r="L64" s="256">
        <f ca="1">IFERROR(__xludf.DUMMYFUNCTION("IMPORTRANGE(""https://docs.google.com/spreadsheets/d/1-uDff_7J0KD5mKrp0Vvzr7lt3OU09vwQwhkpOPPYv2Y/edit?usp=sharing"",""งบพรบ!AC46"")"),525800)</f>
        <v>525800</v>
      </c>
      <c r="M64" s="255">
        <f ca="1">IFERROR(__xludf.DUMMYFUNCTION("IMPORTRANGE(""https://docs.google.com/spreadsheets/d/1-uDff_7J0KD5mKrp0Vvzr7lt3OU09vwQwhkpOPPYv2Y/edit?usp=sharing"",""งบพรบ!AH46"")"),525800)</f>
        <v>525800</v>
      </c>
      <c r="N64" s="255">
        <f ca="1">IFERROR(__xludf.DUMMYFUNCTION("IMPORTRANGE(""https://docs.google.com/spreadsheets/d/1-uDff_7J0KD5mKrp0Vvzr7lt3OU09vwQwhkpOPPYv2Y/edit?usp=sharing"",""งบพรบ!AJ46"")"),490550.83)</f>
        <v>490550.83</v>
      </c>
      <c r="O64" s="255">
        <f ca="1">IF(L64&gt;0,N64*100/L64,0)</f>
        <v>93.296087866108792</v>
      </c>
      <c r="P64" s="255">
        <f ca="1">IF(M64&gt;0,N64*100/M64,0)</f>
        <v>93.296087866108792</v>
      </c>
      <c r="Q64" s="255">
        <v>0</v>
      </c>
      <c r="R64" s="255">
        <v>0</v>
      </c>
      <c r="S64" s="255">
        <v>0</v>
      </c>
      <c r="T64" s="255">
        <f>IF(Q64&gt;0,S64*100/Q64,0)</f>
        <v>0</v>
      </c>
      <c r="U64" s="255">
        <f>IF(R64&gt;0,S64*100/R64,0)</f>
        <v>0</v>
      </c>
    </row>
    <row r="65" spans="1:21" ht="18.75">
      <c r="A65" s="49"/>
      <c r="B65" s="50"/>
      <c r="C65" s="50"/>
      <c r="D65" s="51" t="s">
        <v>23</v>
      </c>
      <c r="E65" s="50"/>
      <c r="F65" s="50"/>
      <c r="G65" s="52"/>
      <c r="H65" s="53" t="s">
        <v>14</v>
      </c>
      <c r="I65" s="54"/>
      <c r="J65" s="54"/>
      <c r="K65" s="55"/>
      <c r="L65" s="256">
        <f ca="1">L66+L67</f>
        <v>0</v>
      </c>
      <c r="M65" s="255">
        <f ca="1">M66+M67</f>
        <v>0</v>
      </c>
      <c r="N65" s="255">
        <f ca="1">N66+N67</f>
        <v>0</v>
      </c>
      <c r="O65" s="255">
        <f ca="1">IF(L65&gt;0,N65*100/L65,0)</f>
        <v>0</v>
      </c>
      <c r="P65" s="255">
        <f ca="1">IF(M65&gt;0,N65*100/M65,0)</f>
        <v>0</v>
      </c>
      <c r="Q65" s="255">
        <f>Q66+Q67</f>
        <v>0</v>
      </c>
      <c r="R65" s="255">
        <f>R66+R67</f>
        <v>0</v>
      </c>
      <c r="S65" s="255">
        <f>S66+S67</f>
        <v>0</v>
      </c>
      <c r="T65" s="255">
        <f>IF(Q65&gt;0,S65*100/Q65,0)</f>
        <v>0</v>
      </c>
      <c r="U65" s="255">
        <f>IF(R65&gt;0,S65*100/R65,0)</f>
        <v>0</v>
      </c>
    </row>
    <row r="66" spans="1:21" ht="18.75" hidden="1">
      <c r="A66" s="49"/>
      <c r="B66" s="50"/>
      <c r="C66" s="50"/>
      <c r="D66" s="50"/>
      <c r="E66" s="186" t="s">
        <v>20</v>
      </c>
      <c r="F66" s="50"/>
      <c r="G66" s="52"/>
      <c r="H66" s="729" t="s">
        <v>14</v>
      </c>
      <c r="I66" s="54"/>
      <c r="J66" s="54"/>
      <c r="K66" s="55"/>
      <c r="L66" s="103">
        <v>0</v>
      </c>
      <c r="M66" s="102">
        <v>0</v>
      </c>
      <c r="N66" s="102">
        <v>0</v>
      </c>
      <c r="O66" s="102">
        <f>IF(L66&gt;0,N66*100/L66,0)</f>
        <v>0</v>
      </c>
      <c r="P66" s="102">
        <f>IF(M66&gt;0,N66*100/M66,0)</f>
        <v>0</v>
      </c>
      <c r="Q66" s="102">
        <v>0</v>
      </c>
      <c r="R66" s="102">
        <v>0</v>
      </c>
      <c r="S66" s="102">
        <v>0</v>
      </c>
      <c r="T66" s="102">
        <f>IF(Q66&gt;0,S66*100/Q66,0)</f>
        <v>0</v>
      </c>
      <c r="U66" s="102">
        <f>IF(R66&gt;0,S66*100/R66,0)</f>
        <v>0</v>
      </c>
    </row>
    <row r="67" spans="1:21" ht="18.75" hidden="1">
      <c r="A67" s="63"/>
      <c r="B67" s="4"/>
      <c r="C67" s="4"/>
      <c r="D67" s="4"/>
      <c r="E67" s="64" t="s">
        <v>21</v>
      </c>
      <c r="F67" s="4"/>
      <c r="G67" s="65"/>
      <c r="H67" s="66" t="s">
        <v>14</v>
      </c>
      <c r="I67" s="67"/>
      <c r="J67" s="67"/>
      <c r="K67" s="6"/>
      <c r="L67" s="728">
        <f ca="1">IFERROR(__xludf.DUMMYFUNCTION("IMPORTRANGE(""https://docs.google.com/spreadsheets/d/1-uDff_7J0KD5mKrp0Vvzr7lt3OU09vwQwhkpOPPYv2Y/edit?usp=sharing"",""งบพรบ!AF46"")"),0)</f>
        <v>0</v>
      </c>
      <c r="M67" s="506">
        <f ca="1">IFERROR(__xludf.DUMMYFUNCTION("IMPORTRANGE(""https://docs.google.com/spreadsheets/d/1-uDff_7J0KD5mKrp0Vvzr7lt3OU09vwQwhkpOPPYv2Y/edit?usp=sharing"",""งบพรบ!AI46"")"),0)</f>
        <v>0</v>
      </c>
      <c r="N67" s="506">
        <f ca="1">IFERROR(__xludf.DUMMYFUNCTION("IMPORTRANGE(""https://docs.google.com/spreadsheets/d/1-uDff_7J0KD5mKrp0Vvzr7lt3OU09vwQwhkpOPPYv2Y/edit?usp=sharing"",""งบพรบ!AK46"")"),0)</f>
        <v>0</v>
      </c>
      <c r="O67" s="506">
        <f ca="1">IF(L67&gt;0,N67*100/L67,0)</f>
        <v>0</v>
      </c>
      <c r="P67" s="506">
        <f ca="1">IF(M67&gt;0,N67*100/M67,0)</f>
        <v>0</v>
      </c>
      <c r="Q67" s="506">
        <v>0</v>
      </c>
      <c r="R67" s="506">
        <v>0</v>
      </c>
      <c r="S67" s="506">
        <v>0</v>
      </c>
      <c r="T67" s="506">
        <f>IF(Q67&gt;0,S67*100/Q67,0)</f>
        <v>0</v>
      </c>
      <c r="U67" s="506">
        <f>IF(R67&gt;0,S67*100/R67,0)</f>
        <v>0</v>
      </c>
    </row>
    <row r="68" spans="1:21" ht="19.5">
      <c r="A68" s="137" t="s">
        <v>31</v>
      </c>
      <c r="B68" s="138"/>
      <c r="C68" s="138"/>
      <c r="D68" s="138"/>
      <c r="E68" s="139"/>
      <c r="F68" s="139"/>
      <c r="G68" s="139"/>
      <c r="H68" s="139"/>
      <c r="I68" s="140"/>
      <c r="J68" s="140"/>
      <c r="K68" s="141"/>
      <c r="L68" s="141"/>
      <c r="M68" s="141"/>
      <c r="N68" s="141"/>
      <c r="O68" s="141"/>
      <c r="P68" s="142"/>
      <c r="Q68" s="141"/>
      <c r="R68" s="141"/>
      <c r="S68" s="141"/>
      <c r="T68" s="141"/>
      <c r="U68" s="142"/>
    </row>
    <row r="69" spans="1:21" ht="19.5" hidden="1">
      <c r="A69" s="143" t="s">
        <v>32</v>
      </c>
      <c r="B69" s="144"/>
      <c r="C69" s="145"/>
      <c r="D69" s="144"/>
      <c r="E69" s="144"/>
      <c r="F69" s="144"/>
      <c r="G69" s="146"/>
      <c r="H69" s="146"/>
      <c r="I69" s="147"/>
      <c r="J69" s="147"/>
      <c r="K69" s="148"/>
      <c r="L69" s="149"/>
      <c r="M69" s="148"/>
      <c r="N69" s="148"/>
      <c r="O69" s="148"/>
      <c r="P69" s="148"/>
      <c r="Q69" s="148"/>
      <c r="R69" s="148"/>
      <c r="S69" s="148"/>
      <c r="T69" s="148"/>
      <c r="U69" s="148"/>
    </row>
    <row r="70" spans="1:21" ht="19.5" hidden="1">
      <c r="A70" s="150"/>
      <c r="B70" s="35" t="s">
        <v>33</v>
      </c>
      <c r="C70" s="34"/>
      <c r="D70" s="151"/>
      <c r="E70" s="34"/>
      <c r="F70" s="34"/>
      <c r="G70" s="37"/>
      <c r="H70" s="152" t="s">
        <v>34</v>
      </c>
      <c r="I70" s="721">
        <f ca="1">I82</f>
        <v>0</v>
      </c>
      <c r="J70" s="721">
        <f>J82</f>
        <v>0</v>
      </c>
      <c r="K70" s="720">
        <f ca="1">IF(I70&gt;0,J70*100/I70,0)</f>
        <v>0</v>
      </c>
      <c r="L70" s="154"/>
      <c r="M70" s="40"/>
      <c r="N70" s="40"/>
      <c r="O70" s="40"/>
      <c r="P70" s="40"/>
      <c r="Q70" s="40"/>
      <c r="R70" s="40"/>
      <c r="S70" s="40"/>
      <c r="T70" s="40"/>
      <c r="U70" s="40"/>
    </row>
    <row r="71" spans="1:21" ht="19.5" hidden="1">
      <c r="A71" s="150"/>
      <c r="B71" s="34"/>
      <c r="C71" s="34"/>
      <c r="D71" s="151"/>
      <c r="E71" s="34"/>
      <c r="F71" s="34"/>
      <c r="G71" s="37"/>
      <c r="H71" s="152" t="s">
        <v>35</v>
      </c>
      <c r="I71" s="721">
        <f ca="1">I83</f>
        <v>0</v>
      </c>
      <c r="J71" s="721">
        <f>J83</f>
        <v>0</v>
      </c>
      <c r="K71" s="720">
        <f ca="1">IF(I71&gt;0,J71*100/I71,0)</f>
        <v>0</v>
      </c>
      <c r="L71" s="154"/>
      <c r="M71" s="40"/>
      <c r="N71" s="40"/>
      <c r="O71" s="40"/>
      <c r="P71" s="40"/>
      <c r="Q71" s="40"/>
      <c r="R71" s="40"/>
      <c r="S71" s="40"/>
      <c r="T71" s="40"/>
      <c r="U71" s="40"/>
    </row>
    <row r="72" spans="1:21" ht="19.5" hidden="1">
      <c r="A72" s="155"/>
      <c r="B72" s="50"/>
      <c r="C72" s="156" t="s">
        <v>18</v>
      </c>
      <c r="D72" s="575" t="s">
        <v>19</v>
      </c>
      <c r="E72" s="50"/>
      <c r="F72" s="50"/>
      <c r="G72" s="52"/>
      <c r="H72" s="158" t="s">
        <v>14</v>
      </c>
      <c r="I72" s="54"/>
      <c r="J72" s="54"/>
      <c r="K72" s="55"/>
      <c r="L72" s="541">
        <f ca="1">L73+L74</f>
        <v>0</v>
      </c>
      <c r="M72" s="540">
        <f ca="1">M73+M74</f>
        <v>0</v>
      </c>
      <c r="N72" s="540">
        <f ca="1">N73+N74</f>
        <v>0</v>
      </c>
      <c r="O72" s="540">
        <f ca="1">IF(L72&gt;0,N72*100/L72,0)</f>
        <v>0</v>
      </c>
      <c r="P72" s="540">
        <f ca="1">IF(M72&gt;0,N72*100/M72,0)</f>
        <v>0</v>
      </c>
      <c r="Q72" s="540">
        <f ca="1">Q73+Q74</f>
        <v>0</v>
      </c>
      <c r="R72" s="540">
        <f ca="1">R73+R74</f>
        <v>0</v>
      </c>
      <c r="S72" s="540">
        <f ca="1">S73+S74</f>
        <v>0</v>
      </c>
      <c r="T72" s="540">
        <f ca="1">IF(Q72&gt;0,S72*100/Q72,0)</f>
        <v>0</v>
      </c>
      <c r="U72" s="540">
        <f ca="1">IF(R72&gt;0,S72*100/R72,0)</f>
        <v>0</v>
      </c>
    </row>
    <row r="73" spans="1:21" ht="18.75" hidden="1">
      <c r="A73" s="155"/>
      <c r="B73" s="50"/>
      <c r="C73" s="50"/>
      <c r="D73" s="50"/>
      <c r="E73" s="186" t="s">
        <v>20</v>
      </c>
      <c r="F73" s="50"/>
      <c r="G73" s="52"/>
      <c r="H73" s="187" t="s">
        <v>14</v>
      </c>
      <c r="I73" s="54"/>
      <c r="J73" s="54"/>
      <c r="K73" s="55"/>
      <c r="L73" s="103">
        <f>L76+L79</f>
        <v>0</v>
      </c>
      <c r="M73" s="102">
        <f>M76+M79</f>
        <v>0</v>
      </c>
      <c r="N73" s="102">
        <f>N76+N79</f>
        <v>0</v>
      </c>
      <c r="O73" s="102">
        <f>IF(L73&gt;0,N73*100/L73,0)</f>
        <v>0</v>
      </c>
      <c r="P73" s="102">
        <f>IF(M73&gt;0,N73*100/M73,0)</f>
        <v>0</v>
      </c>
      <c r="Q73" s="102">
        <f>Q76+Q79</f>
        <v>0</v>
      </c>
      <c r="R73" s="102">
        <f>R76+R79</f>
        <v>0</v>
      </c>
      <c r="S73" s="102">
        <f>S76+S79</f>
        <v>0</v>
      </c>
      <c r="T73" s="102">
        <f>IF(Q73&gt;0,S73*100/Q73,0)</f>
        <v>0</v>
      </c>
      <c r="U73" s="102">
        <f>IF(R73&gt;0,S73*100/R73,0)</f>
        <v>0</v>
      </c>
    </row>
    <row r="74" spans="1:21" ht="18.75" hidden="1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256">
        <f ca="1">L77+L80</f>
        <v>0</v>
      </c>
      <c r="M74" s="255">
        <f ca="1">M77+M80</f>
        <v>0</v>
      </c>
      <c r="N74" s="255">
        <f ca="1">N77+N80</f>
        <v>0</v>
      </c>
      <c r="O74" s="255">
        <f ca="1">IF(L74&gt;0,N74*100/L74,0)</f>
        <v>0</v>
      </c>
      <c r="P74" s="255">
        <f ca="1">IF(M74&gt;0,N74*100/M74,0)</f>
        <v>0</v>
      </c>
      <c r="Q74" s="255">
        <f ca="1">Q77+Q80</f>
        <v>0</v>
      </c>
      <c r="R74" s="255">
        <f ca="1">R77+R80</f>
        <v>0</v>
      </c>
      <c r="S74" s="255">
        <f ca="1">S77+S80</f>
        <v>0</v>
      </c>
      <c r="T74" s="255">
        <f ca="1">IF(Q74&gt;0,S74*100/Q74,0)</f>
        <v>0</v>
      </c>
      <c r="U74" s="255">
        <f ca="1">IF(R74&gt;0,S74*100/R74,0)</f>
        <v>0</v>
      </c>
    </row>
    <row r="75" spans="1:21" ht="18.75" hidden="1">
      <c r="A75" s="155"/>
      <c r="B75" s="50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256">
        <f ca="1">L76+L77</f>
        <v>0</v>
      </c>
      <c r="M75" s="255">
        <f ca="1">M76+M77</f>
        <v>0</v>
      </c>
      <c r="N75" s="255">
        <f ca="1">N76+N77</f>
        <v>0</v>
      </c>
      <c r="O75" s="255">
        <f ca="1">IF(L75&gt;0,N75*100/L75,0)</f>
        <v>0</v>
      </c>
      <c r="P75" s="255">
        <f ca="1">IF(M75&gt;0,N75*100/M75,0)</f>
        <v>0</v>
      </c>
      <c r="Q75" s="255">
        <f ca="1">Q76+Q77</f>
        <v>0</v>
      </c>
      <c r="R75" s="255">
        <f ca="1">R76+R77</f>
        <v>0</v>
      </c>
      <c r="S75" s="255">
        <f ca="1">S76+S77</f>
        <v>0</v>
      </c>
      <c r="T75" s="255">
        <f ca="1">IF(Q75&gt;0,S75*100/Q75,0)</f>
        <v>0</v>
      </c>
      <c r="U75" s="255">
        <f ca="1">IF(R75&gt;0,S75*100/R75,0)</f>
        <v>0</v>
      </c>
    </row>
    <row r="76" spans="1:21" ht="18.75" hidden="1">
      <c r="A76" s="155"/>
      <c r="B76" s="50"/>
      <c r="C76" s="50"/>
      <c r="D76" s="50"/>
      <c r="E76" s="186" t="s">
        <v>36</v>
      </c>
      <c r="F76" s="50"/>
      <c r="G76" s="52"/>
      <c r="H76" s="189" t="s">
        <v>14</v>
      </c>
      <c r="I76" s="163"/>
      <c r="J76" s="163"/>
      <c r="K76" s="164"/>
      <c r="L76" s="103">
        <v>0</v>
      </c>
      <c r="M76" s="102">
        <v>0</v>
      </c>
      <c r="N76" s="102">
        <v>0</v>
      </c>
      <c r="O76" s="102">
        <f>IF(L76&gt;0,N76*100/L76,0)</f>
        <v>0</v>
      </c>
      <c r="P76" s="102">
        <f>IF(M76&gt;0,N76*100/M76,0)</f>
        <v>0</v>
      </c>
      <c r="Q76" s="102">
        <v>0</v>
      </c>
      <c r="R76" s="102">
        <v>0</v>
      </c>
      <c r="S76" s="102">
        <v>0</v>
      </c>
      <c r="T76" s="102">
        <f>IF(Q76&gt;0,S76*100/Q76,0)</f>
        <v>0</v>
      </c>
      <c r="U76" s="102">
        <f>IF(R76&gt;0,S76*100/R76,0)</f>
        <v>0</v>
      </c>
    </row>
    <row r="77" spans="1:21" ht="18.75" hidden="1">
      <c r="A77" s="155"/>
      <c r="B77" s="50"/>
      <c r="C77" s="50"/>
      <c r="D77" s="50"/>
      <c r="E77" s="58" t="s">
        <v>37</v>
      </c>
      <c r="F77" s="50"/>
      <c r="G77" s="52"/>
      <c r="H77" s="162" t="s">
        <v>14</v>
      </c>
      <c r="I77" s="163"/>
      <c r="J77" s="163"/>
      <c r="K77" s="164"/>
      <c r="L77" s="256">
        <f ca="1">IFERROR(__xludf.DUMMYFUNCTION("IMPORTRANGE(""https://docs.google.com/spreadsheets/d/1-uDff_7J0KD5mKrp0Vvzr7lt3OU09vwQwhkpOPPYv2Y/edit?usp=sharing"",""งบพรบ!AM46"")"),0)</f>
        <v>0</v>
      </c>
      <c r="M77" s="255">
        <f ca="1">IFERROR(__xludf.DUMMYFUNCTION("IMPORTRANGE(""https://docs.google.com/spreadsheets/d/1-uDff_7J0KD5mKrp0Vvzr7lt3OU09vwQwhkpOPPYv2Y/edit?usp=sharing"",""งบพรบ!AR46"")"),0)</f>
        <v>0</v>
      </c>
      <c r="N77" s="255">
        <f ca="1">IFERROR(__xludf.DUMMYFUNCTION("IMPORTRANGE(""https://docs.google.com/spreadsheets/d/1-uDff_7J0KD5mKrp0Vvzr7lt3OU09vwQwhkpOPPYv2Y/edit?usp=sharing"",""งบพรบ!AT46"")"),0)</f>
        <v>0</v>
      </c>
      <c r="O77" s="255">
        <f ca="1">IF(L77&gt;0,N77*100/L77,0)</f>
        <v>0</v>
      </c>
      <c r="P77" s="255">
        <f ca="1">IF(M77&gt;0,N77*100/M77,0)</f>
        <v>0</v>
      </c>
      <c r="Q77" s="255">
        <f ca="1">IFERROR(__xludf.DUMMYFUNCTION("IMPORTRANGE(""https://docs.google.com/spreadsheets/d/1ItG2mGa2ceCfYo0BwxsXqNm01IGEUdYcSSLTEv9YCik/edit?usp=sharing"",""เบิกจ่ายกองทุน!AS46"")"),0)</f>
        <v>0</v>
      </c>
      <c r="R77" s="255">
        <f ca="1">IFERROR(__xludf.DUMMYFUNCTION("IMPORTRANGE(""https://docs.google.com/spreadsheets/d/1ItG2mGa2ceCfYo0BwxsXqNm01IGEUdYcSSLTEv9YCik/edit?usp=sharing"",""เบิกจ่ายกองทุน!AT46"")"),0)</f>
        <v>0</v>
      </c>
      <c r="S77" s="255">
        <f ca="1">IFERROR(__xludf.DUMMYFUNCTION("IMPORTRANGE(""https://docs.google.com/spreadsheets/d/1ItG2mGa2ceCfYo0BwxsXqNm01IGEUdYcSSLTEv9YCik/edit?usp=sharing"",""เบิกจ่ายกองทุน!AU46"")"),0)</f>
        <v>0</v>
      </c>
      <c r="T77" s="255">
        <f ca="1">IF(Q77&gt;0,S77*100/Q77,0)</f>
        <v>0</v>
      </c>
      <c r="U77" s="255">
        <f ca="1">IF(R77&gt;0,S77*100/R77,0)</f>
        <v>0</v>
      </c>
    </row>
    <row r="78" spans="1:21" ht="18.75" hidden="1">
      <c r="A78" s="155"/>
      <c r="B78" s="50"/>
      <c r="C78" s="50"/>
      <c r="D78" s="51" t="s">
        <v>23</v>
      </c>
      <c r="E78" s="50"/>
      <c r="F78" s="50"/>
      <c r="G78" s="52"/>
      <c r="H78" s="165" t="s">
        <v>14</v>
      </c>
      <c r="I78" s="163"/>
      <c r="J78" s="163"/>
      <c r="K78" s="164"/>
      <c r="L78" s="256">
        <f ca="1">L79+L80</f>
        <v>0</v>
      </c>
      <c r="M78" s="255">
        <f ca="1">M79+M80</f>
        <v>0</v>
      </c>
      <c r="N78" s="255">
        <f ca="1">N79+N80</f>
        <v>0</v>
      </c>
      <c r="O78" s="255">
        <f ca="1">IF(L78&gt;0,N78*100/L78,0)</f>
        <v>0</v>
      </c>
      <c r="P78" s="255">
        <f ca="1">IF(M78&gt;0,N78*100/M78,0)</f>
        <v>0</v>
      </c>
      <c r="Q78" s="255">
        <f>Q79+Q80</f>
        <v>0</v>
      </c>
      <c r="R78" s="255">
        <f>R79+R80</f>
        <v>0</v>
      </c>
      <c r="S78" s="255">
        <f>S79+S80</f>
        <v>0</v>
      </c>
      <c r="T78" s="255">
        <f>IF(Q78&gt;0,S78*100/Q78,0)</f>
        <v>0</v>
      </c>
      <c r="U78" s="255">
        <f>IF(R78&gt;0,S78*100/R78,0)</f>
        <v>0</v>
      </c>
    </row>
    <row r="79" spans="1:21" ht="18.75" hidden="1">
      <c r="A79" s="155"/>
      <c r="B79" s="50"/>
      <c r="C79" s="50"/>
      <c r="D79" s="50"/>
      <c r="E79" s="186" t="s">
        <v>20</v>
      </c>
      <c r="F79" s="50"/>
      <c r="G79" s="52"/>
      <c r="H79" s="189" t="s">
        <v>14</v>
      </c>
      <c r="I79" s="163"/>
      <c r="J79" s="163"/>
      <c r="K79" s="164"/>
      <c r="L79" s="103">
        <v>0</v>
      </c>
      <c r="M79" s="255">
        <v>0</v>
      </c>
      <c r="N79" s="255">
        <v>0</v>
      </c>
      <c r="O79" s="102">
        <f>IF(L79&gt;0,N79*100/L79,0)</f>
        <v>0</v>
      </c>
      <c r="P79" s="102">
        <f>IF(M79&gt;0,N79*100/M79,0)</f>
        <v>0</v>
      </c>
      <c r="Q79" s="102">
        <v>0</v>
      </c>
      <c r="R79" s="255">
        <v>0</v>
      </c>
      <c r="S79" s="255">
        <v>0</v>
      </c>
      <c r="T79" s="102">
        <f>IF(Q79&gt;0,S79*100/Q79,0)</f>
        <v>0</v>
      </c>
      <c r="U79" s="102">
        <f>IF(R79&gt;0,S79*100/R79,0)</f>
        <v>0</v>
      </c>
    </row>
    <row r="80" spans="1:21" ht="18.75" hidden="1">
      <c r="A80" s="155"/>
      <c r="B80" s="50"/>
      <c r="C80" s="50"/>
      <c r="D80" s="50"/>
      <c r="E80" s="58" t="s">
        <v>21</v>
      </c>
      <c r="F80" s="50"/>
      <c r="G80" s="52"/>
      <c r="H80" s="165" t="s">
        <v>14</v>
      </c>
      <c r="I80" s="163"/>
      <c r="J80" s="163"/>
      <c r="K80" s="164"/>
      <c r="L80" s="256">
        <f ca="1">IFERROR(__xludf.DUMMYFUNCTION("IMPORTRANGE(""https://docs.google.com/spreadsheets/d/1-uDff_7J0KD5mKrp0Vvzr7lt3OU09vwQwhkpOPPYv2Y/edit?usp=sharing"",""งบพรบ!AP46"")"),0)</f>
        <v>0</v>
      </c>
      <c r="M80" s="255">
        <f ca="1">IFERROR(__xludf.DUMMYFUNCTION("IMPORTRANGE(""https://docs.google.com/spreadsheets/d/1-uDff_7J0KD5mKrp0Vvzr7lt3OU09vwQwhkpOPPYv2Y/edit?usp=sharing"",""งบพรบ!AS46"")"),0)</f>
        <v>0</v>
      </c>
      <c r="N80" s="255">
        <f ca="1">IFERROR(__xludf.DUMMYFUNCTION("IMPORTRANGE(""https://docs.google.com/spreadsheets/d/1-uDff_7J0KD5mKrp0Vvzr7lt3OU09vwQwhkpOPPYv2Y/edit?usp=sharing"",""งบพรบ!AU46"")"),0)</f>
        <v>0</v>
      </c>
      <c r="O80" s="255">
        <f ca="1">IF(L80&gt;0,N80*100/L80,0)</f>
        <v>0</v>
      </c>
      <c r="P80" s="255">
        <f ca="1">IF(M80&gt;0,N80*100/M80,0)</f>
        <v>0</v>
      </c>
      <c r="Q80" s="255">
        <v>0</v>
      </c>
      <c r="R80" s="255">
        <v>0</v>
      </c>
      <c r="S80" s="255">
        <v>0</v>
      </c>
      <c r="T80" s="255">
        <f>IF(Q80&gt;0,S80*100/Q80,0)</f>
        <v>0</v>
      </c>
      <c r="U80" s="255">
        <f>IF(R80&gt;0,S80*100/R80,0)</f>
        <v>0</v>
      </c>
    </row>
    <row r="81" spans="1:21" ht="19.5" hidden="1">
      <c r="A81" s="166"/>
      <c r="B81" s="167"/>
      <c r="C81" s="156" t="s">
        <v>18</v>
      </c>
      <c r="D81" s="566" t="s">
        <v>38</v>
      </c>
      <c r="E81" s="169"/>
      <c r="F81" s="169"/>
      <c r="G81" s="170"/>
      <c r="H81" s="171"/>
      <c r="I81" s="163"/>
      <c r="J81" s="163"/>
      <c r="K81" s="164"/>
      <c r="L81" s="172"/>
      <c r="M81" s="164"/>
      <c r="N81" s="164"/>
      <c r="O81" s="164"/>
      <c r="P81" s="164"/>
      <c r="Q81" s="164"/>
      <c r="R81" s="164"/>
      <c r="S81" s="164"/>
      <c r="T81" s="164"/>
      <c r="U81" s="164"/>
    </row>
    <row r="82" spans="1:21" ht="19.5" hidden="1">
      <c r="A82" s="166"/>
      <c r="B82" s="167"/>
      <c r="C82" s="167"/>
      <c r="D82" s="173" t="s">
        <v>39</v>
      </c>
      <c r="E82" s="174"/>
      <c r="F82" s="174"/>
      <c r="G82" s="171"/>
      <c r="H82" s="175" t="s">
        <v>34</v>
      </c>
      <c r="I82" s="373">
        <f ca="1">I84+I86+I88</f>
        <v>0</v>
      </c>
      <c r="J82" s="373">
        <f>J84+J86+J88</f>
        <v>0</v>
      </c>
      <c r="K82" s="642">
        <f ca="1">IF(I82&gt;0,J82*100/I82,0)</f>
        <v>0</v>
      </c>
      <c r="L82" s="172"/>
      <c r="M82" s="164"/>
      <c r="N82" s="164"/>
      <c r="O82" s="164"/>
      <c r="P82" s="164"/>
      <c r="Q82" s="164"/>
      <c r="R82" s="164"/>
      <c r="S82" s="164"/>
      <c r="T82" s="164"/>
      <c r="U82" s="164"/>
    </row>
    <row r="83" spans="1:21" ht="19.5" hidden="1">
      <c r="A83" s="166"/>
      <c r="B83" s="167"/>
      <c r="C83" s="167"/>
      <c r="D83" s="167"/>
      <c r="E83" s="174"/>
      <c r="F83" s="174"/>
      <c r="G83" s="171"/>
      <c r="H83" s="175" t="s">
        <v>35</v>
      </c>
      <c r="I83" s="373">
        <f ca="1">I85+I87+I89</f>
        <v>0</v>
      </c>
      <c r="J83" s="373">
        <f>J85+J87+J89</f>
        <v>0</v>
      </c>
      <c r="K83" s="642">
        <f ca="1">IF(I83&gt;0,J83*100/I83,0)</f>
        <v>0</v>
      </c>
      <c r="L83" s="172"/>
      <c r="M83" s="164"/>
      <c r="N83" s="164"/>
      <c r="O83" s="164"/>
      <c r="P83" s="164"/>
      <c r="Q83" s="164"/>
      <c r="R83" s="164"/>
      <c r="S83" s="164"/>
      <c r="T83" s="164"/>
      <c r="U83" s="164"/>
    </row>
    <row r="84" spans="1:21" ht="18.75" hidden="1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641">
        <f ca="1">IFERROR(__xludf.DUMMYFUNCTION("IMPORTRANGE(""https://docs.google.com/spreadsheets/d/1eHaY18a8A9IcSdp1K8H6x8fbOy06t2VsZHhMHf-1x7Y/edit?usp=sharing"",""แผน!H46"")"),0)</f>
        <v>0</v>
      </c>
      <c r="J84" s="467">
        <v>0</v>
      </c>
      <c r="K84" s="565">
        <f ca="1">IF(I84&gt;0,J84*100/I84,0)</f>
        <v>0</v>
      </c>
      <c r="L84" s="172"/>
      <c r="M84" s="164"/>
      <c r="N84" s="164"/>
      <c r="O84" s="164"/>
      <c r="P84" s="164"/>
      <c r="Q84" s="164"/>
      <c r="R84" s="164"/>
      <c r="S84" s="164"/>
      <c r="T84" s="164"/>
      <c r="U84" s="164"/>
    </row>
    <row r="85" spans="1:21" ht="18.75" hidden="1">
      <c r="A85" s="166"/>
      <c r="B85" s="167"/>
      <c r="C85" s="167"/>
      <c r="D85" s="167"/>
      <c r="E85" s="174"/>
      <c r="F85" s="174"/>
      <c r="G85" s="171"/>
      <c r="H85" s="179" t="s">
        <v>35</v>
      </c>
      <c r="I85" s="641">
        <f ca="1">IFERROR(__xludf.DUMMYFUNCTION("IMPORTRANGE(""https://docs.google.com/spreadsheets/d/1eHaY18a8A9IcSdp1K8H6x8fbOy06t2VsZHhMHf-1x7Y/edit?usp=sharing"",""แผน!I46"")"),0)</f>
        <v>0</v>
      </c>
      <c r="J85" s="467">
        <v>0</v>
      </c>
      <c r="K85" s="565">
        <f ca="1">IF(I85&gt;0,J85*100/I85,0)</f>
        <v>0</v>
      </c>
      <c r="L85" s="172"/>
      <c r="M85" s="164"/>
      <c r="N85" s="164"/>
      <c r="O85" s="164"/>
      <c r="P85" s="164"/>
      <c r="Q85" s="164"/>
      <c r="R85" s="164"/>
      <c r="S85" s="164"/>
      <c r="T85" s="164"/>
      <c r="U85" s="164"/>
    </row>
    <row r="86" spans="1:21" ht="18.75" hidden="1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641">
        <f ca="1">IFERROR(__xludf.DUMMYFUNCTION("IMPORTRANGE(""https://docs.google.com/spreadsheets/d/1eHaY18a8A9IcSdp1K8H6x8fbOy06t2VsZHhMHf-1x7Y/edit?usp=sharing"",""แผน!F46"")"),0)</f>
        <v>0</v>
      </c>
      <c r="J86" s="467">
        <v>0</v>
      </c>
      <c r="K86" s="565">
        <f ca="1">IF(I86&gt;0,J86*100/I86,0)</f>
        <v>0</v>
      </c>
      <c r="L86" s="172"/>
      <c r="M86" s="164"/>
      <c r="N86" s="164"/>
      <c r="O86" s="164"/>
      <c r="P86" s="164"/>
      <c r="Q86" s="164"/>
      <c r="R86" s="164"/>
      <c r="S86" s="164"/>
      <c r="T86" s="164"/>
      <c r="U86" s="164"/>
    </row>
    <row r="87" spans="1:21" ht="18.75" hidden="1">
      <c r="A87" s="166"/>
      <c r="B87" s="167"/>
      <c r="C87" s="167"/>
      <c r="D87" s="167"/>
      <c r="E87" s="174"/>
      <c r="F87" s="174"/>
      <c r="G87" s="171"/>
      <c r="H87" s="179" t="s">
        <v>35</v>
      </c>
      <c r="I87" s="641">
        <f ca="1">IFERROR(__xludf.DUMMYFUNCTION("IMPORTRANGE(""https://docs.google.com/spreadsheets/d/1eHaY18a8A9IcSdp1K8H6x8fbOy06t2VsZHhMHf-1x7Y/edit?usp=sharing"",""แผน!G46"")"),0)</f>
        <v>0</v>
      </c>
      <c r="J87" s="467">
        <v>0</v>
      </c>
      <c r="K87" s="565">
        <f ca="1">IF(I87&gt;0,J87*100/I87,0)</f>
        <v>0</v>
      </c>
      <c r="L87" s="172"/>
      <c r="M87" s="164"/>
      <c r="N87" s="164"/>
      <c r="O87" s="164"/>
      <c r="P87" s="164"/>
      <c r="Q87" s="164"/>
      <c r="R87" s="164"/>
      <c r="S87" s="164"/>
      <c r="T87" s="164"/>
      <c r="U87" s="164"/>
    </row>
    <row r="88" spans="1:21" ht="18.75" hidden="1">
      <c r="A88" s="166"/>
      <c r="B88" s="167"/>
      <c r="C88" s="167"/>
      <c r="D88" s="167"/>
      <c r="E88" s="178" t="s">
        <v>42</v>
      </c>
      <c r="F88" s="174"/>
      <c r="G88" s="171"/>
      <c r="H88" s="179" t="s">
        <v>34</v>
      </c>
      <c r="I88" s="641">
        <f ca="1">IFERROR(__xludf.DUMMYFUNCTION("IMPORTRANGE(""https://docs.google.com/spreadsheets/d/1eHaY18a8A9IcSdp1K8H6x8fbOy06t2VsZHhMHf-1x7Y/edit?usp=sharing"",""แผน!D46"")"),0)</f>
        <v>0</v>
      </c>
      <c r="J88" s="467">
        <v>0</v>
      </c>
      <c r="K88" s="565">
        <f ca="1">IF(I88&gt;0,J88*100/I88,0)</f>
        <v>0</v>
      </c>
      <c r="L88" s="172"/>
      <c r="M88" s="164"/>
      <c r="N88" s="164"/>
      <c r="O88" s="164"/>
      <c r="P88" s="164"/>
      <c r="Q88" s="164"/>
      <c r="R88" s="164"/>
      <c r="S88" s="164"/>
      <c r="T88" s="164"/>
      <c r="U88" s="164"/>
    </row>
    <row r="89" spans="1:21" ht="18.75" hidden="1">
      <c r="A89" s="166"/>
      <c r="B89" s="167"/>
      <c r="C89" s="167"/>
      <c r="D89" s="167"/>
      <c r="E89" s="174"/>
      <c r="F89" s="174"/>
      <c r="G89" s="171"/>
      <c r="H89" s="179" t="s">
        <v>35</v>
      </c>
      <c r="I89" s="641">
        <f ca="1">IFERROR(__xludf.DUMMYFUNCTION("IMPORTRANGE(""https://docs.google.com/spreadsheets/d/1eHaY18a8A9IcSdp1K8H6x8fbOy06t2VsZHhMHf-1x7Y/edit?usp=sharing"",""แผน!E46"")"),0)</f>
        <v>0</v>
      </c>
      <c r="J89" s="467">
        <v>0</v>
      </c>
      <c r="K89" s="565">
        <f ca="1">IF(I89&gt;0,J89*100/I89,0)</f>
        <v>0</v>
      </c>
      <c r="L89" s="172"/>
      <c r="M89" s="164"/>
      <c r="N89" s="164"/>
      <c r="O89" s="164"/>
      <c r="P89" s="164"/>
      <c r="Q89" s="164"/>
      <c r="R89" s="164"/>
      <c r="S89" s="164"/>
      <c r="T89" s="164"/>
      <c r="U89" s="164"/>
    </row>
    <row r="90" spans="1:21" ht="18.75" hidden="1">
      <c r="A90" s="166"/>
      <c r="B90" s="167"/>
      <c r="C90" s="167"/>
      <c r="D90" s="173" t="s">
        <v>43</v>
      </c>
      <c r="E90" s="174"/>
      <c r="F90" s="174"/>
      <c r="G90" s="171"/>
      <c r="H90" s="183" t="s">
        <v>34</v>
      </c>
      <c r="I90" s="641">
        <f ca="1">IFERROR(__xludf.DUMMYFUNCTION("IMPORTRANGE(""https://docs.google.com/spreadsheets/d/1eHaY18a8A9IcSdp1K8H6x8fbOy06t2VsZHhMHf-1x7Y/edit?usp=sharing"",""แผน!J46"")"),0)</f>
        <v>0</v>
      </c>
      <c r="J90" s="467">
        <v>0</v>
      </c>
      <c r="K90" s="565">
        <f ca="1">IF(I90&gt;0,J90*100/I90,0)</f>
        <v>0</v>
      </c>
      <c r="L90" s="172"/>
      <c r="M90" s="164"/>
      <c r="N90" s="164"/>
      <c r="O90" s="164"/>
      <c r="P90" s="164"/>
      <c r="Q90" s="164"/>
      <c r="R90" s="164"/>
      <c r="S90" s="164"/>
      <c r="T90" s="164"/>
      <c r="U90" s="164"/>
    </row>
    <row r="91" spans="1:21" ht="19.5" hidden="1">
      <c r="A91" s="143" t="s">
        <v>44</v>
      </c>
      <c r="B91" s="144"/>
      <c r="C91" s="145"/>
      <c r="D91" s="144"/>
      <c r="E91" s="144"/>
      <c r="F91" s="144"/>
      <c r="G91" s="146"/>
      <c r="H91" s="146"/>
      <c r="I91" s="147"/>
      <c r="J91" s="147"/>
      <c r="K91" s="148"/>
      <c r="L91" s="149"/>
      <c r="M91" s="148"/>
      <c r="N91" s="148"/>
      <c r="O91" s="148"/>
      <c r="P91" s="148"/>
      <c r="Q91" s="148"/>
      <c r="R91" s="148"/>
      <c r="S91" s="148"/>
      <c r="T91" s="148"/>
      <c r="U91" s="148"/>
    </row>
    <row r="92" spans="1:21" ht="19.5" hidden="1">
      <c r="A92" s="150"/>
      <c r="B92" s="35" t="s">
        <v>45</v>
      </c>
      <c r="C92" s="34"/>
      <c r="D92" s="151"/>
      <c r="E92" s="34"/>
      <c r="F92" s="34"/>
      <c r="G92" s="37"/>
      <c r="H92" s="152" t="s">
        <v>46</v>
      </c>
      <c r="I92" s="721">
        <f ca="1">I108</f>
        <v>0</v>
      </c>
      <c r="J92" s="721">
        <f>J108</f>
        <v>0</v>
      </c>
      <c r="K92" s="720">
        <f ca="1">IF(I92&gt;0,J92*100/I92,0)</f>
        <v>0</v>
      </c>
      <c r="L92" s="154"/>
      <c r="M92" s="40"/>
      <c r="N92" s="40"/>
      <c r="O92" s="40"/>
      <c r="P92" s="40"/>
      <c r="Q92" s="40"/>
      <c r="R92" s="40"/>
      <c r="S92" s="40"/>
      <c r="T92" s="40"/>
      <c r="U92" s="40"/>
    </row>
    <row r="93" spans="1:21" ht="19.5" hidden="1">
      <c r="A93" s="150"/>
      <c r="B93" s="34"/>
      <c r="C93" s="34"/>
      <c r="D93" s="151"/>
      <c r="E93" s="34"/>
      <c r="F93" s="34"/>
      <c r="G93" s="37"/>
      <c r="H93" s="152" t="s">
        <v>35</v>
      </c>
      <c r="I93" s="721">
        <f ca="1">I109</f>
        <v>0</v>
      </c>
      <c r="J93" s="721">
        <f>J109</f>
        <v>0</v>
      </c>
      <c r="K93" s="720">
        <f ca="1">IF(I93&gt;0,J93*100/I93,0)</f>
        <v>0</v>
      </c>
      <c r="L93" s="154"/>
      <c r="M93" s="40"/>
      <c r="N93" s="40"/>
      <c r="O93" s="40"/>
      <c r="P93" s="40"/>
      <c r="Q93" s="40"/>
      <c r="R93" s="40"/>
      <c r="S93" s="40"/>
      <c r="T93" s="40"/>
      <c r="U93" s="40"/>
    </row>
    <row r="94" spans="1:21" ht="19.5" hidden="1">
      <c r="A94" s="155"/>
      <c r="B94" s="50"/>
      <c r="C94" s="156" t="s">
        <v>18</v>
      </c>
      <c r="D94" s="575" t="s">
        <v>19</v>
      </c>
      <c r="E94" s="50"/>
      <c r="F94" s="50"/>
      <c r="G94" s="52"/>
      <c r="H94" s="158" t="s">
        <v>14</v>
      </c>
      <c r="I94" s="54"/>
      <c r="J94" s="54"/>
      <c r="K94" s="55"/>
      <c r="L94" s="541">
        <f ca="1">L95+L96</f>
        <v>0</v>
      </c>
      <c r="M94" s="540">
        <f ca="1">M95+M96</f>
        <v>0</v>
      </c>
      <c r="N94" s="540">
        <f ca="1">N95+N96</f>
        <v>0</v>
      </c>
      <c r="O94" s="540">
        <f ca="1">IF(L94&gt;0,N94*100/L94,0)</f>
        <v>0</v>
      </c>
      <c r="P94" s="540">
        <f ca="1">IF(M94&gt;0,N94*100/M94,0)</f>
        <v>0</v>
      </c>
      <c r="Q94" s="540">
        <f ca="1">Q95+Q96</f>
        <v>0</v>
      </c>
      <c r="R94" s="540">
        <f ca="1">R95+R96</f>
        <v>0</v>
      </c>
      <c r="S94" s="540">
        <f ca="1">S95+S96</f>
        <v>0</v>
      </c>
      <c r="T94" s="540">
        <f ca="1">IF(Q94&gt;0,S94*100/Q94,0)</f>
        <v>0</v>
      </c>
      <c r="U94" s="540">
        <f ca="1">IF(R94&gt;0,S94*100/R94,0)</f>
        <v>0</v>
      </c>
    </row>
    <row r="95" spans="1:21" ht="18.75" hidden="1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103">
        <f>L98+L101</f>
        <v>0</v>
      </c>
      <c r="M95" s="102">
        <f>M98+M101</f>
        <v>0</v>
      </c>
      <c r="N95" s="102">
        <f>N98+N101</f>
        <v>0</v>
      </c>
      <c r="O95" s="102">
        <f>IF(L95&gt;0,N95*100/L95,0)</f>
        <v>0</v>
      </c>
      <c r="P95" s="102">
        <f>IF(M95&gt;0,N95*100/M95,0)</f>
        <v>0</v>
      </c>
      <c r="Q95" s="102">
        <f>Q98+Q101</f>
        <v>0</v>
      </c>
      <c r="R95" s="102">
        <f>R98+R101</f>
        <v>0</v>
      </c>
      <c r="S95" s="102">
        <f>S98+S101</f>
        <v>0</v>
      </c>
      <c r="T95" s="102">
        <f>IF(Q95&gt;0,S95*100/Q95,0)</f>
        <v>0</v>
      </c>
      <c r="U95" s="102">
        <f>IF(R95&gt;0,S95*100/R95,0)</f>
        <v>0</v>
      </c>
    </row>
    <row r="96" spans="1:21" ht="18.75" hidden="1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256">
        <f ca="1">L99+L102</f>
        <v>0</v>
      </c>
      <c r="M96" s="255">
        <f ca="1">M99+M102</f>
        <v>0</v>
      </c>
      <c r="N96" s="255">
        <f ca="1">N99+N102</f>
        <v>0</v>
      </c>
      <c r="O96" s="255">
        <f ca="1">IF(L96&gt;0,N96*100/L96,0)</f>
        <v>0</v>
      </c>
      <c r="P96" s="255">
        <f ca="1">IF(M96&gt;0,N96*100/M96,0)</f>
        <v>0</v>
      </c>
      <c r="Q96" s="255">
        <f ca="1">Q99+Q102</f>
        <v>0</v>
      </c>
      <c r="R96" s="255">
        <f ca="1">R99+R102</f>
        <v>0</v>
      </c>
      <c r="S96" s="255">
        <f ca="1">S99+S102</f>
        <v>0</v>
      </c>
      <c r="T96" s="255">
        <f ca="1">IF(Q96&gt;0,S96*100/Q96,0)</f>
        <v>0</v>
      </c>
      <c r="U96" s="255">
        <f ca="1">IF(R96&gt;0,S96*100/R96,0)</f>
        <v>0</v>
      </c>
    </row>
    <row r="97" spans="1:21" ht="18.75" hidden="1">
      <c r="A97" s="155"/>
      <c r="B97" s="50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256">
        <f ca="1">L98+L99</f>
        <v>0</v>
      </c>
      <c r="M97" s="255">
        <f ca="1">M98+M99</f>
        <v>0</v>
      </c>
      <c r="N97" s="255">
        <f ca="1">N98+N99</f>
        <v>0</v>
      </c>
      <c r="O97" s="255">
        <f ca="1">IF(L97&gt;0,N97*100/L97,0)</f>
        <v>0</v>
      </c>
      <c r="P97" s="255">
        <f ca="1">IF(M97&gt;0,N97*100/M97,0)</f>
        <v>0</v>
      </c>
      <c r="Q97" s="255">
        <f ca="1">Q98+Q99</f>
        <v>0</v>
      </c>
      <c r="R97" s="255">
        <f ca="1">R98+R99</f>
        <v>0</v>
      </c>
      <c r="S97" s="255">
        <f ca="1">S98+S99</f>
        <v>0</v>
      </c>
      <c r="T97" s="255">
        <f ca="1">IF(Q97&gt;0,S97*100/Q97,0)</f>
        <v>0</v>
      </c>
      <c r="U97" s="255">
        <f ca="1">IF(R97&gt;0,S97*100/R97,0)</f>
        <v>0</v>
      </c>
    </row>
    <row r="98" spans="1:21" ht="18.75" hidden="1">
      <c r="A98" s="155"/>
      <c r="B98" s="50"/>
      <c r="C98" s="50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103">
        <v>0</v>
      </c>
      <c r="M98" s="102">
        <v>0</v>
      </c>
      <c r="N98" s="102">
        <v>0</v>
      </c>
      <c r="O98" s="102">
        <f>IF(L98&gt;0,N98*100/L98,0)</f>
        <v>0</v>
      </c>
      <c r="P98" s="102">
        <f>IF(M98&gt;0,N98*100/M98,0)</f>
        <v>0</v>
      </c>
      <c r="Q98" s="102">
        <v>0</v>
      </c>
      <c r="R98" s="102">
        <v>0</v>
      </c>
      <c r="S98" s="102">
        <v>0</v>
      </c>
      <c r="T98" s="102">
        <f>IF(Q98&gt;0,S98*100/Q98,0)</f>
        <v>0</v>
      </c>
      <c r="U98" s="102">
        <f>IF(R98&gt;0,S98*100/R98,0)</f>
        <v>0</v>
      </c>
    </row>
    <row r="99" spans="1:21" ht="18.75" hidden="1">
      <c r="A99" s="155"/>
      <c r="B99" s="50"/>
      <c r="C99" s="50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256">
        <f ca="1">IFERROR(__xludf.DUMMYFUNCTION("IMPORTRANGE(""https://docs.google.com/spreadsheets/d/1-uDff_7J0KD5mKrp0Vvzr7lt3OU09vwQwhkpOPPYv2Y/edit?usp=sharing"",""งบพรบ!AW46"")"),0)</f>
        <v>0</v>
      </c>
      <c r="M99" s="255">
        <f ca="1">IFERROR(__xludf.DUMMYFUNCTION("IMPORTRANGE(""https://docs.google.com/spreadsheets/d/1-uDff_7J0KD5mKrp0Vvzr7lt3OU09vwQwhkpOPPYv2Y/edit?usp=sharing"",""งบพรบ!BB46"")"),0)</f>
        <v>0</v>
      </c>
      <c r="N99" s="255">
        <f ca="1">IFERROR(__xludf.DUMMYFUNCTION("IMPORTRANGE(""https://docs.google.com/spreadsheets/d/1-uDff_7J0KD5mKrp0Vvzr7lt3OU09vwQwhkpOPPYv2Y/edit?usp=sharing"",""งบพรบ!BD46"")"),0)</f>
        <v>0</v>
      </c>
      <c r="O99" s="255">
        <f ca="1">IF(L99&gt;0,N99*100/L99,0)</f>
        <v>0</v>
      </c>
      <c r="P99" s="255">
        <f ca="1">IF(M99&gt;0,N99*100/M99,0)</f>
        <v>0</v>
      </c>
      <c r="Q99" s="255">
        <f ca="1">IFERROR(__xludf.DUMMYFUNCTION("IMPORTRANGE(""https://docs.google.com/spreadsheets/d/1ItG2mGa2ceCfYo0BwxsXqNm01IGEUdYcSSLTEv9YCik/edit?usp=sharing"",""เบิกจ่ายกองทุน!AD46"")"),0)</f>
        <v>0</v>
      </c>
      <c r="R99" s="255">
        <f ca="1">IFERROR(__xludf.DUMMYFUNCTION("IMPORTRANGE(""https://docs.google.com/spreadsheets/d/1ItG2mGa2ceCfYo0BwxsXqNm01IGEUdYcSSLTEv9YCik/edit?usp=sharing"",""เบิกจ่ายกองทุน!AE46"")"),0)</f>
        <v>0</v>
      </c>
      <c r="S99" s="255">
        <f ca="1">IFERROR(__xludf.DUMMYFUNCTION("IMPORTRANGE(""https://docs.google.com/spreadsheets/d/1ItG2mGa2ceCfYo0BwxsXqNm01IGEUdYcSSLTEv9YCik/edit?usp=sharing"",""เบิกจ่ายกองทุน!AF46"")"),0)</f>
        <v>0</v>
      </c>
      <c r="T99" s="255">
        <f ca="1">IF(Q99&gt;0,S99*100/Q99,0)</f>
        <v>0</v>
      </c>
      <c r="U99" s="255">
        <f ca="1">IF(R99&gt;0,S99*100/R99,0)</f>
        <v>0</v>
      </c>
    </row>
    <row r="100" spans="1:21" ht="18.75" hidden="1">
      <c r="A100" s="155"/>
      <c r="B100" s="50"/>
      <c r="C100" s="50"/>
      <c r="D100" s="51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256">
        <f ca="1">L101+L102</f>
        <v>0</v>
      </c>
      <c r="M100" s="255">
        <f ca="1">M101+M102</f>
        <v>0</v>
      </c>
      <c r="N100" s="255">
        <f ca="1">N101+N102</f>
        <v>0</v>
      </c>
      <c r="O100" s="255">
        <f ca="1">IF(L100&gt;0,N100*100/L100,0)</f>
        <v>0</v>
      </c>
      <c r="P100" s="255">
        <f ca="1">IF(M100&gt;0,N100*100/M100,0)</f>
        <v>0</v>
      </c>
      <c r="Q100" s="255">
        <f>Q101+Q102</f>
        <v>0</v>
      </c>
      <c r="R100" s="255">
        <f>R101+R102</f>
        <v>0</v>
      </c>
      <c r="S100" s="255">
        <f>S101+S102</f>
        <v>0</v>
      </c>
      <c r="T100" s="255">
        <f>IF(Q100&gt;0,S100*100/Q100,0)</f>
        <v>0</v>
      </c>
      <c r="U100" s="255">
        <f>IF(R100&gt;0,S100*100/R100,0)</f>
        <v>0</v>
      </c>
    </row>
    <row r="101" spans="1:21" ht="18.75" hidden="1">
      <c r="A101" s="155"/>
      <c r="B101" s="50"/>
      <c r="C101" s="50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103">
        <v>0</v>
      </c>
      <c r="M101" s="102">
        <v>0</v>
      </c>
      <c r="N101" s="102">
        <v>0</v>
      </c>
      <c r="O101" s="102">
        <f>IF(L101&gt;0,N101*100/L101,0)</f>
        <v>0</v>
      </c>
      <c r="P101" s="102">
        <f>IF(M101&gt;0,N101*100/M101,0)</f>
        <v>0</v>
      </c>
      <c r="Q101" s="102">
        <v>0</v>
      </c>
      <c r="R101" s="102">
        <v>0</v>
      </c>
      <c r="S101" s="102">
        <v>0</v>
      </c>
      <c r="T101" s="102">
        <f>IF(Q101&gt;0,S101*100/Q101,0)</f>
        <v>0</v>
      </c>
      <c r="U101" s="102">
        <f>IF(R101&gt;0,S101*100/R101,0)</f>
        <v>0</v>
      </c>
    </row>
    <row r="102" spans="1:21" ht="18.75" hidden="1">
      <c r="A102" s="155"/>
      <c r="B102" s="50"/>
      <c r="C102" s="50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256">
        <f ca="1">IFERROR(__xludf.DUMMYFUNCTION("IMPORTRANGE(""https://docs.google.com/spreadsheets/d/1-uDff_7J0KD5mKrp0Vvzr7lt3OU09vwQwhkpOPPYv2Y/edit?usp=sharing"",""งบพรบ!AZ46"")"),0)</f>
        <v>0</v>
      </c>
      <c r="M102" s="255">
        <f ca="1">IFERROR(__xludf.DUMMYFUNCTION("IMPORTRANGE(""https://docs.google.com/spreadsheets/d/1-uDff_7J0KD5mKrp0Vvzr7lt3OU09vwQwhkpOPPYv2Y/edit?usp=sharing"",""งบพรบ!BC46"")"),0)</f>
        <v>0</v>
      </c>
      <c r="N102" s="255">
        <f ca="1">IFERROR(__xludf.DUMMYFUNCTION("IMPORTRANGE(""https://docs.google.com/spreadsheets/d/1-uDff_7J0KD5mKrp0Vvzr7lt3OU09vwQwhkpOPPYv2Y/edit?usp=sharing"",""งบพรบ!BE46"")"),0)</f>
        <v>0</v>
      </c>
      <c r="O102" s="255">
        <f ca="1">IF(L102&gt;0,N102*100/L102,0)</f>
        <v>0</v>
      </c>
      <c r="P102" s="255">
        <f ca="1">IF(M102&gt;0,N102*100/M102,0)</f>
        <v>0</v>
      </c>
      <c r="Q102" s="255">
        <v>0</v>
      </c>
      <c r="R102" s="255">
        <v>0</v>
      </c>
      <c r="S102" s="255">
        <v>0</v>
      </c>
      <c r="T102" s="255">
        <f>IF(Q102&gt;0,S102*100/Q102,0)</f>
        <v>0</v>
      </c>
      <c r="U102" s="255">
        <f>IF(R102&gt;0,S102*100/R102,0)</f>
        <v>0</v>
      </c>
    </row>
    <row r="103" spans="1:21" ht="19.5" hidden="1">
      <c r="A103" s="166"/>
      <c r="B103" s="167"/>
      <c r="C103" s="156" t="s">
        <v>18</v>
      </c>
      <c r="D103" s="566" t="s">
        <v>38</v>
      </c>
      <c r="E103" s="169"/>
      <c r="F103" s="169"/>
      <c r="G103" s="170"/>
      <c r="H103" s="171"/>
      <c r="I103" s="163"/>
      <c r="J103" s="54"/>
      <c r="K103" s="55"/>
      <c r="L103" s="62"/>
      <c r="M103" s="55"/>
      <c r="N103" s="55"/>
      <c r="O103" s="164"/>
      <c r="P103" s="164"/>
      <c r="Q103" s="55"/>
      <c r="R103" s="55"/>
      <c r="S103" s="55"/>
      <c r="T103" s="164"/>
      <c r="U103" s="164"/>
    </row>
    <row r="104" spans="1:21" ht="12.75" hidden="1">
      <c r="A104" s="192"/>
      <c r="B104" s="193"/>
      <c r="C104" s="193"/>
      <c r="D104" s="22"/>
      <c r="E104" s="22"/>
      <c r="F104" s="22"/>
      <c r="G104" s="23"/>
      <c r="H104" s="23"/>
      <c r="I104" s="24"/>
      <c r="J104" s="24"/>
      <c r="K104" s="25"/>
      <c r="L104" s="26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2.75" hidden="1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6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2.75" hidden="1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9.5" hidden="1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62"/>
      <c r="M107" s="55"/>
      <c r="N107" s="55"/>
      <c r="O107" s="164"/>
      <c r="P107" s="164"/>
      <c r="Q107" s="55"/>
      <c r="R107" s="55"/>
      <c r="S107" s="55"/>
      <c r="T107" s="164"/>
      <c r="U107" s="164"/>
    </row>
    <row r="108" spans="1:21" ht="18.75" hidden="1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212">
        <f ca="1">IFERROR(__xludf.DUMMYFUNCTION("IMPORTRANGE(""https://docs.google.com/spreadsheets/d/1eHaY18a8A9IcSdp1K8H6x8fbOy06t2VsZHhMHf-1x7Y/edit?usp=sharing"",""แผน!N46"")"),0)</f>
        <v>0</v>
      </c>
      <c r="J108" s="467">
        <v>0</v>
      </c>
      <c r="K108" s="255">
        <f ca="1">IF(I108&gt;0,J108*100/I108,0)</f>
        <v>0</v>
      </c>
      <c r="L108" s="62"/>
      <c r="M108" s="55"/>
      <c r="N108" s="55"/>
      <c r="O108" s="164"/>
      <c r="P108" s="164"/>
      <c r="Q108" s="55"/>
      <c r="R108" s="55"/>
      <c r="S108" s="55"/>
      <c r="T108" s="164"/>
      <c r="U108" s="164"/>
    </row>
    <row r="109" spans="1:21" ht="18.75" hidden="1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212">
        <f ca="1">IFERROR(__xludf.DUMMYFUNCTION("IMPORTRANGE(""https://docs.google.com/spreadsheets/d/1eHaY18a8A9IcSdp1K8H6x8fbOy06t2VsZHhMHf-1x7Y/edit?usp=sharing"",""แผน!O46"")"),0)</f>
        <v>0</v>
      </c>
      <c r="J109" s="467">
        <v>0</v>
      </c>
      <c r="K109" s="255">
        <f ca="1">IF(I109&gt;0,J109*100/I109,0)</f>
        <v>0</v>
      </c>
      <c r="L109" s="62"/>
      <c r="M109" s="55"/>
      <c r="N109" s="55"/>
      <c r="O109" s="164"/>
      <c r="P109" s="164"/>
      <c r="Q109" s="55"/>
      <c r="R109" s="55"/>
      <c r="S109" s="55"/>
      <c r="T109" s="164"/>
      <c r="U109" s="164"/>
    </row>
    <row r="110" spans="1:21" ht="12.75" hidden="1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6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2.75" hidden="1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6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2.75" hidden="1">
      <c r="A112" s="192"/>
      <c r="B112" s="193"/>
      <c r="C112" s="193"/>
      <c r="D112" s="22"/>
      <c r="E112" s="22"/>
      <c r="F112" s="22"/>
      <c r="G112" s="23"/>
      <c r="H112" s="23"/>
      <c r="I112" s="24"/>
      <c r="J112" s="24"/>
      <c r="K112" s="25"/>
      <c r="L112" s="26"/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2.75" hidden="1">
      <c r="A113" s="192"/>
      <c r="B113" s="193"/>
      <c r="C113" s="193"/>
      <c r="D113" s="22"/>
      <c r="E113" s="22"/>
      <c r="F113" s="22"/>
      <c r="G113" s="23"/>
      <c r="H113" s="23"/>
      <c r="I113" s="24">
        <v>0</v>
      </c>
      <c r="J113" s="24">
        <v>0</v>
      </c>
      <c r="K113" s="25"/>
      <c r="L113" s="26"/>
      <c r="M113" s="25"/>
      <c r="N113" s="25"/>
      <c r="O113" s="25"/>
      <c r="P113" s="25"/>
      <c r="Q113" s="25"/>
      <c r="R113" s="25"/>
      <c r="S113" s="25"/>
      <c r="T113" s="25"/>
      <c r="U113" s="25"/>
    </row>
    <row r="114" spans="1:21" ht="18.75" hidden="1">
      <c r="A114" s="166"/>
      <c r="B114" s="167"/>
      <c r="C114" s="167"/>
      <c r="D114" s="178" t="s">
        <v>50</v>
      </c>
      <c r="E114" s="174"/>
      <c r="F114" s="174"/>
      <c r="G114" s="171"/>
      <c r="H114" s="179" t="s">
        <v>35</v>
      </c>
      <c r="I114" s="641">
        <f ca="1">IFERROR(__xludf.DUMMYFUNCTION("IMPORTRANGE(""https://docs.google.com/spreadsheets/d/1eHaY18a8A9IcSdp1K8H6x8fbOy06t2VsZHhMHf-1x7Y/edit?usp=sharing"",""แผน!R46"")"),0)</f>
        <v>0</v>
      </c>
      <c r="J114" s="467">
        <v>0</v>
      </c>
      <c r="K114" s="255">
        <f ca="1">IF(I114&gt;0,J114*100/I114,0)</f>
        <v>0</v>
      </c>
      <c r="L114" s="62"/>
      <c r="M114" s="55"/>
      <c r="N114" s="55"/>
      <c r="O114" s="164"/>
      <c r="P114" s="164"/>
      <c r="Q114" s="55"/>
      <c r="R114" s="55"/>
      <c r="S114" s="55"/>
      <c r="T114" s="164"/>
      <c r="U114" s="164"/>
    </row>
    <row r="115" spans="1:21" ht="19.5">
      <c r="A115" s="727" t="s">
        <v>51</v>
      </c>
      <c r="B115" s="724"/>
      <c r="C115" s="726"/>
      <c r="D115" s="725"/>
      <c r="E115" s="725"/>
      <c r="F115" s="725"/>
      <c r="G115" s="725"/>
      <c r="H115" s="724"/>
      <c r="I115" s="723"/>
      <c r="J115" s="723"/>
      <c r="K115" s="722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721">
        <f ca="1">I127</f>
        <v>55</v>
      </c>
      <c r="J116" s="721">
        <f>J127</f>
        <v>55</v>
      </c>
      <c r="K116" s="720">
        <f ca="1">IF(I116&gt;0,J116*100/I116,0)</f>
        <v>100</v>
      </c>
      <c r="L116" s="154"/>
      <c r="M116" s="40"/>
      <c r="N116" s="40"/>
      <c r="O116" s="40"/>
      <c r="P116" s="40"/>
      <c r="Q116" s="40"/>
      <c r="R116" s="40"/>
      <c r="S116" s="40"/>
      <c r="T116" s="40"/>
      <c r="U116" s="40"/>
    </row>
    <row r="117" spans="1:21" ht="19.5">
      <c r="A117" s="155"/>
      <c r="B117" s="188"/>
      <c r="C117" s="191" t="s">
        <v>18</v>
      </c>
      <c r="D117" s="575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541">
        <f ca="1">L118+L119</f>
        <v>0</v>
      </c>
      <c r="M117" s="540">
        <f ca="1">M118+M119</f>
        <v>0</v>
      </c>
      <c r="N117" s="540">
        <f ca="1">N118+N119</f>
        <v>0</v>
      </c>
      <c r="O117" s="540">
        <f ca="1">IF(L117&gt;0,N117*100/L117,0)</f>
        <v>0</v>
      </c>
      <c r="P117" s="540">
        <f ca="1">IF(M117&gt;0,N117*100/M117,0)</f>
        <v>0</v>
      </c>
      <c r="Q117" s="540">
        <f ca="1">Q118+Q119</f>
        <v>296720</v>
      </c>
      <c r="R117" s="540">
        <f ca="1">R118+R119</f>
        <v>296720</v>
      </c>
      <c r="S117" s="540">
        <f ca="1">S118+S119</f>
        <v>152933.25</v>
      </c>
      <c r="T117" s="540">
        <f ca="1">IF(Q117&gt;0,S117*100/Q117,0)</f>
        <v>51.541267861957401</v>
      </c>
      <c r="U117" s="540">
        <f ca="1">IF(R117&gt;0,S117*100/R117,0)</f>
        <v>51.541267861957401</v>
      </c>
    </row>
    <row r="118" spans="1:21" ht="18.75" hidden="1">
      <c r="A118" s="155"/>
      <c r="B118" s="188"/>
      <c r="C118" s="188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103">
        <f>L121+L124</f>
        <v>0</v>
      </c>
      <c r="M118" s="102">
        <f>M121+M124</f>
        <v>0</v>
      </c>
      <c r="N118" s="102">
        <f>N121+N124</f>
        <v>0</v>
      </c>
      <c r="O118" s="102">
        <f>IF(L118&gt;0,N118*100/L118,0)</f>
        <v>0</v>
      </c>
      <c r="P118" s="102">
        <f>IF(M118&gt;0,N118*100/M118,0)</f>
        <v>0</v>
      </c>
      <c r="Q118" s="102">
        <f>Q121+Q124</f>
        <v>0</v>
      </c>
      <c r="R118" s="102">
        <f>R121+R124</f>
        <v>0</v>
      </c>
      <c r="S118" s="102">
        <f>S121+S124</f>
        <v>0</v>
      </c>
      <c r="T118" s="102">
        <f>IF(Q118&gt;0,S118*100/Q118,0)</f>
        <v>0</v>
      </c>
      <c r="U118" s="102">
        <f>IF(R118&gt;0,S118*100/R118,0)</f>
        <v>0</v>
      </c>
    </row>
    <row r="119" spans="1:21" ht="18.75" hidden="1">
      <c r="A119" s="155"/>
      <c r="B119" s="188"/>
      <c r="C119" s="188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256">
        <f ca="1">L122+L125</f>
        <v>0</v>
      </c>
      <c r="M119" s="255">
        <f ca="1">M122+M125</f>
        <v>0</v>
      </c>
      <c r="N119" s="255">
        <f ca="1">N122+N125</f>
        <v>0</v>
      </c>
      <c r="O119" s="255">
        <f ca="1">IF(L119&gt;0,N119*100/L119,0)</f>
        <v>0</v>
      </c>
      <c r="P119" s="255">
        <f ca="1">IF(M119&gt;0,N119*100/M119,0)</f>
        <v>0</v>
      </c>
      <c r="Q119" s="255">
        <f ca="1">Q122+Q125</f>
        <v>296720</v>
      </c>
      <c r="R119" s="255">
        <f ca="1">R122+R125</f>
        <v>296720</v>
      </c>
      <c r="S119" s="255">
        <f ca="1">S122+S125</f>
        <v>152933.25</v>
      </c>
      <c r="T119" s="255">
        <f ca="1">IF(Q119&gt;0,S119*100/Q119,0)</f>
        <v>51.541267861957401</v>
      </c>
      <c r="U119" s="255">
        <f ca="1">IF(R119&gt;0,S119*100/R119,0)</f>
        <v>51.541267861957401</v>
      </c>
    </row>
    <row r="120" spans="1:21" ht="18.75">
      <c r="A120" s="155"/>
      <c r="B120" s="188"/>
      <c r="C120" s="202"/>
      <c r="D120" s="602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256">
        <f ca="1">L121+L122</f>
        <v>0</v>
      </c>
      <c r="M120" s="255">
        <f ca="1">M121+M122</f>
        <v>0</v>
      </c>
      <c r="N120" s="255">
        <f ca="1">N121+N122</f>
        <v>0</v>
      </c>
      <c r="O120" s="255">
        <f ca="1">IF(L120&gt;0,N120*100/L120,0)</f>
        <v>0</v>
      </c>
      <c r="P120" s="255">
        <f ca="1">IF(M120&gt;0,N120*100/M120,0)</f>
        <v>0</v>
      </c>
      <c r="Q120" s="255">
        <f ca="1">Q121+Q122</f>
        <v>296720</v>
      </c>
      <c r="R120" s="255">
        <f ca="1">R121+R122</f>
        <v>296720</v>
      </c>
      <c r="S120" s="255">
        <f ca="1">S121+S122</f>
        <v>152933.25</v>
      </c>
      <c r="T120" s="255">
        <f ca="1">IF(Q120&gt;0,S120*100/Q120,0)</f>
        <v>51.541267861957401</v>
      </c>
      <c r="U120" s="255">
        <f ca="1">IF(R120&gt;0,S120*100/R120,0)</f>
        <v>51.541267861957401</v>
      </c>
    </row>
    <row r="121" spans="1:21" ht="18.75" hidden="1">
      <c r="A121" s="155"/>
      <c r="B121" s="188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103">
        <v>0</v>
      </c>
      <c r="M121" s="102">
        <v>0</v>
      </c>
      <c r="N121" s="102">
        <v>0</v>
      </c>
      <c r="O121" s="102">
        <f>IF(L121&gt;0,N121*100/L121,0)</f>
        <v>0</v>
      </c>
      <c r="P121" s="102">
        <f>IF(M121&gt;0,N121*100/M121,0)</f>
        <v>0</v>
      </c>
      <c r="Q121" s="102">
        <v>0</v>
      </c>
      <c r="R121" s="102">
        <v>0</v>
      </c>
      <c r="S121" s="102">
        <v>0</v>
      </c>
      <c r="T121" s="102">
        <f>IF(Q121&gt;0,S121*100/Q121,0)</f>
        <v>0</v>
      </c>
      <c r="U121" s="102">
        <f>IF(R121&gt;0,S121*100/R121,0)</f>
        <v>0</v>
      </c>
    </row>
    <row r="122" spans="1:21" ht="18.75" hidden="1">
      <c r="A122" s="155"/>
      <c r="B122" s="188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256">
        <f ca="1">IFERROR(__xludf.DUMMYFUNCTION("IMPORTRANGE(""https://docs.google.com/spreadsheets/d/1-uDff_7J0KD5mKrp0Vvzr7lt3OU09vwQwhkpOPPYv2Y/edit?usp=sharing"",""งบพรบ!BG46"")"),0)</f>
        <v>0</v>
      </c>
      <c r="M122" s="255">
        <f ca="1">IFERROR(__xludf.DUMMYFUNCTION("IMPORTRANGE(""https://docs.google.com/spreadsheets/d/1-uDff_7J0KD5mKrp0Vvzr7lt3OU09vwQwhkpOPPYv2Y/edit?usp=sharing"",""งบพรบ!BL46"")"),0)</f>
        <v>0</v>
      </c>
      <c r="N122" s="255">
        <f ca="1">IFERROR(__xludf.DUMMYFUNCTION("IMPORTRANGE(""https://docs.google.com/spreadsheets/d/1-uDff_7J0KD5mKrp0Vvzr7lt3OU09vwQwhkpOPPYv2Y/edit?usp=sharing"",""งบพรบ!BN46"")"),0)</f>
        <v>0</v>
      </c>
      <c r="O122" s="255">
        <f ca="1">IF(L122&gt;0,N122*100/L122,0)</f>
        <v>0</v>
      </c>
      <c r="P122" s="255">
        <f ca="1">IF(M122&gt;0,N122*100/M122,0)</f>
        <v>0</v>
      </c>
      <c r="Q122" s="255">
        <f ca="1">IFERROR(__xludf.DUMMYFUNCTION("IMPORTRANGE(""https://docs.google.com/spreadsheets/d/1ItG2mGa2ceCfYo0BwxsXqNm01IGEUdYcSSLTEv9YCik/edit?usp=sharing"",""เบิกจ่ายกองทุน!R46"")"),296720)</f>
        <v>296720</v>
      </c>
      <c r="R122" s="255">
        <f ca="1">IFERROR(__xludf.DUMMYFUNCTION("IMPORTRANGE(""https://docs.google.com/spreadsheets/d/1ItG2mGa2ceCfYo0BwxsXqNm01IGEUdYcSSLTEv9YCik/edit?usp=sharing"",""เบิกจ่ายกองทุน!S46"")"),296720)</f>
        <v>296720</v>
      </c>
      <c r="S122" s="255">
        <f ca="1">IFERROR(__xludf.DUMMYFUNCTION("IMPORTRANGE(""https://docs.google.com/spreadsheets/d/1ItG2mGa2ceCfYo0BwxsXqNm01IGEUdYcSSLTEv9YCik/edit?usp=sharing"",""เบิกจ่ายกองทุน!T46"")"),152933.25)</f>
        <v>152933.25</v>
      </c>
      <c r="T122" s="255">
        <f ca="1">IF(Q122&gt;0,S122*100/Q122,0)</f>
        <v>51.541267861957401</v>
      </c>
      <c r="U122" s="255">
        <f ca="1">IF(R122&gt;0,S122*100/R122,0)</f>
        <v>51.541267861957401</v>
      </c>
    </row>
    <row r="123" spans="1:21" ht="18.75">
      <c r="A123" s="155"/>
      <c r="B123" s="50"/>
      <c r="C123" s="202"/>
      <c r="D123" s="602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256">
        <f ca="1">L124+L125</f>
        <v>0</v>
      </c>
      <c r="M123" s="255">
        <f ca="1">M124+M125</f>
        <v>0</v>
      </c>
      <c r="N123" s="255">
        <f ca="1">N124+N125</f>
        <v>0</v>
      </c>
      <c r="O123" s="255">
        <f ca="1">IF(L123&gt;0,N123*100/L123,0)</f>
        <v>0</v>
      </c>
      <c r="P123" s="255">
        <f ca="1">IF(M123&gt;0,N123*100/M123,0)</f>
        <v>0</v>
      </c>
      <c r="Q123" s="255">
        <f>Q124+Q125</f>
        <v>0</v>
      </c>
      <c r="R123" s="255">
        <f>R124+R125</f>
        <v>0</v>
      </c>
      <c r="S123" s="255">
        <f>S124+S125</f>
        <v>0</v>
      </c>
      <c r="T123" s="255">
        <f>IF(Q123&gt;0,S123*100/Q123,0)</f>
        <v>0</v>
      </c>
      <c r="U123" s="255">
        <f>IF(R123&gt;0,S123*100/R123,0)</f>
        <v>0</v>
      </c>
    </row>
    <row r="124" spans="1:21" ht="18.75" hidden="1">
      <c r="A124" s="155"/>
      <c r="B124" s="50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103">
        <v>0</v>
      </c>
      <c r="M124" s="102">
        <v>0</v>
      </c>
      <c r="N124" s="102">
        <v>0</v>
      </c>
      <c r="O124" s="102">
        <f>IF(L124&gt;0,N124*100/L124,0)</f>
        <v>0</v>
      </c>
      <c r="P124" s="102">
        <f>IF(M124&gt;0,N124*100/M124,0)</f>
        <v>0</v>
      </c>
      <c r="Q124" s="102">
        <v>0</v>
      </c>
      <c r="R124" s="102">
        <v>0</v>
      </c>
      <c r="S124" s="102">
        <v>0</v>
      </c>
      <c r="T124" s="102">
        <f>IF(Q124&gt;0,S124*100/Q124,0)</f>
        <v>0</v>
      </c>
      <c r="U124" s="102">
        <f>IF(R124&gt;0,S124*100/R124,0)</f>
        <v>0</v>
      </c>
    </row>
    <row r="125" spans="1:21" ht="18.75" hidden="1">
      <c r="A125" s="155"/>
      <c r="B125" s="50"/>
      <c r="C125" s="50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256">
        <f ca="1">IFERROR(__xludf.DUMMYFUNCTION("IMPORTRANGE(""https://docs.google.com/spreadsheets/d/1-uDff_7J0KD5mKrp0Vvzr7lt3OU09vwQwhkpOPPYv2Y/edit?usp=sharing"",""งบพรบ!BJ46"")"),0)</f>
        <v>0</v>
      </c>
      <c r="M125" s="255">
        <f ca="1">IFERROR(__xludf.DUMMYFUNCTION("IMPORTRANGE(""https://docs.google.com/spreadsheets/d/1-uDff_7J0KD5mKrp0Vvzr7lt3OU09vwQwhkpOPPYv2Y/edit?usp=sharing"",""งบพรบ!BM46"")"),0)</f>
        <v>0</v>
      </c>
      <c r="N125" s="255">
        <f ca="1">IFERROR(__xludf.DUMMYFUNCTION("IMPORTRANGE(""https://docs.google.com/spreadsheets/d/1-uDff_7J0KD5mKrp0Vvzr7lt3OU09vwQwhkpOPPYv2Y/edit?usp=sharing"",""งบพรบ!BO46"")"),0)</f>
        <v>0</v>
      </c>
      <c r="O125" s="255">
        <f ca="1">IF(L125&gt;0,N125*100/L125,0)</f>
        <v>0</v>
      </c>
      <c r="P125" s="255">
        <f ca="1">IF(M125&gt;0,N125*100/M125,0)</f>
        <v>0</v>
      </c>
      <c r="Q125" s="255">
        <v>0</v>
      </c>
      <c r="R125" s="255">
        <v>0</v>
      </c>
      <c r="S125" s="255">
        <v>0</v>
      </c>
      <c r="T125" s="255">
        <f>IF(Q125&gt;0,S125*100/Q125,0)</f>
        <v>0</v>
      </c>
      <c r="U125" s="255">
        <f>IF(R125&gt;0,S125*100/R125,0)</f>
        <v>0</v>
      </c>
    </row>
    <row r="126" spans="1:21" ht="19.5">
      <c r="A126" s="166"/>
      <c r="B126" s="167"/>
      <c r="C126" s="205" t="s">
        <v>18</v>
      </c>
      <c r="D126" s="566" t="s">
        <v>38</v>
      </c>
      <c r="E126" s="169"/>
      <c r="F126" s="169"/>
      <c r="G126" s="170"/>
      <c r="H126" s="206"/>
      <c r="I126" s="54"/>
      <c r="J126" s="54"/>
      <c r="K126" s="55"/>
      <c r="L126" s="62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212">
        <f ca="1">IFERROR(__xludf.DUMMYFUNCTION("IMPORTRANGE(""https://docs.google.com/spreadsheets/d/1eHaY18a8A9IcSdp1K8H6x8fbOy06t2VsZHhMHf-1x7Y/edit?usp=sharing"",""แผน!FF46"")"),55)</f>
        <v>55</v>
      </c>
      <c r="J127" s="467">
        <v>55</v>
      </c>
      <c r="K127" s="255">
        <f ca="1">IF(I127&gt;0,J127*100/I127,0)</f>
        <v>100</v>
      </c>
      <c r="L127" s="62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212">
        <f ca="1">IFERROR(__xludf.DUMMYFUNCTION("IMPORTRANGE(""https://docs.google.com/spreadsheets/d/1eHaY18a8A9IcSdp1K8H6x8fbOy06t2VsZHhMHf-1x7Y/edit?usp=sharing"",""แผน!FG46"")"),0)</f>
        <v>0</v>
      </c>
      <c r="J128" s="467">
        <v>0</v>
      </c>
      <c r="K128" s="255">
        <f ca="1">IF(I128&gt;0,J128*100/I128,0)</f>
        <v>0</v>
      </c>
      <c r="L128" s="62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212">
        <f ca="1">IFERROR(__xludf.DUMMYFUNCTION("IMPORTRANGE(""https://docs.google.com/spreadsheets/d/1eHaY18a8A9IcSdp1K8H6x8fbOy06t2VsZHhMHf-1x7Y/edit?usp=sharing"",""แผน!FH46"")"),20)</f>
        <v>20</v>
      </c>
      <c r="J129" s="467">
        <v>20</v>
      </c>
      <c r="K129" s="255">
        <f ca="1">IF(I129&gt;0,J129*100/I129,0)</f>
        <v>100</v>
      </c>
      <c r="L129" s="62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212">
        <f ca="1">IFERROR(__xludf.DUMMYFUNCTION("IMPORTRANGE(""https://docs.google.com/spreadsheets/d/1eHaY18a8A9IcSdp1K8H6x8fbOy06t2VsZHhMHf-1x7Y/edit?usp=sharing"",""แผน!FI46"")"),0)</f>
        <v>0</v>
      </c>
      <c r="J130" s="467">
        <v>0</v>
      </c>
      <c r="K130" s="255">
        <f ca="1">IF(I130&gt;0,J130*100/I130,0)</f>
        <v>0</v>
      </c>
      <c r="L130" s="62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8.75" hidden="1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62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8.75" hidden="1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62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2.75" hidden="1">
      <c r="A133" s="192"/>
      <c r="B133" s="193"/>
      <c r="C133" s="193"/>
      <c r="D133" s="22"/>
      <c r="E133" s="22"/>
      <c r="F133" s="22"/>
      <c r="G133" s="23"/>
      <c r="H133" s="209"/>
      <c r="I133" s="24"/>
      <c r="J133" s="24"/>
      <c r="K133" s="25"/>
      <c r="L133" s="26"/>
      <c r="M133" s="25"/>
      <c r="N133" s="25"/>
      <c r="O133" s="25"/>
      <c r="P133" s="25"/>
      <c r="Q133" s="25"/>
      <c r="R133" s="25"/>
      <c r="S133" s="25"/>
      <c r="T133" s="25"/>
      <c r="U133" s="25"/>
    </row>
    <row r="134" spans="1:21" ht="19.5" hidden="1">
      <c r="A134" s="143" t="s">
        <v>58</v>
      </c>
      <c r="B134" s="144"/>
      <c r="C134" s="196"/>
      <c r="D134" s="144"/>
      <c r="E134" s="144"/>
      <c r="F134" s="144"/>
      <c r="G134" s="144"/>
      <c r="H134" s="144"/>
      <c r="I134" s="197"/>
      <c r="J134" s="197"/>
      <c r="K134" s="19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</row>
    <row r="135" spans="1:21" ht="19.5" hidden="1">
      <c r="A135" s="150"/>
      <c r="B135" s="35" t="s">
        <v>59</v>
      </c>
      <c r="C135" s="200"/>
      <c r="D135" s="151"/>
      <c r="E135" s="34"/>
      <c r="F135" s="34"/>
      <c r="G135" s="34"/>
      <c r="H135" s="34"/>
      <c r="I135" s="210"/>
      <c r="J135" s="39"/>
      <c r="K135" s="40"/>
      <c r="L135" s="154"/>
      <c r="M135" s="40"/>
      <c r="N135" s="40"/>
      <c r="O135" s="40"/>
      <c r="P135" s="40"/>
      <c r="Q135" s="40"/>
      <c r="R135" s="40"/>
      <c r="S135" s="40"/>
      <c r="T135" s="40"/>
      <c r="U135" s="40"/>
    </row>
    <row r="136" spans="1:21" ht="19.5" hidden="1">
      <c r="A136" s="150"/>
      <c r="B136" s="34"/>
      <c r="C136" s="211" t="s">
        <v>60</v>
      </c>
      <c r="D136" s="151"/>
      <c r="E136" s="34"/>
      <c r="F136" s="34"/>
      <c r="G136" s="37"/>
      <c r="H136" s="152" t="s">
        <v>61</v>
      </c>
      <c r="I136" s="721">
        <f ca="1">I154</f>
        <v>0</v>
      </c>
      <c r="J136" s="721">
        <f>J154</f>
        <v>0</v>
      </c>
      <c r="K136" s="720">
        <f ca="1">IF(I136&gt;0,J136*100/I136,0)</f>
        <v>0</v>
      </c>
      <c r="L136" s="154"/>
      <c r="M136" s="40"/>
      <c r="N136" s="40"/>
      <c r="O136" s="40"/>
      <c r="P136" s="40"/>
      <c r="Q136" s="40"/>
      <c r="R136" s="40"/>
      <c r="S136" s="40"/>
      <c r="T136" s="40"/>
      <c r="U136" s="40"/>
    </row>
    <row r="137" spans="1:21" ht="19.5" hidden="1">
      <c r="A137" s="150"/>
      <c r="B137" s="34"/>
      <c r="C137" s="211" t="s">
        <v>62</v>
      </c>
      <c r="D137" s="151"/>
      <c r="E137" s="34"/>
      <c r="F137" s="34"/>
      <c r="G137" s="37"/>
      <c r="H137" s="152" t="s">
        <v>35</v>
      </c>
      <c r="I137" s="721">
        <f ca="1">I152</f>
        <v>0</v>
      </c>
      <c r="J137" s="721">
        <f>J152</f>
        <v>0</v>
      </c>
      <c r="K137" s="720">
        <f ca="1">IF(I137&gt;0,J137*100/I137,0)</f>
        <v>0</v>
      </c>
      <c r="L137" s="154"/>
      <c r="M137" s="40"/>
      <c r="N137" s="40"/>
      <c r="O137" s="40"/>
      <c r="P137" s="40"/>
      <c r="Q137" s="40"/>
      <c r="R137" s="40"/>
      <c r="S137" s="40"/>
      <c r="T137" s="40"/>
      <c r="U137" s="40"/>
    </row>
    <row r="138" spans="1:21" ht="19.5" hidden="1">
      <c r="A138" s="150"/>
      <c r="B138" s="34"/>
      <c r="C138" s="200"/>
      <c r="D138" s="151"/>
      <c r="E138" s="34"/>
      <c r="F138" s="34"/>
      <c r="G138" s="37"/>
      <c r="H138" s="152" t="s">
        <v>54</v>
      </c>
      <c r="I138" s="721">
        <f ca="1">I153</f>
        <v>0</v>
      </c>
      <c r="J138" s="721">
        <f>J153</f>
        <v>0</v>
      </c>
      <c r="K138" s="720">
        <f ca="1">IF(I138&gt;0,J138*100/I138,0)</f>
        <v>0</v>
      </c>
      <c r="L138" s="154"/>
      <c r="M138" s="40"/>
      <c r="N138" s="40"/>
      <c r="O138" s="40"/>
      <c r="P138" s="40"/>
      <c r="Q138" s="40"/>
      <c r="R138" s="40"/>
      <c r="S138" s="40"/>
      <c r="T138" s="40"/>
      <c r="U138" s="40"/>
    </row>
    <row r="139" spans="1:21" ht="19.5" hidden="1">
      <c r="A139" s="155"/>
      <c r="B139" s="50"/>
      <c r="C139" s="156" t="s">
        <v>18</v>
      </c>
      <c r="D139" s="575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541">
        <f ca="1">L140+L141</f>
        <v>0</v>
      </c>
      <c r="M139" s="540">
        <f ca="1">M140+M141</f>
        <v>0</v>
      </c>
      <c r="N139" s="540">
        <f ca="1">N140+N141</f>
        <v>0</v>
      </c>
      <c r="O139" s="540">
        <f ca="1">IF(L139&gt;0,N139*100/L139,0)</f>
        <v>0</v>
      </c>
      <c r="P139" s="540">
        <f ca="1">IF(M139&gt;0,N139*100/M139,0)</f>
        <v>0</v>
      </c>
      <c r="Q139" s="540">
        <f ca="1">Q140+Q141</f>
        <v>0</v>
      </c>
      <c r="R139" s="540">
        <f ca="1">R140+R141</f>
        <v>0</v>
      </c>
      <c r="S139" s="540">
        <f ca="1">S140+S141</f>
        <v>0</v>
      </c>
      <c r="T139" s="540">
        <f ca="1">IF(Q139&gt;0,S139*100/Q139,0)</f>
        <v>0</v>
      </c>
      <c r="U139" s="540">
        <f ca="1">IF(R139&gt;0,S139*100/R139,0)</f>
        <v>0</v>
      </c>
    </row>
    <row r="140" spans="1:21" ht="18.75" hidden="1">
      <c r="A140" s="155"/>
      <c r="B140" s="50"/>
      <c r="C140" s="50"/>
      <c r="D140" s="50"/>
      <c r="E140" s="186" t="s">
        <v>20</v>
      </c>
      <c r="F140" s="50"/>
      <c r="G140" s="52"/>
      <c r="H140" s="187" t="s">
        <v>14</v>
      </c>
      <c r="I140" s="54"/>
      <c r="J140" s="54"/>
      <c r="K140" s="55"/>
      <c r="L140" s="103">
        <f>L143+L146</f>
        <v>0</v>
      </c>
      <c r="M140" s="102">
        <f>M143+M146</f>
        <v>0</v>
      </c>
      <c r="N140" s="102">
        <f>N143+N146</f>
        <v>0</v>
      </c>
      <c r="O140" s="102">
        <f>IF(L140&gt;0,N140*100/L140,0)</f>
        <v>0</v>
      </c>
      <c r="P140" s="102">
        <f>IF(M140&gt;0,N140*100/M140,0)</f>
        <v>0</v>
      </c>
      <c r="Q140" s="102">
        <f>Q143+Q146</f>
        <v>0</v>
      </c>
      <c r="R140" s="102">
        <f>R143+R146</f>
        <v>0</v>
      </c>
      <c r="S140" s="102">
        <f>S143+S146</f>
        <v>0</v>
      </c>
      <c r="T140" s="102">
        <f>IF(Q140&gt;0,S140*100/Q140,0)</f>
        <v>0</v>
      </c>
      <c r="U140" s="102">
        <f>IF(R140&gt;0,S140*100/R140,0)</f>
        <v>0</v>
      </c>
    </row>
    <row r="141" spans="1:21" ht="18.75" hidden="1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256">
        <f ca="1">L144+L147</f>
        <v>0</v>
      </c>
      <c r="M141" s="255">
        <f ca="1">M144+M147</f>
        <v>0</v>
      </c>
      <c r="N141" s="255">
        <f ca="1">N144+N147</f>
        <v>0</v>
      </c>
      <c r="O141" s="255">
        <f ca="1">IF(L141&gt;0,N141*100/L141,0)</f>
        <v>0</v>
      </c>
      <c r="P141" s="255">
        <f ca="1">IF(M141&gt;0,N141*100/M141,0)</f>
        <v>0</v>
      </c>
      <c r="Q141" s="255">
        <f ca="1">Q144+Q147</f>
        <v>0</v>
      </c>
      <c r="R141" s="255">
        <f ca="1">R144+R147</f>
        <v>0</v>
      </c>
      <c r="S141" s="255">
        <f ca="1">S144+S147</f>
        <v>0</v>
      </c>
      <c r="T141" s="255">
        <f ca="1">IF(Q141&gt;0,S141*100/Q141,0)</f>
        <v>0</v>
      </c>
      <c r="U141" s="255">
        <f ca="1">IF(R141&gt;0,S141*100/R141,0)</f>
        <v>0</v>
      </c>
    </row>
    <row r="142" spans="1:21" ht="18.75" hidden="1">
      <c r="A142" s="155"/>
      <c r="B142" s="50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256">
        <f ca="1">L143+L144</f>
        <v>0</v>
      </c>
      <c r="M142" s="255">
        <f ca="1">M143+M144</f>
        <v>0</v>
      </c>
      <c r="N142" s="255">
        <f ca="1">N143+N144</f>
        <v>0</v>
      </c>
      <c r="O142" s="255">
        <f ca="1">IF(L142&gt;0,N142*100/L142,0)</f>
        <v>0</v>
      </c>
      <c r="P142" s="255">
        <f ca="1">IF(M142&gt;0,N142*100/M142,0)</f>
        <v>0</v>
      </c>
      <c r="Q142" s="255">
        <f ca="1">Q143+Q144</f>
        <v>0</v>
      </c>
      <c r="R142" s="255">
        <f ca="1">R143+R144</f>
        <v>0</v>
      </c>
      <c r="S142" s="255">
        <f ca="1">S143+S144</f>
        <v>0</v>
      </c>
      <c r="T142" s="255">
        <f ca="1">IF(Q142&gt;0,S142*100/Q142,0)</f>
        <v>0</v>
      </c>
      <c r="U142" s="255">
        <f ca="1">IF(R142&gt;0,S142*100/R142,0)</f>
        <v>0</v>
      </c>
    </row>
    <row r="143" spans="1:21" ht="18.75" hidden="1">
      <c r="A143" s="155"/>
      <c r="B143" s="50"/>
      <c r="C143" s="50"/>
      <c r="D143" s="50"/>
      <c r="E143" s="186" t="s">
        <v>36</v>
      </c>
      <c r="F143" s="50"/>
      <c r="G143" s="52"/>
      <c r="H143" s="189" t="s">
        <v>14</v>
      </c>
      <c r="I143" s="163"/>
      <c r="J143" s="163"/>
      <c r="K143" s="164"/>
      <c r="L143" s="103">
        <v>0</v>
      </c>
      <c r="M143" s="102">
        <v>0</v>
      </c>
      <c r="N143" s="102">
        <v>0</v>
      </c>
      <c r="O143" s="102">
        <f>IF(L143&gt;0,N143*100/L143,0)</f>
        <v>0</v>
      </c>
      <c r="P143" s="102">
        <f>IF(M143&gt;0,N143*100/M143,0)</f>
        <v>0</v>
      </c>
      <c r="Q143" s="102">
        <v>0</v>
      </c>
      <c r="R143" s="102">
        <v>0</v>
      </c>
      <c r="S143" s="102">
        <v>0</v>
      </c>
      <c r="T143" s="102">
        <f>IF(Q143&gt;0,S143*100/Q143,0)</f>
        <v>0</v>
      </c>
      <c r="U143" s="102">
        <f>IF(R143&gt;0,S143*100/R143,0)</f>
        <v>0</v>
      </c>
    </row>
    <row r="144" spans="1:21" ht="18.75" hidden="1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256">
        <f ca="1">IFERROR(__xludf.DUMMYFUNCTION("IMPORTRANGE(""https://docs.google.com/spreadsheets/d/1-uDff_7J0KD5mKrp0Vvzr7lt3OU09vwQwhkpOPPYv2Y/edit?usp=sharing"",""งบพรบ!BQ46"")"),0)</f>
        <v>0</v>
      </c>
      <c r="M144" s="255">
        <f ca="1">IFERROR(__xludf.DUMMYFUNCTION("IMPORTRANGE(""https://docs.google.com/spreadsheets/d/1-uDff_7J0KD5mKrp0Vvzr7lt3OU09vwQwhkpOPPYv2Y/edit?usp=sharing"",""งบพรบ!BV46"")"),0)</f>
        <v>0</v>
      </c>
      <c r="N144" s="255">
        <f ca="1">IFERROR(__xludf.DUMMYFUNCTION("IMPORTRANGE(""https://docs.google.com/spreadsheets/d/1-uDff_7J0KD5mKrp0Vvzr7lt3OU09vwQwhkpOPPYv2Y/edit?usp=sharing"",""งบพรบ!BX46"")"),0)</f>
        <v>0</v>
      </c>
      <c r="O144" s="255">
        <f ca="1">IF(L144&gt;0,N144*100/L144,0)</f>
        <v>0</v>
      </c>
      <c r="P144" s="255">
        <f ca="1">IF(M144&gt;0,N144*100/M144,0)</f>
        <v>0</v>
      </c>
      <c r="Q144" s="255">
        <f ca="1">IFERROR(__xludf.DUMMYFUNCTION("IMPORTRANGE(""https://docs.google.com/spreadsheets/d/1ItG2mGa2ceCfYo0BwxsXqNm01IGEUdYcSSLTEv9YCik/edit?usp=sharing"",""เบิกจ่ายกองทุน!BB46"")"),0)</f>
        <v>0</v>
      </c>
      <c r="R144" s="255">
        <f ca="1">IFERROR(__xludf.DUMMYFUNCTION("IMPORTRANGE(""https://docs.google.com/spreadsheets/d/1ItG2mGa2ceCfYo0BwxsXqNm01IGEUdYcSSLTEv9YCik/edit?usp=sharing"",""เบิกจ่ายกองทุน!BC46"")"),0)</f>
        <v>0</v>
      </c>
      <c r="S144" s="255">
        <f ca="1">IFERROR(__xludf.DUMMYFUNCTION("IMPORTRANGE(""https://docs.google.com/spreadsheets/d/1ItG2mGa2ceCfYo0BwxsXqNm01IGEUdYcSSLTEv9YCik/edit?usp=sharing"",""เบิกจ่ายกองทุน!BD46"")"),0)</f>
        <v>0</v>
      </c>
      <c r="T144" s="255">
        <f ca="1">IF(Q144&gt;0,S144*100/Q144,0)</f>
        <v>0</v>
      </c>
      <c r="U144" s="255">
        <f ca="1">IF(R144&gt;0,S144*100/R144,0)</f>
        <v>0</v>
      </c>
    </row>
    <row r="145" spans="1:21" ht="18.75" hidden="1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256">
        <f ca="1">L146+L147</f>
        <v>0</v>
      </c>
      <c r="M145" s="255">
        <f ca="1">M146+M147</f>
        <v>0</v>
      </c>
      <c r="N145" s="255">
        <f ca="1">N146+N147</f>
        <v>0</v>
      </c>
      <c r="O145" s="255">
        <f ca="1">IF(L145&gt;0,N145*100/L145,0)</f>
        <v>0</v>
      </c>
      <c r="P145" s="255">
        <f ca="1">IF(M145&gt;0,N145*100/M145,0)</f>
        <v>0</v>
      </c>
      <c r="Q145" s="255">
        <f>Q146+Q147</f>
        <v>0</v>
      </c>
      <c r="R145" s="255">
        <f>R146+R147</f>
        <v>0</v>
      </c>
      <c r="S145" s="255">
        <f>S146+S147</f>
        <v>0</v>
      </c>
      <c r="T145" s="255">
        <f>IF(Q145&gt;0,S145*100/Q145,0)</f>
        <v>0</v>
      </c>
      <c r="U145" s="255">
        <f>IF(R145&gt;0,S145*100/R145,0)</f>
        <v>0</v>
      </c>
    </row>
    <row r="146" spans="1:21" ht="18.75" hidden="1">
      <c r="A146" s="155"/>
      <c r="B146" s="50"/>
      <c r="C146" s="50"/>
      <c r="D146" s="50"/>
      <c r="E146" s="186" t="s">
        <v>20</v>
      </c>
      <c r="F146" s="50"/>
      <c r="G146" s="52"/>
      <c r="H146" s="189" t="s">
        <v>14</v>
      </c>
      <c r="I146" s="163"/>
      <c r="J146" s="163"/>
      <c r="K146" s="164"/>
      <c r="L146" s="103">
        <v>0</v>
      </c>
      <c r="M146" s="102">
        <v>0</v>
      </c>
      <c r="N146" s="102">
        <v>0</v>
      </c>
      <c r="O146" s="102">
        <f>IF(L146&gt;0,N146*100/L146,0)</f>
        <v>0</v>
      </c>
      <c r="P146" s="102">
        <f>IF(M146&gt;0,N146*100/M146,0)</f>
        <v>0</v>
      </c>
      <c r="Q146" s="102">
        <v>0</v>
      </c>
      <c r="R146" s="102">
        <v>0</v>
      </c>
      <c r="S146" s="102">
        <v>0</v>
      </c>
      <c r="T146" s="102">
        <f>IF(Q146&gt;0,S146*100/Q146,0)</f>
        <v>0</v>
      </c>
      <c r="U146" s="102">
        <f>IF(R146&gt;0,S146*100/R146,0)</f>
        <v>0</v>
      </c>
    </row>
    <row r="147" spans="1:21" ht="18.75" hidden="1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256">
        <f ca="1">IFERROR(__xludf.DUMMYFUNCTION("IMPORTRANGE(""https://docs.google.com/spreadsheets/d/1-uDff_7J0KD5mKrp0Vvzr7lt3OU09vwQwhkpOPPYv2Y/edit?usp=sharing"",""งบพรบ!BT46"")"),0)</f>
        <v>0</v>
      </c>
      <c r="M147" s="255">
        <f ca="1">IFERROR(__xludf.DUMMYFUNCTION("IMPORTRANGE(""https://docs.google.com/spreadsheets/d/1-uDff_7J0KD5mKrp0Vvzr7lt3OU09vwQwhkpOPPYv2Y/edit?usp=sharing"",""งบพรบ!BW46"")"),0)</f>
        <v>0</v>
      </c>
      <c r="N147" s="255">
        <f ca="1">IFERROR(__xludf.DUMMYFUNCTION("IMPORTRANGE(""https://docs.google.com/spreadsheets/d/1-uDff_7J0KD5mKrp0Vvzr7lt3OU09vwQwhkpOPPYv2Y/edit?usp=sharing"",""งบพรบ!BY46"")"),0)</f>
        <v>0</v>
      </c>
      <c r="O147" s="255">
        <f ca="1">IF(L147&gt;0,N147*100/L147,0)</f>
        <v>0</v>
      </c>
      <c r="P147" s="255">
        <f ca="1">IF(M147&gt;0,N147*100/M147,0)</f>
        <v>0</v>
      </c>
      <c r="Q147" s="255">
        <v>0</v>
      </c>
      <c r="R147" s="255">
        <v>0</v>
      </c>
      <c r="S147" s="255">
        <v>0</v>
      </c>
      <c r="T147" s="255">
        <f>IF(Q147&gt;0,S147*100/Q147,0)</f>
        <v>0</v>
      </c>
      <c r="U147" s="255">
        <f>IF(R147&gt;0,S147*100/R147,0)</f>
        <v>0</v>
      </c>
    </row>
    <row r="148" spans="1:21" ht="19.5" hidden="1">
      <c r="A148" s="166"/>
      <c r="B148" s="167"/>
      <c r="C148" s="156" t="s">
        <v>18</v>
      </c>
      <c r="D148" s="566" t="s">
        <v>38</v>
      </c>
      <c r="E148" s="169"/>
      <c r="F148" s="169"/>
      <c r="G148" s="170"/>
      <c r="H148" s="206"/>
      <c r="I148" s="54"/>
      <c r="J148" s="54"/>
      <c r="K148" s="55"/>
      <c r="L148" s="62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8.75" hidden="1">
      <c r="A149" s="155"/>
      <c r="B149" s="50"/>
      <c r="C149" s="50"/>
      <c r="D149" s="58" t="s">
        <v>63</v>
      </c>
      <c r="E149" s="50"/>
      <c r="F149" s="50"/>
      <c r="G149" s="52"/>
      <c r="H149" s="206"/>
      <c r="I149" s="54"/>
      <c r="J149" s="467">
        <v>0</v>
      </c>
      <c r="K149" s="55"/>
      <c r="L149" s="62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9.5" hidden="1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212">
        <f ca="1">IFERROR(__xludf.DUMMYFUNCTION("IMPORTRANGE(""https://docs.google.com/spreadsheets/d/1eHaY18a8A9IcSdp1K8H6x8fbOy06t2VsZHhMHf-1x7Y/edit?usp=sharing"",""แผน!U46"")"),0)</f>
        <v>0</v>
      </c>
      <c r="J150" s="467">
        <v>0</v>
      </c>
      <c r="K150" s="255">
        <f ca="1">IF(I150&gt;0,J150*100/I150,0)</f>
        <v>0</v>
      </c>
      <c r="L150" s="62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8.75" hidden="1">
      <c r="A151" s="155"/>
      <c r="B151" s="50"/>
      <c r="C151" s="50"/>
      <c r="D151" s="174"/>
      <c r="E151" s="50"/>
      <c r="F151" s="50"/>
      <c r="G151" s="52"/>
      <c r="H151" s="165" t="s">
        <v>54</v>
      </c>
      <c r="I151" s="212">
        <f ca="1">IFERROR(__xludf.DUMMYFUNCTION("IMPORTRANGE(""https://docs.google.com/spreadsheets/d/1eHaY18a8A9IcSdp1K8H6x8fbOy06t2VsZHhMHf-1x7Y/edit?usp=sharing"",""แผน!V46"")"),0)</f>
        <v>0</v>
      </c>
      <c r="J151" s="467">
        <v>0</v>
      </c>
      <c r="K151" s="255">
        <f ca="1">IF(I151&gt;0,J151*100/I151,0)</f>
        <v>0</v>
      </c>
      <c r="L151" s="62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9.5" hidden="1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212">
        <f ca="1">IFERROR(__xludf.DUMMYFUNCTION("IMPORTRANGE(""https://docs.google.com/spreadsheets/d/1eHaY18a8A9IcSdp1K8H6x8fbOy06t2VsZHhMHf-1x7Y/edit?usp=sharing"",""แผน!W46"")"),0)</f>
        <v>0</v>
      </c>
      <c r="J152" s="467">
        <v>0</v>
      </c>
      <c r="K152" s="255">
        <f ca="1">IF(I152&gt;0,J152*100/I152,0)</f>
        <v>0</v>
      </c>
      <c r="L152" s="62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8.75" hidden="1">
      <c r="A153" s="155"/>
      <c r="B153" s="50"/>
      <c r="C153" s="50"/>
      <c r="D153" s="50"/>
      <c r="E153" s="50"/>
      <c r="F153" s="50"/>
      <c r="G153" s="52"/>
      <c r="H153" s="165" t="s">
        <v>54</v>
      </c>
      <c r="I153" s="212">
        <f ca="1">IFERROR(__xludf.DUMMYFUNCTION("IMPORTRANGE(""https://docs.google.com/spreadsheets/d/1eHaY18a8A9IcSdp1K8H6x8fbOy06t2VsZHhMHf-1x7Y/edit?usp=sharing"",""แผน!X46"")"),0)</f>
        <v>0</v>
      </c>
      <c r="J153" s="467">
        <v>0</v>
      </c>
      <c r="K153" s="255">
        <f ca="1">IF(I153&gt;0,J153*100/I153,0)</f>
        <v>0</v>
      </c>
      <c r="L153" s="62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8.75" hidden="1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212">
        <f ca="1">IFERROR(__xludf.DUMMYFUNCTION("IMPORTRANGE(""https://docs.google.com/spreadsheets/d/1eHaY18a8A9IcSdp1K8H6x8fbOy06t2VsZHhMHf-1x7Y/edit?usp=sharing"",""แผน!Y46"")"),0)</f>
        <v>0</v>
      </c>
      <c r="J154" s="467">
        <v>0</v>
      </c>
      <c r="K154" s="255">
        <f ca="1">IF(I154&gt;0,J154*100/I154,0)</f>
        <v>0</v>
      </c>
      <c r="L154" s="62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9.5" hidden="1">
      <c r="A155" s="143" t="s">
        <v>67</v>
      </c>
      <c r="B155" s="144"/>
      <c r="C155" s="196"/>
      <c r="D155" s="144"/>
      <c r="E155" s="144"/>
      <c r="F155" s="144"/>
      <c r="G155" s="144"/>
      <c r="H155" s="144"/>
      <c r="I155" s="197"/>
      <c r="J155" s="197"/>
      <c r="K155" s="19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</row>
    <row r="156" spans="1:21" ht="19.5" hidden="1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721">
        <f ca="1">I169</f>
        <v>0</v>
      </c>
      <c r="J156" s="721">
        <f>J169</f>
        <v>0</v>
      </c>
      <c r="K156" s="720">
        <f ca="1">IF(I156&gt;0,J156*100/I156,0)</f>
        <v>0</v>
      </c>
      <c r="L156" s="154"/>
      <c r="M156" s="40"/>
      <c r="N156" s="40"/>
      <c r="O156" s="40"/>
      <c r="P156" s="40"/>
      <c r="Q156" s="40"/>
      <c r="R156" s="40"/>
      <c r="S156" s="40"/>
      <c r="T156" s="40"/>
      <c r="U156" s="40"/>
    </row>
    <row r="157" spans="1:21" ht="19.5" hidden="1">
      <c r="A157" s="155"/>
      <c r="B157" s="50"/>
      <c r="C157" s="156" t="s">
        <v>18</v>
      </c>
      <c r="D157" s="575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541">
        <f ca="1">L158+L159</f>
        <v>0</v>
      </c>
      <c r="M157" s="540">
        <f ca="1">M158+M159</f>
        <v>0</v>
      </c>
      <c r="N157" s="540">
        <f ca="1">N158+N159</f>
        <v>0</v>
      </c>
      <c r="O157" s="540">
        <f ca="1">IF(L157&gt;0,N157*100/L157,0)</f>
        <v>0</v>
      </c>
      <c r="P157" s="540">
        <f ca="1">IF(M157&gt;0,N157*100/M157,0)</f>
        <v>0</v>
      </c>
      <c r="Q157" s="540">
        <f ca="1">Q158+Q159</f>
        <v>0</v>
      </c>
      <c r="R157" s="540">
        <f ca="1">R158+R159</f>
        <v>0</v>
      </c>
      <c r="S157" s="540">
        <f ca="1">S158+S159</f>
        <v>0</v>
      </c>
      <c r="T157" s="540">
        <f ca="1">IF(Q157&gt;0,S157*100/Q157,0)</f>
        <v>0</v>
      </c>
      <c r="U157" s="540">
        <f ca="1">IF(R157&gt;0,S157*100/R157,0)</f>
        <v>0</v>
      </c>
    </row>
    <row r="158" spans="1:21" ht="18.75" hidden="1">
      <c r="A158" s="155"/>
      <c r="B158" s="50"/>
      <c r="C158" s="50"/>
      <c r="D158" s="50"/>
      <c r="E158" s="186" t="s">
        <v>20</v>
      </c>
      <c r="F158" s="50"/>
      <c r="G158" s="52"/>
      <c r="H158" s="187" t="s">
        <v>14</v>
      </c>
      <c r="I158" s="54"/>
      <c r="J158" s="54"/>
      <c r="K158" s="55"/>
      <c r="L158" s="103">
        <f>L161+L164</f>
        <v>0</v>
      </c>
      <c r="M158" s="102">
        <f>M161+M164</f>
        <v>0</v>
      </c>
      <c r="N158" s="102">
        <f>N161+N164</f>
        <v>0</v>
      </c>
      <c r="O158" s="102">
        <f>IF(L158&gt;0,N158*100/L158,0)</f>
        <v>0</v>
      </c>
      <c r="P158" s="102">
        <f>IF(M158&gt;0,N158*100/M158,0)</f>
        <v>0</v>
      </c>
      <c r="Q158" s="102">
        <f>Q161+Q164</f>
        <v>0</v>
      </c>
      <c r="R158" s="102">
        <f>R161+R164</f>
        <v>0</v>
      </c>
      <c r="S158" s="102">
        <f>S161+S164</f>
        <v>0</v>
      </c>
      <c r="T158" s="102">
        <f>IF(Q158&gt;0,S158*100/Q158,0)</f>
        <v>0</v>
      </c>
      <c r="U158" s="102">
        <f>IF(R158&gt;0,S158*100/R158,0)</f>
        <v>0</v>
      </c>
    </row>
    <row r="159" spans="1:21" ht="18.75" hidden="1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256">
        <f ca="1">L162+L165</f>
        <v>0</v>
      </c>
      <c r="M159" s="255">
        <f ca="1">M162+M165</f>
        <v>0</v>
      </c>
      <c r="N159" s="255">
        <f ca="1">N162+N165</f>
        <v>0</v>
      </c>
      <c r="O159" s="255">
        <f ca="1">IF(L159&gt;0,N159*100/L159,0)</f>
        <v>0</v>
      </c>
      <c r="P159" s="255">
        <f ca="1">IF(M159&gt;0,N159*100/M159,0)</f>
        <v>0</v>
      </c>
      <c r="Q159" s="255">
        <f ca="1">Q162+Q165</f>
        <v>0</v>
      </c>
      <c r="R159" s="255">
        <f ca="1">R162+R165</f>
        <v>0</v>
      </c>
      <c r="S159" s="255">
        <f ca="1">S162+S165</f>
        <v>0</v>
      </c>
      <c r="T159" s="255">
        <f ca="1">IF(Q159&gt;0,S159*100/Q159,0)</f>
        <v>0</v>
      </c>
      <c r="U159" s="255">
        <f ca="1">IF(R159&gt;0,S159*100/R159,0)</f>
        <v>0</v>
      </c>
    </row>
    <row r="160" spans="1:21" ht="18.75" hidden="1">
      <c r="A160" s="155"/>
      <c r="B160" s="50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256">
        <f ca="1">L161+L162</f>
        <v>0</v>
      </c>
      <c r="M160" s="255">
        <f ca="1">M161+M162</f>
        <v>0</v>
      </c>
      <c r="N160" s="255">
        <f ca="1">N161+N162</f>
        <v>0</v>
      </c>
      <c r="O160" s="255">
        <f ca="1">IF(L160&gt;0,N160*100/L160,0)</f>
        <v>0</v>
      </c>
      <c r="P160" s="255">
        <f ca="1">IF(M160&gt;0,N160*100/M160,0)</f>
        <v>0</v>
      </c>
      <c r="Q160" s="255">
        <f ca="1">Q161+Q162</f>
        <v>0</v>
      </c>
      <c r="R160" s="255">
        <f ca="1">R161+R162</f>
        <v>0</v>
      </c>
      <c r="S160" s="255">
        <f ca="1">S161+S162</f>
        <v>0</v>
      </c>
      <c r="T160" s="255">
        <f ca="1">IF(Q160&gt;0,S160*100/Q160,0)</f>
        <v>0</v>
      </c>
      <c r="U160" s="255">
        <f ca="1">IF(R160&gt;0,S160*100/R160,0)</f>
        <v>0</v>
      </c>
    </row>
    <row r="161" spans="1:21" ht="18.75" hidden="1">
      <c r="A161" s="155"/>
      <c r="B161" s="50"/>
      <c r="C161" s="50"/>
      <c r="D161" s="50"/>
      <c r="E161" s="186" t="s">
        <v>36</v>
      </c>
      <c r="F161" s="50"/>
      <c r="G161" s="52"/>
      <c r="H161" s="189" t="s">
        <v>14</v>
      </c>
      <c r="I161" s="163"/>
      <c r="J161" s="163"/>
      <c r="K161" s="164"/>
      <c r="L161" s="103">
        <v>0</v>
      </c>
      <c r="M161" s="102">
        <v>0</v>
      </c>
      <c r="N161" s="102">
        <v>0</v>
      </c>
      <c r="O161" s="102">
        <f>IF(L161&gt;0,N161*100/L161,0)</f>
        <v>0</v>
      </c>
      <c r="P161" s="102">
        <f>IF(M161&gt;0,N161*100/M161,0)</f>
        <v>0</v>
      </c>
      <c r="Q161" s="102">
        <v>0</v>
      </c>
      <c r="R161" s="102">
        <v>0</v>
      </c>
      <c r="S161" s="102">
        <v>0</v>
      </c>
      <c r="T161" s="102">
        <f>IF(Q161&gt;0,S161*100/Q161,0)</f>
        <v>0</v>
      </c>
      <c r="U161" s="102">
        <f>IF(R161&gt;0,S161*100/R161,0)</f>
        <v>0</v>
      </c>
    </row>
    <row r="162" spans="1:21" ht="18.75" hidden="1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256">
        <f ca="1">IFERROR(__xludf.DUMMYFUNCTION("IMPORTRANGE(""https://docs.google.com/spreadsheets/d/1-uDff_7J0KD5mKrp0Vvzr7lt3OU09vwQwhkpOPPYv2Y/edit?usp=sharing"",""งบพรบ!CA46"")"),0)</f>
        <v>0</v>
      </c>
      <c r="M162" s="255">
        <f ca="1">IFERROR(__xludf.DUMMYFUNCTION("IMPORTRANGE(""https://docs.google.com/spreadsheets/d/1-uDff_7J0KD5mKrp0Vvzr7lt3OU09vwQwhkpOPPYv2Y/edit?usp=sharing"",""งบพรบ!CF46"")"),0)</f>
        <v>0</v>
      </c>
      <c r="N162" s="255">
        <f ca="1">IFERROR(__xludf.DUMMYFUNCTION("IMPORTRANGE(""https://docs.google.com/spreadsheets/d/1-uDff_7J0KD5mKrp0Vvzr7lt3OU09vwQwhkpOPPYv2Y/edit?usp=sharing"",""งบพรบ!CH46"")"),0)</f>
        <v>0</v>
      </c>
      <c r="O162" s="255">
        <f ca="1">IF(L162&gt;0,N162*100/L162,0)</f>
        <v>0</v>
      </c>
      <c r="P162" s="255">
        <f ca="1">IF(M162&gt;0,N162*100/M162,0)</f>
        <v>0</v>
      </c>
      <c r="Q162" s="255">
        <f ca="1">IFERROR(__xludf.DUMMYFUNCTION("IMPORTRANGE(""https://docs.google.com/spreadsheets/d/1ItG2mGa2ceCfYo0BwxsXqNm01IGEUdYcSSLTEv9YCik/edit?usp=sharing"",""เบิกจ่ายกองทุน!AG46"")"),0)</f>
        <v>0</v>
      </c>
      <c r="R162" s="255">
        <f ca="1">IFERROR(__xludf.DUMMYFUNCTION("IMPORTRANGE(""https://docs.google.com/spreadsheets/d/1ItG2mGa2ceCfYo0BwxsXqNm01IGEUdYcSSLTEv9YCik/edit?usp=sharing"",""เบิกจ่ายกองทุน!AH46"")"),0)</f>
        <v>0</v>
      </c>
      <c r="S162" s="255">
        <f ca="1">IFERROR(__xludf.DUMMYFUNCTION("IMPORTRANGE(""https://docs.google.com/spreadsheets/d/1ItG2mGa2ceCfYo0BwxsXqNm01IGEUdYcSSLTEv9YCik/edit?usp=sharing"",""เบิกจ่ายกองทุน!AI46"")"),0)</f>
        <v>0</v>
      </c>
      <c r="T162" s="255">
        <f ca="1">IF(Q162&gt;0,S162*100/Q162,0)</f>
        <v>0</v>
      </c>
      <c r="U162" s="255">
        <f ca="1">IF(R162&gt;0,S162*100/R162,0)</f>
        <v>0</v>
      </c>
    </row>
    <row r="163" spans="1:21" ht="18.75" hidden="1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256">
        <f ca="1">L164+L165</f>
        <v>0</v>
      </c>
      <c r="M163" s="255">
        <f ca="1">M164+M165</f>
        <v>0</v>
      </c>
      <c r="N163" s="255">
        <f ca="1">N164+N165</f>
        <v>0</v>
      </c>
      <c r="O163" s="255">
        <f ca="1">IF(L163&gt;0,N163*100/L163,0)</f>
        <v>0</v>
      </c>
      <c r="P163" s="255">
        <f ca="1">IF(M163&gt;0,N163*100/M163,0)</f>
        <v>0</v>
      </c>
      <c r="Q163" s="255">
        <f>Q164+Q165</f>
        <v>0</v>
      </c>
      <c r="R163" s="255">
        <f>R164+R165</f>
        <v>0</v>
      </c>
      <c r="S163" s="255">
        <f>S164+S165</f>
        <v>0</v>
      </c>
      <c r="T163" s="255">
        <f>IF(Q163&gt;0,S163*100/Q163,0)</f>
        <v>0</v>
      </c>
      <c r="U163" s="255">
        <f>IF(R163&gt;0,S163*100/R163,0)</f>
        <v>0</v>
      </c>
    </row>
    <row r="164" spans="1:21" ht="18.75" hidden="1">
      <c r="A164" s="155"/>
      <c r="B164" s="50"/>
      <c r="C164" s="50"/>
      <c r="D164" s="50"/>
      <c r="E164" s="186" t="s">
        <v>20</v>
      </c>
      <c r="F164" s="50"/>
      <c r="G164" s="52"/>
      <c r="H164" s="189" t="s">
        <v>14</v>
      </c>
      <c r="I164" s="163"/>
      <c r="J164" s="163"/>
      <c r="K164" s="164"/>
      <c r="L164" s="103">
        <v>0</v>
      </c>
      <c r="M164" s="102">
        <v>0</v>
      </c>
      <c r="N164" s="102">
        <v>0</v>
      </c>
      <c r="O164" s="102">
        <f>IF(L164&gt;0,N164*100/L164,0)</f>
        <v>0</v>
      </c>
      <c r="P164" s="102">
        <f>IF(M164&gt;0,N164*100/M164,0)</f>
        <v>0</v>
      </c>
      <c r="Q164" s="102">
        <v>0</v>
      </c>
      <c r="R164" s="102">
        <v>0</v>
      </c>
      <c r="S164" s="102">
        <v>0</v>
      </c>
      <c r="T164" s="102">
        <f>IF(Q164&gt;0,S164*100/Q164,0)</f>
        <v>0</v>
      </c>
      <c r="U164" s="102">
        <f>IF(R164&gt;0,S164*100/R164,0)</f>
        <v>0</v>
      </c>
    </row>
    <row r="165" spans="1:21" ht="18.75" hidden="1">
      <c r="A165" s="155"/>
      <c r="B165" s="50"/>
      <c r="C165" s="50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256">
        <f ca="1">IFERROR(__xludf.DUMMYFUNCTION("IMPORTRANGE(""https://docs.google.com/spreadsheets/d/1-uDff_7J0KD5mKrp0Vvzr7lt3OU09vwQwhkpOPPYv2Y/edit?usp=sharing"",""งบพรบ!CD46"")"),0)</f>
        <v>0</v>
      </c>
      <c r="M165" s="255">
        <f ca="1">IFERROR(__xludf.DUMMYFUNCTION("IMPORTRANGE(""https://docs.google.com/spreadsheets/d/1-uDff_7J0KD5mKrp0Vvzr7lt3OU09vwQwhkpOPPYv2Y/edit?usp=sharing"",""งบพรบ!CG46"")"),0)</f>
        <v>0</v>
      </c>
      <c r="N165" s="255">
        <f ca="1">IFERROR(__xludf.DUMMYFUNCTION("IMPORTRANGE(""https://docs.google.com/spreadsheets/d/1-uDff_7J0KD5mKrp0Vvzr7lt3OU09vwQwhkpOPPYv2Y/edit?usp=sharing"",""งบพรบ!CI46"")"),0)</f>
        <v>0</v>
      </c>
      <c r="O165" s="255">
        <f ca="1">IF(L165&gt;0,N165*100/L165,0)</f>
        <v>0</v>
      </c>
      <c r="P165" s="255">
        <f ca="1">IF(M165&gt;0,N165*100/M165,0)</f>
        <v>0</v>
      </c>
      <c r="Q165" s="255">
        <v>0</v>
      </c>
      <c r="R165" s="255">
        <v>0</v>
      </c>
      <c r="S165" s="255">
        <v>0</v>
      </c>
      <c r="T165" s="255">
        <f>IF(Q165&gt;0,S165*100/Q165,0)</f>
        <v>0</v>
      </c>
      <c r="U165" s="255">
        <f>IF(R165&gt;0,S165*100/R165,0)</f>
        <v>0</v>
      </c>
    </row>
    <row r="166" spans="1:21" ht="19.5" hidden="1">
      <c r="A166" s="166"/>
      <c r="B166" s="167"/>
      <c r="C166" s="156" t="s">
        <v>18</v>
      </c>
      <c r="D166" s="566" t="s">
        <v>38</v>
      </c>
      <c r="E166" s="169"/>
      <c r="F166" s="169"/>
      <c r="G166" s="170"/>
      <c r="H166" s="206"/>
      <c r="I166" s="54"/>
      <c r="J166" s="54"/>
      <c r="K166" s="55"/>
      <c r="L166" s="62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8.75" hidden="1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212">
        <f ca="1">IFERROR(__xludf.DUMMYFUNCTION("IMPORTRANGE(""https://docs.google.com/spreadsheets/d/1eHaY18a8A9IcSdp1K8H6x8fbOy06t2VsZHhMHf-1x7Y/edit?usp=sharing"",""แผน!Z46"")"),0)</f>
        <v>0</v>
      </c>
      <c r="J167" s="467">
        <v>0</v>
      </c>
      <c r="K167" s="255">
        <f ca="1">IF(I167&gt;0,J167*100/I167,0)</f>
        <v>0</v>
      </c>
      <c r="L167" s="62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8.75" hidden="1">
      <c r="A168" s="155"/>
      <c r="B168" s="50"/>
      <c r="C168" s="50"/>
      <c r="D168" s="186" t="s">
        <v>70</v>
      </c>
      <c r="E168" s="50"/>
      <c r="F168" s="50"/>
      <c r="G168" s="52"/>
      <c r="H168" s="421" t="s">
        <v>35</v>
      </c>
      <c r="I168" s="483">
        <f ca="1">IFERROR(__xludf.DUMMYFUNCTION("IMPORTRANGE(""https://docs.google.com/spreadsheets/d/1eHaY18a8A9IcSdp1K8H6x8fbOy06t2VsZHhMHf-1x7Y/edit?usp=sharing"",""แผน!Z46"")"),0)</f>
        <v>0</v>
      </c>
      <c r="J168" s="589">
        <v>0</v>
      </c>
      <c r="K168" s="102">
        <f ca="1">IF(I168&gt;0,J168*100/I168,0)</f>
        <v>0</v>
      </c>
      <c r="L168" s="62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8.75" hidden="1">
      <c r="A169" s="213"/>
      <c r="B169" s="4"/>
      <c r="C169" s="4"/>
      <c r="D169" s="484" t="s">
        <v>71</v>
      </c>
      <c r="E169" s="4"/>
      <c r="F169" s="4"/>
      <c r="G169" s="65"/>
      <c r="H169" s="719" t="s">
        <v>35</v>
      </c>
      <c r="I169" s="486">
        <f ca="1">IFERROR(__xludf.DUMMYFUNCTION("IMPORTRANGE(""https://docs.google.com/spreadsheets/d/1eHaY18a8A9IcSdp1K8H6x8fbOy06t2VsZHhMHf-1x7Y/edit?usp=sharing"",""แผน!Z46"")"),0)</f>
        <v>0</v>
      </c>
      <c r="J169" s="586">
        <v>0</v>
      </c>
      <c r="K169" s="585">
        <f ca="1">IF(I169&gt;0,J169*100/I169,0)</f>
        <v>0</v>
      </c>
      <c r="L169" s="68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9"/>
      <c r="I170" s="220"/>
      <c r="J170" s="220"/>
      <c r="K170" s="221"/>
      <c r="L170" s="221"/>
      <c r="M170" s="221"/>
      <c r="N170" s="221"/>
      <c r="O170" s="221"/>
      <c r="P170" s="222"/>
      <c r="Q170" s="221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226"/>
      <c r="I171" s="227"/>
      <c r="J171" s="227"/>
      <c r="K171" s="228"/>
      <c r="L171" s="229"/>
      <c r="M171" s="228"/>
      <c r="N171" s="228"/>
      <c r="O171" s="228"/>
      <c r="P171" s="228"/>
      <c r="Q171" s="228"/>
      <c r="R171" s="228"/>
      <c r="S171" s="228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233" t="s">
        <v>35</v>
      </c>
      <c r="I172" s="718">
        <f ca="1">I183+I184</f>
        <v>7</v>
      </c>
      <c r="J172" s="718">
        <f>J183+J184</f>
        <v>7</v>
      </c>
      <c r="K172" s="717">
        <f ca="1">IF(I172&gt;0,J172*100/I172,0)</f>
        <v>100</v>
      </c>
      <c r="L172" s="237"/>
      <c r="M172" s="236"/>
      <c r="N172" s="236"/>
      <c r="O172" s="236"/>
      <c r="P172" s="236"/>
      <c r="Q172" s="236"/>
      <c r="R172" s="236"/>
      <c r="S172" s="236"/>
      <c r="T172" s="236"/>
      <c r="U172" s="236"/>
    </row>
    <row r="173" spans="1:21" ht="19.5">
      <c r="A173" s="155"/>
      <c r="B173" s="50"/>
      <c r="C173" s="156" t="s">
        <v>18</v>
      </c>
      <c r="D173" s="575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541">
        <f ca="1">L174+L175</f>
        <v>19590</v>
      </c>
      <c r="M173" s="540">
        <f ca="1">M174+M175</f>
        <v>34430</v>
      </c>
      <c r="N173" s="540">
        <f ca="1">N174+N175</f>
        <v>34430</v>
      </c>
      <c r="O173" s="540">
        <f ca="1">IF(L173&gt;0,N173*100/L173,0)</f>
        <v>175.75293517100562</v>
      </c>
      <c r="P173" s="540">
        <f ca="1">IF(M173&gt;0,N173*100/M173,0)</f>
        <v>100</v>
      </c>
      <c r="Q173" s="540">
        <f ca="1">Q174+Q175</f>
        <v>0</v>
      </c>
      <c r="R173" s="540">
        <f ca="1">R174+R175</f>
        <v>0</v>
      </c>
      <c r="S173" s="540">
        <f ca="1">S174+S175</f>
        <v>0</v>
      </c>
      <c r="T173" s="540">
        <f ca="1">IF(Q173&gt;0,S173*100/Q173,0)</f>
        <v>0</v>
      </c>
      <c r="U173" s="540">
        <f ca="1">IF(R173&gt;0,S173*100/R173,0)</f>
        <v>0</v>
      </c>
    </row>
    <row r="174" spans="1:21" ht="18.75" hidden="1">
      <c r="A174" s="155"/>
      <c r="B174" s="50"/>
      <c r="C174" s="50"/>
      <c r="D174" s="50"/>
      <c r="E174" s="186" t="s">
        <v>20</v>
      </c>
      <c r="F174" s="50"/>
      <c r="G174" s="52"/>
      <c r="H174" s="187" t="s">
        <v>14</v>
      </c>
      <c r="I174" s="54"/>
      <c r="J174" s="54"/>
      <c r="K174" s="55"/>
      <c r="L174" s="103">
        <f>L177+L180</f>
        <v>0</v>
      </c>
      <c r="M174" s="102">
        <f>M177+M180</f>
        <v>0</v>
      </c>
      <c r="N174" s="102">
        <f>N177+N180</f>
        <v>0</v>
      </c>
      <c r="O174" s="102">
        <f>IF(L174&gt;0,N174*100/L174,0)</f>
        <v>0</v>
      </c>
      <c r="P174" s="102">
        <f>IF(M174&gt;0,N174*100/M174,0)</f>
        <v>0</v>
      </c>
      <c r="Q174" s="102">
        <f>Q177+Q180</f>
        <v>0</v>
      </c>
      <c r="R174" s="102">
        <f>R177+R180</f>
        <v>0</v>
      </c>
      <c r="S174" s="102">
        <f>S177+S180</f>
        <v>0</v>
      </c>
      <c r="T174" s="102">
        <f>IF(Q174&gt;0,S174*100/Q174,0)</f>
        <v>0</v>
      </c>
      <c r="U174" s="102">
        <f>IF(R174&gt;0,S174*100/R174,0)</f>
        <v>0</v>
      </c>
    </row>
    <row r="175" spans="1:21" ht="18.75" hidden="1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256">
        <f ca="1">L178+L181</f>
        <v>19590</v>
      </c>
      <c r="M175" s="255">
        <f ca="1">M178+M181</f>
        <v>34430</v>
      </c>
      <c r="N175" s="255">
        <f ca="1">N178+N181</f>
        <v>34430</v>
      </c>
      <c r="O175" s="255">
        <f ca="1">IF(L175&gt;0,N175*100/L175,0)</f>
        <v>175.75293517100562</v>
      </c>
      <c r="P175" s="255">
        <f ca="1">IF(M175&gt;0,N175*100/M175,0)</f>
        <v>100</v>
      </c>
      <c r="Q175" s="255">
        <f ca="1">Q178+Q181</f>
        <v>0</v>
      </c>
      <c r="R175" s="255">
        <f ca="1">R178+R181</f>
        <v>0</v>
      </c>
      <c r="S175" s="255">
        <f ca="1">S178+S181</f>
        <v>0</v>
      </c>
      <c r="T175" s="255">
        <f ca="1">IF(Q175&gt;0,S175*100/Q175,0)</f>
        <v>0</v>
      </c>
      <c r="U175" s="255">
        <f ca="1">IF(R175&gt;0,S175*100/R175,0)</f>
        <v>0</v>
      </c>
    </row>
    <row r="176" spans="1:21" ht="18.75">
      <c r="A176" s="155"/>
      <c r="B176" s="50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256">
        <f ca="1">L177+L178</f>
        <v>19590</v>
      </c>
      <c r="M176" s="255">
        <f ca="1">M177+M178</f>
        <v>34430</v>
      </c>
      <c r="N176" s="255">
        <f ca="1">N177+N178</f>
        <v>34430</v>
      </c>
      <c r="O176" s="255">
        <f ca="1">IF(L176&gt;0,N176*100/L176,0)</f>
        <v>175.75293517100562</v>
      </c>
      <c r="P176" s="255">
        <f ca="1">IF(M176&gt;0,N176*100/M176,0)</f>
        <v>100</v>
      </c>
      <c r="Q176" s="255">
        <f ca="1">Q177+Q178</f>
        <v>0</v>
      </c>
      <c r="R176" s="255">
        <f ca="1">R177+R178</f>
        <v>0</v>
      </c>
      <c r="S176" s="255">
        <f ca="1">S177+S178</f>
        <v>0</v>
      </c>
      <c r="T176" s="255">
        <f ca="1">IF(Q176&gt;0,S176*100/Q176,0)</f>
        <v>0</v>
      </c>
      <c r="U176" s="255">
        <f ca="1">IF(R176&gt;0,S176*100/R176,0)</f>
        <v>0</v>
      </c>
    </row>
    <row r="177" spans="1:21" ht="18.75" hidden="1">
      <c r="A177" s="155"/>
      <c r="B177" s="50"/>
      <c r="C177" s="50"/>
      <c r="D177" s="50"/>
      <c r="E177" s="186" t="s">
        <v>36</v>
      </c>
      <c r="F177" s="50"/>
      <c r="G177" s="52"/>
      <c r="H177" s="189" t="s">
        <v>14</v>
      </c>
      <c r="I177" s="163"/>
      <c r="J177" s="163"/>
      <c r="K177" s="164"/>
      <c r="L177" s="103">
        <v>0</v>
      </c>
      <c r="M177" s="102">
        <v>0</v>
      </c>
      <c r="N177" s="102">
        <v>0</v>
      </c>
      <c r="O177" s="102">
        <f>IF(L177&gt;0,N177*100/L177,0)</f>
        <v>0</v>
      </c>
      <c r="P177" s="102">
        <f>IF(M177&gt;0,N177*100/M177,0)</f>
        <v>0</v>
      </c>
      <c r="Q177" s="102">
        <v>0</v>
      </c>
      <c r="R177" s="102">
        <v>0</v>
      </c>
      <c r="S177" s="102">
        <v>0</v>
      </c>
      <c r="T177" s="102">
        <f>IF(Q177&gt;0,S177*100/Q177,0)</f>
        <v>0</v>
      </c>
      <c r="U177" s="102">
        <f>IF(R177&gt;0,S177*100/R177,0)</f>
        <v>0</v>
      </c>
    </row>
    <row r="178" spans="1:21" ht="18.75" hidden="1">
      <c r="A178" s="155"/>
      <c r="B178" s="50"/>
      <c r="C178" s="50"/>
      <c r="D178" s="50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256">
        <f ca="1">IFERROR(__xludf.DUMMYFUNCTION("IMPORTRANGE(""https://docs.google.com/spreadsheets/d/1-uDff_7J0KD5mKrp0Vvzr7lt3OU09vwQwhkpOPPYv2Y/edit?usp=sharing"",""งบพรบ!CK46"")"),19590)</f>
        <v>19590</v>
      </c>
      <c r="M178" s="255">
        <f ca="1">IFERROR(__xludf.DUMMYFUNCTION("IMPORTRANGE(""https://docs.google.com/spreadsheets/d/1-uDff_7J0KD5mKrp0Vvzr7lt3OU09vwQwhkpOPPYv2Y/edit?usp=sharing"",""งบพรบ!CP46"")"),34430)</f>
        <v>34430</v>
      </c>
      <c r="N178" s="255">
        <f ca="1">IFERROR(__xludf.DUMMYFUNCTION("IMPORTRANGE(""https://docs.google.com/spreadsheets/d/1-uDff_7J0KD5mKrp0Vvzr7lt3OU09vwQwhkpOPPYv2Y/edit?usp=sharing"",""งบพรบ!CR46"")"),34430)</f>
        <v>34430</v>
      </c>
      <c r="O178" s="255">
        <f ca="1">IF(L178&gt;0,N178*100/L178,0)</f>
        <v>175.75293517100562</v>
      </c>
      <c r="P178" s="255">
        <f ca="1">IF(M178&gt;0,N178*100/M178,0)</f>
        <v>100</v>
      </c>
      <c r="Q178" s="255">
        <f ca="1">IFERROR(__xludf.DUMMYFUNCTION("IMPORTRANGE(""https://docs.google.com/spreadsheets/d/1ItG2mGa2ceCfYo0BwxsXqNm01IGEUdYcSSLTEv9YCik/edit?usp=sharing"",""เบิกจ่ายกองทุน!BE46"")"),0)</f>
        <v>0</v>
      </c>
      <c r="R178" s="255">
        <f ca="1">IFERROR(__xludf.DUMMYFUNCTION("IMPORTRANGE(""https://docs.google.com/spreadsheets/d/1ItG2mGa2ceCfYo0BwxsXqNm01IGEUdYcSSLTEv9YCik/edit?usp=sharing"",""เบิกจ่ายกองทุน!BF46"")"),0)</f>
        <v>0</v>
      </c>
      <c r="S178" s="255">
        <f ca="1">IFERROR(__xludf.DUMMYFUNCTION("IMPORTRANGE(""https://docs.google.com/spreadsheets/d/1ItG2mGa2ceCfYo0BwxsXqNm01IGEUdYcSSLTEv9YCik/edit?usp=sharing"",""เบิกจ่ายกองทุน!BG46"")"),0)</f>
        <v>0</v>
      </c>
      <c r="T178" s="255">
        <f ca="1">IF(Q178&gt;0,S178*100/Q178,0)</f>
        <v>0</v>
      </c>
      <c r="U178" s="255">
        <f ca="1">IF(R178&gt;0,S178*100/R178,0)</f>
        <v>0</v>
      </c>
    </row>
    <row r="179" spans="1:21" ht="18.75">
      <c r="A179" s="155"/>
      <c r="B179" s="50"/>
      <c r="C179" s="50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256">
        <f ca="1">L180+L181</f>
        <v>0</v>
      </c>
      <c r="M179" s="255">
        <f ca="1">M180+M181</f>
        <v>0</v>
      </c>
      <c r="N179" s="255">
        <f ca="1">N180+N181</f>
        <v>0</v>
      </c>
      <c r="O179" s="255">
        <f ca="1">IF(L179&gt;0,N179*100/L179,0)</f>
        <v>0</v>
      </c>
      <c r="P179" s="255">
        <f ca="1">IF(M179&gt;0,N179*100/M179,0)</f>
        <v>0</v>
      </c>
      <c r="Q179" s="255">
        <f>Q180+Q181</f>
        <v>0</v>
      </c>
      <c r="R179" s="255">
        <f>R180+R181</f>
        <v>0</v>
      </c>
      <c r="S179" s="255">
        <f>S180+S181</f>
        <v>0</v>
      </c>
      <c r="T179" s="255">
        <f>IF(Q179&gt;0,S179*100/Q179,0)</f>
        <v>0</v>
      </c>
      <c r="U179" s="255">
        <f>IF(R179&gt;0,S179*100/R179,0)</f>
        <v>0</v>
      </c>
    </row>
    <row r="180" spans="1:21" ht="18.75" hidden="1">
      <c r="A180" s="155"/>
      <c r="B180" s="50"/>
      <c r="C180" s="50"/>
      <c r="D180" s="50"/>
      <c r="E180" s="186" t="s">
        <v>20</v>
      </c>
      <c r="F180" s="50"/>
      <c r="G180" s="52"/>
      <c r="H180" s="189" t="s">
        <v>14</v>
      </c>
      <c r="I180" s="163"/>
      <c r="J180" s="163"/>
      <c r="K180" s="164"/>
      <c r="L180" s="103">
        <v>0</v>
      </c>
      <c r="M180" s="102">
        <v>0</v>
      </c>
      <c r="N180" s="102">
        <v>0</v>
      </c>
      <c r="O180" s="102">
        <f>IF(L180&gt;0,N180*100/L180,0)</f>
        <v>0</v>
      </c>
      <c r="P180" s="102">
        <f>IF(M180&gt;0,N180*100/M180,0)</f>
        <v>0</v>
      </c>
      <c r="Q180" s="102">
        <v>0</v>
      </c>
      <c r="R180" s="102">
        <v>0</v>
      </c>
      <c r="S180" s="102">
        <v>0</v>
      </c>
      <c r="T180" s="102">
        <f>IF(Q180&gt;0,S180*100/Q180,0)</f>
        <v>0</v>
      </c>
      <c r="U180" s="102">
        <f>IF(R180&gt;0,S180*100/R180,0)</f>
        <v>0</v>
      </c>
    </row>
    <row r="181" spans="1:21" ht="18.75" hidden="1">
      <c r="A181" s="155"/>
      <c r="B181" s="50"/>
      <c r="C181" s="50"/>
      <c r="D181" s="50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256">
        <f ca="1">IFERROR(__xludf.DUMMYFUNCTION("IMPORTRANGE(""https://docs.google.com/spreadsheets/d/1-uDff_7J0KD5mKrp0Vvzr7lt3OU09vwQwhkpOPPYv2Y/edit?usp=sharing"",""งบพรบ!CN46"")"),0)</f>
        <v>0</v>
      </c>
      <c r="M181" s="255">
        <f ca="1">IFERROR(__xludf.DUMMYFUNCTION("IMPORTRANGE(""https://docs.google.com/spreadsheets/d/1-uDff_7J0KD5mKrp0Vvzr7lt3OU09vwQwhkpOPPYv2Y/edit?usp=sharing"",""งบพรบ!CQ46"")"),0)</f>
        <v>0</v>
      </c>
      <c r="N181" s="255">
        <f ca="1">IFERROR(__xludf.DUMMYFUNCTION("IMPORTRANGE(""https://docs.google.com/spreadsheets/d/1-uDff_7J0KD5mKrp0Vvzr7lt3OU09vwQwhkpOPPYv2Y/edit?usp=sharing"",""งบพรบ!CS46"")"),0)</f>
        <v>0</v>
      </c>
      <c r="O181" s="255">
        <f ca="1">IF(L181&gt;0,N181*100/L181,0)</f>
        <v>0</v>
      </c>
      <c r="P181" s="255">
        <f ca="1">IF(M181&gt;0,N181*100/M181,0)</f>
        <v>0</v>
      </c>
      <c r="Q181" s="255">
        <v>0</v>
      </c>
      <c r="R181" s="255">
        <v>0</v>
      </c>
      <c r="S181" s="255">
        <v>0</v>
      </c>
      <c r="T181" s="255">
        <f>IF(Q181&gt;0,S181*100/Q181,0)</f>
        <v>0</v>
      </c>
      <c r="U181" s="255">
        <f>IF(R181&gt;0,S181*100/R181,0)</f>
        <v>0</v>
      </c>
    </row>
    <row r="182" spans="1:21" ht="19.5">
      <c r="A182" s="166"/>
      <c r="B182" s="167"/>
      <c r="C182" s="156" t="s">
        <v>18</v>
      </c>
      <c r="D182" s="566" t="s">
        <v>38</v>
      </c>
      <c r="E182" s="169"/>
      <c r="F182" s="169"/>
      <c r="G182" s="170"/>
      <c r="H182" s="206"/>
      <c r="I182" s="54"/>
      <c r="J182" s="54"/>
      <c r="K182" s="55"/>
      <c r="L182" s="62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40" t="s">
        <v>35</v>
      </c>
      <c r="I183" s="212">
        <f ca="1">IFERROR(__xludf.DUMMYFUNCTION("IMPORTRANGE(""https://docs.google.com/spreadsheets/d/1eHaY18a8A9IcSdp1K8H6x8fbOy06t2VsZHhMHf-1x7Y/edit?usp=sharing"",""แผน!AA46"")"),7)</f>
        <v>7</v>
      </c>
      <c r="J183" s="467">
        <v>7</v>
      </c>
      <c r="K183" s="255">
        <f ca="1">IF(I183&gt;0,J183*100/I183,0)</f>
        <v>100</v>
      </c>
      <c r="L183" s="62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8.75" hidden="1">
      <c r="A184" s="238"/>
      <c r="B184" s="188"/>
      <c r="C184" s="188"/>
      <c r="D184" s="358" t="s">
        <v>76</v>
      </c>
      <c r="E184" s="50"/>
      <c r="F184" s="50"/>
      <c r="G184" s="52"/>
      <c r="H184" s="590" t="s">
        <v>35</v>
      </c>
      <c r="I184" s="483">
        <v>0</v>
      </c>
      <c r="J184" s="483">
        <v>0</v>
      </c>
      <c r="K184" s="102">
        <f>IF(I184&gt;0,J184*100/I184,0)</f>
        <v>0</v>
      </c>
      <c r="L184" s="62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233" t="s">
        <v>35</v>
      </c>
      <c r="I185" s="718">
        <f ca="1">I230+I231</f>
        <v>0</v>
      </c>
      <c r="J185" s="718">
        <f>J230+J231</f>
        <v>0</v>
      </c>
      <c r="K185" s="717">
        <f ca="1">IF(I185&gt;0,J185*100/I185,0)</f>
        <v>0</v>
      </c>
      <c r="L185" s="237"/>
      <c r="M185" s="236"/>
      <c r="N185" s="236"/>
      <c r="O185" s="236"/>
      <c r="P185" s="236"/>
      <c r="Q185" s="236"/>
      <c r="R185" s="236"/>
      <c r="S185" s="236"/>
      <c r="T185" s="236"/>
      <c r="U185" s="236"/>
    </row>
    <row r="186" spans="1:21" ht="19.5">
      <c r="A186" s="155"/>
      <c r="B186" s="50"/>
      <c r="C186" s="156" t="s">
        <v>18</v>
      </c>
      <c r="D186" s="575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541">
        <f ca="1">L187+L188</f>
        <v>65500</v>
      </c>
      <c r="M186" s="540">
        <f ca="1">M187+M188</f>
        <v>40200</v>
      </c>
      <c r="N186" s="540">
        <f ca="1">N187+N188</f>
        <v>9220</v>
      </c>
      <c r="O186" s="540">
        <f ca="1">IF(L186&gt;0,N186*100/L186,0)</f>
        <v>14.076335877862595</v>
      </c>
      <c r="P186" s="540">
        <f ca="1">IF(M186&gt;0,N186*100/M186,0)</f>
        <v>22.935323383084576</v>
      </c>
      <c r="Q186" s="540">
        <f ca="1">Q187+Q188</f>
        <v>226800</v>
      </c>
      <c r="R186" s="540">
        <f ca="1">R187+R188</f>
        <v>240800</v>
      </c>
      <c r="S186" s="540">
        <f ca="1">S187+S188</f>
        <v>0</v>
      </c>
      <c r="T186" s="540">
        <f ca="1">IF(Q186&gt;0,S186*100/Q186,0)</f>
        <v>0</v>
      </c>
      <c r="U186" s="540">
        <f ca="1">IF(R186&gt;0,S186*100/R186,0)</f>
        <v>0</v>
      </c>
    </row>
    <row r="187" spans="1:21" ht="18.75" hidden="1">
      <c r="A187" s="155"/>
      <c r="B187" s="50"/>
      <c r="C187" s="50"/>
      <c r="D187" s="50"/>
      <c r="E187" s="186" t="s">
        <v>20</v>
      </c>
      <c r="F187" s="50"/>
      <c r="G187" s="52"/>
      <c r="H187" s="187" t="s">
        <v>14</v>
      </c>
      <c r="I187" s="54"/>
      <c r="J187" s="54"/>
      <c r="K187" s="55"/>
      <c r="L187" s="103">
        <f>L190+L193</f>
        <v>0</v>
      </c>
      <c r="M187" s="102">
        <f>M190+M193</f>
        <v>0</v>
      </c>
      <c r="N187" s="102">
        <f>N190+N193</f>
        <v>0</v>
      </c>
      <c r="O187" s="102">
        <f>IF(L187&gt;0,N187*100/L187,0)</f>
        <v>0</v>
      </c>
      <c r="P187" s="102">
        <f>IF(M187&gt;0,N187*100/M187,0)</f>
        <v>0</v>
      </c>
      <c r="Q187" s="102">
        <f>Q190+Q193</f>
        <v>0</v>
      </c>
      <c r="R187" s="102">
        <f>R190+R193</f>
        <v>0</v>
      </c>
      <c r="S187" s="102">
        <f>S190+S193</f>
        <v>0</v>
      </c>
      <c r="T187" s="102">
        <f>IF(Q187&gt;0,S187*100/Q187,0)</f>
        <v>0</v>
      </c>
      <c r="U187" s="102">
        <f>IF(R187&gt;0,S187*100/R187,0)</f>
        <v>0</v>
      </c>
    </row>
    <row r="188" spans="1:21" ht="18.75" hidden="1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256">
        <f ca="1">L191+L194</f>
        <v>65500</v>
      </c>
      <c r="M188" s="255">
        <f ca="1">M191+M194</f>
        <v>40200</v>
      </c>
      <c r="N188" s="255">
        <f ca="1">N191+N194</f>
        <v>9220</v>
      </c>
      <c r="O188" s="255">
        <f ca="1">IF(L188&gt;0,N188*100/L188,0)</f>
        <v>14.076335877862595</v>
      </c>
      <c r="P188" s="255">
        <f ca="1">IF(M188&gt;0,N188*100/M188,0)</f>
        <v>22.935323383084576</v>
      </c>
      <c r="Q188" s="255">
        <f ca="1">Q191+Q194</f>
        <v>226800</v>
      </c>
      <c r="R188" s="255">
        <f ca="1">R191+R194</f>
        <v>240800</v>
      </c>
      <c r="S188" s="255">
        <f ca="1">S191+S194</f>
        <v>0</v>
      </c>
      <c r="T188" s="255">
        <f ca="1">IF(Q188&gt;0,S188*100/Q188,0)</f>
        <v>0</v>
      </c>
      <c r="U188" s="255">
        <f ca="1">IF(R188&gt;0,S188*100/R188,0)</f>
        <v>0</v>
      </c>
    </row>
    <row r="189" spans="1:21" ht="18.75">
      <c r="A189" s="155"/>
      <c r="B189" s="50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256">
        <f ca="1">L190+L191</f>
        <v>65500</v>
      </c>
      <c r="M189" s="255">
        <f ca="1">M190+M191</f>
        <v>40200</v>
      </c>
      <c r="N189" s="255">
        <f ca="1">N190+N191</f>
        <v>9220</v>
      </c>
      <c r="O189" s="255">
        <f ca="1">IF(L189&gt;0,N189*100/L189,0)</f>
        <v>14.076335877862595</v>
      </c>
      <c r="P189" s="255">
        <f ca="1">IF(M189&gt;0,N189*100/M189,0)</f>
        <v>22.935323383084576</v>
      </c>
      <c r="Q189" s="255">
        <f ca="1">Q190+Q191</f>
        <v>226800</v>
      </c>
      <c r="R189" s="255">
        <f ca="1">R190+R191</f>
        <v>240800</v>
      </c>
      <c r="S189" s="255">
        <f ca="1">S190+S191</f>
        <v>0</v>
      </c>
      <c r="T189" s="255">
        <f ca="1">IF(Q189&gt;0,S189*100/Q189,0)</f>
        <v>0</v>
      </c>
      <c r="U189" s="255">
        <f ca="1">IF(R189&gt;0,S189*100/R189,0)</f>
        <v>0</v>
      </c>
    </row>
    <row r="190" spans="1:21" ht="18.75" hidden="1">
      <c r="A190" s="155"/>
      <c r="B190" s="50"/>
      <c r="C190" s="50"/>
      <c r="D190" s="50"/>
      <c r="E190" s="186" t="s">
        <v>36</v>
      </c>
      <c r="F190" s="50"/>
      <c r="G190" s="52"/>
      <c r="H190" s="189" t="s">
        <v>14</v>
      </c>
      <c r="I190" s="163"/>
      <c r="J190" s="163"/>
      <c r="K190" s="164"/>
      <c r="L190" s="103">
        <v>0</v>
      </c>
      <c r="M190" s="102">
        <v>0</v>
      </c>
      <c r="N190" s="102">
        <v>0</v>
      </c>
      <c r="O190" s="102">
        <f>IF(L190&gt;0,N190*100/L190,0)</f>
        <v>0</v>
      </c>
      <c r="P190" s="102">
        <f>IF(M190&gt;0,N190*100/M190,0)</f>
        <v>0</v>
      </c>
      <c r="Q190" s="102">
        <v>0</v>
      </c>
      <c r="R190" s="102">
        <v>0</v>
      </c>
      <c r="S190" s="102">
        <v>0</v>
      </c>
      <c r="T190" s="102">
        <f>IF(Q190&gt;0,S190*100/Q190,0)</f>
        <v>0</v>
      </c>
      <c r="U190" s="102">
        <f>IF(R190&gt;0,S190*100/R190,0)</f>
        <v>0</v>
      </c>
    </row>
    <row r="191" spans="1:21" ht="18.75" hidden="1">
      <c r="A191" s="155"/>
      <c r="B191" s="50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256">
        <f ca="1">IFERROR(__xludf.DUMMYFUNCTION("IMPORTRANGE(""https://docs.google.com/spreadsheets/d/1-uDff_7J0KD5mKrp0Vvzr7lt3OU09vwQwhkpOPPYv2Y/edit?usp=sharing"",""งบพรบ!CU46"")"),65500)</f>
        <v>65500</v>
      </c>
      <c r="M191" s="255">
        <f ca="1">IFERROR(__xludf.DUMMYFUNCTION("IMPORTRANGE(""https://docs.google.com/spreadsheets/d/1-uDff_7J0KD5mKrp0Vvzr7lt3OU09vwQwhkpOPPYv2Y/edit?usp=sharing"",""งบพรบ!CZ46"")"),40200)</f>
        <v>40200</v>
      </c>
      <c r="N191" s="255">
        <f ca="1">IFERROR(__xludf.DUMMYFUNCTION("IMPORTRANGE(""https://docs.google.com/spreadsheets/d/1-uDff_7J0KD5mKrp0Vvzr7lt3OU09vwQwhkpOPPYv2Y/edit?usp=sharing"",""งบพรบ!DB46"")"),9220)</f>
        <v>9220</v>
      </c>
      <c r="O191" s="255">
        <f ca="1">IF(L191&gt;0,N191*100/L191,0)</f>
        <v>14.076335877862595</v>
      </c>
      <c r="P191" s="255">
        <f ca="1">IF(M191&gt;0,N191*100/M191,0)</f>
        <v>22.935323383084576</v>
      </c>
      <c r="Q191" s="255">
        <f ca="1">IFERROR(__xludf.DUMMYFUNCTION("IMPORTRANGE(""https://docs.google.com/spreadsheets/d/1ItG2mGa2ceCfYo0BwxsXqNm01IGEUdYcSSLTEv9YCik/edit?usp=sharing"",""เบิกจ่ายกองทุน!AV46"")"),226800)</f>
        <v>226800</v>
      </c>
      <c r="R191" s="255">
        <f ca="1">IFERROR(__xludf.DUMMYFUNCTION("IMPORTRANGE(""https://docs.google.com/spreadsheets/d/1ItG2mGa2ceCfYo0BwxsXqNm01IGEUdYcSSLTEv9YCik/edit?usp=sharing"",""เบิกจ่ายกองทุน!AW46"")"),240800)</f>
        <v>240800</v>
      </c>
      <c r="S191" s="255">
        <f ca="1">IFERROR(__xludf.DUMMYFUNCTION("IMPORTRANGE(""https://docs.google.com/spreadsheets/d/1ItG2mGa2ceCfYo0BwxsXqNm01IGEUdYcSSLTEv9YCik/edit?usp=sharing"",""เบิกจ่ายกองทุน!AX46"")"),0)</f>
        <v>0</v>
      </c>
      <c r="T191" s="255">
        <f ca="1">IF(Q191&gt;0,S191*100/Q191,0)</f>
        <v>0</v>
      </c>
      <c r="U191" s="255">
        <f ca="1">IF(R191&gt;0,S191*100/R191,0)</f>
        <v>0</v>
      </c>
    </row>
    <row r="192" spans="1:21" ht="18.75">
      <c r="A192" s="155"/>
      <c r="B192" s="50"/>
      <c r="C192" s="50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256">
        <f ca="1">L193+L194</f>
        <v>0</v>
      </c>
      <c r="M192" s="255">
        <f ca="1">M193+M194</f>
        <v>0</v>
      </c>
      <c r="N192" s="255">
        <f ca="1">N193+N194</f>
        <v>0</v>
      </c>
      <c r="O192" s="255">
        <f ca="1">IF(L192&gt;0,N192*100/L192,0)</f>
        <v>0</v>
      </c>
      <c r="P192" s="255">
        <f ca="1">IF(M192&gt;0,N192*100/M192,0)</f>
        <v>0</v>
      </c>
      <c r="Q192" s="255">
        <f>Q193+Q194</f>
        <v>0</v>
      </c>
      <c r="R192" s="255">
        <f>R193+R194</f>
        <v>0</v>
      </c>
      <c r="S192" s="255">
        <f>S193+S194</f>
        <v>0</v>
      </c>
      <c r="T192" s="255">
        <f>IF(Q192&gt;0,S192*100/Q192,0)</f>
        <v>0</v>
      </c>
      <c r="U192" s="255">
        <f>IF(R192&gt;0,S192*100/R192,0)</f>
        <v>0</v>
      </c>
    </row>
    <row r="193" spans="1:21" ht="18.75" hidden="1">
      <c r="A193" s="155"/>
      <c r="B193" s="50"/>
      <c r="C193" s="50"/>
      <c r="D193" s="50"/>
      <c r="E193" s="186" t="s">
        <v>20</v>
      </c>
      <c r="F193" s="50"/>
      <c r="G193" s="52"/>
      <c r="H193" s="189" t="s">
        <v>14</v>
      </c>
      <c r="I193" s="163"/>
      <c r="J193" s="163"/>
      <c r="K193" s="164"/>
      <c r="L193" s="103">
        <v>0</v>
      </c>
      <c r="M193" s="102">
        <v>0</v>
      </c>
      <c r="N193" s="102">
        <v>0</v>
      </c>
      <c r="O193" s="102">
        <f>IF(L193&gt;0,N193*100/L193,0)</f>
        <v>0</v>
      </c>
      <c r="P193" s="102">
        <f>IF(M193&gt;0,N193*100/M193,0)</f>
        <v>0</v>
      </c>
      <c r="Q193" s="102">
        <v>0</v>
      </c>
      <c r="R193" s="102">
        <v>0</v>
      </c>
      <c r="S193" s="102">
        <v>0</v>
      </c>
      <c r="T193" s="102">
        <f>IF(Q193&gt;0,S193*100/Q193,0)</f>
        <v>0</v>
      </c>
      <c r="U193" s="102">
        <f>IF(R193&gt;0,S193*100/R193,0)</f>
        <v>0</v>
      </c>
    </row>
    <row r="194" spans="1:21" ht="18.75" hidden="1">
      <c r="A194" s="155"/>
      <c r="B194" s="50"/>
      <c r="C194" s="50"/>
      <c r="D194" s="50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256">
        <f ca="1">IFERROR(__xludf.DUMMYFUNCTION("IMPORTRANGE(""https://docs.google.com/spreadsheets/d/1-uDff_7J0KD5mKrp0Vvzr7lt3OU09vwQwhkpOPPYv2Y/edit?usp=sharing"",""งบพรบ!CX46"")"),0)</f>
        <v>0</v>
      </c>
      <c r="M194" s="255">
        <f ca="1">IFERROR(__xludf.DUMMYFUNCTION("IMPORTRANGE(""https://docs.google.com/spreadsheets/d/1-uDff_7J0KD5mKrp0Vvzr7lt3OU09vwQwhkpOPPYv2Y/edit?usp=sharing"",""งบพรบ!DA46"")"),0)</f>
        <v>0</v>
      </c>
      <c r="N194" s="255">
        <f ca="1">IFERROR(__xludf.DUMMYFUNCTION("IMPORTRANGE(""https://docs.google.com/spreadsheets/d/1-uDff_7J0KD5mKrp0Vvzr7lt3OU09vwQwhkpOPPYv2Y/edit?usp=sharing"",""งบพรบ!DC46"")"),0)</f>
        <v>0</v>
      </c>
      <c r="O194" s="255">
        <f ca="1">IF(L194&gt;0,N194*100/L194,0)</f>
        <v>0</v>
      </c>
      <c r="P194" s="255">
        <f ca="1">IF(M194&gt;0,N194*100/M194,0)</f>
        <v>0</v>
      </c>
      <c r="Q194" s="255">
        <v>0</v>
      </c>
      <c r="R194" s="255">
        <v>0</v>
      </c>
      <c r="S194" s="255">
        <v>0</v>
      </c>
      <c r="T194" s="255">
        <f>IF(Q194&gt;0,S194*100/Q194,0)</f>
        <v>0</v>
      </c>
      <c r="U194" s="255">
        <f>IF(R194&gt;0,S194*100/R194,0)</f>
        <v>0</v>
      </c>
    </row>
    <row r="195" spans="1:21" ht="19.5">
      <c r="A195" s="241"/>
      <c r="B195" s="242"/>
      <c r="C195" s="243" t="s">
        <v>78</v>
      </c>
      <c r="D195" s="244"/>
      <c r="E195" s="244"/>
      <c r="F195" s="244"/>
      <c r="G195" s="245"/>
      <c r="H195" s="246" t="s">
        <v>79</v>
      </c>
      <c r="I195" s="339">
        <f ca="1">I198</f>
        <v>4</v>
      </c>
      <c r="J195" s="339">
        <f>J198</f>
        <v>2</v>
      </c>
      <c r="K195" s="340">
        <f ca="1">IF(I195&gt;0,J195*100/I195,0)</f>
        <v>50</v>
      </c>
      <c r="L195" s="250"/>
      <c r="M195" s="249"/>
      <c r="N195" s="249"/>
      <c r="O195" s="249"/>
      <c r="P195" s="249"/>
      <c r="Q195" s="249"/>
      <c r="R195" s="249"/>
      <c r="S195" s="249"/>
      <c r="T195" s="249"/>
      <c r="U195" s="249"/>
    </row>
    <row r="196" spans="1:21" ht="19.5">
      <c r="A196" s="155"/>
      <c r="B196" s="50"/>
      <c r="C196" s="156" t="s">
        <v>18</v>
      </c>
      <c r="D196" s="713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541">
        <f ca="1">IFERROR(__xludf.DUMMYFUNCTION("IMPORTRANGE(""https://docs.google.com/spreadsheets/d/1eHaY18a8A9IcSdp1K8H6x8fbOy06t2VsZHhMHf-1x7Y/edit?usp=sharing"",""แผน!AB46"")"),6000)</f>
        <v>6000</v>
      </c>
      <c r="M196" s="55"/>
      <c r="N196" s="716">
        <v>2740</v>
      </c>
      <c r="O196" s="540">
        <f ca="1">IF(L196&gt;0,N196*100/L196,0)</f>
        <v>45.666666666666664</v>
      </c>
      <c r="P196" s="540">
        <f>IF(M196&gt;0,N196*100/M196,0)</f>
        <v>0</v>
      </c>
      <c r="Q196" s="55"/>
      <c r="R196" s="55"/>
      <c r="S196" s="55"/>
      <c r="T196" s="55"/>
      <c r="U196" s="55"/>
    </row>
    <row r="197" spans="1:21" ht="19.5">
      <c r="A197" s="166"/>
      <c r="B197" s="167"/>
      <c r="C197" s="156" t="s">
        <v>18</v>
      </c>
      <c r="D197" s="566" t="s">
        <v>38</v>
      </c>
      <c r="E197" s="169"/>
      <c r="F197" s="169"/>
      <c r="G197" s="170"/>
      <c r="H197" s="171"/>
      <c r="I197" s="54"/>
      <c r="J197" s="54"/>
      <c r="K197" s="55"/>
      <c r="L197" s="62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8.75">
      <c r="A198" s="166"/>
      <c r="B198" s="167"/>
      <c r="C198" s="167"/>
      <c r="D198" s="178" t="s">
        <v>80</v>
      </c>
      <c r="E198" s="174"/>
      <c r="F198" s="174"/>
      <c r="G198" s="171"/>
      <c r="H198" s="179" t="s">
        <v>79</v>
      </c>
      <c r="I198" s="212">
        <f ca="1">IFERROR(__xludf.DUMMYFUNCTION("IMPORTRANGE(""https://docs.google.com/spreadsheets/d/1eHaY18a8A9IcSdp1K8H6x8fbOy06t2VsZHhMHf-1x7Y/edit?usp=sharing"",""แผน!AE46"")"),4)</f>
        <v>4</v>
      </c>
      <c r="J198" s="467">
        <v>2</v>
      </c>
      <c r="K198" s="255">
        <f ca="1">IF(I198&gt;0,J198*100/I198,0)</f>
        <v>50</v>
      </c>
      <c r="L198" s="62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8.75">
      <c r="A199" s="166"/>
      <c r="B199" s="167"/>
      <c r="C199" s="167"/>
      <c r="D199" s="178" t="s">
        <v>81</v>
      </c>
      <c r="E199" s="174"/>
      <c r="F199" s="174"/>
      <c r="G199" s="171"/>
      <c r="H199" s="240" t="s">
        <v>35</v>
      </c>
      <c r="I199" s="54"/>
      <c r="J199" s="212">
        <f>J200+J201</f>
        <v>83</v>
      </c>
      <c r="K199" s="55"/>
      <c r="L199" s="62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467">
        <v>83</v>
      </c>
      <c r="K200" s="55"/>
      <c r="L200" s="62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40" t="s">
        <v>35</v>
      </c>
      <c r="I201" s="54"/>
      <c r="J201" s="467">
        <v>0</v>
      </c>
      <c r="K201" s="55"/>
      <c r="L201" s="62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254" t="s">
        <v>85</v>
      </c>
      <c r="I202" s="339">
        <f ca="1">I209</f>
        <v>2</v>
      </c>
      <c r="J202" s="339">
        <f>J209</f>
        <v>0</v>
      </c>
      <c r="K202" s="340">
        <f ca="1">IF(I202&gt;0,J202*100/I202,0)</f>
        <v>0</v>
      </c>
      <c r="L202" s="250"/>
      <c r="M202" s="249"/>
      <c r="N202" s="249"/>
      <c r="O202" s="249"/>
      <c r="P202" s="249"/>
      <c r="Q202" s="249"/>
      <c r="R202" s="249"/>
      <c r="S202" s="249"/>
      <c r="T202" s="249"/>
      <c r="U202" s="249"/>
    </row>
    <row r="203" spans="1:21" ht="19.5">
      <c r="A203" s="155"/>
      <c r="B203" s="50"/>
      <c r="C203" s="156" t="s">
        <v>18</v>
      </c>
      <c r="D203" s="713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541">
        <f ca="1">L204+L205+L206+L207</f>
        <v>5000</v>
      </c>
      <c r="M203" s="55"/>
      <c r="N203" s="540">
        <f>N204+N205+N206+N207</f>
        <v>0</v>
      </c>
      <c r="O203" s="540">
        <f ca="1">IF(L203&gt;0,N203*100/L203,0)</f>
        <v>0</v>
      </c>
      <c r="P203" s="540">
        <f>IF(M203&gt;0,N203*100/M203,0)</f>
        <v>0</v>
      </c>
      <c r="Q203" s="715">
        <f ca="1">Q204+Q205+Q206+Q207</f>
        <v>28000</v>
      </c>
      <c r="R203" s="350"/>
      <c r="S203" s="714">
        <f>S204+S205+S206+S207</f>
        <v>0</v>
      </c>
      <c r="T203" s="714">
        <f ca="1">IF(Q203&gt;0,S203*100/Q203,0)</f>
        <v>0</v>
      </c>
      <c r="U203" s="714">
        <f>IF(R203&gt;0,S203*100/R203,0)</f>
        <v>0</v>
      </c>
    </row>
    <row r="204" spans="1:21" ht="18.75">
      <c r="A204" s="155"/>
      <c r="B204" s="188"/>
      <c r="C204" s="50"/>
      <c r="D204" s="712" t="s">
        <v>310</v>
      </c>
      <c r="E204" s="50"/>
      <c r="F204" s="50"/>
      <c r="G204" s="52"/>
      <c r="H204" s="162" t="s">
        <v>14</v>
      </c>
      <c r="I204" s="163"/>
      <c r="J204" s="163"/>
      <c r="K204" s="164"/>
      <c r="L204" s="256">
        <f ca="1">IFERROR(__xludf.DUMMYFUNCTION("IMPORTRANGE(""https://docs.google.com/spreadsheets/d/1eHaY18a8A9IcSdp1K8H6x8fbOy06t2VsZHhMHf-1x7Y/edit?usp=sharing"",""แผน!AG46"")"),1000)</f>
        <v>1000</v>
      </c>
      <c r="M204" s="55"/>
      <c r="N204" s="702">
        <v>0</v>
      </c>
      <c r="O204" s="164"/>
      <c r="P204" s="55"/>
      <c r="Q204" s="256">
        <v>0</v>
      </c>
      <c r="R204" s="55"/>
      <c r="S204" s="255">
        <v>0</v>
      </c>
      <c r="T204" s="164"/>
      <c r="U204" s="55"/>
    </row>
    <row r="205" spans="1:21" ht="18.75">
      <c r="A205" s="238"/>
      <c r="B205" s="188"/>
      <c r="C205" s="50"/>
      <c r="D205" s="58" t="s">
        <v>308</v>
      </c>
      <c r="E205" s="50"/>
      <c r="F205" s="50"/>
      <c r="G205" s="52"/>
      <c r="H205" s="53" t="s">
        <v>14</v>
      </c>
      <c r="I205" s="54"/>
      <c r="J205" s="54"/>
      <c r="K205" s="55"/>
      <c r="L205" s="256">
        <f ca="1">IFERROR(__xludf.DUMMYFUNCTION("IMPORTRANGE(""https://docs.google.com/spreadsheets/d/1eHaY18a8A9IcSdp1K8H6x8fbOy06t2VsZHhMHf-1x7Y/edit?usp=sharing"",""แผน!AH46"")"),0)</f>
        <v>0</v>
      </c>
      <c r="M205" s="55"/>
      <c r="N205" s="702">
        <v>0</v>
      </c>
      <c r="O205" s="164"/>
      <c r="P205" s="55"/>
      <c r="Q205" s="256">
        <v>0</v>
      </c>
      <c r="R205" s="55"/>
      <c r="S205" s="255">
        <v>0</v>
      </c>
      <c r="T205" s="164"/>
      <c r="U205" s="55"/>
    </row>
    <row r="206" spans="1:21" ht="18.75">
      <c r="A206" s="238"/>
      <c r="B206" s="188"/>
      <c r="C206" s="50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256">
        <f ca="1">IFERROR(__xludf.DUMMYFUNCTION("IMPORTRANGE(""https://docs.google.com/spreadsheets/d/1eHaY18a8A9IcSdp1K8H6x8fbOy06t2VsZHhMHf-1x7Y/edit?usp=sharing"",""แผน!AI46"")"),0)</f>
        <v>0</v>
      </c>
      <c r="M206" s="55"/>
      <c r="N206" s="702">
        <v>0</v>
      </c>
      <c r="O206" s="164"/>
      <c r="P206" s="55"/>
      <c r="Q206" s="256">
        <f ca="1">IFERROR(__xludf.DUMMYFUNCTION("IMPORTRANGE(""https://docs.google.com/spreadsheets/d/1eHaY18a8A9IcSdp1K8H6x8fbOy06t2VsZHhMHf-1x7Y/edit?usp=sharing"",""แผน!LV46"")"),28000)</f>
        <v>28000</v>
      </c>
      <c r="R206" s="55"/>
      <c r="S206" s="702">
        <v>0</v>
      </c>
      <c r="T206" s="164"/>
      <c r="U206" s="55"/>
    </row>
    <row r="207" spans="1:21" ht="18.75">
      <c r="A207" s="238"/>
      <c r="B207" s="188"/>
      <c r="C207" s="50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256">
        <f ca="1">IFERROR(__xludf.DUMMYFUNCTION("IMPORTRANGE(""https://docs.google.com/spreadsheets/d/1eHaY18a8A9IcSdp1K8H6x8fbOy06t2VsZHhMHf-1x7Y/edit?usp=sharing"",""แผน!AJ46"")"),4000)</f>
        <v>4000</v>
      </c>
      <c r="M207" s="55"/>
      <c r="N207" s="702">
        <v>0</v>
      </c>
      <c r="O207" s="164"/>
      <c r="P207" s="55"/>
      <c r="Q207" s="256">
        <v>0</v>
      </c>
      <c r="R207" s="55"/>
      <c r="S207" s="255">
        <v>0</v>
      </c>
      <c r="T207" s="164"/>
      <c r="U207" s="55"/>
    </row>
    <row r="208" spans="1:21" ht="19.5">
      <c r="A208" s="166"/>
      <c r="B208" s="167"/>
      <c r="C208" s="156" t="s">
        <v>18</v>
      </c>
      <c r="D208" s="566" t="s">
        <v>38</v>
      </c>
      <c r="E208" s="169"/>
      <c r="F208" s="169"/>
      <c r="G208" s="170"/>
      <c r="H208" s="171"/>
      <c r="I208" s="163"/>
      <c r="J208" s="163"/>
      <c r="K208" s="164"/>
      <c r="L208" s="172"/>
      <c r="M208" s="164"/>
      <c r="N208" s="164"/>
      <c r="O208" s="164"/>
      <c r="P208" s="164"/>
      <c r="Q208" s="172"/>
      <c r="R208" s="164"/>
      <c r="S208" s="164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257" t="s">
        <v>85</v>
      </c>
      <c r="I209" s="212">
        <f ca="1">IFERROR(__xludf.DUMMYFUNCTION("IMPORTRANGE(""https://docs.google.com/spreadsheets/d/1eHaY18a8A9IcSdp1K8H6x8fbOy06t2VsZHhMHf-1x7Y/edit?usp=sharing"",""แผน!AK46"")"),2)</f>
        <v>2</v>
      </c>
      <c r="J209" s="467">
        <v>0</v>
      </c>
      <c r="K209" s="565">
        <f ca="1">IF(I209&gt;0,J209*100/I209,0)</f>
        <v>0</v>
      </c>
      <c r="L209" s="62"/>
      <c r="M209" s="55"/>
      <c r="N209" s="55"/>
      <c r="O209" s="55"/>
      <c r="P209" s="55"/>
      <c r="Q209" s="62"/>
      <c r="R209" s="55"/>
      <c r="S209" s="55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171"/>
      <c r="I210" s="54"/>
      <c r="J210" s="54"/>
      <c r="K210" s="164"/>
      <c r="L210" s="62"/>
      <c r="M210" s="55"/>
      <c r="N210" s="55"/>
      <c r="O210" s="55"/>
      <c r="P210" s="55"/>
      <c r="Q210" s="62"/>
      <c r="R210" s="55"/>
      <c r="S210" s="55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257" t="s">
        <v>85</v>
      </c>
      <c r="I211" s="212">
        <f ca="1">IFERROR(__xludf.DUMMYFUNCTION("IMPORTRANGE(""https://docs.google.com/spreadsheets/d/1eHaY18a8A9IcSdp1K8H6x8fbOy06t2VsZHhMHf-1x7Y/edit?usp=sharing"",""แผน!JX46"")"),1)</f>
        <v>1</v>
      </c>
      <c r="J211" s="467">
        <v>0</v>
      </c>
      <c r="K211" s="565">
        <f ca="1">IF(I211&gt;0,J211*100/I211,0)</f>
        <v>0</v>
      </c>
      <c r="L211" s="62"/>
      <c r="M211" s="55"/>
      <c r="N211" s="55"/>
      <c r="O211" s="55"/>
      <c r="P211" s="55"/>
      <c r="Q211" s="62"/>
      <c r="R211" s="55"/>
      <c r="S211" s="55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79" t="s">
        <v>93</v>
      </c>
      <c r="I212" s="212">
        <f ca="1">IFERROR(__xludf.DUMMYFUNCTION("IMPORTRANGE(""https://docs.google.com/spreadsheets/d/1eHaY18a8A9IcSdp1K8H6x8fbOy06t2VsZHhMHf-1x7Y/edit?usp=sharing"",""แผน!JY46"")"),0)</f>
        <v>0</v>
      </c>
      <c r="J212" s="467">
        <v>0</v>
      </c>
      <c r="K212" s="565">
        <f ca="1">IF(I212&gt;0,J212*100/I212,0)</f>
        <v>0</v>
      </c>
      <c r="L212" s="62"/>
      <c r="M212" s="55"/>
      <c r="N212" s="55"/>
      <c r="O212" s="55"/>
      <c r="P212" s="55"/>
      <c r="Q212" s="62"/>
      <c r="R212" s="55"/>
      <c r="S212" s="55"/>
      <c r="T212" s="55"/>
      <c r="U212" s="55"/>
    </row>
    <row r="213" spans="1:21" ht="19.5">
      <c r="A213" s="241"/>
      <c r="B213" s="242"/>
      <c r="C213" s="243" t="s">
        <v>94</v>
      </c>
      <c r="D213" s="244"/>
      <c r="E213" s="244"/>
      <c r="F213" s="244"/>
      <c r="G213" s="245"/>
      <c r="H213" s="254" t="s">
        <v>85</v>
      </c>
      <c r="I213" s="339">
        <f ca="1">I220</f>
        <v>4</v>
      </c>
      <c r="J213" s="339">
        <f>J220</f>
        <v>0</v>
      </c>
      <c r="K213" s="340">
        <f ca="1">IF(I213&gt;0,J213*100/I213,0)</f>
        <v>0</v>
      </c>
      <c r="L213" s="250"/>
      <c r="M213" s="249"/>
      <c r="N213" s="249"/>
      <c r="O213" s="249"/>
      <c r="P213" s="249"/>
      <c r="Q213" s="250"/>
      <c r="R213" s="249"/>
      <c r="S213" s="249"/>
      <c r="T213" s="249"/>
      <c r="U213" s="249"/>
    </row>
    <row r="214" spans="1:21" ht="19.5">
      <c r="A214" s="155"/>
      <c r="B214" s="50"/>
      <c r="C214" s="156" t="s">
        <v>18</v>
      </c>
      <c r="D214" s="713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541">
        <f ca="1">L215+L216+L217</f>
        <v>18000</v>
      </c>
      <c r="M214" s="55"/>
      <c r="N214" s="540">
        <f>N215+N216+N217</f>
        <v>0</v>
      </c>
      <c r="O214" s="540">
        <f ca="1">IF(L214&gt;0,N214*100/L214,0)</f>
        <v>0</v>
      </c>
      <c r="P214" s="540">
        <f>IF(M214&gt;0,N214*100/M214,0)</f>
        <v>0</v>
      </c>
      <c r="Q214" s="541">
        <f ca="1">Q215+Q216+Q217</f>
        <v>198800</v>
      </c>
      <c r="R214" s="55"/>
      <c r="S214" s="540">
        <f>S215+S216+S217</f>
        <v>0</v>
      </c>
      <c r="T214" s="540">
        <f ca="1">IF(Q214&gt;0,S214*100/Q214,0)</f>
        <v>0</v>
      </c>
      <c r="U214" s="540">
        <f>IF(R214&gt;0,S214*100/R214,0)</f>
        <v>0</v>
      </c>
    </row>
    <row r="215" spans="1:21" ht="18.75">
      <c r="A215" s="155"/>
      <c r="B215" s="188"/>
      <c r="C215" s="50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256">
        <f ca="1">IFERROR(__xludf.DUMMYFUNCTION("IMPORTRANGE(""https://docs.google.com/spreadsheets/d/1eHaY18a8A9IcSdp1K8H6x8fbOy06t2VsZHhMHf-1x7Y/edit?usp=sharing"",""แผน!AM46"")"),3000)</f>
        <v>3000</v>
      </c>
      <c r="M215" s="55"/>
      <c r="N215" s="702">
        <v>0</v>
      </c>
      <c r="O215" s="164"/>
      <c r="P215" s="55"/>
      <c r="Q215" s="256">
        <v>0</v>
      </c>
      <c r="R215" s="55"/>
      <c r="S215" s="255">
        <v>0</v>
      </c>
      <c r="T215" s="164"/>
      <c r="U215" s="55"/>
    </row>
    <row r="216" spans="1:21" ht="18.75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256">
        <f ca="1">IFERROR(__xludf.DUMMYFUNCTION("IMPORTRANGE(""https://docs.google.com/spreadsheets/d/1eHaY18a8A9IcSdp1K8H6x8fbOy06t2VsZHhMHf-1x7Y/edit?usp=sharing"",""แผน!AN46"")"),15000)</f>
        <v>15000</v>
      </c>
      <c r="M216" s="55"/>
      <c r="N216" s="702">
        <v>0</v>
      </c>
      <c r="O216" s="164"/>
      <c r="P216" s="55"/>
      <c r="Q216" s="256">
        <v>0</v>
      </c>
      <c r="R216" s="55"/>
      <c r="S216" s="255">
        <v>0</v>
      </c>
      <c r="T216" s="164"/>
      <c r="U216" s="55"/>
    </row>
    <row r="217" spans="1:21" ht="18.75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256">
        <f ca="1">IFERROR(__xludf.DUMMYFUNCTION("IMPORTRANGE(""https://docs.google.com/spreadsheets/d/1eHaY18a8A9IcSdp1K8H6x8fbOy06t2VsZHhMHf-1x7Y/edit?usp=sharing"",""แผน!AO46"")"),0)</f>
        <v>0</v>
      </c>
      <c r="M217" s="55"/>
      <c r="N217" s="702">
        <v>0</v>
      </c>
      <c r="O217" s="164"/>
      <c r="P217" s="55"/>
      <c r="Q217" s="256">
        <f ca="1">IFERROR(__xludf.DUMMYFUNCTION("IMPORTRANGE(""https://docs.google.com/spreadsheets/d/1eHaY18a8A9IcSdp1K8H6x8fbOy06t2VsZHhMHf-1x7Y/edit?usp=sharing"",""แผน!LY46"")"),198800)</f>
        <v>198800</v>
      </c>
      <c r="R217" s="55"/>
      <c r="S217" s="702">
        <v>0</v>
      </c>
      <c r="T217" s="164"/>
      <c r="U217" s="55"/>
    </row>
    <row r="218" spans="1:21" ht="19.5">
      <c r="A218" s="166"/>
      <c r="B218" s="167"/>
      <c r="C218" s="191" t="s">
        <v>18</v>
      </c>
      <c r="D218" s="566" t="s">
        <v>38</v>
      </c>
      <c r="E218" s="169"/>
      <c r="F218" s="169"/>
      <c r="G218" s="170"/>
      <c r="H218" s="171"/>
      <c r="I218" s="163"/>
      <c r="J218" s="54"/>
      <c r="K218" s="55"/>
      <c r="L218" s="62"/>
      <c r="M218" s="55"/>
      <c r="N218" s="55"/>
      <c r="O218" s="164"/>
      <c r="P218" s="164"/>
      <c r="Q218" s="62"/>
      <c r="R218" s="55"/>
      <c r="S218" s="55"/>
      <c r="T218" s="164"/>
      <c r="U218" s="164"/>
    </row>
    <row r="219" spans="1:21" ht="18.75">
      <c r="A219" s="166"/>
      <c r="B219" s="167"/>
      <c r="C219" s="167"/>
      <c r="D219" s="173" t="s">
        <v>96</v>
      </c>
      <c r="E219" s="174"/>
      <c r="F219" s="174"/>
      <c r="G219" s="171"/>
      <c r="H219" s="257" t="s">
        <v>85</v>
      </c>
      <c r="I219" s="212">
        <f ca="1">IFERROR(__xludf.DUMMYFUNCTION("IMPORTRANGE(""https://docs.google.com/spreadsheets/d/1eHaY18a8A9IcSdp1K8H6x8fbOy06t2VsZHhMHf-1x7Y/edit?usp=sharing"",""แผน!AP46"")"),4)</f>
        <v>4</v>
      </c>
      <c r="J219" s="467">
        <v>0</v>
      </c>
      <c r="K219" s="255">
        <f ca="1">IF(I219&gt;0,J219*100/I219,0)</f>
        <v>0</v>
      </c>
      <c r="L219" s="62"/>
      <c r="M219" s="55"/>
      <c r="N219" s="55"/>
      <c r="O219" s="55"/>
      <c r="P219" s="55"/>
      <c r="Q219" s="62"/>
      <c r="R219" s="55"/>
      <c r="S219" s="55"/>
      <c r="T219" s="55"/>
      <c r="U219" s="55"/>
    </row>
    <row r="220" spans="1:21" ht="18.75">
      <c r="A220" s="166"/>
      <c r="B220" s="167"/>
      <c r="C220" s="167"/>
      <c r="D220" s="173" t="s">
        <v>97</v>
      </c>
      <c r="E220" s="174"/>
      <c r="F220" s="174"/>
      <c r="G220" s="171"/>
      <c r="H220" s="257" t="s">
        <v>85</v>
      </c>
      <c r="I220" s="212">
        <f ca="1">IFERROR(__xludf.DUMMYFUNCTION("IMPORTRANGE(""https://docs.google.com/spreadsheets/d/1eHaY18a8A9IcSdp1K8H6x8fbOy06t2VsZHhMHf-1x7Y/edit?usp=sharing"",""แผน!AP46"")"),4)</f>
        <v>4</v>
      </c>
      <c r="J220" s="467">
        <v>0</v>
      </c>
      <c r="K220" s="255">
        <f ca="1">IF(I220&gt;0,J220*100/I220,0)</f>
        <v>0</v>
      </c>
      <c r="L220" s="62"/>
      <c r="M220" s="55"/>
      <c r="N220" s="55"/>
      <c r="O220" s="55"/>
      <c r="P220" s="55"/>
      <c r="Q220" s="62"/>
      <c r="R220" s="55"/>
      <c r="S220" s="55"/>
      <c r="T220" s="55"/>
      <c r="U220" s="55"/>
    </row>
    <row r="221" spans="1:21" ht="19.5">
      <c r="A221" s="241"/>
      <c r="B221" s="242"/>
      <c r="C221" s="243" t="s">
        <v>98</v>
      </c>
      <c r="D221" s="244"/>
      <c r="E221" s="244"/>
      <c r="F221" s="244"/>
      <c r="G221" s="245"/>
      <c r="H221" s="246" t="s">
        <v>99</v>
      </c>
      <c r="I221" s="339">
        <f ca="1">I229</f>
        <v>15000</v>
      </c>
      <c r="J221" s="339">
        <f>J229</f>
        <v>0</v>
      </c>
      <c r="K221" s="340">
        <f ca="1">IF(I221&gt;0,J221*100/I221,0)</f>
        <v>0</v>
      </c>
      <c r="L221" s="250"/>
      <c r="M221" s="249"/>
      <c r="N221" s="249"/>
      <c r="O221" s="249"/>
      <c r="P221" s="249"/>
      <c r="Q221" s="249"/>
      <c r="R221" s="249"/>
      <c r="S221" s="249"/>
      <c r="T221" s="249"/>
      <c r="U221" s="249"/>
    </row>
    <row r="222" spans="1:21" ht="19.5">
      <c r="A222" s="155"/>
      <c r="B222" s="50"/>
      <c r="C222" s="156" t="s">
        <v>18</v>
      </c>
      <c r="D222" s="713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541">
        <f ca="1">L223+L224+L225</f>
        <v>4500</v>
      </c>
      <c r="M222" s="55"/>
      <c r="N222" s="540">
        <f>N223+N224+N225</f>
        <v>0</v>
      </c>
      <c r="O222" s="540">
        <f ca="1">IF(L222&gt;0,N222*100/L222,0)</f>
        <v>0</v>
      </c>
      <c r="P222" s="540">
        <f>IF(M222&gt;0,N222*100/M222,0)</f>
        <v>0</v>
      </c>
      <c r="Q222" s="55"/>
      <c r="R222" s="55"/>
      <c r="S222" s="55"/>
      <c r="T222" s="55"/>
      <c r="U222" s="55"/>
    </row>
    <row r="223" spans="1:21" ht="18.75">
      <c r="A223" s="155"/>
      <c r="B223" s="188"/>
      <c r="C223" s="50"/>
      <c r="D223" s="712" t="s">
        <v>309</v>
      </c>
      <c r="E223" s="50"/>
      <c r="F223" s="50"/>
      <c r="G223" s="52"/>
      <c r="H223" s="162" t="s">
        <v>14</v>
      </c>
      <c r="I223" s="163"/>
      <c r="J223" s="163"/>
      <c r="K223" s="164"/>
      <c r="L223" s="256">
        <f ca="1">IFERROR(__xludf.DUMMYFUNCTION("IMPORTRANGE(""https://docs.google.com/spreadsheets/d/1eHaY18a8A9IcSdp1K8H6x8fbOy06t2VsZHhMHf-1x7Y/edit?usp=sharing"",""แผน!AR46"")"),2500)</f>
        <v>2500</v>
      </c>
      <c r="M223" s="55"/>
      <c r="N223" s="702">
        <v>0</v>
      </c>
      <c r="O223" s="164"/>
      <c r="P223" s="55"/>
      <c r="Q223" s="55"/>
      <c r="R223" s="55"/>
      <c r="S223" s="55"/>
      <c r="T223" s="164"/>
      <c r="U223" s="55"/>
    </row>
    <row r="224" spans="1:21" ht="18.75">
      <c r="A224" s="238"/>
      <c r="B224" s="188"/>
      <c r="C224" s="188"/>
      <c r="D224" s="58" t="s">
        <v>308</v>
      </c>
      <c r="E224" s="50"/>
      <c r="F224" s="50"/>
      <c r="G224" s="52"/>
      <c r="H224" s="162" t="s">
        <v>14</v>
      </c>
      <c r="I224" s="54"/>
      <c r="J224" s="54"/>
      <c r="K224" s="55"/>
      <c r="L224" s="256">
        <f ca="1">IFERROR(__xludf.DUMMYFUNCTION("IMPORTRANGE(""https://docs.google.com/spreadsheets/d/1eHaY18a8A9IcSdp1K8H6x8fbOy06t2VsZHhMHf-1x7Y/edit?usp=sharing"",""แผน!AS46"")"),2000)</f>
        <v>2000</v>
      </c>
      <c r="M224" s="55"/>
      <c r="N224" s="702">
        <v>0</v>
      </c>
      <c r="O224" s="164"/>
      <c r="P224" s="55"/>
      <c r="Q224" s="55"/>
      <c r="R224" s="55"/>
      <c r="S224" s="55"/>
      <c r="T224" s="164"/>
      <c r="U224" s="55"/>
    </row>
    <row r="225" spans="1:21" ht="18.75">
      <c r="A225" s="238"/>
      <c r="B225" s="188"/>
      <c r="C225" s="188"/>
      <c r="D225" s="58" t="s">
        <v>88</v>
      </c>
      <c r="E225" s="50"/>
      <c r="F225" s="50"/>
      <c r="G225" s="52"/>
      <c r="H225" s="162" t="s">
        <v>14</v>
      </c>
      <c r="I225" s="54"/>
      <c r="J225" s="54"/>
      <c r="K225" s="55"/>
      <c r="L225" s="256">
        <f ca="1">IFERROR(__xludf.DUMMYFUNCTION("IMPORTRANGE(""https://docs.google.com/spreadsheets/d/1eHaY18a8A9IcSdp1K8H6x8fbOy06t2VsZHhMHf-1x7Y/edit?usp=sharing"",""แผน!AT46"")"),0)</f>
        <v>0</v>
      </c>
      <c r="M225" s="55"/>
      <c r="N225" s="702">
        <v>0</v>
      </c>
      <c r="O225" s="164"/>
      <c r="P225" s="55"/>
      <c r="Q225" s="55"/>
      <c r="R225" s="55"/>
      <c r="S225" s="55"/>
      <c r="T225" s="164"/>
      <c r="U225" s="55"/>
    </row>
    <row r="226" spans="1:21" ht="19.5">
      <c r="A226" s="166"/>
      <c r="B226" s="167"/>
      <c r="C226" s="191" t="s">
        <v>18</v>
      </c>
      <c r="D226" s="566" t="s">
        <v>38</v>
      </c>
      <c r="E226" s="169"/>
      <c r="F226" s="169"/>
      <c r="G226" s="170"/>
      <c r="H226" s="171"/>
      <c r="I226" s="163"/>
      <c r="J226" s="163"/>
      <c r="K226" s="164"/>
      <c r="L226" s="172"/>
      <c r="M226" s="164"/>
      <c r="N226" s="164"/>
      <c r="O226" s="164"/>
      <c r="P226" s="164"/>
      <c r="Q226" s="164"/>
      <c r="R226" s="164"/>
      <c r="S226" s="164"/>
      <c r="T226" s="164"/>
      <c r="U226" s="164"/>
    </row>
    <row r="227" spans="1:21" ht="18.75">
      <c r="A227" s="166"/>
      <c r="B227" s="167"/>
      <c r="C227" s="167"/>
      <c r="D227" s="58" t="s">
        <v>101</v>
      </c>
      <c r="E227" s="174"/>
      <c r="F227" s="174"/>
      <c r="G227" s="171"/>
      <c r="H227" s="171"/>
      <c r="I227" s="54"/>
      <c r="J227" s="54"/>
      <c r="K227" s="164"/>
      <c r="L227" s="172"/>
      <c r="M227" s="164"/>
      <c r="N227" s="164"/>
      <c r="O227" s="164"/>
      <c r="P227" s="164"/>
      <c r="Q227" s="164"/>
      <c r="R227" s="164"/>
      <c r="S227" s="164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79" t="s">
        <v>99</v>
      </c>
      <c r="I228" s="212">
        <f ca="1">IFERROR(__xludf.DUMMYFUNCTION("IMPORTRANGE(""https://docs.google.com/spreadsheets/d/1eHaY18a8A9IcSdp1K8H6x8fbOy06t2VsZHhMHf-1x7Y/edit?usp=sharing"",""แผน!AV46"")"),15000)</f>
        <v>15000</v>
      </c>
      <c r="J228" s="467">
        <v>15000</v>
      </c>
      <c r="K228" s="565">
        <f ca="1">IF(I228&gt;0,J228*100/I228,0)</f>
        <v>100</v>
      </c>
      <c r="L228" s="172"/>
      <c r="M228" s="164"/>
      <c r="N228" s="164"/>
      <c r="O228" s="164"/>
      <c r="P228" s="164"/>
      <c r="Q228" s="164"/>
      <c r="R228" s="164"/>
      <c r="S228" s="164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79" t="s">
        <v>99</v>
      </c>
      <c r="I229" s="212">
        <f ca="1">IFERROR(__xludf.DUMMYFUNCTION("IMPORTRANGE(""https://docs.google.com/spreadsheets/d/1eHaY18a8A9IcSdp1K8H6x8fbOy06t2VsZHhMHf-1x7Y/edit?usp=sharing"",""แผน!AV46"")"),15000)</f>
        <v>15000</v>
      </c>
      <c r="J229" s="467">
        <v>0</v>
      </c>
      <c r="K229" s="565">
        <f ca="1">IF(I229&gt;0,J229*100/I229,0)</f>
        <v>0</v>
      </c>
      <c r="L229" s="62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79" t="s">
        <v>35</v>
      </c>
      <c r="I230" s="212">
        <f ca="1">IFERROR(__xludf.DUMMYFUNCTION("IMPORTRANGE(""https://docs.google.com/spreadsheets/d/1eHaY18a8A9IcSdp1K8H6x8fbOy06t2VsZHhMHf-1x7Y/edit?usp=sharing"",""แผน!AU46"")"),0)</f>
        <v>0</v>
      </c>
      <c r="J230" s="467">
        <v>0</v>
      </c>
      <c r="K230" s="565">
        <f ca="1">IF(I230&gt;0,J230*100/I230,0)</f>
        <v>0</v>
      </c>
      <c r="L230" s="62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9.5" hidden="1">
      <c r="A231" s="241"/>
      <c r="B231" s="242"/>
      <c r="C231" s="243" t="s">
        <v>105</v>
      </c>
      <c r="D231" s="244"/>
      <c r="E231" s="244"/>
      <c r="F231" s="244"/>
      <c r="G231" s="245"/>
      <c r="H231" s="246" t="s">
        <v>35</v>
      </c>
      <c r="I231" s="339">
        <f ca="1">I242+I253</f>
        <v>0</v>
      </c>
      <c r="J231" s="339">
        <f>J242+J253</f>
        <v>0</v>
      </c>
      <c r="K231" s="340">
        <f ca="1">IF(I231&gt;0,J231*100/I231,0)</f>
        <v>0</v>
      </c>
      <c r="L231" s="250"/>
      <c r="M231" s="249"/>
      <c r="N231" s="249"/>
      <c r="O231" s="249"/>
      <c r="P231" s="249"/>
      <c r="Q231" s="249"/>
      <c r="R231" s="249"/>
      <c r="S231" s="249"/>
      <c r="T231" s="249"/>
      <c r="U231" s="249"/>
    </row>
    <row r="232" spans="1:21" ht="19.5" hidden="1">
      <c r="A232" s="155"/>
      <c r="B232" s="50"/>
      <c r="C232" s="156" t="s">
        <v>18</v>
      </c>
      <c r="D232" s="575" t="s">
        <v>19</v>
      </c>
      <c r="E232" s="50"/>
      <c r="F232" s="50"/>
      <c r="G232" s="52"/>
      <c r="H232" s="252" t="s">
        <v>14</v>
      </c>
      <c r="I232" s="163"/>
      <c r="J232" s="163"/>
      <c r="K232" s="164"/>
      <c r="L232" s="711">
        <f ca="1">L243+L254</f>
        <v>0</v>
      </c>
      <c r="M232" s="55"/>
      <c r="N232" s="710">
        <f>N243+N254</f>
        <v>0</v>
      </c>
      <c r="O232" s="55"/>
      <c r="P232" s="55"/>
      <c r="Q232" s="55"/>
      <c r="R232" s="55"/>
      <c r="S232" s="55"/>
      <c r="T232" s="55"/>
      <c r="U232" s="55"/>
    </row>
    <row r="233" spans="1:21" ht="18.75" hidden="1">
      <c r="A233" s="155"/>
      <c r="B233" s="188"/>
      <c r="C233" s="50"/>
      <c r="D233" s="58" t="s">
        <v>86</v>
      </c>
      <c r="E233" s="50"/>
      <c r="F233" s="50"/>
      <c r="G233" s="52"/>
      <c r="H233" s="162" t="s">
        <v>14</v>
      </c>
      <c r="I233" s="163"/>
      <c r="J233" s="163"/>
      <c r="K233" s="164"/>
      <c r="L233" s="103">
        <f ca="1">L244+L255</f>
        <v>0</v>
      </c>
      <c r="M233" s="55"/>
      <c r="N233" s="102">
        <f>N244+N255</f>
        <v>0</v>
      </c>
      <c r="O233" s="55"/>
      <c r="P233" s="55"/>
      <c r="Q233" s="709">
        <v>0</v>
      </c>
      <c r="R233" s="708">
        <v>0</v>
      </c>
      <c r="S233" s="708">
        <v>0</v>
      </c>
      <c r="T233" s="55"/>
      <c r="U233" s="55"/>
    </row>
    <row r="234" spans="1:21" ht="18.75" hidden="1">
      <c r="A234" s="238"/>
      <c r="B234" s="188"/>
      <c r="C234" s="188"/>
      <c r="D234" s="58" t="s">
        <v>88</v>
      </c>
      <c r="E234" s="50"/>
      <c r="F234" s="50"/>
      <c r="G234" s="52"/>
      <c r="H234" s="162" t="s">
        <v>14</v>
      </c>
      <c r="I234" s="54"/>
      <c r="J234" s="54"/>
      <c r="K234" s="55"/>
      <c r="L234" s="103">
        <f ca="1">L245+L256</f>
        <v>0</v>
      </c>
      <c r="M234" s="55"/>
      <c r="N234" s="102">
        <f>N245+N256</f>
        <v>0</v>
      </c>
      <c r="O234" s="55"/>
      <c r="P234" s="55"/>
      <c r="Q234" s="256">
        <v>0</v>
      </c>
      <c r="R234" s="255">
        <v>0</v>
      </c>
      <c r="S234" s="255">
        <v>0</v>
      </c>
      <c r="T234" s="55"/>
      <c r="U234" s="55"/>
    </row>
    <row r="235" spans="1:21" ht="18.75" hidden="1">
      <c r="A235" s="238"/>
      <c r="B235" s="188"/>
      <c r="C235" s="188"/>
      <c r="D235" s="58" t="s">
        <v>106</v>
      </c>
      <c r="E235" s="50"/>
      <c r="F235" s="50"/>
      <c r="G235" s="52"/>
      <c r="H235" s="162" t="s">
        <v>14</v>
      </c>
      <c r="I235" s="54"/>
      <c r="J235" s="54"/>
      <c r="K235" s="55"/>
      <c r="L235" s="103">
        <f ca="1">L246+L257</f>
        <v>0</v>
      </c>
      <c r="M235" s="55"/>
      <c r="N235" s="102">
        <f>N246+N257</f>
        <v>0</v>
      </c>
      <c r="O235" s="55"/>
      <c r="P235" s="55"/>
      <c r="Q235" s="256">
        <v>0</v>
      </c>
      <c r="R235" s="255">
        <v>0</v>
      </c>
      <c r="S235" s="255">
        <v>0</v>
      </c>
      <c r="T235" s="55"/>
      <c r="U235" s="55"/>
    </row>
    <row r="236" spans="1:21" ht="18.75" hidden="1">
      <c r="A236" s="238"/>
      <c r="B236" s="188"/>
      <c r="C236" s="188"/>
      <c r="D236" s="58" t="s">
        <v>107</v>
      </c>
      <c r="E236" s="50"/>
      <c r="F236" s="50"/>
      <c r="G236" s="52"/>
      <c r="H236" s="162" t="s">
        <v>14</v>
      </c>
      <c r="I236" s="54"/>
      <c r="J236" s="54"/>
      <c r="K236" s="55"/>
      <c r="L236" s="103">
        <f ca="1">L247+L258</f>
        <v>0</v>
      </c>
      <c r="M236" s="55"/>
      <c r="N236" s="102">
        <f>N247+N258</f>
        <v>0</v>
      </c>
      <c r="O236" s="55"/>
      <c r="P236" s="55"/>
      <c r="Q236" s="256">
        <v>0</v>
      </c>
      <c r="R236" s="255">
        <v>0</v>
      </c>
      <c r="S236" s="255">
        <v>0</v>
      </c>
      <c r="T236" s="55"/>
      <c r="U236" s="55"/>
    </row>
    <row r="237" spans="1:21" ht="19.5" hidden="1">
      <c r="A237" s="166"/>
      <c r="B237" s="167"/>
      <c r="C237" s="191" t="s">
        <v>18</v>
      </c>
      <c r="D237" s="566" t="s">
        <v>38</v>
      </c>
      <c r="E237" s="169"/>
      <c r="F237" s="169"/>
      <c r="G237" s="170"/>
      <c r="H237" s="171"/>
      <c r="I237" s="163"/>
      <c r="J237" s="54"/>
      <c r="K237" s="55"/>
      <c r="L237" s="62"/>
      <c r="M237" s="55"/>
      <c r="N237" s="55"/>
      <c r="O237" s="164"/>
      <c r="P237" s="164"/>
      <c r="Q237" s="55"/>
      <c r="R237" s="55"/>
      <c r="S237" s="55"/>
      <c r="T237" s="164"/>
      <c r="U237" s="164"/>
    </row>
    <row r="238" spans="1:21" ht="18.75" hidden="1">
      <c r="A238" s="166"/>
      <c r="B238" s="167"/>
      <c r="C238" s="167"/>
      <c r="D238" s="178" t="s">
        <v>108</v>
      </c>
      <c r="E238" s="174"/>
      <c r="F238" s="174"/>
      <c r="G238" s="171"/>
      <c r="H238" s="179" t="s">
        <v>35</v>
      </c>
      <c r="I238" s="212">
        <f ca="1">I249+I260</f>
        <v>0</v>
      </c>
      <c r="J238" s="212">
        <f>J249+J260</f>
        <v>0</v>
      </c>
      <c r="K238" s="255">
        <f ca="1">IF(I238&gt;0,J238*100/I238,0)</f>
        <v>0</v>
      </c>
      <c r="L238" s="62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ht="18.75" hidden="1">
      <c r="A239" s="166"/>
      <c r="B239" s="167"/>
      <c r="C239" s="167"/>
      <c r="D239" s="266" t="s">
        <v>43</v>
      </c>
      <c r="E239" s="174"/>
      <c r="F239" s="174"/>
      <c r="G239" s="171"/>
      <c r="H239" s="171"/>
      <c r="I239" s="54"/>
      <c r="J239" s="54"/>
      <c r="K239" s="55"/>
      <c r="L239" s="62"/>
      <c r="M239" s="55"/>
      <c r="N239" s="55"/>
      <c r="O239" s="164"/>
      <c r="P239" s="164"/>
      <c r="Q239" s="55"/>
      <c r="R239" s="55"/>
      <c r="S239" s="55"/>
      <c r="T239" s="164"/>
      <c r="U239" s="164"/>
    </row>
    <row r="240" spans="1:21" ht="18.75" hidden="1">
      <c r="A240" s="166"/>
      <c r="B240" s="167"/>
      <c r="C240" s="167"/>
      <c r="D240" s="167"/>
      <c r="E240" s="173" t="s">
        <v>109</v>
      </c>
      <c r="F240" s="174"/>
      <c r="G240" s="171"/>
      <c r="H240" s="179" t="s">
        <v>35</v>
      </c>
      <c r="I240" s="212">
        <f>I251+I262</f>
        <v>0</v>
      </c>
      <c r="J240" s="212">
        <f>J251+J262</f>
        <v>0</v>
      </c>
      <c r="K240" s="255">
        <f>IF(I240&gt;0,J240*100/I240,0)</f>
        <v>0</v>
      </c>
      <c r="L240" s="62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ht="18.75" hidden="1">
      <c r="A241" s="166"/>
      <c r="B241" s="167"/>
      <c r="C241" s="167"/>
      <c r="D241" s="167"/>
      <c r="E241" s="173" t="s">
        <v>110</v>
      </c>
      <c r="F241" s="174"/>
      <c r="G241" s="171"/>
      <c r="H241" s="179" t="s">
        <v>61</v>
      </c>
      <c r="I241" s="212">
        <f>I252+I263</f>
        <v>0</v>
      </c>
      <c r="J241" s="212">
        <f>J252+J263</f>
        <v>0</v>
      </c>
      <c r="K241" s="255">
        <f>IF(I241&gt;0,J241*100/I241,0)</f>
        <v>0</v>
      </c>
      <c r="L241" s="62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ht="19.5" hidden="1">
      <c r="A242" s="241"/>
      <c r="B242" s="242"/>
      <c r="C242" s="707" t="s">
        <v>111</v>
      </c>
      <c r="D242" s="244"/>
      <c r="E242" s="244"/>
      <c r="F242" s="244"/>
      <c r="G242" s="245"/>
      <c r="H242" s="706" t="s">
        <v>35</v>
      </c>
      <c r="I242" s="705">
        <f ca="1">I249</f>
        <v>0</v>
      </c>
      <c r="J242" s="705">
        <f>J249</f>
        <v>0</v>
      </c>
      <c r="K242" s="704">
        <f ca="1">IF(I242&gt;0,J242*100/I242,0)</f>
        <v>0</v>
      </c>
      <c r="L242" s="250"/>
      <c r="M242" s="249"/>
      <c r="N242" s="249"/>
      <c r="O242" s="249"/>
      <c r="P242" s="249"/>
      <c r="Q242" s="249"/>
      <c r="R242" s="249"/>
      <c r="S242" s="249"/>
      <c r="T242" s="249"/>
      <c r="U242" s="249"/>
    </row>
    <row r="243" spans="1:21" ht="19.5" hidden="1">
      <c r="A243" s="155"/>
      <c r="B243" s="50"/>
      <c r="C243" s="591" t="s">
        <v>18</v>
      </c>
      <c r="D243" s="562" t="s">
        <v>19</v>
      </c>
      <c r="E243" s="50"/>
      <c r="F243" s="50"/>
      <c r="G243" s="52"/>
      <c r="H243" s="418" t="s">
        <v>14</v>
      </c>
      <c r="I243" s="163"/>
      <c r="J243" s="163"/>
      <c r="K243" s="164"/>
      <c r="L243" s="541">
        <f ca="1">L244+L245+L246+L247</f>
        <v>0</v>
      </c>
      <c r="M243" s="55"/>
      <c r="N243" s="540">
        <f>N244+N245+N246+N247</f>
        <v>0</v>
      </c>
      <c r="O243" s="540">
        <f ca="1">IF(L243&gt;0,N243*100/L243,0)</f>
        <v>0</v>
      </c>
      <c r="P243" s="540">
        <f>IF(M243&gt;0,N243*100/M243,0)</f>
        <v>0</v>
      </c>
      <c r="Q243" s="55"/>
      <c r="R243" s="55"/>
      <c r="S243" s="55"/>
      <c r="T243" s="55"/>
      <c r="U243" s="55"/>
    </row>
    <row r="244" spans="1:21" ht="18.75" hidden="1">
      <c r="A244" s="155"/>
      <c r="B244" s="188"/>
      <c r="C244" s="50"/>
      <c r="D244" s="186" t="s">
        <v>86</v>
      </c>
      <c r="E244" s="50"/>
      <c r="F244" s="50"/>
      <c r="G244" s="52"/>
      <c r="H244" s="189" t="s">
        <v>14</v>
      </c>
      <c r="I244" s="163"/>
      <c r="J244" s="163"/>
      <c r="K244" s="164"/>
      <c r="L244" s="256">
        <f ca="1">IFERROR(__xludf.DUMMYFUNCTION("IMPORTRANGE(""https://docs.google.com/spreadsheets/d/1eHaY18a8A9IcSdp1K8H6x8fbOy06t2VsZHhMHf-1x7Y/edit?usp=sharing"",""แผน!AX46"")"),0)</f>
        <v>0</v>
      </c>
      <c r="M244" s="55"/>
      <c r="N244" s="702">
        <v>0</v>
      </c>
      <c r="O244" s="55"/>
      <c r="P244" s="55"/>
      <c r="Q244" s="55"/>
      <c r="R244" s="55"/>
      <c r="S244" s="55"/>
      <c r="T244" s="55"/>
      <c r="U244" s="55"/>
    </row>
    <row r="245" spans="1:21" ht="18.75" hidden="1">
      <c r="A245" s="238"/>
      <c r="B245" s="188"/>
      <c r="C245" s="188"/>
      <c r="D245" s="186" t="s">
        <v>88</v>
      </c>
      <c r="E245" s="50"/>
      <c r="F245" s="50"/>
      <c r="G245" s="52"/>
      <c r="H245" s="189" t="s">
        <v>14</v>
      </c>
      <c r="I245" s="54"/>
      <c r="J245" s="54"/>
      <c r="K245" s="55"/>
      <c r="L245" s="256">
        <f ca="1">IFERROR(__xludf.DUMMYFUNCTION("IMPORTRANGE(""https://docs.google.com/spreadsheets/d/1eHaY18a8A9IcSdp1K8H6x8fbOy06t2VsZHhMHf-1x7Y/edit?usp=sharing"",""แผน!AY46"")"),0)</f>
        <v>0</v>
      </c>
      <c r="M245" s="55"/>
      <c r="N245" s="702">
        <v>0</v>
      </c>
      <c r="O245" s="55"/>
      <c r="P245" s="55"/>
      <c r="Q245" s="55"/>
      <c r="R245" s="55"/>
      <c r="S245" s="55"/>
      <c r="T245" s="55"/>
      <c r="U245" s="55"/>
    </row>
    <row r="246" spans="1:21" ht="18.75" hidden="1">
      <c r="A246" s="238"/>
      <c r="B246" s="188"/>
      <c r="C246" s="188"/>
      <c r="D246" s="186" t="s">
        <v>106</v>
      </c>
      <c r="E246" s="50"/>
      <c r="F246" s="50"/>
      <c r="G246" s="52"/>
      <c r="H246" s="189" t="s">
        <v>14</v>
      </c>
      <c r="I246" s="54"/>
      <c r="J246" s="54"/>
      <c r="K246" s="55"/>
      <c r="L246" s="256">
        <f ca="1">IFERROR(__xludf.DUMMYFUNCTION("IMPORTRANGE(""https://docs.google.com/spreadsheets/d/1eHaY18a8A9IcSdp1K8H6x8fbOy06t2VsZHhMHf-1x7Y/edit?usp=sharing"",""แผน!AZ46"")"),0)</f>
        <v>0</v>
      </c>
      <c r="M246" s="55"/>
      <c r="N246" s="702">
        <v>0</v>
      </c>
      <c r="O246" s="55"/>
      <c r="P246" s="55"/>
      <c r="Q246" s="55"/>
      <c r="R246" s="55"/>
      <c r="S246" s="55"/>
      <c r="T246" s="55"/>
      <c r="U246" s="55"/>
    </row>
    <row r="247" spans="1:21" ht="18.75" hidden="1">
      <c r="A247" s="238"/>
      <c r="B247" s="188"/>
      <c r="C247" s="188"/>
      <c r="D247" s="186" t="s">
        <v>107</v>
      </c>
      <c r="E247" s="50"/>
      <c r="F247" s="50"/>
      <c r="G247" s="52"/>
      <c r="H247" s="189" t="s">
        <v>14</v>
      </c>
      <c r="I247" s="54"/>
      <c r="J247" s="54"/>
      <c r="K247" s="55"/>
      <c r="L247" s="256">
        <f ca="1">IFERROR(__xludf.DUMMYFUNCTION("IMPORTRANGE(""https://docs.google.com/spreadsheets/d/1eHaY18a8A9IcSdp1K8H6x8fbOy06t2VsZHhMHf-1x7Y/edit?usp=sharing"",""แผน!BA46"")"),0)</f>
        <v>0</v>
      </c>
      <c r="M247" s="55"/>
      <c r="N247" s="702">
        <v>0</v>
      </c>
      <c r="O247" s="55"/>
      <c r="P247" s="55"/>
      <c r="Q247" s="55"/>
      <c r="R247" s="55"/>
      <c r="S247" s="55"/>
      <c r="T247" s="55"/>
      <c r="U247" s="55"/>
    </row>
    <row r="248" spans="1:21" ht="19.5" hidden="1">
      <c r="A248" s="166"/>
      <c r="B248" s="167"/>
      <c r="C248" s="701" t="s">
        <v>18</v>
      </c>
      <c r="D248" s="574" t="s">
        <v>38</v>
      </c>
      <c r="E248" s="169"/>
      <c r="F248" s="169"/>
      <c r="G248" s="170"/>
      <c r="H248" s="171"/>
      <c r="I248" s="163"/>
      <c r="J248" s="54"/>
      <c r="K248" s="55"/>
      <c r="L248" s="62"/>
      <c r="M248" s="55"/>
      <c r="N248" s="55"/>
      <c r="O248" s="164"/>
      <c r="P248" s="164"/>
      <c r="Q248" s="55"/>
      <c r="R248" s="55"/>
      <c r="S248" s="55"/>
      <c r="T248" s="164"/>
      <c r="U248" s="164"/>
    </row>
    <row r="249" spans="1:21" ht="18.75" hidden="1">
      <c r="A249" s="166"/>
      <c r="B249" s="167"/>
      <c r="C249" s="167"/>
      <c r="D249" s="207" t="s">
        <v>108</v>
      </c>
      <c r="E249" s="174"/>
      <c r="F249" s="174"/>
      <c r="G249" s="171"/>
      <c r="H249" s="698" t="s">
        <v>35</v>
      </c>
      <c r="I249" s="483">
        <f ca="1">IFERROR(__xludf.DUMMYFUNCTION("IMPORTRANGE(""https://docs.google.com/spreadsheets/d/1eHaY18a8A9IcSdp1K8H6x8fbOy06t2VsZHhMHf-1x7Y/edit?usp=sharing"",""แผน!BG46"")"),0)</f>
        <v>0</v>
      </c>
      <c r="J249" s="589">
        <v>0</v>
      </c>
      <c r="K249" s="102">
        <f ca="1">IF(I249&gt;0,J249*100/I249,0)</f>
        <v>0</v>
      </c>
      <c r="L249" s="62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8.75" hidden="1">
      <c r="A250" s="166"/>
      <c r="B250" s="167"/>
      <c r="C250" s="167"/>
      <c r="D250" s="700" t="s">
        <v>43</v>
      </c>
      <c r="E250" s="174"/>
      <c r="F250" s="174"/>
      <c r="G250" s="171"/>
      <c r="H250" s="171"/>
      <c r="I250" s="54"/>
      <c r="J250" s="54"/>
      <c r="K250" s="55"/>
      <c r="L250" s="62"/>
      <c r="M250" s="55"/>
      <c r="N250" s="55"/>
      <c r="O250" s="164"/>
      <c r="P250" s="164"/>
      <c r="Q250" s="55"/>
      <c r="R250" s="55"/>
      <c r="S250" s="55"/>
      <c r="T250" s="164"/>
      <c r="U250" s="164"/>
    </row>
    <row r="251" spans="1:21" ht="18.75" hidden="1">
      <c r="A251" s="166"/>
      <c r="B251" s="167"/>
      <c r="C251" s="167"/>
      <c r="D251" s="167"/>
      <c r="E251" s="699" t="s">
        <v>109</v>
      </c>
      <c r="F251" s="174"/>
      <c r="G251" s="171"/>
      <c r="H251" s="698" t="s">
        <v>35</v>
      </c>
      <c r="I251" s="483">
        <v>0</v>
      </c>
      <c r="J251" s="589">
        <v>0</v>
      </c>
      <c r="K251" s="102">
        <f>IF(I251&gt;0,J251*100/I251,0)</f>
        <v>0</v>
      </c>
      <c r="L251" s="62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8.75" hidden="1">
      <c r="A252" s="166"/>
      <c r="B252" s="167"/>
      <c r="C252" s="167"/>
      <c r="D252" s="167"/>
      <c r="E252" s="699" t="s">
        <v>110</v>
      </c>
      <c r="F252" s="174"/>
      <c r="G252" s="171"/>
      <c r="H252" s="698" t="s">
        <v>61</v>
      </c>
      <c r="I252" s="483">
        <v>0</v>
      </c>
      <c r="J252" s="589">
        <v>0</v>
      </c>
      <c r="K252" s="102">
        <f>IF(I252&gt;0,J252*100/I252,0)</f>
        <v>0</v>
      </c>
      <c r="L252" s="62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9.5" hidden="1">
      <c r="A253" s="241"/>
      <c r="B253" s="242"/>
      <c r="C253" s="707" t="s">
        <v>112</v>
      </c>
      <c r="D253" s="244"/>
      <c r="E253" s="244"/>
      <c r="F253" s="244"/>
      <c r="G253" s="245"/>
      <c r="H253" s="706" t="s">
        <v>35</v>
      </c>
      <c r="I253" s="705">
        <f ca="1">I260</f>
        <v>0</v>
      </c>
      <c r="J253" s="705">
        <f>J260</f>
        <v>0</v>
      </c>
      <c r="K253" s="704">
        <f ca="1">IF(I253&gt;0,J253*100/I253,0)</f>
        <v>0</v>
      </c>
      <c r="L253" s="250"/>
      <c r="M253" s="249"/>
      <c r="N253" s="249"/>
      <c r="O253" s="249"/>
      <c r="P253" s="249"/>
      <c r="Q253" s="249"/>
      <c r="R253" s="249"/>
      <c r="S253" s="249"/>
      <c r="T253" s="249"/>
      <c r="U253" s="249"/>
    </row>
    <row r="254" spans="1:21" ht="19.5" hidden="1">
      <c r="A254" s="155"/>
      <c r="B254" s="50"/>
      <c r="C254" s="591" t="s">
        <v>18</v>
      </c>
      <c r="D254" s="703" t="s">
        <v>19</v>
      </c>
      <c r="E254" s="50"/>
      <c r="F254" s="50"/>
      <c r="G254" s="52"/>
      <c r="H254" s="418" t="s">
        <v>14</v>
      </c>
      <c r="I254" s="163"/>
      <c r="J254" s="163"/>
      <c r="K254" s="164"/>
      <c r="L254" s="541">
        <f ca="1">L255+L256+L257+L258</f>
        <v>0</v>
      </c>
      <c r="M254" s="55"/>
      <c r="N254" s="540">
        <f>N255+N256+N257+N258</f>
        <v>0</v>
      </c>
      <c r="O254" s="540">
        <f ca="1">IF(L254&gt;0,N254*100/L254,0)</f>
        <v>0</v>
      </c>
      <c r="P254" s="540">
        <f>IF(M254&gt;0,N254*100/M254,0)</f>
        <v>0</v>
      </c>
      <c r="Q254" s="55"/>
      <c r="R254" s="55"/>
      <c r="S254" s="55"/>
      <c r="T254" s="55"/>
      <c r="U254" s="55"/>
    </row>
    <row r="255" spans="1:21" ht="18.75" hidden="1">
      <c r="A255" s="155"/>
      <c r="B255" s="188"/>
      <c r="C255" s="50"/>
      <c r="D255" s="186" t="s">
        <v>86</v>
      </c>
      <c r="E255" s="50"/>
      <c r="F255" s="50"/>
      <c r="G255" s="52"/>
      <c r="H255" s="189" t="s">
        <v>14</v>
      </c>
      <c r="I255" s="163"/>
      <c r="J255" s="163"/>
      <c r="K255" s="164"/>
      <c r="L255" s="256">
        <f ca="1">IFERROR(__xludf.DUMMYFUNCTION("IMPORTRANGE(""https://docs.google.com/spreadsheets/d/1eHaY18a8A9IcSdp1K8H6x8fbOy06t2VsZHhMHf-1x7Y/edit?usp=sharing"",""แผน!BB46"")"),0)</f>
        <v>0</v>
      </c>
      <c r="M255" s="55"/>
      <c r="N255" s="702">
        <v>0</v>
      </c>
      <c r="O255" s="55"/>
      <c r="P255" s="55"/>
      <c r="Q255" s="55"/>
      <c r="R255" s="55"/>
      <c r="S255" s="55"/>
      <c r="T255" s="55"/>
      <c r="U255" s="55"/>
    </row>
    <row r="256" spans="1:21" ht="18.75" hidden="1">
      <c r="A256" s="238"/>
      <c r="B256" s="188"/>
      <c r="C256" s="188"/>
      <c r="D256" s="186" t="s">
        <v>88</v>
      </c>
      <c r="E256" s="50"/>
      <c r="F256" s="50"/>
      <c r="G256" s="52"/>
      <c r="H256" s="189" t="s">
        <v>14</v>
      </c>
      <c r="I256" s="54"/>
      <c r="J256" s="54"/>
      <c r="K256" s="55"/>
      <c r="L256" s="256">
        <f ca="1">IFERROR(__xludf.DUMMYFUNCTION("IMPORTRANGE(""https://docs.google.com/spreadsheets/d/1eHaY18a8A9IcSdp1K8H6x8fbOy06t2VsZHhMHf-1x7Y/edit?usp=sharing"",""แผน!BC46"")"),0)</f>
        <v>0</v>
      </c>
      <c r="M256" s="55"/>
      <c r="N256" s="702">
        <v>0</v>
      </c>
      <c r="O256" s="55"/>
      <c r="P256" s="55"/>
      <c r="Q256" s="55"/>
      <c r="R256" s="55"/>
      <c r="S256" s="55"/>
      <c r="T256" s="55"/>
      <c r="U256" s="55"/>
    </row>
    <row r="257" spans="1:21" ht="18.75" hidden="1">
      <c r="A257" s="238"/>
      <c r="B257" s="188"/>
      <c r="C257" s="188"/>
      <c r="D257" s="186" t="s">
        <v>106</v>
      </c>
      <c r="E257" s="50"/>
      <c r="F257" s="50"/>
      <c r="G257" s="52"/>
      <c r="H257" s="189" t="s">
        <v>14</v>
      </c>
      <c r="I257" s="54"/>
      <c r="J257" s="54"/>
      <c r="K257" s="55"/>
      <c r="L257" s="256">
        <f ca="1">IFERROR(__xludf.DUMMYFUNCTION("IMPORTRANGE(""https://docs.google.com/spreadsheets/d/1eHaY18a8A9IcSdp1K8H6x8fbOy06t2VsZHhMHf-1x7Y/edit?usp=sharing"",""แผน!BD46"")"),0)</f>
        <v>0</v>
      </c>
      <c r="M257" s="55"/>
      <c r="N257" s="702">
        <v>0</v>
      </c>
      <c r="O257" s="55"/>
      <c r="P257" s="55"/>
      <c r="Q257" s="55"/>
      <c r="R257" s="55"/>
      <c r="S257" s="55"/>
      <c r="T257" s="55"/>
      <c r="U257" s="55"/>
    </row>
    <row r="258" spans="1:21" ht="18.75" hidden="1">
      <c r="A258" s="238"/>
      <c r="B258" s="188"/>
      <c r="C258" s="188"/>
      <c r="D258" s="186" t="s">
        <v>107</v>
      </c>
      <c r="E258" s="50"/>
      <c r="F258" s="50"/>
      <c r="G258" s="52"/>
      <c r="H258" s="189" t="s">
        <v>14</v>
      </c>
      <c r="I258" s="54"/>
      <c r="J258" s="54"/>
      <c r="K258" s="55"/>
      <c r="L258" s="256">
        <f ca="1">IFERROR(__xludf.DUMMYFUNCTION("IMPORTRANGE(""https://docs.google.com/spreadsheets/d/1eHaY18a8A9IcSdp1K8H6x8fbOy06t2VsZHhMHf-1x7Y/edit?usp=sharing"",""แผน!BE46"")"),0)</f>
        <v>0</v>
      </c>
      <c r="M258" s="55"/>
      <c r="N258" s="702">
        <v>0</v>
      </c>
      <c r="O258" s="55"/>
      <c r="P258" s="55"/>
      <c r="Q258" s="55"/>
      <c r="R258" s="55"/>
      <c r="S258" s="55"/>
      <c r="T258" s="55"/>
      <c r="U258" s="55"/>
    </row>
    <row r="259" spans="1:21" ht="19.5" hidden="1">
      <c r="A259" s="166"/>
      <c r="B259" s="167"/>
      <c r="C259" s="701" t="s">
        <v>18</v>
      </c>
      <c r="D259" s="574" t="s">
        <v>38</v>
      </c>
      <c r="E259" s="169"/>
      <c r="F259" s="169"/>
      <c r="G259" s="170"/>
      <c r="H259" s="171"/>
      <c r="I259" s="163"/>
      <c r="J259" s="54"/>
      <c r="K259" s="55"/>
      <c r="L259" s="62"/>
      <c r="M259" s="55"/>
      <c r="N259" s="55"/>
      <c r="O259" s="164"/>
      <c r="P259" s="164"/>
      <c r="Q259" s="55"/>
      <c r="R259" s="55"/>
      <c r="S259" s="55"/>
      <c r="T259" s="164"/>
      <c r="U259" s="164"/>
    </row>
    <row r="260" spans="1:21" ht="18.75" hidden="1">
      <c r="A260" s="166"/>
      <c r="B260" s="167"/>
      <c r="C260" s="167"/>
      <c r="D260" s="207" t="s">
        <v>108</v>
      </c>
      <c r="E260" s="174"/>
      <c r="F260" s="174"/>
      <c r="G260" s="171"/>
      <c r="H260" s="698" t="s">
        <v>35</v>
      </c>
      <c r="I260" s="483">
        <f ca="1">IFERROR(__xludf.DUMMYFUNCTION("IMPORTRANGE(""https://docs.google.com/spreadsheets/d/1eHaY18a8A9IcSdp1K8H6x8fbOy06t2VsZHhMHf-1x7Y/edit?usp=sharing"",""แผน!BH46"")"),0)</f>
        <v>0</v>
      </c>
      <c r="J260" s="589">
        <v>0</v>
      </c>
      <c r="K260" s="102">
        <f ca="1">IF(I260&gt;0,J260*100/I260,0)</f>
        <v>0</v>
      </c>
      <c r="L260" s="62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8.75" hidden="1">
      <c r="A261" s="166"/>
      <c r="B261" s="167"/>
      <c r="C261" s="167"/>
      <c r="D261" s="700" t="s">
        <v>43</v>
      </c>
      <c r="E261" s="174"/>
      <c r="F261" s="174"/>
      <c r="G261" s="171"/>
      <c r="H261" s="171"/>
      <c r="I261" s="54"/>
      <c r="J261" s="54"/>
      <c r="K261" s="55"/>
      <c r="L261" s="62"/>
      <c r="M261" s="55"/>
      <c r="N261" s="55"/>
      <c r="O261" s="164"/>
      <c r="P261" s="164"/>
      <c r="Q261" s="55"/>
      <c r="R261" s="55"/>
      <c r="S261" s="55"/>
      <c r="T261" s="164"/>
      <c r="U261" s="164"/>
    </row>
    <row r="262" spans="1:21" ht="18.75" hidden="1">
      <c r="A262" s="166"/>
      <c r="B262" s="167"/>
      <c r="C262" s="167"/>
      <c r="D262" s="167"/>
      <c r="E262" s="699" t="s">
        <v>109</v>
      </c>
      <c r="F262" s="174"/>
      <c r="G262" s="171"/>
      <c r="H262" s="698" t="s">
        <v>35</v>
      </c>
      <c r="I262" s="54"/>
      <c r="J262" s="589">
        <v>0</v>
      </c>
      <c r="K262" s="102">
        <f>IF(I262&gt;0,J262*100/I262,0)</f>
        <v>0</v>
      </c>
      <c r="L262" s="62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8.75" hidden="1">
      <c r="A263" s="166"/>
      <c r="B263" s="167"/>
      <c r="C263" s="167"/>
      <c r="D263" s="167"/>
      <c r="E263" s="699" t="s">
        <v>110</v>
      </c>
      <c r="F263" s="174"/>
      <c r="G263" s="171"/>
      <c r="H263" s="698" t="s">
        <v>61</v>
      </c>
      <c r="I263" s="54"/>
      <c r="J263" s="589">
        <v>0</v>
      </c>
      <c r="K263" s="102">
        <f>IF(I263&gt;0,J263*100/I263,0)</f>
        <v>0</v>
      </c>
      <c r="L263" s="62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9.5">
      <c r="A264" s="697" t="s">
        <v>113</v>
      </c>
      <c r="B264" s="696"/>
      <c r="C264" s="696"/>
      <c r="D264" s="695"/>
      <c r="E264" s="695"/>
      <c r="F264" s="695"/>
      <c r="G264" s="694"/>
      <c r="H264" s="694"/>
      <c r="I264" s="693"/>
      <c r="J264" s="693"/>
      <c r="K264" s="691"/>
      <c r="L264" s="692"/>
      <c r="M264" s="691"/>
      <c r="N264" s="691"/>
      <c r="O264" s="691"/>
      <c r="P264" s="691"/>
      <c r="Q264" s="691"/>
      <c r="R264" s="691"/>
      <c r="S264" s="691"/>
      <c r="T264" s="691"/>
      <c r="U264" s="691"/>
    </row>
    <row r="265" spans="1:21" ht="19.5">
      <c r="A265" s="690"/>
      <c r="B265" s="689" t="s">
        <v>114</v>
      </c>
      <c r="C265" s="688"/>
      <c r="D265" s="661"/>
      <c r="E265" s="661"/>
      <c r="F265" s="661"/>
      <c r="G265" s="660"/>
      <c r="H265" s="687" t="s">
        <v>35</v>
      </c>
      <c r="I265" s="686">
        <f ca="1">I276</f>
        <v>22</v>
      </c>
      <c r="J265" s="686">
        <f>J276</f>
        <v>0</v>
      </c>
      <c r="K265" s="685">
        <f ca="1">IF(I265&gt;0,J265*100/I265,0)</f>
        <v>0</v>
      </c>
      <c r="L265" s="684"/>
      <c r="M265" s="683"/>
      <c r="N265" s="683"/>
      <c r="O265" s="683"/>
      <c r="P265" s="683"/>
      <c r="Q265" s="683"/>
      <c r="R265" s="683"/>
      <c r="S265" s="683"/>
      <c r="T265" s="683"/>
      <c r="U265" s="683"/>
    </row>
    <row r="266" spans="1:21" ht="19.5">
      <c r="A266" s="668"/>
      <c r="B266" s="667"/>
      <c r="C266" s="682" t="s">
        <v>18</v>
      </c>
      <c r="D266" s="681" t="s">
        <v>19</v>
      </c>
      <c r="E266" s="667"/>
      <c r="F266" s="667"/>
      <c r="G266" s="666"/>
      <c r="H266" s="680" t="s">
        <v>14</v>
      </c>
      <c r="I266" s="548"/>
      <c r="J266" s="548"/>
      <c r="K266" s="545"/>
      <c r="L266" s="679">
        <f ca="1">L267+L268</f>
        <v>0</v>
      </c>
      <c r="M266" s="678">
        <f ca="1">M267+M268</f>
        <v>5000</v>
      </c>
      <c r="N266" s="678">
        <f ca="1">N267+N268</f>
        <v>0</v>
      </c>
      <c r="O266" s="678">
        <f ca="1">IF(L266&gt;0,N266*100/L266,0)</f>
        <v>0</v>
      </c>
      <c r="P266" s="678">
        <f ca="1">IF(M266&gt;0,N266*100/M266,0)</f>
        <v>0</v>
      </c>
      <c r="Q266" s="678">
        <f ca="1">Q267+Q268</f>
        <v>50660</v>
      </c>
      <c r="R266" s="678">
        <f ca="1">R267+R268</f>
        <v>50660</v>
      </c>
      <c r="S266" s="678">
        <f ca="1">S267+S268</f>
        <v>18220</v>
      </c>
      <c r="T266" s="678">
        <f ca="1">IF(Q266&gt;0,S266*100/Q266,0)</f>
        <v>35.965258586656141</v>
      </c>
      <c r="U266" s="678">
        <f ca="1">IF(R266&gt;0,S266*100/R266,0)</f>
        <v>35.965258586656141</v>
      </c>
    </row>
    <row r="267" spans="1:21" ht="18.75" hidden="1">
      <c r="A267" s="673"/>
      <c r="B267" s="672"/>
      <c r="C267" s="672"/>
      <c r="D267" s="672"/>
      <c r="E267" s="186" t="s">
        <v>20</v>
      </c>
      <c r="F267" s="672"/>
      <c r="G267" s="671"/>
      <c r="H267" s="187" t="s">
        <v>14</v>
      </c>
      <c r="I267" s="677"/>
      <c r="J267" s="677"/>
      <c r="K267" s="676"/>
      <c r="L267" s="103">
        <f>L270+L273</f>
        <v>0</v>
      </c>
      <c r="M267" s="102">
        <f>M270+M273</f>
        <v>0</v>
      </c>
      <c r="N267" s="102">
        <f>N270+N273</f>
        <v>0</v>
      </c>
      <c r="O267" s="102">
        <f>IF(L267&gt;0,N267*100/L267,0)</f>
        <v>0</v>
      </c>
      <c r="P267" s="102">
        <f>IF(M267&gt;0,N267*100/M267,0)</f>
        <v>0</v>
      </c>
      <c r="Q267" s="102">
        <f>Q270+Q273</f>
        <v>0</v>
      </c>
      <c r="R267" s="102">
        <f>R270+R273</f>
        <v>0</v>
      </c>
      <c r="S267" s="102">
        <f>S270+S273</f>
        <v>0</v>
      </c>
      <c r="T267" s="102">
        <f>IF(Q267&gt;0,S267*100/Q267,0)</f>
        <v>0</v>
      </c>
      <c r="U267" s="102">
        <f>IF(R267&gt;0,S267*100/R267,0)</f>
        <v>0</v>
      </c>
    </row>
    <row r="268" spans="1:21" ht="18.75" hidden="1">
      <c r="A268" s="668"/>
      <c r="B268" s="667"/>
      <c r="C268" s="667"/>
      <c r="D268" s="667"/>
      <c r="E268" s="663" t="s">
        <v>21</v>
      </c>
      <c r="F268" s="667"/>
      <c r="G268" s="666"/>
      <c r="H268" s="549" t="s">
        <v>14</v>
      </c>
      <c r="I268" s="548"/>
      <c r="J268" s="548"/>
      <c r="K268" s="545"/>
      <c r="L268" s="664">
        <f ca="1">L271+L274</f>
        <v>0</v>
      </c>
      <c r="M268" s="555">
        <f ca="1">M271+M274</f>
        <v>5000</v>
      </c>
      <c r="N268" s="555">
        <f ca="1">N271+N274</f>
        <v>0</v>
      </c>
      <c r="O268" s="555">
        <f ca="1">IF(L268&gt;0,N268*100/L268,0)</f>
        <v>0</v>
      </c>
      <c r="P268" s="555">
        <f ca="1">IF(M268&gt;0,N268*100/M268,0)</f>
        <v>0</v>
      </c>
      <c r="Q268" s="555">
        <f ca="1">Q271+Q274</f>
        <v>50660</v>
      </c>
      <c r="R268" s="555">
        <f ca="1">R271+R274</f>
        <v>50660</v>
      </c>
      <c r="S268" s="555">
        <f ca="1">S271+S274</f>
        <v>18220</v>
      </c>
      <c r="T268" s="555">
        <f ca="1">IF(Q268&gt;0,S268*100/Q268,0)</f>
        <v>35.965258586656141</v>
      </c>
      <c r="U268" s="555">
        <f ca="1">IF(R268&gt;0,S268*100/R268,0)</f>
        <v>35.965258586656141</v>
      </c>
    </row>
    <row r="269" spans="1:21" ht="18.75">
      <c r="A269" s="668"/>
      <c r="B269" s="667"/>
      <c r="C269" s="667"/>
      <c r="D269" s="674" t="s">
        <v>22</v>
      </c>
      <c r="E269" s="667"/>
      <c r="F269" s="667"/>
      <c r="G269" s="666"/>
      <c r="H269" s="675" t="s">
        <v>14</v>
      </c>
      <c r="I269" s="659"/>
      <c r="J269" s="659"/>
      <c r="K269" s="657"/>
      <c r="L269" s="664">
        <f ca="1">L270+L271</f>
        <v>0</v>
      </c>
      <c r="M269" s="555">
        <f ca="1">M270+M271</f>
        <v>5000</v>
      </c>
      <c r="N269" s="555">
        <f ca="1">N270+N271</f>
        <v>0</v>
      </c>
      <c r="O269" s="555">
        <f ca="1">IF(L269&gt;0,N269*100/L269,0)</f>
        <v>0</v>
      </c>
      <c r="P269" s="555">
        <f ca="1">IF(M269&gt;0,N269*100/M269,0)</f>
        <v>0</v>
      </c>
      <c r="Q269" s="555">
        <f ca="1">Q270+Q271</f>
        <v>50660</v>
      </c>
      <c r="R269" s="555">
        <f ca="1">R270+R271</f>
        <v>50660</v>
      </c>
      <c r="S269" s="555">
        <f ca="1">S270+S271</f>
        <v>18220</v>
      </c>
      <c r="T269" s="555">
        <f ca="1">IF(Q269&gt;0,S269*100/Q269,0)</f>
        <v>35.965258586656141</v>
      </c>
      <c r="U269" s="555">
        <f ca="1">IF(R269&gt;0,S269*100/R269,0)</f>
        <v>35.965258586656141</v>
      </c>
    </row>
    <row r="270" spans="1:21" ht="18.75" hidden="1">
      <c r="A270" s="673"/>
      <c r="B270" s="672"/>
      <c r="C270" s="672"/>
      <c r="D270" s="672"/>
      <c r="E270" s="186" t="s">
        <v>36</v>
      </c>
      <c r="F270" s="672"/>
      <c r="G270" s="671"/>
      <c r="H270" s="189" t="s">
        <v>14</v>
      </c>
      <c r="I270" s="670"/>
      <c r="J270" s="670"/>
      <c r="K270" s="669"/>
      <c r="L270" s="103">
        <v>0</v>
      </c>
      <c r="M270" s="102">
        <v>0</v>
      </c>
      <c r="N270" s="102">
        <v>0</v>
      </c>
      <c r="O270" s="102">
        <f>IF(L270&gt;0,N270*100/L270,0)</f>
        <v>0</v>
      </c>
      <c r="P270" s="102">
        <f>IF(M270&gt;0,N270*100/M270,0)</f>
        <v>0</v>
      </c>
      <c r="Q270" s="102">
        <v>0</v>
      </c>
      <c r="R270" s="102">
        <v>0</v>
      </c>
      <c r="S270" s="102">
        <v>0</v>
      </c>
      <c r="T270" s="102">
        <f>IF(Q270&gt;0,S270*100/Q270,0)</f>
        <v>0</v>
      </c>
      <c r="U270" s="102">
        <f>IF(R270&gt;0,S270*100/R270,0)</f>
        <v>0</v>
      </c>
    </row>
    <row r="271" spans="1:21" ht="18.75" hidden="1">
      <c r="A271" s="668"/>
      <c r="B271" s="667"/>
      <c r="C271" s="667"/>
      <c r="D271" s="667"/>
      <c r="E271" s="663" t="s">
        <v>37</v>
      </c>
      <c r="F271" s="667"/>
      <c r="G271" s="666"/>
      <c r="H271" s="675" t="s">
        <v>14</v>
      </c>
      <c r="I271" s="659"/>
      <c r="J271" s="659"/>
      <c r="K271" s="657"/>
      <c r="L271" s="664">
        <f ca="1">IFERROR(__xludf.DUMMYFUNCTION("IMPORTRANGE(""https://docs.google.com/spreadsheets/d/1-uDff_7J0KD5mKrp0Vvzr7lt3OU09vwQwhkpOPPYv2Y/edit?usp=sharing"",""งบพรบ!DE46"")"),0)</f>
        <v>0</v>
      </c>
      <c r="M271" s="555">
        <f ca="1">IFERROR(__xludf.DUMMYFUNCTION("IMPORTRANGE(""https://docs.google.com/spreadsheets/d/1-uDff_7J0KD5mKrp0Vvzr7lt3OU09vwQwhkpOPPYv2Y/edit?usp=sharing"",""งบพรบ!DJ46"")"),5000)</f>
        <v>5000</v>
      </c>
      <c r="N271" s="555">
        <f ca="1">IFERROR(__xludf.DUMMYFUNCTION("IMPORTRANGE(""https://docs.google.com/spreadsheets/d/1-uDff_7J0KD5mKrp0Vvzr7lt3OU09vwQwhkpOPPYv2Y/edit?usp=sharing"",""งบพรบ!DL46"")"),0)</f>
        <v>0</v>
      </c>
      <c r="O271" s="555">
        <f ca="1">IF(L271&gt;0,N271*100/L271,0)</f>
        <v>0</v>
      </c>
      <c r="P271" s="555">
        <f ca="1">IF(M271&gt;0,N271*100/M271,0)</f>
        <v>0</v>
      </c>
      <c r="Q271" s="555">
        <f ca="1">IFERROR(__xludf.DUMMYFUNCTION("IMPORTRANGE(""https://docs.google.com/spreadsheets/d/1ItG2mGa2ceCfYo0BwxsXqNm01IGEUdYcSSLTEv9YCik/edit?usp=sharing"",""เบิกจ่ายกองทุน!AJ46"")"),50660)</f>
        <v>50660</v>
      </c>
      <c r="R271" s="555">
        <f ca="1">IFERROR(__xludf.DUMMYFUNCTION("IMPORTRANGE(""https://docs.google.com/spreadsheets/d/1ItG2mGa2ceCfYo0BwxsXqNm01IGEUdYcSSLTEv9YCik/edit?usp=sharing"",""เบิกจ่ายกองทุน!AK46"")"),50660)</f>
        <v>50660</v>
      </c>
      <c r="S271" s="555">
        <f ca="1">IFERROR(__xludf.DUMMYFUNCTION("IMPORTRANGE(""https://docs.google.com/spreadsheets/d/1ItG2mGa2ceCfYo0BwxsXqNm01IGEUdYcSSLTEv9YCik/edit?usp=sharing"",""เบิกจ่ายกองทุน!AL46"")"),18220)</f>
        <v>18220</v>
      </c>
      <c r="T271" s="555">
        <f ca="1">IF(Q271&gt;0,S271*100/Q271,0)</f>
        <v>35.965258586656141</v>
      </c>
      <c r="U271" s="555">
        <f ca="1">IF(R271&gt;0,S271*100/R271,0)</f>
        <v>35.965258586656141</v>
      </c>
    </row>
    <row r="272" spans="1:21" ht="18.75">
      <c r="A272" s="668"/>
      <c r="B272" s="667"/>
      <c r="C272" s="667"/>
      <c r="D272" s="674" t="s">
        <v>23</v>
      </c>
      <c r="E272" s="667"/>
      <c r="F272" s="667"/>
      <c r="G272" s="666"/>
      <c r="H272" s="665" t="s">
        <v>14</v>
      </c>
      <c r="I272" s="659"/>
      <c r="J272" s="659"/>
      <c r="K272" s="657"/>
      <c r="L272" s="664">
        <f ca="1">L273+L274</f>
        <v>0</v>
      </c>
      <c r="M272" s="555">
        <f ca="1">M273+M274</f>
        <v>0</v>
      </c>
      <c r="N272" s="555">
        <f ca="1">N273+N274</f>
        <v>0</v>
      </c>
      <c r="O272" s="555">
        <f ca="1">IF(L272&gt;0,N272*100/L272,0)</f>
        <v>0</v>
      </c>
      <c r="P272" s="555">
        <f ca="1">IF(M272&gt;0,N272*100/M272,0)</f>
        <v>0</v>
      </c>
      <c r="Q272" s="555">
        <f>Q273+Q274</f>
        <v>0</v>
      </c>
      <c r="R272" s="555">
        <f>R273+R274</f>
        <v>0</v>
      </c>
      <c r="S272" s="555">
        <f>S273+S274</f>
        <v>0</v>
      </c>
      <c r="T272" s="555">
        <f>IF(Q272&gt;0,S272*100/Q272,0)</f>
        <v>0</v>
      </c>
      <c r="U272" s="555">
        <f>IF(R272&gt;0,S272*100/R272,0)</f>
        <v>0</v>
      </c>
    </row>
    <row r="273" spans="1:21" ht="18.75" hidden="1">
      <c r="A273" s="673"/>
      <c r="B273" s="672"/>
      <c r="C273" s="672"/>
      <c r="D273" s="672"/>
      <c r="E273" s="186" t="s">
        <v>20</v>
      </c>
      <c r="F273" s="672"/>
      <c r="G273" s="671"/>
      <c r="H273" s="189" t="s">
        <v>14</v>
      </c>
      <c r="I273" s="670"/>
      <c r="J273" s="670"/>
      <c r="K273" s="669"/>
      <c r="L273" s="103">
        <v>0</v>
      </c>
      <c r="M273" s="102">
        <v>0</v>
      </c>
      <c r="N273" s="102">
        <v>0</v>
      </c>
      <c r="O273" s="102">
        <f>IF(L273&gt;0,N273*100/L273,0)</f>
        <v>0</v>
      </c>
      <c r="P273" s="102">
        <f>IF(M273&gt;0,N273*100/M273,0)</f>
        <v>0</v>
      </c>
      <c r="Q273" s="102">
        <v>0</v>
      </c>
      <c r="R273" s="102">
        <v>0</v>
      </c>
      <c r="S273" s="102">
        <v>0</v>
      </c>
      <c r="T273" s="102">
        <f>IF(Q273&gt;0,S273*100/Q273,0)</f>
        <v>0</v>
      </c>
      <c r="U273" s="102">
        <f>IF(R273&gt;0,S273*100/R273,0)</f>
        <v>0</v>
      </c>
    </row>
    <row r="274" spans="1:21" ht="18.75" hidden="1">
      <c r="A274" s="668"/>
      <c r="B274" s="667"/>
      <c r="C274" s="667"/>
      <c r="D274" s="667"/>
      <c r="E274" s="663" t="s">
        <v>21</v>
      </c>
      <c r="F274" s="667"/>
      <c r="G274" s="666"/>
      <c r="H274" s="665" t="s">
        <v>14</v>
      </c>
      <c r="I274" s="659"/>
      <c r="J274" s="659"/>
      <c r="K274" s="657"/>
      <c r="L274" s="664">
        <f ca="1">IFERROR(__xludf.DUMMYFUNCTION("IMPORTRANGE(""https://docs.google.com/spreadsheets/d/1-uDff_7J0KD5mKrp0Vvzr7lt3OU09vwQwhkpOPPYv2Y/edit?usp=sharing"",""งบพรบ!DH46"")"),0)</f>
        <v>0</v>
      </c>
      <c r="M274" s="555">
        <f ca="1">IFERROR(__xludf.DUMMYFUNCTION("IMPORTRANGE(""https://docs.google.com/spreadsheets/d/1-uDff_7J0KD5mKrp0Vvzr7lt3OU09vwQwhkpOPPYv2Y/edit?usp=sharing"",""งบพรบ!DK46"")"),0)</f>
        <v>0</v>
      </c>
      <c r="N274" s="555">
        <f ca="1">IFERROR(__xludf.DUMMYFUNCTION("IMPORTRANGE(""https://docs.google.com/spreadsheets/d/1-uDff_7J0KD5mKrp0Vvzr7lt3OU09vwQwhkpOPPYv2Y/edit?usp=sharing"",""งบพรบ!DM46"")"),0)</f>
        <v>0</v>
      </c>
      <c r="O274" s="555">
        <f ca="1">IF(L274&gt;0,N274*100/L274,0)</f>
        <v>0</v>
      </c>
      <c r="P274" s="555">
        <f ca="1">IF(M274&gt;0,N274*100/M274,0)</f>
        <v>0</v>
      </c>
      <c r="Q274" s="555">
        <v>0</v>
      </c>
      <c r="R274" s="555">
        <v>0</v>
      </c>
      <c r="S274" s="555">
        <v>0</v>
      </c>
      <c r="T274" s="555">
        <f>IF(Q274&gt;0,S274*100/Q274,0)</f>
        <v>0</v>
      </c>
      <c r="U274" s="555">
        <f>IF(R274&gt;0,S274*100/R274,0)</f>
        <v>0</v>
      </c>
    </row>
    <row r="275" spans="1:21" ht="19.5">
      <c r="A275" s="554"/>
      <c r="B275" s="553"/>
      <c r="C275" s="663" t="s">
        <v>18</v>
      </c>
      <c r="D275" s="662" t="s">
        <v>38</v>
      </c>
      <c r="E275" s="661"/>
      <c r="F275" s="661"/>
      <c r="G275" s="660"/>
      <c r="H275" s="550"/>
      <c r="I275" s="659"/>
      <c r="J275" s="659"/>
      <c r="K275" s="657"/>
      <c r="L275" s="658"/>
      <c r="M275" s="657"/>
      <c r="N275" s="657"/>
      <c r="O275" s="657"/>
      <c r="P275" s="657"/>
      <c r="Q275" s="657"/>
      <c r="R275" s="657"/>
      <c r="S275" s="657"/>
      <c r="T275" s="657"/>
      <c r="U275" s="657"/>
    </row>
    <row r="276" spans="1:21" ht="18.75">
      <c r="A276" s="783"/>
      <c r="B276" s="343"/>
      <c r="C276" s="343"/>
      <c r="D276" s="782" t="s">
        <v>115</v>
      </c>
      <c r="E276" s="344"/>
      <c r="F276" s="344"/>
      <c r="G276" s="346"/>
      <c r="H276" s="347" t="s">
        <v>35</v>
      </c>
      <c r="I276" s="349">
        <f ca="1">IFERROR(__xludf.DUMMYFUNCTION("IMPORTRANGE(""https://docs.google.com/spreadsheets/d/1eHaY18a8A9IcSdp1K8H6x8fbOy06t2VsZHhMHf-1x7Y/edit?usp=sharing"",""แผน!EC46"")"),22)</f>
        <v>22</v>
      </c>
      <c r="J276" s="495">
        <v>0</v>
      </c>
      <c r="K276" s="708">
        <f ca="1">IF(I276&gt;0,J276*100/I276,0)</f>
        <v>0</v>
      </c>
      <c r="L276" s="62"/>
      <c r="M276" s="55"/>
      <c r="N276" s="55"/>
      <c r="O276" s="55"/>
      <c r="P276" s="55"/>
      <c r="Q276" s="55"/>
      <c r="R276" s="55"/>
      <c r="S276" s="55"/>
      <c r="T276" s="55"/>
      <c r="U276" s="55"/>
    </row>
    <row r="277" spans="1:21" ht="18.75" hidden="1">
      <c r="A277" s="281"/>
      <c r="B277" s="282"/>
      <c r="C277" s="282"/>
      <c r="D277" s="647" t="s">
        <v>116</v>
      </c>
      <c r="E277" s="2"/>
      <c r="F277" s="2"/>
      <c r="G277" s="284"/>
      <c r="H277" s="646" t="s">
        <v>35</v>
      </c>
      <c r="I277" s="486">
        <v>0</v>
      </c>
      <c r="J277" s="486">
        <v>0</v>
      </c>
      <c r="K277" s="645">
        <v>0</v>
      </c>
      <c r="L277" s="287"/>
      <c r="M277" s="286"/>
      <c r="N277" s="286"/>
      <c r="O277" s="286"/>
      <c r="P277" s="286"/>
      <c r="Q277" s="286"/>
      <c r="R277" s="286"/>
      <c r="S277" s="286"/>
      <c r="T277" s="286"/>
      <c r="U277" s="286"/>
    </row>
    <row r="278" spans="1:21" ht="19.5">
      <c r="A278" s="288" t="s">
        <v>117</v>
      </c>
      <c r="B278" s="289"/>
      <c r="C278" s="289"/>
      <c r="D278" s="289"/>
      <c r="E278" s="290"/>
      <c r="F278" s="290"/>
      <c r="G278" s="290"/>
      <c r="H278" s="290"/>
      <c r="I278" s="291"/>
      <c r="J278" s="291"/>
      <c r="K278" s="292"/>
      <c r="L278" s="292"/>
      <c r="M278" s="292"/>
      <c r="N278" s="292"/>
      <c r="O278" s="292"/>
      <c r="P278" s="293"/>
      <c r="Q278" s="292"/>
      <c r="R278" s="292"/>
      <c r="S278" s="292"/>
      <c r="T278" s="292"/>
      <c r="U278" s="293"/>
    </row>
    <row r="279" spans="1:21" ht="19.5">
      <c r="A279" s="294" t="s">
        <v>118</v>
      </c>
      <c r="B279" s="295"/>
      <c r="C279" s="296"/>
      <c r="D279" s="295"/>
      <c r="E279" s="295"/>
      <c r="F279" s="295"/>
      <c r="G279" s="295"/>
      <c r="H279" s="295"/>
      <c r="I279" s="297"/>
      <c r="J279" s="298"/>
      <c r="K279" s="299"/>
      <c r="L279" s="300"/>
      <c r="M279" s="299"/>
      <c r="N279" s="299"/>
      <c r="O279" s="299"/>
      <c r="P279" s="299"/>
      <c r="Q279" s="299"/>
      <c r="R279" s="299"/>
      <c r="S279" s="299"/>
      <c r="T279" s="299"/>
      <c r="U279" s="299"/>
    </row>
    <row r="280" spans="1:21" ht="19.5">
      <c r="A280" s="301"/>
      <c r="B280" s="302" t="s">
        <v>119</v>
      </c>
      <c r="C280" s="303"/>
      <c r="D280" s="304"/>
      <c r="E280" s="303"/>
      <c r="F280" s="303"/>
      <c r="G280" s="305"/>
      <c r="H280" s="306" t="s">
        <v>35</v>
      </c>
      <c r="I280" s="644">
        <f ca="1">I293</f>
        <v>20</v>
      </c>
      <c r="J280" s="644">
        <f>J293</f>
        <v>20</v>
      </c>
      <c r="K280" s="643">
        <f ca="1">IF(I280&gt;0,J280*100/I280,0)</f>
        <v>100</v>
      </c>
      <c r="L280" s="310"/>
      <c r="M280" s="309"/>
      <c r="N280" s="309"/>
      <c r="O280" s="309"/>
      <c r="P280" s="309"/>
      <c r="Q280" s="309"/>
      <c r="R280" s="309"/>
      <c r="S280" s="309"/>
      <c r="T280" s="309"/>
      <c r="U280" s="309"/>
    </row>
    <row r="281" spans="1:21" ht="19.5">
      <c r="A281" s="301"/>
      <c r="B281" s="303"/>
      <c r="C281" s="303"/>
      <c r="D281" s="304"/>
      <c r="E281" s="303"/>
      <c r="F281" s="303"/>
      <c r="G281" s="305"/>
      <c r="H281" s="306" t="s">
        <v>46</v>
      </c>
      <c r="I281" s="644">
        <f ca="1">I292</f>
        <v>200</v>
      </c>
      <c r="J281" s="644">
        <f>J292</f>
        <v>200</v>
      </c>
      <c r="K281" s="643">
        <f ca="1">IF(I281&gt;0,J281*100/I281,0)</f>
        <v>100</v>
      </c>
      <c r="L281" s="310"/>
      <c r="M281" s="309"/>
      <c r="N281" s="309"/>
      <c r="O281" s="309"/>
      <c r="P281" s="309"/>
      <c r="Q281" s="309"/>
      <c r="R281" s="309"/>
      <c r="S281" s="309"/>
      <c r="T281" s="309"/>
      <c r="U281" s="309"/>
    </row>
    <row r="282" spans="1:21" ht="19.5">
      <c r="A282" s="155"/>
      <c r="B282" s="50"/>
      <c r="C282" s="156" t="s">
        <v>18</v>
      </c>
      <c r="D282" s="575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541">
        <f ca="1">L283+L284</f>
        <v>153520</v>
      </c>
      <c r="M282" s="540">
        <f ca="1">M283+M284</f>
        <v>153520</v>
      </c>
      <c r="N282" s="540">
        <f ca="1">N283+N284</f>
        <v>153380.9</v>
      </c>
      <c r="O282" s="540">
        <f ca="1">IF(L282&gt;0,N282*100/L282,0)</f>
        <v>99.909392912975505</v>
      </c>
      <c r="P282" s="540">
        <f ca="1">IF(M282&gt;0,N282*100/M282,0)</f>
        <v>99.909392912975505</v>
      </c>
      <c r="Q282" s="540">
        <f>Q283+Q284</f>
        <v>0</v>
      </c>
      <c r="R282" s="540">
        <f>R283+R284</f>
        <v>0</v>
      </c>
      <c r="S282" s="540">
        <f>S283+S284</f>
        <v>0</v>
      </c>
      <c r="T282" s="540">
        <f>IF(Q282&gt;0,S282*100/Q282,0)</f>
        <v>0</v>
      </c>
      <c r="U282" s="540">
        <f>IF(R282&gt;0,S282*100/R282,0)</f>
        <v>0</v>
      </c>
    </row>
    <row r="283" spans="1:21" ht="18.75" hidden="1">
      <c r="A283" s="155"/>
      <c r="B283" s="50"/>
      <c r="C283" s="50"/>
      <c r="D283" s="50"/>
      <c r="E283" s="186" t="s">
        <v>20</v>
      </c>
      <c r="F283" s="50"/>
      <c r="G283" s="52"/>
      <c r="H283" s="187" t="s">
        <v>14</v>
      </c>
      <c r="I283" s="54"/>
      <c r="J283" s="54"/>
      <c r="K283" s="55"/>
      <c r="L283" s="103">
        <f>L286+L289</f>
        <v>0</v>
      </c>
      <c r="M283" s="102">
        <f>M286+M289</f>
        <v>0</v>
      </c>
      <c r="N283" s="102">
        <f>N286+N289</f>
        <v>0</v>
      </c>
      <c r="O283" s="102">
        <f>IF(L283&gt;0,N283*100/L283,0)</f>
        <v>0</v>
      </c>
      <c r="P283" s="102">
        <f>IF(M283&gt;0,N283*100/M283,0)</f>
        <v>0</v>
      </c>
      <c r="Q283" s="102">
        <f>Q286+Q289</f>
        <v>0</v>
      </c>
      <c r="R283" s="102">
        <f>R286+R289</f>
        <v>0</v>
      </c>
      <c r="S283" s="102">
        <f>S286+S289</f>
        <v>0</v>
      </c>
      <c r="T283" s="102">
        <f>IF(Q283&gt;0,S283*100/Q283,0)</f>
        <v>0</v>
      </c>
      <c r="U283" s="102">
        <f>IF(R283&gt;0,S283*100/R283,0)</f>
        <v>0</v>
      </c>
    </row>
    <row r="284" spans="1:21" ht="18.75" hidden="1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256">
        <f ca="1">L287+L290</f>
        <v>153520</v>
      </c>
      <c r="M284" s="255">
        <f ca="1">M287+M290</f>
        <v>153520</v>
      </c>
      <c r="N284" s="255">
        <f ca="1">N287+N290</f>
        <v>153380.9</v>
      </c>
      <c r="O284" s="255">
        <f ca="1">IF(L284&gt;0,N284*100/L284,0)</f>
        <v>99.909392912975505</v>
      </c>
      <c r="P284" s="255">
        <f ca="1">IF(M284&gt;0,N284*100/M284,0)</f>
        <v>99.909392912975505</v>
      </c>
      <c r="Q284" s="255">
        <f>Q287+Q290</f>
        <v>0</v>
      </c>
      <c r="R284" s="255">
        <f>R287+R290</f>
        <v>0</v>
      </c>
      <c r="S284" s="255">
        <f>S287+S290</f>
        <v>0</v>
      </c>
      <c r="T284" s="255">
        <f>IF(Q284&gt;0,S284*100/Q284,0)</f>
        <v>0</v>
      </c>
      <c r="U284" s="255">
        <f>IF(R284&gt;0,S284*100/R284,0)</f>
        <v>0</v>
      </c>
    </row>
    <row r="285" spans="1:21" ht="18.75">
      <c r="A285" s="155"/>
      <c r="B285" s="50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256">
        <f ca="1">L286+L287</f>
        <v>153520</v>
      </c>
      <c r="M285" s="255">
        <f ca="1">M286+M287</f>
        <v>153520</v>
      </c>
      <c r="N285" s="255">
        <f ca="1">N286+N287</f>
        <v>153380.9</v>
      </c>
      <c r="O285" s="255">
        <f ca="1">IF(L285&gt;0,N285*100/L285,0)</f>
        <v>99.909392912975505</v>
      </c>
      <c r="P285" s="255">
        <f ca="1">IF(M285&gt;0,N285*100/M285,0)</f>
        <v>99.909392912975505</v>
      </c>
      <c r="Q285" s="255">
        <f>Q286+Q287</f>
        <v>0</v>
      </c>
      <c r="R285" s="255">
        <f>R286+R287</f>
        <v>0</v>
      </c>
      <c r="S285" s="255">
        <f>S286+S287</f>
        <v>0</v>
      </c>
      <c r="T285" s="255">
        <f>IF(Q285&gt;0,S285*100/Q285,0)</f>
        <v>0</v>
      </c>
      <c r="U285" s="255">
        <f>IF(R285&gt;0,S285*100/R285,0)</f>
        <v>0</v>
      </c>
    </row>
    <row r="286" spans="1:21" ht="18.75" hidden="1">
      <c r="A286" s="155"/>
      <c r="B286" s="50"/>
      <c r="C286" s="50"/>
      <c r="D286" s="50"/>
      <c r="E286" s="186" t="s">
        <v>36</v>
      </c>
      <c r="F286" s="50"/>
      <c r="G286" s="52"/>
      <c r="H286" s="189" t="s">
        <v>14</v>
      </c>
      <c r="I286" s="163"/>
      <c r="J286" s="163"/>
      <c r="K286" s="164"/>
      <c r="L286" s="103">
        <v>0</v>
      </c>
      <c r="M286" s="102">
        <v>0</v>
      </c>
      <c r="N286" s="102">
        <v>0</v>
      </c>
      <c r="O286" s="102">
        <f>IF(L286&gt;0,N286*100/L286,0)</f>
        <v>0</v>
      </c>
      <c r="P286" s="102">
        <f>IF(M286&gt;0,N286*100/M286,0)</f>
        <v>0</v>
      </c>
      <c r="Q286" s="102">
        <v>0</v>
      </c>
      <c r="R286" s="102">
        <v>0</v>
      </c>
      <c r="S286" s="102">
        <v>0</v>
      </c>
      <c r="T286" s="102">
        <f>IF(Q286&gt;0,S286*100/Q286,0)</f>
        <v>0</v>
      </c>
      <c r="U286" s="102">
        <f>IF(R286&gt;0,S286*100/R286,0)</f>
        <v>0</v>
      </c>
    </row>
    <row r="287" spans="1:21" ht="18.75" hidden="1">
      <c r="A287" s="155"/>
      <c r="B287" s="50"/>
      <c r="C287" s="50"/>
      <c r="D287" s="50"/>
      <c r="E287" s="58" t="s">
        <v>37</v>
      </c>
      <c r="F287" s="50"/>
      <c r="G287" s="52"/>
      <c r="H287" s="162" t="s">
        <v>14</v>
      </c>
      <c r="I287" s="163"/>
      <c r="J287" s="163"/>
      <c r="K287" s="164"/>
      <c r="L287" s="256">
        <f ca="1">IFERROR(__xludf.DUMMYFUNCTION("IMPORTRANGE(""https://docs.google.com/spreadsheets/d/1-uDff_7J0KD5mKrp0Vvzr7lt3OU09vwQwhkpOPPYv2Y/edit?usp=sharing"",""งบพรบ!DO46"")"),153520)</f>
        <v>153520</v>
      </c>
      <c r="M287" s="255">
        <f ca="1">IFERROR(__xludf.DUMMYFUNCTION("IMPORTRANGE(""https://docs.google.com/spreadsheets/d/1-uDff_7J0KD5mKrp0Vvzr7lt3OU09vwQwhkpOPPYv2Y/edit?usp=sharing"",""งบพรบ!DT46"")"),153520)</f>
        <v>153520</v>
      </c>
      <c r="N287" s="255">
        <f ca="1">IFERROR(__xludf.DUMMYFUNCTION("IMPORTRANGE(""https://docs.google.com/spreadsheets/d/1-uDff_7J0KD5mKrp0Vvzr7lt3OU09vwQwhkpOPPYv2Y/edit?usp=sharing"",""งบพรบ!DV46"")"),153380.9)</f>
        <v>153380.9</v>
      </c>
      <c r="O287" s="255">
        <f ca="1">IF(L287&gt;0,N287*100/L287,0)</f>
        <v>99.909392912975505</v>
      </c>
      <c r="P287" s="255">
        <f ca="1">IF(M287&gt;0,N287*100/M287,0)</f>
        <v>99.909392912975505</v>
      </c>
      <c r="Q287" s="255">
        <v>0</v>
      </c>
      <c r="R287" s="255">
        <v>0</v>
      </c>
      <c r="S287" s="255">
        <v>0</v>
      </c>
      <c r="T287" s="102">
        <f>IF(Q287&gt;0,S287*100/Q287,0)</f>
        <v>0</v>
      </c>
      <c r="U287" s="102">
        <f>IF(R287&gt;0,S287*100/R287,0)</f>
        <v>0</v>
      </c>
    </row>
    <row r="288" spans="1:21" ht="18.75">
      <c r="A288" s="155"/>
      <c r="B288" s="50"/>
      <c r="C288" s="50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256">
        <f ca="1">L289+L290</f>
        <v>0</v>
      </c>
      <c r="M288" s="255">
        <f ca="1">M289+M290</f>
        <v>0</v>
      </c>
      <c r="N288" s="255">
        <f ca="1">N289+N290</f>
        <v>0</v>
      </c>
      <c r="O288" s="255">
        <f ca="1">IF(L288&gt;0,N288*100/L288,0)</f>
        <v>0</v>
      </c>
      <c r="P288" s="255">
        <f ca="1">IF(M288&gt;0,N288*100/M288,0)</f>
        <v>0</v>
      </c>
      <c r="Q288" s="255">
        <f>Q289+Q290</f>
        <v>0</v>
      </c>
      <c r="R288" s="255">
        <f>R289+R290</f>
        <v>0</v>
      </c>
      <c r="S288" s="255">
        <f>S289+S290</f>
        <v>0</v>
      </c>
      <c r="T288" s="255">
        <f>IF(Q288&gt;0,S288*100/Q288,0)</f>
        <v>0</v>
      </c>
      <c r="U288" s="255">
        <f>IF(R288&gt;0,S288*100/R288,0)</f>
        <v>0</v>
      </c>
    </row>
    <row r="289" spans="1:21" ht="18.75" hidden="1">
      <c r="A289" s="155"/>
      <c r="B289" s="50"/>
      <c r="C289" s="50"/>
      <c r="D289" s="50"/>
      <c r="E289" s="186" t="s">
        <v>20</v>
      </c>
      <c r="F289" s="50"/>
      <c r="G289" s="52"/>
      <c r="H289" s="189" t="s">
        <v>14</v>
      </c>
      <c r="I289" s="163"/>
      <c r="J289" s="163"/>
      <c r="K289" s="164"/>
      <c r="L289" s="103">
        <v>0</v>
      </c>
      <c r="M289" s="102">
        <v>0</v>
      </c>
      <c r="N289" s="102">
        <v>0</v>
      </c>
      <c r="O289" s="102">
        <f>IF(L289&gt;0,N289*100/L289,0)</f>
        <v>0</v>
      </c>
      <c r="P289" s="102">
        <f>IF(M289&gt;0,N289*100/M289,0)</f>
        <v>0</v>
      </c>
      <c r="Q289" s="102">
        <v>0</v>
      </c>
      <c r="R289" s="102">
        <v>0</v>
      </c>
      <c r="S289" s="102">
        <v>0</v>
      </c>
      <c r="T289" s="102">
        <f>IF(Q289&gt;0,S289*100/Q289,0)</f>
        <v>0</v>
      </c>
      <c r="U289" s="102">
        <f>IF(R289&gt;0,S289*100/R289,0)</f>
        <v>0</v>
      </c>
    </row>
    <row r="290" spans="1:21" ht="18.75" hidden="1">
      <c r="A290" s="155"/>
      <c r="B290" s="50"/>
      <c r="C290" s="50"/>
      <c r="D290" s="50"/>
      <c r="E290" s="58" t="s">
        <v>21</v>
      </c>
      <c r="F290" s="50"/>
      <c r="G290" s="52"/>
      <c r="H290" s="165" t="s">
        <v>14</v>
      </c>
      <c r="I290" s="163"/>
      <c r="J290" s="163"/>
      <c r="K290" s="164"/>
      <c r="L290" s="256">
        <f ca="1">IFERROR(__xludf.DUMMYFUNCTION("IMPORTRANGE(""https://docs.google.com/spreadsheets/d/1-uDff_7J0KD5mKrp0Vvzr7lt3OU09vwQwhkpOPPYv2Y/edit?usp=sharing"",""งบพรบ!DR46"")"),0)</f>
        <v>0</v>
      </c>
      <c r="M290" s="255">
        <f ca="1">IFERROR(__xludf.DUMMYFUNCTION("IMPORTRANGE(""https://docs.google.com/spreadsheets/d/1-uDff_7J0KD5mKrp0Vvzr7lt3OU09vwQwhkpOPPYv2Y/edit?usp=sharing"",""งบพรบ!DU46"")"),0)</f>
        <v>0</v>
      </c>
      <c r="N290" s="255">
        <f ca="1">IFERROR(__xludf.DUMMYFUNCTION("IMPORTRANGE(""https://docs.google.com/spreadsheets/d/1-uDff_7J0KD5mKrp0Vvzr7lt3OU09vwQwhkpOPPYv2Y/edit?usp=sharing"",""งบพรบ!DW46"")"),0)</f>
        <v>0</v>
      </c>
      <c r="O290" s="255">
        <f ca="1">IF(L290&gt;0,N290*100/L290,0)</f>
        <v>0</v>
      </c>
      <c r="P290" s="255">
        <f ca="1">IF(M290&gt;0,N290*100/M290,0)</f>
        <v>0</v>
      </c>
      <c r="Q290" s="255">
        <v>0</v>
      </c>
      <c r="R290" s="255">
        <v>0</v>
      </c>
      <c r="S290" s="255">
        <v>0</v>
      </c>
      <c r="T290" s="255">
        <f>IF(Q290&gt;0,S290*100/Q290,0)</f>
        <v>0</v>
      </c>
      <c r="U290" s="255">
        <f>IF(R290&gt;0,S290*100/R290,0)</f>
        <v>0</v>
      </c>
    </row>
    <row r="291" spans="1:21" ht="19.5">
      <c r="A291" s="166"/>
      <c r="B291" s="167"/>
      <c r="C291" s="156" t="s">
        <v>18</v>
      </c>
      <c r="D291" s="566" t="s">
        <v>38</v>
      </c>
      <c r="E291" s="169"/>
      <c r="F291" s="169"/>
      <c r="G291" s="170"/>
      <c r="H291" s="171"/>
      <c r="I291" s="163"/>
      <c r="J291" s="163"/>
      <c r="K291" s="164"/>
      <c r="L291" s="172"/>
      <c r="M291" s="164"/>
      <c r="N291" s="164"/>
      <c r="O291" s="164"/>
      <c r="P291" s="164"/>
      <c r="Q291" s="164"/>
      <c r="R291" s="164"/>
      <c r="S291" s="164"/>
      <c r="T291" s="164"/>
      <c r="U291" s="164"/>
    </row>
    <row r="292" spans="1:21" ht="18.75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212">
        <f ca="1">IFERROR(__xludf.DUMMYFUNCTION("IMPORTRANGE(""https://docs.google.com/spreadsheets/d/1eHaY18a8A9IcSdp1K8H6x8fbOy06t2VsZHhMHf-1x7Y/edit?usp=sharing"",""แผน!EE46"")"),200)</f>
        <v>200</v>
      </c>
      <c r="J292" s="467">
        <v>200</v>
      </c>
      <c r="K292" s="565">
        <f ca="1">IF(I292&gt;0,J292*100/I292,0)</f>
        <v>100</v>
      </c>
      <c r="L292" s="172"/>
      <c r="M292" s="164"/>
      <c r="N292" s="164"/>
      <c r="O292" s="164"/>
      <c r="P292" s="164"/>
      <c r="Q292" s="164"/>
      <c r="R292" s="164"/>
      <c r="S292" s="164"/>
      <c r="T292" s="164"/>
      <c r="U292" s="164"/>
    </row>
    <row r="293" spans="1:21" ht="19.5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373">
        <f ca="1">IFERROR(__xludf.DUMMYFUNCTION("IMPORTRANGE(""https://docs.google.com/spreadsheets/d/1eHaY18a8A9IcSdp1K8H6x8fbOy06t2VsZHhMHf-1x7Y/edit?usp=sharing"",""แผน!ED46"")"),20)</f>
        <v>20</v>
      </c>
      <c r="J293" s="373">
        <f>J296</f>
        <v>20</v>
      </c>
      <c r="K293" s="642">
        <f ca="1">IF(I293&gt;0,J293*100/I293,0)</f>
        <v>100</v>
      </c>
      <c r="L293" s="172"/>
      <c r="M293" s="164"/>
      <c r="N293" s="164"/>
      <c r="O293" s="164"/>
      <c r="P293" s="164"/>
      <c r="Q293" s="164"/>
      <c r="R293" s="164"/>
      <c r="S293" s="164"/>
      <c r="T293" s="164"/>
      <c r="U293" s="164"/>
    </row>
    <row r="294" spans="1:21" ht="19.5">
      <c r="A294" s="166"/>
      <c r="B294" s="167"/>
      <c r="C294" s="167"/>
      <c r="D294" s="174"/>
      <c r="E294" s="194" t="s">
        <v>122</v>
      </c>
      <c r="F294" s="174"/>
      <c r="G294" s="171"/>
      <c r="H294" s="171"/>
      <c r="I294" s="163"/>
      <c r="J294" s="54"/>
      <c r="K294" s="164"/>
      <c r="L294" s="172"/>
      <c r="M294" s="164"/>
      <c r="N294" s="164"/>
      <c r="O294" s="164"/>
      <c r="P294" s="164"/>
      <c r="Q294" s="164"/>
      <c r="R294" s="164"/>
      <c r="S294" s="164"/>
      <c r="T294" s="164"/>
      <c r="U294" s="164"/>
    </row>
    <row r="295" spans="1:21" ht="19.5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641">
        <f ca="1">IFERROR(__xludf.DUMMYFUNCTION("IMPORTRANGE(""https://docs.google.com/spreadsheets/d/1eHaY18a8A9IcSdp1K8H6x8fbOy06t2VsZHhMHf-1x7Y/edit?usp=sharing"",""แผน!ED46"")"),20)</f>
        <v>20</v>
      </c>
      <c r="J295" s="467">
        <v>20</v>
      </c>
      <c r="K295" s="565">
        <f ca="1">IF(I295&gt;0,J295*100/I295,0)</f>
        <v>100</v>
      </c>
      <c r="L295" s="172"/>
      <c r="M295" s="164"/>
      <c r="N295" s="164"/>
      <c r="O295" s="164"/>
      <c r="P295" s="164"/>
      <c r="Q295" s="164"/>
      <c r="R295" s="164"/>
      <c r="S295" s="164"/>
      <c r="T295" s="164"/>
      <c r="U295" s="164"/>
    </row>
    <row r="296" spans="1:21" ht="19.5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641">
        <f ca="1">IFERROR(__xludf.DUMMYFUNCTION("IMPORTRANGE(""https://docs.google.com/spreadsheets/d/1eHaY18a8A9IcSdp1K8H6x8fbOy06t2VsZHhMHf-1x7Y/edit?usp=sharing"",""แผน!ED46"")"),20)</f>
        <v>20</v>
      </c>
      <c r="J296" s="467">
        <v>20</v>
      </c>
      <c r="K296" s="565">
        <f ca="1">IF(I296&gt;0,J296*100/I296,0)</f>
        <v>100</v>
      </c>
      <c r="L296" s="172"/>
      <c r="M296" s="164"/>
      <c r="N296" s="164"/>
      <c r="O296" s="164"/>
      <c r="P296" s="164"/>
      <c r="Q296" s="164"/>
      <c r="R296" s="164"/>
      <c r="S296" s="164"/>
      <c r="T296" s="164"/>
      <c r="U296" s="164"/>
    </row>
    <row r="297" spans="1:21" ht="12.75" hidden="1">
      <c r="A297" s="192"/>
      <c r="B297" s="193"/>
      <c r="C297" s="193"/>
      <c r="D297" s="22"/>
      <c r="E297" s="22"/>
      <c r="F297" s="22"/>
      <c r="G297" s="23"/>
      <c r="H297" s="23"/>
      <c r="I297" s="24"/>
      <c r="J297" s="24"/>
      <c r="K297" s="25"/>
      <c r="L297" s="26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2.75" hidden="1">
      <c r="A298" s="192"/>
      <c r="B298" s="193"/>
      <c r="C298" s="193"/>
      <c r="D298" s="22"/>
      <c r="E298" s="22"/>
      <c r="F298" s="22"/>
      <c r="G298" s="23"/>
      <c r="H298" s="23"/>
      <c r="I298" s="24"/>
      <c r="J298" s="24"/>
      <c r="K298" s="25"/>
      <c r="L298" s="26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2.75" hidden="1">
      <c r="A299" s="311"/>
      <c r="B299" s="312"/>
      <c r="C299" s="312"/>
      <c r="D299" s="27"/>
      <c r="E299" s="27"/>
      <c r="F299" s="27"/>
      <c r="G299" s="17"/>
      <c r="H299" s="17"/>
      <c r="I299" s="18"/>
      <c r="J299" s="18"/>
      <c r="K299" s="19"/>
      <c r="L299" s="28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>
      <c r="A300" s="313" t="s">
        <v>125</v>
      </c>
      <c r="B300" s="314"/>
      <c r="C300" s="314"/>
      <c r="D300" s="314"/>
      <c r="E300" s="315"/>
      <c r="F300" s="315"/>
      <c r="G300" s="315"/>
      <c r="H300" s="315"/>
      <c r="I300" s="316"/>
      <c r="J300" s="316"/>
      <c r="K300" s="317"/>
      <c r="L300" s="317"/>
      <c r="M300" s="317"/>
      <c r="N300" s="317"/>
      <c r="O300" s="317"/>
      <c r="P300" s="318"/>
      <c r="Q300" s="317"/>
      <c r="R300" s="317"/>
      <c r="S300" s="317"/>
      <c r="T300" s="317"/>
      <c r="U300" s="318"/>
    </row>
    <row r="301" spans="1:21" ht="19.5">
      <c r="A301" s="319" t="s">
        <v>126</v>
      </c>
      <c r="B301" s="320"/>
      <c r="C301" s="320"/>
      <c r="D301" s="321"/>
      <c r="E301" s="321"/>
      <c r="F301" s="321"/>
      <c r="G301" s="322"/>
      <c r="H301" s="322"/>
      <c r="I301" s="323"/>
      <c r="J301" s="323"/>
      <c r="K301" s="324"/>
      <c r="L301" s="325"/>
      <c r="M301" s="324"/>
      <c r="N301" s="324"/>
      <c r="O301" s="324"/>
      <c r="P301" s="324"/>
      <c r="Q301" s="324"/>
      <c r="R301" s="324"/>
      <c r="S301" s="324"/>
      <c r="T301" s="324"/>
      <c r="U301" s="324"/>
    </row>
    <row r="302" spans="1:21" ht="19.5">
      <c r="A302" s="326"/>
      <c r="B302" s="327" t="s">
        <v>127</v>
      </c>
      <c r="C302" s="328"/>
      <c r="D302" s="328"/>
      <c r="E302" s="328"/>
      <c r="F302" s="328"/>
      <c r="G302" s="329"/>
      <c r="H302" s="330" t="s">
        <v>35</v>
      </c>
      <c r="I302" s="605">
        <f ca="1">I314</f>
        <v>20</v>
      </c>
      <c r="J302" s="605">
        <f>J314</f>
        <v>20</v>
      </c>
      <c r="K302" s="604">
        <f ca="1">IF(I302&gt;0,J302*100/I302,0)</f>
        <v>100</v>
      </c>
      <c r="L302" s="334"/>
      <c r="M302" s="333"/>
      <c r="N302" s="333"/>
      <c r="O302" s="333"/>
      <c r="P302" s="333"/>
      <c r="Q302" s="333"/>
      <c r="R302" s="333"/>
      <c r="S302" s="333"/>
      <c r="T302" s="333"/>
      <c r="U302" s="333"/>
    </row>
    <row r="303" spans="1:21" ht="19.5">
      <c r="A303" s="155"/>
      <c r="B303" s="50"/>
      <c r="C303" s="156" t="s">
        <v>18</v>
      </c>
      <c r="D303" s="575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541">
        <f ca="1">L304+L305</f>
        <v>82400</v>
      </c>
      <c r="M303" s="540">
        <f ca="1">M304+M305</f>
        <v>82400</v>
      </c>
      <c r="N303" s="540">
        <f ca="1">N304+N305</f>
        <v>26480</v>
      </c>
      <c r="O303" s="540">
        <f ca="1">IF(L303&gt;0,N303*100/L303,0)</f>
        <v>32.135922330097088</v>
      </c>
      <c r="P303" s="540">
        <f ca="1">IF(M303&gt;0,N303*100/M303,0)</f>
        <v>32.135922330097088</v>
      </c>
      <c r="Q303" s="540">
        <f ca="1">Q304+Q305</f>
        <v>144609.24</v>
      </c>
      <c r="R303" s="540">
        <f ca="1">R304+R305</f>
        <v>144609</v>
      </c>
      <c r="S303" s="540">
        <f ca="1">S304+S305</f>
        <v>0</v>
      </c>
      <c r="T303" s="540">
        <f ca="1">IF(Q303&gt;0,S303*100/Q303,0)</f>
        <v>0</v>
      </c>
      <c r="U303" s="540">
        <f ca="1">IF(R303&gt;0,S303*100/R303,0)</f>
        <v>0</v>
      </c>
    </row>
    <row r="304" spans="1:21" ht="18.75" hidden="1">
      <c r="A304" s="155"/>
      <c r="B304" s="50"/>
      <c r="C304" s="50"/>
      <c r="D304" s="50"/>
      <c r="E304" s="186" t="s">
        <v>20</v>
      </c>
      <c r="F304" s="50"/>
      <c r="G304" s="52"/>
      <c r="H304" s="187" t="s">
        <v>14</v>
      </c>
      <c r="I304" s="54"/>
      <c r="J304" s="54"/>
      <c r="K304" s="55"/>
      <c r="L304" s="103">
        <f>L307+L310</f>
        <v>0</v>
      </c>
      <c r="M304" s="102">
        <f>M307+M310</f>
        <v>0</v>
      </c>
      <c r="N304" s="102">
        <f>N307+N310</f>
        <v>0</v>
      </c>
      <c r="O304" s="102">
        <f>IF(L304&gt;0,N304*100/L304,0)</f>
        <v>0</v>
      </c>
      <c r="P304" s="102">
        <f>IF(M304&gt;0,N304*100/M304,0)</f>
        <v>0</v>
      </c>
      <c r="Q304" s="102">
        <f>Q307+Q310</f>
        <v>0</v>
      </c>
      <c r="R304" s="102">
        <f>R307+R310</f>
        <v>0</v>
      </c>
      <c r="S304" s="102">
        <f>S307+S310</f>
        <v>0</v>
      </c>
      <c r="T304" s="102">
        <f>IF(Q304&gt;0,S304*100/Q304,0)</f>
        <v>0</v>
      </c>
      <c r="U304" s="102">
        <f>IF(R304&gt;0,S304*100/R304,0)</f>
        <v>0</v>
      </c>
    </row>
    <row r="305" spans="1:21" ht="18.75" hidden="1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256">
        <f ca="1">L308+L311</f>
        <v>82400</v>
      </c>
      <c r="M305" s="255">
        <f ca="1">M308+M311</f>
        <v>82400</v>
      </c>
      <c r="N305" s="255">
        <f ca="1">N308+N311</f>
        <v>26480</v>
      </c>
      <c r="O305" s="255">
        <f ca="1">IF(L305&gt;0,N305*100/L305,0)</f>
        <v>32.135922330097088</v>
      </c>
      <c r="P305" s="255">
        <f ca="1">IF(M305&gt;0,N305*100/M305,0)</f>
        <v>32.135922330097088</v>
      </c>
      <c r="Q305" s="255">
        <f ca="1">Q308+Q311</f>
        <v>144609.24</v>
      </c>
      <c r="R305" s="255">
        <f ca="1">R308+R311</f>
        <v>144609</v>
      </c>
      <c r="S305" s="255">
        <f ca="1">S308+S311</f>
        <v>0</v>
      </c>
      <c r="T305" s="255">
        <f ca="1">IF(Q305&gt;0,S305*100/Q305,0)</f>
        <v>0</v>
      </c>
      <c r="U305" s="255">
        <f ca="1">IF(R305&gt;0,S305*100/R305,0)</f>
        <v>0</v>
      </c>
    </row>
    <row r="306" spans="1:21" ht="18.75">
      <c r="A306" s="155"/>
      <c r="B306" s="50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256">
        <f ca="1">L307+L308</f>
        <v>82400</v>
      </c>
      <c r="M306" s="255">
        <f ca="1">M307+M308</f>
        <v>82400</v>
      </c>
      <c r="N306" s="255">
        <f ca="1">N307+N308</f>
        <v>26480</v>
      </c>
      <c r="O306" s="255">
        <f ca="1">IF(L306&gt;0,N306*100/L306,0)</f>
        <v>32.135922330097088</v>
      </c>
      <c r="P306" s="255">
        <f ca="1">IF(M306&gt;0,N306*100/M306,0)</f>
        <v>32.135922330097088</v>
      </c>
      <c r="Q306" s="255">
        <f ca="1">Q307+Q308</f>
        <v>144609.24</v>
      </c>
      <c r="R306" s="255">
        <f ca="1">R307+R308</f>
        <v>144609</v>
      </c>
      <c r="S306" s="255">
        <f ca="1">S307+S308</f>
        <v>0</v>
      </c>
      <c r="T306" s="255">
        <f ca="1">IF(Q306&gt;0,S306*100/Q306,0)</f>
        <v>0</v>
      </c>
      <c r="U306" s="255">
        <f ca="1">IF(R306&gt;0,S306*100/R306,0)</f>
        <v>0</v>
      </c>
    </row>
    <row r="307" spans="1:21" ht="18.75" hidden="1">
      <c r="A307" s="155"/>
      <c r="B307" s="50"/>
      <c r="C307" s="50"/>
      <c r="D307" s="50"/>
      <c r="E307" s="186" t="s">
        <v>36</v>
      </c>
      <c r="F307" s="50"/>
      <c r="G307" s="52"/>
      <c r="H307" s="189" t="s">
        <v>14</v>
      </c>
      <c r="I307" s="163"/>
      <c r="J307" s="163"/>
      <c r="K307" s="164"/>
      <c r="L307" s="103">
        <v>0</v>
      </c>
      <c r="M307" s="102">
        <v>0</v>
      </c>
      <c r="N307" s="102">
        <v>0</v>
      </c>
      <c r="O307" s="102">
        <f>IF(L307&gt;0,N307*100/L307,0)</f>
        <v>0</v>
      </c>
      <c r="P307" s="102">
        <f>IF(M307&gt;0,N307*100/M307,0)</f>
        <v>0</v>
      </c>
      <c r="Q307" s="102">
        <v>0</v>
      </c>
      <c r="R307" s="102">
        <v>0</v>
      </c>
      <c r="S307" s="102">
        <v>0</v>
      </c>
      <c r="T307" s="102">
        <f>IF(Q307&gt;0,S307*100/Q307,0)</f>
        <v>0</v>
      </c>
      <c r="U307" s="102">
        <f>IF(R307&gt;0,S307*100/R307,0)</f>
        <v>0</v>
      </c>
    </row>
    <row r="308" spans="1:21" ht="18.75" hidden="1">
      <c r="A308" s="155"/>
      <c r="B308" s="50"/>
      <c r="C308" s="50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256">
        <f ca="1">IFERROR(__xludf.DUMMYFUNCTION("IMPORTRANGE(""https://docs.google.com/spreadsheets/d/1-uDff_7J0KD5mKrp0Vvzr7lt3OU09vwQwhkpOPPYv2Y/edit?usp=sharing"",""งบพรบ!DY46"")"),82400)</f>
        <v>82400</v>
      </c>
      <c r="M308" s="255">
        <f ca="1">IFERROR(__xludf.DUMMYFUNCTION("IMPORTRANGE(""https://docs.google.com/spreadsheets/d/1-uDff_7J0KD5mKrp0Vvzr7lt3OU09vwQwhkpOPPYv2Y/edit?usp=sharing"",""งบพรบ!ED46"")"),82400)</f>
        <v>82400</v>
      </c>
      <c r="N308" s="255">
        <f ca="1">IFERROR(__xludf.DUMMYFUNCTION("IMPORTRANGE(""https://docs.google.com/spreadsheets/d/1-uDff_7J0KD5mKrp0Vvzr7lt3OU09vwQwhkpOPPYv2Y/edit?usp=sharing"",""งบพรบ!EF46"")"),26480)</f>
        <v>26480</v>
      </c>
      <c r="O308" s="255">
        <f ca="1">IF(L308&gt;0,N308*100/L308,0)</f>
        <v>32.135922330097088</v>
      </c>
      <c r="P308" s="255">
        <f ca="1">IF(M308&gt;0,N308*100/M308,0)</f>
        <v>32.135922330097088</v>
      </c>
      <c r="Q308" s="255">
        <f ca="1">IFERROR(__xludf.DUMMYFUNCTION("IMPORTRANGE(""https://docs.google.com/spreadsheets/d/1ItG2mGa2ceCfYo0BwxsXqNm01IGEUdYcSSLTEv9YCik/edit?usp=sharing"",""เบิกจ่ายกองทุน!AP46"")"),144609.24)</f>
        <v>144609.24</v>
      </c>
      <c r="R308" s="255">
        <f ca="1">IFERROR(__xludf.DUMMYFUNCTION("IMPORTRANGE(""https://docs.google.com/spreadsheets/d/1ItG2mGa2ceCfYo0BwxsXqNm01IGEUdYcSSLTEv9YCik/edit?usp=sharing"",""เบิกจ่ายกองทุน!AQ46"")"),144609)</f>
        <v>144609</v>
      </c>
      <c r="S308" s="255">
        <f ca="1">IFERROR(__xludf.DUMMYFUNCTION("IMPORTRANGE(""https://docs.google.com/spreadsheets/d/1ItG2mGa2ceCfYo0BwxsXqNm01IGEUdYcSSLTEv9YCik/edit?usp=sharing"",""เบิกจ่ายกองทุน!AR46"")"),0)</f>
        <v>0</v>
      </c>
      <c r="T308" s="255">
        <f ca="1">IF(Q308&gt;0,S308*100/Q308,0)</f>
        <v>0</v>
      </c>
      <c r="U308" s="255">
        <f ca="1">IF(R308&gt;0,S308*100/R308,0)</f>
        <v>0</v>
      </c>
    </row>
    <row r="309" spans="1:21" ht="18.75">
      <c r="A309" s="155"/>
      <c r="B309" s="50"/>
      <c r="C309" s="50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256">
        <f ca="1">L310+L311</f>
        <v>0</v>
      </c>
      <c r="M309" s="255">
        <f ca="1">M310+M311</f>
        <v>0</v>
      </c>
      <c r="N309" s="255">
        <f ca="1">N310+N311</f>
        <v>0</v>
      </c>
      <c r="O309" s="255">
        <f ca="1">IF(L309&gt;0,N309*100/L309,0)</f>
        <v>0</v>
      </c>
      <c r="P309" s="255">
        <f ca="1">IF(M309&gt;0,N309*100/M309,0)</f>
        <v>0</v>
      </c>
      <c r="Q309" s="255">
        <f>Q310+Q311</f>
        <v>0</v>
      </c>
      <c r="R309" s="255">
        <f>R310+R311</f>
        <v>0</v>
      </c>
      <c r="S309" s="255">
        <f>S310+S311</f>
        <v>0</v>
      </c>
      <c r="T309" s="255">
        <f>IF(Q309&gt;0,S309*100/Q309,0)</f>
        <v>0</v>
      </c>
      <c r="U309" s="255">
        <f>IF(R309&gt;0,S309*100/R309,0)</f>
        <v>0</v>
      </c>
    </row>
    <row r="310" spans="1:21" ht="18.75" hidden="1">
      <c r="A310" s="155"/>
      <c r="B310" s="50"/>
      <c r="C310" s="50"/>
      <c r="D310" s="50"/>
      <c r="E310" s="186" t="s">
        <v>20</v>
      </c>
      <c r="F310" s="50"/>
      <c r="G310" s="52"/>
      <c r="H310" s="189" t="s">
        <v>14</v>
      </c>
      <c r="I310" s="163"/>
      <c r="J310" s="163"/>
      <c r="K310" s="164"/>
      <c r="L310" s="103">
        <v>0</v>
      </c>
      <c r="M310" s="102">
        <v>0</v>
      </c>
      <c r="N310" s="102">
        <v>0</v>
      </c>
      <c r="O310" s="102">
        <f>IF(L310&gt;0,N310*100/L310,0)</f>
        <v>0</v>
      </c>
      <c r="P310" s="102">
        <f>IF(M310&gt;0,N310*100/M310,0)</f>
        <v>0</v>
      </c>
      <c r="Q310" s="102">
        <v>0</v>
      </c>
      <c r="R310" s="102">
        <v>0</v>
      </c>
      <c r="S310" s="102">
        <v>0</v>
      </c>
      <c r="T310" s="102">
        <f>IF(Q310&gt;0,S310*100/Q310,0)</f>
        <v>0</v>
      </c>
      <c r="U310" s="102">
        <f>IF(R310&gt;0,S310*100/R310,0)</f>
        <v>0</v>
      </c>
    </row>
    <row r="311" spans="1:21" ht="18.75" hidden="1">
      <c r="A311" s="155"/>
      <c r="B311" s="50"/>
      <c r="C311" s="50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256">
        <f ca="1">IFERROR(__xludf.DUMMYFUNCTION("IMPORTRANGE(""https://docs.google.com/spreadsheets/d/1-uDff_7J0KD5mKrp0Vvzr7lt3OU09vwQwhkpOPPYv2Y/edit?usp=sharing"",""งบพรบ!EB46"")"),0)</f>
        <v>0</v>
      </c>
      <c r="M311" s="255">
        <f ca="1">IFERROR(__xludf.DUMMYFUNCTION("IMPORTRANGE(""https://docs.google.com/spreadsheets/d/1-uDff_7J0KD5mKrp0Vvzr7lt3OU09vwQwhkpOPPYv2Y/edit?usp=sharing"",""งบพรบ!EE46"")"),0)</f>
        <v>0</v>
      </c>
      <c r="N311" s="255">
        <f ca="1">IFERROR(__xludf.DUMMYFUNCTION("IMPORTRANGE(""https://docs.google.com/spreadsheets/d/1-uDff_7J0KD5mKrp0Vvzr7lt3OU09vwQwhkpOPPYv2Y/edit?usp=sharing"",""งบพรบ!EG46"")"),0)</f>
        <v>0</v>
      </c>
      <c r="O311" s="255">
        <f ca="1">IF(L311&gt;0,N311*100/L311,0)</f>
        <v>0</v>
      </c>
      <c r="P311" s="255">
        <f ca="1">IF(M311&gt;0,N311*100/M311,0)</f>
        <v>0</v>
      </c>
      <c r="Q311" s="255">
        <v>0</v>
      </c>
      <c r="R311" s="255">
        <v>0</v>
      </c>
      <c r="S311" s="255">
        <v>0</v>
      </c>
      <c r="T311" s="255">
        <f>IF(Q311&gt;0,S311*100/Q311,0)</f>
        <v>0</v>
      </c>
      <c r="U311" s="255">
        <f>IF(R311&gt;0,S311*100/R311,0)</f>
        <v>0</v>
      </c>
    </row>
    <row r="312" spans="1:21" ht="19.5">
      <c r="A312" s="166"/>
      <c r="B312" s="167"/>
      <c r="C312" s="156" t="s">
        <v>18</v>
      </c>
      <c r="D312" s="566" t="s">
        <v>38</v>
      </c>
      <c r="E312" s="169"/>
      <c r="F312" s="169"/>
      <c r="G312" s="170"/>
      <c r="H312" s="171"/>
      <c r="I312" s="54"/>
      <c r="J312" s="54"/>
      <c r="K312" s="55"/>
      <c r="L312" s="62"/>
      <c r="M312" s="55"/>
      <c r="N312" s="55"/>
      <c r="O312" s="55"/>
      <c r="P312" s="55"/>
      <c r="Q312" s="55"/>
      <c r="R312" s="55"/>
      <c r="S312" s="55"/>
      <c r="T312" s="55"/>
      <c r="U312" s="55"/>
    </row>
    <row r="313" spans="1:21" ht="18.75" hidden="1">
      <c r="A313" s="192"/>
      <c r="B313" s="193"/>
      <c r="C313" s="193"/>
      <c r="D313" s="640"/>
      <c r="E313" s="22"/>
      <c r="F313" s="22"/>
      <c r="G313" s="23"/>
      <c r="H313" s="23"/>
      <c r="I313" s="24"/>
      <c r="J313" s="638"/>
      <c r="K313" s="25"/>
      <c r="L313" s="26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8.75">
      <c r="A314" s="166"/>
      <c r="B314" s="167"/>
      <c r="C314" s="167"/>
      <c r="D314" s="178" t="s">
        <v>121</v>
      </c>
      <c r="E314" s="174"/>
      <c r="F314" s="174"/>
      <c r="G314" s="171"/>
      <c r="H314" s="179" t="s">
        <v>35</v>
      </c>
      <c r="I314" s="212">
        <f ca="1">IFERROR(__xludf.DUMMYFUNCTION("IMPORTRANGE(""https://docs.google.com/spreadsheets/d/1eHaY18a8A9IcSdp1K8H6x8fbOy06t2VsZHhMHf-1x7Y/edit?usp=sharing"",""แผน!EF46"")"),20)</f>
        <v>20</v>
      </c>
      <c r="J314" s="467">
        <v>20</v>
      </c>
      <c r="K314" s="255">
        <f ca="1">IF(I314&gt;0,J314*100/I314,0)</f>
        <v>100</v>
      </c>
      <c r="L314" s="62"/>
      <c r="M314" s="55"/>
      <c r="N314" s="55"/>
      <c r="O314" s="55"/>
      <c r="P314" s="55"/>
      <c r="Q314" s="55"/>
      <c r="R314" s="55"/>
      <c r="S314" s="55"/>
      <c r="T314" s="55"/>
      <c r="U314" s="55"/>
    </row>
    <row r="315" spans="1:21" ht="18.75" hidden="1">
      <c r="A315" s="192"/>
      <c r="B315" s="193"/>
      <c r="C315" s="193"/>
      <c r="D315" s="640"/>
      <c r="E315" s="22"/>
      <c r="F315" s="22"/>
      <c r="G315" s="23"/>
      <c r="H315" s="639"/>
      <c r="I315" s="638"/>
      <c r="J315" s="638"/>
      <c r="K315" s="637"/>
      <c r="L315" s="26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8.75" hidden="1">
      <c r="A316" s="192"/>
      <c r="B316" s="193"/>
      <c r="C316" s="193"/>
      <c r="D316" s="640"/>
      <c r="E316" s="22"/>
      <c r="F316" s="22"/>
      <c r="G316" s="23"/>
      <c r="H316" s="639"/>
      <c r="I316" s="638"/>
      <c r="J316" s="638"/>
      <c r="K316" s="637"/>
      <c r="L316" s="26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8.75" hidden="1">
      <c r="A317" s="192"/>
      <c r="B317" s="193"/>
      <c r="C317" s="193"/>
      <c r="D317" s="636"/>
      <c r="E317" s="22"/>
      <c r="F317" s="22"/>
      <c r="G317" s="23"/>
      <c r="H317" s="635"/>
      <c r="I317" s="638"/>
      <c r="J317" s="634"/>
      <c r="K317" s="633"/>
      <c r="L317" s="26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9.5" hidden="1">
      <c r="A318" s="319" t="s">
        <v>131</v>
      </c>
      <c r="B318" s="320"/>
      <c r="C318" s="320"/>
      <c r="D318" s="321"/>
      <c r="E318" s="320"/>
      <c r="F318" s="320"/>
      <c r="G318" s="320"/>
      <c r="H318" s="321"/>
      <c r="I318" s="323"/>
      <c r="J318" s="323"/>
      <c r="K318" s="324"/>
      <c r="L318" s="325"/>
      <c r="M318" s="324"/>
      <c r="N318" s="324"/>
      <c r="O318" s="324"/>
      <c r="P318" s="324"/>
      <c r="Q318" s="324"/>
      <c r="R318" s="324"/>
      <c r="S318" s="324"/>
      <c r="T318" s="324"/>
      <c r="U318" s="324"/>
    </row>
    <row r="319" spans="1:21" ht="19.5" hidden="1">
      <c r="A319" s="335"/>
      <c r="B319" s="327" t="s">
        <v>132</v>
      </c>
      <c r="C319" s="336"/>
      <c r="D319" s="337"/>
      <c r="E319" s="328"/>
      <c r="F319" s="328"/>
      <c r="G319" s="329"/>
      <c r="H319" s="330" t="s">
        <v>133</v>
      </c>
      <c r="I319" s="605">
        <f ca="1">I330</f>
        <v>0</v>
      </c>
      <c r="J319" s="605">
        <f>J330</f>
        <v>0</v>
      </c>
      <c r="K319" s="604">
        <f ca="1">IF(I319&gt;0,J319*100/I319,0)</f>
        <v>0</v>
      </c>
      <c r="L319" s="334"/>
      <c r="M319" s="333"/>
      <c r="N319" s="333"/>
      <c r="O319" s="333"/>
      <c r="P319" s="333"/>
      <c r="Q319" s="333"/>
      <c r="R319" s="333"/>
      <c r="S319" s="333"/>
      <c r="T319" s="333"/>
      <c r="U319" s="333"/>
    </row>
    <row r="320" spans="1:21" ht="19.5" hidden="1">
      <c r="A320" s="155"/>
      <c r="B320" s="50"/>
      <c r="C320" s="156" t="s">
        <v>18</v>
      </c>
      <c r="D320" s="575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541">
        <f ca="1">L321+L322</f>
        <v>0</v>
      </c>
      <c r="M320" s="540">
        <f ca="1">M321+M322</f>
        <v>0</v>
      </c>
      <c r="N320" s="540">
        <f ca="1">N321+N322</f>
        <v>0</v>
      </c>
      <c r="O320" s="540">
        <f ca="1">IF(L320&gt;0,N320*100/L320,0)</f>
        <v>0</v>
      </c>
      <c r="P320" s="540">
        <f ca="1">IF(M320&gt;0,N320*100/M320,0)</f>
        <v>0</v>
      </c>
      <c r="Q320" s="540">
        <f>Q321+Q322</f>
        <v>0</v>
      </c>
      <c r="R320" s="540">
        <f>R321+R322</f>
        <v>0</v>
      </c>
      <c r="S320" s="540">
        <f>S321+S322</f>
        <v>0</v>
      </c>
      <c r="T320" s="540">
        <f>IF(Q320&gt;0,S320*100/Q320,0)</f>
        <v>0</v>
      </c>
      <c r="U320" s="540">
        <f>IF(R320&gt;0,S320*100/R320,0)</f>
        <v>0</v>
      </c>
    </row>
    <row r="321" spans="1:21" ht="18.75" hidden="1">
      <c r="A321" s="155"/>
      <c r="B321" s="50"/>
      <c r="C321" s="50"/>
      <c r="D321" s="50"/>
      <c r="E321" s="186" t="s">
        <v>20</v>
      </c>
      <c r="F321" s="50"/>
      <c r="G321" s="52"/>
      <c r="H321" s="187" t="s">
        <v>14</v>
      </c>
      <c r="I321" s="54"/>
      <c r="J321" s="54"/>
      <c r="K321" s="55"/>
      <c r="L321" s="103">
        <f>L324+L327</f>
        <v>0</v>
      </c>
      <c r="M321" s="102">
        <f>M324+M327</f>
        <v>0</v>
      </c>
      <c r="N321" s="102">
        <f>N324+N327</f>
        <v>0</v>
      </c>
      <c r="O321" s="102">
        <f>IF(L321&gt;0,N321*100/L321,0)</f>
        <v>0</v>
      </c>
      <c r="P321" s="102">
        <f>IF(M321&gt;0,N321*100/M321,0)</f>
        <v>0</v>
      </c>
      <c r="Q321" s="102">
        <f>Q324+Q327</f>
        <v>0</v>
      </c>
      <c r="R321" s="102">
        <f>R324+R327</f>
        <v>0</v>
      </c>
      <c r="S321" s="102">
        <f>S324+S327</f>
        <v>0</v>
      </c>
      <c r="T321" s="102">
        <f>IF(Q321&gt;0,S321*100/Q321,0)</f>
        <v>0</v>
      </c>
      <c r="U321" s="102">
        <f>IF(R321&gt;0,S321*100/R321,0)</f>
        <v>0</v>
      </c>
    </row>
    <row r="322" spans="1:21" ht="18.75" hidden="1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256">
        <f ca="1">L325+L328</f>
        <v>0</v>
      </c>
      <c r="M322" s="255">
        <f ca="1">M325+M328</f>
        <v>0</v>
      </c>
      <c r="N322" s="255">
        <f ca="1">N325+N328</f>
        <v>0</v>
      </c>
      <c r="O322" s="255">
        <f ca="1">IF(L322&gt;0,N322*100/L322,0)</f>
        <v>0</v>
      </c>
      <c r="P322" s="255">
        <f ca="1">IF(M322&gt;0,N322*100/M322,0)</f>
        <v>0</v>
      </c>
      <c r="Q322" s="255">
        <f>Q325+Q328</f>
        <v>0</v>
      </c>
      <c r="R322" s="255">
        <f>R325+R328</f>
        <v>0</v>
      </c>
      <c r="S322" s="255">
        <f>S325+S328</f>
        <v>0</v>
      </c>
      <c r="T322" s="255">
        <f>IF(Q322&gt;0,S322*100/Q322,0)</f>
        <v>0</v>
      </c>
      <c r="U322" s="255">
        <f>IF(R322&gt;0,S322*100/R322,0)</f>
        <v>0</v>
      </c>
    </row>
    <row r="323" spans="1:21" ht="18.75" hidden="1">
      <c r="A323" s="155"/>
      <c r="B323" s="50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256">
        <f ca="1">L324+L325</f>
        <v>0</v>
      </c>
      <c r="M323" s="255">
        <f ca="1">M324+M325</f>
        <v>0</v>
      </c>
      <c r="N323" s="255">
        <f ca="1">N324+N325</f>
        <v>0</v>
      </c>
      <c r="O323" s="255">
        <f ca="1">IF(L323&gt;0,N323*100/L323,0)</f>
        <v>0</v>
      </c>
      <c r="P323" s="255">
        <f ca="1">IF(M323&gt;0,N323*100/M323,0)</f>
        <v>0</v>
      </c>
      <c r="Q323" s="255">
        <f>Q324+Q325</f>
        <v>0</v>
      </c>
      <c r="R323" s="255">
        <f>R324+R325</f>
        <v>0</v>
      </c>
      <c r="S323" s="255">
        <f>S324+S325</f>
        <v>0</v>
      </c>
      <c r="T323" s="255">
        <f>IF(Q323&gt;0,S323*100/Q323,0)</f>
        <v>0</v>
      </c>
      <c r="U323" s="255">
        <f>IF(R323&gt;0,S323*100/R323,0)</f>
        <v>0</v>
      </c>
    </row>
    <row r="324" spans="1:21" ht="18.75" hidden="1">
      <c r="A324" s="155"/>
      <c r="B324" s="50"/>
      <c r="C324" s="50"/>
      <c r="D324" s="50"/>
      <c r="E324" s="186" t="s">
        <v>36</v>
      </c>
      <c r="F324" s="50"/>
      <c r="G324" s="52"/>
      <c r="H324" s="189" t="s">
        <v>14</v>
      </c>
      <c r="I324" s="163"/>
      <c r="J324" s="163"/>
      <c r="K324" s="164"/>
      <c r="L324" s="103">
        <v>0</v>
      </c>
      <c r="M324" s="102">
        <v>0</v>
      </c>
      <c r="N324" s="102">
        <v>0</v>
      </c>
      <c r="O324" s="102">
        <f>IF(L324&gt;0,N324*100/L324,0)</f>
        <v>0</v>
      </c>
      <c r="P324" s="102">
        <f>IF(M324&gt;0,N324*100/M324,0)</f>
        <v>0</v>
      </c>
      <c r="Q324" s="102">
        <v>0</v>
      </c>
      <c r="R324" s="102">
        <v>0</v>
      </c>
      <c r="S324" s="102">
        <v>0</v>
      </c>
      <c r="T324" s="102">
        <f>IF(Q324&gt;0,S324*100/Q324,0)</f>
        <v>0</v>
      </c>
      <c r="U324" s="102">
        <f>IF(R324&gt;0,S324*100/R324,0)</f>
        <v>0</v>
      </c>
    </row>
    <row r="325" spans="1:21" ht="18.75" hidden="1">
      <c r="A325" s="155"/>
      <c r="B325" s="50"/>
      <c r="C325" s="50"/>
      <c r="D325" s="50"/>
      <c r="E325" s="58" t="s">
        <v>37</v>
      </c>
      <c r="F325" s="50"/>
      <c r="G325" s="52"/>
      <c r="H325" s="162" t="s">
        <v>14</v>
      </c>
      <c r="I325" s="163"/>
      <c r="J325" s="163"/>
      <c r="K325" s="164"/>
      <c r="L325" s="256">
        <f ca="1">IFERROR(__xludf.DUMMYFUNCTION("IMPORTRANGE(""https://docs.google.com/spreadsheets/d/1-uDff_7J0KD5mKrp0Vvzr7lt3OU09vwQwhkpOPPYv2Y/edit?usp=sharing"",""งบพรบ!EI46"")"),0)</f>
        <v>0</v>
      </c>
      <c r="M325" s="255">
        <f ca="1">IFERROR(__xludf.DUMMYFUNCTION("IMPORTRANGE(""https://docs.google.com/spreadsheets/d/1-uDff_7J0KD5mKrp0Vvzr7lt3OU09vwQwhkpOPPYv2Y/edit?usp=sharing"",""งบพรบ!EN46"")"),0)</f>
        <v>0</v>
      </c>
      <c r="N325" s="255">
        <f ca="1">IFERROR(__xludf.DUMMYFUNCTION("IMPORTRANGE(""https://docs.google.com/spreadsheets/d/1-uDff_7J0KD5mKrp0Vvzr7lt3OU09vwQwhkpOPPYv2Y/edit?usp=sharing"",""งบพรบ!EP46"")"),0)</f>
        <v>0</v>
      </c>
      <c r="O325" s="255">
        <f ca="1">IF(L325&gt;0,N325*100/L325,0)</f>
        <v>0</v>
      </c>
      <c r="P325" s="255">
        <f ca="1">IF(M325&gt;0,N325*100/M325,0)</f>
        <v>0</v>
      </c>
      <c r="Q325" s="255">
        <v>0</v>
      </c>
      <c r="R325" s="255">
        <v>0</v>
      </c>
      <c r="S325" s="255">
        <v>0</v>
      </c>
      <c r="T325" s="255">
        <f>IF(Q325&gt;0,S325*100/Q325,0)</f>
        <v>0</v>
      </c>
      <c r="U325" s="255">
        <f>IF(R325&gt;0,S325*100/R325,0)</f>
        <v>0</v>
      </c>
    </row>
    <row r="326" spans="1:21" ht="18.75" hidden="1">
      <c r="A326" s="155"/>
      <c r="B326" s="50"/>
      <c r="C326" s="50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256">
        <f ca="1">L327+L328</f>
        <v>0</v>
      </c>
      <c r="M326" s="255">
        <f ca="1">M327+M328</f>
        <v>0</v>
      </c>
      <c r="N326" s="255">
        <f ca="1">N327+N328</f>
        <v>0</v>
      </c>
      <c r="O326" s="255">
        <f ca="1">IF(L326&gt;0,N326*100/L326,0)</f>
        <v>0</v>
      </c>
      <c r="P326" s="255">
        <f ca="1">IF(M326&gt;0,N326*100/M326,0)</f>
        <v>0</v>
      </c>
      <c r="Q326" s="255">
        <f>Q327+Q328</f>
        <v>0</v>
      </c>
      <c r="R326" s="255">
        <f>R327+R328</f>
        <v>0</v>
      </c>
      <c r="S326" s="255">
        <f>S327+S328</f>
        <v>0</v>
      </c>
      <c r="T326" s="255">
        <f>IF(Q326&gt;0,S326*100/Q326,0)</f>
        <v>0</v>
      </c>
      <c r="U326" s="255">
        <f>IF(R326&gt;0,S326*100/R326,0)</f>
        <v>0</v>
      </c>
    </row>
    <row r="327" spans="1:21" ht="18.75" hidden="1">
      <c r="A327" s="155"/>
      <c r="B327" s="50"/>
      <c r="C327" s="50"/>
      <c r="D327" s="50"/>
      <c r="E327" s="186" t="s">
        <v>20</v>
      </c>
      <c r="F327" s="50"/>
      <c r="G327" s="52"/>
      <c r="H327" s="189" t="s">
        <v>14</v>
      </c>
      <c r="I327" s="163"/>
      <c r="J327" s="163"/>
      <c r="K327" s="164"/>
      <c r="L327" s="103">
        <v>0</v>
      </c>
      <c r="M327" s="102">
        <v>0</v>
      </c>
      <c r="N327" s="102">
        <v>0</v>
      </c>
      <c r="O327" s="102">
        <f>IF(L327&gt;0,N327*100/L327,0)</f>
        <v>0</v>
      </c>
      <c r="P327" s="102">
        <f>IF(M327&gt;0,N327*100/M327,0)</f>
        <v>0</v>
      </c>
      <c r="Q327" s="102">
        <v>0</v>
      </c>
      <c r="R327" s="102">
        <v>0</v>
      </c>
      <c r="S327" s="102">
        <v>0</v>
      </c>
      <c r="T327" s="102">
        <f>IF(Q327&gt;0,S327*100/Q327,0)</f>
        <v>0</v>
      </c>
      <c r="U327" s="102">
        <f>IF(R327&gt;0,S327*100/R327,0)</f>
        <v>0</v>
      </c>
    </row>
    <row r="328" spans="1:21" ht="18.75" hidden="1">
      <c r="A328" s="155"/>
      <c r="B328" s="50"/>
      <c r="C328" s="50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256">
        <f ca="1">IFERROR(__xludf.DUMMYFUNCTION("IMPORTRANGE(""https://docs.google.com/spreadsheets/d/1-uDff_7J0KD5mKrp0Vvzr7lt3OU09vwQwhkpOPPYv2Y/edit?usp=sharing"",""งบพรบ!EL46"")"),0)</f>
        <v>0</v>
      </c>
      <c r="M328" s="255">
        <f ca="1">IFERROR(__xludf.DUMMYFUNCTION("IMPORTRANGE(""https://docs.google.com/spreadsheets/d/1-uDff_7J0KD5mKrp0Vvzr7lt3OU09vwQwhkpOPPYv2Y/edit?usp=sharing"",""งบพรบ!EO46"")"),0)</f>
        <v>0</v>
      </c>
      <c r="N328" s="255">
        <f ca="1">IFERROR(__xludf.DUMMYFUNCTION("IMPORTRANGE(""https://docs.google.com/spreadsheets/d/1-uDff_7J0KD5mKrp0Vvzr7lt3OU09vwQwhkpOPPYv2Y/edit?usp=sharing"",""งบพรบ!EQ46"")"),0)</f>
        <v>0</v>
      </c>
      <c r="O328" s="255">
        <f ca="1">IF(L328&gt;0,N328*100/L328,0)</f>
        <v>0</v>
      </c>
      <c r="P328" s="255">
        <f ca="1">IF(M328&gt;0,N328*100/M328,0)</f>
        <v>0</v>
      </c>
      <c r="Q328" s="255">
        <v>0</v>
      </c>
      <c r="R328" s="255">
        <v>0</v>
      </c>
      <c r="S328" s="255">
        <v>0</v>
      </c>
      <c r="T328" s="255">
        <f>IF(Q328&gt;0,S328*100/Q328,0)</f>
        <v>0</v>
      </c>
      <c r="U328" s="255">
        <f>IF(R328&gt;0,S328*100/R328,0)</f>
        <v>0</v>
      </c>
    </row>
    <row r="329" spans="1:21" ht="19.5" hidden="1">
      <c r="A329" s="166"/>
      <c r="B329" s="167"/>
      <c r="C329" s="156" t="s">
        <v>18</v>
      </c>
      <c r="D329" s="566" t="s">
        <v>38</v>
      </c>
      <c r="E329" s="169"/>
      <c r="F329" s="169"/>
      <c r="G329" s="170"/>
      <c r="H329" s="171"/>
      <c r="I329" s="163"/>
      <c r="J329" s="54"/>
      <c r="K329" s="55"/>
      <c r="L329" s="62"/>
      <c r="M329" s="55"/>
      <c r="N329" s="55"/>
      <c r="O329" s="164"/>
      <c r="P329" s="164"/>
      <c r="Q329" s="55"/>
      <c r="R329" s="55"/>
      <c r="S329" s="55"/>
      <c r="T329" s="164"/>
      <c r="U329" s="164"/>
    </row>
    <row r="330" spans="1:21" ht="18.75" hidden="1">
      <c r="A330" s="166"/>
      <c r="B330" s="167"/>
      <c r="C330" s="167"/>
      <c r="D330" s="173" t="s">
        <v>134</v>
      </c>
      <c r="E330" s="174"/>
      <c r="F330" s="174"/>
      <c r="G330" s="171"/>
      <c r="H330" s="53" t="s">
        <v>133</v>
      </c>
      <c r="I330" s="212">
        <f ca="1">IFERROR(__xludf.DUMMYFUNCTION("IMPORTRANGE(""https://docs.google.com/spreadsheets/d/1eHaY18a8A9IcSdp1K8H6x8fbOy06t2VsZHhMHf-1x7Y/edit?usp=sharing"",""แผน!EJ46"")"),0)</f>
        <v>0</v>
      </c>
      <c r="J330" s="467">
        <v>0</v>
      </c>
      <c r="K330" s="255">
        <f ca="1">IF(I330&gt;0,J330*100/I330,0)</f>
        <v>0</v>
      </c>
      <c r="L330" s="62"/>
      <c r="M330" s="55"/>
      <c r="N330" s="55"/>
      <c r="O330" s="164"/>
      <c r="P330" s="164"/>
      <c r="Q330" s="55"/>
      <c r="R330" s="55"/>
      <c r="S330" s="55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1"/>
      <c r="I331" s="323"/>
      <c r="J331" s="323"/>
      <c r="K331" s="324"/>
      <c r="L331" s="325"/>
      <c r="M331" s="324"/>
      <c r="N331" s="324"/>
      <c r="O331" s="324"/>
      <c r="P331" s="324"/>
      <c r="Q331" s="324"/>
      <c r="R331" s="324"/>
      <c r="S331" s="324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30" t="s">
        <v>35</v>
      </c>
      <c r="I332" s="632">
        <f ca="1">I344</f>
        <v>3540</v>
      </c>
      <c r="J332" s="631">
        <f ca="1">J344+J347+J348+J349+J353</f>
        <v>6608</v>
      </c>
      <c r="K332" s="630">
        <f ca="1">IF(I332&gt;0,J332*100/I332,0)</f>
        <v>186.66666666666666</v>
      </c>
      <c r="L332" s="334"/>
      <c r="M332" s="333"/>
      <c r="N332" s="333"/>
      <c r="O332" s="333"/>
      <c r="P332" s="333"/>
      <c r="Q332" s="333"/>
      <c r="R332" s="333"/>
      <c r="S332" s="333"/>
      <c r="T332" s="333"/>
      <c r="U332" s="333"/>
    </row>
    <row r="333" spans="1:21" ht="19.5">
      <c r="A333" s="155"/>
      <c r="B333" s="50"/>
      <c r="C333" s="156" t="s">
        <v>18</v>
      </c>
      <c r="D333" s="575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541">
        <f ca="1">L334+L335</f>
        <v>112000</v>
      </c>
      <c r="M333" s="540">
        <f ca="1">M334+M335</f>
        <v>117000</v>
      </c>
      <c r="N333" s="540">
        <f ca="1">N334+N335</f>
        <v>97403</v>
      </c>
      <c r="O333" s="540">
        <f ca="1">IF(L333&gt;0,N333*100/L333,0)</f>
        <v>86.966964285714283</v>
      </c>
      <c r="P333" s="540">
        <f ca="1">IF(M333&gt;0,N333*100/M333,0)</f>
        <v>83.250427350427344</v>
      </c>
      <c r="Q333" s="540">
        <f>Q334+Q335</f>
        <v>0</v>
      </c>
      <c r="R333" s="540">
        <f>R334+R335</f>
        <v>0</v>
      </c>
      <c r="S333" s="540">
        <f>S334+S335</f>
        <v>0</v>
      </c>
      <c r="T333" s="540">
        <f>IF(Q333&gt;0,S333*100/Q333,0)</f>
        <v>0</v>
      </c>
      <c r="U333" s="540">
        <f>IF(R333&gt;0,S333*100/R333,0)</f>
        <v>0</v>
      </c>
    </row>
    <row r="334" spans="1:21" ht="18.75" hidden="1">
      <c r="A334" s="155"/>
      <c r="B334" s="50"/>
      <c r="C334" s="50"/>
      <c r="D334" s="50"/>
      <c r="E334" s="186" t="s">
        <v>20</v>
      </c>
      <c r="F334" s="50"/>
      <c r="G334" s="52"/>
      <c r="H334" s="187" t="s">
        <v>14</v>
      </c>
      <c r="I334" s="54"/>
      <c r="J334" s="54"/>
      <c r="K334" s="55"/>
      <c r="L334" s="103">
        <f>L337+L340</f>
        <v>0</v>
      </c>
      <c r="M334" s="102">
        <f>M337+M340</f>
        <v>0</v>
      </c>
      <c r="N334" s="102">
        <f>N337+N340</f>
        <v>0</v>
      </c>
      <c r="O334" s="102">
        <f>IF(L334&gt;0,N334*100/L334,0)</f>
        <v>0</v>
      </c>
      <c r="P334" s="102">
        <f>IF(M334&gt;0,N334*100/M334,0)</f>
        <v>0</v>
      </c>
      <c r="Q334" s="102">
        <f>Q337+Q340</f>
        <v>0</v>
      </c>
      <c r="R334" s="102">
        <f>R337+R340</f>
        <v>0</v>
      </c>
      <c r="S334" s="102">
        <f>S337+S340</f>
        <v>0</v>
      </c>
      <c r="T334" s="102">
        <f>IF(Q334&gt;0,S334*100/Q334,0)</f>
        <v>0</v>
      </c>
      <c r="U334" s="102">
        <f>IF(R334&gt;0,S334*100/R334,0)</f>
        <v>0</v>
      </c>
    </row>
    <row r="335" spans="1:21" ht="18.75" hidden="1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256">
        <f ca="1">L338+L341</f>
        <v>112000</v>
      </c>
      <c r="M335" s="255">
        <f ca="1">M338+M341</f>
        <v>117000</v>
      </c>
      <c r="N335" s="255">
        <f ca="1">N338+N341</f>
        <v>97403</v>
      </c>
      <c r="O335" s="255">
        <f ca="1">IF(L335&gt;0,N335*100/L335,0)</f>
        <v>86.966964285714283</v>
      </c>
      <c r="P335" s="255">
        <f ca="1">IF(M335&gt;0,N335*100/M335,0)</f>
        <v>83.250427350427344</v>
      </c>
      <c r="Q335" s="255">
        <f>Q338+Q341</f>
        <v>0</v>
      </c>
      <c r="R335" s="255">
        <f>R338+R341</f>
        <v>0</v>
      </c>
      <c r="S335" s="255">
        <f>S338+S341</f>
        <v>0</v>
      </c>
      <c r="T335" s="255">
        <f>IF(Q335&gt;0,S335*100/Q335,0)</f>
        <v>0</v>
      </c>
      <c r="U335" s="255">
        <f>IF(R335&gt;0,S335*100/R335,0)</f>
        <v>0</v>
      </c>
    </row>
    <row r="336" spans="1:21" ht="18.75">
      <c r="A336" s="155"/>
      <c r="B336" s="50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256">
        <f ca="1">L337+L338</f>
        <v>112000</v>
      </c>
      <c r="M336" s="255">
        <f ca="1">M337+M338</f>
        <v>117000</v>
      </c>
      <c r="N336" s="255">
        <f ca="1">N337+N338</f>
        <v>97403</v>
      </c>
      <c r="O336" s="255">
        <f ca="1">IF(L336&gt;0,N336*100/L336,0)</f>
        <v>86.966964285714283</v>
      </c>
      <c r="P336" s="255">
        <f ca="1">IF(M336&gt;0,N336*100/M336,0)</f>
        <v>83.250427350427344</v>
      </c>
      <c r="Q336" s="255">
        <f>Q337+Q338</f>
        <v>0</v>
      </c>
      <c r="R336" s="255">
        <f>R337+R338</f>
        <v>0</v>
      </c>
      <c r="S336" s="255">
        <f>S337+S338</f>
        <v>0</v>
      </c>
      <c r="T336" s="255">
        <f>IF(Q336&gt;0,S336*100/Q336,0)</f>
        <v>0</v>
      </c>
      <c r="U336" s="255">
        <f>IF(R336&gt;0,S336*100/R336,0)</f>
        <v>0</v>
      </c>
    </row>
    <row r="337" spans="1:21" ht="18.75" hidden="1">
      <c r="A337" s="155"/>
      <c r="B337" s="50"/>
      <c r="C337" s="50"/>
      <c r="D337" s="50"/>
      <c r="E337" s="186" t="s">
        <v>36</v>
      </c>
      <c r="F337" s="50"/>
      <c r="G337" s="52"/>
      <c r="H337" s="189" t="s">
        <v>14</v>
      </c>
      <c r="I337" s="163"/>
      <c r="J337" s="163"/>
      <c r="K337" s="164"/>
      <c r="L337" s="103">
        <v>0</v>
      </c>
      <c r="M337" s="102">
        <v>0</v>
      </c>
      <c r="N337" s="102">
        <v>0</v>
      </c>
      <c r="O337" s="102">
        <f>IF(L337&gt;0,N337*100/L337,0)</f>
        <v>0</v>
      </c>
      <c r="P337" s="102">
        <f>IF(M337&gt;0,N337*100/M337,0)</f>
        <v>0</v>
      </c>
      <c r="Q337" s="102">
        <v>0</v>
      </c>
      <c r="R337" s="102">
        <v>0</v>
      </c>
      <c r="S337" s="102">
        <v>0</v>
      </c>
      <c r="T337" s="102">
        <f>IF(Q337&gt;0,S337*100/Q337,0)</f>
        <v>0</v>
      </c>
      <c r="U337" s="102">
        <f>IF(R337&gt;0,S337*100/R337,0)</f>
        <v>0</v>
      </c>
    </row>
    <row r="338" spans="1:21" ht="18.75" hidden="1">
      <c r="A338" s="155"/>
      <c r="B338" s="50"/>
      <c r="C338" s="50"/>
      <c r="D338" s="50"/>
      <c r="E338" s="58" t="s">
        <v>37</v>
      </c>
      <c r="F338" s="50"/>
      <c r="G338" s="52"/>
      <c r="H338" s="162" t="s">
        <v>14</v>
      </c>
      <c r="I338" s="163"/>
      <c r="J338" s="163"/>
      <c r="K338" s="164"/>
      <c r="L338" s="256">
        <f ca="1">IFERROR(__xludf.DUMMYFUNCTION("IMPORTRANGE(""https://docs.google.com/spreadsheets/d/1-uDff_7J0KD5mKrp0Vvzr7lt3OU09vwQwhkpOPPYv2Y/edit?usp=sharing"",""งบพรบ!ES46"")"),112000)</f>
        <v>112000</v>
      </c>
      <c r="M338" s="255">
        <f ca="1">IFERROR(__xludf.DUMMYFUNCTION("IMPORTRANGE(""https://docs.google.com/spreadsheets/d/1-uDff_7J0KD5mKrp0Vvzr7lt3OU09vwQwhkpOPPYv2Y/edit?usp=sharing"",""งบพรบ!EX46"")"),117000)</f>
        <v>117000</v>
      </c>
      <c r="N338" s="255">
        <f ca="1">IFERROR(__xludf.DUMMYFUNCTION("IMPORTRANGE(""https://docs.google.com/spreadsheets/d/1-uDff_7J0KD5mKrp0Vvzr7lt3OU09vwQwhkpOPPYv2Y/edit?usp=sharing"",""งบพรบ!EZ46"")"),97403)</f>
        <v>97403</v>
      </c>
      <c r="O338" s="255">
        <f ca="1">IF(L338&gt;0,N338*100/L338,0)</f>
        <v>86.966964285714283</v>
      </c>
      <c r="P338" s="255">
        <f ca="1">IF(M338&gt;0,N338*100/M338,0)</f>
        <v>83.250427350427344</v>
      </c>
      <c r="Q338" s="255">
        <v>0</v>
      </c>
      <c r="R338" s="255">
        <v>0</v>
      </c>
      <c r="S338" s="255">
        <v>0</v>
      </c>
      <c r="T338" s="255">
        <f>IF(Q338&gt;0,S338*100/Q338,0)</f>
        <v>0</v>
      </c>
      <c r="U338" s="255">
        <f>IF(R338&gt;0,S338*100/R338,0)</f>
        <v>0</v>
      </c>
    </row>
    <row r="339" spans="1:21" ht="18.75">
      <c r="A339" s="155"/>
      <c r="B339" s="50"/>
      <c r="C339" s="50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256">
        <f ca="1">L340+L341</f>
        <v>0</v>
      </c>
      <c r="M339" s="255">
        <f ca="1">M340+M341</f>
        <v>0</v>
      </c>
      <c r="N339" s="255">
        <f ca="1">N340+N341</f>
        <v>0</v>
      </c>
      <c r="O339" s="255">
        <f ca="1">IF(L339&gt;0,N339*100/L339,0)</f>
        <v>0</v>
      </c>
      <c r="P339" s="255">
        <f ca="1">IF(M339&gt;0,N339*100/M339,0)</f>
        <v>0</v>
      </c>
      <c r="Q339" s="255">
        <f>Q340+Q341</f>
        <v>0</v>
      </c>
      <c r="R339" s="255">
        <f>R340+R341</f>
        <v>0</v>
      </c>
      <c r="S339" s="255">
        <f>S340+S341</f>
        <v>0</v>
      </c>
      <c r="T339" s="255">
        <f>IF(Q339&gt;0,S339*100/Q339,0)</f>
        <v>0</v>
      </c>
      <c r="U339" s="255">
        <f>IF(R339&gt;0,S339*100/R339,0)</f>
        <v>0</v>
      </c>
    </row>
    <row r="340" spans="1:21" ht="18.75" hidden="1">
      <c r="A340" s="155"/>
      <c r="B340" s="50"/>
      <c r="C340" s="50"/>
      <c r="D340" s="50"/>
      <c r="E340" s="186" t="s">
        <v>20</v>
      </c>
      <c r="F340" s="50"/>
      <c r="G340" s="52"/>
      <c r="H340" s="189" t="s">
        <v>14</v>
      </c>
      <c r="I340" s="163"/>
      <c r="J340" s="163"/>
      <c r="K340" s="164"/>
      <c r="L340" s="103">
        <v>0</v>
      </c>
      <c r="M340" s="102">
        <v>0</v>
      </c>
      <c r="N340" s="102">
        <v>0</v>
      </c>
      <c r="O340" s="102">
        <f>IF(L340&gt;0,N340*100/L340,0)</f>
        <v>0</v>
      </c>
      <c r="P340" s="102">
        <f>IF(M340&gt;0,N340*100/M340,0)</f>
        <v>0</v>
      </c>
      <c r="Q340" s="102">
        <v>0</v>
      </c>
      <c r="R340" s="102">
        <v>0</v>
      </c>
      <c r="S340" s="102">
        <v>0</v>
      </c>
      <c r="T340" s="102">
        <f>IF(Q340&gt;0,S340*100/Q340,0)</f>
        <v>0</v>
      </c>
      <c r="U340" s="102">
        <f>IF(R340&gt;0,S340*100/R340,0)</f>
        <v>0</v>
      </c>
    </row>
    <row r="341" spans="1:21" ht="18.75" hidden="1">
      <c r="A341" s="155"/>
      <c r="B341" s="50"/>
      <c r="C341" s="50"/>
      <c r="D341" s="50"/>
      <c r="E341" s="58" t="s">
        <v>21</v>
      </c>
      <c r="F341" s="50"/>
      <c r="G341" s="52"/>
      <c r="H341" s="165" t="s">
        <v>14</v>
      </c>
      <c r="I341" s="163"/>
      <c r="J341" s="163"/>
      <c r="K341" s="164"/>
      <c r="L341" s="256">
        <f ca="1">IFERROR(__xludf.DUMMYFUNCTION("IMPORTRANGE(""https://docs.google.com/spreadsheets/d/1-uDff_7J0KD5mKrp0Vvzr7lt3OU09vwQwhkpOPPYv2Y/edit?usp=sharing"",""งบพรบ!EV46"")"),0)</f>
        <v>0</v>
      </c>
      <c r="M341" s="255">
        <f ca="1">IFERROR(__xludf.DUMMYFUNCTION("IMPORTRANGE(""https://docs.google.com/spreadsheets/d/1-uDff_7J0KD5mKrp0Vvzr7lt3OU09vwQwhkpOPPYv2Y/edit?usp=sharing"",""งบพรบ!EY46"")"),0)</f>
        <v>0</v>
      </c>
      <c r="N341" s="255">
        <f ca="1">IFERROR(__xludf.DUMMYFUNCTION("IMPORTRANGE(""https://docs.google.com/spreadsheets/d/1-uDff_7J0KD5mKrp0Vvzr7lt3OU09vwQwhkpOPPYv2Y/edit?usp=sharing"",""งบพรบ!FA46"")"),0)</f>
        <v>0</v>
      </c>
      <c r="O341" s="255">
        <f ca="1">IF(L341&gt;0,N341*100/L341,0)</f>
        <v>0</v>
      </c>
      <c r="P341" s="255">
        <f ca="1">IF(M341&gt;0,N341*100/M341,0)</f>
        <v>0</v>
      </c>
      <c r="Q341" s="255">
        <v>0</v>
      </c>
      <c r="R341" s="255">
        <v>0</v>
      </c>
      <c r="S341" s="255">
        <v>0</v>
      </c>
      <c r="T341" s="255">
        <f>IF(Q341&gt;0,S341*100/Q341,0)</f>
        <v>0</v>
      </c>
      <c r="U341" s="255">
        <f>IF(R341&gt;0,S341*100/R341,0)</f>
        <v>0</v>
      </c>
    </row>
    <row r="342" spans="1:21" ht="19.5">
      <c r="A342" s="166"/>
      <c r="B342" s="167"/>
      <c r="C342" s="156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62"/>
      <c r="M342" s="55"/>
      <c r="N342" s="55"/>
      <c r="O342" s="164"/>
      <c r="P342" s="164"/>
      <c r="Q342" s="55"/>
      <c r="R342" s="55"/>
      <c r="S342" s="55"/>
      <c r="T342" s="164"/>
      <c r="U342" s="164"/>
    </row>
    <row r="343" spans="1:21" ht="19.5">
      <c r="A343" s="629"/>
      <c r="B343" s="626"/>
      <c r="C343" s="628"/>
      <c r="D343" s="626"/>
      <c r="E343" s="627" t="s">
        <v>137</v>
      </c>
      <c r="F343" s="626"/>
      <c r="G343" s="625"/>
      <c r="H343" s="624" t="s">
        <v>35</v>
      </c>
      <c r="I343" s="623">
        <v>0</v>
      </c>
      <c r="J343" s="623">
        <f ca="1">J344+J347+J348+J349</f>
        <v>1422</v>
      </c>
      <c r="K343" s="622">
        <v>0</v>
      </c>
      <c r="L343" s="250"/>
      <c r="M343" s="249"/>
      <c r="N343" s="249"/>
      <c r="O343" s="249"/>
      <c r="P343" s="249"/>
      <c r="Q343" s="249"/>
      <c r="R343" s="249"/>
      <c r="S343" s="249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40" t="s">
        <v>35</v>
      </c>
      <c r="I344" s="212">
        <f ca="1">IFERROR(__xludf.DUMMYFUNCTION("IMPORTRANGE(""https://docs.google.com/spreadsheets/d/1eHaY18a8A9IcSdp1K8H6x8fbOy06t2VsZHhMHf-1x7Y/edit?usp=sharing"",""แผน!EK46"")"),3540)</f>
        <v>3540</v>
      </c>
      <c r="J344" s="212">
        <f ca="1">IFERROR(__xludf.DUMMYFUNCTION("IMPORTRANGE(""https://docs.google.com/spreadsheets/d/1awYsYK3VOup2i3Pq_Yjnu8DRu_mYwSBnCR2QPthd0rU/edit?usp=sharing"",""ศูนย์ยกเว้นโฉนด!D46"")"),1413)</f>
        <v>1413</v>
      </c>
      <c r="K344" s="255">
        <f ca="1">IF(I344&gt;0,J344*100/I344,0)</f>
        <v>39.915254237288138</v>
      </c>
      <c r="L344" s="62"/>
      <c r="M344" s="55"/>
      <c r="N344" s="55"/>
      <c r="O344" s="55"/>
      <c r="P344" s="55"/>
      <c r="Q344" s="55"/>
      <c r="R344" s="55"/>
      <c r="S344" s="55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62"/>
      <c r="M345" s="55"/>
      <c r="N345" s="55"/>
      <c r="O345" s="55"/>
      <c r="P345" s="55"/>
      <c r="Q345" s="55"/>
      <c r="R345" s="55"/>
      <c r="S345" s="55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212">
        <f ca="1">IFERROR(__xludf.DUMMYFUNCTION("IMPORTRANGE(""https://docs.google.com/spreadsheets/d/1eHaY18a8A9IcSdp1K8H6x8fbOy06t2VsZHhMHf-1x7Y/edit?usp=sharing"",""แผน!EL46"")"),3)</f>
        <v>3</v>
      </c>
      <c r="J346" s="212">
        <f ca="1">IFERROR(__xludf.DUMMYFUNCTION("IMPORTRANGE(""https://docs.google.com/spreadsheets/d/1awYsYK3VOup2i3Pq_Yjnu8DRu_mYwSBnCR2QPthd0rU/edit?usp=sharing"",""ศูนย์รวม!E46"")"),3)</f>
        <v>3</v>
      </c>
      <c r="K346" s="255">
        <f ca="1">IF(I346&gt;0,J346*100/I346,0)</f>
        <v>100</v>
      </c>
      <c r="L346" s="62"/>
      <c r="M346" s="55"/>
      <c r="N346" s="55"/>
      <c r="O346" s="55"/>
      <c r="P346" s="55"/>
      <c r="Q346" s="55"/>
      <c r="R346" s="55"/>
      <c r="S346" s="55"/>
      <c r="T346" s="55"/>
      <c r="U346" s="55"/>
    </row>
    <row r="347" spans="1:21" ht="18.75">
      <c r="A347" s="238"/>
      <c r="B347" s="50"/>
      <c r="C347" s="188"/>
      <c r="D347" s="174"/>
      <c r="E347" s="174"/>
      <c r="F347" s="178" t="s">
        <v>142</v>
      </c>
      <c r="G347" s="52"/>
      <c r="H347" s="203" t="s">
        <v>35</v>
      </c>
      <c r="I347" s="54"/>
      <c r="J347" s="212">
        <f ca="1">IFERROR(__xludf.DUMMYFUNCTION("IMPORTRANGE(""https://docs.google.com/spreadsheets/d/1awYsYK3VOup2i3Pq_Yjnu8DRu_mYwSBnCR2QPthd0rU/edit?usp=sharing"",""ศูนย์ยกเว้นโฉนด!F46"")"),1)</f>
        <v>1</v>
      </c>
      <c r="K347" s="55"/>
      <c r="L347" s="62"/>
      <c r="M347" s="55"/>
      <c r="N347" s="55"/>
      <c r="O347" s="55"/>
      <c r="P347" s="55"/>
      <c r="Q347" s="55"/>
      <c r="R347" s="55"/>
      <c r="S347" s="55"/>
      <c r="T347" s="55"/>
      <c r="U347" s="55"/>
    </row>
    <row r="348" spans="1:21" ht="18.75">
      <c r="A348" s="238"/>
      <c r="B348" s="50"/>
      <c r="C348" s="188"/>
      <c r="D348" s="174"/>
      <c r="E348" s="178" t="s">
        <v>143</v>
      </c>
      <c r="F348" s="174"/>
      <c r="G348" s="52"/>
      <c r="H348" s="203" t="s">
        <v>35</v>
      </c>
      <c r="I348" s="54"/>
      <c r="J348" s="212">
        <f ca="1">IFERROR(__xludf.DUMMYFUNCTION("IMPORTRANGE(""https://docs.google.com/spreadsheets/d/1awYsYK3VOup2i3Pq_Yjnu8DRu_mYwSBnCR2QPthd0rU/edit?usp=sharing"",""ศูนย์ยกเว้นโฉนด!G46"")"),8)</f>
        <v>8</v>
      </c>
      <c r="K348" s="55"/>
      <c r="L348" s="62"/>
      <c r="M348" s="55"/>
      <c r="N348" s="55"/>
      <c r="O348" s="55"/>
      <c r="P348" s="55"/>
      <c r="Q348" s="55"/>
      <c r="R348" s="55"/>
      <c r="S348" s="55"/>
      <c r="T348" s="55"/>
      <c r="U348" s="55"/>
    </row>
    <row r="349" spans="1:21" ht="18.75">
      <c r="A349" s="238"/>
      <c r="B349" s="50"/>
      <c r="C349" s="188"/>
      <c r="D349" s="167"/>
      <c r="E349" s="178" t="s">
        <v>144</v>
      </c>
      <c r="F349" s="174"/>
      <c r="G349" s="52"/>
      <c r="H349" s="203" t="s">
        <v>35</v>
      </c>
      <c r="I349" s="54"/>
      <c r="J349" s="212">
        <f ca="1">IFERROR(__xludf.DUMMYFUNCTION("IMPORTRANGE(""https://docs.google.com/spreadsheets/d/1awYsYK3VOup2i3Pq_Yjnu8DRu_mYwSBnCR2QPthd0rU/edit?usp=sharing"",""ศูนย์ยกเว้นโฉนด!H46"")"),0)</f>
        <v>0</v>
      </c>
      <c r="K349" s="55"/>
      <c r="L349" s="62"/>
      <c r="M349" s="55"/>
      <c r="N349" s="55"/>
      <c r="O349" s="55"/>
      <c r="P349" s="55"/>
      <c r="Q349" s="55"/>
      <c r="R349" s="55"/>
      <c r="S349" s="55"/>
      <c r="T349" s="55"/>
      <c r="U349" s="55"/>
    </row>
    <row r="350" spans="1:21" ht="16.5">
      <c r="A350" s="18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0" s="50"/>
      <c r="F350" s="50"/>
      <c r="G350" s="52"/>
      <c r="H350" s="208"/>
      <c r="I350" s="54"/>
      <c r="J350" s="54"/>
      <c r="K350" s="55"/>
      <c r="L350" s="62"/>
      <c r="M350" s="55"/>
      <c r="N350" s="55"/>
      <c r="O350" s="55"/>
      <c r="P350" s="55"/>
      <c r="Q350" s="55"/>
      <c r="R350" s="55"/>
      <c r="S350" s="55"/>
      <c r="T350" s="55"/>
      <c r="U350" s="55"/>
    </row>
    <row r="351" spans="1:21" ht="19.5">
      <c r="A351" s="241"/>
      <c r="B351" s="244"/>
      <c r="C351" s="242"/>
      <c r="D351" s="244"/>
      <c r="E351" s="621" t="s">
        <v>145</v>
      </c>
      <c r="F351" s="244"/>
      <c r="G351" s="245"/>
      <c r="H351" s="246" t="s">
        <v>35</v>
      </c>
      <c r="I351" s="339">
        <v>0</v>
      </c>
      <c r="J351" s="339">
        <f ca="1">J352+J353</f>
        <v>6823</v>
      </c>
      <c r="K351" s="340">
        <v>0</v>
      </c>
      <c r="L351" s="250"/>
      <c r="M351" s="249"/>
      <c r="N351" s="249"/>
      <c r="O351" s="249"/>
      <c r="P351" s="249"/>
      <c r="Q351" s="249"/>
      <c r="R351" s="249"/>
      <c r="S351" s="249"/>
      <c r="T351" s="249"/>
      <c r="U351" s="249"/>
    </row>
    <row r="352" spans="1:21" ht="18.75">
      <c r="A352" s="188"/>
      <c r="B352" s="50"/>
      <c r="C352" s="188"/>
      <c r="D352" s="174"/>
      <c r="E352" s="178" t="s">
        <v>146</v>
      </c>
      <c r="F352" s="50"/>
      <c r="G352" s="52"/>
      <c r="H352" s="161" t="s">
        <v>35</v>
      </c>
      <c r="I352" s="54"/>
      <c r="J352" s="212">
        <f ca="1">IFERROR(__xludf.DUMMYFUNCTION("IMPORTRANGE(""https://docs.google.com/spreadsheets/d/1awYsYK3VOup2i3Pq_Yjnu8DRu_mYwSBnCR2QPthd0rU/edit?usp=sharing"",""โฉนดM3!G46"")"),1637)</f>
        <v>1637</v>
      </c>
      <c r="K352" s="55"/>
      <c r="L352" s="62"/>
      <c r="M352" s="55"/>
      <c r="N352" s="55"/>
      <c r="O352" s="55"/>
      <c r="P352" s="55"/>
      <c r="Q352" s="55"/>
      <c r="R352" s="55"/>
      <c r="S352" s="55"/>
      <c r="T352" s="55"/>
      <c r="U352" s="55"/>
    </row>
    <row r="353" spans="1:21" ht="18.75">
      <c r="A353" s="18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212">
        <f ca="1">IFERROR(__xludf.DUMMYFUNCTION("IMPORTRANGE(""https://docs.google.com/spreadsheets/d/1awYsYK3VOup2i3Pq_Yjnu8DRu_mYwSBnCR2QPthd0rU/edit?usp=sharing"",""โฉนดM3!H46"")"),5186)</f>
        <v>5186</v>
      </c>
      <c r="K353" s="55"/>
      <c r="L353" s="62"/>
      <c r="M353" s="55"/>
      <c r="N353" s="55"/>
      <c r="O353" s="55"/>
      <c r="P353" s="55"/>
      <c r="Q353" s="55"/>
      <c r="R353" s="55"/>
      <c r="S353" s="55"/>
      <c r="T353" s="55"/>
      <c r="U353" s="55"/>
    </row>
    <row r="354" spans="1:21" ht="16.5">
      <c r="A354" s="188"/>
      <c r="B354" s="50"/>
      <c r="C354" s="188"/>
      <c r="D354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4" s="50"/>
      <c r="F354" s="50"/>
      <c r="G354" s="52"/>
      <c r="H354" s="208"/>
      <c r="I354" s="54"/>
      <c r="J354" s="54"/>
      <c r="K354" s="55"/>
      <c r="L354" s="62"/>
      <c r="M354" s="55"/>
      <c r="N354" s="55"/>
      <c r="O354" s="55"/>
      <c r="P354" s="55"/>
      <c r="Q354" s="55"/>
      <c r="R354" s="55"/>
      <c r="S354" s="55"/>
      <c r="T354" s="55"/>
      <c r="U354" s="55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29"/>
      <c r="I355" s="351"/>
      <c r="J355" s="351"/>
      <c r="K355" s="333"/>
      <c r="L355" s="334"/>
      <c r="M355" s="333"/>
      <c r="N355" s="333"/>
      <c r="O355" s="333"/>
      <c r="P355" s="333"/>
      <c r="Q355" s="333"/>
      <c r="R355" s="333"/>
      <c r="S355" s="333"/>
      <c r="T355" s="333"/>
      <c r="U355" s="333"/>
    </row>
    <row r="356" spans="1:21" ht="19.5">
      <c r="A356" s="155"/>
      <c r="B356" s="50"/>
      <c r="C356" s="156" t="s">
        <v>18</v>
      </c>
      <c r="D356" s="575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541">
        <f ca="1">L357+L358</f>
        <v>1045540</v>
      </c>
      <c r="M356" s="540">
        <f ca="1">M357+M358</f>
        <v>1045540</v>
      </c>
      <c r="N356" s="540">
        <f ca="1">N357+N358</f>
        <v>810986.9</v>
      </c>
      <c r="O356" s="540">
        <f ca="1">IF(L356&gt;0,N356*100/L356,0)</f>
        <v>77.566319796468804</v>
      </c>
      <c r="P356" s="540">
        <f ca="1">IF(M356&gt;0,N356*100/M356,0)</f>
        <v>77.566319796468804</v>
      </c>
      <c r="Q356" s="540">
        <f>Q357+Q358</f>
        <v>0</v>
      </c>
      <c r="R356" s="540">
        <f>R357+R358</f>
        <v>0</v>
      </c>
      <c r="S356" s="540">
        <f>S357+S358</f>
        <v>0</v>
      </c>
      <c r="T356" s="540">
        <f>IF(Q356&gt;0,S356*100/Q356,0)</f>
        <v>0</v>
      </c>
      <c r="U356" s="540">
        <f>IF(R356&gt;0,S356*100/R356,0)</f>
        <v>0</v>
      </c>
    </row>
    <row r="357" spans="1:21" ht="18.75" hidden="1">
      <c r="A357" s="155"/>
      <c r="B357" s="50"/>
      <c r="C357" s="50"/>
      <c r="D357" s="50"/>
      <c r="E357" s="186" t="s">
        <v>20</v>
      </c>
      <c r="F357" s="50"/>
      <c r="G357" s="52"/>
      <c r="H357" s="187" t="s">
        <v>14</v>
      </c>
      <c r="I357" s="54"/>
      <c r="J357" s="54"/>
      <c r="K357" s="55"/>
      <c r="L357" s="103">
        <f>L360+L363</f>
        <v>0</v>
      </c>
      <c r="M357" s="102">
        <f>M360+M363</f>
        <v>0</v>
      </c>
      <c r="N357" s="102">
        <f>N360+N363</f>
        <v>0</v>
      </c>
      <c r="O357" s="102">
        <f>IF(L357&gt;0,N357*100/L357,0)</f>
        <v>0</v>
      </c>
      <c r="P357" s="102">
        <f>IF(M357&gt;0,N357*100/M357,0)</f>
        <v>0</v>
      </c>
      <c r="Q357" s="102">
        <f>Q360+Q363</f>
        <v>0</v>
      </c>
      <c r="R357" s="102">
        <f>R360+R363</f>
        <v>0</v>
      </c>
      <c r="S357" s="102">
        <f>S360+S363</f>
        <v>0</v>
      </c>
      <c r="T357" s="102">
        <f>IF(Q357&gt;0,S357*100/Q357,0)</f>
        <v>0</v>
      </c>
      <c r="U357" s="102">
        <f>IF(R357&gt;0,S357*100/R357,0)</f>
        <v>0</v>
      </c>
    </row>
    <row r="358" spans="1:21" ht="18.75" hidden="1">
      <c r="A358" s="155"/>
      <c r="B358" s="50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256">
        <f ca="1">L361+L364</f>
        <v>1045540</v>
      </c>
      <c r="M358" s="255">
        <f ca="1">M361+M364</f>
        <v>1045540</v>
      </c>
      <c r="N358" s="255">
        <f ca="1">N361+N364</f>
        <v>810986.9</v>
      </c>
      <c r="O358" s="255">
        <f ca="1">IF(L358&gt;0,N358*100/L358,0)</f>
        <v>77.566319796468804</v>
      </c>
      <c r="P358" s="255">
        <f ca="1">IF(M358&gt;0,N358*100/M358,0)</f>
        <v>77.566319796468804</v>
      </c>
      <c r="Q358" s="255">
        <f>Q361+Q364</f>
        <v>0</v>
      </c>
      <c r="R358" s="255">
        <f>R361+R364</f>
        <v>0</v>
      </c>
      <c r="S358" s="255">
        <f>S361+S364</f>
        <v>0</v>
      </c>
      <c r="T358" s="255">
        <f>IF(Q358&gt;0,S358*100/Q358,0)</f>
        <v>0</v>
      </c>
      <c r="U358" s="255">
        <f>IF(R358&gt;0,S358*100/R358,0)</f>
        <v>0</v>
      </c>
    </row>
    <row r="359" spans="1:21" ht="18.75">
      <c r="A359" s="155"/>
      <c r="B359" s="50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256">
        <f ca="1">L360+L361</f>
        <v>1045540</v>
      </c>
      <c r="M359" s="255">
        <f ca="1">M360+M361</f>
        <v>1045540</v>
      </c>
      <c r="N359" s="255">
        <f ca="1">N360+N361</f>
        <v>810986.9</v>
      </c>
      <c r="O359" s="255">
        <f ca="1">IF(L359&gt;0,N359*100/L359,0)</f>
        <v>77.566319796468804</v>
      </c>
      <c r="P359" s="255">
        <f ca="1">IF(M359&gt;0,N359*100/M359,0)</f>
        <v>77.566319796468804</v>
      </c>
      <c r="Q359" s="255">
        <f>Q360+Q361</f>
        <v>0</v>
      </c>
      <c r="R359" s="255">
        <f>R360+R361</f>
        <v>0</v>
      </c>
      <c r="S359" s="255">
        <f>S360+S361</f>
        <v>0</v>
      </c>
      <c r="T359" s="255">
        <f>IF(Q359&gt;0,S359*100/Q359,0)</f>
        <v>0</v>
      </c>
      <c r="U359" s="255">
        <f>IF(R359&gt;0,S359*100/R359,0)</f>
        <v>0</v>
      </c>
    </row>
    <row r="360" spans="1:21" ht="18.75" hidden="1">
      <c r="A360" s="155"/>
      <c r="B360" s="50"/>
      <c r="C360" s="50"/>
      <c r="D360" s="50"/>
      <c r="E360" s="186" t="s">
        <v>36</v>
      </c>
      <c r="F360" s="50"/>
      <c r="G360" s="52"/>
      <c r="H360" s="189" t="s">
        <v>14</v>
      </c>
      <c r="I360" s="163"/>
      <c r="J360" s="163"/>
      <c r="K360" s="164"/>
      <c r="L360" s="103">
        <v>0</v>
      </c>
      <c r="M360" s="102">
        <v>0</v>
      </c>
      <c r="N360" s="102">
        <v>0</v>
      </c>
      <c r="O360" s="102">
        <f>IF(L360&gt;0,N360*100/L360,0)</f>
        <v>0</v>
      </c>
      <c r="P360" s="102">
        <f>IF(M360&gt;0,N360*100/M360,0)</f>
        <v>0</v>
      </c>
      <c r="Q360" s="102">
        <v>0</v>
      </c>
      <c r="R360" s="102">
        <v>0</v>
      </c>
      <c r="S360" s="102">
        <v>0</v>
      </c>
      <c r="T360" s="102">
        <f>IF(Q360&gt;0,S360*100/Q360,0)</f>
        <v>0</v>
      </c>
      <c r="U360" s="102">
        <f>IF(R360&gt;0,S360*100/R360,0)</f>
        <v>0</v>
      </c>
    </row>
    <row r="361" spans="1:21" ht="18.75" hidden="1">
      <c r="A361" s="155"/>
      <c r="B361" s="50"/>
      <c r="C361" s="50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256">
        <f ca="1">IFERROR(__xludf.DUMMYFUNCTION("IMPORTRANGE(""https://docs.google.com/spreadsheets/d/1-uDff_7J0KD5mKrp0Vvzr7lt3OU09vwQwhkpOPPYv2Y/edit?usp=sharing"",""งบพรบ!FC46"")"),1045540)</f>
        <v>1045540</v>
      </c>
      <c r="M361" s="255">
        <f ca="1">IFERROR(__xludf.DUMMYFUNCTION("IMPORTRANGE(""https://docs.google.com/spreadsheets/d/1-uDff_7J0KD5mKrp0Vvzr7lt3OU09vwQwhkpOPPYv2Y/edit?usp=sharing"",""งบพรบ!FH46"")"),1045540)</f>
        <v>1045540</v>
      </c>
      <c r="N361" s="255">
        <f ca="1">IFERROR(__xludf.DUMMYFUNCTION("IMPORTRANGE(""https://docs.google.com/spreadsheets/d/1-uDff_7J0KD5mKrp0Vvzr7lt3OU09vwQwhkpOPPYv2Y/edit?usp=sharing"",""งบพรบ!FJ46"")"),810986.9)</f>
        <v>810986.9</v>
      </c>
      <c r="O361" s="255">
        <f ca="1">IF(L361&gt;0,N361*100/L361,0)</f>
        <v>77.566319796468804</v>
      </c>
      <c r="P361" s="255">
        <f ca="1">IF(M361&gt;0,N361*100/M361,0)</f>
        <v>77.566319796468804</v>
      </c>
      <c r="Q361" s="255">
        <v>0</v>
      </c>
      <c r="R361" s="255">
        <v>0</v>
      </c>
      <c r="S361" s="255">
        <v>0</v>
      </c>
      <c r="T361" s="255">
        <f>IF(Q361&gt;0,S361*100/Q361,0)</f>
        <v>0</v>
      </c>
      <c r="U361" s="255">
        <f>IF(R361&gt;0,S361*100/R361,0)</f>
        <v>0</v>
      </c>
    </row>
    <row r="362" spans="1:21" ht="18.75">
      <c r="A362" s="155"/>
      <c r="B362" s="50"/>
      <c r="C362" s="50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256">
        <f ca="1">L363+L364</f>
        <v>0</v>
      </c>
      <c r="M362" s="255">
        <f ca="1">M363+M364</f>
        <v>0</v>
      </c>
      <c r="N362" s="255">
        <f ca="1">N363+N364</f>
        <v>0</v>
      </c>
      <c r="O362" s="255">
        <f ca="1">IF(L362&gt;0,N362*100/L362,0)</f>
        <v>0</v>
      </c>
      <c r="P362" s="255">
        <f ca="1">IF(M362&gt;0,N362*100/M362,0)</f>
        <v>0</v>
      </c>
      <c r="Q362" s="255">
        <f>Q363+Q364</f>
        <v>0</v>
      </c>
      <c r="R362" s="255">
        <f>R363+R364</f>
        <v>0</v>
      </c>
      <c r="S362" s="255">
        <f>S363+S364</f>
        <v>0</v>
      </c>
      <c r="T362" s="255">
        <f>IF(Q362&gt;0,S362*100/Q362,0)</f>
        <v>0</v>
      </c>
      <c r="U362" s="255">
        <f>IF(R362&gt;0,S362*100/R362,0)</f>
        <v>0</v>
      </c>
    </row>
    <row r="363" spans="1:21" ht="18.75" hidden="1">
      <c r="A363" s="155"/>
      <c r="B363" s="50"/>
      <c r="C363" s="50"/>
      <c r="D363" s="50"/>
      <c r="E363" s="186" t="s">
        <v>20</v>
      </c>
      <c r="F363" s="50"/>
      <c r="G363" s="52"/>
      <c r="H363" s="189" t="s">
        <v>14</v>
      </c>
      <c r="I363" s="163"/>
      <c r="J363" s="163"/>
      <c r="K363" s="164"/>
      <c r="L363" s="103">
        <v>0</v>
      </c>
      <c r="M363" s="102">
        <v>0</v>
      </c>
      <c r="N363" s="102">
        <v>0</v>
      </c>
      <c r="O363" s="102">
        <f>IF(L363&gt;0,N363*100/L363,0)</f>
        <v>0</v>
      </c>
      <c r="P363" s="102">
        <f>IF(M363&gt;0,N363*100/M363,0)</f>
        <v>0</v>
      </c>
      <c r="Q363" s="102">
        <v>0</v>
      </c>
      <c r="R363" s="102">
        <v>0</v>
      </c>
      <c r="S363" s="102">
        <v>0</v>
      </c>
      <c r="T363" s="102">
        <f>IF(Q363&gt;0,S363*100/Q363,0)</f>
        <v>0</v>
      </c>
      <c r="U363" s="102">
        <f>IF(R363&gt;0,S363*100/R363,0)</f>
        <v>0</v>
      </c>
    </row>
    <row r="364" spans="1:21" ht="18.75" hidden="1">
      <c r="A364" s="155"/>
      <c r="B364" s="50"/>
      <c r="C364" s="50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256">
        <f ca="1">IFERROR(__xludf.DUMMYFUNCTION("IMPORTRANGE(""https://docs.google.com/spreadsheets/d/1-uDff_7J0KD5mKrp0Vvzr7lt3OU09vwQwhkpOPPYv2Y/edit?usp=sharing"",""งบพรบ!FF46"")"),0)</f>
        <v>0</v>
      </c>
      <c r="M364" s="255">
        <f ca="1">IFERROR(__xludf.DUMMYFUNCTION("IMPORTRANGE(""https://docs.google.com/spreadsheets/d/1-uDff_7J0KD5mKrp0Vvzr7lt3OU09vwQwhkpOPPYv2Y/edit?usp=sharing"",""งบพรบ!FI46"")"),0)</f>
        <v>0</v>
      </c>
      <c r="N364" s="255">
        <f ca="1">IFERROR(__xludf.DUMMYFUNCTION("IMPORTRANGE(""https://docs.google.com/spreadsheets/d/1-uDff_7J0KD5mKrp0Vvzr7lt3OU09vwQwhkpOPPYv2Y/edit?usp=sharing"",""งบพรบ!FK46"")"),0)</f>
        <v>0</v>
      </c>
      <c r="O364" s="255">
        <f ca="1">IF(L364&gt;0,N364*100/L364,0)</f>
        <v>0</v>
      </c>
      <c r="P364" s="255">
        <f ca="1">IF(M364&gt;0,N364*100/M364,0)</f>
        <v>0</v>
      </c>
      <c r="Q364" s="255">
        <v>0</v>
      </c>
      <c r="R364" s="255">
        <v>0</v>
      </c>
      <c r="S364" s="255">
        <v>0</v>
      </c>
      <c r="T364" s="255">
        <f>IF(Q364&gt;0,S364*100/Q364,0)</f>
        <v>0</v>
      </c>
      <c r="U364" s="255">
        <f>IF(R364&gt;0,S364*100/R364,0)</f>
        <v>0</v>
      </c>
    </row>
    <row r="365" spans="1:21" ht="19.5">
      <c r="A365" s="241"/>
      <c r="B365" s="242"/>
      <c r="C365" s="244"/>
      <c r="D365" s="621" t="s">
        <v>150</v>
      </c>
      <c r="E365" s="244"/>
      <c r="F365" s="244"/>
      <c r="G365" s="245"/>
      <c r="H365" s="254" t="s">
        <v>35</v>
      </c>
      <c r="I365" s="339">
        <f ca="1">I371</f>
        <v>543</v>
      </c>
      <c r="J365" s="339">
        <f ca="1">J371</f>
        <v>111</v>
      </c>
      <c r="K365" s="340">
        <f ca="1">IF(I365&gt;0,J365*100/I365,0)</f>
        <v>20.441988950276244</v>
      </c>
      <c r="L365" s="250"/>
      <c r="M365" s="249"/>
      <c r="N365" s="249"/>
      <c r="O365" s="249"/>
      <c r="P365" s="249"/>
      <c r="Q365" s="249"/>
      <c r="R365" s="249"/>
      <c r="S365" s="249"/>
      <c r="T365" s="249"/>
      <c r="U365" s="249"/>
    </row>
    <row r="366" spans="1:21" ht="19.5">
      <c r="A366" s="166"/>
      <c r="B366" s="167"/>
      <c r="C366" s="156" t="s">
        <v>18</v>
      </c>
      <c r="D366" s="566" t="s">
        <v>38</v>
      </c>
      <c r="E366" s="169"/>
      <c r="F366" s="169"/>
      <c r="G366" s="170"/>
      <c r="H366" s="171"/>
      <c r="I366" s="54"/>
      <c r="J366" s="54"/>
      <c r="K366" s="55"/>
      <c r="L366" s="172"/>
      <c r="M366" s="164"/>
      <c r="N366" s="164"/>
      <c r="O366" s="164"/>
      <c r="P366" s="164"/>
      <c r="Q366" s="164"/>
      <c r="R366" s="164"/>
      <c r="S366" s="164"/>
      <c r="T366" s="164"/>
      <c r="U366" s="164"/>
    </row>
    <row r="367" spans="1:21" ht="18.75">
      <c r="A367" s="166"/>
      <c r="B367" s="174"/>
      <c r="C367" s="167"/>
      <c r="D367" s="174"/>
      <c r="E367" s="173" t="s">
        <v>151</v>
      </c>
      <c r="F367" s="174"/>
      <c r="G367" s="171"/>
      <c r="H367" s="183" t="s">
        <v>35</v>
      </c>
      <c r="I367" s="212">
        <v>0</v>
      </c>
      <c r="J367" s="212">
        <f ca="1">IFERROR(__xludf.DUMMYFUNCTION("IMPORTRANGE(""https://docs.google.com/spreadsheets/d/1tdoBKaGub7dwA3U6UFTqxio9LNnvDCQjHKmttSEBsFQ/edit?usp=sharing"",""จัดที่ดิน!AB46"")"),323)</f>
        <v>323</v>
      </c>
      <c r="K367" s="255">
        <f>IF(I367&gt;0,J367*100/I367,0)</f>
        <v>0</v>
      </c>
      <c r="L367" s="172"/>
      <c r="M367" s="164"/>
      <c r="N367" s="164"/>
      <c r="O367" s="164"/>
      <c r="P367" s="164"/>
      <c r="Q367" s="164"/>
      <c r="R367" s="164"/>
      <c r="S367" s="164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212">
        <f ca="1">IFERROR(__xludf.DUMMYFUNCTION("IMPORTRANGE(""https://docs.google.com/spreadsheets/d/1eHaY18a8A9IcSdp1K8H6x8fbOy06t2VsZHhMHf-1x7Y/edit?usp=sharing"",""แผน!EW46"")"),1915)</f>
        <v>1915</v>
      </c>
      <c r="J368" s="620">
        <f ca="1">IFERROR(__xludf.DUMMYFUNCTION("IMPORTRANGE(""https://docs.google.com/spreadsheets/d/1tdoBKaGub7dwA3U6UFTqxio9LNnvDCQjHKmttSEBsFQ/edit?usp=sharing"",""จัดที่ดิน!AC46"")"),2028.1)</f>
        <v>2028.1</v>
      </c>
      <c r="K368" s="255">
        <f ca="1">IF(I368&gt;0,J368*100/I368,0)</f>
        <v>105.90600522193212</v>
      </c>
      <c r="L368" s="172"/>
      <c r="M368" s="164"/>
      <c r="N368" s="164"/>
      <c r="O368" s="164"/>
      <c r="P368" s="164"/>
      <c r="Q368" s="164"/>
      <c r="R368" s="164"/>
      <c r="S368" s="164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79" t="s">
        <v>35</v>
      </c>
      <c r="I369" s="212">
        <f ca="1">IFERROR(__xludf.DUMMYFUNCTION("IMPORTRANGE(""https://docs.google.com/spreadsheets/d/1eHaY18a8A9IcSdp1K8H6x8fbOy06t2VsZHhMHf-1x7Y/edit?usp=sharing"",""แผน!EX46"")"),543)</f>
        <v>543</v>
      </c>
      <c r="J369" s="212">
        <f ca="1">IFERROR(__xludf.DUMMYFUNCTION("IMPORTRANGE(""https://docs.google.com/spreadsheets/d/1tdoBKaGub7dwA3U6UFTqxio9LNnvDCQjHKmttSEBsFQ/edit?usp=sharing"",""จัดที่ดิน!AD46"")"),313)</f>
        <v>313</v>
      </c>
      <c r="K369" s="255">
        <f ca="1">IF(I369&gt;0,J369*100/I369,0)</f>
        <v>57.642725598526702</v>
      </c>
      <c r="L369" s="172"/>
      <c r="M369" s="164"/>
      <c r="N369" s="164"/>
      <c r="O369" s="164"/>
      <c r="P369" s="164"/>
      <c r="Q369" s="164"/>
      <c r="R369" s="164"/>
      <c r="S369" s="164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79" t="s">
        <v>46</v>
      </c>
      <c r="I370" s="212">
        <v>0</v>
      </c>
      <c r="J370" s="620">
        <f ca="1">IFERROR(__xludf.DUMMYFUNCTION("IMPORTRANGE(""https://docs.google.com/spreadsheets/d/1tdoBKaGub7dwA3U6UFTqxio9LNnvDCQjHKmttSEBsFQ/edit?usp=sharing"",""จัดที่ดิน!AE46"")"),2631.15)</f>
        <v>2631.15</v>
      </c>
      <c r="K370" s="255">
        <f>IF(I370&gt;0,J370*100/I370,0)</f>
        <v>0</v>
      </c>
      <c r="L370" s="172"/>
      <c r="M370" s="164"/>
      <c r="N370" s="164"/>
      <c r="O370" s="164"/>
      <c r="P370" s="164"/>
      <c r="Q370" s="164"/>
      <c r="R370" s="164"/>
      <c r="S370" s="164"/>
      <c r="T370" s="164"/>
      <c r="U370" s="164"/>
    </row>
    <row r="371" spans="1:21" ht="18.75">
      <c r="A371" s="166"/>
      <c r="B371" s="174"/>
      <c r="C371" s="167"/>
      <c r="D371" s="174"/>
      <c r="E371" s="352" t="s">
        <v>153</v>
      </c>
      <c r="F371" s="174"/>
      <c r="G371" s="171"/>
      <c r="H371" s="179" t="s">
        <v>35</v>
      </c>
      <c r="I371" s="212">
        <f ca="1">IFERROR(__xludf.DUMMYFUNCTION("IMPORTRANGE(""https://docs.google.com/spreadsheets/d/1eHaY18a8A9IcSdp1K8H6x8fbOy06t2VsZHhMHf-1x7Y/edit?usp=sharing"",""แผน!EY46"")"),543)</f>
        <v>543</v>
      </c>
      <c r="J371" s="212">
        <f ca="1">IFERROR(__xludf.DUMMYFUNCTION("IMPORTRANGE(""https://docs.google.com/spreadsheets/d/1tdoBKaGub7dwA3U6UFTqxio9LNnvDCQjHKmttSEBsFQ/edit?usp=sharing"",""จัดที่ดิน!AF46"")"),111)</f>
        <v>111</v>
      </c>
      <c r="K371" s="255">
        <f ca="1">IF(I371&gt;0,J371*100/I371,0)</f>
        <v>20.441988950276244</v>
      </c>
      <c r="L371" s="172"/>
      <c r="M371" s="164"/>
      <c r="N371" s="164"/>
      <c r="O371" s="164"/>
      <c r="P371" s="164"/>
      <c r="Q371" s="164"/>
      <c r="R371" s="164"/>
      <c r="S371" s="164"/>
      <c r="T371" s="164"/>
      <c r="U371" s="164"/>
    </row>
    <row r="372" spans="1:21" ht="18.75">
      <c r="A372" s="166"/>
      <c r="B372" s="174"/>
      <c r="C372" s="167"/>
      <c r="D372" s="174"/>
      <c r="E372" s="174"/>
      <c r="F372" s="174"/>
      <c r="G372" s="171"/>
      <c r="H372" s="179" t="s">
        <v>46</v>
      </c>
      <c r="I372" s="212">
        <v>0</v>
      </c>
      <c r="J372" s="620">
        <f ca="1">IFERROR(__xludf.DUMMYFUNCTION("IMPORTRANGE(""https://docs.google.com/spreadsheets/d/1tdoBKaGub7dwA3U6UFTqxio9LNnvDCQjHKmttSEBsFQ/edit?usp=sharing"",""จัดที่ดิน!AG46"")"),838.66)</f>
        <v>838.66</v>
      </c>
      <c r="K372" s="255">
        <f>IF(I372&gt;0,J372*100/I372,0)</f>
        <v>0</v>
      </c>
      <c r="L372" s="172"/>
      <c r="M372" s="164"/>
      <c r="N372" s="164"/>
      <c r="O372" s="164"/>
      <c r="P372" s="164"/>
      <c r="Q372" s="164"/>
      <c r="R372" s="164"/>
      <c r="S372" s="164"/>
      <c r="T372" s="164"/>
      <c r="U372" s="164"/>
    </row>
    <row r="373" spans="1:21" ht="16.5">
      <c r="A373" s="5"/>
      <c r="B373" s="4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พ.ค. 67 เวลา 07.29 น.]")</f>
        <v xml:space="preserve"> [ข้อมูลจาก ระบบ ALRO Land Online ข้อมูล ณ 1 พ.ค. 67 เวลา 07.29 น.]</v>
      </c>
      <c r="E373" s="4"/>
      <c r="F373" s="4"/>
      <c r="G373" s="65"/>
      <c r="H373" s="65"/>
      <c r="I373" s="67"/>
      <c r="J373" s="67"/>
      <c r="K373" s="6"/>
      <c r="L373" s="68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>
      <c r="A374" s="619"/>
      <c r="B374" s="618" t="s">
        <v>154</v>
      </c>
      <c r="C374" s="617"/>
      <c r="D374" s="616"/>
      <c r="E374" s="615"/>
      <c r="F374" s="615"/>
      <c r="G374" s="614"/>
      <c r="H374" s="613" t="s">
        <v>46</v>
      </c>
      <c r="I374" s="612">
        <f ca="1">I386+I388</f>
        <v>5000</v>
      </c>
      <c r="J374" s="612">
        <f ca="1">J386+J388</f>
        <v>43</v>
      </c>
      <c r="K374" s="611">
        <f ca="1">IF(I374&gt;0,J374*100/I374,0)</f>
        <v>0.86</v>
      </c>
      <c r="L374" s="334"/>
      <c r="M374" s="333"/>
      <c r="N374" s="333"/>
      <c r="O374" s="333"/>
      <c r="P374" s="333"/>
      <c r="Q374" s="333"/>
      <c r="R374" s="333"/>
      <c r="S374" s="333"/>
      <c r="T374" s="333"/>
      <c r="U374" s="333"/>
    </row>
    <row r="375" spans="1:21" ht="19.5">
      <c r="A375" s="155"/>
      <c r="B375" s="188"/>
      <c r="C375" s="191" t="s">
        <v>18</v>
      </c>
      <c r="D375" s="608" t="s">
        <v>19</v>
      </c>
      <c r="E375" s="50"/>
      <c r="F375" s="50"/>
      <c r="G375" s="52"/>
      <c r="H375" s="158" t="s">
        <v>14</v>
      </c>
      <c r="I375" s="54"/>
      <c r="J375" s="54"/>
      <c r="K375" s="55"/>
      <c r="L375" s="541">
        <f>L376+L377</f>
        <v>0</v>
      </c>
      <c r="M375" s="540">
        <f>M376+M377</f>
        <v>0</v>
      </c>
      <c r="N375" s="540">
        <f>N376+N377</f>
        <v>0</v>
      </c>
      <c r="O375" s="540">
        <f>IF(L375&gt;0,N375*100/L375,0)</f>
        <v>0</v>
      </c>
      <c r="P375" s="540">
        <f>IF(M375&gt;0,N375*100/M375,0)</f>
        <v>0</v>
      </c>
      <c r="Q375" s="540">
        <f ca="1">Q376+Q377</f>
        <v>312500</v>
      </c>
      <c r="R375" s="540">
        <f ca="1">R376+R377</f>
        <v>312500</v>
      </c>
      <c r="S375" s="540">
        <f ca="1">S376+S377</f>
        <v>0</v>
      </c>
      <c r="T375" s="540">
        <f ca="1">IF(Q375&gt;0,S375*100/Q375,0)</f>
        <v>0</v>
      </c>
      <c r="U375" s="540">
        <f ca="1">IF(R375&gt;0,S375*100/R375,0)</f>
        <v>0</v>
      </c>
    </row>
    <row r="376" spans="1:21" ht="18.75" hidden="1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103">
        <f>L379+L382</f>
        <v>0</v>
      </c>
      <c r="M376" s="102">
        <f>M379+M382</f>
        <v>0</v>
      </c>
      <c r="N376" s="102">
        <f>N379+N382</f>
        <v>0</v>
      </c>
      <c r="O376" s="102">
        <f>IF(L376&gt;0,N376*100/L376,0)</f>
        <v>0</v>
      </c>
      <c r="P376" s="102">
        <f>IF(M376&gt;0,N376*100/M376,0)</f>
        <v>0</v>
      </c>
      <c r="Q376" s="102">
        <f>Q379+Q382</f>
        <v>0</v>
      </c>
      <c r="R376" s="102">
        <f>R379+R382</f>
        <v>0</v>
      </c>
      <c r="S376" s="102">
        <f>S379+S382</f>
        <v>0</v>
      </c>
      <c r="T376" s="102">
        <f>IF(Q376&gt;0,S376*100/Q376,0)</f>
        <v>0</v>
      </c>
      <c r="U376" s="102">
        <f>IF(R376&gt;0,S376*100/R376,0)</f>
        <v>0</v>
      </c>
    </row>
    <row r="377" spans="1:21" ht="18.75" hidden="1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256">
        <f>L380+L383</f>
        <v>0</v>
      </c>
      <c r="M377" s="255">
        <f>M380+M383</f>
        <v>0</v>
      </c>
      <c r="N377" s="255">
        <f>N380+N383</f>
        <v>0</v>
      </c>
      <c r="O377" s="255">
        <f>IF(L377&gt;0,N377*100/L377,0)</f>
        <v>0</v>
      </c>
      <c r="P377" s="255">
        <f>IF(M377&gt;0,N377*100/M377,0)</f>
        <v>0</v>
      </c>
      <c r="Q377" s="255">
        <f ca="1">Q380+Q383</f>
        <v>312500</v>
      </c>
      <c r="R377" s="255">
        <f ca="1">R380+R383</f>
        <v>312500</v>
      </c>
      <c r="S377" s="255">
        <f ca="1">S380+S383</f>
        <v>0</v>
      </c>
      <c r="T377" s="255">
        <f ca="1">IF(Q377&gt;0,S377*100/Q377,0)</f>
        <v>0</v>
      </c>
      <c r="U377" s="255">
        <f ca="1">IF(R377&gt;0,S377*100/R377,0)</f>
        <v>0</v>
      </c>
    </row>
    <row r="378" spans="1:21" ht="18.75">
      <c r="A378" s="155"/>
      <c r="B378" s="188"/>
      <c r="C378" s="188"/>
      <c r="D378" s="602" t="s">
        <v>22</v>
      </c>
      <c r="E378" s="50"/>
      <c r="F378" s="50"/>
      <c r="G378" s="52"/>
      <c r="H378" s="162" t="s">
        <v>14</v>
      </c>
      <c r="I378" s="163"/>
      <c r="J378" s="163"/>
      <c r="K378" s="164"/>
      <c r="L378" s="256">
        <f>L379+L380</f>
        <v>0</v>
      </c>
      <c r="M378" s="255">
        <f>M379+M380</f>
        <v>0</v>
      </c>
      <c r="N378" s="255">
        <f>N379+N380</f>
        <v>0</v>
      </c>
      <c r="O378" s="255">
        <f>IF(L378&gt;0,N378*100/L378,0)</f>
        <v>0</v>
      </c>
      <c r="P378" s="255">
        <f>IF(M378&gt;0,N378*100/M378,0)</f>
        <v>0</v>
      </c>
      <c r="Q378" s="255">
        <f ca="1">Q379+Q380</f>
        <v>312500</v>
      </c>
      <c r="R378" s="255">
        <f ca="1">R379+R380</f>
        <v>312500</v>
      </c>
      <c r="S378" s="255">
        <f ca="1">S379+S380</f>
        <v>0</v>
      </c>
      <c r="T378" s="255">
        <f ca="1">IF(Q378&gt;0,S378*100/Q378,0)</f>
        <v>0</v>
      </c>
      <c r="U378" s="255">
        <f ca="1">IF(R378&gt;0,S378*100/R378,0)</f>
        <v>0</v>
      </c>
    </row>
    <row r="379" spans="1:21" ht="18.75" hidden="1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103">
        <v>0</v>
      </c>
      <c r="M379" s="102">
        <v>0</v>
      </c>
      <c r="N379" s="102">
        <v>0</v>
      </c>
      <c r="O379" s="102">
        <f>IF(L379&gt;0,N379*100/L379,0)</f>
        <v>0</v>
      </c>
      <c r="P379" s="102">
        <f>IF(M379&gt;0,N379*100/M379,0)</f>
        <v>0</v>
      </c>
      <c r="Q379" s="102">
        <v>0</v>
      </c>
      <c r="R379" s="102">
        <v>0</v>
      </c>
      <c r="S379" s="102">
        <v>0</v>
      </c>
      <c r="T379" s="102">
        <f>IF(Q379&gt;0,S379*100/Q379,0)</f>
        <v>0</v>
      </c>
      <c r="U379" s="102">
        <f>IF(R379&gt;0,S379*100/R379,0)</f>
        <v>0</v>
      </c>
    </row>
    <row r="380" spans="1:21" ht="18.75" hidden="1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256">
        <v>0</v>
      </c>
      <c r="M380" s="255">
        <v>0</v>
      </c>
      <c r="N380" s="255">
        <v>0</v>
      </c>
      <c r="O380" s="255">
        <f>IF(L380&gt;0,N380*100/L380,0)</f>
        <v>0</v>
      </c>
      <c r="P380" s="255">
        <f>IF(M380&gt;0,N380*100/M380,0)</f>
        <v>0</v>
      </c>
      <c r="Q380" s="255">
        <f ca="1">IFERROR(__xludf.DUMMYFUNCTION("IMPORTRANGE(""https://docs.google.com/spreadsheets/d/1ItG2mGa2ceCfYo0BwxsXqNm01IGEUdYcSSLTEv9YCik/edit?usp=sharing"",""เบิกจ่ายกองทุน!AY46"")"),312500)</f>
        <v>312500</v>
      </c>
      <c r="R380" s="255">
        <f ca="1">IFERROR(__xludf.DUMMYFUNCTION("IMPORTRANGE(""https://docs.google.com/spreadsheets/d/1ItG2mGa2ceCfYo0BwxsXqNm01IGEUdYcSSLTEv9YCik/edit?usp=sharing"",""เบิกจ่ายกองทุน!AZ46"")"),312500)</f>
        <v>312500</v>
      </c>
      <c r="S380" s="255">
        <f ca="1">IFERROR(__xludf.DUMMYFUNCTION("IMPORTRANGE(""https://docs.google.com/spreadsheets/d/1ItG2mGa2ceCfYo0BwxsXqNm01IGEUdYcSSLTEv9YCik/edit?usp=sharing"",""เบิกจ่ายกองทุน!BA46"")"),0)</f>
        <v>0</v>
      </c>
      <c r="T380" s="255">
        <f ca="1">IF(Q380&gt;0,S380*100/Q380,0)</f>
        <v>0</v>
      </c>
      <c r="U380" s="255">
        <f ca="1">IF(R380&gt;0,S380*100/R380,0)</f>
        <v>0</v>
      </c>
    </row>
    <row r="381" spans="1:21" ht="18.75">
      <c r="A381" s="155"/>
      <c r="B381" s="188"/>
      <c r="C381" s="188"/>
      <c r="D381" s="602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256">
        <f>L382+L383</f>
        <v>0</v>
      </c>
      <c r="M381" s="255">
        <f>M382+M383</f>
        <v>0</v>
      </c>
      <c r="N381" s="255">
        <f>N382+N383</f>
        <v>0</v>
      </c>
      <c r="O381" s="255">
        <f>IF(L381&gt;0,N381*100/L381,0)</f>
        <v>0</v>
      </c>
      <c r="P381" s="255">
        <f>IF(M381&gt;0,N381*100/M381,0)</f>
        <v>0</v>
      </c>
      <c r="Q381" s="255">
        <f>Q382+Q383</f>
        <v>0</v>
      </c>
      <c r="R381" s="255">
        <f>R382+R383</f>
        <v>0</v>
      </c>
      <c r="S381" s="255">
        <f>S382+S383</f>
        <v>0</v>
      </c>
      <c r="T381" s="255">
        <f>IF(Q381&gt;0,S381*100/Q381,0)</f>
        <v>0</v>
      </c>
      <c r="U381" s="255">
        <f>IF(R381&gt;0,S381*100/R381,0)</f>
        <v>0</v>
      </c>
    </row>
    <row r="382" spans="1:21" ht="18.75" hidden="1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103">
        <v>0</v>
      </c>
      <c r="M382" s="102">
        <v>0</v>
      </c>
      <c r="N382" s="102">
        <v>0</v>
      </c>
      <c r="O382" s="102">
        <f>IF(L382&gt;0,N382*100/L382,0)</f>
        <v>0</v>
      </c>
      <c r="P382" s="102">
        <f>IF(M382&gt;0,N382*100/M382,0)</f>
        <v>0</v>
      </c>
      <c r="Q382" s="102">
        <v>0</v>
      </c>
      <c r="R382" s="102">
        <v>0</v>
      </c>
      <c r="S382" s="102">
        <v>0</v>
      </c>
      <c r="T382" s="102">
        <f>IF(Q382&gt;0,S382*100/Q382,0)</f>
        <v>0</v>
      </c>
      <c r="U382" s="102">
        <f>IF(R382&gt;0,S382*100/R382,0)</f>
        <v>0</v>
      </c>
    </row>
    <row r="383" spans="1:21" ht="18.75" hidden="1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256">
        <v>0</v>
      </c>
      <c r="M383" s="255">
        <v>0</v>
      </c>
      <c r="N383" s="255">
        <v>0</v>
      </c>
      <c r="O383" s="255">
        <f>IF(L383&gt;0,N383*100/L383,0)</f>
        <v>0</v>
      </c>
      <c r="P383" s="255">
        <f>IF(M383&gt;0,N383*100/M383,0)</f>
        <v>0</v>
      </c>
      <c r="Q383" s="255">
        <v>0</v>
      </c>
      <c r="R383" s="255">
        <v>0</v>
      </c>
      <c r="S383" s="255">
        <v>0</v>
      </c>
      <c r="T383" s="255">
        <f>IF(Q383&gt;0,S383*100/Q383,0)</f>
        <v>0</v>
      </c>
      <c r="U383" s="255">
        <f>IF(R383&gt;0,S383*100/R383,0)</f>
        <v>0</v>
      </c>
    </row>
    <row r="384" spans="1:21" ht="19.5">
      <c r="A384" s="166"/>
      <c r="B384" s="167"/>
      <c r="C384" s="191" t="s">
        <v>18</v>
      </c>
      <c r="D384" s="560" t="s">
        <v>38</v>
      </c>
      <c r="E384" s="169"/>
      <c r="F384" s="169"/>
      <c r="G384" s="170"/>
      <c r="H384" s="206"/>
      <c r="I384" s="163"/>
      <c r="J384" s="54"/>
      <c r="K384" s="55"/>
      <c r="L384" s="62"/>
      <c r="M384" s="55"/>
      <c r="N384" s="55"/>
      <c r="O384" s="164"/>
      <c r="P384" s="164"/>
      <c r="Q384" s="55"/>
      <c r="R384" s="55"/>
      <c r="S384" s="55"/>
      <c r="T384" s="164"/>
      <c r="U384" s="164"/>
    </row>
    <row r="385" spans="1:21" ht="18.75">
      <c r="A385" s="238"/>
      <c r="B385" s="188"/>
      <c r="C385" s="188"/>
      <c r="D385" s="188"/>
      <c r="E385" s="58" t="s">
        <v>155</v>
      </c>
      <c r="F385" s="50"/>
      <c r="G385" s="52"/>
      <c r="H385" s="161" t="s">
        <v>34</v>
      </c>
      <c r="I385" s="212">
        <v>0</v>
      </c>
      <c r="J385" s="212">
        <f ca="1">IFERROR(__xludf.DUMMYFUNCTION("IMPORTRANGE(""https://docs.google.com/spreadsheets/d/1w5rwWK1o49a35cNtocGL0gxDwhFSTZUQu90BiH9_zqM/edit?usp=sharing"",""RTK!H46"")"),2)</f>
        <v>2</v>
      </c>
      <c r="K385" s="255">
        <f>IF(I385&gt;0,J385*100/I385,0)</f>
        <v>0</v>
      </c>
      <c r="L385" s="62"/>
      <c r="M385" s="55"/>
      <c r="N385" s="55"/>
      <c r="O385" s="55"/>
      <c r="P385" s="55"/>
      <c r="Q385" s="55"/>
      <c r="R385" s="55"/>
      <c r="S385" s="55"/>
      <c r="T385" s="55"/>
      <c r="U385" s="55"/>
    </row>
    <row r="386" spans="1:21" ht="18.75">
      <c r="A386" s="188"/>
      <c r="B386" s="188"/>
      <c r="C386" s="188"/>
      <c r="D386" s="188"/>
      <c r="E386" s="188"/>
      <c r="F386" s="188"/>
      <c r="G386" s="208"/>
      <c r="H386" s="161" t="s">
        <v>46</v>
      </c>
      <c r="I386" s="212">
        <f ca="1">IFERROR(__xludf.DUMMYFUNCTION("IMPORTRANGE(""https://docs.google.com/spreadsheets/d/1w5rwWK1o49a35cNtocGL0gxDwhFSTZUQu90BiH9_zqM/edit?usp=sharing"",""RTK!G46"")"),5000)</f>
        <v>5000</v>
      </c>
      <c r="J386" s="212">
        <f ca="1">IFERROR(__xludf.DUMMYFUNCTION("IMPORTRANGE(""https://docs.google.com/spreadsheets/d/1w5rwWK1o49a35cNtocGL0gxDwhFSTZUQu90BiH9_zqM/edit?usp=sharing"",""RTK!I46"")"),43)</f>
        <v>43</v>
      </c>
      <c r="K386" s="255">
        <f ca="1">IF(I386&gt;0,J386*100/I386,0)</f>
        <v>0.86</v>
      </c>
      <c r="L386" s="62"/>
      <c r="M386" s="55"/>
      <c r="N386" s="55"/>
      <c r="O386" s="55"/>
      <c r="P386" s="55"/>
      <c r="Q386" s="55"/>
      <c r="R386" s="55"/>
      <c r="S386" s="55"/>
      <c r="T386" s="55"/>
      <c r="U386" s="55"/>
    </row>
    <row r="387" spans="1:21" ht="18.75">
      <c r="A387" s="609"/>
      <c r="B387" s="609"/>
      <c r="C387" s="609"/>
      <c r="D387" s="609"/>
      <c r="E387" s="610" t="s">
        <v>156</v>
      </c>
      <c r="F387" s="609"/>
      <c r="G387" s="557"/>
      <c r="H387" s="549" t="s">
        <v>34</v>
      </c>
      <c r="I387" s="556">
        <v>0</v>
      </c>
      <c r="J387" s="556">
        <f ca="1">IFERROR(__xludf.DUMMYFUNCTION("IMPORTRANGE(""https://docs.google.com/spreadsheets/d/1w5rwWK1o49a35cNtocGL0gxDwhFSTZUQu90BiH9_zqM/edit?usp=sharing"",""RTK!L46"")"),0)</f>
        <v>0</v>
      </c>
      <c r="K387" s="555">
        <f>IF(I387&gt;0,J387*100/I387,0)</f>
        <v>0</v>
      </c>
      <c r="L387" s="546"/>
      <c r="M387" s="545"/>
      <c r="N387" s="545"/>
      <c r="O387" s="545"/>
      <c r="P387" s="545"/>
      <c r="Q387" s="545"/>
      <c r="R387" s="545"/>
      <c r="S387" s="545"/>
      <c r="T387" s="545"/>
      <c r="U387" s="545"/>
    </row>
    <row r="388" spans="1:21" ht="18.75">
      <c r="A388" s="609"/>
      <c r="B388" s="609"/>
      <c r="C388" s="609"/>
      <c r="D388" s="609"/>
      <c r="E388" s="609"/>
      <c r="F388" s="609"/>
      <c r="G388" s="557"/>
      <c r="H388" s="549" t="s">
        <v>46</v>
      </c>
      <c r="I388" s="556">
        <f ca="1">IFERROR(__xludf.DUMMYFUNCTION("IMPORTRANGE(""https://docs.google.com/spreadsheets/d/1w5rwWK1o49a35cNtocGL0gxDwhFSTZUQu90BiH9_zqM/edit?usp=sharing"",""RTK!K46"")"),0)</f>
        <v>0</v>
      </c>
      <c r="J388" s="556">
        <f ca="1">IFERROR(__xludf.DUMMYFUNCTION("IMPORTRANGE(""https://docs.google.com/spreadsheets/d/1w5rwWK1o49a35cNtocGL0gxDwhFSTZUQu90BiH9_zqM/edit?usp=sharing"",""RTK!M46"")"),0)</f>
        <v>0</v>
      </c>
      <c r="K388" s="555">
        <f ca="1">IF(I388&gt;0,J388*100/I388,0)</f>
        <v>0</v>
      </c>
      <c r="L388" s="546"/>
      <c r="M388" s="545"/>
      <c r="N388" s="545"/>
      <c r="O388" s="545"/>
      <c r="P388" s="545"/>
      <c r="Q388" s="545"/>
      <c r="R388" s="545"/>
      <c r="S388" s="545"/>
      <c r="T388" s="545"/>
      <c r="U388" s="545"/>
    </row>
    <row r="389" spans="1:21" ht="12.75" hidden="1">
      <c r="A389" s="259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5"/>
      <c r="M389" s="264"/>
      <c r="N389" s="264"/>
      <c r="O389" s="264"/>
      <c r="P389" s="264"/>
      <c r="Q389" s="264"/>
      <c r="R389" s="264"/>
      <c r="S389" s="264"/>
      <c r="T389" s="264"/>
      <c r="U389" s="264"/>
    </row>
    <row r="390" spans="1:21" ht="12.75" hidden="1">
      <c r="A390" s="360"/>
      <c r="B390" s="360"/>
      <c r="C390" s="360"/>
      <c r="D390" s="360"/>
      <c r="E390" s="360"/>
      <c r="F390" s="360"/>
      <c r="G390" s="361"/>
      <c r="H390" s="361"/>
      <c r="I390" s="362"/>
      <c r="J390" s="362"/>
      <c r="K390" s="363"/>
      <c r="L390" s="364"/>
      <c r="M390" s="363"/>
      <c r="N390" s="363"/>
      <c r="O390" s="363"/>
      <c r="P390" s="363"/>
      <c r="Q390" s="363"/>
      <c r="R390" s="363"/>
      <c r="S390" s="363"/>
      <c r="T390" s="363"/>
      <c r="U390" s="363"/>
    </row>
    <row r="391" spans="1:21" ht="19.5" hidden="1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51">
        <f>I402</f>
        <v>0</v>
      </c>
      <c r="J391" s="351">
        <f>J402</f>
        <v>0</v>
      </c>
      <c r="K391" s="604">
        <f>IF(I391&gt;0,J391*100/I391,0)</f>
        <v>0</v>
      </c>
      <c r="L391" s="334"/>
      <c r="M391" s="333"/>
      <c r="N391" s="333"/>
      <c r="O391" s="333"/>
      <c r="P391" s="333"/>
      <c r="Q391" s="333"/>
      <c r="R391" s="333"/>
      <c r="S391" s="333"/>
      <c r="T391" s="333"/>
      <c r="U391" s="333"/>
    </row>
    <row r="392" spans="1:21" ht="19.5" hidden="1">
      <c r="A392" s="155"/>
      <c r="B392" s="188"/>
      <c r="C392" s="191" t="s">
        <v>18</v>
      </c>
      <c r="D392" s="608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541">
        <f>L393+L394</f>
        <v>0</v>
      </c>
      <c r="M392" s="540">
        <f>M393+M394</f>
        <v>0</v>
      </c>
      <c r="N392" s="540">
        <f>N393+N394</f>
        <v>0</v>
      </c>
      <c r="O392" s="540">
        <f>IF(L392&gt;0,N392*100/L392,0)</f>
        <v>0</v>
      </c>
      <c r="P392" s="540">
        <f>IF(M392&gt;0,N392*100/M392,0)</f>
        <v>0</v>
      </c>
      <c r="Q392" s="540">
        <f>Q393+Q394</f>
        <v>0</v>
      </c>
      <c r="R392" s="540">
        <f>R393+R394</f>
        <v>0</v>
      </c>
      <c r="S392" s="540">
        <f>S393+S394</f>
        <v>0</v>
      </c>
      <c r="T392" s="540">
        <f>IF(Q392&gt;0,S392*100/Q392,0)</f>
        <v>0</v>
      </c>
      <c r="U392" s="540">
        <f>IF(R392&gt;0,S392*100/R392,0)</f>
        <v>0</v>
      </c>
    </row>
    <row r="393" spans="1:21" ht="18.75" hidden="1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103">
        <f>L396+L399</f>
        <v>0</v>
      </c>
      <c r="M393" s="102">
        <f>M396+M399</f>
        <v>0</v>
      </c>
      <c r="N393" s="102">
        <f>N396+N399</f>
        <v>0</v>
      </c>
      <c r="O393" s="102">
        <f>IF(L393&gt;0,N393*100/L393,0)</f>
        <v>0</v>
      </c>
      <c r="P393" s="102">
        <f>IF(M393&gt;0,N393*100/M393,0)</f>
        <v>0</v>
      </c>
      <c r="Q393" s="102">
        <f>Q396+Q399</f>
        <v>0</v>
      </c>
      <c r="R393" s="102">
        <f>R396+R399</f>
        <v>0</v>
      </c>
      <c r="S393" s="102">
        <f>S396+S399</f>
        <v>0</v>
      </c>
      <c r="T393" s="102">
        <f>IF(Q393&gt;0,S393*100/Q393,0)</f>
        <v>0</v>
      </c>
      <c r="U393" s="102">
        <f>IF(R393&gt;0,S393*100/R393,0)</f>
        <v>0</v>
      </c>
    </row>
    <row r="394" spans="1:21" ht="18.75" hidden="1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256">
        <f>L397+L400</f>
        <v>0</v>
      </c>
      <c r="M394" s="255">
        <f>M397+M400</f>
        <v>0</v>
      </c>
      <c r="N394" s="255">
        <f>N397+N400</f>
        <v>0</v>
      </c>
      <c r="O394" s="255">
        <f>IF(L394&gt;0,N394*100/L394,0)</f>
        <v>0</v>
      </c>
      <c r="P394" s="255">
        <f>IF(M394&gt;0,N394*100/M394,0)</f>
        <v>0</v>
      </c>
      <c r="Q394" s="255">
        <f>Q397+Q400</f>
        <v>0</v>
      </c>
      <c r="R394" s="255">
        <f>R397+R400</f>
        <v>0</v>
      </c>
      <c r="S394" s="255">
        <f>S397+S400</f>
        <v>0</v>
      </c>
      <c r="T394" s="255">
        <f>IF(Q394&gt;0,S394*100/Q394,0)</f>
        <v>0</v>
      </c>
      <c r="U394" s="255">
        <f>IF(R394&gt;0,S394*100/R394,0)</f>
        <v>0</v>
      </c>
    </row>
    <row r="395" spans="1:21" ht="18.75" hidden="1">
      <c r="A395" s="155"/>
      <c r="B395" s="188"/>
      <c r="C395" s="188"/>
      <c r="D395" s="602" t="s">
        <v>22</v>
      </c>
      <c r="E395" s="50"/>
      <c r="F395" s="50"/>
      <c r="G395" s="52"/>
      <c r="H395" s="162" t="s">
        <v>14</v>
      </c>
      <c r="I395" s="163"/>
      <c r="J395" s="163"/>
      <c r="K395" s="164"/>
      <c r="L395" s="256">
        <f>L396+L397</f>
        <v>0</v>
      </c>
      <c r="M395" s="255">
        <f>M396+M397</f>
        <v>0</v>
      </c>
      <c r="N395" s="255">
        <f>N396+N397</f>
        <v>0</v>
      </c>
      <c r="O395" s="255">
        <f>IF(L395&gt;0,N395*100/L395,0)</f>
        <v>0</v>
      </c>
      <c r="P395" s="255">
        <f>IF(M395&gt;0,N395*100/M395,0)</f>
        <v>0</v>
      </c>
      <c r="Q395" s="255">
        <f>Q396+Q397</f>
        <v>0</v>
      </c>
      <c r="R395" s="255">
        <f>R396+R397</f>
        <v>0</v>
      </c>
      <c r="S395" s="255">
        <f>S396+S397</f>
        <v>0</v>
      </c>
      <c r="T395" s="255">
        <f>IF(Q395&gt;0,S395*100/Q395,0)</f>
        <v>0</v>
      </c>
      <c r="U395" s="255">
        <f>IF(R395&gt;0,S395*100/R395,0)</f>
        <v>0</v>
      </c>
    </row>
    <row r="396" spans="1:21" ht="18.75" hidden="1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103">
        <v>0</v>
      </c>
      <c r="M396" s="102">
        <v>0</v>
      </c>
      <c r="N396" s="102">
        <v>0</v>
      </c>
      <c r="O396" s="102">
        <f>IF(L396&gt;0,N396*100/L396,0)</f>
        <v>0</v>
      </c>
      <c r="P396" s="102">
        <f>IF(M396&gt;0,N396*100/M396,0)</f>
        <v>0</v>
      </c>
      <c r="Q396" s="102">
        <v>0</v>
      </c>
      <c r="R396" s="102">
        <v>0</v>
      </c>
      <c r="S396" s="102">
        <v>0</v>
      </c>
      <c r="T396" s="102">
        <f>IF(Q396&gt;0,S396*100/Q396,0)</f>
        <v>0</v>
      </c>
      <c r="U396" s="102">
        <f>IF(R396&gt;0,S396*100/R396,0)</f>
        <v>0</v>
      </c>
    </row>
    <row r="397" spans="1:21" ht="18.75" hidden="1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256">
        <v>0</v>
      </c>
      <c r="M397" s="255">
        <v>0</v>
      </c>
      <c r="N397" s="255">
        <v>0</v>
      </c>
      <c r="O397" s="255">
        <f>IF(L397&gt;0,N397*100/L397,0)</f>
        <v>0</v>
      </c>
      <c r="P397" s="255">
        <f>IF(M397&gt;0,N397*100/M397,0)</f>
        <v>0</v>
      </c>
      <c r="Q397" s="255">
        <v>0</v>
      </c>
      <c r="R397" s="255">
        <v>0</v>
      </c>
      <c r="S397" s="255">
        <v>0</v>
      </c>
      <c r="T397" s="255">
        <f>IF(Q397&gt;0,S397*100/Q397,0)</f>
        <v>0</v>
      </c>
      <c r="U397" s="255">
        <f>IF(R397&gt;0,S397*100/R397,0)</f>
        <v>0</v>
      </c>
    </row>
    <row r="398" spans="1:21" ht="18.75" hidden="1">
      <c r="A398" s="155"/>
      <c r="B398" s="188"/>
      <c r="C398" s="188"/>
      <c r="D398" s="602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256">
        <f>L399+L400</f>
        <v>0</v>
      </c>
      <c r="M398" s="255">
        <f>M399+M400</f>
        <v>0</v>
      </c>
      <c r="N398" s="255">
        <f>N399+N400</f>
        <v>0</v>
      </c>
      <c r="O398" s="255">
        <f>IF(L398&gt;0,N398*100/L398,0)</f>
        <v>0</v>
      </c>
      <c r="P398" s="255">
        <f>IF(M398&gt;0,N398*100/M398,0)</f>
        <v>0</v>
      </c>
      <c r="Q398" s="255">
        <f>Q399+Q400</f>
        <v>0</v>
      </c>
      <c r="R398" s="255">
        <f>R399+R400</f>
        <v>0</v>
      </c>
      <c r="S398" s="255">
        <f>S399+S400</f>
        <v>0</v>
      </c>
      <c r="T398" s="255">
        <f>IF(Q398&gt;0,S398*100/Q398,0)</f>
        <v>0</v>
      </c>
      <c r="U398" s="255">
        <f>IF(R398&gt;0,S398*100/R398,0)</f>
        <v>0</v>
      </c>
    </row>
    <row r="399" spans="1:21" ht="18.75" hidden="1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103">
        <v>0</v>
      </c>
      <c r="M399" s="102">
        <v>0</v>
      </c>
      <c r="N399" s="102">
        <v>0</v>
      </c>
      <c r="O399" s="102">
        <f>IF(L399&gt;0,N399*100/L399,0)</f>
        <v>0</v>
      </c>
      <c r="P399" s="102">
        <f>IF(M399&gt;0,N399*100/M399,0)</f>
        <v>0</v>
      </c>
      <c r="Q399" s="102">
        <v>0</v>
      </c>
      <c r="R399" s="102">
        <v>0</v>
      </c>
      <c r="S399" s="102">
        <v>0</v>
      </c>
      <c r="T399" s="102">
        <f>IF(Q399&gt;0,S399*100/Q399,0)</f>
        <v>0</v>
      </c>
      <c r="U399" s="102">
        <f>IF(R399&gt;0,S399*100/R399,0)</f>
        <v>0</v>
      </c>
    </row>
    <row r="400" spans="1:21" ht="18.75" hidden="1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256">
        <v>0</v>
      </c>
      <c r="M400" s="255">
        <v>0</v>
      </c>
      <c r="N400" s="255">
        <v>0</v>
      </c>
      <c r="O400" s="255">
        <f>IF(L400&gt;0,N400*100/L400,0)</f>
        <v>0</v>
      </c>
      <c r="P400" s="255">
        <f>IF(M400&gt;0,N400*100/M400,0)</f>
        <v>0</v>
      </c>
      <c r="Q400" s="255">
        <v>0</v>
      </c>
      <c r="R400" s="255">
        <v>0</v>
      </c>
      <c r="S400" s="255">
        <v>0</v>
      </c>
      <c r="T400" s="255">
        <f>IF(Q400&gt;0,S400*100/Q400,0)</f>
        <v>0</v>
      </c>
      <c r="U400" s="255">
        <f>IF(R400&gt;0,S400*100/R400,0)</f>
        <v>0</v>
      </c>
    </row>
    <row r="401" spans="1:21" ht="19.5" hidden="1">
      <c r="A401" s="166"/>
      <c r="B401" s="167"/>
      <c r="C401" s="191" t="s">
        <v>18</v>
      </c>
      <c r="D401" s="560" t="s">
        <v>38</v>
      </c>
      <c r="E401" s="169"/>
      <c r="F401" s="169"/>
      <c r="G401" s="170"/>
      <c r="H401" s="206"/>
      <c r="I401" s="163"/>
      <c r="J401" s="54"/>
      <c r="K401" s="55"/>
      <c r="L401" s="62"/>
      <c r="M401" s="55"/>
      <c r="N401" s="55"/>
      <c r="O401" s="164"/>
      <c r="P401" s="164"/>
      <c r="Q401" s="55"/>
      <c r="R401" s="55"/>
      <c r="S401" s="55"/>
      <c r="T401" s="164"/>
      <c r="U401" s="164"/>
    </row>
    <row r="402" spans="1:21" ht="12.75" hidden="1">
      <c r="A402" s="258"/>
      <c r="B402" s="259"/>
      <c r="C402" s="259"/>
      <c r="D402" s="259"/>
      <c r="E402" s="260"/>
      <c r="F402" s="260"/>
      <c r="G402" s="261"/>
      <c r="H402" s="262"/>
      <c r="I402" s="263"/>
      <c r="J402" s="263"/>
      <c r="K402" s="264"/>
      <c r="L402" s="265"/>
      <c r="M402" s="264"/>
      <c r="N402" s="264"/>
      <c r="O402" s="264"/>
      <c r="P402" s="264"/>
      <c r="Q402" s="264"/>
      <c r="R402" s="264"/>
      <c r="S402" s="264"/>
      <c r="T402" s="264"/>
      <c r="U402" s="264"/>
    </row>
    <row r="403" spans="1:21" ht="12.75" hidden="1">
      <c r="A403" s="259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5"/>
      <c r="M403" s="264"/>
      <c r="N403" s="264"/>
      <c r="O403" s="264"/>
      <c r="P403" s="264"/>
      <c r="Q403" s="264"/>
      <c r="R403" s="264"/>
      <c r="S403" s="264"/>
      <c r="T403" s="264"/>
      <c r="U403" s="264"/>
    </row>
    <row r="404" spans="1:21" ht="12.75" hidden="1">
      <c r="A404" s="259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5"/>
      <c r="M404" s="264"/>
      <c r="N404" s="264"/>
      <c r="O404" s="264"/>
      <c r="P404" s="264"/>
      <c r="Q404" s="264"/>
      <c r="R404" s="264"/>
      <c r="S404" s="264"/>
      <c r="T404" s="264"/>
      <c r="U404" s="264"/>
    </row>
    <row r="405" spans="1:21" ht="12.75" hidden="1">
      <c r="A405" s="259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5"/>
      <c r="M405" s="264"/>
      <c r="N405" s="264"/>
      <c r="O405" s="264"/>
      <c r="P405" s="264"/>
      <c r="Q405" s="264"/>
      <c r="R405" s="264"/>
      <c r="S405" s="264"/>
      <c r="T405" s="264"/>
      <c r="U405" s="264"/>
    </row>
    <row r="406" spans="1:21" ht="12.75" hidden="1">
      <c r="A406" s="259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5"/>
      <c r="M406" s="264"/>
      <c r="N406" s="264"/>
      <c r="O406" s="264"/>
      <c r="P406" s="264"/>
      <c r="Q406" s="264"/>
      <c r="R406" s="264"/>
      <c r="S406" s="264"/>
      <c r="T406" s="264"/>
      <c r="U406" s="264"/>
    </row>
    <row r="407" spans="1:21" ht="12.75" hidden="1">
      <c r="A407" s="259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5"/>
      <c r="M407" s="264"/>
      <c r="N407" s="264"/>
      <c r="O407" s="264"/>
      <c r="P407" s="264"/>
      <c r="Q407" s="264"/>
      <c r="R407" s="264"/>
      <c r="S407" s="264"/>
      <c r="T407" s="264"/>
      <c r="U407" s="264"/>
    </row>
    <row r="408" spans="1:21" ht="12.75" hidden="1">
      <c r="A408" s="259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5"/>
      <c r="M408" s="264"/>
      <c r="N408" s="264"/>
      <c r="O408" s="264"/>
      <c r="P408" s="264"/>
      <c r="Q408" s="264"/>
      <c r="R408" s="264"/>
      <c r="S408" s="264"/>
      <c r="T408" s="264"/>
      <c r="U408" s="264"/>
    </row>
    <row r="409" spans="1:21" ht="12.75" hidden="1">
      <c r="A409" s="259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5"/>
      <c r="M409" s="264"/>
      <c r="N409" s="264"/>
      <c r="O409" s="264"/>
      <c r="P409" s="264"/>
      <c r="Q409" s="264"/>
      <c r="R409" s="264"/>
      <c r="S409" s="264"/>
      <c r="T409" s="264"/>
      <c r="U409" s="264"/>
    </row>
    <row r="410" spans="1:21" ht="12.75" hidden="1">
      <c r="A410" s="259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5"/>
      <c r="M410" s="264"/>
      <c r="N410" s="264"/>
      <c r="O410" s="264"/>
      <c r="P410" s="264"/>
      <c r="Q410" s="264"/>
      <c r="R410" s="264"/>
      <c r="S410" s="264"/>
      <c r="T410" s="264"/>
      <c r="U410" s="264"/>
    </row>
    <row r="411" spans="1:21" ht="12.75" hidden="1">
      <c r="A411" s="360"/>
      <c r="B411" s="360"/>
      <c r="C411" s="360"/>
      <c r="D411" s="360"/>
      <c r="E411" s="360"/>
      <c r="F411" s="360"/>
      <c r="G411" s="361"/>
      <c r="H411" s="361"/>
      <c r="I411" s="362"/>
      <c r="J411" s="362"/>
      <c r="K411" s="363"/>
      <c r="L411" s="364"/>
      <c r="M411" s="363"/>
      <c r="N411" s="363"/>
      <c r="O411" s="363"/>
      <c r="P411" s="363"/>
      <c r="Q411" s="363"/>
      <c r="R411" s="363"/>
      <c r="S411" s="363"/>
      <c r="T411" s="363"/>
      <c r="U411" s="363"/>
    </row>
    <row r="412" spans="1:21" ht="19.5" hidden="1">
      <c r="A412" s="337"/>
      <c r="B412" s="354" t="s">
        <v>158</v>
      </c>
      <c r="C412" s="337"/>
      <c r="D412" s="337"/>
      <c r="E412" s="337"/>
      <c r="F412" s="337"/>
      <c r="G412" s="365"/>
      <c r="H412" s="366" t="s">
        <v>46</v>
      </c>
      <c r="I412" s="605">
        <f ca="1">I423</f>
        <v>0</v>
      </c>
      <c r="J412" s="605">
        <f>J423</f>
        <v>0</v>
      </c>
      <c r="K412" s="604">
        <f ca="1">IF(I412&gt;0,J412*100/I412,0)</f>
        <v>0</v>
      </c>
      <c r="L412" s="334"/>
      <c r="M412" s="333"/>
      <c r="N412" s="333"/>
      <c r="O412" s="333"/>
      <c r="P412" s="333"/>
      <c r="Q412" s="333"/>
      <c r="R412" s="333"/>
      <c r="S412" s="333"/>
      <c r="T412" s="333"/>
      <c r="U412" s="333"/>
    </row>
    <row r="413" spans="1:21" ht="19.5" hidden="1">
      <c r="A413" s="155"/>
      <c r="B413" s="188"/>
      <c r="C413" s="367" t="s">
        <v>18</v>
      </c>
      <c r="D413" s="603" t="s">
        <v>19</v>
      </c>
      <c r="E413" s="514"/>
      <c r="F413" s="514"/>
      <c r="G413" s="512"/>
      <c r="H413" s="368" t="s">
        <v>14</v>
      </c>
      <c r="I413" s="54"/>
      <c r="J413" s="54"/>
      <c r="K413" s="55"/>
      <c r="L413" s="541">
        <f>L414+L415</f>
        <v>0</v>
      </c>
      <c r="M413" s="540">
        <f>M414+M415</f>
        <v>0</v>
      </c>
      <c r="N413" s="540">
        <f>N414+N415</f>
        <v>0</v>
      </c>
      <c r="O413" s="540">
        <f>IF(L413&gt;0,N413*100/L413,0)</f>
        <v>0</v>
      </c>
      <c r="P413" s="540">
        <f>IF(M413&gt;0,N413*100/M413,0)</f>
        <v>0</v>
      </c>
      <c r="Q413" s="540">
        <f ca="1">Q414+Q415</f>
        <v>0</v>
      </c>
      <c r="R413" s="540">
        <f ca="1">R414+R415</f>
        <v>0</v>
      </c>
      <c r="S413" s="540">
        <f ca="1">S414+S415</f>
        <v>0</v>
      </c>
      <c r="T413" s="540">
        <f ca="1">IF(Q413&gt;0,S413*100/Q413,0)</f>
        <v>0</v>
      </c>
      <c r="U413" s="540">
        <f ca="1">IF(R413&gt;0,S413*100/R413,0)</f>
        <v>0</v>
      </c>
    </row>
    <row r="414" spans="1:21" ht="18.75" hidden="1">
      <c r="A414" s="155"/>
      <c r="B414" s="188"/>
      <c r="C414" s="188"/>
      <c r="D414" s="188"/>
      <c r="E414" s="358" t="s">
        <v>159</v>
      </c>
      <c r="F414" s="188"/>
      <c r="G414" s="208"/>
      <c r="H414" s="204" t="s">
        <v>14</v>
      </c>
      <c r="I414" s="54"/>
      <c r="J414" s="54"/>
      <c r="K414" s="55"/>
      <c r="L414" s="103">
        <f>L417+L420</f>
        <v>0</v>
      </c>
      <c r="M414" s="102">
        <f>M417+M420</f>
        <v>0</v>
      </c>
      <c r="N414" s="102">
        <f>N417+N420</f>
        <v>0</v>
      </c>
      <c r="O414" s="102">
        <f>IF(L414&gt;0,N414*100/L414,0)</f>
        <v>0</v>
      </c>
      <c r="P414" s="102">
        <f>IF(M414&gt;0,N414*100/M414,0)</f>
        <v>0</v>
      </c>
      <c r="Q414" s="102">
        <f>Q417+Q420</f>
        <v>0</v>
      </c>
      <c r="R414" s="102">
        <f>R417+R420</f>
        <v>0</v>
      </c>
      <c r="S414" s="102">
        <f>S417+S420</f>
        <v>0</v>
      </c>
      <c r="T414" s="102">
        <f>IF(Q414&gt;0,S414*100/Q414,0)</f>
        <v>0</v>
      </c>
      <c r="U414" s="102">
        <f>IF(R414&gt;0,S414*100/R414,0)</f>
        <v>0</v>
      </c>
    </row>
    <row r="415" spans="1:21" ht="18.75" hidden="1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256">
        <f>L418+L421</f>
        <v>0</v>
      </c>
      <c r="M415" s="255">
        <f>M418+M421</f>
        <v>0</v>
      </c>
      <c r="N415" s="255">
        <f>N418+N421</f>
        <v>0</v>
      </c>
      <c r="O415" s="255">
        <f>IF(L415&gt;0,N415*100/L415,0)</f>
        <v>0</v>
      </c>
      <c r="P415" s="255">
        <f>IF(M415&gt;0,N415*100/M415,0)</f>
        <v>0</v>
      </c>
      <c r="Q415" s="255">
        <f ca="1">Q418+Q421</f>
        <v>0</v>
      </c>
      <c r="R415" s="255">
        <f ca="1">R418+R421</f>
        <v>0</v>
      </c>
      <c r="S415" s="255">
        <f ca="1">S418+S421</f>
        <v>0</v>
      </c>
      <c r="T415" s="255">
        <f ca="1">IF(Q415&gt;0,S415*100/Q415,0)</f>
        <v>0</v>
      </c>
      <c r="U415" s="255">
        <f ca="1">IF(R415&gt;0,S415*100/R415,0)</f>
        <v>0</v>
      </c>
    </row>
    <row r="416" spans="1:21" ht="19.5" hidden="1">
      <c r="A416" s="155"/>
      <c r="B416" s="188"/>
      <c r="C416" s="188"/>
      <c r="D416" s="608" t="s">
        <v>22</v>
      </c>
      <c r="E416" s="188"/>
      <c r="F416" s="188"/>
      <c r="G416" s="208"/>
      <c r="H416" s="368" t="s">
        <v>14</v>
      </c>
      <c r="I416" s="54"/>
      <c r="J416" s="54"/>
      <c r="K416" s="55"/>
      <c r="L416" s="256">
        <f>L417+L418</f>
        <v>0</v>
      </c>
      <c r="M416" s="255">
        <f>M417+M418</f>
        <v>0</v>
      </c>
      <c r="N416" s="255">
        <f>N417+N418</f>
        <v>0</v>
      </c>
      <c r="O416" s="255">
        <f>IF(L416&gt;0,N416*100/L416,0)</f>
        <v>0</v>
      </c>
      <c r="P416" s="255">
        <f>IF(M416&gt;0,N416*100/M416,0)</f>
        <v>0</v>
      </c>
      <c r="Q416" s="255">
        <f ca="1">Q417+Q418</f>
        <v>0</v>
      </c>
      <c r="R416" s="255">
        <f ca="1">R417+R418</f>
        <v>0</v>
      </c>
      <c r="S416" s="255">
        <f ca="1">S417+S418</f>
        <v>0</v>
      </c>
      <c r="T416" s="255">
        <f ca="1">IF(Q416&gt;0,S416*100/Q416,0)</f>
        <v>0</v>
      </c>
      <c r="U416" s="255">
        <f ca="1">IF(R416&gt;0,S416*100/R416,0)</f>
        <v>0</v>
      </c>
    </row>
    <row r="417" spans="1:21" ht="18.75" hidden="1">
      <c r="A417" s="155"/>
      <c r="B417" s="188"/>
      <c r="C417" s="188"/>
      <c r="D417" s="188"/>
      <c r="E417" s="358" t="s">
        <v>159</v>
      </c>
      <c r="F417" s="188"/>
      <c r="G417" s="208"/>
      <c r="H417" s="204" t="s">
        <v>14</v>
      </c>
      <c r="I417" s="54"/>
      <c r="J417" s="54"/>
      <c r="K417" s="55"/>
      <c r="L417" s="103">
        <v>0</v>
      </c>
      <c r="M417" s="102">
        <v>0</v>
      </c>
      <c r="N417" s="102">
        <v>0</v>
      </c>
      <c r="O417" s="102">
        <f>IF(L417&gt;0,N417*100/L417,0)</f>
        <v>0</v>
      </c>
      <c r="P417" s="102">
        <f>IF(M417&gt;0,N417*100/M417,0)</f>
        <v>0</v>
      </c>
      <c r="Q417" s="102">
        <v>0</v>
      </c>
      <c r="R417" s="102">
        <v>0</v>
      </c>
      <c r="S417" s="102">
        <v>0</v>
      </c>
      <c r="T417" s="102">
        <f>IF(Q417&gt;0,S417*100/Q417,0)</f>
        <v>0</v>
      </c>
      <c r="U417" s="102">
        <f>IF(R417&gt;0,S417*100/R417,0)</f>
        <v>0</v>
      </c>
    </row>
    <row r="418" spans="1:21" ht="18.75" hidden="1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256">
        <v>0</v>
      </c>
      <c r="M418" s="255">
        <v>0</v>
      </c>
      <c r="N418" s="255">
        <v>0</v>
      </c>
      <c r="O418" s="255">
        <f>IF(L418&gt;0,N418*100/L418,0)</f>
        <v>0</v>
      </c>
      <c r="P418" s="255">
        <f>IF(M418&gt;0,N418*100/M418,0)</f>
        <v>0</v>
      </c>
      <c r="Q418" s="255">
        <f ca="1">IFERROR(__xludf.DUMMYFUNCTION("IMPORTRANGE(""https://docs.google.com/spreadsheets/d/1ItG2mGa2ceCfYo0BwxsXqNm01IGEUdYcSSLTEv9YCik/edit?usp=sharing"",""เบิกจ่ายกองทุน!BH46"")"),0)</f>
        <v>0</v>
      </c>
      <c r="R418" s="255">
        <f ca="1">IFERROR(__xludf.DUMMYFUNCTION("IMPORTRANGE(""https://docs.google.com/spreadsheets/d/1ItG2mGa2ceCfYo0BwxsXqNm01IGEUdYcSSLTEv9YCik/edit?usp=sharing"",""เบิกจ่ายกองทุน!BI46"")"),0)</f>
        <v>0</v>
      </c>
      <c r="S418" s="255">
        <f ca="1">IFERROR(__xludf.DUMMYFUNCTION("IMPORTRANGE(""https://docs.google.com/spreadsheets/d/1ItG2mGa2ceCfYo0BwxsXqNm01IGEUdYcSSLTEv9YCik/edit?usp=sharing"",""เบิกจ่ายกองทุน!BJ46"")"),0)</f>
        <v>0</v>
      </c>
      <c r="T418" s="255">
        <f ca="1">IF(Q418&gt;0,S418*100/Q418,0)</f>
        <v>0</v>
      </c>
      <c r="U418" s="255">
        <f ca="1">IF(R418&gt;0,S418*100/R418,0)</f>
        <v>0</v>
      </c>
    </row>
    <row r="419" spans="1:21" ht="19.5" hidden="1">
      <c r="A419" s="155"/>
      <c r="B419" s="188"/>
      <c r="C419" s="188"/>
      <c r="D419" s="608" t="s">
        <v>23</v>
      </c>
      <c r="E419" s="188"/>
      <c r="F419" s="188"/>
      <c r="G419" s="208"/>
      <c r="H419" s="158" t="s">
        <v>14</v>
      </c>
      <c r="I419" s="54"/>
      <c r="J419" s="54"/>
      <c r="K419" s="55"/>
      <c r="L419" s="256">
        <f>L420+L421</f>
        <v>0</v>
      </c>
      <c r="M419" s="255">
        <f>M420+M421</f>
        <v>0</v>
      </c>
      <c r="N419" s="255">
        <f>N420+N421</f>
        <v>0</v>
      </c>
      <c r="O419" s="255">
        <f>IF(L419&gt;0,N419*100/L419,0)</f>
        <v>0</v>
      </c>
      <c r="P419" s="255">
        <f>IF(M419&gt;0,N419*100/M419,0)</f>
        <v>0</v>
      </c>
      <c r="Q419" s="255">
        <f>Q420+Q421</f>
        <v>0</v>
      </c>
      <c r="R419" s="255">
        <f>R420+R421</f>
        <v>0</v>
      </c>
      <c r="S419" s="255">
        <f>S420+S421</f>
        <v>0</v>
      </c>
      <c r="T419" s="255">
        <f>IF(Q419&gt;0,S419*100/Q419,0)</f>
        <v>0</v>
      </c>
      <c r="U419" s="255">
        <f>IF(R419&gt;0,S419*100/R419,0)</f>
        <v>0</v>
      </c>
    </row>
    <row r="420" spans="1:21" ht="18.75" hidden="1">
      <c r="A420" s="155"/>
      <c r="B420" s="188"/>
      <c r="C420" s="188"/>
      <c r="D420" s="188"/>
      <c r="E420" s="358" t="s">
        <v>20</v>
      </c>
      <c r="F420" s="188"/>
      <c r="G420" s="208"/>
      <c r="H420" s="204" t="s">
        <v>14</v>
      </c>
      <c r="I420" s="54"/>
      <c r="J420" s="54"/>
      <c r="K420" s="55"/>
      <c r="L420" s="103">
        <v>0</v>
      </c>
      <c r="M420" s="102">
        <v>0</v>
      </c>
      <c r="N420" s="102">
        <v>0</v>
      </c>
      <c r="O420" s="102">
        <f>IF(L420&gt;0,N420*100/L420,0)</f>
        <v>0</v>
      </c>
      <c r="P420" s="102">
        <f>IF(M420&gt;0,N420*100/M420,0)</f>
        <v>0</v>
      </c>
      <c r="Q420" s="102">
        <v>0</v>
      </c>
      <c r="R420" s="102">
        <v>0</v>
      </c>
      <c r="S420" s="102">
        <v>0</v>
      </c>
      <c r="T420" s="102">
        <f>IF(Q420&gt;0,S420*100/Q420,0)</f>
        <v>0</v>
      </c>
      <c r="U420" s="102">
        <f>IF(R420&gt;0,S420*100/R420,0)</f>
        <v>0</v>
      </c>
    </row>
    <row r="421" spans="1:21" ht="18.75" hidden="1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256">
        <v>0</v>
      </c>
      <c r="M421" s="255">
        <v>0</v>
      </c>
      <c r="N421" s="255">
        <v>0</v>
      </c>
      <c r="O421" s="255">
        <f>IF(L421&gt;0,N421*100/L421,0)</f>
        <v>0</v>
      </c>
      <c r="P421" s="255">
        <f>IF(M421&gt;0,N421*100/M421,0)</f>
        <v>0</v>
      </c>
      <c r="Q421" s="255">
        <v>0</v>
      </c>
      <c r="R421" s="255">
        <v>0</v>
      </c>
      <c r="S421" s="255">
        <v>0</v>
      </c>
      <c r="T421" s="255">
        <f>IF(Q421&gt;0,S421*100/Q421,0)</f>
        <v>0</v>
      </c>
      <c r="U421" s="255">
        <f>IF(R421&gt;0,S421*100/R421,0)</f>
        <v>0</v>
      </c>
    </row>
    <row r="422" spans="1:21" ht="19.5" hidden="1">
      <c r="A422" s="238"/>
      <c r="B422" s="188"/>
      <c r="C422" s="367" t="s">
        <v>18</v>
      </c>
      <c r="D422" s="607" t="s">
        <v>38</v>
      </c>
      <c r="E422" s="188"/>
      <c r="F422" s="188"/>
      <c r="G422" s="208"/>
      <c r="H422" s="208"/>
      <c r="I422" s="54"/>
      <c r="J422" s="54"/>
      <c r="K422" s="55"/>
      <c r="L422" s="62"/>
      <c r="M422" s="55"/>
      <c r="N422" s="55"/>
      <c r="O422" s="55"/>
      <c r="P422" s="55"/>
      <c r="Q422" s="55"/>
      <c r="R422" s="55"/>
      <c r="S422" s="55"/>
      <c r="T422" s="55"/>
      <c r="U422" s="55"/>
    </row>
    <row r="423" spans="1:21" ht="19.5" hidden="1">
      <c r="A423" s="238"/>
      <c r="B423" s="191" t="s">
        <v>161</v>
      </c>
      <c r="C423" s="188"/>
      <c r="D423" s="188"/>
      <c r="E423" s="188"/>
      <c r="F423" s="188"/>
      <c r="G423" s="208"/>
      <c r="H423" s="368" t="s">
        <v>46</v>
      </c>
      <c r="I423" s="373">
        <f ca="1">I440</f>
        <v>0</v>
      </c>
      <c r="J423" s="373">
        <f>J440</f>
        <v>0</v>
      </c>
      <c r="K423" s="540">
        <f ca="1">IF(I423&gt;0,J423*100/I423,0)</f>
        <v>0</v>
      </c>
      <c r="L423" s="62"/>
      <c r="M423" s="55"/>
      <c r="N423" s="55"/>
      <c r="O423" s="55"/>
      <c r="P423" s="55"/>
      <c r="Q423" s="55"/>
      <c r="R423" s="55"/>
      <c r="S423" s="55"/>
      <c r="T423" s="55"/>
      <c r="U423" s="55"/>
    </row>
    <row r="424" spans="1:21" ht="19.5" hidden="1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373">
        <f ca="1">IFERROR(__xludf.DUMMYFUNCTION("IMPORTRANGE(""https://docs.google.com/spreadsheets/d/1eHaY18a8A9IcSdp1K8H6x8fbOy06t2VsZHhMHf-1x7Y/edit?usp=sharing"",""แผน!HJ46"")"),0)</f>
        <v>0</v>
      </c>
      <c r="J424" s="373">
        <f>J426+J428+J430</f>
        <v>0</v>
      </c>
      <c r="K424" s="540">
        <f ca="1">IF(I424&gt;0,J424*100/I424,0)</f>
        <v>0</v>
      </c>
      <c r="L424" s="62"/>
      <c r="M424" s="55"/>
      <c r="N424" s="55"/>
      <c r="O424" s="55"/>
      <c r="P424" s="55"/>
      <c r="Q424" s="55"/>
      <c r="R424" s="55"/>
      <c r="S424" s="55"/>
      <c r="T424" s="55"/>
      <c r="U424" s="55"/>
    </row>
    <row r="425" spans="1:21" ht="19.5" hidden="1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373">
        <f ca="1">IFERROR(__xludf.DUMMYFUNCTION("IMPORTRANGE(""https://docs.google.com/spreadsheets/d/1eHaY18a8A9IcSdp1K8H6x8fbOy06t2VsZHhMHf-1x7Y/edit?usp=sharing"",""แผน!HK46"")"),0)</f>
        <v>0</v>
      </c>
      <c r="J425" s="373">
        <f>J427+J429+J431</f>
        <v>0</v>
      </c>
      <c r="K425" s="540">
        <f ca="1">IF(I425&gt;0,J425*100/I425,0)</f>
        <v>0</v>
      </c>
      <c r="L425" s="62"/>
      <c r="M425" s="55"/>
      <c r="N425" s="55"/>
      <c r="O425" s="55"/>
      <c r="P425" s="55"/>
      <c r="Q425" s="55"/>
      <c r="R425" s="55"/>
      <c r="S425" s="55"/>
      <c r="T425" s="55"/>
      <c r="U425" s="55"/>
    </row>
    <row r="426" spans="1:21" ht="18.75" hidden="1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54"/>
      <c r="K426" s="55"/>
      <c r="L426" s="62"/>
      <c r="M426" s="55"/>
      <c r="N426" s="55"/>
      <c r="O426" s="55"/>
      <c r="P426" s="55"/>
      <c r="Q426" s="55"/>
      <c r="R426" s="55"/>
      <c r="S426" s="55"/>
      <c r="T426" s="55"/>
      <c r="U426" s="55"/>
    </row>
    <row r="427" spans="1:21" ht="18.75" hidden="1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54"/>
      <c r="K427" s="55"/>
      <c r="L427" s="62"/>
      <c r="M427" s="55"/>
      <c r="N427" s="55"/>
      <c r="O427" s="55"/>
      <c r="P427" s="55"/>
      <c r="Q427" s="55"/>
      <c r="R427" s="55"/>
      <c r="S427" s="55"/>
      <c r="T427" s="55"/>
      <c r="U427" s="55"/>
    </row>
    <row r="428" spans="1:21" ht="18.75" hidden="1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54"/>
      <c r="K428" s="55"/>
      <c r="L428" s="62"/>
      <c r="M428" s="55"/>
      <c r="N428" s="55"/>
      <c r="O428" s="55"/>
      <c r="P428" s="55"/>
      <c r="Q428" s="55"/>
      <c r="R428" s="55"/>
      <c r="S428" s="55"/>
      <c r="T428" s="55"/>
      <c r="U428" s="55"/>
    </row>
    <row r="429" spans="1:21" ht="18.75" hidden="1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54"/>
      <c r="K429" s="55"/>
      <c r="L429" s="62"/>
      <c r="M429" s="55"/>
      <c r="N429" s="55"/>
      <c r="O429" s="55"/>
      <c r="P429" s="55"/>
      <c r="Q429" s="55"/>
      <c r="R429" s="55"/>
      <c r="S429" s="55"/>
      <c r="T429" s="55"/>
      <c r="U429" s="55"/>
    </row>
    <row r="430" spans="1:21" ht="18.75" hidden="1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54"/>
      <c r="K430" s="55"/>
      <c r="L430" s="62"/>
      <c r="M430" s="55"/>
      <c r="N430" s="55"/>
      <c r="O430" s="55"/>
      <c r="P430" s="55"/>
      <c r="Q430" s="55"/>
      <c r="R430" s="55"/>
      <c r="S430" s="55"/>
      <c r="T430" s="55"/>
      <c r="U430" s="55"/>
    </row>
    <row r="431" spans="1:21" ht="18.75" hidden="1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54"/>
      <c r="K431" s="55"/>
      <c r="L431" s="62"/>
      <c r="M431" s="55"/>
      <c r="N431" s="55"/>
      <c r="O431" s="55"/>
      <c r="P431" s="55"/>
      <c r="Q431" s="55"/>
      <c r="R431" s="55"/>
      <c r="S431" s="55"/>
      <c r="T431" s="55"/>
      <c r="U431" s="55"/>
    </row>
    <row r="432" spans="1:21" ht="19.5" hidden="1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373">
        <f ca="1">IFERROR(__xludf.DUMMYFUNCTION("IMPORTRANGE(""https://docs.google.com/spreadsheets/d/1eHaY18a8A9IcSdp1K8H6x8fbOy06t2VsZHhMHf-1x7Y/edit?usp=sharing"",""แผน!HJ46"")"),0)</f>
        <v>0</v>
      </c>
      <c r="J432" s="373">
        <f>J434+J436+J438</f>
        <v>0</v>
      </c>
      <c r="K432" s="540">
        <f ca="1">IF(I432&gt;0,J432*100/I432,0)</f>
        <v>0</v>
      </c>
      <c r="L432" s="62"/>
      <c r="M432" s="55"/>
      <c r="N432" s="55"/>
      <c r="O432" s="55"/>
      <c r="P432" s="55"/>
      <c r="Q432" s="55"/>
      <c r="R432" s="55"/>
      <c r="S432" s="55"/>
      <c r="T432" s="55"/>
      <c r="U432" s="55"/>
    </row>
    <row r="433" spans="1:21" ht="19.5" hidden="1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373">
        <f ca="1">IFERROR(__xludf.DUMMYFUNCTION("IMPORTRANGE(""https://docs.google.com/spreadsheets/d/1eHaY18a8A9IcSdp1K8H6x8fbOy06t2VsZHhMHf-1x7Y/edit?usp=sharing"",""แผน!HK46"")"),0)</f>
        <v>0</v>
      </c>
      <c r="J433" s="373">
        <f>J435+J437+J439</f>
        <v>0</v>
      </c>
      <c r="K433" s="540">
        <f ca="1">IF(I433&gt;0,J433*100/I433,0)</f>
        <v>0</v>
      </c>
      <c r="L433" s="62"/>
      <c r="M433" s="55"/>
      <c r="N433" s="55"/>
      <c r="O433" s="55"/>
      <c r="P433" s="55"/>
      <c r="Q433" s="55"/>
      <c r="R433" s="55"/>
      <c r="S433" s="55"/>
      <c r="T433" s="55"/>
      <c r="U433" s="55"/>
    </row>
    <row r="434" spans="1:21" ht="18.75" hidden="1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54"/>
      <c r="K434" s="55"/>
      <c r="L434" s="62"/>
      <c r="M434" s="55"/>
      <c r="N434" s="55"/>
      <c r="O434" s="55"/>
      <c r="P434" s="55"/>
      <c r="Q434" s="55"/>
      <c r="R434" s="55"/>
      <c r="S434" s="55"/>
      <c r="T434" s="55"/>
      <c r="U434" s="55"/>
    </row>
    <row r="435" spans="1:21" ht="18.75" hidden="1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54"/>
      <c r="K435" s="55"/>
      <c r="L435" s="62"/>
      <c r="M435" s="55"/>
      <c r="N435" s="55"/>
      <c r="O435" s="55"/>
      <c r="P435" s="55"/>
      <c r="Q435" s="55"/>
      <c r="R435" s="55"/>
      <c r="S435" s="55"/>
      <c r="T435" s="55"/>
      <c r="U435" s="55"/>
    </row>
    <row r="436" spans="1:21" ht="18.75" hidden="1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54"/>
      <c r="K436" s="55"/>
      <c r="L436" s="62"/>
      <c r="M436" s="55"/>
      <c r="N436" s="55"/>
      <c r="O436" s="55"/>
      <c r="P436" s="55"/>
      <c r="Q436" s="55"/>
      <c r="R436" s="55"/>
      <c r="S436" s="55"/>
      <c r="T436" s="55"/>
      <c r="U436" s="55"/>
    </row>
    <row r="437" spans="1:21" ht="18.75" hidden="1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54"/>
      <c r="K437" s="55"/>
      <c r="L437" s="62"/>
      <c r="M437" s="55"/>
      <c r="N437" s="55"/>
      <c r="O437" s="55"/>
      <c r="P437" s="55"/>
      <c r="Q437" s="55"/>
      <c r="R437" s="55"/>
      <c r="S437" s="55"/>
      <c r="T437" s="55"/>
      <c r="U437" s="55"/>
    </row>
    <row r="438" spans="1:21" ht="18.75" hidden="1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54"/>
      <c r="K438" s="55"/>
      <c r="L438" s="62"/>
      <c r="M438" s="55"/>
      <c r="N438" s="55"/>
      <c r="O438" s="55"/>
      <c r="P438" s="55"/>
      <c r="Q438" s="55"/>
      <c r="R438" s="55"/>
      <c r="S438" s="55"/>
      <c r="T438" s="55"/>
      <c r="U438" s="55"/>
    </row>
    <row r="439" spans="1:21" ht="18.75" hidden="1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54"/>
      <c r="K439" s="55"/>
      <c r="L439" s="62"/>
      <c r="M439" s="55"/>
      <c r="N439" s="55"/>
      <c r="O439" s="55"/>
      <c r="P439" s="55"/>
      <c r="Q439" s="55"/>
      <c r="R439" s="55"/>
      <c r="S439" s="55"/>
      <c r="T439" s="55"/>
      <c r="U439" s="55"/>
    </row>
    <row r="440" spans="1:21" ht="19.5" hidden="1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373">
        <f ca="1">IFERROR(__xludf.DUMMYFUNCTION("IMPORTRANGE(""https://docs.google.com/spreadsheets/d/1eHaY18a8A9IcSdp1K8H6x8fbOy06t2VsZHhMHf-1x7Y/edit?usp=sharing"",""แผน!HJ46"")"),0)</f>
        <v>0</v>
      </c>
      <c r="J440" s="373">
        <f>J442+J444+J446+J452+J454</f>
        <v>0</v>
      </c>
      <c r="K440" s="540">
        <f ca="1">IF(I440&gt;0,J440*100/I440,0)</f>
        <v>0</v>
      </c>
      <c r="L440" s="62"/>
      <c r="M440" s="55"/>
      <c r="N440" s="55"/>
      <c r="O440" s="55"/>
      <c r="P440" s="55"/>
      <c r="Q440" s="55"/>
      <c r="R440" s="55"/>
      <c r="S440" s="55"/>
      <c r="T440" s="55"/>
      <c r="U440" s="55"/>
    </row>
    <row r="441" spans="1:21" ht="19.5" hidden="1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373">
        <f ca="1">IFERROR(__xludf.DUMMYFUNCTION("IMPORTRANGE(""https://docs.google.com/spreadsheets/d/1eHaY18a8A9IcSdp1K8H6x8fbOy06t2VsZHhMHf-1x7Y/edit?usp=sharing"",""แผน!HK46"")"),0)</f>
        <v>0</v>
      </c>
      <c r="J441" s="373">
        <f>J443+J445+J447+J453+J455</f>
        <v>0</v>
      </c>
      <c r="K441" s="540">
        <f ca="1">IF(I441&gt;0,J441*100/I441,0)</f>
        <v>0</v>
      </c>
      <c r="L441" s="62"/>
      <c r="M441" s="55"/>
      <c r="N441" s="55"/>
      <c r="O441" s="55"/>
      <c r="P441" s="55"/>
      <c r="Q441" s="55"/>
      <c r="R441" s="55"/>
      <c r="S441" s="55"/>
      <c r="T441" s="55"/>
      <c r="U441" s="55"/>
    </row>
    <row r="442" spans="1:21" ht="18.75" hidden="1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54"/>
      <c r="K442" s="55"/>
      <c r="L442" s="62"/>
      <c r="M442" s="55"/>
      <c r="N442" s="55"/>
      <c r="O442" s="55"/>
      <c r="P442" s="55"/>
      <c r="Q442" s="55"/>
      <c r="R442" s="55"/>
      <c r="S442" s="55"/>
      <c r="T442" s="55"/>
      <c r="U442" s="55"/>
    </row>
    <row r="443" spans="1:21" ht="18.75" hidden="1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54"/>
      <c r="K443" s="55"/>
      <c r="L443" s="62"/>
      <c r="M443" s="55"/>
      <c r="N443" s="55"/>
      <c r="O443" s="55"/>
      <c r="P443" s="55"/>
      <c r="Q443" s="55"/>
      <c r="R443" s="55"/>
      <c r="S443" s="55"/>
      <c r="T443" s="55"/>
      <c r="U443" s="55"/>
    </row>
    <row r="444" spans="1:21" ht="18.75" hidden="1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54"/>
      <c r="K444" s="55"/>
      <c r="L444" s="62"/>
      <c r="M444" s="55"/>
      <c r="N444" s="55"/>
      <c r="O444" s="55"/>
      <c r="P444" s="55"/>
      <c r="Q444" s="55"/>
      <c r="R444" s="55"/>
      <c r="S444" s="55"/>
      <c r="T444" s="55"/>
      <c r="U444" s="55"/>
    </row>
    <row r="445" spans="1:21" ht="18.75" hidden="1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54"/>
      <c r="K445" s="55"/>
      <c r="L445" s="62"/>
      <c r="M445" s="55"/>
      <c r="N445" s="55"/>
      <c r="O445" s="55"/>
      <c r="P445" s="55"/>
      <c r="Q445" s="55"/>
      <c r="R445" s="55"/>
      <c r="S445" s="55"/>
      <c r="T445" s="55"/>
      <c r="U445" s="55"/>
    </row>
    <row r="446" spans="1:21" ht="19.5" hidden="1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373">
        <f>J448+J450</f>
        <v>0</v>
      </c>
      <c r="K446" s="55"/>
      <c r="L446" s="62"/>
      <c r="M446" s="55"/>
      <c r="N446" s="55"/>
      <c r="O446" s="55"/>
      <c r="P446" s="55"/>
      <c r="Q446" s="55"/>
      <c r="R446" s="55"/>
      <c r="S446" s="55"/>
      <c r="T446" s="55"/>
      <c r="U446" s="55"/>
    </row>
    <row r="447" spans="1:21" ht="19.5" hidden="1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373">
        <f>J449+J451</f>
        <v>0</v>
      </c>
      <c r="K447" s="55"/>
      <c r="L447" s="62"/>
      <c r="M447" s="55"/>
      <c r="N447" s="55"/>
      <c r="O447" s="55"/>
      <c r="P447" s="55"/>
      <c r="Q447" s="55"/>
      <c r="R447" s="55"/>
      <c r="S447" s="55"/>
      <c r="T447" s="55"/>
      <c r="U447" s="55"/>
    </row>
    <row r="448" spans="1:21" ht="18.75" hidden="1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54"/>
      <c r="K448" s="55"/>
      <c r="L448" s="62"/>
      <c r="M448" s="55"/>
      <c r="N448" s="55"/>
      <c r="O448" s="55"/>
      <c r="P448" s="55"/>
      <c r="Q448" s="55"/>
      <c r="R448" s="55"/>
      <c r="S448" s="55"/>
      <c r="T448" s="55"/>
      <c r="U448" s="55"/>
    </row>
    <row r="449" spans="1:21" ht="18.75" hidden="1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54"/>
      <c r="K449" s="55"/>
      <c r="L449" s="62"/>
      <c r="M449" s="55"/>
      <c r="N449" s="55"/>
      <c r="O449" s="55"/>
      <c r="P449" s="55"/>
      <c r="Q449" s="55"/>
      <c r="R449" s="55"/>
      <c r="S449" s="55"/>
      <c r="T449" s="55"/>
      <c r="U449" s="55"/>
    </row>
    <row r="450" spans="1:21" ht="18.75" hidden="1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54"/>
      <c r="K450" s="55"/>
      <c r="L450" s="62"/>
      <c r="M450" s="55"/>
      <c r="N450" s="55"/>
      <c r="O450" s="55"/>
      <c r="P450" s="55"/>
      <c r="Q450" s="55"/>
      <c r="R450" s="55"/>
      <c r="S450" s="55"/>
      <c r="T450" s="55"/>
      <c r="U450" s="55"/>
    </row>
    <row r="451" spans="1:21" ht="18.75" hidden="1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54"/>
      <c r="K451" s="55"/>
      <c r="L451" s="62"/>
      <c r="M451" s="55"/>
      <c r="N451" s="55"/>
      <c r="O451" s="55"/>
      <c r="P451" s="55"/>
      <c r="Q451" s="55"/>
      <c r="R451" s="55"/>
      <c r="S451" s="55"/>
      <c r="T451" s="55"/>
      <c r="U451" s="55"/>
    </row>
    <row r="452" spans="1:21" ht="18.75" hidden="1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54"/>
      <c r="K452" s="55"/>
      <c r="L452" s="62"/>
      <c r="M452" s="55"/>
      <c r="N452" s="55"/>
      <c r="O452" s="55"/>
      <c r="P452" s="55"/>
      <c r="Q452" s="55"/>
      <c r="R452" s="55"/>
      <c r="S452" s="55"/>
      <c r="T452" s="55"/>
      <c r="U452" s="55"/>
    </row>
    <row r="453" spans="1:21" ht="18.75" hidden="1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54"/>
      <c r="K453" s="55"/>
      <c r="L453" s="62"/>
      <c r="M453" s="55"/>
      <c r="N453" s="55"/>
      <c r="O453" s="55"/>
      <c r="P453" s="55"/>
      <c r="Q453" s="55"/>
      <c r="R453" s="55"/>
      <c r="S453" s="55"/>
      <c r="T453" s="55"/>
      <c r="U453" s="55"/>
    </row>
    <row r="454" spans="1:21" ht="18.75" hidden="1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606"/>
      <c r="K454" s="55"/>
      <c r="L454" s="62"/>
      <c r="M454" s="55"/>
      <c r="N454" s="55"/>
      <c r="O454" s="55"/>
      <c r="P454" s="55"/>
      <c r="Q454" s="55"/>
      <c r="R454" s="55"/>
      <c r="S454" s="55"/>
      <c r="T454" s="55"/>
      <c r="U454" s="55"/>
    </row>
    <row r="455" spans="1:21" ht="18.75" hidden="1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54"/>
      <c r="K455" s="55"/>
      <c r="L455" s="62"/>
      <c r="M455" s="55"/>
      <c r="N455" s="55"/>
      <c r="O455" s="55"/>
      <c r="P455" s="55"/>
      <c r="Q455" s="55"/>
      <c r="R455" s="55"/>
      <c r="S455" s="55"/>
      <c r="T455" s="55"/>
      <c r="U455" s="55"/>
    </row>
    <row r="456" spans="1:21" ht="19.5" hidden="1">
      <c r="A456" s="238"/>
      <c r="B456" s="191" t="s">
        <v>178</v>
      </c>
      <c r="C456" s="188"/>
      <c r="D456" s="188"/>
      <c r="E456" s="188"/>
      <c r="F456" s="188"/>
      <c r="G456" s="208"/>
      <c r="H456" s="368" t="s">
        <v>46</v>
      </c>
      <c r="I456" s="373">
        <f ca="1">I457</f>
        <v>0</v>
      </c>
      <c r="J456" s="373">
        <f>J457</f>
        <v>0</v>
      </c>
      <c r="K456" s="540">
        <f ca="1">IF(I456&gt;0,J456*100/I456,0)</f>
        <v>0</v>
      </c>
      <c r="L456" s="62"/>
      <c r="M456" s="55"/>
      <c r="N456" s="55"/>
      <c r="O456" s="55"/>
      <c r="P456" s="55"/>
      <c r="Q456" s="55"/>
      <c r="R456" s="55"/>
      <c r="S456" s="55"/>
      <c r="T456" s="55"/>
      <c r="U456" s="55"/>
    </row>
    <row r="457" spans="1:21" ht="19.5" hidden="1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373">
        <f ca="1">IFERROR(__xludf.DUMMYFUNCTION("IMPORTRANGE(""https://docs.google.com/spreadsheets/d/1eHaY18a8A9IcSdp1K8H6x8fbOy06t2VsZHhMHf-1x7Y/edit?usp=sharing"",""แผน!HL46"")"),0)</f>
        <v>0</v>
      </c>
      <c r="J457" s="373">
        <f>J459+J467+J473</f>
        <v>0</v>
      </c>
      <c r="K457" s="540">
        <f ca="1">IF(I457&gt;0,J457*100/I457,0)</f>
        <v>0</v>
      </c>
      <c r="L457" s="62"/>
      <c r="M457" s="55"/>
      <c r="N457" s="55"/>
      <c r="O457" s="55"/>
      <c r="P457" s="55"/>
      <c r="Q457" s="55"/>
      <c r="R457" s="55"/>
      <c r="S457" s="55"/>
      <c r="T457" s="55"/>
      <c r="U457" s="55"/>
    </row>
    <row r="458" spans="1:21" ht="19.5" hidden="1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373">
        <f ca="1">IFERROR(__xludf.DUMMYFUNCTION("IMPORTRANGE(""https://docs.google.com/spreadsheets/d/1eHaY18a8A9IcSdp1K8H6x8fbOy06t2VsZHhMHf-1x7Y/edit?usp=sharing"",""แผน!HM46"")"),0)</f>
        <v>0</v>
      </c>
      <c r="J458" s="373">
        <f>J460+J468+J474</f>
        <v>0</v>
      </c>
      <c r="K458" s="540">
        <f ca="1">IF(I458&gt;0,J458*100/I458,0)</f>
        <v>0</v>
      </c>
      <c r="L458" s="62"/>
      <c r="M458" s="55"/>
      <c r="N458" s="55"/>
      <c r="O458" s="55"/>
      <c r="P458" s="55"/>
      <c r="Q458" s="55"/>
      <c r="R458" s="55"/>
      <c r="S458" s="55"/>
      <c r="T458" s="55"/>
      <c r="U458" s="55"/>
    </row>
    <row r="459" spans="1:21" ht="18.75" hidden="1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212">
        <f>J461+J463</f>
        <v>0</v>
      </c>
      <c r="K459" s="55"/>
      <c r="L459" s="62"/>
      <c r="M459" s="55"/>
      <c r="N459" s="55"/>
      <c r="O459" s="55"/>
      <c r="P459" s="55"/>
      <c r="Q459" s="55"/>
      <c r="R459" s="55"/>
      <c r="S459" s="55"/>
      <c r="T459" s="55"/>
      <c r="U459" s="55"/>
    </row>
    <row r="460" spans="1:21" ht="18.75" hidden="1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212">
        <f>J462+J464</f>
        <v>0</v>
      </c>
      <c r="K460" s="55"/>
      <c r="L460" s="62"/>
      <c r="M460" s="55"/>
      <c r="N460" s="55"/>
      <c r="O460" s="55"/>
      <c r="P460" s="55"/>
      <c r="Q460" s="55"/>
      <c r="R460" s="55"/>
      <c r="S460" s="55"/>
      <c r="T460" s="55"/>
      <c r="U460" s="55"/>
    </row>
    <row r="461" spans="1:21" ht="18.75" hidden="1">
      <c r="A461" s="238"/>
      <c r="B461" s="188"/>
      <c r="C461" s="188"/>
      <c r="D461" s="371" t="s">
        <v>181</v>
      </c>
      <c r="E461" s="188"/>
      <c r="F461" s="188"/>
      <c r="G461" s="208"/>
      <c r="H461" s="161" t="s">
        <v>46</v>
      </c>
      <c r="I461" s="54"/>
      <c r="J461" s="54"/>
      <c r="K461" s="55"/>
      <c r="L461" s="62"/>
      <c r="M461" s="55"/>
      <c r="N461" s="55"/>
      <c r="O461" s="55"/>
      <c r="P461" s="55"/>
      <c r="Q461" s="55"/>
      <c r="R461" s="55"/>
      <c r="S461" s="55"/>
      <c r="T461" s="55"/>
      <c r="U461" s="55"/>
    </row>
    <row r="462" spans="1:21" ht="18.75" hidden="1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54"/>
      <c r="K462" s="55"/>
      <c r="L462" s="62"/>
      <c r="M462" s="55"/>
      <c r="N462" s="55"/>
      <c r="O462" s="55"/>
      <c r="P462" s="55"/>
      <c r="Q462" s="55"/>
      <c r="R462" s="55"/>
      <c r="S462" s="55"/>
      <c r="T462" s="55"/>
      <c r="U462" s="55"/>
    </row>
    <row r="463" spans="1:21" ht="18.75" hidden="1">
      <c r="A463" s="238"/>
      <c r="B463" s="188"/>
      <c r="C463" s="188"/>
      <c r="D463" s="371" t="s">
        <v>182</v>
      </c>
      <c r="E463" s="188"/>
      <c r="F463" s="188"/>
      <c r="G463" s="208"/>
      <c r="H463" s="161" t="s">
        <v>46</v>
      </c>
      <c r="I463" s="54"/>
      <c r="J463" s="54"/>
      <c r="K463" s="55"/>
      <c r="L463" s="62"/>
      <c r="M463" s="55"/>
      <c r="N463" s="55"/>
      <c r="O463" s="55"/>
      <c r="P463" s="55"/>
      <c r="Q463" s="55"/>
      <c r="R463" s="55"/>
      <c r="S463" s="55"/>
      <c r="T463" s="55"/>
      <c r="U463" s="55"/>
    </row>
    <row r="464" spans="1:21" ht="18.75" hidden="1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54"/>
      <c r="K464" s="55"/>
      <c r="L464" s="62"/>
      <c r="M464" s="55"/>
      <c r="N464" s="55"/>
      <c r="O464" s="55"/>
      <c r="P464" s="55"/>
      <c r="Q464" s="55"/>
      <c r="R464" s="55"/>
      <c r="S464" s="55"/>
      <c r="T464" s="55"/>
      <c r="U464" s="55"/>
    </row>
    <row r="465" spans="1:21" ht="18.75" hidden="1">
      <c r="A465" s="238"/>
      <c r="B465" s="188"/>
      <c r="C465" s="188"/>
      <c r="D465" s="371" t="s">
        <v>183</v>
      </c>
      <c r="E465" s="188"/>
      <c r="F465" s="188"/>
      <c r="G465" s="208"/>
      <c r="H465" s="161" t="s">
        <v>46</v>
      </c>
      <c r="I465" s="54"/>
      <c r="J465" s="54"/>
      <c r="K465" s="55"/>
      <c r="L465" s="62"/>
      <c r="M465" s="55"/>
      <c r="N465" s="55"/>
      <c r="O465" s="55"/>
      <c r="P465" s="55"/>
      <c r="Q465" s="55"/>
      <c r="R465" s="55"/>
      <c r="S465" s="55"/>
      <c r="T465" s="55"/>
      <c r="U465" s="55"/>
    </row>
    <row r="466" spans="1:21" ht="18.75" hidden="1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54"/>
      <c r="K466" s="55"/>
      <c r="L466" s="62"/>
      <c r="M466" s="55"/>
      <c r="N466" s="55"/>
      <c r="O466" s="55"/>
      <c r="P466" s="55"/>
      <c r="Q466" s="55"/>
      <c r="R466" s="55"/>
      <c r="S466" s="55"/>
      <c r="T466" s="55"/>
      <c r="U466" s="55"/>
    </row>
    <row r="467" spans="1:21" ht="18.75" hidden="1">
      <c r="A467" s="238"/>
      <c r="B467" s="188"/>
      <c r="C467" s="371" t="s">
        <v>184</v>
      </c>
      <c r="D467" s="188"/>
      <c r="E467" s="188"/>
      <c r="F467" s="188"/>
      <c r="G467" s="208"/>
      <c r="H467" s="161" t="s">
        <v>46</v>
      </c>
      <c r="I467" s="54"/>
      <c r="J467" s="212">
        <f>J469+J471</f>
        <v>0</v>
      </c>
      <c r="K467" s="55"/>
      <c r="L467" s="62"/>
      <c r="M467" s="55"/>
      <c r="N467" s="55"/>
      <c r="O467" s="55"/>
      <c r="P467" s="55"/>
      <c r="Q467" s="55"/>
      <c r="R467" s="55"/>
      <c r="S467" s="55"/>
      <c r="T467" s="55"/>
      <c r="U467" s="55"/>
    </row>
    <row r="468" spans="1:21" ht="18.75" hidden="1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212">
        <f>J470+J472</f>
        <v>0</v>
      </c>
      <c r="K468" s="55"/>
      <c r="L468" s="62"/>
      <c r="M468" s="55"/>
      <c r="N468" s="55"/>
      <c r="O468" s="55"/>
      <c r="P468" s="55"/>
      <c r="Q468" s="55"/>
      <c r="R468" s="55"/>
      <c r="S468" s="55"/>
      <c r="T468" s="55"/>
      <c r="U468" s="55"/>
    </row>
    <row r="469" spans="1:21" ht="18.75" hidden="1">
      <c r="A469" s="238"/>
      <c r="B469" s="188"/>
      <c r="C469" s="188"/>
      <c r="D469" s="371" t="s">
        <v>185</v>
      </c>
      <c r="E469" s="188"/>
      <c r="F469" s="188"/>
      <c r="G469" s="208"/>
      <c r="H469" s="161" t="s">
        <v>46</v>
      </c>
      <c r="I469" s="54"/>
      <c r="J469" s="54"/>
      <c r="K469" s="55"/>
      <c r="L469" s="62"/>
      <c r="M469" s="55"/>
      <c r="N469" s="55"/>
      <c r="O469" s="55"/>
      <c r="P469" s="55"/>
      <c r="Q469" s="55"/>
      <c r="R469" s="55"/>
      <c r="S469" s="55"/>
      <c r="T469" s="55"/>
      <c r="U469" s="55"/>
    </row>
    <row r="470" spans="1:21" ht="18.75" hidden="1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54"/>
      <c r="K470" s="55"/>
      <c r="L470" s="62"/>
      <c r="M470" s="55"/>
      <c r="N470" s="55"/>
      <c r="O470" s="55"/>
      <c r="P470" s="55"/>
      <c r="Q470" s="55"/>
      <c r="R470" s="55"/>
      <c r="S470" s="55"/>
      <c r="T470" s="55"/>
      <c r="U470" s="55"/>
    </row>
    <row r="471" spans="1:21" ht="18.75" hidden="1">
      <c r="A471" s="238"/>
      <c r="B471" s="188"/>
      <c r="C471" s="188"/>
      <c r="D471" s="371" t="s">
        <v>186</v>
      </c>
      <c r="E471" s="188"/>
      <c r="F471" s="188"/>
      <c r="G471" s="208"/>
      <c r="H471" s="161" t="s">
        <v>46</v>
      </c>
      <c r="I471" s="54"/>
      <c r="J471" s="54"/>
      <c r="K471" s="55"/>
      <c r="L471" s="62"/>
      <c r="M471" s="55"/>
      <c r="N471" s="55"/>
      <c r="O471" s="55"/>
      <c r="P471" s="55"/>
      <c r="Q471" s="55"/>
      <c r="R471" s="55"/>
      <c r="S471" s="55"/>
      <c r="T471" s="55"/>
      <c r="U471" s="55"/>
    </row>
    <row r="472" spans="1:21" ht="18.75" hidden="1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54"/>
      <c r="K472" s="55"/>
      <c r="L472" s="62"/>
      <c r="M472" s="55"/>
      <c r="N472" s="55"/>
      <c r="O472" s="55"/>
      <c r="P472" s="55"/>
      <c r="Q472" s="55"/>
      <c r="R472" s="55"/>
      <c r="S472" s="55"/>
      <c r="T472" s="55"/>
      <c r="U472" s="55"/>
    </row>
    <row r="473" spans="1:21" ht="18.75" hidden="1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54"/>
      <c r="K473" s="55"/>
      <c r="L473" s="62"/>
      <c r="M473" s="55"/>
      <c r="N473" s="55"/>
      <c r="O473" s="55"/>
      <c r="P473" s="55"/>
      <c r="Q473" s="55"/>
      <c r="R473" s="55"/>
      <c r="S473" s="55"/>
      <c r="T473" s="55"/>
      <c r="U473" s="55"/>
    </row>
    <row r="474" spans="1:21" ht="18.75" hidden="1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54"/>
      <c r="K474" s="55"/>
      <c r="L474" s="62"/>
      <c r="M474" s="55"/>
      <c r="N474" s="55"/>
      <c r="O474" s="55"/>
      <c r="P474" s="55"/>
      <c r="Q474" s="55"/>
      <c r="R474" s="55"/>
      <c r="S474" s="55"/>
      <c r="T474" s="55"/>
      <c r="U474" s="55"/>
    </row>
    <row r="475" spans="1:21" ht="19.5" hidden="1">
      <c r="A475" s="238"/>
      <c r="B475" s="372" t="s">
        <v>188</v>
      </c>
      <c r="C475" s="188"/>
      <c r="D475" s="188"/>
      <c r="E475" s="188"/>
      <c r="F475" s="188"/>
      <c r="G475" s="208"/>
      <c r="H475" s="158" t="s">
        <v>46</v>
      </c>
      <c r="I475" s="373">
        <v>0</v>
      </c>
      <c r="J475" s="373">
        <f>J478+J480</f>
        <v>0</v>
      </c>
      <c r="K475" s="540">
        <f>IF(I475&gt;0,J475*100/I475,0)</f>
        <v>0</v>
      </c>
      <c r="L475" s="62"/>
      <c r="M475" s="55"/>
      <c r="N475" s="55"/>
      <c r="O475" s="55"/>
      <c r="P475" s="55"/>
      <c r="Q475" s="55"/>
      <c r="R475" s="55"/>
      <c r="S475" s="55"/>
      <c r="T475" s="55"/>
      <c r="U475" s="55"/>
    </row>
    <row r="476" spans="1:21" ht="19.5" hidden="1">
      <c r="A476" s="238"/>
      <c r="B476" s="188"/>
      <c r="C476" s="191" t="s">
        <v>189</v>
      </c>
      <c r="D476" s="188"/>
      <c r="E476" s="188"/>
      <c r="F476" s="188"/>
      <c r="G476" s="208"/>
      <c r="H476" s="158" t="s">
        <v>46</v>
      </c>
      <c r="I476" s="373">
        <v>0</v>
      </c>
      <c r="J476" s="373">
        <f>J478+J480</f>
        <v>0</v>
      </c>
      <c r="K476" s="540">
        <f>IF(I476&gt;0,J476*100/I476,0)</f>
        <v>0</v>
      </c>
      <c r="L476" s="62"/>
      <c r="M476" s="55"/>
      <c r="N476" s="55"/>
      <c r="O476" s="55"/>
      <c r="P476" s="55"/>
      <c r="Q476" s="55"/>
      <c r="R476" s="55"/>
      <c r="S476" s="55"/>
      <c r="T476" s="55"/>
      <c r="U476" s="55"/>
    </row>
    <row r="477" spans="1:21" ht="19.5" hidden="1">
      <c r="A477" s="238"/>
      <c r="B477" s="188"/>
      <c r="C477" s="239" t="s">
        <v>190</v>
      </c>
      <c r="D477" s="188"/>
      <c r="E477" s="188"/>
      <c r="F477" s="188"/>
      <c r="G477" s="208"/>
      <c r="H477" s="158" t="s">
        <v>34</v>
      </c>
      <c r="I477" s="373">
        <v>0</v>
      </c>
      <c r="J477" s="373">
        <f>J479+J481</f>
        <v>0</v>
      </c>
      <c r="K477" s="540">
        <f>IF(I477&gt;0,J477*100/I477,0)</f>
        <v>0</v>
      </c>
      <c r="L477" s="62"/>
      <c r="M477" s="55"/>
      <c r="N477" s="55"/>
      <c r="O477" s="55"/>
      <c r="P477" s="55"/>
      <c r="Q477" s="55"/>
      <c r="R477" s="55"/>
      <c r="S477" s="55"/>
      <c r="T477" s="55"/>
      <c r="U477" s="55"/>
    </row>
    <row r="478" spans="1:21" ht="18.75" hidden="1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54"/>
      <c r="K478" s="55"/>
      <c r="L478" s="62"/>
      <c r="M478" s="55"/>
      <c r="N478" s="55"/>
      <c r="O478" s="55"/>
      <c r="P478" s="55"/>
      <c r="Q478" s="55"/>
      <c r="R478" s="55"/>
      <c r="S478" s="55"/>
      <c r="T478" s="55"/>
      <c r="U478" s="55"/>
    </row>
    <row r="479" spans="1:21" ht="18.75" hidden="1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54"/>
      <c r="K479" s="55"/>
      <c r="L479" s="62"/>
      <c r="M479" s="55"/>
      <c r="N479" s="55"/>
      <c r="O479" s="55"/>
      <c r="P479" s="55"/>
      <c r="Q479" s="55"/>
      <c r="R479" s="55"/>
      <c r="S479" s="55"/>
      <c r="T479" s="55"/>
      <c r="U479" s="55"/>
    </row>
    <row r="480" spans="1:21" ht="18.75" hidden="1">
      <c r="A480" s="238"/>
      <c r="B480" s="188"/>
      <c r="C480" s="188"/>
      <c r="D480" s="371" t="s">
        <v>192</v>
      </c>
      <c r="E480" s="188"/>
      <c r="F480" s="188"/>
      <c r="G480" s="208"/>
      <c r="H480" s="161" t="s">
        <v>46</v>
      </c>
      <c r="I480" s="54"/>
      <c r="J480" s="54"/>
      <c r="K480" s="55"/>
      <c r="L480" s="62"/>
      <c r="M480" s="55"/>
      <c r="N480" s="55"/>
      <c r="O480" s="55"/>
      <c r="P480" s="55"/>
      <c r="Q480" s="55"/>
      <c r="R480" s="55"/>
      <c r="S480" s="55"/>
      <c r="T480" s="55"/>
      <c r="U480" s="55"/>
    </row>
    <row r="481" spans="1:21" ht="18.75" hidden="1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54"/>
      <c r="K481" s="55"/>
      <c r="L481" s="62"/>
      <c r="M481" s="55"/>
      <c r="N481" s="55"/>
      <c r="O481" s="55"/>
      <c r="P481" s="55"/>
      <c r="Q481" s="55"/>
      <c r="R481" s="55"/>
      <c r="S481" s="55"/>
      <c r="T481" s="55"/>
      <c r="U481" s="55"/>
    </row>
    <row r="482" spans="1:21" ht="18.75" hidden="1">
      <c r="A482" s="238"/>
      <c r="B482" s="188"/>
      <c r="C482" s="188"/>
      <c r="D482" s="371" t="s">
        <v>193</v>
      </c>
      <c r="E482" s="188"/>
      <c r="F482" s="188"/>
      <c r="G482" s="208"/>
      <c r="H482" s="161" t="s">
        <v>46</v>
      </c>
      <c r="I482" s="54"/>
      <c r="J482" s="212">
        <f ca="1">IFERROR(__xludf.DUMMYFUNCTION("IMPORTRANGE(""https://docs.google.com/spreadsheets/d/1eHaY18a8A9IcSdp1K8H6x8fbOy06t2VsZHhMHf-1x7Y/edit?usp=sharing"",""แผน!HN46"")"),0)</f>
        <v>0</v>
      </c>
      <c r="K482" s="55"/>
      <c r="L482" s="62"/>
      <c r="M482" s="55"/>
      <c r="N482" s="55"/>
      <c r="O482" s="55"/>
      <c r="P482" s="55"/>
      <c r="Q482" s="55"/>
      <c r="R482" s="55"/>
      <c r="S482" s="55"/>
      <c r="T482" s="55"/>
      <c r="U482" s="55"/>
    </row>
    <row r="483" spans="1:21" ht="18.75" hidden="1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212">
        <f ca="1">IFERROR(__xludf.DUMMYFUNCTION("IMPORTRANGE(""https://docs.google.com/spreadsheets/d/1eHaY18a8A9IcSdp1K8H6x8fbOy06t2VsZHhMHf-1x7Y/edit?usp=sharing"",""แผน!HO46"")"),0)</f>
        <v>0</v>
      </c>
      <c r="K483" s="55"/>
      <c r="L483" s="62"/>
      <c r="M483" s="55"/>
      <c r="N483" s="55"/>
      <c r="O483" s="55"/>
      <c r="P483" s="55"/>
      <c r="Q483" s="55"/>
      <c r="R483" s="55"/>
      <c r="S483" s="55"/>
      <c r="T483" s="55"/>
      <c r="U483" s="55"/>
    </row>
    <row r="484" spans="1:21" ht="19.5" hidden="1">
      <c r="A484" s="238"/>
      <c r="B484" s="188"/>
      <c r="C484" s="191" t="s">
        <v>194</v>
      </c>
      <c r="D484" s="188"/>
      <c r="E484" s="188"/>
      <c r="F484" s="188"/>
      <c r="G484" s="208"/>
      <c r="H484" s="158" t="s">
        <v>46</v>
      </c>
      <c r="I484" s="54">
        <f>J480</f>
        <v>0</v>
      </c>
      <c r="J484" s="373">
        <f>J486+J488+J490</f>
        <v>0</v>
      </c>
      <c r="K484" s="540">
        <f>IF(I484&gt;0,J484*100/I484,0)</f>
        <v>0</v>
      </c>
      <c r="L484" s="62"/>
      <c r="M484" s="55"/>
      <c r="N484" s="55"/>
      <c r="O484" s="55"/>
      <c r="P484" s="55"/>
      <c r="Q484" s="55"/>
      <c r="R484" s="55"/>
      <c r="S484" s="55"/>
      <c r="T484" s="55"/>
      <c r="U484" s="55"/>
    </row>
    <row r="485" spans="1:21" ht="19.5" hidden="1">
      <c r="A485" s="238"/>
      <c r="B485" s="188"/>
      <c r="C485" s="239" t="s">
        <v>195</v>
      </c>
      <c r="D485" s="188"/>
      <c r="E485" s="188"/>
      <c r="F485" s="188"/>
      <c r="G485" s="208"/>
      <c r="H485" s="158" t="s">
        <v>34</v>
      </c>
      <c r="I485" s="54">
        <f>J481</f>
        <v>0</v>
      </c>
      <c r="J485" s="373">
        <f>J487+J489+J491</f>
        <v>0</v>
      </c>
      <c r="K485" s="540">
        <f>IF(I485&gt;0,J485*100/I485,0)</f>
        <v>0</v>
      </c>
      <c r="L485" s="62"/>
      <c r="M485" s="55"/>
      <c r="N485" s="55"/>
      <c r="O485" s="55"/>
      <c r="P485" s="55"/>
      <c r="Q485" s="55"/>
      <c r="R485" s="55"/>
      <c r="S485" s="55"/>
      <c r="T485" s="55"/>
      <c r="U485" s="55"/>
    </row>
    <row r="486" spans="1:21" ht="18.75" hidden="1">
      <c r="A486" s="238"/>
      <c r="B486" s="188"/>
      <c r="C486" s="188"/>
      <c r="D486" s="371" t="s">
        <v>196</v>
      </c>
      <c r="E486" s="188"/>
      <c r="F486" s="188"/>
      <c r="G486" s="208"/>
      <c r="H486" s="161" t="s">
        <v>46</v>
      </c>
      <c r="I486" s="54"/>
      <c r="J486" s="54"/>
      <c r="K486" s="55"/>
      <c r="L486" s="62"/>
      <c r="M486" s="55"/>
      <c r="N486" s="55"/>
      <c r="O486" s="55"/>
      <c r="P486" s="55"/>
      <c r="Q486" s="55"/>
      <c r="R486" s="55"/>
      <c r="S486" s="55"/>
      <c r="T486" s="55"/>
      <c r="U486" s="55"/>
    </row>
    <row r="487" spans="1:21" ht="18.75" hidden="1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54"/>
      <c r="K487" s="55"/>
      <c r="L487" s="62"/>
      <c r="M487" s="55"/>
      <c r="N487" s="55"/>
      <c r="O487" s="55"/>
      <c r="P487" s="55"/>
      <c r="Q487" s="55"/>
      <c r="R487" s="55"/>
      <c r="S487" s="55"/>
      <c r="T487" s="55"/>
      <c r="U487" s="55"/>
    </row>
    <row r="488" spans="1:21" ht="18.75" hidden="1">
      <c r="A488" s="238"/>
      <c r="B488" s="188"/>
      <c r="C488" s="188"/>
      <c r="D488" s="371" t="s">
        <v>197</v>
      </c>
      <c r="E488" s="188"/>
      <c r="F488" s="188"/>
      <c r="G488" s="208"/>
      <c r="H488" s="161" t="s">
        <v>46</v>
      </c>
      <c r="I488" s="54"/>
      <c r="J488" s="54"/>
      <c r="K488" s="55"/>
      <c r="L488" s="62"/>
      <c r="M488" s="55"/>
      <c r="N488" s="55"/>
      <c r="O488" s="55"/>
      <c r="P488" s="55"/>
      <c r="Q488" s="55"/>
      <c r="R488" s="55"/>
      <c r="S488" s="55"/>
      <c r="T488" s="55"/>
      <c r="U488" s="55"/>
    </row>
    <row r="489" spans="1:21" ht="18.75" hidden="1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54"/>
      <c r="K489" s="55"/>
      <c r="L489" s="62"/>
      <c r="M489" s="55"/>
      <c r="N489" s="55"/>
      <c r="O489" s="55"/>
      <c r="P489" s="55"/>
      <c r="Q489" s="55"/>
      <c r="R489" s="55"/>
      <c r="S489" s="55"/>
      <c r="T489" s="55"/>
      <c r="U489" s="55"/>
    </row>
    <row r="490" spans="1:21" ht="18.75" hidden="1">
      <c r="A490" s="238"/>
      <c r="B490" s="188"/>
      <c r="C490" s="188"/>
      <c r="D490" s="371" t="s">
        <v>198</v>
      </c>
      <c r="E490" s="188"/>
      <c r="F490" s="188"/>
      <c r="G490" s="208"/>
      <c r="H490" s="161" t="s">
        <v>46</v>
      </c>
      <c r="I490" s="54"/>
      <c r="J490" s="54"/>
      <c r="K490" s="55"/>
      <c r="L490" s="62"/>
      <c r="M490" s="55"/>
      <c r="N490" s="55"/>
      <c r="O490" s="55"/>
      <c r="P490" s="55"/>
      <c r="Q490" s="55"/>
      <c r="R490" s="55"/>
      <c r="S490" s="55"/>
      <c r="T490" s="55"/>
      <c r="U490" s="55"/>
    </row>
    <row r="491" spans="1:21" ht="18.75" hidden="1">
      <c r="A491" s="374"/>
      <c r="B491" s="5"/>
      <c r="C491" s="5"/>
      <c r="D491" s="5"/>
      <c r="E491" s="5"/>
      <c r="F491" s="5"/>
      <c r="G491" s="375"/>
      <c r="H491" s="376" t="s">
        <v>34</v>
      </c>
      <c r="I491" s="67"/>
      <c r="J491" s="67"/>
      <c r="K491" s="6"/>
      <c r="L491" s="68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 hidden="1">
      <c r="A492" s="335"/>
      <c r="B492" s="354" t="s">
        <v>199</v>
      </c>
      <c r="C492" s="337"/>
      <c r="D492" s="337"/>
      <c r="E492" s="328"/>
      <c r="F492" s="328"/>
      <c r="G492" s="329"/>
      <c r="H492" s="366" t="s">
        <v>35</v>
      </c>
      <c r="I492" s="605">
        <f ca="1">I503</f>
        <v>0</v>
      </c>
      <c r="J492" s="605">
        <f ca="1">J503</f>
        <v>0</v>
      </c>
      <c r="K492" s="604">
        <f ca="1">IF(I492&gt;0,J492*100/I492,0)</f>
        <v>0</v>
      </c>
      <c r="L492" s="334"/>
      <c r="M492" s="333"/>
      <c r="N492" s="333"/>
      <c r="O492" s="333"/>
      <c r="P492" s="333"/>
      <c r="Q492" s="333"/>
      <c r="R492" s="333"/>
      <c r="S492" s="333"/>
      <c r="T492" s="333"/>
      <c r="U492" s="333"/>
    </row>
    <row r="493" spans="1:21" ht="19.5" hidden="1">
      <c r="A493" s="155"/>
      <c r="B493" s="188"/>
      <c r="C493" s="205" t="s">
        <v>18</v>
      </c>
      <c r="D493" s="603" t="s">
        <v>19</v>
      </c>
      <c r="E493" s="514"/>
      <c r="F493" s="514"/>
      <c r="G493" s="52"/>
      <c r="H493" s="252" t="s">
        <v>14</v>
      </c>
      <c r="I493" s="54"/>
      <c r="J493" s="54"/>
      <c r="K493" s="55"/>
      <c r="L493" s="541">
        <f>L494+L495</f>
        <v>0</v>
      </c>
      <c r="M493" s="540">
        <f>M494+M495</f>
        <v>0</v>
      </c>
      <c r="N493" s="540">
        <f>N494+N495</f>
        <v>0</v>
      </c>
      <c r="O493" s="540">
        <f>IF(L493&gt;0,N493*100/L493,0)</f>
        <v>0</v>
      </c>
      <c r="P493" s="540">
        <f>IF(M493&gt;0,N493*100/M493,0)</f>
        <v>0</v>
      </c>
      <c r="Q493" s="540">
        <f ca="1">Q494+Q495</f>
        <v>0</v>
      </c>
      <c r="R493" s="540">
        <f ca="1">R494+R495</f>
        <v>0</v>
      </c>
      <c r="S493" s="540">
        <f ca="1">S494+S495</f>
        <v>0</v>
      </c>
      <c r="T493" s="540">
        <f ca="1">IF(Q493&gt;0,S493*100/Q493,0)</f>
        <v>0</v>
      </c>
      <c r="U493" s="540">
        <f ca="1">IF(R493&gt;0,S493*100/R493,0)</f>
        <v>0</v>
      </c>
    </row>
    <row r="494" spans="1:21" ht="18.75" hidden="1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103">
        <f>L497+L500</f>
        <v>0</v>
      </c>
      <c r="M494" s="102">
        <f>M497+M500</f>
        <v>0</v>
      </c>
      <c r="N494" s="102">
        <f>N497+N500</f>
        <v>0</v>
      </c>
      <c r="O494" s="102">
        <f>IF(L494&gt;0,N494*100/L494,0)</f>
        <v>0</v>
      </c>
      <c r="P494" s="102">
        <f>IF(M494&gt;0,N494*100/M494,0)</f>
        <v>0</v>
      </c>
      <c r="Q494" s="102">
        <f>Q497+Q500</f>
        <v>0</v>
      </c>
      <c r="R494" s="102">
        <f>R497+R500</f>
        <v>0</v>
      </c>
      <c r="S494" s="102">
        <f>S497+S500</f>
        <v>0</v>
      </c>
      <c r="T494" s="102">
        <f>IF(Q494&gt;0,S494*100/Q494,0)</f>
        <v>0</v>
      </c>
      <c r="U494" s="102">
        <f>IF(R494&gt;0,S494*100/R494,0)</f>
        <v>0</v>
      </c>
    </row>
    <row r="495" spans="1:21" ht="18.75" hidden="1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256">
        <f>L498+L501</f>
        <v>0</v>
      </c>
      <c r="M495" s="255">
        <f>M498+M501</f>
        <v>0</v>
      </c>
      <c r="N495" s="255">
        <f>N498+N501</f>
        <v>0</v>
      </c>
      <c r="O495" s="255">
        <f>IF(L495&gt;0,N495*100/L495,0)</f>
        <v>0</v>
      </c>
      <c r="P495" s="255">
        <f>IF(M495&gt;0,N495*100/M495,0)</f>
        <v>0</v>
      </c>
      <c r="Q495" s="255">
        <f ca="1">Q498+Q501</f>
        <v>0</v>
      </c>
      <c r="R495" s="255">
        <f ca="1">R498+R501</f>
        <v>0</v>
      </c>
      <c r="S495" s="255">
        <f ca="1">S498+S501</f>
        <v>0</v>
      </c>
      <c r="T495" s="255">
        <f ca="1">IF(Q495&gt;0,S495*100/Q495,0)</f>
        <v>0</v>
      </c>
      <c r="U495" s="255">
        <f ca="1">IF(R495&gt;0,S495*100/R495,0)</f>
        <v>0</v>
      </c>
    </row>
    <row r="496" spans="1:21" ht="18.75" hidden="1">
      <c r="A496" s="155"/>
      <c r="B496" s="188"/>
      <c r="C496" s="188"/>
      <c r="D496" s="602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256">
        <f>L497+L498</f>
        <v>0</v>
      </c>
      <c r="M496" s="255">
        <f>M497+M498</f>
        <v>0</v>
      </c>
      <c r="N496" s="255">
        <f>N497+N498</f>
        <v>0</v>
      </c>
      <c r="O496" s="255">
        <f>IF(L496&gt;0,N496*100/L496,0)</f>
        <v>0</v>
      </c>
      <c r="P496" s="255">
        <f>IF(M496&gt;0,N496*100/M496,0)</f>
        <v>0</v>
      </c>
      <c r="Q496" s="255">
        <f ca="1">Q497+Q498</f>
        <v>0</v>
      </c>
      <c r="R496" s="255">
        <f ca="1">R497+R498</f>
        <v>0</v>
      </c>
      <c r="S496" s="255">
        <f ca="1">S497+S498</f>
        <v>0</v>
      </c>
      <c r="T496" s="255">
        <f ca="1">IF(Q496&gt;0,S496*100/Q496,0)</f>
        <v>0</v>
      </c>
      <c r="U496" s="255">
        <f ca="1">IF(R496&gt;0,S496*100/R496,0)</f>
        <v>0</v>
      </c>
    </row>
    <row r="497" spans="1:21" ht="18.75" hidden="1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103">
        <v>0</v>
      </c>
      <c r="M497" s="102">
        <v>0</v>
      </c>
      <c r="N497" s="102">
        <v>0</v>
      </c>
      <c r="O497" s="102">
        <f>IF(L497&gt;0,N497*100/L497,0)</f>
        <v>0</v>
      </c>
      <c r="P497" s="102">
        <f>IF(M497&gt;0,N497*100/M497,0)</f>
        <v>0</v>
      </c>
      <c r="Q497" s="102">
        <v>0</v>
      </c>
      <c r="R497" s="102">
        <v>0</v>
      </c>
      <c r="S497" s="102">
        <v>0</v>
      </c>
      <c r="T497" s="102">
        <f>IF(Q497&gt;0,S497*100/Q497,0)</f>
        <v>0</v>
      </c>
      <c r="U497" s="102">
        <f>IF(R497&gt;0,S497*100/R497,0)</f>
        <v>0</v>
      </c>
    </row>
    <row r="498" spans="1:21" ht="18.75" hidden="1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256">
        <v>0</v>
      </c>
      <c r="M498" s="255">
        <v>0</v>
      </c>
      <c r="N498" s="255">
        <v>0</v>
      </c>
      <c r="O498" s="255">
        <f>IF(L498&gt;0,N498*100/L498,0)</f>
        <v>0</v>
      </c>
      <c r="P498" s="255">
        <f>IF(M498&gt;0,N498*100/M498,0)</f>
        <v>0</v>
      </c>
      <c r="Q498" s="255">
        <f ca="1">IFERROR(__xludf.DUMMYFUNCTION("IMPORTRANGE(""https://docs.google.com/spreadsheets/d/1ItG2mGa2ceCfYo0BwxsXqNm01IGEUdYcSSLTEv9YCik/edit?usp=sharing"",""เบิกจ่ายกองทุน!X46"")"),0)</f>
        <v>0</v>
      </c>
      <c r="R498" s="255">
        <f ca="1">IFERROR(__xludf.DUMMYFUNCTION("IMPORTRANGE(""https://docs.google.com/spreadsheets/d/1ItG2mGa2ceCfYo0BwxsXqNm01IGEUdYcSSLTEv9YCik/edit?usp=sharing"",""เบิกจ่ายกองทุน!Y46"")"),0)</f>
        <v>0</v>
      </c>
      <c r="S498" s="255">
        <f ca="1">IFERROR(__xludf.DUMMYFUNCTION("IMPORTRANGE(""https://docs.google.com/spreadsheets/d/1ItG2mGa2ceCfYo0BwxsXqNm01IGEUdYcSSLTEv9YCik/edit?usp=sharing"",""เบิกจ่ายกองทุน!Z46"")"),0)</f>
        <v>0</v>
      </c>
      <c r="T498" s="255">
        <f ca="1">IF(Q498&gt;0,S498*100/Q498,0)</f>
        <v>0</v>
      </c>
      <c r="U498" s="255">
        <f ca="1">IF(R498&gt;0,S498*100/R498,0)</f>
        <v>0</v>
      </c>
    </row>
    <row r="499" spans="1:21" ht="18.75" hidden="1">
      <c r="A499" s="155"/>
      <c r="B499" s="188"/>
      <c r="C499" s="188"/>
      <c r="D499" s="602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256">
        <f>L500+L501</f>
        <v>0</v>
      </c>
      <c r="M499" s="255">
        <f>M500+M501</f>
        <v>0</v>
      </c>
      <c r="N499" s="255">
        <f>N500+N501</f>
        <v>0</v>
      </c>
      <c r="O499" s="255">
        <f>IF(L499&gt;0,N499*100/L499,0)</f>
        <v>0</v>
      </c>
      <c r="P499" s="255">
        <f>IF(M499&gt;0,N499*100/M499,0)</f>
        <v>0</v>
      </c>
      <c r="Q499" s="255">
        <f>Q500+Q501</f>
        <v>0</v>
      </c>
      <c r="R499" s="255">
        <f>R500+R501</f>
        <v>0</v>
      </c>
      <c r="S499" s="255">
        <f>S500+S501</f>
        <v>0</v>
      </c>
      <c r="T499" s="255">
        <f>IF(Q499&gt;0,S499*100/Q499,0)</f>
        <v>0</v>
      </c>
      <c r="U499" s="255">
        <f>IF(R499&gt;0,S499*100/R499,0)</f>
        <v>0</v>
      </c>
    </row>
    <row r="500" spans="1:21" ht="18.75" hidden="1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103">
        <v>0</v>
      </c>
      <c r="M500" s="102">
        <v>0</v>
      </c>
      <c r="N500" s="102">
        <v>0</v>
      </c>
      <c r="O500" s="102">
        <f>IF(L500&gt;0,N500*100/L500,0)</f>
        <v>0</v>
      </c>
      <c r="P500" s="102">
        <f>IF(M500&gt;0,N500*100/M500,0)</f>
        <v>0</v>
      </c>
      <c r="Q500" s="102">
        <v>0</v>
      </c>
      <c r="R500" s="102">
        <v>0</v>
      </c>
      <c r="S500" s="102">
        <v>0</v>
      </c>
      <c r="T500" s="102">
        <f>IF(Q500&gt;0,S500*100/Q500,0)</f>
        <v>0</v>
      </c>
      <c r="U500" s="102">
        <f>IF(R500&gt;0,S500*100/R500,0)</f>
        <v>0</v>
      </c>
    </row>
    <row r="501" spans="1:21" ht="18.75" hidden="1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256">
        <v>0</v>
      </c>
      <c r="M501" s="255">
        <v>0</v>
      </c>
      <c r="N501" s="255">
        <v>0</v>
      </c>
      <c r="O501" s="255">
        <f>IF(L501&gt;0,N501*100/L501,0)</f>
        <v>0</v>
      </c>
      <c r="P501" s="255">
        <f>IF(M501&gt;0,N501*100/M501,0)</f>
        <v>0</v>
      </c>
      <c r="Q501" s="255">
        <v>0</v>
      </c>
      <c r="R501" s="255">
        <v>0</v>
      </c>
      <c r="S501" s="255">
        <v>0</v>
      </c>
      <c r="T501" s="255">
        <f>IF(Q501&gt;0,S501*100/Q501,0)</f>
        <v>0</v>
      </c>
      <c r="U501" s="255">
        <f>IF(R501&gt;0,S501*100/R501,0)</f>
        <v>0</v>
      </c>
    </row>
    <row r="502" spans="1:21" ht="19.5" hidden="1">
      <c r="A502" s="166"/>
      <c r="B502" s="167"/>
      <c r="C502" s="205" t="s">
        <v>18</v>
      </c>
      <c r="D502" s="560" t="s">
        <v>38</v>
      </c>
      <c r="E502" s="169"/>
      <c r="F502" s="169"/>
      <c r="G502" s="170"/>
      <c r="H502" s="206"/>
      <c r="I502" s="163"/>
      <c r="J502" s="163"/>
      <c r="K502" s="164"/>
      <c r="L502" s="172"/>
      <c r="M502" s="164"/>
      <c r="N502" s="164"/>
      <c r="O502" s="164"/>
      <c r="P502" s="164"/>
      <c r="Q502" s="164"/>
      <c r="R502" s="164"/>
      <c r="S502" s="164"/>
      <c r="T502" s="164"/>
      <c r="U502" s="164"/>
    </row>
    <row r="503" spans="1:21" ht="19.5" hidden="1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373">
        <f ca="1">IFERROR(__xludf.DUMMYFUNCTION("IMPORTRANGE(""https://docs.google.com/spreadsheets/d/1eHaY18a8A9IcSdp1K8H6x8fbOy06t2VsZHhMHf-1x7Y/edit?usp=sharing"",""แผน!GX46"")"),0)</f>
        <v>0</v>
      </c>
      <c r="J503" s="373">
        <f ca="1">IF(AND(J504=I504,J505=I505,J506=I506,J507=I507),I503,0)</f>
        <v>0</v>
      </c>
      <c r="K503" s="540">
        <f ca="1">IF(I503&gt;0,J503*100/I503,0)</f>
        <v>0</v>
      </c>
      <c r="L503" s="62"/>
      <c r="M503" s="55"/>
      <c r="N503" s="55"/>
      <c r="O503" s="55"/>
      <c r="P503" s="55"/>
      <c r="Q503" s="55"/>
      <c r="R503" s="55"/>
      <c r="S503" s="55"/>
      <c r="T503" s="55"/>
      <c r="U503" s="55"/>
    </row>
    <row r="504" spans="1:21" ht="18.75" hidden="1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212">
        <f ca="1">IFERROR(__xludf.DUMMYFUNCTION("IMPORTRANGE(""https://docs.google.com/spreadsheets/d/1eHaY18a8A9IcSdp1K8H6x8fbOy06t2VsZHhMHf-1x7Y/edit?usp=sharing"",""แผน!GY46"")"),0)</f>
        <v>0</v>
      </c>
      <c r="J504" s="467">
        <v>0</v>
      </c>
      <c r="K504" s="255">
        <f ca="1">IF(I504&gt;0,J504*100/I504,0)</f>
        <v>0</v>
      </c>
      <c r="L504" s="62"/>
      <c r="M504" s="55"/>
      <c r="N504" s="55"/>
      <c r="O504" s="55"/>
      <c r="P504" s="55"/>
      <c r="Q504" s="55"/>
      <c r="R504" s="55"/>
      <c r="S504" s="55"/>
      <c r="T504" s="55"/>
      <c r="U504" s="55"/>
    </row>
    <row r="505" spans="1:21" ht="18.75" hidden="1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212">
        <f ca="1">IFERROR(__xludf.DUMMYFUNCTION("IMPORTRANGE(""https://docs.google.com/spreadsheets/d/1eHaY18a8A9IcSdp1K8H6x8fbOy06t2VsZHhMHf-1x7Y/edit?usp=sharing"",""แผน!GZ46"")"),0)</f>
        <v>0</v>
      </c>
      <c r="J505" s="467">
        <v>0</v>
      </c>
      <c r="K505" s="255">
        <f ca="1">IF(I505&gt;0,J505*100/I505,0)</f>
        <v>0</v>
      </c>
      <c r="L505" s="62"/>
      <c r="M505" s="55"/>
      <c r="N505" s="55"/>
      <c r="O505" s="55"/>
      <c r="P505" s="55"/>
      <c r="Q505" s="55"/>
      <c r="R505" s="55"/>
      <c r="S505" s="55"/>
      <c r="T505" s="55"/>
      <c r="U505" s="55"/>
    </row>
    <row r="506" spans="1:21" ht="18.75" hidden="1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212">
        <f ca="1">IFERROR(__xludf.DUMMYFUNCTION("IMPORTRANGE(""https://docs.google.com/spreadsheets/d/1eHaY18a8A9IcSdp1K8H6x8fbOy06t2VsZHhMHf-1x7Y/edit?usp=sharing"",""แผน!HA46"")"),0)</f>
        <v>0</v>
      </c>
      <c r="J506" s="467">
        <v>0</v>
      </c>
      <c r="K506" s="255">
        <f ca="1">IF(I506&gt;0,J506*100/I506,0)</f>
        <v>0</v>
      </c>
      <c r="L506" s="62"/>
      <c r="M506" s="55"/>
      <c r="N506" s="55"/>
      <c r="O506" s="55"/>
      <c r="P506" s="55"/>
      <c r="Q506" s="55"/>
      <c r="R506" s="55"/>
      <c r="S506" s="55"/>
      <c r="T506" s="55"/>
      <c r="U506" s="55"/>
    </row>
    <row r="507" spans="1:21" ht="18.75" hidden="1">
      <c r="A507" s="238"/>
      <c r="B507" s="188"/>
      <c r="C507" s="188"/>
      <c r="D507" s="188"/>
      <c r="E507" s="377" t="s">
        <v>204</v>
      </c>
      <c r="F507" s="50"/>
      <c r="G507" s="52"/>
      <c r="H507" s="161" t="s">
        <v>35</v>
      </c>
      <c r="I507" s="212">
        <f ca="1">IFERROR(__xludf.DUMMYFUNCTION("IMPORTRANGE(""https://docs.google.com/spreadsheets/d/1eHaY18a8A9IcSdp1K8H6x8fbOy06t2VsZHhMHf-1x7Y/edit?usp=sharing"",""แผน!HB46"")"),0)</f>
        <v>0</v>
      </c>
      <c r="J507" s="467">
        <v>0</v>
      </c>
      <c r="K507" s="255">
        <f ca="1">IF(I507&gt;0,J507*100/I507,0)</f>
        <v>0</v>
      </c>
      <c r="L507" s="62"/>
      <c r="M507" s="55"/>
      <c r="N507" s="55"/>
      <c r="O507" s="55"/>
      <c r="P507" s="55"/>
      <c r="Q507" s="55"/>
      <c r="R507" s="55"/>
      <c r="S507" s="55"/>
      <c r="T507" s="55"/>
      <c r="U507" s="55"/>
    </row>
    <row r="508" spans="1:21" ht="18.75" hidden="1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255">
        <f>IF(I508&gt;0,J508*100/I508,0)</f>
        <v>0</v>
      </c>
      <c r="L508" s="62"/>
      <c r="M508" s="55"/>
      <c r="N508" s="55"/>
      <c r="O508" s="55"/>
      <c r="P508" s="55"/>
      <c r="Q508" s="55"/>
      <c r="R508" s="55"/>
      <c r="S508" s="55"/>
      <c r="T508" s="55"/>
      <c r="U508" s="55"/>
    </row>
    <row r="509" spans="1:21" ht="19.5" hidden="1">
      <c r="A509" s="374"/>
      <c r="B509" s="5"/>
      <c r="C509" s="5"/>
      <c r="D509" s="378" t="s">
        <v>50</v>
      </c>
      <c r="E509" s="4"/>
      <c r="F509" s="4"/>
      <c r="G509" s="65"/>
      <c r="H509" s="376" t="s">
        <v>35</v>
      </c>
      <c r="I509" s="216">
        <f ca="1">IFERROR(__xludf.DUMMYFUNCTION("IMPORTRANGE(""https://docs.google.com/spreadsheets/d/1eHaY18a8A9IcSdp1K8H6x8fbOy06t2VsZHhMHf-1x7Y/edit?usp=sharing"",""แผน!HC46"")"),0)</f>
        <v>0</v>
      </c>
      <c r="J509" s="538">
        <v>0</v>
      </c>
      <c r="K509" s="506">
        <f ca="1">IF(I509&gt;0,J509*100/I509,0)</f>
        <v>0</v>
      </c>
      <c r="L509" s="68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 hidden="1">
      <c r="A510" s="601" t="s">
        <v>206</v>
      </c>
      <c r="B510" s="381"/>
      <c r="C510" s="381"/>
      <c r="D510" s="381"/>
      <c r="E510" s="382"/>
      <c r="F510" s="382"/>
      <c r="G510" s="382"/>
      <c r="H510" s="382"/>
      <c r="I510" s="383"/>
      <c r="J510" s="383"/>
      <c r="K510" s="384"/>
      <c r="L510" s="600"/>
      <c r="M510" s="386"/>
      <c r="N510" s="386"/>
      <c r="O510" s="386"/>
      <c r="P510" s="386"/>
      <c r="Q510" s="386"/>
      <c r="R510" s="386"/>
      <c r="S510" s="386"/>
      <c r="T510" s="386"/>
      <c r="U510" s="386"/>
    </row>
    <row r="511" spans="1:21" ht="19.5" hidden="1">
      <c r="A511" s="599" t="s">
        <v>207</v>
      </c>
      <c r="B511" s="388"/>
      <c r="C511" s="388"/>
      <c r="D511" s="389"/>
      <c r="E511" s="388"/>
      <c r="F511" s="388"/>
      <c r="G511" s="388"/>
      <c r="H511" s="390"/>
      <c r="I511" s="391"/>
      <c r="J511" s="391"/>
      <c r="K511" s="392"/>
      <c r="L511" s="598"/>
      <c r="M511" s="394"/>
      <c r="N511" s="394"/>
      <c r="O511" s="394"/>
      <c r="P511" s="394"/>
      <c r="Q511" s="394"/>
      <c r="R511" s="394"/>
      <c r="S511" s="394"/>
      <c r="T511" s="394"/>
      <c r="U511" s="394"/>
    </row>
    <row r="512" spans="1:21" ht="19.5" hidden="1">
      <c r="A512" s="395"/>
      <c r="B512" s="597" t="s">
        <v>208</v>
      </c>
      <c r="C512" s="397"/>
      <c r="D512" s="398"/>
      <c r="E512" s="398"/>
      <c r="F512" s="398"/>
      <c r="G512" s="399"/>
      <c r="H512" s="596" t="s">
        <v>61</v>
      </c>
      <c r="I512" s="595">
        <f>I524</f>
        <v>0</v>
      </c>
      <c r="J512" s="595">
        <f>J524</f>
        <v>0</v>
      </c>
      <c r="K512" s="594">
        <f>IF(I512&gt;0,J512*100/I512,0)</f>
        <v>0</v>
      </c>
      <c r="L512" s="404"/>
      <c r="M512" s="403"/>
      <c r="N512" s="403"/>
      <c r="O512" s="403"/>
      <c r="P512" s="403"/>
      <c r="Q512" s="403"/>
      <c r="R512" s="403"/>
      <c r="S512" s="403"/>
      <c r="T512" s="403"/>
      <c r="U512" s="403"/>
    </row>
    <row r="513" spans="1:21" ht="19.5" hidden="1">
      <c r="A513" s="155"/>
      <c r="B513" s="50"/>
      <c r="C513" s="591" t="s">
        <v>18</v>
      </c>
      <c r="D513" s="562" t="s">
        <v>19</v>
      </c>
      <c r="E513" s="50"/>
      <c r="F513" s="50"/>
      <c r="G513" s="52"/>
      <c r="H513" s="593" t="s">
        <v>14</v>
      </c>
      <c r="I513" s="54"/>
      <c r="J513" s="54"/>
      <c r="K513" s="55"/>
      <c r="L513" s="541">
        <f ca="1">L514+L515</f>
        <v>0</v>
      </c>
      <c r="M513" s="540">
        <f ca="1">M514+M515</f>
        <v>0</v>
      </c>
      <c r="N513" s="540">
        <f ca="1">N514+N515</f>
        <v>0</v>
      </c>
      <c r="O513" s="540">
        <f ca="1">IF(L513&gt;0,N513*100/L513,0)</f>
        <v>0</v>
      </c>
      <c r="P513" s="540">
        <f ca="1">IF(M513&gt;0,N513*100/M513,0)</f>
        <v>0</v>
      </c>
      <c r="Q513" s="540">
        <f>Q514+Q515</f>
        <v>0</v>
      </c>
      <c r="R513" s="540">
        <f>R514+R515</f>
        <v>0</v>
      </c>
      <c r="S513" s="540">
        <f>S514+S515</f>
        <v>0</v>
      </c>
      <c r="T513" s="540">
        <f>IF(Q513&gt;0,S513*100/Q513,0)</f>
        <v>0</v>
      </c>
      <c r="U513" s="540">
        <f>IF(R513&gt;0,S513*100/R513,0)</f>
        <v>0</v>
      </c>
    </row>
    <row r="514" spans="1:21" ht="18.75" hidden="1">
      <c r="A514" s="155"/>
      <c r="B514" s="50"/>
      <c r="C514" s="50"/>
      <c r="D514" s="50"/>
      <c r="E514" s="186" t="s">
        <v>20</v>
      </c>
      <c r="F514" s="50"/>
      <c r="G514" s="52"/>
      <c r="H514" s="187" t="s">
        <v>14</v>
      </c>
      <c r="I514" s="54"/>
      <c r="J514" s="54"/>
      <c r="K514" s="55"/>
      <c r="L514" s="103">
        <f>L517+L520</f>
        <v>0</v>
      </c>
      <c r="M514" s="102">
        <f>M517+M520</f>
        <v>0</v>
      </c>
      <c r="N514" s="102">
        <f>N517+N520</f>
        <v>0</v>
      </c>
      <c r="O514" s="102">
        <f>IF(L514&gt;0,N514*100/L514,0)</f>
        <v>0</v>
      </c>
      <c r="P514" s="102">
        <f>IF(M514&gt;0,N514*100/M514,0)</f>
        <v>0</v>
      </c>
      <c r="Q514" s="102">
        <f>Q517+Q520</f>
        <v>0</v>
      </c>
      <c r="R514" s="102">
        <f>R517+R520</f>
        <v>0</v>
      </c>
      <c r="S514" s="102">
        <f>S517+S520</f>
        <v>0</v>
      </c>
      <c r="T514" s="102">
        <f>IF(Q514&gt;0,S514*100/Q514,0)</f>
        <v>0</v>
      </c>
      <c r="U514" s="102">
        <f>IF(R514&gt;0,S514*100/R514,0)</f>
        <v>0</v>
      </c>
    </row>
    <row r="515" spans="1:21" ht="18.75" hidden="1">
      <c r="A515" s="155"/>
      <c r="B515" s="50"/>
      <c r="C515" s="50"/>
      <c r="D515" s="50"/>
      <c r="E515" s="186" t="s">
        <v>21</v>
      </c>
      <c r="F515" s="50"/>
      <c r="G515" s="52"/>
      <c r="H515" s="187" t="s">
        <v>14</v>
      </c>
      <c r="I515" s="54"/>
      <c r="J515" s="54"/>
      <c r="K515" s="55"/>
      <c r="L515" s="256">
        <f ca="1">L518+L521</f>
        <v>0</v>
      </c>
      <c r="M515" s="255">
        <f ca="1">M518+M521</f>
        <v>0</v>
      </c>
      <c r="N515" s="255">
        <f ca="1">N518+N521</f>
        <v>0</v>
      </c>
      <c r="O515" s="255">
        <f ca="1">IF(L515&gt;0,N515*100/L515,0)</f>
        <v>0</v>
      </c>
      <c r="P515" s="255">
        <f ca="1">IF(M515&gt;0,N515*100/M515,0)</f>
        <v>0</v>
      </c>
      <c r="Q515" s="255">
        <f>Q518+Q521</f>
        <v>0</v>
      </c>
      <c r="R515" s="255">
        <f>R518+R521</f>
        <v>0</v>
      </c>
      <c r="S515" s="255">
        <f>S518+S521</f>
        <v>0</v>
      </c>
      <c r="T515" s="255">
        <f>IF(Q515&gt;0,S515*100/Q515,0)</f>
        <v>0</v>
      </c>
      <c r="U515" s="255">
        <f>IF(R515&gt;0,S515*100/R515,0)</f>
        <v>0</v>
      </c>
    </row>
    <row r="516" spans="1:21" ht="18.75" hidden="1">
      <c r="A516" s="155"/>
      <c r="B516" s="50"/>
      <c r="C516" s="50"/>
      <c r="D516" s="592" t="s">
        <v>22</v>
      </c>
      <c r="E516" s="50"/>
      <c r="F516" s="50"/>
      <c r="G516" s="52"/>
      <c r="H516" s="189" t="s">
        <v>14</v>
      </c>
      <c r="I516" s="163"/>
      <c r="J516" s="163"/>
      <c r="K516" s="164"/>
      <c r="L516" s="256">
        <f ca="1">L517+L518</f>
        <v>0</v>
      </c>
      <c r="M516" s="255">
        <f ca="1">M517+M518</f>
        <v>0</v>
      </c>
      <c r="N516" s="255">
        <f ca="1">N517+N518</f>
        <v>0</v>
      </c>
      <c r="O516" s="255">
        <f ca="1">IF(L516&gt;0,N516*100/L516,0)</f>
        <v>0</v>
      </c>
      <c r="P516" s="255">
        <f ca="1">IF(M516&gt;0,N516*100/M516,0)</f>
        <v>0</v>
      </c>
      <c r="Q516" s="255">
        <f>Q517+Q518</f>
        <v>0</v>
      </c>
      <c r="R516" s="255">
        <f>R517+R518</f>
        <v>0</v>
      </c>
      <c r="S516" s="255">
        <f>S517+S518</f>
        <v>0</v>
      </c>
      <c r="T516" s="255">
        <f>IF(Q516&gt;0,S516*100/Q516,0)</f>
        <v>0</v>
      </c>
      <c r="U516" s="255">
        <f>IF(R516&gt;0,S516*100/R516,0)</f>
        <v>0</v>
      </c>
    </row>
    <row r="517" spans="1:21" ht="18.75" hidden="1">
      <c r="A517" s="155"/>
      <c r="B517" s="50"/>
      <c r="C517" s="50"/>
      <c r="D517" s="50"/>
      <c r="E517" s="186" t="s">
        <v>36</v>
      </c>
      <c r="F517" s="50"/>
      <c r="G517" s="52"/>
      <c r="H517" s="189" t="s">
        <v>14</v>
      </c>
      <c r="I517" s="163"/>
      <c r="J517" s="163"/>
      <c r="K517" s="164"/>
      <c r="L517" s="103">
        <v>0</v>
      </c>
      <c r="M517" s="102">
        <v>0</v>
      </c>
      <c r="N517" s="102">
        <v>0</v>
      </c>
      <c r="O517" s="102">
        <f>IF(L517&gt;0,N517*100/L517,0)</f>
        <v>0</v>
      </c>
      <c r="P517" s="102">
        <f>IF(M517&gt;0,N517*100/M517,0)</f>
        <v>0</v>
      </c>
      <c r="Q517" s="102">
        <v>0</v>
      </c>
      <c r="R517" s="102">
        <v>0</v>
      </c>
      <c r="S517" s="102">
        <v>0</v>
      </c>
      <c r="T517" s="102">
        <f>IF(Q517&gt;0,S517*100/Q517,0)</f>
        <v>0</v>
      </c>
      <c r="U517" s="102">
        <f>IF(R517&gt;0,S517*100/R517,0)</f>
        <v>0</v>
      </c>
    </row>
    <row r="518" spans="1:21" ht="18.75" hidden="1">
      <c r="A518" s="155"/>
      <c r="B518" s="50"/>
      <c r="C518" s="50"/>
      <c r="D518" s="50"/>
      <c r="E518" s="186" t="s">
        <v>37</v>
      </c>
      <c r="F518" s="50"/>
      <c r="G518" s="52"/>
      <c r="H518" s="189" t="s">
        <v>14</v>
      </c>
      <c r="I518" s="163"/>
      <c r="J518" s="163"/>
      <c r="K518" s="164"/>
      <c r="L518" s="256">
        <f ca="1">IFERROR(__xludf.DUMMYFUNCTION("IMPORTRANGE(""https://docs.google.com/spreadsheets/d/1-uDff_7J0KD5mKrp0Vvzr7lt3OU09vwQwhkpOPPYv2Y/edit?usp=sharing"",""งบพรบ!FM46"")"),0)</f>
        <v>0</v>
      </c>
      <c r="M518" s="255">
        <f ca="1">IFERROR(__xludf.DUMMYFUNCTION("IMPORTRANGE(""https://docs.google.com/spreadsheets/d/1-uDff_7J0KD5mKrp0Vvzr7lt3OU09vwQwhkpOPPYv2Y/edit?usp=sharing"",""งบพรบ!FR46"")"),0)</f>
        <v>0</v>
      </c>
      <c r="N518" s="255">
        <f ca="1">IFERROR(__xludf.DUMMYFUNCTION("IMPORTRANGE(""https://docs.google.com/spreadsheets/d/1-uDff_7J0KD5mKrp0Vvzr7lt3OU09vwQwhkpOPPYv2Y/edit?usp=sharing"",""งบพรบ!FT46"")"),0)</f>
        <v>0</v>
      </c>
      <c r="O518" s="255">
        <f ca="1">IF(L518&gt;0,N518*100/L518,0)</f>
        <v>0</v>
      </c>
      <c r="P518" s="255">
        <f ca="1">IF(M518&gt;0,N518*100/M518,0)</f>
        <v>0</v>
      </c>
      <c r="Q518" s="255">
        <v>0</v>
      </c>
      <c r="R518" s="255">
        <v>0</v>
      </c>
      <c r="S518" s="255">
        <v>0</v>
      </c>
      <c r="T518" s="255">
        <f>IF(Q518&gt;0,S518*100/Q518,0)</f>
        <v>0</v>
      </c>
      <c r="U518" s="255">
        <f>IF(R518&gt;0,S518*100/R518,0)</f>
        <v>0</v>
      </c>
    </row>
    <row r="519" spans="1:21" ht="18.75" hidden="1">
      <c r="A519" s="155"/>
      <c r="B519" s="50"/>
      <c r="C519" s="50"/>
      <c r="D519" s="592" t="s">
        <v>23</v>
      </c>
      <c r="E519" s="50"/>
      <c r="F519" s="50"/>
      <c r="G519" s="52"/>
      <c r="H519" s="421" t="s">
        <v>14</v>
      </c>
      <c r="I519" s="163"/>
      <c r="J519" s="163"/>
      <c r="K519" s="164"/>
      <c r="L519" s="256">
        <f ca="1">L520+L521</f>
        <v>0</v>
      </c>
      <c r="M519" s="255">
        <f ca="1">M520+M521</f>
        <v>0</v>
      </c>
      <c r="N519" s="255">
        <f ca="1">N520+N521</f>
        <v>0</v>
      </c>
      <c r="O519" s="255">
        <f ca="1">IF(L519&gt;0,N519*100/L519,0)</f>
        <v>0</v>
      </c>
      <c r="P519" s="255">
        <f ca="1">IF(M519&gt;0,N519*100/M519,0)</f>
        <v>0</v>
      </c>
      <c r="Q519" s="255">
        <f>Q520+Q521</f>
        <v>0</v>
      </c>
      <c r="R519" s="255">
        <f>R520+R521</f>
        <v>0</v>
      </c>
      <c r="S519" s="255">
        <f>S520+S521</f>
        <v>0</v>
      </c>
      <c r="T519" s="255">
        <f>IF(Q519&gt;0,S519*100/Q519,0)</f>
        <v>0</v>
      </c>
      <c r="U519" s="255">
        <f>IF(R519&gt;0,S519*100/R519,0)</f>
        <v>0</v>
      </c>
    </row>
    <row r="520" spans="1:21" ht="18.75" hidden="1">
      <c r="A520" s="155"/>
      <c r="B520" s="50"/>
      <c r="C520" s="50"/>
      <c r="D520" s="50"/>
      <c r="E520" s="186" t="s">
        <v>20</v>
      </c>
      <c r="F520" s="50"/>
      <c r="G520" s="52"/>
      <c r="H520" s="189" t="s">
        <v>14</v>
      </c>
      <c r="I520" s="163"/>
      <c r="J520" s="163"/>
      <c r="K520" s="164"/>
      <c r="L520" s="103">
        <v>0</v>
      </c>
      <c r="M520" s="102">
        <v>0</v>
      </c>
      <c r="N520" s="102">
        <v>0</v>
      </c>
      <c r="O520" s="102">
        <f>IF(L520&gt;0,N520*100/L520,0)</f>
        <v>0</v>
      </c>
      <c r="P520" s="102">
        <f>IF(M520&gt;0,N520*100/M520,0)</f>
        <v>0</v>
      </c>
      <c r="Q520" s="102">
        <v>0</v>
      </c>
      <c r="R520" s="102">
        <v>0</v>
      </c>
      <c r="S520" s="102">
        <v>0</v>
      </c>
      <c r="T520" s="102">
        <f>IF(Q520&gt;0,S520*100/Q520,0)</f>
        <v>0</v>
      </c>
      <c r="U520" s="102">
        <f>IF(R520&gt;0,S520*100/R520,0)</f>
        <v>0</v>
      </c>
    </row>
    <row r="521" spans="1:21" ht="18.75" hidden="1">
      <c r="A521" s="155"/>
      <c r="B521" s="50"/>
      <c r="C521" s="50"/>
      <c r="D521" s="50"/>
      <c r="E521" s="186" t="s">
        <v>21</v>
      </c>
      <c r="F521" s="50"/>
      <c r="G521" s="52"/>
      <c r="H521" s="421" t="s">
        <v>14</v>
      </c>
      <c r="I521" s="163"/>
      <c r="J521" s="163"/>
      <c r="K521" s="164"/>
      <c r="L521" s="256">
        <f ca="1">IFERROR(__xludf.DUMMYFUNCTION("IMPORTRANGE(""https://docs.google.com/spreadsheets/d/1-uDff_7J0KD5mKrp0Vvzr7lt3OU09vwQwhkpOPPYv2Y/edit?usp=sharing"",""งบพรบ!FP46"")"),0)</f>
        <v>0</v>
      </c>
      <c r="M521" s="255">
        <f ca="1">IFERROR(__xludf.DUMMYFUNCTION("IMPORTRANGE(""https://docs.google.com/spreadsheets/d/1-uDff_7J0KD5mKrp0Vvzr7lt3OU09vwQwhkpOPPYv2Y/edit?usp=sharing"",""งบพรบ!FS46"")"),0)</f>
        <v>0</v>
      </c>
      <c r="N521" s="255">
        <f ca="1">IFERROR(__xludf.DUMMYFUNCTION("IMPORTRANGE(""https://docs.google.com/spreadsheets/d/1-uDff_7J0KD5mKrp0Vvzr7lt3OU09vwQwhkpOPPYv2Y/edit?usp=sharing"",""งบพรบ!FU46"")"),0)</f>
        <v>0</v>
      </c>
      <c r="O521" s="255">
        <f ca="1">IF(L521&gt;0,N521*100/L521,0)</f>
        <v>0</v>
      </c>
      <c r="P521" s="255">
        <f ca="1">IF(M521&gt;0,N521*100/M521,0)</f>
        <v>0</v>
      </c>
      <c r="Q521" s="255">
        <v>0</v>
      </c>
      <c r="R521" s="255">
        <v>0</v>
      </c>
      <c r="S521" s="255">
        <v>0</v>
      </c>
      <c r="T521" s="255">
        <f>IF(Q521&gt;0,S521*100/Q521,0)</f>
        <v>0</v>
      </c>
      <c r="U521" s="255">
        <f>IF(R521&gt;0,S521*100/R521,0)</f>
        <v>0</v>
      </c>
    </row>
    <row r="522" spans="1:21" ht="19.5" hidden="1">
      <c r="A522" s="166"/>
      <c r="B522" s="167"/>
      <c r="C522" s="591" t="s">
        <v>18</v>
      </c>
      <c r="D522" s="574" t="s">
        <v>38</v>
      </c>
      <c r="E522" s="169"/>
      <c r="F522" s="169"/>
      <c r="G522" s="170"/>
      <c r="H522" s="171"/>
      <c r="I522" s="163"/>
      <c r="J522" s="54"/>
      <c r="K522" s="55"/>
      <c r="L522" s="62"/>
      <c r="M522" s="55"/>
      <c r="N522" s="55"/>
      <c r="O522" s="164"/>
      <c r="P522" s="164"/>
      <c r="Q522" s="55"/>
      <c r="R522" s="55"/>
      <c r="S522" s="55"/>
      <c r="T522" s="164"/>
      <c r="U522" s="164"/>
    </row>
    <row r="523" spans="1:21" ht="18.75" hidden="1">
      <c r="A523" s="238"/>
      <c r="B523" s="50"/>
      <c r="C523" s="188"/>
      <c r="D523" s="207" t="s">
        <v>209</v>
      </c>
      <c r="E523" s="167"/>
      <c r="F523" s="50"/>
      <c r="G523" s="52"/>
      <c r="H523" s="590" t="s">
        <v>11</v>
      </c>
      <c r="I523" s="483">
        <v>0</v>
      </c>
      <c r="J523" s="589">
        <v>0</v>
      </c>
      <c r="K523" s="102">
        <f>IF(I523&gt;0,J523*100/I523,0)</f>
        <v>0</v>
      </c>
      <c r="L523" s="62"/>
      <c r="M523" s="55"/>
      <c r="N523" s="55"/>
      <c r="O523" s="55"/>
      <c r="P523" s="55"/>
      <c r="Q523" s="55"/>
      <c r="R523" s="55"/>
      <c r="S523" s="55"/>
      <c r="T523" s="55"/>
      <c r="U523" s="55"/>
    </row>
    <row r="524" spans="1:21" ht="18.75" hidden="1">
      <c r="A524" s="374"/>
      <c r="B524" s="4"/>
      <c r="C524" s="5"/>
      <c r="D524" s="588" t="s">
        <v>210</v>
      </c>
      <c r="E524" s="282"/>
      <c r="F524" s="4"/>
      <c r="G524" s="65"/>
      <c r="H524" s="587" t="s">
        <v>61</v>
      </c>
      <c r="I524" s="486">
        <v>0</v>
      </c>
      <c r="J524" s="586">
        <v>0</v>
      </c>
      <c r="K524" s="585">
        <f>IF(I524&gt;0,J524*100/I524,0)</f>
        <v>0</v>
      </c>
      <c r="L524" s="62"/>
      <c r="M524" s="55"/>
      <c r="N524" s="55"/>
      <c r="O524" s="55"/>
      <c r="P524" s="55"/>
      <c r="Q524" s="55"/>
      <c r="R524" s="55"/>
      <c r="S524" s="55"/>
      <c r="T524" s="55"/>
      <c r="U524" s="55"/>
    </row>
    <row r="525" spans="1:21" ht="12.75" hidden="1">
      <c r="A525" s="584"/>
      <c r="B525" s="583"/>
      <c r="C525" s="583"/>
      <c r="D525" s="582"/>
      <c r="E525" s="582"/>
      <c r="F525" s="582"/>
      <c r="G525" s="581"/>
      <c r="H525" s="580"/>
      <c r="I525" s="579"/>
      <c r="J525" s="579"/>
      <c r="K525" s="578"/>
      <c r="L525" s="265"/>
      <c r="M525" s="264"/>
      <c r="N525" s="264"/>
      <c r="O525" s="264"/>
      <c r="P525" s="264"/>
      <c r="Q525" s="264"/>
      <c r="R525" s="264"/>
      <c r="S525" s="264"/>
      <c r="T525" s="264"/>
      <c r="U525" s="264"/>
    </row>
    <row r="526" spans="1:21" ht="12.75" hidden="1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5"/>
      <c r="M526" s="264"/>
      <c r="N526" s="264"/>
      <c r="O526" s="264"/>
      <c r="P526" s="264"/>
      <c r="Q526" s="264"/>
      <c r="R526" s="264"/>
      <c r="S526" s="264"/>
      <c r="T526" s="264"/>
      <c r="U526" s="264"/>
    </row>
    <row r="527" spans="1:21" ht="12.75" hidden="1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5"/>
      <c r="M527" s="264"/>
      <c r="N527" s="264"/>
      <c r="O527" s="264"/>
      <c r="P527" s="264"/>
      <c r="Q527" s="264"/>
      <c r="R527" s="264"/>
      <c r="S527" s="264"/>
      <c r="T527" s="264"/>
      <c r="U527" s="264"/>
    </row>
    <row r="528" spans="1:21" ht="12.75" hidden="1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5"/>
      <c r="M528" s="264"/>
      <c r="N528" s="264"/>
      <c r="O528" s="264"/>
      <c r="P528" s="264"/>
      <c r="Q528" s="264"/>
      <c r="R528" s="264"/>
      <c r="S528" s="264"/>
      <c r="T528" s="264"/>
      <c r="U528" s="264"/>
    </row>
    <row r="529" spans="1:21" ht="12.75" hidden="1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5"/>
      <c r="M529" s="264"/>
      <c r="N529" s="264"/>
      <c r="O529" s="264"/>
      <c r="P529" s="264"/>
      <c r="Q529" s="264"/>
      <c r="R529" s="264"/>
      <c r="S529" s="264"/>
      <c r="T529" s="264"/>
      <c r="U529" s="264"/>
    </row>
    <row r="530" spans="1:21" ht="12.75" hidden="1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5"/>
      <c r="M530" s="264"/>
      <c r="N530" s="264"/>
      <c r="O530" s="264"/>
      <c r="P530" s="264"/>
      <c r="Q530" s="264"/>
      <c r="R530" s="264"/>
      <c r="S530" s="264"/>
      <c r="T530" s="264"/>
      <c r="U530" s="264"/>
    </row>
    <row r="531" spans="1:21" ht="12.75" hidden="1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5"/>
      <c r="M531" s="264"/>
      <c r="N531" s="264"/>
      <c r="O531" s="264"/>
      <c r="P531" s="264"/>
      <c r="Q531" s="264"/>
      <c r="R531" s="264"/>
      <c r="S531" s="264"/>
      <c r="T531" s="264"/>
      <c r="U531" s="264"/>
    </row>
    <row r="532" spans="1:21" ht="12.75" hidden="1">
      <c r="A532" s="407"/>
      <c r="B532" s="360"/>
      <c r="C532" s="360"/>
      <c r="D532" s="408"/>
      <c r="E532" s="408"/>
      <c r="F532" s="408"/>
      <c r="G532" s="409"/>
      <c r="H532" s="361"/>
      <c r="I532" s="362"/>
      <c r="J532" s="362"/>
      <c r="K532" s="363"/>
      <c r="L532" s="364"/>
      <c r="M532" s="363"/>
      <c r="N532" s="363"/>
      <c r="O532" s="363"/>
      <c r="P532" s="363"/>
      <c r="Q532" s="363"/>
      <c r="R532" s="363"/>
      <c r="S532" s="363"/>
      <c r="T532" s="363"/>
      <c r="U532" s="363"/>
    </row>
    <row r="533" spans="1:21" ht="19.5" hidden="1">
      <c r="A533" s="395"/>
      <c r="B533" s="396" t="s">
        <v>211</v>
      </c>
      <c r="C533" s="397"/>
      <c r="D533" s="398"/>
      <c r="E533" s="398"/>
      <c r="F533" s="398"/>
      <c r="G533" s="399"/>
      <c r="H533" s="410" t="s">
        <v>61</v>
      </c>
      <c r="I533" s="577">
        <f>I545</f>
        <v>0</v>
      </c>
      <c r="J533" s="577">
        <f>J545</f>
        <v>0</v>
      </c>
      <c r="K533" s="576">
        <f>IF(I533&gt;0,J533*100/I533,0)</f>
        <v>0</v>
      </c>
      <c r="L533" s="404"/>
      <c r="M533" s="403"/>
      <c r="N533" s="403"/>
      <c r="O533" s="403"/>
      <c r="P533" s="403"/>
      <c r="Q533" s="403"/>
      <c r="R533" s="403"/>
      <c r="S533" s="403"/>
      <c r="T533" s="403"/>
      <c r="U533" s="403"/>
    </row>
    <row r="534" spans="1:21" ht="19.5" hidden="1">
      <c r="A534" s="155"/>
      <c r="B534" s="50"/>
      <c r="C534" s="156" t="s">
        <v>18</v>
      </c>
      <c r="D534" s="575" t="s">
        <v>19</v>
      </c>
      <c r="E534" s="50"/>
      <c r="F534" s="50"/>
      <c r="G534" s="52"/>
      <c r="H534" s="158" t="s">
        <v>14</v>
      </c>
      <c r="I534" s="54"/>
      <c r="J534" s="54"/>
      <c r="K534" s="55"/>
      <c r="L534" s="541">
        <f>L535+L536</f>
        <v>0</v>
      </c>
      <c r="M534" s="540">
        <f>M535+M536</f>
        <v>0</v>
      </c>
      <c r="N534" s="540">
        <f>N535+N536</f>
        <v>0</v>
      </c>
      <c r="O534" s="540">
        <f>IF(L534&gt;0,N534*100/L534,0)</f>
        <v>0</v>
      </c>
      <c r="P534" s="540">
        <f>IF(M534&gt;0,N534*100/M534,0)</f>
        <v>0</v>
      </c>
      <c r="Q534" s="540">
        <f>Q535+Q536</f>
        <v>0</v>
      </c>
      <c r="R534" s="540">
        <f>R535+R536</f>
        <v>0</v>
      </c>
      <c r="S534" s="540">
        <f>S535+S536</f>
        <v>0</v>
      </c>
      <c r="T534" s="540">
        <f>IF(Q534&gt;0,S534*100/Q534,0)</f>
        <v>0</v>
      </c>
      <c r="U534" s="540">
        <f>IF(R534&gt;0,S534*100/R534,0)</f>
        <v>0</v>
      </c>
    </row>
    <row r="535" spans="1:21" ht="18.75" hidden="1">
      <c r="A535" s="155"/>
      <c r="B535" s="188"/>
      <c r="C535" s="50"/>
      <c r="D535" s="50"/>
      <c r="E535" s="186" t="s">
        <v>20</v>
      </c>
      <c r="F535" s="50"/>
      <c r="G535" s="52"/>
      <c r="H535" s="187" t="s">
        <v>14</v>
      </c>
      <c r="I535" s="54"/>
      <c r="J535" s="54"/>
      <c r="K535" s="55"/>
      <c r="L535" s="103">
        <f>L538+L541</f>
        <v>0</v>
      </c>
      <c r="M535" s="102">
        <f>M538+M541</f>
        <v>0</v>
      </c>
      <c r="N535" s="102">
        <f>N538+N541</f>
        <v>0</v>
      </c>
      <c r="O535" s="102">
        <f>IF(L535&gt;0,N535*100/L535,0)</f>
        <v>0</v>
      </c>
      <c r="P535" s="102">
        <f>IF(M535&gt;0,N535*100/M535,0)</f>
        <v>0</v>
      </c>
      <c r="Q535" s="102">
        <f>Q538+Q541</f>
        <v>0</v>
      </c>
      <c r="R535" s="102">
        <f>R538+R541</f>
        <v>0</v>
      </c>
      <c r="S535" s="102">
        <f>S538+S541</f>
        <v>0</v>
      </c>
      <c r="T535" s="102">
        <f>IF(Q535&gt;0,S535*100/Q535,0)</f>
        <v>0</v>
      </c>
      <c r="U535" s="102">
        <f>IF(R535&gt;0,S535*100/R535,0)</f>
        <v>0</v>
      </c>
    </row>
    <row r="536" spans="1:21" ht="18.75" hidden="1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256">
        <f>L539+L542</f>
        <v>0</v>
      </c>
      <c r="M536" s="255">
        <f>M539+M542</f>
        <v>0</v>
      </c>
      <c r="N536" s="255">
        <f>N539+N542</f>
        <v>0</v>
      </c>
      <c r="O536" s="255">
        <f>IF(L536&gt;0,N536*100/L536,0)</f>
        <v>0</v>
      </c>
      <c r="P536" s="255">
        <f>IF(M536&gt;0,N536*100/M536,0)</f>
        <v>0</v>
      </c>
      <c r="Q536" s="255">
        <f>Q539+Q542</f>
        <v>0</v>
      </c>
      <c r="R536" s="255">
        <f>R539+R542</f>
        <v>0</v>
      </c>
      <c r="S536" s="255">
        <f>S539+S542</f>
        <v>0</v>
      </c>
      <c r="T536" s="255">
        <f>IF(Q536&gt;0,S536*100/Q536,0)</f>
        <v>0</v>
      </c>
      <c r="U536" s="255">
        <f>IF(R536&gt;0,S536*100/R536,0)</f>
        <v>0</v>
      </c>
    </row>
    <row r="537" spans="1:21" ht="18.75" hidden="1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256">
        <f>L538+L539</f>
        <v>0</v>
      </c>
      <c r="M537" s="255">
        <f>M538+M539</f>
        <v>0</v>
      </c>
      <c r="N537" s="255">
        <f>N538+N539</f>
        <v>0</v>
      </c>
      <c r="O537" s="255">
        <f>IF(L537&gt;0,N537*100/L537,0)</f>
        <v>0</v>
      </c>
      <c r="P537" s="255">
        <f>IF(M537&gt;0,N537*100/M537,0)</f>
        <v>0</v>
      </c>
      <c r="Q537" s="255">
        <f>Q538+Q539</f>
        <v>0</v>
      </c>
      <c r="R537" s="255">
        <f>R538+R539</f>
        <v>0</v>
      </c>
      <c r="S537" s="255">
        <f>S538+S539</f>
        <v>0</v>
      </c>
      <c r="T537" s="255">
        <f>IF(Q537&gt;0,S537*100/Q537,0)</f>
        <v>0</v>
      </c>
      <c r="U537" s="255">
        <f>IF(R537&gt;0,S537*100/R537,0)</f>
        <v>0</v>
      </c>
    </row>
    <row r="538" spans="1:21" ht="18.75" hidden="1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103">
        <v>0</v>
      </c>
      <c r="M538" s="102">
        <v>0</v>
      </c>
      <c r="N538" s="102">
        <v>0</v>
      </c>
      <c r="O538" s="102">
        <f>IF(L538&gt;0,N538*100/L538,0)</f>
        <v>0</v>
      </c>
      <c r="P538" s="102">
        <f>IF(M538&gt;0,N538*100/M538,0)</f>
        <v>0</v>
      </c>
      <c r="Q538" s="102">
        <v>0</v>
      </c>
      <c r="R538" s="102">
        <v>0</v>
      </c>
      <c r="S538" s="102">
        <v>0</v>
      </c>
      <c r="T538" s="102">
        <f>IF(Q538&gt;0,S538*100/Q538,0)</f>
        <v>0</v>
      </c>
      <c r="U538" s="102">
        <f>IF(R538&gt;0,S538*100/R538,0)</f>
        <v>0</v>
      </c>
    </row>
    <row r="539" spans="1:21" ht="18.75" hidden="1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256">
        <v>0</v>
      </c>
      <c r="M539" s="255">
        <v>0</v>
      </c>
      <c r="N539" s="255">
        <v>0</v>
      </c>
      <c r="O539" s="255">
        <f>IF(L539&gt;0,N539*100/L539,0)</f>
        <v>0</v>
      </c>
      <c r="P539" s="255">
        <f>IF(M539&gt;0,N539*100/M539,0)</f>
        <v>0</v>
      </c>
      <c r="Q539" s="255">
        <v>0</v>
      </c>
      <c r="R539" s="255">
        <v>0</v>
      </c>
      <c r="S539" s="255">
        <v>0</v>
      </c>
      <c r="T539" s="255">
        <f>IF(Q539&gt;0,S539*100/Q539,0)</f>
        <v>0</v>
      </c>
      <c r="U539" s="255">
        <f>IF(R539&gt;0,S539*100/R539,0)</f>
        <v>0</v>
      </c>
    </row>
    <row r="540" spans="1:21" ht="18.75" hidden="1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256">
        <f>L541+L542</f>
        <v>0</v>
      </c>
      <c r="M540" s="255">
        <f>M541+M542</f>
        <v>0</v>
      </c>
      <c r="N540" s="255">
        <f>N541+N542</f>
        <v>0</v>
      </c>
      <c r="O540" s="255">
        <f>IF(L540&gt;0,N540*100/L540,0)</f>
        <v>0</v>
      </c>
      <c r="P540" s="255">
        <f>IF(M540&gt;0,N540*100/M540,0)</f>
        <v>0</v>
      </c>
      <c r="Q540" s="255">
        <f>Q541+Q542</f>
        <v>0</v>
      </c>
      <c r="R540" s="255">
        <f>R541+R542</f>
        <v>0</v>
      </c>
      <c r="S540" s="255">
        <f>S541+S542</f>
        <v>0</v>
      </c>
      <c r="T540" s="255">
        <f>IF(Q540&gt;0,S540*100/Q540,0)</f>
        <v>0</v>
      </c>
      <c r="U540" s="255">
        <f>IF(R540&gt;0,S540*100/R540,0)</f>
        <v>0</v>
      </c>
    </row>
    <row r="541" spans="1:21" ht="18.75" hidden="1">
      <c r="A541" s="155"/>
      <c r="B541" s="50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103">
        <v>0</v>
      </c>
      <c r="M541" s="102">
        <v>0</v>
      </c>
      <c r="N541" s="102">
        <v>0</v>
      </c>
      <c r="O541" s="102">
        <f>IF(L541&gt;0,N541*100/L541,0)</f>
        <v>0</v>
      </c>
      <c r="P541" s="102">
        <f>IF(M541&gt;0,N541*100/M541,0)</f>
        <v>0</v>
      </c>
      <c r="Q541" s="102">
        <v>0</v>
      </c>
      <c r="R541" s="102">
        <v>0</v>
      </c>
      <c r="S541" s="102">
        <v>0</v>
      </c>
      <c r="T541" s="102">
        <f>IF(Q541&gt;0,S541*100/Q541,0)</f>
        <v>0</v>
      </c>
      <c r="U541" s="102">
        <f>IF(R541&gt;0,S541*100/R541,0)</f>
        <v>0</v>
      </c>
    </row>
    <row r="542" spans="1:21" ht="18.75" hidden="1">
      <c r="A542" s="155"/>
      <c r="B542" s="50"/>
      <c r="C542" s="50"/>
      <c r="D542" s="50"/>
      <c r="E542" s="58" t="s">
        <v>21</v>
      </c>
      <c r="F542" s="50"/>
      <c r="G542" s="52"/>
      <c r="H542" s="165" t="s">
        <v>14</v>
      </c>
      <c r="I542" s="163"/>
      <c r="J542" s="163"/>
      <c r="K542" s="164"/>
      <c r="L542" s="256">
        <v>0</v>
      </c>
      <c r="M542" s="255">
        <v>0</v>
      </c>
      <c r="N542" s="255">
        <v>0</v>
      </c>
      <c r="O542" s="255">
        <f>IF(L542&gt;0,N542*100/L542,0)</f>
        <v>0</v>
      </c>
      <c r="P542" s="255">
        <f>IF(M542&gt;0,N542*100/M542,0)</f>
        <v>0</v>
      </c>
      <c r="Q542" s="255">
        <v>0</v>
      </c>
      <c r="R542" s="255">
        <v>0</v>
      </c>
      <c r="S542" s="255">
        <v>0</v>
      </c>
      <c r="T542" s="255">
        <f>IF(Q542&gt;0,S542*100/Q542,0)</f>
        <v>0</v>
      </c>
      <c r="U542" s="255">
        <f>IF(R542&gt;0,S542*100/R542,0)</f>
        <v>0</v>
      </c>
    </row>
    <row r="543" spans="1:21" ht="19.5" hidden="1">
      <c r="A543" s="166"/>
      <c r="B543" s="167"/>
      <c r="C543" s="411" t="s">
        <v>18</v>
      </c>
      <c r="D543" s="566" t="s">
        <v>38</v>
      </c>
      <c r="E543" s="169"/>
      <c r="F543" s="169"/>
      <c r="G543" s="170"/>
      <c r="H543" s="171"/>
      <c r="I543" s="163"/>
      <c r="J543" s="54"/>
      <c r="K543" s="55"/>
      <c r="L543" s="62"/>
      <c r="M543" s="55"/>
      <c r="N543" s="55"/>
      <c r="O543" s="164"/>
      <c r="P543" s="164"/>
      <c r="Q543" s="55"/>
      <c r="R543" s="55"/>
      <c r="S543" s="55"/>
      <c r="T543" s="164"/>
      <c r="U543" s="164"/>
    </row>
    <row r="544" spans="1:21" ht="12.75" hidden="1">
      <c r="A544" s="258"/>
      <c r="B544" s="260"/>
      <c r="C544" s="259"/>
      <c r="D544" s="260"/>
      <c r="E544" s="259"/>
      <c r="F544" s="260"/>
      <c r="G544" s="261"/>
      <c r="H544" s="261"/>
      <c r="I544" s="263"/>
      <c r="J544" s="263"/>
      <c r="K544" s="264"/>
      <c r="L544" s="265"/>
      <c r="M544" s="264"/>
      <c r="N544" s="264"/>
      <c r="O544" s="264"/>
      <c r="P544" s="264"/>
      <c r="Q544" s="264"/>
      <c r="R544" s="264"/>
      <c r="S544" s="264"/>
      <c r="T544" s="264"/>
      <c r="U544" s="264"/>
    </row>
    <row r="545" spans="1:21" ht="12.75" hidden="1">
      <c r="A545" s="258"/>
      <c r="B545" s="260"/>
      <c r="C545" s="259"/>
      <c r="D545" s="260"/>
      <c r="E545" s="259"/>
      <c r="F545" s="260"/>
      <c r="G545" s="261"/>
      <c r="H545" s="261"/>
      <c r="I545" s="263"/>
      <c r="J545" s="263"/>
      <c r="K545" s="264"/>
      <c r="L545" s="265"/>
      <c r="M545" s="264"/>
      <c r="N545" s="264"/>
      <c r="O545" s="264"/>
      <c r="P545" s="264"/>
      <c r="Q545" s="264"/>
      <c r="R545" s="264"/>
      <c r="S545" s="264"/>
      <c r="T545" s="264"/>
      <c r="U545" s="264"/>
    </row>
    <row r="546" spans="1:21" ht="12.75" hidden="1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5"/>
      <c r="M546" s="264"/>
      <c r="N546" s="264"/>
      <c r="O546" s="264"/>
      <c r="P546" s="264"/>
      <c r="Q546" s="264"/>
      <c r="R546" s="264"/>
      <c r="S546" s="264"/>
      <c r="T546" s="264"/>
      <c r="U546" s="264"/>
    </row>
    <row r="547" spans="1:21" ht="12.75" hidden="1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5"/>
      <c r="M547" s="264"/>
      <c r="N547" s="264"/>
      <c r="O547" s="264"/>
      <c r="P547" s="264"/>
      <c r="Q547" s="264"/>
      <c r="R547" s="264"/>
      <c r="S547" s="264"/>
      <c r="T547" s="264"/>
      <c r="U547" s="264"/>
    </row>
    <row r="548" spans="1:21" ht="12.75" hidden="1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5"/>
      <c r="M548" s="264"/>
      <c r="N548" s="264"/>
      <c r="O548" s="264"/>
      <c r="P548" s="264"/>
      <c r="Q548" s="264"/>
      <c r="R548" s="264"/>
      <c r="S548" s="264"/>
      <c r="T548" s="264"/>
      <c r="U548" s="264"/>
    </row>
    <row r="549" spans="1:21" ht="12.75" hidden="1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5"/>
      <c r="M549" s="264"/>
      <c r="N549" s="264"/>
      <c r="O549" s="264"/>
      <c r="P549" s="264"/>
      <c r="Q549" s="264"/>
      <c r="R549" s="264"/>
      <c r="S549" s="264"/>
      <c r="T549" s="264"/>
      <c r="U549" s="264"/>
    </row>
    <row r="550" spans="1:21" ht="12.75" hidden="1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5"/>
      <c r="M550" s="264"/>
      <c r="N550" s="264"/>
      <c r="O550" s="264"/>
      <c r="P550" s="264"/>
      <c r="Q550" s="264"/>
      <c r="R550" s="264"/>
      <c r="S550" s="264"/>
      <c r="T550" s="264"/>
      <c r="U550" s="264"/>
    </row>
    <row r="551" spans="1:21" ht="12.75" hidden="1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5"/>
      <c r="M551" s="264"/>
      <c r="N551" s="264"/>
      <c r="O551" s="264"/>
      <c r="P551" s="264"/>
      <c r="Q551" s="264"/>
      <c r="R551" s="264"/>
      <c r="S551" s="264"/>
      <c r="T551" s="264"/>
      <c r="U551" s="264"/>
    </row>
    <row r="552" spans="1:21" ht="12.75" hidden="1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5"/>
      <c r="M552" s="264"/>
      <c r="N552" s="264"/>
      <c r="O552" s="264"/>
      <c r="P552" s="264"/>
      <c r="Q552" s="264"/>
      <c r="R552" s="264"/>
      <c r="S552" s="264"/>
      <c r="T552" s="264"/>
      <c r="U552" s="264"/>
    </row>
    <row r="553" spans="1:21" ht="12.75" hidden="1">
      <c r="A553" s="407"/>
      <c r="B553" s="360"/>
      <c r="C553" s="360"/>
      <c r="D553" s="408"/>
      <c r="E553" s="408"/>
      <c r="F553" s="408"/>
      <c r="G553" s="409"/>
      <c r="H553" s="361"/>
      <c r="I553" s="362"/>
      <c r="J553" s="362"/>
      <c r="K553" s="363"/>
      <c r="L553" s="364"/>
      <c r="M553" s="363"/>
      <c r="N553" s="363"/>
      <c r="O553" s="363"/>
      <c r="P553" s="363"/>
      <c r="Q553" s="363"/>
      <c r="R553" s="363"/>
      <c r="S553" s="363"/>
      <c r="T553" s="363"/>
      <c r="U553" s="363"/>
    </row>
    <row r="554" spans="1:21" ht="19.5" hidden="1">
      <c r="A554" s="395"/>
      <c r="B554" s="396" t="s">
        <v>212</v>
      </c>
      <c r="C554" s="397"/>
      <c r="D554" s="398"/>
      <c r="E554" s="398"/>
      <c r="F554" s="398"/>
      <c r="G554" s="399"/>
      <c r="H554" s="410" t="s">
        <v>61</v>
      </c>
      <c r="I554" s="577">
        <f>I566</f>
        <v>0</v>
      </c>
      <c r="J554" s="577">
        <f>J566</f>
        <v>0</v>
      </c>
      <c r="K554" s="576">
        <f>IF(I554&gt;0,J554*100/I554,0)</f>
        <v>0</v>
      </c>
      <c r="L554" s="404"/>
      <c r="M554" s="403"/>
      <c r="N554" s="403"/>
      <c r="O554" s="403"/>
      <c r="P554" s="403"/>
      <c r="Q554" s="403"/>
      <c r="R554" s="403"/>
      <c r="S554" s="403"/>
      <c r="T554" s="403"/>
      <c r="U554" s="403"/>
    </row>
    <row r="555" spans="1:21" ht="19.5" hidden="1">
      <c r="A555" s="155"/>
      <c r="B555" s="50"/>
      <c r="C555" s="156" t="s">
        <v>18</v>
      </c>
      <c r="D555" s="575" t="s">
        <v>19</v>
      </c>
      <c r="E555" s="50"/>
      <c r="F555" s="50"/>
      <c r="G555" s="52"/>
      <c r="H555" s="158" t="s">
        <v>14</v>
      </c>
      <c r="I555" s="54"/>
      <c r="J555" s="54"/>
      <c r="K555" s="55"/>
      <c r="L555" s="541">
        <f>L556+L557</f>
        <v>0</v>
      </c>
      <c r="M555" s="540">
        <f>M556+M557</f>
        <v>0</v>
      </c>
      <c r="N555" s="540">
        <f>N556+N557</f>
        <v>0</v>
      </c>
      <c r="O555" s="540">
        <f>IF(L555&gt;0,N555*100/L555,0)</f>
        <v>0</v>
      </c>
      <c r="P555" s="540">
        <f>IF(M555&gt;0,N555*100/M555,0)</f>
        <v>0</v>
      </c>
      <c r="Q555" s="540">
        <f>Q556+Q557</f>
        <v>0</v>
      </c>
      <c r="R555" s="540">
        <f>R556+R557</f>
        <v>0</v>
      </c>
      <c r="S555" s="540">
        <f>S556+S557</f>
        <v>0</v>
      </c>
      <c r="T555" s="540">
        <f>IF(Q555&gt;0,S555*100/Q555,0)</f>
        <v>0</v>
      </c>
      <c r="U555" s="540">
        <f>IF(R555&gt;0,S555*100/R555,0)</f>
        <v>0</v>
      </c>
    </row>
    <row r="556" spans="1:21" ht="18.75" hidden="1">
      <c r="A556" s="155"/>
      <c r="B556" s="188"/>
      <c r="C556" s="50"/>
      <c r="D556" s="50"/>
      <c r="E556" s="186" t="s">
        <v>20</v>
      </c>
      <c r="F556" s="50"/>
      <c r="G556" s="52"/>
      <c r="H556" s="187" t="s">
        <v>14</v>
      </c>
      <c r="I556" s="54"/>
      <c r="J556" s="54"/>
      <c r="K556" s="55"/>
      <c r="L556" s="103">
        <f>L559+L562</f>
        <v>0</v>
      </c>
      <c r="M556" s="102">
        <f>M559+M562</f>
        <v>0</v>
      </c>
      <c r="N556" s="102">
        <f>N559+N562</f>
        <v>0</v>
      </c>
      <c r="O556" s="102">
        <f>IF(L556&gt;0,N556*100/L556,0)</f>
        <v>0</v>
      </c>
      <c r="P556" s="102">
        <f>IF(M556&gt;0,N556*100/M556,0)</f>
        <v>0</v>
      </c>
      <c r="Q556" s="102">
        <f>Q559+Q562</f>
        <v>0</v>
      </c>
      <c r="R556" s="102">
        <f>R559+R562</f>
        <v>0</v>
      </c>
      <c r="S556" s="102">
        <f>S559+S562</f>
        <v>0</v>
      </c>
      <c r="T556" s="102">
        <f>IF(Q556&gt;0,S556*100/Q556,0)</f>
        <v>0</v>
      </c>
      <c r="U556" s="102">
        <f>IF(R556&gt;0,S556*100/R556,0)</f>
        <v>0</v>
      </c>
    </row>
    <row r="557" spans="1:21" ht="18.75" hidden="1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256">
        <f>L560+L563</f>
        <v>0</v>
      </c>
      <c r="M557" s="255">
        <f>M560+M563</f>
        <v>0</v>
      </c>
      <c r="N557" s="255">
        <f>N560+N563</f>
        <v>0</v>
      </c>
      <c r="O557" s="255">
        <f>IF(L557&gt;0,N557*100/L557,0)</f>
        <v>0</v>
      </c>
      <c r="P557" s="255">
        <f>IF(M557&gt;0,N557*100/M557,0)</f>
        <v>0</v>
      </c>
      <c r="Q557" s="255">
        <f>Q560+Q563</f>
        <v>0</v>
      </c>
      <c r="R557" s="255">
        <f>R560+R563</f>
        <v>0</v>
      </c>
      <c r="S557" s="255">
        <f>S560+S563</f>
        <v>0</v>
      </c>
      <c r="T557" s="255">
        <f>IF(Q557&gt;0,S557*100/Q557,0)</f>
        <v>0</v>
      </c>
      <c r="U557" s="255">
        <f>IF(R557&gt;0,S557*100/R557,0)</f>
        <v>0</v>
      </c>
    </row>
    <row r="558" spans="1:21" ht="18.75" hidden="1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256">
        <f>L559+L560</f>
        <v>0</v>
      </c>
      <c r="M558" s="255">
        <f>M559+M560</f>
        <v>0</v>
      </c>
      <c r="N558" s="255">
        <f>N559+N560</f>
        <v>0</v>
      </c>
      <c r="O558" s="255">
        <f>IF(L558&gt;0,N558*100/L558,0)</f>
        <v>0</v>
      </c>
      <c r="P558" s="255">
        <f>IF(M558&gt;0,N558*100/M558,0)</f>
        <v>0</v>
      </c>
      <c r="Q558" s="255">
        <f>Q559+Q560</f>
        <v>0</v>
      </c>
      <c r="R558" s="255">
        <f>R559+R560</f>
        <v>0</v>
      </c>
      <c r="S558" s="255">
        <f>S559+S560</f>
        <v>0</v>
      </c>
      <c r="T558" s="255">
        <f>IF(Q558&gt;0,S558*100/Q558,0)</f>
        <v>0</v>
      </c>
      <c r="U558" s="255">
        <f>IF(R558&gt;0,S558*100/R558,0)</f>
        <v>0</v>
      </c>
    </row>
    <row r="559" spans="1:21" ht="18.75" hidden="1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103">
        <v>0</v>
      </c>
      <c r="M559" s="102">
        <v>0</v>
      </c>
      <c r="N559" s="102">
        <v>0</v>
      </c>
      <c r="O559" s="102">
        <f>IF(L559&gt;0,N559*100/L559,0)</f>
        <v>0</v>
      </c>
      <c r="P559" s="102">
        <f>IF(M559&gt;0,N559*100/M559,0)</f>
        <v>0</v>
      </c>
      <c r="Q559" s="102">
        <v>0</v>
      </c>
      <c r="R559" s="102">
        <v>0</v>
      </c>
      <c r="S559" s="102">
        <v>0</v>
      </c>
      <c r="T559" s="102">
        <f>IF(Q559&gt;0,S559*100/Q559,0)</f>
        <v>0</v>
      </c>
      <c r="U559" s="102">
        <f>IF(R559&gt;0,S559*100/R559,0)</f>
        <v>0</v>
      </c>
    </row>
    <row r="560" spans="1:21" ht="18.75" hidden="1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256">
        <v>0</v>
      </c>
      <c r="M560" s="255">
        <v>0</v>
      </c>
      <c r="N560" s="255">
        <v>0</v>
      </c>
      <c r="O560" s="255">
        <f>IF(L560&gt;0,N560*100/L560,0)</f>
        <v>0</v>
      </c>
      <c r="P560" s="255">
        <f>IF(M560&gt;0,N560*100/M560,0)</f>
        <v>0</v>
      </c>
      <c r="Q560" s="255">
        <v>0</v>
      </c>
      <c r="R560" s="255">
        <v>0</v>
      </c>
      <c r="S560" s="255">
        <v>0</v>
      </c>
      <c r="T560" s="255">
        <f>IF(Q560&gt;0,S560*100/Q560,0)</f>
        <v>0</v>
      </c>
      <c r="U560" s="255">
        <f>IF(R560&gt;0,S560*100/R560,0)</f>
        <v>0</v>
      </c>
    </row>
    <row r="561" spans="1:21" ht="18.75" hidden="1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256">
        <f>L562+L563</f>
        <v>0</v>
      </c>
      <c r="M561" s="255">
        <f>M562+M563</f>
        <v>0</v>
      </c>
      <c r="N561" s="255">
        <f>N562+N563</f>
        <v>0</v>
      </c>
      <c r="O561" s="255">
        <f>IF(L561&gt;0,N561*100/L561,0)</f>
        <v>0</v>
      </c>
      <c r="P561" s="255">
        <f>IF(M561&gt;0,N561*100/M561,0)</f>
        <v>0</v>
      </c>
      <c r="Q561" s="255">
        <f>Q562+Q563</f>
        <v>0</v>
      </c>
      <c r="R561" s="255">
        <f>R562+R563</f>
        <v>0</v>
      </c>
      <c r="S561" s="255">
        <f>S562+S563</f>
        <v>0</v>
      </c>
      <c r="T561" s="255">
        <f>IF(Q561&gt;0,S561*100/Q561,0)</f>
        <v>0</v>
      </c>
      <c r="U561" s="255">
        <f>IF(R561&gt;0,S561*100/R561,0)</f>
        <v>0</v>
      </c>
    </row>
    <row r="562" spans="1:21" ht="18.75" hidden="1">
      <c r="A562" s="155"/>
      <c r="B562" s="50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103">
        <v>0</v>
      </c>
      <c r="M562" s="102">
        <v>0</v>
      </c>
      <c r="N562" s="102">
        <v>0</v>
      </c>
      <c r="O562" s="102">
        <f>IF(L562&gt;0,N562*100/L562,0)</f>
        <v>0</v>
      </c>
      <c r="P562" s="102">
        <f>IF(M562&gt;0,N562*100/M562,0)</f>
        <v>0</v>
      </c>
      <c r="Q562" s="102">
        <v>0</v>
      </c>
      <c r="R562" s="102">
        <v>0</v>
      </c>
      <c r="S562" s="102">
        <v>0</v>
      </c>
      <c r="T562" s="102">
        <f>IF(Q562&gt;0,S562*100/Q562,0)</f>
        <v>0</v>
      </c>
      <c r="U562" s="102">
        <f>IF(R562&gt;0,S562*100/R562,0)</f>
        <v>0</v>
      </c>
    </row>
    <row r="563" spans="1:21" ht="18.75" hidden="1">
      <c r="A563" s="155"/>
      <c r="B563" s="50"/>
      <c r="C563" s="50"/>
      <c r="D563" s="50"/>
      <c r="E563" s="58" t="s">
        <v>21</v>
      </c>
      <c r="F563" s="50"/>
      <c r="G563" s="52"/>
      <c r="H563" s="165" t="s">
        <v>14</v>
      </c>
      <c r="I563" s="163"/>
      <c r="J563" s="163"/>
      <c r="K563" s="164"/>
      <c r="L563" s="256">
        <v>0</v>
      </c>
      <c r="M563" s="255">
        <v>0</v>
      </c>
      <c r="N563" s="255">
        <v>0</v>
      </c>
      <c r="O563" s="255">
        <f>IF(L563&gt;0,N563*100/L563,0)</f>
        <v>0</v>
      </c>
      <c r="P563" s="255">
        <f>IF(M563&gt;0,N563*100/M563,0)</f>
        <v>0</v>
      </c>
      <c r="Q563" s="255">
        <v>0</v>
      </c>
      <c r="R563" s="255">
        <v>0</v>
      </c>
      <c r="S563" s="255">
        <v>0</v>
      </c>
      <c r="T563" s="255">
        <f>IF(Q563&gt;0,S563*100/Q563,0)</f>
        <v>0</v>
      </c>
      <c r="U563" s="255">
        <f>IF(R563&gt;0,S563*100/R563,0)</f>
        <v>0</v>
      </c>
    </row>
    <row r="564" spans="1:21" ht="19.5" hidden="1">
      <c r="A564" s="166"/>
      <c r="B564" s="167"/>
      <c r="C564" s="411" t="s">
        <v>18</v>
      </c>
      <c r="D564" s="566" t="s">
        <v>38</v>
      </c>
      <c r="E564" s="169"/>
      <c r="F564" s="169"/>
      <c r="G564" s="170"/>
      <c r="H564" s="171"/>
      <c r="I564" s="163"/>
      <c r="J564" s="54"/>
      <c r="K564" s="55"/>
      <c r="L564" s="62"/>
      <c r="M564" s="55"/>
      <c r="N564" s="55"/>
      <c r="O564" s="164"/>
      <c r="P564" s="164"/>
      <c r="Q564" s="55"/>
      <c r="R564" s="55"/>
      <c r="S564" s="55"/>
      <c r="T564" s="164"/>
      <c r="U564" s="164"/>
    </row>
    <row r="565" spans="1:21" ht="12.75" hidden="1">
      <c r="A565" s="258"/>
      <c r="B565" s="260"/>
      <c r="C565" s="259"/>
      <c r="D565" s="260"/>
      <c r="E565" s="259"/>
      <c r="F565" s="260"/>
      <c r="G565" s="261"/>
      <c r="H565" s="261"/>
      <c r="I565" s="263"/>
      <c r="J565" s="263"/>
      <c r="K565" s="264"/>
      <c r="L565" s="265"/>
      <c r="M565" s="264"/>
      <c r="N565" s="264"/>
      <c r="O565" s="264"/>
      <c r="P565" s="264"/>
      <c r="Q565" s="264"/>
      <c r="R565" s="264"/>
      <c r="S565" s="264"/>
      <c r="T565" s="264"/>
      <c r="U565" s="264"/>
    </row>
    <row r="566" spans="1:21" ht="12.75" hidden="1">
      <c r="A566" s="258"/>
      <c r="B566" s="260"/>
      <c r="C566" s="259"/>
      <c r="D566" s="260"/>
      <c r="E566" s="259"/>
      <c r="F566" s="260"/>
      <c r="G566" s="261"/>
      <c r="H566" s="261"/>
      <c r="I566" s="263"/>
      <c r="J566" s="263"/>
      <c r="K566" s="264"/>
      <c r="L566" s="265"/>
      <c r="M566" s="264"/>
      <c r="N566" s="264"/>
      <c r="O566" s="264"/>
      <c r="P566" s="264"/>
      <c r="Q566" s="264"/>
      <c r="R566" s="264"/>
      <c r="S566" s="264"/>
      <c r="T566" s="264"/>
      <c r="U566" s="264"/>
    </row>
    <row r="567" spans="1:21" ht="12.75" hidden="1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5"/>
      <c r="M567" s="264"/>
      <c r="N567" s="264"/>
      <c r="O567" s="264"/>
      <c r="P567" s="264"/>
      <c r="Q567" s="264"/>
      <c r="R567" s="264"/>
      <c r="S567" s="264"/>
      <c r="T567" s="264"/>
      <c r="U567" s="264"/>
    </row>
    <row r="568" spans="1:21" ht="12.75" hidden="1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5"/>
      <c r="M568" s="264"/>
      <c r="N568" s="264"/>
      <c r="O568" s="264"/>
      <c r="P568" s="264"/>
      <c r="Q568" s="264"/>
      <c r="R568" s="264"/>
      <c r="S568" s="264"/>
      <c r="T568" s="264"/>
      <c r="U568" s="264"/>
    </row>
    <row r="569" spans="1:21" ht="12.75" hidden="1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5"/>
      <c r="M569" s="264"/>
      <c r="N569" s="264"/>
      <c r="O569" s="264"/>
      <c r="P569" s="264"/>
      <c r="Q569" s="264"/>
      <c r="R569" s="264"/>
      <c r="S569" s="264"/>
      <c r="T569" s="264"/>
      <c r="U569" s="264"/>
    </row>
    <row r="570" spans="1:21" ht="12.75" hidden="1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5"/>
      <c r="M570" s="264"/>
      <c r="N570" s="264"/>
      <c r="O570" s="264"/>
      <c r="P570" s="264"/>
      <c r="Q570" s="264"/>
      <c r="R570" s="264"/>
      <c r="S570" s="264"/>
      <c r="T570" s="264"/>
      <c r="U570" s="264"/>
    </row>
    <row r="571" spans="1:21" ht="12.75" hidden="1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5"/>
      <c r="M571" s="264"/>
      <c r="N571" s="264"/>
      <c r="O571" s="264"/>
      <c r="P571" s="264"/>
      <c r="Q571" s="264"/>
      <c r="R571" s="264"/>
      <c r="S571" s="264"/>
      <c r="T571" s="264"/>
      <c r="U571" s="264"/>
    </row>
    <row r="572" spans="1:21" ht="12.75" hidden="1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5"/>
      <c r="M572" s="264"/>
      <c r="N572" s="264"/>
      <c r="O572" s="264"/>
      <c r="P572" s="264"/>
      <c r="Q572" s="264"/>
      <c r="R572" s="264"/>
      <c r="S572" s="264"/>
      <c r="T572" s="264"/>
      <c r="U572" s="264"/>
    </row>
    <row r="573" spans="1:21" ht="12.75" hidden="1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5"/>
      <c r="M573" s="264"/>
      <c r="N573" s="264"/>
      <c r="O573" s="264"/>
      <c r="P573" s="264"/>
      <c r="Q573" s="264"/>
      <c r="R573" s="264"/>
      <c r="S573" s="264"/>
      <c r="T573" s="264"/>
      <c r="U573" s="264"/>
    </row>
    <row r="574" spans="1:21" ht="12.75" hidden="1">
      <c r="A574" s="407"/>
      <c r="B574" s="360"/>
      <c r="C574" s="360"/>
      <c r="D574" s="408"/>
      <c r="E574" s="408"/>
      <c r="F574" s="408"/>
      <c r="G574" s="409"/>
      <c r="H574" s="361"/>
      <c r="I574" s="362"/>
      <c r="J574" s="362"/>
      <c r="K574" s="363"/>
      <c r="L574" s="364"/>
      <c r="M574" s="363"/>
      <c r="N574" s="363"/>
      <c r="O574" s="363"/>
      <c r="P574" s="363"/>
      <c r="Q574" s="363"/>
      <c r="R574" s="363"/>
      <c r="S574" s="363"/>
      <c r="T574" s="363"/>
      <c r="U574" s="363"/>
    </row>
    <row r="575" spans="1:21" ht="19.5" hidden="1">
      <c r="A575" s="395"/>
      <c r="B575" s="396" t="s">
        <v>213</v>
      </c>
      <c r="C575" s="397"/>
      <c r="D575" s="398"/>
      <c r="E575" s="398"/>
      <c r="F575" s="398"/>
      <c r="G575" s="399"/>
      <c r="H575" s="410" t="s">
        <v>61</v>
      </c>
      <c r="I575" s="577">
        <f>I587</f>
        <v>0</v>
      </c>
      <c r="J575" s="577">
        <f>J587</f>
        <v>0</v>
      </c>
      <c r="K575" s="576">
        <f>IF(I575&gt;0,J575*100/I575,0)</f>
        <v>0</v>
      </c>
      <c r="L575" s="404"/>
      <c r="M575" s="403"/>
      <c r="N575" s="403"/>
      <c r="O575" s="403"/>
      <c r="P575" s="403"/>
      <c r="Q575" s="403"/>
      <c r="R575" s="403"/>
      <c r="S575" s="403"/>
      <c r="T575" s="403"/>
      <c r="U575" s="403"/>
    </row>
    <row r="576" spans="1:21" ht="19.5" hidden="1">
      <c r="A576" s="155"/>
      <c r="B576" s="50"/>
      <c r="C576" s="156" t="s">
        <v>18</v>
      </c>
      <c r="D576" s="575" t="s">
        <v>19</v>
      </c>
      <c r="E576" s="50"/>
      <c r="F576" s="50"/>
      <c r="G576" s="52"/>
      <c r="H576" s="158" t="s">
        <v>14</v>
      </c>
      <c r="I576" s="54"/>
      <c r="J576" s="54"/>
      <c r="K576" s="55"/>
      <c r="L576" s="541">
        <f>L577+L578</f>
        <v>0</v>
      </c>
      <c r="M576" s="540">
        <f>M577+M578</f>
        <v>0</v>
      </c>
      <c r="N576" s="540">
        <f>N577+N578</f>
        <v>0</v>
      </c>
      <c r="O576" s="540">
        <f>IF(L576&gt;0,N576*100/L576,0)</f>
        <v>0</v>
      </c>
      <c r="P576" s="540">
        <f>IF(M576&gt;0,N576*100/M576,0)</f>
        <v>0</v>
      </c>
      <c r="Q576" s="540">
        <f>Q577+Q578</f>
        <v>0</v>
      </c>
      <c r="R576" s="540">
        <f>R577+R578</f>
        <v>0</v>
      </c>
      <c r="S576" s="540">
        <f>S577+S578</f>
        <v>0</v>
      </c>
      <c r="T576" s="540">
        <f>IF(Q576&gt;0,S576*100/Q576,0)</f>
        <v>0</v>
      </c>
      <c r="U576" s="540">
        <f>IF(R576&gt;0,S576*100/R576,0)</f>
        <v>0</v>
      </c>
    </row>
    <row r="577" spans="1:21" ht="18.75" hidden="1">
      <c r="A577" s="155"/>
      <c r="B577" s="188"/>
      <c r="C577" s="50"/>
      <c r="D577" s="50"/>
      <c r="E577" s="186" t="s">
        <v>20</v>
      </c>
      <c r="F577" s="50"/>
      <c r="G577" s="52"/>
      <c r="H577" s="187" t="s">
        <v>14</v>
      </c>
      <c r="I577" s="54"/>
      <c r="J577" s="54"/>
      <c r="K577" s="55"/>
      <c r="L577" s="103">
        <f>L580+L583</f>
        <v>0</v>
      </c>
      <c r="M577" s="102">
        <f>M580+M583</f>
        <v>0</v>
      </c>
      <c r="N577" s="102">
        <f>N580+N583</f>
        <v>0</v>
      </c>
      <c r="O577" s="102">
        <f>IF(L577&gt;0,N577*100/L577,0)</f>
        <v>0</v>
      </c>
      <c r="P577" s="102">
        <f>IF(M577&gt;0,N577*100/M577,0)</f>
        <v>0</v>
      </c>
      <c r="Q577" s="102">
        <f>Q580+Q583</f>
        <v>0</v>
      </c>
      <c r="R577" s="102">
        <f>R580+R583</f>
        <v>0</v>
      </c>
      <c r="S577" s="102">
        <f>S580+S583</f>
        <v>0</v>
      </c>
      <c r="T577" s="102">
        <f>IF(Q577&gt;0,S577*100/Q577,0)</f>
        <v>0</v>
      </c>
      <c r="U577" s="102">
        <f>IF(R577&gt;0,S577*100/R577,0)</f>
        <v>0</v>
      </c>
    </row>
    <row r="578" spans="1:21" ht="18.75" hidden="1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256">
        <f>L581+L584</f>
        <v>0</v>
      </c>
      <c r="M578" s="255">
        <f>M581+M584</f>
        <v>0</v>
      </c>
      <c r="N578" s="255">
        <f>N581+N584</f>
        <v>0</v>
      </c>
      <c r="O578" s="255">
        <f>IF(L578&gt;0,N578*100/L578,0)</f>
        <v>0</v>
      </c>
      <c r="P578" s="255">
        <f>IF(M578&gt;0,N578*100/M578,0)</f>
        <v>0</v>
      </c>
      <c r="Q578" s="255">
        <f>Q581+Q584</f>
        <v>0</v>
      </c>
      <c r="R578" s="255">
        <f>R581+R584</f>
        <v>0</v>
      </c>
      <c r="S578" s="255">
        <f>S581+S584</f>
        <v>0</v>
      </c>
      <c r="T578" s="255">
        <f>IF(Q578&gt;0,S578*100/Q578,0)</f>
        <v>0</v>
      </c>
      <c r="U578" s="255">
        <f>IF(R578&gt;0,S578*100/R578,0)</f>
        <v>0</v>
      </c>
    </row>
    <row r="579" spans="1:21" ht="18.75" hidden="1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256">
        <f>L580+L581</f>
        <v>0</v>
      </c>
      <c r="M579" s="255">
        <f>M580+M581</f>
        <v>0</v>
      </c>
      <c r="N579" s="255">
        <f>N580+N581</f>
        <v>0</v>
      </c>
      <c r="O579" s="255">
        <f>IF(L579&gt;0,N579*100/L579,0)</f>
        <v>0</v>
      </c>
      <c r="P579" s="255">
        <f>IF(M579&gt;0,N579*100/M579,0)</f>
        <v>0</v>
      </c>
      <c r="Q579" s="255">
        <f>Q580+Q581</f>
        <v>0</v>
      </c>
      <c r="R579" s="255">
        <f>R580+R581</f>
        <v>0</v>
      </c>
      <c r="S579" s="255">
        <f>S580+S581</f>
        <v>0</v>
      </c>
      <c r="T579" s="255">
        <f>IF(Q579&gt;0,S579*100/Q579,0)</f>
        <v>0</v>
      </c>
      <c r="U579" s="255">
        <f>IF(R579&gt;0,S579*100/R579,0)</f>
        <v>0</v>
      </c>
    </row>
    <row r="580" spans="1:21" ht="18.75" hidden="1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103">
        <v>0</v>
      </c>
      <c r="M580" s="102">
        <v>0</v>
      </c>
      <c r="N580" s="102">
        <v>0</v>
      </c>
      <c r="O580" s="102">
        <f>IF(L580&gt;0,N580*100/L580,0)</f>
        <v>0</v>
      </c>
      <c r="P580" s="102">
        <f>IF(M580&gt;0,N580*100/M580,0)</f>
        <v>0</v>
      </c>
      <c r="Q580" s="102">
        <v>0</v>
      </c>
      <c r="R580" s="102">
        <v>0</v>
      </c>
      <c r="S580" s="102">
        <v>0</v>
      </c>
      <c r="T580" s="102">
        <f>IF(Q580&gt;0,S580*100/Q580,0)</f>
        <v>0</v>
      </c>
      <c r="U580" s="102">
        <f>IF(R580&gt;0,S580*100/R580,0)</f>
        <v>0</v>
      </c>
    </row>
    <row r="581" spans="1:21" ht="18.75" hidden="1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256">
        <v>0</v>
      </c>
      <c r="M581" s="255">
        <v>0</v>
      </c>
      <c r="N581" s="255">
        <v>0</v>
      </c>
      <c r="O581" s="255">
        <f>IF(L581&gt;0,N581*100/L581,0)</f>
        <v>0</v>
      </c>
      <c r="P581" s="255">
        <f>IF(M581&gt;0,N581*100/M581,0)</f>
        <v>0</v>
      </c>
      <c r="Q581" s="255">
        <v>0</v>
      </c>
      <c r="R581" s="255">
        <v>0</v>
      </c>
      <c r="S581" s="255">
        <v>0</v>
      </c>
      <c r="T581" s="255">
        <f>IF(Q581&gt;0,S581*100/Q581,0)</f>
        <v>0</v>
      </c>
      <c r="U581" s="255">
        <f>IF(R581&gt;0,S581*100/R581,0)</f>
        <v>0</v>
      </c>
    </row>
    <row r="582" spans="1:21" ht="18.75" hidden="1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256">
        <f>L583+L584</f>
        <v>0</v>
      </c>
      <c r="M582" s="255">
        <f>M583+M584</f>
        <v>0</v>
      </c>
      <c r="N582" s="255">
        <f>N583+N584</f>
        <v>0</v>
      </c>
      <c r="O582" s="255">
        <f>IF(L582&gt;0,N582*100/L582,0)</f>
        <v>0</v>
      </c>
      <c r="P582" s="255">
        <f>IF(M582&gt;0,N582*100/M582,0)</f>
        <v>0</v>
      </c>
      <c r="Q582" s="255">
        <f>Q583+Q584</f>
        <v>0</v>
      </c>
      <c r="R582" s="255">
        <f>R583+R584</f>
        <v>0</v>
      </c>
      <c r="S582" s="255">
        <f>S583+S584</f>
        <v>0</v>
      </c>
      <c r="T582" s="255">
        <f>IF(Q582&gt;0,S582*100/Q582,0)</f>
        <v>0</v>
      </c>
      <c r="U582" s="255">
        <f>IF(R582&gt;0,S582*100/R582,0)</f>
        <v>0</v>
      </c>
    </row>
    <row r="583" spans="1:21" ht="18.75" hidden="1">
      <c r="A583" s="155"/>
      <c r="B583" s="50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103">
        <v>0</v>
      </c>
      <c r="M583" s="102">
        <v>0</v>
      </c>
      <c r="N583" s="102">
        <v>0</v>
      </c>
      <c r="O583" s="102">
        <f>IF(L583&gt;0,N583*100/L583,0)</f>
        <v>0</v>
      </c>
      <c r="P583" s="102">
        <f>IF(M583&gt;0,N583*100/M583,0)</f>
        <v>0</v>
      </c>
      <c r="Q583" s="102">
        <v>0</v>
      </c>
      <c r="R583" s="102">
        <v>0</v>
      </c>
      <c r="S583" s="102">
        <v>0</v>
      </c>
      <c r="T583" s="102">
        <f>IF(Q583&gt;0,S583*100/Q583,0)</f>
        <v>0</v>
      </c>
      <c r="U583" s="102">
        <f>IF(R583&gt;0,S583*100/R583,0)</f>
        <v>0</v>
      </c>
    </row>
    <row r="584" spans="1:21" ht="18.75" hidden="1">
      <c r="A584" s="155"/>
      <c r="B584" s="50"/>
      <c r="C584" s="50"/>
      <c r="D584" s="50"/>
      <c r="E584" s="58" t="s">
        <v>21</v>
      </c>
      <c r="F584" s="50"/>
      <c r="G584" s="52"/>
      <c r="H584" s="165" t="s">
        <v>14</v>
      </c>
      <c r="I584" s="163"/>
      <c r="J584" s="163"/>
      <c r="K584" s="164"/>
      <c r="L584" s="256">
        <v>0</v>
      </c>
      <c r="M584" s="255">
        <v>0</v>
      </c>
      <c r="N584" s="255">
        <v>0</v>
      </c>
      <c r="O584" s="255">
        <f>IF(L584&gt;0,N584*100/L584,0)</f>
        <v>0</v>
      </c>
      <c r="P584" s="255">
        <f>IF(M584&gt;0,N584*100/M584,0)</f>
        <v>0</v>
      </c>
      <c r="Q584" s="255">
        <v>0</v>
      </c>
      <c r="R584" s="255">
        <v>0</v>
      </c>
      <c r="S584" s="255">
        <v>0</v>
      </c>
      <c r="T584" s="255">
        <f>IF(Q584&gt;0,S584*100/Q584,0)</f>
        <v>0</v>
      </c>
      <c r="U584" s="255">
        <f>IF(R584&gt;0,S584*100/R584,0)</f>
        <v>0</v>
      </c>
    </row>
    <row r="585" spans="1:21" ht="19.5" hidden="1">
      <c r="A585" s="166"/>
      <c r="B585" s="167"/>
      <c r="C585" s="411" t="s">
        <v>18</v>
      </c>
      <c r="D585" s="566" t="s">
        <v>38</v>
      </c>
      <c r="E585" s="169"/>
      <c r="F585" s="169"/>
      <c r="G585" s="170"/>
      <c r="H585" s="171"/>
      <c r="I585" s="163"/>
      <c r="J585" s="54"/>
      <c r="K585" s="55"/>
      <c r="L585" s="62"/>
      <c r="M585" s="55"/>
      <c r="N585" s="55"/>
      <c r="O585" s="164"/>
      <c r="P585" s="164"/>
      <c r="Q585" s="55"/>
      <c r="R585" s="55"/>
      <c r="S585" s="55"/>
      <c r="T585" s="164"/>
      <c r="U585" s="164"/>
    </row>
    <row r="586" spans="1:21" ht="12.75" hidden="1">
      <c r="A586" s="258"/>
      <c r="B586" s="260"/>
      <c r="C586" s="259"/>
      <c r="D586" s="260"/>
      <c r="E586" s="259"/>
      <c r="F586" s="260"/>
      <c r="G586" s="261"/>
      <c r="H586" s="261"/>
      <c r="I586" s="263"/>
      <c r="J586" s="263"/>
      <c r="K586" s="264"/>
      <c r="L586" s="265"/>
      <c r="M586" s="264"/>
      <c r="N586" s="264"/>
      <c r="O586" s="264"/>
      <c r="P586" s="264"/>
      <c r="Q586" s="264"/>
      <c r="R586" s="264"/>
      <c r="S586" s="264"/>
      <c r="T586" s="264"/>
      <c r="U586" s="264"/>
    </row>
    <row r="587" spans="1:21" ht="12.75" hidden="1">
      <c r="A587" s="258"/>
      <c r="B587" s="260"/>
      <c r="C587" s="259"/>
      <c r="D587" s="260"/>
      <c r="E587" s="259"/>
      <c r="F587" s="260"/>
      <c r="G587" s="261"/>
      <c r="H587" s="261"/>
      <c r="I587" s="263"/>
      <c r="J587" s="263"/>
      <c r="K587" s="264"/>
      <c r="L587" s="265"/>
      <c r="M587" s="264"/>
      <c r="N587" s="264"/>
      <c r="O587" s="264"/>
      <c r="P587" s="264"/>
      <c r="Q587" s="264"/>
      <c r="R587" s="264"/>
      <c r="S587" s="264"/>
      <c r="T587" s="264"/>
      <c r="U587" s="264"/>
    </row>
    <row r="588" spans="1:21" ht="12.75" hidden="1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5"/>
      <c r="M588" s="264"/>
      <c r="N588" s="264"/>
      <c r="O588" s="264"/>
      <c r="P588" s="264"/>
      <c r="Q588" s="264"/>
      <c r="R588" s="264"/>
      <c r="S588" s="264"/>
      <c r="T588" s="264"/>
      <c r="U588" s="264"/>
    </row>
    <row r="589" spans="1:21" ht="12.75" hidden="1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5"/>
      <c r="M589" s="264"/>
      <c r="N589" s="264"/>
      <c r="O589" s="264"/>
      <c r="P589" s="264"/>
      <c r="Q589" s="264"/>
      <c r="R589" s="264"/>
      <c r="S589" s="264"/>
      <c r="T589" s="264"/>
      <c r="U589" s="264"/>
    </row>
    <row r="590" spans="1:21" ht="12.75" hidden="1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5"/>
      <c r="M590" s="264"/>
      <c r="N590" s="264"/>
      <c r="O590" s="264"/>
      <c r="P590" s="264"/>
      <c r="Q590" s="264"/>
      <c r="R590" s="264"/>
      <c r="S590" s="264"/>
      <c r="T590" s="264"/>
      <c r="U590" s="264"/>
    </row>
    <row r="591" spans="1:21" ht="12.75" hidden="1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5"/>
      <c r="M591" s="264"/>
      <c r="N591" s="264"/>
      <c r="O591" s="264"/>
      <c r="P591" s="264"/>
      <c r="Q591" s="264"/>
      <c r="R591" s="264"/>
      <c r="S591" s="264"/>
      <c r="T591" s="264"/>
      <c r="U591" s="264"/>
    </row>
    <row r="592" spans="1:21" ht="12.75" hidden="1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5"/>
      <c r="M592" s="264"/>
      <c r="N592" s="264"/>
      <c r="O592" s="264"/>
      <c r="P592" s="264"/>
      <c r="Q592" s="264"/>
      <c r="R592" s="264"/>
      <c r="S592" s="264"/>
      <c r="T592" s="264"/>
      <c r="U592" s="264"/>
    </row>
    <row r="593" spans="1:21" ht="12.75" hidden="1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5"/>
      <c r="M593" s="264"/>
      <c r="N593" s="264"/>
      <c r="O593" s="264"/>
      <c r="P593" s="264"/>
      <c r="Q593" s="264"/>
      <c r="R593" s="264"/>
      <c r="S593" s="264"/>
      <c r="T593" s="264"/>
      <c r="U593" s="264"/>
    </row>
    <row r="594" spans="1:21" ht="12.75" hidden="1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5"/>
      <c r="M594" s="264"/>
      <c r="N594" s="264"/>
      <c r="O594" s="264"/>
      <c r="P594" s="264"/>
      <c r="Q594" s="264"/>
      <c r="R594" s="264"/>
      <c r="S594" s="264"/>
      <c r="T594" s="264"/>
      <c r="U594" s="264"/>
    </row>
    <row r="595" spans="1:21" ht="12.75" hidden="1">
      <c r="A595" s="407"/>
      <c r="B595" s="360"/>
      <c r="C595" s="360"/>
      <c r="D595" s="408"/>
      <c r="E595" s="408"/>
      <c r="F595" s="408"/>
      <c r="G595" s="409"/>
      <c r="H595" s="361"/>
      <c r="I595" s="362"/>
      <c r="J595" s="362"/>
      <c r="K595" s="363"/>
      <c r="L595" s="364"/>
      <c r="M595" s="363"/>
      <c r="N595" s="363"/>
      <c r="O595" s="363"/>
      <c r="P595" s="363"/>
      <c r="Q595" s="363"/>
      <c r="R595" s="363"/>
      <c r="S595" s="363"/>
      <c r="T595" s="363"/>
      <c r="U595" s="363"/>
    </row>
    <row r="596" spans="1:21" ht="19.5" hidden="1">
      <c r="A596" s="412" t="s">
        <v>214</v>
      </c>
      <c r="B596" s="144"/>
      <c r="C596" s="196"/>
      <c r="D596" s="144"/>
      <c r="E596" s="144"/>
      <c r="F596" s="144"/>
      <c r="G596" s="144"/>
      <c r="H596" s="145"/>
      <c r="I596" s="197"/>
      <c r="J596" s="197"/>
      <c r="K596" s="19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8"/>
    </row>
    <row r="597" spans="1:21" ht="19.5" hidden="1">
      <c r="A597" s="150"/>
      <c r="B597" s="413" t="s">
        <v>215</v>
      </c>
      <c r="C597" s="200"/>
      <c r="D597" s="151"/>
      <c r="E597" s="34"/>
      <c r="F597" s="34"/>
      <c r="G597" s="34"/>
      <c r="H597" s="414" t="s">
        <v>99</v>
      </c>
      <c r="I597" s="210"/>
      <c r="J597" s="39"/>
      <c r="K597" s="40"/>
      <c r="L597" s="154"/>
      <c r="M597" s="40"/>
      <c r="N597" s="40"/>
      <c r="O597" s="40"/>
      <c r="P597" s="40"/>
      <c r="Q597" s="40"/>
      <c r="R597" s="40"/>
      <c r="S597" s="40"/>
      <c r="T597" s="40"/>
      <c r="U597" s="40"/>
    </row>
    <row r="598" spans="1:21" ht="19.5" hidden="1">
      <c r="A598" s="415"/>
      <c r="B598" s="416" t="s">
        <v>216</v>
      </c>
      <c r="C598" s="151"/>
      <c r="D598" s="34"/>
      <c r="E598" s="34"/>
      <c r="F598" s="34"/>
      <c r="G598" s="37"/>
      <c r="H598" s="417" t="s">
        <v>35</v>
      </c>
      <c r="I598" s="39"/>
      <c r="J598" s="39"/>
      <c r="K598" s="40"/>
      <c r="L598" s="154"/>
      <c r="M598" s="40"/>
      <c r="N598" s="40"/>
      <c r="O598" s="40"/>
      <c r="P598" s="40"/>
      <c r="Q598" s="40"/>
      <c r="R598" s="40"/>
      <c r="S598" s="40"/>
      <c r="T598" s="40"/>
      <c r="U598" s="40"/>
    </row>
    <row r="599" spans="1:21" ht="19.5" hidden="1">
      <c r="A599" s="155"/>
      <c r="B599" s="188"/>
      <c r="C599" s="205" t="s">
        <v>18</v>
      </c>
      <c r="D599" s="563" t="s">
        <v>19</v>
      </c>
      <c r="E599" s="529"/>
      <c r="F599" s="529"/>
      <c r="G599" s="530"/>
      <c r="H599" s="418" t="s">
        <v>14</v>
      </c>
      <c r="I599" s="54"/>
      <c r="J599" s="54"/>
      <c r="K599" s="55"/>
      <c r="L599" s="541">
        <f>L600+L601</f>
        <v>0</v>
      </c>
      <c r="M599" s="540">
        <f>M600+M601</f>
        <v>0</v>
      </c>
      <c r="N599" s="540">
        <f>N600+N601</f>
        <v>0</v>
      </c>
      <c r="O599" s="540">
        <f>IF(L599&gt;0,N599*100/L599,0)</f>
        <v>0</v>
      </c>
      <c r="P599" s="540">
        <f>IF(M599&gt;0,N599*100/M599,0)</f>
        <v>0</v>
      </c>
      <c r="Q599" s="540">
        <f>Q600+Q601</f>
        <v>0</v>
      </c>
      <c r="R599" s="540">
        <f>R600+R601</f>
        <v>0</v>
      </c>
      <c r="S599" s="540">
        <f>S600+S601</f>
        <v>0</v>
      </c>
      <c r="T599" s="540">
        <f>IF(Q599&gt;0,S599*100/Q599,0)</f>
        <v>0</v>
      </c>
      <c r="U599" s="540">
        <f>IF(R599&gt;0,S599*100/R599,0)</f>
        <v>0</v>
      </c>
    </row>
    <row r="600" spans="1:21" ht="18.75" hidden="1">
      <c r="A600" s="155"/>
      <c r="B600" s="188"/>
      <c r="C600" s="188"/>
      <c r="D600" s="174"/>
      <c r="E600" s="186" t="s">
        <v>159</v>
      </c>
      <c r="F600" s="50"/>
      <c r="G600" s="52"/>
      <c r="H600" s="189" t="s">
        <v>14</v>
      </c>
      <c r="I600" s="54"/>
      <c r="J600" s="54"/>
      <c r="K600" s="55"/>
      <c r="L600" s="103">
        <f>L603+L606</f>
        <v>0</v>
      </c>
      <c r="M600" s="102">
        <f>M603+M606</f>
        <v>0</v>
      </c>
      <c r="N600" s="102">
        <f>N603+N606</f>
        <v>0</v>
      </c>
      <c r="O600" s="102">
        <f>IF(L600&gt;0,N600*100/L600,0)</f>
        <v>0</v>
      </c>
      <c r="P600" s="102">
        <f>IF(M600&gt;0,N600*100/M600,0)</f>
        <v>0</v>
      </c>
      <c r="Q600" s="102">
        <f>Q603+Q606</f>
        <v>0</v>
      </c>
      <c r="R600" s="102">
        <f>R603+R606</f>
        <v>0</v>
      </c>
      <c r="S600" s="102">
        <f>S603+S606</f>
        <v>0</v>
      </c>
      <c r="T600" s="102">
        <f>IF(Q600&gt;0,S600*100/Q600,0)</f>
        <v>0</v>
      </c>
      <c r="U600" s="102">
        <f>IF(R600&gt;0,S600*100/R600,0)</f>
        <v>0</v>
      </c>
    </row>
    <row r="601" spans="1:21" ht="18.75" hidden="1">
      <c r="A601" s="155"/>
      <c r="B601" s="188"/>
      <c r="C601" s="188"/>
      <c r="D601" s="174"/>
      <c r="E601" s="186" t="s">
        <v>160</v>
      </c>
      <c r="F601" s="50"/>
      <c r="G601" s="52"/>
      <c r="H601" s="189" t="s">
        <v>14</v>
      </c>
      <c r="I601" s="54"/>
      <c r="J601" s="54"/>
      <c r="K601" s="55"/>
      <c r="L601" s="256">
        <f>L604+L607</f>
        <v>0</v>
      </c>
      <c r="M601" s="255">
        <f>M604+M607</f>
        <v>0</v>
      </c>
      <c r="N601" s="255">
        <f>N604+N607</f>
        <v>0</v>
      </c>
      <c r="O601" s="255">
        <f>IF(L601&gt;0,N601*100/L601,0)</f>
        <v>0</v>
      </c>
      <c r="P601" s="255">
        <f>IF(M601&gt;0,N601*100/M601,0)</f>
        <v>0</v>
      </c>
      <c r="Q601" s="255">
        <f>Q604+Q607</f>
        <v>0</v>
      </c>
      <c r="R601" s="255">
        <f>R604+R607</f>
        <v>0</v>
      </c>
      <c r="S601" s="255">
        <f>S604+S607</f>
        <v>0</v>
      </c>
      <c r="T601" s="255">
        <f>IF(Q601&gt;0,S601*100/Q601,0)</f>
        <v>0</v>
      </c>
      <c r="U601" s="255">
        <f>IF(R601&gt;0,S601*100/R601,0)</f>
        <v>0</v>
      </c>
    </row>
    <row r="602" spans="1:21" ht="19.5" hidden="1">
      <c r="A602" s="155"/>
      <c r="B602" s="188"/>
      <c r="C602" s="188"/>
      <c r="D602" s="562" t="s">
        <v>22</v>
      </c>
      <c r="E602" s="50"/>
      <c r="F602" s="50"/>
      <c r="G602" s="52"/>
      <c r="H602" s="418" t="s">
        <v>14</v>
      </c>
      <c r="I602" s="163"/>
      <c r="J602" s="163"/>
      <c r="K602" s="164"/>
      <c r="L602" s="256">
        <f>L603+L604</f>
        <v>0</v>
      </c>
      <c r="M602" s="255">
        <f>M603+M604</f>
        <v>0</v>
      </c>
      <c r="N602" s="255">
        <f>N603+N604</f>
        <v>0</v>
      </c>
      <c r="O602" s="255">
        <f>IF(L602&gt;0,N602*100/L602,0)</f>
        <v>0</v>
      </c>
      <c r="P602" s="255">
        <f>IF(M602&gt;0,N602*100/M602,0)</f>
        <v>0</v>
      </c>
      <c r="Q602" s="255">
        <f>Q603+Q604</f>
        <v>0</v>
      </c>
      <c r="R602" s="255">
        <f>R603+R604</f>
        <v>0</v>
      </c>
      <c r="S602" s="255">
        <f>S603+S604</f>
        <v>0</v>
      </c>
      <c r="T602" s="255">
        <f>IF(Q602&gt;0,S602*100/Q602,0)</f>
        <v>0</v>
      </c>
      <c r="U602" s="255">
        <f>IF(R602&gt;0,S602*100/R602,0)</f>
        <v>0</v>
      </c>
    </row>
    <row r="603" spans="1:21" ht="18.75" hidden="1">
      <c r="A603" s="155"/>
      <c r="B603" s="188"/>
      <c r="C603" s="188"/>
      <c r="D603" s="174"/>
      <c r="E603" s="186" t="s">
        <v>159</v>
      </c>
      <c r="F603" s="50"/>
      <c r="G603" s="52"/>
      <c r="H603" s="189" t="s">
        <v>14</v>
      </c>
      <c r="I603" s="54"/>
      <c r="J603" s="54"/>
      <c r="K603" s="55"/>
      <c r="L603" s="103">
        <v>0</v>
      </c>
      <c r="M603" s="102">
        <v>0</v>
      </c>
      <c r="N603" s="102">
        <v>0</v>
      </c>
      <c r="O603" s="102">
        <f>IF(L603&gt;0,N603*100/L603,0)</f>
        <v>0</v>
      </c>
      <c r="P603" s="102">
        <f>IF(M603&gt;0,N603*100/M603,0)</f>
        <v>0</v>
      </c>
      <c r="Q603" s="102">
        <v>0</v>
      </c>
      <c r="R603" s="102">
        <v>0</v>
      </c>
      <c r="S603" s="102">
        <v>0</v>
      </c>
      <c r="T603" s="102">
        <f>IF(Q603&gt;0,S603*100/Q603,0)</f>
        <v>0</v>
      </c>
      <c r="U603" s="102">
        <f>IF(R603&gt;0,S603*100/R603,0)</f>
        <v>0</v>
      </c>
    </row>
    <row r="604" spans="1:21" ht="18.75" hidden="1">
      <c r="A604" s="155"/>
      <c r="B604" s="188"/>
      <c r="C604" s="188"/>
      <c r="D604" s="174"/>
      <c r="E604" s="186" t="s">
        <v>160</v>
      </c>
      <c r="F604" s="50"/>
      <c r="G604" s="52"/>
      <c r="H604" s="189" t="s">
        <v>14</v>
      </c>
      <c r="I604" s="54"/>
      <c r="J604" s="54"/>
      <c r="K604" s="55"/>
      <c r="L604" s="256">
        <v>0</v>
      </c>
      <c r="M604" s="255">
        <v>0</v>
      </c>
      <c r="N604" s="255">
        <v>0</v>
      </c>
      <c r="O604" s="255">
        <f>IF(L604&gt;0,N604*100/L604,0)</f>
        <v>0</v>
      </c>
      <c r="P604" s="255">
        <f>IF(M604&gt;0,N604*100/M604,0)</f>
        <v>0</v>
      </c>
      <c r="Q604" s="255">
        <v>0</v>
      </c>
      <c r="R604" s="255">
        <v>0</v>
      </c>
      <c r="S604" s="255">
        <v>0</v>
      </c>
      <c r="T604" s="255">
        <f>IF(Q604&gt;0,S604*100/Q604,0)</f>
        <v>0</v>
      </c>
      <c r="U604" s="255">
        <f>IF(R604&gt;0,S604*100/R604,0)</f>
        <v>0</v>
      </c>
    </row>
    <row r="605" spans="1:21" ht="19.5" hidden="1">
      <c r="A605" s="155"/>
      <c r="B605" s="188"/>
      <c r="C605" s="188"/>
      <c r="D605" s="562" t="s">
        <v>23</v>
      </c>
      <c r="E605" s="188"/>
      <c r="F605" s="50"/>
      <c r="G605" s="52"/>
      <c r="H605" s="420" t="s">
        <v>14</v>
      </c>
      <c r="I605" s="163"/>
      <c r="J605" s="163"/>
      <c r="K605" s="164"/>
      <c r="L605" s="256">
        <f>L606+L607</f>
        <v>0</v>
      </c>
      <c r="M605" s="255">
        <f>M606+M607</f>
        <v>0</v>
      </c>
      <c r="N605" s="255">
        <f>N606+N607</f>
        <v>0</v>
      </c>
      <c r="O605" s="255">
        <f>IF(L605&gt;0,N605*100/L605,0)</f>
        <v>0</v>
      </c>
      <c r="P605" s="255">
        <f>IF(M605&gt;0,N605*100/M605,0)</f>
        <v>0</v>
      </c>
      <c r="Q605" s="255">
        <f>Q606+Q607</f>
        <v>0</v>
      </c>
      <c r="R605" s="255">
        <f>R606+R607</f>
        <v>0</v>
      </c>
      <c r="S605" s="255">
        <f>S606+S607</f>
        <v>0</v>
      </c>
      <c r="T605" s="255">
        <f>IF(Q605&gt;0,S605*100/Q605,0)</f>
        <v>0</v>
      </c>
      <c r="U605" s="255">
        <f>IF(R605&gt;0,S605*100/R605,0)</f>
        <v>0</v>
      </c>
    </row>
    <row r="606" spans="1:21" ht="18.75" hidden="1">
      <c r="A606" s="155"/>
      <c r="B606" s="188"/>
      <c r="C606" s="188"/>
      <c r="D606" s="188"/>
      <c r="E606" s="358" t="s">
        <v>20</v>
      </c>
      <c r="F606" s="50"/>
      <c r="G606" s="52"/>
      <c r="H606" s="189" t="s">
        <v>14</v>
      </c>
      <c r="I606" s="163"/>
      <c r="J606" s="163"/>
      <c r="K606" s="164"/>
      <c r="L606" s="103">
        <v>0</v>
      </c>
      <c r="M606" s="102">
        <v>0</v>
      </c>
      <c r="N606" s="102">
        <v>0</v>
      </c>
      <c r="O606" s="102">
        <f>IF(L606&gt;0,N606*100/L606,0)</f>
        <v>0</v>
      </c>
      <c r="P606" s="102">
        <f>IF(M606&gt;0,N606*100/M606,0)</f>
        <v>0</v>
      </c>
      <c r="Q606" s="102">
        <v>0</v>
      </c>
      <c r="R606" s="102">
        <v>0</v>
      </c>
      <c r="S606" s="102">
        <v>0</v>
      </c>
      <c r="T606" s="102">
        <f>IF(Q606&gt;0,S606*100/Q606,0)</f>
        <v>0</v>
      </c>
      <c r="U606" s="102">
        <f>IF(R606&gt;0,S606*100/R606,0)</f>
        <v>0</v>
      </c>
    </row>
    <row r="607" spans="1:21" ht="18.75" hidden="1">
      <c r="A607" s="155"/>
      <c r="B607" s="188"/>
      <c r="C607" s="188"/>
      <c r="D607" s="50"/>
      <c r="E607" s="358" t="s">
        <v>21</v>
      </c>
      <c r="F607" s="50"/>
      <c r="G607" s="52"/>
      <c r="H607" s="421" t="s">
        <v>14</v>
      </c>
      <c r="I607" s="163"/>
      <c r="J607" s="163"/>
      <c r="K607" s="164"/>
      <c r="L607" s="256">
        <v>0</v>
      </c>
      <c r="M607" s="255">
        <v>0</v>
      </c>
      <c r="N607" s="255">
        <v>0</v>
      </c>
      <c r="O607" s="255">
        <f>IF(L607&gt;0,N607*100/L607,0)</f>
        <v>0</v>
      </c>
      <c r="P607" s="255">
        <f>IF(M607&gt;0,N607*100/M607,0)</f>
        <v>0</v>
      </c>
      <c r="Q607" s="255">
        <v>0</v>
      </c>
      <c r="R607" s="255">
        <v>0</v>
      </c>
      <c r="S607" s="255">
        <v>0</v>
      </c>
      <c r="T607" s="255">
        <f>IF(Q607&gt;0,S607*100/Q607,0)</f>
        <v>0</v>
      </c>
      <c r="U607" s="255">
        <f>IF(R607&gt;0,S607*100/R607,0)</f>
        <v>0</v>
      </c>
    </row>
    <row r="608" spans="1:21" ht="19.5" hidden="1">
      <c r="A608" s="166"/>
      <c r="B608" s="167"/>
      <c r="C608" s="205" t="s">
        <v>18</v>
      </c>
      <c r="D608" s="574" t="s">
        <v>38</v>
      </c>
      <c r="E608" s="169"/>
      <c r="F608" s="169"/>
      <c r="G608" s="170"/>
      <c r="H608" s="206"/>
      <c r="I608" s="163"/>
      <c r="J608" s="163"/>
      <c r="K608" s="164"/>
      <c r="L608" s="62"/>
      <c r="M608" s="55"/>
      <c r="N608" s="55"/>
      <c r="O608" s="55"/>
      <c r="P608" s="55"/>
      <c r="Q608" s="55"/>
      <c r="R608" s="55"/>
      <c r="S608" s="55"/>
      <c r="T608" s="55"/>
      <c r="U608" s="55"/>
    </row>
    <row r="609" spans="1:21" ht="18.75" hidden="1">
      <c r="A609" s="166"/>
      <c r="B609" s="167"/>
      <c r="C609" s="167"/>
      <c r="D609" s="423" t="s">
        <v>217</v>
      </c>
      <c r="E609" s="174"/>
      <c r="F609" s="174"/>
      <c r="G609" s="171"/>
      <c r="H609" s="189" t="s">
        <v>99</v>
      </c>
      <c r="I609" s="54"/>
      <c r="J609" s="54"/>
      <c r="K609" s="164"/>
      <c r="L609" s="62"/>
      <c r="M609" s="55"/>
      <c r="N609" s="55"/>
      <c r="O609" s="55"/>
      <c r="P609" s="55"/>
      <c r="Q609" s="55"/>
      <c r="R609" s="55"/>
      <c r="S609" s="55"/>
      <c r="T609" s="55"/>
      <c r="U609" s="55"/>
    </row>
    <row r="610" spans="1:21" ht="19.5" hidden="1">
      <c r="A610" s="166"/>
      <c r="B610" s="167"/>
      <c r="C610" s="167"/>
      <c r="D610" s="423" t="s">
        <v>218</v>
      </c>
      <c r="E610" s="174"/>
      <c r="F610" s="174"/>
      <c r="G610" s="171"/>
      <c r="H610" s="418" t="s">
        <v>35</v>
      </c>
      <c r="I610" s="54"/>
      <c r="J610" s="54"/>
      <c r="K610" s="164"/>
      <c r="L610" s="62"/>
      <c r="M610" s="55"/>
      <c r="N610" s="55"/>
      <c r="O610" s="55"/>
      <c r="P610" s="55"/>
      <c r="Q610" s="55"/>
      <c r="R610" s="55"/>
      <c r="S610" s="55"/>
      <c r="T610" s="55"/>
      <c r="U610" s="55"/>
    </row>
    <row r="611" spans="1:21" ht="18.75" hidden="1">
      <c r="A611" s="166"/>
      <c r="B611" s="167"/>
      <c r="C611" s="167"/>
      <c r="D611" s="167"/>
      <c r="E611" s="423" t="s">
        <v>219</v>
      </c>
      <c r="F611" s="174"/>
      <c r="G611" s="171"/>
      <c r="H611" s="421" t="s">
        <v>35</v>
      </c>
      <c r="I611" s="54"/>
      <c r="J611" s="54"/>
      <c r="K611" s="164"/>
      <c r="L611" s="62"/>
      <c r="M611" s="55"/>
      <c r="N611" s="55"/>
      <c r="O611" s="55"/>
      <c r="P611" s="55"/>
      <c r="Q611" s="55"/>
      <c r="R611" s="55"/>
      <c r="S611" s="55"/>
      <c r="T611" s="55"/>
      <c r="U611" s="55"/>
    </row>
    <row r="612" spans="1:21" ht="19.5" hidden="1" thickBot="1">
      <c r="A612" s="424"/>
      <c r="B612" s="425"/>
      <c r="C612" s="425"/>
      <c r="D612" s="425"/>
      <c r="E612" s="426" t="s">
        <v>220</v>
      </c>
      <c r="F612" s="427"/>
      <c r="G612" s="428"/>
      <c r="H612" s="429" t="s">
        <v>35</v>
      </c>
      <c r="I612" s="430"/>
      <c r="J612" s="430"/>
      <c r="K612" s="431"/>
      <c r="L612" s="433"/>
      <c r="M612" s="432"/>
      <c r="N612" s="432"/>
      <c r="O612" s="432"/>
      <c r="P612" s="432"/>
      <c r="Q612" s="432"/>
      <c r="R612" s="432"/>
      <c r="S612" s="432"/>
      <c r="T612" s="432"/>
      <c r="U612" s="432"/>
    </row>
    <row r="613" spans="1:21" ht="19.5" hidden="1">
      <c r="A613" s="434" t="s">
        <v>221</v>
      </c>
      <c r="B613" s="435"/>
      <c r="C613" s="435"/>
      <c r="D613" s="436"/>
      <c r="E613" s="436"/>
      <c r="F613" s="436"/>
      <c r="G613" s="437"/>
      <c r="H613" s="438"/>
      <c r="I613" s="439"/>
      <c r="J613" s="439"/>
      <c r="K613" s="440"/>
      <c r="L613" s="441"/>
      <c r="M613" s="440"/>
      <c r="N613" s="440"/>
      <c r="O613" s="440"/>
      <c r="P613" s="440"/>
      <c r="Q613" s="440"/>
      <c r="R613" s="440"/>
      <c r="S613" s="440"/>
      <c r="T613" s="440"/>
      <c r="U613" s="440"/>
    </row>
    <row r="614" spans="1:21" ht="19.5">
      <c r="A614" s="442"/>
      <c r="B614" s="443" t="s">
        <v>222</v>
      </c>
      <c r="C614" s="442"/>
      <c r="D614" s="444"/>
      <c r="E614" s="444"/>
      <c r="F614" s="444"/>
      <c r="G614" s="445"/>
      <c r="H614" s="446"/>
      <c r="I614" s="447"/>
      <c r="J614" s="447"/>
      <c r="K614" s="448"/>
      <c r="L614" s="449"/>
      <c r="M614" s="448"/>
      <c r="N614" s="448"/>
      <c r="O614" s="448"/>
      <c r="P614" s="448"/>
      <c r="Q614" s="448"/>
      <c r="R614" s="448"/>
      <c r="S614" s="448"/>
      <c r="T614" s="448"/>
      <c r="U614" s="448"/>
    </row>
    <row r="615" spans="1:21" ht="19.5">
      <c r="A615" s="450"/>
      <c r="B615" s="451" t="s">
        <v>223</v>
      </c>
      <c r="C615" s="450"/>
      <c r="D615" s="452"/>
      <c r="E615" s="452"/>
      <c r="F615" s="452"/>
      <c r="G615" s="453"/>
      <c r="H615" s="454" t="s">
        <v>46</v>
      </c>
      <c r="I615" s="573">
        <f ca="1">I626</f>
        <v>50</v>
      </c>
      <c r="J615" s="573">
        <f>J626</f>
        <v>0</v>
      </c>
      <c r="K615" s="572">
        <f ca="1">IF(I615&gt;0,J615*100/I615,0)</f>
        <v>0</v>
      </c>
      <c r="L615" s="458"/>
      <c r="M615" s="457"/>
      <c r="N615" s="457"/>
      <c r="O615" s="457"/>
      <c r="P615" s="457"/>
      <c r="Q615" s="457"/>
      <c r="R615" s="457"/>
      <c r="S615" s="457"/>
      <c r="T615" s="457"/>
      <c r="U615" s="457"/>
    </row>
    <row r="616" spans="1:21" ht="19.5">
      <c r="A616" s="155"/>
      <c r="B616" s="188"/>
      <c r="C616" s="205" t="s">
        <v>18</v>
      </c>
      <c r="D616" s="542" t="s">
        <v>19</v>
      </c>
      <c r="E616" s="529"/>
      <c r="F616" s="529"/>
      <c r="G616" s="530"/>
      <c r="H616" s="252" t="s">
        <v>14</v>
      </c>
      <c r="I616" s="54"/>
      <c r="J616" s="54"/>
      <c r="K616" s="55"/>
      <c r="L616" s="541">
        <f>L617+L618</f>
        <v>0</v>
      </c>
      <c r="M616" s="540">
        <f>M617+M618</f>
        <v>0</v>
      </c>
      <c r="N616" s="540">
        <f>N617+N618</f>
        <v>0</v>
      </c>
      <c r="O616" s="540">
        <f>IF(L616&gt;0,N616*100/L616,0)</f>
        <v>0</v>
      </c>
      <c r="P616" s="540">
        <f>IF(M616&gt;0,N616*100/M616,0)</f>
        <v>0</v>
      </c>
      <c r="Q616" s="540">
        <f ca="1">Q617+Q618</f>
        <v>6925</v>
      </c>
      <c r="R616" s="540">
        <f ca="1">R617+R618</f>
        <v>6925</v>
      </c>
      <c r="S616" s="540">
        <f ca="1">S617+S618</f>
        <v>0</v>
      </c>
      <c r="T616" s="540">
        <f ca="1">IF(Q616&gt;0,S616*100/Q616,0)</f>
        <v>0</v>
      </c>
      <c r="U616" s="540">
        <f ca="1">IF(R616&gt;0,S616*100/R616,0)</f>
        <v>0</v>
      </c>
    </row>
    <row r="617" spans="1:21" ht="18.75" hidden="1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103">
        <f>L620+L623</f>
        <v>0</v>
      </c>
      <c r="M617" s="102">
        <f>M620+M623</f>
        <v>0</v>
      </c>
      <c r="N617" s="102">
        <f>N620+N623</f>
        <v>0</v>
      </c>
      <c r="O617" s="102">
        <f>IF(L617&gt;0,N617*100/L617,0)</f>
        <v>0</v>
      </c>
      <c r="P617" s="102">
        <f>IF(M617&gt;0,N617*100/M617,0)</f>
        <v>0</v>
      </c>
      <c r="Q617" s="102">
        <f>Q620+Q623</f>
        <v>0</v>
      </c>
      <c r="R617" s="102">
        <f>R620+R623</f>
        <v>0</v>
      </c>
      <c r="S617" s="102">
        <f>S620+S623</f>
        <v>0</v>
      </c>
      <c r="T617" s="102">
        <f>IF(Q617&gt;0,S617*100/Q617,0)</f>
        <v>0</v>
      </c>
      <c r="U617" s="102">
        <f>IF(R617&gt;0,S617*100/R617,0)</f>
        <v>0</v>
      </c>
    </row>
    <row r="618" spans="1:21" ht="18.75" hidden="1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256">
        <f>L621+L624</f>
        <v>0</v>
      </c>
      <c r="M618" s="255">
        <f>M621+M624</f>
        <v>0</v>
      </c>
      <c r="N618" s="255">
        <f>N621+N624</f>
        <v>0</v>
      </c>
      <c r="O618" s="255">
        <f>IF(L618&gt;0,N618*100/L618,0)</f>
        <v>0</v>
      </c>
      <c r="P618" s="255">
        <f>IF(M618&gt;0,N618*100/M618,0)</f>
        <v>0</v>
      </c>
      <c r="Q618" s="255">
        <f ca="1">Q621+Q624</f>
        <v>6925</v>
      </c>
      <c r="R618" s="255">
        <f ca="1">R621+R624</f>
        <v>6925</v>
      </c>
      <c r="S618" s="255">
        <f ca="1">S621+S624</f>
        <v>0</v>
      </c>
      <c r="T618" s="255">
        <f ca="1">IF(Q618&gt;0,S618*100/Q618,0)</f>
        <v>0</v>
      </c>
      <c r="U618" s="255">
        <f ca="1">IF(R618&gt;0,S618*100/R618,0)</f>
        <v>0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256">
        <f>L620+L621</f>
        <v>0</v>
      </c>
      <c r="M619" s="255">
        <f>M620+M621</f>
        <v>0</v>
      </c>
      <c r="N619" s="255">
        <f>N620+N621</f>
        <v>0</v>
      </c>
      <c r="O619" s="255">
        <f>IF(L619&gt;0,N619*100/L619,0)</f>
        <v>0</v>
      </c>
      <c r="P619" s="255">
        <f>IF(M619&gt;0,N619*100/M619,0)</f>
        <v>0</v>
      </c>
      <c r="Q619" s="255">
        <f ca="1">Q620+Q621</f>
        <v>6925</v>
      </c>
      <c r="R619" s="255">
        <f ca="1">R620+R621</f>
        <v>6925</v>
      </c>
      <c r="S619" s="255">
        <f ca="1">S620+S621</f>
        <v>0</v>
      </c>
      <c r="T619" s="255">
        <f ca="1">IF(Q619&gt;0,S619*100/Q619,0)</f>
        <v>0</v>
      </c>
      <c r="U619" s="255">
        <f ca="1">IF(R619&gt;0,S619*100/R619,0)</f>
        <v>0</v>
      </c>
    </row>
    <row r="620" spans="1:21" ht="18.75" hidden="1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103">
        <v>0</v>
      </c>
      <c r="M620" s="102">
        <v>0</v>
      </c>
      <c r="N620" s="102">
        <v>0</v>
      </c>
      <c r="O620" s="102">
        <f>IF(L620&gt;0,N620*100/L620,0)</f>
        <v>0</v>
      </c>
      <c r="P620" s="102">
        <f>IF(M620&gt;0,N620*100/M620,0)</f>
        <v>0</v>
      </c>
      <c r="Q620" s="102">
        <v>0</v>
      </c>
      <c r="R620" s="102">
        <v>0</v>
      </c>
      <c r="S620" s="102">
        <v>0</v>
      </c>
      <c r="T620" s="102">
        <f>IF(Q620&gt;0,S620*100/Q620,0)</f>
        <v>0</v>
      </c>
      <c r="U620" s="102">
        <f>IF(R620&gt;0,S620*100/R620,0)</f>
        <v>0</v>
      </c>
    </row>
    <row r="621" spans="1:21" ht="18.75" hidden="1">
      <c r="A621" s="155"/>
      <c r="B621" s="188"/>
      <c r="C621" s="188"/>
      <c r="D621" s="174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256">
        <v>0</v>
      </c>
      <c r="M621" s="255">
        <v>0</v>
      </c>
      <c r="N621" s="255">
        <v>0</v>
      </c>
      <c r="O621" s="255">
        <f>IF(L621&gt;0,N621*100/L621,0)</f>
        <v>0</v>
      </c>
      <c r="P621" s="255">
        <f>IF(M621&gt;0,N621*100/M621,0)</f>
        <v>0</v>
      </c>
      <c r="Q621" s="255">
        <f ca="1">IFERROR(__xludf.DUMMYFUNCTION("IMPORTRANGE(""https://docs.google.com/spreadsheets/d/1ItG2mGa2ceCfYo0BwxsXqNm01IGEUdYcSSLTEv9YCik/edit?usp=sharing"",""เบิกจ่ายกองทุน!F46"")"),6925)</f>
        <v>6925</v>
      </c>
      <c r="R621" s="255">
        <f ca="1">IFERROR(__xludf.DUMMYFUNCTION("IMPORTRANGE(""https://docs.google.com/spreadsheets/d/1ItG2mGa2ceCfYo0BwxsXqNm01IGEUdYcSSLTEv9YCik/edit?usp=sharing"",""เบิกจ่ายกองทุน!G46"")"),6925)</f>
        <v>6925</v>
      </c>
      <c r="S621" s="255">
        <f ca="1">IFERROR(__xludf.DUMMYFUNCTION("IMPORTRANGE(""https://docs.google.com/spreadsheets/d/1ItG2mGa2ceCfYo0BwxsXqNm01IGEUdYcSSLTEv9YCik/edit?usp=sharing"",""เบิกจ่ายกองทุน!H46"")"),0)</f>
        <v>0</v>
      </c>
      <c r="T621" s="255">
        <f ca="1">IF(Q621&gt;0,S621*100/Q621,0)</f>
        <v>0</v>
      </c>
      <c r="U621" s="255">
        <f ca="1">IF(R621&gt;0,S621*100/R621,0)</f>
        <v>0</v>
      </c>
    </row>
    <row r="622" spans="1:21" ht="18.75">
      <c r="A622" s="155"/>
      <c r="B622" s="188"/>
      <c r="C622" s="188"/>
      <c r="D622" s="51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256">
        <f>L623+L624</f>
        <v>0</v>
      </c>
      <c r="M622" s="255">
        <f>M623+M624</f>
        <v>0</v>
      </c>
      <c r="N622" s="255">
        <f>N623+N624</f>
        <v>0</v>
      </c>
      <c r="O622" s="255">
        <f>IF(L622&gt;0,N622*100/L622,0)</f>
        <v>0</v>
      </c>
      <c r="P622" s="255">
        <f>IF(M622&gt;0,N622*100/M622,0)</f>
        <v>0</v>
      </c>
      <c r="Q622" s="255">
        <f>Q623+Q624</f>
        <v>0</v>
      </c>
      <c r="R622" s="255">
        <f>R623+R624</f>
        <v>0</v>
      </c>
      <c r="S622" s="255">
        <f>S623+S624</f>
        <v>0</v>
      </c>
      <c r="T622" s="255">
        <f>IF(Q622&gt;0,S622*100/Q622,0)</f>
        <v>0</v>
      </c>
      <c r="U622" s="255">
        <f>IF(R622&gt;0,S622*100/R622,0)</f>
        <v>0</v>
      </c>
    </row>
    <row r="623" spans="1:21" ht="18.75" hidden="1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103">
        <v>0</v>
      </c>
      <c r="M623" s="102">
        <v>0</v>
      </c>
      <c r="N623" s="102">
        <v>0</v>
      </c>
      <c r="O623" s="102">
        <f>IF(L623&gt;0,N623*100/L623,0)</f>
        <v>0</v>
      </c>
      <c r="P623" s="102">
        <f>IF(M623&gt;0,N623*100/M623,0)</f>
        <v>0</v>
      </c>
      <c r="Q623" s="102">
        <v>0</v>
      </c>
      <c r="R623" s="102">
        <v>0</v>
      </c>
      <c r="S623" s="102">
        <v>0</v>
      </c>
      <c r="T623" s="102">
        <f>IF(Q623&gt;0,S623*100/Q623,0)</f>
        <v>0</v>
      </c>
      <c r="U623" s="102">
        <f>IF(R623&gt;0,S623*100/R623,0)</f>
        <v>0</v>
      </c>
    </row>
    <row r="624" spans="1:21" ht="18.75" hidden="1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256">
        <v>0</v>
      </c>
      <c r="M624" s="255">
        <v>0</v>
      </c>
      <c r="N624" s="255">
        <v>0</v>
      </c>
      <c r="O624" s="255">
        <f>IF(L624&gt;0,N624*100/L624,0)</f>
        <v>0</v>
      </c>
      <c r="P624" s="255">
        <f>IF(M624&gt;0,N624*100/M624,0)</f>
        <v>0</v>
      </c>
      <c r="Q624" s="255">
        <v>0</v>
      </c>
      <c r="R624" s="255">
        <v>0</v>
      </c>
      <c r="S624" s="255">
        <v>0</v>
      </c>
      <c r="T624" s="255">
        <f>IF(Q624&gt;0,S624*100/Q624,0)</f>
        <v>0</v>
      </c>
      <c r="U624" s="255">
        <f>IF(R624&gt;0,S624*100/R624,0)</f>
        <v>0</v>
      </c>
    </row>
    <row r="625" spans="1:21" ht="19.5">
      <c r="A625" s="166"/>
      <c r="B625" s="167"/>
      <c r="C625" s="205" t="s">
        <v>18</v>
      </c>
      <c r="D625" s="539" t="s">
        <v>38</v>
      </c>
      <c r="E625" s="169"/>
      <c r="F625" s="169"/>
      <c r="G625" s="170"/>
      <c r="H625" s="206"/>
      <c r="I625" s="163"/>
      <c r="J625" s="163"/>
      <c r="K625" s="164"/>
      <c r="L625" s="172"/>
      <c r="M625" s="164"/>
      <c r="N625" s="164"/>
      <c r="O625" s="164"/>
      <c r="P625" s="164"/>
      <c r="Q625" s="164"/>
      <c r="R625" s="164"/>
      <c r="S625" s="164"/>
      <c r="T625" s="164"/>
      <c r="U625" s="164"/>
    </row>
    <row r="626" spans="1:21" ht="19.5">
      <c r="A626" s="166"/>
      <c r="B626" s="167"/>
      <c r="C626" s="167"/>
      <c r="D626" s="460" t="s">
        <v>224</v>
      </c>
      <c r="E626" s="174"/>
      <c r="F626" s="174"/>
      <c r="G626" s="171"/>
      <c r="H626" s="461" t="s">
        <v>46</v>
      </c>
      <c r="I626" s="373">
        <f ca="1">IFERROR(__xludf.DUMMYFUNCTION("IMPORTRANGE(""https://docs.google.com/spreadsheets/d/1eHaY18a8A9IcSdp1K8H6x8fbOy06t2VsZHhMHf-1x7Y/edit?usp=sharing"",""แผน!ID46"")"),50)</f>
        <v>50</v>
      </c>
      <c r="J626" s="373">
        <f>J632</f>
        <v>0</v>
      </c>
      <c r="K626" s="540">
        <f ca="1">IF(I626&gt;0,J626*100/I626,0)</f>
        <v>0</v>
      </c>
      <c r="L626" s="172"/>
      <c r="M626" s="164"/>
      <c r="N626" s="164"/>
      <c r="O626" s="164"/>
      <c r="P626" s="164"/>
      <c r="Q626" s="164"/>
      <c r="R626" s="164"/>
      <c r="S626" s="164"/>
      <c r="T626" s="164"/>
      <c r="U626" s="164"/>
    </row>
    <row r="627" spans="1:21" ht="18.75">
      <c r="A627" s="166"/>
      <c r="B627" s="167"/>
      <c r="C627" s="167"/>
      <c r="D627" s="167"/>
      <c r="E627" s="178" t="s">
        <v>225</v>
      </c>
      <c r="F627" s="174"/>
      <c r="G627" s="171"/>
      <c r="H627" s="165" t="s">
        <v>61</v>
      </c>
      <c r="I627" s="212">
        <f ca="1">IFERROR(__xludf.DUMMYFUNCTION("IMPORTRANGE(""https://docs.google.com/spreadsheets/d/1eHaY18a8A9IcSdp1K8H6x8fbOy06t2VsZHhMHf-1x7Y/edit?usp=sharing"",""แผน!IC46"")"),0)</f>
        <v>0</v>
      </c>
      <c r="J627" s="467">
        <v>0</v>
      </c>
      <c r="K627" s="255">
        <f ca="1">IF(I627&gt;0,(J627*100)/I627,0)</f>
        <v>0</v>
      </c>
      <c r="L627" s="172"/>
      <c r="M627" s="164"/>
      <c r="N627" s="164"/>
      <c r="O627" s="164"/>
      <c r="P627" s="164"/>
      <c r="Q627" s="164"/>
      <c r="R627" s="164"/>
      <c r="S627" s="164"/>
      <c r="T627" s="164"/>
      <c r="U627" s="164"/>
    </row>
    <row r="628" spans="1:21" ht="18.75">
      <c r="A628" s="166"/>
      <c r="B628" s="167"/>
      <c r="C628" s="167"/>
      <c r="D628" s="167"/>
      <c r="E628" s="178" t="s">
        <v>226</v>
      </c>
      <c r="F628" s="174"/>
      <c r="G628" s="171"/>
      <c r="H628" s="165" t="s">
        <v>61</v>
      </c>
      <c r="I628" s="212">
        <f ca="1">IFERROR(__xludf.DUMMYFUNCTION("IMPORTRANGE(""https://docs.google.com/spreadsheets/d/1eHaY18a8A9IcSdp1K8H6x8fbOy06t2VsZHhMHf-1x7Y/edit?usp=sharing"",""แผน!IC46"")"),0)</f>
        <v>0</v>
      </c>
      <c r="J628" s="467">
        <v>0</v>
      </c>
      <c r="K628" s="255">
        <f ca="1">IF(I628&gt;0,(J628*100)/I628,0)</f>
        <v>0</v>
      </c>
      <c r="L628" s="172"/>
      <c r="M628" s="164"/>
      <c r="N628" s="164"/>
      <c r="O628" s="164"/>
      <c r="P628" s="164"/>
      <c r="Q628" s="164"/>
      <c r="R628" s="164"/>
      <c r="S628" s="164"/>
      <c r="T628" s="164"/>
      <c r="U628" s="164"/>
    </row>
    <row r="629" spans="1:21" ht="18.75">
      <c r="A629" s="166"/>
      <c r="B629" s="167"/>
      <c r="C629" s="167"/>
      <c r="D629" s="167"/>
      <c r="E629" s="178" t="s">
        <v>227</v>
      </c>
      <c r="F629" s="174"/>
      <c r="G629" s="171"/>
      <c r="H629" s="165" t="s">
        <v>46</v>
      </c>
      <c r="I629" s="54"/>
      <c r="J629" s="467">
        <v>100</v>
      </c>
      <c r="K629" s="255">
        <f ca="1">IF(I$626&gt;0,J629*100/I$626,0)</f>
        <v>200</v>
      </c>
      <c r="L629" s="172"/>
      <c r="M629" s="164"/>
      <c r="N629" s="164"/>
      <c r="O629" s="164"/>
      <c r="P629" s="164"/>
      <c r="Q629" s="164"/>
      <c r="R629" s="164"/>
      <c r="S629" s="164"/>
      <c r="T629" s="164"/>
      <c r="U629" s="164"/>
    </row>
    <row r="630" spans="1:21" ht="18.75">
      <c r="A630" s="166"/>
      <c r="B630" s="167"/>
      <c r="C630" s="167"/>
      <c r="D630" s="167"/>
      <c r="E630" s="178" t="s">
        <v>228</v>
      </c>
      <c r="F630" s="174"/>
      <c r="G630" s="171"/>
      <c r="H630" s="165" t="s">
        <v>46</v>
      </c>
      <c r="I630" s="54"/>
      <c r="J630" s="467">
        <v>0</v>
      </c>
      <c r="K630" s="255">
        <f ca="1">IF(I$626&gt;0,J630*100/I$626,0)</f>
        <v>0</v>
      </c>
      <c r="L630" s="172"/>
      <c r="M630" s="164"/>
      <c r="N630" s="164"/>
      <c r="O630" s="164"/>
      <c r="P630" s="164"/>
      <c r="Q630" s="164"/>
      <c r="R630" s="164"/>
      <c r="S630" s="164"/>
      <c r="T630" s="164"/>
      <c r="U630" s="164"/>
    </row>
    <row r="631" spans="1:21" ht="18.75">
      <c r="A631" s="166"/>
      <c r="B631" s="167"/>
      <c r="C631" s="167"/>
      <c r="D631" s="167"/>
      <c r="E631" s="178" t="s">
        <v>229</v>
      </c>
      <c r="F631" s="174"/>
      <c r="G631" s="171"/>
      <c r="H631" s="165" t="s">
        <v>46</v>
      </c>
      <c r="I631" s="54"/>
      <c r="J631" s="467">
        <v>0</v>
      </c>
      <c r="K631" s="255">
        <f ca="1">IF(I$626&gt;0,J631*100/I$626,0)</f>
        <v>0</v>
      </c>
      <c r="L631" s="172"/>
      <c r="M631" s="164"/>
      <c r="N631" s="164"/>
      <c r="O631" s="164"/>
      <c r="P631" s="164"/>
      <c r="Q631" s="164"/>
      <c r="R631" s="164"/>
      <c r="S631" s="164"/>
      <c r="T631" s="164"/>
      <c r="U631" s="164"/>
    </row>
    <row r="632" spans="1:21" ht="19.5">
      <c r="A632" s="166"/>
      <c r="B632" s="167"/>
      <c r="C632" s="167"/>
      <c r="D632" s="167"/>
      <c r="E632" s="178" t="s">
        <v>230</v>
      </c>
      <c r="F632" s="174"/>
      <c r="G632" s="171"/>
      <c r="H632" s="165" t="s">
        <v>46</v>
      </c>
      <c r="I632" s="54"/>
      <c r="J632" s="373">
        <f>J633+J634</f>
        <v>0</v>
      </c>
      <c r="K632" s="540">
        <f ca="1">IF(I626&gt;0,J632*100/I626,0)</f>
        <v>0</v>
      </c>
      <c r="L632" s="172"/>
      <c r="M632" s="164"/>
      <c r="N632" s="164"/>
      <c r="O632" s="164"/>
      <c r="P632" s="164"/>
      <c r="Q632" s="164"/>
      <c r="R632" s="164"/>
      <c r="S632" s="164"/>
      <c r="T632" s="164"/>
      <c r="U632" s="164"/>
    </row>
    <row r="633" spans="1:21" ht="18.75">
      <c r="A633" s="166"/>
      <c r="B633" s="167"/>
      <c r="C633" s="167"/>
      <c r="D633" s="167"/>
      <c r="E633" s="174"/>
      <c r="F633" s="178" t="s">
        <v>231</v>
      </c>
      <c r="G633" s="171"/>
      <c r="H633" s="165" t="s">
        <v>46</v>
      </c>
      <c r="I633" s="54"/>
      <c r="J633" s="467">
        <v>0</v>
      </c>
      <c r="K633" s="55"/>
      <c r="L633" s="172"/>
      <c r="M633" s="164"/>
      <c r="N633" s="164"/>
      <c r="O633" s="164"/>
      <c r="P633" s="164"/>
      <c r="Q633" s="164"/>
      <c r="R633" s="164"/>
      <c r="S633" s="164"/>
      <c r="T633" s="164"/>
      <c r="U633" s="164"/>
    </row>
    <row r="634" spans="1:21" ht="18.75">
      <c r="A634" s="166"/>
      <c r="B634" s="167"/>
      <c r="C634" s="167"/>
      <c r="D634" s="167"/>
      <c r="E634" s="174"/>
      <c r="F634" s="178" t="s">
        <v>232</v>
      </c>
      <c r="G634" s="171"/>
      <c r="H634" s="165" t="s">
        <v>46</v>
      </c>
      <c r="I634" s="54"/>
      <c r="J634" s="467">
        <v>0</v>
      </c>
      <c r="K634" s="55"/>
      <c r="L634" s="172"/>
      <c r="M634" s="164"/>
      <c r="N634" s="164"/>
      <c r="O634" s="164"/>
      <c r="P634" s="164"/>
      <c r="Q634" s="164"/>
      <c r="R634" s="164"/>
      <c r="S634" s="164"/>
      <c r="T634" s="164"/>
      <c r="U634" s="164"/>
    </row>
    <row r="635" spans="1:21" ht="19.5">
      <c r="A635" s="166"/>
      <c r="B635" s="167"/>
      <c r="C635" s="167"/>
      <c r="D635" s="460" t="s">
        <v>233</v>
      </c>
      <c r="E635" s="174"/>
      <c r="F635" s="174"/>
      <c r="G635" s="171"/>
      <c r="H635" s="165" t="s">
        <v>46</v>
      </c>
      <c r="I635" s="373">
        <f ca="1">IFERROR(__xludf.DUMMYFUNCTION("IMPORTRANGE(""https://docs.google.com/spreadsheets/d/1eHaY18a8A9IcSdp1K8H6x8fbOy06t2VsZHhMHf-1x7Y/edit?usp=sharing"",""แผน!IE46"")"),0)</f>
        <v>0</v>
      </c>
      <c r="J635" s="373">
        <f>J636</f>
        <v>0</v>
      </c>
      <c r="K635" s="540">
        <f ca="1">IF(I635&gt;0,J635*100/I635,0)</f>
        <v>0</v>
      </c>
      <c r="L635" s="172"/>
      <c r="M635" s="164"/>
      <c r="N635" s="164"/>
      <c r="O635" s="164"/>
      <c r="P635" s="164"/>
      <c r="Q635" s="164"/>
      <c r="R635" s="164"/>
      <c r="S635" s="164"/>
      <c r="T635" s="164"/>
      <c r="U635" s="164"/>
    </row>
    <row r="636" spans="1:21" ht="18.75">
      <c r="A636" s="166"/>
      <c r="B636" s="167"/>
      <c r="C636" s="167"/>
      <c r="D636" s="167"/>
      <c r="E636" s="178" t="s">
        <v>234</v>
      </c>
      <c r="F636" s="174"/>
      <c r="G636" s="171"/>
      <c r="H636" s="165" t="s">
        <v>46</v>
      </c>
      <c r="I636" s="54"/>
      <c r="J636" s="212">
        <f>J637+J638</f>
        <v>0</v>
      </c>
      <c r="K636" s="55"/>
      <c r="L636" s="172"/>
      <c r="M636" s="164"/>
      <c r="N636" s="164"/>
      <c r="O636" s="164"/>
      <c r="P636" s="164"/>
      <c r="Q636" s="164"/>
      <c r="R636" s="164"/>
      <c r="S636" s="164"/>
      <c r="T636" s="164"/>
      <c r="U636" s="164"/>
    </row>
    <row r="637" spans="1:21" ht="18.75">
      <c r="A637" s="166"/>
      <c r="B637" s="167"/>
      <c r="C637" s="167"/>
      <c r="D637" s="167"/>
      <c r="E637" s="174"/>
      <c r="F637" s="178" t="s">
        <v>231</v>
      </c>
      <c r="G637" s="171"/>
      <c r="H637" s="165" t="s">
        <v>46</v>
      </c>
      <c r="I637" s="54"/>
      <c r="J637" s="467">
        <v>0</v>
      </c>
      <c r="K637" s="55"/>
      <c r="L637" s="172"/>
      <c r="M637" s="164"/>
      <c r="N637" s="164"/>
      <c r="O637" s="164"/>
      <c r="P637" s="164"/>
      <c r="Q637" s="164"/>
      <c r="R637" s="164"/>
      <c r="S637" s="164"/>
      <c r="T637" s="164"/>
      <c r="U637" s="164"/>
    </row>
    <row r="638" spans="1:21" ht="18.75">
      <c r="A638" s="166"/>
      <c r="B638" s="167"/>
      <c r="C638" s="167"/>
      <c r="D638" s="167"/>
      <c r="E638" s="174"/>
      <c r="F638" s="178" t="s">
        <v>232</v>
      </c>
      <c r="G638" s="171"/>
      <c r="H638" s="165" t="s">
        <v>46</v>
      </c>
      <c r="I638" s="54"/>
      <c r="J638" s="467">
        <v>0</v>
      </c>
      <c r="K638" s="55"/>
      <c r="L638" s="172"/>
      <c r="M638" s="164"/>
      <c r="N638" s="164"/>
      <c r="O638" s="164"/>
      <c r="P638" s="164"/>
      <c r="Q638" s="164"/>
      <c r="R638" s="164"/>
      <c r="S638" s="164"/>
      <c r="T638" s="164"/>
      <c r="U638" s="164"/>
    </row>
    <row r="639" spans="1:21" ht="18.75">
      <c r="A639" s="166"/>
      <c r="B639" s="167"/>
      <c r="C639" s="167"/>
      <c r="D639" s="167"/>
      <c r="E639" s="178" t="s">
        <v>235</v>
      </c>
      <c r="F639" s="174"/>
      <c r="G639" s="171"/>
      <c r="H639" s="165" t="s">
        <v>46</v>
      </c>
      <c r="I639" s="54"/>
      <c r="J639" s="467">
        <v>0</v>
      </c>
      <c r="K639" s="55"/>
      <c r="L639" s="172"/>
      <c r="M639" s="164"/>
      <c r="N639" s="164"/>
      <c r="O639" s="164"/>
      <c r="P639" s="164"/>
      <c r="Q639" s="164"/>
      <c r="R639" s="164"/>
      <c r="S639" s="164"/>
      <c r="T639" s="164"/>
      <c r="U639" s="164"/>
    </row>
    <row r="640" spans="1:21" ht="18.75">
      <c r="A640" s="166"/>
      <c r="B640" s="167"/>
      <c r="C640" s="167"/>
      <c r="D640" s="167"/>
      <c r="E640" s="174"/>
      <c r="F640" s="178" t="s">
        <v>236</v>
      </c>
      <c r="G640" s="171"/>
      <c r="H640" s="165" t="s">
        <v>46</v>
      </c>
      <c r="I640" s="54"/>
      <c r="J640" s="467">
        <v>0</v>
      </c>
      <c r="K640" s="55"/>
      <c r="L640" s="172"/>
      <c r="M640" s="164"/>
      <c r="N640" s="164"/>
      <c r="O640" s="164"/>
      <c r="P640" s="164"/>
      <c r="Q640" s="164"/>
      <c r="R640" s="164"/>
      <c r="S640" s="164"/>
      <c r="T640" s="164"/>
      <c r="U640" s="164"/>
    </row>
    <row r="641" spans="1:21" ht="19.5">
      <c r="A641" s="450"/>
      <c r="B641" s="451" t="s">
        <v>237</v>
      </c>
      <c r="C641" s="450"/>
      <c r="D641" s="452"/>
      <c r="E641" s="452"/>
      <c r="F641" s="452"/>
      <c r="G641" s="453"/>
      <c r="H641" s="462"/>
      <c r="I641" s="463"/>
      <c r="J641" s="463"/>
      <c r="K641" s="457"/>
      <c r="L641" s="458"/>
      <c r="M641" s="457"/>
      <c r="N641" s="457"/>
      <c r="O641" s="457"/>
      <c r="P641" s="457"/>
      <c r="Q641" s="457"/>
      <c r="R641" s="457"/>
      <c r="S641" s="457"/>
      <c r="T641" s="457"/>
      <c r="U641" s="457"/>
    </row>
    <row r="642" spans="1:21" ht="19.5">
      <c r="A642" s="155"/>
      <c r="B642" s="188"/>
      <c r="C642" s="239" t="s">
        <v>18</v>
      </c>
      <c r="D642" s="542" t="s">
        <v>19</v>
      </c>
      <c r="E642" s="529"/>
      <c r="F642" s="529"/>
      <c r="G642" s="530"/>
      <c r="H642" s="252" t="s">
        <v>14</v>
      </c>
      <c r="I642" s="54"/>
      <c r="J642" s="54"/>
      <c r="K642" s="55"/>
      <c r="L642" s="541">
        <f>L643+L644</f>
        <v>0</v>
      </c>
      <c r="M642" s="540">
        <f>M643+M644</f>
        <v>0</v>
      </c>
      <c r="N642" s="540">
        <f>N643+N644</f>
        <v>0</v>
      </c>
      <c r="O642" s="540">
        <f>IF(L642&gt;0,N642*100/L642,0)</f>
        <v>0</v>
      </c>
      <c r="P642" s="540">
        <f>IF(M642&gt;0,N642*100/M642,0)</f>
        <v>0</v>
      </c>
      <c r="Q642" s="540">
        <f ca="1">Q643+Q644</f>
        <v>9000</v>
      </c>
      <c r="R642" s="540">
        <f ca="1">R643+R644</f>
        <v>9000</v>
      </c>
      <c r="S642" s="540">
        <f ca="1">S643+S644</f>
        <v>0</v>
      </c>
      <c r="T642" s="540">
        <f ca="1">IF(Q642&gt;0,S642*100/Q642,0)</f>
        <v>0</v>
      </c>
      <c r="U642" s="540">
        <f ca="1">IF(R642&gt;0,S642*100/R642,0)</f>
        <v>0</v>
      </c>
    </row>
    <row r="643" spans="1:21" ht="18.75" hidden="1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103">
        <f>L646+L649</f>
        <v>0</v>
      </c>
      <c r="M643" s="102">
        <f>M646+M649</f>
        <v>0</v>
      </c>
      <c r="N643" s="102">
        <f>N646+N649</f>
        <v>0</v>
      </c>
      <c r="O643" s="102">
        <f>IF(L643&gt;0,N643*100/L643,0)</f>
        <v>0</v>
      </c>
      <c r="P643" s="102">
        <f>IF(M643&gt;0,N643*100/M643,0)</f>
        <v>0</v>
      </c>
      <c r="Q643" s="102">
        <f>Q646+Q649</f>
        <v>0</v>
      </c>
      <c r="R643" s="102">
        <f>R646+R649</f>
        <v>0</v>
      </c>
      <c r="S643" s="102">
        <f>S646+S649</f>
        <v>0</v>
      </c>
      <c r="T643" s="102">
        <f>IF(Q643&gt;0,S643*100/Q643,0)</f>
        <v>0</v>
      </c>
      <c r="U643" s="102">
        <f>IF(R643&gt;0,S643*100/R643,0)</f>
        <v>0</v>
      </c>
    </row>
    <row r="644" spans="1:21" ht="18.75" hidden="1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256">
        <f>L647+L650</f>
        <v>0</v>
      </c>
      <c r="M644" s="255">
        <f>M647+M650</f>
        <v>0</v>
      </c>
      <c r="N644" s="255">
        <f>N647+N650</f>
        <v>0</v>
      </c>
      <c r="O644" s="255">
        <f>IF(L644&gt;0,N644*100/L644,0)</f>
        <v>0</v>
      </c>
      <c r="P644" s="255">
        <f>IF(M644&gt;0,N644*100/M644,0)</f>
        <v>0</v>
      </c>
      <c r="Q644" s="255">
        <f ca="1">Q647+Q650</f>
        <v>9000</v>
      </c>
      <c r="R644" s="255">
        <f ca="1">R647+R650</f>
        <v>9000</v>
      </c>
      <c r="S644" s="255">
        <f ca="1">S647+S650</f>
        <v>0</v>
      </c>
      <c r="T644" s="255">
        <f ca="1">IF(Q644&gt;0,S644*100/Q644,0)</f>
        <v>0</v>
      </c>
      <c r="U644" s="255">
        <f ca="1">IF(R644&gt;0,S644*100/R644,0)</f>
        <v>0</v>
      </c>
    </row>
    <row r="645" spans="1:21" ht="18.75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256">
        <f>L646+L647</f>
        <v>0</v>
      </c>
      <c r="M645" s="255">
        <f>M646+M647</f>
        <v>0</v>
      </c>
      <c r="N645" s="255">
        <f>N646+N647</f>
        <v>0</v>
      </c>
      <c r="O645" s="255">
        <f>IF(L645&gt;0,N645*100/L645,0)</f>
        <v>0</v>
      </c>
      <c r="P645" s="255">
        <f>IF(M645&gt;0,N645*100/M645,0)</f>
        <v>0</v>
      </c>
      <c r="Q645" s="255">
        <f ca="1">Q646+Q647</f>
        <v>9000</v>
      </c>
      <c r="R645" s="255">
        <f ca="1">R646+R647</f>
        <v>9000</v>
      </c>
      <c r="S645" s="255">
        <f ca="1">S646+S647</f>
        <v>0</v>
      </c>
      <c r="T645" s="255">
        <f ca="1">IF(Q645&gt;0,S645*100/Q645,0)</f>
        <v>0</v>
      </c>
      <c r="U645" s="255">
        <f ca="1">IF(R645&gt;0,S645*100/R645,0)</f>
        <v>0</v>
      </c>
    </row>
    <row r="646" spans="1:21" ht="18.75" hidden="1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103">
        <v>0</v>
      </c>
      <c r="M646" s="102">
        <v>0</v>
      </c>
      <c r="N646" s="102">
        <v>0</v>
      </c>
      <c r="O646" s="102">
        <f>IF(L646&gt;0,N646*100/L646,0)</f>
        <v>0</v>
      </c>
      <c r="P646" s="102">
        <f>IF(M646&gt;0,N646*100/M646,0)</f>
        <v>0</v>
      </c>
      <c r="Q646" s="102">
        <v>0</v>
      </c>
      <c r="R646" s="102">
        <v>0</v>
      </c>
      <c r="S646" s="102">
        <v>0</v>
      </c>
      <c r="T646" s="102">
        <f>IF(Q646&gt;0,S646*100/Q646,0)</f>
        <v>0</v>
      </c>
      <c r="U646" s="102">
        <f>IF(R646&gt;0,S646*100/R646,0)</f>
        <v>0</v>
      </c>
    </row>
    <row r="647" spans="1:21" ht="18.75" hidden="1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256">
        <v>0</v>
      </c>
      <c r="M647" s="255">
        <v>0</v>
      </c>
      <c r="N647" s="255">
        <v>0</v>
      </c>
      <c r="O647" s="255">
        <f>IF(L647&gt;0,N647*100/L647,0)</f>
        <v>0</v>
      </c>
      <c r="P647" s="255">
        <f>IF(M647&gt;0,N647*100/M647,0)</f>
        <v>0</v>
      </c>
      <c r="Q647" s="255">
        <f ca="1">IFERROR(__xludf.DUMMYFUNCTION("IMPORTRANGE(""https://docs.google.com/spreadsheets/d/1ItG2mGa2ceCfYo0BwxsXqNm01IGEUdYcSSLTEv9YCik/edit?usp=sharing"",""เบิกจ่ายกองทุน!I46"")"),9000)</f>
        <v>9000</v>
      </c>
      <c r="R647" s="255">
        <f ca="1">IFERROR(__xludf.DUMMYFUNCTION("IMPORTRANGE(""https://docs.google.com/spreadsheets/d/1ItG2mGa2ceCfYo0BwxsXqNm01IGEUdYcSSLTEv9YCik/edit?usp=sharing"",""เบิกจ่ายกองทุน!J46"")"),9000)</f>
        <v>9000</v>
      </c>
      <c r="S647" s="255">
        <f ca="1">IFERROR(__xludf.DUMMYFUNCTION("IMPORTRANGE(""https://docs.google.com/spreadsheets/d/1ItG2mGa2ceCfYo0BwxsXqNm01IGEUdYcSSLTEv9YCik/edit?usp=sharing"",""เบิกจ่ายกองทุน!K46"")"),0)</f>
        <v>0</v>
      </c>
      <c r="T647" s="255">
        <f ca="1">IF(Q647&gt;0,S647*100/Q647,0)</f>
        <v>0</v>
      </c>
      <c r="U647" s="255">
        <f ca="1">IF(R647&gt;0,S647*100/R647,0)</f>
        <v>0</v>
      </c>
    </row>
    <row r="648" spans="1:21" ht="18.75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256">
        <f>L649+L650</f>
        <v>0</v>
      </c>
      <c r="M648" s="255">
        <f>M649+M650</f>
        <v>0</v>
      </c>
      <c r="N648" s="255">
        <f>N649+N650</f>
        <v>0</v>
      </c>
      <c r="O648" s="255">
        <f>IF(L648&gt;0,N648*100/L648,0)</f>
        <v>0</v>
      </c>
      <c r="P648" s="255">
        <f>IF(M648&gt;0,N648*100/M648,0)</f>
        <v>0</v>
      </c>
      <c r="Q648" s="255">
        <f>Q649+Q650</f>
        <v>0</v>
      </c>
      <c r="R648" s="255">
        <f>R649+R650</f>
        <v>0</v>
      </c>
      <c r="S648" s="255">
        <f>S649+S650</f>
        <v>0</v>
      </c>
      <c r="T648" s="255">
        <f>IF(Q648&gt;0,S648*100/Q648,0)</f>
        <v>0</v>
      </c>
      <c r="U648" s="255">
        <f>IF(R648&gt;0,S648*100/R648,0)</f>
        <v>0</v>
      </c>
    </row>
    <row r="649" spans="1:21" ht="18.75" hidden="1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103">
        <v>0</v>
      </c>
      <c r="M649" s="102">
        <v>0</v>
      </c>
      <c r="N649" s="102">
        <v>0</v>
      </c>
      <c r="O649" s="102">
        <f>IF(L649&gt;0,N649*100/L649,0)</f>
        <v>0</v>
      </c>
      <c r="P649" s="102">
        <f>IF(M649&gt;0,N649*100/M649,0)</f>
        <v>0</v>
      </c>
      <c r="Q649" s="102">
        <v>0</v>
      </c>
      <c r="R649" s="102">
        <v>0</v>
      </c>
      <c r="S649" s="102">
        <v>0</v>
      </c>
      <c r="T649" s="102">
        <f>IF(Q649&gt;0,S649*100/Q649,0)</f>
        <v>0</v>
      </c>
      <c r="U649" s="102">
        <f>IF(R649&gt;0,S649*100/R649,0)</f>
        <v>0</v>
      </c>
    </row>
    <row r="650" spans="1:21" ht="18.75" hidden="1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256">
        <v>0</v>
      </c>
      <c r="M650" s="255">
        <v>0</v>
      </c>
      <c r="N650" s="255">
        <v>0</v>
      </c>
      <c r="O650" s="255">
        <f>IF(L650&gt;0,N650*100/L650,0)</f>
        <v>0</v>
      </c>
      <c r="P650" s="255">
        <f>IF(M650&gt;0,N650*100/M650,0)</f>
        <v>0</v>
      </c>
      <c r="Q650" s="255">
        <v>0</v>
      </c>
      <c r="R650" s="255">
        <v>0</v>
      </c>
      <c r="S650" s="255">
        <v>0</v>
      </c>
      <c r="T650" s="255">
        <f>IF(Q650&gt;0,S650*100/Q650,0)</f>
        <v>0</v>
      </c>
      <c r="U650" s="255">
        <f>IF(R650&gt;0,S650*100/R650,0)</f>
        <v>0</v>
      </c>
    </row>
    <row r="651" spans="1:21" ht="19.5">
      <c r="A651" s="166"/>
      <c r="B651" s="167"/>
      <c r="C651" s="239" t="s">
        <v>18</v>
      </c>
      <c r="D651" s="571" t="s">
        <v>38</v>
      </c>
      <c r="E651" s="169"/>
      <c r="F651" s="169"/>
      <c r="G651" s="170"/>
      <c r="H651" s="206"/>
      <c r="I651" s="163"/>
      <c r="J651" s="163"/>
      <c r="K651" s="164"/>
      <c r="L651" s="172"/>
      <c r="M651" s="164"/>
      <c r="N651" s="164"/>
      <c r="O651" s="164"/>
      <c r="P651" s="164"/>
      <c r="Q651" s="55"/>
      <c r="R651" s="55"/>
      <c r="S651" s="55"/>
      <c r="T651" s="164"/>
      <c r="U651" s="164"/>
    </row>
    <row r="652" spans="1:21" ht="18.75" hidden="1">
      <c r="A652" s="238"/>
      <c r="B652" s="188"/>
      <c r="C652" s="188"/>
      <c r="D652" s="58" t="s">
        <v>238</v>
      </c>
      <c r="E652" s="50"/>
      <c r="F652" s="50"/>
      <c r="G652" s="52"/>
      <c r="H652" s="165" t="s">
        <v>46</v>
      </c>
      <c r="I652" s="570">
        <f ca="1">IFERROR(__xludf.DUMMYFUNCTION("IMPORTRANGE(""https://docs.google.com/spreadsheets/d/1eHaY18a8A9IcSdp1K8H6x8fbOy06t2VsZHhMHf-1x7Y/edit?usp=sharing"",""แผน!IF46"")"),0)</f>
        <v>0</v>
      </c>
      <c r="J652" s="212">
        <f ca="1">IFERROR(__xludf.DUMMYFUNCTION("IMPORTRANGE(""https://docs.google.com/spreadsheets/d/1tdoBKaGub7dwA3U6UFTqxio9LNnvDCQjHKmttSEBsFQ/edit?usp=sharing"",""จัดที่ดิน!AU46"")"),0)</f>
        <v>0</v>
      </c>
      <c r="K652" s="255">
        <f ca="1">IF(I652&gt;0,J652*100/I652,0)</f>
        <v>0</v>
      </c>
      <c r="L652" s="62"/>
      <c r="M652" s="55"/>
      <c r="N652" s="468"/>
      <c r="O652" s="55"/>
      <c r="P652" s="55"/>
      <c r="Q652" s="55"/>
      <c r="R652" s="55"/>
      <c r="S652" s="468"/>
      <c r="T652" s="55"/>
      <c r="U652" s="55"/>
    </row>
    <row r="653" spans="1:21" ht="18.75" hidden="1">
      <c r="A653" s="238"/>
      <c r="B653" s="188"/>
      <c r="C653" s="188"/>
      <c r="D653" s="58" t="s">
        <v>239</v>
      </c>
      <c r="E653" s="50"/>
      <c r="F653" s="50"/>
      <c r="G653" s="52"/>
      <c r="H653" s="165" t="s">
        <v>35</v>
      </c>
      <c r="I653" s="570">
        <f ca="1">IFERROR(__xludf.DUMMYFUNCTION("IMPORTRANGE(""https://docs.google.com/spreadsheets/d/1eHaY18a8A9IcSdp1K8H6x8fbOy06t2VsZHhMHf-1x7Y/edit?usp=sharing"",""แผน!IG46"")"),0)</f>
        <v>0</v>
      </c>
      <c r="J653" s="212">
        <f ca="1">IFERROR(__xludf.DUMMYFUNCTION("IMPORTRANGE(""https://docs.google.com/spreadsheets/d/1tdoBKaGub7dwA3U6UFTqxio9LNnvDCQjHKmttSEBsFQ/edit?usp=sharing"",""จัดที่ดิน!AW46"")"),0)</f>
        <v>0</v>
      </c>
      <c r="K653" s="255">
        <f ca="1">IF(I653&gt;0,J653*100/I653,0)</f>
        <v>0</v>
      </c>
      <c r="L653" s="62"/>
      <c r="M653" s="55"/>
      <c r="N653" s="468"/>
      <c r="O653" s="55"/>
      <c r="P653" s="55"/>
      <c r="Q653" s="55"/>
      <c r="R653" s="55"/>
      <c r="S653" s="468"/>
      <c r="T653" s="55"/>
      <c r="U653" s="55"/>
    </row>
    <row r="654" spans="1:21" ht="19.5">
      <c r="A654" s="238"/>
      <c r="B654" s="188"/>
      <c r="C654" s="188"/>
      <c r="D654" s="58" t="s">
        <v>240</v>
      </c>
      <c r="E654" s="50"/>
      <c r="F654" s="50"/>
      <c r="G654" s="52"/>
      <c r="H654" s="461" t="s">
        <v>46</v>
      </c>
      <c r="I654" s="569">
        <f ca="1">IFERROR(__xludf.DUMMYFUNCTION("IMPORTRANGE(""https://docs.google.com/spreadsheets/d/1eHaY18a8A9IcSdp1K8H6x8fbOy06t2VsZHhMHf-1x7Y/edit?usp=sharing"",""แผน!IH46"")"),100)</f>
        <v>100</v>
      </c>
      <c r="J654" s="373">
        <f>J657+J660</f>
        <v>0</v>
      </c>
      <c r="K654" s="540">
        <f ca="1">IF(I654&gt;0,J654*100/I654,0)</f>
        <v>0</v>
      </c>
      <c r="L654" s="62"/>
      <c r="M654" s="55"/>
      <c r="N654" s="468"/>
      <c r="O654" s="55"/>
      <c r="P654" s="55"/>
      <c r="Q654" s="55"/>
      <c r="R654" s="55"/>
      <c r="S654" s="468"/>
      <c r="T654" s="55"/>
      <c r="U654" s="55"/>
    </row>
    <row r="655" spans="1:21" ht="18.75">
      <c r="A655" s="238"/>
      <c r="B655" s="188"/>
      <c r="C655" s="188"/>
      <c r="D655" s="50"/>
      <c r="E655" s="58" t="s">
        <v>241</v>
      </c>
      <c r="F655" s="50"/>
      <c r="G655" s="52"/>
      <c r="H655" s="165" t="s">
        <v>35</v>
      </c>
      <c r="I655" s="208"/>
      <c r="J655" s="467">
        <v>0</v>
      </c>
      <c r="K655" s="55"/>
      <c r="L655" s="62"/>
      <c r="M655" s="55"/>
      <c r="N655" s="468"/>
      <c r="O655" s="55"/>
      <c r="P655" s="55"/>
      <c r="Q655" s="55"/>
      <c r="R655" s="55"/>
      <c r="S655" s="468"/>
      <c r="T655" s="55"/>
      <c r="U655" s="55"/>
    </row>
    <row r="656" spans="1:21" ht="18.75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67">
        <v>0</v>
      </c>
      <c r="K656" s="55"/>
      <c r="L656" s="62"/>
      <c r="M656" s="55"/>
      <c r="N656" s="468"/>
      <c r="O656" s="55"/>
      <c r="P656" s="55"/>
      <c r="Q656" s="55"/>
      <c r="R656" s="55"/>
      <c r="S656" s="468"/>
      <c r="T656" s="55"/>
      <c r="U656" s="55"/>
    </row>
    <row r="657" spans="1:21" ht="18.75">
      <c r="A657" s="238"/>
      <c r="B657" s="188"/>
      <c r="C657" s="188"/>
      <c r="D657" s="50"/>
      <c r="E657" s="50"/>
      <c r="F657" s="50"/>
      <c r="G657" s="52"/>
      <c r="H657" s="165" t="s">
        <v>46</v>
      </c>
      <c r="I657" s="570">
        <f ca="1">IFERROR(__xludf.DUMMYFUNCTION("IMPORTRANGE(""https://docs.google.com/spreadsheets/d/1eHaY18a8A9IcSdp1K8H6x8fbOy06t2VsZHhMHf-1x7Y/edit?usp=sharing"",""แผน!II46"")"),0)</f>
        <v>0</v>
      </c>
      <c r="J657" s="467">
        <v>0</v>
      </c>
      <c r="K657" s="55"/>
      <c r="L657" s="62"/>
      <c r="M657" s="55"/>
      <c r="N657" s="468"/>
      <c r="O657" s="55"/>
      <c r="P657" s="55"/>
      <c r="Q657" s="55"/>
      <c r="R657" s="55"/>
      <c r="S657" s="468"/>
      <c r="T657" s="55"/>
      <c r="U657" s="55"/>
    </row>
    <row r="658" spans="1:21" ht="18.75">
      <c r="A658" s="238"/>
      <c r="B658" s="188"/>
      <c r="C658" s="188"/>
      <c r="D658" s="50"/>
      <c r="E658" s="58" t="s">
        <v>242</v>
      </c>
      <c r="F658" s="50"/>
      <c r="G658" s="52"/>
      <c r="H658" s="165" t="s">
        <v>35</v>
      </c>
      <c r="I658" s="208"/>
      <c r="J658" s="467">
        <v>0</v>
      </c>
      <c r="K658" s="55"/>
      <c r="L658" s="62"/>
      <c r="M658" s="55"/>
      <c r="N658" s="468"/>
      <c r="O658" s="55"/>
      <c r="P658" s="55"/>
      <c r="Q658" s="55"/>
      <c r="R658" s="55"/>
      <c r="S658" s="468"/>
      <c r="T658" s="55"/>
      <c r="U658" s="55"/>
    </row>
    <row r="659" spans="1:21" ht="18.75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67">
        <v>0</v>
      </c>
      <c r="K659" s="55"/>
      <c r="L659" s="62"/>
      <c r="M659" s="55"/>
      <c r="N659" s="468"/>
      <c r="O659" s="55"/>
      <c r="P659" s="55"/>
      <c r="Q659" s="55"/>
      <c r="R659" s="55"/>
      <c r="S659" s="468"/>
      <c r="T659" s="55"/>
      <c r="U659" s="55"/>
    </row>
    <row r="660" spans="1:21" ht="18.75">
      <c r="A660" s="238"/>
      <c r="B660" s="188"/>
      <c r="C660" s="188"/>
      <c r="D660" s="50"/>
      <c r="E660" s="50"/>
      <c r="F660" s="50"/>
      <c r="G660" s="52"/>
      <c r="H660" s="165" t="s">
        <v>46</v>
      </c>
      <c r="I660" s="570">
        <f ca="1">IFERROR(__xludf.DUMMYFUNCTION("IMPORTRANGE(""https://docs.google.com/spreadsheets/d/1eHaY18a8A9IcSdp1K8H6x8fbOy06t2VsZHhMHf-1x7Y/edit?usp=sharing"",""แผน!IJ46"")"),100)</f>
        <v>100</v>
      </c>
      <c r="J660" s="467">
        <v>0</v>
      </c>
      <c r="K660" s="55"/>
      <c r="L660" s="62"/>
      <c r="M660" s="55"/>
      <c r="N660" s="468"/>
      <c r="O660" s="55"/>
      <c r="P660" s="55"/>
      <c r="Q660" s="55"/>
      <c r="R660" s="55"/>
      <c r="S660" s="468"/>
      <c r="T660" s="55"/>
      <c r="U660" s="55"/>
    </row>
    <row r="661" spans="1:21" ht="19.5" hidden="1">
      <c r="A661" s="238"/>
      <c r="B661" s="188"/>
      <c r="C661" s="188"/>
      <c r="D661" s="377" t="s">
        <v>243</v>
      </c>
      <c r="E661" s="50"/>
      <c r="F661" s="50"/>
      <c r="G661" s="52"/>
      <c r="H661" s="461" t="s">
        <v>46</v>
      </c>
      <c r="I661" s="569">
        <f ca="1">IFERROR(__xludf.DUMMYFUNCTION("IMPORTRANGE(""https://docs.google.com/spreadsheets/d/1eHaY18a8A9IcSdp1K8H6x8fbOy06t2VsZHhMHf-1x7Y/edit?usp=sharing"",""แผน!IK46"")"),0)</f>
        <v>0</v>
      </c>
      <c r="J661" s="373">
        <f>J667+J670</f>
        <v>0</v>
      </c>
      <c r="K661" s="540">
        <f ca="1">IF(I661&gt;0,J661*100/I661,0)</f>
        <v>0</v>
      </c>
      <c r="L661" s="62"/>
      <c r="M661" s="55"/>
      <c r="N661" s="468"/>
      <c r="O661" s="55"/>
      <c r="P661" s="55"/>
      <c r="Q661" s="55"/>
      <c r="R661" s="55"/>
      <c r="S661" s="468"/>
      <c r="T661" s="55"/>
      <c r="U661" s="55"/>
    </row>
    <row r="662" spans="1:21" ht="18.75" hidden="1">
      <c r="A662" s="238"/>
      <c r="B662" s="188"/>
      <c r="C662" s="188"/>
      <c r="D662" s="50"/>
      <c r="E662" s="58" t="s">
        <v>244</v>
      </c>
      <c r="F662" s="50"/>
      <c r="G662" s="52"/>
      <c r="H662" s="165" t="s">
        <v>34</v>
      </c>
      <c r="I662" s="208"/>
      <c r="J662" s="467">
        <v>0</v>
      </c>
      <c r="K662" s="55"/>
      <c r="L662" s="469"/>
      <c r="M662" s="55"/>
      <c r="N662" s="468"/>
      <c r="O662" s="55"/>
      <c r="P662" s="55"/>
      <c r="Q662" s="468"/>
      <c r="R662" s="55"/>
      <c r="S662" s="468"/>
      <c r="T662" s="55"/>
      <c r="U662" s="55"/>
    </row>
    <row r="663" spans="1:21" ht="18.75" hidden="1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67">
        <v>0</v>
      </c>
      <c r="K663" s="55"/>
      <c r="L663" s="469"/>
      <c r="M663" s="55"/>
      <c r="N663" s="468"/>
      <c r="O663" s="55"/>
      <c r="P663" s="55"/>
      <c r="Q663" s="468"/>
      <c r="R663" s="55"/>
      <c r="S663" s="468"/>
      <c r="T663" s="55"/>
      <c r="U663" s="55"/>
    </row>
    <row r="664" spans="1:21" ht="18.75" hidden="1">
      <c r="A664" s="238"/>
      <c r="B664" s="188"/>
      <c r="C664" s="188"/>
      <c r="D664" s="50"/>
      <c r="E664" s="58" t="s">
        <v>245</v>
      </c>
      <c r="F664" s="50"/>
      <c r="G664" s="52"/>
      <c r="H664" s="206"/>
      <c r="I664" s="208"/>
      <c r="J664" s="54"/>
      <c r="K664" s="55"/>
      <c r="L664" s="469"/>
      <c r="M664" s="55"/>
      <c r="N664" s="468"/>
      <c r="O664" s="55"/>
      <c r="P664" s="55"/>
      <c r="Q664" s="468"/>
      <c r="R664" s="55"/>
      <c r="S664" s="468"/>
      <c r="T664" s="55"/>
      <c r="U664" s="55"/>
    </row>
    <row r="665" spans="1:21" ht="18.75" hidden="1">
      <c r="A665" s="238"/>
      <c r="B665" s="188"/>
      <c r="C665" s="188"/>
      <c r="D665" s="50"/>
      <c r="E665" s="50"/>
      <c r="F665" s="58" t="s">
        <v>246</v>
      </c>
      <c r="G665" s="52"/>
      <c r="H665" s="165" t="s">
        <v>35</v>
      </c>
      <c r="I665" s="208"/>
      <c r="J665" s="467">
        <v>0</v>
      </c>
      <c r="K665" s="55"/>
      <c r="L665" s="469"/>
      <c r="M665" s="55"/>
      <c r="N665" s="468"/>
      <c r="O665" s="55"/>
      <c r="P665" s="55"/>
      <c r="Q665" s="468"/>
      <c r="R665" s="55"/>
      <c r="S665" s="468"/>
      <c r="T665" s="55"/>
      <c r="U665" s="55"/>
    </row>
    <row r="666" spans="1:21" ht="18.75" hidden="1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67">
        <v>0</v>
      </c>
      <c r="K666" s="55"/>
      <c r="L666" s="469"/>
      <c r="M666" s="55"/>
      <c r="N666" s="468"/>
      <c r="O666" s="55"/>
      <c r="P666" s="55"/>
      <c r="Q666" s="468"/>
      <c r="R666" s="55"/>
      <c r="S666" s="468"/>
      <c r="T666" s="55"/>
      <c r="U666" s="55"/>
    </row>
    <row r="667" spans="1:21" ht="18.75" hidden="1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67">
        <v>0</v>
      </c>
      <c r="K667" s="55"/>
      <c r="L667" s="469"/>
      <c r="M667" s="55"/>
      <c r="N667" s="468"/>
      <c r="O667" s="55"/>
      <c r="P667" s="55"/>
      <c r="Q667" s="468"/>
      <c r="R667" s="55"/>
      <c r="S667" s="468"/>
      <c r="T667" s="55"/>
      <c r="U667" s="55"/>
    </row>
    <row r="668" spans="1:21" ht="18.75" hidden="1">
      <c r="A668" s="238"/>
      <c r="B668" s="188"/>
      <c r="C668" s="188"/>
      <c r="D668" s="50"/>
      <c r="E668" s="50"/>
      <c r="F668" s="58" t="s">
        <v>247</v>
      </c>
      <c r="G668" s="52"/>
      <c r="H668" s="165" t="s">
        <v>35</v>
      </c>
      <c r="I668" s="208"/>
      <c r="J668" s="467">
        <v>0</v>
      </c>
      <c r="K668" s="55"/>
      <c r="L668" s="469"/>
      <c r="M668" s="55"/>
      <c r="N668" s="468"/>
      <c r="O668" s="55"/>
      <c r="P668" s="55"/>
      <c r="Q668" s="468"/>
      <c r="R668" s="55"/>
      <c r="S668" s="468"/>
      <c r="T668" s="55"/>
      <c r="U668" s="55"/>
    </row>
    <row r="669" spans="1:21" ht="18.75" hidden="1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67">
        <v>0</v>
      </c>
      <c r="K669" s="55"/>
      <c r="L669" s="469"/>
      <c r="M669" s="55"/>
      <c r="N669" s="468"/>
      <c r="O669" s="55"/>
      <c r="P669" s="55"/>
      <c r="Q669" s="468"/>
      <c r="R669" s="55"/>
      <c r="S669" s="468"/>
      <c r="T669" s="55"/>
      <c r="U669" s="55"/>
    </row>
    <row r="670" spans="1:21" ht="18.75" hidden="1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67">
        <v>0</v>
      </c>
      <c r="K670" s="55"/>
      <c r="L670" s="469"/>
      <c r="M670" s="55"/>
      <c r="N670" s="468"/>
      <c r="O670" s="55"/>
      <c r="P670" s="55"/>
      <c r="Q670" s="468"/>
      <c r="R670" s="55"/>
      <c r="S670" s="468"/>
      <c r="T670" s="55"/>
      <c r="U670" s="55"/>
    </row>
    <row r="671" spans="1:21" ht="18.75">
      <c r="A671" s="238"/>
      <c r="B671" s="188"/>
      <c r="C671" s="188"/>
      <c r="D671" s="58" t="s">
        <v>248</v>
      </c>
      <c r="E671" s="50"/>
      <c r="F671" s="50"/>
      <c r="G671" s="52"/>
      <c r="H671" s="165" t="s">
        <v>35</v>
      </c>
      <c r="I671" s="208"/>
      <c r="J671" s="212">
        <f ca="1">IFERROR(__xludf.DUMMYFUNCTION("IMPORTRANGE(""https://docs.google.com/spreadsheets/d/1tdoBKaGub7dwA3U6UFTqxio9LNnvDCQjHKmttSEBsFQ/edit?usp=sharing"",""จัดที่ดิน!AY46"")"),0)</f>
        <v>0</v>
      </c>
      <c r="K671" s="55"/>
      <c r="L671" s="62"/>
      <c r="M671" s="55"/>
      <c r="N671" s="468"/>
      <c r="O671" s="55"/>
      <c r="P671" s="55"/>
      <c r="Q671" s="55"/>
      <c r="R671" s="55"/>
      <c r="S671" s="468"/>
      <c r="T671" s="55"/>
      <c r="U671" s="55"/>
    </row>
    <row r="672" spans="1:21" ht="18.75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212">
        <f ca="1">IFERROR(__xludf.DUMMYFUNCTION("IMPORTRANGE(""https://docs.google.com/spreadsheets/d/1tdoBKaGub7dwA3U6UFTqxio9LNnvDCQjHKmttSEBsFQ/edit?usp=sharing"",""จัดที่ดิน!AZ46"")"),0)</f>
        <v>0</v>
      </c>
      <c r="K672" s="55"/>
      <c r="L672" s="469"/>
      <c r="M672" s="55"/>
      <c r="N672" s="468"/>
      <c r="O672" s="55"/>
      <c r="P672" s="55"/>
      <c r="Q672" s="468"/>
      <c r="R672" s="55"/>
      <c r="S672" s="468"/>
      <c r="T672" s="55"/>
      <c r="U672" s="55"/>
    </row>
    <row r="673" spans="1:21" ht="18.75">
      <c r="A673" s="238"/>
      <c r="B673" s="188"/>
      <c r="C673" s="188"/>
      <c r="D673" s="50"/>
      <c r="E673" s="50"/>
      <c r="F673" s="50"/>
      <c r="G673" s="52"/>
      <c r="H673" s="165" t="s">
        <v>46</v>
      </c>
      <c r="I673" s="570">
        <f ca="1">IFERROR(__xludf.DUMMYFUNCTION("IMPORTRANGE(""https://docs.google.com/spreadsheets/d/1eHaY18a8A9IcSdp1K8H6x8fbOy06t2VsZHhMHf-1x7Y/edit?usp=sharing"",""แผน!IL46"")"),100)</f>
        <v>100</v>
      </c>
      <c r="J673" s="212">
        <f ca="1">IFERROR(__xludf.DUMMYFUNCTION("IMPORTRANGE(""https://docs.google.com/spreadsheets/d/1tdoBKaGub7dwA3U6UFTqxio9LNnvDCQjHKmttSEBsFQ/edit?usp=sharing"",""จัดที่ดิน!BA46"")"),0)</f>
        <v>0</v>
      </c>
      <c r="K673" s="255">
        <f ca="1">IF(I673&gt;0,J673*100/I673,0)</f>
        <v>0</v>
      </c>
      <c r="L673" s="469"/>
      <c r="M673" s="55"/>
      <c r="N673" s="468"/>
      <c r="O673" s="55"/>
      <c r="P673" s="55"/>
      <c r="Q673" s="468"/>
      <c r="R673" s="55"/>
      <c r="S673" s="468"/>
      <c r="T673" s="55"/>
      <c r="U673" s="55"/>
    </row>
    <row r="674" spans="1:21" ht="19.5" hidden="1">
      <c r="A674" s="238"/>
      <c r="B674" s="188"/>
      <c r="C674" s="188"/>
      <c r="D674" s="58" t="s">
        <v>249</v>
      </c>
      <c r="E674" s="50"/>
      <c r="F674" s="50"/>
      <c r="G674" s="52"/>
      <c r="H674" s="461" t="s">
        <v>35</v>
      </c>
      <c r="I674" s="569">
        <f ca="1">IFERROR(__xludf.DUMMYFUNCTION("IMPORTRANGE(""https://docs.google.com/spreadsheets/d/1eHaY18a8A9IcSdp1K8H6x8fbOy06t2VsZHhMHf-1x7Y/edit?usp=sharing"",""แผน!IM46"")"),0)</f>
        <v>0</v>
      </c>
      <c r="J674" s="373">
        <f ca="1">J676+J679</f>
        <v>0</v>
      </c>
      <c r="K674" s="540">
        <f ca="1">IF(I674&gt;0,J674*100/I674,0)</f>
        <v>0</v>
      </c>
      <c r="L674" s="469"/>
      <c r="M674" s="55"/>
      <c r="N674" s="468"/>
      <c r="O674" s="55"/>
      <c r="P674" s="55"/>
      <c r="Q674" s="468"/>
      <c r="R674" s="55"/>
      <c r="S674" s="468"/>
      <c r="T674" s="55"/>
      <c r="U674" s="55"/>
    </row>
    <row r="675" spans="1:21" ht="19.5" hidden="1">
      <c r="A675" s="238"/>
      <c r="B675" s="188"/>
      <c r="C675" s="188"/>
      <c r="D675" s="50"/>
      <c r="E675" s="50"/>
      <c r="F675" s="50"/>
      <c r="G675" s="52"/>
      <c r="H675" s="461" t="s">
        <v>46</v>
      </c>
      <c r="I675" s="569">
        <f ca="1">IFERROR(__xludf.DUMMYFUNCTION("IMPORTRANGE(""https://docs.google.com/spreadsheets/d/1eHaY18a8A9IcSdp1K8H6x8fbOy06t2VsZHhMHf-1x7Y/edit?usp=sharing"",""แผน!IN46"")"),0)</f>
        <v>0</v>
      </c>
      <c r="J675" s="373">
        <f ca="1">J678+J681</f>
        <v>0</v>
      </c>
      <c r="K675" s="540">
        <f ca="1">IF(I675&gt;0,J675*100/I675,0)</f>
        <v>0</v>
      </c>
      <c r="L675" s="62"/>
      <c r="M675" s="55"/>
      <c r="N675" s="468"/>
      <c r="O675" s="55"/>
      <c r="P675" s="55"/>
      <c r="Q675" s="55"/>
      <c r="R675" s="55"/>
      <c r="S675" s="468"/>
      <c r="T675" s="55"/>
      <c r="U675" s="55"/>
    </row>
    <row r="676" spans="1:21" ht="18.75" hidden="1">
      <c r="A676" s="238"/>
      <c r="B676" s="188"/>
      <c r="C676" s="188"/>
      <c r="D676" s="50"/>
      <c r="E676" s="58" t="s">
        <v>250</v>
      </c>
      <c r="F676" s="50"/>
      <c r="G676" s="52"/>
      <c r="H676" s="165" t="s">
        <v>35</v>
      </c>
      <c r="I676" s="570">
        <f ca="1">IFERROR(__xludf.DUMMYFUNCTION("IMPORTRANGE(""https://docs.google.com/spreadsheets/d/1eHaY18a8A9IcSdp1K8H6x8fbOy06t2VsZHhMHf-1x7Y/edit?usp=sharing"",""แผน!IO46"")"),0)</f>
        <v>0</v>
      </c>
      <c r="J676" s="212">
        <f ca="1">IFERROR(__xludf.DUMMYFUNCTION("IMPORTRANGE(""https://docs.google.com/spreadsheets/d/1tdoBKaGub7dwA3U6UFTqxio9LNnvDCQjHKmttSEBsFQ/edit?usp=sharing"",""จัดที่ดิน!BF46"")"),0)</f>
        <v>0</v>
      </c>
      <c r="K676" s="255">
        <f ca="1">IF(I676&gt;0,J676*100/I676,0)</f>
        <v>0</v>
      </c>
      <c r="L676" s="62"/>
      <c r="M676" s="55"/>
      <c r="N676" s="468"/>
      <c r="O676" s="55"/>
      <c r="P676" s="55"/>
      <c r="Q676" s="55"/>
      <c r="R676" s="55"/>
      <c r="S676" s="468"/>
      <c r="T676" s="55"/>
      <c r="U676" s="55"/>
    </row>
    <row r="677" spans="1:21" ht="18.75" hidden="1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212">
        <f ca="1">IFERROR(__xludf.DUMMYFUNCTION("IMPORTRANGE(""https://docs.google.com/spreadsheets/d/1tdoBKaGub7dwA3U6UFTqxio9LNnvDCQjHKmttSEBsFQ/edit?usp=sharing"",""จัดที่ดิน!BG46"")"),0)</f>
        <v>0</v>
      </c>
      <c r="K677" s="55"/>
      <c r="L677" s="469"/>
      <c r="M677" s="55"/>
      <c r="N677" s="468"/>
      <c r="O677" s="55"/>
      <c r="P677" s="55"/>
      <c r="Q677" s="468"/>
      <c r="R677" s="55"/>
      <c r="S677" s="468"/>
      <c r="T677" s="55"/>
      <c r="U677" s="55"/>
    </row>
    <row r="678" spans="1:21" ht="18.75" hidden="1">
      <c r="A678" s="238"/>
      <c r="B678" s="188"/>
      <c r="C678" s="188"/>
      <c r="D678" s="50"/>
      <c r="E678" s="50"/>
      <c r="F678" s="50"/>
      <c r="G678" s="52"/>
      <c r="H678" s="165" t="s">
        <v>46</v>
      </c>
      <c r="I678" s="570">
        <f ca="1">IFERROR(__xludf.DUMMYFUNCTION("IMPORTRANGE(""https://docs.google.com/spreadsheets/d/1eHaY18a8A9IcSdp1K8H6x8fbOy06t2VsZHhMHf-1x7Y/edit?usp=sharing"",""แผน!IP46"")"),0)</f>
        <v>0</v>
      </c>
      <c r="J678" s="212">
        <f ca="1">IFERROR(__xludf.DUMMYFUNCTION("IMPORTRANGE(""https://docs.google.com/spreadsheets/d/1tdoBKaGub7dwA3U6UFTqxio9LNnvDCQjHKmttSEBsFQ/edit?usp=sharing"",""จัดที่ดิน!BH46"")"),0)</f>
        <v>0</v>
      </c>
      <c r="K678" s="255">
        <f ca="1">IF(I678&gt;0,J678*100/I678,0)</f>
        <v>0</v>
      </c>
      <c r="L678" s="469"/>
      <c r="M678" s="55"/>
      <c r="N678" s="468"/>
      <c r="O678" s="55"/>
      <c r="P678" s="55"/>
      <c r="Q678" s="468"/>
      <c r="R678" s="55"/>
      <c r="S678" s="468"/>
      <c r="T678" s="55"/>
      <c r="U678" s="55"/>
    </row>
    <row r="679" spans="1:21" ht="18.75" hidden="1">
      <c r="A679" s="238"/>
      <c r="B679" s="188"/>
      <c r="C679" s="188"/>
      <c r="D679" s="50"/>
      <c r="E679" s="58" t="s">
        <v>251</v>
      </c>
      <c r="F679" s="50"/>
      <c r="G679" s="52"/>
      <c r="H679" s="165" t="s">
        <v>35</v>
      </c>
      <c r="I679" s="570">
        <f ca="1">IFERROR(__xludf.DUMMYFUNCTION("IMPORTRANGE(""https://docs.google.com/spreadsheets/d/1eHaY18a8A9IcSdp1K8H6x8fbOy06t2VsZHhMHf-1x7Y/edit?usp=sharing"",""แผน!IQ46"")"),0)</f>
        <v>0</v>
      </c>
      <c r="J679" s="212">
        <f ca="1">IFERROR(__xludf.DUMMYFUNCTION("IMPORTRANGE(""https://docs.google.com/spreadsheets/d/1tdoBKaGub7dwA3U6UFTqxio9LNnvDCQjHKmttSEBsFQ/edit?usp=sharing"",""จัดที่ดิน!BK46"")"),0)</f>
        <v>0</v>
      </c>
      <c r="K679" s="255">
        <f ca="1">IF(I679&gt;0,J679*100/I679,0)</f>
        <v>0</v>
      </c>
      <c r="L679" s="62"/>
      <c r="M679" s="55"/>
      <c r="N679" s="468"/>
      <c r="O679" s="55"/>
      <c r="P679" s="55"/>
      <c r="Q679" s="55"/>
      <c r="R679" s="55"/>
      <c r="S679" s="468"/>
      <c r="T679" s="55"/>
      <c r="U679" s="55"/>
    </row>
    <row r="680" spans="1:21" ht="18.75" hidden="1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212">
        <f ca="1">IFERROR(__xludf.DUMMYFUNCTION("IMPORTRANGE(""https://docs.google.com/spreadsheets/d/1tdoBKaGub7dwA3U6UFTqxio9LNnvDCQjHKmttSEBsFQ/edit?usp=sharing"",""จัดที่ดิน!BL46"")"),0)</f>
        <v>0</v>
      </c>
      <c r="K680" s="55"/>
      <c r="L680" s="469"/>
      <c r="M680" s="55"/>
      <c r="N680" s="468"/>
      <c r="O680" s="55"/>
      <c r="P680" s="55"/>
      <c r="Q680" s="468"/>
      <c r="R680" s="55"/>
      <c r="S680" s="468"/>
      <c r="T680" s="55"/>
      <c r="U680" s="55"/>
    </row>
    <row r="681" spans="1:21" ht="18.75" hidden="1">
      <c r="A681" s="238"/>
      <c r="B681" s="188"/>
      <c r="C681" s="188"/>
      <c r="D681" s="50"/>
      <c r="E681" s="50"/>
      <c r="F681" s="50"/>
      <c r="G681" s="52"/>
      <c r="H681" s="165" t="s">
        <v>46</v>
      </c>
      <c r="I681" s="570">
        <f ca="1">IFERROR(__xludf.DUMMYFUNCTION("IMPORTRANGE(""https://docs.google.com/spreadsheets/d/1eHaY18a8A9IcSdp1K8H6x8fbOy06t2VsZHhMHf-1x7Y/edit?usp=sharing"",""แผน!IR46"")"),0)</f>
        <v>0</v>
      </c>
      <c r="J681" s="212">
        <f ca="1">IFERROR(__xludf.DUMMYFUNCTION("IMPORTRANGE(""https://docs.google.com/spreadsheets/d/1tdoBKaGub7dwA3U6UFTqxio9LNnvDCQjHKmttSEBsFQ/edit?usp=sharing"",""จัดที่ดิน!BM46"")"),0)</f>
        <v>0</v>
      </c>
      <c r="K681" s="255">
        <f ca="1">IF(I681&gt;0,J681*100/I681,0)</f>
        <v>0</v>
      </c>
      <c r="L681" s="469"/>
      <c r="M681" s="55"/>
      <c r="N681" s="468"/>
      <c r="O681" s="55"/>
      <c r="P681" s="55"/>
      <c r="Q681" s="468"/>
      <c r="R681" s="55"/>
      <c r="S681" s="468"/>
      <c r="T681" s="55"/>
      <c r="U681" s="55"/>
    </row>
    <row r="682" spans="1:21" ht="19.5" hidden="1">
      <c r="A682" s="238"/>
      <c r="B682" s="188"/>
      <c r="C682" s="188"/>
      <c r="D682" s="58" t="s">
        <v>252</v>
      </c>
      <c r="E682" s="50"/>
      <c r="F682" s="50"/>
      <c r="G682" s="52"/>
      <c r="H682" s="461" t="s">
        <v>46</v>
      </c>
      <c r="I682" s="569">
        <f ca="1">IFERROR(__xludf.DUMMYFUNCTION("IMPORTRANGE(""https://docs.google.com/spreadsheets/d/1eHaY18a8A9IcSdp1K8H6x8fbOy06t2VsZHhMHf-1x7Y/edit?usp=sharing"",""แผน!IS46"")"),0)</f>
        <v>0</v>
      </c>
      <c r="J682" s="373">
        <f>J685+J688</f>
        <v>0</v>
      </c>
      <c r="K682" s="540">
        <f ca="1">IF(I682&gt;0,J682*100/I682,0)</f>
        <v>0</v>
      </c>
      <c r="L682" s="62"/>
      <c r="M682" s="55"/>
      <c r="N682" s="468"/>
      <c r="O682" s="55"/>
      <c r="P682" s="55"/>
      <c r="Q682" s="55"/>
      <c r="R682" s="55"/>
      <c r="S682" s="468"/>
      <c r="T682" s="55"/>
      <c r="U682" s="55"/>
    </row>
    <row r="683" spans="1:21" ht="18.75" hidden="1">
      <c r="A683" s="238"/>
      <c r="B683" s="188"/>
      <c r="C683" s="188"/>
      <c r="D683" s="50"/>
      <c r="E683" s="58" t="s">
        <v>253</v>
      </c>
      <c r="F683" s="50"/>
      <c r="G683" s="52"/>
      <c r="H683" s="165" t="s">
        <v>35</v>
      </c>
      <c r="I683" s="208"/>
      <c r="J683" s="467">
        <v>0</v>
      </c>
      <c r="K683" s="55"/>
      <c r="L683" s="469"/>
      <c r="M683" s="55"/>
      <c r="N683" s="468"/>
      <c r="O683" s="55"/>
      <c r="P683" s="55"/>
      <c r="Q683" s="468"/>
      <c r="R683" s="55"/>
      <c r="S683" s="468"/>
      <c r="T683" s="55"/>
      <c r="U683" s="55"/>
    </row>
    <row r="684" spans="1:21" ht="18.75" hidden="1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467">
        <v>0</v>
      </c>
      <c r="K684" s="55"/>
      <c r="L684" s="469"/>
      <c r="M684" s="55"/>
      <c r="N684" s="468"/>
      <c r="O684" s="55"/>
      <c r="P684" s="55"/>
      <c r="Q684" s="468"/>
      <c r="R684" s="55"/>
      <c r="S684" s="468"/>
      <c r="T684" s="55"/>
      <c r="U684" s="55"/>
    </row>
    <row r="685" spans="1:21" ht="18.75" hidden="1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467">
        <v>0</v>
      </c>
      <c r="K685" s="55"/>
      <c r="L685" s="469"/>
      <c r="M685" s="55"/>
      <c r="N685" s="468"/>
      <c r="O685" s="55"/>
      <c r="P685" s="55"/>
      <c r="Q685" s="468"/>
      <c r="R685" s="55"/>
      <c r="S685" s="468"/>
      <c r="T685" s="55"/>
      <c r="U685" s="55"/>
    </row>
    <row r="686" spans="1:21" ht="18.75" hidden="1">
      <c r="A686" s="238"/>
      <c r="B686" s="188"/>
      <c r="C686" s="188"/>
      <c r="D686" s="50"/>
      <c r="E686" s="58" t="s">
        <v>254</v>
      </c>
      <c r="F686" s="50"/>
      <c r="G686" s="52"/>
      <c r="H686" s="165" t="s">
        <v>35</v>
      </c>
      <c r="I686" s="208"/>
      <c r="J686" s="467">
        <v>0</v>
      </c>
      <c r="K686" s="55"/>
      <c r="L686" s="469"/>
      <c r="M686" s="55"/>
      <c r="N686" s="468"/>
      <c r="O686" s="55"/>
      <c r="P686" s="55"/>
      <c r="Q686" s="468"/>
      <c r="R686" s="55"/>
      <c r="S686" s="468"/>
      <c r="T686" s="55"/>
      <c r="U686" s="55"/>
    </row>
    <row r="687" spans="1:21" ht="18.75" hidden="1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467">
        <v>0</v>
      </c>
      <c r="K687" s="55"/>
      <c r="L687" s="469"/>
      <c r="M687" s="55"/>
      <c r="N687" s="468"/>
      <c r="O687" s="55"/>
      <c r="P687" s="55"/>
      <c r="Q687" s="468"/>
      <c r="R687" s="55"/>
      <c r="S687" s="468"/>
      <c r="T687" s="55"/>
      <c r="U687" s="55"/>
    </row>
    <row r="688" spans="1:21" ht="19.5" hidden="1">
      <c r="A688" s="281"/>
      <c r="B688" s="470" t="s">
        <v>255</v>
      </c>
      <c r="C688" s="282"/>
      <c r="D688" s="2"/>
      <c r="E688" s="2"/>
      <c r="F688" s="2"/>
      <c r="G688" s="284"/>
      <c r="H688" s="214" t="s">
        <v>46</v>
      </c>
      <c r="I688" s="375"/>
      <c r="J688" s="538">
        <v>0</v>
      </c>
      <c r="K688" s="6"/>
      <c r="L688" s="472"/>
      <c r="M688" s="6"/>
      <c r="N688" s="471"/>
      <c r="O688" s="6"/>
      <c r="P688" s="6"/>
      <c r="Q688" s="471"/>
      <c r="R688" s="6"/>
      <c r="S688" s="471"/>
      <c r="T688" s="6"/>
      <c r="U688" s="6"/>
    </row>
    <row r="689" spans="1:21" ht="19.5">
      <c r="A689" s="442"/>
      <c r="B689" s="443" t="s">
        <v>256</v>
      </c>
      <c r="C689" s="442"/>
      <c r="D689" s="444"/>
      <c r="E689" s="444"/>
      <c r="F689" s="444"/>
      <c r="G689" s="445"/>
      <c r="H689" s="568" t="s">
        <v>35</v>
      </c>
      <c r="I689" s="567">
        <f ca="1">I707</f>
        <v>200</v>
      </c>
      <c r="J689" s="567">
        <f ca="1">J707</f>
        <v>0</v>
      </c>
      <c r="K689" s="543">
        <f ca="1">IF(I689&gt;0,J689*100/I689,0)</f>
        <v>0</v>
      </c>
      <c r="L689" s="449"/>
      <c r="M689" s="448"/>
      <c r="N689" s="448"/>
      <c r="O689" s="448"/>
      <c r="P689" s="448"/>
      <c r="Q689" s="448"/>
      <c r="R689" s="448"/>
      <c r="S689" s="448"/>
      <c r="T689" s="448"/>
      <c r="U689" s="448"/>
    </row>
    <row r="690" spans="1:21" ht="19.5">
      <c r="A690" s="155"/>
      <c r="B690" s="188"/>
      <c r="C690" s="205" t="s">
        <v>18</v>
      </c>
      <c r="D690" s="542" t="s">
        <v>19</v>
      </c>
      <c r="E690" s="529"/>
      <c r="F690" s="529"/>
      <c r="G690" s="530"/>
      <c r="H690" s="252" t="s">
        <v>14</v>
      </c>
      <c r="I690" s="54"/>
      <c r="J690" s="54"/>
      <c r="K690" s="55"/>
      <c r="L690" s="541">
        <f>L691+L692</f>
        <v>0</v>
      </c>
      <c r="M690" s="540">
        <f>M691+M692</f>
        <v>0</v>
      </c>
      <c r="N690" s="540">
        <f>N691+N692</f>
        <v>0</v>
      </c>
      <c r="O690" s="540">
        <f>IF(L690&gt;0,N690*100/L690,0)</f>
        <v>0</v>
      </c>
      <c r="P690" s="540">
        <f>IF(M690&gt;0,N690*100/M690,0)</f>
        <v>0</v>
      </c>
      <c r="Q690" s="540">
        <f ca="1">Q691+Q692</f>
        <v>322780</v>
      </c>
      <c r="R690" s="540">
        <f ca="1">R691+R692</f>
        <v>322780</v>
      </c>
      <c r="S690" s="540">
        <f ca="1">S691+S692</f>
        <v>68428.460000000006</v>
      </c>
      <c r="T690" s="540">
        <f ca="1">IF(Q690&gt;0,S690*100/Q690,0)</f>
        <v>21.199721172315513</v>
      </c>
      <c r="U690" s="540">
        <f ca="1">IF(R690&gt;0,S690*100/R690,0)</f>
        <v>21.199721172315513</v>
      </c>
    </row>
    <row r="691" spans="1:21" ht="18.75" hidden="1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103">
        <f>L694+L697</f>
        <v>0</v>
      </c>
      <c r="M691" s="102">
        <f>M694+M697</f>
        <v>0</v>
      </c>
      <c r="N691" s="102">
        <f>N694+N697</f>
        <v>0</v>
      </c>
      <c r="O691" s="102">
        <f>IF(L691&gt;0,N691*100/L691,0)</f>
        <v>0</v>
      </c>
      <c r="P691" s="102">
        <f>IF(M691&gt;0,N691*100/M691,0)</f>
        <v>0</v>
      </c>
      <c r="Q691" s="102">
        <f>Q694+Q697</f>
        <v>0</v>
      </c>
      <c r="R691" s="102">
        <f>R694+R697</f>
        <v>0</v>
      </c>
      <c r="S691" s="102">
        <f>S694+S697</f>
        <v>0</v>
      </c>
      <c r="T691" s="102">
        <f>IF(Q691&gt;0,S691*100/Q691,0)</f>
        <v>0</v>
      </c>
      <c r="U691" s="102">
        <f>IF(R691&gt;0,S691*100/R691,0)</f>
        <v>0</v>
      </c>
    </row>
    <row r="692" spans="1:21" ht="18.75" hidden="1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256">
        <f>L695+L698</f>
        <v>0</v>
      </c>
      <c r="M692" s="255">
        <f>M695+M698</f>
        <v>0</v>
      </c>
      <c r="N692" s="255">
        <f>N695+N698</f>
        <v>0</v>
      </c>
      <c r="O692" s="255">
        <f>IF(L692&gt;0,N692*100/L692,0)</f>
        <v>0</v>
      </c>
      <c r="P692" s="255">
        <f>IF(M692&gt;0,N692*100/M692,0)</f>
        <v>0</v>
      </c>
      <c r="Q692" s="255">
        <f ca="1">Q695+Q698</f>
        <v>322780</v>
      </c>
      <c r="R692" s="255">
        <f ca="1">R695+R698</f>
        <v>322780</v>
      </c>
      <c r="S692" s="255">
        <f ca="1">S695+S698</f>
        <v>68428.460000000006</v>
      </c>
      <c r="T692" s="255">
        <f ca="1">IF(Q692&gt;0,S692*100/Q692,0)</f>
        <v>21.199721172315513</v>
      </c>
      <c r="U692" s="255">
        <f ca="1">IF(R692&gt;0,S692*100/R692,0)</f>
        <v>21.199721172315513</v>
      </c>
    </row>
    <row r="693" spans="1:21" ht="18.75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256">
        <f>L694+L695</f>
        <v>0</v>
      </c>
      <c r="M693" s="255">
        <f>M694+M695</f>
        <v>0</v>
      </c>
      <c r="N693" s="255">
        <f>N694+N695</f>
        <v>0</v>
      </c>
      <c r="O693" s="255">
        <f>IF(L693&gt;0,N693*100/L693,0)</f>
        <v>0</v>
      </c>
      <c r="P693" s="255">
        <f>IF(M693&gt;0,N693*100/M693,0)</f>
        <v>0</v>
      </c>
      <c r="Q693" s="255">
        <f ca="1">Q694+Q695</f>
        <v>322780</v>
      </c>
      <c r="R693" s="255">
        <f ca="1">R694+R695</f>
        <v>322780</v>
      </c>
      <c r="S693" s="255">
        <f ca="1">S694+S695</f>
        <v>68428.460000000006</v>
      </c>
      <c r="T693" s="255">
        <f ca="1">IF(Q693&gt;0,S693*100/Q693,0)</f>
        <v>21.199721172315513</v>
      </c>
      <c r="U693" s="255">
        <f ca="1">IF(R693&gt;0,S693*100/R693,0)</f>
        <v>21.199721172315513</v>
      </c>
    </row>
    <row r="694" spans="1:21" ht="18.75" hidden="1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103">
        <v>0</v>
      </c>
      <c r="M694" s="102">
        <v>0</v>
      </c>
      <c r="N694" s="102">
        <v>0</v>
      </c>
      <c r="O694" s="102">
        <f>IF(L694&gt;0,N694*100/L694,0)</f>
        <v>0</v>
      </c>
      <c r="P694" s="102">
        <f>IF(M694&gt;0,N694*100/M694,0)</f>
        <v>0</v>
      </c>
      <c r="Q694" s="102">
        <v>0</v>
      </c>
      <c r="R694" s="102">
        <v>0</v>
      </c>
      <c r="S694" s="102">
        <v>0</v>
      </c>
      <c r="T694" s="102">
        <f>IF(Q694&gt;0,S694*100/Q694,0)</f>
        <v>0</v>
      </c>
      <c r="U694" s="102">
        <f>IF(R694&gt;0,S694*100/R694,0)</f>
        <v>0</v>
      </c>
    </row>
    <row r="695" spans="1:21" ht="18.75" hidden="1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256">
        <v>0</v>
      </c>
      <c r="M695" s="255">
        <v>0</v>
      </c>
      <c r="N695" s="255">
        <v>0</v>
      </c>
      <c r="O695" s="255">
        <f>IF(L695&gt;0,N695*100/L695,0)</f>
        <v>0</v>
      </c>
      <c r="P695" s="255">
        <f>IF(M695&gt;0,N695*100/M695,0)</f>
        <v>0</v>
      </c>
      <c r="Q695" s="255">
        <f ca="1">IFERROR(__xludf.DUMMYFUNCTION("IMPORTRANGE(""https://docs.google.com/spreadsheets/d/1ItG2mGa2ceCfYo0BwxsXqNm01IGEUdYcSSLTEv9YCik/edit?usp=sharing"",""เบิกจ่ายกองทุน!L46"")"),322780)</f>
        <v>322780</v>
      </c>
      <c r="R695" s="255">
        <f ca="1">IFERROR(__xludf.DUMMYFUNCTION("IMPORTRANGE(""https://docs.google.com/spreadsheets/d/1ItG2mGa2ceCfYo0BwxsXqNm01IGEUdYcSSLTEv9YCik/edit?usp=sharing"",""เบิกจ่ายกองทุน!M46"")"),322780)</f>
        <v>322780</v>
      </c>
      <c r="S695" s="255">
        <f ca="1">IFERROR(__xludf.DUMMYFUNCTION("IMPORTRANGE(""https://docs.google.com/spreadsheets/d/1ItG2mGa2ceCfYo0BwxsXqNm01IGEUdYcSSLTEv9YCik/edit?usp=sharing"",""เบิกจ่ายกองทุน!N46"")"),68428.46)</f>
        <v>68428.460000000006</v>
      </c>
      <c r="T695" s="255">
        <f ca="1">IF(Q695&gt;0,S695*100/Q695,0)</f>
        <v>21.199721172315513</v>
      </c>
      <c r="U695" s="255">
        <f ca="1">IF(R695&gt;0,S695*100/R695,0)</f>
        <v>21.199721172315513</v>
      </c>
    </row>
    <row r="696" spans="1:21" ht="18.75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256">
        <f>L697+L698</f>
        <v>0</v>
      </c>
      <c r="M696" s="255">
        <f>M697+M698</f>
        <v>0</v>
      </c>
      <c r="N696" s="255">
        <f>N697+N698</f>
        <v>0</v>
      </c>
      <c r="O696" s="255">
        <f>IF(L696&gt;0,N696*100/L696,0)</f>
        <v>0</v>
      </c>
      <c r="P696" s="255">
        <f>IF(M696&gt;0,N696*100/M696,0)</f>
        <v>0</v>
      </c>
      <c r="Q696" s="255">
        <f>Q697+Q698</f>
        <v>0</v>
      </c>
      <c r="R696" s="255">
        <f>R697+R698</f>
        <v>0</v>
      </c>
      <c r="S696" s="255">
        <f>S697+S698</f>
        <v>0</v>
      </c>
      <c r="T696" s="255">
        <f>IF(Q696&gt;0,S696*100/Q696,0)</f>
        <v>0</v>
      </c>
      <c r="U696" s="255">
        <f>IF(R696&gt;0,S696*100/R696,0)</f>
        <v>0</v>
      </c>
    </row>
    <row r="697" spans="1:21" ht="18.75" hidden="1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103">
        <v>0</v>
      </c>
      <c r="M697" s="102">
        <v>0</v>
      </c>
      <c r="N697" s="102">
        <v>0</v>
      </c>
      <c r="O697" s="102">
        <f>IF(L697&gt;0,N697*100/L697,0)</f>
        <v>0</v>
      </c>
      <c r="P697" s="102">
        <f>IF(M697&gt;0,N697*100/M697,0)</f>
        <v>0</v>
      </c>
      <c r="Q697" s="102">
        <v>0</v>
      </c>
      <c r="R697" s="102">
        <v>0</v>
      </c>
      <c r="S697" s="102">
        <v>0</v>
      </c>
      <c r="T697" s="102">
        <f>IF(Q697&gt;0,S697*100/Q697,0)</f>
        <v>0</v>
      </c>
      <c r="U697" s="102">
        <f>IF(R697&gt;0,S697*100/R697,0)</f>
        <v>0</v>
      </c>
    </row>
    <row r="698" spans="1:21" ht="18.75" hidden="1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256">
        <v>0</v>
      </c>
      <c r="M698" s="255">
        <v>0</v>
      </c>
      <c r="N698" s="255">
        <v>0</v>
      </c>
      <c r="O698" s="255">
        <f>IF(L698&gt;0,N698*100/L698,0)</f>
        <v>0</v>
      </c>
      <c r="P698" s="255">
        <f>IF(M698&gt;0,N698*100/M698,0)</f>
        <v>0</v>
      </c>
      <c r="Q698" s="255">
        <v>0</v>
      </c>
      <c r="R698" s="255">
        <v>0</v>
      </c>
      <c r="S698" s="255">
        <v>0</v>
      </c>
      <c r="T698" s="255">
        <f>IF(Q698&gt;0,S698*100/Q698,0)</f>
        <v>0</v>
      </c>
      <c r="U698" s="255">
        <f>IF(R698&gt;0,S698*100/R698,0)</f>
        <v>0</v>
      </c>
    </row>
    <row r="699" spans="1:21" ht="19.5">
      <c r="A699" s="166"/>
      <c r="B699" s="167"/>
      <c r="C699" s="205" t="s">
        <v>18</v>
      </c>
      <c r="D699" s="566" t="s">
        <v>38</v>
      </c>
      <c r="E699" s="169"/>
      <c r="F699" s="169"/>
      <c r="G699" s="169"/>
      <c r="H699" s="206"/>
      <c r="I699" s="163"/>
      <c r="J699" s="163"/>
      <c r="K699" s="164"/>
      <c r="L699" s="62"/>
      <c r="M699" s="55"/>
      <c r="N699" s="55"/>
      <c r="O699" s="55"/>
      <c r="P699" s="55"/>
      <c r="Q699" s="55"/>
      <c r="R699" s="55"/>
      <c r="S699" s="55"/>
      <c r="T699" s="55"/>
      <c r="U699" s="55"/>
    </row>
    <row r="700" spans="1:21" ht="18.75">
      <c r="A700" s="238"/>
      <c r="B700" s="188"/>
      <c r="C700" s="188"/>
      <c r="D700" s="174"/>
      <c r="E700" s="173" t="s">
        <v>257</v>
      </c>
      <c r="F700" s="174"/>
      <c r="G700" s="171"/>
      <c r="H700" s="165" t="s">
        <v>258</v>
      </c>
      <c r="I700" s="212">
        <f ca="1">IFERROR(__xludf.DUMMYFUNCTION("IMPORTRANGE(""https://docs.google.com/spreadsheets/d/1eHaY18a8A9IcSdp1K8H6x8fbOy06t2VsZHhMHf-1x7Y/edit?usp=sharing"",""แผน!LC46"")"),0)</f>
        <v>0</v>
      </c>
      <c r="J700" s="467">
        <v>0</v>
      </c>
      <c r="K700" s="565">
        <f ca="1">IF(I700&gt;0,J700*100/I700,0)</f>
        <v>0</v>
      </c>
      <c r="L700" s="172"/>
      <c r="M700" s="164"/>
      <c r="N700" s="55"/>
      <c r="O700" s="164"/>
      <c r="P700" s="164"/>
      <c r="Q700" s="164"/>
      <c r="R700" s="164"/>
      <c r="S700" s="55"/>
      <c r="T700" s="164"/>
      <c r="U700" s="164"/>
    </row>
    <row r="701" spans="1:21" ht="19.5">
      <c r="A701" s="238"/>
      <c r="B701" s="188"/>
      <c r="C701" s="188"/>
      <c r="D701" s="174"/>
      <c r="E701" s="476" t="s">
        <v>259</v>
      </c>
      <c r="F701" s="174"/>
      <c r="G701" s="171"/>
      <c r="H701" s="158" t="s">
        <v>35</v>
      </c>
      <c r="I701" s="373">
        <f ca="1">I703+I705</f>
        <v>200</v>
      </c>
      <c r="J701" s="373">
        <f ca="1">J703+J705</f>
        <v>1</v>
      </c>
      <c r="K701" s="540">
        <f ca="1">IF(I701&gt;0,J701*100/I701,0)</f>
        <v>0.5</v>
      </c>
      <c r="L701" s="172"/>
      <c r="M701" s="164"/>
      <c r="N701" s="164"/>
      <c r="O701" s="164"/>
      <c r="P701" s="164"/>
      <c r="Q701" s="164"/>
      <c r="R701" s="164"/>
      <c r="S701" s="164"/>
      <c r="T701" s="164"/>
      <c r="U701" s="164"/>
    </row>
    <row r="702" spans="1:21" ht="19.5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73">
        <v>0</v>
      </c>
      <c r="J702" s="373">
        <f ca="1">J704+J706</f>
        <v>0.34</v>
      </c>
      <c r="K702" s="540">
        <f>IF(I702&gt;0,J702*100/I702,0)</f>
        <v>0</v>
      </c>
      <c r="L702" s="172"/>
      <c r="M702" s="164"/>
      <c r="N702" s="164"/>
      <c r="O702" s="164"/>
      <c r="P702" s="164"/>
      <c r="Q702" s="164"/>
      <c r="R702" s="164"/>
      <c r="S702" s="164"/>
      <c r="T702" s="164"/>
      <c r="U702" s="164"/>
    </row>
    <row r="703" spans="1:21" ht="18.75">
      <c r="A703" s="238"/>
      <c r="B703" s="188"/>
      <c r="C703" s="188"/>
      <c r="D703" s="174"/>
      <c r="E703" s="174"/>
      <c r="F703" s="173" t="s">
        <v>260</v>
      </c>
      <c r="G703" s="171"/>
      <c r="H703" s="165" t="s">
        <v>35</v>
      </c>
      <c r="I703" s="212">
        <f ca="1">IFERROR(__xludf.DUMMYFUNCTION("IMPORTRANGE(""https://docs.google.com/spreadsheets/d/1eHaY18a8A9IcSdp1K8H6x8fbOy06t2VsZHhMHf-1x7Y/edit?usp=sharing"",""แผน!LJ46"")"),200)</f>
        <v>200</v>
      </c>
      <c r="J703" s="212">
        <f ca="1">IFERROR(__xludf.DUMMYFUNCTION("IMPORTRANGE(""https://docs.google.com/spreadsheets/d/1tdoBKaGub7dwA3U6UFTqxio9LNnvDCQjHKmttSEBsFQ/edit?usp=sharing"",""จัดที่ดิน!AP46"")"),1)</f>
        <v>1</v>
      </c>
      <c r="K703" s="255">
        <f ca="1">IF(I703&gt;0,J703*100/I703,0)</f>
        <v>0.5</v>
      </c>
      <c r="L703" s="172"/>
      <c r="M703" s="164"/>
      <c r="N703" s="164"/>
      <c r="O703" s="164"/>
      <c r="P703" s="164"/>
      <c r="Q703" s="164"/>
      <c r="R703" s="164"/>
      <c r="S703" s="164"/>
      <c r="T703" s="164"/>
      <c r="U703" s="164"/>
    </row>
    <row r="704" spans="1:21" ht="18.75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212">
        <f ca="1">IFERROR(__xludf.DUMMYFUNCTION("IMPORTRANGE(""https://docs.google.com/spreadsheets/d/1tdoBKaGub7dwA3U6UFTqxio9LNnvDCQjHKmttSEBsFQ/edit?usp=sharing"",""จัดที่ดิน!AQ46"")"),0.34)</f>
        <v>0.34</v>
      </c>
      <c r="K704" s="255">
        <f>IF(I704&gt;0,J704*100/I704,0)</f>
        <v>0</v>
      </c>
      <c r="L704" s="172"/>
      <c r="M704" s="164"/>
      <c r="N704" s="164"/>
      <c r="O704" s="164"/>
      <c r="P704" s="164"/>
      <c r="Q704" s="164"/>
      <c r="R704" s="164"/>
      <c r="S704" s="164"/>
      <c r="T704" s="164"/>
      <c r="U704" s="164"/>
    </row>
    <row r="705" spans="1:21" ht="18.75">
      <c r="A705" s="238"/>
      <c r="B705" s="188"/>
      <c r="C705" s="188"/>
      <c r="D705" s="174"/>
      <c r="E705" s="174"/>
      <c r="F705" s="173" t="s">
        <v>261</v>
      </c>
      <c r="G705" s="171"/>
      <c r="H705" s="165" t="s">
        <v>35</v>
      </c>
      <c r="I705" s="212">
        <f ca="1">IFERROR(__xludf.DUMMYFUNCTION("IMPORTRANGE(""https://docs.google.com/spreadsheets/d/1eHaY18a8A9IcSdp1K8H6x8fbOy06t2VsZHhMHf-1x7Y/edit?usp=sharing"",""แผน!LK46"")"),0)</f>
        <v>0</v>
      </c>
      <c r="J705" s="212">
        <f ca="1">IFERROR(__xludf.DUMMYFUNCTION("IMPORTRANGE(""https://docs.google.com/spreadsheets/d/1tdoBKaGub7dwA3U6UFTqxio9LNnvDCQjHKmttSEBsFQ/edit?usp=sharing"",""จัดที่ดิน!AR46"")"),0)</f>
        <v>0</v>
      </c>
      <c r="K705" s="565">
        <f ca="1">IF(I705&gt;0,J705*100/I705,0)</f>
        <v>0</v>
      </c>
      <c r="L705" s="172"/>
      <c r="M705" s="164"/>
      <c r="N705" s="164"/>
      <c r="O705" s="164"/>
      <c r="P705" s="164"/>
      <c r="Q705" s="164"/>
      <c r="R705" s="164"/>
      <c r="S705" s="164"/>
      <c r="T705" s="164"/>
      <c r="U705" s="164"/>
    </row>
    <row r="706" spans="1:21" ht="18.75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212">
        <f ca="1">IFERROR(__xludf.DUMMYFUNCTION("IMPORTRANGE(""https://docs.google.com/spreadsheets/d/1tdoBKaGub7dwA3U6UFTqxio9LNnvDCQjHKmttSEBsFQ/edit?usp=sharing"",""จัดที่ดิน!AS46"")"),0)</f>
        <v>0</v>
      </c>
      <c r="K706" s="255">
        <f>IF(I706&gt;0,J706*100/I706,0)</f>
        <v>0</v>
      </c>
      <c r="L706" s="172"/>
      <c r="M706" s="164"/>
      <c r="N706" s="164"/>
      <c r="O706" s="164"/>
      <c r="P706" s="164"/>
      <c r="Q706" s="164"/>
      <c r="R706" s="164"/>
      <c r="S706" s="164"/>
      <c r="T706" s="164"/>
      <c r="U706" s="164"/>
    </row>
    <row r="707" spans="1:21" ht="18.75">
      <c r="A707" s="238"/>
      <c r="B707" s="188"/>
      <c r="C707" s="188"/>
      <c r="D707" s="174"/>
      <c r="E707" s="173" t="s">
        <v>262</v>
      </c>
      <c r="F707" s="174"/>
      <c r="G707" s="171"/>
      <c r="H707" s="162" t="s">
        <v>35</v>
      </c>
      <c r="I707" s="212">
        <f ca="1">IFERROR(__xludf.DUMMYFUNCTION("IMPORTRANGE(""https://docs.google.com/spreadsheets/d/1eHaY18a8A9IcSdp1K8H6x8fbOy06t2VsZHhMHf-1x7Y/edit?usp=sharing"",""แผน!LJ46"")"),200)</f>
        <v>200</v>
      </c>
      <c r="J707" s="212">
        <f ca="1">IFERROR(__xludf.DUMMYFUNCTION("IMPORTRANGE(""https://docs.google.com/spreadsheets/d/1tdoBKaGub7dwA3U6UFTqxio9LNnvDCQjHKmttSEBsFQ/edit?usp=sharing"",""จัดที่ดิน!BN46"")"),0)</f>
        <v>0</v>
      </c>
      <c r="K707" s="255">
        <f ca="1">IF(I707&gt;0,J707*100/I707,0)</f>
        <v>0</v>
      </c>
      <c r="L707" s="172"/>
      <c r="M707" s="164"/>
      <c r="N707" s="164"/>
      <c r="O707" s="164"/>
      <c r="P707" s="164"/>
      <c r="Q707" s="164"/>
      <c r="R707" s="164"/>
      <c r="S707" s="164"/>
      <c r="T707" s="164"/>
      <c r="U707" s="164"/>
    </row>
    <row r="708" spans="1:21" ht="18.75">
      <c r="A708" s="238"/>
      <c r="B708" s="188"/>
      <c r="C708" s="188"/>
      <c r="D708" s="174"/>
      <c r="E708" s="477" t="s">
        <v>263</v>
      </c>
      <c r="F708" s="174"/>
      <c r="G708" s="171"/>
      <c r="H708" s="162" t="s">
        <v>46</v>
      </c>
      <c r="I708" s="212">
        <v>0</v>
      </c>
      <c r="J708" s="212">
        <f ca="1">IFERROR(__xludf.DUMMYFUNCTION("IMPORTRANGE(""https://docs.google.com/spreadsheets/d/1tdoBKaGub7dwA3U6UFTqxio9LNnvDCQjHKmttSEBsFQ/edit?usp=sharing"",""จัดที่ดิน!BO46"")"),0)</f>
        <v>0</v>
      </c>
      <c r="K708" s="255">
        <f>IF(I708&gt;0,J708*100/I708,0)</f>
        <v>0</v>
      </c>
      <c r="L708" s="172"/>
      <c r="M708" s="164"/>
      <c r="N708" s="164"/>
      <c r="O708" s="164"/>
      <c r="P708" s="164"/>
      <c r="Q708" s="164"/>
      <c r="R708" s="164"/>
      <c r="S708" s="164"/>
      <c r="T708" s="164"/>
      <c r="U708" s="164"/>
    </row>
    <row r="709" spans="1:21" ht="18.75">
      <c r="A709" s="238"/>
      <c r="B709" s="188"/>
      <c r="C709" s="188"/>
      <c r="D709" s="50"/>
      <c r="E709" s="58" t="s">
        <v>264</v>
      </c>
      <c r="F709" s="50"/>
      <c r="G709" s="52"/>
      <c r="H709" s="203" t="s">
        <v>35</v>
      </c>
      <c r="I709" s="212">
        <f ca="1">IFERROR(__xludf.DUMMYFUNCTION("IMPORTRANGE(""https://docs.google.com/spreadsheets/d/1eHaY18a8A9IcSdp1K8H6x8fbOy06t2VsZHhMHf-1x7Y/edit?usp=sharing"",""แผน!LK46"")"),0)</f>
        <v>0</v>
      </c>
      <c r="J709" s="212">
        <f ca="1">IFERROR(__xludf.DUMMYFUNCTION("IMPORTRANGE(""https://docs.google.com/spreadsheets/d/1tdoBKaGub7dwA3U6UFTqxio9LNnvDCQjHKmttSEBsFQ/edit?usp=sharing"",""จัดที่ดิน!BP46"")"),1)</f>
        <v>1</v>
      </c>
      <c r="K709" s="255">
        <f ca="1">IF(I709&gt;0,J709*100/I709,0)</f>
        <v>0</v>
      </c>
      <c r="L709" s="62"/>
      <c r="M709" s="55"/>
      <c r="N709" s="55"/>
      <c r="O709" s="55"/>
      <c r="P709" s="55"/>
      <c r="Q709" s="55"/>
      <c r="R709" s="55"/>
      <c r="S709" s="55"/>
      <c r="T709" s="55"/>
      <c r="U709" s="55"/>
    </row>
    <row r="710" spans="1:21" ht="18.75">
      <c r="A710" s="238"/>
      <c r="B710" s="188"/>
      <c r="C710" s="188"/>
      <c r="D710" s="50"/>
      <c r="E710" s="477" t="s">
        <v>265</v>
      </c>
      <c r="F710" s="50"/>
      <c r="G710" s="52"/>
      <c r="H710" s="203" t="s">
        <v>46</v>
      </c>
      <c r="I710" s="212">
        <v>0</v>
      </c>
      <c r="J710" s="212">
        <f ca="1">IFERROR(__xludf.DUMMYFUNCTION("IMPORTRANGE(""https://docs.google.com/spreadsheets/d/1tdoBKaGub7dwA3U6UFTqxio9LNnvDCQjHKmttSEBsFQ/edit?usp=sharing"",""จัดที่ดิน!BQ46"")"),0)</f>
        <v>0</v>
      </c>
      <c r="K710" s="255">
        <f>IF(I710&gt;0,J710*100/I710,0)</f>
        <v>0</v>
      </c>
      <c r="L710" s="62"/>
      <c r="M710" s="55"/>
      <c r="N710" s="55"/>
      <c r="O710" s="55"/>
      <c r="P710" s="55"/>
      <c r="Q710" s="55"/>
      <c r="R710" s="55"/>
      <c r="S710" s="55"/>
      <c r="T710" s="55"/>
      <c r="U710" s="55"/>
    </row>
    <row r="711" spans="1:21" ht="12.75" hidden="1">
      <c r="A711" s="407"/>
      <c r="B711" s="360"/>
      <c r="C711" s="360"/>
      <c r="D711" s="408"/>
      <c r="E711" s="408"/>
      <c r="F711" s="408"/>
      <c r="G711" s="409"/>
      <c r="H711" s="361"/>
      <c r="I711" s="362"/>
      <c r="J711" s="362"/>
      <c r="K711" s="363"/>
      <c r="L711" s="364"/>
      <c r="M711" s="363"/>
      <c r="N711" s="363"/>
      <c r="O711" s="363"/>
      <c r="P711" s="363"/>
      <c r="Q711" s="363"/>
      <c r="R711" s="363"/>
      <c r="S711" s="363"/>
      <c r="T711" s="363"/>
      <c r="U711" s="363"/>
    </row>
    <row r="712" spans="1:21" ht="19.5" hidden="1">
      <c r="A712" s="442"/>
      <c r="B712" s="478" t="s">
        <v>266</v>
      </c>
      <c r="C712" s="442"/>
      <c r="D712" s="444"/>
      <c r="E712" s="444"/>
      <c r="F712" s="444"/>
      <c r="G712" s="445"/>
      <c r="H712" s="479" t="s">
        <v>46</v>
      </c>
      <c r="I712" s="447"/>
      <c r="J712" s="447">
        <f>J724</f>
        <v>0</v>
      </c>
      <c r="K712" s="564">
        <f>IF(I712&gt;0,J712*100/I712,0)</f>
        <v>0</v>
      </c>
      <c r="L712" s="449"/>
      <c r="M712" s="448"/>
      <c r="N712" s="448"/>
      <c r="O712" s="448"/>
      <c r="P712" s="448"/>
      <c r="Q712" s="448"/>
      <c r="R712" s="448"/>
      <c r="S712" s="448"/>
      <c r="T712" s="448"/>
      <c r="U712" s="448"/>
    </row>
    <row r="713" spans="1:21" ht="19.5" hidden="1">
      <c r="A713" s="442"/>
      <c r="B713" s="478" t="s">
        <v>267</v>
      </c>
      <c r="C713" s="442"/>
      <c r="D713" s="444"/>
      <c r="E713" s="444"/>
      <c r="F713" s="444"/>
      <c r="G713" s="445"/>
      <c r="H713" s="446"/>
      <c r="I713" s="447"/>
      <c r="J713" s="447"/>
      <c r="K713" s="448"/>
      <c r="L713" s="449"/>
      <c r="M713" s="448"/>
      <c r="N713" s="448"/>
      <c r="O713" s="448"/>
      <c r="P713" s="448"/>
      <c r="Q713" s="448"/>
      <c r="R713" s="448"/>
      <c r="S713" s="448"/>
      <c r="T713" s="448"/>
      <c r="U713" s="448"/>
    </row>
    <row r="714" spans="1:21" ht="19.5" hidden="1">
      <c r="A714" s="155"/>
      <c r="B714" s="188"/>
      <c r="C714" s="358" t="s">
        <v>18</v>
      </c>
      <c r="D714" s="563" t="s">
        <v>19</v>
      </c>
      <c r="E714" s="529"/>
      <c r="F714" s="529"/>
      <c r="G714" s="530"/>
      <c r="H714" s="418" t="s">
        <v>14</v>
      </c>
      <c r="I714" s="54"/>
      <c r="J714" s="54"/>
      <c r="K714" s="55"/>
      <c r="L714" s="541">
        <f>L715+L716</f>
        <v>0</v>
      </c>
      <c r="M714" s="540">
        <f>M715+M716</f>
        <v>0</v>
      </c>
      <c r="N714" s="540">
        <f>N715+N716</f>
        <v>0</v>
      </c>
      <c r="O714" s="540">
        <f>IF(L714&gt;0,N714*100/L714,0)</f>
        <v>0</v>
      </c>
      <c r="P714" s="540">
        <f>IF(M714&gt;0,N714*100/M714,0)</f>
        <v>0</v>
      </c>
      <c r="Q714" s="540">
        <f>Q715+Q716</f>
        <v>0</v>
      </c>
      <c r="R714" s="540">
        <f>R715+R716</f>
        <v>0</v>
      </c>
      <c r="S714" s="540">
        <f>S715+S716</f>
        <v>0</v>
      </c>
      <c r="T714" s="540">
        <f>IF(Q714&gt;0,S714*100/Q714,0)</f>
        <v>0</v>
      </c>
      <c r="U714" s="540">
        <f>IF(R714&gt;0,S714*100/R714,0)</f>
        <v>0</v>
      </c>
    </row>
    <row r="715" spans="1:21" ht="18.75" hidden="1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103">
        <f>L718+L721</f>
        <v>0</v>
      </c>
      <c r="M715" s="102">
        <f>M718+M721</f>
        <v>0</v>
      </c>
      <c r="N715" s="102">
        <f>N718+N721</f>
        <v>0</v>
      </c>
      <c r="O715" s="102">
        <f>IF(L715&gt;0,N715*100/L715,0)</f>
        <v>0</v>
      </c>
      <c r="P715" s="102">
        <f>IF(M715&gt;0,N715*100/M715,0)</f>
        <v>0</v>
      </c>
      <c r="Q715" s="102">
        <f>Q718+Q721</f>
        <v>0</v>
      </c>
      <c r="R715" s="102">
        <f>R718+R721</f>
        <v>0</v>
      </c>
      <c r="S715" s="102">
        <f>S718+S721</f>
        <v>0</v>
      </c>
      <c r="T715" s="102">
        <f>IF(Q715&gt;0,S715*100/Q715,0)</f>
        <v>0</v>
      </c>
      <c r="U715" s="102">
        <f>IF(R715&gt;0,S715*100/R715,0)</f>
        <v>0</v>
      </c>
    </row>
    <row r="716" spans="1:21" ht="18.75" hidden="1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256">
        <f>L719+L722</f>
        <v>0</v>
      </c>
      <c r="M716" s="255">
        <f>M719+M722</f>
        <v>0</v>
      </c>
      <c r="N716" s="255">
        <f>N719+N722</f>
        <v>0</v>
      </c>
      <c r="O716" s="255">
        <f>IF(L716&gt;0,N716*100/L716,0)</f>
        <v>0</v>
      </c>
      <c r="P716" s="255">
        <f>IF(M716&gt;0,N716*100/M716,0)</f>
        <v>0</v>
      </c>
      <c r="Q716" s="255">
        <f>Q719+Q722</f>
        <v>0</v>
      </c>
      <c r="R716" s="255">
        <f>R719+R722</f>
        <v>0</v>
      </c>
      <c r="S716" s="255">
        <f>S719+S722</f>
        <v>0</v>
      </c>
      <c r="T716" s="255">
        <f>IF(Q716&gt;0,S716*100/Q716,0)</f>
        <v>0</v>
      </c>
      <c r="U716" s="255">
        <f>IF(R716&gt;0,S716*100/R716,0)</f>
        <v>0</v>
      </c>
    </row>
    <row r="717" spans="1:21" ht="19.5" hidden="1">
      <c r="A717" s="155"/>
      <c r="B717" s="188"/>
      <c r="C717" s="188"/>
      <c r="D717" s="562" t="s">
        <v>22</v>
      </c>
      <c r="E717" s="50"/>
      <c r="F717" s="50"/>
      <c r="G717" s="52"/>
      <c r="H717" s="418" t="s">
        <v>14</v>
      </c>
      <c r="I717" s="163"/>
      <c r="J717" s="163"/>
      <c r="K717" s="164"/>
      <c r="L717" s="256">
        <f>L718+L719</f>
        <v>0</v>
      </c>
      <c r="M717" s="255">
        <f>M718+M719</f>
        <v>0</v>
      </c>
      <c r="N717" s="255">
        <f>N718+N719</f>
        <v>0</v>
      </c>
      <c r="O717" s="255">
        <f>IF(L717&gt;0,N717*100/L717,0)</f>
        <v>0</v>
      </c>
      <c r="P717" s="255">
        <f>IF(M717&gt;0,N717*100/M717,0)</f>
        <v>0</v>
      </c>
      <c r="Q717" s="255">
        <f>Q718+Q719</f>
        <v>0</v>
      </c>
      <c r="R717" s="255">
        <f>R718+R719</f>
        <v>0</v>
      </c>
      <c r="S717" s="255">
        <f>S718+S719</f>
        <v>0</v>
      </c>
      <c r="T717" s="255">
        <f>IF(Q717&gt;0,S717*100/Q717,0)</f>
        <v>0</v>
      </c>
      <c r="U717" s="255">
        <f>IF(R717&gt;0,S717*100/R717,0)</f>
        <v>0</v>
      </c>
    </row>
    <row r="718" spans="1:21" ht="18.75" hidden="1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103">
        <v>0</v>
      </c>
      <c r="M718" s="102">
        <v>0</v>
      </c>
      <c r="N718" s="102">
        <v>0</v>
      </c>
      <c r="O718" s="102">
        <f>IF(L718&gt;0,N718*100/L718,0)</f>
        <v>0</v>
      </c>
      <c r="P718" s="102">
        <f>IF(M718&gt;0,N718*100/M718,0)</f>
        <v>0</v>
      </c>
      <c r="Q718" s="102">
        <v>0</v>
      </c>
      <c r="R718" s="102">
        <v>0</v>
      </c>
      <c r="S718" s="102">
        <v>0</v>
      </c>
      <c r="T718" s="102">
        <f>IF(Q718&gt;0,S718*100/Q718,0)</f>
        <v>0</v>
      </c>
      <c r="U718" s="102">
        <f>IF(R718&gt;0,S718*100/R718,0)</f>
        <v>0</v>
      </c>
    </row>
    <row r="719" spans="1:21" ht="18.75" hidden="1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256">
        <v>0</v>
      </c>
      <c r="M719" s="255">
        <v>0</v>
      </c>
      <c r="N719" s="255">
        <v>0</v>
      </c>
      <c r="O719" s="255">
        <f>IF(L719&gt;0,N719*100/L719,0)</f>
        <v>0</v>
      </c>
      <c r="P719" s="255">
        <f>IF(M719&gt;0,N719*100/M719,0)</f>
        <v>0</v>
      </c>
      <c r="Q719" s="255">
        <v>0</v>
      </c>
      <c r="R719" s="255">
        <v>0</v>
      </c>
      <c r="S719" s="255">
        <v>0</v>
      </c>
      <c r="T719" s="255">
        <f>IF(Q719&gt;0,S719*100/Q719,0)</f>
        <v>0</v>
      </c>
      <c r="U719" s="255">
        <f>IF(R719&gt;0,S719*100/R719,0)</f>
        <v>0</v>
      </c>
    </row>
    <row r="720" spans="1:21" ht="19.5" hidden="1">
      <c r="A720" s="155"/>
      <c r="B720" s="188"/>
      <c r="C720" s="188"/>
      <c r="D720" s="562" t="s">
        <v>23</v>
      </c>
      <c r="E720" s="50"/>
      <c r="F720" s="50"/>
      <c r="G720" s="52"/>
      <c r="H720" s="420" t="s">
        <v>14</v>
      </c>
      <c r="I720" s="163"/>
      <c r="J720" s="163"/>
      <c r="K720" s="164"/>
      <c r="L720" s="256">
        <f>L721+L722</f>
        <v>0</v>
      </c>
      <c r="M720" s="255">
        <f>M721+M722</f>
        <v>0</v>
      </c>
      <c r="N720" s="255">
        <f>N721+N722</f>
        <v>0</v>
      </c>
      <c r="O720" s="255">
        <f>IF(L720&gt;0,N720*100/L720,0)</f>
        <v>0</v>
      </c>
      <c r="P720" s="255">
        <f>IF(M720&gt;0,N720*100/M720,0)</f>
        <v>0</v>
      </c>
      <c r="Q720" s="255">
        <f>Q721+Q722</f>
        <v>0</v>
      </c>
      <c r="R720" s="255">
        <f>R721+R722</f>
        <v>0</v>
      </c>
      <c r="S720" s="255">
        <f>S721+S722</f>
        <v>0</v>
      </c>
      <c r="T720" s="255">
        <f>IF(Q720&gt;0,S720*100/Q720,0)</f>
        <v>0</v>
      </c>
      <c r="U720" s="255">
        <f>IF(R720&gt;0,S720*100/R720,0)</f>
        <v>0</v>
      </c>
    </row>
    <row r="721" spans="1:21" ht="18.75" hidden="1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103">
        <v>0</v>
      </c>
      <c r="M721" s="102">
        <v>0</v>
      </c>
      <c r="N721" s="102">
        <v>0</v>
      </c>
      <c r="O721" s="102">
        <f>IF(L721&gt;0,N721*100/L721,0)</f>
        <v>0</v>
      </c>
      <c r="P721" s="102">
        <f>IF(M721&gt;0,N721*100/M721,0)</f>
        <v>0</v>
      </c>
      <c r="Q721" s="102">
        <v>0</v>
      </c>
      <c r="R721" s="102">
        <v>0</v>
      </c>
      <c r="S721" s="102">
        <v>0</v>
      </c>
      <c r="T721" s="102">
        <f>IF(Q721&gt;0,S721*100/Q721,0)</f>
        <v>0</v>
      </c>
      <c r="U721" s="102">
        <f>IF(R721&gt;0,S721*100/R721,0)</f>
        <v>0</v>
      </c>
    </row>
    <row r="722" spans="1:21" ht="18.75" hidden="1">
      <c r="A722" s="155"/>
      <c r="B722" s="188"/>
      <c r="C722" s="188"/>
      <c r="D722" s="50"/>
      <c r="E722" s="186" t="s">
        <v>21</v>
      </c>
      <c r="F722" s="50"/>
      <c r="G722" s="52"/>
      <c r="H722" s="421" t="s">
        <v>14</v>
      </c>
      <c r="I722" s="163"/>
      <c r="J722" s="163"/>
      <c r="K722" s="164"/>
      <c r="L722" s="256">
        <v>0</v>
      </c>
      <c r="M722" s="255">
        <v>0</v>
      </c>
      <c r="N722" s="255">
        <v>0</v>
      </c>
      <c r="O722" s="255">
        <f>IF(L722&gt;0,N722*100/L722,0)</f>
        <v>0</v>
      </c>
      <c r="P722" s="255">
        <f>IF(M722&gt;0,N722*100/M722,0)</f>
        <v>0</v>
      </c>
      <c r="Q722" s="255">
        <v>0</v>
      </c>
      <c r="R722" s="255">
        <v>0</v>
      </c>
      <c r="S722" s="255">
        <v>0</v>
      </c>
      <c r="T722" s="255">
        <f>IF(Q722&gt;0,S722*100/Q722,0)</f>
        <v>0</v>
      </c>
      <c r="U722" s="255">
        <f>IF(R722&gt;0,S722*100/R722,0)</f>
        <v>0</v>
      </c>
    </row>
    <row r="723" spans="1:21" ht="19.5" hidden="1">
      <c r="A723" s="166"/>
      <c r="B723" s="167"/>
      <c r="C723" s="358" t="s">
        <v>18</v>
      </c>
      <c r="D723" s="561" t="s">
        <v>38</v>
      </c>
      <c r="E723" s="169"/>
      <c r="F723" s="169"/>
      <c r="G723" s="170"/>
      <c r="H723" s="206"/>
      <c r="I723" s="163"/>
      <c r="J723" s="163"/>
      <c r="K723" s="164"/>
      <c r="L723" s="172"/>
      <c r="M723" s="164"/>
      <c r="N723" s="164"/>
      <c r="O723" s="164"/>
      <c r="P723" s="164"/>
      <c r="Q723" s="164"/>
      <c r="R723" s="164"/>
      <c r="S723" s="164"/>
      <c r="T723" s="164"/>
      <c r="U723" s="164"/>
    </row>
    <row r="724" spans="1:21" ht="18.75" hidden="1">
      <c r="A724" s="238"/>
      <c r="B724" s="188"/>
      <c r="C724" s="188"/>
      <c r="D724" s="50"/>
      <c r="E724" s="186" t="s">
        <v>268</v>
      </c>
      <c r="F724" s="50"/>
      <c r="G724" s="52"/>
      <c r="H724" s="189" t="s">
        <v>46</v>
      </c>
      <c r="I724" s="483">
        <v>0</v>
      </c>
      <c r="J724" s="54"/>
      <c r="K724" s="55"/>
      <c r="L724" s="62"/>
      <c r="M724" s="55"/>
      <c r="N724" s="55"/>
      <c r="O724" s="55"/>
      <c r="P724" s="55"/>
      <c r="Q724" s="55"/>
      <c r="R724" s="55"/>
      <c r="S724" s="55"/>
      <c r="T724" s="55"/>
      <c r="U724" s="55"/>
    </row>
    <row r="725" spans="1:21" ht="18.75" hidden="1">
      <c r="A725" s="374"/>
      <c r="B725" s="5"/>
      <c r="C725" s="5"/>
      <c r="D725" s="4"/>
      <c r="E725" s="484" t="s">
        <v>269</v>
      </c>
      <c r="F725" s="4"/>
      <c r="G725" s="65"/>
      <c r="H725" s="485" t="s">
        <v>46</v>
      </c>
      <c r="I725" s="486">
        <v>0</v>
      </c>
      <c r="J725" s="67"/>
      <c r="K725" s="6"/>
      <c r="L725" s="68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>
      <c r="A726" s="442"/>
      <c r="B726" s="443" t="s">
        <v>270</v>
      </c>
      <c r="C726" s="442"/>
      <c r="D726" s="444"/>
      <c r="E726" s="444"/>
      <c r="F726" s="444"/>
      <c r="G726" s="445"/>
      <c r="H726" s="473" t="s">
        <v>35</v>
      </c>
      <c r="I726" s="544">
        <f ca="1">IFERROR(__xludf.DUMMYFUNCTION("IMPORTRANGE(""https://docs.google.com/spreadsheets/d/1eHaY18a8A9IcSdp1K8H6x8fbOy06t2VsZHhMHf-1x7Y/edit?usp=sharing"",""แผน!GA46"")"),128)</f>
        <v>128</v>
      </c>
      <c r="J726" s="544">
        <f>J742+J746+J749</f>
        <v>0</v>
      </c>
      <c r="K726" s="543">
        <f ca="1">IF(I726&gt;0,J726*100/I726,0)</f>
        <v>0</v>
      </c>
      <c r="L726" s="449"/>
      <c r="M726" s="448"/>
      <c r="N726" s="448"/>
      <c r="O726" s="448"/>
      <c r="P726" s="448"/>
      <c r="Q726" s="448"/>
      <c r="R726" s="448"/>
      <c r="S726" s="448"/>
      <c r="T726" s="448"/>
      <c r="U726" s="448"/>
    </row>
    <row r="727" spans="1:21" ht="19.5">
      <c r="A727" s="487"/>
      <c r="B727" s="442"/>
      <c r="C727" s="442"/>
      <c r="D727" s="444"/>
      <c r="E727" s="444"/>
      <c r="F727" s="444"/>
      <c r="G727" s="445"/>
      <c r="H727" s="473" t="s">
        <v>46</v>
      </c>
      <c r="I727" s="544">
        <f ca="1">IFERROR(__xludf.DUMMYFUNCTION("IMPORTRANGE(""https://docs.google.com/spreadsheets/d/1eHaY18a8A9IcSdp1K8H6x8fbOy06t2VsZHhMHf-1x7Y/edit?usp=sharing"",""แผน!FZ46"")"),1250)</f>
        <v>1250</v>
      </c>
      <c r="J727" s="544">
        <f>J752+J755</f>
        <v>0</v>
      </c>
      <c r="K727" s="543">
        <f ca="1">IF(I727&gt;0,J727*100/I727,0)</f>
        <v>0</v>
      </c>
      <c r="L727" s="449"/>
      <c r="M727" s="448"/>
      <c r="N727" s="448"/>
      <c r="O727" s="448"/>
      <c r="P727" s="448"/>
      <c r="Q727" s="448"/>
      <c r="R727" s="448"/>
      <c r="S727" s="448"/>
      <c r="T727" s="448"/>
      <c r="U727" s="448"/>
    </row>
    <row r="728" spans="1:21" ht="19.5">
      <c r="A728" s="155"/>
      <c r="B728" s="188"/>
      <c r="C728" s="205" t="s">
        <v>18</v>
      </c>
      <c r="D728" s="542" t="s">
        <v>19</v>
      </c>
      <c r="E728" s="529"/>
      <c r="F728" s="529"/>
      <c r="G728" s="530"/>
      <c r="H728" s="252" t="s">
        <v>14</v>
      </c>
      <c r="I728" s="54"/>
      <c r="J728" s="54"/>
      <c r="K728" s="55"/>
      <c r="L728" s="541">
        <f>L729+L730</f>
        <v>0</v>
      </c>
      <c r="M728" s="540">
        <f>M729+M730</f>
        <v>0</v>
      </c>
      <c r="N728" s="540">
        <f>N729+N730</f>
        <v>0</v>
      </c>
      <c r="O728" s="540">
        <f>IF(L728&gt;0,N728*100/L728,0)</f>
        <v>0</v>
      </c>
      <c r="P728" s="540">
        <f>IF(M728&gt;0,N728*100/M728,0)</f>
        <v>0</v>
      </c>
      <c r="Q728" s="540">
        <f ca="1">Q729+Q730</f>
        <v>1008470</v>
      </c>
      <c r="R728" s="540">
        <f ca="1">R729+R730</f>
        <v>1008470</v>
      </c>
      <c r="S728" s="540">
        <f ca="1">S729+S730</f>
        <v>39700</v>
      </c>
      <c r="T728" s="540">
        <f ca="1">IF(Q728&gt;0,S728*100/Q728,0)</f>
        <v>3.936656519281684</v>
      </c>
      <c r="U728" s="540">
        <f ca="1">IF(R728&gt;0,S728*100/R728,0)</f>
        <v>3.936656519281684</v>
      </c>
    </row>
    <row r="729" spans="1:21" ht="18.75" hidden="1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103">
        <f>L732+L735</f>
        <v>0</v>
      </c>
      <c r="M729" s="102">
        <f>M732+M735</f>
        <v>0</v>
      </c>
      <c r="N729" s="102">
        <f>N732+N735</f>
        <v>0</v>
      </c>
      <c r="O729" s="102">
        <f>IF(L729&gt;0,N729*100/L729,0)</f>
        <v>0</v>
      </c>
      <c r="P729" s="102">
        <f>IF(M729&gt;0,N729*100/M729,0)</f>
        <v>0</v>
      </c>
      <c r="Q729" s="102">
        <f>Q732+Q735</f>
        <v>0</v>
      </c>
      <c r="R729" s="102">
        <f>R732+R735</f>
        <v>0</v>
      </c>
      <c r="S729" s="102">
        <f>S732+S735</f>
        <v>0</v>
      </c>
      <c r="T729" s="102">
        <f>IF(Q729&gt;0,S729*100/Q729,0)</f>
        <v>0</v>
      </c>
      <c r="U729" s="102">
        <f>IF(R729&gt;0,S729*100/R729,0)</f>
        <v>0</v>
      </c>
    </row>
    <row r="730" spans="1:21" ht="18.75" hidden="1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256">
        <f>L733+L736</f>
        <v>0</v>
      </c>
      <c r="M730" s="255">
        <f>M733+M736</f>
        <v>0</v>
      </c>
      <c r="N730" s="255">
        <f>N733+N736</f>
        <v>0</v>
      </c>
      <c r="O730" s="255">
        <f>IF(L730&gt;0,N730*100/L730,0)</f>
        <v>0</v>
      </c>
      <c r="P730" s="255">
        <f>IF(M730&gt;0,N730*100/M730,0)</f>
        <v>0</v>
      </c>
      <c r="Q730" s="255">
        <f ca="1">Q733+Q736</f>
        <v>1008470</v>
      </c>
      <c r="R730" s="255">
        <f ca="1">R733+R736</f>
        <v>1008470</v>
      </c>
      <c r="S730" s="255">
        <f ca="1">S733+S736</f>
        <v>39700</v>
      </c>
      <c r="T730" s="255">
        <f ca="1">IF(Q730&gt;0,S730*100/Q730,0)</f>
        <v>3.936656519281684</v>
      </c>
      <c r="U730" s="255">
        <f ca="1">IF(R730&gt;0,S730*100/R730,0)</f>
        <v>3.936656519281684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256">
        <f>L732+L733</f>
        <v>0</v>
      </c>
      <c r="M731" s="255">
        <f>M732+M733</f>
        <v>0</v>
      </c>
      <c r="N731" s="255">
        <f>N732+N733</f>
        <v>0</v>
      </c>
      <c r="O731" s="255">
        <f>IF(L731&gt;0,N731*100/L731,0)</f>
        <v>0</v>
      </c>
      <c r="P731" s="255">
        <f>IF(M731&gt;0,N731*100/M731,0)</f>
        <v>0</v>
      </c>
      <c r="Q731" s="255">
        <f ca="1">Q732+Q733</f>
        <v>1008470</v>
      </c>
      <c r="R731" s="255">
        <f ca="1">R732+R733</f>
        <v>1008470</v>
      </c>
      <c r="S731" s="255">
        <f ca="1">S732+S733</f>
        <v>39700</v>
      </c>
      <c r="T731" s="255">
        <f ca="1">IF(Q731&gt;0,S731*100/Q731,0)</f>
        <v>3.936656519281684</v>
      </c>
      <c r="U731" s="255">
        <f ca="1">IF(R731&gt;0,S731*100/R731,0)</f>
        <v>3.936656519281684</v>
      </c>
    </row>
    <row r="732" spans="1:21" ht="18.75" hidden="1">
      <c r="A732" s="155"/>
      <c r="B732" s="188"/>
      <c r="C732" s="188"/>
      <c r="D732" s="174"/>
      <c r="E732" s="186" t="s">
        <v>159</v>
      </c>
      <c r="F732" s="50"/>
      <c r="G732" s="52"/>
      <c r="H732" s="189" t="s">
        <v>14</v>
      </c>
      <c r="I732" s="54"/>
      <c r="J732" s="54"/>
      <c r="K732" s="55"/>
      <c r="L732" s="103">
        <v>0</v>
      </c>
      <c r="M732" s="102">
        <v>0</v>
      </c>
      <c r="N732" s="102">
        <v>0</v>
      </c>
      <c r="O732" s="102">
        <f>IF(L732&gt;0,N732*100/L732,0)</f>
        <v>0</v>
      </c>
      <c r="P732" s="102">
        <f>IF(M732&gt;0,N732*100/M732,0)</f>
        <v>0</v>
      </c>
      <c r="Q732" s="102">
        <v>0</v>
      </c>
      <c r="R732" s="102">
        <v>0</v>
      </c>
      <c r="S732" s="102">
        <v>0</v>
      </c>
      <c r="T732" s="102">
        <f>IF(Q732&gt;0,S732*100/Q732,0)</f>
        <v>0</v>
      </c>
      <c r="U732" s="102">
        <f>IF(R732&gt;0,S732*100/R732,0)</f>
        <v>0</v>
      </c>
    </row>
    <row r="733" spans="1:21" ht="18.75" hidden="1">
      <c r="A733" s="155"/>
      <c r="B733" s="188"/>
      <c r="C733" s="188"/>
      <c r="D733" s="174"/>
      <c r="E733" s="58" t="s">
        <v>160</v>
      </c>
      <c r="F733" s="50"/>
      <c r="G733" s="52"/>
      <c r="H733" s="162" t="s">
        <v>14</v>
      </c>
      <c r="I733" s="54"/>
      <c r="J733" s="54"/>
      <c r="K733" s="55"/>
      <c r="L733" s="256">
        <v>0</v>
      </c>
      <c r="M733" s="255">
        <v>0</v>
      </c>
      <c r="N733" s="255">
        <v>0</v>
      </c>
      <c r="O733" s="255">
        <f>IF(L733&gt;0,N733*100/L733,0)</f>
        <v>0</v>
      </c>
      <c r="P733" s="255">
        <f>IF(M733&gt;0,N733*100/M733,0)</f>
        <v>0</v>
      </c>
      <c r="Q733" s="255">
        <f ca="1">IFERROR(__xludf.DUMMYFUNCTION("IMPORTRANGE(""https://docs.google.com/spreadsheets/d/1ItG2mGa2ceCfYo0BwxsXqNm01IGEUdYcSSLTEv9YCik/edit?usp=sharing"",""เบิกจ่ายกองทุน!O46"")"),1008470)</f>
        <v>1008470</v>
      </c>
      <c r="R733" s="255">
        <f ca="1">IFERROR(__xludf.DUMMYFUNCTION("IMPORTRANGE(""https://docs.google.com/spreadsheets/d/1ItG2mGa2ceCfYo0BwxsXqNm01IGEUdYcSSLTEv9YCik/edit?usp=sharing"",""เบิกจ่ายกองทุน!P46"")"),1008470)</f>
        <v>1008470</v>
      </c>
      <c r="S733" s="255">
        <f ca="1">IFERROR(__xludf.DUMMYFUNCTION("IMPORTRANGE(""https://docs.google.com/spreadsheets/d/1ItG2mGa2ceCfYo0BwxsXqNm01IGEUdYcSSLTEv9YCik/edit?usp=sharing"",""เบิกจ่ายกองทุน!Q46"")"),39700)</f>
        <v>39700</v>
      </c>
      <c r="T733" s="255">
        <f ca="1">IF(Q733&gt;0,S733*100/Q733,0)</f>
        <v>3.936656519281684</v>
      </c>
      <c r="U733" s="255">
        <f ca="1">IF(R733&gt;0,S733*100/R733,0)</f>
        <v>3.936656519281684</v>
      </c>
    </row>
    <row r="734" spans="1:21" ht="18.75">
      <c r="A734" s="155"/>
      <c r="B734" s="188"/>
      <c r="C734" s="188"/>
      <c r="D734" s="51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256">
        <f>L735+L736</f>
        <v>0</v>
      </c>
      <c r="M734" s="255">
        <f>M735+M736</f>
        <v>0</v>
      </c>
      <c r="N734" s="255">
        <f>N735+N736</f>
        <v>0</v>
      </c>
      <c r="O734" s="255">
        <f>IF(L734&gt;0,N734*100/L734,0)</f>
        <v>0</v>
      </c>
      <c r="P734" s="255">
        <f>IF(M734&gt;0,N734*100/M734,0)</f>
        <v>0</v>
      </c>
      <c r="Q734" s="255">
        <f>Q735+Q736</f>
        <v>0</v>
      </c>
      <c r="R734" s="255">
        <f>R735+R736</f>
        <v>0</v>
      </c>
      <c r="S734" s="255">
        <f>S735+S736</f>
        <v>0</v>
      </c>
      <c r="T734" s="255">
        <f>IF(Q734&gt;0,S734*100/Q734,0)</f>
        <v>0</v>
      </c>
      <c r="U734" s="255">
        <f>IF(R734&gt;0,S734*100/R734,0)</f>
        <v>0</v>
      </c>
    </row>
    <row r="735" spans="1:21" ht="18.75" hidden="1">
      <c r="A735" s="155"/>
      <c r="B735" s="188"/>
      <c r="C735" s="188"/>
      <c r="D735" s="188"/>
      <c r="E735" s="358" t="s">
        <v>20</v>
      </c>
      <c r="F735" s="188"/>
      <c r="G735" s="52"/>
      <c r="H735" s="189" t="s">
        <v>14</v>
      </c>
      <c r="I735" s="163"/>
      <c r="J735" s="163"/>
      <c r="K735" s="164"/>
      <c r="L735" s="103">
        <v>0</v>
      </c>
      <c r="M735" s="102">
        <v>0</v>
      </c>
      <c r="N735" s="102">
        <v>0</v>
      </c>
      <c r="O735" s="102">
        <f>IF(L735&gt;0,N735*100/L735,0)</f>
        <v>0</v>
      </c>
      <c r="P735" s="102">
        <f>IF(M735&gt;0,N735*100/M735,0)</f>
        <v>0</v>
      </c>
      <c r="Q735" s="102">
        <v>0</v>
      </c>
      <c r="R735" s="102">
        <v>0</v>
      </c>
      <c r="S735" s="102">
        <v>0</v>
      </c>
      <c r="T735" s="102">
        <f>IF(Q735&gt;0,S735*100/Q735,0)</f>
        <v>0</v>
      </c>
      <c r="U735" s="102">
        <f>IF(R735&gt;0,S735*100/R735,0)</f>
        <v>0</v>
      </c>
    </row>
    <row r="736" spans="1:21" ht="18.75" hidden="1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256">
        <v>0</v>
      </c>
      <c r="M736" s="255">
        <v>0</v>
      </c>
      <c r="N736" s="255">
        <v>0</v>
      </c>
      <c r="O736" s="255">
        <f>IF(L736&gt;0,N736*100/L736,0)</f>
        <v>0</v>
      </c>
      <c r="P736" s="255">
        <f>IF(M736&gt;0,N736*100/M736,0)</f>
        <v>0</v>
      </c>
      <c r="Q736" s="255">
        <v>0</v>
      </c>
      <c r="R736" s="255">
        <v>0</v>
      </c>
      <c r="S736" s="255">
        <v>0</v>
      </c>
      <c r="T736" s="255">
        <f>IF(Q736&gt;0,S736*100/Q736,0)</f>
        <v>0</v>
      </c>
      <c r="U736" s="255">
        <f>IF(R736&gt;0,S736*100/R736,0)</f>
        <v>0</v>
      </c>
    </row>
    <row r="737" spans="1:21" ht="19.5">
      <c r="A737" s="166"/>
      <c r="B737" s="167"/>
      <c r="C737" s="205" t="s">
        <v>18</v>
      </c>
      <c r="D737" s="560" t="s">
        <v>38</v>
      </c>
      <c r="E737" s="232"/>
      <c r="F737" s="169"/>
      <c r="G737" s="170"/>
      <c r="H737" s="206"/>
      <c r="I737" s="54"/>
      <c r="J737" s="54"/>
      <c r="K737" s="55"/>
      <c r="L737" s="62"/>
      <c r="M737" s="55"/>
      <c r="N737" s="55"/>
      <c r="O737" s="55"/>
      <c r="P737" s="55"/>
      <c r="Q737" s="55"/>
      <c r="R737" s="55"/>
      <c r="S737" s="55"/>
      <c r="T737" s="55"/>
      <c r="U737" s="55"/>
    </row>
    <row r="738" spans="1:21" ht="19.5">
      <c r="A738" s="166"/>
      <c r="B738" s="167"/>
      <c r="C738" s="167"/>
      <c r="D738" s="488" t="s">
        <v>121</v>
      </c>
      <c r="E738" s="167"/>
      <c r="F738" s="167"/>
      <c r="G738" s="171"/>
      <c r="H738" s="208"/>
      <c r="I738" s="54"/>
      <c r="J738" s="54"/>
      <c r="K738" s="55"/>
      <c r="L738" s="62"/>
      <c r="M738" s="55"/>
      <c r="N738" s="55"/>
      <c r="O738" s="55"/>
      <c r="P738" s="55"/>
      <c r="Q738" s="55"/>
      <c r="R738" s="55"/>
      <c r="S738" s="55"/>
      <c r="T738" s="55"/>
      <c r="U738" s="55"/>
    </row>
    <row r="739" spans="1:21" ht="18.75">
      <c r="A739" s="166"/>
      <c r="B739" s="167"/>
      <c r="C739" s="167"/>
      <c r="D739" s="167"/>
      <c r="E739" s="460" t="s">
        <v>271</v>
      </c>
      <c r="F739" s="167"/>
      <c r="G739" s="171"/>
      <c r="H739" s="208"/>
      <c r="I739" s="54"/>
      <c r="J739" s="54"/>
      <c r="K739" s="55"/>
      <c r="L739" s="62"/>
      <c r="M739" s="55"/>
      <c r="N739" s="55"/>
      <c r="O739" s="55"/>
      <c r="P739" s="55"/>
      <c r="Q739" s="55"/>
      <c r="R739" s="55"/>
      <c r="S739" s="55"/>
      <c r="T739" s="55"/>
      <c r="U739" s="55"/>
    </row>
    <row r="740" spans="1:21" ht="18.75">
      <c r="A740" s="554"/>
      <c r="B740" s="553"/>
      <c r="C740" s="553"/>
      <c r="D740" s="553"/>
      <c r="E740" s="553"/>
      <c r="F740" s="558" t="s">
        <v>272</v>
      </c>
      <c r="G740" s="550"/>
      <c r="H740" s="549" t="s">
        <v>46</v>
      </c>
      <c r="I740" s="556">
        <f ca="1">IFERROR(__xludf.DUMMYFUNCTION("IMPORTRANGE(""https://docs.google.com/spreadsheets/d/1eHaY18a8A9IcSdp1K8H6x8fbOy06t2VsZHhMHf-1x7Y/edit?usp=sharing"",""แผน!GB46"")"),1000)</f>
        <v>1000</v>
      </c>
      <c r="J740" s="547">
        <v>0</v>
      </c>
      <c r="K740" s="555">
        <f ca="1">IF(I740&gt;0,J740*100/I740,0)</f>
        <v>0</v>
      </c>
      <c r="L740" s="546"/>
      <c r="M740" s="545"/>
      <c r="N740" s="545"/>
      <c r="O740" s="545"/>
      <c r="P740" s="545"/>
      <c r="Q740" s="545"/>
      <c r="R740" s="545"/>
      <c r="S740" s="545"/>
      <c r="T740" s="545"/>
      <c r="U740" s="545"/>
    </row>
    <row r="741" spans="1:21" ht="18.75">
      <c r="A741" s="554"/>
      <c r="B741" s="553"/>
      <c r="C741" s="553"/>
      <c r="D741" s="553"/>
      <c r="E741" s="553"/>
      <c r="F741" s="558" t="s">
        <v>307</v>
      </c>
      <c r="G741" s="550"/>
      <c r="H741" s="549" t="s">
        <v>35</v>
      </c>
      <c r="I741" s="548"/>
      <c r="J741" s="547">
        <v>0</v>
      </c>
      <c r="K741" s="545"/>
      <c r="L741" s="546"/>
      <c r="M741" s="545"/>
      <c r="N741" s="545"/>
      <c r="O741" s="545"/>
      <c r="P741" s="545"/>
      <c r="Q741" s="545"/>
      <c r="R741" s="545"/>
      <c r="S741" s="545"/>
      <c r="T741" s="545"/>
      <c r="U741" s="545"/>
    </row>
    <row r="742" spans="1:21" ht="18.75">
      <c r="A742" s="554"/>
      <c r="B742" s="553"/>
      <c r="C742" s="553"/>
      <c r="D742" s="553"/>
      <c r="E742" s="553"/>
      <c r="F742" s="558" t="s">
        <v>306</v>
      </c>
      <c r="G742" s="550"/>
      <c r="H742" s="549" t="s">
        <v>35</v>
      </c>
      <c r="I742" s="556">
        <f ca="1">IFERROR(__xludf.DUMMYFUNCTION("IMPORTRANGE(""https://docs.google.com/spreadsheets/d/1eHaY18a8A9IcSdp1K8H6x8fbOy06t2VsZHhMHf-1x7Y/edit?usp=sharing"",""แผน!GC46"")"),100)</f>
        <v>100</v>
      </c>
      <c r="J742" s="547">
        <v>0</v>
      </c>
      <c r="K742" s="555">
        <f ca="1">IF(I742&gt;0,J742*100/I742,0)</f>
        <v>0</v>
      </c>
      <c r="L742" s="546"/>
      <c r="M742" s="545"/>
      <c r="N742" s="545"/>
      <c r="O742" s="545"/>
      <c r="P742" s="545"/>
      <c r="Q742" s="545"/>
      <c r="R742" s="545"/>
      <c r="S742" s="545"/>
      <c r="T742" s="545"/>
      <c r="U742" s="545"/>
    </row>
    <row r="743" spans="1:21" ht="18.75">
      <c r="A743" s="554"/>
      <c r="B743" s="553"/>
      <c r="C743" s="553"/>
      <c r="D743" s="553"/>
      <c r="E743" s="558" t="s">
        <v>275</v>
      </c>
      <c r="F743" s="553"/>
      <c r="G743" s="550"/>
      <c r="H743" s="557"/>
      <c r="I743" s="548"/>
      <c r="J743" s="548"/>
      <c r="K743" s="545"/>
      <c r="L743" s="546"/>
      <c r="M743" s="545"/>
      <c r="N743" s="545"/>
      <c r="O743" s="545"/>
      <c r="P743" s="545"/>
      <c r="Q743" s="545"/>
      <c r="R743" s="545"/>
      <c r="S743" s="545"/>
      <c r="T743" s="545"/>
      <c r="U743" s="545"/>
    </row>
    <row r="744" spans="1:21" ht="18.75">
      <c r="A744" s="554"/>
      <c r="B744" s="553"/>
      <c r="C744" s="553"/>
      <c r="D744" s="553"/>
      <c r="E744" s="553"/>
      <c r="F744" s="558" t="s">
        <v>272</v>
      </c>
      <c r="G744" s="550"/>
      <c r="H744" s="549" t="s">
        <v>46</v>
      </c>
      <c r="I744" s="556">
        <f ca="1">IFERROR(__xludf.DUMMYFUNCTION("IMPORTRANGE(""https://docs.google.com/spreadsheets/d/1eHaY18a8A9IcSdp1K8H6x8fbOy06t2VsZHhMHf-1x7Y/edit?usp=sharing"",""แผน!GD46"")"),250)</f>
        <v>250</v>
      </c>
      <c r="J744" s="547">
        <v>0</v>
      </c>
      <c r="K744" s="555">
        <f ca="1">IF(I744&gt;0,J744*100/I744,0)</f>
        <v>0</v>
      </c>
      <c r="L744" s="546"/>
      <c r="M744" s="545"/>
      <c r="N744" s="545"/>
      <c r="O744" s="545"/>
      <c r="P744" s="545"/>
      <c r="Q744" s="545"/>
      <c r="R744" s="545"/>
      <c r="S744" s="545"/>
      <c r="T744" s="545"/>
      <c r="U744" s="545"/>
    </row>
    <row r="745" spans="1:21" ht="18.75">
      <c r="A745" s="554"/>
      <c r="B745" s="553"/>
      <c r="C745" s="553"/>
      <c r="D745" s="553"/>
      <c r="E745" s="553"/>
      <c r="F745" s="558" t="s">
        <v>305</v>
      </c>
      <c r="G745" s="550"/>
      <c r="H745" s="549" t="s">
        <v>35</v>
      </c>
      <c r="I745" s="548"/>
      <c r="J745" s="547">
        <v>0</v>
      </c>
      <c r="K745" s="545"/>
      <c r="L745" s="546"/>
      <c r="M745" s="545"/>
      <c r="N745" s="545"/>
      <c r="O745" s="545"/>
      <c r="P745" s="545"/>
      <c r="Q745" s="545"/>
      <c r="R745" s="545"/>
      <c r="S745" s="545"/>
      <c r="T745" s="545"/>
      <c r="U745" s="545"/>
    </row>
    <row r="746" spans="1:21" ht="18.75">
      <c r="A746" s="554"/>
      <c r="B746" s="553"/>
      <c r="C746" s="553"/>
      <c r="D746" s="553"/>
      <c r="E746" s="553"/>
      <c r="F746" s="558" t="s">
        <v>304</v>
      </c>
      <c r="G746" s="550"/>
      <c r="H746" s="549" t="s">
        <v>35</v>
      </c>
      <c r="I746" s="556">
        <f ca="1">IFERROR(__xludf.DUMMYFUNCTION("IMPORTRANGE(""https://docs.google.com/spreadsheets/d/1eHaY18a8A9IcSdp1K8H6x8fbOy06t2VsZHhMHf-1x7Y/edit?usp=sharing"",""แผน!GE46"")"),25)</f>
        <v>25</v>
      </c>
      <c r="J746" s="547">
        <v>0</v>
      </c>
      <c r="K746" s="555">
        <f ca="1">IF(I746&gt;0,J746*100/I746,0)</f>
        <v>0</v>
      </c>
      <c r="L746" s="546"/>
      <c r="M746" s="545"/>
      <c r="N746" s="545"/>
      <c r="O746" s="545"/>
      <c r="P746" s="545"/>
      <c r="Q746" s="545"/>
      <c r="R746" s="545"/>
      <c r="S746" s="545"/>
      <c r="T746" s="545"/>
      <c r="U746" s="545"/>
    </row>
    <row r="747" spans="1:21" ht="18.75">
      <c r="A747" s="554"/>
      <c r="B747" s="553"/>
      <c r="C747" s="553"/>
      <c r="D747" s="553"/>
      <c r="E747" s="558" t="s">
        <v>278</v>
      </c>
      <c r="F747" s="552"/>
      <c r="G747" s="550"/>
      <c r="H747" s="557"/>
      <c r="I747" s="548"/>
      <c r="J747" s="548"/>
      <c r="K747" s="545"/>
      <c r="L747" s="546"/>
      <c r="M747" s="545"/>
      <c r="N747" s="545"/>
      <c r="O747" s="545"/>
      <c r="P747" s="545"/>
      <c r="Q747" s="545"/>
      <c r="R747" s="545"/>
      <c r="S747" s="545"/>
      <c r="T747" s="545"/>
      <c r="U747" s="545"/>
    </row>
    <row r="748" spans="1:21" ht="18.75">
      <c r="A748" s="554"/>
      <c r="B748" s="553"/>
      <c r="C748" s="553"/>
      <c r="D748" s="553"/>
      <c r="E748" s="553"/>
      <c r="F748" s="558" t="s">
        <v>303</v>
      </c>
      <c r="G748" s="550"/>
      <c r="H748" s="549" t="s">
        <v>35</v>
      </c>
      <c r="I748" s="548"/>
      <c r="J748" s="547">
        <v>0</v>
      </c>
      <c r="K748" s="545"/>
      <c r="L748" s="546"/>
      <c r="M748" s="545"/>
      <c r="N748" s="545"/>
      <c r="O748" s="545"/>
      <c r="P748" s="545"/>
      <c r="Q748" s="545"/>
      <c r="R748" s="545"/>
      <c r="S748" s="545"/>
      <c r="T748" s="545"/>
      <c r="U748" s="545"/>
    </row>
    <row r="749" spans="1:21" ht="18.75">
      <c r="A749" s="554"/>
      <c r="B749" s="553"/>
      <c r="C749" s="553"/>
      <c r="D749" s="553"/>
      <c r="E749" s="553"/>
      <c r="F749" s="558" t="s">
        <v>302</v>
      </c>
      <c r="G749" s="550"/>
      <c r="H749" s="549" t="s">
        <v>35</v>
      </c>
      <c r="I749" s="556">
        <f ca="1">IFERROR(__xludf.DUMMYFUNCTION("IMPORTRANGE(""https://docs.google.com/spreadsheets/d/1eHaY18a8A9IcSdp1K8H6x8fbOy06t2VsZHhMHf-1x7Y/edit?usp=sharing"",""แผน!GF46"")"),3)</f>
        <v>3</v>
      </c>
      <c r="J749" s="547">
        <v>0</v>
      </c>
      <c r="K749" s="555">
        <f ca="1">IF(I749&gt;0,J749*100/I749,0)</f>
        <v>0</v>
      </c>
      <c r="L749" s="546"/>
      <c r="M749" s="545"/>
      <c r="N749" s="545"/>
      <c r="O749" s="545"/>
      <c r="P749" s="545"/>
      <c r="Q749" s="545"/>
      <c r="R749" s="545"/>
      <c r="S749" s="545"/>
      <c r="T749" s="545"/>
      <c r="U749" s="545"/>
    </row>
    <row r="750" spans="1:21" ht="19.5">
      <c r="A750" s="554"/>
      <c r="B750" s="553"/>
      <c r="C750" s="553"/>
      <c r="D750" s="559" t="s">
        <v>50</v>
      </c>
      <c r="E750" s="553"/>
      <c r="F750" s="552"/>
      <c r="G750" s="550"/>
      <c r="H750" s="557"/>
      <c r="I750" s="548"/>
      <c r="J750" s="548"/>
      <c r="K750" s="545"/>
      <c r="L750" s="546"/>
      <c r="M750" s="545"/>
      <c r="N750" s="545"/>
      <c r="O750" s="545"/>
      <c r="P750" s="545"/>
      <c r="Q750" s="545"/>
      <c r="R750" s="545"/>
      <c r="S750" s="545"/>
      <c r="T750" s="545"/>
      <c r="U750" s="545"/>
    </row>
    <row r="751" spans="1:21" ht="18.75">
      <c r="A751" s="554"/>
      <c r="B751" s="553"/>
      <c r="C751" s="553"/>
      <c r="D751" s="553"/>
      <c r="E751" s="558" t="s">
        <v>271</v>
      </c>
      <c r="F751" s="552"/>
      <c r="G751" s="550"/>
      <c r="H751" s="557"/>
      <c r="I751" s="548"/>
      <c r="J751" s="548"/>
      <c r="K751" s="545"/>
      <c r="L751" s="546"/>
      <c r="M751" s="545"/>
      <c r="N751" s="545"/>
      <c r="O751" s="545"/>
      <c r="P751" s="545"/>
      <c r="Q751" s="545"/>
      <c r="R751" s="545"/>
      <c r="S751" s="545"/>
      <c r="T751" s="545"/>
      <c r="U751" s="545"/>
    </row>
    <row r="752" spans="1:21" ht="18.75">
      <c r="A752" s="554"/>
      <c r="B752" s="553"/>
      <c r="C752" s="553"/>
      <c r="D752" s="553"/>
      <c r="E752" s="553"/>
      <c r="F752" s="551" t="s">
        <v>301</v>
      </c>
      <c r="G752" s="550"/>
      <c r="H752" s="549" t="s">
        <v>46</v>
      </c>
      <c r="I752" s="556">
        <f ca="1">IFERROR(__xludf.DUMMYFUNCTION("IMPORTRANGE(""https://docs.google.com/spreadsheets/d/1eHaY18a8A9IcSdp1K8H6x8fbOy06t2VsZHhMHf-1x7Y/edit?usp=sharing"",""แผน!GB46"")"),1000)</f>
        <v>1000</v>
      </c>
      <c r="J752" s="547">
        <v>0</v>
      </c>
      <c r="K752" s="555">
        <f ca="1">IF(I752&gt;0,J752*100/I752,0)</f>
        <v>0</v>
      </c>
      <c r="L752" s="546"/>
      <c r="M752" s="545"/>
      <c r="N752" s="545"/>
      <c r="O752" s="545"/>
      <c r="P752" s="545"/>
      <c r="Q752" s="545"/>
      <c r="R752" s="545"/>
      <c r="S752" s="545"/>
      <c r="T752" s="545"/>
      <c r="U752" s="545"/>
    </row>
    <row r="753" spans="1:21" ht="18.75">
      <c r="A753" s="554"/>
      <c r="B753" s="553"/>
      <c r="C753" s="553"/>
      <c r="D753" s="553"/>
      <c r="E753" s="553"/>
      <c r="F753" s="551" t="s">
        <v>300</v>
      </c>
      <c r="G753" s="550"/>
      <c r="H753" s="549" t="s">
        <v>46</v>
      </c>
      <c r="I753" s="548"/>
      <c r="J753" s="547">
        <v>0</v>
      </c>
      <c r="K753" s="545"/>
      <c r="L753" s="546"/>
      <c r="M753" s="545"/>
      <c r="N753" s="545"/>
      <c r="O753" s="545"/>
      <c r="P753" s="545"/>
      <c r="Q753" s="545"/>
      <c r="R753" s="545"/>
      <c r="S753" s="545"/>
      <c r="T753" s="545"/>
      <c r="U753" s="545"/>
    </row>
    <row r="754" spans="1:21" ht="18.75">
      <c r="A754" s="554"/>
      <c r="B754" s="553"/>
      <c r="C754" s="553"/>
      <c r="D754" s="553"/>
      <c r="E754" s="558" t="s">
        <v>275</v>
      </c>
      <c r="F754" s="552"/>
      <c r="G754" s="550"/>
      <c r="H754" s="557"/>
      <c r="I754" s="548"/>
      <c r="J754" s="548"/>
      <c r="K754" s="545"/>
      <c r="L754" s="546"/>
      <c r="M754" s="545"/>
      <c r="N754" s="545"/>
      <c r="O754" s="545"/>
      <c r="P754" s="545"/>
      <c r="Q754" s="545"/>
      <c r="R754" s="545"/>
      <c r="S754" s="545"/>
      <c r="T754" s="545"/>
      <c r="U754" s="545"/>
    </row>
    <row r="755" spans="1:21" ht="18.75">
      <c r="A755" s="554"/>
      <c r="B755" s="553"/>
      <c r="C755" s="553"/>
      <c r="D755" s="553"/>
      <c r="E755" s="552"/>
      <c r="F755" s="551" t="s">
        <v>299</v>
      </c>
      <c r="G755" s="550"/>
      <c r="H755" s="549" t="s">
        <v>46</v>
      </c>
      <c r="I755" s="556">
        <f ca="1">IFERROR(__xludf.DUMMYFUNCTION("IMPORTRANGE(""https://docs.google.com/spreadsheets/d/1eHaY18a8A9IcSdp1K8H6x8fbOy06t2VsZHhMHf-1x7Y/edit?usp=sharing"",""แผน!GD46"")"),250)</f>
        <v>250</v>
      </c>
      <c r="J755" s="547">
        <v>0</v>
      </c>
      <c r="K755" s="555">
        <f ca="1">IF(I755&gt;0,J755*100/I755,0)</f>
        <v>0</v>
      </c>
      <c r="L755" s="546"/>
      <c r="M755" s="545"/>
      <c r="N755" s="545"/>
      <c r="O755" s="545"/>
      <c r="P755" s="545"/>
      <c r="Q755" s="545"/>
      <c r="R755" s="545"/>
      <c r="S755" s="545"/>
      <c r="T755" s="545"/>
      <c r="U755" s="545"/>
    </row>
    <row r="756" spans="1:21" ht="18.75">
      <c r="A756" s="554"/>
      <c r="B756" s="553"/>
      <c r="C756" s="553"/>
      <c r="D756" s="553"/>
      <c r="E756" s="552"/>
      <c r="F756" s="551" t="s">
        <v>298</v>
      </c>
      <c r="G756" s="550"/>
      <c r="H756" s="549" t="s">
        <v>46</v>
      </c>
      <c r="I756" s="548"/>
      <c r="J756" s="547">
        <v>0</v>
      </c>
      <c r="K756" s="545"/>
      <c r="L756" s="546"/>
      <c r="M756" s="545"/>
      <c r="N756" s="545"/>
      <c r="O756" s="545"/>
      <c r="P756" s="545"/>
      <c r="Q756" s="545"/>
      <c r="R756" s="545"/>
      <c r="S756" s="545"/>
      <c r="T756" s="545"/>
      <c r="U756" s="545"/>
    </row>
    <row r="757" spans="1:21" ht="18.75">
      <c r="A757" s="489"/>
      <c r="B757" s="489"/>
      <c r="C757" s="489"/>
      <c r="D757" s="489"/>
      <c r="E757" s="490" t="s">
        <v>285</v>
      </c>
      <c r="F757" s="491"/>
      <c r="G757" s="492"/>
      <c r="H757" s="493" t="s">
        <v>35</v>
      </c>
      <c r="I757" s="494"/>
      <c r="J757" s="495">
        <v>0</v>
      </c>
      <c r="K757" s="496"/>
      <c r="L757" s="496"/>
      <c r="M757" s="496"/>
      <c r="N757" s="496"/>
      <c r="O757" s="496"/>
      <c r="P757" s="496"/>
      <c r="Q757" s="496"/>
      <c r="R757" s="496"/>
      <c r="S757" s="496"/>
      <c r="T757" s="496"/>
      <c r="U757" s="496"/>
    </row>
    <row r="758" spans="1:21" ht="19.5">
      <c r="A758" s="442"/>
      <c r="B758" s="443" t="s">
        <v>286</v>
      </c>
      <c r="C758" s="442"/>
      <c r="D758" s="444"/>
      <c r="E758" s="444"/>
      <c r="F758" s="444"/>
      <c r="G758" s="445"/>
      <c r="H758" s="473" t="s">
        <v>35</v>
      </c>
      <c r="I758" s="544">
        <f ca="1">I772</f>
        <v>32</v>
      </c>
      <c r="J758" s="544">
        <f>J772</f>
        <v>0</v>
      </c>
      <c r="K758" s="543">
        <f ca="1">IF(I758&gt;0,J758*100/I758,0)</f>
        <v>0</v>
      </c>
      <c r="L758" s="449"/>
      <c r="M758" s="448"/>
      <c r="N758" s="448"/>
      <c r="O758" s="448"/>
      <c r="P758" s="448"/>
      <c r="Q758" s="448"/>
      <c r="R758" s="448"/>
      <c r="S758" s="448"/>
      <c r="T758" s="448"/>
      <c r="U758" s="448"/>
    </row>
    <row r="759" spans="1:21" ht="19.5">
      <c r="A759" s="487"/>
      <c r="B759" s="442"/>
      <c r="C759" s="442"/>
      <c r="D759" s="444"/>
      <c r="E759" s="444"/>
      <c r="F759" s="444"/>
      <c r="G759" s="445"/>
      <c r="H759" s="473" t="s">
        <v>46</v>
      </c>
      <c r="I759" s="544">
        <f ca="1">I774</f>
        <v>320</v>
      </c>
      <c r="J759" s="544">
        <f>J774</f>
        <v>0</v>
      </c>
      <c r="K759" s="543">
        <f ca="1">IF(I759&gt;0,J759*100/I759,0)</f>
        <v>0</v>
      </c>
      <c r="L759" s="449"/>
      <c r="M759" s="448"/>
      <c r="N759" s="448"/>
      <c r="O759" s="448"/>
      <c r="P759" s="448"/>
      <c r="Q759" s="448"/>
      <c r="R759" s="448"/>
      <c r="S759" s="448"/>
      <c r="T759" s="448"/>
      <c r="U759" s="448"/>
    </row>
    <row r="760" spans="1:21" ht="19.5">
      <c r="A760" s="155"/>
      <c r="B760" s="188"/>
      <c r="C760" s="205" t="s">
        <v>18</v>
      </c>
      <c r="D760" s="542" t="s">
        <v>19</v>
      </c>
      <c r="E760" s="529"/>
      <c r="F760" s="529"/>
      <c r="G760" s="530"/>
      <c r="H760" s="252" t="s">
        <v>14</v>
      </c>
      <c r="I760" s="54"/>
      <c r="J760" s="54"/>
      <c r="K760" s="55"/>
      <c r="L760" s="541">
        <f>L761+L762</f>
        <v>0</v>
      </c>
      <c r="M760" s="540">
        <f>M761+M762</f>
        <v>0</v>
      </c>
      <c r="N760" s="540">
        <f>N761+N762</f>
        <v>0</v>
      </c>
      <c r="O760" s="540">
        <f>IF(L760&gt;0,N760*100/L760,0)</f>
        <v>0</v>
      </c>
      <c r="P760" s="540">
        <f>IF(M760&gt;0,N760*100/M760,0)</f>
        <v>0</v>
      </c>
      <c r="Q760" s="540">
        <f ca="1">Q761+Q762</f>
        <v>588340</v>
      </c>
      <c r="R760" s="540">
        <f ca="1">R761+R762</f>
        <v>588340</v>
      </c>
      <c r="S760" s="540">
        <f ca="1">S761+S762</f>
        <v>55425.1</v>
      </c>
      <c r="T760" s="540">
        <f ca="1">IF(Q760&gt;0,S760*100/Q760,0)</f>
        <v>9.4205901349559777</v>
      </c>
      <c r="U760" s="540">
        <f ca="1">IF(R760&gt;0,S760*100/R760,0)</f>
        <v>9.4205901349559777</v>
      </c>
    </row>
    <row r="761" spans="1:21" ht="18.75" hidden="1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103">
        <f>L764+L767</f>
        <v>0</v>
      </c>
      <c r="M761" s="102">
        <f>M764+M767</f>
        <v>0</v>
      </c>
      <c r="N761" s="102">
        <f>N764+N767</f>
        <v>0</v>
      </c>
      <c r="O761" s="102">
        <f>IF(L761&gt;0,N761*100/L761,0)</f>
        <v>0</v>
      </c>
      <c r="P761" s="102">
        <f>IF(M761&gt;0,N761*100/M761,0)</f>
        <v>0</v>
      </c>
      <c r="Q761" s="102">
        <f>Q764+Q767</f>
        <v>0</v>
      </c>
      <c r="R761" s="102">
        <f>R764+R767</f>
        <v>0</v>
      </c>
      <c r="S761" s="102">
        <f>S764+S767</f>
        <v>0</v>
      </c>
      <c r="T761" s="102">
        <f>IF(Q761&gt;0,S761*100/Q761,0)</f>
        <v>0</v>
      </c>
      <c r="U761" s="102">
        <f>IF(R761&gt;0,S761*100/R761,0)</f>
        <v>0</v>
      </c>
    </row>
    <row r="762" spans="1:21" ht="18.75" hidden="1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256">
        <f>L765+L768</f>
        <v>0</v>
      </c>
      <c r="M762" s="255">
        <f>M765+M768</f>
        <v>0</v>
      </c>
      <c r="N762" s="255">
        <f>N765+N768</f>
        <v>0</v>
      </c>
      <c r="O762" s="255">
        <f>IF(L762&gt;0,N762*100/L762,0)</f>
        <v>0</v>
      </c>
      <c r="P762" s="255">
        <f>IF(M762&gt;0,N762*100/M762,0)</f>
        <v>0</v>
      </c>
      <c r="Q762" s="255">
        <f ca="1">Q765+Q768</f>
        <v>588340</v>
      </c>
      <c r="R762" s="255">
        <f ca="1">R765+R768</f>
        <v>588340</v>
      </c>
      <c r="S762" s="255">
        <f ca="1">S765+S768</f>
        <v>55425.1</v>
      </c>
      <c r="T762" s="255">
        <f ca="1">IF(Q762&gt;0,S762*100/Q762,0)</f>
        <v>9.4205901349559777</v>
      </c>
      <c r="U762" s="255">
        <f ca="1">IF(R762&gt;0,S762*100/R762,0)</f>
        <v>9.4205901349559777</v>
      </c>
    </row>
    <row r="763" spans="1:21" ht="18.75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256">
        <f>L764+L765</f>
        <v>0</v>
      </c>
      <c r="M763" s="255">
        <f>M764+M765</f>
        <v>0</v>
      </c>
      <c r="N763" s="255">
        <f>N764+N765</f>
        <v>0</v>
      </c>
      <c r="O763" s="255">
        <f>IF(L763&gt;0,N763*100/L763,0)</f>
        <v>0</v>
      </c>
      <c r="P763" s="255">
        <f>IF(M763&gt;0,N763*100/M763,0)</f>
        <v>0</v>
      </c>
      <c r="Q763" s="255">
        <f ca="1">Q764+Q765</f>
        <v>588340</v>
      </c>
      <c r="R763" s="255">
        <f ca="1">R764+R765</f>
        <v>588340</v>
      </c>
      <c r="S763" s="255">
        <f ca="1">S764+S765</f>
        <v>55425.1</v>
      </c>
      <c r="T763" s="255">
        <f ca="1">IF(Q763&gt;0,S763*100/Q763,0)</f>
        <v>9.4205901349559777</v>
      </c>
      <c r="U763" s="255">
        <f ca="1">IF(R763&gt;0,S763*100/R763,0)</f>
        <v>9.4205901349559777</v>
      </c>
    </row>
    <row r="764" spans="1:21" ht="18.75" hidden="1">
      <c r="A764" s="155"/>
      <c r="B764" s="188"/>
      <c r="C764" s="202"/>
      <c r="D764" s="174"/>
      <c r="E764" s="186" t="s">
        <v>159</v>
      </c>
      <c r="F764" s="50"/>
      <c r="G764" s="52"/>
      <c r="H764" s="189" t="s">
        <v>14</v>
      </c>
      <c r="I764" s="54"/>
      <c r="J764" s="54"/>
      <c r="K764" s="55"/>
      <c r="L764" s="103">
        <v>0</v>
      </c>
      <c r="M764" s="102">
        <v>0</v>
      </c>
      <c r="N764" s="102">
        <v>0</v>
      </c>
      <c r="O764" s="102">
        <f>IF(L764&gt;0,N764*100/L764,0)</f>
        <v>0</v>
      </c>
      <c r="P764" s="102">
        <f>IF(M764&gt;0,N764*100/M764,0)</f>
        <v>0</v>
      </c>
      <c r="Q764" s="102">
        <v>0</v>
      </c>
      <c r="R764" s="102">
        <v>0</v>
      </c>
      <c r="S764" s="102">
        <v>0</v>
      </c>
      <c r="T764" s="102">
        <f>IF(Q764&gt;0,S764*100/Q764,0)</f>
        <v>0</v>
      </c>
      <c r="U764" s="102">
        <f>IF(R764&gt;0,S764*100/R764,0)</f>
        <v>0</v>
      </c>
    </row>
    <row r="765" spans="1:21" ht="18.75" hidden="1">
      <c r="A765" s="155"/>
      <c r="B765" s="188"/>
      <c r="C765" s="202"/>
      <c r="D765" s="174"/>
      <c r="E765" s="58" t="s">
        <v>160</v>
      </c>
      <c r="F765" s="50"/>
      <c r="G765" s="52"/>
      <c r="H765" s="162" t="s">
        <v>14</v>
      </c>
      <c r="I765" s="54"/>
      <c r="J765" s="54"/>
      <c r="K765" s="55"/>
      <c r="L765" s="256">
        <v>0</v>
      </c>
      <c r="M765" s="255">
        <v>0</v>
      </c>
      <c r="N765" s="255">
        <v>0</v>
      </c>
      <c r="O765" s="255">
        <f>IF(L765&gt;0,N765*100/L765,0)</f>
        <v>0</v>
      </c>
      <c r="P765" s="255">
        <f>IF(M765&gt;0,N765*100/M765,0)</f>
        <v>0</v>
      </c>
      <c r="Q765" s="255">
        <f ca="1">IFERROR(__xludf.DUMMYFUNCTION("IMPORTRANGE(""https://docs.google.com/spreadsheets/d/1ItG2mGa2ceCfYo0BwxsXqNm01IGEUdYcSSLTEv9YCik/edit?usp=sharing"",""เบิกจ่ายกองทุน!U46"")"),588340)</f>
        <v>588340</v>
      </c>
      <c r="R765" s="255">
        <f ca="1">IFERROR(__xludf.DUMMYFUNCTION("IMPORTRANGE(""https://docs.google.com/spreadsheets/d/1ItG2mGa2ceCfYo0BwxsXqNm01IGEUdYcSSLTEv9YCik/edit?usp=sharing"",""เบิกจ่ายกองทุน!V46"")"),588340)</f>
        <v>588340</v>
      </c>
      <c r="S765" s="255">
        <f ca="1">IFERROR(__xludf.DUMMYFUNCTION("IMPORTRANGE(""https://docs.google.com/spreadsheets/d/1ItG2mGa2ceCfYo0BwxsXqNm01IGEUdYcSSLTEv9YCik/edit?usp=sharing"",""เบิกจ่ายกองทุน!W46"")"),55425.1)</f>
        <v>55425.1</v>
      </c>
      <c r="T765" s="255">
        <f ca="1">IF(Q765&gt;0,S765*100/Q765,0)</f>
        <v>9.4205901349559777</v>
      </c>
      <c r="U765" s="255">
        <f ca="1">IF(R765&gt;0,S765*100/R765,0)</f>
        <v>9.4205901349559777</v>
      </c>
    </row>
    <row r="766" spans="1:21" ht="18.75">
      <c r="A766" s="155"/>
      <c r="B766" s="188"/>
      <c r="C766" s="188"/>
      <c r="D766" s="51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256">
        <f>L767+L768</f>
        <v>0</v>
      </c>
      <c r="M766" s="255">
        <f>M767+M768</f>
        <v>0</v>
      </c>
      <c r="N766" s="255">
        <f>N767+N768</f>
        <v>0</v>
      </c>
      <c r="O766" s="255">
        <f>IF(L766&gt;0,N766*100/L766,0)</f>
        <v>0</v>
      </c>
      <c r="P766" s="255">
        <f>IF(M766&gt;0,N766*100/M766,0)</f>
        <v>0</v>
      </c>
      <c r="Q766" s="255">
        <f>Q767+Q768</f>
        <v>0</v>
      </c>
      <c r="R766" s="255">
        <f>R767+R768</f>
        <v>0</v>
      </c>
      <c r="S766" s="255">
        <f>S767+S768</f>
        <v>0</v>
      </c>
      <c r="T766" s="255">
        <f>IF(Q766&gt;0,S766*100/Q766,0)</f>
        <v>0</v>
      </c>
      <c r="U766" s="255">
        <f>IF(R766&gt;0,S766*100/R766,0)</f>
        <v>0</v>
      </c>
    </row>
    <row r="767" spans="1:21" ht="18.75" hidden="1">
      <c r="A767" s="155"/>
      <c r="B767" s="188"/>
      <c r="C767" s="188"/>
      <c r="D767" s="188"/>
      <c r="E767" s="358" t="s">
        <v>20</v>
      </c>
      <c r="F767" s="50"/>
      <c r="G767" s="52"/>
      <c r="H767" s="189" t="s">
        <v>14</v>
      </c>
      <c r="I767" s="163"/>
      <c r="J767" s="163"/>
      <c r="K767" s="164"/>
      <c r="L767" s="103">
        <v>0</v>
      </c>
      <c r="M767" s="102">
        <v>0</v>
      </c>
      <c r="N767" s="102">
        <v>0</v>
      </c>
      <c r="O767" s="102">
        <f>IF(L767&gt;0,N767*100/L767,0)</f>
        <v>0</v>
      </c>
      <c r="P767" s="102">
        <f>IF(M767&gt;0,N767*100/M767,0)</f>
        <v>0</v>
      </c>
      <c r="Q767" s="102">
        <v>0</v>
      </c>
      <c r="R767" s="102">
        <v>0</v>
      </c>
      <c r="S767" s="102">
        <v>0</v>
      </c>
      <c r="T767" s="102">
        <f>IF(Q767&gt;0,S767*100/Q767,0)</f>
        <v>0</v>
      </c>
      <c r="U767" s="102">
        <f>IF(R767&gt;0,S767*100/R767,0)</f>
        <v>0</v>
      </c>
    </row>
    <row r="768" spans="1:21" ht="18.75" hidden="1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256">
        <v>0</v>
      </c>
      <c r="M768" s="255">
        <v>0</v>
      </c>
      <c r="N768" s="255">
        <v>0</v>
      </c>
      <c r="O768" s="255">
        <f>IF(L768&gt;0,N768*100/L768,0)</f>
        <v>0</v>
      </c>
      <c r="P768" s="255">
        <f>IF(M768&gt;0,N768*100/M768,0)</f>
        <v>0</v>
      </c>
      <c r="Q768" s="255">
        <v>0</v>
      </c>
      <c r="R768" s="255">
        <v>0</v>
      </c>
      <c r="S768" s="255">
        <v>0</v>
      </c>
      <c r="T768" s="255">
        <f>IF(Q768&gt;0,S768*100/Q768,0)</f>
        <v>0</v>
      </c>
      <c r="U768" s="255">
        <f>IF(R768&gt;0,S768*100/R768,0)</f>
        <v>0</v>
      </c>
    </row>
    <row r="769" spans="1:21" ht="19.5">
      <c r="A769" s="166"/>
      <c r="B769" s="167"/>
      <c r="C769" s="497" t="s">
        <v>18</v>
      </c>
      <c r="D769" s="539" t="s">
        <v>38</v>
      </c>
      <c r="E769" s="232"/>
      <c r="F769" s="169"/>
      <c r="G769" s="170"/>
      <c r="H769" s="206"/>
      <c r="I769" s="54"/>
      <c r="J769" s="54"/>
      <c r="K769" s="55"/>
      <c r="L769" s="62"/>
      <c r="M769" s="55"/>
      <c r="N769" s="55"/>
      <c r="O769" s="55"/>
      <c r="P769" s="55"/>
      <c r="Q769" s="55"/>
      <c r="R769" s="55"/>
      <c r="S769" s="55"/>
      <c r="T769" s="55"/>
      <c r="U769" s="55"/>
    </row>
    <row r="770" spans="1:21" ht="18.75" hidden="1">
      <c r="A770" s="166"/>
      <c r="B770" s="167"/>
      <c r="C770" s="167"/>
      <c r="D770" s="423" t="s">
        <v>287</v>
      </c>
      <c r="E770" s="167"/>
      <c r="F770" s="174"/>
      <c r="G770" s="171"/>
      <c r="H770" s="421" t="s">
        <v>35</v>
      </c>
      <c r="I770" s="483">
        <f ca="1">IFERROR(__xludf.DUMMYFUNCTION("IMPORTRANGE(""https://docs.google.com/spreadsheets/d/1eHaY18a8A9IcSdp1K8H6x8fbOy06t2VsZHhMHf-1x7Y/edit?usp=sharing"",""แผน!FI46"")"),0)</f>
        <v>0</v>
      </c>
      <c r="J770" s="483">
        <v>0</v>
      </c>
      <c r="K770" s="102">
        <f ca="1">IF(I770&gt;0,J770*100/I770,0)</f>
        <v>0</v>
      </c>
      <c r="L770" s="62"/>
      <c r="M770" s="55"/>
      <c r="N770" s="55"/>
      <c r="O770" s="55"/>
      <c r="P770" s="55"/>
      <c r="Q770" s="55"/>
      <c r="R770" s="55"/>
      <c r="S770" s="55"/>
      <c r="T770" s="55"/>
      <c r="U770" s="55"/>
    </row>
    <row r="771" spans="1:21" ht="18.75" hidden="1">
      <c r="A771" s="166"/>
      <c r="B771" s="167"/>
      <c r="C771" s="167"/>
      <c r="D771" s="423" t="s">
        <v>288</v>
      </c>
      <c r="E771" s="167"/>
      <c r="F771" s="174"/>
      <c r="G771" s="171"/>
      <c r="H771" s="206"/>
      <c r="I771" s="54"/>
      <c r="J771" s="54"/>
      <c r="K771" s="55"/>
      <c r="L771" s="62"/>
      <c r="M771" s="55"/>
      <c r="N771" s="55"/>
      <c r="O771" s="55"/>
      <c r="P771" s="55"/>
      <c r="Q771" s="55"/>
      <c r="R771" s="55"/>
      <c r="S771" s="55"/>
      <c r="T771" s="55"/>
      <c r="U771" s="55"/>
    </row>
    <row r="772" spans="1:21" ht="18.75">
      <c r="A772" s="166"/>
      <c r="B772" s="167"/>
      <c r="C772" s="167"/>
      <c r="D772" s="460" t="s">
        <v>289</v>
      </c>
      <c r="E772" s="167"/>
      <c r="F772" s="174"/>
      <c r="G772" s="171"/>
      <c r="H772" s="165" t="s">
        <v>35</v>
      </c>
      <c r="I772" s="212">
        <f ca="1">IFERROR(__xludf.DUMMYFUNCTION("IMPORTRANGE(""https://docs.google.com/spreadsheets/d/1eHaY18a8A9IcSdp1K8H6x8fbOy06t2VsZHhMHf-1x7Y/edit?usp=sharing"",""แผน!FQ46"")"),32)</f>
        <v>32</v>
      </c>
      <c r="J772" s="467">
        <v>0</v>
      </c>
      <c r="K772" s="255">
        <f ca="1">IF(I772&gt;0,J772*100/I772,0)</f>
        <v>0</v>
      </c>
      <c r="L772" s="62"/>
      <c r="M772" s="55"/>
      <c r="N772" s="55"/>
      <c r="O772" s="55"/>
      <c r="P772" s="55"/>
      <c r="Q772" s="55"/>
      <c r="R772" s="55"/>
      <c r="S772" s="55"/>
      <c r="T772" s="55"/>
      <c r="U772" s="55"/>
    </row>
    <row r="773" spans="1:21" ht="18.75">
      <c r="A773" s="166"/>
      <c r="B773" s="167"/>
      <c r="C773" s="167"/>
      <c r="D773" s="460" t="s">
        <v>290</v>
      </c>
      <c r="E773" s="167"/>
      <c r="F773" s="174"/>
      <c r="G773" s="171"/>
      <c r="H773" s="206"/>
      <c r="I773" s="54"/>
      <c r="J773" s="54"/>
      <c r="K773" s="55"/>
      <c r="L773" s="62"/>
      <c r="M773" s="55"/>
      <c r="N773" s="55"/>
      <c r="O773" s="55"/>
      <c r="P773" s="55"/>
      <c r="Q773" s="55"/>
      <c r="R773" s="55"/>
      <c r="S773" s="55"/>
      <c r="T773" s="55"/>
      <c r="U773" s="55"/>
    </row>
    <row r="774" spans="1:21" ht="18.75">
      <c r="A774" s="166"/>
      <c r="B774" s="167"/>
      <c r="C774" s="167"/>
      <c r="D774" s="460" t="s">
        <v>291</v>
      </c>
      <c r="E774" s="167"/>
      <c r="F774" s="174"/>
      <c r="G774" s="171"/>
      <c r="H774" s="165" t="s">
        <v>46</v>
      </c>
      <c r="I774" s="212">
        <f ca="1">IFERROR(__xludf.DUMMYFUNCTION("IMPORTRANGE(""https://docs.google.com/spreadsheets/d/1eHaY18a8A9IcSdp1K8H6x8fbOy06t2VsZHhMHf-1x7Y/edit?usp=sharing"",""แผน!FR46"")"),320)</f>
        <v>320</v>
      </c>
      <c r="J774" s="467">
        <v>0</v>
      </c>
      <c r="K774" s="255">
        <f ca="1">IF(I774&gt;0,J774*100/I774,0)</f>
        <v>0</v>
      </c>
      <c r="L774" s="62"/>
      <c r="M774" s="55"/>
      <c r="N774" s="55"/>
      <c r="O774" s="55"/>
      <c r="P774" s="55"/>
      <c r="Q774" s="55"/>
      <c r="R774" s="55"/>
      <c r="S774" s="55"/>
      <c r="T774" s="55"/>
      <c r="U774" s="55"/>
    </row>
    <row r="775" spans="1:21" ht="18.75">
      <c r="A775" s="166"/>
      <c r="B775" s="167"/>
      <c r="C775" s="167"/>
      <c r="D775" s="460" t="s">
        <v>50</v>
      </c>
      <c r="E775" s="174"/>
      <c r="F775" s="50"/>
      <c r="G775" s="52"/>
      <c r="H775" s="165" t="s">
        <v>46</v>
      </c>
      <c r="I775" s="212">
        <f ca="1">IFERROR(__xludf.DUMMYFUNCTION("IMPORTRANGE(""https://docs.google.com/spreadsheets/d/1eHaY18a8A9IcSdp1K8H6x8fbOy06t2VsZHhMHf-1x7Y/edit?usp=sharing"",""แผน!FS46"")"),320)</f>
        <v>320</v>
      </c>
      <c r="J775" s="467">
        <v>0</v>
      </c>
      <c r="K775" s="55"/>
      <c r="L775" s="62"/>
      <c r="M775" s="55"/>
      <c r="N775" s="55"/>
      <c r="O775" s="55"/>
      <c r="P775" s="55"/>
      <c r="Q775" s="55"/>
      <c r="R775" s="55"/>
      <c r="S775" s="55"/>
      <c r="T775" s="55"/>
      <c r="U775" s="55"/>
    </row>
    <row r="776" spans="1:21" ht="18.75">
      <c r="A776" s="281"/>
      <c r="B776" s="282"/>
      <c r="C776" s="282"/>
      <c r="D776" s="282"/>
      <c r="E776" s="2"/>
      <c r="F776" s="2"/>
      <c r="G776" s="65"/>
      <c r="H776" s="214" t="s">
        <v>35</v>
      </c>
      <c r="I776" s="216">
        <f ca="1">IFERROR(__xludf.DUMMYFUNCTION("IMPORTRANGE(""https://docs.google.com/spreadsheets/d/1eHaY18a8A9IcSdp1K8H6x8fbOy06t2VsZHhMHf-1x7Y/edit?usp=sharing"",""แผน!FT46"")"),32)</f>
        <v>32</v>
      </c>
      <c r="J776" s="538">
        <v>0</v>
      </c>
      <c r="K776" s="6"/>
      <c r="L776" s="68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>
      <c r="A777" s="537" t="s">
        <v>292</v>
      </c>
      <c r="B777" s="500"/>
      <c r="C777" s="500"/>
      <c r="D777" s="499"/>
      <c r="E777" s="500"/>
      <c r="F777" s="500"/>
      <c r="G777" s="501"/>
      <c r="H777" s="536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503"/>
      <c r="J777" s="504"/>
      <c r="K777" s="505"/>
      <c r="L777" s="505"/>
      <c r="M777" s="505"/>
      <c r="N777" s="505"/>
      <c r="O777" s="505"/>
      <c r="P777" s="505"/>
      <c r="Q777" s="505"/>
      <c r="R777" s="505"/>
      <c r="S777" s="505"/>
      <c r="T777" s="505"/>
      <c r="U777" s="505"/>
    </row>
    <row r="778" spans="1:21" ht="18.75">
      <c r="A778" s="49"/>
      <c r="B778" s="58" t="s">
        <v>293</v>
      </c>
      <c r="C778" s="50"/>
      <c r="D778" s="188"/>
      <c r="E778" s="50"/>
      <c r="F778" s="50"/>
      <c r="G778" s="52"/>
      <c r="H778" s="53" t="s">
        <v>14</v>
      </c>
      <c r="I778" s="212">
        <f ca="1">IFERROR(__xludf.DUMMYFUNCTION("IMPORTRANGE(""https://docs.google.com/spreadsheets/d/10OvvATaaLtwErnr3qtWFcTmtbfpFEt5Bsqel9sXx0uE/edit?usp=sharing"",""งานกองทุน!D46"")"),9368428.05)</f>
        <v>9368428.0500000007</v>
      </c>
      <c r="J778" s="212">
        <f ca="1">IFERROR(__xludf.DUMMYFUNCTION("IMPORTRANGE(""https://docs.google.com/spreadsheets/d/10OvvATaaLtwErnr3qtWFcTmtbfpFEt5Bsqel9sXx0uE/edit?usp=sharing"",""งานกองทุน!F46"")"),1697058.75)</f>
        <v>1697058.75</v>
      </c>
      <c r="K778" s="255">
        <f ca="1">IF(I778&gt;0,J778*100/I778,0)</f>
        <v>18.114658520540164</v>
      </c>
      <c r="L778" s="55"/>
      <c r="M778" s="55"/>
      <c r="N778" s="55"/>
      <c r="O778" s="55"/>
      <c r="P778" s="55"/>
      <c r="Q778" s="55"/>
      <c r="R778" s="55"/>
      <c r="S778" s="55"/>
      <c r="T778" s="55"/>
      <c r="U778" s="55"/>
    </row>
    <row r="779" spans="1:21" ht="18.75">
      <c r="A779" s="49"/>
      <c r="B779" s="50"/>
      <c r="C779" s="50"/>
      <c r="D779" s="188"/>
      <c r="E779" s="50"/>
      <c r="F779" s="50"/>
      <c r="G779" s="52"/>
      <c r="H779" s="53" t="s">
        <v>35</v>
      </c>
      <c r="I779" s="212">
        <f ca="1">IFERROR(__xludf.DUMMYFUNCTION("IMPORTRANGE(""https://docs.google.com/spreadsheets/d/10OvvATaaLtwErnr3qtWFcTmtbfpFEt5Bsqel9sXx0uE/edit?usp=sharing"",""งานกองทุน!C46"")"),401)</f>
        <v>401</v>
      </c>
      <c r="J779" s="212">
        <f ca="1">IFERROR(__xludf.DUMMYFUNCTION("IMPORTRANGE(""https://docs.google.com/spreadsheets/d/10OvvATaaLtwErnr3qtWFcTmtbfpFEt5Bsqel9sXx0uE/edit?usp=sharing"",""งานกองทุน!E46"")"),77)</f>
        <v>77</v>
      </c>
      <c r="K779" s="255">
        <f ca="1">IF(I779&gt;0,J779*100/I779,0)</f>
        <v>19.201995012468828</v>
      </c>
      <c r="L779" s="55"/>
      <c r="M779" s="55"/>
      <c r="N779" s="55"/>
      <c r="O779" s="55"/>
      <c r="P779" s="55"/>
      <c r="Q779" s="55"/>
      <c r="R779" s="55"/>
      <c r="S779" s="55"/>
      <c r="T779" s="55"/>
      <c r="U779" s="55"/>
    </row>
    <row r="780" spans="1:21" ht="18.75">
      <c r="A780" s="49"/>
      <c r="B780" s="58" t="s">
        <v>294</v>
      </c>
      <c r="C780" s="50"/>
      <c r="D780" s="188"/>
      <c r="E780" s="50"/>
      <c r="F780" s="50"/>
      <c r="G780" s="52"/>
      <c r="H780" s="53" t="s">
        <v>14</v>
      </c>
      <c r="I780" s="212">
        <f ca="1">IFERROR(__xludf.DUMMYFUNCTION("IMPORTRANGE(""https://docs.google.com/spreadsheets/d/10OvvATaaLtwErnr3qtWFcTmtbfpFEt5Bsqel9sXx0uE/edit?usp=sharing"",""งานกองทุน!I46"")"),6917344.3)</f>
        <v>6917344.2999999998</v>
      </c>
      <c r="J780" s="212">
        <f ca="1">IFERROR(__xludf.DUMMYFUNCTION("IMPORTRANGE(""https://docs.google.com/spreadsheets/d/10OvvATaaLtwErnr3qtWFcTmtbfpFEt5Bsqel9sXx0uE/edit?usp=sharing"",""งานกองทุน!K46"")"),1287332.24)</f>
        <v>1287332.24</v>
      </c>
      <c r="K780" s="255">
        <f ca="1">IF(I780&gt;0,J780*100/I780,0)</f>
        <v>18.610209123174627</v>
      </c>
      <c r="L780" s="55"/>
      <c r="M780" s="55"/>
      <c r="N780" s="55"/>
      <c r="O780" s="55"/>
      <c r="P780" s="55"/>
      <c r="Q780" s="55"/>
      <c r="R780" s="55"/>
      <c r="S780" s="55"/>
      <c r="T780" s="55"/>
      <c r="U780" s="55"/>
    </row>
    <row r="781" spans="1:21" ht="18.75">
      <c r="A781" s="49"/>
      <c r="B781" s="50"/>
      <c r="C781" s="50"/>
      <c r="D781" s="188"/>
      <c r="E781" s="50"/>
      <c r="F781" s="50"/>
      <c r="G781" s="52"/>
      <c r="H781" s="53" t="s">
        <v>35</v>
      </c>
      <c r="I781" s="212">
        <f ca="1">IFERROR(__xludf.DUMMYFUNCTION("IMPORTRANGE(""https://docs.google.com/spreadsheets/d/10OvvATaaLtwErnr3qtWFcTmtbfpFEt5Bsqel9sXx0uE/edit?usp=sharing"",""งานกองทุน!H46"")"),404)</f>
        <v>404</v>
      </c>
      <c r="J781" s="212">
        <f ca="1">IFERROR(__xludf.DUMMYFUNCTION("IMPORTRANGE(""https://docs.google.com/spreadsheets/d/10OvvATaaLtwErnr3qtWFcTmtbfpFEt5Bsqel9sXx0uE/edit?usp=sharing"",""งานกองทุน!J46"")"),191)</f>
        <v>191</v>
      </c>
      <c r="K781" s="255">
        <f ca="1">IF(I781&gt;0,J781*100/I781,0)</f>
        <v>47.277227722772274</v>
      </c>
      <c r="L781" s="55"/>
      <c r="M781" s="55"/>
      <c r="N781" s="55"/>
      <c r="O781" s="55"/>
      <c r="P781" s="55"/>
      <c r="Q781" s="55"/>
      <c r="R781" s="55"/>
      <c r="S781" s="55"/>
      <c r="T781" s="55"/>
      <c r="U781" s="55"/>
    </row>
    <row r="782" spans="1:21" ht="18.75">
      <c r="A782" s="49"/>
      <c r="B782" s="58" t="s">
        <v>295</v>
      </c>
      <c r="C782" s="50"/>
      <c r="D782" s="188"/>
      <c r="E782" s="50"/>
      <c r="F782" s="50"/>
      <c r="G782" s="52"/>
      <c r="H782" s="53" t="s">
        <v>14</v>
      </c>
      <c r="I782" s="212">
        <f ca="1">IFERROR(__xludf.DUMMYFUNCTION("IMPORTRANGE(""https://docs.google.com/spreadsheets/d/10OvvATaaLtwErnr3qtWFcTmtbfpFEt5Bsqel9sXx0uE/edit?usp=sharing"",""งานกองทุน!N46"")"),133784.24)</f>
        <v>133784.24</v>
      </c>
      <c r="J782" s="212">
        <f ca="1">IFERROR(__xludf.DUMMYFUNCTION("IMPORTRANGE(""https://docs.google.com/spreadsheets/d/10OvvATaaLtwErnr3qtWFcTmtbfpFEt5Bsqel9sXx0uE/edit?usp=sharing"",""งานกองทุน!P46"")"),157568.6)</f>
        <v>157568.6</v>
      </c>
      <c r="K782" s="255">
        <f ca="1">IF(I782&gt;0,J782*100/I782,0)</f>
        <v>117.77814785956852</v>
      </c>
      <c r="L782" s="55"/>
      <c r="M782" s="55"/>
      <c r="N782" s="55"/>
      <c r="O782" s="55"/>
      <c r="P782" s="55"/>
      <c r="Q782" s="55"/>
      <c r="R782" s="55"/>
      <c r="S782" s="55"/>
      <c r="T782" s="55"/>
      <c r="U782" s="55"/>
    </row>
    <row r="783" spans="1:21" ht="18.75">
      <c r="A783" s="49"/>
      <c r="B783" s="50"/>
      <c r="C783" s="50"/>
      <c r="D783" s="188"/>
      <c r="E783" s="50"/>
      <c r="F783" s="50"/>
      <c r="G783" s="52"/>
      <c r="H783" s="53" t="s">
        <v>35</v>
      </c>
      <c r="I783" s="212">
        <f ca="1">IFERROR(__xludf.DUMMYFUNCTION("IMPORTRANGE(""https://docs.google.com/spreadsheets/d/10OvvATaaLtwErnr3qtWFcTmtbfpFEt5Bsqel9sXx0uE/edit?usp=sharing"",""งานกองทุน!M46"")"),18)</f>
        <v>18</v>
      </c>
      <c r="J783" s="212">
        <f ca="1">IFERROR(__xludf.DUMMYFUNCTION("IMPORTRANGE(""https://docs.google.com/spreadsheets/d/10OvvATaaLtwErnr3qtWFcTmtbfpFEt5Bsqel9sXx0uE/edit?usp=sharing"",""งานกองทุน!O46"")"),19)</f>
        <v>19</v>
      </c>
      <c r="K783" s="255">
        <f ca="1">IF(I783&gt;0,J783*100/I783,0)</f>
        <v>105.55555555555556</v>
      </c>
      <c r="L783" s="55"/>
      <c r="M783" s="55"/>
      <c r="N783" s="55"/>
      <c r="O783" s="55"/>
      <c r="P783" s="55"/>
      <c r="Q783" s="55"/>
      <c r="R783" s="55"/>
      <c r="S783" s="55"/>
      <c r="T783" s="55"/>
      <c r="U783" s="55"/>
    </row>
    <row r="784" spans="1:21" ht="18.75">
      <c r="A784" s="49"/>
      <c r="B784" s="58" t="s">
        <v>296</v>
      </c>
      <c r="C784" s="50"/>
      <c r="D784" s="188"/>
      <c r="E784" s="50"/>
      <c r="F784" s="50"/>
      <c r="G784" s="52"/>
      <c r="H784" s="53" t="s">
        <v>14</v>
      </c>
      <c r="I784" s="212">
        <f ca="1">IFERROR(__xludf.DUMMYFUNCTION("IMPORTRANGE(""https://docs.google.com/spreadsheets/d/10OvvATaaLtwErnr3qtWFcTmtbfpFEt5Bsqel9sXx0uE/edit?usp=sharing"",""งานกองทุน!S46"")"),13832000)</f>
        <v>13832000</v>
      </c>
      <c r="J784" s="212">
        <f ca="1">IFERROR(__xludf.DUMMYFUNCTION("IMPORTRANGE(""https://docs.google.com/spreadsheets/d/10OvvATaaLtwErnr3qtWFcTmtbfpFEt5Bsqel9sXx0uE/edit?usp=sharing"",""งานกองทุน!U46"")"),6910000)</f>
        <v>6910000</v>
      </c>
      <c r="K784" s="255">
        <f ca="1">IF(I784&gt;0,J784*100/I784,0)</f>
        <v>49.956622325043377</v>
      </c>
      <c r="L784" s="55"/>
      <c r="M784" s="55"/>
      <c r="N784" s="55"/>
      <c r="O784" s="55"/>
      <c r="P784" s="55"/>
      <c r="Q784" s="55"/>
      <c r="R784" s="55"/>
      <c r="S784" s="55"/>
      <c r="T784" s="55"/>
      <c r="U784" s="55"/>
    </row>
    <row r="785" spans="1:21" ht="18.75">
      <c r="A785" s="63"/>
      <c r="B785" s="4"/>
      <c r="C785" s="4"/>
      <c r="D785" s="5"/>
      <c r="E785" s="4"/>
      <c r="F785" s="4"/>
      <c r="G785" s="65"/>
      <c r="H785" s="66" t="s">
        <v>35</v>
      </c>
      <c r="I785" s="216">
        <f ca="1">IFERROR(__xludf.DUMMYFUNCTION("IMPORTRANGE(""https://docs.google.com/spreadsheets/d/10OvvATaaLtwErnr3qtWFcTmtbfpFEt5Bsqel9sXx0uE/edit?usp=sharing"",""งานกองทุน!R46"")"),494)</f>
        <v>494</v>
      </c>
      <c r="J785" s="216">
        <f ca="1">IFERROR(__xludf.DUMMYFUNCTION("IMPORTRANGE(""https://docs.google.com/spreadsheets/d/10OvvATaaLtwErnr3qtWFcTmtbfpFEt5Bsqel9sXx0uE/edit?usp=sharing"",""งานกองทุน!T46"")"),219)</f>
        <v>219</v>
      </c>
      <c r="K785" s="506">
        <f ca="1">IF(I785&gt;0,J785*100/I785,0)</f>
        <v>44.331983805668017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6.5">
      <c r="A787" s="535" t="s">
        <v>297</v>
      </c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6.5">
      <c r="A788" s="535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</v>
      </c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6.5">
      <c r="A789" s="535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</v>
      </c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</sheetData>
  <mergeCells count="26">
    <mergeCell ref="A1:U1"/>
    <mergeCell ref="A2:U2"/>
    <mergeCell ref="A3:U3"/>
    <mergeCell ref="L4:P4"/>
    <mergeCell ref="Q4:U4"/>
    <mergeCell ref="A5:G6"/>
    <mergeCell ref="H5:H6"/>
    <mergeCell ref="I5:K5"/>
    <mergeCell ref="L5:M5"/>
    <mergeCell ref="N5:P5"/>
    <mergeCell ref="D616:G616"/>
    <mergeCell ref="D642:G642"/>
    <mergeCell ref="D690:G690"/>
    <mergeCell ref="D714:G714"/>
    <mergeCell ref="Q5:R5"/>
    <mergeCell ref="S5:U5"/>
    <mergeCell ref="D728:G728"/>
    <mergeCell ref="D760:G760"/>
    <mergeCell ref="A7:G7"/>
    <mergeCell ref="A17:G17"/>
    <mergeCell ref="A30:G30"/>
    <mergeCell ref="A56:G56"/>
    <mergeCell ref="B57:G57"/>
    <mergeCell ref="D413:G413"/>
    <mergeCell ref="D493:F493"/>
    <mergeCell ref="D599:G599"/>
  </mergeCells>
  <printOptions horizontalCentered="1"/>
  <pageMargins left="0.23622047244094491" right="0.23622047244094491" top="0.55118110236220474" bottom="0.55118110236220474" header="0" footer="0"/>
  <pageSetup paperSize="9" scale="29" fitToHeight="0" pageOrder="overThenDown" orientation="portrait" cellComments="atEnd" horizontalDpi="4294967293" verticalDpi="4294967293" r:id="rId1"/>
  <headerFooter>
    <oddFooter>&amp;Cหน้า &amp;P/&amp;N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9E5AAF-7C8F-4C0A-8ECA-F610CA6978C0}">
  <sheetPr>
    <outlinePr summaryBelow="0" summaryRight="0"/>
    <pageSetUpPr fitToPage="1"/>
  </sheetPr>
  <dimension ref="A1:U789"/>
  <sheetViews>
    <sheetView view="pageBreakPreview" zoomScale="60" zoomScaleNormal="60" workbookViewId="0">
      <pane xSplit="8" ySplit="17" topLeftCell="I18" activePane="bottomRight" state="frozen"/>
      <selection activeCell="T32" sqref="T32"/>
      <selection pane="topRight" activeCell="T32" sqref="T32"/>
      <selection pane="bottomLeft" activeCell="T32" sqref="T32"/>
      <selection pane="bottomRight" activeCell="T32" sqref="T32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10" width="16.85546875" bestFit="1" customWidth="1"/>
    <col min="11" max="11" width="12.5703125" bestFit="1" customWidth="1"/>
    <col min="12" max="14" width="21.28515625" bestFit="1" customWidth="1"/>
    <col min="15" max="15" width="20.140625" bestFit="1" customWidth="1"/>
    <col min="16" max="16" width="22" bestFit="1" customWidth="1"/>
    <col min="17" max="18" width="21.28515625" bestFit="1" customWidth="1"/>
    <col min="19" max="19" width="18.7109375" bestFit="1" customWidth="1"/>
    <col min="20" max="20" width="20.140625" bestFit="1" customWidth="1"/>
    <col min="21" max="21" width="22" bestFit="1" customWidth="1"/>
  </cols>
  <sheetData>
    <row r="1" spans="1:21" ht="19.5">
      <c r="A1" s="894" t="s">
        <v>0</v>
      </c>
      <c r="B1" s="894"/>
      <c r="C1" s="894"/>
      <c r="D1" s="894"/>
      <c r="E1" s="894"/>
      <c r="F1" s="894"/>
      <c r="G1" s="894"/>
      <c r="H1" s="894"/>
      <c r="I1" s="894"/>
      <c r="J1" s="894"/>
      <c r="K1" s="894"/>
      <c r="L1" s="894"/>
      <c r="M1" s="894"/>
      <c r="N1" s="894"/>
      <c r="O1" s="894"/>
      <c r="P1" s="894"/>
      <c r="Q1" s="894"/>
      <c r="R1" s="894"/>
      <c r="S1" s="894"/>
      <c r="T1" s="894"/>
      <c r="U1" s="894"/>
    </row>
    <row r="2" spans="1:21" ht="19.5">
      <c r="A2" s="894" t="s">
        <v>333</v>
      </c>
      <c r="B2" s="894"/>
      <c r="C2" s="894"/>
      <c r="D2" s="894"/>
      <c r="E2" s="894"/>
      <c r="F2" s="894"/>
      <c r="G2" s="894"/>
      <c r="H2" s="894"/>
      <c r="I2" s="894"/>
      <c r="J2" s="894"/>
      <c r="K2" s="894"/>
      <c r="L2" s="894"/>
      <c r="M2" s="894"/>
      <c r="N2" s="894"/>
      <c r="O2" s="894"/>
      <c r="P2" s="894"/>
      <c r="Q2" s="894"/>
      <c r="R2" s="894"/>
      <c r="S2" s="894"/>
      <c r="T2" s="894"/>
      <c r="U2" s="894"/>
    </row>
    <row r="3" spans="1:21" ht="19.5">
      <c r="A3" s="894" t="s">
        <v>339</v>
      </c>
      <c r="B3" s="894"/>
      <c r="C3" s="894"/>
      <c r="D3" s="894"/>
      <c r="E3" s="894"/>
      <c r="F3" s="894"/>
      <c r="G3" s="894"/>
      <c r="H3" s="894"/>
      <c r="I3" s="894"/>
      <c r="J3" s="894"/>
      <c r="K3" s="894"/>
      <c r="L3" s="894"/>
      <c r="M3" s="894"/>
      <c r="N3" s="894"/>
      <c r="O3" s="894"/>
      <c r="P3" s="894"/>
      <c r="Q3" s="894"/>
      <c r="R3" s="894"/>
      <c r="S3" s="894"/>
      <c r="T3" s="894"/>
      <c r="U3" s="894"/>
    </row>
    <row r="4" spans="1:21" ht="19.5">
      <c r="A4" s="855" t="s">
        <v>4</v>
      </c>
      <c r="B4" s="520"/>
      <c r="C4" s="520"/>
      <c r="D4" s="520"/>
      <c r="E4" s="520"/>
      <c r="F4" s="520"/>
      <c r="G4" s="521"/>
      <c r="H4" s="854"/>
      <c r="I4" s="853" t="s">
        <v>6</v>
      </c>
      <c r="J4" s="516"/>
      <c r="K4" s="763"/>
      <c r="L4" s="852" t="s">
        <v>2</v>
      </c>
      <c r="M4" s="524"/>
      <c r="N4" s="524"/>
      <c r="O4" s="524"/>
      <c r="P4" s="525"/>
      <c r="Q4" s="851" t="s">
        <v>3</v>
      </c>
      <c r="R4" s="524"/>
      <c r="S4" s="524"/>
      <c r="T4" s="524"/>
      <c r="U4" s="525"/>
    </row>
    <row r="5" spans="1:21" ht="19.5">
      <c r="A5" s="850"/>
      <c r="B5" s="516"/>
      <c r="C5" s="516"/>
      <c r="D5" s="516"/>
      <c r="E5" s="516"/>
      <c r="F5" s="516"/>
      <c r="G5" s="763"/>
      <c r="H5" s="762" t="s">
        <v>5</v>
      </c>
      <c r="I5" s="514"/>
      <c r="J5" s="514"/>
      <c r="K5" s="512"/>
      <c r="L5" s="511" t="s">
        <v>7</v>
      </c>
      <c r="M5" s="512"/>
      <c r="N5" s="513" t="s">
        <v>8</v>
      </c>
      <c r="O5" s="514"/>
      <c r="P5" s="512"/>
      <c r="Q5" s="511" t="s">
        <v>7</v>
      </c>
      <c r="R5" s="512"/>
      <c r="S5" s="513" t="s">
        <v>8</v>
      </c>
      <c r="T5" s="514"/>
      <c r="U5" s="512"/>
    </row>
    <row r="6" spans="1:21" ht="19.5">
      <c r="A6" s="522"/>
      <c r="B6" s="514"/>
      <c r="C6" s="514"/>
      <c r="D6" s="514"/>
      <c r="E6" s="514"/>
      <c r="F6" s="514"/>
      <c r="G6" s="512"/>
      <c r="H6" s="8"/>
      <c r="I6" s="9" t="s">
        <v>9</v>
      </c>
      <c r="J6" s="10" t="s">
        <v>10</v>
      </c>
      <c r="K6" s="9" t="s">
        <v>11</v>
      </c>
      <c r="L6" s="11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 hidden="1">
      <c r="A7" s="849"/>
      <c r="B7" s="514"/>
      <c r="C7" s="514"/>
      <c r="D7" s="514"/>
      <c r="E7" s="514"/>
      <c r="F7" s="514"/>
      <c r="G7" s="512"/>
      <c r="H7" s="17"/>
      <c r="I7" s="18"/>
      <c r="J7" s="18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</row>
    <row r="8" spans="1:21" ht="12.75" hidden="1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</row>
    <row r="9" spans="1:21" ht="12.75" hidden="1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</row>
    <row r="10" spans="1:21" ht="12.75" hidden="1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2.75" hidden="1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2.75" hidden="1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2.75" hidden="1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2.75" hidden="1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2.75" hidden="1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2.75" hidden="1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9.5">
      <c r="A17" s="532" t="s">
        <v>17</v>
      </c>
      <c r="B17" s="514"/>
      <c r="C17" s="514"/>
      <c r="D17" s="514"/>
      <c r="E17" s="514"/>
      <c r="F17" s="514"/>
      <c r="G17" s="512"/>
      <c r="H17" s="29"/>
      <c r="I17" s="30"/>
      <c r="J17" s="30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</row>
    <row r="18" spans="1:21" ht="19.5">
      <c r="A18" s="33"/>
      <c r="B18" s="34"/>
      <c r="C18" s="35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720">
        <f ca="1">L19+L20</f>
        <v>2105221</v>
      </c>
      <c r="M18" s="720">
        <f ca="1">M19+M20</f>
        <v>2137407.44</v>
      </c>
      <c r="N18" s="720">
        <f ca="1">N19+N20</f>
        <v>1823589.49</v>
      </c>
      <c r="O18" s="720">
        <f ca="1">IF(L18&gt;0,N18*100/L18,0)</f>
        <v>86.622235385263593</v>
      </c>
      <c r="P18" s="720">
        <f ca="1">IF(M18&gt;0,N18*100/M18,0)</f>
        <v>85.317822698324662</v>
      </c>
      <c r="Q18" s="720">
        <f ca="1">Q19+Q20</f>
        <v>2120975</v>
      </c>
      <c r="R18" s="720">
        <f ca="1">R19+R20</f>
        <v>2120975</v>
      </c>
      <c r="S18" s="720">
        <f ca="1">S19+S20</f>
        <v>274594.5</v>
      </c>
      <c r="T18" s="720">
        <f ca="1">IF(Q18&gt;0,S18*100/Q18,0)</f>
        <v>12.946616532490953</v>
      </c>
      <c r="U18" s="720">
        <f ca="1">IF(R18&gt;0,S18*100/R18,0)</f>
        <v>12.946616532490953</v>
      </c>
    </row>
    <row r="19" spans="1:21" ht="18.75" hidden="1">
      <c r="A19" s="33"/>
      <c r="B19" s="34"/>
      <c r="C19" s="34"/>
      <c r="D19" s="34"/>
      <c r="E19" s="756" t="s">
        <v>20</v>
      </c>
      <c r="F19" s="34"/>
      <c r="G19" s="37"/>
      <c r="H19" s="755" t="s">
        <v>14</v>
      </c>
      <c r="I19" s="39"/>
      <c r="J19" s="39"/>
      <c r="K19" s="40"/>
      <c r="L19" s="753">
        <f>L22+L25</f>
        <v>0</v>
      </c>
      <c r="M19" s="753">
        <f>M22+M25</f>
        <v>0</v>
      </c>
      <c r="N19" s="753">
        <f>N22+N25</f>
        <v>0</v>
      </c>
      <c r="O19" s="753">
        <f>IF(L19&gt;0,N19*100/L19,0)</f>
        <v>0</v>
      </c>
      <c r="P19" s="753">
        <f>IF(M19&gt;0,N19*100/M19,0)</f>
        <v>0</v>
      </c>
      <c r="Q19" s="753">
        <f>Q22+Q25</f>
        <v>0</v>
      </c>
      <c r="R19" s="753">
        <f>R22+R25</f>
        <v>0</v>
      </c>
      <c r="S19" s="753">
        <f>S22+S25</f>
        <v>0</v>
      </c>
      <c r="T19" s="753">
        <f>IF(Q19&gt;0,S19*100/Q19,0)</f>
        <v>0</v>
      </c>
      <c r="U19" s="753">
        <f>IF(R19&gt;0,S19*100/R19,0)</f>
        <v>0</v>
      </c>
    </row>
    <row r="20" spans="1:21" ht="18.75" hidden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751">
        <f ca="1">L23+L26</f>
        <v>2105221</v>
      </c>
      <c r="M20" s="751">
        <f ca="1">M23+M26</f>
        <v>2137407.44</v>
      </c>
      <c r="N20" s="751">
        <f ca="1">N23+N26</f>
        <v>1823589.49</v>
      </c>
      <c r="O20" s="751">
        <f ca="1">IF(L20&gt;0,N20*100/L20,0)</f>
        <v>86.622235385263593</v>
      </c>
      <c r="P20" s="751">
        <f ca="1">IF(M20&gt;0,N20*100/M20,0)</f>
        <v>85.317822698324662</v>
      </c>
      <c r="Q20" s="751">
        <f ca="1">Q23+Q26</f>
        <v>2120975</v>
      </c>
      <c r="R20" s="751">
        <f ca="1">R23+R26</f>
        <v>2120975</v>
      </c>
      <c r="S20" s="751">
        <f ca="1">S23+S26</f>
        <v>274594.5</v>
      </c>
      <c r="T20" s="751">
        <f ca="1">IF(Q20&gt;0,S20*100/Q20,0)</f>
        <v>12.946616532490953</v>
      </c>
      <c r="U20" s="751">
        <f ca="1">IF(R20&gt;0,S20*100/R20,0)</f>
        <v>12.946616532490953</v>
      </c>
    </row>
    <row r="21" spans="1:21" ht="18.75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255">
        <f ca="1">L22+L23</f>
        <v>2105221</v>
      </c>
      <c r="M21" s="255">
        <f ca="1">M22+M23</f>
        <v>2137407.44</v>
      </c>
      <c r="N21" s="255">
        <f ca="1">N22+N23</f>
        <v>1823589.49</v>
      </c>
      <c r="O21" s="255">
        <f ca="1">IF(L21&gt;0,N21*100/L21,0)</f>
        <v>86.622235385263593</v>
      </c>
      <c r="P21" s="255">
        <f ca="1">IF(M21&gt;0,N21*100/M21,0)</f>
        <v>85.317822698324662</v>
      </c>
      <c r="Q21" s="255">
        <f ca="1">Q22+Q23</f>
        <v>2120975</v>
      </c>
      <c r="R21" s="255">
        <f ca="1">R22+R23</f>
        <v>2120975</v>
      </c>
      <c r="S21" s="255">
        <f ca="1">S22+S23</f>
        <v>274594.5</v>
      </c>
      <c r="T21" s="255">
        <f ca="1">IF(Q21&gt;0,S21*100/Q21,0)</f>
        <v>12.946616532490953</v>
      </c>
      <c r="U21" s="255">
        <f ca="1">IF(R21&gt;0,S21*100/R21,0)</f>
        <v>12.946616532490953</v>
      </c>
    </row>
    <row r="22" spans="1:21" ht="18.75" hidden="1">
      <c r="A22" s="49"/>
      <c r="B22" s="50"/>
      <c r="C22" s="50"/>
      <c r="D22" s="50"/>
      <c r="E22" s="186" t="s">
        <v>20</v>
      </c>
      <c r="F22" s="50"/>
      <c r="G22" s="52"/>
      <c r="H22" s="729" t="s">
        <v>14</v>
      </c>
      <c r="I22" s="54"/>
      <c r="J22" s="54"/>
      <c r="K22" s="55"/>
      <c r="L22" s="102">
        <f>L48+L63+L76+L98+L129+L143+L161+L190+L177+L270+L286+L307+L324+L337+L360+L517</f>
        <v>0</v>
      </c>
      <c r="M22" s="102">
        <f>M48+M63+M76+M98+M129+M143+M161+M190+M177+M270+M286+M307+M324+M337+M360+M517</f>
        <v>0</v>
      </c>
      <c r="N22" s="102">
        <f>N48+N63+N76+N98+N129+N143+N161+N190+N177+N270+N286+N307+N324+N337+N360+N517</f>
        <v>0</v>
      </c>
      <c r="O22" s="102">
        <f>IF(L22&gt;0,N22*100/L22,0)</f>
        <v>0</v>
      </c>
      <c r="P22" s="102">
        <f>IF(M22&gt;0,N22*100/M22,0)</f>
        <v>0</v>
      </c>
      <c r="Q22" s="102">
        <f>Q76+Q98+Q121+Q143+Q161+Q177+Q190+Q270+Q286+Q307+Q337+Q379+Q396+Q417+Q497+Q603+Q620+Q646+Q694+Q718+Q732+Q764</f>
        <v>0</v>
      </c>
      <c r="R22" s="102">
        <f>R76+R98+R121+R143+R161+R177+R190+R270+R286+R307+R337+R379+R396+R417+R497+R603+R620+R646+R694+R718+R732+R764</f>
        <v>0</v>
      </c>
      <c r="S22" s="102">
        <f>S76+S98+S121+S143+S161+S177+S190+S270+S286+S307+S337+S379+S396+S417+S497+S603+S620+S646+S694+S718+S732+S764</f>
        <v>0</v>
      </c>
      <c r="T22" s="102">
        <f>IF(Q22&gt;0,S22*100/Q22,0)</f>
        <v>0</v>
      </c>
      <c r="U22" s="102">
        <f>IF(R22&gt;0,S22*100/R22,0)</f>
        <v>0</v>
      </c>
    </row>
    <row r="23" spans="1:21" ht="18.75" hidden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255">
        <f ca="1">L49+L64+L77+L99+L130+L144+L162+L191+L178+L271+L287+L308+L325+L338+L361+L518</f>
        <v>2105221</v>
      </c>
      <c r="M23" s="255">
        <f ca="1">M49+M64+M77+M99+M130+M144+M162+M191+M178+M271+M287+M308+M325+M338+M361+M518</f>
        <v>2137407.44</v>
      </c>
      <c r="N23" s="255">
        <f ca="1">N49+N64+N77+N99+N130+N144+N162+N191+N178+N271+N287+N308+N325+N338+N361+N518</f>
        <v>1823589.49</v>
      </c>
      <c r="O23" s="255">
        <f ca="1">IF(L23&gt;0,N23*100/L23,0)</f>
        <v>86.622235385263593</v>
      </c>
      <c r="P23" s="255">
        <f ca="1">IF(M23&gt;0,N23*100/M23,0)</f>
        <v>85.317822698324662</v>
      </c>
      <c r="Q23" s="255">
        <f ca="1">Q77+Q99+Q122+Q144+Q162+Q178+Q191+Q271+Q287+Q308+Q338+Q380+Q397+Q418+Q498+Q604+Q621+Q647+Q695+Q719+Q733+Q765</f>
        <v>2120975</v>
      </c>
      <c r="R23" s="255">
        <f ca="1">R77+R99+R122+R144+R162+R178+R191+R271+R287+R308+R338+R380+R397+R418+R498+R604+R621+R647+R695+R719+R733+R765</f>
        <v>2120975</v>
      </c>
      <c r="S23" s="255">
        <f ca="1">S77+S99+S122+S144+S162+S178+S191+S271+S287+S308+S338+S380+S397+S418+S498+S604+S621+S647+S695+S719+S733+S765</f>
        <v>274594.5</v>
      </c>
      <c r="T23" s="255">
        <f ca="1">IF(Q23&gt;0,S23*100/Q23,0)</f>
        <v>12.946616532490953</v>
      </c>
      <c r="U23" s="255">
        <f ca="1">IF(R23&gt;0,S23*100/R23,0)</f>
        <v>12.946616532490953</v>
      </c>
    </row>
    <row r="24" spans="1:21" ht="18.75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255">
        <f ca="1">L25+L26</f>
        <v>0</v>
      </c>
      <c r="M24" s="255">
        <f ca="1">M25+M26</f>
        <v>0</v>
      </c>
      <c r="N24" s="255">
        <f ca="1">N25+N26</f>
        <v>0</v>
      </c>
      <c r="O24" s="255">
        <f ca="1">IF(L24&gt;0,N24*100/L24,0)</f>
        <v>0</v>
      </c>
      <c r="P24" s="255">
        <f ca="1">IF(M24&gt;0,N24*100/M24,0)</f>
        <v>0</v>
      </c>
      <c r="Q24" s="255">
        <f>Q25+Q26</f>
        <v>0</v>
      </c>
      <c r="R24" s="255">
        <f>R25+R26</f>
        <v>0</v>
      </c>
      <c r="S24" s="255">
        <f>S25+S26</f>
        <v>0</v>
      </c>
      <c r="T24" s="255">
        <f>IF(Q24&gt;0,S24*100/Q24,0)</f>
        <v>0</v>
      </c>
      <c r="U24" s="255">
        <f>IF(R24&gt;0,S24*100/R24,0)</f>
        <v>0</v>
      </c>
    </row>
    <row r="25" spans="1:21" ht="18.75" hidden="1">
      <c r="A25" s="49"/>
      <c r="B25" s="50"/>
      <c r="C25" s="50"/>
      <c r="D25" s="50"/>
      <c r="E25" s="186" t="s">
        <v>20</v>
      </c>
      <c r="F25" s="50"/>
      <c r="G25" s="52"/>
      <c r="H25" s="729" t="s">
        <v>14</v>
      </c>
      <c r="I25" s="54"/>
      <c r="J25" s="54"/>
      <c r="K25" s="55"/>
      <c r="L25" s="102">
        <f>L51+L66+L79+L101+L132+L146+L164+L193+L180+L273+L289+L310+L327+L340+L363+L520</f>
        <v>0</v>
      </c>
      <c r="M25" s="102">
        <f>M51+M66+M79+M101+M132+M146+M164+M193+M180+M273+M289+M310+M327+M340+M363+M520</f>
        <v>0</v>
      </c>
      <c r="N25" s="102">
        <f>N51+N66+N79+N101+N132+N146+N164+N193+N180+N273+N289+N310+N327+N340+N363+N520</f>
        <v>0</v>
      </c>
      <c r="O25" s="102">
        <f>IF(L25&gt;0,N25*100/L25,0)</f>
        <v>0</v>
      </c>
      <c r="P25" s="102">
        <f>IF(M25&gt;0,N25*100/M25,0)</f>
        <v>0</v>
      </c>
      <c r="Q25" s="102">
        <f>Q79+Q101+Q124+Q146+Q164+Q180+Q193+Q273+Q289+Q310+Q340+Q382+Q399+Q420+Q500+Q606+Q623+Q649+Q697+Q721+Q735+Q767</f>
        <v>0</v>
      </c>
      <c r="R25" s="102">
        <f>R79+R101+R124+R146+R164+R180+R193+R273+R289+R310+R340+R382+R399+R420+R500+R606+R623+R649+R697+R721+R735+R767</f>
        <v>0</v>
      </c>
      <c r="S25" s="102">
        <f>S79+S101+S124+S146+S164+S180+S193+S273+S289+S310+S340+S382+S399+S420+S500+S606+S623+S649+S697+S721+S735+S767</f>
        <v>0</v>
      </c>
      <c r="T25" s="102">
        <f>IF(Q25&gt;0,S25*100/Q25,0)</f>
        <v>0</v>
      </c>
      <c r="U25" s="102">
        <f>IF(R25&gt;0,S25*100/R25,0)</f>
        <v>0</v>
      </c>
    </row>
    <row r="26" spans="1:21" ht="18.75" hidden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255">
        <f ca="1">L52+L67+L80+L102+L133+L147+L165+L194+L181+L274+L290+L311+L328+L341+L364+L521</f>
        <v>0</v>
      </c>
      <c r="M26" s="255">
        <f ca="1">M52+M67+M80+M102+M133+M147+M165+M194+M181+M274+M290+M311+M328+M341+M364+M521</f>
        <v>0</v>
      </c>
      <c r="N26" s="255">
        <f ca="1">N52+N67+N80+N102+N133+N147+N165+N194+N181+N274+N290+N311+N328+N341+N364+N521</f>
        <v>0</v>
      </c>
      <c r="O26" s="255">
        <f ca="1">IF(L26&gt;0,N26*100/L26,0)</f>
        <v>0</v>
      </c>
      <c r="P26" s="255">
        <f ca="1">IF(M26&gt;0,N26*100/M26,0)</f>
        <v>0</v>
      </c>
      <c r="Q26" s="102">
        <f>Q80+Q102+Q125+Q147+Q165+Q181+Q194+Q274+Q290+Q311+Q341+Q383+Q400+Q421+Q501+Q607+Q624+Q650+Q698+Q722+Q736+Q768</f>
        <v>0</v>
      </c>
      <c r="R26" s="102">
        <f>R80+R102+R125+R147+R165+R181+R194+R274+R290+R311+R341+R383+R400+R421+R501+R607+R624+R650+R698+R722+R736+R768</f>
        <v>0</v>
      </c>
      <c r="S26" s="102">
        <f>S80+S102+S125+S147+S165+S181+S194+S274+S290+S311+S341+S383+S400+S421+S501+S607+S624+S650+S698+S722+S736+S768</f>
        <v>0</v>
      </c>
      <c r="T26" s="255">
        <f>IF(Q26&gt;0,S26*100/Q26,0)</f>
        <v>0</v>
      </c>
      <c r="U26" s="255">
        <f>IF(R26&gt;0,S26*100/R26,0)</f>
        <v>0</v>
      </c>
    </row>
    <row r="27" spans="1:21" ht="18.75">
      <c r="A27" s="49"/>
      <c r="B27" s="50"/>
      <c r="C27" s="50"/>
      <c r="D27" s="51" t="s">
        <v>24</v>
      </c>
      <c r="E27" s="50"/>
      <c r="F27" s="50"/>
      <c r="G27" s="52"/>
      <c r="H27" s="53" t="s">
        <v>14</v>
      </c>
      <c r="I27" s="54"/>
      <c r="J27" s="54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</row>
    <row r="28" spans="1:21" ht="18.75" hidden="1">
      <c r="A28" s="49"/>
      <c r="B28" s="50"/>
      <c r="C28" s="50"/>
      <c r="D28" s="50"/>
      <c r="E28" s="186" t="s">
        <v>20</v>
      </c>
      <c r="F28" s="50"/>
      <c r="G28" s="52"/>
      <c r="H28" s="729" t="s">
        <v>14</v>
      </c>
      <c r="I28" s="54"/>
      <c r="J28" s="54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</row>
    <row r="29" spans="1:21" ht="18.75" hidden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</row>
    <row r="30" spans="1:21" ht="12.75" hidden="1">
      <c r="A30" s="848"/>
      <c r="B30" s="529"/>
      <c r="C30" s="529"/>
      <c r="D30" s="529"/>
      <c r="E30" s="529"/>
      <c r="F30" s="529"/>
      <c r="G30" s="530"/>
      <c r="H30" s="17"/>
      <c r="I30" s="18"/>
      <c r="J30" s="18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 hidden="1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</row>
    <row r="32" spans="1:21" ht="12.75" hidden="1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</row>
    <row r="33" spans="1:21" ht="12.75" hidden="1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</row>
    <row r="34" spans="1:21" ht="12.75" hidden="1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</row>
    <row r="35" spans="1:21" ht="12.75" hidden="1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</row>
    <row r="36" spans="1:21" ht="12.75" hidden="1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</row>
    <row r="37" spans="1:21" ht="12.75" hidden="1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</row>
    <row r="38" spans="1:21" ht="12.75" hidden="1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</row>
    <row r="39" spans="1:21" ht="12.75" hidden="1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9.5" hidden="1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748">
        <f ca="1">L44+L59+L72+L94+L125+L139+L157+L173+L186+L266+L282+L303+L320+L333+L356</f>
        <v>2105221</v>
      </c>
      <c r="M40" s="748">
        <f ca="1">M44+M59+M72+M94+M125+M139+M157+M173+M186+M266+M282+M303+M320+M333+M356</f>
        <v>2137407.44</v>
      </c>
      <c r="N40" s="748">
        <f ca="1">N44+N59+N72+N94+N125+N139+N157+N173+N186+N266+N282+N303+N320+N333+N356</f>
        <v>1823589.49</v>
      </c>
      <c r="O40" s="748">
        <f ca="1">IF(L40&gt;0,N40*100/L40,0)</f>
        <v>86.622235385263593</v>
      </c>
      <c r="P40" s="748">
        <f ca="1">IF(M40&gt;0,N40*100/M40,0)</f>
        <v>85.317822698324662</v>
      </c>
      <c r="Q40" s="73"/>
      <c r="R40" s="73"/>
      <c r="S40" s="73"/>
      <c r="T40" s="73"/>
      <c r="U40" s="73"/>
    </row>
    <row r="41" spans="1:21" ht="19.5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78"/>
      <c r="R41" s="78"/>
      <c r="S41" s="78"/>
      <c r="T41" s="78"/>
      <c r="U41" s="79"/>
    </row>
    <row r="42" spans="1:21" ht="19.5">
      <c r="A42" s="80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</row>
    <row r="43" spans="1:21" ht="12.75" hidden="1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</row>
    <row r="44" spans="1:21" ht="19.5">
      <c r="A44" s="86"/>
      <c r="B44" s="87"/>
      <c r="C44" s="88" t="s">
        <v>18</v>
      </c>
      <c r="D44" s="747" t="s">
        <v>19</v>
      </c>
      <c r="E44" s="87"/>
      <c r="F44" s="87"/>
      <c r="G44" s="90"/>
      <c r="H44" s="91" t="s">
        <v>14</v>
      </c>
      <c r="I44" s="92"/>
      <c r="J44" s="92"/>
      <c r="K44" s="93"/>
      <c r="L44" s="745">
        <f ca="1">L45+L46</f>
        <v>471501</v>
      </c>
      <c r="M44" s="745">
        <f ca="1">M45+M46</f>
        <v>488327.44</v>
      </c>
      <c r="N44" s="745">
        <f ca="1">N45+N46</f>
        <v>438118</v>
      </c>
      <c r="O44" s="745">
        <f ca="1">IF(L44&gt;0,N44*100/L44,0)</f>
        <v>92.919845344972757</v>
      </c>
      <c r="P44" s="745">
        <f ca="1">IF(M44&gt;0,N44*100/M44,0)</f>
        <v>89.718079328083633</v>
      </c>
      <c r="Q44" s="745">
        <f>Q45+Q46</f>
        <v>0</v>
      </c>
      <c r="R44" s="745">
        <f>R45+R46</f>
        <v>0</v>
      </c>
      <c r="S44" s="745">
        <f>S45+S46</f>
        <v>0</v>
      </c>
      <c r="T44" s="745">
        <f>IF(Q44&gt;0,S44*100/Q44,0)</f>
        <v>0</v>
      </c>
      <c r="U44" s="745">
        <f>IF(R44&gt;0,S44*100/R44,0)</f>
        <v>0</v>
      </c>
    </row>
    <row r="45" spans="1:21" ht="18.75" hidden="1">
      <c r="A45" s="86"/>
      <c r="B45" s="87"/>
      <c r="C45" s="87"/>
      <c r="D45" s="87"/>
      <c r="E45" s="744" t="s">
        <v>20</v>
      </c>
      <c r="F45" s="87"/>
      <c r="G45" s="90"/>
      <c r="H45" s="743" t="s">
        <v>14</v>
      </c>
      <c r="I45" s="92"/>
      <c r="J45" s="92"/>
      <c r="K45" s="93"/>
      <c r="L45" s="741">
        <f>L48+L51</f>
        <v>0</v>
      </c>
      <c r="M45" s="741">
        <f>M48+M51</f>
        <v>0</v>
      </c>
      <c r="N45" s="741">
        <f>N48+N51</f>
        <v>0</v>
      </c>
      <c r="O45" s="741">
        <f>IF(L45&gt;0,N45*100/L45,0)</f>
        <v>0</v>
      </c>
      <c r="P45" s="741">
        <f>IF(M45&gt;0,N45*100/M45,0)</f>
        <v>0</v>
      </c>
      <c r="Q45" s="741">
        <f>Q48+Q51</f>
        <v>0</v>
      </c>
      <c r="R45" s="741">
        <f>R48+R51</f>
        <v>0</v>
      </c>
      <c r="S45" s="741">
        <f>S48+S51</f>
        <v>0</v>
      </c>
      <c r="T45" s="741">
        <f>IF(Q45&gt;0,S45*100/Q45,0)</f>
        <v>0</v>
      </c>
      <c r="U45" s="741">
        <f>IF(R45&gt;0,S45*100/R45,0)</f>
        <v>0</v>
      </c>
    </row>
    <row r="46" spans="1:21" ht="18.75" hidden="1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739">
        <f ca="1">L49+L52</f>
        <v>471501</v>
      </c>
      <c r="M46" s="739">
        <f ca="1">M49+M52</f>
        <v>488327.44</v>
      </c>
      <c r="N46" s="739">
        <f ca="1">N49+N52</f>
        <v>438118</v>
      </c>
      <c r="O46" s="739">
        <f ca="1">IF(L46&gt;0,N46*100/L46,0)</f>
        <v>92.919845344972757</v>
      </c>
      <c r="P46" s="739">
        <f ca="1">IF(M46&gt;0,N46*100/M46,0)</f>
        <v>89.718079328083633</v>
      </c>
      <c r="Q46" s="739">
        <f>Q49+Q52</f>
        <v>0</v>
      </c>
      <c r="R46" s="739">
        <f>R49+R52</f>
        <v>0</v>
      </c>
      <c r="S46" s="739">
        <f>S49+S52</f>
        <v>0</v>
      </c>
      <c r="T46" s="739">
        <f>IF(Q46&gt;0,S46*100/Q46,0)</f>
        <v>0</v>
      </c>
      <c r="U46" s="739">
        <f>IF(R46&gt;0,S46*100/R46,0)</f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255">
        <f ca="1">L48+L49</f>
        <v>471501</v>
      </c>
      <c r="M47" s="255">
        <f ca="1">M48+M49</f>
        <v>488327.44</v>
      </c>
      <c r="N47" s="255">
        <f ca="1">N48+N49</f>
        <v>438118</v>
      </c>
      <c r="O47" s="255">
        <f ca="1">IF(L47&gt;0,N47*100/L47,0)</f>
        <v>92.919845344972757</v>
      </c>
      <c r="P47" s="255">
        <f ca="1">IF(M47&gt;0,N47*100/M47,0)</f>
        <v>89.718079328083633</v>
      </c>
      <c r="Q47" s="255">
        <f>Q48+Q49</f>
        <v>0</v>
      </c>
      <c r="R47" s="255">
        <f>R48+R49</f>
        <v>0</v>
      </c>
      <c r="S47" s="255">
        <f>S48+S49</f>
        <v>0</v>
      </c>
      <c r="T47" s="255">
        <f>IF(Q47&gt;0,S47*100/Q47,0)</f>
        <v>0</v>
      </c>
      <c r="U47" s="255">
        <f>IF(R47&gt;0,S47*100/R47,0)</f>
        <v>0</v>
      </c>
    </row>
    <row r="48" spans="1:21" ht="18.75" hidden="1">
      <c r="A48" s="49"/>
      <c r="B48" s="50"/>
      <c r="C48" s="50"/>
      <c r="D48" s="50"/>
      <c r="E48" s="186" t="s">
        <v>20</v>
      </c>
      <c r="F48" s="50"/>
      <c r="G48" s="52"/>
      <c r="H48" s="729" t="s">
        <v>14</v>
      </c>
      <c r="I48" s="54"/>
      <c r="J48" s="54"/>
      <c r="K48" s="55"/>
      <c r="L48" s="102">
        <v>0</v>
      </c>
      <c r="M48" s="102">
        <v>0</v>
      </c>
      <c r="N48" s="102">
        <v>0</v>
      </c>
      <c r="O48" s="102">
        <f>IF(L48&gt;0,N48*100/L48,0)</f>
        <v>0</v>
      </c>
      <c r="P48" s="102">
        <f>IF(M48&gt;0,N48*100/M48,0)</f>
        <v>0</v>
      </c>
      <c r="Q48" s="102">
        <v>0</v>
      </c>
      <c r="R48" s="102">
        <v>0</v>
      </c>
      <c r="S48" s="102">
        <v>0</v>
      </c>
      <c r="T48" s="102">
        <f>IF(Q48&gt;0,S48*100/Q48,0)</f>
        <v>0</v>
      </c>
      <c r="U48" s="102">
        <f>IF(R48&gt;0,S48*100/R48,0)</f>
        <v>0</v>
      </c>
    </row>
    <row r="49" spans="1:21" ht="18.75" hidden="1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255">
        <f ca="1">IFERROR(__xludf.DUMMYFUNCTION("IMPORTRANGE(""https://docs.google.com/spreadsheets/d/1-uDff_7J0KD5mKrp0Vvzr7lt3OU09vwQwhkpOPPYv2Y/edit?usp=sharing"",""งบพรบ!P47"")"),471501)</f>
        <v>471501</v>
      </c>
      <c r="M49" s="255">
        <f ca="1">IFERROR(__xludf.DUMMYFUNCTION("IMPORTRANGE(""https://docs.google.com/spreadsheets/d/1-uDff_7J0KD5mKrp0Vvzr7lt3OU09vwQwhkpOPPYv2Y/edit?usp=sharing"",""งบพรบ!V47"")"),488327.44)</f>
        <v>488327.44</v>
      </c>
      <c r="N49" s="255">
        <f ca="1">IFERROR(__xludf.DUMMYFUNCTION("IMPORTRANGE(""https://docs.google.com/spreadsheets/d/1-uDff_7J0KD5mKrp0Vvzr7lt3OU09vwQwhkpOPPYv2Y/edit?usp=sharing"",""งบพรบ!Y47"")"),438118)</f>
        <v>438118</v>
      </c>
      <c r="O49" s="255">
        <f ca="1">IF(L49&gt;0,N49*100/L49,0)</f>
        <v>92.919845344972757</v>
      </c>
      <c r="P49" s="255">
        <f ca="1">IF(M49&gt;0,N49*100/M49,0)</f>
        <v>89.718079328083633</v>
      </c>
      <c r="Q49" s="255">
        <v>0</v>
      </c>
      <c r="R49" s="255">
        <v>0</v>
      </c>
      <c r="S49" s="255">
        <v>0</v>
      </c>
      <c r="T49" s="255">
        <f>IF(Q49&gt;0,S49*100/Q49,0)</f>
        <v>0</v>
      </c>
      <c r="U49" s="255">
        <f>IF(R49&gt;0,S49*100/R49,0)</f>
        <v>0</v>
      </c>
    </row>
    <row r="50" spans="1:21" ht="18.75">
      <c r="A50" s="49"/>
      <c r="B50" s="50"/>
      <c r="C50" s="50"/>
      <c r="D50" s="51" t="s">
        <v>23</v>
      </c>
      <c r="E50" s="50"/>
      <c r="F50" s="50"/>
      <c r="G50" s="52"/>
      <c r="H50" s="53" t="s">
        <v>14</v>
      </c>
      <c r="I50" s="54"/>
      <c r="J50" s="54"/>
      <c r="K50" s="55"/>
      <c r="L50" s="255">
        <f ca="1">L51+L52</f>
        <v>0</v>
      </c>
      <c r="M50" s="255">
        <f ca="1">M51+M52</f>
        <v>0</v>
      </c>
      <c r="N50" s="255">
        <f ca="1">N51+N52</f>
        <v>0</v>
      </c>
      <c r="O50" s="255">
        <f ca="1">IF(L50&gt;0,N50*100/L50,0)</f>
        <v>0</v>
      </c>
      <c r="P50" s="255">
        <f ca="1">IF(M50&gt;0,N50*100/M50,0)</f>
        <v>0</v>
      </c>
      <c r="Q50" s="255">
        <f>Q51+Q52</f>
        <v>0</v>
      </c>
      <c r="R50" s="255">
        <f>R51+R52</f>
        <v>0</v>
      </c>
      <c r="S50" s="255">
        <f>S51+S52</f>
        <v>0</v>
      </c>
      <c r="T50" s="255">
        <f>IF(Q50&gt;0,S50*100/Q50,0)</f>
        <v>0</v>
      </c>
      <c r="U50" s="255">
        <f>IF(R50&gt;0,S50*100/R50,0)</f>
        <v>0</v>
      </c>
    </row>
    <row r="51" spans="1:21" ht="18.75" hidden="1">
      <c r="A51" s="49"/>
      <c r="B51" s="50"/>
      <c r="C51" s="50"/>
      <c r="D51" s="50"/>
      <c r="E51" s="186" t="s">
        <v>20</v>
      </c>
      <c r="F51" s="50"/>
      <c r="G51" s="52"/>
      <c r="H51" s="729" t="s">
        <v>14</v>
      </c>
      <c r="I51" s="54"/>
      <c r="J51" s="54"/>
      <c r="K51" s="55"/>
      <c r="L51" s="102">
        <v>0</v>
      </c>
      <c r="M51" s="102">
        <v>0</v>
      </c>
      <c r="N51" s="102">
        <v>0</v>
      </c>
      <c r="O51" s="102">
        <f>IF(L51&gt;0,N51*100/L51,0)</f>
        <v>0</v>
      </c>
      <c r="P51" s="102">
        <f>IF(M51&gt;0,N51*100/M51,0)</f>
        <v>0</v>
      </c>
      <c r="Q51" s="102">
        <v>0</v>
      </c>
      <c r="R51" s="102">
        <v>0</v>
      </c>
      <c r="S51" s="102">
        <v>0</v>
      </c>
      <c r="T51" s="102">
        <f>IF(Q51&gt;0,S51*100/Q51,0)</f>
        <v>0</v>
      </c>
      <c r="U51" s="102">
        <f>IF(R51&gt;0,S51*100/R51,0)</f>
        <v>0</v>
      </c>
    </row>
    <row r="52" spans="1:21" ht="18.75" hidden="1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255">
        <f ca="1">IFERROR(__xludf.DUMMYFUNCTION("IMPORTRANGE(""https://docs.google.com/spreadsheets/d/1-uDff_7J0KD5mKrp0Vvzr7lt3OU09vwQwhkpOPPYv2Y/edit?usp=sharing"",""งบพรบ!S47"")"),0)</f>
        <v>0</v>
      </c>
      <c r="M52" s="255">
        <f ca="1">IFERROR(__xludf.DUMMYFUNCTION("IMPORTRANGE(""https://docs.google.com/spreadsheets/d/1-uDff_7J0KD5mKrp0Vvzr7lt3OU09vwQwhkpOPPYv2Y/edit?usp=sharing"",""งบพรบ!W47"")"),0)</f>
        <v>0</v>
      </c>
      <c r="N52" s="255">
        <f ca="1">IFERROR(__xludf.DUMMYFUNCTION("IMPORTRANGE(""https://docs.google.com/spreadsheets/d/1-uDff_7J0KD5mKrp0Vvzr7lt3OU09vwQwhkpOPPYv2Y/edit?usp=sharing"",""งบพรบ!Z47"")"),0)</f>
        <v>0</v>
      </c>
      <c r="O52" s="255">
        <f ca="1">IF(L52&gt;0,N52*100/L52,0)</f>
        <v>0</v>
      </c>
      <c r="P52" s="255">
        <f ca="1">IF(M52&gt;0,N52*100/M52,0)</f>
        <v>0</v>
      </c>
      <c r="Q52" s="255">
        <v>0</v>
      </c>
      <c r="R52" s="255">
        <v>0</v>
      </c>
      <c r="S52" s="255">
        <v>0</v>
      </c>
      <c r="T52" s="255">
        <f>IF(Q52&gt;0,S52*100/Q52,0)</f>
        <v>0</v>
      </c>
      <c r="U52" s="255">
        <f>IF(R52&gt;0,S52*100/R52,0)</f>
        <v>0</v>
      </c>
    </row>
    <row r="53" spans="1:21" ht="18.75">
      <c r="A53" s="49"/>
      <c r="B53" s="50"/>
      <c r="C53" s="50"/>
      <c r="D53" s="51" t="s">
        <v>24</v>
      </c>
      <c r="E53" s="50"/>
      <c r="F53" s="50"/>
      <c r="G53" s="52"/>
      <c r="H53" s="53" t="s">
        <v>14</v>
      </c>
      <c r="I53" s="54"/>
      <c r="J53" s="54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</row>
    <row r="54" spans="1:21" ht="18.75" hidden="1">
      <c r="A54" s="49"/>
      <c r="B54" s="50"/>
      <c r="C54" s="50"/>
      <c r="D54" s="50"/>
      <c r="E54" s="186" t="s">
        <v>20</v>
      </c>
      <c r="F54" s="50"/>
      <c r="G54" s="52"/>
      <c r="H54" s="729" t="s">
        <v>14</v>
      </c>
      <c r="I54" s="54"/>
      <c r="J54" s="54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</row>
    <row r="55" spans="1:21" ht="18.75" hidden="1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</row>
    <row r="56" spans="1:21" ht="19.5">
      <c r="A56" s="847" t="s">
        <v>28</v>
      </c>
      <c r="B56" s="529"/>
      <c r="C56" s="529"/>
      <c r="D56" s="529"/>
      <c r="E56" s="529"/>
      <c r="F56" s="529"/>
      <c r="G56" s="530"/>
      <c r="H56" s="104"/>
      <c r="I56" s="105"/>
      <c r="J56" s="105"/>
      <c r="K56" s="106"/>
      <c r="L56" s="106"/>
      <c r="M56" s="106"/>
      <c r="N56" s="106"/>
      <c r="O56" s="106"/>
      <c r="P56" s="107"/>
      <c r="Q56" s="106"/>
      <c r="R56" s="106"/>
      <c r="S56" s="106"/>
      <c r="T56" s="106"/>
      <c r="U56" s="107"/>
    </row>
    <row r="57" spans="1:21" ht="19.5">
      <c r="A57" s="108"/>
      <c r="B57" s="534" t="s">
        <v>29</v>
      </c>
      <c r="C57" s="529"/>
      <c r="D57" s="529"/>
      <c r="E57" s="529"/>
      <c r="F57" s="529"/>
      <c r="G57" s="530"/>
      <c r="H57" s="109"/>
      <c r="I57" s="110"/>
      <c r="J57" s="110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8"/>
      <c r="M58" s="118"/>
      <c r="N58" s="118"/>
      <c r="O58" s="118"/>
      <c r="P58" s="118"/>
      <c r="Q58" s="118"/>
      <c r="R58" s="118"/>
      <c r="S58" s="118"/>
      <c r="T58" s="118"/>
      <c r="U58" s="118"/>
    </row>
    <row r="59" spans="1:21" ht="19.5">
      <c r="A59" s="120"/>
      <c r="B59" s="121"/>
      <c r="C59" s="122" t="s">
        <v>18</v>
      </c>
      <c r="D59" s="738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736">
        <f ca="1">L60+L61</f>
        <v>569800</v>
      </c>
      <c r="M59" s="736">
        <f ca="1">M60+M61</f>
        <v>569800</v>
      </c>
      <c r="N59" s="736">
        <f ca="1">N60+N61</f>
        <v>543707.68999999994</v>
      </c>
      <c r="O59" s="736">
        <f ca="1">IF(L59&gt;0,N59*100/L59,0)</f>
        <v>95.420795015795008</v>
      </c>
      <c r="P59" s="736">
        <f ca="1">IF(M59&gt;0,N59*100/M59,0)</f>
        <v>95.420795015795008</v>
      </c>
      <c r="Q59" s="736">
        <f>Q60+Q61</f>
        <v>0</v>
      </c>
      <c r="R59" s="736">
        <f>R60+R61</f>
        <v>0</v>
      </c>
      <c r="S59" s="736">
        <f>S60+S61</f>
        <v>0</v>
      </c>
      <c r="T59" s="736">
        <f>IF(Q59&gt;0,S59*100/Q59,0)</f>
        <v>0</v>
      </c>
      <c r="U59" s="736">
        <f>IF(R59&gt;0,S59*100/R59,0)</f>
        <v>0</v>
      </c>
    </row>
    <row r="60" spans="1:21" ht="18.75" hidden="1">
      <c r="A60" s="120"/>
      <c r="B60" s="121"/>
      <c r="C60" s="121"/>
      <c r="D60" s="121"/>
      <c r="E60" s="735" t="s">
        <v>20</v>
      </c>
      <c r="F60" s="121"/>
      <c r="G60" s="124"/>
      <c r="H60" s="734" t="s">
        <v>14</v>
      </c>
      <c r="I60" s="126"/>
      <c r="J60" s="126"/>
      <c r="K60" s="127"/>
      <c r="L60" s="732">
        <f>L63+L66</f>
        <v>0</v>
      </c>
      <c r="M60" s="732">
        <f>M63+M66</f>
        <v>0</v>
      </c>
      <c r="N60" s="732">
        <f>N63+N66</f>
        <v>0</v>
      </c>
      <c r="O60" s="732">
        <f>IF(L60&gt;0,N60*100/L60,0)</f>
        <v>0</v>
      </c>
      <c r="P60" s="732">
        <f>IF(M60&gt;0,N60*100/M60,0)</f>
        <v>0</v>
      </c>
      <c r="Q60" s="732">
        <f>Q63+Q66</f>
        <v>0</v>
      </c>
      <c r="R60" s="732">
        <f>R63+R66</f>
        <v>0</v>
      </c>
      <c r="S60" s="732">
        <f>S63+S66</f>
        <v>0</v>
      </c>
      <c r="T60" s="732">
        <f>IF(Q60&gt;0,S60*100/Q60,0)</f>
        <v>0</v>
      </c>
      <c r="U60" s="732">
        <f>IF(R60&gt;0,S60*100/R60,0)</f>
        <v>0</v>
      </c>
    </row>
    <row r="61" spans="1:21" ht="18.75" hidden="1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730">
        <f ca="1">L64+L67</f>
        <v>569800</v>
      </c>
      <c r="M61" s="730">
        <f ca="1">M64+M67</f>
        <v>569800</v>
      </c>
      <c r="N61" s="730">
        <f ca="1">N64+N67</f>
        <v>543707.68999999994</v>
      </c>
      <c r="O61" s="730">
        <f ca="1">IF(L61&gt;0,N61*100/L61,0)</f>
        <v>95.420795015795008</v>
      </c>
      <c r="P61" s="730">
        <f ca="1">IF(M61&gt;0,N61*100/M61,0)</f>
        <v>95.420795015795008</v>
      </c>
      <c r="Q61" s="730">
        <f>Q64+Q67</f>
        <v>0</v>
      </c>
      <c r="R61" s="730">
        <f>R64+R67</f>
        <v>0</v>
      </c>
      <c r="S61" s="730">
        <f>S64+S67</f>
        <v>0</v>
      </c>
      <c r="T61" s="730">
        <f>IF(Q61&gt;0,S61*100/Q61,0)</f>
        <v>0</v>
      </c>
      <c r="U61" s="730">
        <f>IF(R61&gt;0,S61*100/R61,0)</f>
        <v>0</v>
      </c>
    </row>
    <row r="62" spans="1:21" ht="18.75">
      <c r="A62" s="238"/>
      <c r="B62" s="188"/>
      <c r="C62" s="188"/>
      <c r="D62" s="602" t="s">
        <v>22</v>
      </c>
      <c r="E62" s="50"/>
      <c r="F62" s="50"/>
      <c r="G62" s="52"/>
      <c r="H62" s="53" t="s">
        <v>14</v>
      </c>
      <c r="I62" s="54"/>
      <c r="J62" s="54"/>
      <c r="K62" s="55"/>
      <c r="L62" s="255">
        <f ca="1">L63+L64</f>
        <v>569800</v>
      </c>
      <c r="M62" s="255">
        <f ca="1">M63+M64</f>
        <v>569800</v>
      </c>
      <c r="N62" s="255">
        <f ca="1">N63+N64</f>
        <v>543707.68999999994</v>
      </c>
      <c r="O62" s="255">
        <f ca="1">IF(L62&gt;0,N62*100/L62,0)</f>
        <v>95.420795015795008</v>
      </c>
      <c r="P62" s="255">
        <f ca="1">IF(M62&gt;0,N62*100/M62,0)</f>
        <v>95.420795015795008</v>
      </c>
      <c r="Q62" s="255">
        <f>Q63+Q64</f>
        <v>0</v>
      </c>
      <c r="R62" s="255">
        <f>R63+R64</f>
        <v>0</v>
      </c>
      <c r="S62" s="255">
        <f>S63+S64</f>
        <v>0</v>
      </c>
      <c r="T62" s="255">
        <f>IF(Q62&gt;0,S62*100/Q62,0)</f>
        <v>0</v>
      </c>
      <c r="U62" s="255">
        <f>IF(R62&gt;0,S62*100/R62,0)</f>
        <v>0</v>
      </c>
    </row>
    <row r="63" spans="1:21" ht="18.75" hidden="1">
      <c r="A63" s="238"/>
      <c r="B63" s="50"/>
      <c r="C63" s="188"/>
      <c r="D63" s="50"/>
      <c r="E63" s="186" t="s">
        <v>20</v>
      </c>
      <c r="F63" s="50"/>
      <c r="G63" s="52"/>
      <c r="H63" s="729" t="s">
        <v>14</v>
      </c>
      <c r="I63" s="54"/>
      <c r="J63" s="54"/>
      <c r="K63" s="55"/>
      <c r="L63" s="102">
        <v>0</v>
      </c>
      <c r="M63" s="102">
        <v>0</v>
      </c>
      <c r="N63" s="102">
        <v>0</v>
      </c>
      <c r="O63" s="102">
        <f>IF(L63&gt;0,N63*100/L63,0)</f>
        <v>0</v>
      </c>
      <c r="P63" s="102">
        <f>IF(M63&gt;0,N63*100/M63,0)</f>
        <v>0</v>
      </c>
      <c r="Q63" s="102">
        <v>0</v>
      </c>
      <c r="R63" s="102">
        <v>0</v>
      </c>
      <c r="S63" s="102">
        <v>0</v>
      </c>
      <c r="T63" s="102">
        <f>IF(Q63&gt;0,S63*100/Q63,0)</f>
        <v>0</v>
      </c>
      <c r="U63" s="102">
        <f>IF(R63&gt;0,S63*100/R63,0)</f>
        <v>0</v>
      </c>
    </row>
    <row r="64" spans="1:21" ht="18.75" hidden="1">
      <c r="A64" s="155"/>
      <c r="B64" s="50"/>
      <c r="C64" s="50"/>
      <c r="D64" s="188"/>
      <c r="E64" s="58" t="s">
        <v>21</v>
      </c>
      <c r="F64" s="50"/>
      <c r="G64" s="52"/>
      <c r="H64" s="53" t="s">
        <v>14</v>
      </c>
      <c r="I64" s="54"/>
      <c r="J64" s="54"/>
      <c r="K64" s="55"/>
      <c r="L64" s="255">
        <f ca="1">IFERROR(__xludf.DUMMYFUNCTION("IMPORTRANGE(""https://docs.google.com/spreadsheets/d/1-uDff_7J0KD5mKrp0Vvzr7lt3OU09vwQwhkpOPPYv2Y/edit?usp=sharing"",""งบพรบ!AC47"")"),569800)</f>
        <v>569800</v>
      </c>
      <c r="M64" s="255">
        <f ca="1">IFERROR(__xludf.DUMMYFUNCTION("IMPORTRANGE(""https://docs.google.com/spreadsheets/d/1-uDff_7J0KD5mKrp0Vvzr7lt3OU09vwQwhkpOPPYv2Y/edit?usp=sharing"",""งบพรบ!AH47"")"),569800)</f>
        <v>569800</v>
      </c>
      <c r="N64" s="255">
        <f ca="1">IFERROR(__xludf.DUMMYFUNCTION("IMPORTRANGE(""https://docs.google.com/spreadsheets/d/1-uDff_7J0KD5mKrp0Vvzr7lt3OU09vwQwhkpOPPYv2Y/edit?usp=sharing"",""งบพรบ!AJ47"")"),543707.69)</f>
        <v>543707.68999999994</v>
      </c>
      <c r="O64" s="255">
        <f ca="1">IF(L64&gt;0,N64*100/L64,0)</f>
        <v>95.420795015795008</v>
      </c>
      <c r="P64" s="255">
        <f ca="1">IF(M64&gt;0,N64*100/M64,0)</f>
        <v>95.420795015795008</v>
      </c>
      <c r="Q64" s="255">
        <v>0</v>
      </c>
      <c r="R64" s="255">
        <v>0</v>
      </c>
      <c r="S64" s="255">
        <v>0</v>
      </c>
      <c r="T64" s="255">
        <f>IF(Q64&gt;0,S64*100/Q64,0)</f>
        <v>0</v>
      </c>
      <c r="U64" s="255">
        <f>IF(R64&gt;0,S64*100/R64,0)</f>
        <v>0</v>
      </c>
    </row>
    <row r="65" spans="1:21" ht="18.75">
      <c r="A65" s="155"/>
      <c r="B65" s="50"/>
      <c r="C65" s="50"/>
      <c r="D65" s="602" t="s">
        <v>23</v>
      </c>
      <c r="E65" s="50"/>
      <c r="F65" s="50"/>
      <c r="G65" s="52"/>
      <c r="H65" s="53" t="s">
        <v>14</v>
      </c>
      <c r="I65" s="54"/>
      <c r="J65" s="54"/>
      <c r="K65" s="55"/>
      <c r="L65" s="255">
        <f ca="1">L66+L67</f>
        <v>0</v>
      </c>
      <c r="M65" s="255">
        <f ca="1">M66+M67</f>
        <v>0</v>
      </c>
      <c r="N65" s="255">
        <f ca="1">N66+N67</f>
        <v>0</v>
      </c>
      <c r="O65" s="255">
        <f ca="1">IF(L65&gt;0,N65*100/L65,0)</f>
        <v>0</v>
      </c>
      <c r="P65" s="255">
        <f ca="1">IF(M65&gt;0,N65*100/M65,0)</f>
        <v>0</v>
      </c>
      <c r="Q65" s="255">
        <f>Q66+Q67</f>
        <v>0</v>
      </c>
      <c r="R65" s="255">
        <f>R66+R67</f>
        <v>0</v>
      </c>
      <c r="S65" s="255">
        <f>S66+S67</f>
        <v>0</v>
      </c>
      <c r="T65" s="255">
        <f>IF(Q65&gt;0,S65*100/Q65,0)</f>
        <v>0</v>
      </c>
      <c r="U65" s="255">
        <f>IF(R65&gt;0,S65*100/R65,0)</f>
        <v>0</v>
      </c>
    </row>
    <row r="66" spans="1:21" ht="18.75" hidden="1">
      <c r="A66" s="155"/>
      <c r="B66" s="188"/>
      <c r="C66" s="188"/>
      <c r="D66" s="188"/>
      <c r="E66" s="186" t="s">
        <v>20</v>
      </c>
      <c r="F66" s="50"/>
      <c r="G66" s="52"/>
      <c r="H66" s="187" t="s">
        <v>14</v>
      </c>
      <c r="I66" s="54"/>
      <c r="J66" s="54"/>
      <c r="K66" s="55"/>
      <c r="L66" s="102">
        <v>0</v>
      </c>
      <c r="M66" s="102">
        <v>0</v>
      </c>
      <c r="N66" s="102">
        <v>0</v>
      </c>
      <c r="O66" s="102">
        <f>IF(L66&gt;0,N66*100/L66,0)</f>
        <v>0</v>
      </c>
      <c r="P66" s="102">
        <f>IF(M66&gt;0,N66*100/M66,0)</f>
        <v>0</v>
      </c>
      <c r="Q66" s="102">
        <v>0</v>
      </c>
      <c r="R66" s="102">
        <v>0</v>
      </c>
      <c r="S66" s="102">
        <v>0</v>
      </c>
      <c r="T66" s="102">
        <f>IF(Q66&gt;0,S66*100/Q66,0)</f>
        <v>0</v>
      </c>
      <c r="U66" s="102">
        <f>IF(R66&gt;0,S66*100/R66,0)</f>
        <v>0</v>
      </c>
    </row>
    <row r="67" spans="1:21" ht="18.75" hidden="1">
      <c r="A67" s="213"/>
      <c r="B67" s="4"/>
      <c r="C67" s="5"/>
      <c r="D67" s="4"/>
      <c r="E67" s="64" t="s">
        <v>21</v>
      </c>
      <c r="F67" s="4"/>
      <c r="G67" s="65"/>
      <c r="H67" s="376" t="s">
        <v>14</v>
      </c>
      <c r="I67" s="67"/>
      <c r="J67" s="67"/>
      <c r="K67" s="6"/>
      <c r="L67" s="506">
        <f ca="1">IFERROR(__xludf.DUMMYFUNCTION("IMPORTRANGE(""https://docs.google.com/spreadsheets/d/1-uDff_7J0KD5mKrp0Vvzr7lt3OU09vwQwhkpOPPYv2Y/edit?usp=sharing"",""งบพรบ!AF47"")"),0)</f>
        <v>0</v>
      </c>
      <c r="M67" s="506">
        <f ca="1">IFERROR(__xludf.DUMMYFUNCTION("IMPORTRANGE(""https://docs.google.com/spreadsheets/d/1-uDff_7J0KD5mKrp0Vvzr7lt3OU09vwQwhkpOPPYv2Y/edit?usp=sharing"",""งบพรบ!AI47"")"),0)</f>
        <v>0</v>
      </c>
      <c r="N67" s="506">
        <f ca="1">IFERROR(__xludf.DUMMYFUNCTION("IMPORTRANGE(""https://docs.google.com/spreadsheets/d/1-uDff_7J0KD5mKrp0Vvzr7lt3OU09vwQwhkpOPPYv2Y/edit?usp=sharing"",""งบพรบ!AK47"")"),0)</f>
        <v>0</v>
      </c>
      <c r="O67" s="506">
        <f ca="1">IF(L67&gt;0,N67*100/L67,0)</f>
        <v>0</v>
      </c>
      <c r="P67" s="506">
        <f ca="1">IF(M67&gt;0,N67*100/M67,0)</f>
        <v>0</v>
      </c>
      <c r="Q67" s="506">
        <v>0</v>
      </c>
      <c r="R67" s="506">
        <v>0</v>
      </c>
      <c r="S67" s="506">
        <v>0</v>
      </c>
      <c r="T67" s="506">
        <f>IF(Q67&gt;0,S67*100/Q67,0)</f>
        <v>0</v>
      </c>
      <c r="U67" s="506">
        <f>IF(R67&gt;0,S67*100/R67,0)</f>
        <v>0</v>
      </c>
    </row>
    <row r="68" spans="1:21" ht="19.5">
      <c r="A68" s="137" t="s">
        <v>31</v>
      </c>
      <c r="B68" s="138"/>
      <c r="C68" s="138"/>
      <c r="D68" s="138"/>
      <c r="E68" s="139"/>
      <c r="F68" s="139"/>
      <c r="G68" s="139"/>
      <c r="H68" s="138"/>
      <c r="I68" s="140"/>
      <c r="J68" s="140"/>
      <c r="K68" s="141"/>
      <c r="L68" s="141"/>
      <c r="M68" s="141"/>
      <c r="N68" s="141"/>
      <c r="O68" s="141"/>
      <c r="P68" s="142"/>
      <c r="Q68" s="141"/>
      <c r="R68" s="141"/>
      <c r="S68" s="141"/>
      <c r="T68" s="141"/>
      <c r="U68" s="142"/>
    </row>
    <row r="69" spans="1:21" ht="19.5">
      <c r="A69" s="143" t="s">
        <v>32</v>
      </c>
      <c r="B69" s="144"/>
      <c r="C69" s="145"/>
      <c r="D69" s="145"/>
      <c r="E69" s="144"/>
      <c r="F69" s="144"/>
      <c r="G69" s="146"/>
      <c r="H69" s="184"/>
      <c r="I69" s="147"/>
      <c r="J69" s="147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</row>
    <row r="70" spans="1:21" ht="19.5">
      <c r="A70" s="150"/>
      <c r="B70" s="35" t="s">
        <v>33</v>
      </c>
      <c r="C70" s="34"/>
      <c r="D70" s="151"/>
      <c r="E70" s="34"/>
      <c r="F70" s="34"/>
      <c r="G70" s="37"/>
      <c r="H70" s="185" t="s">
        <v>34</v>
      </c>
      <c r="I70" s="721">
        <f ca="1">I82</f>
        <v>1</v>
      </c>
      <c r="J70" s="721">
        <f>J82</f>
        <v>0</v>
      </c>
      <c r="K70" s="720">
        <f ca="1">IF(I70&gt;0,J70*100/I70,0)</f>
        <v>0</v>
      </c>
      <c r="L70" s="40"/>
      <c r="M70" s="40"/>
      <c r="N70" s="40"/>
      <c r="O70" s="40"/>
      <c r="P70" s="40"/>
      <c r="Q70" s="40"/>
      <c r="R70" s="40"/>
      <c r="S70" s="40"/>
      <c r="T70" s="40"/>
      <c r="U70" s="40"/>
    </row>
    <row r="71" spans="1:21" ht="19.5">
      <c r="A71" s="150"/>
      <c r="B71" s="34"/>
      <c r="C71" s="34"/>
      <c r="D71" s="151"/>
      <c r="E71" s="34"/>
      <c r="F71" s="34"/>
      <c r="G71" s="37"/>
      <c r="H71" s="185" t="s">
        <v>35</v>
      </c>
      <c r="I71" s="721">
        <f ca="1">I83</f>
        <v>50</v>
      </c>
      <c r="J71" s="721">
        <f>J83</f>
        <v>0</v>
      </c>
      <c r="K71" s="720">
        <f ca="1">IF(I71&gt;0,J71*100/I71,0)</f>
        <v>0</v>
      </c>
      <c r="L71" s="40"/>
      <c r="M71" s="40"/>
      <c r="N71" s="40"/>
      <c r="O71" s="40"/>
      <c r="P71" s="40"/>
      <c r="Q71" s="40"/>
      <c r="R71" s="40"/>
      <c r="S71" s="40"/>
      <c r="T71" s="40"/>
      <c r="U71" s="40"/>
    </row>
    <row r="72" spans="1:21" ht="19.5">
      <c r="A72" s="155"/>
      <c r="B72" s="50"/>
      <c r="C72" s="156" t="s">
        <v>18</v>
      </c>
      <c r="D72" s="575" t="s">
        <v>19</v>
      </c>
      <c r="E72" s="50"/>
      <c r="F72" s="50"/>
      <c r="G72" s="52"/>
      <c r="H72" s="158" t="s">
        <v>14</v>
      </c>
      <c r="I72" s="54"/>
      <c r="J72" s="54"/>
      <c r="K72" s="55"/>
      <c r="L72" s="540">
        <f ca="1">L73+L74</f>
        <v>90000</v>
      </c>
      <c r="M72" s="540">
        <f ca="1">M73+M74</f>
        <v>90000</v>
      </c>
      <c r="N72" s="540">
        <f ca="1">N73+N74</f>
        <v>30567</v>
      </c>
      <c r="O72" s="540">
        <f ca="1">IF(L72&gt;0,N72*100/L72,0)</f>
        <v>33.963333333333331</v>
      </c>
      <c r="P72" s="540">
        <f ca="1">IF(M72&gt;0,N72*100/M72,0)</f>
        <v>33.963333333333331</v>
      </c>
      <c r="Q72" s="540">
        <f ca="1">Q73+Q74</f>
        <v>507100</v>
      </c>
      <c r="R72" s="540">
        <f ca="1">R73+R74</f>
        <v>507100</v>
      </c>
      <c r="S72" s="540">
        <f ca="1">S73+S74</f>
        <v>14500</v>
      </c>
      <c r="T72" s="540">
        <f ca="1">IF(Q72&gt;0,S72*100/Q72,0)</f>
        <v>2.8593965687241174</v>
      </c>
      <c r="U72" s="540">
        <f ca="1">IF(R72&gt;0,S72*100/R72,0)</f>
        <v>2.8593965687241174</v>
      </c>
    </row>
    <row r="73" spans="1:21" ht="18.75" hidden="1">
      <c r="A73" s="155"/>
      <c r="B73" s="50"/>
      <c r="C73" s="50"/>
      <c r="D73" s="50"/>
      <c r="E73" s="186" t="s">
        <v>20</v>
      </c>
      <c r="F73" s="50"/>
      <c r="G73" s="52"/>
      <c r="H73" s="187" t="s">
        <v>14</v>
      </c>
      <c r="I73" s="54"/>
      <c r="J73" s="54"/>
      <c r="K73" s="55"/>
      <c r="L73" s="102">
        <f>L76+L79</f>
        <v>0</v>
      </c>
      <c r="M73" s="102">
        <f>M76+M79</f>
        <v>0</v>
      </c>
      <c r="N73" s="102">
        <f>N76+N79</f>
        <v>0</v>
      </c>
      <c r="O73" s="102">
        <f>IF(L73&gt;0,N73*100/L73,0)</f>
        <v>0</v>
      </c>
      <c r="P73" s="102">
        <f>IF(M73&gt;0,N73*100/M73,0)</f>
        <v>0</v>
      </c>
      <c r="Q73" s="102">
        <f>Q76+Q79</f>
        <v>0</v>
      </c>
      <c r="R73" s="102">
        <f>R76+R79</f>
        <v>0</v>
      </c>
      <c r="S73" s="102">
        <f>S76+S79</f>
        <v>0</v>
      </c>
      <c r="T73" s="102">
        <f>IF(Q73&gt;0,S73*100/Q73,0)</f>
        <v>0</v>
      </c>
      <c r="U73" s="102">
        <f>IF(R73&gt;0,S73*100/R73,0)</f>
        <v>0</v>
      </c>
    </row>
    <row r="74" spans="1:21" ht="18.75" hidden="1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255">
        <f ca="1">L77+L80</f>
        <v>90000</v>
      </c>
      <c r="M74" s="255">
        <f ca="1">M77+M80</f>
        <v>90000</v>
      </c>
      <c r="N74" s="255">
        <f ca="1">N77+N80</f>
        <v>30567</v>
      </c>
      <c r="O74" s="255">
        <f ca="1">IF(L74&gt;0,N74*100/L74,0)</f>
        <v>33.963333333333331</v>
      </c>
      <c r="P74" s="255">
        <f ca="1">IF(M74&gt;0,N74*100/M74,0)</f>
        <v>33.963333333333331</v>
      </c>
      <c r="Q74" s="255">
        <f ca="1">Q77+Q80</f>
        <v>507100</v>
      </c>
      <c r="R74" s="255">
        <f ca="1">R77+R80</f>
        <v>507100</v>
      </c>
      <c r="S74" s="255">
        <f ca="1">S77+S80</f>
        <v>14500</v>
      </c>
      <c r="T74" s="255">
        <f ca="1">IF(Q74&gt;0,S74*100/Q74,0)</f>
        <v>2.8593965687241174</v>
      </c>
      <c r="U74" s="255">
        <f ca="1">IF(R74&gt;0,S74*100/R74,0)</f>
        <v>2.8593965687241174</v>
      </c>
    </row>
    <row r="75" spans="1:21" ht="18.75">
      <c r="A75" s="155"/>
      <c r="B75" s="188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255">
        <f ca="1">L76+L77</f>
        <v>90000</v>
      </c>
      <c r="M75" s="255">
        <f ca="1">M76+M77</f>
        <v>90000</v>
      </c>
      <c r="N75" s="255">
        <f ca="1">N76+N77</f>
        <v>30567</v>
      </c>
      <c r="O75" s="255">
        <f ca="1">IF(L75&gt;0,N75*100/L75,0)</f>
        <v>33.963333333333331</v>
      </c>
      <c r="P75" s="255">
        <f ca="1">IF(M75&gt;0,N75*100/M75,0)</f>
        <v>33.963333333333331</v>
      </c>
      <c r="Q75" s="255">
        <f ca="1">Q76+Q77</f>
        <v>507100</v>
      </c>
      <c r="R75" s="255">
        <f ca="1">R76+R77</f>
        <v>507100</v>
      </c>
      <c r="S75" s="255">
        <f ca="1">S76+S77</f>
        <v>14500</v>
      </c>
      <c r="T75" s="255">
        <f ca="1">IF(Q75&gt;0,S75*100/Q75,0)</f>
        <v>2.8593965687241174</v>
      </c>
      <c r="U75" s="255">
        <f ca="1">IF(R75&gt;0,S75*100/R75,0)</f>
        <v>2.8593965687241174</v>
      </c>
    </row>
    <row r="76" spans="1:21" ht="18.75" hidden="1">
      <c r="A76" s="155"/>
      <c r="B76" s="188"/>
      <c r="C76" s="188"/>
      <c r="D76" s="50"/>
      <c r="E76" s="186" t="s">
        <v>36</v>
      </c>
      <c r="F76" s="50"/>
      <c r="G76" s="52"/>
      <c r="H76" s="189" t="s">
        <v>14</v>
      </c>
      <c r="I76" s="163"/>
      <c r="J76" s="163"/>
      <c r="K76" s="164"/>
      <c r="L76" s="102">
        <v>0</v>
      </c>
      <c r="M76" s="102">
        <v>0</v>
      </c>
      <c r="N76" s="102">
        <v>0</v>
      </c>
      <c r="O76" s="102">
        <f>IF(L76&gt;0,N76*100/L76,0)</f>
        <v>0</v>
      </c>
      <c r="P76" s="102">
        <f>IF(M76&gt;0,N76*100/M76,0)</f>
        <v>0</v>
      </c>
      <c r="Q76" s="102">
        <v>0</v>
      </c>
      <c r="R76" s="102">
        <v>0</v>
      </c>
      <c r="S76" s="102">
        <v>0</v>
      </c>
      <c r="T76" s="102">
        <f>IF(Q76&gt;0,S76*100/Q76,0)</f>
        <v>0</v>
      </c>
      <c r="U76" s="102">
        <f>IF(R76&gt;0,S76*100/R76,0)</f>
        <v>0</v>
      </c>
    </row>
    <row r="77" spans="1:21" ht="18.75" hidden="1">
      <c r="A77" s="155"/>
      <c r="B77" s="188"/>
      <c r="C77" s="188"/>
      <c r="D77" s="188"/>
      <c r="E77" s="58" t="s">
        <v>37</v>
      </c>
      <c r="F77" s="50"/>
      <c r="G77" s="52"/>
      <c r="H77" s="162" t="s">
        <v>14</v>
      </c>
      <c r="I77" s="163"/>
      <c r="J77" s="163"/>
      <c r="K77" s="164"/>
      <c r="L77" s="255">
        <f ca="1">IFERROR(__xludf.DUMMYFUNCTION("IMPORTRANGE(""https://docs.google.com/spreadsheets/d/1-uDff_7J0KD5mKrp0Vvzr7lt3OU09vwQwhkpOPPYv2Y/edit?usp=sharing"",""งบพรบ!AM47"")"),90000)</f>
        <v>90000</v>
      </c>
      <c r="M77" s="255">
        <f ca="1">IFERROR(__xludf.DUMMYFUNCTION("IMPORTRANGE(""https://docs.google.com/spreadsheets/d/1-uDff_7J0KD5mKrp0Vvzr7lt3OU09vwQwhkpOPPYv2Y/edit?usp=sharing"",""งบพรบ!AR47"")"),90000)</f>
        <v>90000</v>
      </c>
      <c r="N77" s="255">
        <f ca="1">IFERROR(__xludf.DUMMYFUNCTION("IMPORTRANGE(""https://docs.google.com/spreadsheets/d/1-uDff_7J0KD5mKrp0Vvzr7lt3OU09vwQwhkpOPPYv2Y/edit?usp=sharing"",""งบพรบ!AT47"")"),30567)</f>
        <v>30567</v>
      </c>
      <c r="O77" s="255">
        <f ca="1">IF(L77&gt;0,N77*100/L77,0)</f>
        <v>33.963333333333331</v>
      </c>
      <c r="P77" s="255">
        <f ca="1">IF(M77&gt;0,N77*100/M77,0)</f>
        <v>33.963333333333331</v>
      </c>
      <c r="Q77" s="255">
        <f ca="1">IFERROR(__xludf.DUMMYFUNCTION("IMPORTRANGE(""https://docs.google.com/spreadsheets/d/1ItG2mGa2ceCfYo0BwxsXqNm01IGEUdYcSSLTEv9YCik/edit?usp=sharing"",""เบิกจ่ายกองทุน!AS47"")"),507100)</f>
        <v>507100</v>
      </c>
      <c r="R77" s="255">
        <f ca="1">IFERROR(__xludf.DUMMYFUNCTION("IMPORTRANGE(""https://docs.google.com/spreadsheets/d/1ItG2mGa2ceCfYo0BwxsXqNm01IGEUdYcSSLTEv9YCik/edit?usp=sharing"",""เบิกจ่ายกองทุน!AT47"")"),507100)</f>
        <v>507100</v>
      </c>
      <c r="S77" s="255">
        <f ca="1">IFERROR(__xludf.DUMMYFUNCTION("IMPORTRANGE(""https://docs.google.com/spreadsheets/d/1ItG2mGa2ceCfYo0BwxsXqNm01IGEUdYcSSLTEv9YCik/edit?usp=sharing"",""เบิกจ่ายกองทุน!AU47"")"),14500)</f>
        <v>14500</v>
      </c>
      <c r="T77" s="255">
        <f ca="1">IF(Q77&gt;0,S77*100/Q77,0)</f>
        <v>2.8593965687241174</v>
      </c>
      <c r="U77" s="255">
        <f ca="1">IF(R77&gt;0,S77*100/R77,0)</f>
        <v>2.8593965687241174</v>
      </c>
    </row>
    <row r="78" spans="1:21" ht="18.75">
      <c r="A78" s="155"/>
      <c r="B78" s="188"/>
      <c r="C78" s="188"/>
      <c r="D78" s="602" t="s">
        <v>23</v>
      </c>
      <c r="E78" s="50"/>
      <c r="F78" s="50"/>
      <c r="G78" s="52"/>
      <c r="H78" s="165" t="s">
        <v>14</v>
      </c>
      <c r="I78" s="163"/>
      <c r="J78" s="163"/>
      <c r="K78" s="164"/>
      <c r="L78" s="255">
        <f ca="1">L79+L80</f>
        <v>0</v>
      </c>
      <c r="M78" s="255">
        <f ca="1">M79+M80</f>
        <v>0</v>
      </c>
      <c r="N78" s="255">
        <f ca="1">N79+N80</f>
        <v>0</v>
      </c>
      <c r="O78" s="255">
        <f ca="1">IF(L78&gt;0,N78*100/L78,0)</f>
        <v>0</v>
      </c>
      <c r="P78" s="255">
        <f ca="1">IF(M78&gt;0,N78*100/M78,0)</f>
        <v>0</v>
      </c>
      <c r="Q78" s="255">
        <f>Q79+Q80</f>
        <v>0</v>
      </c>
      <c r="R78" s="255">
        <f>R79+R80</f>
        <v>0</v>
      </c>
      <c r="S78" s="255">
        <f>S79+S80</f>
        <v>0</v>
      </c>
      <c r="T78" s="255">
        <f>IF(Q78&gt;0,S78*100/Q78,0)</f>
        <v>0</v>
      </c>
      <c r="U78" s="255">
        <f>IF(R78&gt;0,S78*100/R78,0)</f>
        <v>0</v>
      </c>
    </row>
    <row r="79" spans="1:21" ht="18.75" hidden="1">
      <c r="A79" s="155"/>
      <c r="B79" s="188"/>
      <c r="C79" s="188"/>
      <c r="D79" s="188"/>
      <c r="E79" s="186" t="s">
        <v>20</v>
      </c>
      <c r="F79" s="50"/>
      <c r="G79" s="52"/>
      <c r="H79" s="189" t="s">
        <v>14</v>
      </c>
      <c r="I79" s="163"/>
      <c r="J79" s="163"/>
      <c r="K79" s="164"/>
      <c r="L79" s="102">
        <v>0</v>
      </c>
      <c r="M79" s="255">
        <v>0</v>
      </c>
      <c r="N79" s="255">
        <v>0</v>
      </c>
      <c r="O79" s="102">
        <f>IF(L79&gt;0,N79*100/L79,0)</f>
        <v>0</v>
      </c>
      <c r="P79" s="102">
        <f>IF(M79&gt;0,N79*100/M79,0)</f>
        <v>0</v>
      </c>
      <c r="Q79" s="102">
        <v>0</v>
      </c>
      <c r="R79" s="255">
        <v>0</v>
      </c>
      <c r="S79" s="255">
        <v>0</v>
      </c>
      <c r="T79" s="102">
        <f>IF(Q79&gt;0,S79*100/Q79,0)</f>
        <v>0</v>
      </c>
      <c r="U79" s="102">
        <f>IF(R79&gt;0,S79*100/R79,0)</f>
        <v>0</v>
      </c>
    </row>
    <row r="80" spans="1:21" ht="18.75" hidden="1">
      <c r="A80" s="155"/>
      <c r="B80" s="188"/>
      <c r="C80" s="188"/>
      <c r="D80" s="188"/>
      <c r="E80" s="58" t="s">
        <v>21</v>
      </c>
      <c r="F80" s="50"/>
      <c r="G80" s="52"/>
      <c r="H80" s="165" t="s">
        <v>14</v>
      </c>
      <c r="I80" s="163"/>
      <c r="J80" s="163"/>
      <c r="K80" s="164"/>
      <c r="L80" s="255">
        <f ca="1">IFERROR(__xludf.DUMMYFUNCTION("IMPORTRANGE(""https://docs.google.com/spreadsheets/d/1-uDff_7J0KD5mKrp0Vvzr7lt3OU09vwQwhkpOPPYv2Y/edit?usp=sharing"",""งบพรบ!AP47"")"),0)</f>
        <v>0</v>
      </c>
      <c r="M80" s="255">
        <f ca="1">IFERROR(__xludf.DUMMYFUNCTION("IMPORTRANGE(""https://docs.google.com/spreadsheets/d/1-uDff_7J0KD5mKrp0Vvzr7lt3OU09vwQwhkpOPPYv2Y/edit?usp=sharing"",""งบพรบ!AS47"")"),0)</f>
        <v>0</v>
      </c>
      <c r="N80" s="255">
        <f ca="1">IFERROR(__xludf.DUMMYFUNCTION("IMPORTRANGE(""https://docs.google.com/spreadsheets/d/1-uDff_7J0KD5mKrp0Vvzr7lt3OU09vwQwhkpOPPYv2Y/edit?usp=sharing"",""งบพรบ!AU47"")"),0)</f>
        <v>0</v>
      </c>
      <c r="O80" s="255">
        <f ca="1">IF(L80&gt;0,N80*100/L80,0)</f>
        <v>0</v>
      </c>
      <c r="P80" s="255">
        <f ca="1">IF(M80&gt;0,N80*100/M80,0)</f>
        <v>0</v>
      </c>
      <c r="Q80" s="255">
        <v>0</v>
      </c>
      <c r="R80" s="255">
        <v>0</v>
      </c>
      <c r="S80" s="255">
        <v>0</v>
      </c>
      <c r="T80" s="255">
        <f>IF(Q80&gt;0,S80*100/Q80,0)</f>
        <v>0</v>
      </c>
      <c r="U80" s="255">
        <f>IF(R80&gt;0,S80*100/R80,0)</f>
        <v>0</v>
      </c>
    </row>
    <row r="81" spans="1:21" ht="19.5">
      <c r="A81" s="166"/>
      <c r="B81" s="167"/>
      <c r="C81" s="191" t="s">
        <v>18</v>
      </c>
      <c r="D81" s="560" t="s">
        <v>38</v>
      </c>
      <c r="E81" s="169"/>
      <c r="F81" s="169"/>
      <c r="G81" s="170"/>
      <c r="H81" s="171"/>
      <c r="I81" s="163"/>
      <c r="J81" s="163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</row>
    <row r="82" spans="1:21" ht="19.5">
      <c r="A82" s="166"/>
      <c r="B82" s="167"/>
      <c r="C82" s="167"/>
      <c r="D82" s="266" t="s">
        <v>39</v>
      </c>
      <c r="E82" s="174"/>
      <c r="F82" s="174"/>
      <c r="G82" s="171"/>
      <c r="H82" s="175" t="s">
        <v>34</v>
      </c>
      <c r="I82" s="373">
        <f ca="1">I84+I86+I88</f>
        <v>1</v>
      </c>
      <c r="J82" s="373">
        <f>J84+J86+J88</f>
        <v>0</v>
      </c>
      <c r="K82" s="642">
        <f ca="1">IF(I82&gt;0,J82*100/I82,0)</f>
        <v>0</v>
      </c>
      <c r="L82" s="164"/>
      <c r="M82" s="164"/>
      <c r="N82" s="164"/>
      <c r="O82" s="164"/>
      <c r="P82" s="164"/>
      <c r="Q82" s="164"/>
      <c r="R82" s="164"/>
      <c r="S82" s="164"/>
      <c r="T82" s="164"/>
      <c r="U82" s="164"/>
    </row>
    <row r="83" spans="1:21" ht="19.5">
      <c r="A83" s="166"/>
      <c r="B83" s="167"/>
      <c r="C83" s="167"/>
      <c r="D83" s="167"/>
      <c r="E83" s="174"/>
      <c r="F83" s="174"/>
      <c r="G83" s="171"/>
      <c r="H83" s="175" t="s">
        <v>35</v>
      </c>
      <c r="I83" s="373">
        <f ca="1">I85+I87+I89</f>
        <v>50</v>
      </c>
      <c r="J83" s="373">
        <f>J85+J87+J89</f>
        <v>0</v>
      </c>
      <c r="K83" s="642">
        <f ca="1">IF(I83&gt;0,J83*100/I83,0)</f>
        <v>0</v>
      </c>
      <c r="L83" s="164"/>
      <c r="M83" s="164"/>
      <c r="N83" s="164"/>
      <c r="O83" s="164"/>
      <c r="P83" s="164"/>
      <c r="Q83" s="164"/>
      <c r="R83" s="164"/>
      <c r="S83" s="164"/>
      <c r="T83" s="164"/>
      <c r="U83" s="164"/>
    </row>
    <row r="84" spans="1:21" ht="18.75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641">
        <f ca="1">IFERROR(__xludf.DUMMYFUNCTION("IMPORTRANGE(""https://docs.google.com/spreadsheets/d/1eHaY18a8A9IcSdp1K8H6x8fbOy06t2VsZHhMHf-1x7Y/edit?usp=sharing"",""แผน!H47"")"),0)</f>
        <v>0</v>
      </c>
      <c r="J84" s="467">
        <v>0</v>
      </c>
      <c r="K84" s="565">
        <f ca="1">IF(I84&gt;0,J84*100/I84,0)</f>
        <v>0</v>
      </c>
      <c r="L84" s="164"/>
      <c r="M84" s="164"/>
      <c r="N84" s="164"/>
      <c r="O84" s="164"/>
      <c r="P84" s="164"/>
      <c r="Q84" s="164"/>
      <c r="R84" s="164"/>
      <c r="S84" s="164"/>
      <c r="T84" s="164"/>
      <c r="U84" s="164"/>
    </row>
    <row r="85" spans="1:21" ht="18.75">
      <c r="A85" s="166"/>
      <c r="B85" s="167"/>
      <c r="C85" s="167"/>
      <c r="D85" s="167"/>
      <c r="E85" s="174"/>
      <c r="F85" s="174"/>
      <c r="G85" s="171"/>
      <c r="H85" s="179" t="s">
        <v>35</v>
      </c>
      <c r="I85" s="641">
        <f ca="1">IFERROR(__xludf.DUMMYFUNCTION("IMPORTRANGE(""https://docs.google.com/spreadsheets/d/1eHaY18a8A9IcSdp1K8H6x8fbOy06t2VsZHhMHf-1x7Y/edit?usp=sharing"",""แผน!I47"")"),0)</f>
        <v>0</v>
      </c>
      <c r="J85" s="467">
        <v>0</v>
      </c>
      <c r="K85" s="565">
        <f ca="1">IF(I85&gt;0,J85*100/I85,0)</f>
        <v>0</v>
      </c>
      <c r="L85" s="164"/>
      <c r="M85" s="164"/>
      <c r="N85" s="164"/>
      <c r="O85" s="164"/>
      <c r="P85" s="164"/>
      <c r="Q85" s="164"/>
      <c r="R85" s="164"/>
      <c r="S85" s="164"/>
      <c r="T85" s="164"/>
      <c r="U85" s="164"/>
    </row>
    <row r="86" spans="1:21" ht="18.75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641">
        <f ca="1">IFERROR(__xludf.DUMMYFUNCTION("IMPORTRANGE(""https://docs.google.com/spreadsheets/d/1eHaY18a8A9IcSdp1K8H6x8fbOy06t2VsZHhMHf-1x7Y/edit?usp=sharing"",""แผน!F47"")"),1)</f>
        <v>1</v>
      </c>
      <c r="J86" s="467">
        <v>0</v>
      </c>
      <c r="K86" s="565">
        <f ca="1">IF(I86&gt;0,J86*100/I86,0)</f>
        <v>0</v>
      </c>
      <c r="L86" s="164"/>
      <c r="M86" s="164"/>
      <c r="N86" s="164"/>
      <c r="O86" s="164"/>
      <c r="P86" s="164"/>
      <c r="Q86" s="164"/>
      <c r="R86" s="164"/>
      <c r="S86" s="164"/>
      <c r="T86" s="164"/>
      <c r="U86" s="164"/>
    </row>
    <row r="87" spans="1:21" ht="18.75">
      <c r="A87" s="166"/>
      <c r="B87" s="167"/>
      <c r="C87" s="167"/>
      <c r="D87" s="167"/>
      <c r="E87" s="174"/>
      <c r="F87" s="174"/>
      <c r="G87" s="171"/>
      <c r="H87" s="179" t="s">
        <v>35</v>
      </c>
      <c r="I87" s="641">
        <f ca="1">IFERROR(__xludf.DUMMYFUNCTION("IMPORTRANGE(""https://docs.google.com/spreadsheets/d/1eHaY18a8A9IcSdp1K8H6x8fbOy06t2VsZHhMHf-1x7Y/edit?usp=sharing"",""แผน!G47"")"),50)</f>
        <v>50</v>
      </c>
      <c r="J87" s="467">
        <v>0</v>
      </c>
      <c r="K87" s="565">
        <f ca="1">IF(I87&gt;0,J87*100/I87,0)</f>
        <v>0</v>
      </c>
      <c r="L87" s="164"/>
      <c r="M87" s="164"/>
      <c r="N87" s="164"/>
      <c r="O87" s="164"/>
      <c r="P87" s="164"/>
      <c r="Q87" s="164"/>
      <c r="R87" s="164"/>
      <c r="S87" s="164"/>
      <c r="T87" s="164"/>
      <c r="U87" s="164"/>
    </row>
    <row r="88" spans="1:21" ht="18.75">
      <c r="A88" s="166"/>
      <c r="B88" s="167"/>
      <c r="C88" s="167"/>
      <c r="D88" s="167"/>
      <c r="E88" s="178" t="s">
        <v>42</v>
      </c>
      <c r="F88" s="174"/>
      <c r="G88" s="171"/>
      <c r="H88" s="165" t="s">
        <v>34</v>
      </c>
      <c r="I88" s="641">
        <f ca="1">IFERROR(__xludf.DUMMYFUNCTION("IMPORTRANGE(""https://docs.google.com/spreadsheets/d/1eHaY18a8A9IcSdp1K8H6x8fbOy06t2VsZHhMHf-1x7Y/edit?usp=sharing"",""แผน!D47"")"),0)</f>
        <v>0</v>
      </c>
      <c r="J88" s="467">
        <v>0</v>
      </c>
      <c r="K88" s="565">
        <f ca="1">IF(I88&gt;0,J88*100/I88,0)</f>
        <v>0</v>
      </c>
      <c r="L88" s="164"/>
      <c r="M88" s="164"/>
      <c r="N88" s="164"/>
      <c r="O88" s="164"/>
      <c r="P88" s="164"/>
      <c r="Q88" s="164"/>
      <c r="R88" s="164"/>
      <c r="S88" s="164"/>
      <c r="T88" s="164"/>
      <c r="U88" s="164"/>
    </row>
    <row r="89" spans="1:21" ht="18.75">
      <c r="A89" s="166"/>
      <c r="B89" s="167"/>
      <c r="C89" s="167"/>
      <c r="D89" s="167"/>
      <c r="E89" s="174"/>
      <c r="F89" s="174"/>
      <c r="G89" s="171"/>
      <c r="H89" s="165" t="s">
        <v>35</v>
      </c>
      <c r="I89" s="641">
        <f ca="1">IFERROR(__xludf.DUMMYFUNCTION("IMPORTRANGE(""https://docs.google.com/spreadsheets/d/1eHaY18a8A9IcSdp1K8H6x8fbOy06t2VsZHhMHf-1x7Y/edit?usp=sharing"",""แผน!E47"")"),0)</f>
        <v>0</v>
      </c>
      <c r="J89" s="467">
        <v>0</v>
      </c>
      <c r="K89" s="565">
        <f ca="1">IF(I89&gt;0,J89*100/I89,0)</f>
        <v>0</v>
      </c>
      <c r="L89" s="164"/>
      <c r="M89" s="164"/>
      <c r="N89" s="164"/>
      <c r="O89" s="164"/>
      <c r="P89" s="164"/>
      <c r="Q89" s="164"/>
      <c r="R89" s="164"/>
      <c r="S89" s="164"/>
      <c r="T89" s="164"/>
      <c r="U89" s="164"/>
    </row>
    <row r="90" spans="1:21" ht="18.75">
      <c r="A90" s="166"/>
      <c r="B90" s="167"/>
      <c r="C90" s="167"/>
      <c r="D90" s="266" t="s">
        <v>43</v>
      </c>
      <c r="E90" s="174"/>
      <c r="F90" s="174"/>
      <c r="G90" s="171"/>
      <c r="H90" s="162" t="s">
        <v>34</v>
      </c>
      <c r="I90" s="641">
        <f ca="1">IFERROR(__xludf.DUMMYFUNCTION("IMPORTRANGE(""https://docs.google.com/spreadsheets/d/1eHaY18a8A9IcSdp1K8H6x8fbOy06t2VsZHhMHf-1x7Y/edit?usp=sharing"",""แผน!J47"")"),1)</f>
        <v>1</v>
      </c>
      <c r="J90" s="467">
        <v>0</v>
      </c>
      <c r="K90" s="565">
        <f ca="1">IF(I90&gt;0,J90*100/I90,0)</f>
        <v>0</v>
      </c>
      <c r="L90" s="164"/>
      <c r="M90" s="164"/>
      <c r="N90" s="164"/>
      <c r="O90" s="164"/>
      <c r="P90" s="164"/>
      <c r="Q90" s="164"/>
      <c r="R90" s="164"/>
      <c r="S90" s="164"/>
      <c r="T90" s="164"/>
      <c r="U90" s="164"/>
    </row>
    <row r="91" spans="1:21" ht="19.5" hidden="1">
      <c r="A91" s="143" t="s">
        <v>44</v>
      </c>
      <c r="B91" s="144"/>
      <c r="C91" s="145"/>
      <c r="D91" s="145"/>
      <c r="E91" s="144"/>
      <c r="F91" s="144"/>
      <c r="G91" s="146"/>
      <c r="H91" s="184"/>
      <c r="I91" s="147"/>
      <c r="J91" s="147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</row>
    <row r="92" spans="1:21" ht="19.5" hidden="1">
      <c r="A92" s="150"/>
      <c r="B92" s="35" t="s">
        <v>45</v>
      </c>
      <c r="C92" s="34"/>
      <c r="D92" s="151"/>
      <c r="E92" s="34"/>
      <c r="F92" s="34"/>
      <c r="G92" s="37"/>
      <c r="H92" s="185" t="s">
        <v>46</v>
      </c>
      <c r="I92" s="721">
        <f ca="1">I108</f>
        <v>0</v>
      </c>
      <c r="J92" s="721">
        <f>J108</f>
        <v>0</v>
      </c>
      <c r="K92" s="720">
        <f ca="1">IF(I92&gt;0,J92*100/I92,0)</f>
        <v>0</v>
      </c>
      <c r="L92" s="40"/>
      <c r="M92" s="40"/>
      <c r="N92" s="40"/>
      <c r="O92" s="40"/>
      <c r="P92" s="40"/>
      <c r="Q92" s="40"/>
      <c r="R92" s="40"/>
      <c r="S92" s="40"/>
      <c r="T92" s="40"/>
      <c r="U92" s="40"/>
    </row>
    <row r="93" spans="1:21" ht="19.5" hidden="1">
      <c r="A93" s="150"/>
      <c r="B93" s="34"/>
      <c r="C93" s="34"/>
      <c r="D93" s="151"/>
      <c r="E93" s="34"/>
      <c r="F93" s="34"/>
      <c r="G93" s="37"/>
      <c r="H93" s="185" t="s">
        <v>35</v>
      </c>
      <c r="I93" s="721">
        <f ca="1">I109</f>
        <v>0</v>
      </c>
      <c r="J93" s="721">
        <f>J109</f>
        <v>0</v>
      </c>
      <c r="K93" s="720">
        <f ca="1">IF(I93&gt;0,J93*100/I93,0)</f>
        <v>0</v>
      </c>
      <c r="L93" s="40"/>
      <c r="M93" s="40"/>
      <c r="N93" s="40"/>
      <c r="O93" s="40"/>
      <c r="P93" s="40"/>
      <c r="Q93" s="40"/>
      <c r="R93" s="40"/>
      <c r="S93" s="40"/>
      <c r="T93" s="40"/>
      <c r="U93" s="40"/>
    </row>
    <row r="94" spans="1:21" ht="19.5" hidden="1">
      <c r="A94" s="155"/>
      <c r="B94" s="50"/>
      <c r="C94" s="156" t="s">
        <v>18</v>
      </c>
      <c r="D94" s="575" t="s">
        <v>19</v>
      </c>
      <c r="E94" s="50"/>
      <c r="F94" s="50"/>
      <c r="G94" s="52"/>
      <c r="H94" s="158" t="s">
        <v>14</v>
      </c>
      <c r="I94" s="54"/>
      <c r="J94" s="54"/>
      <c r="K94" s="55"/>
      <c r="L94" s="540">
        <f ca="1">L95+L96</f>
        <v>0</v>
      </c>
      <c r="M94" s="540">
        <f ca="1">M95+M96</f>
        <v>0</v>
      </c>
      <c r="N94" s="540">
        <f ca="1">N95+N96</f>
        <v>0</v>
      </c>
      <c r="O94" s="540">
        <f ca="1">IF(L94&gt;0,N94*100/L94,0)</f>
        <v>0</v>
      </c>
      <c r="P94" s="540">
        <f ca="1">IF(M94&gt;0,N94*100/M94,0)</f>
        <v>0</v>
      </c>
      <c r="Q94" s="540">
        <f ca="1">Q95+Q96</f>
        <v>0</v>
      </c>
      <c r="R94" s="540">
        <f ca="1">R95+R96</f>
        <v>0</v>
      </c>
      <c r="S94" s="540">
        <f ca="1">S95+S96</f>
        <v>0</v>
      </c>
      <c r="T94" s="540">
        <f ca="1">IF(Q94&gt;0,S94*100/Q94,0)</f>
        <v>0</v>
      </c>
      <c r="U94" s="540">
        <f ca="1">IF(R94&gt;0,S94*100/R94,0)</f>
        <v>0</v>
      </c>
    </row>
    <row r="95" spans="1:21" ht="18.75" hidden="1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102">
        <f>L98+L101</f>
        <v>0</v>
      </c>
      <c r="M95" s="102">
        <f>M98+M101</f>
        <v>0</v>
      </c>
      <c r="N95" s="102">
        <f>N98+N101</f>
        <v>0</v>
      </c>
      <c r="O95" s="102">
        <f>IF(L95&gt;0,N95*100/L95,0)</f>
        <v>0</v>
      </c>
      <c r="P95" s="102">
        <f>IF(M95&gt;0,N95*100/M95,0)</f>
        <v>0</v>
      </c>
      <c r="Q95" s="102">
        <f>Q98+Q101</f>
        <v>0</v>
      </c>
      <c r="R95" s="102">
        <f>R98+R101</f>
        <v>0</v>
      </c>
      <c r="S95" s="102">
        <f>S98+S101</f>
        <v>0</v>
      </c>
      <c r="T95" s="102">
        <f>IF(Q95&gt;0,S95*100/Q95,0)</f>
        <v>0</v>
      </c>
      <c r="U95" s="102">
        <f>IF(R95&gt;0,S95*100/R95,0)</f>
        <v>0</v>
      </c>
    </row>
    <row r="96" spans="1:21" ht="18.75" hidden="1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255">
        <f ca="1">L99+L102</f>
        <v>0</v>
      </c>
      <c r="M96" s="255">
        <f ca="1">M99+M102</f>
        <v>0</v>
      </c>
      <c r="N96" s="255">
        <f ca="1">N99+N102</f>
        <v>0</v>
      </c>
      <c r="O96" s="255">
        <f ca="1">IF(L96&gt;0,N96*100/L96,0)</f>
        <v>0</v>
      </c>
      <c r="P96" s="255">
        <f ca="1">IF(M96&gt;0,N96*100/M96,0)</f>
        <v>0</v>
      </c>
      <c r="Q96" s="255">
        <f ca="1">Q99+Q102</f>
        <v>0</v>
      </c>
      <c r="R96" s="255">
        <f ca="1">R99+R102</f>
        <v>0</v>
      </c>
      <c r="S96" s="255">
        <f ca="1">S99+S102</f>
        <v>0</v>
      </c>
      <c r="T96" s="255">
        <f ca="1">IF(Q96&gt;0,S96*100/Q96,0)</f>
        <v>0</v>
      </c>
      <c r="U96" s="255">
        <f ca="1">IF(R96&gt;0,S96*100/R96,0)</f>
        <v>0</v>
      </c>
    </row>
    <row r="97" spans="1:21" ht="18.75" hidden="1">
      <c r="A97" s="155"/>
      <c r="B97" s="188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255">
        <f ca="1">L98+L99</f>
        <v>0</v>
      </c>
      <c r="M97" s="255">
        <f ca="1">M98+M99</f>
        <v>0</v>
      </c>
      <c r="N97" s="255">
        <f ca="1">N98+N99</f>
        <v>0</v>
      </c>
      <c r="O97" s="255">
        <f ca="1">IF(L97&gt;0,N97*100/L97,0)</f>
        <v>0</v>
      </c>
      <c r="P97" s="255">
        <f ca="1">IF(M97&gt;0,N97*100/M97,0)</f>
        <v>0</v>
      </c>
      <c r="Q97" s="255">
        <f ca="1">Q98+Q99</f>
        <v>0</v>
      </c>
      <c r="R97" s="255">
        <f ca="1">R98+R99</f>
        <v>0</v>
      </c>
      <c r="S97" s="255">
        <f ca="1">S98+S99</f>
        <v>0</v>
      </c>
      <c r="T97" s="255">
        <f ca="1">IF(Q97&gt;0,S97*100/Q97,0)</f>
        <v>0</v>
      </c>
      <c r="U97" s="255">
        <f ca="1">IF(R97&gt;0,S97*100/R97,0)</f>
        <v>0</v>
      </c>
    </row>
    <row r="98" spans="1:21" ht="18.75" hidden="1">
      <c r="A98" s="155"/>
      <c r="B98" s="188"/>
      <c r="C98" s="188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102">
        <v>0</v>
      </c>
      <c r="M98" s="102">
        <v>0</v>
      </c>
      <c r="N98" s="102">
        <v>0</v>
      </c>
      <c r="O98" s="102">
        <f>IF(L98&gt;0,N98*100/L98,0)</f>
        <v>0</v>
      </c>
      <c r="P98" s="102">
        <f>IF(M98&gt;0,N98*100/M98,0)</f>
        <v>0</v>
      </c>
      <c r="Q98" s="102">
        <v>0</v>
      </c>
      <c r="R98" s="102">
        <v>0</v>
      </c>
      <c r="S98" s="102">
        <v>0</v>
      </c>
      <c r="T98" s="102">
        <f>IF(Q98&gt;0,S98*100/Q98,0)</f>
        <v>0</v>
      </c>
      <c r="U98" s="102">
        <f>IF(R98&gt;0,S98*100/R98,0)</f>
        <v>0</v>
      </c>
    </row>
    <row r="99" spans="1:21" ht="18.75" hidden="1">
      <c r="A99" s="155"/>
      <c r="B99" s="188"/>
      <c r="C99" s="188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255">
        <f ca="1">IFERROR(__xludf.DUMMYFUNCTION("IMPORTRANGE(""https://docs.google.com/spreadsheets/d/1-uDff_7J0KD5mKrp0Vvzr7lt3OU09vwQwhkpOPPYv2Y/edit?usp=sharing"",""งบพรบ!AW47"")"),0)</f>
        <v>0</v>
      </c>
      <c r="M99" s="255">
        <f ca="1">IFERROR(__xludf.DUMMYFUNCTION("IMPORTRANGE(""https://docs.google.com/spreadsheets/d/1-uDff_7J0KD5mKrp0Vvzr7lt3OU09vwQwhkpOPPYv2Y/edit?usp=sharing"",""งบพรบ!BB47"")"),0)</f>
        <v>0</v>
      </c>
      <c r="N99" s="255">
        <f ca="1">IFERROR(__xludf.DUMMYFUNCTION("IMPORTRANGE(""https://docs.google.com/spreadsheets/d/1-uDff_7J0KD5mKrp0Vvzr7lt3OU09vwQwhkpOPPYv2Y/edit?usp=sharing"",""งบพรบ!BD47"")"),0)</f>
        <v>0</v>
      </c>
      <c r="O99" s="255">
        <f ca="1">IF(L99&gt;0,N99*100/L99,0)</f>
        <v>0</v>
      </c>
      <c r="P99" s="255">
        <f ca="1">IF(M99&gt;0,N99*100/M99,0)</f>
        <v>0</v>
      </c>
      <c r="Q99" s="255">
        <f ca="1">IFERROR(__xludf.DUMMYFUNCTION("IMPORTRANGE(""https://docs.google.com/spreadsheets/d/1ItG2mGa2ceCfYo0BwxsXqNm01IGEUdYcSSLTEv9YCik/edit?usp=sharing"",""เบิกจ่ายกองทุน!AD47"")"),0)</f>
        <v>0</v>
      </c>
      <c r="R99" s="255">
        <f ca="1">IFERROR(__xludf.DUMMYFUNCTION("IMPORTRANGE(""https://docs.google.com/spreadsheets/d/1ItG2mGa2ceCfYo0BwxsXqNm01IGEUdYcSSLTEv9YCik/edit?usp=sharing"",""เบิกจ่ายกองทุน!AE47"")"),0)</f>
        <v>0</v>
      </c>
      <c r="S99" s="255">
        <f ca="1">IFERROR(__xludf.DUMMYFUNCTION("IMPORTRANGE(""https://docs.google.com/spreadsheets/d/1ItG2mGa2ceCfYo0BwxsXqNm01IGEUdYcSSLTEv9YCik/edit?usp=sharing"",""เบิกจ่ายกองทุน!AF47"")"),0)</f>
        <v>0</v>
      </c>
      <c r="T99" s="255">
        <f ca="1">IF(Q99&gt;0,S99*100/Q99,0)</f>
        <v>0</v>
      </c>
      <c r="U99" s="255">
        <f ca="1">IF(R99&gt;0,S99*100/R99,0)</f>
        <v>0</v>
      </c>
    </row>
    <row r="100" spans="1:21" ht="18.75" hidden="1">
      <c r="A100" s="155"/>
      <c r="B100" s="188"/>
      <c r="C100" s="188"/>
      <c r="D100" s="602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255">
        <f ca="1">L101+L102</f>
        <v>0</v>
      </c>
      <c r="M100" s="255">
        <f ca="1">M101+M102</f>
        <v>0</v>
      </c>
      <c r="N100" s="255">
        <f ca="1">N101+N102</f>
        <v>0</v>
      </c>
      <c r="O100" s="255">
        <f ca="1">IF(L100&gt;0,N100*100/L100,0)</f>
        <v>0</v>
      </c>
      <c r="P100" s="255">
        <f ca="1">IF(M100&gt;0,N100*100/M100,0)</f>
        <v>0</v>
      </c>
      <c r="Q100" s="255">
        <f>Q101+Q102</f>
        <v>0</v>
      </c>
      <c r="R100" s="255">
        <f>R101+R102</f>
        <v>0</v>
      </c>
      <c r="S100" s="255">
        <f>S101+S102</f>
        <v>0</v>
      </c>
      <c r="T100" s="255">
        <f>IF(Q100&gt;0,S100*100/Q100,0)</f>
        <v>0</v>
      </c>
      <c r="U100" s="255">
        <f>IF(R100&gt;0,S100*100/R100,0)</f>
        <v>0</v>
      </c>
    </row>
    <row r="101" spans="1:21" ht="18.75" hidden="1">
      <c r="A101" s="155"/>
      <c r="B101" s="188"/>
      <c r="C101" s="188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102">
        <v>0</v>
      </c>
      <c r="M101" s="102">
        <v>0</v>
      </c>
      <c r="N101" s="102">
        <v>0</v>
      </c>
      <c r="O101" s="102">
        <f>IF(L101&gt;0,N101*100/L101,0)</f>
        <v>0</v>
      </c>
      <c r="P101" s="102">
        <f>IF(M101&gt;0,N101*100/M101,0)</f>
        <v>0</v>
      </c>
      <c r="Q101" s="102">
        <v>0</v>
      </c>
      <c r="R101" s="102">
        <v>0</v>
      </c>
      <c r="S101" s="102">
        <v>0</v>
      </c>
      <c r="T101" s="102">
        <f>IF(Q101&gt;0,S101*100/Q101,0)</f>
        <v>0</v>
      </c>
      <c r="U101" s="102">
        <f>IF(R101&gt;0,S101*100/R101,0)</f>
        <v>0</v>
      </c>
    </row>
    <row r="102" spans="1:21" ht="18.75" hidden="1">
      <c r="A102" s="155"/>
      <c r="B102" s="188"/>
      <c r="C102" s="188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255">
        <f ca="1">IFERROR(__xludf.DUMMYFUNCTION("IMPORTRANGE(""https://docs.google.com/spreadsheets/d/1-uDff_7J0KD5mKrp0Vvzr7lt3OU09vwQwhkpOPPYv2Y/edit?usp=sharing"",""งบพรบ!AZ47"")"),0)</f>
        <v>0</v>
      </c>
      <c r="M102" s="255">
        <f ca="1">IFERROR(__xludf.DUMMYFUNCTION("IMPORTRANGE(""https://docs.google.com/spreadsheets/d/1-uDff_7J0KD5mKrp0Vvzr7lt3OU09vwQwhkpOPPYv2Y/edit?usp=sharing"",""งบพรบ!BC47"")"),0)</f>
        <v>0</v>
      </c>
      <c r="N102" s="255">
        <f ca="1">IFERROR(__xludf.DUMMYFUNCTION("IMPORTRANGE(""https://docs.google.com/spreadsheets/d/1-uDff_7J0KD5mKrp0Vvzr7lt3OU09vwQwhkpOPPYv2Y/edit?usp=sharing"",""งบพรบ!BE47"")"),0)</f>
        <v>0</v>
      </c>
      <c r="O102" s="255">
        <f ca="1">IF(L102&gt;0,N102*100/L102,0)</f>
        <v>0</v>
      </c>
      <c r="P102" s="255">
        <f ca="1">IF(M102&gt;0,N102*100/M102,0)</f>
        <v>0</v>
      </c>
      <c r="Q102" s="255">
        <v>0</v>
      </c>
      <c r="R102" s="255">
        <v>0</v>
      </c>
      <c r="S102" s="255">
        <v>0</v>
      </c>
      <c r="T102" s="255">
        <f>IF(Q102&gt;0,S102*100/Q102,0)</f>
        <v>0</v>
      </c>
      <c r="U102" s="255">
        <f>IF(R102&gt;0,S102*100/R102,0)</f>
        <v>0</v>
      </c>
    </row>
    <row r="103" spans="1:21" ht="19.5" hidden="1">
      <c r="A103" s="166"/>
      <c r="B103" s="167"/>
      <c r="C103" s="191" t="s">
        <v>18</v>
      </c>
      <c r="D103" s="566" t="s">
        <v>38</v>
      </c>
      <c r="E103" s="169"/>
      <c r="F103" s="169"/>
      <c r="G103" s="170"/>
      <c r="H103" s="171"/>
      <c r="I103" s="163"/>
      <c r="J103" s="54"/>
      <c r="K103" s="55"/>
      <c r="L103" s="55"/>
      <c r="M103" s="55"/>
      <c r="N103" s="55"/>
      <c r="O103" s="164"/>
      <c r="P103" s="164"/>
      <c r="Q103" s="55"/>
      <c r="R103" s="55"/>
      <c r="S103" s="55"/>
      <c r="T103" s="164"/>
      <c r="U103" s="164"/>
    </row>
    <row r="104" spans="1:21" ht="12.75" hidden="1">
      <c r="A104" s="192"/>
      <c r="B104" s="193"/>
      <c r="C104" s="193"/>
      <c r="D104" s="193"/>
      <c r="E104" s="22"/>
      <c r="F104" s="22"/>
      <c r="G104" s="23"/>
      <c r="H104" s="23"/>
      <c r="I104" s="24"/>
      <c r="J104" s="24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2.75" hidden="1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2.75" hidden="1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9.5" hidden="1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55"/>
      <c r="M107" s="55"/>
      <c r="N107" s="55"/>
      <c r="O107" s="164"/>
      <c r="P107" s="164"/>
      <c r="Q107" s="55"/>
      <c r="R107" s="55"/>
      <c r="S107" s="55"/>
      <c r="T107" s="164"/>
      <c r="U107" s="164"/>
    </row>
    <row r="108" spans="1:21" ht="18.75" hidden="1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212">
        <f ca="1">IFERROR(__xludf.DUMMYFUNCTION("IMPORTRANGE(""https://docs.google.com/spreadsheets/d/1eHaY18a8A9IcSdp1K8H6x8fbOy06t2VsZHhMHf-1x7Y/edit?usp=sharing"",""แผน!N47"")"),0)</f>
        <v>0</v>
      </c>
      <c r="J108" s="467">
        <v>0</v>
      </c>
      <c r="K108" s="255">
        <f ca="1">IF(I108&gt;0,J108*100/I108,0)</f>
        <v>0</v>
      </c>
      <c r="L108" s="55"/>
      <c r="M108" s="55"/>
      <c r="N108" s="55"/>
      <c r="O108" s="164"/>
      <c r="P108" s="164"/>
      <c r="Q108" s="55"/>
      <c r="R108" s="55"/>
      <c r="S108" s="55"/>
      <c r="T108" s="164"/>
      <c r="U108" s="164"/>
    </row>
    <row r="109" spans="1:21" ht="18.75" hidden="1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212">
        <f ca="1">IFERROR(__xludf.DUMMYFUNCTION("IMPORTRANGE(""https://docs.google.com/spreadsheets/d/1eHaY18a8A9IcSdp1K8H6x8fbOy06t2VsZHhMHf-1x7Y/edit?usp=sharing"",""แผน!O47"")"),0)</f>
        <v>0</v>
      </c>
      <c r="J109" s="467">
        <v>0</v>
      </c>
      <c r="K109" s="255">
        <f ca="1">IF(I109&gt;0,J109*100/I109,0)</f>
        <v>0</v>
      </c>
      <c r="L109" s="55"/>
      <c r="M109" s="55"/>
      <c r="N109" s="55"/>
      <c r="O109" s="164"/>
      <c r="P109" s="164"/>
      <c r="Q109" s="55"/>
      <c r="R109" s="55"/>
      <c r="S109" s="55"/>
      <c r="T109" s="164"/>
      <c r="U109" s="164"/>
    </row>
    <row r="110" spans="1:21" ht="12.75" hidden="1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2.75" hidden="1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2.75" hidden="1">
      <c r="A112" s="192"/>
      <c r="B112" s="193"/>
      <c r="C112" s="193"/>
      <c r="D112" s="193"/>
      <c r="E112" s="22"/>
      <c r="F112" s="22"/>
      <c r="G112" s="23"/>
      <c r="H112" s="23"/>
      <c r="I112" s="24"/>
      <c r="J112" s="24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2.75" hidden="1">
      <c r="A113" s="192"/>
      <c r="B113" s="193"/>
      <c r="C113" s="193"/>
      <c r="D113" s="193"/>
      <c r="E113" s="22"/>
      <c r="F113" s="22"/>
      <c r="G113" s="23"/>
      <c r="H113" s="209"/>
      <c r="I113" s="24">
        <v>0</v>
      </c>
      <c r="J113" s="24">
        <v>0</v>
      </c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</row>
    <row r="114" spans="1:21" ht="18.75" hidden="1">
      <c r="A114" s="166"/>
      <c r="B114" s="167"/>
      <c r="C114" s="167"/>
      <c r="D114" s="460" t="s">
        <v>50</v>
      </c>
      <c r="E114" s="174"/>
      <c r="F114" s="174"/>
      <c r="G114" s="171"/>
      <c r="H114" s="165" t="s">
        <v>35</v>
      </c>
      <c r="I114" s="641">
        <f ca="1">IFERROR(__xludf.DUMMYFUNCTION("IMPORTRANGE(""https://docs.google.com/spreadsheets/d/1eHaY18a8A9IcSdp1K8H6x8fbOy06t2VsZHhMHf-1x7Y/edit?usp=sharing"",""แผน!R47"")"),0)</f>
        <v>0</v>
      </c>
      <c r="J114" s="467">
        <v>0</v>
      </c>
      <c r="K114" s="255">
        <f ca="1">IF(I114&gt;0,J114*100/I114,0)</f>
        <v>0</v>
      </c>
      <c r="L114" s="55"/>
      <c r="M114" s="55"/>
      <c r="N114" s="55"/>
      <c r="O114" s="164"/>
      <c r="P114" s="164"/>
      <c r="Q114" s="55"/>
      <c r="R114" s="55"/>
      <c r="S114" s="55"/>
      <c r="T114" s="164"/>
      <c r="U114" s="164"/>
    </row>
    <row r="115" spans="1:21" ht="19.5">
      <c r="A115" s="143" t="s">
        <v>51</v>
      </c>
      <c r="B115" s="145"/>
      <c r="C115" s="196"/>
      <c r="D115" s="144"/>
      <c r="E115" s="144"/>
      <c r="F115" s="144"/>
      <c r="G115" s="144"/>
      <c r="H115" s="145"/>
      <c r="I115" s="197"/>
      <c r="J115" s="197"/>
      <c r="K115" s="19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721">
        <f ca="1">I127</f>
        <v>30</v>
      </c>
      <c r="J116" s="721">
        <f>J127</f>
        <v>0</v>
      </c>
      <c r="K116" s="720">
        <f ca="1">IF(I116&gt;0,J116*100/I116,0)</f>
        <v>0</v>
      </c>
      <c r="L116" s="40"/>
      <c r="M116" s="40"/>
      <c r="N116" s="40"/>
      <c r="O116" s="40"/>
      <c r="P116" s="40"/>
      <c r="Q116" s="40"/>
      <c r="R116" s="40"/>
      <c r="S116" s="40"/>
      <c r="T116" s="40"/>
      <c r="U116" s="40"/>
    </row>
    <row r="117" spans="1:21" ht="19.5">
      <c r="A117" s="155"/>
      <c r="B117" s="188"/>
      <c r="C117" s="191" t="s">
        <v>18</v>
      </c>
      <c r="D117" s="608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540">
        <f ca="1">L118+L119</f>
        <v>0</v>
      </c>
      <c r="M117" s="540">
        <f ca="1">M118+M119</f>
        <v>0</v>
      </c>
      <c r="N117" s="540">
        <f ca="1">N118+N119</f>
        <v>0</v>
      </c>
      <c r="O117" s="540">
        <f ca="1">IF(L117&gt;0,N117*100/L117,0)</f>
        <v>0</v>
      </c>
      <c r="P117" s="540">
        <f ca="1">IF(M117&gt;0,N117*100/M117,0)</f>
        <v>0</v>
      </c>
      <c r="Q117" s="540">
        <f ca="1">Q118+Q119</f>
        <v>244860</v>
      </c>
      <c r="R117" s="540">
        <f ca="1">R118+R119</f>
        <v>244860</v>
      </c>
      <c r="S117" s="540">
        <f ca="1">S118+S119</f>
        <v>64392</v>
      </c>
      <c r="T117" s="540">
        <f ca="1">IF(Q117&gt;0,S117*100/Q117,0)</f>
        <v>26.297476108796864</v>
      </c>
      <c r="U117" s="540">
        <f ca="1">IF(R117&gt;0,S117*100/R117,0)</f>
        <v>26.297476108796864</v>
      </c>
    </row>
    <row r="118" spans="1:21" ht="18.75" hidden="1">
      <c r="A118" s="155"/>
      <c r="B118" s="188"/>
      <c r="C118" s="202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102">
        <f>L121+L124</f>
        <v>0</v>
      </c>
      <c r="M118" s="102">
        <f>M121+M124</f>
        <v>0</v>
      </c>
      <c r="N118" s="102">
        <f>N121+N124</f>
        <v>0</v>
      </c>
      <c r="O118" s="102">
        <f>IF(L118&gt;0,N118*100/L118,0)</f>
        <v>0</v>
      </c>
      <c r="P118" s="102">
        <f>IF(M118&gt;0,N118*100/M118,0)</f>
        <v>0</v>
      </c>
      <c r="Q118" s="102">
        <f>Q121+Q124</f>
        <v>0</v>
      </c>
      <c r="R118" s="102">
        <f>R121+R124</f>
        <v>0</v>
      </c>
      <c r="S118" s="102">
        <f>S121+S124</f>
        <v>0</v>
      </c>
      <c r="T118" s="102">
        <f>IF(Q118&gt;0,S118*100/Q118,0)</f>
        <v>0</v>
      </c>
      <c r="U118" s="102">
        <f>IF(R118&gt;0,S118*100/R118,0)</f>
        <v>0</v>
      </c>
    </row>
    <row r="119" spans="1:21" ht="18.75" hidden="1">
      <c r="A119" s="155"/>
      <c r="B119" s="188"/>
      <c r="C119" s="202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255">
        <f ca="1">L122+L125</f>
        <v>0</v>
      </c>
      <c r="M119" s="255">
        <f ca="1">M122+M125</f>
        <v>0</v>
      </c>
      <c r="N119" s="255">
        <f ca="1">N122+N125</f>
        <v>0</v>
      </c>
      <c r="O119" s="255">
        <f ca="1">IF(L119&gt;0,N119*100/L119,0)</f>
        <v>0</v>
      </c>
      <c r="P119" s="255">
        <f ca="1">IF(M119&gt;0,N119*100/M119,0)</f>
        <v>0</v>
      </c>
      <c r="Q119" s="255">
        <f ca="1">Q122+Q125</f>
        <v>244860</v>
      </c>
      <c r="R119" s="255">
        <f ca="1">R122+R125</f>
        <v>244860</v>
      </c>
      <c r="S119" s="255">
        <f ca="1">S122+S125</f>
        <v>64392</v>
      </c>
      <c r="T119" s="255">
        <f ca="1">IF(Q119&gt;0,S119*100/Q119,0)</f>
        <v>26.297476108796864</v>
      </c>
      <c r="U119" s="255">
        <f ca="1">IF(R119&gt;0,S119*100/R119,0)</f>
        <v>26.297476108796864</v>
      </c>
    </row>
    <row r="120" spans="1:21" ht="18.75">
      <c r="A120" s="155"/>
      <c r="B120" s="188"/>
      <c r="C120" s="202"/>
      <c r="D120" s="602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255">
        <f ca="1">L121+L122</f>
        <v>0</v>
      </c>
      <c r="M120" s="255">
        <f ca="1">M121+M122</f>
        <v>0</v>
      </c>
      <c r="N120" s="255">
        <f ca="1">N121+N122</f>
        <v>0</v>
      </c>
      <c r="O120" s="255">
        <f ca="1">IF(L120&gt;0,N120*100/L120,0)</f>
        <v>0</v>
      </c>
      <c r="P120" s="255">
        <f ca="1">IF(M120&gt;0,N120*100/M120,0)</f>
        <v>0</v>
      </c>
      <c r="Q120" s="255">
        <f ca="1">Q121+Q122</f>
        <v>244860</v>
      </c>
      <c r="R120" s="255">
        <f ca="1">R121+R122</f>
        <v>244860</v>
      </c>
      <c r="S120" s="255">
        <f ca="1">S121+S122</f>
        <v>64392</v>
      </c>
      <c r="T120" s="255">
        <f ca="1">IF(Q120&gt;0,S120*100/Q120,0)</f>
        <v>26.297476108796864</v>
      </c>
      <c r="U120" s="255">
        <f ca="1">IF(R120&gt;0,S120*100/R120,0)</f>
        <v>26.297476108796864</v>
      </c>
    </row>
    <row r="121" spans="1:21" ht="18.75" hidden="1">
      <c r="A121" s="155"/>
      <c r="B121" s="50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102">
        <v>0</v>
      </c>
      <c r="M121" s="102">
        <v>0</v>
      </c>
      <c r="N121" s="102">
        <v>0</v>
      </c>
      <c r="O121" s="102">
        <f>IF(L121&gt;0,N121*100/L121,0)</f>
        <v>0</v>
      </c>
      <c r="P121" s="102">
        <f>IF(M121&gt;0,N121*100/M121,0)</f>
        <v>0</v>
      </c>
      <c r="Q121" s="102">
        <v>0</v>
      </c>
      <c r="R121" s="102">
        <v>0</v>
      </c>
      <c r="S121" s="102">
        <v>0</v>
      </c>
      <c r="T121" s="102">
        <f>IF(Q121&gt;0,S121*100/Q121,0)</f>
        <v>0</v>
      </c>
      <c r="U121" s="102">
        <f>IF(R121&gt;0,S121*100/R121,0)</f>
        <v>0</v>
      </c>
    </row>
    <row r="122" spans="1:21" ht="18.75" hidden="1">
      <c r="A122" s="155"/>
      <c r="B122" s="50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255">
        <f ca="1">IFERROR(__xludf.DUMMYFUNCTION("IMPORTRANGE(""https://docs.google.com/spreadsheets/d/1-uDff_7J0KD5mKrp0Vvzr7lt3OU09vwQwhkpOPPYv2Y/edit?usp=sharing"",""งบพรบ!BG47"")"),0)</f>
        <v>0</v>
      </c>
      <c r="M122" s="255">
        <f ca="1">IFERROR(__xludf.DUMMYFUNCTION("IMPORTRANGE(""https://docs.google.com/spreadsheets/d/1-uDff_7J0KD5mKrp0Vvzr7lt3OU09vwQwhkpOPPYv2Y/edit?usp=sharing"",""งบพรบ!BL47"")"),0)</f>
        <v>0</v>
      </c>
      <c r="N122" s="255">
        <f ca="1">IFERROR(__xludf.DUMMYFUNCTION("IMPORTRANGE(""https://docs.google.com/spreadsheets/d/1-uDff_7J0KD5mKrp0Vvzr7lt3OU09vwQwhkpOPPYv2Y/edit?usp=sharing"",""งบพรบ!BN47"")"),0)</f>
        <v>0</v>
      </c>
      <c r="O122" s="255">
        <f ca="1">IF(L122&gt;0,N122*100/L122,0)</f>
        <v>0</v>
      </c>
      <c r="P122" s="255">
        <f ca="1">IF(M122&gt;0,N122*100/M122,0)</f>
        <v>0</v>
      </c>
      <c r="Q122" s="255">
        <f ca="1">IFERROR(__xludf.DUMMYFUNCTION("IMPORTRANGE(""https://docs.google.com/spreadsheets/d/1ItG2mGa2ceCfYo0BwxsXqNm01IGEUdYcSSLTEv9YCik/edit?usp=sharing"",""เบิกจ่ายกองทุน!R47"")"),244860)</f>
        <v>244860</v>
      </c>
      <c r="R122" s="255">
        <f ca="1">IFERROR(__xludf.DUMMYFUNCTION("IMPORTRANGE(""https://docs.google.com/spreadsheets/d/1ItG2mGa2ceCfYo0BwxsXqNm01IGEUdYcSSLTEv9YCik/edit?usp=sharing"",""เบิกจ่ายกองทุน!S47"")"),244860)</f>
        <v>244860</v>
      </c>
      <c r="S122" s="255">
        <f ca="1">IFERROR(__xludf.DUMMYFUNCTION("IMPORTRANGE(""https://docs.google.com/spreadsheets/d/1ItG2mGa2ceCfYo0BwxsXqNm01IGEUdYcSSLTEv9YCik/edit?usp=sharing"",""เบิกจ่ายกองทุน!T47"")"),64392)</f>
        <v>64392</v>
      </c>
      <c r="T122" s="255">
        <f ca="1">IF(Q122&gt;0,S122*100/Q122,0)</f>
        <v>26.297476108796864</v>
      </c>
      <c r="U122" s="255">
        <f ca="1">IF(R122&gt;0,S122*100/R122,0)</f>
        <v>26.297476108796864</v>
      </c>
    </row>
    <row r="123" spans="1:21" ht="18.75">
      <c r="A123" s="155"/>
      <c r="B123" s="50"/>
      <c r="C123" s="202"/>
      <c r="D123" s="602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255">
        <f ca="1">L124+L125</f>
        <v>0</v>
      </c>
      <c r="M123" s="255">
        <f ca="1">M124+M125</f>
        <v>0</v>
      </c>
      <c r="N123" s="255">
        <f ca="1">N124+N125</f>
        <v>0</v>
      </c>
      <c r="O123" s="255">
        <f ca="1">IF(L123&gt;0,N123*100/L123,0)</f>
        <v>0</v>
      </c>
      <c r="P123" s="255">
        <f ca="1">IF(M123&gt;0,N123*100/M123,0)</f>
        <v>0</v>
      </c>
      <c r="Q123" s="255">
        <f>Q124+Q125</f>
        <v>0</v>
      </c>
      <c r="R123" s="255">
        <f>R124+R125</f>
        <v>0</v>
      </c>
      <c r="S123" s="255">
        <f>S124+S125</f>
        <v>0</v>
      </c>
      <c r="T123" s="255">
        <f>IF(Q123&gt;0,S123*100/Q123,0)</f>
        <v>0</v>
      </c>
      <c r="U123" s="255">
        <f>IF(R123&gt;0,S123*100/R123,0)</f>
        <v>0</v>
      </c>
    </row>
    <row r="124" spans="1:21" ht="18.75" hidden="1">
      <c r="A124" s="155"/>
      <c r="B124" s="188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102">
        <v>0</v>
      </c>
      <c r="M124" s="102">
        <v>0</v>
      </c>
      <c r="N124" s="102">
        <v>0</v>
      </c>
      <c r="O124" s="102">
        <f>IF(L124&gt;0,N124*100/L124,0)</f>
        <v>0</v>
      </c>
      <c r="P124" s="102">
        <f>IF(M124&gt;0,N124*100/M124,0)</f>
        <v>0</v>
      </c>
      <c r="Q124" s="102">
        <v>0</v>
      </c>
      <c r="R124" s="102">
        <v>0</v>
      </c>
      <c r="S124" s="102">
        <v>0</v>
      </c>
      <c r="T124" s="102">
        <f>IF(Q124&gt;0,S124*100/Q124,0)</f>
        <v>0</v>
      </c>
      <c r="U124" s="102">
        <f>IF(R124&gt;0,S124*100/R124,0)</f>
        <v>0</v>
      </c>
    </row>
    <row r="125" spans="1:21" ht="18.75" hidden="1">
      <c r="A125" s="155"/>
      <c r="B125" s="188"/>
      <c r="C125" s="188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255">
        <f ca="1">IFERROR(__xludf.DUMMYFUNCTION("IMPORTRANGE(""https://docs.google.com/spreadsheets/d/1-uDff_7J0KD5mKrp0Vvzr7lt3OU09vwQwhkpOPPYv2Y/edit?usp=sharing"",""งบพรบ!BJ47"")"),0)</f>
        <v>0</v>
      </c>
      <c r="M125" s="255">
        <f ca="1">IFERROR(__xludf.DUMMYFUNCTION("IMPORTRANGE(""https://docs.google.com/spreadsheets/d/1-uDff_7J0KD5mKrp0Vvzr7lt3OU09vwQwhkpOPPYv2Y/edit?usp=sharing"",""งบพรบ!BM47"")"),0)</f>
        <v>0</v>
      </c>
      <c r="N125" s="255">
        <f ca="1">IFERROR(__xludf.DUMMYFUNCTION("IMPORTRANGE(""https://docs.google.com/spreadsheets/d/1-uDff_7J0KD5mKrp0Vvzr7lt3OU09vwQwhkpOPPYv2Y/edit?usp=sharing"",""งบพรบ!BO47"")"),0)</f>
        <v>0</v>
      </c>
      <c r="O125" s="255">
        <f ca="1">IF(L125&gt;0,N125*100/L125,0)</f>
        <v>0</v>
      </c>
      <c r="P125" s="255">
        <f ca="1">IF(M125&gt;0,N125*100/M125,0)</f>
        <v>0</v>
      </c>
      <c r="Q125" s="255">
        <v>0</v>
      </c>
      <c r="R125" s="255">
        <v>0</v>
      </c>
      <c r="S125" s="255">
        <v>0</v>
      </c>
      <c r="T125" s="255">
        <f>IF(Q125&gt;0,S125*100/Q125,0)</f>
        <v>0</v>
      </c>
      <c r="U125" s="255">
        <f>IF(R125&gt;0,S125*100/R125,0)</f>
        <v>0</v>
      </c>
    </row>
    <row r="126" spans="1:21" ht="19.5">
      <c r="A126" s="166"/>
      <c r="B126" s="167"/>
      <c r="C126" s="205" t="s">
        <v>18</v>
      </c>
      <c r="D126" s="566" t="s">
        <v>38</v>
      </c>
      <c r="E126" s="169"/>
      <c r="F126" s="169"/>
      <c r="G126" s="170"/>
      <c r="H126" s="206"/>
      <c r="I126" s="54"/>
      <c r="J126" s="54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212">
        <f ca="1">IFERROR(__xludf.DUMMYFUNCTION("IMPORTRANGE(""https://docs.google.com/spreadsheets/d/1eHaY18a8A9IcSdp1K8H6x8fbOy06t2VsZHhMHf-1x7Y/edit?usp=sharing"",""แผน!FF47"")"),30)</f>
        <v>30</v>
      </c>
      <c r="J127" s="467">
        <v>0</v>
      </c>
      <c r="K127" s="255">
        <f ca="1">IF(I127&gt;0,J127*100/I127,0)</f>
        <v>0</v>
      </c>
      <c r="L127" s="55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212">
        <f ca="1">IFERROR(__xludf.DUMMYFUNCTION("IMPORTRANGE(""https://docs.google.com/spreadsheets/d/1eHaY18a8A9IcSdp1K8H6x8fbOy06t2VsZHhMHf-1x7Y/edit?usp=sharing"",""แผน!FG47"")"),0)</f>
        <v>0</v>
      </c>
      <c r="J128" s="467">
        <v>0</v>
      </c>
      <c r="K128" s="255">
        <f ca="1">IF(I128&gt;0,J128*100/I128,0)</f>
        <v>0</v>
      </c>
      <c r="L128" s="55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212">
        <f ca="1">IFERROR(__xludf.DUMMYFUNCTION("IMPORTRANGE(""https://docs.google.com/spreadsheets/d/1eHaY18a8A9IcSdp1K8H6x8fbOy06t2VsZHhMHf-1x7Y/edit?usp=sharing"",""แผน!FH47"")"),30)</f>
        <v>30</v>
      </c>
      <c r="J129" s="467">
        <v>0</v>
      </c>
      <c r="K129" s="255">
        <f ca="1">IF(I129&gt;0,J129*100/I129,0)</f>
        <v>0</v>
      </c>
      <c r="L129" s="55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212">
        <f ca="1">IFERROR(__xludf.DUMMYFUNCTION("IMPORTRANGE(""https://docs.google.com/spreadsheets/d/1eHaY18a8A9IcSdp1K8H6x8fbOy06t2VsZHhMHf-1x7Y/edit?usp=sharing"",""แผน!FI47"")"),0)</f>
        <v>0</v>
      </c>
      <c r="J130" s="467">
        <v>0</v>
      </c>
      <c r="K130" s="255">
        <f ca="1">IF(I130&gt;0,J130*100/I130,0)</f>
        <v>0</v>
      </c>
      <c r="L130" s="55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8.75" hidden="1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8.75" hidden="1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2.75" hidden="1">
      <c r="A133" s="192"/>
      <c r="B133" s="193"/>
      <c r="C133" s="193"/>
      <c r="D133" s="193"/>
      <c r="E133" s="22"/>
      <c r="F133" s="22"/>
      <c r="G133" s="23"/>
      <c r="H133" s="209"/>
      <c r="I133" s="24"/>
      <c r="J133" s="24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</row>
    <row r="134" spans="1:21" ht="19.5">
      <c r="A134" s="143" t="s">
        <v>58</v>
      </c>
      <c r="B134" s="144"/>
      <c r="C134" s="196"/>
      <c r="D134" s="145"/>
      <c r="E134" s="144"/>
      <c r="F134" s="144"/>
      <c r="G134" s="144"/>
      <c r="H134" s="145"/>
      <c r="I134" s="197"/>
      <c r="J134" s="197"/>
      <c r="K134" s="19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</row>
    <row r="135" spans="1:21" ht="19.5">
      <c r="A135" s="150"/>
      <c r="B135" s="35" t="s">
        <v>59</v>
      </c>
      <c r="C135" s="200"/>
      <c r="D135" s="151"/>
      <c r="E135" s="34"/>
      <c r="F135" s="34"/>
      <c r="G135" s="34"/>
      <c r="H135" s="151"/>
      <c r="I135" s="210"/>
      <c r="J135" s="39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</row>
    <row r="136" spans="1:21" ht="19.5">
      <c r="A136" s="150"/>
      <c r="B136" s="34"/>
      <c r="C136" s="211" t="s">
        <v>60</v>
      </c>
      <c r="D136" s="151"/>
      <c r="E136" s="34"/>
      <c r="F136" s="34"/>
      <c r="G136" s="37"/>
      <c r="H136" s="185" t="s">
        <v>61</v>
      </c>
      <c r="I136" s="721">
        <f ca="1">I154</f>
        <v>0</v>
      </c>
      <c r="J136" s="721">
        <f>J154</f>
        <v>0</v>
      </c>
      <c r="K136" s="720">
        <f ca="1">IF(I136&gt;0,J136*100/I136,0)</f>
        <v>0</v>
      </c>
      <c r="L136" s="40"/>
      <c r="M136" s="40"/>
      <c r="N136" s="40"/>
      <c r="O136" s="40"/>
      <c r="P136" s="40"/>
      <c r="Q136" s="40"/>
      <c r="R136" s="40"/>
      <c r="S136" s="40"/>
      <c r="T136" s="40"/>
      <c r="U136" s="40"/>
    </row>
    <row r="137" spans="1:21" ht="19.5">
      <c r="A137" s="150"/>
      <c r="B137" s="34"/>
      <c r="C137" s="211" t="s">
        <v>62</v>
      </c>
      <c r="D137" s="151"/>
      <c r="E137" s="34"/>
      <c r="F137" s="34"/>
      <c r="G137" s="37"/>
      <c r="H137" s="185" t="s">
        <v>35</v>
      </c>
      <c r="I137" s="721">
        <f ca="1">I152</f>
        <v>50</v>
      </c>
      <c r="J137" s="721">
        <f>J152</f>
        <v>50</v>
      </c>
      <c r="K137" s="720">
        <f ca="1">IF(I137&gt;0,J137*100/I137,0)</f>
        <v>100</v>
      </c>
      <c r="L137" s="40"/>
      <c r="M137" s="40"/>
      <c r="N137" s="40"/>
      <c r="O137" s="40"/>
      <c r="P137" s="40"/>
      <c r="Q137" s="40"/>
      <c r="R137" s="40"/>
      <c r="S137" s="40"/>
      <c r="T137" s="40"/>
      <c r="U137" s="40"/>
    </row>
    <row r="138" spans="1:21" ht="19.5">
      <c r="A138" s="150"/>
      <c r="B138" s="34"/>
      <c r="C138" s="200"/>
      <c r="D138" s="151"/>
      <c r="E138" s="34"/>
      <c r="F138" s="34"/>
      <c r="G138" s="37"/>
      <c r="H138" s="185" t="s">
        <v>54</v>
      </c>
      <c r="I138" s="721">
        <f ca="1">I153</f>
        <v>5</v>
      </c>
      <c r="J138" s="721">
        <f>J153</f>
        <v>5</v>
      </c>
      <c r="K138" s="720">
        <f ca="1">IF(I138&gt;0,J138*100/I138,0)</f>
        <v>100</v>
      </c>
      <c r="L138" s="40"/>
      <c r="M138" s="40"/>
      <c r="N138" s="40"/>
      <c r="O138" s="40"/>
      <c r="P138" s="40"/>
      <c r="Q138" s="40"/>
      <c r="R138" s="40"/>
      <c r="S138" s="40"/>
      <c r="T138" s="40"/>
      <c r="U138" s="40"/>
    </row>
    <row r="139" spans="1:21" ht="19.5">
      <c r="A139" s="155"/>
      <c r="B139" s="50"/>
      <c r="C139" s="156" t="s">
        <v>18</v>
      </c>
      <c r="D139" s="575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540">
        <f ca="1">L140+L141</f>
        <v>137600</v>
      </c>
      <c r="M139" s="540">
        <f ca="1">M140+M141</f>
        <v>132600</v>
      </c>
      <c r="N139" s="540">
        <f ca="1">N140+N141</f>
        <v>125175.8</v>
      </c>
      <c r="O139" s="540">
        <f ca="1">IF(L139&gt;0,N139*100/L139,0)</f>
        <v>90.970784883720924</v>
      </c>
      <c r="P139" s="540">
        <f ca="1">IF(M139&gt;0,N139*100/M139,0)</f>
        <v>94.40105580693816</v>
      </c>
      <c r="Q139" s="540">
        <f ca="1">Q140+Q141</f>
        <v>0</v>
      </c>
      <c r="R139" s="540">
        <f ca="1">R140+R141</f>
        <v>0</v>
      </c>
      <c r="S139" s="540">
        <f ca="1">S140+S141</f>
        <v>0</v>
      </c>
      <c r="T139" s="540">
        <f ca="1">IF(Q139&gt;0,S139*100/Q139,0)</f>
        <v>0</v>
      </c>
      <c r="U139" s="540">
        <f ca="1">IF(R139&gt;0,S139*100/R139,0)</f>
        <v>0</v>
      </c>
    </row>
    <row r="140" spans="1:21" ht="18.75" hidden="1">
      <c r="A140" s="155"/>
      <c r="B140" s="50"/>
      <c r="C140" s="50"/>
      <c r="D140" s="50"/>
      <c r="E140" s="186" t="s">
        <v>20</v>
      </c>
      <c r="F140" s="50"/>
      <c r="G140" s="52"/>
      <c r="H140" s="187" t="s">
        <v>14</v>
      </c>
      <c r="I140" s="54"/>
      <c r="J140" s="54"/>
      <c r="K140" s="55"/>
      <c r="L140" s="102">
        <f>L143+L146</f>
        <v>0</v>
      </c>
      <c r="M140" s="102">
        <f>M143+M146</f>
        <v>0</v>
      </c>
      <c r="N140" s="102">
        <f>N143+N146</f>
        <v>0</v>
      </c>
      <c r="O140" s="102">
        <f>IF(L140&gt;0,N140*100/L140,0)</f>
        <v>0</v>
      </c>
      <c r="P140" s="102">
        <f>IF(M140&gt;0,N140*100/M140,0)</f>
        <v>0</v>
      </c>
      <c r="Q140" s="102">
        <f>Q143+Q146</f>
        <v>0</v>
      </c>
      <c r="R140" s="102">
        <f>R143+R146</f>
        <v>0</v>
      </c>
      <c r="S140" s="102">
        <f>S143+S146</f>
        <v>0</v>
      </c>
      <c r="T140" s="102">
        <f>IF(Q140&gt;0,S140*100/Q140,0)</f>
        <v>0</v>
      </c>
      <c r="U140" s="102">
        <f>IF(R140&gt;0,S140*100/R140,0)</f>
        <v>0</v>
      </c>
    </row>
    <row r="141" spans="1:21" ht="18.75" hidden="1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255">
        <f ca="1">L144+L147</f>
        <v>137600</v>
      </c>
      <c r="M141" s="255">
        <f ca="1">M144+M147</f>
        <v>132600</v>
      </c>
      <c r="N141" s="255">
        <f ca="1">N144+N147</f>
        <v>125175.8</v>
      </c>
      <c r="O141" s="255">
        <f ca="1">IF(L141&gt;0,N141*100/L141,0)</f>
        <v>90.970784883720924</v>
      </c>
      <c r="P141" s="255">
        <f ca="1">IF(M141&gt;0,N141*100/M141,0)</f>
        <v>94.40105580693816</v>
      </c>
      <c r="Q141" s="255">
        <f ca="1">Q144+Q147</f>
        <v>0</v>
      </c>
      <c r="R141" s="255">
        <f ca="1">R144+R147</f>
        <v>0</v>
      </c>
      <c r="S141" s="255">
        <f ca="1">S144+S147</f>
        <v>0</v>
      </c>
      <c r="T141" s="255">
        <f ca="1">IF(Q141&gt;0,S141*100/Q141,0)</f>
        <v>0</v>
      </c>
      <c r="U141" s="255">
        <f ca="1">IF(R141&gt;0,S141*100/R141,0)</f>
        <v>0</v>
      </c>
    </row>
    <row r="142" spans="1:21" ht="18.75">
      <c r="A142" s="155"/>
      <c r="B142" s="188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255">
        <f ca="1">L143+L144</f>
        <v>137600</v>
      </c>
      <c r="M142" s="255">
        <f ca="1">M143+M144</f>
        <v>132600</v>
      </c>
      <c r="N142" s="255">
        <f ca="1">N143+N144</f>
        <v>125175.8</v>
      </c>
      <c r="O142" s="255">
        <f ca="1">IF(L142&gt;0,N142*100/L142,0)</f>
        <v>90.970784883720924</v>
      </c>
      <c r="P142" s="255">
        <f ca="1">IF(M142&gt;0,N142*100/M142,0)</f>
        <v>94.40105580693816</v>
      </c>
      <c r="Q142" s="255">
        <f ca="1">Q143+Q144</f>
        <v>0</v>
      </c>
      <c r="R142" s="255">
        <f ca="1">R143+R144</f>
        <v>0</v>
      </c>
      <c r="S142" s="255">
        <f ca="1">S143+S144</f>
        <v>0</v>
      </c>
      <c r="T142" s="255">
        <f ca="1">IF(Q142&gt;0,S142*100/Q142,0)</f>
        <v>0</v>
      </c>
      <c r="U142" s="255">
        <f ca="1">IF(R142&gt;0,S142*100/R142,0)</f>
        <v>0</v>
      </c>
    </row>
    <row r="143" spans="1:21" ht="18.75" hidden="1">
      <c r="A143" s="155"/>
      <c r="B143" s="50"/>
      <c r="C143" s="50"/>
      <c r="D143" s="50"/>
      <c r="E143" s="186" t="s">
        <v>36</v>
      </c>
      <c r="F143" s="50"/>
      <c r="G143" s="52"/>
      <c r="H143" s="189" t="s">
        <v>14</v>
      </c>
      <c r="I143" s="163"/>
      <c r="J143" s="163"/>
      <c r="K143" s="164"/>
      <c r="L143" s="102">
        <v>0</v>
      </c>
      <c r="M143" s="102">
        <v>0</v>
      </c>
      <c r="N143" s="102">
        <v>0</v>
      </c>
      <c r="O143" s="102">
        <f>IF(L143&gt;0,N143*100/L143,0)</f>
        <v>0</v>
      </c>
      <c r="P143" s="102">
        <f>IF(M143&gt;0,N143*100/M143,0)</f>
        <v>0</v>
      </c>
      <c r="Q143" s="102">
        <v>0</v>
      </c>
      <c r="R143" s="102">
        <v>0</v>
      </c>
      <c r="S143" s="102">
        <v>0</v>
      </c>
      <c r="T143" s="102">
        <f>IF(Q143&gt;0,S143*100/Q143,0)</f>
        <v>0</v>
      </c>
      <c r="U143" s="102">
        <f>IF(R143&gt;0,S143*100/R143,0)</f>
        <v>0</v>
      </c>
    </row>
    <row r="144" spans="1:21" ht="18.75" hidden="1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255">
        <f ca="1">IFERROR(__xludf.DUMMYFUNCTION("IMPORTRANGE(""https://docs.google.com/spreadsheets/d/1-uDff_7J0KD5mKrp0Vvzr7lt3OU09vwQwhkpOPPYv2Y/edit?usp=sharing"",""งบพรบ!BQ47"")"),137600)</f>
        <v>137600</v>
      </c>
      <c r="M144" s="255">
        <f ca="1">IFERROR(__xludf.DUMMYFUNCTION("IMPORTRANGE(""https://docs.google.com/spreadsheets/d/1-uDff_7J0KD5mKrp0Vvzr7lt3OU09vwQwhkpOPPYv2Y/edit?usp=sharing"",""งบพรบ!BV47"")"),132600)</f>
        <v>132600</v>
      </c>
      <c r="N144" s="255">
        <f ca="1">IFERROR(__xludf.DUMMYFUNCTION("IMPORTRANGE(""https://docs.google.com/spreadsheets/d/1-uDff_7J0KD5mKrp0Vvzr7lt3OU09vwQwhkpOPPYv2Y/edit?usp=sharing"",""งบพรบ!BX47"")"),125175.8)</f>
        <v>125175.8</v>
      </c>
      <c r="O144" s="255">
        <f ca="1">IF(L144&gt;0,N144*100/L144,0)</f>
        <v>90.970784883720924</v>
      </c>
      <c r="P144" s="255">
        <f ca="1">IF(M144&gt;0,N144*100/M144,0)</f>
        <v>94.40105580693816</v>
      </c>
      <c r="Q144" s="255">
        <f ca="1">IFERROR(__xludf.DUMMYFUNCTION("IMPORTRANGE(""https://docs.google.com/spreadsheets/d/1ItG2mGa2ceCfYo0BwxsXqNm01IGEUdYcSSLTEv9YCik/edit?usp=sharing"",""เบิกจ่ายกองทุน!BB47"")"),0)</f>
        <v>0</v>
      </c>
      <c r="R144" s="255">
        <f ca="1">IFERROR(__xludf.DUMMYFUNCTION("IMPORTRANGE(""https://docs.google.com/spreadsheets/d/1ItG2mGa2ceCfYo0BwxsXqNm01IGEUdYcSSLTEv9YCik/edit?usp=sharing"",""เบิกจ่ายกองทุน!BC47"")"),0)</f>
        <v>0</v>
      </c>
      <c r="S144" s="255">
        <f ca="1">IFERROR(__xludf.DUMMYFUNCTION("IMPORTRANGE(""https://docs.google.com/spreadsheets/d/1ItG2mGa2ceCfYo0BwxsXqNm01IGEUdYcSSLTEv9YCik/edit?usp=sharing"",""เบิกจ่ายกองทุน!BD47"")"),0)</f>
        <v>0</v>
      </c>
      <c r="T144" s="255">
        <f ca="1">IF(Q144&gt;0,S144*100/Q144,0)</f>
        <v>0</v>
      </c>
      <c r="U144" s="255">
        <f ca="1">IF(R144&gt;0,S144*100/R144,0)</f>
        <v>0</v>
      </c>
    </row>
    <row r="145" spans="1:21" ht="18.75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255">
        <f ca="1">L146+L147</f>
        <v>0</v>
      </c>
      <c r="M145" s="255">
        <f ca="1">M146+M147</f>
        <v>0</v>
      </c>
      <c r="N145" s="255">
        <f ca="1">N146+N147</f>
        <v>0</v>
      </c>
      <c r="O145" s="255">
        <f ca="1">IF(L145&gt;0,N145*100/L145,0)</f>
        <v>0</v>
      </c>
      <c r="P145" s="255">
        <f ca="1">IF(M145&gt;0,N145*100/M145,0)</f>
        <v>0</v>
      </c>
      <c r="Q145" s="255">
        <f>Q146+Q147</f>
        <v>0</v>
      </c>
      <c r="R145" s="255">
        <f>R146+R147</f>
        <v>0</v>
      </c>
      <c r="S145" s="255">
        <f>S146+S147</f>
        <v>0</v>
      </c>
      <c r="T145" s="255">
        <f>IF(Q145&gt;0,S145*100/Q145,0)</f>
        <v>0</v>
      </c>
      <c r="U145" s="255">
        <f>IF(R145&gt;0,S145*100/R145,0)</f>
        <v>0</v>
      </c>
    </row>
    <row r="146" spans="1:21" ht="18.75" hidden="1">
      <c r="A146" s="155"/>
      <c r="B146" s="188"/>
      <c r="C146" s="50"/>
      <c r="D146" s="50"/>
      <c r="E146" s="186" t="s">
        <v>20</v>
      </c>
      <c r="F146" s="50"/>
      <c r="G146" s="52"/>
      <c r="H146" s="189" t="s">
        <v>14</v>
      </c>
      <c r="I146" s="163"/>
      <c r="J146" s="163"/>
      <c r="K146" s="164"/>
      <c r="L146" s="102">
        <v>0</v>
      </c>
      <c r="M146" s="102">
        <v>0</v>
      </c>
      <c r="N146" s="102">
        <v>0</v>
      </c>
      <c r="O146" s="102">
        <f>IF(L146&gt;0,N146*100/L146,0)</f>
        <v>0</v>
      </c>
      <c r="P146" s="102">
        <f>IF(M146&gt;0,N146*100/M146,0)</f>
        <v>0</v>
      </c>
      <c r="Q146" s="102">
        <v>0</v>
      </c>
      <c r="R146" s="102">
        <v>0</v>
      </c>
      <c r="S146" s="102">
        <v>0</v>
      </c>
      <c r="T146" s="102">
        <f>IF(Q146&gt;0,S146*100/Q146,0)</f>
        <v>0</v>
      </c>
      <c r="U146" s="102">
        <f>IF(R146&gt;0,S146*100/R146,0)</f>
        <v>0</v>
      </c>
    </row>
    <row r="147" spans="1:21" ht="18.75" hidden="1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255">
        <f ca="1">IFERROR(__xludf.DUMMYFUNCTION("IMPORTRANGE(""https://docs.google.com/spreadsheets/d/1-uDff_7J0KD5mKrp0Vvzr7lt3OU09vwQwhkpOPPYv2Y/edit?usp=sharing"",""งบพรบ!BT47"")"),0)</f>
        <v>0</v>
      </c>
      <c r="M147" s="255">
        <f ca="1">IFERROR(__xludf.DUMMYFUNCTION("IMPORTRANGE(""https://docs.google.com/spreadsheets/d/1-uDff_7J0KD5mKrp0Vvzr7lt3OU09vwQwhkpOPPYv2Y/edit?usp=sharing"",""งบพรบ!BW47"")"),0)</f>
        <v>0</v>
      </c>
      <c r="N147" s="255">
        <f ca="1">IFERROR(__xludf.DUMMYFUNCTION("IMPORTRANGE(""https://docs.google.com/spreadsheets/d/1-uDff_7J0KD5mKrp0Vvzr7lt3OU09vwQwhkpOPPYv2Y/edit?usp=sharing"",""งบพรบ!BY47"")"),0)</f>
        <v>0</v>
      </c>
      <c r="O147" s="255">
        <f ca="1">IF(L147&gt;0,N147*100/L147,0)</f>
        <v>0</v>
      </c>
      <c r="P147" s="255">
        <f ca="1">IF(M147&gt;0,N147*100/M147,0)</f>
        <v>0</v>
      </c>
      <c r="Q147" s="255">
        <v>0</v>
      </c>
      <c r="R147" s="255">
        <v>0</v>
      </c>
      <c r="S147" s="255">
        <v>0</v>
      </c>
      <c r="T147" s="255">
        <f>IF(Q147&gt;0,S147*100/Q147,0)</f>
        <v>0</v>
      </c>
      <c r="U147" s="255">
        <f>IF(R147&gt;0,S147*100/R147,0)</f>
        <v>0</v>
      </c>
    </row>
    <row r="148" spans="1:21" ht="19.5">
      <c r="A148" s="166"/>
      <c r="B148" s="167"/>
      <c r="C148" s="156" t="s">
        <v>18</v>
      </c>
      <c r="D148" s="566" t="s">
        <v>38</v>
      </c>
      <c r="E148" s="169"/>
      <c r="F148" s="169"/>
      <c r="G148" s="170"/>
      <c r="H148" s="206"/>
      <c r="I148" s="54"/>
      <c r="J148" s="54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8.75">
      <c r="A149" s="155"/>
      <c r="B149" s="50"/>
      <c r="C149" s="202"/>
      <c r="D149" s="58" t="s">
        <v>63</v>
      </c>
      <c r="E149" s="50"/>
      <c r="F149" s="50"/>
      <c r="G149" s="52"/>
      <c r="H149" s="206"/>
      <c r="I149" s="54"/>
      <c r="J149" s="467">
        <v>0</v>
      </c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9.5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212">
        <f ca="1">IFERROR(__xludf.DUMMYFUNCTION("IMPORTRANGE(""https://docs.google.com/spreadsheets/d/1eHaY18a8A9IcSdp1K8H6x8fbOy06t2VsZHhMHf-1x7Y/edit?usp=sharing"",""แผน!U47"")"),0)</f>
        <v>0</v>
      </c>
      <c r="J150" s="467">
        <v>0</v>
      </c>
      <c r="K150" s="255">
        <f ca="1">IF(I150&gt;0,J150*100/I150,0)</f>
        <v>0</v>
      </c>
      <c r="L150" s="55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8.75">
      <c r="A151" s="155"/>
      <c r="B151" s="50"/>
      <c r="C151" s="50"/>
      <c r="D151" s="174"/>
      <c r="E151" s="50"/>
      <c r="F151" s="50"/>
      <c r="G151" s="52"/>
      <c r="H151" s="165" t="s">
        <v>54</v>
      </c>
      <c r="I151" s="212">
        <f ca="1">IFERROR(__xludf.DUMMYFUNCTION("IMPORTRANGE(""https://docs.google.com/spreadsheets/d/1eHaY18a8A9IcSdp1K8H6x8fbOy06t2VsZHhMHf-1x7Y/edit?usp=sharing"",""แผน!V47"")"),0)</f>
        <v>0</v>
      </c>
      <c r="J151" s="467">
        <v>0</v>
      </c>
      <c r="K151" s="255">
        <f ca="1">IF(I151&gt;0,J151*100/I151,0)</f>
        <v>0</v>
      </c>
      <c r="L151" s="55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9.5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212">
        <f ca="1">IFERROR(__xludf.DUMMYFUNCTION("IMPORTRANGE(""https://docs.google.com/spreadsheets/d/1eHaY18a8A9IcSdp1K8H6x8fbOy06t2VsZHhMHf-1x7Y/edit?usp=sharing"",""แผน!W47"")"),50)</f>
        <v>50</v>
      </c>
      <c r="J152" s="467">
        <v>50</v>
      </c>
      <c r="K152" s="255">
        <f ca="1">IF(I152&gt;0,J152*100/I152,0)</f>
        <v>100</v>
      </c>
      <c r="L152" s="55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8.75">
      <c r="A153" s="155"/>
      <c r="B153" s="50"/>
      <c r="C153" s="202"/>
      <c r="D153" s="50"/>
      <c r="E153" s="50"/>
      <c r="F153" s="50"/>
      <c r="G153" s="52"/>
      <c r="H153" s="165" t="s">
        <v>54</v>
      </c>
      <c r="I153" s="212">
        <f ca="1">IFERROR(__xludf.DUMMYFUNCTION("IMPORTRANGE(""https://docs.google.com/spreadsheets/d/1eHaY18a8A9IcSdp1K8H6x8fbOy06t2VsZHhMHf-1x7Y/edit?usp=sharing"",""แผน!X47"")"),5)</f>
        <v>5</v>
      </c>
      <c r="J153" s="467">
        <v>5</v>
      </c>
      <c r="K153" s="255">
        <f ca="1">IF(I153&gt;0,J153*100/I153,0)</f>
        <v>100</v>
      </c>
      <c r="L153" s="55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8.75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212">
        <f ca="1">IFERROR(__xludf.DUMMYFUNCTION("IMPORTRANGE(""https://docs.google.com/spreadsheets/d/1eHaY18a8A9IcSdp1K8H6x8fbOy06t2VsZHhMHf-1x7Y/edit?usp=sharing"",""แผน!Y47"")"),0)</f>
        <v>0</v>
      </c>
      <c r="J154" s="467">
        <v>0</v>
      </c>
      <c r="K154" s="255">
        <f ca="1">IF(I154&gt;0,J154*100/I154,0)</f>
        <v>0</v>
      </c>
      <c r="L154" s="55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9.5" hidden="1">
      <c r="A155" s="143" t="s">
        <v>67</v>
      </c>
      <c r="B155" s="144"/>
      <c r="C155" s="196"/>
      <c r="D155" s="144"/>
      <c r="E155" s="144"/>
      <c r="F155" s="144"/>
      <c r="G155" s="144"/>
      <c r="H155" s="145"/>
      <c r="I155" s="197"/>
      <c r="J155" s="197"/>
      <c r="K155" s="19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</row>
    <row r="156" spans="1:21" ht="19.5" hidden="1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721">
        <f ca="1">I167</f>
        <v>0</v>
      </c>
      <c r="J156" s="721">
        <f>J167</f>
        <v>0</v>
      </c>
      <c r="K156" s="720">
        <f ca="1">IF(I156&gt;0,J156*100/I156,0)</f>
        <v>0</v>
      </c>
      <c r="L156" s="40"/>
      <c r="M156" s="40"/>
      <c r="N156" s="40"/>
      <c r="O156" s="40"/>
      <c r="P156" s="40"/>
      <c r="Q156" s="40"/>
      <c r="R156" s="40"/>
      <c r="S156" s="40"/>
      <c r="T156" s="40"/>
      <c r="U156" s="40"/>
    </row>
    <row r="157" spans="1:21" ht="19.5" hidden="1">
      <c r="A157" s="155"/>
      <c r="B157" s="50"/>
      <c r="C157" s="156" t="s">
        <v>18</v>
      </c>
      <c r="D157" s="575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540">
        <f ca="1">L158+L159</f>
        <v>0</v>
      </c>
      <c r="M157" s="540">
        <f ca="1">M158+M159</f>
        <v>0</v>
      </c>
      <c r="N157" s="540">
        <f ca="1">N158+N159</f>
        <v>0</v>
      </c>
      <c r="O157" s="540">
        <f ca="1">IF(L157&gt;0,N157*100/L157,0)</f>
        <v>0</v>
      </c>
      <c r="P157" s="540">
        <f ca="1">IF(M157&gt;0,N157*100/M157,0)</f>
        <v>0</v>
      </c>
      <c r="Q157" s="540">
        <f ca="1">Q158+Q159</f>
        <v>0</v>
      </c>
      <c r="R157" s="540">
        <f ca="1">R158+R159</f>
        <v>0</v>
      </c>
      <c r="S157" s="540">
        <f ca="1">S158+S159</f>
        <v>0</v>
      </c>
      <c r="T157" s="540">
        <f ca="1">IF(Q157&gt;0,S157*100/Q157,0)</f>
        <v>0</v>
      </c>
      <c r="U157" s="540">
        <f ca="1">IF(R157&gt;0,S157*100/R157,0)</f>
        <v>0</v>
      </c>
    </row>
    <row r="158" spans="1:21" ht="18.75" hidden="1">
      <c r="A158" s="155"/>
      <c r="B158" s="50"/>
      <c r="C158" s="50"/>
      <c r="D158" s="50"/>
      <c r="E158" s="186" t="s">
        <v>20</v>
      </c>
      <c r="F158" s="50"/>
      <c r="G158" s="52"/>
      <c r="H158" s="187" t="s">
        <v>14</v>
      </c>
      <c r="I158" s="54"/>
      <c r="J158" s="54"/>
      <c r="K158" s="55"/>
      <c r="L158" s="102">
        <f>L161+L164</f>
        <v>0</v>
      </c>
      <c r="M158" s="102">
        <f>M161+M164</f>
        <v>0</v>
      </c>
      <c r="N158" s="102">
        <f>N161+N164</f>
        <v>0</v>
      </c>
      <c r="O158" s="102">
        <f>IF(L158&gt;0,N158*100/L158,0)</f>
        <v>0</v>
      </c>
      <c r="P158" s="102">
        <f>IF(M158&gt;0,N158*100/M158,0)</f>
        <v>0</v>
      </c>
      <c r="Q158" s="102">
        <f>Q161+Q164</f>
        <v>0</v>
      </c>
      <c r="R158" s="102">
        <f>R161+R164</f>
        <v>0</v>
      </c>
      <c r="S158" s="102">
        <f>S161+S164</f>
        <v>0</v>
      </c>
      <c r="T158" s="102">
        <f>IF(Q158&gt;0,S158*100/Q158,0)</f>
        <v>0</v>
      </c>
      <c r="U158" s="102">
        <f>IF(R158&gt;0,S158*100/R158,0)</f>
        <v>0</v>
      </c>
    </row>
    <row r="159" spans="1:21" ht="18.75" hidden="1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255">
        <f ca="1">L162+L165</f>
        <v>0</v>
      </c>
      <c r="M159" s="255">
        <f ca="1">M162+M165</f>
        <v>0</v>
      </c>
      <c r="N159" s="255">
        <f ca="1">N162+N165</f>
        <v>0</v>
      </c>
      <c r="O159" s="255">
        <f ca="1">IF(L159&gt;0,N159*100/L159,0)</f>
        <v>0</v>
      </c>
      <c r="P159" s="255">
        <f ca="1">IF(M159&gt;0,N159*100/M159,0)</f>
        <v>0</v>
      </c>
      <c r="Q159" s="255">
        <f ca="1">Q162+Q165</f>
        <v>0</v>
      </c>
      <c r="R159" s="255">
        <f ca="1">R162+R165</f>
        <v>0</v>
      </c>
      <c r="S159" s="255">
        <f ca="1">S162+S165</f>
        <v>0</v>
      </c>
      <c r="T159" s="255">
        <f ca="1">IF(Q159&gt;0,S159*100/Q159,0)</f>
        <v>0</v>
      </c>
      <c r="U159" s="255">
        <f ca="1">IF(R159&gt;0,S159*100/R159,0)</f>
        <v>0</v>
      </c>
    </row>
    <row r="160" spans="1:21" ht="18.75" hidden="1">
      <c r="A160" s="155"/>
      <c r="B160" s="188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255">
        <f ca="1">L161+L162</f>
        <v>0</v>
      </c>
      <c r="M160" s="255">
        <f ca="1">M161+M162</f>
        <v>0</v>
      </c>
      <c r="N160" s="255">
        <f ca="1">N161+N162</f>
        <v>0</v>
      </c>
      <c r="O160" s="255">
        <f ca="1">IF(L160&gt;0,N160*100/L160,0)</f>
        <v>0</v>
      </c>
      <c r="P160" s="255">
        <f ca="1">IF(M160&gt;0,N160*100/M160,0)</f>
        <v>0</v>
      </c>
      <c r="Q160" s="255">
        <f ca="1">Q161+Q162</f>
        <v>0</v>
      </c>
      <c r="R160" s="255">
        <f ca="1">R161+R162</f>
        <v>0</v>
      </c>
      <c r="S160" s="255">
        <f ca="1">S161+S162</f>
        <v>0</v>
      </c>
      <c r="T160" s="255">
        <f ca="1">IF(Q160&gt;0,S160*100/Q160,0)</f>
        <v>0</v>
      </c>
      <c r="U160" s="255">
        <f ca="1">IF(R160&gt;0,S160*100/R160,0)</f>
        <v>0</v>
      </c>
    </row>
    <row r="161" spans="1:21" ht="18.75" hidden="1">
      <c r="A161" s="155"/>
      <c r="B161" s="50"/>
      <c r="C161" s="50"/>
      <c r="D161" s="50"/>
      <c r="E161" s="186" t="s">
        <v>36</v>
      </c>
      <c r="F161" s="50"/>
      <c r="G161" s="52"/>
      <c r="H161" s="189" t="s">
        <v>14</v>
      </c>
      <c r="I161" s="163"/>
      <c r="J161" s="163"/>
      <c r="K161" s="164"/>
      <c r="L161" s="102">
        <v>0</v>
      </c>
      <c r="M161" s="102">
        <v>0</v>
      </c>
      <c r="N161" s="102">
        <v>0</v>
      </c>
      <c r="O161" s="102">
        <f>IF(L161&gt;0,N161*100/L161,0)</f>
        <v>0</v>
      </c>
      <c r="P161" s="102">
        <f>IF(M161&gt;0,N161*100/M161,0)</f>
        <v>0</v>
      </c>
      <c r="Q161" s="102">
        <v>0</v>
      </c>
      <c r="R161" s="102">
        <v>0</v>
      </c>
      <c r="S161" s="102">
        <v>0</v>
      </c>
      <c r="T161" s="102">
        <f>IF(Q161&gt;0,S161*100/Q161,0)</f>
        <v>0</v>
      </c>
      <c r="U161" s="102">
        <f>IF(R161&gt;0,S161*100/R161,0)</f>
        <v>0</v>
      </c>
    </row>
    <row r="162" spans="1:21" ht="18.75" hidden="1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255">
        <f ca="1">IFERROR(__xludf.DUMMYFUNCTION("IMPORTRANGE(""https://docs.google.com/spreadsheets/d/1-uDff_7J0KD5mKrp0Vvzr7lt3OU09vwQwhkpOPPYv2Y/edit?usp=sharing"",""งบพรบ!CA47"")"),0)</f>
        <v>0</v>
      </c>
      <c r="M162" s="255">
        <f ca="1">IFERROR(__xludf.DUMMYFUNCTION("IMPORTRANGE(""https://docs.google.com/spreadsheets/d/1-uDff_7J0KD5mKrp0Vvzr7lt3OU09vwQwhkpOPPYv2Y/edit?usp=sharing"",""งบพรบ!CF47"")"),0)</f>
        <v>0</v>
      </c>
      <c r="N162" s="255">
        <f ca="1">IFERROR(__xludf.DUMMYFUNCTION("IMPORTRANGE(""https://docs.google.com/spreadsheets/d/1-uDff_7J0KD5mKrp0Vvzr7lt3OU09vwQwhkpOPPYv2Y/edit?usp=sharing"",""งบพรบ!CH47"")"),0)</f>
        <v>0</v>
      </c>
      <c r="O162" s="255">
        <f ca="1">IF(L162&gt;0,N162*100/L162,0)</f>
        <v>0</v>
      </c>
      <c r="P162" s="255">
        <f ca="1">IF(M162&gt;0,N162*100/M162,0)</f>
        <v>0</v>
      </c>
      <c r="Q162" s="255">
        <f ca="1">IFERROR(__xludf.DUMMYFUNCTION("IMPORTRANGE(""https://docs.google.com/spreadsheets/d/1ItG2mGa2ceCfYo0BwxsXqNm01IGEUdYcSSLTEv9YCik/edit?usp=sharing"",""เบิกจ่ายกองทุน!AG47"")"),0)</f>
        <v>0</v>
      </c>
      <c r="R162" s="255">
        <f ca="1">IFERROR(__xludf.DUMMYFUNCTION("IMPORTRANGE(""https://docs.google.com/spreadsheets/d/1ItG2mGa2ceCfYo0BwxsXqNm01IGEUdYcSSLTEv9YCik/edit?usp=sharing"",""เบิกจ่ายกองทุน!AH47"")"),0)</f>
        <v>0</v>
      </c>
      <c r="S162" s="255">
        <f ca="1">IFERROR(__xludf.DUMMYFUNCTION("IMPORTRANGE(""https://docs.google.com/spreadsheets/d/1ItG2mGa2ceCfYo0BwxsXqNm01IGEUdYcSSLTEv9YCik/edit?usp=sharing"",""เบิกจ่ายกองทุน!AI47"")"),0)</f>
        <v>0</v>
      </c>
      <c r="T162" s="255">
        <f ca="1">IF(Q162&gt;0,S162*100/Q162,0)</f>
        <v>0</v>
      </c>
      <c r="U162" s="255">
        <f ca="1">IF(R162&gt;0,S162*100/R162,0)</f>
        <v>0</v>
      </c>
    </row>
    <row r="163" spans="1:21" ht="18.75" hidden="1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255">
        <f ca="1">L164+L165</f>
        <v>0</v>
      </c>
      <c r="M163" s="255">
        <f ca="1">M164+M165</f>
        <v>0</v>
      </c>
      <c r="N163" s="255">
        <f ca="1">N164+N165</f>
        <v>0</v>
      </c>
      <c r="O163" s="255">
        <f ca="1">IF(L163&gt;0,N163*100/L163,0)</f>
        <v>0</v>
      </c>
      <c r="P163" s="255">
        <f ca="1">IF(M163&gt;0,N163*100/M163,0)</f>
        <v>0</v>
      </c>
      <c r="Q163" s="255">
        <f>Q164+Q165</f>
        <v>0</v>
      </c>
      <c r="R163" s="255">
        <f>R164+R165</f>
        <v>0</v>
      </c>
      <c r="S163" s="255">
        <f>S164+S165</f>
        <v>0</v>
      </c>
      <c r="T163" s="255">
        <f>IF(Q163&gt;0,S163*100/Q163,0)</f>
        <v>0</v>
      </c>
      <c r="U163" s="255">
        <f>IF(R163&gt;0,S163*100/R163,0)</f>
        <v>0</v>
      </c>
    </row>
    <row r="164" spans="1:21" ht="18.75" hidden="1">
      <c r="A164" s="155"/>
      <c r="B164" s="188"/>
      <c r="C164" s="188"/>
      <c r="D164" s="188"/>
      <c r="E164" s="186" t="s">
        <v>20</v>
      </c>
      <c r="F164" s="50"/>
      <c r="G164" s="52"/>
      <c r="H164" s="189" t="s">
        <v>14</v>
      </c>
      <c r="I164" s="163"/>
      <c r="J164" s="163"/>
      <c r="K164" s="164"/>
      <c r="L164" s="102">
        <v>0</v>
      </c>
      <c r="M164" s="102">
        <v>0</v>
      </c>
      <c r="N164" s="102">
        <v>0</v>
      </c>
      <c r="O164" s="102">
        <f>IF(L164&gt;0,N164*100/L164,0)</f>
        <v>0</v>
      </c>
      <c r="P164" s="102">
        <f>IF(M164&gt;0,N164*100/M164,0)</f>
        <v>0</v>
      </c>
      <c r="Q164" s="102">
        <v>0</v>
      </c>
      <c r="R164" s="102">
        <v>0</v>
      </c>
      <c r="S164" s="102">
        <v>0</v>
      </c>
      <c r="T164" s="102">
        <f>IF(Q164&gt;0,S164*100/Q164,0)</f>
        <v>0</v>
      </c>
      <c r="U164" s="102">
        <f>IF(R164&gt;0,S164*100/R164,0)</f>
        <v>0</v>
      </c>
    </row>
    <row r="165" spans="1:21" ht="18.75" hidden="1">
      <c r="A165" s="155"/>
      <c r="B165" s="188"/>
      <c r="C165" s="188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255">
        <f ca="1">IFERROR(__xludf.DUMMYFUNCTION("IMPORTRANGE(""https://docs.google.com/spreadsheets/d/1-uDff_7J0KD5mKrp0Vvzr7lt3OU09vwQwhkpOPPYv2Y/edit?usp=sharing"",""งบพรบ!CD47"")"),0)</f>
        <v>0</v>
      </c>
      <c r="M165" s="255">
        <f ca="1">IFERROR(__xludf.DUMMYFUNCTION("IMPORTRANGE(""https://docs.google.com/spreadsheets/d/1-uDff_7J0KD5mKrp0Vvzr7lt3OU09vwQwhkpOPPYv2Y/edit?usp=sharing"",""งบพรบ!CG47"")"),0)</f>
        <v>0</v>
      </c>
      <c r="N165" s="255">
        <f ca="1">IFERROR(__xludf.DUMMYFUNCTION("IMPORTRANGE(""https://docs.google.com/spreadsheets/d/1-uDff_7J0KD5mKrp0Vvzr7lt3OU09vwQwhkpOPPYv2Y/edit?usp=sharing"",""งบพรบ!CI47"")"),0)</f>
        <v>0</v>
      </c>
      <c r="O165" s="255">
        <f ca="1">IF(L165&gt;0,N165*100/L165,0)</f>
        <v>0</v>
      </c>
      <c r="P165" s="255">
        <f ca="1">IF(M165&gt;0,N165*100/M165,0)</f>
        <v>0</v>
      </c>
      <c r="Q165" s="255">
        <v>0</v>
      </c>
      <c r="R165" s="255">
        <v>0</v>
      </c>
      <c r="S165" s="255">
        <v>0</v>
      </c>
      <c r="T165" s="255">
        <f>IF(Q165&gt;0,S165*100/Q165,0)</f>
        <v>0</v>
      </c>
      <c r="U165" s="255">
        <f>IF(R165&gt;0,S165*100/R165,0)</f>
        <v>0</v>
      </c>
    </row>
    <row r="166" spans="1:21" ht="19.5" hidden="1">
      <c r="A166" s="166"/>
      <c r="B166" s="167"/>
      <c r="C166" s="191" t="s">
        <v>18</v>
      </c>
      <c r="D166" s="566" t="s">
        <v>38</v>
      </c>
      <c r="E166" s="169"/>
      <c r="F166" s="169"/>
      <c r="G166" s="170"/>
      <c r="H166" s="206"/>
      <c r="I166" s="54"/>
      <c r="J166" s="54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8.75" hidden="1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212">
        <f ca="1">IFERROR(__xludf.DUMMYFUNCTION("IMPORTRANGE(""https://docs.google.com/spreadsheets/d/1eHaY18a8A9IcSdp1K8H6x8fbOy06t2VsZHhMHf-1x7Y/edit?usp=sharing"",""แผน!Z47"")"),0)</f>
        <v>0</v>
      </c>
      <c r="J167" s="467">
        <v>0</v>
      </c>
      <c r="K167" s="255">
        <f ca="1">IF(I167&gt;0,J167*100/I167,0)</f>
        <v>0</v>
      </c>
      <c r="L167" s="55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8.75" hidden="1">
      <c r="A168" s="155"/>
      <c r="B168" s="188"/>
      <c r="C168" s="188"/>
      <c r="D168" s="358" t="s">
        <v>70</v>
      </c>
      <c r="E168" s="50"/>
      <c r="F168" s="50"/>
      <c r="G168" s="52"/>
      <c r="H168" s="421" t="s">
        <v>35</v>
      </c>
      <c r="I168" s="483">
        <f ca="1">I167</f>
        <v>0</v>
      </c>
      <c r="J168" s="589">
        <v>0</v>
      </c>
      <c r="K168" s="102">
        <f ca="1">IF(I168&gt;0,J168*100/I168,0)</f>
        <v>0</v>
      </c>
      <c r="L168" s="55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8.75" hidden="1">
      <c r="A169" s="213"/>
      <c r="B169" s="5"/>
      <c r="C169" s="5"/>
      <c r="D169" s="484" t="s">
        <v>71</v>
      </c>
      <c r="E169" s="4"/>
      <c r="F169" s="4"/>
      <c r="G169" s="65"/>
      <c r="H169" s="719" t="s">
        <v>35</v>
      </c>
      <c r="I169" s="486">
        <f ca="1">I167</f>
        <v>0</v>
      </c>
      <c r="J169" s="586">
        <v>0</v>
      </c>
      <c r="K169" s="585">
        <f ca="1">IF(I169&gt;0,J169*100/I169,0)</f>
        <v>0</v>
      </c>
      <c r="L169" s="6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8"/>
      <c r="I170" s="220"/>
      <c r="J170" s="220"/>
      <c r="K170" s="221"/>
      <c r="L170" s="221"/>
      <c r="M170" s="221"/>
      <c r="N170" s="221"/>
      <c r="O170" s="221"/>
      <c r="P170" s="222"/>
      <c r="Q170" s="221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836"/>
      <c r="I171" s="227"/>
      <c r="J171" s="227"/>
      <c r="K171" s="228"/>
      <c r="L171" s="228"/>
      <c r="M171" s="228"/>
      <c r="N171" s="228"/>
      <c r="O171" s="228"/>
      <c r="P171" s="228"/>
      <c r="Q171" s="228"/>
      <c r="R171" s="228"/>
      <c r="S171" s="228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835" t="s">
        <v>35</v>
      </c>
      <c r="I172" s="718">
        <f ca="1">I183+I184</f>
        <v>7</v>
      </c>
      <c r="J172" s="718">
        <f>J183+J184</f>
        <v>7</v>
      </c>
      <c r="K172" s="717">
        <f ca="1">IF(I172&gt;0,J172*100/I172,0)</f>
        <v>100</v>
      </c>
      <c r="L172" s="236"/>
      <c r="M172" s="236"/>
      <c r="N172" s="236"/>
      <c r="O172" s="236"/>
      <c r="P172" s="236"/>
      <c r="Q172" s="236"/>
      <c r="R172" s="236"/>
      <c r="S172" s="236"/>
      <c r="T172" s="236"/>
      <c r="U172" s="236"/>
    </row>
    <row r="173" spans="1:21" ht="19.5">
      <c r="A173" s="155"/>
      <c r="B173" s="50"/>
      <c r="C173" s="156" t="s">
        <v>18</v>
      </c>
      <c r="D173" s="575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540">
        <f ca="1">L174+L175</f>
        <v>19590</v>
      </c>
      <c r="M173" s="540">
        <f ca="1">M174+M175</f>
        <v>35450</v>
      </c>
      <c r="N173" s="540">
        <f ca="1">N174+N175</f>
        <v>35450</v>
      </c>
      <c r="O173" s="540">
        <f ca="1">IF(L173&gt;0,N173*100/L173,0)</f>
        <v>180.95967330270545</v>
      </c>
      <c r="P173" s="540">
        <f ca="1">IF(M173&gt;0,N173*100/M173,0)</f>
        <v>100</v>
      </c>
      <c r="Q173" s="540">
        <f ca="1">Q174+Q175</f>
        <v>0</v>
      </c>
      <c r="R173" s="540">
        <f ca="1">R174+R175</f>
        <v>0</v>
      </c>
      <c r="S173" s="540">
        <f ca="1">S174+S175</f>
        <v>0</v>
      </c>
      <c r="T173" s="540">
        <f ca="1">IF(Q173&gt;0,S173*100/Q173,0)</f>
        <v>0</v>
      </c>
      <c r="U173" s="540">
        <f ca="1">IF(R173&gt;0,S173*100/R173,0)</f>
        <v>0</v>
      </c>
    </row>
    <row r="174" spans="1:21" ht="18.75" hidden="1">
      <c r="A174" s="155"/>
      <c r="B174" s="50"/>
      <c r="C174" s="50"/>
      <c r="D174" s="50"/>
      <c r="E174" s="186" t="s">
        <v>20</v>
      </c>
      <c r="F174" s="50"/>
      <c r="G174" s="52"/>
      <c r="H174" s="187" t="s">
        <v>14</v>
      </c>
      <c r="I174" s="54"/>
      <c r="J174" s="54"/>
      <c r="K174" s="55"/>
      <c r="L174" s="102">
        <f>L177+L180</f>
        <v>0</v>
      </c>
      <c r="M174" s="102">
        <f>M177+M180</f>
        <v>0</v>
      </c>
      <c r="N174" s="102">
        <f>N177+N180</f>
        <v>0</v>
      </c>
      <c r="O174" s="102">
        <f>IF(L174&gt;0,N174*100/L174,0)</f>
        <v>0</v>
      </c>
      <c r="P174" s="102">
        <f>IF(M174&gt;0,N174*100/M174,0)</f>
        <v>0</v>
      </c>
      <c r="Q174" s="102">
        <f>Q177+Q180</f>
        <v>0</v>
      </c>
      <c r="R174" s="102">
        <f>R177+R180</f>
        <v>0</v>
      </c>
      <c r="S174" s="102">
        <f>S177+S180</f>
        <v>0</v>
      </c>
      <c r="T174" s="102">
        <f>IF(Q174&gt;0,S174*100/Q174,0)</f>
        <v>0</v>
      </c>
      <c r="U174" s="102">
        <f>IF(R174&gt;0,S174*100/R174,0)</f>
        <v>0</v>
      </c>
    </row>
    <row r="175" spans="1:21" ht="18.75" hidden="1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255">
        <f ca="1">L178+L181</f>
        <v>19590</v>
      </c>
      <c r="M175" s="255">
        <f ca="1">M178+M181</f>
        <v>35450</v>
      </c>
      <c r="N175" s="255">
        <f ca="1">N178+N181</f>
        <v>35450</v>
      </c>
      <c r="O175" s="255">
        <f ca="1">IF(L175&gt;0,N175*100/L175,0)</f>
        <v>180.95967330270545</v>
      </c>
      <c r="P175" s="255">
        <f ca="1">IF(M175&gt;0,N175*100/M175,0)</f>
        <v>100</v>
      </c>
      <c r="Q175" s="255">
        <f ca="1">Q178+Q181</f>
        <v>0</v>
      </c>
      <c r="R175" s="255">
        <f ca="1">R178+R181</f>
        <v>0</v>
      </c>
      <c r="S175" s="255">
        <f ca="1">S178+S181</f>
        <v>0</v>
      </c>
      <c r="T175" s="255">
        <f ca="1">IF(Q175&gt;0,S175*100/Q175,0)</f>
        <v>0</v>
      </c>
      <c r="U175" s="255">
        <f ca="1">IF(R175&gt;0,S175*100/R175,0)</f>
        <v>0</v>
      </c>
    </row>
    <row r="176" spans="1:21" ht="18.75">
      <c r="A176" s="155"/>
      <c r="B176" s="188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255">
        <f ca="1">L177+L178</f>
        <v>19590</v>
      </c>
      <c r="M176" s="255">
        <f ca="1">M177+M178</f>
        <v>35450</v>
      </c>
      <c r="N176" s="255">
        <f ca="1">N177+N178</f>
        <v>35450</v>
      </c>
      <c r="O176" s="255">
        <f ca="1">IF(L176&gt;0,N176*100/L176,0)</f>
        <v>180.95967330270545</v>
      </c>
      <c r="P176" s="255">
        <f ca="1">IF(M176&gt;0,N176*100/M176,0)</f>
        <v>100</v>
      </c>
      <c r="Q176" s="255">
        <f ca="1">Q177+Q178</f>
        <v>0</v>
      </c>
      <c r="R176" s="255">
        <f ca="1">R177+R178</f>
        <v>0</v>
      </c>
      <c r="S176" s="255">
        <f ca="1">S177+S178</f>
        <v>0</v>
      </c>
      <c r="T176" s="255">
        <f ca="1">IF(Q176&gt;0,S176*100/Q176,0)</f>
        <v>0</v>
      </c>
      <c r="U176" s="255">
        <f ca="1">IF(R176&gt;0,S176*100/R176,0)</f>
        <v>0</v>
      </c>
    </row>
    <row r="177" spans="1:21" ht="18.75" hidden="1">
      <c r="A177" s="155"/>
      <c r="B177" s="50"/>
      <c r="C177" s="188"/>
      <c r="D177" s="188"/>
      <c r="E177" s="186" t="s">
        <v>36</v>
      </c>
      <c r="F177" s="50"/>
      <c r="G177" s="52"/>
      <c r="H177" s="189" t="s">
        <v>14</v>
      </c>
      <c r="I177" s="163"/>
      <c r="J177" s="163"/>
      <c r="K177" s="164"/>
      <c r="L177" s="102">
        <v>0</v>
      </c>
      <c r="M177" s="102">
        <v>0</v>
      </c>
      <c r="N177" s="102">
        <v>0</v>
      </c>
      <c r="O177" s="102">
        <f>IF(L177&gt;0,N177*100/L177,0)</f>
        <v>0</v>
      </c>
      <c r="P177" s="102">
        <f>IF(M177&gt;0,N177*100/M177,0)</f>
        <v>0</v>
      </c>
      <c r="Q177" s="102">
        <v>0</v>
      </c>
      <c r="R177" s="102">
        <v>0</v>
      </c>
      <c r="S177" s="102">
        <v>0</v>
      </c>
      <c r="T177" s="102">
        <f>IF(Q177&gt;0,S177*100/Q177,0)</f>
        <v>0</v>
      </c>
      <c r="U177" s="102">
        <f>IF(R177&gt;0,S177*100/R177,0)</f>
        <v>0</v>
      </c>
    </row>
    <row r="178" spans="1:21" ht="18.75" hidden="1">
      <c r="A178" s="155"/>
      <c r="B178" s="188"/>
      <c r="C178" s="188"/>
      <c r="D178" s="188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255">
        <f ca="1">IFERROR(__xludf.DUMMYFUNCTION("IMPORTRANGE(""https://docs.google.com/spreadsheets/d/1-uDff_7J0KD5mKrp0Vvzr7lt3OU09vwQwhkpOPPYv2Y/edit?usp=sharing"",""งบพรบ!CK47"")"),19590)</f>
        <v>19590</v>
      </c>
      <c r="M178" s="255">
        <f ca="1">IFERROR(__xludf.DUMMYFUNCTION("IMPORTRANGE(""https://docs.google.com/spreadsheets/d/1-uDff_7J0KD5mKrp0Vvzr7lt3OU09vwQwhkpOPPYv2Y/edit?usp=sharing"",""งบพรบ!CP47"")"),35450)</f>
        <v>35450</v>
      </c>
      <c r="N178" s="255">
        <f ca="1">IFERROR(__xludf.DUMMYFUNCTION("IMPORTRANGE(""https://docs.google.com/spreadsheets/d/1-uDff_7J0KD5mKrp0Vvzr7lt3OU09vwQwhkpOPPYv2Y/edit?usp=sharing"",""งบพรบ!CR47"")"),35450)</f>
        <v>35450</v>
      </c>
      <c r="O178" s="255">
        <f ca="1">IF(L178&gt;0,N178*100/L178,0)</f>
        <v>180.95967330270545</v>
      </c>
      <c r="P178" s="255">
        <f ca="1">IF(M178&gt;0,N178*100/M178,0)</f>
        <v>100</v>
      </c>
      <c r="Q178" s="255">
        <f ca="1">IFERROR(__xludf.DUMMYFUNCTION("IMPORTRANGE(""https://docs.google.com/spreadsheets/d/1ItG2mGa2ceCfYo0BwxsXqNm01IGEUdYcSSLTEv9YCik/edit?usp=sharing"",""เบิกจ่ายกองทุน!BE47"")"),0)</f>
        <v>0</v>
      </c>
      <c r="R178" s="255">
        <f ca="1">IFERROR(__xludf.DUMMYFUNCTION("IMPORTRANGE(""https://docs.google.com/spreadsheets/d/1ItG2mGa2ceCfYo0BwxsXqNm01IGEUdYcSSLTEv9YCik/edit?usp=sharing"",""เบิกจ่ายกองทุน!BF47"")"),0)</f>
        <v>0</v>
      </c>
      <c r="S178" s="255">
        <f ca="1">IFERROR(__xludf.DUMMYFUNCTION("IMPORTRANGE(""https://docs.google.com/spreadsheets/d/1ItG2mGa2ceCfYo0BwxsXqNm01IGEUdYcSSLTEv9YCik/edit?usp=sharing"",""เบิกจ่ายกองทุน!BG47"")"),0)</f>
        <v>0</v>
      </c>
      <c r="T178" s="255">
        <f ca="1">IF(Q178&gt;0,S178*100/Q178,0)</f>
        <v>0</v>
      </c>
      <c r="U178" s="255">
        <f ca="1">IF(R178&gt;0,S178*100/R178,0)</f>
        <v>0</v>
      </c>
    </row>
    <row r="179" spans="1:21" ht="18.75">
      <c r="A179" s="155"/>
      <c r="B179" s="50"/>
      <c r="C179" s="188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255">
        <f ca="1">L180+L181</f>
        <v>0</v>
      </c>
      <c r="M179" s="255">
        <f ca="1">M180+M181</f>
        <v>0</v>
      </c>
      <c r="N179" s="255">
        <f ca="1">N180+N181</f>
        <v>0</v>
      </c>
      <c r="O179" s="255">
        <f ca="1">IF(L179&gt;0,N179*100/L179,0)</f>
        <v>0</v>
      </c>
      <c r="P179" s="255">
        <f ca="1">IF(M179&gt;0,N179*100/M179,0)</f>
        <v>0</v>
      </c>
      <c r="Q179" s="255">
        <f>Q180+Q181</f>
        <v>0</v>
      </c>
      <c r="R179" s="255">
        <f>R180+R181</f>
        <v>0</v>
      </c>
      <c r="S179" s="255">
        <f>S180+S181</f>
        <v>0</v>
      </c>
      <c r="T179" s="255">
        <f>IF(Q179&gt;0,S179*100/Q179,0)</f>
        <v>0</v>
      </c>
      <c r="U179" s="255">
        <f>IF(R179&gt;0,S179*100/R179,0)</f>
        <v>0</v>
      </c>
    </row>
    <row r="180" spans="1:21" ht="18.75" hidden="1">
      <c r="A180" s="155"/>
      <c r="B180" s="188"/>
      <c r="C180" s="50"/>
      <c r="D180" s="50"/>
      <c r="E180" s="186" t="s">
        <v>20</v>
      </c>
      <c r="F180" s="50"/>
      <c r="G180" s="52"/>
      <c r="H180" s="189" t="s">
        <v>14</v>
      </c>
      <c r="I180" s="163"/>
      <c r="J180" s="163"/>
      <c r="K180" s="164"/>
      <c r="L180" s="102">
        <v>0</v>
      </c>
      <c r="M180" s="102">
        <v>0</v>
      </c>
      <c r="N180" s="102">
        <v>0</v>
      </c>
      <c r="O180" s="102">
        <f>IF(L180&gt;0,N180*100/L180,0)</f>
        <v>0</v>
      </c>
      <c r="P180" s="102">
        <f>IF(M180&gt;0,N180*100/M180,0)</f>
        <v>0</v>
      </c>
      <c r="Q180" s="102">
        <v>0</v>
      </c>
      <c r="R180" s="102">
        <v>0</v>
      </c>
      <c r="S180" s="102">
        <v>0</v>
      </c>
      <c r="T180" s="102">
        <f>IF(Q180&gt;0,S180*100/Q180,0)</f>
        <v>0</v>
      </c>
      <c r="U180" s="102">
        <f>IF(R180&gt;0,S180*100/R180,0)</f>
        <v>0</v>
      </c>
    </row>
    <row r="181" spans="1:21" ht="18.75" hidden="1">
      <c r="A181" s="155"/>
      <c r="B181" s="50"/>
      <c r="C181" s="188"/>
      <c r="D181" s="188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255">
        <f ca="1">IFERROR(__xludf.DUMMYFUNCTION("IMPORTRANGE(""https://docs.google.com/spreadsheets/d/1-uDff_7J0KD5mKrp0Vvzr7lt3OU09vwQwhkpOPPYv2Y/edit?usp=sharing"",""งบพรบ!CN47"")"),0)</f>
        <v>0</v>
      </c>
      <c r="M181" s="255">
        <f ca="1">IFERROR(__xludf.DUMMYFUNCTION("IMPORTRANGE(""https://docs.google.com/spreadsheets/d/1-uDff_7J0KD5mKrp0Vvzr7lt3OU09vwQwhkpOPPYv2Y/edit?usp=sharing"",""งบพรบ!CQ47"")"),0)</f>
        <v>0</v>
      </c>
      <c r="N181" s="255">
        <f ca="1">IFERROR(__xludf.DUMMYFUNCTION("IMPORTRANGE(""https://docs.google.com/spreadsheets/d/1-uDff_7J0KD5mKrp0Vvzr7lt3OU09vwQwhkpOPPYv2Y/edit?usp=sharing"",""งบพรบ!CS47"")"),0)</f>
        <v>0</v>
      </c>
      <c r="O181" s="255">
        <f ca="1">IF(L181&gt;0,N181*100/L181,0)</f>
        <v>0</v>
      </c>
      <c r="P181" s="255">
        <f ca="1">IF(M181&gt;0,N181*100/M181,0)</f>
        <v>0</v>
      </c>
      <c r="Q181" s="255">
        <v>0</v>
      </c>
      <c r="R181" s="255">
        <v>0</v>
      </c>
      <c r="S181" s="255">
        <v>0</v>
      </c>
      <c r="T181" s="255">
        <f>IF(Q181&gt;0,S181*100/Q181,0)</f>
        <v>0</v>
      </c>
      <c r="U181" s="255">
        <f>IF(R181&gt;0,S181*100/R181,0)</f>
        <v>0</v>
      </c>
    </row>
    <row r="182" spans="1:21" ht="19.5">
      <c r="A182" s="166"/>
      <c r="B182" s="167"/>
      <c r="C182" s="191" t="s">
        <v>18</v>
      </c>
      <c r="D182" s="560" t="s">
        <v>38</v>
      </c>
      <c r="E182" s="169"/>
      <c r="F182" s="169"/>
      <c r="G182" s="170"/>
      <c r="H182" s="206"/>
      <c r="I182" s="54"/>
      <c r="J182" s="54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03" t="s">
        <v>35</v>
      </c>
      <c r="I183" s="212">
        <f ca="1">IFERROR(__xludf.DUMMYFUNCTION("IMPORTRANGE(""https://docs.google.com/spreadsheets/d/1eHaY18a8A9IcSdp1K8H6x8fbOy06t2VsZHhMHf-1x7Y/edit?usp=sharing"",""แผน!AA47"")"),7)</f>
        <v>7</v>
      </c>
      <c r="J183" s="467">
        <v>7</v>
      </c>
      <c r="K183" s="255">
        <f ca="1">IF(I183&gt;0,J183*100/I183,0)</f>
        <v>100</v>
      </c>
      <c r="L183" s="55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8.75" hidden="1">
      <c r="A184" s="238"/>
      <c r="B184" s="188"/>
      <c r="C184" s="188"/>
      <c r="D184" s="358" t="s">
        <v>76</v>
      </c>
      <c r="E184" s="50"/>
      <c r="F184" s="50"/>
      <c r="G184" s="52"/>
      <c r="H184" s="204" t="s">
        <v>35</v>
      </c>
      <c r="I184" s="483">
        <v>0</v>
      </c>
      <c r="J184" s="483">
        <v>0</v>
      </c>
      <c r="K184" s="102">
        <f>IF(I184&gt;0,J184*100/I184,0)</f>
        <v>0</v>
      </c>
      <c r="L184" s="55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835" t="s">
        <v>35</v>
      </c>
      <c r="I185" s="718">
        <f ca="1">I230+I231</f>
        <v>0</v>
      </c>
      <c r="J185" s="718">
        <f>J230+J231</f>
        <v>0</v>
      </c>
      <c r="K185" s="717">
        <f ca="1">IF(I185&gt;0,J185*100/I185,0)</f>
        <v>0</v>
      </c>
      <c r="L185" s="236"/>
      <c r="M185" s="236"/>
      <c r="N185" s="236"/>
      <c r="O185" s="236"/>
      <c r="P185" s="236"/>
      <c r="Q185" s="236"/>
      <c r="R185" s="236"/>
      <c r="S185" s="236"/>
      <c r="T185" s="236"/>
      <c r="U185" s="236"/>
    </row>
    <row r="186" spans="1:21" ht="19.5">
      <c r="A186" s="155"/>
      <c r="B186" s="50"/>
      <c r="C186" s="156" t="s">
        <v>18</v>
      </c>
      <c r="D186" s="575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540">
        <f ca="1">L187+L188</f>
        <v>146500</v>
      </c>
      <c r="M186" s="540">
        <f ca="1">M187+M188</f>
        <v>122500</v>
      </c>
      <c r="N186" s="540">
        <f ca="1">N187+N188</f>
        <v>87044</v>
      </c>
      <c r="O186" s="540">
        <f ca="1">IF(L186&gt;0,N186*100/L186,0)</f>
        <v>59.415699658703069</v>
      </c>
      <c r="P186" s="540">
        <f ca="1">IF(M186&gt;0,N186*100/M186,0)</f>
        <v>71.056326530612239</v>
      </c>
      <c r="Q186" s="540">
        <f ca="1">Q187+Q188</f>
        <v>91700</v>
      </c>
      <c r="R186" s="540">
        <f ca="1">R187+R188</f>
        <v>91700</v>
      </c>
      <c r="S186" s="540">
        <f ca="1">S187+S188</f>
        <v>62775</v>
      </c>
      <c r="T186" s="540">
        <f ca="1">IF(Q186&gt;0,S186*100/Q186,0)</f>
        <v>68.456924754634684</v>
      </c>
      <c r="U186" s="540">
        <f ca="1">IF(R186&gt;0,S186*100/R186,0)</f>
        <v>68.456924754634684</v>
      </c>
    </row>
    <row r="187" spans="1:21" ht="18.75" hidden="1">
      <c r="A187" s="155"/>
      <c r="B187" s="50"/>
      <c r="C187" s="50"/>
      <c r="D187" s="50"/>
      <c r="E187" s="186" t="s">
        <v>20</v>
      </c>
      <c r="F187" s="50"/>
      <c r="G187" s="52"/>
      <c r="H187" s="187" t="s">
        <v>14</v>
      </c>
      <c r="I187" s="54"/>
      <c r="J187" s="54"/>
      <c r="K187" s="55"/>
      <c r="L187" s="102">
        <f>L190+L193</f>
        <v>0</v>
      </c>
      <c r="M187" s="102">
        <f>M190+M193</f>
        <v>0</v>
      </c>
      <c r="N187" s="102">
        <f>N190+N193</f>
        <v>0</v>
      </c>
      <c r="O187" s="102">
        <f>IF(L187&gt;0,N187*100/L187,0)</f>
        <v>0</v>
      </c>
      <c r="P187" s="102">
        <f>IF(M187&gt;0,N187*100/M187,0)</f>
        <v>0</v>
      </c>
      <c r="Q187" s="102">
        <f>Q190+Q193</f>
        <v>0</v>
      </c>
      <c r="R187" s="102">
        <f>R190+R193</f>
        <v>0</v>
      </c>
      <c r="S187" s="102">
        <f>S190+S193</f>
        <v>0</v>
      </c>
      <c r="T187" s="102">
        <f>IF(Q187&gt;0,S187*100/Q187,0)</f>
        <v>0</v>
      </c>
      <c r="U187" s="102">
        <f>IF(R187&gt;0,S187*100/R187,0)</f>
        <v>0</v>
      </c>
    </row>
    <row r="188" spans="1:21" ht="18.75" hidden="1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255">
        <f ca="1">L191+L194</f>
        <v>146500</v>
      </c>
      <c r="M188" s="255">
        <f ca="1">M191+M194</f>
        <v>122500</v>
      </c>
      <c r="N188" s="255">
        <f ca="1">N191+N194</f>
        <v>87044</v>
      </c>
      <c r="O188" s="255">
        <f ca="1">IF(L188&gt;0,N188*100/L188,0)</f>
        <v>59.415699658703069</v>
      </c>
      <c r="P188" s="255">
        <f ca="1">IF(M188&gt;0,N188*100/M188,0)</f>
        <v>71.056326530612239</v>
      </c>
      <c r="Q188" s="255">
        <f ca="1">Q191+Q194</f>
        <v>91700</v>
      </c>
      <c r="R188" s="255">
        <f ca="1">R191+R194</f>
        <v>91700</v>
      </c>
      <c r="S188" s="255">
        <f ca="1">S191+S194</f>
        <v>62775</v>
      </c>
      <c r="T188" s="255">
        <f ca="1">IF(Q188&gt;0,S188*100/Q188,0)</f>
        <v>68.456924754634684</v>
      </c>
      <c r="U188" s="255">
        <f ca="1">IF(R188&gt;0,S188*100/R188,0)</f>
        <v>68.456924754634684</v>
      </c>
    </row>
    <row r="189" spans="1:21" ht="18.75">
      <c r="A189" s="155"/>
      <c r="B189" s="188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255">
        <f ca="1">L190+L191</f>
        <v>146500</v>
      </c>
      <c r="M189" s="255">
        <f ca="1">M190+M191</f>
        <v>122500</v>
      </c>
      <c r="N189" s="255">
        <f ca="1">N190+N191</f>
        <v>87044</v>
      </c>
      <c r="O189" s="255">
        <f ca="1">IF(L189&gt;0,N189*100/L189,0)</f>
        <v>59.415699658703069</v>
      </c>
      <c r="P189" s="255">
        <f ca="1">IF(M189&gt;0,N189*100/M189,0)</f>
        <v>71.056326530612239</v>
      </c>
      <c r="Q189" s="255">
        <f ca="1">Q190+Q191</f>
        <v>91700</v>
      </c>
      <c r="R189" s="255">
        <f ca="1">R190+R191</f>
        <v>91700</v>
      </c>
      <c r="S189" s="255">
        <f ca="1">S190+S191</f>
        <v>62775</v>
      </c>
      <c r="T189" s="255">
        <f ca="1">IF(Q189&gt;0,S189*100/Q189,0)</f>
        <v>68.456924754634684</v>
      </c>
      <c r="U189" s="255">
        <f ca="1">IF(R189&gt;0,S189*100/R189,0)</f>
        <v>68.456924754634684</v>
      </c>
    </row>
    <row r="190" spans="1:21" ht="18.75" hidden="1">
      <c r="A190" s="155"/>
      <c r="B190" s="50"/>
      <c r="C190" s="50"/>
      <c r="D190" s="50"/>
      <c r="E190" s="186" t="s">
        <v>36</v>
      </c>
      <c r="F190" s="50"/>
      <c r="G190" s="52"/>
      <c r="H190" s="189" t="s">
        <v>14</v>
      </c>
      <c r="I190" s="163"/>
      <c r="J190" s="163"/>
      <c r="K190" s="164"/>
      <c r="L190" s="102">
        <v>0</v>
      </c>
      <c r="M190" s="102">
        <v>0</v>
      </c>
      <c r="N190" s="102">
        <v>0</v>
      </c>
      <c r="O190" s="102">
        <f>IF(L190&gt;0,N190*100/L190,0)</f>
        <v>0</v>
      </c>
      <c r="P190" s="102">
        <f>IF(M190&gt;0,N190*100/M190,0)</f>
        <v>0</v>
      </c>
      <c r="Q190" s="102">
        <v>0</v>
      </c>
      <c r="R190" s="102">
        <v>0</v>
      </c>
      <c r="S190" s="102">
        <v>0</v>
      </c>
      <c r="T190" s="102">
        <f>IF(Q190&gt;0,S190*100/Q190,0)</f>
        <v>0</v>
      </c>
      <c r="U190" s="102">
        <f>IF(R190&gt;0,S190*100/R190,0)</f>
        <v>0</v>
      </c>
    </row>
    <row r="191" spans="1:21" ht="18.75" hidden="1">
      <c r="A191" s="155"/>
      <c r="B191" s="188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255">
        <f ca="1">IFERROR(__xludf.DUMMYFUNCTION("IMPORTRANGE(""https://docs.google.com/spreadsheets/d/1-uDff_7J0KD5mKrp0Vvzr7lt3OU09vwQwhkpOPPYv2Y/edit?usp=sharing"",""งบพรบ!CU47"")"),146500)</f>
        <v>146500</v>
      </c>
      <c r="M191" s="255">
        <f ca="1">IFERROR(__xludf.DUMMYFUNCTION("IMPORTRANGE(""https://docs.google.com/spreadsheets/d/1-uDff_7J0KD5mKrp0Vvzr7lt3OU09vwQwhkpOPPYv2Y/edit?usp=sharing"",""งบพรบ!CZ47"")"),122500)</f>
        <v>122500</v>
      </c>
      <c r="N191" s="255">
        <f ca="1">IFERROR(__xludf.DUMMYFUNCTION("IMPORTRANGE(""https://docs.google.com/spreadsheets/d/1-uDff_7J0KD5mKrp0Vvzr7lt3OU09vwQwhkpOPPYv2Y/edit?usp=sharing"",""งบพรบ!DB47"")"),87044)</f>
        <v>87044</v>
      </c>
      <c r="O191" s="255">
        <f ca="1">IF(L191&gt;0,N191*100/L191,0)</f>
        <v>59.415699658703069</v>
      </c>
      <c r="P191" s="255">
        <f ca="1">IF(M191&gt;0,N191*100/M191,0)</f>
        <v>71.056326530612239</v>
      </c>
      <c r="Q191" s="255">
        <f ca="1">IFERROR(__xludf.DUMMYFUNCTION("IMPORTRANGE(""https://docs.google.com/spreadsheets/d/1ItG2mGa2ceCfYo0BwxsXqNm01IGEUdYcSSLTEv9YCik/edit?usp=sharing"",""เบิกจ่ายกองทุน!AV47"")"),91700)</f>
        <v>91700</v>
      </c>
      <c r="R191" s="255">
        <f ca="1">IFERROR(__xludf.DUMMYFUNCTION("IMPORTRANGE(""https://docs.google.com/spreadsheets/d/1ItG2mGa2ceCfYo0BwxsXqNm01IGEUdYcSSLTEv9YCik/edit?usp=sharing"",""เบิกจ่ายกองทุน!AW47"")"),91700)</f>
        <v>91700</v>
      </c>
      <c r="S191" s="255">
        <f ca="1">IFERROR(__xludf.DUMMYFUNCTION("IMPORTRANGE(""https://docs.google.com/spreadsheets/d/1ItG2mGa2ceCfYo0BwxsXqNm01IGEUdYcSSLTEv9YCik/edit?usp=sharing"",""เบิกจ่ายกองทุน!AX47"")"),62775)</f>
        <v>62775</v>
      </c>
      <c r="T191" s="255">
        <f ca="1">IF(Q191&gt;0,S191*100/Q191,0)</f>
        <v>68.456924754634684</v>
      </c>
      <c r="U191" s="255">
        <f ca="1">IF(R191&gt;0,S191*100/R191,0)</f>
        <v>68.456924754634684</v>
      </c>
    </row>
    <row r="192" spans="1:21" ht="18.75">
      <c r="A192" s="155"/>
      <c r="B192" s="188"/>
      <c r="C192" s="188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255">
        <f ca="1">L193+L194</f>
        <v>0</v>
      </c>
      <c r="M192" s="255">
        <f ca="1">M193+M194</f>
        <v>0</v>
      </c>
      <c r="N192" s="255">
        <f ca="1">N193+N194</f>
        <v>0</v>
      </c>
      <c r="O192" s="255">
        <f ca="1">IF(L192&gt;0,N192*100/L192,0)</f>
        <v>0</v>
      </c>
      <c r="P192" s="255">
        <f ca="1">IF(M192&gt;0,N192*100/M192,0)</f>
        <v>0</v>
      </c>
      <c r="Q192" s="255">
        <f>Q193+Q194</f>
        <v>0</v>
      </c>
      <c r="R192" s="255">
        <f>R193+R194</f>
        <v>0</v>
      </c>
      <c r="S192" s="255">
        <f>S193+S194</f>
        <v>0</v>
      </c>
      <c r="T192" s="255">
        <f>IF(Q192&gt;0,S192*100/Q192,0)</f>
        <v>0</v>
      </c>
      <c r="U192" s="255">
        <f>IF(R192&gt;0,S192*100/R192,0)</f>
        <v>0</v>
      </c>
    </row>
    <row r="193" spans="1:21" ht="18.75" hidden="1">
      <c r="A193" s="155"/>
      <c r="B193" s="188"/>
      <c r="C193" s="188"/>
      <c r="D193" s="50"/>
      <c r="E193" s="186" t="s">
        <v>20</v>
      </c>
      <c r="F193" s="50"/>
      <c r="G193" s="52"/>
      <c r="H193" s="189" t="s">
        <v>14</v>
      </c>
      <c r="I193" s="163"/>
      <c r="J193" s="163"/>
      <c r="K193" s="164"/>
      <c r="L193" s="102">
        <v>0</v>
      </c>
      <c r="M193" s="102">
        <v>0</v>
      </c>
      <c r="N193" s="102">
        <v>0</v>
      </c>
      <c r="O193" s="102">
        <f>IF(L193&gt;0,N193*100/L193,0)</f>
        <v>0</v>
      </c>
      <c r="P193" s="102">
        <f>IF(M193&gt;0,N193*100/M193,0)</f>
        <v>0</v>
      </c>
      <c r="Q193" s="102">
        <v>0</v>
      </c>
      <c r="R193" s="102">
        <v>0</v>
      </c>
      <c r="S193" s="102">
        <v>0</v>
      </c>
      <c r="T193" s="102">
        <f>IF(Q193&gt;0,S193*100/Q193,0)</f>
        <v>0</v>
      </c>
      <c r="U193" s="102">
        <f>IF(R193&gt;0,S193*100/R193,0)</f>
        <v>0</v>
      </c>
    </row>
    <row r="194" spans="1:21" ht="18.75" hidden="1">
      <c r="A194" s="155"/>
      <c r="B194" s="188"/>
      <c r="C194" s="188"/>
      <c r="D194" s="188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255">
        <f ca="1">IFERROR(__xludf.DUMMYFUNCTION("IMPORTRANGE(""https://docs.google.com/spreadsheets/d/1-uDff_7J0KD5mKrp0Vvzr7lt3OU09vwQwhkpOPPYv2Y/edit?usp=sharing"",""งบพรบ!CX47"")"),0)</f>
        <v>0</v>
      </c>
      <c r="M194" s="255">
        <f ca="1">IFERROR(__xludf.DUMMYFUNCTION("IMPORTRANGE(""https://docs.google.com/spreadsheets/d/1-uDff_7J0KD5mKrp0Vvzr7lt3OU09vwQwhkpOPPYv2Y/edit?usp=sharing"",""งบพรบ!DA47"")"),0)</f>
        <v>0</v>
      </c>
      <c r="N194" s="255">
        <f ca="1">IFERROR(__xludf.DUMMYFUNCTION("IMPORTRANGE(""https://docs.google.com/spreadsheets/d/1-uDff_7J0KD5mKrp0Vvzr7lt3OU09vwQwhkpOPPYv2Y/edit?usp=sharing"",""งบพรบ!DC47"")"),0)</f>
        <v>0</v>
      </c>
      <c r="O194" s="255">
        <f ca="1">IF(L194&gt;0,N194*100/L194,0)</f>
        <v>0</v>
      </c>
      <c r="P194" s="255">
        <f ca="1">IF(M194&gt;0,N194*100/M194,0)</f>
        <v>0</v>
      </c>
      <c r="Q194" s="255">
        <v>0</v>
      </c>
      <c r="R194" s="255">
        <v>0</v>
      </c>
      <c r="S194" s="255">
        <v>0</v>
      </c>
      <c r="T194" s="255">
        <f>IF(Q194&gt;0,S194*100/Q194,0)</f>
        <v>0</v>
      </c>
      <c r="U194" s="255">
        <f>IF(R194&gt;0,S194*100/R194,0)</f>
        <v>0</v>
      </c>
    </row>
    <row r="195" spans="1:21" ht="19.5">
      <c r="A195" s="241"/>
      <c r="B195" s="242"/>
      <c r="C195" s="844" t="s">
        <v>78</v>
      </c>
      <c r="D195" s="242"/>
      <c r="E195" s="244"/>
      <c r="F195" s="244"/>
      <c r="G195" s="245"/>
      <c r="H195" s="246" t="s">
        <v>79</v>
      </c>
      <c r="I195" s="339">
        <f ca="1">I198</f>
        <v>4</v>
      </c>
      <c r="J195" s="339">
        <f>J198</f>
        <v>2</v>
      </c>
      <c r="K195" s="340">
        <f ca="1">IF(I195&gt;0,J195*100/I195,0)</f>
        <v>50</v>
      </c>
      <c r="L195" s="249"/>
      <c r="M195" s="249"/>
      <c r="N195" s="249"/>
      <c r="O195" s="249"/>
      <c r="P195" s="249"/>
      <c r="Q195" s="249"/>
      <c r="R195" s="249"/>
      <c r="S195" s="249"/>
      <c r="T195" s="249"/>
      <c r="U195" s="249"/>
    </row>
    <row r="196" spans="1:21" ht="19.5">
      <c r="A196" s="155"/>
      <c r="B196" s="188"/>
      <c r="C196" s="191" t="s">
        <v>18</v>
      </c>
      <c r="D196" s="713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540">
        <f ca="1">IFERROR(__xludf.DUMMYFUNCTION("IMPORTRANGE(""https://docs.google.com/spreadsheets/d/1eHaY18a8A9IcSdp1K8H6x8fbOy06t2VsZHhMHf-1x7Y/edit?usp=sharing"",""แผน!AB47"")"),6000)</f>
        <v>6000</v>
      </c>
      <c r="M196" s="55"/>
      <c r="N196" s="716">
        <v>0</v>
      </c>
      <c r="O196" s="540">
        <f ca="1">IF(L196&gt;0,N196*100/L196,0)</f>
        <v>0</v>
      </c>
      <c r="P196" s="540">
        <f>IF(M196&gt;0,N196*100/M196,0)</f>
        <v>0</v>
      </c>
      <c r="Q196" s="55"/>
      <c r="R196" s="55"/>
      <c r="S196" s="55"/>
      <c r="T196" s="55"/>
      <c r="U196" s="55"/>
    </row>
    <row r="197" spans="1:21" ht="19.5">
      <c r="A197" s="166"/>
      <c r="B197" s="167"/>
      <c r="C197" s="191" t="s">
        <v>18</v>
      </c>
      <c r="D197" s="566" t="s">
        <v>38</v>
      </c>
      <c r="E197" s="169"/>
      <c r="F197" s="169"/>
      <c r="G197" s="170"/>
      <c r="H197" s="206"/>
      <c r="I197" s="54"/>
      <c r="J197" s="54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8.75">
      <c r="A198" s="166"/>
      <c r="B198" s="167"/>
      <c r="C198" s="167"/>
      <c r="D198" s="460" t="s">
        <v>80</v>
      </c>
      <c r="E198" s="174"/>
      <c r="F198" s="174"/>
      <c r="G198" s="171"/>
      <c r="H198" s="165" t="s">
        <v>79</v>
      </c>
      <c r="I198" s="212">
        <f ca="1">IFERROR(__xludf.DUMMYFUNCTION("IMPORTRANGE(""https://docs.google.com/spreadsheets/d/1eHaY18a8A9IcSdp1K8H6x8fbOy06t2VsZHhMHf-1x7Y/edit?usp=sharing"",""แผน!AE47"")"),4)</f>
        <v>4</v>
      </c>
      <c r="J198" s="467">
        <v>2</v>
      </c>
      <c r="K198" s="255">
        <f ca="1">IF(I198&gt;0,J198*100/I198,0)</f>
        <v>50</v>
      </c>
      <c r="L198" s="55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8.75">
      <c r="A199" s="166"/>
      <c r="B199" s="167"/>
      <c r="C199" s="167"/>
      <c r="D199" s="460" t="s">
        <v>81</v>
      </c>
      <c r="E199" s="174"/>
      <c r="F199" s="174"/>
      <c r="G199" s="171"/>
      <c r="H199" s="240" t="s">
        <v>35</v>
      </c>
      <c r="I199" s="54"/>
      <c r="J199" s="212">
        <f>J200+J201</f>
        <v>0</v>
      </c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467">
        <v>0</v>
      </c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03" t="s">
        <v>35</v>
      </c>
      <c r="I201" s="54"/>
      <c r="J201" s="467">
        <v>0</v>
      </c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846" t="s">
        <v>85</v>
      </c>
      <c r="I202" s="339">
        <f ca="1">I209</f>
        <v>3</v>
      </c>
      <c r="J202" s="339">
        <f>J209</f>
        <v>3</v>
      </c>
      <c r="K202" s="340">
        <f ca="1">IF(I202&gt;0,J202*100/I202,0)</f>
        <v>100</v>
      </c>
      <c r="L202" s="249"/>
      <c r="M202" s="249"/>
      <c r="N202" s="249"/>
      <c r="O202" s="249"/>
      <c r="P202" s="249"/>
      <c r="Q202" s="249"/>
      <c r="R202" s="249"/>
      <c r="S202" s="249"/>
      <c r="T202" s="249"/>
      <c r="U202" s="249"/>
    </row>
    <row r="203" spans="1:21" ht="19.5">
      <c r="A203" s="155"/>
      <c r="B203" s="188"/>
      <c r="C203" s="191" t="s">
        <v>18</v>
      </c>
      <c r="D203" s="713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540">
        <f ca="1">L204+L205+L206+L207</f>
        <v>13000</v>
      </c>
      <c r="M203" s="55"/>
      <c r="N203" s="540">
        <f>N204+N205+N206+N207</f>
        <v>0</v>
      </c>
      <c r="O203" s="540">
        <f ca="1">IF(L203&gt;0,N203*100/L203,0)</f>
        <v>0</v>
      </c>
      <c r="P203" s="540">
        <f>IF(M203&gt;0,N203*100/M203,0)</f>
        <v>0</v>
      </c>
      <c r="Q203" s="715">
        <f ca="1">Q204+Q205+Q206+Q207</f>
        <v>42000</v>
      </c>
      <c r="R203" s="350"/>
      <c r="S203" s="714">
        <f>S204+S205+S206+S207</f>
        <v>0</v>
      </c>
      <c r="T203" s="714">
        <f ca="1">IF(Q203&gt;0,S203*100/Q203,0)</f>
        <v>0</v>
      </c>
      <c r="U203" s="714">
        <f>IF(R203&gt;0,S203*100/R203,0)</f>
        <v>0</v>
      </c>
    </row>
    <row r="204" spans="1:21" ht="18.75">
      <c r="A204" s="155"/>
      <c r="B204" s="188"/>
      <c r="C204" s="188"/>
      <c r="D204" s="58" t="s">
        <v>310</v>
      </c>
      <c r="E204" s="50"/>
      <c r="F204" s="50"/>
      <c r="G204" s="52"/>
      <c r="H204" s="162" t="s">
        <v>14</v>
      </c>
      <c r="I204" s="163"/>
      <c r="J204" s="163"/>
      <c r="K204" s="164"/>
      <c r="L204" s="255">
        <f ca="1">IFERROR(__xludf.DUMMYFUNCTION("IMPORTRANGE(""https://docs.google.com/spreadsheets/d/1eHaY18a8A9IcSdp1K8H6x8fbOy06t2VsZHhMHf-1x7Y/edit?usp=sharing"",""แผน!AG47"")"),2000)</f>
        <v>2000</v>
      </c>
      <c r="M204" s="55"/>
      <c r="N204" s="702">
        <v>0</v>
      </c>
      <c r="O204" s="164"/>
      <c r="P204" s="55"/>
      <c r="Q204" s="256">
        <v>0</v>
      </c>
      <c r="R204" s="55"/>
      <c r="S204" s="255">
        <v>0</v>
      </c>
      <c r="T204" s="164"/>
      <c r="U204" s="55"/>
    </row>
    <row r="205" spans="1:21" ht="18.75">
      <c r="A205" s="238"/>
      <c r="B205" s="188"/>
      <c r="C205" s="188"/>
      <c r="D205" s="58" t="s">
        <v>308</v>
      </c>
      <c r="E205" s="50"/>
      <c r="F205" s="50"/>
      <c r="G205" s="52"/>
      <c r="H205" s="53" t="s">
        <v>14</v>
      </c>
      <c r="I205" s="54"/>
      <c r="J205" s="54"/>
      <c r="K205" s="55"/>
      <c r="L205" s="255">
        <f ca="1">IFERROR(__xludf.DUMMYFUNCTION("IMPORTRANGE(""https://docs.google.com/spreadsheets/d/1eHaY18a8A9IcSdp1K8H6x8fbOy06t2VsZHhMHf-1x7Y/edit?usp=sharing"",""แผน!AH47"")"),0)</f>
        <v>0</v>
      </c>
      <c r="M205" s="55"/>
      <c r="N205" s="702">
        <v>0</v>
      </c>
      <c r="O205" s="164"/>
      <c r="P205" s="55"/>
      <c r="Q205" s="256">
        <v>0</v>
      </c>
      <c r="R205" s="55"/>
      <c r="S205" s="255">
        <v>0</v>
      </c>
      <c r="T205" s="164"/>
      <c r="U205" s="55"/>
    </row>
    <row r="206" spans="1:21" ht="18.75">
      <c r="A206" s="238"/>
      <c r="B206" s="188"/>
      <c r="C206" s="188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255">
        <f ca="1">IFERROR(__xludf.DUMMYFUNCTION("IMPORTRANGE(""https://docs.google.com/spreadsheets/d/1eHaY18a8A9IcSdp1K8H6x8fbOy06t2VsZHhMHf-1x7Y/edit?usp=sharing"",""แผน!AI47"")"),0)</f>
        <v>0</v>
      </c>
      <c r="M206" s="55"/>
      <c r="N206" s="702">
        <v>0</v>
      </c>
      <c r="O206" s="164"/>
      <c r="P206" s="55"/>
      <c r="Q206" s="256">
        <f ca="1">IFERROR(__xludf.DUMMYFUNCTION("IMPORTRANGE(""https://docs.google.com/spreadsheets/d/1eHaY18a8A9IcSdp1K8H6x8fbOy06t2VsZHhMHf-1x7Y/edit?usp=sharing"",""แผน!LV47"")"),42000)</f>
        <v>42000</v>
      </c>
      <c r="R206" s="55"/>
      <c r="S206" s="702">
        <v>0</v>
      </c>
      <c r="T206" s="164"/>
      <c r="U206" s="55"/>
    </row>
    <row r="207" spans="1:21" ht="18.75">
      <c r="A207" s="238"/>
      <c r="B207" s="188"/>
      <c r="C207" s="188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255">
        <f ca="1">IFERROR(__xludf.DUMMYFUNCTION("IMPORTRANGE(""https://docs.google.com/spreadsheets/d/1eHaY18a8A9IcSdp1K8H6x8fbOy06t2VsZHhMHf-1x7Y/edit?usp=sharing"",""แผน!AJ47"")"),11000)</f>
        <v>11000</v>
      </c>
      <c r="M207" s="55"/>
      <c r="N207" s="702">
        <v>0</v>
      </c>
      <c r="O207" s="164"/>
      <c r="P207" s="55"/>
      <c r="Q207" s="256">
        <v>0</v>
      </c>
      <c r="R207" s="55"/>
      <c r="S207" s="255">
        <v>0</v>
      </c>
      <c r="T207" s="164"/>
      <c r="U207" s="55"/>
    </row>
    <row r="208" spans="1:21" ht="19.5">
      <c r="A208" s="166"/>
      <c r="B208" s="167"/>
      <c r="C208" s="191" t="s">
        <v>18</v>
      </c>
      <c r="D208" s="566" t="s">
        <v>38</v>
      </c>
      <c r="E208" s="169"/>
      <c r="F208" s="169"/>
      <c r="G208" s="170"/>
      <c r="H208" s="206"/>
      <c r="I208" s="163"/>
      <c r="J208" s="163"/>
      <c r="K208" s="164"/>
      <c r="L208" s="164"/>
      <c r="M208" s="164"/>
      <c r="N208" s="164"/>
      <c r="O208" s="164"/>
      <c r="P208" s="164"/>
      <c r="Q208" s="172"/>
      <c r="R208" s="164"/>
      <c r="S208" s="164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845" t="s">
        <v>85</v>
      </c>
      <c r="I209" s="212">
        <f ca="1">IFERROR(__xludf.DUMMYFUNCTION("IMPORTRANGE(""https://docs.google.com/spreadsheets/d/1eHaY18a8A9IcSdp1K8H6x8fbOy06t2VsZHhMHf-1x7Y/edit?usp=sharing"",""แผน!AK47"")"),3)</f>
        <v>3</v>
      </c>
      <c r="J209" s="467">
        <v>3</v>
      </c>
      <c r="K209" s="565">
        <f ca="1">IF(I209&gt;0,J209*100/I209,0)</f>
        <v>100</v>
      </c>
      <c r="L209" s="55"/>
      <c r="M209" s="55"/>
      <c r="N209" s="55"/>
      <c r="O209" s="55"/>
      <c r="P209" s="55"/>
      <c r="Q209" s="62"/>
      <c r="R209" s="55"/>
      <c r="S209" s="55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206"/>
      <c r="I210" s="54"/>
      <c r="J210" s="54"/>
      <c r="K210" s="164"/>
      <c r="L210" s="55"/>
      <c r="M210" s="55"/>
      <c r="N210" s="55"/>
      <c r="O210" s="55"/>
      <c r="P210" s="55"/>
      <c r="Q210" s="62"/>
      <c r="R210" s="55"/>
      <c r="S210" s="55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845" t="s">
        <v>85</v>
      </c>
      <c r="I211" s="212">
        <f ca="1">IFERROR(__xludf.DUMMYFUNCTION("IMPORTRANGE(""https://docs.google.com/spreadsheets/d/1eHaY18a8A9IcSdp1K8H6x8fbOy06t2VsZHhMHf-1x7Y/edit?usp=sharing"",""แผน!JX47"")"),2)</f>
        <v>2</v>
      </c>
      <c r="J211" s="467">
        <v>2</v>
      </c>
      <c r="K211" s="565">
        <f ca="1">IF(I211&gt;0,J211*100/I211,0)</f>
        <v>100</v>
      </c>
      <c r="L211" s="55"/>
      <c r="M211" s="55"/>
      <c r="N211" s="55"/>
      <c r="O211" s="55"/>
      <c r="P211" s="55"/>
      <c r="Q211" s="62"/>
      <c r="R211" s="55"/>
      <c r="S211" s="55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65" t="s">
        <v>93</v>
      </c>
      <c r="I212" s="212">
        <f ca="1">IFERROR(__xludf.DUMMYFUNCTION("IMPORTRANGE(""https://docs.google.com/spreadsheets/d/1eHaY18a8A9IcSdp1K8H6x8fbOy06t2VsZHhMHf-1x7Y/edit?usp=sharing"",""แผน!JY47"")"),1)</f>
        <v>1</v>
      </c>
      <c r="J212" s="467">
        <v>0</v>
      </c>
      <c r="K212" s="565">
        <f ca="1">IF(I212&gt;0,J212*100/I212,0)</f>
        <v>0</v>
      </c>
      <c r="L212" s="55"/>
      <c r="M212" s="55"/>
      <c r="N212" s="55"/>
      <c r="O212" s="55"/>
      <c r="P212" s="55"/>
      <c r="Q212" s="62"/>
      <c r="R212" s="55"/>
      <c r="S212" s="55"/>
      <c r="T212" s="55"/>
      <c r="U212" s="55"/>
    </row>
    <row r="213" spans="1:21" ht="19.5">
      <c r="A213" s="241"/>
      <c r="B213" s="242"/>
      <c r="C213" s="844" t="s">
        <v>94</v>
      </c>
      <c r="D213" s="244"/>
      <c r="E213" s="244"/>
      <c r="F213" s="244"/>
      <c r="G213" s="245"/>
      <c r="H213" s="846" t="s">
        <v>85</v>
      </c>
      <c r="I213" s="339">
        <f ca="1">I220</f>
        <v>1</v>
      </c>
      <c r="J213" s="339">
        <f>J220</f>
        <v>0</v>
      </c>
      <c r="K213" s="340">
        <f ca="1">IF(I213&gt;0,J213*100/I213,0)</f>
        <v>0</v>
      </c>
      <c r="L213" s="249"/>
      <c r="M213" s="249"/>
      <c r="N213" s="249"/>
      <c r="O213" s="249"/>
      <c r="P213" s="249"/>
      <c r="Q213" s="250"/>
      <c r="R213" s="249"/>
      <c r="S213" s="249"/>
      <c r="T213" s="249"/>
      <c r="U213" s="249"/>
    </row>
    <row r="214" spans="1:21" ht="19.5">
      <c r="A214" s="155"/>
      <c r="B214" s="188"/>
      <c r="C214" s="191" t="s">
        <v>18</v>
      </c>
      <c r="D214" s="713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540">
        <f ca="1">L215+L216+L217</f>
        <v>6000</v>
      </c>
      <c r="M214" s="55"/>
      <c r="N214" s="540">
        <f>N215+N216+N217</f>
        <v>0</v>
      </c>
      <c r="O214" s="540">
        <f ca="1">IF(L214&gt;0,N214*100/L214,0)</f>
        <v>0</v>
      </c>
      <c r="P214" s="540">
        <f>IF(M214&gt;0,N214*100/M214,0)</f>
        <v>0</v>
      </c>
      <c r="Q214" s="541">
        <f ca="1">Q215+Q216+Q217</f>
        <v>49700</v>
      </c>
      <c r="R214" s="55"/>
      <c r="S214" s="540">
        <f>S215+S216+S217</f>
        <v>0</v>
      </c>
      <c r="T214" s="540">
        <f ca="1">IF(Q214&gt;0,S214*100/Q214,0)</f>
        <v>0</v>
      </c>
      <c r="U214" s="540">
        <f>IF(R214&gt;0,S214*100/R214,0)</f>
        <v>0</v>
      </c>
    </row>
    <row r="215" spans="1:21" ht="18.75">
      <c r="A215" s="155"/>
      <c r="B215" s="188"/>
      <c r="C215" s="188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255">
        <f ca="1">IFERROR(__xludf.DUMMYFUNCTION("IMPORTRANGE(""https://docs.google.com/spreadsheets/d/1eHaY18a8A9IcSdp1K8H6x8fbOy06t2VsZHhMHf-1x7Y/edit?usp=sharing"",""แผน!AM47"")"),1000)</f>
        <v>1000</v>
      </c>
      <c r="M215" s="55"/>
      <c r="N215" s="702">
        <v>0</v>
      </c>
      <c r="O215" s="164"/>
      <c r="P215" s="55"/>
      <c r="Q215" s="256">
        <v>0</v>
      </c>
      <c r="R215" s="55"/>
      <c r="S215" s="255">
        <v>0</v>
      </c>
      <c r="T215" s="164"/>
      <c r="U215" s="55"/>
    </row>
    <row r="216" spans="1:21" ht="18.75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255">
        <f ca="1">IFERROR(__xludf.DUMMYFUNCTION("IMPORTRANGE(""https://docs.google.com/spreadsheets/d/1eHaY18a8A9IcSdp1K8H6x8fbOy06t2VsZHhMHf-1x7Y/edit?usp=sharing"",""แผน!AN47"")"),5000)</f>
        <v>5000</v>
      </c>
      <c r="M216" s="55"/>
      <c r="N216" s="702">
        <v>0</v>
      </c>
      <c r="O216" s="164"/>
      <c r="P216" s="55"/>
      <c r="Q216" s="256">
        <v>0</v>
      </c>
      <c r="R216" s="55"/>
      <c r="S216" s="255">
        <v>0</v>
      </c>
      <c r="T216" s="164"/>
      <c r="U216" s="55"/>
    </row>
    <row r="217" spans="1:21" ht="18.75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255">
        <f ca="1">IFERROR(__xludf.DUMMYFUNCTION("IMPORTRANGE(""https://docs.google.com/spreadsheets/d/1eHaY18a8A9IcSdp1K8H6x8fbOy06t2VsZHhMHf-1x7Y/edit?usp=sharing"",""แผน!AO47"")"),0)</f>
        <v>0</v>
      </c>
      <c r="M217" s="55"/>
      <c r="N217" s="702">
        <v>0</v>
      </c>
      <c r="O217" s="164"/>
      <c r="P217" s="55"/>
      <c r="Q217" s="256">
        <f ca="1">IFERROR(__xludf.DUMMYFUNCTION("IMPORTRANGE(""https://docs.google.com/spreadsheets/d/1eHaY18a8A9IcSdp1K8H6x8fbOy06t2VsZHhMHf-1x7Y/edit?usp=sharing"",""แผน!LY47"")"),49700)</f>
        <v>49700</v>
      </c>
      <c r="R217" s="55"/>
      <c r="S217" s="702">
        <v>0</v>
      </c>
      <c r="T217" s="164"/>
      <c r="U217" s="55"/>
    </row>
    <row r="218" spans="1:21" ht="19.5">
      <c r="A218" s="166"/>
      <c r="B218" s="167"/>
      <c r="C218" s="191" t="s">
        <v>18</v>
      </c>
      <c r="D218" s="566" t="s">
        <v>38</v>
      </c>
      <c r="E218" s="169"/>
      <c r="F218" s="169"/>
      <c r="G218" s="170"/>
      <c r="H218" s="206"/>
      <c r="I218" s="163"/>
      <c r="J218" s="54"/>
      <c r="K218" s="55"/>
      <c r="L218" s="55"/>
      <c r="M218" s="55"/>
      <c r="N218" s="55"/>
      <c r="O218" s="164"/>
      <c r="P218" s="164"/>
      <c r="Q218" s="62"/>
      <c r="R218" s="55"/>
      <c r="S218" s="55"/>
      <c r="T218" s="164"/>
      <c r="U218" s="164"/>
    </row>
    <row r="219" spans="1:21" ht="18.75">
      <c r="A219" s="166"/>
      <c r="B219" s="167"/>
      <c r="C219" s="167"/>
      <c r="D219" s="173" t="s">
        <v>96</v>
      </c>
      <c r="E219" s="174"/>
      <c r="F219" s="174"/>
      <c r="G219" s="171"/>
      <c r="H219" s="845" t="s">
        <v>85</v>
      </c>
      <c r="I219" s="212">
        <f ca="1">IFERROR(__xludf.DUMMYFUNCTION("IMPORTRANGE(""https://docs.google.com/spreadsheets/d/1eHaY18a8A9IcSdp1K8H6x8fbOy06t2VsZHhMHf-1x7Y/edit?usp=sharing"",""แผน!AP47"")"),1)</f>
        <v>1</v>
      </c>
      <c r="J219" s="467">
        <v>0</v>
      </c>
      <c r="K219" s="255">
        <f ca="1">IF(I219&gt;0,J219*100/I219,0)</f>
        <v>0</v>
      </c>
      <c r="L219" s="55"/>
      <c r="M219" s="55"/>
      <c r="N219" s="55"/>
      <c r="O219" s="55"/>
      <c r="P219" s="55"/>
      <c r="Q219" s="62"/>
      <c r="R219" s="55"/>
      <c r="S219" s="55"/>
      <c r="T219" s="55"/>
      <c r="U219" s="55"/>
    </row>
    <row r="220" spans="1:21" ht="18.75">
      <c r="A220" s="166"/>
      <c r="B220" s="167"/>
      <c r="C220" s="167"/>
      <c r="D220" s="173" t="s">
        <v>97</v>
      </c>
      <c r="E220" s="174"/>
      <c r="F220" s="174"/>
      <c r="G220" s="171"/>
      <c r="H220" s="845" t="s">
        <v>85</v>
      </c>
      <c r="I220" s="212">
        <f ca="1">IFERROR(__xludf.DUMMYFUNCTION("IMPORTRANGE(""https://docs.google.com/spreadsheets/d/1eHaY18a8A9IcSdp1K8H6x8fbOy06t2VsZHhMHf-1x7Y/edit?usp=sharing"",""แผน!AP47"")"),1)</f>
        <v>1</v>
      </c>
      <c r="J220" s="467">
        <v>0</v>
      </c>
      <c r="K220" s="255">
        <f ca="1">IF(I220&gt;0,J220*100/I220,0)</f>
        <v>0</v>
      </c>
      <c r="L220" s="55"/>
      <c r="M220" s="55"/>
      <c r="N220" s="55"/>
      <c r="O220" s="55"/>
      <c r="P220" s="55"/>
      <c r="Q220" s="62"/>
      <c r="R220" s="55"/>
      <c r="S220" s="55"/>
      <c r="T220" s="55"/>
      <c r="U220" s="55"/>
    </row>
    <row r="221" spans="1:21" ht="19.5">
      <c r="A221" s="241"/>
      <c r="B221" s="242"/>
      <c r="C221" s="844" t="s">
        <v>98</v>
      </c>
      <c r="D221" s="244"/>
      <c r="E221" s="244"/>
      <c r="F221" s="244"/>
      <c r="G221" s="245"/>
      <c r="H221" s="830" t="s">
        <v>99</v>
      </c>
      <c r="I221" s="339">
        <f ca="1">I229</f>
        <v>30000</v>
      </c>
      <c r="J221" s="339">
        <f>J229</f>
        <v>0</v>
      </c>
      <c r="K221" s="340">
        <f ca="1">IF(I221&gt;0,J221*100/I221,0)</f>
        <v>0</v>
      </c>
      <c r="L221" s="249"/>
      <c r="M221" s="249"/>
      <c r="N221" s="249"/>
      <c r="O221" s="249"/>
      <c r="P221" s="249"/>
      <c r="Q221" s="249"/>
      <c r="R221" s="249"/>
      <c r="S221" s="249"/>
      <c r="T221" s="249"/>
      <c r="U221" s="249"/>
    </row>
    <row r="222" spans="1:21" ht="19.5">
      <c r="A222" s="155"/>
      <c r="B222" s="188"/>
      <c r="C222" s="191" t="s">
        <v>18</v>
      </c>
      <c r="D222" s="607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540">
        <f ca="1">L223+L224+L225</f>
        <v>6500</v>
      </c>
      <c r="M222" s="55"/>
      <c r="N222" s="540">
        <f>N223+N224+N225</f>
        <v>0</v>
      </c>
      <c r="O222" s="540">
        <f ca="1">IF(L222&gt;0,N222*100/L222,0)</f>
        <v>0</v>
      </c>
      <c r="P222" s="540">
        <f>IF(M222&gt;0,N222*100/M222,0)</f>
        <v>0</v>
      </c>
      <c r="Q222" s="55"/>
      <c r="R222" s="55"/>
      <c r="S222" s="55"/>
      <c r="T222" s="55"/>
      <c r="U222" s="55"/>
    </row>
    <row r="223" spans="1:21" ht="18.75">
      <c r="A223" s="155"/>
      <c r="B223" s="188"/>
      <c r="C223" s="188"/>
      <c r="D223" s="239" t="s">
        <v>309</v>
      </c>
      <c r="E223" s="50"/>
      <c r="F223" s="50"/>
      <c r="G223" s="52"/>
      <c r="H223" s="162" t="s">
        <v>14</v>
      </c>
      <c r="I223" s="163"/>
      <c r="J223" s="163"/>
      <c r="K223" s="164"/>
      <c r="L223" s="255">
        <f ca="1">IFERROR(__xludf.DUMMYFUNCTION("IMPORTRANGE(""https://docs.google.com/spreadsheets/d/1eHaY18a8A9IcSdp1K8H6x8fbOy06t2VsZHhMHf-1x7Y/edit?usp=sharing"",""แผน!AR47"")"),2500)</f>
        <v>2500</v>
      </c>
      <c r="M223" s="55"/>
      <c r="N223" s="702">
        <v>0</v>
      </c>
      <c r="O223" s="164"/>
      <c r="P223" s="55"/>
      <c r="Q223" s="55"/>
      <c r="R223" s="55"/>
      <c r="S223" s="55"/>
      <c r="T223" s="164"/>
      <c r="U223" s="55"/>
    </row>
    <row r="224" spans="1:21" ht="18.75">
      <c r="A224" s="238"/>
      <c r="B224" s="188"/>
      <c r="C224" s="188"/>
      <c r="D224" s="58" t="s">
        <v>308</v>
      </c>
      <c r="E224" s="50"/>
      <c r="F224" s="50"/>
      <c r="G224" s="52"/>
      <c r="H224" s="162" t="s">
        <v>14</v>
      </c>
      <c r="I224" s="54"/>
      <c r="J224" s="54"/>
      <c r="K224" s="55"/>
      <c r="L224" s="255">
        <f ca="1">IFERROR(__xludf.DUMMYFUNCTION("IMPORTRANGE(""https://docs.google.com/spreadsheets/d/1eHaY18a8A9IcSdp1K8H6x8fbOy06t2VsZHhMHf-1x7Y/edit?usp=sharing"",""แผน!AS47"")"),4000)</f>
        <v>4000</v>
      </c>
      <c r="M224" s="55"/>
      <c r="N224" s="702">
        <v>0</v>
      </c>
      <c r="O224" s="164"/>
      <c r="P224" s="55"/>
      <c r="Q224" s="55"/>
      <c r="R224" s="55"/>
      <c r="S224" s="55"/>
      <c r="T224" s="164"/>
      <c r="U224" s="55"/>
    </row>
    <row r="225" spans="1:21" ht="18.75">
      <c r="A225" s="238"/>
      <c r="B225" s="188"/>
      <c r="C225" s="188"/>
      <c r="D225" s="58" t="s">
        <v>88</v>
      </c>
      <c r="E225" s="50"/>
      <c r="F225" s="50"/>
      <c r="G225" s="52"/>
      <c r="H225" s="162" t="s">
        <v>14</v>
      </c>
      <c r="I225" s="54"/>
      <c r="J225" s="54"/>
      <c r="K225" s="55"/>
      <c r="L225" s="255">
        <f ca="1">IFERROR(__xludf.DUMMYFUNCTION("IMPORTRANGE(""https://docs.google.com/spreadsheets/d/1eHaY18a8A9IcSdp1K8H6x8fbOy06t2VsZHhMHf-1x7Y/edit?usp=sharing"",""แผน!AT47"")"),0)</f>
        <v>0</v>
      </c>
      <c r="M225" s="55"/>
      <c r="N225" s="702">
        <v>0</v>
      </c>
      <c r="O225" s="164"/>
      <c r="P225" s="55"/>
      <c r="Q225" s="55"/>
      <c r="R225" s="55"/>
      <c r="S225" s="55"/>
      <c r="T225" s="164"/>
      <c r="U225" s="55"/>
    </row>
    <row r="226" spans="1:21" ht="19.5">
      <c r="A226" s="166"/>
      <c r="B226" s="167"/>
      <c r="C226" s="191" t="s">
        <v>18</v>
      </c>
      <c r="D226" s="560" t="s">
        <v>38</v>
      </c>
      <c r="E226" s="169"/>
      <c r="F226" s="169"/>
      <c r="G226" s="170"/>
      <c r="H226" s="206"/>
      <c r="I226" s="163"/>
      <c r="J226" s="163"/>
      <c r="K226" s="164"/>
      <c r="L226" s="164"/>
      <c r="M226" s="164"/>
      <c r="N226" s="164"/>
      <c r="O226" s="164"/>
      <c r="P226" s="164"/>
      <c r="Q226" s="164"/>
      <c r="R226" s="164"/>
      <c r="S226" s="164"/>
      <c r="T226" s="164"/>
      <c r="U226" s="164"/>
    </row>
    <row r="227" spans="1:21" ht="18.75">
      <c r="A227" s="166"/>
      <c r="B227" s="167"/>
      <c r="C227" s="167"/>
      <c r="D227" s="239" t="s">
        <v>101</v>
      </c>
      <c r="E227" s="174"/>
      <c r="F227" s="174"/>
      <c r="G227" s="171"/>
      <c r="H227" s="206"/>
      <c r="I227" s="54"/>
      <c r="J227" s="54"/>
      <c r="K227" s="164"/>
      <c r="L227" s="164"/>
      <c r="M227" s="164"/>
      <c r="N227" s="164"/>
      <c r="O227" s="164"/>
      <c r="P227" s="164"/>
      <c r="Q227" s="164"/>
      <c r="R227" s="164"/>
      <c r="S227" s="164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65" t="s">
        <v>99</v>
      </c>
      <c r="I228" s="212">
        <f ca="1">IFERROR(__xludf.DUMMYFUNCTION("IMPORTRANGE(""https://docs.google.com/spreadsheets/d/1eHaY18a8A9IcSdp1K8H6x8fbOy06t2VsZHhMHf-1x7Y/edit?usp=sharing"",""แผน!AV47"")"),30000)</f>
        <v>30000</v>
      </c>
      <c r="J228" s="467">
        <v>0</v>
      </c>
      <c r="K228" s="565">
        <f ca="1">IF(I228&gt;0,J228*100/I228,0)</f>
        <v>0</v>
      </c>
      <c r="L228" s="164"/>
      <c r="M228" s="164"/>
      <c r="N228" s="164"/>
      <c r="O228" s="164"/>
      <c r="P228" s="164"/>
      <c r="Q228" s="164"/>
      <c r="R228" s="164"/>
      <c r="S228" s="164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65" t="s">
        <v>99</v>
      </c>
      <c r="I229" s="212">
        <f ca="1">IFERROR(__xludf.DUMMYFUNCTION("IMPORTRANGE(""https://docs.google.com/spreadsheets/d/1eHaY18a8A9IcSdp1K8H6x8fbOy06t2VsZHhMHf-1x7Y/edit?usp=sharing"",""แผน!AV47"")"),30000)</f>
        <v>30000</v>
      </c>
      <c r="J229" s="467">
        <v>0</v>
      </c>
      <c r="K229" s="565">
        <f ca="1">IF(I229&gt;0,J229*100/I229,0)</f>
        <v>0</v>
      </c>
      <c r="L229" s="55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65" t="s">
        <v>35</v>
      </c>
      <c r="I230" s="212">
        <f ca="1">IFERROR(__xludf.DUMMYFUNCTION("IMPORTRANGE(""https://docs.google.com/spreadsheets/d/1eHaY18a8A9IcSdp1K8H6x8fbOy06t2VsZHhMHf-1x7Y/edit?usp=sharing"",""แผน!AU47"")"),0)</f>
        <v>0</v>
      </c>
      <c r="J230" s="467">
        <v>0</v>
      </c>
      <c r="K230" s="565">
        <f ca="1">IF(I230&gt;0,J230*100/I230,0)</f>
        <v>0</v>
      </c>
      <c r="L230" s="55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9.5" hidden="1">
      <c r="A231" s="812"/>
      <c r="B231" s="811"/>
      <c r="C231" s="841" t="s">
        <v>105</v>
      </c>
      <c r="D231" s="810"/>
      <c r="E231" s="810"/>
      <c r="F231" s="810"/>
      <c r="G231" s="809"/>
      <c r="H231" s="840" t="s">
        <v>35</v>
      </c>
      <c r="I231" s="705">
        <f ca="1">I242+I253</f>
        <v>0</v>
      </c>
      <c r="J231" s="705">
        <f>J242+J253</f>
        <v>0</v>
      </c>
      <c r="K231" s="704">
        <f ca="1">IF(I231&gt;0,J231*100/I231,0)</f>
        <v>0</v>
      </c>
      <c r="L231" s="839"/>
      <c r="M231" s="839"/>
      <c r="N231" s="839"/>
      <c r="O231" s="839"/>
      <c r="P231" s="839"/>
      <c r="Q231" s="839"/>
      <c r="R231" s="839"/>
      <c r="S231" s="839"/>
      <c r="T231" s="839"/>
      <c r="U231" s="839"/>
    </row>
    <row r="232" spans="1:21" ht="19.5" hidden="1">
      <c r="A232" s="673"/>
      <c r="B232" s="807"/>
      <c r="C232" s="701" t="s">
        <v>18</v>
      </c>
      <c r="D232" s="562" t="s">
        <v>19</v>
      </c>
      <c r="E232" s="672"/>
      <c r="F232" s="672"/>
      <c r="G232" s="671"/>
      <c r="H232" s="418" t="s">
        <v>14</v>
      </c>
      <c r="I232" s="670"/>
      <c r="J232" s="670"/>
      <c r="K232" s="669"/>
      <c r="L232" s="710">
        <f ca="1">L243+L254</f>
        <v>0</v>
      </c>
      <c r="M232" s="676"/>
      <c r="N232" s="710">
        <f>N243+N254</f>
        <v>0</v>
      </c>
      <c r="O232" s="676"/>
      <c r="P232" s="676"/>
      <c r="Q232" s="676"/>
      <c r="R232" s="676"/>
      <c r="S232" s="676"/>
      <c r="T232" s="676"/>
      <c r="U232" s="676"/>
    </row>
    <row r="233" spans="1:21" ht="18.75" hidden="1">
      <c r="A233" s="673"/>
      <c r="B233" s="807"/>
      <c r="C233" s="807"/>
      <c r="D233" s="358" t="s">
        <v>310</v>
      </c>
      <c r="E233" s="672"/>
      <c r="F233" s="672"/>
      <c r="G233" s="671"/>
      <c r="H233" s="189" t="s">
        <v>14</v>
      </c>
      <c r="I233" s="670"/>
      <c r="J233" s="670"/>
      <c r="K233" s="669"/>
      <c r="L233" s="102">
        <f ca="1">L244+L255</f>
        <v>0</v>
      </c>
      <c r="M233" s="676"/>
      <c r="N233" s="102">
        <f>N244+N255</f>
        <v>0</v>
      </c>
      <c r="O233" s="676"/>
      <c r="P233" s="676"/>
      <c r="Q233" s="843">
        <v>0</v>
      </c>
      <c r="R233" s="842">
        <v>0</v>
      </c>
      <c r="S233" s="842">
        <v>0</v>
      </c>
      <c r="T233" s="676"/>
      <c r="U233" s="676"/>
    </row>
    <row r="234" spans="1:21" ht="18.75" hidden="1">
      <c r="A234" s="808"/>
      <c r="B234" s="807"/>
      <c r="C234" s="807"/>
      <c r="D234" s="358" t="s">
        <v>87</v>
      </c>
      <c r="E234" s="672"/>
      <c r="F234" s="672"/>
      <c r="G234" s="671"/>
      <c r="H234" s="189" t="s">
        <v>14</v>
      </c>
      <c r="I234" s="677"/>
      <c r="J234" s="677"/>
      <c r="K234" s="676"/>
      <c r="L234" s="102">
        <f ca="1">L245+L256</f>
        <v>0</v>
      </c>
      <c r="M234" s="676"/>
      <c r="N234" s="102">
        <f>N245+N256</f>
        <v>0</v>
      </c>
      <c r="O234" s="676"/>
      <c r="P234" s="676"/>
      <c r="Q234" s="103">
        <v>0</v>
      </c>
      <c r="R234" s="102">
        <v>0</v>
      </c>
      <c r="S234" s="102">
        <v>0</v>
      </c>
      <c r="T234" s="676"/>
      <c r="U234" s="676"/>
    </row>
    <row r="235" spans="1:21" ht="18.75" hidden="1">
      <c r="A235" s="808"/>
      <c r="B235" s="807"/>
      <c r="C235" s="807"/>
      <c r="D235" s="358" t="s">
        <v>88</v>
      </c>
      <c r="E235" s="672"/>
      <c r="F235" s="672"/>
      <c r="G235" s="671"/>
      <c r="H235" s="189" t="s">
        <v>14</v>
      </c>
      <c r="I235" s="677"/>
      <c r="J235" s="677"/>
      <c r="K235" s="676"/>
      <c r="L235" s="102">
        <f ca="1">L246+L257</f>
        <v>0</v>
      </c>
      <c r="M235" s="676"/>
      <c r="N235" s="102">
        <f>N246+N257</f>
        <v>0</v>
      </c>
      <c r="O235" s="676"/>
      <c r="P235" s="676"/>
      <c r="Q235" s="103">
        <v>0</v>
      </c>
      <c r="R235" s="102">
        <v>0</v>
      </c>
      <c r="S235" s="102">
        <v>0</v>
      </c>
      <c r="T235" s="676"/>
      <c r="U235" s="676"/>
    </row>
    <row r="236" spans="1:21" ht="18.75" hidden="1">
      <c r="A236" s="808"/>
      <c r="B236" s="807"/>
      <c r="C236" s="807"/>
      <c r="D236" s="186" t="s">
        <v>89</v>
      </c>
      <c r="E236" s="672"/>
      <c r="F236" s="672"/>
      <c r="G236" s="671"/>
      <c r="H236" s="189" t="s">
        <v>14</v>
      </c>
      <c r="I236" s="677"/>
      <c r="J236" s="677"/>
      <c r="K236" s="676"/>
      <c r="L236" s="102">
        <f ca="1">L247+L258</f>
        <v>0</v>
      </c>
      <c r="M236" s="676"/>
      <c r="N236" s="102">
        <f>N247+N258</f>
        <v>0</v>
      </c>
      <c r="O236" s="676"/>
      <c r="P236" s="676"/>
      <c r="Q236" s="103">
        <v>0</v>
      </c>
      <c r="R236" s="102">
        <v>0</v>
      </c>
      <c r="S236" s="102">
        <v>0</v>
      </c>
      <c r="T236" s="676"/>
      <c r="U236" s="676"/>
    </row>
    <row r="237" spans="1:21" ht="19.5" hidden="1">
      <c r="A237" s="804"/>
      <c r="B237" s="803"/>
      <c r="C237" s="701" t="s">
        <v>18</v>
      </c>
      <c r="D237" s="813" t="s">
        <v>38</v>
      </c>
      <c r="E237" s="806"/>
      <c r="F237" s="806"/>
      <c r="G237" s="805"/>
      <c r="H237" s="837"/>
      <c r="I237" s="670"/>
      <c r="J237" s="677"/>
      <c r="K237" s="676"/>
      <c r="L237" s="676"/>
      <c r="M237" s="676"/>
      <c r="N237" s="676"/>
      <c r="O237" s="669"/>
      <c r="P237" s="669"/>
      <c r="Q237" s="676"/>
      <c r="R237" s="676"/>
      <c r="S237" s="676"/>
      <c r="T237" s="669"/>
      <c r="U237" s="669"/>
    </row>
    <row r="238" spans="1:21" ht="18.75" hidden="1">
      <c r="A238" s="804"/>
      <c r="B238" s="803"/>
      <c r="C238" s="803"/>
      <c r="D238" s="423" t="s">
        <v>108</v>
      </c>
      <c r="E238" s="802"/>
      <c r="F238" s="802"/>
      <c r="G238" s="801"/>
      <c r="H238" s="421" t="s">
        <v>35</v>
      </c>
      <c r="I238" s="483">
        <f ca="1">I249+I260</f>
        <v>0</v>
      </c>
      <c r="J238" s="483">
        <f>J249+J260</f>
        <v>0</v>
      </c>
      <c r="K238" s="102">
        <f ca="1">IF(I238&gt;0,J238*100/I238,0)</f>
        <v>0</v>
      </c>
      <c r="L238" s="676"/>
      <c r="M238" s="676"/>
      <c r="N238" s="676"/>
      <c r="O238" s="676"/>
      <c r="P238" s="676"/>
      <c r="Q238" s="676"/>
      <c r="R238" s="676"/>
      <c r="S238" s="676"/>
      <c r="T238" s="676"/>
      <c r="U238" s="676"/>
    </row>
    <row r="239" spans="1:21" ht="18.75" hidden="1">
      <c r="A239" s="804"/>
      <c r="B239" s="803"/>
      <c r="C239" s="803"/>
      <c r="D239" s="700" t="s">
        <v>43</v>
      </c>
      <c r="E239" s="802"/>
      <c r="F239" s="802"/>
      <c r="G239" s="801"/>
      <c r="H239" s="837"/>
      <c r="I239" s="677"/>
      <c r="J239" s="677"/>
      <c r="K239" s="676"/>
      <c r="L239" s="676"/>
      <c r="M239" s="676"/>
      <c r="N239" s="676"/>
      <c r="O239" s="669"/>
      <c r="P239" s="669"/>
      <c r="Q239" s="676"/>
      <c r="R239" s="676"/>
      <c r="S239" s="676"/>
      <c r="T239" s="669"/>
      <c r="U239" s="669"/>
    </row>
    <row r="240" spans="1:21" ht="18.75" hidden="1">
      <c r="A240" s="804"/>
      <c r="B240" s="803"/>
      <c r="C240" s="803"/>
      <c r="D240" s="803"/>
      <c r="E240" s="699" t="s">
        <v>109</v>
      </c>
      <c r="F240" s="802"/>
      <c r="G240" s="801"/>
      <c r="H240" s="421" t="s">
        <v>35</v>
      </c>
      <c r="I240" s="483">
        <f ca="1">I251+I262</f>
        <v>0</v>
      </c>
      <c r="J240" s="483">
        <f>J251+J262</f>
        <v>0</v>
      </c>
      <c r="K240" s="102">
        <f ca="1">IF(I240&gt;0,J240*100/I240,0)</f>
        <v>0</v>
      </c>
      <c r="L240" s="676"/>
      <c r="M240" s="676"/>
      <c r="N240" s="676"/>
      <c r="O240" s="676"/>
      <c r="P240" s="676"/>
      <c r="Q240" s="676"/>
      <c r="R240" s="676"/>
      <c r="S240" s="676"/>
      <c r="T240" s="676"/>
      <c r="U240" s="676"/>
    </row>
    <row r="241" spans="1:21" ht="18.75" hidden="1">
      <c r="A241" s="804"/>
      <c r="B241" s="803"/>
      <c r="C241" s="803"/>
      <c r="D241" s="803"/>
      <c r="E241" s="699" t="s">
        <v>110</v>
      </c>
      <c r="F241" s="802"/>
      <c r="G241" s="801"/>
      <c r="H241" s="421" t="s">
        <v>61</v>
      </c>
      <c r="I241" s="483">
        <f ca="1">I252+I263</f>
        <v>0</v>
      </c>
      <c r="J241" s="483">
        <f>J252+J263</f>
        <v>0</v>
      </c>
      <c r="K241" s="102">
        <f ca="1">IF(I241&gt;0,J241*100/I241,0)</f>
        <v>0</v>
      </c>
      <c r="L241" s="676"/>
      <c r="M241" s="676"/>
      <c r="N241" s="676"/>
      <c r="O241" s="676"/>
      <c r="P241" s="676"/>
      <c r="Q241" s="676"/>
      <c r="R241" s="676"/>
      <c r="S241" s="676"/>
      <c r="T241" s="676"/>
      <c r="U241" s="676"/>
    </row>
    <row r="242" spans="1:21" ht="19.5" hidden="1">
      <c r="A242" s="812"/>
      <c r="B242" s="811"/>
      <c r="C242" s="841" t="s">
        <v>332</v>
      </c>
      <c r="D242" s="810"/>
      <c r="E242" s="810"/>
      <c r="F242" s="810"/>
      <c r="G242" s="809"/>
      <c r="H242" s="840" t="s">
        <v>35</v>
      </c>
      <c r="I242" s="705">
        <f ca="1">I249</f>
        <v>0</v>
      </c>
      <c r="J242" s="705">
        <f>J249</f>
        <v>0</v>
      </c>
      <c r="K242" s="704">
        <f ca="1">IF(I242&gt;0,J242*100/I242,0)</f>
        <v>0</v>
      </c>
      <c r="L242" s="839"/>
      <c r="M242" s="839"/>
      <c r="N242" s="839"/>
      <c r="O242" s="839"/>
      <c r="P242" s="839"/>
      <c r="Q242" s="839"/>
      <c r="R242" s="839"/>
      <c r="S242" s="839"/>
      <c r="T242" s="839"/>
      <c r="U242" s="839"/>
    </row>
    <row r="243" spans="1:21" ht="19.5" hidden="1">
      <c r="A243" s="673"/>
      <c r="B243" s="807"/>
      <c r="C243" s="701" t="s">
        <v>18</v>
      </c>
      <c r="D243" s="562" t="s">
        <v>19</v>
      </c>
      <c r="E243" s="672"/>
      <c r="F243" s="672"/>
      <c r="G243" s="671"/>
      <c r="H243" s="418" t="s">
        <v>14</v>
      </c>
      <c r="I243" s="670"/>
      <c r="J243" s="670"/>
      <c r="K243" s="669"/>
      <c r="L243" s="710">
        <f ca="1">L244+L245+L246+L247</f>
        <v>0</v>
      </c>
      <c r="M243" s="676"/>
      <c r="N243" s="710">
        <f>N244+N245+N246+N247</f>
        <v>0</v>
      </c>
      <c r="O243" s="710">
        <f ca="1">IF(L243&gt;0,N243*100/L243,0)</f>
        <v>0</v>
      </c>
      <c r="P243" s="710">
        <f>IF(M243&gt;0,N243*100/M243,0)</f>
        <v>0</v>
      </c>
      <c r="Q243" s="676"/>
      <c r="R243" s="676"/>
      <c r="S243" s="676"/>
      <c r="T243" s="676"/>
      <c r="U243" s="676"/>
    </row>
    <row r="244" spans="1:21" ht="18.75" hidden="1">
      <c r="A244" s="673"/>
      <c r="B244" s="807"/>
      <c r="C244" s="807"/>
      <c r="D244" s="358" t="s">
        <v>310</v>
      </c>
      <c r="E244" s="672"/>
      <c r="F244" s="672"/>
      <c r="G244" s="671"/>
      <c r="H244" s="189" t="s">
        <v>14</v>
      </c>
      <c r="I244" s="670"/>
      <c r="J244" s="670"/>
      <c r="K244" s="669"/>
      <c r="L244" s="102">
        <f ca="1">IFERROR(__xludf.DUMMYFUNCTION("IMPORTRANGE(""https://docs.google.com/spreadsheets/d/1eHaY18a8A9IcSdp1K8H6x8fbOy06t2VsZHhMHf-1x7Y/edit?usp=sharing"",""แผน!AX47"")"),0)</f>
        <v>0</v>
      </c>
      <c r="M244" s="676"/>
      <c r="N244" s="838">
        <v>0</v>
      </c>
      <c r="O244" s="676"/>
      <c r="P244" s="676"/>
      <c r="Q244" s="676"/>
      <c r="R244" s="676"/>
      <c r="S244" s="676"/>
      <c r="T244" s="676"/>
      <c r="U244" s="676"/>
    </row>
    <row r="245" spans="1:21" ht="18.75" hidden="1">
      <c r="A245" s="808"/>
      <c r="B245" s="807"/>
      <c r="C245" s="807"/>
      <c r="D245" s="358" t="s">
        <v>87</v>
      </c>
      <c r="E245" s="672"/>
      <c r="F245" s="672"/>
      <c r="G245" s="671"/>
      <c r="H245" s="189" t="s">
        <v>14</v>
      </c>
      <c r="I245" s="677"/>
      <c r="J245" s="677"/>
      <c r="K245" s="676"/>
      <c r="L245" s="102">
        <f ca="1">IFERROR(__xludf.DUMMYFUNCTION("IMPORTRANGE(""https://docs.google.com/spreadsheets/d/1eHaY18a8A9IcSdp1K8H6x8fbOy06t2VsZHhMHf-1x7Y/edit?usp=sharing"",""แผน!AY47"")"),0)</f>
        <v>0</v>
      </c>
      <c r="M245" s="676"/>
      <c r="N245" s="838">
        <v>0</v>
      </c>
      <c r="O245" s="676"/>
      <c r="P245" s="676"/>
      <c r="Q245" s="676"/>
      <c r="R245" s="676"/>
      <c r="S245" s="676"/>
      <c r="T245" s="676"/>
      <c r="U245" s="676"/>
    </row>
    <row r="246" spans="1:21" ht="18.75" hidden="1">
      <c r="A246" s="808"/>
      <c r="B246" s="807"/>
      <c r="C246" s="807"/>
      <c r="D246" s="358" t="s">
        <v>88</v>
      </c>
      <c r="E246" s="672"/>
      <c r="F246" s="672"/>
      <c r="G246" s="671"/>
      <c r="H246" s="189" t="s">
        <v>14</v>
      </c>
      <c r="I246" s="677"/>
      <c r="J246" s="677"/>
      <c r="K246" s="676"/>
      <c r="L246" s="102">
        <f ca="1">IFERROR(__xludf.DUMMYFUNCTION("IMPORTRANGE(""https://docs.google.com/spreadsheets/d/1eHaY18a8A9IcSdp1K8H6x8fbOy06t2VsZHhMHf-1x7Y/edit?usp=sharing"",""แผน!AZ47"")"),0)</f>
        <v>0</v>
      </c>
      <c r="M246" s="676"/>
      <c r="N246" s="838">
        <v>0</v>
      </c>
      <c r="O246" s="676"/>
      <c r="P246" s="676"/>
      <c r="Q246" s="676"/>
      <c r="R246" s="676"/>
      <c r="S246" s="676"/>
      <c r="T246" s="676"/>
      <c r="U246" s="676"/>
    </row>
    <row r="247" spans="1:21" ht="18.75" hidden="1">
      <c r="A247" s="808"/>
      <c r="B247" s="807"/>
      <c r="C247" s="807"/>
      <c r="D247" s="186" t="s">
        <v>89</v>
      </c>
      <c r="E247" s="672"/>
      <c r="F247" s="672"/>
      <c r="G247" s="671"/>
      <c r="H247" s="189" t="s">
        <v>14</v>
      </c>
      <c r="I247" s="677"/>
      <c r="J247" s="677"/>
      <c r="K247" s="676"/>
      <c r="L247" s="102">
        <f ca="1">IFERROR(__xludf.DUMMYFUNCTION("IMPORTRANGE(""https://docs.google.com/spreadsheets/d/1eHaY18a8A9IcSdp1K8H6x8fbOy06t2VsZHhMHf-1x7Y/edit?usp=sharing"",""แผน!BA47"")"),0)</f>
        <v>0</v>
      </c>
      <c r="M247" s="676"/>
      <c r="N247" s="838">
        <v>0</v>
      </c>
      <c r="O247" s="676"/>
      <c r="P247" s="676"/>
      <c r="Q247" s="676"/>
      <c r="R247" s="676"/>
      <c r="S247" s="676"/>
      <c r="T247" s="676"/>
      <c r="U247" s="676"/>
    </row>
    <row r="248" spans="1:21" ht="19.5" hidden="1">
      <c r="A248" s="804"/>
      <c r="B248" s="803"/>
      <c r="C248" s="701" t="s">
        <v>18</v>
      </c>
      <c r="D248" s="813" t="s">
        <v>38</v>
      </c>
      <c r="E248" s="806"/>
      <c r="F248" s="806"/>
      <c r="G248" s="805"/>
      <c r="H248" s="837"/>
      <c r="I248" s="670"/>
      <c r="J248" s="677"/>
      <c r="K248" s="676"/>
      <c r="L248" s="676"/>
      <c r="M248" s="676"/>
      <c r="N248" s="676"/>
      <c r="O248" s="669"/>
      <c r="P248" s="669"/>
      <c r="Q248" s="676"/>
      <c r="R248" s="676"/>
      <c r="S248" s="676"/>
      <c r="T248" s="669"/>
      <c r="U248" s="669"/>
    </row>
    <row r="249" spans="1:21" ht="18.75" hidden="1">
      <c r="A249" s="804"/>
      <c r="B249" s="803"/>
      <c r="C249" s="803"/>
      <c r="D249" s="423" t="s">
        <v>108</v>
      </c>
      <c r="E249" s="802"/>
      <c r="F249" s="802"/>
      <c r="G249" s="801"/>
      <c r="H249" s="421" t="s">
        <v>35</v>
      </c>
      <c r="I249" s="483">
        <f ca="1">IFERROR(__xludf.DUMMYFUNCTION("IMPORTRANGE(""https://docs.google.com/spreadsheets/d/1eHaY18a8A9IcSdp1K8H6x8fbOy06t2VsZHhMHf-1x7Y/edit?usp=sharing"",""แผน!BG47"")"),0)</f>
        <v>0</v>
      </c>
      <c r="J249" s="589">
        <v>0</v>
      </c>
      <c r="K249" s="102">
        <f ca="1">IF(I249&gt;0,J249*100/I249,0)</f>
        <v>0</v>
      </c>
      <c r="L249" s="676"/>
      <c r="M249" s="676"/>
      <c r="N249" s="676"/>
      <c r="O249" s="676"/>
      <c r="P249" s="676"/>
      <c r="Q249" s="676"/>
      <c r="R249" s="676"/>
      <c r="S249" s="676"/>
      <c r="T249" s="676"/>
      <c r="U249" s="676"/>
    </row>
    <row r="250" spans="1:21" ht="18.75" hidden="1">
      <c r="A250" s="804"/>
      <c r="B250" s="803"/>
      <c r="C250" s="803"/>
      <c r="D250" s="700" t="s">
        <v>43</v>
      </c>
      <c r="E250" s="802"/>
      <c r="F250" s="802"/>
      <c r="G250" s="801"/>
      <c r="H250" s="837"/>
      <c r="I250" s="677"/>
      <c r="J250" s="677"/>
      <c r="K250" s="676"/>
      <c r="L250" s="676"/>
      <c r="M250" s="676"/>
      <c r="N250" s="676"/>
      <c r="O250" s="669"/>
      <c r="P250" s="669"/>
      <c r="Q250" s="676"/>
      <c r="R250" s="676"/>
      <c r="S250" s="676"/>
      <c r="T250" s="669"/>
      <c r="U250" s="669"/>
    </row>
    <row r="251" spans="1:21" ht="18.75" hidden="1">
      <c r="A251" s="804"/>
      <c r="B251" s="803"/>
      <c r="C251" s="803"/>
      <c r="D251" s="803"/>
      <c r="E251" s="699" t="s">
        <v>331</v>
      </c>
      <c r="F251" s="802"/>
      <c r="G251" s="801"/>
      <c r="H251" s="421" t="s">
        <v>35</v>
      </c>
      <c r="I251" s="483">
        <f ca="1">IFERROR(__xludf.DUMMYFUNCTION("IMPORTRANGE(""https://docs.google.com/spreadsheets/d/1eHaY18a8A9IcSdp1K8H6x8fbOy06t2VsZHhMHf-1x7Y/edit?usp=sharing"",""แผน!KB47"")"),0)</f>
        <v>0</v>
      </c>
      <c r="J251" s="589">
        <v>0</v>
      </c>
      <c r="K251" s="102">
        <f ca="1">IF(I251&gt;0,J251*100/I251,0)</f>
        <v>0</v>
      </c>
      <c r="L251" s="676"/>
      <c r="M251" s="676"/>
      <c r="N251" s="676"/>
      <c r="O251" s="676"/>
      <c r="P251" s="676"/>
      <c r="Q251" s="676"/>
      <c r="R251" s="676"/>
      <c r="S251" s="676"/>
      <c r="T251" s="676"/>
      <c r="U251" s="676"/>
    </row>
    <row r="252" spans="1:21" ht="18.75" hidden="1">
      <c r="A252" s="804"/>
      <c r="B252" s="803"/>
      <c r="C252" s="803"/>
      <c r="D252" s="803"/>
      <c r="E252" s="699" t="s">
        <v>330</v>
      </c>
      <c r="F252" s="802"/>
      <c r="G252" s="801"/>
      <c r="H252" s="421" t="s">
        <v>35</v>
      </c>
      <c r="I252" s="483">
        <f ca="1">IFERROR(__xludf.DUMMYFUNCTION("IMPORTRANGE(""https://docs.google.com/spreadsheets/d/1eHaY18a8A9IcSdp1K8H6x8fbOy06t2VsZHhMHf-1x7Y/edit?usp=sharing"",""แผน!KC47"")"),0)</f>
        <v>0</v>
      </c>
      <c r="J252" s="589">
        <v>0</v>
      </c>
      <c r="K252" s="102">
        <f ca="1">IF(I252&gt;0,J252*100/I252,0)</f>
        <v>0</v>
      </c>
      <c r="L252" s="676"/>
      <c r="M252" s="676"/>
      <c r="N252" s="676"/>
      <c r="O252" s="676"/>
      <c r="P252" s="676"/>
      <c r="Q252" s="676"/>
      <c r="R252" s="676"/>
      <c r="S252" s="676"/>
      <c r="T252" s="676"/>
      <c r="U252" s="676"/>
    </row>
    <row r="253" spans="1:21" ht="19.5" hidden="1">
      <c r="A253" s="812"/>
      <c r="B253" s="811"/>
      <c r="C253" s="841" t="s">
        <v>329</v>
      </c>
      <c r="D253" s="810"/>
      <c r="E253" s="810"/>
      <c r="F253" s="810"/>
      <c r="G253" s="809"/>
      <c r="H253" s="840" t="s">
        <v>35</v>
      </c>
      <c r="I253" s="705">
        <f ca="1">I260</f>
        <v>0</v>
      </c>
      <c r="J253" s="705">
        <f>J260</f>
        <v>0</v>
      </c>
      <c r="K253" s="704">
        <f ca="1">IF(I253&gt;0,J253*100/I253,0)</f>
        <v>0</v>
      </c>
      <c r="L253" s="839"/>
      <c r="M253" s="839"/>
      <c r="N253" s="839"/>
      <c r="O253" s="839"/>
      <c r="P253" s="839"/>
      <c r="Q253" s="839"/>
      <c r="R253" s="839"/>
      <c r="S253" s="839"/>
      <c r="T253" s="839"/>
      <c r="U253" s="839"/>
    </row>
    <row r="254" spans="1:21" ht="19.5" hidden="1">
      <c r="A254" s="673"/>
      <c r="B254" s="807"/>
      <c r="C254" s="701" t="s">
        <v>18</v>
      </c>
      <c r="D254" s="703" t="s">
        <v>19</v>
      </c>
      <c r="E254" s="672"/>
      <c r="F254" s="672"/>
      <c r="G254" s="671"/>
      <c r="H254" s="418" t="s">
        <v>14</v>
      </c>
      <c r="I254" s="670"/>
      <c r="J254" s="670"/>
      <c r="K254" s="669"/>
      <c r="L254" s="710">
        <f ca="1">L255+L256+L257+L258</f>
        <v>0</v>
      </c>
      <c r="M254" s="676"/>
      <c r="N254" s="710">
        <f>N255+N256+N257+N258</f>
        <v>0</v>
      </c>
      <c r="O254" s="710">
        <f ca="1">IF(L254&gt;0,N254*100/L254,0)</f>
        <v>0</v>
      </c>
      <c r="P254" s="710">
        <f>IF(M254&gt;0,N254*100/M254,0)</f>
        <v>0</v>
      </c>
      <c r="Q254" s="676"/>
      <c r="R254" s="676"/>
      <c r="S254" s="676"/>
      <c r="T254" s="676"/>
      <c r="U254" s="676"/>
    </row>
    <row r="255" spans="1:21" ht="18.75" hidden="1">
      <c r="A255" s="673"/>
      <c r="B255" s="807"/>
      <c r="C255" s="807"/>
      <c r="D255" s="358" t="s">
        <v>310</v>
      </c>
      <c r="E255" s="672"/>
      <c r="F255" s="672"/>
      <c r="G255" s="671"/>
      <c r="H255" s="189" t="s">
        <v>14</v>
      </c>
      <c r="I255" s="670"/>
      <c r="J255" s="670"/>
      <c r="K255" s="669"/>
      <c r="L255" s="102">
        <f ca="1">IFERROR(__xludf.DUMMYFUNCTION("IMPORTRANGE(""https://docs.google.com/spreadsheets/d/1eHaY18a8A9IcSdp1K8H6x8fbOy06t2VsZHhMHf-1x7Y/edit?usp=sharing"",""แผน!BB47"")"),0)</f>
        <v>0</v>
      </c>
      <c r="M255" s="676"/>
      <c r="N255" s="838">
        <v>0</v>
      </c>
      <c r="O255" s="676"/>
      <c r="P255" s="676"/>
      <c r="Q255" s="676"/>
      <c r="R255" s="676"/>
      <c r="S255" s="676"/>
      <c r="T255" s="676"/>
      <c r="U255" s="676"/>
    </row>
    <row r="256" spans="1:21" ht="18.75" hidden="1">
      <c r="A256" s="808"/>
      <c r="B256" s="807"/>
      <c r="C256" s="807"/>
      <c r="D256" s="358" t="s">
        <v>87</v>
      </c>
      <c r="E256" s="672"/>
      <c r="F256" s="672"/>
      <c r="G256" s="671"/>
      <c r="H256" s="189" t="s">
        <v>14</v>
      </c>
      <c r="I256" s="677"/>
      <c r="J256" s="677"/>
      <c r="K256" s="676"/>
      <c r="L256" s="102">
        <f ca="1">IFERROR(__xludf.DUMMYFUNCTION("IMPORTRANGE(""https://docs.google.com/spreadsheets/d/1eHaY18a8A9IcSdp1K8H6x8fbOy06t2VsZHhMHf-1x7Y/edit?usp=sharing"",""แผน!BC47"")"),0)</f>
        <v>0</v>
      </c>
      <c r="M256" s="676"/>
      <c r="N256" s="838">
        <v>0</v>
      </c>
      <c r="O256" s="676"/>
      <c r="P256" s="676"/>
      <c r="Q256" s="676"/>
      <c r="R256" s="676"/>
      <c r="S256" s="676"/>
      <c r="T256" s="676"/>
      <c r="U256" s="676"/>
    </row>
    <row r="257" spans="1:21" ht="18.75" hidden="1">
      <c r="A257" s="808"/>
      <c r="B257" s="807"/>
      <c r="C257" s="807"/>
      <c r="D257" s="358" t="s">
        <v>88</v>
      </c>
      <c r="E257" s="672"/>
      <c r="F257" s="672"/>
      <c r="G257" s="671"/>
      <c r="H257" s="189" t="s">
        <v>14</v>
      </c>
      <c r="I257" s="677"/>
      <c r="J257" s="677"/>
      <c r="K257" s="676"/>
      <c r="L257" s="102">
        <f ca="1">IFERROR(__xludf.DUMMYFUNCTION("IMPORTRANGE(""https://docs.google.com/spreadsheets/d/1eHaY18a8A9IcSdp1K8H6x8fbOy06t2VsZHhMHf-1x7Y/edit?usp=sharing"",""แผน!BD47"")"),0)</f>
        <v>0</v>
      </c>
      <c r="M257" s="676"/>
      <c r="N257" s="838">
        <v>0</v>
      </c>
      <c r="O257" s="676"/>
      <c r="P257" s="676"/>
      <c r="Q257" s="676"/>
      <c r="R257" s="676"/>
      <c r="S257" s="676"/>
      <c r="T257" s="676"/>
      <c r="U257" s="676"/>
    </row>
    <row r="258" spans="1:21" ht="18.75" hidden="1">
      <c r="A258" s="808"/>
      <c r="B258" s="807"/>
      <c r="C258" s="807"/>
      <c r="D258" s="186" t="s">
        <v>89</v>
      </c>
      <c r="E258" s="672"/>
      <c r="F258" s="672"/>
      <c r="G258" s="671"/>
      <c r="H258" s="189" t="s">
        <v>14</v>
      </c>
      <c r="I258" s="677"/>
      <c r="J258" s="677"/>
      <c r="K258" s="676"/>
      <c r="L258" s="102">
        <f ca="1">IFERROR(__xludf.DUMMYFUNCTION("IMPORTRANGE(""https://docs.google.com/spreadsheets/d/1eHaY18a8A9IcSdp1K8H6x8fbOy06t2VsZHhMHf-1x7Y/edit?usp=sharing"",""แผน!BE47"")"),0)</f>
        <v>0</v>
      </c>
      <c r="M258" s="676"/>
      <c r="N258" s="838">
        <v>0</v>
      </c>
      <c r="O258" s="676"/>
      <c r="P258" s="676"/>
      <c r="Q258" s="676"/>
      <c r="R258" s="676"/>
      <c r="S258" s="676"/>
      <c r="T258" s="676"/>
      <c r="U258" s="676"/>
    </row>
    <row r="259" spans="1:21" ht="19.5" hidden="1">
      <c r="A259" s="804"/>
      <c r="B259" s="803"/>
      <c r="C259" s="701" t="s">
        <v>18</v>
      </c>
      <c r="D259" s="813" t="s">
        <v>38</v>
      </c>
      <c r="E259" s="806"/>
      <c r="F259" s="806"/>
      <c r="G259" s="805"/>
      <c r="H259" s="801"/>
      <c r="I259" s="670"/>
      <c r="J259" s="677"/>
      <c r="K259" s="676"/>
      <c r="L259" s="676"/>
      <c r="M259" s="676"/>
      <c r="N259" s="676"/>
      <c r="O259" s="669"/>
      <c r="P259" s="669"/>
      <c r="Q259" s="676"/>
      <c r="R259" s="676"/>
      <c r="S259" s="676"/>
      <c r="T259" s="669"/>
      <c r="U259" s="669"/>
    </row>
    <row r="260" spans="1:21" ht="18.75" hidden="1">
      <c r="A260" s="804"/>
      <c r="B260" s="803"/>
      <c r="C260" s="803"/>
      <c r="D260" s="423" t="s">
        <v>108</v>
      </c>
      <c r="E260" s="802"/>
      <c r="F260" s="802"/>
      <c r="G260" s="801"/>
      <c r="H260" s="421" t="s">
        <v>35</v>
      </c>
      <c r="I260" s="483">
        <f ca="1">IFERROR(__xludf.DUMMYFUNCTION("IMPORTRANGE(""https://docs.google.com/spreadsheets/d/1eHaY18a8A9IcSdp1K8H6x8fbOy06t2VsZHhMHf-1x7Y/edit?usp=sharing"",""แผน!BH47"")"),0)</f>
        <v>0</v>
      </c>
      <c r="J260" s="589">
        <v>0</v>
      </c>
      <c r="K260" s="102">
        <f ca="1">IF(I260&gt;0,J260*100/I260,0)</f>
        <v>0</v>
      </c>
      <c r="L260" s="676"/>
      <c r="M260" s="676"/>
      <c r="N260" s="676"/>
      <c r="O260" s="676"/>
      <c r="P260" s="676"/>
      <c r="Q260" s="676"/>
      <c r="R260" s="676"/>
      <c r="S260" s="676"/>
      <c r="T260" s="676"/>
      <c r="U260" s="676"/>
    </row>
    <row r="261" spans="1:21" ht="18.75" hidden="1">
      <c r="A261" s="804"/>
      <c r="B261" s="803"/>
      <c r="C261" s="803"/>
      <c r="D261" s="700" t="s">
        <v>43</v>
      </c>
      <c r="E261" s="802"/>
      <c r="F261" s="802"/>
      <c r="G261" s="801"/>
      <c r="H261" s="837"/>
      <c r="I261" s="677"/>
      <c r="J261" s="677"/>
      <c r="K261" s="676"/>
      <c r="L261" s="676"/>
      <c r="M261" s="676"/>
      <c r="N261" s="676"/>
      <c r="O261" s="669"/>
      <c r="P261" s="669"/>
      <c r="Q261" s="676"/>
      <c r="R261" s="676"/>
      <c r="S261" s="676"/>
      <c r="T261" s="669"/>
      <c r="U261" s="669"/>
    </row>
    <row r="262" spans="1:21" ht="18.75" hidden="1">
      <c r="A262" s="804"/>
      <c r="B262" s="803"/>
      <c r="C262" s="803"/>
      <c r="D262" s="803"/>
      <c r="E262" s="699" t="s">
        <v>109</v>
      </c>
      <c r="F262" s="802"/>
      <c r="G262" s="801"/>
      <c r="H262" s="421" t="s">
        <v>35</v>
      </c>
      <c r="I262" s="483">
        <f ca="1">IFERROR(__xludf.DUMMYFUNCTION("IMPORTRANGE(""https://docs.google.com/spreadsheets/d/1eHaY18a8A9IcSdp1K8H6x8fbOy06t2VsZHhMHf-1x7Y/edit?usp=sharing"",""แผน!KD47"")"),0)</f>
        <v>0</v>
      </c>
      <c r="J262" s="589">
        <v>0</v>
      </c>
      <c r="K262" s="102">
        <f ca="1">IF(I262&gt;0,J262*100/I262,0)</f>
        <v>0</v>
      </c>
      <c r="L262" s="676"/>
      <c r="M262" s="676"/>
      <c r="N262" s="676"/>
      <c r="O262" s="676"/>
      <c r="P262" s="676"/>
      <c r="Q262" s="676"/>
      <c r="R262" s="676"/>
      <c r="S262" s="676"/>
      <c r="T262" s="676"/>
      <c r="U262" s="676"/>
    </row>
    <row r="263" spans="1:21" ht="18.75" hidden="1">
      <c r="A263" s="804"/>
      <c r="B263" s="803"/>
      <c r="C263" s="803"/>
      <c r="D263" s="803"/>
      <c r="E263" s="699" t="s">
        <v>110</v>
      </c>
      <c r="F263" s="802"/>
      <c r="G263" s="801"/>
      <c r="H263" s="421" t="s">
        <v>61</v>
      </c>
      <c r="I263" s="483">
        <f ca="1">IFERROR(__xludf.DUMMYFUNCTION("IMPORTRANGE(""https://docs.google.com/spreadsheets/d/1eHaY18a8A9IcSdp1K8H6x8fbOy06t2VsZHhMHf-1x7Y/edit?usp=sharing"",""แผน!KE47"")"),0)</f>
        <v>0</v>
      </c>
      <c r="J263" s="589">
        <v>0</v>
      </c>
      <c r="K263" s="102">
        <f ca="1">IF(I263&gt;0,J263*100/I263,0)</f>
        <v>0</v>
      </c>
      <c r="L263" s="676"/>
      <c r="M263" s="676"/>
      <c r="N263" s="676"/>
      <c r="O263" s="676"/>
      <c r="P263" s="676"/>
      <c r="Q263" s="676"/>
      <c r="R263" s="676"/>
      <c r="S263" s="676"/>
      <c r="T263" s="676"/>
      <c r="U263" s="676"/>
    </row>
    <row r="264" spans="1:21" ht="19.5">
      <c r="A264" s="223" t="s">
        <v>113</v>
      </c>
      <c r="B264" s="224"/>
      <c r="C264" s="224"/>
      <c r="D264" s="225"/>
      <c r="E264" s="225"/>
      <c r="F264" s="225"/>
      <c r="G264" s="226"/>
      <c r="H264" s="836"/>
      <c r="I264" s="227"/>
      <c r="J264" s="227"/>
      <c r="K264" s="228"/>
      <c r="L264" s="228"/>
      <c r="M264" s="228"/>
      <c r="N264" s="228"/>
      <c r="O264" s="228"/>
      <c r="P264" s="228"/>
      <c r="Q264" s="228"/>
      <c r="R264" s="228"/>
      <c r="S264" s="228"/>
      <c r="T264" s="228"/>
      <c r="U264" s="228"/>
    </row>
    <row r="265" spans="1:21" ht="19.5">
      <c r="A265" s="230"/>
      <c r="B265" s="231" t="s">
        <v>114</v>
      </c>
      <c r="C265" s="232"/>
      <c r="D265" s="169"/>
      <c r="E265" s="169"/>
      <c r="F265" s="169"/>
      <c r="G265" s="170"/>
      <c r="H265" s="835" t="s">
        <v>35</v>
      </c>
      <c r="I265" s="718">
        <f ca="1">I276</f>
        <v>22</v>
      </c>
      <c r="J265" s="718">
        <f>J276</f>
        <v>0</v>
      </c>
      <c r="K265" s="717">
        <f ca="1">IF(I265&gt;0,J265*100/I265,0)</f>
        <v>0</v>
      </c>
      <c r="L265" s="236"/>
      <c r="M265" s="236"/>
      <c r="N265" s="236"/>
      <c r="O265" s="236"/>
      <c r="P265" s="236"/>
      <c r="Q265" s="236"/>
      <c r="R265" s="236"/>
      <c r="S265" s="236"/>
      <c r="T265" s="236"/>
      <c r="U265" s="236"/>
    </row>
    <row r="266" spans="1:21" ht="19.5">
      <c r="A266" s="155"/>
      <c r="B266" s="50"/>
      <c r="C266" s="156" t="s">
        <v>18</v>
      </c>
      <c r="D266" s="575" t="s">
        <v>19</v>
      </c>
      <c r="E266" s="50"/>
      <c r="F266" s="50"/>
      <c r="G266" s="52"/>
      <c r="H266" s="158" t="s">
        <v>14</v>
      </c>
      <c r="I266" s="54"/>
      <c r="J266" s="54"/>
      <c r="K266" s="55"/>
      <c r="L266" s="540">
        <f ca="1">L267+L268</f>
        <v>0</v>
      </c>
      <c r="M266" s="540">
        <f ca="1">M267+M268</f>
        <v>5000</v>
      </c>
      <c r="N266" s="540">
        <f ca="1">N267+N268</f>
        <v>0</v>
      </c>
      <c r="O266" s="540">
        <f ca="1">IF(L266&gt;0,N266*100/L266,0)</f>
        <v>0</v>
      </c>
      <c r="P266" s="540">
        <f ca="1">IF(M266&gt;0,N266*100/M266,0)</f>
        <v>0</v>
      </c>
      <c r="Q266" s="540">
        <f ca="1">Q267+Q268</f>
        <v>50660</v>
      </c>
      <c r="R266" s="540">
        <f ca="1">R267+R268</f>
        <v>50660</v>
      </c>
      <c r="S266" s="540">
        <f ca="1">S267+S268</f>
        <v>360</v>
      </c>
      <c r="T266" s="540">
        <f ca="1">IF(Q266&gt;0,S266*100/Q266,0)</f>
        <v>0.71061981839715749</v>
      </c>
      <c r="U266" s="540">
        <f ca="1">IF(R266&gt;0,S266*100/R266,0)</f>
        <v>0.71061981839715749</v>
      </c>
    </row>
    <row r="267" spans="1:21" ht="18.75" hidden="1">
      <c r="A267" s="155"/>
      <c r="B267" s="50"/>
      <c r="C267" s="50"/>
      <c r="D267" s="50"/>
      <c r="E267" s="186" t="s">
        <v>20</v>
      </c>
      <c r="F267" s="50"/>
      <c r="G267" s="52"/>
      <c r="H267" s="187" t="s">
        <v>14</v>
      </c>
      <c r="I267" s="54"/>
      <c r="J267" s="54"/>
      <c r="K267" s="55"/>
      <c r="L267" s="102">
        <f>L270+L273</f>
        <v>0</v>
      </c>
      <c r="M267" s="102">
        <f>M270+M273</f>
        <v>0</v>
      </c>
      <c r="N267" s="102">
        <f>N270+N273</f>
        <v>0</v>
      </c>
      <c r="O267" s="102">
        <f>IF(L267&gt;0,N267*100/L267,0)</f>
        <v>0</v>
      </c>
      <c r="P267" s="102">
        <f>IF(M267&gt;0,N267*100/M267,0)</f>
        <v>0</v>
      </c>
      <c r="Q267" s="102">
        <f>Q270+Q273</f>
        <v>0</v>
      </c>
      <c r="R267" s="102">
        <f>R270+R273</f>
        <v>0</v>
      </c>
      <c r="S267" s="102">
        <f>S270+S273</f>
        <v>0</v>
      </c>
      <c r="T267" s="102">
        <f>IF(Q267&gt;0,S267*100/Q267,0)</f>
        <v>0</v>
      </c>
      <c r="U267" s="102">
        <f>IF(R267&gt;0,S267*100/R267,0)</f>
        <v>0</v>
      </c>
    </row>
    <row r="268" spans="1:21" ht="18.75" hidden="1">
      <c r="A268" s="155"/>
      <c r="B268" s="50"/>
      <c r="C268" s="50"/>
      <c r="D268" s="50"/>
      <c r="E268" s="58" t="s">
        <v>21</v>
      </c>
      <c r="F268" s="50"/>
      <c r="G268" s="52"/>
      <c r="H268" s="161" t="s">
        <v>14</v>
      </c>
      <c r="I268" s="54"/>
      <c r="J268" s="54"/>
      <c r="K268" s="55"/>
      <c r="L268" s="255">
        <f ca="1">L271+L274</f>
        <v>0</v>
      </c>
      <c r="M268" s="255">
        <f ca="1">M271+M274</f>
        <v>5000</v>
      </c>
      <c r="N268" s="255">
        <f ca="1">N271+N274</f>
        <v>0</v>
      </c>
      <c r="O268" s="255">
        <f ca="1">IF(L268&gt;0,N268*100/L268,0)</f>
        <v>0</v>
      </c>
      <c r="P268" s="255">
        <f ca="1">IF(M268&gt;0,N268*100/M268,0)</f>
        <v>0</v>
      </c>
      <c r="Q268" s="255">
        <f ca="1">Q271+Q274</f>
        <v>50660</v>
      </c>
      <c r="R268" s="255">
        <f ca="1">R271+R274</f>
        <v>50660</v>
      </c>
      <c r="S268" s="255">
        <f ca="1">S271+S274</f>
        <v>360</v>
      </c>
      <c r="T268" s="255">
        <f ca="1">IF(Q268&gt;0,S268*100/Q268,0)</f>
        <v>0.71061981839715749</v>
      </c>
      <c r="U268" s="255">
        <f ca="1">IF(R268&gt;0,S268*100/R268,0)</f>
        <v>0.71061981839715749</v>
      </c>
    </row>
    <row r="269" spans="1:21" ht="18.75">
      <c r="A269" s="155"/>
      <c r="B269" s="188"/>
      <c r="C269" s="50"/>
      <c r="D269" s="51" t="s">
        <v>22</v>
      </c>
      <c r="E269" s="50"/>
      <c r="F269" s="50"/>
      <c r="G269" s="52"/>
      <c r="H269" s="162" t="s">
        <v>14</v>
      </c>
      <c r="I269" s="163"/>
      <c r="J269" s="163"/>
      <c r="K269" s="164"/>
      <c r="L269" s="255">
        <f ca="1">L270+L271</f>
        <v>0</v>
      </c>
      <c r="M269" s="255">
        <f ca="1">M270+M271</f>
        <v>5000</v>
      </c>
      <c r="N269" s="255">
        <f ca="1">N270+N271</f>
        <v>0</v>
      </c>
      <c r="O269" s="255">
        <f ca="1">IF(L269&gt;0,N269*100/L269,0)</f>
        <v>0</v>
      </c>
      <c r="P269" s="255">
        <f ca="1">IF(M269&gt;0,N269*100/M269,0)</f>
        <v>0</v>
      </c>
      <c r="Q269" s="255">
        <f ca="1">Q270+Q271</f>
        <v>50660</v>
      </c>
      <c r="R269" s="255">
        <f ca="1">R270+R271</f>
        <v>50660</v>
      </c>
      <c r="S269" s="255">
        <f ca="1">S270+S271</f>
        <v>360</v>
      </c>
      <c r="T269" s="255">
        <f ca="1">IF(Q269&gt;0,S269*100/Q269,0)</f>
        <v>0.71061981839715749</v>
      </c>
      <c r="U269" s="255">
        <f ca="1">IF(R269&gt;0,S269*100/R269,0)</f>
        <v>0.71061981839715749</v>
      </c>
    </row>
    <row r="270" spans="1:21" ht="18.75" hidden="1">
      <c r="A270" s="155"/>
      <c r="B270" s="188"/>
      <c r="C270" s="188"/>
      <c r="D270" s="50"/>
      <c r="E270" s="186" t="s">
        <v>36</v>
      </c>
      <c r="F270" s="50"/>
      <c r="G270" s="52"/>
      <c r="H270" s="189" t="s">
        <v>14</v>
      </c>
      <c r="I270" s="163"/>
      <c r="J270" s="163"/>
      <c r="K270" s="164"/>
      <c r="L270" s="102">
        <v>0</v>
      </c>
      <c r="M270" s="102">
        <v>0</v>
      </c>
      <c r="N270" s="102">
        <v>0</v>
      </c>
      <c r="O270" s="102">
        <f>IF(L270&gt;0,N270*100/L270,0)</f>
        <v>0</v>
      </c>
      <c r="P270" s="102">
        <f>IF(M270&gt;0,N270*100/M270,0)</f>
        <v>0</v>
      </c>
      <c r="Q270" s="102">
        <v>0</v>
      </c>
      <c r="R270" s="102">
        <v>0</v>
      </c>
      <c r="S270" s="102">
        <v>0</v>
      </c>
      <c r="T270" s="102">
        <f>IF(Q270&gt;0,S270*100/Q270,0)</f>
        <v>0</v>
      </c>
      <c r="U270" s="102">
        <f>IF(R270&gt;0,S270*100/R270,0)</f>
        <v>0</v>
      </c>
    </row>
    <row r="271" spans="1:21" ht="18.75" hidden="1">
      <c r="A271" s="155"/>
      <c r="B271" s="188"/>
      <c r="C271" s="188"/>
      <c r="D271" s="50"/>
      <c r="E271" s="58" t="s">
        <v>37</v>
      </c>
      <c r="F271" s="50"/>
      <c r="G271" s="52"/>
      <c r="H271" s="162" t="s">
        <v>14</v>
      </c>
      <c r="I271" s="163"/>
      <c r="J271" s="163"/>
      <c r="K271" s="164"/>
      <c r="L271" s="255">
        <f ca="1">IFERROR(__xludf.DUMMYFUNCTION("IMPORTRANGE(""https://docs.google.com/spreadsheets/d/1-uDff_7J0KD5mKrp0Vvzr7lt3OU09vwQwhkpOPPYv2Y/edit?usp=sharing"",""งบพรบ!DE47"")"),0)</f>
        <v>0</v>
      </c>
      <c r="M271" s="255">
        <f ca="1">IFERROR(__xludf.DUMMYFUNCTION("IMPORTRANGE(""https://docs.google.com/spreadsheets/d/1-uDff_7J0KD5mKrp0Vvzr7lt3OU09vwQwhkpOPPYv2Y/edit?usp=sharing"",""งบพรบ!DJ47"")"),5000)</f>
        <v>5000</v>
      </c>
      <c r="N271" s="255">
        <f ca="1">IFERROR(__xludf.DUMMYFUNCTION("IMPORTRANGE(""https://docs.google.com/spreadsheets/d/1-uDff_7J0KD5mKrp0Vvzr7lt3OU09vwQwhkpOPPYv2Y/edit?usp=sharing"",""งบพรบ!DL47"")"),0)</f>
        <v>0</v>
      </c>
      <c r="O271" s="255">
        <f ca="1">IF(L271&gt;0,N271*100/L271,0)</f>
        <v>0</v>
      </c>
      <c r="P271" s="255">
        <f ca="1">IF(M271&gt;0,N271*100/M271,0)</f>
        <v>0</v>
      </c>
      <c r="Q271" s="255">
        <f ca="1">IFERROR(__xludf.DUMMYFUNCTION("IMPORTRANGE(""https://docs.google.com/spreadsheets/d/1ItG2mGa2ceCfYo0BwxsXqNm01IGEUdYcSSLTEv9YCik/edit?usp=sharing"",""เบิกจ่ายกองทุน!AJ47"")"),50660)</f>
        <v>50660</v>
      </c>
      <c r="R271" s="255">
        <f ca="1">IFERROR(__xludf.DUMMYFUNCTION("IMPORTRANGE(""https://docs.google.com/spreadsheets/d/1ItG2mGa2ceCfYo0BwxsXqNm01IGEUdYcSSLTEv9YCik/edit?usp=sharing"",""เบิกจ่ายกองทุน!AK47"")"),50660)</f>
        <v>50660</v>
      </c>
      <c r="S271" s="255">
        <f ca="1">IFERROR(__xludf.DUMMYFUNCTION("IMPORTRANGE(""https://docs.google.com/spreadsheets/d/1ItG2mGa2ceCfYo0BwxsXqNm01IGEUdYcSSLTEv9YCik/edit?usp=sharing"",""เบิกจ่ายกองทุน!AL47"")"),360)</f>
        <v>360</v>
      </c>
      <c r="T271" s="255">
        <f ca="1">IF(Q271&gt;0,S271*100/Q271,0)</f>
        <v>0.71061981839715749</v>
      </c>
      <c r="U271" s="255">
        <f ca="1">IF(R271&gt;0,S271*100/R271,0)</f>
        <v>0.71061981839715749</v>
      </c>
    </row>
    <row r="272" spans="1:21" ht="18.75">
      <c r="A272" s="155"/>
      <c r="B272" s="188"/>
      <c r="C272" s="188"/>
      <c r="D272" s="602" t="s">
        <v>23</v>
      </c>
      <c r="E272" s="50"/>
      <c r="F272" s="50"/>
      <c r="G272" s="52"/>
      <c r="H272" s="165" t="s">
        <v>14</v>
      </c>
      <c r="I272" s="163"/>
      <c r="J272" s="163"/>
      <c r="K272" s="164"/>
      <c r="L272" s="255">
        <f ca="1">L273+L274</f>
        <v>0</v>
      </c>
      <c r="M272" s="255">
        <f ca="1">M273+M274</f>
        <v>0</v>
      </c>
      <c r="N272" s="255">
        <f ca="1">N273+N274</f>
        <v>0</v>
      </c>
      <c r="O272" s="255">
        <f ca="1">IF(L272&gt;0,N272*100/L272,0)</f>
        <v>0</v>
      </c>
      <c r="P272" s="255">
        <f ca="1">IF(M272&gt;0,N272*100/M272,0)</f>
        <v>0</v>
      </c>
      <c r="Q272" s="255">
        <f>Q273+Q274</f>
        <v>0</v>
      </c>
      <c r="R272" s="255">
        <f>R273+R274</f>
        <v>0</v>
      </c>
      <c r="S272" s="255">
        <f>S273+S274</f>
        <v>0</v>
      </c>
      <c r="T272" s="255">
        <f>IF(Q272&gt;0,S272*100/Q272,0)</f>
        <v>0</v>
      </c>
      <c r="U272" s="255">
        <f>IF(R272&gt;0,S272*100/R272,0)</f>
        <v>0</v>
      </c>
    </row>
    <row r="273" spans="1:21" ht="18.75" hidden="1">
      <c r="A273" s="155"/>
      <c r="B273" s="188"/>
      <c r="C273" s="188"/>
      <c r="D273" s="50"/>
      <c r="E273" s="186" t="s">
        <v>20</v>
      </c>
      <c r="F273" s="50"/>
      <c r="G273" s="52"/>
      <c r="H273" s="189" t="s">
        <v>14</v>
      </c>
      <c r="I273" s="163"/>
      <c r="J273" s="163"/>
      <c r="K273" s="164"/>
      <c r="L273" s="102">
        <v>0</v>
      </c>
      <c r="M273" s="102">
        <v>0</v>
      </c>
      <c r="N273" s="102">
        <v>0</v>
      </c>
      <c r="O273" s="102">
        <f>IF(L273&gt;0,N273*100/L273,0)</f>
        <v>0</v>
      </c>
      <c r="P273" s="102">
        <f>IF(M273&gt;0,N273*100/M273,0)</f>
        <v>0</v>
      </c>
      <c r="Q273" s="102">
        <v>0</v>
      </c>
      <c r="R273" s="102">
        <v>0</v>
      </c>
      <c r="S273" s="102">
        <v>0</v>
      </c>
      <c r="T273" s="102">
        <f>IF(Q273&gt;0,S273*100/Q273,0)</f>
        <v>0</v>
      </c>
      <c r="U273" s="102">
        <f>IF(R273&gt;0,S273*100/R273,0)</f>
        <v>0</v>
      </c>
    </row>
    <row r="274" spans="1:21" ht="18.75" hidden="1">
      <c r="A274" s="155"/>
      <c r="B274" s="188"/>
      <c r="C274" s="188"/>
      <c r="D274" s="188"/>
      <c r="E274" s="58" t="s">
        <v>21</v>
      </c>
      <c r="F274" s="50"/>
      <c r="G274" s="52"/>
      <c r="H274" s="165" t="s">
        <v>14</v>
      </c>
      <c r="I274" s="163"/>
      <c r="J274" s="163"/>
      <c r="K274" s="164"/>
      <c r="L274" s="255">
        <f ca="1">IFERROR(__xludf.DUMMYFUNCTION("IMPORTRANGE(""https://docs.google.com/spreadsheets/d/1-uDff_7J0KD5mKrp0Vvzr7lt3OU09vwQwhkpOPPYv2Y/edit?usp=sharing"",""งบพรบ!DH47"")"),0)</f>
        <v>0</v>
      </c>
      <c r="M274" s="255">
        <f ca="1">IFERROR(__xludf.DUMMYFUNCTION("IMPORTRANGE(""https://docs.google.com/spreadsheets/d/1-uDff_7J0KD5mKrp0Vvzr7lt3OU09vwQwhkpOPPYv2Y/edit?usp=sharing"",""งบพรบ!DK47"")"),0)</f>
        <v>0</v>
      </c>
      <c r="N274" s="255">
        <f ca="1">IFERROR(__xludf.DUMMYFUNCTION("IMPORTRANGE(""https://docs.google.com/spreadsheets/d/1-uDff_7J0KD5mKrp0Vvzr7lt3OU09vwQwhkpOPPYv2Y/edit?usp=sharing"",""งบพรบ!DM47"")"),0)</f>
        <v>0</v>
      </c>
      <c r="O274" s="255">
        <f ca="1">IF(L274&gt;0,N274*100/L274,0)</f>
        <v>0</v>
      </c>
      <c r="P274" s="255">
        <f ca="1">IF(M274&gt;0,N274*100/M274,0)</f>
        <v>0</v>
      </c>
      <c r="Q274" s="255">
        <v>0</v>
      </c>
      <c r="R274" s="255">
        <v>0</v>
      </c>
      <c r="S274" s="255">
        <v>0</v>
      </c>
      <c r="T274" s="255">
        <f>IF(Q274&gt;0,S274*100/Q274,0)</f>
        <v>0</v>
      </c>
      <c r="U274" s="255">
        <f>IF(R274&gt;0,S274*100/R274,0)</f>
        <v>0</v>
      </c>
    </row>
    <row r="275" spans="1:21" ht="19.5">
      <c r="A275" s="166"/>
      <c r="B275" s="167"/>
      <c r="C275" s="239" t="s">
        <v>18</v>
      </c>
      <c r="D275" s="560" t="s">
        <v>38</v>
      </c>
      <c r="E275" s="169"/>
      <c r="F275" s="169"/>
      <c r="G275" s="170"/>
      <c r="H275" s="171"/>
      <c r="I275" s="163"/>
      <c r="J275" s="163"/>
      <c r="K275" s="164"/>
      <c r="L275" s="164"/>
      <c r="M275" s="164"/>
      <c r="N275" s="164"/>
      <c r="O275" s="164"/>
      <c r="P275" s="164"/>
      <c r="Q275" s="164"/>
      <c r="R275" s="164"/>
      <c r="S275" s="164"/>
      <c r="T275" s="164"/>
      <c r="U275" s="164"/>
    </row>
    <row r="276" spans="1:21" ht="18.75">
      <c r="A276" s="279"/>
      <c r="B276" s="188"/>
      <c r="C276" s="188"/>
      <c r="D276" s="371" t="s">
        <v>115</v>
      </c>
      <c r="E276" s="50"/>
      <c r="F276" s="50"/>
      <c r="G276" s="52"/>
      <c r="H276" s="161" t="s">
        <v>35</v>
      </c>
      <c r="I276" s="212">
        <f ca="1">IFERROR(__xludf.DUMMYFUNCTION("IMPORTRANGE(""https://docs.google.com/spreadsheets/d/1eHaY18a8A9IcSdp1K8H6x8fbOy06t2VsZHhMHf-1x7Y/edit?usp=sharing"",""แผน!EC47"")"),22)</f>
        <v>22</v>
      </c>
      <c r="J276" s="467">
        <v>0</v>
      </c>
      <c r="K276" s="255">
        <f ca="1">IF(I276&gt;0,J276*100/I276,0)</f>
        <v>0</v>
      </c>
      <c r="L276" s="55"/>
      <c r="M276" s="55"/>
      <c r="N276" s="55"/>
      <c r="O276" s="55"/>
      <c r="P276" s="55"/>
      <c r="Q276" s="55"/>
      <c r="R276" s="55"/>
      <c r="S276" s="55"/>
      <c r="T276" s="55"/>
      <c r="U276" s="55"/>
    </row>
    <row r="277" spans="1:21" ht="18.75" hidden="1">
      <c r="A277" s="281"/>
      <c r="B277" s="282"/>
      <c r="C277" s="282"/>
      <c r="D277" s="647" t="s">
        <v>116</v>
      </c>
      <c r="E277" s="2"/>
      <c r="F277" s="2"/>
      <c r="G277" s="284"/>
      <c r="H277" s="834" t="s">
        <v>35</v>
      </c>
      <c r="I277" s="486">
        <v>0</v>
      </c>
      <c r="J277" s="486">
        <v>0</v>
      </c>
      <c r="K277" s="645">
        <f>IF(I277&gt;0,J277*100/I277,0)</f>
        <v>0</v>
      </c>
      <c r="L277" s="286"/>
      <c r="M277" s="286"/>
      <c r="N277" s="286"/>
      <c r="O277" s="286"/>
      <c r="P277" s="286"/>
      <c r="Q277" s="286"/>
      <c r="R277" s="286"/>
      <c r="S277" s="286"/>
      <c r="T277" s="286"/>
      <c r="U277" s="286"/>
    </row>
    <row r="278" spans="1:21" ht="19.5" hidden="1">
      <c r="A278" s="288" t="s">
        <v>117</v>
      </c>
      <c r="B278" s="289"/>
      <c r="C278" s="289"/>
      <c r="D278" s="289"/>
      <c r="E278" s="290"/>
      <c r="F278" s="290"/>
      <c r="G278" s="290"/>
      <c r="H278" s="289"/>
      <c r="I278" s="291"/>
      <c r="J278" s="291"/>
      <c r="K278" s="292"/>
      <c r="L278" s="292"/>
      <c r="M278" s="292"/>
      <c r="N278" s="292"/>
      <c r="O278" s="292"/>
      <c r="P278" s="293"/>
      <c r="Q278" s="292"/>
      <c r="R278" s="292"/>
      <c r="S278" s="292"/>
      <c r="T278" s="292"/>
      <c r="U278" s="293"/>
    </row>
    <row r="279" spans="1:21" ht="19.5" hidden="1">
      <c r="A279" s="294" t="s">
        <v>118</v>
      </c>
      <c r="B279" s="295"/>
      <c r="C279" s="296"/>
      <c r="D279" s="296"/>
      <c r="E279" s="295"/>
      <c r="F279" s="295"/>
      <c r="G279" s="295"/>
      <c r="H279" s="296"/>
      <c r="I279" s="297"/>
      <c r="J279" s="298"/>
      <c r="K279" s="299"/>
      <c r="L279" s="299"/>
      <c r="M279" s="299"/>
      <c r="N279" s="299"/>
      <c r="O279" s="299"/>
      <c r="P279" s="299"/>
      <c r="Q279" s="299"/>
      <c r="R279" s="299"/>
      <c r="S279" s="299"/>
      <c r="T279" s="299"/>
      <c r="U279" s="299"/>
    </row>
    <row r="280" spans="1:21" ht="19.5" hidden="1">
      <c r="A280" s="301"/>
      <c r="B280" s="302" t="s">
        <v>119</v>
      </c>
      <c r="C280" s="303"/>
      <c r="D280" s="304"/>
      <c r="E280" s="303"/>
      <c r="F280" s="303"/>
      <c r="G280" s="305"/>
      <c r="H280" s="833" t="s">
        <v>35</v>
      </c>
      <c r="I280" s="644">
        <f ca="1">I293</f>
        <v>0</v>
      </c>
      <c r="J280" s="644">
        <f>J293</f>
        <v>0</v>
      </c>
      <c r="K280" s="643">
        <f ca="1">IF(I280&gt;0,J280*100/I280,0)</f>
        <v>0</v>
      </c>
      <c r="L280" s="309"/>
      <c r="M280" s="309"/>
      <c r="N280" s="309"/>
      <c r="O280" s="309"/>
      <c r="P280" s="309"/>
      <c r="Q280" s="309"/>
      <c r="R280" s="309"/>
      <c r="S280" s="309"/>
      <c r="T280" s="309"/>
      <c r="U280" s="309"/>
    </row>
    <row r="281" spans="1:21" ht="19.5" hidden="1">
      <c r="A281" s="301"/>
      <c r="B281" s="303"/>
      <c r="C281" s="303"/>
      <c r="D281" s="304"/>
      <c r="E281" s="303"/>
      <c r="F281" s="303"/>
      <c r="G281" s="305"/>
      <c r="H281" s="833" t="s">
        <v>46</v>
      </c>
      <c r="I281" s="644">
        <f ca="1">I292</f>
        <v>0</v>
      </c>
      <c r="J281" s="644">
        <f>J292</f>
        <v>0</v>
      </c>
      <c r="K281" s="643">
        <f ca="1">IF(I281&gt;0,J281*100/I281,0)</f>
        <v>0</v>
      </c>
      <c r="L281" s="309"/>
      <c r="M281" s="309"/>
      <c r="N281" s="309"/>
      <c r="O281" s="309"/>
      <c r="P281" s="309"/>
      <c r="Q281" s="309"/>
      <c r="R281" s="309"/>
      <c r="S281" s="309"/>
      <c r="T281" s="309"/>
      <c r="U281" s="309"/>
    </row>
    <row r="282" spans="1:21" ht="19.5" hidden="1">
      <c r="A282" s="155"/>
      <c r="B282" s="50"/>
      <c r="C282" s="156" t="s">
        <v>18</v>
      </c>
      <c r="D282" s="575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540">
        <f ca="1">L283+L284</f>
        <v>0</v>
      </c>
      <c r="M282" s="540">
        <f ca="1">M283+M284</f>
        <v>0</v>
      </c>
      <c r="N282" s="540">
        <f ca="1">N283+N284</f>
        <v>0</v>
      </c>
      <c r="O282" s="540">
        <f ca="1">IF(L282&gt;0,N282*100/L282,0)</f>
        <v>0</v>
      </c>
      <c r="P282" s="540">
        <f ca="1">IF(M282&gt;0,N282*100/M282,0)</f>
        <v>0</v>
      </c>
      <c r="Q282" s="540">
        <f>Q283+Q284</f>
        <v>0</v>
      </c>
      <c r="R282" s="540">
        <f>R283+R284</f>
        <v>0</v>
      </c>
      <c r="S282" s="540">
        <f>S283+S284</f>
        <v>0</v>
      </c>
      <c r="T282" s="540">
        <f>IF(Q282&gt;0,S282*100/Q282,0)</f>
        <v>0</v>
      </c>
      <c r="U282" s="540">
        <f>IF(R282&gt;0,S282*100/R282,0)</f>
        <v>0</v>
      </c>
    </row>
    <row r="283" spans="1:21" ht="18.75" hidden="1">
      <c r="A283" s="155"/>
      <c r="B283" s="50"/>
      <c r="C283" s="50"/>
      <c r="D283" s="50"/>
      <c r="E283" s="186" t="s">
        <v>20</v>
      </c>
      <c r="F283" s="50"/>
      <c r="G283" s="52"/>
      <c r="H283" s="187" t="s">
        <v>14</v>
      </c>
      <c r="I283" s="54"/>
      <c r="J283" s="54"/>
      <c r="K283" s="55"/>
      <c r="L283" s="102">
        <f>L286+L289</f>
        <v>0</v>
      </c>
      <c r="M283" s="102">
        <f>M286+M289</f>
        <v>0</v>
      </c>
      <c r="N283" s="102">
        <f>N286+N289</f>
        <v>0</v>
      </c>
      <c r="O283" s="102">
        <f>IF(L283&gt;0,N283*100/L283,0)</f>
        <v>0</v>
      </c>
      <c r="P283" s="102">
        <f>IF(M283&gt;0,N283*100/M283,0)</f>
        <v>0</v>
      </c>
      <c r="Q283" s="102">
        <f>Q286+Q289</f>
        <v>0</v>
      </c>
      <c r="R283" s="102">
        <f>R286+R289</f>
        <v>0</v>
      </c>
      <c r="S283" s="102">
        <f>S286+S289</f>
        <v>0</v>
      </c>
      <c r="T283" s="102">
        <f>IF(Q283&gt;0,S283*100/Q283,0)</f>
        <v>0</v>
      </c>
      <c r="U283" s="102">
        <f>IF(R283&gt;0,S283*100/R283,0)</f>
        <v>0</v>
      </c>
    </row>
    <row r="284" spans="1:21" ht="18.75" hidden="1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255">
        <f ca="1">L287+L290</f>
        <v>0</v>
      </c>
      <c r="M284" s="255">
        <f ca="1">M287+M290</f>
        <v>0</v>
      </c>
      <c r="N284" s="255">
        <f ca="1">N287+N290</f>
        <v>0</v>
      </c>
      <c r="O284" s="255">
        <f ca="1">IF(L284&gt;0,N284*100/L284,0)</f>
        <v>0</v>
      </c>
      <c r="P284" s="255">
        <f ca="1">IF(M284&gt;0,N284*100/M284,0)</f>
        <v>0</v>
      </c>
      <c r="Q284" s="255">
        <f>Q287+Q290</f>
        <v>0</v>
      </c>
      <c r="R284" s="255">
        <f>R287+R290</f>
        <v>0</v>
      </c>
      <c r="S284" s="255">
        <f>S287+S290</f>
        <v>0</v>
      </c>
      <c r="T284" s="255">
        <f>IF(Q284&gt;0,S284*100/Q284,0)</f>
        <v>0</v>
      </c>
      <c r="U284" s="255">
        <f>IF(R284&gt;0,S284*100/R284,0)</f>
        <v>0</v>
      </c>
    </row>
    <row r="285" spans="1:21" ht="18.75" hidden="1">
      <c r="A285" s="155"/>
      <c r="B285" s="188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255">
        <f ca="1">L286+L287</f>
        <v>0</v>
      </c>
      <c r="M285" s="255">
        <f ca="1">M286+M287</f>
        <v>0</v>
      </c>
      <c r="N285" s="255">
        <f ca="1">N286+N287</f>
        <v>0</v>
      </c>
      <c r="O285" s="255">
        <f ca="1">IF(L285&gt;0,N285*100/L285,0)</f>
        <v>0</v>
      </c>
      <c r="P285" s="255">
        <f ca="1">IF(M285&gt;0,N285*100/M285,0)</f>
        <v>0</v>
      </c>
      <c r="Q285" s="255">
        <f>Q286+Q287</f>
        <v>0</v>
      </c>
      <c r="R285" s="255">
        <f>R286+R287</f>
        <v>0</v>
      </c>
      <c r="S285" s="255">
        <f>S286+S287</f>
        <v>0</v>
      </c>
      <c r="T285" s="255">
        <f>IF(Q285&gt;0,S285*100/Q285,0)</f>
        <v>0</v>
      </c>
      <c r="U285" s="255">
        <f>IF(R285&gt;0,S285*100/R285,0)</f>
        <v>0</v>
      </c>
    </row>
    <row r="286" spans="1:21" ht="18.75" hidden="1">
      <c r="A286" s="155"/>
      <c r="B286" s="188"/>
      <c r="C286" s="188"/>
      <c r="D286" s="50"/>
      <c r="E286" s="358" t="s">
        <v>36</v>
      </c>
      <c r="F286" s="50"/>
      <c r="G286" s="52"/>
      <c r="H286" s="189" t="s">
        <v>14</v>
      </c>
      <c r="I286" s="163"/>
      <c r="J286" s="163"/>
      <c r="K286" s="164"/>
      <c r="L286" s="102">
        <v>0</v>
      </c>
      <c r="M286" s="102">
        <v>0</v>
      </c>
      <c r="N286" s="102">
        <v>0</v>
      </c>
      <c r="O286" s="102">
        <f>IF(L286&gt;0,N286*100/L286,0)</f>
        <v>0</v>
      </c>
      <c r="P286" s="102">
        <f>IF(M286&gt;0,N286*100/M286,0)</f>
        <v>0</v>
      </c>
      <c r="Q286" s="102">
        <v>0</v>
      </c>
      <c r="R286" s="102">
        <v>0</v>
      </c>
      <c r="S286" s="102">
        <v>0</v>
      </c>
      <c r="T286" s="102">
        <f>IF(Q286&gt;0,S286*100/Q286,0)</f>
        <v>0</v>
      </c>
      <c r="U286" s="102">
        <f>IF(R286&gt;0,S286*100/R286,0)</f>
        <v>0</v>
      </c>
    </row>
    <row r="287" spans="1:21" ht="18.75" hidden="1">
      <c r="A287" s="155"/>
      <c r="B287" s="188"/>
      <c r="C287" s="188"/>
      <c r="D287" s="50"/>
      <c r="E287" s="239" t="s">
        <v>37</v>
      </c>
      <c r="F287" s="50"/>
      <c r="G287" s="52"/>
      <c r="H287" s="162" t="s">
        <v>14</v>
      </c>
      <c r="I287" s="163"/>
      <c r="J287" s="163"/>
      <c r="K287" s="164"/>
      <c r="L287" s="255">
        <f ca="1">IFERROR(__xludf.DUMMYFUNCTION("IMPORTRANGE(""https://docs.google.com/spreadsheets/d/1-uDff_7J0KD5mKrp0Vvzr7lt3OU09vwQwhkpOPPYv2Y/edit?usp=sharing"",""งบพรบ!DO47"")"),0)</f>
        <v>0</v>
      </c>
      <c r="M287" s="255">
        <f ca="1">IFERROR(__xludf.DUMMYFUNCTION("IMPORTRANGE(""https://docs.google.com/spreadsheets/d/1-uDff_7J0KD5mKrp0Vvzr7lt3OU09vwQwhkpOPPYv2Y/edit?usp=sharing"",""งบพรบ!DT47"")"),0)</f>
        <v>0</v>
      </c>
      <c r="N287" s="255">
        <f ca="1">IFERROR(__xludf.DUMMYFUNCTION("IMPORTRANGE(""https://docs.google.com/spreadsheets/d/1-uDff_7J0KD5mKrp0Vvzr7lt3OU09vwQwhkpOPPYv2Y/edit?usp=sharing"",""งบพรบ!DV47"")"),0)</f>
        <v>0</v>
      </c>
      <c r="O287" s="255">
        <f ca="1">IF(L287&gt;0,N287*100/L287,0)</f>
        <v>0</v>
      </c>
      <c r="P287" s="255">
        <f ca="1">IF(M287&gt;0,N287*100/M287,0)</f>
        <v>0</v>
      </c>
      <c r="Q287" s="255">
        <v>0</v>
      </c>
      <c r="R287" s="255">
        <v>0</v>
      </c>
      <c r="S287" s="255">
        <v>0</v>
      </c>
      <c r="T287" s="102">
        <f>IF(Q287&gt;0,S287*100/Q287,0)</f>
        <v>0</v>
      </c>
      <c r="U287" s="102">
        <f>IF(R287&gt;0,S287*100/R287,0)</f>
        <v>0</v>
      </c>
    </row>
    <row r="288" spans="1:21" ht="18.75" hidden="1">
      <c r="A288" s="155"/>
      <c r="B288" s="188"/>
      <c r="C288" s="188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255">
        <f ca="1">L289+L290</f>
        <v>0</v>
      </c>
      <c r="M288" s="255">
        <f ca="1">M289+M290</f>
        <v>0</v>
      </c>
      <c r="N288" s="255">
        <f ca="1">N289+N290</f>
        <v>0</v>
      </c>
      <c r="O288" s="255">
        <f ca="1">IF(L288&gt;0,N288*100/L288,0)</f>
        <v>0</v>
      </c>
      <c r="P288" s="255">
        <f ca="1">IF(M288&gt;0,N288*100/M288,0)</f>
        <v>0</v>
      </c>
      <c r="Q288" s="255">
        <f>Q289+Q290</f>
        <v>0</v>
      </c>
      <c r="R288" s="255">
        <f>R289+R290</f>
        <v>0</v>
      </c>
      <c r="S288" s="255">
        <f>S289+S290</f>
        <v>0</v>
      </c>
      <c r="T288" s="255">
        <f>IF(Q288&gt;0,S288*100/Q288,0)</f>
        <v>0</v>
      </c>
      <c r="U288" s="255">
        <f>IF(R288&gt;0,S288*100/R288,0)</f>
        <v>0</v>
      </c>
    </row>
    <row r="289" spans="1:21" ht="18.75" hidden="1">
      <c r="A289" s="155"/>
      <c r="B289" s="188"/>
      <c r="C289" s="188"/>
      <c r="D289" s="50"/>
      <c r="E289" s="186" t="s">
        <v>20</v>
      </c>
      <c r="F289" s="50"/>
      <c r="G289" s="52"/>
      <c r="H289" s="189" t="s">
        <v>14</v>
      </c>
      <c r="I289" s="163"/>
      <c r="J289" s="163"/>
      <c r="K289" s="164"/>
      <c r="L289" s="102">
        <v>0</v>
      </c>
      <c r="M289" s="102">
        <v>0</v>
      </c>
      <c r="N289" s="102">
        <v>0</v>
      </c>
      <c r="O289" s="102">
        <f>IF(L289&gt;0,N289*100/L289,0)</f>
        <v>0</v>
      </c>
      <c r="P289" s="102">
        <f>IF(M289&gt;0,N289*100/M289,0)</f>
        <v>0</v>
      </c>
      <c r="Q289" s="102">
        <v>0</v>
      </c>
      <c r="R289" s="102">
        <v>0</v>
      </c>
      <c r="S289" s="102">
        <v>0</v>
      </c>
      <c r="T289" s="102">
        <f>IF(Q289&gt;0,S289*100/Q289,0)</f>
        <v>0</v>
      </c>
      <c r="U289" s="102">
        <f>IF(R289&gt;0,S289*100/R289,0)</f>
        <v>0</v>
      </c>
    </row>
    <row r="290" spans="1:21" ht="18.75" hidden="1">
      <c r="A290" s="155"/>
      <c r="B290" s="188"/>
      <c r="C290" s="188"/>
      <c r="D290" s="50"/>
      <c r="E290" s="239" t="s">
        <v>21</v>
      </c>
      <c r="F290" s="50"/>
      <c r="G290" s="52"/>
      <c r="H290" s="165" t="s">
        <v>14</v>
      </c>
      <c r="I290" s="163"/>
      <c r="J290" s="163"/>
      <c r="K290" s="164"/>
      <c r="L290" s="255">
        <f ca="1">IFERROR(__xludf.DUMMYFUNCTION("IMPORTRANGE(""https://docs.google.com/spreadsheets/d/1-uDff_7J0KD5mKrp0Vvzr7lt3OU09vwQwhkpOPPYv2Y/edit?usp=sharing"",""งบพรบ!DR47"")"),0)</f>
        <v>0</v>
      </c>
      <c r="M290" s="255">
        <f ca="1">IFERROR(__xludf.DUMMYFUNCTION("IMPORTRANGE(""https://docs.google.com/spreadsheets/d/1-uDff_7J0KD5mKrp0Vvzr7lt3OU09vwQwhkpOPPYv2Y/edit?usp=sharing"",""งบพรบ!DU47"")"),0)</f>
        <v>0</v>
      </c>
      <c r="N290" s="255">
        <f ca="1">IFERROR(__xludf.DUMMYFUNCTION("IMPORTRANGE(""https://docs.google.com/spreadsheets/d/1-uDff_7J0KD5mKrp0Vvzr7lt3OU09vwQwhkpOPPYv2Y/edit?usp=sharing"",""งบพรบ!DW47"")"),0)</f>
        <v>0</v>
      </c>
      <c r="O290" s="255">
        <f ca="1">IF(L290&gt;0,N290*100/L290,0)</f>
        <v>0</v>
      </c>
      <c r="P290" s="255">
        <f ca="1">IF(M290&gt;0,N290*100/M290,0)</f>
        <v>0</v>
      </c>
      <c r="Q290" s="255">
        <v>0</v>
      </c>
      <c r="R290" s="255">
        <v>0</v>
      </c>
      <c r="S290" s="255">
        <v>0</v>
      </c>
      <c r="T290" s="255">
        <f>IF(Q290&gt;0,S290*100/Q290,0)</f>
        <v>0</v>
      </c>
      <c r="U290" s="255">
        <f>IF(R290&gt;0,S290*100/R290,0)</f>
        <v>0</v>
      </c>
    </row>
    <row r="291" spans="1:21" ht="19.5" hidden="1">
      <c r="A291" s="166"/>
      <c r="B291" s="167"/>
      <c r="C291" s="191" t="s">
        <v>18</v>
      </c>
      <c r="D291" s="566" t="s">
        <v>38</v>
      </c>
      <c r="E291" s="232"/>
      <c r="F291" s="169"/>
      <c r="G291" s="170"/>
      <c r="H291" s="171"/>
      <c r="I291" s="163"/>
      <c r="J291" s="163"/>
      <c r="K291" s="164"/>
      <c r="L291" s="164"/>
      <c r="M291" s="164"/>
      <c r="N291" s="164"/>
      <c r="O291" s="164"/>
      <c r="P291" s="164"/>
      <c r="Q291" s="164"/>
      <c r="R291" s="164"/>
      <c r="S291" s="164"/>
      <c r="T291" s="164"/>
      <c r="U291" s="164"/>
    </row>
    <row r="292" spans="1:21" ht="18.75" hidden="1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212">
        <f ca="1">IFERROR(__xludf.DUMMYFUNCTION("IMPORTRANGE(""https://docs.google.com/spreadsheets/d/1eHaY18a8A9IcSdp1K8H6x8fbOy06t2VsZHhMHf-1x7Y/edit?usp=sharing"",""แผน!EE47"")"),0)</f>
        <v>0</v>
      </c>
      <c r="J292" s="467">
        <v>0</v>
      </c>
      <c r="K292" s="565">
        <f ca="1">IF(I292&gt;0,J292*100/I292,0)</f>
        <v>0</v>
      </c>
      <c r="L292" s="164"/>
      <c r="M292" s="164"/>
      <c r="N292" s="164"/>
      <c r="O292" s="164"/>
      <c r="P292" s="164"/>
      <c r="Q292" s="164"/>
      <c r="R292" s="164"/>
      <c r="S292" s="164"/>
      <c r="T292" s="164"/>
      <c r="U292" s="164"/>
    </row>
    <row r="293" spans="1:21" ht="19.5" hidden="1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373">
        <f ca="1">IFERROR(__xludf.DUMMYFUNCTION("IMPORTRANGE(""https://docs.google.com/spreadsheets/d/1eHaY18a8A9IcSdp1K8H6x8fbOy06t2VsZHhMHf-1x7Y/edit?usp=sharing"",""แผน!ED47"")"),0)</f>
        <v>0</v>
      </c>
      <c r="J293" s="373">
        <f>J296</f>
        <v>0</v>
      </c>
      <c r="K293" s="642">
        <f ca="1">IF(I293&gt;0,J293*100/I293,0)</f>
        <v>0</v>
      </c>
      <c r="L293" s="164"/>
      <c r="M293" s="164"/>
      <c r="N293" s="164"/>
      <c r="O293" s="164"/>
      <c r="P293" s="164"/>
      <c r="Q293" s="164"/>
      <c r="R293" s="164"/>
      <c r="S293" s="164"/>
      <c r="T293" s="164"/>
      <c r="U293" s="164"/>
    </row>
    <row r="294" spans="1:21" ht="19.5" hidden="1">
      <c r="A294" s="166"/>
      <c r="B294" s="167"/>
      <c r="C294" s="167"/>
      <c r="D294" s="167"/>
      <c r="E294" s="194" t="s">
        <v>122</v>
      </c>
      <c r="F294" s="174"/>
      <c r="G294" s="171"/>
      <c r="H294" s="171"/>
      <c r="I294" s="163"/>
      <c r="J294" s="54"/>
      <c r="K294" s="164"/>
      <c r="L294" s="164"/>
      <c r="M294" s="164"/>
      <c r="N294" s="164"/>
      <c r="O294" s="164"/>
      <c r="P294" s="164"/>
      <c r="Q294" s="164"/>
      <c r="R294" s="164"/>
      <c r="S294" s="164"/>
      <c r="T294" s="164"/>
      <c r="U294" s="164"/>
    </row>
    <row r="295" spans="1:21" ht="19.5" hidden="1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641">
        <f ca="1">IFERROR(__xludf.DUMMYFUNCTION("IMPORTRANGE(""https://docs.google.com/spreadsheets/d/1eHaY18a8A9IcSdp1K8H6x8fbOy06t2VsZHhMHf-1x7Y/edit?usp=sharing"",""แผน!ED47"")"),0)</f>
        <v>0</v>
      </c>
      <c r="J295" s="467">
        <v>0</v>
      </c>
      <c r="K295" s="565">
        <f ca="1">IF(I295&gt;0,J295*100/I295,0)</f>
        <v>0</v>
      </c>
      <c r="L295" s="164"/>
      <c r="M295" s="164"/>
      <c r="N295" s="164"/>
      <c r="O295" s="164"/>
      <c r="P295" s="164"/>
      <c r="Q295" s="164"/>
      <c r="R295" s="164"/>
      <c r="S295" s="164"/>
      <c r="T295" s="164"/>
      <c r="U295" s="164"/>
    </row>
    <row r="296" spans="1:21" ht="19.5" hidden="1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641">
        <f ca="1">IFERROR(__xludf.DUMMYFUNCTION("IMPORTRANGE(""https://docs.google.com/spreadsheets/d/1eHaY18a8A9IcSdp1K8H6x8fbOy06t2VsZHhMHf-1x7Y/edit?usp=sharing"",""แผน!ED47"")"),0)</f>
        <v>0</v>
      </c>
      <c r="J296" s="467">
        <v>0</v>
      </c>
      <c r="K296" s="565">
        <f ca="1">IF(I296&gt;0,J296*100/I296,0)</f>
        <v>0</v>
      </c>
      <c r="L296" s="164"/>
      <c r="M296" s="164"/>
      <c r="N296" s="164"/>
      <c r="O296" s="164"/>
      <c r="P296" s="164"/>
      <c r="Q296" s="164"/>
      <c r="R296" s="164"/>
      <c r="S296" s="164"/>
      <c r="T296" s="164"/>
      <c r="U296" s="164"/>
    </row>
    <row r="297" spans="1:21" ht="12.75" hidden="1">
      <c r="A297" s="192"/>
      <c r="B297" s="193"/>
      <c r="C297" s="193"/>
      <c r="D297" s="22"/>
      <c r="E297" s="22"/>
      <c r="F297" s="22"/>
      <c r="G297" s="23"/>
      <c r="H297" s="209"/>
      <c r="I297" s="24"/>
      <c r="J297" s="24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2.75" hidden="1">
      <c r="A298" s="192"/>
      <c r="B298" s="193"/>
      <c r="C298" s="193"/>
      <c r="D298" s="193"/>
      <c r="E298" s="22"/>
      <c r="F298" s="22"/>
      <c r="G298" s="23"/>
      <c r="H298" s="209"/>
      <c r="I298" s="24"/>
      <c r="J298" s="24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2.75" hidden="1">
      <c r="A299" s="311"/>
      <c r="B299" s="312"/>
      <c r="C299" s="312"/>
      <c r="D299" s="27"/>
      <c r="E299" s="27"/>
      <c r="F299" s="27"/>
      <c r="G299" s="17"/>
      <c r="H299" s="832"/>
      <c r="I299" s="18"/>
      <c r="J299" s="18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>
      <c r="A300" s="313" t="s">
        <v>125</v>
      </c>
      <c r="B300" s="314"/>
      <c r="C300" s="314"/>
      <c r="D300" s="314"/>
      <c r="E300" s="315"/>
      <c r="F300" s="315"/>
      <c r="G300" s="315"/>
      <c r="H300" s="314"/>
      <c r="I300" s="316"/>
      <c r="J300" s="316"/>
      <c r="K300" s="317"/>
      <c r="L300" s="317"/>
      <c r="M300" s="317"/>
      <c r="N300" s="317"/>
      <c r="O300" s="317"/>
      <c r="P300" s="318"/>
      <c r="Q300" s="317"/>
      <c r="R300" s="317"/>
      <c r="S300" s="317"/>
      <c r="T300" s="317"/>
      <c r="U300" s="318"/>
    </row>
    <row r="301" spans="1:21" ht="19.5">
      <c r="A301" s="319" t="s">
        <v>126</v>
      </c>
      <c r="B301" s="320"/>
      <c r="C301" s="320"/>
      <c r="D301" s="321"/>
      <c r="E301" s="321"/>
      <c r="F301" s="321"/>
      <c r="G301" s="322"/>
      <c r="H301" s="831"/>
      <c r="I301" s="323"/>
      <c r="J301" s="323"/>
      <c r="K301" s="324"/>
      <c r="L301" s="324"/>
      <c r="M301" s="324"/>
      <c r="N301" s="324"/>
      <c r="O301" s="324"/>
      <c r="P301" s="324"/>
      <c r="Q301" s="324"/>
      <c r="R301" s="324"/>
      <c r="S301" s="324"/>
      <c r="T301" s="324"/>
      <c r="U301" s="324"/>
    </row>
    <row r="302" spans="1:21" ht="19.5">
      <c r="A302" s="326"/>
      <c r="B302" s="327" t="s">
        <v>127</v>
      </c>
      <c r="C302" s="328"/>
      <c r="D302" s="328"/>
      <c r="E302" s="328"/>
      <c r="F302" s="328"/>
      <c r="G302" s="329"/>
      <c r="H302" s="355" t="s">
        <v>35</v>
      </c>
      <c r="I302" s="605">
        <f ca="1">I314</f>
        <v>0</v>
      </c>
      <c r="J302" s="605">
        <f>J314</f>
        <v>0</v>
      </c>
      <c r="K302" s="604">
        <f ca="1">IF(I302&gt;0,J302*100/I302,0)</f>
        <v>0</v>
      </c>
      <c r="L302" s="333"/>
      <c r="M302" s="333"/>
      <c r="N302" s="333"/>
      <c r="O302" s="333"/>
      <c r="P302" s="333"/>
      <c r="Q302" s="333"/>
      <c r="R302" s="333"/>
      <c r="S302" s="333"/>
      <c r="T302" s="333"/>
      <c r="U302" s="333"/>
    </row>
    <row r="303" spans="1:21" ht="19.5">
      <c r="A303" s="155"/>
      <c r="B303" s="50"/>
      <c r="C303" s="156" t="s">
        <v>18</v>
      </c>
      <c r="D303" s="575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540">
        <f ca="1">L304+L305</f>
        <v>0</v>
      </c>
      <c r="M303" s="540">
        <f ca="1">M304+M305</f>
        <v>0</v>
      </c>
      <c r="N303" s="540">
        <f ca="1">N304+N305</f>
        <v>0</v>
      </c>
      <c r="O303" s="540">
        <f ca="1">IF(L303&gt;0,N303*100/L303,0)</f>
        <v>0</v>
      </c>
      <c r="P303" s="540">
        <f ca="1">IF(M303&gt;0,N303*100/M303,0)</f>
        <v>0</v>
      </c>
      <c r="Q303" s="540">
        <f ca="1">Q304+Q305</f>
        <v>0</v>
      </c>
      <c r="R303" s="540">
        <f ca="1">R304+R305</f>
        <v>0</v>
      </c>
      <c r="S303" s="540">
        <f ca="1">S304+S305</f>
        <v>0</v>
      </c>
      <c r="T303" s="540">
        <f ca="1">IF(Q303&gt;0,S303*100/Q303,0)</f>
        <v>0</v>
      </c>
      <c r="U303" s="540">
        <f ca="1">IF(R303&gt;0,S303*100/R303,0)</f>
        <v>0</v>
      </c>
    </row>
    <row r="304" spans="1:21" ht="18.75" hidden="1">
      <c r="A304" s="155"/>
      <c r="B304" s="50"/>
      <c r="C304" s="50"/>
      <c r="D304" s="50"/>
      <c r="E304" s="186" t="s">
        <v>20</v>
      </c>
      <c r="F304" s="50"/>
      <c r="G304" s="52"/>
      <c r="H304" s="187" t="s">
        <v>14</v>
      </c>
      <c r="I304" s="54"/>
      <c r="J304" s="54"/>
      <c r="K304" s="55"/>
      <c r="L304" s="102">
        <f>L307+L310</f>
        <v>0</v>
      </c>
      <c r="M304" s="102">
        <f>M307+M310</f>
        <v>0</v>
      </c>
      <c r="N304" s="102">
        <f>N307+N310</f>
        <v>0</v>
      </c>
      <c r="O304" s="102">
        <f>IF(L304&gt;0,N304*100/L304,0)</f>
        <v>0</v>
      </c>
      <c r="P304" s="102">
        <f>IF(M304&gt;0,N304*100/M304,0)</f>
        <v>0</v>
      </c>
      <c r="Q304" s="102">
        <f>Q307+Q310</f>
        <v>0</v>
      </c>
      <c r="R304" s="102">
        <f>R307+R310</f>
        <v>0</v>
      </c>
      <c r="S304" s="102">
        <f>S307+S310</f>
        <v>0</v>
      </c>
      <c r="T304" s="102">
        <f>IF(Q304&gt;0,S304*100/Q304,0)</f>
        <v>0</v>
      </c>
      <c r="U304" s="102">
        <f>IF(R304&gt;0,S304*100/R304,0)</f>
        <v>0</v>
      </c>
    </row>
    <row r="305" spans="1:21" ht="18.75" hidden="1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255">
        <f ca="1">L308+L311</f>
        <v>0</v>
      </c>
      <c r="M305" s="255">
        <f ca="1">M308+M311</f>
        <v>0</v>
      </c>
      <c r="N305" s="255">
        <f ca="1">N308+N311</f>
        <v>0</v>
      </c>
      <c r="O305" s="255">
        <f ca="1">IF(L305&gt;0,N305*100/L305,0)</f>
        <v>0</v>
      </c>
      <c r="P305" s="255">
        <f ca="1">IF(M305&gt;0,N305*100/M305,0)</f>
        <v>0</v>
      </c>
      <c r="Q305" s="255">
        <f ca="1">Q308+Q311</f>
        <v>0</v>
      </c>
      <c r="R305" s="255">
        <f ca="1">R308+R311</f>
        <v>0</v>
      </c>
      <c r="S305" s="255">
        <f ca="1">S308+S311</f>
        <v>0</v>
      </c>
      <c r="T305" s="255">
        <f ca="1">IF(Q305&gt;0,S305*100/Q305,0)</f>
        <v>0</v>
      </c>
      <c r="U305" s="255">
        <f ca="1">IF(R305&gt;0,S305*100/R305,0)</f>
        <v>0</v>
      </c>
    </row>
    <row r="306" spans="1:21" ht="18.75">
      <c r="A306" s="155"/>
      <c r="B306" s="188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255">
        <f ca="1">L307+L308</f>
        <v>0</v>
      </c>
      <c r="M306" s="255">
        <f ca="1">M307+M308</f>
        <v>0</v>
      </c>
      <c r="N306" s="255">
        <f ca="1">N307+N308</f>
        <v>0</v>
      </c>
      <c r="O306" s="255">
        <f ca="1">IF(L306&gt;0,N306*100/L306,0)</f>
        <v>0</v>
      </c>
      <c r="P306" s="255">
        <f ca="1">IF(M306&gt;0,N306*100/M306,0)</f>
        <v>0</v>
      </c>
      <c r="Q306" s="255">
        <f ca="1">Q307+Q308</f>
        <v>0</v>
      </c>
      <c r="R306" s="255">
        <f ca="1">R307+R308</f>
        <v>0</v>
      </c>
      <c r="S306" s="255">
        <f ca="1">S307+S308</f>
        <v>0</v>
      </c>
      <c r="T306" s="255">
        <f ca="1">IF(Q306&gt;0,S306*100/Q306,0)</f>
        <v>0</v>
      </c>
      <c r="U306" s="255">
        <f ca="1">IF(R306&gt;0,S306*100/R306,0)</f>
        <v>0</v>
      </c>
    </row>
    <row r="307" spans="1:21" ht="18.75" hidden="1">
      <c r="A307" s="155"/>
      <c r="B307" s="188"/>
      <c r="C307" s="188"/>
      <c r="D307" s="50"/>
      <c r="E307" s="186" t="s">
        <v>36</v>
      </c>
      <c r="F307" s="50"/>
      <c r="G307" s="52"/>
      <c r="H307" s="189" t="s">
        <v>14</v>
      </c>
      <c r="I307" s="163"/>
      <c r="J307" s="163"/>
      <c r="K307" s="164"/>
      <c r="L307" s="102">
        <v>0</v>
      </c>
      <c r="M307" s="102">
        <v>0</v>
      </c>
      <c r="N307" s="102">
        <v>0</v>
      </c>
      <c r="O307" s="102">
        <f>IF(L307&gt;0,N307*100/L307,0)</f>
        <v>0</v>
      </c>
      <c r="P307" s="102">
        <f>IF(M307&gt;0,N307*100/M307,0)</f>
        <v>0</v>
      </c>
      <c r="Q307" s="102">
        <v>0</v>
      </c>
      <c r="R307" s="102">
        <v>0</v>
      </c>
      <c r="S307" s="102">
        <v>0</v>
      </c>
      <c r="T307" s="102">
        <f>IF(Q307&gt;0,S307*100/Q307,0)</f>
        <v>0</v>
      </c>
      <c r="U307" s="102">
        <f>IF(R307&gt;0,S307*100/R307,0)</f>
        <v>0</v>
      </c>
    </row>
    <row r="308" spans="1:21" ht="18.75" hidden="1">
      <c r="A308" s="155"/>
      <c r="B308" s="188"/>
      <c r="C308" s="188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255">
        <f ca="1">IFERROR(__xludf.DUMMYFUNCTION("IMPORTRANGE(""https://docs.google.com/spreadsheets/d/1-uDff_7J0KD5mKrp0Vvzr7lt3OU09vwQwhkpOPPYv2Y/edit?usp=sharing"",""งบพรบ!DY47"")"),0)</f>
        <v>0</v>
      </c>
      <c r="M308" s="255">
        <f ca="1">IFERROR(__xludf.DUMMYFUNCTION("IMPORTRANGE(""https://docs.google.com/spreadsheets/d/1-uDff_7J0KD5mKrp0Vvzr7lt3OU09vwQwhkpOPPYv2Y/edit?usp=sharing"",""งบพรบ!ED47"")"),0)</f>
        <v>0</v>
      </c>
      <c r="N308" s="255">
        <f ca="1">IFERROR(__xludf.DUMMYFUNCTION("IMPORTRANGE(""https://docs.google.com/spreadsheets/d/1-uDff_7J0KD5mKrp0Vvzr7lt3OU09vwQwhkpOPPYv2Y/edit?usp=sharing"",""งบพรบ!EF47"")"),0)</f>
        <v>0</v>
      </c>
      <c r="O308" s="255">
        <f ca="1">IF(L308&gt;0,N308*100/L308,0)</f>
        <v>0</v>
      </c>
      <c r="P308" s="255">
        <f ca="1">IF(M308&gt;0,N308*100/M308,0)</f>
        <v>0</v>
      </c>
      <c r="Q308" s="255">
        <f ca="1">IFERROR(__xludf.DUMMYFUNCTION("IMPORTRANGE(""https://docs.google.com/spreadsheets/d/1ItG2mGa2ceCfYo0BwxsXqNm01IGEUdYcSSLTEv9YCik/edit?usp=sharing"",""เบิกจ่ายกองทุน!AP47"")"),0)</f>
        <v>0</v>
      </c>
      <c r="R308" s="255">
        <f ca="1">IFERROR(__xludf.DUMMYFUNCTION("IMPORTRANGE(""https://docs.google.com/spreadsheets/d/1ItG2mGa2ceCfYo0BwxsXqNm01IGEUdYcSSLTEv9YCik/edit?usp=sharing"",""เบิกจ่ายกองทุน!AQ47"")"),0)</f>
        <v>0</v>
      </c>
      <c r="S308" s="255">
        <f ca="1">IFERROR(__xludf.DUMMYFUNCTION("IMPORTRANGE(""https://docs.google.com/spreadsheets/d/1ItG2mGa2ceCfYo0BwxsXqNm01IGEUdYcSSLTEv9YCik/edit?usp=sharing"",""เบิกจ่ายกองทุน!AR47"")"),0)</f>
        <v>0</v>
      </c>
      <c r="T308" s="255">
        <f ca="1">IF(Q308&gt;0,S308*100/Q308,0)</f>
        <v>0</v>
      </c>
      <c r="U308" s="255">
        <f ca="1">IF(R308&gt;0,S308*100/R308,0)</f>
        <v>0</v>
      </c>
    </row>
    <row r="309" spans="1:21" ht="18.75">
      <c r="A309" s="155"/>
      <c r="B309" s="188"/>
      <c r="C309" s="188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255">
        <f ca="1">L310+L311</f>
        <v>0</v>
      </c>
      <c r="M309" s="255">
        <f ca="1">M310+M311</f>
        <v>0</v>
      </c>
      <c r="N309" s="255">
        <f ca="1">N310+N311</f>
        <v>0</v>
      </c>
      <c r="O309" s="255">
        <f ca="1">IF(L309&gt;0,N309*100/L309,0)</f>
        <v>0</v>
      </c>
      <c r="P309" s="255">
        <f ca="1">IF(M309&gt;0,N309*100/M309,0)</f>
        <v>0</v>
      </c>
      <c r="Q309" s="255">
        <f>Q310+Q311</f>
        <v>0</v>
      </c>
      <c r="R309" s="255">
        <f>R310+R311</f>
        <v>0</v>
      </c>
      <c r="S309" s="255">
        <f>S310+S311</f>
        <v>0</v>
      </c>
      <c r="T309" s="255">
        <f>IF(Q309&gt;0,S309*100/Q309,0)</f>
        <v>0</v>
      </c>
      <c r="U309" s="255">
        <f>IF(R309&gt;0,S309*100/R309,0)</f>
        <v>0</v>
      </c>
    </row>
    <row r="310" spans="1:21" ht="18.75" hidden="1">
      <c r="A310" s="155"/>
      <c r="B310" s="188"/>
      <c r="C310" s="188"/>
      <c r="D310" s="50"/>
      <c r="E310" s="186" t="s">
        <v>20</v>
      </c>
      <c r="F310" s="50"/>
      <c r="G310" s="52"/>
      <c r="H310" s="189" t="s">
        <v>14</v>
      </c>
      <c r="I310" s="163"/>
      <c r="J310" s="163"/>
      <c r="K310" s="164"/>
      <c r="L310" s="102">
        <v>0</v>
      </c>
      <c r="M310" s="102">
        <v>0</v>
      </c>
      <c r="N310" s="102">
        <v>0</v>
      </c>
      <c r="O310" s="102">
        <f>IF(L310&gt;0,N310*100/L310,0)</f>
        <v>0</v>
      </c>
      <c r="P310" s="102">
        <f>IF(M310&gt;0,N310*100/M310,0)</f>
        <v>0</v>
      </c>
      <c r="Q310" s="102">
        <v>0</v>
      </c>
      <c r="R310" s="102">
        <v>0</v>
      </c>
      <c r="S310" s="102">
        <v>0</v>
      </c>
      <c r="T310" s="102">
        <f>IF(Q310&gt;0,S310*100/Q310,0)</f>
        <v>0</v>
      </c>
      <c r="U310" s="102">
        <f>IF(R310&gt;0,S310*100/R310,0)</f>
        <v>0</v>
      </c>
    </row>
    <row r="311" spans="1:21" ht="18.75" hidden="1">
      <c r="A311" s="155"/>
      <c r="B311" s="188"/>
      <c r="C311" s="188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255">
        <f ca="1">IFERROR(__xludf.DUMMYFUNCTION("IMPORTRANGE(""https://docs.google.com/spreadsheets/d/1-uDff_7J0KD5mKrp0Vvzr7lt3OU09vwQwhkpOPPYv2Y/edit?usp=sharing"",""งบพรบ!EB47"")"),0)</f>
        <v>0</v>
      </c>
      <c r="M311" s="255">
        <f ca="1">IFERROR(__xludf.DUMMYFUNCTION("IMPORTRANGE(""https://docs.google.com/spreadsheets/d/1-uDff_7J0KD5mKrp0Vvzr7lt3OU09vwQwhkpOPPYv2Y/edit?usp=sharing"",""งบพรบ!EE47"")"),0)</f>
        <v>0</v>
      </c>
      <c r="N311" s="255">
        <f ca="1">IFERROR(__xludf.DUMMYFUNCTION("IMPORTRANGE(""https://docs.google.com/spreadsheets/d/1-uDff_7J0KD5mKrp0Vvzr7lt3OU09vwQwhkpOPPYv2Y/edit?usp=sharing"",""งบพรบ!EG47"")"),0)</f>
        <v>0</v>
      </c>
      <c r="O311" s="255">
        <f ca="1">IF(L311&gt;0,N311*100/L311,0)</f>
        <v>0</v>
      </c>
      <c r="P311" s="255">
        <f ca="1">IF(M311&gt;0,N311*100/M311,0)</f>
        <v>0</v>
      </c>
      <c r="Q311" s="255">
        <v>0</v>
      </c>
      <c r="R311" s="255">
        <v>0</v>
      </c>
      <c r="S311" s="255">
        <v>0</v>
      </c>
      <c r="T311" s="255">
        <f>IF(Q311&gt;0,S311*100/Q311,0)</f>
        <v>0</v>
      </c>
      <c r="U311" s="255">
        <f>IF(R311&gt;0,S311*100/R311,0)</f>
        <v>0</v>
      </c>
    </row>
    <row r="312" spans="1:21" ht="19.5">
      <c r="A312" s="166"/>
      <c r="B312" s="167"/>
      <c r="C312" s="191" t="s">
        <v>18</v>
      </c>
      <c r="D312" s="566" t="s">
        <v>38</v>
      </c>
      <c r="E312" s="232"/>
      <c r="F312" s="232"/>
      <c r="G312" s="829"/>
      <c r="H312" s="171"/>
      <c r="I312" s="54"/>
      <c r="J312" s="54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</row>
    <row r="313" spans="1:21" ht="12.75" hidden="1">
      <c r="A313" s="192"/>
      <c r="B313" s="193"/>
      <c r="C313" s="193"/>
      <c r="D313" s="193"/>
      <c r="E313" s="22"/>
      <c r="F313" s="22"/>
      <c r="G313" s="23"/>
      <c r="H313" s="23"/>
      <c r="I313" s="24"/>
      <c r="J313" s="24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8.75">
      <c r="A314" s="166"/>
      <c r="B314" s="167"/>
      <c r="C314" s="167"/>
      <c r="D314" s="178" t="s">
        <v>121</v>
      </c>
      <c r="E314" s="174"/>
      <c r="F314" s="174"/>
      <c r="G314" s="171"/>
      <c r="H314" s="165" t="s">
        <v>35</v>
      </c>
      <c r="I314" s="212">
        <f ca="1">IFERROR(__xludf.DUMMYFUNCTION("IMPORTRANGE(""https://docs.google.com/spreadsheets/d/1eHaY18a8A9IcSdp1K8H6x8fbOy06t2VsZHhMHf-1x7Y/edit?usp=sharing"",""แผน!EF47"")"),0)</f>
        <v>0</v>
      </c>
      <c r="J314" s="467">
        <v>0</v>
      </c>
      <c r="K314" s="255">
        <f ca="1">IF(I314&gt;0,J314*100/I314,0)</f>
        <v>0</v>
      </c>
      <c r="L314" s="55"/>
      <c r="M314" s="55"/>
      <c r="N314" s="55"/>
      <c r="O314" s="55"/>
      <c r="P314" s="55"/>
      <c r="Q314" s="55"/>
      <c r="R314" s="55"/>
      <c r="S314" s="55"/>
      <c r="T314" s="55"/>
      <c r="U314" s="55"/>
    </row>
    <row r="315" spans="1:21" ht="12.75" hidden="1">
      <c r="A315" s="192"/>
      <c r="B315" s="193"/>
      <c r="C315" s="193"/>
      <c r="D315" s="22"/>
      <c r="E315" s="22"/>
      <c r="F315" s="22"/>
      <c r="G315" s="23"/>
      <c r="H315" s="209"/>
      <c r="I315" s="24"/>
      <c r="J315" s="24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2.75" hidden="1">
      <c r="A316" s="192"/>
      <c r="B316" s="193"/>
      <c r="C316" s="193"/>
      <c r="D316" s="22"/>
      <c r="E316" s="193"/>
      <c r="F316" s="193"/>
      <c r="G316" s="209"/>
      <c r="H316" s="209"/>
      <c r="I316" s="24"/>
      <c r="J316" s="24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2.75" hidden="1">
      <c r="A317" s="192"/>
      <c r="B317" s="193"/>
      <c r="C317" s="193"/>
      <c r="D317" s="193"/>
      <c r="E317" s="22"/>
      <c r="F317" s="22"/>
      <c r="G317" s="23"/>
      <c r="H317" s="209"/>
      <c r="I317" s="24"/>
      <c r="J317" s="24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9.5" hidden="1">
      <c r="A318" s="319" t="s">
        <v>131</v>
      </c>
      <c r="B318" s="320"/>
      <c r="C318" s="320"/>
      <c r="D318" s="321"/>
      <c r="E318" s="320"/>
      <c r="F318" s="320"/>
      <c r="G318" s="320"/>
      <c r="H318" s="320"/>
      <c r="I318" s="323"/>
      <c r="J318" s="323"/>
      <c r="K318" s="324"/>
      <c r="L318" s="324"/>
      <c r="M318" s="324"/>
      <c r="N318" s="324"/>
      <c r="O318" s="324"/>
      <c r="P318" s="324"/>
      <c r="Q318" s="324"/>
      <c r="R318" s="324"/>
      <c r="S318" s="324"/>
      <c r="T318" s="324"/>
      <c r="U318" s="324"/>
    </row>
    <row r="319" spans="1:21" ht="19.5" hidden="1">
      <c r="A319" s="335"/>
      <c r="B319" s="327" t="s">
        <v>132</v>
      </c>
      <c r="C319" s="336"/>
      <c r="D319" s="337"/>
      <c r="E319" s="328"/>
      <c r="F319" s="328"/>
      <c r="G319" s="329"/>
      <c r="H319" s="355" t="s">
        <v>133</v>
      </c>
      <c r="I319" s="605">
        <f ca="1">I330</f>
        <v>0</v>
      </c>
      <c r="J319" s="605">
        <f>J330</f>
        <v>0</v>
      </c>
      <c r="K319" s="604">
        <f ca="1">IF(I319&gt;0,J319*100/I319,0)</f>
        <v>0</v>
      </c>
      <c r="L319" s="333"/>
      <c r="M319" s="333"/>
      <c r="N319" s="333"/>
      <c r="O319" s="333"/>
      <c r="P319" s="333"/>
      <c r="Q319" s="333"/>
      <c r="R319" s="333"/>
      <c r="S319" s="333"/>
      <c r="T319" s="333"/>
      <c r="U319" s="333"/>
    </row>
    <row r="320" spans="1:21" ht="19.5" hidden="1">
      <c r="A320" s="155"/>
      <c r="B320" s="50"/>
      <c r="C320" s="156" t="s">
        <v>18</v>
      </c>
      <c r="D320" s="575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540">
        <f ca="1">L321+L322</f>
        <v>0</v>
      </c>
      <c r="M320" s="540">
        <f ca="1">M321+M322</f>
        <v>0</v>
      </c>
      <c r="N320" s="540">
        <f ca="1">N321+N322</f>
        <v>0</v>
      </c>
      <c r="O320" s="540">
        <f ca="1">IF(L320&gt;0,N320*100/L320,0)</f>
        <v>0</v>
      </c>
      <c r="P320" s="540">
        <f ca="1">IF(M320&gt;0,N320*100/M320,0)</f>
        <v>0</v>
      </c>
      <c r="Q320" s="540">
        <f>Q321+Q322</f>
        <v>0</v>
      </c>
      <c r="R320" s="540">
        <f>R321+R322</f>
        <v>0</v>
      </c>
      <c r="S320" s="540">
        <f>S321+S322</f>
        <v>0</v>
      </c>
      <c r="T320" s="540">
        <f>IF(Q320&gt;0,S320*100/Q320,0)</f>
        <v>0</v>
      </c>
      <c r="U320" s="540">
        <f>IF(R320&gt;0,S320*100/R320,0)</f>
        <v>0</v>
      </c>
    </row>
    <row r="321" spans="1:21" ht="18.75" hidden="1">
      <c r="A321" s="155"/>
      <c r="B321" s="50"/>
      <c r="C321" s="50"/>
      <c r="D321" s="50"/>
      <c r="E321" s="186" t="s">
        <v>20</v>
      </c>
      <c r="F321" s="50"/>
      <c r="G321" s="52"/>
      <c r="H321" s="187" t="s">
        <v>14</v>
      </c>
      <c r="I321" s="54"/>
      <c r="J321" s="54"/>
      <c r="K321" s="55"/>
      <c r="L321" s="102">
        <f>L324+L327</f>
        <v>0</v>
      </c>
      <c r="M321" s="102">
        <f>M324+M327</f>
        <v>0</v>
      </c>
      <c r="N321" s="102">
        <f>N324+N327</f>
        <v>0</v>
      </c>
      <c r="O321" s="102">
        <f>IF(L321&gt;0,N321*100/L321,0)</f>
        <v>0</v>
      </c>
      <c r="P321" s="102">
        <f>IF(M321&gt;0,N321*100/M321,0)</f>
        <v>0</v>
      </c>
      <c r="Q321" s="102">
        <f>Q324+Q327</f>
        <v>0</v>
      </c>
      <c r="R321" s="102">
        <f>R324+R327</f>
        <v>0</v>
      </c>
      <c r="S321" s="102">
        <f>S324+S327</f>
        <v>0</v>
      </c>
      <c r="T321" s="102">
        <f>IF(Q321&gt;0,S321*100/Q321,0)</f>
        <v>0</v>
      </c>
      <c r="U321" s="102">
        <f>IF(R321&gt;0,S321*100/R321,0)</f>
        <v>0</v>
      </c>
    </row>
    <row r="322" spans="1:21" ht="18.75" hidden="1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255">
        <f ca="1">L325+L328</f>
        <v>0</v>
      </c>
      <c r="M322" s="255">
        <f ca="1">M325+M328</f>
        <v>0</v>
      </c>
      <c r="N322" s="255">
        <f ca="1">N325+N328</f>
        <v>0</v>
      </c>
      <c r="O322" s="255">
        <f ca="1">IF(L322&gt;0,N322*100/L322,0)</f>
        <v>0</v>
      </c>
      <c r="P322" s="255">
        <f ca="1">IF(M322&gt;0,N322*100/M322,0)</f>
        <v>0</v>
      </c>
      <c r="Q322" s="255">
        <f>Q325+Q328</f>
        <v>0</v>
      </c>
      <c r="R322" s="255">
        <f>R325+R328</f>
        <v>0</v>
      </c>
      <c r="S322" s="255">
        <f>S325+S328</f>
        <v>0</v>
      </c>
      <c r="T322" s="255">
        <f>IF(Q322&gt;0,S322*100/Q322,0)</f>
        <v>0</v>
      </c>
      <c r="U322" s="255">
        <f>IF(R322&gt;0,S322*100/R322,0)</f>
        <v>0</v>
      </c>
    </row>
    <row r="323" spans="1:21" ht="18.75" hidden="1">
      <c r="A323" s="155"/>
      <c r="B323" s="188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255">
        <f ca="1">L324+L325</f>
        <v>0</v>
      </c>
      <c r="M323" s="255">
        <f ca="1">M324+M325</f>
        <v>0</v>
      </c>
      <c r="N323" s="255">
        <f ca="1">N324+N325</f>
        <v>0</v>
      </c>
      <c r="O323" s="255">
        <f ca="1">IF(L323&gt;0,N323*100/L323,0)</f>
        <v>0</v>
      </c>
      <c r="P323" s="255">
        <f ca="1">IF(M323&gt;0,N323*100/M323,0)</f>
        <v>0</v>
      </c>
      <c r="Q323" s="255">
        <f>Q324+Q325</f>
        <v>0</v>
      </c>
      <c r="R323" s="255">
        <f>R324+R325</f>
        <v>0</v>
      </c>
      <c r="S323" s="255">
        <f>S324+S325</f>
        <v>0</v>
      </c>
      <c r="T323" s="255">
        <f>IF(Q323&gt;0,S323*100/Q323,0)</f>
        <v>0</v>
      </c>
      <c r="U323" s="255">
        <f>IF(R323&gt;0,S323*100/R323,0)</f>
        <v>0</v>
      </c>
    </row>
    <row r="324" spans="1:21" ht="18.75" hidden="1">
      <c r="A324" s="155"/>
      <c r="B324" s="188"/>
      <c r="C324" s="188"/>
      <c r="D324" s="50"/>
      <c r="E324" s="186" t="s">
        <v>36</v>
      </c>
      <c r="F324" s="50"/>
      <c r="G324" s="52"/>
      <c r="H324" s="189" t="s">
        <v>14</v>
      </c>
      <c r="I324" s="163"/>
      <c r="J324" s="163"/>
      <c r="K324" s="164"/>
      <c r="L324" s="102">
        <v>0</v>
      </c>
      <c r="M324" s="102">
        <v>0</v>
      </c>
      <c r="N324" s="102">
        <v>0</v>
      </c>
      <c r="O324" s="102">
        <f>IF(L324&gt;0,N324*100/L324,0)</f>
        <v>0</v>
      </c>
      <c r="P324" s="102">
        <f>IF(M324&gt;0,N324*100/M324,0)</f>
        <v>0</v>
      </c>
      <c r="Q324" s="102">
        <v>0</v>
      </c>
      <c r="R324" s="102">
        <v>0</v>
      </c>
      <c r="S324" s="102">
        <v>0</v>
      </c>
      <c r="T324" s="102">
        <f>IF(Q324&gt;0,S324*100/Q324,0)</f>
        <v>0</v>
      </c>
      <c r="U324" s="102">
        <f>IF(R324&gt;0,S324*100/R324,0)</f>
        <v>0</v>
      </c>
    </row>
    <row r="325" spans="1:21" ht="18.75" hidden="1">
      <c r="A325" s="155"/>
      <c r="B325" s="188"/>
      <c r="C325" s="188"/>
      <c r="D325" s="50"/>
      <c r="E325" s="239" t="s">
        <v>37</v>
      </c>
      <c r="F325" s="188"/>
      <c r="G325" s="208"/>
      <c r="H325" s="162" t="s">
        <v>14</v>
      </c>
      <c r="I325" s="163"/>
      <c r="J325" s="163"/>
      <c r="K325" s="164"/>
      <c r="L325" s="255">
        <f ca="1">IFERROR(__xludf.DUMMYFUNCTION("IMPORTRANGE(""https://docs.google.com/spreadsheets/d/1-uDff_7J0KD5mKrp0Vvzr7lt3OU09vwQwhkpOPPYv2Y/edit?usp=sharing"",""งบพรบ!EI47"")"),0)</f>
        <v>0</v>
      </c>
      <c r="M325" s="255">
        <f ca="1">IFERROR(__xludf.DUMMYFUNCTION("IMPORTRANGE(""https://docs.google.com/spreadsheets/d/1-uDff_7J0KD5mKrp0Vvzr7lt3OU09vwQwhkpOPPYv2Y/edit?usp=sharing"",""งบพรบ!EN47"")"),0)</f>
        <v>0</v>
      </c>
      <c r="N325" s="255">
        <f ca="1">IFERROR(__xludf.DUMMYFUNCTION("IMPORTRANGE(""https://docs.google.com/spreadsheets/d/1-uDff_7J0KD5mKrp0Vvzr7lt3OU09vwQwhkpOPPYv2Y/edit?usp=sharing"",""งบพรบ!EP47"")"),0)</f>
        <v>0</v>
      </c>
      <c r="O325" s="255">
        <f ca="1">IF(L325&gt;0,N325*100/L325,0)</f>
        <v>0</v>
      </c>
      <c r="P325" s="255">
        <f ca="1">IF(M325&gt;0,N325*100/M325,0)</f>
        <v>0</v>
      </c>
      <c r="Q325" s="255">
        <v>0</v>
      </c>
      <c r="R325" s="255">
        <v>0</v>
      </c>
      <c r="S325" s="255">
        <v>0</v>
      </c>
      <c r="T325" s="255">
        <f>IF(Q325&gt;0,S325*100/Q325,0)</f>
        <v>0</v>
      </c>
      <c r="U325" s="255">
        <f>IF(R325&gt;0,S325*100/R325,0)</f>
        <v>0</v>
      </c>
    </row>
    <row r="326" spans="1:21" ht="18.75" hidden="1">
      <c r="A326" s="155"/>
      <c r="B326" s="50"/>
      <c r="C326" s="188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255">
        <f ca="1">L327+L328</f>
        <v>0</v>
      </c>
      <c r="M326" s="255">
        <f ca="1">M327+M328</f>
        <v>0</v>
      </c>
      <c r="N326" s="255">
        <f ca="1">N327+N328</f>
        <v>0</v>
      </c>
      <c r="O326" s="255">
        <f ca="1">IF(L326&gt;0,N326*100/L326,0)</f>
        <v>0</v>
      </c>
      <c r="P326" s="255">
        <f ca="1">IF(M326&gt;0,N326*100/M326,0)</f>
        <v>0</v>
      </c>
      <c r="Q326" s="255">
        <f>Q327+Q328</f>
        <v>0</v>
      </c>
      <c r="R326" s="255">
        <f>R327+R328</f>
        <v>0</v>
      </c>
      <c r="S326" s="255">
        <f>S327+S328</f>
        <v>0</v>
      </c>
      <c r="T326" s="255">
        <f>IF(Q326&gt;0,S326*100/Q326,0)</f>
        <v>0</v>
      </c>
      <c r="U326" s="255">
        <f>IF(R326&gt;0,S326*100/R326,0)</f>
        <v>0</v>
      </c>
    </row>
    <row r="327" spans="1:21" ht="18.75" hidden="1">
      <c r="A327" s="155"/>
      <c r="B327" s="188"/>
      <c r="C327" s="50"/>
      <c r="D327" s="50"/>
      <c r="E327" s="186" t="s">
        <v>20</v>
      </c>
      <c r="F327" s="50"/>
      <c r="G327" s="52"/>
      <c r="H327" s="189" t="s">
        <v>14</v>
      </c>
      <c r="I327" s="163"/>
      <c r="J327" s="163"/>
      <c r="K327" s="164"/>
      <c r="L327" s="102">
        <v>0</v>
      </c>
      <c r="M327" s="102">
        <v>0</v>
      </c>
      <c r="N327" s="102">
        <v>0</v>
      </c>
      <c r="O327" s="102">
        <f>IF(L327&gt;0,N327*100/L327,0)</f>
        <v>0</v>
      </c>
      <c r="P327" s="102">
        <f>IF(M327&gt;0,N327*100/M327,0)</f>
        <v>0</v>
      </c>
      <c r="Q327" s="102">
        <v>0</v>
      </c>
      <c r="R327" s="102">
        <v>0</v>
      </c>
      <c r="S327" s="102">
        <v>0</v>
      </c>
      <c r="T327" s="102">
        <f>IF(Q327&gt;0,S327*100/Q327,0)</f>
        <v>0</v>
      </c>
      <c r="U327" s="102">
        <f>IF(R327&gt;0,S327*100/R327,0)</f>
        <v>0</v>
      </c>
    </row>
    <row r="328" spans="1:21" ht="18.75" hidden="1">
      <c r="A328" s="155"/>
      <c r="B328" s="188"/>
      <c r="C328" s="188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255">
        <f ca="1">IFERROR(__xludf.DUMMYFUNCTION("IMPORTRANGE(""https://docs.google.com/spreadsheets/d/1-uDff_7J0KD5mKrp0Vvzr7lt3OU09vwQwhkpOPPYv2Y/edit?usp=sharing"",""งบพรบ!EL47"")"),0)</f>
        <v>0</v>
      </c>
      <c r="M328" s="255">
        <f ca="1">IFERROR(__xludf.DUMMYFUNCTION("IMPORTRANGE(""https://docs.google.com/spreadsheets/d/1-uDff_7J0KD5mKrp0Vvzr7lt3OU09vwQwhkpOPPYv2Y/edit?usp=sharing"",""งบพรบ!EO47"")"),0)</f>
        <v>0</v>
      </c>
      <c r="N328" s="255">
        <f ca="1">IFERROR(__xludf.DUMMYFUNCTION("IMPORTRANGE(""https://docs.google.com/spreadsheets/d/1-uDff_7J0KD5mKrp0Vvzr7lt3OU09vwQwhkpOPPYv2Y/edit?usp=sharing"",""งบพรบ!EQ47"")"),0)</f>
        <v>0</v>
      </c>
      <c r="O328" s="255">
        <f ca="1">IF(L328&gt;0,N328*100/L328,0)</f>
        <v>0</v>
      </c>
      <c r="P328" s="255">
        <f ca="1">IF(M328&gt;0,N328*100/M328,0)</f>
        <v>0</v>
      </c>
      <c r="Q328" s="255">
        <v>0</v>
      </c>
      <c r="R328" s="255">
        <v>0</v>
      </c>
      <c r="S328" s="255">
        <v>0</v>
      </c>
      <c r="T328" s="255">
        <f>IF(Q328&gt;0,S328*100/Q328,0)</f>
        <v>0</v>
      </c>
      <c r="U328" s="255">
        <f>IF(R328&gt;0,S328*100/R328,0)</f>
        <v>0</v>
      </c>
    </row>
    <row r="329" spans="1:21" ht="19.5" hidden="1">
      <c r="A329" s="166"/>
      <c r="B329" s="167"/>
      <c r="C329" s="191" t="s">
        <v>18</v>
      </c>
      <c r="D329" s="566" t="s">
        <v>38</v>
      </c>
      <c r="E329" s="232"/>
      <c r="F329" s="232"/>
      <c r="G329" s="829"/>
      <c r="H329" s="206"/>
      <c r="I329" s="163"/>
      <c r="J329" s="54"/>
      <c r="K329" s="55"/>
      <c r="L329" s="55"/>
      <c r="M329" s="55"/>
      <c r="N329" s="55"/>
      <c r="O329" s="164"/>
      <c r="P329" s="164"/>
      <c r="Q329" s="55"/>
      <c r="R329" s="55"/>
      <c r="S329" s="55"/>
      <c r="T329" s="164"/>
      <c r="U329" s="164"/>
    </row>
    <row r="330" spans="1:21" ht="18.75" hidden="1">
      <c r="A330" s="166"/>
      <c r="B330" s="167"/>
      <c r="C330" s="167"/>
      <c r="D330" s="173" t="s">
        <v>134</v>
      </c>
      <c r="E330" s="174"/>
      <c r="F330" s="174"/>
      <c r="G330" s="171"/>
      <c r="H330" s="161" t="s">
        <v>133</v>
      </c>
      <c r="I330" s="212">
        <f ca="1">IFERROR(__xludf.DUMMYFUNCTION("IMPORTRANGE(""https://docs.google.com/spreadsheets/d/1eHaY18a8A9IcSdp1K8H6x8fbOy06t2VsZHhMHf-1x7Y/edit?usp=sharing"",""แผน!EJ47"")"),0)</f>
        <v>0</v>
      </c>
      <c r="J330" s="467">
        <v>0</v>
      </c>
      <c r="K330" s="255">
        <f ca="1">IF(I330&gt;0,J330*100/I330,0)</f>
        <v>0</v>
      </c>
      <c r="L330" s="55"/>
      <c r="M330" s="55"/>
      <c r="N330" s="55"/>
      <c r="O330" s="164"/>
      <c r="P330" s="164"/>
      <c r="Q330" s="55"/>
      <c r="R330" s="55"/>
      <c r="S330" s="55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0"/>
      <c r="I331" s="323"/>
      <c r="J331" s="323"/>
      <c r="K331" s="324"/>
      <c r="L331" s="324"/>
      <c r="M331" s="324"/>
      <c r="N331" s="324"/>
      <c r="O331" s="324"/>
      <c r="P331" s="324"/>
      <c r="Q331" s="324"/>
      <c r="R331" s="324"/>
      <c r="S331" s="324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55" t="s">
        <v>35</v>
      </c>
      <c r="I332" s="605">
        <f ca="1">I344</f>
        <v>2540</v>
      </c>
      <c r="J332" s="605">
        <f ca="1">J344+J347+J348+J349+J353</f>
        <v>6934</v>
      </c>
      <c r="K332" s="604">
        <f ca="1">IF(I332&gt;0,J332*100/I332,0)</f>
        <v>272.99212598425197</v>
      </c>
      <c r="L332" s="333"/>
      <c r="M332" s="333"/>
      <c r="N332" s="333"/>
      <c r="O332" s="333"/>
      <c r="P332" s="333"/>
      <c r="Q332" s="333"/>
      <c r="R332" s="333"/>
      <c r="S332" s="333"/>
      <c r="T332" s="333"/>
      <c r="U332" s="333"/>
    </row>
    <row r="333" spans="1:21" ht="19.5">
      <c r="A333" s="155"/>
      <c r="B333" s="50"/>
      <c r="C333" s="156" t="s">
        <v>18</v>
      </c>
      <c r="D333" s="575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540">
        <f ca="1">L334+L335</f>
        <v>113000</v>
      </c>
      <c r="M333" s="540">
        <f ca="1">M334+M335</f>
        <v>118000</v>
      </c>
      <c r="N333" s="540">
        <f ca="1">N334+N335</f>
        <v>104567</v>
      </c>
      <c r="O333" s="540">
        <f ca="1">IF(L333&gt;0,N333*100/L333,0)</f>
        <v>92.537168141592915</v>
      </c>
      <c r="P333" s="540">
        <f ca="1">IF(M333&gt;0,N333*100/M333,0)</f>
        <v>88.616101694915258</v>
      </c>
      <c r="Q333" s="540">
        <f>Q334+Q335</f>
        <v>0</v>
      </c>
      <c r="R333" s="540">
        <f>R334+R335</f>
        <v>0</v>
      </c>
      <c r="S333" s="540">
        <f>S334+S335</f>
        <v>0</v>
      </c>
      <c r="T333" s="540">
        <f>IF(Q333&gt;0,S333*100/Q333,0)</f>
        <v>0</v>
      </c>
      <c r="U333" s="540">
        <f>IF(R333&gt;0,S333*100/R333,0)</f>
        <v>0</v>
      </c>
    </row>
    <row r="334" spans="1:21" ht="18.75" hidden="1">
      <c r="A334" s="155"/>
      <c r="B334" s="50"/>
      <c r="C334" s="50"/>
      <c r="D334" s="50"/>
      <c r="E334" s="186" t="s">
        <v>20</v>
      </c>
      <c r="F334" s="50"/>
      <c r="G334" s="52"/>
      <c r="H334" s="187" t="s">
        <v>14</v>
      </c>
      <c r="I334" s="54"/>
      <c r="J334" s="54"/>
      <c r="K334" s="55"/>
      <c r="L334" s="102">
        <f>L337+L340</f>
        <v>0</v>
      </c>
      <c r="M334" s="102">
        <f>M337+M340</f>
        <v>0</v>
      </c>
      <c r="N334" s="102">
        <f>N337+N340</f>
        <v>0</v>
      </c>
      <c r="O334" s="102">
        <f>IF(L334&gt;0,N334*100/L334,0)</f>
        <v>0</v>
      </c>
      <c r="P334" s="102">
        <f>IF(M334&gt;0,N334*100/M334,0)</f>
        <v>0</v>
      </c>
      <c r="Q334" s="102">
        <f>Q337+Q340</f>
        <v>0</v>
      </c>
      <c r="R334" s="102">
        <f>R337+R340</f>
        <v>0</v>
      </c>
      <c r="S334" s="102">
        <f>S337+S340</f>
        <v>0</v>
      </c>
      <c r="T334" s="102">
        <f>IF(Q334&gt;0,S334*100/Q334,0)</f>
        <v>0</v>
      </c>
      <c r="U334" s="102">
        <f>IF(R334&gt;0,S334*100/R334,0)</f>
        <v>0</v>
      </c>
    </row>
    <row r="335" spans="1:21" ht="18.75" hidden="1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255">
        <f ca="1">L338+L341</f>
        <v>113000</v>
      </c>
      <c r="M335" s="255">
        <f ca="1">M338+M341</f>
        <v>118000</v>
      </c>
      <c r="N335" s="255">
        <f ca="1">N338+N341</f>
        <v>104567</v>
      </c>
      <c r="O335" s="255">
        <f ca="1">IF(L335&gt;0,N335*100/L335,0)</f>
        <v>92.537168141592915</v>
      </c>
      <c r="P335" s="255">
        <f ca="1">IF(M335&gt;0,N335*100/M335,0)</f>
        <v>88.616101694915258</v>
      </c>
      <c r="Q335" s="255">
        <f>Q338+Q341</f>
        <v>0</v>
      </c>
      <c r="R335" s="255">
        <f>R338+R341</f>
        <v>0</v>
      </c>
      <c r="S335" s="255">
        <f>S338+S341</f>
        <v>0</v>
      </c>
      <c r="T335" s="255">
        <f>IF(Q335&gt;0,S335*100/Q335,0)</f>
        <v>0</v>
      </c>
      <c r="U335" s="255">
        <f>IF(R335&gt;0,S335*100/R335,0)</f>
        <v>0</v>
      </c>
    </row>
    <row r="336" spans="1:21" ht="18.75">
      <c r="A336" s="155"/>
      <c r="B336" s="188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255">
        <f ca="1">L337+L338</f>
        <v>113000</v>
      </c>
      <c r="M336" s="255">
        <f ca="1">M337+M338</f>
        <v>118000</v>
      </c>
      <c r="N336" s="255">
        <f ca="1">N337+N338</f>
        <v>104567</v>
      </c>
      <c r="O336" s="255">
        <f ca="1">IF(L336&gt;0,N336*100/L336,0)</f>
        <v>92.537168141592915</v>
      </c>
      <c r="P336" s="255">
        <f ca="1">IF(M336&gt;0,N336*100/M336,0)</f>
        <v>88.616101694915258</v>
      </c>
      <c r="Q336" s="255">
        <f>Q337+Q338</f>
        <v>0</v>
      </c>
      <c r="R336" s="255">
        <f>R337+R338</f>
        <v>0</v>
      </c>
      <c r="S336" s="255">
        <f>S337+S338</f>
        <v>0</v>
      </c>
      <c r="T336" s="255">
        <f>IF(Q336&gt;0,S336*100/Q336,0)</f>
        <v>0</v>
      </c>
      <c r="U336" s="255">
        <f>IF(R336&gt;0,S336*100/R336,0)</f>
        <v>0</v>
      </c>
    </row>
    <row r="337" spans="1:21" ht="18.75" hidden="1">
      <c r="A337" s="155"/>
      <c r="B337" s="50"/>
      <c r="C337" s="188"/>
      <c r="D337" s="50"/>
      <c r="E337" s="358" t="s">
        <v>36</v>
      </c>
      <c r="F337" s="50"/>
      <c r="G337" s="52"/>
      <c r="H337" s="189" t="s">
        <v>14</v>
      </c>
      <c r="I337" s="163"/>
      <c r="J337" s="163"/>
      <c r="K337" s="164"/>
      <c r="L337" s="102">
        <v>0</v>
      </c>
      <c r="M337" s="102">
        <v>0</v>
      </c>
      <c r="N337" s="102">
        <v>0</v>
      </c>
      <c r="O337" s="102">
        <f>IF(L337&gt;0,N337*100/L337,0)</f>
        <v>0</v>
      </c>
      <c r="P337" s="102">
        <f>IF(M337&gt;0,N337*100/M337,0)</f>
        <v>0</v>
      </c>
      <c r="Q337" s="102">
        <v>0</v>
      </c>
      <c r="R337" s="102">
        <v>0</v>
      </c>
      <c r="S337" s="102">
        <v>0</v>
      </c>
      <c r="T337" s="102">
        <f>IF(Q337&gt;0,S337*100/Q337,0)</f>
        <v>0</v>
      </c>
      <c r="U337" s="102">
        <f>IF(R337&gt;0,S337*100/R337,0)</f>
        <v>0</v>
      </c>
    </row>
    <row r="338" spans="1:21" ht="18.75" hidden="1">
      <c r="A338" s="155"/>
      <c r="B338" s="50"/>
      <c r="C338" s="188"/>
      <c r="D338" s="50"/>
      <c r="E338" s="239" t="s">
        <v>37</v>
      </c>
      <c r="F338" s="50"/>
      <c r="G338" s="52"/>
      <c r="H338" s="162" t="s">
        <v>14</v>
      </c>
      <c r="I338" s="163"/>
      <c r="J338" s="163"/>
      <c r="K338" s="164"/>
      <c r="L338" s="255">
        <f ca="1">IFERROR(__xludf.DUMMYFUNCTION("IMPORTRANGE(""https://docs.google.com/spreadsheets/d/1-uDff_7J0KD5mKrp0Vvzr7lt3OU09vwQwhkpOPPYv2Y/edit?usp=sharing"",""งบพรบ!ES47"")"),113000)</f>
        <v>113000</v>
      </c>
      <c r="M338" s="255">
        <f ca="1">IFERROR(__xludf.DUMMYFUNCTION("IMPORTRANGE(""https://docs.google.com/spreadsheets/d/1-uDff_7J0KD5mKrp0Vvzr7lt3OU09vwQwhkpOPPYv2Y/edit?usp=sharing"",""งบพรบ!EX47"")"),118000)</f>
        <v>118000</v>
      </c>
      <c r="N338" s="255">
        <f ca="1">IFERROR(__xludf.DUMMYFUNCTION("IMPORTRANGE(""https://docs.google.com/spreadsheets/d/1-uDff_7J0KD5mKrp0Vvzr7lt3OU09vwQwhkpOPPYv2Y/edit?usp=sharing"",""งบพรบ!EZ47"")"),104567)</f>
        <v>104567</v>
      </c>
      <c r="O338" s="255">
        <f ca="1">IF(L338&gt;0,N338*100/L338,0)</f>
        <v>92.537168141592915</v>
      </c>
      <c r="P338" s="255">
        <f ca="1">IF(M338&gt;0,N338*100/M338,0)</f>
        <v>88.616101694915258</v>
      </c>
      <c r="Q338" s="255">
        <v>0</v>
      </c>
      <c r="R338" s="255">
        <v>0</v>
      </c>
      <c r="S338" s="255">
        <v>0</v>
      </c>
      <c r="T338" s="255">
        <f>IF(Q338&gt;0,S338*100/Q338,0)</f>
        <v>0</v>
      </c>
      <c r="U338" s="255">
        <f>IF(R338&gt;0,S338*100/R338,0)</f>
        <v>0</v>
      </c>
    </row>
    <row r="339" spans="1:21" ht="18.75">
      <c r="A339" s="155"/>
      <c r="B339" s="50"/>
      <c r="C339" s="188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255">
        <f ca="1">L340+L341</f>
        <v>0</v>
      </c>
      <c r="M339" s="255">
        <f ca="1">M340+M341</f>
        <v>0</v>
      </c>
      <c r="N339" s="255">
        <f ca="1">N340+N341</f>
        <v>0</v>
      </c>
      <c r="O339" s="255">
        <f ca="1">IF(L339&gt;0,N339*100/L339,0)</f>
        <v>0</v>
      </c>
      <c r="P339" s="255">
        <f ca="1">IF(M339&gt;0,N339*100/M339,0)</f>
        <v>0</v>
      </c>
      <c r="Q339" s="255">
        <f>Q340+Q341</f>
        <v>0</v>
      </c>
      <c r="R339" s="255">
        <f>R340+R341</f>
        <v>0</v>
      </c>
      <c r="S339" s="255">
        <f>S340+S341</f>
        <v>0</v>
      </c>
      <c r="T339" s="255">
        <f>IF(Q339&gt;0,S339*100/Q339,0)</f>
        <v>0</v>
      </c>
      <c r="U339" s="255">
        <f>IF(R339&gt;0,S339*100/R339,0)</f>
        <v>0</v>
      </c>
    </row>
    <row r="340" spans="1:21" ht="18.75" hidden="1">
      <c r="A340" s="155"/>
      <c r="B340" s="188"/>
      <c r="C340" s="188"/>
      <c r="D340" s="50"/>
      <c r="E340" s="186" t="s">
        <v>20</v>
      </c>
      <c r="F340" s="50"/>
      <c r="G340" s="52"/>
      <c r="H340" s="189" t="s">
        <v>14</v>
      </c>
      <c r="I340" s="163"/>
      <c r="J340" s="163"/>
      <c r="K340" s="164"/>
      <c r="L340" s="102">
        <v>0</v>
      </c>
      <c r="M340" s="102">
        <v>0</v>
      </c>
      <c r="N340" s="102">
        <v>0</v>
      </c>
      <c r="O340" s="102">
        <f>IF(L340&gt;0,N340*100/L340,0)</f>
        <v>0</v>
      </c>
      <c r="P340" s="102">
        <f>IF(M340&gt;0,N340*100/M340,0)</f>
        <v>0</v>
      </c>
      <c r="Q340" s="102">
        <v>0</v>
      </c>
      <c r="R340" s="102">
        <v>0</v>
      </c>
      <c r="S340" s="102">
        <v>0</v>
      </c>
      <c r="T340" s="102">
        <f>IF(Q340&gt;0,S340*100/Q340,0)</f>
        <v>0</v>
      </c>
      <c r="U340" s="102">
        <f>IF(R340&gt;0,S340*100/R340,0)</f>
        <v>0</v>
      </c>
    </row>
    <row r="341" spans="1:21" ht="18.75" hidden="1">
      <c r="A341" s="155"/>
      <c r="B341" s="50"/>
      <c r="C341" s="188"/>
      <c r="D341" s="50"/>
      <c r="E341" s="239" t="s">
        <v>21</v>
      </c>
      <c r="F341" s="50"/>
      <c r="G341" s="52"/>
      <c r="H341" s="165" t="s">
        <v>14</v>
      </c>
      <c r="I341" s="163"/>
      <c r="J341" s="163"/>
      <c r="K341" s="164"/>
      <c r="L341" s="255">
        <f ca="1">IFERROR(__xludf.DUMMYFUNCTION("IMPORTRANGE(""https://docs.google.com/spreadsheets/d/1-uDff_7J0KD5mKrp0Vvzr7lt3OU09vwQwhkpOPPYv2Y/edit?usp=sharing"",""งบพรบ!EV47"")"),0)</f>
        <v>0</v>
      </c>
      <c r="M341" s="255">
        <f ca="1">IFERROR(__xludf.DUMMYFUNCTION("IMPORTRANGE(""https://docs.google.com/spreadsheets/d/1-uDff_7J0KD5mKrp0Vvzr7lt3OU09vwQwhkpOPPYv2Y/edit?usp=sharing"",""งบพรบ!EY47"")"),0)</f>
        <v>0</v>
      </c>
      <c r="N341" s="255">
        <f ca="1">IFERROR(__xludf.DUMMYFUNCTION("IMPORTRANGE(""https://docs.google.com/spreadsheets/d/1-uDff_7J0KD5mKrp0Vvzr7lt3OU09vwQwhkpOPPYv2Y/edit?usp=sharing"",""งบพรบ!FA47"")"),0)</f>
        <v>0</v>
      </c>
      <c r="O341" s="255">
        <f ca="1">IF(L341&gt;0,N341*100/L341,0)</f>
        <v>0</v>
      </c>
      <c r="P341" s="255">
        <f ca="1">IF(M341&gt;0,N341*100/M341,0)</f>
        <v>0</v>
      </c>
      <c r="Q341" s="255">
        <v>0</v>
      </c>
      <c r="R341" s="255">
        <v>0</v>
      </c>
      <c r="S341" s="255">
        <v>0</v>
      </c>
      <c r="T341" s="255">
        <f>IF(Q341&gt;0,S341*100/Q341,0)</f>
        <v>0</v>
      </c>
      <c r="U341" s="255">
        <f>IF(R341&gt;0,S341*100/R341,0)</f>
        <v>0</v>
      </c>
    </row>
    <row r="342" spans="1:21" ht="19.5">
      <c r="A342" s="166"/>
      <c r="B342" s="167"/>
      <c r="C342" s="191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55"/>
      <c r="M342" s="55"/>
      <c r="N342" s="55"/>
      <c r="O342" s="164"/>
      <c r="P342" s="164"/>
      <c r="Q342" s="55"/>
      <c r="R342" s="55"/>
      <c r="S342" s="55"/>
      <c r="T342" s="164"/>
      <c r="U342" s="164"/>
    </row>
    <row r="343" spans="1:21" ht="19.5">
      <c r="A343" s="241"/>
      <c r="B343" s="244"/>
      <c r="C343" s="242"/>
      <c r="D343" s="244"/>
      <c r="E343" s="621" t="s">
        <v>137</v>
      </c>
      <c r="F343" s="244"/>
      <c r="G343" s="245"/>
      <c r="H343" s="830" t="s">
        <v>35</v>
      </c>
      <c r="I343" s="339">
        <v>0</v>
      </c>
      <c r="J343" s="339">
        <f ca="1">J344+J347+J348+J349</f>
        <v>2404</v>
      </c>
      <c r="K343" s="340">
        <v>0</v>
      </c>
      <c r="L343" s="249"/>
      <c r="M343" s="249"/>
      <c r="N343" s="249"/>
      <c r="O343" s="249"/>
      <c r="P343" s="249"/>
      <c r="Q343" s="249"/>
      <c r="R343" s="249"/>
      <c r="S343" s="249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03" t="s">
        <v>35</v>
      </c>
      <c r="I344" s="212">
        <f ca="1">IFERROR(__xludf.DUMMYFUNCTION("IMPORTRANGE(""https://docs.google.com/spreadsheets/d/1eHaY18a8A9IcSdp1K8H6x8fbOy06t2VsZHhMHf-1x7Y/edit?usp=sharing"",""แผน!EK47"")"),2540)</f>
        <v>2540</v>
      </c>
      <c r="J344" s="212">
        <f ca="1">IFERROR(__xludf.DUMMYFUNCTION("IMPORTRANGE(""https://docs.google.com/spreadsheets/d/1awYsYK3VOup2i3Pq_Yjnu8DRu_mYwSBnCR2QPthd0rU/edit?usp=sharing"",""ศูนย์ยกเว้นโฉนด!D47"")"),2321)</f>
        <v>2321</v>
      </c>
      <c r="K344" s="255">
        <f ca="1">IF(I344&gt;0,J344*100/I344,0)</f>
        <v>91.377952755905511</v>
      </c>
      <c r="L344" s="55"/>
      <c r="M344" s="55"/>
      <c r="N344" s="55"/>
      <c r="O344" s="55"/>
      <c r="P344" s="55"/>
      <c r="Q344" s="55"/>
      <c r="R344" s="55"/>
      <c r="S344" s="55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212">
        <f ca="1">IFERROR(__xludf.DUMMYFUNCTION("IMPORTRANGE(""https://docs.google.com/spreadsheets/d/1eHaY18a8A9IcSdp1K8H6x8fbOy06t2VsZHhMHf-1x7Y/edit?usp=sharing"",""แผน!EL47"")"),5)</f>
        <v>5</v>
      </c>
      <c r="J346" s="212">
        <f ca="1">IFERROR(__xludf.DUMMYFUNCTION("IMPORTRANGE(""https://docs.google.com/spreadsheets/d/1awYsYK3VOup2i3Pq_Yjnu8DRu_mYwSBnCR2QPthd0rU/edit?usp=sharing"",""ศูนย์รวม!E47"")"),3)</f>
        <v>3</v>
      </c>
      <c r="K346" s="255">
        <f ca="1">IF(I346&gt;0,J346*100/I346,0)</f>
        <v>60</v>
      </c>
      <c r="L346" s="55"/>
      <c r="M346" s="55"/>
      <c r="N346" s="55"/>
      <c r="O346" s="55"/>
      <c r="P346" s="55"/>
      <c r="Q346" s="55"/>
      <c r="R346" s="55"/>
      <c r="S346" s="55"/>
      <c r="T346" s="55"/>
      <c r="U346" s="55"/>
    </row>
    <row r="347" spans="1:21" ht="18.75">
      <c r="A347" s="238"/>
      <c r="B347" s="50"/>
      <c r="C347" s="188"/>
      <c r="D347" s="167"/>
      <c r="E347" s="174"/>
      <c r="F347" s="178" t="s">
        <v>142</v>
      </c>
      <c r="G347" s="52"/>
      <c r="H347" s="203" t="s">
        <v>35</v>
      </c>
      <c r="I347" s="54"/>
      <c r="J347" s="212">
        <f ca="1">IFERROR(__xludf.DUMMYFUNCTION("IMPORTRANGE(""https://docs.google.com/spreadsheets/d/1awYsYK3VOup2i3Pq_Yjnu8DRu_mYwSBnCR2QPthd0rU/edit?usp=sharing"",""ศูนย์ยกเว้นโฉนด!F47"")"),82)</f>
        <v>82</v>
      </c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</row>
    <row r="348" spans="1:21" ht="18.75">
      <c r="A348" s="238"/>
      <c r="B348" s="50"/>
      <c r="C348" s="188"/>
      <c r="D348" s="167"/>
      <c r="E348" s="178" t="s">
        <v>143</v>
      </c>
      <c r="F348" s="174"/>
      <c r="G348" s="52"/>
      <c r="H348" s="203" t="s">
        <v>35</v>
      </c>
      <c r="I348" s="54"/>
      <c r="J348" s="212">
        <f ca="1">IFERROR(__xludf.DUMMYFUNCTION("IMPORTRANGE(""https://docs.google.com/spreadsheets/d/1awYsYK3VOup2i3Pq_Yjnu8DRu_mYwSBnCR2QPthd0rU/edit?usp=sharing"",""ศูนย์ยกเว้นโฉนด!G47"")"),0)</f>
        <v>0</v>
      </c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</row>
    <row r="349" spans="1:21" ht="18.75">
      <c r="A349" s="238"/>
      <c r="B349" s="50"/>
      <c r="C349" s="188"/>
      <c r="D349" s="174"/>
      <c r="E349" s="178" t="s">
        <v>144</v>
      </c>
      <c r="F349" s="174"/>
      <c r="G349" s="52"/>
      <c r="H349" s="203" t="s">
        <v>35</v>
      </c>
      <c r="I349" s="54"/>
      <c r="J349" s="212">
        <f ca="1">IFERROR(__xludf.DUMMYFUNCTION("IMPORTRANGE(""https://docs.google.com/spreadsheets/d/1awYsYK3VOup2i3Pq_Yjnu8DRu_mYwSBnCR2QPthd0rU/edit?usp=sharing"",""ศูนย์ยกเว้นโฉนด!H47"")"),1)</f>
        <v>1</v>
      </c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</row>
    <row r="350" spans="1:21" ht="16.5">
      <c r="A350" s="18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0" s="50"/>
      <c r="F350" s="50"/>
      <c r="G350" s="52"/>
      <c r="H350" s="208"/>
      <c r="I350" s="54"/>
      <c r="J350" s="54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</row>
    <row r="351" spans="1:21" ht="19.5">
      <c r="A351" s="241"/>
      <c r="B351" s="244"/>
      <c r="C351" s="242"/>
      <c r="D351" s="244"/>
      <c r="E351" s="621" t="s">
        <v>145</v>
      </c>
      <c r="F351" s="244"/>
      <c r="G351" s="245"/>
      <c r="H351" s="830" t="s">
        <v>35</v>
      </c>
      <c r="I351" s="339">
        <v>0</v>
      </c>
      <c r="J351" s="339">
        <f ca="1">J352+J353</f>
        <v>11690</v>
      </c>
      <c r="K351" s="340">
        <v>0</v>
      </c>
      <c r="L351" s="249"/>
      <c r="M351" s="249"/>
      <c r="N351" s="249"/>
      <c r="O351" s="249"/>
      <c r="P351" s="249"/>
      <c r="Q351" s="249"/>
      <c r="R351" s="249"/>
      <c r="S351" s="249"/>
      <c r="T351" s="249"/>
      <c r="U351" s="249"/>
    </row>
    <row r="352" spans="1:21" ht="18.75">
      <c r="A352" s="188"/>
      <c r="B352" s="50"/>
      <c r="C352" s="188"/>
      <c r="D352" s="167"/>
      <c r="E352" s="178" t="s">
        <v>146</v>
      </c>
      <c r="F352" s="50"/>
      <c r="G352" s="52"/>
      <c r="H352" s="161" t="s">
        <v>35</v>
      </c>
      <c r="I352" s="54"/>
      <c r="J352" s="212">
        <f ca="1">IFERROR(__xludf.DUMMYFUNCTION("IMPORTRANGE(""https://docs.google.com/spreadsheets/d/1awYsYK3VOup2i3Pq_Yjnu8DRu_mYwSBnCR2QPthd0rU/edit?usp=sharing"",""โฉนดM3!G47"")"),7160)</f>
        <v>7160</v>
      </c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</row>
    <row r="353" spans="1:21" ht="18.75">
      <c r="A353" s="18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212">
        <f ca="1">IFERROR(__xludf.DUMMYFUNCTION("IMPORTRANGE(""https://docs.google.com/spreadsheets/d/1awYsYK3VOup2i3Pq_Yjnu8DRu_mYwSBnCR2QPthd0rU/edit?usp=sharing"",""โฉนดM3!H47"")"),4530)</f>
        <v>4530</v>
      </c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</row>
    <row r="354" spans="1:21" ht="16.5">
      <c r="A354" s="188"/>
      <c r="B354" s="50"/>
      <c r="C354" s="188"/>
      <c r="D354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4" s="50"/>
      <c r="F354" s="50"/>
      <c r="G354" s="52"/>
      <c r="H354" s="208"/>
      <c r="I354" s="54"/>
      <c r="J354" s="54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65"/>
      <c r="I355" s="351"/>
      <c r="J355" s="351"/>
      <c r="K355" s="333"/>
      <c r="L355" s="333"/>
      <c r="M355" s="333"/>
      <c r="N355" s="333"/>
      <c r="O355" s="333"/>
      <c r="P355" s="333"/>
      <c r="Q355" s="333"/>
      <c r="R355" s="333"/>
      <c r="S355" s="333"/>
      <c r="T355" s="333"/>
      <c r="U355" s="333"/>
    </row>
    <row r="356" spans="1:21" ht="19.5">
      <c r="A356" s="155"/>
      <c r="B356" s="50"/>
      <c r="C356" s="156" t="s">
        <v>18</v>
      </c>
      <c r="D356" s="575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540">
        <f ca="1">L357+L358</f>
        <v>557230</v>
      </c>
      <c r="M356" s="540">
        <f ca="1">M357+M358</f>
        <v>575730</v>
      </c>
      <c r="N356" s="540">
        <f ca="1">N357+N358</f>
        <v>458960</v>
      </c>
      <c r="O356" s="540">
        <f ca="1">IF(L356&gt;0,N356*100/L356,0)</f>
        <v>82.364553236545049</v>
      </c>
      <c r="P356" s="540">
        <f ca="1">IF(M356&gt;0,N356*100/M356,0)</f>
        <v>79.717923332117479</v>
      </c>
      <c r="Q356" s="540">
        <f>Q357+Q358</f>
        <v>0</v>
      </c>
      <c r="R356" s="540">
        <f>R357+R358</f>
        <v>0</v>
      </c>
      <c r="S356" s="540">
        <f>S357+S358</f>
        <v>0</v>
      </c>
      <c r="T356" s="540">
        <f>IF(Q356&gt;0,S356*100/Q356,0)</f>
        <v>0</v>
      </c>
      <c r="U356" s="540">
        <f>IF(R356&gt;0,S356*100/R356,0)</f>
        <v>0</v>
      </c>
    </row>
    <row r="357" spans="1:21" ht="18.75" hidden="1">
      <c r="A357" s="155"/>
      <c r="B357" s="50"/>
      <c r="C357" s="50"/>
      <c r="D357" s="50"/>
      <c r="E357" s="186" t="s">
        <v>20</v>
      </c>
      <c r="F357" s="50"/>
      <c r="G357" s="52"/>
      <c r="H357" s="187" t="s">
        <v>14</v>
      </c>
      <c r="I357" s="54"/>
      <c r="J357" s="54"/>
      <c r="K357" s="55"/>
      <c r="L357" s="102">
        <f>L360+L363</f>
        <v>0</v>
      </c>
      <c r="M357" s="102">
        <f>M360+M363</f>
        <v>0</v>
      </c>
      <c r="N357" s="102">
        <f>N360+N363</f>
        <v>0</v>
      </c>
      <c r="O357" s="102">
        <f>IF(L357&gt;0,N357*100/L357,0)</f>
        <v>0</v>
      </c>
      <c r="P357" s="102">
        <f>IF(M357&gt;0,N357*100/M357,0)</f>
        <v>0</v>
      </c>
      <c r="Q357" s="102">
        <f>Q360+Q363</f>
        <v>0</v>
      </c>
      <c r="R357" s="102">
        <f>R360+R363</f>
        <v>0</v>
      </c>
      <c r="S357" s="102">
        <f>S360+S363</f>
        <v>0</v>
      </c>
      <c r="T357" s="102">
        <f>IF(Q357&gt;0,S357*100/Q357,0)</f>
        <v>0</v>
      </c>
      <c r="U357" s="102">
        <f>IF(R357&gt;0,S357*100/R357,0)</f>
        <v>0</v>
      </c>
    </row>
    <row r="358" spans="1:21" ht="18.75" hidden="1">
      <c r="A358" s="155"/>
      <c r="B358" s="188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255">
        <f ca="1">L361+L364</f>
        <v>557230</v>
      </c>
      <c r="M358" s="255">
        <f ca="1">M361+M364</f>
        <v>575730</v>
      </c>
      <c r="N358" s="255">
        <f ca="1">N361+N364</f>
        <v>458960</v>
      </c>
      <c r="O358" s="255">
        <f ca="1">IF(L358&gt;0,N358*100/L358,0)</f>
        <v>82.364553236545049</v>
      </c>
      <c r="P358" s="255">
        <f ca="1">IF(M358&gt;0,N358*100/M358,0)</f>
        <v>79.717923332117479</v>
      </c>
      <c r="Q358" s="255">
        <f>Q361+Q364</f>
        <v>0</v>
      </c>
      <c r="R358" s="255">
        <f>R361+R364</f>
        <v>0</v>
      </c>
      <c r="S358" s="255">
        <f>S361+S364</f>
        <v>0</v>
      </c>
      <c r="T358" s="255">
        <f>IF(Q358&gt;0,S358*100/Q358,0)</f>
        <v>0</v>
      </c>
      <c r="U358" s="255">
        <f>IF(R358&gt;0,S358*100/R358,0)</f>
        <v>0</v>
      </c>
    </row>
    <row r="359" spans="1:21" ht="18.75">
      <c r="A359" s="155"/>
      <c r="B359" s="188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255">
        <f ca="1">L360+L361</f>
        <v>557230</v>
      </c>
      <c r="M359" s="255">
        <f ca="1">M360+M361</f>
        <v>575730</v>
      </c>
      <c r="N359" s="255">
        <f ca="1">N360+N361</f>
        <v>458960</v>
      </c>
      <c r="O359" s="255">
        <f ca="1">IF(L359&gt;0,N359*100/L359,0)</f>
        <v>82.364553236545049</v>
      </c>
      <c r="P359" s="255">
        <f ca="1">IF(M359&gt;0,N359*100/M359,0)</f>
        <v>79.717923332117479</v>
      </c>
      <c r="Q359" s="255">
        <f>Q360+Q361</f>
        <v>0</v>
      </c>
      <c r="R359" s="255">
        <f>R360+R361</f>
        <v>0</v>
      </c>
      <c r="S359" s="255">
        <f>S360+S361</f>
        <v>0</v>
      </c>
      <c r="T359" s="255">
        <f>IF(Q359&gt;0,S359*100/Q359,0)</f>
        <v>0</v>
      </c>
      <c r="U359" s="255">
        <f>IF(R359&gt;0,S359*100/R359,0)</f>
        <v>0</v>
      </c>
    </row>
    <row r="360" spans="1:21" ht="18.75" hidden="1">
      <c r="A360" s="155"/>
      <c r="B360" s="50"/>
      <c r="C360" s="188"/>
      <c r="D360" s="50"/>
      <c r="E360" s="186" t="s">
        <v>36</v>
      </c>
      <c r="F360" s="50"/>
      <c r="G360" s="52"/>
      <c r="H360" s="189" t="s">
        <v>14</v>
      </c>
      <c r="I360" s="163"/>
      <c r="J360" s="163"/>
      <c r="K360" s="164"/>
      <c r="L360" s="102">
        <v>0</v>
      </c>
      <c r="M360" s="102">
        <v>0</v>
      </c>
      <c r="N360" s="102">
        <v>0</v>
      </c>
      <c r="O360" s="102">
        <f>IF(L360&gt;0,N360*100/L360,0)</f>
        <v>0</v>
      </c>
      <c r="P360" s="102">
        <f>IF(M360&gt;0,N360*100/M360,0)</f>
        <v>0</v>
      </c>
      <c r="Q360" s="102">
        <v>0</v>
      </c>
      <c r="R360" s="102">
        <v>0</v>
      </c>
      <c r="S360" s="102">
        <v>0</v>
      </c>
      <c r="T360" s="102">
        <f>IF(Q360&gt;0,S360*100/Q360,0)</f>
        <v>0</v>
      </c>
      <c r="U360" s="102">
        <f>IF(R360&gt;0,S360*100/R360,0)</f>
        <v>0</v>
      </c>
    </row>
    <row r="361" spans="1:21" ht="18.75" hidden="1">
      <c r="A361" s="155"/>
      <c r="B361" s="50"/>
      <c r="C361" s="188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255">
        <f ca="1">IFERROR(__xludf.DUMMYFUNCTION("IMPORTRANGE(""https://docs.google.com/spreadsheets/d/1-uDff_7J0KD5mKrp0Vvzr7lt3OU09vwQwhkpOPPYv2Y/edit?usp=sharing"",""งบพรบ!FC47"")"),557230)</f>
        <v>557230</v>
      </c>
      <c r="M361" s="255">
        <f ca="1">IFERROR(__xludf.DUMMYFUNCTION("IMPORTRANGE(""https://docs.google.com/spreadsheets/d/1-uDff_7J0KD5mKrp0Vvzr7lt3OU09vwQwhkpOPPYv2Y/edit?usp=sharing"",""งบพรบ!FH47"")"),575730)</f>
        <v>575730</v>
      </c>
      <c r="N361" s="255">
        <f ca="1">IFERROR(__xludf.DUMMYFUNCTION("IMPORTRANGE(""https://docs.google.com/spreadsheets/d/1-uDff_7J0KD5mKrp0Vvzr7lt3OU09vwQwhkpOPPYv2Y/edit?usp=sharing"",""งบพรบ!FJ47"")"),458960)</f>
        <v>458960</v>
      </c>
      <c r="O361" s="255">
        <f ca="1">IF(L361&gt;0,N361*100/L361,0)</f>
        <v>82.364553236545049</v>
      </c>
      <c r="P361" s="255">
        <f ca="1">IF(M361&gt;0,N361*100/M361,0)</f>
        <v>79.717923332117479</v>
      </c>
      <c r="Q361" s="255">
        <v>0</v>
      </c>
      <c r="R361" s="255">
        <v>0</v>
      </c>
      <c r="S361" s="255">
        <v>0</v>
      </c>
      <c r="T361" s="255">
        <f>IF(Q361&gt;0,S361*100/Q361,0)</f>
        <v>0</v>
      </c>
      <c r="U361" s="255">
        <f>IF(R361&gt;0,S361*100/R361,0)</f>
        <v>0</v>
      </c>
    </row>
    <row r="362" spans="1:21" ht="18.75">
      <c r="A362" s="155"/>
      <c r="B362" s="50"/>
      <c r="C362" s="188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255">
        <f ca="1">L363+L364</f>
        <v>0</v>
      </c>
      <c r="M362" s="255">
        <f ca="1">M363+M364</f>
        <v>0</v>
      </c>
      <c r="N362" s="255">
        <f ca="1">N363+N364</f>
        <v>0</v>
      </c>
      <c r="O362" s="255">
        <f ca="1">IF(L362&gt;0,N362*100/L362,0)</f>
        <v>0</v>
      </c>
      <c r="P362" s="255">
        <f ca="1">IF(M362&gt;0,N362*100/M362,0)</f>
        <v>0</v>
      </c>
      <c r="Q362" s="255">
        <f>Q363+Q364</f>
        <v>0</v>
      </c>
      <c r="R362" s="255">
        <f>R363+R364</f>
        <v>0</v>
      </c>
      <c r="S362" s="255">
        <f>S363+S364</f>
        <v>0</v>
      </c>
      <c r="T362" s="255">
        <f>IF(Q362&gt;0,S362*100/Q362,0)</f>
        <v>0</v>
      </c>
      <c r="U362" s="255">
        <f>IF(R362&gt;0,S362*100/R362,0)</f>
        <v>0</v>
      </c>
    </row>
    <row r="363" spans="1:21" ht="18.75" hidden="1">
      <c r="A363" s="155"/>
      <c r="B363" s="188"/>
      <c r="C363" s="188"/>
      <c r="D363" s="50"/>
      <c r="E363" s="186" t="s">
        <v>20</v>
      </c>
      <c r="F363" s="50"/>
      <c r="G363" s="52"/>
      <c r="H363" s="189" t="s">
        <v>14</v>
      </c>
      <c r="I363" s="163"/>
      <c r="J363" s="163"/>
      <c r="K363" s="164"/>
      <c r="L363" s="102">
        <v>0</v>
      </c>
      <c r="M363" s="102">
        <v>0</v>
      </c>
      <c r="N363" s="102">
        <v>0</v>
      </c>
      <c r="O363" s="102">
        <f>IF(L363&gt;0,N363*100/L363,0)</f>
        <v>0</v>
      </c>
      <c r="P363" s="102">
        <f>IF(M363&gt;0,N363*100/M363,0)</f>
        <v>0</v>
      </c>
      <c r="Q363" s="102">
        <v>0</v>
      </c>
      <c r="R363" s="102">
        <v>0</v>
      </c>
      <c r="S363" s="102">
        <v>0</v>
      </c>
      <c r="T363" s="102">
        <f>IF(Q363&gt;0,S363*100/Q363,0)</f>
        <v>0</v>
      </c>
      <c r="U363" s="102">
        <f>IF(R363&gt;0,S363*100/R363,0)</f>
        <v>0</v>
      </c>
    </row>
    <row r="364" spans="1:21" ht="18.75" hidden="1">
      <c r="A364" s="155"/>
      <c r="B364" s="188"/>
      <c r="C364" s="188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255">
        <f ca="1">IFERROR(__xludf.DUMMYFUNCTION("IMPORTRANGE(""https://docs.google.com/spreadsheets/d/1-uDff_7J0KD5mKrp0Vvzr7lt3OU09vwQwhkpOPPYv2Y/edit?usp=sharing"",""งบพรบ!FF47"")"),0)</f>
        <v>0</v>
      </c>
      <c r="M364" s="255">
        <f ca="1">IFERROR(__xludf.DUMMYFUNCTION("IMPORTRANGE(""https://docs.google.com/spreadsheets/d/1-uDff_7J0KD5mKrp0Vvzr7lt3OU09vwQwhkpOPPYv2Y/edit?usp=sharing"",""งบพรบ!FI47"")"),0)</f>
        <v>0</v>
      </c>
      <c r="N364" s="255">
        <f ca="1">IFERROR(__xludf.DUMMYFUNCTION("IMPORTRANGE(""https://docs.google.com/spreadsheets/d/1-uDff_7J0KD5mKrp0Vvzr7lt3OU09vwQwhkpOPPYv2Y/edit?usp=sharing"",""งบพรบ!FK47"")"),0)</f>
        <v>0</v>
      </c>
      <c r="O364" s="255">
        <f ca="1">IF(L364&gt;0,N364*100/L364,0)</f>
        <v>0</v>
      </c>
      <c r="P364" s="255">
        <f ca="1">IF(M364&gt;0,N364*100/M364,0)</f>
        <v>0</v>
      </c>
      <c r="Q364" s="255">
        <v>0</v>
      </c>
      <c r="R364" s="255">
        <v>0</v>
      </c>
      <c r="S364" s="255">
        <v>0</v>
      </c>
      <c r="T364" s="255">
        <f>IF(Q364&gt;0,S364*100/Q364,0)</f>
        <v>0</v>
      </c>
      <c r="U364" s="255">
        <f>IF(R364&gt;0,S364*100/R364,0)</f>
        <v>0</v>
      </c>
    </row>
    <row r="365" spans="1:21" ht="19.5">
      <c r="A365" s="241"/>
      <c r="B365" s="242"/>
      <c r="C365" s="242"/>
      <c r="D365" s="621" t="s">
        <v>150</v>
      </c>
      <c r="E365" s="244"/>
      <c r="F365" s="244"/>
      <c r="G365" s="245"/>
      <c r="H365" s="254" t="s">
        <v>35</v>
      </c>
      <c r="I365" s="339">
        <f ca="1">I371</f>
        <v>350</v>
      </c>
      <c r="J365" s="339">
        <f ca="1">J371</f>
        <v>203</v>
      </c>
      <c r="K365" s="340">
        <f ca="1">IF(I365&gt;0,J365*100/I365,0)</f>
        <v>58</v>
      </c>
      <c r="L365" s="249"/>
      <c r="M365" s="249"/>
      <c r="N365" s="249"/>
      <c r="O365" s="249"/>
      <c r="P365" s="249"/>
      <c r="Q365" s="249"/>
      <c r="R365" s="249"/>
      <c r="S365" s="249"/>
      <c r="T365" s="249"/>
      <c r="U365" s="249"/>
    </row>
    <row r="366" spans="1:21" ht="19.5">
      <c r="A366" s="166"/>
      <c r="B366" s="167"/>
      <c r="C366" s="191" t="s">
        <v>18</v>
      </c>
      <c r="D366" s="560" t="s">
        <v>38</v>
      </c>
      <c r="E366" s="169"/>
      <c r="F366" s="169"/>
      <c r="G366" s="170"/>
      <c r="H366" s="171"/>
      <c r="I366" s="54"/>
      <c r="J366" s="54"/>
      <c r="K366" s="55"/>
      <c r="L366" s="164"/>
      <c r="M366" s="164"/>
      <c r="N366" s="164"/>
      <c r="O366" s="164"/>
      <c r="P366" s="164"/>
      <c r="Q366" s="164"/>
      <c r="R366" s="164"/>
      <c r="S366" s="164"/>
      <c r="T366" s="164"/>
      <c r="U366" s="164"/>
    </row>
    <row r="367" spans="1:21" ht="18.75">
      <c r="A367" s="166"/>
      <c r="B367" s="167"/>
      <c r="C367" s="167"/>
      <c r="D367" s="174"/>
      <c r="E367" s="266" t="s">
        <v>151</v>
      </c>
      <c r="F367" s="167"/>
      <c r="G367" s="206"/>
      <c r="H367" s="183" t="s">
        <v>35</v>
      </c>
      <c r="I367" s="212">
        <v>0</v>
      </c>
      <c r="J367" s="212">
        <f ca="1">IFERROR(__xludf.DUMMYFUNCTION("IMPORTRANGE(""https://docs.google.com/spreadsheets/d/1tdoBKaGub7dwA3U6UFTqxio9LNnvDCQjHKmttSEBsFQ/edit?usp=sharing"",""จัดที่ดิน!AB47"")"),167)</f>
        <v>167</v>
      </c>
      <c r="K367" s="255">
        <f>IF(I367&gt;0,J367*100/I367,0)</f>
        <v>0</v>
      </c>
      <c r="L367" s="164"/>
      <c r="M367" s="164"/>
      <c r="N367" s="164"/>
      <c r="O367" s="164"/>
      <c r="P367" s="164"/>
      <c r="Q367" s="164"/>
      <c r="R367" s="164"/>
      <c r="S367" s="164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212">
        <f ca="1">IFERROR(__xludf.DUMMYFUNCTION("IMPORTRANGE(""https://docs.google.com/spreadsheets/d/1eHaY18a8A9IcSdp1K8H6x8fbOy06t2VsZHhMHf-1x7Y/edit?usp=sharing"",""แผน!EW47"")"),405)</f>
        <v>405</v>
      </c>
      <c r="J368" s="620">
        <f ca="1">IFERROR(__xludf.DUMMYFUNCTION("IMPORTRANGE(""https://docs.google.com/spreadsheets/d/1tdoBKaGub7dwA3U6UFTqxio9LNnvDCQjHKmttSEBsFQ/edit?usp=sharing"",""จัดที่ดิน!AC47"")"),1736.12)</f>
        <v>1736.12</v>
      </c>
      <c r="K368" s="255">
        <f ca="1">IF(I368&gt;0,J368*100/I368,0)</f>
        <v>428.67160493827163</v>
      </c>
      <c r="L368" s="164"/>
      <c r="M368" s="164"/>
      <c r="N368" s="164"/>
      <c r="O368" s="164"/>
      <c r="P368" s="164"/>
      <c r="Q368" s="164"/>
      <c r="R368" s="164"/>
      <c r="S368" s="164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65" t="s">
        <v>35</v>
      </c>
      <c r="I369" s="212">
        <f ca="1">IFERROR(__xludf.DUMMYFUNCTION("IMPORTRANGE(""https://docs.google.com/spreadsheets/d/1eHaY18a8A9IcSdp1K8H6x8fbOy06t2VsZHhMHf-1x7Y/edit?usp=sharing"",""แผน!EX47"")"),350)</f>
        <v>350</v>
      </c>
      <c r="J369" s="212">
        <f ca="1">IFERROR(__xludf.DUMMYFUNCTION("IMPORTRANGE(""https://docs.google.com/spreadsheets/d/1tdoBKaGub7dwA3U6UFTqxio9LNnvDCQjHKmttSEBsFQ/edit?usp=sharing"",""จัดที่ดิน!AD47"")"),371)</f>
        <v>371</v>
      </c>
      <c r="K369" s="255">
        <f ca="1">IF(I369&gt;0,J369*100/I369,0)</f>
        <v>106</v>
      </c>
      <c r="L369" s="164"/>
      <c r="M369" s="164"/>
      <c r="N369" s="164"/>
      <c r="O369" s="164"/>
      <c r="P369" s="164"/>
      <c r="Q369" s="164"/>
      <c r="R369" s="164"/>
      <c r="S369" s="164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65" t="s">
        <v>46</v>
      </c>
      <c r="I370" s="212">
        <v>0</v>
      </c>
      <c r="J370" s="620">
        <f ca="1">IFERROR(__xludf.DUMMYFUNCTION("IMPORTRANGE(""https://docs.google.com/spreadsheets/d/1tdoBKaGub7dwA3U6UFTqxio9LNnvDCQjHKmttSEBsFQ/edit?usp=sharing"",""จัดที่ดิน!AE47"")"),4987.16)</f>
        <v>4987.16</v>
      </c>
      <c r="K370" s="255">
        <f>IF(I370&gt;0,J370*100/I370,0)</f>
        <v>0</v>
      </c>
      <c r="L370" s="164"/>
      <c r="M370" s="164"/>
      <c r="N370" s="164"/>
      <c r="O370" s="164"/>
      <c r="P370" s="164"/>
      <c r="Q370" s="164"/>
      <c r="R370" s="164"/>
      <c r="S370" s="164"/>
      <c r="T370" s="164"/>
      <c r="U370" s="164"/>
    </row>
    <row r="371" spans="1:21" ht="18.75">
      <c r="A371" s="166"/>
      <c r="B371" s="174"/>
      <c r="C371" s="167"/>
      <c r="D371" s="167"/>
      <c r="E371" s="352" t="s">
        <v>153</v>
      </c>
      <c r="F371" s="174"/>
      <c r="G371" s="171"/>
      <c r="H371" s="165" t="s">
        <v>35</v>
      </c>
      <c r="I371" s="212">
        <f ca="1">IFERROR(__xludf.DUMMYFUNCTION("IMPORTRANGE(""https://docs.google.com/spreadsheets/d/1eHaY18a8A9IcSdp1K8H6x8fbOy06t2VsZHhMHf-1x7Y/edit?usp=sharing"",""แผน!EY47"")"),350)</f>
        <v>350</v>
      </c>
      <c r="J371" s="212">
        <f ca="1">IFERROR(__xludf.DUMMYFUNCTION("IMPORTRANGE(""https://docs.google.com/spreadsheets/d/1tdoBKaGub7dwA3U6UFTqxio9LNnvDCQjHKmttSEBsFQ/edit?usp=sharing"",""จัดที่ดิน!AF47"")"),203)</f>
        <v>203</v>
      </c>
      <c r="K371" s="255">
        <f ca="1">IF(I371&gt;0,J371*100/I371,0)</f>
        <v>58</v>
      </c>
      <c r="L371" s="164"/>
      <c r="M371" s="164"/>
      <c r="N371" s="164"/>
      <c r="O371" s="164"/>
      <c r="P371" s="164"/>
      <c r="Q371" s="164"/>
      <c r="R371" s="164"/>
      <c r="S371" s="164"/>
      <c r="T371" s="164"/>
      <c r="U371" s="164"/>
    </row>
    <row r="372" spans="1:21" ht="18.75">
      <c r="A372" s="166"/>
      <c r="B372" s="167"/>
      <c r="C372" s="167"/>
      <c r="D372" s="167"/>
      <c r="E372" s="174"/>
      <c r="F372" s="174"/>
      <c r="G372" s="171"/>
      <c r="H372" s="165" t="s">
        <v>46</v>
      </c>
      <c r="I372" s="212">
        <v>0</v>
      </c>
      <c r="J372" s="620">
        <f ca="1">IFERROR(__xludf.DUMMYFUNCTION("IMPORTRANGE(""https://docs.google.com/spreadsheets/d/1tdoBKaGub7dwA3U6UFTqxio9LNnvDCQjHKmttSEBsFQ/edit?usp=sharing"",""จัดที่ดิน!AG47"")"),3181.31)</f>
        <v>3181.31</v>
      </c>
      <c r="K372" s="255">
        <f>IF(I372&gt;0,J372*100/I372,0)</f>
        <v>0</v>
      </c>
      <c r="L372" s="164"/>
      <c r="M372" s="164"/>
      <c r="N372" s="164"/>
      <c r="O372" s="164"/>
      <c r="P372" s="164"/>
      <c r="Q372" s="164"/>
      <c r="R372" s="164"/>
      <c r="S372" s="164"/>
      <c r="T372" s="164"/>
      <c r="U372" s="164"/>
    </row>
    <row r="373" spans="1:21" ht="16.5">
      <c r="A373" s="5"/>
      <c r="B373" s="5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พ.ค. 67 เวลา 07.29 น.]")</f>
        <v xml:space="preserve"> [ข้อมูลจาก ระบบ ALRO Land Online ข้อมูล ณ 1 พ.ค. 67 เวลา 07.29 น.]</v>
      </c>
      <c r="E373" s="4"/>
      <c r="F373" s="4"/>
      <c r="G373" s="65"/>
      <c r="H373" s="375"/>
      <c r="I373" s="67"/>
      <c r="J373" s="67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>
      <c r="A374" s="335"/>
      <c r="B374" s="354" t="s">
        <v>154</v>
      </c>
      <c r="C374" s="336"/>
      <c r="D374" s="337"/>
      <c r="E374" s="328"/>
      <c r="F374" s="328"/>
      <c r="G374" s="329"/>
      <c r="H374" s="355" t="s">
        <v>46</v>
      </c>
      <c r="I374" s="605">
        <f ca="1">I386+I388</f>
        <v>1000</v>
      </c>
      <c r="J374" s="605">
        <f ca="1">J386+J388</f>
        <v>0</v>
      </c>
      <c r="K374" s="604">
        <f ca="1">IF(I374&gt;0,J374*100/I374,0)</f>
        <v>0</v>
      </c>
      <c r="L374" s="333"/>
      <c r="M374" s="333"/>
      <c r="N374" s="333"/>
      <c r="O374" s="333"/>
      <c r="P374" s="333"/>
      <c r="Q374" s="333"/>
      <c r="R374" s="333"/>
      <c r="S374" s="333"/>
      <c r="T374" s="333"/>
      <c r="U374" s="333"/>
    </row>
    <row r="375" spans="1:21" ht="19.5">
      <c r="A375" s="155"/>
      <c r="B375" s="188"/>
      <c r="C375" s="191" t="s">
        <v>18</v>
      </c>
      <c r="D375" s="608" t="s">
        <v>19</v>
      </c>
      <c r="E375" s="50"/>
      <c r="F375" s="50"/>
      <c r="G375" s="52"/>
      <c r="H375" s="158" t="s">
        <v>14</v>
      </c>
      <c r="I375" s="54"/>
      <c r="J375" s="54"/>
      <c r="K375" s="55"/>
      <c r="L375" s="540">
        <f>L376+L377</f>
        <v>0</v>
      </c>
      <c r="M375" s="540">
        <f>M376+M377</f>
        <v>0</v>
      </c>
      <c r="N375" s="540">
        <f>N376+N377</f>
        <v>0</v>
      </c>
      <c r="O375" s="540">
        <f>IF(L375&gt;0,N375*100/L375,0)</f>
        <v>0</v>
      </c>
      <c r="P375" s="540">
        <f>IF(M375&gt;0,N375*100/M375,0)</f>
        <v>0</v>
      </c>
      <c r="Q375" s="540">
        <f ca="1">Q376+Q377</f>
        <v>62500</v>
      </c>
      <c r="R375" s="540">
        <f ca="1">R376+R377</f>
        <v>62500</v>
      </c>
      <c r="S375" s="540">
        <f ca="1">S376+S377</f>
        <v>0</v>
      </c>
      <c r="T375" s="540">
        <f ca="1">IF(Q375&gt;0,S375*100/Q375,0)</f>
        <v>0</v>
      </c>
      <c r="U375" s="540">
        <f ca="1">IF(R375&gt;0,S375*100/R375,0)</f>
        <v>0</v>
      </c>
    </row>
    <row r="376" spans="1:21" ht="18.75" hidden="1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102">
        <f>L379+L382</f>
        <v>0</v>
      </c>
      <c r="M376" s="102">
        <f>M379+M382</f>
        <v>0</v>
      </c>
      <c r="N376" s="102">
        <f>N379+N382</f>
        <v>0</v>
      </c>
      <c r="O376" s="102">
        <f>IF(L376&gt;0,N376*100/L376,0)</f>
        <v>0</v>
      </c>
      <c r="P376" s="102">
        <f>IF(M376&gt;0,N376*100/M376,0)</f>
        <v>0</v>
      </c>
      <c r="Q376" s="102">
        <f>Q379+Q382</f>
        <v>0</v>
      </c>
      <c r="R376" s="102">
        <f>R379+R382</f>
        <v>0</v>
      </c>
      <c r="S376" s="102">
        <f>S379+S382</f>
        <v>0</v>
      </c>
      <c r="T376" s="102">
        <f>IF(Q376&gt;0,S376*100/Q376,0)</f>
        <v>0</v>
      </c>
      <c r="U376" s="102">
        <f>IF(R376&gt;0,S376*100/R376,0)</f>
        <v>0</v>
      </c>
    </row>
    <row r="377" spans="1:21" ht="18.75" hidden="1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255">
        <f>L380+L383</f>
        <v>0</v>
      </c>
      <c r="M377" s="255">
        <f>M380+M383</f>
        <v>0</v>
      </c>
      <c r="N377" s="255">
        <f>N380+N383</f>
        <v>0</v>
      </c>
      <c r="O377" s="255">
        <f>IF(L377&gt;0,N377*100/L377,0)</f>
        <v>0</v>
      </c>
      <c r="P377" s="255">
        <f>IF(M377&gt;0,N377*100/M377,0)</f>
        <v>0</v>
      </c>
      <c r="Q377" s="255">
        <f ca="1">Q380+Q383</f>
        <v>62500</v>
      </c>
      <c r="R377" s="255">
        <f ca="1">R380+R383</f>
        <v>62500</v>
      </c>
      <c r="S377" s="255">
        <f ca="1">S380+S383</f>
        <v>0</v>
      </c>
      <c r="T377" s="255">
        <f ca="1">IF(Q377&gt;0,S377*100/Q377,0)</f>
        <v>0</v>
      </c>
      <c r="U377" s="255">
        <f ca="1">IF(R377&gt;0,S377*100/R377,0)</f>
        <v>0</v>
      </c>
    </row>
    <row r="378" spans="1:21" ht="18.75">
      <c r="A378" s="155"/>
      <c r="B378" s="188"/>
      <c r="C378" s="188"/>
      <c r="D378" s="602" t="s">
        <v>22</v>
      </c>
      <c r="E378" s="188"/>
      <c r="F378" s="188"/>
      <c r="G378" s="208"/>
      <c r="H378" s="162" t="s">
        <v>14</v>
      </c>
      <c r="I378" s="163"/>
      <c r="J378" s="163"/>
      <c r="K378" s="164"/>
      <c r="L378" s="255">
        <f>L379+L380</f>
        <v>0</v>
      </c>
      <c r="M378" s="255">
        <f>M379+M380</f>
        <v>0</v>
      </c>
      <c r="N378" s="255">
        <f>N379+N380</f>
        <v>0</v>
      </c>
      <c r="O378" s="255">
        <f>IF(L378&gt;0,N378*100/L378,0)</f>
        <v>0</v>
      </c>
      <c r="P378" s="255">
        <f>IF(M378&gt;0,N378*100/M378,0)</f>
        <v>0</v>
      </c>
      <c r="Q378" s="255">
        <f ca="1">Q379+Q380</f>
        <v>62500</v>
      </c>
      <c r="R378" s="255">
        <f ca="1">R379+R380</f>
        <v>62500</v>
      </c>
      <c r="S378" s="255">
        <f ca="1">S379+S380</f>
        <v>0</v>
      </c>
      <c r="T378" s="255">
        <f ca="1">IF(Q378&gt;0,S378*100/Q378,0)</f>
        <v>0</v>
      </c>
      <c r="U378" s="255">
        <f ca="1">IF(R378&gt;0,S378*100/R378,0)</f>
        <v>0</v>
      </c>
    </row>
    <row r="379" spans="1:21" ht="18.75" hidden="1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102">
        <v>0</v>
      </c>
      <c r="M379" s="102">
        <v>0</v>
      </c>
      <c r="N379" s="102">
        <v>0</v>
      </c>
      <c r="O379" s="102">
        <f>IF(L379&gt;0,N379*100/L379,0)</f>
        <v>0</v>
      </c>
      <c r="P379" s="102">
        <f>IF(M379&gt;0,N379*100/M379,0)</f>
        <v>0</v>
      </c>
      <c r="Q379" s="102">
        <v>0</v>
      </c>
      <c r="R379" s="102">
        <v>0</v>
      </c>
      <c r="S379" s="102">
        <v>0</v>
      </c>
      <c r="T379" s="102">
        <f>IF(Q379&gt;0,S379*100/Q379,0)</f>
        <v>0</v>
      </c>
      <c r="U379" s="102">
        <f>IF(R379&gt;0,S379*100/R379,0)</f>
        <v>0</v>
      </c>
    </row>
    <row r="380" spans="1:21" ht="18.75" hidden="1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255">
        <v>0</v>
      </c>
      <c r="M380" s="255">
        <v>0</v>
      </c>
      <c r="N380" s="255">
        <v>0</v>
      </c>
      <c r="O380" s="255">
        <f>IF(L380&gt;0,N380*100/L380,0)</f>
        <v>0</v>
      </c>
      <c r="P380" s="255">
        <f>IF(M380&gt;0,N380*100/M380,0)</f>
        <v>0</v>
      </c>
      <c r="Q380" s="255">
        <f ca="1">IFERROR(__xludf.DUMMYFUNCTION("IMPORTRANGE(""https://docs.google.com/spreadsheets/d/1ItG2mGa2ceCfYo0BwxsXqNm01IGEUdYcSSLTEv9YCik/edit?usp=sharing"",""เบิกจ่ายกองทุน!AY47"")"),62500)</f>
        <v>62500</v>
      </c>
      <c r="R380" s="255">
        <f ca="1">IFERROR(__xludf.DUMMYFUNCTION("IMPORTRANGE(""https://docs.google.com/spreadsheets/d/1ItG2mGa2ceCfYo0BwxsXqNm01IGEUdYcSSLTEv9YCik/edit?usp=sharing"",""เบิกจ่ายกองทุน!AZ47"")"),62500)</f>
        <v>62500</v>
      </c>
      <c r="S380" s="255">
        <f ca="1">IFERROR(__xludf.DUMMYFUNCTION("IMPORTRANGE(""https://docs.google.com/spreadsheets/d/1ItG2mGa2ceCfYo0BwxsXqNm01IGEUdYcSSLTEv9YCik/edit?usp=sharing"",""เบิกจ่ายกองทุน!BA47"")"),0)</f>
        <v>0</v>
      </c>
      <c r="T380" s="255">
        <f ca="1">IF(Q380&gt;0,S380*100/Q380,0)</f>
        <v>0</v>
      </c>
      <c r="U380" s="255">
        <f ca="1">IF(R380&gt;0,S380*100/R380,0)</f>
        <v>0</v>
      </c>
    </row>
    <row r="381" spans="1:21" ht="18.75">
      <c r="A381" s="155"/>
      <c r="B381" s="188"/>
      <c r="C381" s="188"/>
      <c r="D381" s="602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255">
        <f>L382+L383</f>
        <v>0</v>
      </c>
      <c r="M381" s="255">
        <f>M382+M383</f>
        <v>0</v>
      </c>
      <c r="N381" s="255">
        <f>N382+N383</f>
        <v>0</v>
      </c>
      <c r="O381" s="255">
        <f>IF(L381&gt;0,N381*100/L381,0)</f>
        <v>0</v>
      </c>
      <c r="P381" s="255">
        <f>IF(M381&gt;0,N381*100/M381,0)</f>
        <v>0</v>
      </c>
      <c r="Q381" s="255">
        <f>Q382+Q383</f>
        <v>0</v>
      </c>
      <c r="R381" s="255">
        <f>R382+R383</f>
        <v>0</v>
      </c>
      <c r="S381" s="255">
        <f>S382+S383</f>
        <v>0</v>
      </c>
      <c r="T381" s="255">
        <f>IF(Q381&gt;0,S381*100/Q381,0)</f>
        <v>0</v>
      </c>
      <c r="U381" s="255">
        <f>IF(R381&gt;0,S381*100/R381,0)</f>
        <v>0</v>
      </c>
    </row>
    <row r="382" spans="1:21" ht="18.75" hidden="1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102">
        <v>0</v>
      </c>
      <c r="M382" s="102">
        <v>0</v>
      </c>
      <c r="N382" s="102">
        <v>0</v>
      </c>
      <c r="O382" s="102">
        <f>IF(L382&gt;0,N382*100/L382,0)</f>
        <v>0</v>
      </c>
      <c r="P382" s="102">
        <f>IF(M382&gt;0,N382*100/M382,0)</f>
        <v>0</v>
      </c>
      <c r="Q382" s="102">
        <v>0</v>
      </c>
      <c r="R382" s="102">
        <v>0</v>
      </c>
      <c r="S382" s="102">
        <v>0</v>
      </c>
      <c r="T382" s="102">
        <f>IF(Q382&gt;0,S382*100/Q382,0)</f>
        <v>0</v>
      </c>
      <c r="U382" s="102">
        <f>IF(R382&gt;0,S382*100/R382,0)</f>
        <v>0</v>
      </c>
    </row>
    <row r="383" spans="1:21" ht="18.75" hidden="1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255">
        <v>0</v>
      </c>
      <c r="M383" s="255">
        <v>0</v>
      </c>
      <c r="N383" s="255">
        <v>0</v>
      </c>
      <c r="O383" s="255">
        <f>IF(L383&gt;0,N383*100/L383,0)</f>
        <v>0</v>
      </c>
      <c r="P383" s="255">
        <f>IF(M383&gt;0,N383*100/M383,0)</f>
        <v>0</v>
      </c>
      <c r="Q383" s="255">
        <v>0</v>
      </c>
      <c r="R383" s="255">
        <v>0</v>
      </c>
      <c r="S383" s="255">
        <v>0</v>
      </c>
      <c r="T383" s="255">
        <f>IF(Q383&gt;0,S383*100/Q383,0)</f>
        <v>0</v>
      </c>
      <c r="U383" s="255">
        <f>IF(R383&gt;0,S383*100/R383,0)</f>
        <v>0</v>
      </c>
    </row>
    <row r="384" spans="1:21" ht="19.5">
      <c r="A384" s="166"/>
      <c r="B384" s="167"/>
      <c r="C384" s="191" t="s">
        <v>18</v>
      </c>
      <c r="D384" s="560" t="s">
        <v>38</v>
      </c>
      <c r="E384" s="232"/>
      <c r="F384" s="232"/>
      <c r="G384" s="829"/>
      <c r="H384" s="206"/>
      <c r="I384" s="163"/>
      <c r="J384" s="54"/>
      <c r="K384" s="55"/>
      <c r="L384" s="55"/>
      <c r="M384" s="55"/>
      <c r="N384" s="55"/>
      <c r="O384" s="164"/>
      <c r="P384" s="164"/>
      <c r="Q384" s="55"/>
      <c r="R384" s="55"/>
      <c r="S384" s="55"/>
      <c r="T384" s="164"/>
      <c r="U384" s="164"/>
    </row>
    <row r="385" spans="1:21" ht="18.75">
      <c r="A385" s="238"/>
      <c r="B385" s="188"/>
      <c r="C385" s="188"/>
      <c r="D385" s="188"/>
      <c r="E385" s="239" t="s">
        <v>155</v>
      </c>
      <c r="F385" s="188"/>
      <c r="G385" s="208"/>
      <c r="H385" s="161" t="s">
        <v>34</v>
      </c>
      <c r="I385" s="212">
        <v>0</v>
      </c>
      <c r="J385" s="212">
        <f ca="1">IFERROR(__xludf.DUMMYFUNCTION("IMPORTRANGE(""https://docs.google.com/spreadsheets/d/1w5rwWK1o49a35cNtocGL0gxDwhFSTZUQu90BiH9_zqM/edit?usp=sharing"",""RTK!H47"")"),0)</f>
        <v>0</v>
      </c>
      <c r="K385" s="255">
        <f>IF(I385&gt;0,J385*100/I385,0)</f>
        <v>0</v>
      </c>
      <c r="L385" s="55"/>
      <c r="M385" s="55"/>
      <c r="N385" s="55"/>
      <c r="O385" s="55"/>
      <c r="P385" s="55"/>
      <c r="Q385" s="55"/>
      <c r="R385" s="55"/>
      <c r="S385" s="55"/>
      <c r="T385" s="55"/>
      <c r="U385" s="55"/>
    </row>
    <row r="386" spans="1:21" ht="18.75">
      <c r="A386" s="188"/>
      <c r="B386" s="188"/>
      <c r="C386" s="188"/>
      <c r="D386" s="188"/>
      <c r="E386" s="188"/>
      <c r="F386" s="188"/>
      <c r="G386" s="208"/>
      <c r="H386" s="161" t="s">
        <v>46</v>
      </c>
      <c r="I386" s="212">
        <f ca="1">IFERROR(__xludf.DUMMYFUNCTION("IMPORTRANGE(""https://docs.google.com/spreadsheets/d/1w5rwWK1o49a35cNtocGL0gxDwhFSTZUQu90BiH9_zqM/edit?usp=sharing"",""RTK!G47"")"),1000)</f>
        <v>1000</v>
      </c>
      <c r="J386" s="212">
        <f ca="1">IFERROR(__xludf.DUMMYFUNCTION("IMPORTRANGE(""https://docs.google.com/spreadsheets/d/1w5rwWK1o49a35cNtocGL0gxDwhFSTZUQu90BiH9_zqM/edit?usp=sharing"",""RTK!I47"")"),0)</f>
        <v>0</v>
      </c>
      <c r="K386" s="255">
        <f ca="1">IF(I386&gt;0,J386*100/I386,0)</f>
        <v>0</v>
      </c>
      <c r="L386" s="55"/>
      <c r="M386" s="55"/>
      <c r="N386" s="55"/>
      <c r="O386" s="55"/>
      <c r="P386" s="55"/>
      <c r="Q386" s="55"/>
      <c r="R386" s="55"/>
      <c r="S386" s="55"/>
      <c r="T386" s="55"/>
      <c r="U386" s="55"/>
    </row>
    <row r="387" spans="1:21" ht="18.75">
      <c r="A387" s="609"/>
      <c r="B387" s="609"/>
      <c r="C387" s="609"/>
      <c r="D387" s="609"/>
      <c r="E387" s="610" t="s">
        <v>156</v>
      </c>
      <c r="F387" s="609"/>
      <c r="G387" s="557"/>
      <c r="H387" s="549" t="s">
        <v>34</v>
      </c>
      <c r="I387" s="556">
        <v>0</v>
      </c>
      <c r="J387" s="556">
        <f ca="1">IFERROR(__xludf.DUMMYFUNCTION("IMPORTRANGE(""https://docs.google.com/spreadsheets/d/1w5rwWK1o49a35cNtocGL0gxDwhFSTZUQu90BiH9_zqM/edit?usp=sharing"",""RTK!L47"")"),0)</f>
        <v>0</v>
      </c>
      <c r="K387" s="555">
        <f>IF(I387&gt;0,J387*100/I387,0)</f>
        <v>0</v>
      </c>
      <c r="L387" s="545"/>
      <c r="M387" s="545"/>
      <c r="N387" s="545"/>
      <c r="O387" s="545"/>
      <c r="P387" s="545"/>
      <c r="Q387" s="545"/>
      <c r="R387" s="545"/>
      <c r="S387" s="545"/>
      <c r="T387" s="545"/>
      <c r="U387" s="545"/>
    </row>
    <row r="388" spans="1:21" ht="18.75">
      <c r="A388" s="609"/>
      <c r="B388" s="609"/>
      <c r="C388" s="609"/>
      <c r="D388" s="609"/>
      <c r="E388" s="609"/>
      <c r="F388" s="609"/>
      <c r="G388" s="557"/>
      <c r="H388" s="549" t="s">
        <v>46</v>
      </c>
      <c r="I388" s="556">
        <f ca="1">IFERROR(__xludf.DUMMYFUNCTION("IMPORTRANGE(""https://docs.google.com/spreadsheets/d/1w5rwWK1o49a35cNtocGL0gxDwhFSTZUQu90BiH9_zqM/edit?usp=sharing"",""RTK!K47"")"),0)</f>
        <v>0</v>
      </c>
      <c r="J388" s="556">
        <f ca="1">IFERROR(__xludf.DUMMYFUNCTION("IMPORTRANGE(""https://docs.google.com/spreadsheets/d/1w5rwWK1o49a35cNtocGL0gxDwhFSTZUQu90BiH9_zqM/edit?usp=sharing"",""RTK!M47"")"),0)</f>
        <v>0</v>
      </c>
      <c r="K388" s="555">
        <f ca="1">IF(I388&gt;0,J388*100/I388,0)</f>
        <v>0</v>
      </c>
      <c r="L388" s="545"/>
      <c r="M388" s="545"/>
      <c r="N388" s="545"/>
      <c r="O388" s="545"/>
      <c r="P388" s="545"/>
      <c r="Q388" s="545"/>
      <c r="R388" s="545"/>
      <c r="S388" s="545"/>
      <c r="T388" s="545"/>
      <c r="U388" s="545"/>
    </row>
    <row r="389" spans="1:21" ht="12.75" hidden="1">
      <c r="A389" s="259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4"/>
      <c r="M389" s="264"/>
      <c r="N389" s="264"/>
      <c r="O389" s="264"/>
      <c r="P389" s="264"/>
      <c r="Q389" s="264"/>
      <c r="R389" s="264"/>
      <c r="S389" s="264"/>
      <c r="T389" s="264"/>
      <c r="U389" s="264"/>
    </row>
    <row r="390" spans="1:21" ht="12.75" hidden="1">
      <c r="A390" s="360"/>
      <c r="B390" s="360"/>
      <c r="C390" s="360"/>
      <c r="D390" s="360"/>
      <c r="E390" s="360"/>
      <c r="F390" s="360"/>
      <c r="G390" s="361"/>
      <c r="H390" s="361"/>
      <c r="I390" s="362"/>
      <c r="J390" s="362"/>
      <c r="K390" s="363"/>
      <c r="L390" s="363"/>
      <c r="M390" s="363"/>
      <c r="N390" s="363"/>
      <c r="O390" s="363"/>
      <c r="P390" s="363"/>
      <c r="Q390" s="363"/>
      <c r="R390" s="363"/>
      <c r="S390" s="363"/>
      <c r="T390" s="363"/>
      <c r="U390" s="363"/>
    </row>
    <row r="391" spans="1:21" ht="19.5" hidden="1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51">
        <f>I402</f>
        <v>0</v>
      </c>
      <c r="J391" s="351">
        <f>J402</f>
        <v>0</v>
      </c>
      <c r="K391" s="604">
        <f>IF(I391&gt;0,J391*100/I391,0)</f>
        <v>0</v>
      </c>
      <c r="L391" s="333"/>
      <c r="M391" s="333"/>
      <c r="N391" s="333"/>
      <c r="O391" s="333"/>
      <c r="P391" s="333"/>
      <c r="Q391" s="333"/>
      <c r="R391" s="333"/>
      <c r="S391" s="333"/>
      <c r="T391" s="333"/>
      <c r="U391" s="333"/>
    </row>
    <row r="392" spans="1:21" ht="19.5" hidden="1">
      <c r="A392" s="155"/>
      <c r="B392" s="188"/>
      <c r="C392" s="191" t="s">
        <v>18</v>
      </c>
      <c r="D392" s="608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540">
        <f>L393+L394</f>
        <v>0</v>
      </c>
      <c r="M392" s="540">
        <f>M393+M394</f>
        <v>0</v>
      </c>
      <c r="N392" s="540">
        <f>N393+N394</f>
        <v>0</v>
      </c>
      <c r="O392" s="540">
        <f>IF(L392&gt;0,N392*100/L392,0)</f>
        <v>0</v>
      </c>
      <c r="P392" s="540">
        <f>IF(M392&gt;0,N392*100/M392,0)</f>
        <v>0</v>
      </c>
      <c r="Q392" s="540">
        <f>Q393+Q394</f>
        <v>0</v>
      </c>
      <c r="R392" s="540">
        <f>R393+R394</f>
        <v>0</v>
      </c>
      <c r="S392" s="540">
        <f>S393+S394</f>
        <v>0</v>
      </c>
      <c r="T392" s="540">
        <f>IF(Q392&gt;0,S392*100/Q392,0)</f>
        <v>0</v>
      </c>
      <c r="U392" s="540">
        <f>IF(R392&gt;0,S392*100/R392,0)</f>
        <v>0</v>
      </c>
    </row>
    <row r="393" spans="1:21" ht="18.75" hidden="1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102">
        <f>L396+L399</f>
        <v>0</v>
      </c>
      <c r="M393" s="102">
        <f>M396+M399</f>
        <v>0</v>
      </c>
      <c r="N393" s="102">
        <f>N396+N399</f>
        <v>0</v>
      </c>
      <c r="O393" s="102">
        <f>IF(L393&gt;0,N393*100/L393,0)</f>
        <v>0</v>
      </c>
      <c r="P393" s="102">
        <f>IF(M393&gt;0,N393*100/M393,0)</f>
        <v>0</v>
      </c>
      <c r="Q393" s="102">
        <f>Q396+Q399</f>
        <v>0</v>
      </c>
      <c r="R393" s="102">
        <f>R396+R399</f>
        <v>0</v>
      </c>
      <c r="S393" s="102">
        <f>S396+S399</f>
        <v>0</v>
      </c>
      <c r="T393" s="102">
        <f>IF(Q393&gt;0,S393*100/Q393,0)</f>
        <v>0</v>
      </c>
      <c r="U393" s="102">
        <f>IF(R393&gt;0,S393*100/R393,0)</f>
        <v>0</v>
      </c>
    </row>
    <row r="394" spans="1:21" ht="18.75" hidden="1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255">
        <f>L397+L400</f>
        <v>0</v>
      </c>
      <c r="M394" s="255">
        <f>M397+M400</f>
        <v>0</v>
      </c>
      <c r="N394" s="255">
        <f>N397+N400</f>
        <v>0</v>
      </c>
      <c r="O394" s="255">
        <f>IF(L394&gt;0,N394*100/L394,0)</f>
        <v>0</v>
      </c>
      <c r="P394" s="255">
        <f>IF(M394&gt;0,N394*100/M394,0)</f>
        <v>0</v>
      </c>
      <c r="Q394" s="255">
        <f>Q397+Q400</f>
        <v>0</v>
      </c>
      <c r="R394" s="255">
        <f>R397+R400</f>
        <v>0</v>
      </c>
      <c r="S394" s="255">
        <f>S397+S400</f>
        <v>0</v>
      </c>
      <c r="T394" s="255">
        <f>IF(Q394&gt;0,S394*100/Q394,0)</f>
        <v>0</v>
      </c>
      <c r="U394" s="255">
        <f>IF(R394&gt;0,S394*100/R394,0)</f>
        <v>0</v>
      </c>
    </row>
    <row r="395" spans="1:21" ht="18.75" hidden="1">
      <c r="A395" s="155"/>
      <c r="B395" s="188"/>
      <c r="C395" s="188"/>
      <c r="D395" s="602" t="s">
        <v>22</v>
      </c>
      <c r="E395" s="188"/>
      <c r="F395" s="188"/>
      <c r="G395" s="208"/>
      <c r="H395" s="162" t="s">
        <v>14</v>
      </c>
      <c r="I395" s="163"/>
      <c r="J395" s="163"/>
      <c r="K395" s="164"/>
      <c r="L395" s="255">
        <f>L396+L397</f>
        <v>0</v>
      </c>
      <c r="M395" s="255">
        <f>M396+M397</f>
        <v>0</v>
      </c>
      <c r="N395" s="255">
        <f>N396+N397</f>
        <v>0</v>
      </c>
      <c r="O395" s="255">
        <f>IF(L395&gt;0,N395*100/L395,0)</f>
        <v>0</v>
      </c>
      <c r="P395" s="255">
        <f>IF(M395&gt;0,N395*100/M395,0)</f>
        <v>0</v>
      </c>
      <c r="Q395" s="255">
        <f>Q396+Q397</f>
        <v>0</v>
      </c>
      <c r="R395" s="255">
        <f>R396+R397</f>
        <v>0</v>
      </c>
      <c r="S395" s="255">
        <f>S396+S397</f>
        <v>0</v>
      </c>
      <c r="T395" s="255">
        <f>IF(Q395&gt;0,S395*100/Q395,0)</f>
        <v>0</v>
      </c>
      <c r="U395" s="255">
        <f>IF(R395&gt;0,S395*100/R395,0)</f>
        <v>0</v>
      </c>
    </row>
    <row r="396" spans="1:21" ht="18.75" hidden="1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102">
        <v>0</v>
      </c>
      <c r="M396" s="102">
        <v>0</v>
      </c>
      <c r="N396" s="102">
        <v>0</v>
      </c>
      <c r="O396" s="102">
        <f>IF(L396&gt;0,N396*100/L396,0)</f>
        <v>0</v>
      </c>
      <c r="P396" s="102">
        <f>IF(M396&gt;0,N396*100/M396,0)</f>
        <v>0</v>
      </c>
      <c r="Q396" s="102">
        <v>0</v>
      </c>
      <c r="R396" s="102">
        <v>0</v>
      </c>
      <c r="S396" s="102">
        <v>0</v>
      </c>
      <c r="T396" s="102">
        <f>IF(Q396&gt;0,S396*100/Q396,0)</f>
        <v>0</v>
      </c>
      <c r="U396" s="102">
        <f>IF(R396&gt;0,S396*100/R396,0)</f>
        <v>0</v>
      </c>
    </row>
    <row r="397" spans="1:21" ht="18.75" hidden="1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255">
        <v>0</v>
      </c>
      <c r="M397" s="255">
        <v>0</v>
      </c>
      <c r="N397" s="255">
        <v>0</v>
      </c>
      <c r="O397" s="255">
        <f>IF(L397&gt;0,N397*100/L397,0)</f>
        <v>0</v>
      </c>
      <c r="P397" s="255">
        <f>IF(M397&gt;0,N397*100/M397,0)</f>
        <v>0</v>
      </c>
      <c r="Q397" s="255">
        <v>0</v>
      </c>
      <c r="R397" s="255">
        <v>0</v>
      </c>
      <c r="S397" s="255">
        <v>0</v>
      </c>
      <c r="T397" s="255">
        <f>IF(Q397&gt;0,S397*100/Q397,0)</f>
        <v>0</v>
      </c>
      <c r="U397" s="255">
        <f>IF(R397&gt;0,S397*100/R397,0)</f>
        <v>0</v>
      </c>
    </row>
    <row r="398" spans="1:21" ht="18.75" hidden="1">
      <c r="A398" s="155"/>
      <c r="B398" s="188"/>
      <c r="C398" s="188"/>
      <c r="D398" s="602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255">
        <f>L399+L400</f>
        <v>0</v>
      </c>
      <c r="M398" s="255">
        <f>M399+M400</f>
        <v>0</v>
      </c>
      <c r="N398" s="255">
        <f>N399+N400</f>
        <v>0</v>
      </c>
      <c r="O398" s="255">
        <f>IF(L398&gt;0,N398*100/L398,0)</f>
        <v>0</v>
      </c>
      <c r="P398" s="255">
        <f>IF(M398&gt;0,N398*100/M398,0)</f>
        <v>0</v>
      </c>
      <c r="Q398" s="255">
        <f>Q399+Q400</f>
        <v>0</v>
      </c>
      <c r="R398" s="255">
        <f>R399+R400</f>
        <v>0</v>
      </c>
      <c r="S398" s="255">
        <f>S399+S400</f>
        <v>0</v>
      </c>
      <c r="T398" s="255">
        <f>IF(Q398&gt;0,S398*100/Q398,0)</f>
        <v>0</v>
      </c>
      <c r="U398" s="255">
        <f>IF(R398&gt;0,S398*100/R398,0)</f>
        <v>0</v>
      </c>
    </row>
    <row r="399" spans="1:21" ht="18.75" hidden="1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102">
        <v>0</v>
      </c>
      <c r="M399" s="102">
        <v>0</v>
      </c>
      <c r="N399" s="102">
        <v>0</v>
      </c>
      <c r="O399" s="102">
        <f>IF(L399&gt;0,N399*100/L399,0)</f>
        <v>0</v>
      </c>
      <c r="P399" s="102">
        <f>IF(M399&gt;0,N399*100/M399,0)</f>
        <v>0</v>
      </c>
      <c r="Q399" s="102">
        <v>0</v>
      </c>
      <c r="R399" s="102">
        <v>0</v>
      </c>
      <c r="S399" s="102">
        <v>0</v>
      </c>
      <c r="T399" s="102">
        <f>IF(Q399&gt;0,S399*100/Q399,0)</f>
        <v>0</v>
      </c>
      <c r="U399" s="102">
        <f>IF(R399&gt;0,S399*100/R399,0)</f>
        <v>0</v>
      </c>
    </row>
    <row r="400" spans="1:21" ht="18.75" hidden="1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255">
        <v>0</v>
      </c>
      <c r="M400" s="255">
        <v>0</v>
      </c>
      <c r="N400" s="255">
        <v>0</v>
      </c>
      <c r="O400" s="255">
        <f>IF(L400&gt;0,N400*100/L400,0)</f>
        <v>0</v>
      </c>
      <c r="P400" s="255">
        <f>IF(M400&gt;0,N400*100/M400,0)</f>
        <v>0</v>
      </c>
      <c r="Q400" s="255">
        <v>0</v>
      </c>
      <c r="R400" s="255">
        <v>0</v>
      </c>
      <c r="S400" s="255">
        <v>0</v>
      </c>
      <c r="T400" s="255">
        <f>IF(Q400&gt;0,S400*100/Q400,0)</f>
        <v>0</v>
      </c>
      <c r="U400" s="255">
        <f>IF(R400&gt;0,S400*100/R400,0)</f>
        <v>0</v>
      </c>
    </row>
    <row r="401" spans="1:21" ht="19.5" hidden="1">
      <c r="A401" s="166"/>
      <c r="B401" s="167"/>
      <c r="C401" s="191" t="s">
        <v>18</v>
      </c>
      <c r="D401" s="560" t="s">
        <v>38</v>
      </c>
      <c r="E401" s="232"/>
      <c r="F401" s="232"/>
      <c r="G401" s="829"/>
      <c r="H401" s="206"/>
      <c r="I401" s="163"/>
      <c r="J401" s="54"/>
      <c r="K401" s="55"/>
      <c r="L401" s="55"/>
      <c r="M401" s="55"/>
      <c r="N401" s="55"/>
      <c r="O401" s="164"/>
      <c r="P401" s="164"/>
      <c r="Q401" s="55"/>
      <c r="R401" s="55"/>
      <c r="S401" s="55"/>
      <c r="T401" s="164"/>
      <c r="U401" s="164"/>
    </row>
    <row r="402" spans="1:21" ht="12.75" hidden="1">
      <c r="A402" s="258"/>
      <c r="B402" s="259"/>
      <c r="C402" s="259"/>
      <c r="D402" s="259"/>
      <c r="E402" s="259"/>
      <c r="F402" s="259"/>
      <c r="G402" s="262"/>
      <c r="H402" s="262"/>
      <c r="I402" s="263"/>
      <c r="J402" s="263"/>
      <c r="K402" s="264"/>
      <c r="L402" s="264"/>
      <c r="M402" s="264"/>
      <c r="N402" s="264"/>
      <c r="O402" s="264"/>
      <c r="P402" s="264"/>
      <c r="Q402" s="264"/>
      <c r="R402" s="264"/>
      <c r="S402" s="264"/>
      <c r="T402" s="264"/>
      <c r="U402" s="264"/>
    </row>
    <row r="403" spans="1:21" ht="12.75" hidden="1">
      <c r="A403" s="259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4"/>
      <c r="M403" s="264"/>
      <c r="N403" s="264"/>
      <c r="O403" s="264"/>
      <c r="P403" s="264"/>
      <c r="Q403" s="264"/>
      <c r="R403" s="264"/>
      <c r="S403" s="264"/>
      <c r="T403" s="264"/>
      <c r="U403" s="264"/>
    </row>
    <row r="404" spans="1:21" ht="12.75" hidden="1">
      <c r="A404" s="259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4"/>
      <c r="M404" s="264"/>
      <c r="N404" s="264"/>
      <c r="O404" s="264"/>
      <c r="P404" s="264"/>
      <c r="Q404" s="264"/>
      <c r="R404" s="264"/>
      <c r="S404" s="264"/>
      <c r="T404" s="264"/>
      <c r="U404" s="264"/>
    </row>
    <row r="405" spans="1:21" ht="12.75" hidden="1">
      <c r="A405" s="259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4"/>
      <c r="M405" s="264"/>
      <c r="N405" s="264"/>
      <c r="O405" s="264"/>
      <c r="P405" s="264"/>
      <c r="Q405" s="264"/>
      <c r="R405" s="264"/>
      <c r="S405" s="264"/>
      <c r="T405" s="264"/>
      <c r="U405" s="264"/>
    </row>
    <row r="406" spans="1:21" ht="12.75" hidden="1">
      <c r="A406" s="259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4"/>
      <c r="M406" s="264"/>
      <c r="N406" s="264"/>
      <c r="O406" s="264"/>
      <c r="P406" s="264"/>
      <c r="Q406" s="264"/>
      <c r="R406" s="264"/>
      <c r="S406" s="264"/>
      <c r="T406" s="264"/>
      <c r="U406" s="264"/>
    </row>
    <row r="407" spans="1:21" ht="12.75" hidden="1">
      <c r="A407" s="259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4"/>
      <c r="M407" s="264"/>
      <c r="N407" s="264"/>
      <c r="O407" s="264"/>
      <c r="P407" s="264"/>
      <c r="Q407" s="264"/>
      <c r="R407" s="264"/>
      <c r="S407" s="264"/>
      <c r="T407" s="264"/>
      <c r="U407" s="264"/>
    </row>
    <row r="408" spans="1:21" ht="12.75" hidden="1">
      <c r="A408" s="259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4"/>
      <c r="M408" s="264"/>
      <c r="N408" s="264"/>
      <c r="O408" s="264"/>
      <c r="P408" s="264"/>
      <c r="Q408" s="264"/>
      <c r="R408" s="264"/>
      <c r="S408" s="264"/>
      <c r="T408" s="264"/>
      <c r="U408" s="264"/>
    </row>
    <row r="409" spans="1:21" ht="12.75" hidden="1">
      <c r="A409" s="259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4"/>
      <c r="M409" s="264"/>
      <c r="N409" s="264"/>
      <c r="O409" s="264"/>
      <c r="P409" s="264"/>
      <c r="Q409" s="264"/>
      <c r="R409" s="264"/>
      <c r="S409" s="264"/>
      <c r="T409" s="264"/>
      <c r="U409" s="264"/>
    </row>
    <row r="410" spans="1:21" ht="12.75" hidden="1">
      <c r="A410" s="259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4"/>
      <c r="M410" s="264"/>
      <c r="N410" s="264"/>
      <c r="O410" s="264"/>
      <c r="P410" s="264"/>
      <c r="Q410" s="264"/>
      <c r="R410" s="264"/>
      <c r="S410" s="264"/>
      <c r="T410" s="264"/>
      <c r="U410" s="264"/>
    </row>
    <row r="411" spans="1:21" ht="12.75" hidden="1">
      <c r="A411" s="360"/>
      <c r="B411" s="360"/>
      <c r="C411" s="360"/>
      <c r="D411" s="360"/>
      <c r="E411" s="360"/>
      <c r="F411" s="360"/>
      <c r="G411" s="361"/>
      <c r="H411" s="361"/>
      <c r="I411" s="362"/>
      <c r="J411" s="362"/>
      <c r="K411" s="363"/>
      <c r="L411" s="363"/>
      <c r="M411" s="363"/>
      <c r="N411" s="363"/>
      <c r="O411" s="363"/>
      <c r="P411" s="363"/>
      <c r="Q411" s="363"/>
      <c r="R411" s="363"/>
      <c r="S411" s="363"/>
      <c r="T411" s="363"/>
      <c r="U411" s="363"/>
    </row>
    <row r="412" spans="1:21" ht="19.5" hidden="1">
      <c r="A412" s="337"/>
      <c r="B412" s="354" t="s">
        <v>158</v>
      </c>
      <c r="C412" s="337"/>
      <c r="D412" s="337"/>
      <c r="E412" s="337"/>
      <c r="F412" s="337"/>
      <c r="G412" s="365"/>
      <c r="H412" s="366" t="s">
        <v>46</v>
      </c>
      <c r="I412" s="605">
        <f ca="1">I423</f>
        <v>0</v>
      </c>
      <c r="J412" s="605">
        <f>J423</f>
        <v>0</v>
      </c>
      <c r="K412" s="604">
        <f ca="1">IF(I412&gt;0,J412*100/I412,0)</f>
        <v>0</v>
      </c>
      <c r="L412" s="333"/>
      <c r="M412" s="333"/>
      <c r="N412" s="333"/>
      <c r="O412" s="333"/>
      <c r="P412" s="333"/>
      <c r="Q412" s="333"/>
      <c r="R412" s="333"/>
      <c r="S412" s="333"/>
      <c r="T412" s="333"/>
      <c r="U412" s="333"/>
    </row>
    <row r="413" spans="1:21" ht="19.5" hidden="1">
      <c r="A413" s="155"/>
      <c r="B413" s="188"/>
      <c r="C413" s="367" t="s">
        <v>18</v>
      </c>
      <c r="D413" s="781" t="s">
        <v>19</v>
      </c>
      <c r="E413" s="529"/>
      <c r="F413" s="529"/>
      <c r="G413" s="530"/>
      <c r="H413" s="368" t="s">
        <v>14</v>
      </c>
      <c r="I413" s="54"/>
      <c r="J413" s="54"/>
      <c r="K413" s="55"/>
      <c r="L413" s="540">
        <f>L414+L415</f>
        <v>0</v>
      </c>
      <c r="M413" s="540">
        <f>M414+M415</f>
        <v>0</v>
      </c>
      <c r="N413" s="540">
        <f>N414+N415</f>
        <v>0</v>
      </c>
      <c r="O413" s="540">
        <f>IF(L413&gt;0,N413*100/L413,0)</f>
        <v>0</v>
      </c>
      <c r="P413" s="540">
        <f>IF(M413&gt;0,N413*100/M413,0)</f>
        <v>0</v>
      </c>
      <c r="Q413" s="540">
        <f ca="1">Q414+Q415</f>
        <v>0</v>
      </c>
      <c r="R413" s="540">
        <f ca="1">R414+R415</f>
        <v>0</v>
      </c>
      <c r="S413" s="540">
        <f ca="1">S414+S415</f>
        <v>0</v>
      </c>
      <c r="T413" s="540">
        <f ca="1">IF(Q413&gt;0,S413*100/Q413,0)</f>
        <v>0</v>
      </c>
      <c r="U413" s="540">
        <f ca="1">IF(R413&gt;0,S413*100/R413,0)</f>
        <v>0</v>
      </c>
    </row>
    <row r="414" spans="1:21" ht="18.75" hidden="1">
      <c r="A414" s="155"/>
      <c r="B414" s="188"/>
      <c r="C414" s="188"/>
      <c r="D414" s="188"/>
      <c r="E414" s="358" t="s">
        <v>159</v>
      </c>
      <c r="F414" s="188"/>
      <c r="G414" s="208"/>
      <c r="H414" s="204" t="s">
        <v>14</v>
      </c>
      <c r="I414" s="54"/>
      <c r="J414" s="54"/>
      <c r="K414" s="55"/>
      <c r="L414" s="102">
        <f>L417+L420</f>
        <v>0</v>
      </c>
      <c r="M414" s="102">
        <f>M417+M420</f>
        <v>0</v>
      </c>
      <c r="N414" s="102">
        <f>N417+N420</f>
        <v>0</v>
      </c>
      <c r="O414" s="102">
        <f>IF(L414&gt;0,N414*100/L414,0)</f>
        <v>0</v>
      </c>
      <c r="P414" s="102">
        <f>IF(M414&gt;0,N414*100/M414,0)</f>
        <v>0</v>
      </c>
      <c r="Q414" s="102">
        <f>Q417+Q420</f>
        <v>0</v>
      </c>
      <c r="R414" s="102">
        <f>R417+R420</f>
        <v>0</v>
      </c>
      <c r="S414" s="102">
        <f>S417+S420</f>
        <v>0</v>
      </c>
      <c r="T414" s="102">
        <f>IF(Q414&gt;0,S414*100/Q414,0)</f>
        <v>0</v>
      </c>
      <c r="U414" s="102">
        <f>IF(R414&gt;0,S414*100/R414,0)</f>
        <v>0</v>
      </c>
    </row>
    <row r="415" spans="1:21" ht="18.75" hidden="1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255">
        <f>L418+L421</f>
        <v>0</v>
      </c>
      <c r="M415" s="255">
        <f>M418+M421</f>
        <v>0</v>
      </c>
      <c r="N415" s="255">
        <f>N418+N421</f>
        <v>0</v>
      </c>
      <c r="O415" s="255">
        <f>IF(L415&gt;0,N415*100/L415,0)</f>
        <v>0</v>
      </c>
      <c r="P415" s="255">
        <f>IF(M415&gt;0,N415*100/M415,0)</f>
        <v>0</v>
      </c>
      <c r="Q415" s="255">
        <f ca="1">Q418+Q421</f>
        <v>0</v>
      </c>
      <c r="R415" s="255">
        <f ca="1">R418+R421</f>
        <v>0</v>
      </c>
      <c r="S415" s="255">
        <f ca="1">S418+S421</f>
        <v>0</v>
      </c>
      <c r="T415" s="255">
        <f ca="1">IF(Q415&gt;0,S415*100/Q415,0)</f>
        <v>0</v>
      </c>
      <c r="U415" s="255">
        <f ca="1">IF(R415&gt;0,S415*100/R415,0)</f>
        <v>0</v>
      </c>
    </row>
    <row r="416" spans="1:21" ht="19.5" hidden="1">
      <c r="A416" s="155"/>
      <c r="B416" s="188"/>
      <c r="C416" s="188"/>
      <c r="D416" s="608" t="s">
        <v>22</v>
      </c>
      <c r="E416" s="188"/>
      <c r="F416" s="188"/>
      <c r="G416" s="208"/>
      <c r="H416" s="368" t="s">
        <v>14</v>
      </c>
      <c r="I416" s="54"/>
      <c r="J416" s="54"/>
      <c r="K416" s="55"/>
      <c r="L416" s="255">
        <f>L417+L418</f>
        <v>0</v>
      </c>
      <c r="M416" s="255">
        <f>M417+M418</f>
        <v>0</v>
      </c>
      <c r="N416" s="255">
        <f>N417+N418</f>
        <v>0</v>
      </c>
      <c r="O416" s="255">
        <f>IF(L416&gt;0,N416*100/L416,0)</f>
        <v>0</v>
      </c>
      <c r="P416" s="255">
        <f>IF(M416&gt;0,N416*100/M416,0)</f>
        <v>0</v>
      </c>
      <c r="Q416" s="255">
        <f ca="1">Q417+Q418</f>
        <v>0</v>
      </c>
      <c r="R416" s="255">
        <f ca="1">R417+R418</f>
        <v>0</v>
      </c>
      <c r="S416" s="255">
        <f ca="1">S417+S418</f>
        <v>0</v>
      </c>
      <c r="T416" s="255">
        <f ca="1">IF(Q416&gt;0,S416*100/Q416,0)</f>
        <v>0</v>
      </c>
      <c r="U416" s="255">
        <f ca="1">IF(R416&gt;0,S416*100/R416,0)</f>
        <v>0</v>
      </c>
    </row>
    <row r="417" spans="1:21" ht="18.75" hidden="1">
      <c r="A417" s="155"/>
      <c r="B417" s="188"/>
      <c r="C417" s="188"/>
      <c r="D417" s="188"/>
      <c r="E417" s="358" t="s">
        <v>159</v>
      </c>
      <c r="F417" s="188"/>
      <c r="G417" s="208"/>
      <c r="H417" s="204" t="s">
        <v>14</v>
      </c>
      <c r="I417" s="54"/>
      <c r="J417" s="54"/>
      <c r="K417" s="55"/>
      <c r="L417" s="102">
        <v>0</v>
      </c>
      <c r="M417" s="102">
        <v>0</v>
      </c>
      <c r="N417" s="102">
        <v>0</v>
      </c>
      <c r="O417" s="102">
        <f>IF(L417&gt;0,N417*100/L417,0)</f>
        <v>0</v>
      </c>
      <c r="P417" s="102">
        <f>IF(M417&gt;0,N417*100/M417,0)</f>
        <v>0</v>
      </c>
      <c r="Q417" s="102">
        <v>0</v>
      </c>
      <c r="R417" s="102">
        <v>0</v>
      </c>
      <c r="S417" s="102">
        <v>0</v>
      </c>
      <c r="T417" s="102">
        <f>IF(Q417&gt;0,S417*100/Q417,0)</f>
        <v>0</v>
      </c>
      <c r="U417" s="102">
        <f>IF(R417&gt;0,S417*100/R417,0)</f>
        <v>0</v>
      </c>
    </row>
    <row r="418" spans="1:21" ht="18.75" hidden="1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255">
        <v>0</v>
      </c>
      <c r="M418" s="255">
        <v>0</v>
      </c>
      <c r="N418" s="255">
        <v>0</v>
      </c>
      <c r="O418" s="255">
        <f>IF(L418&gt;0,N418*100/L418,0)</f>
        <v>0</v>
      </c>
      <c r="P418" s="255">
        <f>IF(M418&gt;0,N418*100/M418,0)</f>
        <v>0</v>
      </c>
      <c r="Q418" s="255">
        <f ca="1">IFERROR(__xludf.DUMMYFUNCTION("IMPORTRANGE(""https://docs.google.com/spreadsheets/d/1ItG2mGa2ceCfYo0BwxsXqNm01IGEUdYcSSLTEv9YCik/edit?usp=sharing"",""เบิกจ่ายกองทุน!BH47"")"),0)</f>
        <v>0</v>
      </c>
      <c r="R418" s="255">
        <f ca="1">IFERROR(__xludf.DUMMYFUNCTION("IMPORTRANGE(""https://docs.google.com/spreadsheets/d/1ItG2mGa2ceCfYo0BwxsXqNm01IGEUdYcSSLTEv9YCik/edit?usp=sharing"",""เบิกจ่ายกองทุน!BI47"")"),0)</f>
        <v>0</v>
      </c>
      <c r="S418" s="255">
        <f ca="1">IFERROR(__xludf.DUMMYFUNCTION("IMPORTRANGE(""https://docs.google.com/spreadsheets/d/1ItG2mGa2ceCfYo0BwxsXqNm01IGEUdYcSSLTEv9YCik/edit?usp=sharing"",""เบิกจ่ายกองทุน!BJ47"")"),0)</f>
        <v>0</v>
      </c>
      <c r="T418" s="255">
        <f ca="1">IF(Q418&gt;0,S418*100/Q418,0)</f>
        <v>0</v>
      </c>
      <c r="U418" s="255">
        <f ca="1">IF(R418&gt;0,S418*100/R418,0)</f>
        <v>0</v>
      </c>
    </row>
    <row r="419" spans="1:21" ht="19.5" hidden="1">
      <c r="A419" s="155"/>
      <c r="B419" s="188"/>
      <c r="C419" s="188"/>
      <c r="D419" s="608" t="s">
        <v>23</v>
      </c>
      <c r="E419" s="188"/>
      <c r="F419" s="188"/>
      <c r="G419" s="208"/>
      <c r="H419" s="158" t="s">
        <v>14</v>
      </c>
      <c r="I419" s="54"/>
      <c r="J419" s="54"/>
      <c r="K419" s="55"/>
      <c r="L419" s="255">
        <f>L420+L421</f>
        <v>0</v>
      </c>
      <c r="M419" s="255">
        <f>M420+M421</f>
        <v>0</v>
      </c>
      <c r="N419" s="255">
        <f>N420+N421</f>
        <v>0</v>
      </c>
      <c r="O419" s="255">
        <f>IF(L419&gt;0,N419*100/L419,0)</f>
        <v>0</v>
      </c>
      <c r="P419" s="255">
        <f>IF(M419&gt;0,N419*100/M419,0)</f>
        <v>0</v>
      </c>
      <c r="Q419" s="255">
        <f>Q420+Q421</f>
        <v>0</v>
      </c>
      <c r="R419" s="255">
        <f>R420+R421</f>
        <v>0</v>
      </c>
      <c r="S419" s="255">
        <f>S420+S421</f>
        <v>0</v>
      </c>
      <c r="T419" s="255">
        <f>IF(Q419&gt;0,S419*100/Q419,0)</f>
        <v>0</v>
      </c>
      <c r="U419" s="255">
        <f>IF(R419&gt;0,S419*100/R419,0)</f>
        <v>0</v>
      </c>
    </row>
    <row r="420" spans="1:21" ht="18.75" hidden="1">
      <c r="A420" s="155"/>
      <c r="B420" s="188"/>
      <c r="C420" s="188"/>
      <c r="D420" s="188"/>
      <c r="E420" s="358" t="s">
        <v>20</v>
      </c>
      <c r="F420" s="188"/>
      <c r="G420" s="208"/>
      <c r="H420" s="204" t="s">
        <v>14</v>
      </c>
      <c r="I420" s="54"/>
      <c r="J420" s="54"/>
      <c r="K420" s="55"/>
      <c r="L420" s="102">
        <v>0</v>
      </c>
      <c r="M420" s="102">
        <v>0</v>
      </c>
      <c r="N420" s="102">
        <v>0</v>
      </c>
      <c r="O420" s="102">
        <f>IF(L420&gt;0,N420*100/L420,0)</f>
        <v>0</v>
      </c>
      <c r="P420" s="102">
        <f>IF(M420&gt;0,N420*100/M420,0)</f>
        <v>0</v>
      </c>
      <c r="Q420" s="102">
        <v>0</v>
      </c>
      <c r="R420" s="102">
        <v>0</v>
      </c>
      <c r="S420" s="102">
        <v>0</v>
      </c>
      <c r="T420" s="102">
        <f>IF(Q420&gt;0,S420*100/Q420,0)</f>
        <v>0</v>
      </c>
      <c r="U420" s="102">
        <f>IF(R420&gt;0,S420*100/R420,0)</f>
        <v>0</v>
      </c>
    </row>
    <row r="421" spans="1:21" ht="18.75" hidden="1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255">
        <v>0</v>
      </c>
      <c r="M421" s="255">
        <v>0</v>
      </c>
      <c r="N421" s="255">
        <v>0</v>
      </c>
      <c r="O421" s="255">
        <f>IF(L421&gt;0,N421*100/L421,0)</f>
        <v>0</v>
      </c>
      <c r="P421" s="255">
        <f>IF(M421&gt;0,N421*100/M421,0)</f>
        <v>0</v>
      </c>
      <c r="Q421" s="255">
        <v>0</v>
      </c>
      <c r="R421" s="255">
        <v>0</v>
      </c>
      <c r="S421" s="255">
        <v>0</v>
      </c>
      <c r="T421" s="255">
        <f>IF(Q421&gt;0,S421*100/Q421,0)</f>
        <v>0</v>
      </c>
      <c r="U421" s="255">
        <f>IF(R421&gt;0,S421*100/R421,0)</f>
        <v>0</v>
      </c>
    </row>
    <row r="422" spans="1:21" ht="19.5" hidden="1">
      <c r="A422" s="238"/>
      <c r="B422" s="188"/>
      <c r="C422" s="367" t="s">
        <v>18</v>
      </c>
      <c r="D422" s="607" t="s">
        <v>38</v>
      </c>
      <c r="E422" s="188"/>
      <c r="F422" s="188"/>
      <c r="G422" s="208"/>
      <c r="H422" s="208"/>
      <c r="I422" s="54"/>
      <c r="J422" s="54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</row>
    <row r="423" spans="1:21" ht="19.5" hidden="1">
      <c r="A423" s="238"/>
      <c r="B423" s="191" t="s">
        <v>161</v>
      </c>
      <c r="C423" s="188"/>
      <c r="D423" s="188"/>
      <c r="E423" s="188"/>
      <c r="F423" s="188"/>
      <c r="G423" s="208"/>
      <c r="H423" s="368" t="s">
        <v>46</v>
      </c>
      <c r="I423" s="373">
        <f ca="1">I440</f>
        <v>0</v>
      </c>
      <c r="J423" s="373">
        <f>J440</f>
        <v>0</v>
      </c>
      <c r="K423" s="540">
        <f ca="1">IF(I423&gt;0,J423*100/I423,0)</f>
        <v>0</v>
      </c>
      <c r="L423" s="55"/>
      <c r="M423" s="55"/>
      <c r="N423" s="55"/>
      <c r="O423" s="55"/>
      <c r="P423" s="55"/>
      <c r="Q423" s="55"/>
      <c r="R423" s="55"/>
      <c r="S423" s="55"/>
      <c r="T423" s="55"/>
      <c r="U423" s="55"/>
    </row>
    <row r="424" spans="1:21" ht="19.5" hidden="1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373">
        <f ca="1">IFERROR(__xludf.DUMMYFUNCTION("IMPORTRANGE(""https://docs.google.com/spreadsheets/d/1eHaY18a8A9IcSdp1K8H6x8fbOy06t2VsZHhMHf-1x7Y/edit?usp=sharing"",""แผน!HJ47"")"),0)</f>
        <v>0</v>
      </c>
      <c r="J424" s="373">
        <f>J426+J428+J430</f>
        <v>0</v>
      </c>
      <c r="K424" s="540">
        <f ca="1">IF(I424&gt;0,J424*100/I424,0)</f>
        <v>0</v>
      </c>
      <c r="L424" s="55"/>
      <c r="M424" s="55"/>
      <c r="N424" s="55"/>
      <c r="O424" s="55"/>
      <c r="P424" s="55"/>
      <c r="Q424" s="55"/>
      <c r="R424" s="55"/>
      <c r="S424" s="55"/>
      <c r="T424" s="55"/>
      <c r="U424" s="55"/>
    </row>
    <row r="425" spans="1:21" ht="19.5" hidden="1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373">
        <f ca="1">IFERROR(__xludf.DUMMYFUNCTION("IMPORTRANGE(""https://docs.google.com/spreadsheets/d/1eHaY18a8A9IcSdp1K8H6x8fbOy06t2VsZHhMHf-1x7Y/edit?usp=sharing"",""แผน!HK47"")"),0)</f>
        <v>0</v>
      </c>
      <c r="J425" s="373">
        <f>J427+J429+J431</f>
        <v>0</v>
      </c>
      <c r="K425" s="540">
        <f ca="1">IF(I425&gt;0,J425*100/I425,0)</f>
        <v>0</v>
      </c>
      <c r="L425" s="55"/>
      <c r="M425" s="55"/>
      <c r="N425" s="55"/>
      <c r="O425" s="55"/>
      <c r="P425" s="55"/>
      <c r="Q425" s="55"/>
      <c r="R425" s="55"/>
      <c r="S425" s="55"/>
      <c r="T425" s="55"/>
      <c r="U425" s="55"/>
    </row>
    <row r="426" spans="1:21" ht="18.75" hidden="1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54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</row>
    <row r="427" spans="1:21" ht="18.75" hidden="1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54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</row>
    <row r="428" spans="1:21" ht="18.75" hidden="1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54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</row>
    <row r="429" spans="1:21" ht="18.75" hidden="1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54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</row>
    <row r="430" spans="1:21" ht="18.75" hidden="1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54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</row>
    <row r="431" spans="1:21" ht="18.75" hidden="1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54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</row>
    <row r="432" spans="1:21" ht="19.5" hidden="1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373">
        <f ca="1">IFERROR(__xludf.DUMMYFUNCTION("IMPORTRANGE(""https://docs.google.com/spreadsheets/d/1eHaY18a8A9IcSdp1K8H6x8fbOy06t2VsZHhMHf-1x7Y/edit?usp=sharing"",""แผน!HJ47"")"),0)</f>
        <v>0</v>
      </c>
      <c r="J432" s="373">
        <f>J434+J436+J438</f>
        <v>0</v>
      </c>
      <c r="K432" s="540">
        <f ca="1">IF(I432&gt;0,J432*100/I432,0)</f>
        <v>0</v>
      </c>
      <c r="L432" s="55"/>
      <c r="M432" s="55"/>
      <c r="N432" s="55"/>
      <c r="O432" s="55"/>
      <c r="P432" s="55"/>
      <c r="Q432" s="55"/>
      <c r="R432" s="55"/>
      <c r="S432" s="55"/>
      <c r="T432" s="55"/>
      <c r="U432" s="55"/>
    </row>
    <row r="433" spans="1:21" ht="19.5" hidden="1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373">
        <f ca="1">IFERROR(__xludf.DUMMYFUNCTION("IMPORTRANGE(""https://docs.google.com/spreadsheets/d/1eHaY18a8A9IcSdp1K8H6x8fbOy06t2VsZHhMHf-1x7Y/edit?usp=sharing"",""แผน!HK47"")"),0)</f>
        <v>0</v>
      </c>
      <c r="J433" s="373">
        <f>J435+J437+J439</f>
        <v>0</v>
      </c>
      <c r="K433" s="540">
        <f ca="1">IF(I433&gt;0,J433*100/I433,0)</f>
        <v>0</v>
      </c>
      <c r="L433" s="55"/>
      <c r="M433" s="55"/>
      <c r="N433" s="55"/>
      <c r="O433" s="55"/>
      <c r="P433" s="55"/>
      <c r="Q433" s="55"/>
      <c r="R433" s="55"/>
      <c r="S433" s="55"/>
      <c r="T433" s="55"/>
      <c r="U433" s="55"/>
    </row>
    <row r="434" spans="1:21" ht="18.75" hidden="1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54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</row>
    <row r="435" spans="1:21" ht="18.75" hidden="1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54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</row>
    <row r="436" spans="1:21" ht="18.75" hidden="1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54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</row>
    <row r="437" spans="1:21" ht="18.75" hidden="1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54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</row>
    <row r="438" spans="1:21" ht="18.75" hidden="1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54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</row>
    <row r="439" spans="1:21" ht="18.75" hidden="1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54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</row>
    <row r="440" spans="1:21" ht="19.5" hidden="1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373">
        <f ca="1">IFERROR(__xludf.DUMMYFUNCTION("IMPORTRANGE(""https://docs.google.com/spreadsheets/d/1eHaY18a8A9IcSdp1K8H6x8fbOy06t2VsZHhMHf-1x7Y/edit?usp=sharing"",""แผน!HJ47"")"),0)</f>
        <v>0</v>
      </c>
      <c r="J440" s="373">
        <f>J442+J444+J446+J452+J454</f>
        <v>0</v>
      </c>
      <c r="K440" s="540">
        <f ca="1">IF(I440&gt;0,J440*100/I440,0)</f>
        <v>0</v>
      </c>
      <c r="L440" s="55"/>
      <c r="M440" s="55"/>
      <c r="N440" s="55"/>
      <c r="O440" s="55"/>
      <c r="P440" s="55"/>
      <c r="Q440" s="55"/>
      <c r="R440" s="55"/>
      <c r="S440" s="55"/>
      <c r="T440" s="55"/>
      <c r="U440" s="55"/>
    </row>
    <row r="441" spans="1:21" ht="19.5" hidden="1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373">
        <f ca="1">IFERROR(__xludf.DUMMYFUNCTION("IMPORTRANGE(""https://docs.google.com/spreadsheets/d/1eHaY18a8A9IcSdp1K8H6x8fbOy06t2VsZHhMHf-1x7Y/edit?usp=sharing"",""แผน!HK47"")"),0)</f>
        <v>0</v>
      </c>
      <c r="J441" s="373">
        <f>J443+J445+J447+J453+J455</f>
        <v>0</v>
      </c>
      <c r="K441" s="540">
        <f ca="1">IF(I441&gt;0,J441*100/I441,0)</f>
        <v>0</v>
      </c>
      <c r="L441" s="55"/>
      <c r="M441" s="55"/>
      <c r="N441" s="55"/>
      <c r="O441" s="55"/>
      <c r="P441" s="55"/>
      <c r="Q441" s="55"/>
      <c r="R441" s="55"/>
      <c r="S441" s="55"/>
      <c r="T441" s="55"/>
      <c r="U441" s="55"/>
    </row>
    <row r="442" spans="1:21" ht="18.75" hidden="1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54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</row>
    <row r="443" spans="1:21" ht="18.75" hidden="1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54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</row>
    <row r="444" spans="1:21" ht="18.75" hidden="1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54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</row>
    <row r="445" spans="1:21" ht="18.75" hidden="1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54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</row>
    <row r="446" spans="1:21" ht="19.5" hidden="1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373">
        <f>J448+J450</f>
        <v>0</v>
      </c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</row>
    <row r="447" spans="1:21" ht="19.5" hidden="1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373">
        <f>J449+J451</f>
        <v>0</v>
      </c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</row>
    <row r="448" spans="1:21" ht="18.75" hidden="1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54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</row>
    <row r="449" spans="1:21" ht="18.75" hidden="1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54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</row>
    <row r="450" spans="1:21" ht="18.75" hidden="1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54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</row>
    <row r="451" spans="1:21" ht="18.75" hidden="1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54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</row>
    <row r="452" spans="1:21" ht="18.75" hidden="1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54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</row>
    <row r="453" spans="1:21" ht="18.75" hidden="1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54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</row>
    <row r="454" spans="1:21" ht="18.75" hidden="1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606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</row>
    <row r="455" spans="1:21" ht="18.75" hidden="1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54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</row>
    <row r="456" spans="1:21" ht="19.5" hidden="1">
      <c r="A456" s="238"/>
      <c r="B456" s="191" t="s">
        <v>178</v>
      </c>
      <c r="C456" s="188"/>
      <c r="D456" s="188"/>
      <c r="E456" s="188"/>
      <c r="F456" s="188"/>
      <c r="G456" s="208"/>
      <c r="H456" s="368" t="s">
        <v>46</v>
      </c>
      <c r="I456" s="373">
        <f ca="1">I457</f>
        <v>0</v>
      </c>
      <c r="J456" s="373">
        <f>J457</f>
        <v>0</v>
      </c>
      <c r="K456" s="540">
        <f ca="1">IF(I456&gt;0,J456*100/I456,0)</f>
        <v>0</v>
      </c>
      <c r="L456" s="55"/>
      <c r="M456" s="55"/>
      <c r="N456" s="55"/>
      <c r="O456" s="55"/>
      <c r="P456" s="55"/>
      <c r="Q456" s="55"/>
      <c r="R456" s="55"/>
      <c r="S456" s="55"/>
      <c r="T456" s="55"/>
      <c r="U456" s="55"/>
    </row>
    <row r="457" spans="1:21" ht="19.5" hidden="1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373">
        <f ca="1">IFERROR(__xludf.DUMMYFUNCTION("IMPORTRANGE(""https://docs.google.com/spreadsheets/d/1eHaY18a8A9IcSdp1K8H6x8fbOy06t2VsZHhMHf-1x7Y/edit?usp=sharing"",""แผน!HL47"")"),0)</f>
        <v>0</v>
      </c>
      <c r="J457" s="373">
        <f>J459+J467+J473</f>
        <v>0</v>
      </c>
      <c r="K457" s="540">
        <f ca="1">IF(I457&gt;0,J457*100/I457,0)</f>
        <v>0</v>
      </c>
      <c r="L457" s="55"/>
      <c r="M457" s="55"/>
      <c r="N457" s="55"/>
      <c r="O457" s="55"/>
      <c r="P457" s="55"/>
      <c r="Q457" s="55"/>
      <c r="R457" s="55"/>
      <c r="S457" s="55"/>
      <c r="T457" s="55"/>
      <c r="U457" s="55"/>
    </row>
    <row r="458" spans="1:21" ht="19.5" hidden="1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373">
        <f ca="1">IFERROR(__xludf.DUMMYFUNCTION("IMPORTRANGE(""https://docs.google.com/spreadsheets/d/1eHaY18a8A9IcSdp1K8H6x8fbOy06t2VsZHhMHf-1x7Y/edit?usp=sharing"",""แผน!HM47"")"),0)</f>
        <v>0</v>
      </c>
      <c r="J458" s="373">
        <f>J460+J468+J474</f>
        <v>0</v>
      </c>
      <c r="K458" s="540">
        <f ca="1">IF(I458&gt;0,J458*100/I458,0)</f>
        <v>0</v>
      </c>
      <c r="L458" s="55"/>
      <c r="M458" s="55"/>
      <c r="N458" s="55"/>
      <c r="O458" s="55"/>
      <c r="P458" s="55"/>
      <c r="Q458" s="55"/>
      <c r="R458" s="55"/>
      <c r="S458" s="55"/>
      <c r="T458" s="55"/>
      <c r="U458" s="55"/>
    </row>
    <row r="459" spans="1:21" ht="18.75" hidden="1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212">
        <f>J461+J463</f>
        <v>0</v>
      </c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</row>
    <row r="460" spans="1:21" ht="18.75" hidden="1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212">
        <f>J462+J464</f>
        <v>0</v>
      </c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</row>
    <row r="461" spans="1:21" ht="18.75" hidden="1">
      <c r="A461" s="238"/>
      <c r="B461" s="188"/>
      <c r="C461" s="188"/>
      <c r="D461" s="371" t="s">
        <v>181</v>
      </c>
      <c r="E461" s="188"/>
      <c r="F461" s="188"/>
      <c r="G461" s="208"/>
      <c r="H461" s="161" t="s">
        <v>46</v>
      </c>
      <c r="I461" s="54"/>
      <c r="J461" s="54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</row>
    <row r="462" spans="1:21" ht="18.75" hidden="1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54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</row>
    <row r="463" spans="1:21" ht="18.75" hidden="1">
      <c r="A463" s="238"/>
      <c r="B463" s="188"/>
      <c r="C463" s="188"/>
      <c r="D463" s="371" t="s">
        <v>182</v>
      </c>
      <c r="E463" s="188"/>
      <c r="F463" s="188"/>
      <c r="G463" s="208"/>
      <c r="H463" s="161" t="s">
        <v>46</v>
      </c>
      <c r="I463" s="54"/>
      <c r="J463" s="54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</row>
    <row r="464" spans="1:21" ht="18.75" hidden="1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54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</row>
    <row r="465" spans="1:21" ht="18.75" hidden="1">
      <c r="A465" s="238"/>
      <c r="B465" s="188"/>
      <c r="C465" s="188"/>
      <c r="D465" s="371" t="s">
        <v>183</v>
      </c>
      <c r="E465" s="188"/>
      <c r="F465" s="188"/>
      <c r="G465" s="208"/>
      <c r="H465" s="161" t="s">
        <v>46</v>
      </c>
      <c r="I465" s="54"/>
      <c r="J465" s="54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</row>
    <row r="466" spans="1:21" ht="18.75" hidden="1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54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</row>
    <row r="467" spans="1:21" ht="18.75" hidden="1">
      <c r="A467" s="238"/>
      <c r="B467" s="188"/>
      <c r="C467" s="371" t="s">
        <v>184</v>
      </c>
      <c r="D467" s="188"/>
      <c r="E467" s="188"/>
      <c r="F467" s="188"/>
      <c r="G467" s="208"/>
      <c r="H467" s="161" t="s">
        <v>46</v>
      </c>
      <c r="I467" s="54"/>
      <c r="J467" s="212">
        <f>J469+J471</f>
        <v>0</v>
      </c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</row>
    <row r="468" spans="1:21" ht="18.75" hidden="1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212">
        <f>J470+J472</f>
        <v>0</v>
      </c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</row>
    <row r="469" spans="1:21" ht="18.75" hidden="1">
      <c r="A469" s="238"/>
      <c r="B469" s="188"/>
      <c r="C469" s="188"/>
      <c r="D469" s="371" t="s">
        <v>185</v>
      </c>
      <c r="E469" s="188"/>
      <c r="F469" s="188"/>
      <c r="G469" s="208"/>
      <c r="H469" s="161" t="s">
        <v>46</v>
      </c>
      <c r="I469" s="54"/>
      <c r="J469" s="54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</row>
    <row r="470" spans="1:21" ht="18.75" hidden="1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54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</row>
    <row r="471" spans="1:21" ht="18.75" hidden="1">
      <c r="A471" s="238"/>
      <c r="B471" s="188"/>
      <c r="C471" s="188"/>
      <c r="D471" s="371" t="s">
        <v>186</v>
      </c>
      <c r="E471" s="188"/>
      <c r="F471" s="188"/>
      <c r="G471" s="208"/>
      <c r="H471" s="161" t="s">
        <v>46</v>
      </c>
      <c r="I471" s="54"/>
      <c r="J471" s="54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</row>
    <row r="472" spans="1:21" ht="18.75" hidden="1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54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</row>
    <row r="473" spans="1:21" ht="18.75" hidden="1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54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</row>
    <row r="474" spans="1:21" ht="18.75" hidden="1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54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</row>
    <row r="475" spans="1:21" ht="19.5" hidden="1">
      <c r="A475" s="238"/>
      <c r="B475" s="372" t="s">
        <v>188</v>
      </c>
      <c r="C475" s="188"/>
      <c r="D475" s="188"/>
      <c r="E475" s="188"/>
      <c r="F475" s="188"/>
      <c r="G475" s="208"/>
      <c r="H475" s="158" t="s">
        <v>46</v>
      </c>
      <c r="I475" s="373">
        <v>0</v>
      </c>
      <c r="J475" s="373">
        <f>J478+J480</f>
        <v>0</v>
      </c>
      <c r="K475" s="540">
        <f>IF(I475&gt;0,J475*100/I475,0)</f>
        <v>0</v>
      </c>
      <c r="L475" s="55"/>
      <c r="M475" s="55"/>
      <c r="N475" s="55"/>
      <c r="O475" s="55"/>
      <c r="P475" s="55"/>
      <c r="Q475" s="55"/>
      <c r="R475" s="55"/>
      <c r="S475" s="55"/>
      <c r="T475" s="55"/>
      <c r="U475" s="55"/>
    </row>
    <row r="476" spans="1:21" ht="19.5" hidden="1">
      <c r="A476" s="238"/>
      <c r="B476" s="188"/>
      <c r="C476" s="191" t="s">
        <v>189</v>
      </c>
      <c r="D476" s="188"/>
      <c r="E476" s="188"/>
      <c r="F476" s="188"/>
      <c r="G476" s="208"/>
      <c r="H476" s="158" t="s">
        <v>46</v>
      </c>
      <c r="I476" s="373">
        <v>0</v>
      </c>
      <c r="J476" s="373">
        <f>J478+J480</f>
        <v>0</v>
      </c>
      <c r="K476" s="540">
        <f>IF(I476&gt;0,J476*100/I476,0)</f>
        <v>0</v>
      </c>
      <c r="L476" s="55"/>
      <c r="M476" s="55"/>
      <c r="N476" s="55"/>
      <c r="O476" s="55"/>
      <c r="P476" s="55"/>
      <c r="Q476" s="55"/>
      <c r="R476" s="55"/>
      <c r="S476" s="55"/>
      <c r="T476" s="55"/>
      <c r="U476" s="55"/>
    </row>
    <row r="477" spans="1:21" ht="19.5" hidden="1">
      <c r="A477" s="238"/>
      <c r="B477" s="188"/>
      <c r="C477" s="239" t="s">
        <v>190</v>
      </c>
      <c r="D477" s="188"/>
      <c r="E477" s="188"/>
      <c r="F477" s="188"/>
      <c r="G477" s="208"/>
      <c r="H477" s="158" t="s">
        <v>34</v>
      </c>
      <c r="I477" s="373">
        <v>0</v>
      </c>
      <c r="J477" s="373">
        <f>J479+J481</f>
        <v>0</v>
      </c>
      <c r="K477" s="540">
        <f>IF(I477&gt;0,J477*100/I477,0)</f>
        <v>0</v>
      </c>
      <c r="L477" s="55"/>
      <c r="M477" s="55"/>
      <c r="N477" s="55"/>
      <c r="O477" s="55"/>
      <c r="P477" s="55"/>
      <c r="Q477" s="55"/>
      <c r="R477" s="55"/>
      <c r="S477" s="55"/>
      <c r="T477" s="55"/>
      <c r="U477" s="55"/>
    </row>
    <row r="478" spans="1:21" ht="18.75" hidden="1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54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</row>
    <row r="479" spans="1:21" ht="18.75" hidden="1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54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</row>
    <row r="480" spans="1:21" ht="18.75" hidden="1">
      <c r="A480" s="238"/>
      <c r="B480" s="188"/>
      <c r="C480" s="188"/>
      <c r="D480" s="371" t="s">
        <v>192</v>
      </c>
      <c r="E480" s="188"/>
      <c r="F480" s="188"/>
      <c r="G480" s="208"/>
      <c r="H480" s="161" t="s">
        <v>46</v>
      </c>
      <c r="I480" s="54"/>
      <c r="J480" s="54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</row>
    <row r="481" spans="1:21" ht="18.75" hidden="1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54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</row>
    <row r="482" spans="1:21" ht="18.75" hidden="1">
      <c r="A482" s="238"/>
      <c r="B482" s="188"/>
      <c r="C482" s="188"/>
      <c r="D482" s="371" t="s">
        <v>193</v>
      </c>
      <c r="E482" s="188"/>
      <c r="F482" s="188"/>
      <c r="G482" s="208"/>
      <c r="H482" s="161" t="s">
        <v>46</v>
      </c>
      <c r="I482" s="54"/>
      <c r="J482" s="212">
        <f ca="1">IFERROR(__xludf.DUMMYFUNCTION("IMPORTRANGE(""https://docs.google.com/spreadsheets/d/1eHaY18a8A9IcSdp1K8H6x8fbOy06t2VsZHhMHf-1x7Y/edit?usp=sharing"",""แผน!HN47"")"),0)</f>
        <v>0</v>
      </c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</row>
    <row r="483" spans="1:21" ht="18.75" hidden="1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212">
        <f ca="1">IFERROR(__xludf.DUMMYFUNCTION("IMPORTRANGE(""https://docs.google.com/spreadsheets/d/1eHaY18a8A9IcSdp1K8H6x8fbOy06t2VsZHhMHf-1x7Y/edit?usp=sharing"",""แผน!HO47"")"),0)</f>
        <v>0</v>
      </c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</row>
    <row r="484" spans="1:21" ht="19.5" hidden="1">
      <c r="A484" s="238"/>
      <c r="B484" s="188"/>
      <c r="C484" s="191" t="s">
        <v>194</v>
      </c>
      <c r="D484" s="188"/>
      <c r="E484" s="188"/>
      <c r="F484" s="188"/>
      <c r="G484" s="208"/>
      <c r="H484" s="158" t="s">
        <v>46</v>
      </c>
      <c r="I484" s="54">
        <f>J480</f>
        <v>0</v>
      </c>
      <c r="J484" s="373">
        <f>J486+J488+J490</f>
        <v>0</v>
      </c>
      <c r="K484" s="540">
        <f>IF(I484&gt;0,J484*100/I484,0)</f>
        <v>0</v>
      </c>
      <c r="L484" s="55"/>
      <c r="M484" s="55"/>
      <c r="N484" s="55"/>
      <c r="O484" s="55"/>
      <c r="P484" s="55"/>
      <c r="Q484" s="55"/>
      <c r="R484" s="55"/>
      <c r="S484" s="55"/>
      <c r="T484" s="55"/>
      <c r="U484" s="55"/>
    </row>
    <row r="485" spans="1:21" ht="19.5" hidden="1">
      <c r="A485" s="238"/>
      <c r="B485" s="188"/>
      <c r="C485" s="239" t="s">
        <v>195</v>
      </c>
      <c r="D485" s="188"/>
      <c r="E485" s="188"/>
      <c r="F485" s="188"/>
      <c r="G485" s="208"/>
      <c r="H485" s="158" t="s">
        <v>34</v>
      </c>
      <c r="I485" s="54">
        <f>J481</f>
        <v>0</v>
      </c>
      <c r="J485" s="373">
        <f>J487+J489+J491</f>
        <v>0</v>
      </c>
      <c r="K485" s="540">
        <f>IF(I485&gt;0,J485*100/I485,0)</f>
        <v>0</v>
      </c>
      <c r="L485" s="55"/>
      <c r="M485" s="55"/>
      <c r="N485" s="55"/>
      <c r="O485" s="55"/>
      <c r="P485" s="55"/>
      <c r="Q485" s="55"/>
      <c r="R485" s="55"/>
      <c r="S485" s="55"/>
      <c r="T485" s="55"/>
      <c r="U485" s="55"/>
    </row>
    <row r="486" spans="1:21" ht="18.75" hidden="1">
      <c r="A486" s="238"/>
      <c r="B486" s="188"/>
      <c r="C486" s="188"/>
      <c r="D486" s="371" t="s">
        <v>196</v>
      </c>
      <c r="E486" s="188"/>
      <c r="F486" s="188"/>
      <c r="G486" s="208"/>
      <c r="H486" s="161" t="s">
        <v>46</v>
      </c>
      <c r="I486" s="54"/>
      <c r="J486" s="54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</row>
    <row r="487" spans="1:21" ht="18.75" hidden="1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54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</row>
    <row r="488" spans="1:21" ht="18.75" hidden="1">
      <c r="A488" s="238"/>
      <c r="B488" s="188"/>
      <c r="C488" s="188"/>
      <c r="D488" s="371" t="s">
        <v>197</v>
      </c>
      <c r="E488" s="188"/>
      <c r="F488" s="188"/>
      <c r="G488" s="208"/>
      <c r="H488" s="161" t="s">
        <v>46</v>
      </c>
      <c r="I488" s="54"/>
      <c r="J488" s="54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</row>
    <row r="489" spans="1:21" ht="18.75" hidden="1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54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</row>
    <row r="490" spans="1:21" ht="18.75" hidden="1">
      <c r="A490" s="238"/>
      <c r="B490" s="188"/>
      <c r="C490" s="188"/>
      <c r="D490" s="371" t="s">
        <v>198</v>
      </c>
      <c r="E490" s="188"/>
      <c r="F490" s="188"/>
      <c r="G490" s="208"/>
      <c r="H490" s="161" t="s">
        <v>46</v>
      </c>
      <c r="I490" s="54"/>
      <c r="J490" s="54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</row>
    <row r="491" spans="1:21" ht="18.75" hidden="1">
      <c r="A491" s="374"/>
      <c r="B491" s="5"/>
      <c r="C491" s="5"/>
      <c r="D491" s="5"/>
      <c r="E491" s="5"/>
      <c r="F491" s="5"/>
      <c r="G491" s="375"/>
      <c r="H491" s="376" t="s">
        <v>34</v>
      </c>
      <c r="I491" s="67"/>
      <c r="J491" s="67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 hidden="1">
      <c r="A492" s="335"/>
      <c r="B492" s="354" t="s">
        <v>199</v>
      </c>
      <c r="C492" s="337"/>
      <c r="D492" s="337"/>
      <c r="E492" s="328"/>
      <c r="F492" s="328"/>
      <c r="G492" s="329"/>
      <c r="H492" s="366" t="s">
        <v>35</v>
      </c>
      <c r="I492" s="605">
        <f ca="1">I503</f>
        <v>0</v>
      </c>
      <c r="J492" s="605">
        <f ca="1">J503</f>
        <v>0</v>
      </c>
      <c r="K492" s="604">
        <f ca="1">IF(I492&gt;0,J492*100/I492,0)</f>
        <v>0</v>
      </c>
      <c r="L492" s="333"/>
      <c r="M492" s="333"/>
      <c r="N492" s="333"/>
      <c r="O492" s="333"/>
      <c r="P492" s="333"/>
      <c r="Q492" s="333"/>
      <c r="R492" s="333"/>
      <c r="S492" s="333"/>
      <c r="T492" s="333"/>
      <c r="U492" s="333"/>
    </row>
    <row r="493" spans="1:21" ht="19.5" hidden="1">
      <c r="A493" s="155"/>
      <c r="B493" s="188"/>
      <c r="C493" s="205" t="s">
        <v>18</v>
      </c>
      <c r="D493" s="781" t="s">
        <v>19</v>
      </c>
      <c r="E493" s="529"/>
      <c r="F493" s="529"/>
      <c r="G493" s="52"/>
      <c r="H493" s="252" t="s">
        <v>14</v>
      </c>
      <c r="I493" s="54"/>
      <c r="J493" s="54"/>
      <c r="K493" s="55"/>
      <c r="L493" s="540">
        <f>L494+L495</f>
        <v>0</v>
      </c>
      <c r="M493" s="540">
        <f>M494+M495</f>
        <v>0</v>
      </c>
      <c r="N493" s="540">
        <f>N494+N495</f>
        <v>0</v>
      </c>
      <c r="O493" s="540">
        <f>IF(L493&gt;0,N493*100/L493,0)</f>
        <v>0</v>
      </c>
      <c r="P493" s="540">
        <f>IF(M493&gt;0,N493*100/M493,0)</f>
        <v>0</v>
      </c>
      <c r="Q493" s="540">
        <f ca="1">Q494+Q495</f>
        <v>0</v>
      </c>
      <c r="R493" s="540">
        <f ca="1">R494+R495</f>
        <v>0</v>
      </c>
      <c r="S493" s="540">
        <f ca="1">S494+S495</f>
        <v>0</v>
      </c>
      <c r="T493" s="540">
        <f ca="1">IF(Q493&gt;0,S493*100/Q493,0)</f>
        <v>0</v>
      </c>
      <c r="U493" s="540">
        <f ca="1">IF(R493&gt;0,S493*100/R493,0)</f>
        <v>0</v>
      </c>
    </row>
    <row r="494" spans="1:21" ht="18.75" hidden="1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102">
        <f>L497+L500</f>
        <v>0</v>
      </c>
      <c r="M494" s="102">
        <f>M497+M500</f>
        <v>0</v>
      </c>
      <c r="N494" s="102">
        <f>N497+N500</f>
        <v>0</v>
      </c>
      <c r="O494" s="102">
        <f>IF(L494&gt;0,N494*100/L494,0)</f>
        <v>0</v>
      </c>
      <c r="P494" s="102">
        <f>IF(M494&gt;0,N494*100/M494,0)</f>
        <v>0</v>
      </c>
      <c r="Q494" s="102">
        <f>Q497+Q500</f>
        <v>0</v>
      </c>
      <c r="R494" s="102">
        <f>R497+R500</f>
        <v>0</v>
      </c>
      <c r="S494" s="102">
        <f>S497+S500</f>
        <v>0</v>
      </c>
      <c r="T494" s="102">
        <f>IF(Q494&gt;0,S494*100/Q494,0)</f>
        <v>0</v>
      </c>
      <c r="U494" s="102">
        <f>IF(R494&gt;0,S494*100/R494,0)</f>
        <v>0</v>
      </c>
    </row>
    <row r="495" spans="1:21" ht="18.75" hidden="1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255">
        <f>L498+L501</f>
        <v>0</v>
      </c>
      <c r="M495" s="255">
        <f>M498+M501</f>
        <v>0</v>
      </c>
      <c r="N495" s="255">
        <f>N498+N501</f>
        <v>0</v>
      </c>
      <c r="O495" s="255">
        <f>IF(L495&gt;0,N495*100/L495,0)</f>
        <v>0</v>
      </c>
      <c r="P495" s="255">
        <f>IF(M495&gt;0,N495*100/M495,0)</f>
        <v>0</v>
      </c>
      <c r="Q495" s="255">
        <f ca="1">Q498+Q501</f>
        <v>0</v>
      </c>
      <c r="R495" s="255">
        <f ca="1">R498+R501</f>
        <v>0</v>
      </c>
      <c r="S495" s="255">
        <f ca="1">S498+S501</f>
        <v>0</v>
      </c>
      <c r="T495" s="255">
        <f ca="1">IF(Q495&gt;0,S495*100/Q495,0)</f>
        <v>0</v>
      </c>
      <c r="U495" s="255">
        <f ca="1">IF(R495&gt;0,S495*100/R495,0)</f>
        <v>0</v>
      </c>
    </row>
    <row r="496" spans="1:21" ht="18.75" hidden="1">
      <c r="A496" s="155"/>
      <c r="B496" s="188"/>
      <c r="C496" s="188"/>
      <c r="D496" s="602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255">
        <f>L497+L498</f>
        <v>0</v>
      </c>
      <c r="M496" s="255">
        <f>M497+M498</f>
        <v>0</v>
      </c>
      <c r="N496" s="255">
        <f>N497+N498</f>
        <v>0</v>
      </c>
      <c r="O496" s="255">
        <f>IF(L496&gt;0,N496*100/L496,0)</f>
        <v>0</v>
      </c>
      <c r="P496" s="255">
        <f>IF(M496&gt;0,N496*100/M496,0)</f>
        <v>0</v>
      </c>
      <c r="Q496" s="255">
        <f ca="1">Q497+Q498</f>
        <v>0</v>
      </c>
      <c r="R496" s="255">
        <f ca="1">R497+R498</f>
        <v>0</v>
      </c>
      <c r="S496" s="255">
        <f ca="1">S497+S498</f>
        <v>0</v>
      </c>
      <c r="T496" s="255">
        <f ca="1">IF(Q496&gt;0,S496*100/Q496,0)</f>
        <v>0</v>
      </c>
      <c r="U496" s="255">
        <f ca="1">IF(R496&gt;0,S496*100/R496,0)</f>
        <v>0</v>
      </c>
    </row>
    <row r="497" spans="1:21" ht="18.75" hidden="1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102">
        <v>0</v>
      </c>
      <c r="M497" s="102">
        <v>0</v>
      </c>
      <c r="N497" s="102">
        <v>0</v>
      </c>
      <c r="O497" s="102">
        <f>IF(L497&gt;0,N497*100/L497,0)</f>
        <v>0</v>
      </c>
      <c r="P497" s="102">
        <f>IF(M497&gt;0,N497*100/M497,0)</f>
        <v>0</v>
      </c>
      <c r="Q497" s="102">
        <v>0</v>
      </c>
      <c r="R497" s="102">
        <v>0</v>
      </c>
      <c r="S497" s="102">
        <v>0</v>
      </c>
      <c r="T497" s="102">
        <f>IF(Q497&gt;0,S497*100/Q497,0)</f>
        <v>0</v>
      </c>
      <c r="U497" s="102">
        <f>IF(R497&gt;0,S497*100/R497,0)</f>
        <v>0</v>
      </c>
    </row>
    <row r="498" spans="1:21" ht="18.75" hidden="1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255">
        <v>0</v>
      </c>
      <c r="M498" s="255">
        <v>0</v>
      </c>
      <c r="N498" s="255">
        <v>0</v>
      </c>
      <c r="O498" s="255">
        <f>IF(L498&gt;0,N498*100/L498,0)</f>
        <v>0</v>
      </c>
      <c r="P498" s="255">
        <f>IF(M498&gt;0,N498*100/M498,0)</f>
        <v>0</v>
      </c>
      <c r="Q498" s="255">
        <f ca="1">IFERROR(__xludf.DUMMYFUNCTION("IMPORTRANGE(""https://docs.google.com/spreadsheets/d/1ItG2mGa2ceCfYo0BwxsXqNm01IGEUdYcSSLTEv9YCik/edit?usp=sharing"",""เบิกจ่ายกองทุน!X47"")"),0)</f>
        <v>0</v>
      </c>
      <c r="R498" s="255">
        <f ca="1">IFERROR(__xludf.DUMMYFUNCTION("IMPORTRANGE(""https://docs.google.com/spreadsheets/d/1ItG2mGa2ceCfYo0BwxsXqNm01IGEUdYcSSLTEv9YCik/edit?usp=sharing"",""เบิกจ่ายกองทุน!Y47"")"),0)</f>
        <v>0</v>
      </c>
      <c r="S498" s="255">
        <f ca="1">IFERROR(__xludf.DUMMYFUNCTION("IMPORTRANGE(""https://docs.google.com/spreadsheets/d/1ItG2mGa2ceCfYo0BwxsXqNm01IGEUdYcSSLTEv9YCik/edit?usp=sharing"",""เบิกจ่ายกองทุน!Z47"")"),0)</f>
        <v>0</v>
      </c>
      <c r="T498" s="255">
        <f ca="1">IF(Q498&gt;0,S498*100/Q498,0)</f>
        <v>0</v>
      </c>
      <c r="U498" s="255">
        <f ca="1">IF(R498&gt;0,S498*100/R498,0)</f>
        <v>0</v>
      </c>
    </row>
    <row r="499" spans="1:21" ht="18.75" hidden="1">
      <c r="A499" s="155"/>
      <c r="B499" s="188"/>
      <c r="C499" s="188"/>
      <c r="D499" s="602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255">
        <f>L500+L501</f>
        <v>0</v>
      </c>
      <c r="M499" s="255">
        <f>M500+M501</f>
        <v>0</v>
      </c>
      <c r="N499" s="255">
        <f>N500+N501</f>
        <v>0</v>
      </c>
      <c r="O499" s="255">
        <f>IF(L499&gt;0,N499*100/L499,0)</f>
        <v>0</v>
      </c>
      <c r="P499" s="255">
        <f>IF(M499&gt;0,N499*100/M499,0)</f>
        <v>0</v>
      </c>
      <c r="Q499" s="255">
        <f>Q500+Q501</f>
        <v>0</v>
      </c>
      <c r="R499" s="255">
        <f>R500+R501</f>
        <v>0</v>
      </c>
      <c r="S499" s="255">
        <f>S500+S501</f>
        <v>0</v>
      </c>
      <c r="T499" s="255">
        <f>IF(Q499&gt;0,S499*100/Q499,0)</f>
        <v>0</v>
      </c>
      <c r="U499" s="255">
        <f>IF(R499&gt;0,S499*100/R499,0)</f>
        <v>0</v>
      </c>
    </row>
    <row r="500" spans="1:21" ht="18.75" hidden="1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102">
        <v>0</v>
      </c>
      <c r="M500" s="102">
        <v>0</v>
      </c>
      <c r="N500" s="102">
        <v>0</v>
      </c>
      <c r="O500" s="102">
        <f>IF(L500&gt;0,N500*100/L500,0)</f>
        <v>0</v>
      </c>
      <c r="P500" s="102">
        <f>IF(M500&gt;0,N500*100/M500,0)</f>
        <v>0</v>
      </c>
      <c r="Q500" s="102">
        <v>0</v>
      </c>
      <c r="R500" s="102">
        <v>0</v>
      </c>
      <c r="S500" s="102">
        <v>0</v>
      </c>
      <c r="T500" s="102">
        <f>IF(Q500&gt;0,S500*100/Q500,0)</f>
        <v>0</v>
      </c>
      <c r="U500" s="102">
        <f>IF(R500&gt;0,S500*100/R500,0)</f>
        <v>0</v>
      </c>
    </row>
    <row r="501" spans="1:21" ht="18.75" hidden="1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255">
        <v>0</v>
      </c>
      <c r="M501" s="255">
        <v>0</v>
      </c>
      <c r="N501" s="255">
        <v>0</v>
      </c>
      <c r="O501" s="255">
        <f>IF(L501&gt;0,N501*100/L501,0)</f>
        <v>0</v>
      </c>
      <c r="P501" s="255">
        <f>IF(M501&gt;0,N501*100/M501,0)</f>
        <v>0</v>
      </c>
      <c r="Q501" s="255">
        <v>0</v>
      </c>
      <c r="R501" s="255">
        <v>0</v>
      </c>
      <c r="S501" s="255">
        <v>0</v>
      </c>
      <c r="T501" s="255">
        <f>IF(Q501&gt;0,S501*100/Q501,0)</f>
        <v>0</v>
      </c>
      <c r="U501" s="255">
        <f>IF(R501&gt;0,S501*100/R501,0)</f>
        <v>0</v>
      </c>
    </row>
    <row r="502" spans="1:21" ht="19.5" hidden="1">
      <c r="A502" s="166"/>
      <c r="B502" s="167"/>
      <c r="C502" s="205" t="s">
        <v>18</v>
      </c>
      <c r="D502" s="560" t="s">
        <v>38</v>
      </c>
      <c r="E502" s="169"/>
      <c r="F502" s="169"/>
      <c r="G502" s="170"/>
      <c r="H502" s="206"/>
      <c r="I502" s="163"/>
      <c r="J502" s="163"/>
      <c r="K502" s="164"/>
      <c r="L502" s="164"/>
      <c r="M502" s="164"/>
      <c r="N502" s="164"/>
      <c r="O502" s="164"/>
      <c r="P502" s="164"/>
      <c r="Q502" s="164"/>
      <c r="R502" s="164"/>
      <c r="S502" s="164"/>
      <c r="T502" s="164"/>
      <c r="U502" s="164"/>
    </row>
    <row r="503" spans="1:21" ht="19.5" hidden="1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373">
        <f ca="1">IFERROR(__xludf.DUMMYFUNCTION("IMPORTRANGE(""https://docs.google.com/spreadsheets/d/1eHaY18a8A9IcSdp1K8H6x8fbOy06t2VsZHhMHf-1x7Y/edit?usp=sharing"",""แผน!GX47"")"),0)</f>
        <v>0</v>
      </c>
      <c r="J503" s="373">
        <f ca="1">IF(AND(J504=I504,J505=I505,J506=I506,J507=I507),I503,0)</f>
        <v>0</v>
      </c>
      <c r="K503" s="540">
        <f ca="1">IF(I503&gt;0,J503*100/I503,0)</f>
        <v>0</v>
      </c>
      <c r="L503" s="55"/>
      <c r="M503" s="55"/>
      <c r="N503" s="55"/>
      <c r="O503" s="55"/>
      <c r="P503" s="55"/>
      <c r="Q503" s="55"/>
      <c r="R503" s="55"/>
      <c r="S503" s="55"/>
      <c r="T503" s="55"/>
      <c r="U503" s="55"/>
    </row>
    <row r="504" spans="1:21" ht="18.75" hidden="1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212">
        <f ca="1">IFERROR(__xludf.DUMMYFUNCTION("IMPORTRANGE(""https://docs.google.com/spreadsheets/d/1eHaY18a8A9IcSdp1K8H6x8fbOy06t2VsZHhMHf-1x7Y/edit?usp=sharing"",""แผน!GY47"")"),0)</f>
        <v>0</v>
      </c>
      <c r="J504" s="467">
        <v>0</v>
      </c>
      <c r="K504" s="255">
        <f ca="1">IF(I504&gt;0,J504*100/I504,0)</f>
        <v>0</v>
      </c>
      <c r="L504" s="55"/>
      <c r="M504" s="55"/>
      <c r="N504" s="55"/>
      <c r="O504" s="55"/>
      <c r="P504" s="55"/>
      <c r="Q504" s="55"/>
      <c r="R504" s="55"/>
      <c r="S504" s="55"/>
      <c r="T504" s="55"/>
      <c r="U504" s="55"/>
    </row>
    <row r="505" spans="1:21" ht="18.75" hidden="1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212">
        <f ca="1">IFERROR(__xludf.DUMMYFUNCTION("IMPORTRANGE(""https://docs.google.com/spreadsheets/d/1eHaY18a8A9IcSdp1K8H6x8fbOy06t2VsZHhMHf-1x7Y/edit?usp=sharing"",""แผน!GZ47"")"),0)</f>
        <v>0</v>
      </c>
      <c r="J505" s="467">
        <v>0</v>
      </c>
      <c r="K505" s="255">
        <f ca="1">IF(I505&gt;0,J505*100/I505,0)</f>
        <v>0</v>
      </c>
      <c r="L505" s="55"/>
      <c r="M505" s="55"/>
      <c r="N505" s="55"/>
      <c r="O505" s="55"/>
      <c r="P505" s="55"/>
      <c r="Q505" s="55"/>
      <c r="R505" s="55"/>
      <c r="S505" s="55"/>
      <c r="T505" s="55"/>
      <c r="U505" s="55"/>
    </row>
    <row r="506" spans="1:21" ht="18.75" hidden="1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212">
        <f ca="1">IFERROR(__xludf.DUMMYFUNCTION("IMPORTRANGE(""https://docs.google.com/spreadsheets/d/1eHaY18a8A9IcSdp1K8H6x8fbOy06t2VsZHhMHf-1x7Y/edit?usp=sharing"",""แผน!HA47"")"),0)</f>
        <v>0</v>
      </c>
      <c r="J506" s="467">
        <v>0</v>
      </c>
      <c r="K506" s="255">
        <f ca="1">IF(I506&gt;0,J506*100/I506,0)</f>
        <v>0</v>
      </c>
      <c r="L506" s="55"/>
      <c r="M506" s="55"/>
      <c r="N506" s="55"/>
      <c r="O506" s="55"/>
      <c r="P506" s="55"/>
      <c r="Q506" s="55"/>
      <c r="R506" s="55"/>
      <c r="S506" s="55"/>
      <c r="T506" s="55"/>
      <c r="U506" s="55"/>
    </row>
    <row r="507" spans="1:21" ht="18.75" hidden="1">
      <c r="A507" s="238"/>
      <c r="B507" s="188"/>
      <c r="C507" s="188"/>
      <c r="D507" s="188"/>
      <c r="E507" s="377" t="s">
        <v>204</v>
      </c>
      <c r="F507" s="50"/>
      <c r="G507" s="52"/>
      <c r="H507" s="161" t="s">
        <v>35</v>
      </c>
      <c r="I507" s="212">
        <f ca="1">IFERROR(__xludf.DUMMYFUNCTION("IMPORTRANGE(""https://docs.google.com/spreadsheets/d/1eHaY18a8A9IcSdp1K8H6x8fbOy06t2VsZHhMHf-1x7Y/edit?usp=sharing"",""แผน!HB47"")"),0)</f>
        <v>0</v>
      </c>
      <c r="J507" s="467">
        <v>0</v>
      </c>
      <c r="K507" s="255">
        <f ca="1">IF(I507&gt;0,J507*100/I507,0)</f>
        <v>0</v>
      </c>
      <c r="L507" s="55"/>
      <c r="M507" s="55"/>
      <c r="N507" s="55"/>
      <c r="O507" s="55"/>
      <c r="P507" s="55"/>
      <c r="Q507" s="55"/>
      <c r="R507" s="55"/>
      <c r="S507" s="55"/>
      <c r="T507" s="55"/>
      <c r="U507" s="55"/>
    </row>
    <row r="508" spans="1:21" ht="18.75" hidden="1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255">
        <f>IF(I508&gt;0,J508*100/I508,0)</f>
        <v>0</v>
      </c>
      <c r="L508" s="55"/>
      <c r="M508" s="55"/>
      <c r="N508" s="55"/>
      <c r="O508" s="55"/>
      <c r="P508" s="55"/>
      <c r="Q508" s="55"/>
      <c r="R508" s="55"/>
      <c r="S508" s="55"/>
      <c r="T508" s="55"/>
      <c r="U508" s="55"/>
    </row>
    <row r="509" spans="1:21" ht="19.5" hidden="1">
      <c r="A509" s="374"/>
      <c r="B509" s="5"/>
      <c r="C509" s="5"/>
      <c r="D509" s="378" t="s">
        <v>50</v>
      </c>
      <c r="E509" s="5"/>
      <c r="F509" s="5"/>
      <c r="G509" s="375"/>
      <c r="H509" s="376" t="s">
        <v>35</v>
      </c>
      <c r="I509" s="216">
        <f ca="1">IFERROR(__xludf.DUMMYFUNCTION("IMPORTRANGE(""https://docs.google.com/spreadsheets/d/1eHaY18a8A9IcSdp1K8H6x8fbOy06t2VsZHhMHf-1x7Y/edit?usp=sharing"",""แผน!HC47"")"),0)</f>
        <v>0</v>
      </c>
      <c r="J509" s="538">
        <v>0</v>
      </c>
      <c r="K509" s="506">
        <f ca="1">IF(I509&gt;0,J509*100/I509,0)</f>
        <v>0</v>
      </c>
      <c r="L509" s="6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 hidden="1">
      <c r="A510" s="828" t="s">
        <v>206</v>
      </c>
      <c r="B510" s="826"/>
      <c r="C510" s="827"/>
      <c r="D510" s="826"/>
      <c r="E510" s="826"/>
      <c r="F510" s="826"/>
      <c r="G510" s="825"/>
      <c r="H510" s="824"/>
      <c r="I510" s="823"/>
      <c r="J510" s="823"/>
      <c r="K510" s="386"/>
      <c r="L510" s="386"/>
      <c r="M510" s="386"/>
      <c r="N510" s="386"/>
      <c r="O510" s="386"/>
      <c r="P510" s="386"/>
      <c r="Q510" s="386"/>
      <c r="R510" s="386"/>
      <c r="S510" s="386"/>
      <c r="T510" s="386"/>
      <c r="U510" s="386"/>
    </row>
    <row r="511" spans="1:21" ht="19.5" hidden="1">
      <c r="A511" s="822" t="s">
        <v>328</v>
      </c>
      <c r="B511" s="820"/>
      <c r="C511" s="821"/>
      <c r="D511" s="820"/>
      <c r="E511" s="820"/>
      <c r="F511" s="820"/>
      <c r="G511" s="819"/>
      <c r="H511" s="818"/>
      <c r="I511" s="817"/>
      <c r="J511" s="817"/>
      <c r="K511" s="394"/>
      <c r="L511" s="394"/>
      <c r="M511" s="394"/>
      <c r="N511" s="394"/>
      <c r="O511" s="394"/>
      <c r="P511" s="394"/>
      <c r="Q511" s="394"/>
      <c r="R511" s="394"/>
      <c r="S511" s="394"/>
      <c r="T511" s="394"/>
      <c r="U511" s="394"/>
    </row>
    <row r="512" spans="1:21" ht="19.5" hidden="1">
      <c r="A512" s="395"/>
      <c r="B512" s="396" t="s">
        <v>208</v>
      </c>
      <c r="C512" s="397"/>
      <c r="D512" s="398"/>
      <c r="E512" s="398"/>
      <c r="F512" s="398"/>
      <c r="G512" s="399"/>
      <c r="H512" s="410" t="s">
        <v>61</v>
      </c>
      <c r="I512" s="816">
        <f>I524</f>
        <v>0</v>
      </c>
      <c r="J512" s="816">
        <f>J524</f>
        <v>0</v>
      </c>
      <c r="K512" s="576">
        <f>IF(I512&gt;0,J512*100/I512,0)</f>
        <v>0</v>
      </c>
      <c r="L512" s="403"/>
      <c r="M512" s="403"/>
      <c r="N512" s="403"/>
      <c r="O512" s="403"/>
      <c r="P512" s="403"/>
      <c r="Q512" s="403"/>
      <c r="R512" s="403"/>
      <c r="S512" s="403"/>
      <c r="T512" s="403"/>
      <c r="U512" s="403"/>
    </row>
    <row r="513" spans="1:21" ht="19.5" hidden="1">
      <c r="A513" s="155"/>
      <c r="B513" s="50"/>
      <c r="C513" s="156" t="s">
        <v>18</v>
      </c>
      <c r="D513" s="575" t="s">
        <v>19</v>
      </c>
      <c r="E513" s="50"/>
      <c r="F513" s="50"/>
      <c r="G513" s="52"/>
      <c r="H513" s="158" t="s">
        <v>14</v>
      </c>
      <c r="I513" s="54"/>
      <c r="J513" s="54"/>
      <c r="K513" s="55"/>
      <c r="L513" s="540">
        <f ca="1">L514+L515</f>
        <v>0</v>
      </c>
      <c r="M513" s="540">
        <f ca="1">M514+M515</f>
        <v>0</v>
      </c>
      <c r="N513" s="540">
        <f ca="1">N514+N515</f>
        <v>0</v>
      </c>
      <c r="O513" s="540">
        <f ca="1">IF(L513&gt;0,N513*100/L513,0)</f>
        <v>0</v>
      </c>
      <c r="P513" s="540">
        <f ca="1">IF(M513&gt;0,N513*100/M513,0)</f>
        <v>0</v>
      </c>
      <c r="Q513" s="540">
        <f>Q514+Q515</f>
        <v>0</v>
      </c>
      <c r="R513" s="540">
        <f>R514+R515</f>
        <v>0</v>
      </c>
      <c r="S513" s="540">
        <f>S514+S515</f>
        <v>0</v>
      </c>
      <c r="T513" s="540">
        <f>IF(Q513&gt;0,S513*100/Q513,0)</f>
        <v>0</v>
      </c>
      <c r="U513" s="540">
        <f>IF(R513&gt;0,S513*100/R513,0)</f>
        <v>0</v>
      </c>
    </row>
    <row r="514" spans="1:21" ht="18.75" hidden="1">
      <c r="A514" s="155"/>
      <c r="B514" s="188"/>
      <c r="C514" s="50"/>
      <c r="D514" s="50"/>
      <c r="E514" s="186" t="s">
        <v>20</v>
      </c>
      <c r="F514" s="50"/>
      <c r="G514" s="52"/>
      <c r="H514" s="187" t="s">
        <v>14</v>
      </c>
      <c r="I514" s="54"/>
      <c r="J514" s="54"/>
      <c r="K514" s="55"/>
      <c r="L514" s="102">
        <f>L517+L520</f>
        <v>0</v>
      </c>
      <c r="M514" s="102">
        <f>M517+M520</f>
        <v>0</v>
      </c>
      <c r="N514" s="102">
        <f>N517+N520</f>
        <v>0</v>
      </c>
      <c r="O514" s="102">
        <f>IF(L514&gt;0,N514*100/L514,0)</f>
        <v>0</v>
      </c>
      <c r="P514" s="102">
        <f>IF(M514&gt;0,N514*100/M514,0)</f>
        <v>0</v>
      </c>
      <c r="Q514" s="102">
        <f>Q517+Q520</f>
        <v>0</v>
      </c>
      <c r="R514" s="102">
        <f>R517+R520</f>
        <v>0</v>
      </c>
      <c r="S514" s="102">
        <f>S517+S520</f>
        <v>0</v>
      </c>
      <c r="T514" s="102">
        <f>IF(Q514&gt;0,S514*100/Q514,0)</f>
        <v>0</v>
      </c>
      <c r="U514" s="102">
        <f>IF(R514&gt;0,S514*100/R514,0)</f>
        <v>0</v>
      </c>
    </row>
    <row r="515" spans="1:21" ht="18.75" hidden="1">
      <c r="A515" s="155"/>
      <c r="B515" s="50"/>
      <c r="C515" s="188"/>
      <c r="D515" s="50"/>
      <c r="E515" s="239" t="s">
        <v>21</v>
      </c>
      <c r="F515" s="50"/>
      <c r="G515" s="52"/>
      <c r="H515" s="161" t="s">
        <v>14</v>
      </c>
      <c r="I515" s="54"/>
      <c r="J515" s="54"/>
      <c r="K515" s="55"/>
      <c r="L515" s="255">
        <f ca="1">L518+L521</f>
        <v>0</v>
      </c>
      <c r="M515" s="255">
        <f ca="1">M518+M521</f>
        <v>0</v>
      </c>
      <c r="N515" s="255">
        <f ca="1">N518+N521</f>
        <v>0</v>
      </c>
      <c r="O515" s="255">
        <f ca="1">IF(L515&gt;0,N515*100/L515,0)</f>
        <v>0</v>
      </c>
      <c r="P515" s="255">
        <f ca="1">IF(M515&gt;0,N515*100/M515,0)</f>
        <v>0</v>
      </c>
      <c r="Q515" s="255">
        <f>Q518+Q521</f>
        <v>0</v>
      </c>
      <c r="R515" s="255">
        <f>R518+R521</f>
        <v>0</v>
      </c>
      <c r="S515" s="255">
        <f>S518+S521</f>
        <v>0</v>
      </c>
      <c r="T515" s="255">
        <f>IF(Q515&gt;0,S515*100/Q515,0)</f>
        <v>0</v>
      </c>
      <c r="U515" s="255">
        <f>IF(R515&gt;0,S515*100/R515,0)</f>
        <v>0</v>
      </c>
    </row>
    <row r="516" spans="1:21" ht="18.75" hidden="1">
      <c r="A516" s="155"/>
      <c r="B516" s="50"/>
      <c r="C516" s="188"/>
      <c r="D516" s="51" t="s">
        <v>22</v>
      </c>
      <c r="E516" s="188"/>
      <c r="F516" s="50"/>
      <c r="G516" s="52"/>
      <c r="H516" s="162" t="s">
        <v>14</v>
      </c>
      <c r="I516" s="163"/>
      <c r="J516" s="163"/>
      <c r="K516" s="164"/>
      <c r="L516" s="255">
        <f ca="1">L517+L518</f>
        <v>0</v>
      </c>
      <c r="M516" s="255">
        <f ca="1">M517+M518</f>
        <v>0</v>
      </c>
      <c r="N516" s="255">
        <f ca="1">N517+N518</f>
        <v>0</v>
      </c>
      <c r="O516" s="255">
        <f ca="1">IF(L516&gt;0,N516*100/L516,0)</f>
        <v>0</v>
      </c>
      <c r="P516" s="255">
        <f ca="1">IF(M516&gt;0,N516*100/M516,0)</f>
        <v>0</v>
      </c>
      <c r="Q516" s="255">
        <f>Q517+Q518</f>
        <v>0</v>
      </c>
      <c r="R516" s="255">
        <f>R517+R518</f>
        <v>0</v>
      </c>
      <c r="S516" s="255">
        <f>S517+S518</f>
        <v>0</v>
      </c>
      <c r="T516" s="255">
        <f>IF(Q516&gt;0,S516*100/Q516,0)</f>
        <v>0</v>
      </c>
      <c r="U516" s="255">
        <f>IF(R516&gt;0,S516*100/R516,0)</f>
        <v>0</v>
      </c>
    </row>
    <row r="517" spans="1:21" ht="18.75" hidden="1">
      <c r="A517" s="155"/>
      <c r="B517" s="50"/>
      <c r="C517" s="50"/>
      <c r="D517" s="50"/>
      <c r="E517" s="186" t="s">
        <v>36</v>
      </c>
      <c r="F517" s="50"/>
      <c r="G517" s="52"/>
      <c r="H517" s="189" t="s">
        <v>14</v>
      </c>
      <c r="I517" s="163"/>
      <c r="J517" s="163"/>
      <c r="K517" s="164"/>
      <c r="L517" s="102">
        <v>0</v>
      </c>
      <c r="M517" s="102">
        <v>0</v>
      </c>
      <c r="N517" s="102">
        <v>0</v>
      </c>
      <c r="O517" s="102">
        <f>IF(L517&gt;0,N517*100/L517,0)</f>
        <v>0</v>
      </c>
      <c r="P517" s="102">
        <f>IF(M517&gt;0,N517*100/M517,0)</f>
        <v>0</v>
      </c>
      <c r="Q517" s="102">
        <v>0</v>
      </c>
      <c r="R517" s="102">
        <v>0</v>
      </c>
      <c r="S517" s="102">
        <v>0</v>
      </c>
      <c r="T517" s="102">
        <f>IF(Q517&gt;0,S517*100/Q517,0)</f>
        <v>0</v>
      </c>
      <c r="U517" s="102">
        <f>IF(R517&gt;0,S517*100/R517,0)</f>
        <v>0</v>
      </c>
    </row>
    <row r="518" spans="1:21" ht="18.75" hidden="1">
      <c r="A518" s="155"/>
      <c r="B518" s="50"/>
      <c r="C518" s="50"/>
      <c r="D518" s="50"/>
      <c r="E518" s="58" t="s">
        <v>37</v>
      </c>
      <c r="F518" s="50"/>
      <c r="G518" s="52"/>
      <c r="H518" s="162" t="s">
        <v>14</v>
      </c>
      <c r="I518" s="163"/>
      <c r="J518" s="163"/>
      <c r="K518" s="164"/>
      <c r="L518" s="255">
        <f ca="1">IFERROR(__xludf.DUMMYFUNCTION("IMPORTRANGE(""https://docs.google.com/spreadsheets/d/1-uDff_7J0KD5mKrp0Vvzr7lt3OU09vwQwhkpOPPYv2Y/edit?usp=sharing"",""งบพรบ!FM47"")"),0)</f>
        <v>0</v>
      </c>
      <c r="M518" s="255">
        <f ca="1">IFERROR(__xludf.DUMMYFUNCTION("IMPORTRANGE(""https://docs.google.com/spreadsheets/d/1-uDff_7J0KD5mKrp0Vvzr7lt3OU09vwQwhkpOPPYv2Y/edit?usp=sharing"",""งบพรบ!FR47"")"),0)</f>
        <v>0</v>
      </c>
      <c r="N518" s="255">
        <f ca="1">IFERROR(__xludf.DUMMYFUNCTION("IMPORTRANGE(""https://docs.google.com/spreadsheets/d/1-uDff_7J0KD5mKrp0Vvzr7lt3OU09vwQwhkpOPPYv2Y/edit?usp=sharing"",""งบพรบ!FT47"")"),0)</f>
        <v>0</v>
      </c>
      <c r="O518" s="255">
        <f ca="1">IF(L518&gt;0,N518*100/L518,0)</f>
        <v>0</v>
      </c>
      <c r="P518" s="255">
        <f ca="1">IF(M518&gt;0,N518*100/M518,0)</f>
        <v>0</v>
      </c>
      <c r="Q518" s="255">
        <v>0</v>
      </c>
      <c r="R518" s="255">
        <v>0</v>
      </c>
      <c r="S518" s="255">
        <v>0</v>
      </c>
      <c r="T518" s="255">
        <f>IF(Q518&gt;0,S518*100/Q518,0)</f>
        <v>0</v>
      </c>
      <c r="U518" s="255">
        <f>IF(R518&gt;0,S518*100/R518,0)</f>
        <v>0</v>
      </c>
    </row>
    <row r="519" spans="1:21" ht="18.75" hidden="1">
      <c r="A519" s="155"/>
      <c r="B519" s="50"/>
      <c r="C519" s="50"/>
      <c r="D519" s="51" t="s">
        <v>23</v>
      </c>
      <c r="E519" s="50"/>
      <c r="F519" s="50"/>
      <c r="G519" s="52"/>
      <c r="H519" s="165" t="s">
        <v>14</v>
      </c>
      <c r="I519" s="163"/>
      <c r="J519" s="163"/>
      <c r="K519" s="164"/>
      <c r="L519" s="255">
        <f ca="1">L520+L521</f>
        <v>0</v>
      </c>
      <c r="M519" s="255">
        <f ca="1">M520+M521</f>
        <v>0</v>
      </c>
      <c r="N519" s="255">
        <f ca="1">N520+N521</f>
        <v>0</v>
      </c>
      <c r="O519" s="255">
        <f ca="1">IF(L519&gt;0,N519*100/L519,0)</f>
        <v>0</v>
      </c>
      <c r="P519" s="255">
        <f ca="1">IF(M519&gt;0,N519*100/M519,0)</f>
        <v>0</v>
      </c>
      <c r="Q519" s="255">
        <f>Q520+Q521</f>
        <v>0</v>
      </c>
      <c r="R519" s="255">
        <f>R520+R521</f>
        <v>0</v>
      </c>
      <c r="S519" s="255">
        <f>S520+S521</f>
        <v>0</v>
      </c>
      <c r="T519" s="255">
        <f>IF(Q519&gt;0,S519*100/Q519,0)</f>
        <v>0</v>
      </c>
      <c r="U519" s="255">
        <f>IF(R519&gt;0,S519*100/R519,0)</f>
        <v>0</v>
      </c>
    </row>
    <row r="520" spans="1:21" ht="18.75" hidden="1">
      <c r="A520" s="155"/>
      <c r="B520" s="188"/>
      <c r="C520" s="50"/>
      <c r="D520" s="50"/>
      <c r="E520" s="186" t="s">
        <v>20</v>
      </c>
      <c r="F520" s="50"/>
      <c r="G520" s="52"/>
      <c r="H520" s="189" t="s">
        <v>14</v>
      </c>
      <c r="I520" s="163"/>
      <c r="J520" s="163"/>
      <c r="K520" s="164"/>
      <c r="L520" s="102">
        <v>0</v>
      </c>
      <c r="M520" s="102">
        <v>0</v>
      </c>
      <c r="N520" s="102">
        <v>0</v>
      </c>
      <c r="O520" s="102">
        <f>IF(L520&gt;0,N520*100/L520,0)</f>
        <v>0</v>
      </c>
      <c r="P520" s="102">
        <f>IF(M520&gt;0,N520*100/M520,0)</f>
        <v>0</v>
      </c>
      <c r="Q520" s="102">
        <v>0</v>
      </c>
      <c r="R520" s="102">
        <v>0</v>
      </c>
      <c r="S520" s="102">
        <v>0</v>
      </c>
      <c r="T520" s="102">
        <f>IF(Q520&gt;0,S520*100/Q520,0)</f>
        <v>0</v>
      </c>
      <c r="U520" s="102">
        <f>IF(R520&gt;0,S520*100/R520,0)</f>
        <v>0</v>
      </c>
    </row>
    <row r="521" spans="1:21" ht="18.75" hidden="1">
      <c r="A521" s="155"/>
      <c r="B521" s="50"/>
      <c r="C521" s="188"/>
      <c r="D521" s="50"/>
      <c r="E521" s="239" t="s">
        <v>21</v>
      </c>
      <c r="F521" s="50"/>
      <c r="G521" s="52"/>
      <c r="H521" s="165" t="s">
        <v>14</v>
      </c>
      <c r="I521" s="163"/>
      <c r="J521" s="163"/>
      <c r="K521" s="164"/>
      <c r="L521" s="255">
        <f ca="1">IFERROR(__xludf.DUMMYFUNCTION("IMPORTRANGE(""https://docs.google.com/spreadsheets/d/1-uDff_7J0KD5mKrp0Vvzr7lt3OU09vwQwhkpOPPYv2Y/edit?usp=sharing"",""งบพรบ!FP47"")"),0)</f>
        <v>0</v>
      </c>
      <c r="M521" s="255">
        <f ca="1">IFERROR(__xludf.DUMMYFUNCTION("IMPORTRANGE(""https://docs.google.com/spreadsheets/d/1-uDff_7J0KD5mKrp0Vvzr7lt3OU09vwQwhkpOPPYv2Y/edit?usp=sharing"",""งบพรบ!FS47"")"),0)</f>
        <v>0</v>
      </c>
      <c r="N521" s="255">
        <f ca="1">IFERROR(__xludf.DUMMYFUNCTION("IMPORTRANGE(""https://docs.google.com/spreadsheets/d/1-uDff_7J0KD5mKrp0Vvzr7lt3OU09vwQwhkpOPPYv2Y/edit?usp=sharing"",""งบพรบ!FU47"")"),0)</f>
        <v>0</v>
      </c>
      <c r="O521" s="255">
        <f ca="1">IF(L521&gt;0,N521*100/L521,0)</f>
        <v>0</v>
      </c>
      <c r="P521" s="255">
        <f ca="1">IF(M521&gt;0,N521*100/M521,0)</f>
        <v>0</v>
      </c>
      <c r="Q521" s="255">
        <v>0</v>
      </c>
      <c r="R521" s="255">
        <v>0</v>
      </c>
      <c r="S521" s="255">
        <v>0</v>
      </c>
      <c r="T521" s="255">
        <f>IF(Q521&gt;0,S521*100/Q521,0)</f>
        <v>0</v>
      </c>
      <c r="U521" s="255">
        <f>IF(R521&gt;0,S521*100/R521,0)</f>
        <v>0</v>
      </c>
    </row>
    <row r="522" spans="1:21" ht="19.5" hidden="1">
      <c r="A522" s="166"/>
      <c r="B522" s="167"/>
      <c r="C522" s="367" t="s">
        <v>18</v>
      </c>
      <c r="D522" s="566" t="s">
        <v>38</v>
      </c>
      <c r="E522" s="232"/>
      <c r="F522" s="169"/>
      <c r="G522" s="170"/>
      <c r="H522" s="171"/>
      <c r="I522" s="163"/>
      <c r="J522" s="54"/>
      <c r="K522" s="55"/>
      <c r="L522" s="55"/>
      <c r="M522" s="55"/>
      <c r="N522" s="55"/>
      <c r="O522" s="164"/>
      <c r="P522" s="164"/>
      <c r="Q522" s="55"/>
      <c r="R522" s="55"/>
      <c r="S522" s="55"/>
      <c r="T522" s="164"/>
      <c r="U522" s="164"/>
    </row>
    <row r="523" spans="1:21" ht="37.5" hidden="1">
      <c r="A523" s="238"/>
      <c r="B523" s="188"/>
      <c r="C523" s="188"/>
      <c r="D523" s="178" t="s">
        <v>209</v>
      </c>
      <c r="E523" s="167"/>
      <c r="F523" s="50"/>
      <c r="G523" s="52"/>
      <c r="H523" s="203" t="s">
        <v>11</v>
      </c>
      <c r="I523" s="212">
        <v>0</v>
      </c>
      <c r="J523" s="467">
        <v>0</v>
      </c>
      <c r="K523" s="255">
        <f>IF(I523&gt;0,J523*100/I523,0)</f>
        <v>0</v>
      </c>
      <c r="L523" s="55"/>
      <c r="M523" s="55"/>
      <c r="N523" s="55"/>
      <c r="O523" s="55"/>
      <c r="P523" s="55"/>
      <c r="Q523" s="55"/>
      <c r="R523" s="55"/>
      <c r="S523" s="55"/>
      <c r="T523" s="55"/>
      <c r="U523" s="55"/>
    </row>
    <row r="524" spans="1:21" ht="18.75" hidden="1">
      <c r="A524" s="238"/>
      <c r="B524" s="188"/>
      <c r="C524" s="188"/>
      <c r="D524" s="178" t="s">
        <v>210</v>
      </c>
      <c r="E524" s="167"/>
      <c r="F524" s="50"/>
      <c r="G524" s="52"/>
      <c r="H524" s="203" t="s">
        <v>61</v>
      </c>
      <c r="I524" s="212">
        <v>0</v>
      </c>
      <c r="J524" s="467">
        <v>0</v>
      </c>
      <c r="K524" s="255">
        <f>IF(I524&gt;0,J524*100/I524,0)</f>
        <v>0</v>
      </c>
      <c r="L524" s="55"/>
      <c r="M524" s="55"/>
      <c r="N524" s="55"/>
      <c r="O524" s="55"/>
      <c r="P524" s="55"/>
      <c r="Q524" s="55"/>
      <c r="R524" s="55"/>
      <c r="S524" s="55"/>
      <c r="T524" s="55"/>
      <c r="U524" s="55"/>
    </row>
    <row r="525" spans="1:21" ht="12.75" hidden="1">
      <c r="A525" s="258"/>
      <c r="B525" s="259"/>
      <c r="C525" s="259"/>
      <c r="D525" s="260"/>
      <c r="E525" s="260"/>
      <c r="F525" s="260"/>
      <c r="G525" s="261"/>
      <c r="H525" s="262"/>
      <c r="I525" s="263"/>
      <c r="J525" s="263"/>
      <c r="K525" s="264"/>
      <c r="L525" s="264"/>
      <c r="M525" s="264"/>
      <c r="N525" s="264"/>
      <c r="O525" s="264"/>
      <c r="P525" s="264"/>
      <c r="Q525" s="264"/>
      <c r="R525" s="264"/>
      <c r="S525" s="264"/>
      <c r="T525" s="264"/>
      <c r="U525" s="264"/>
    </row>
    <row r="526" spans="1:21" ht="12.75" hidden="1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4"/>
      <c r="M526" s="264"/>
      <c r="N526" s="264"/>
      <c r="O526" s="264"/>
      <c r="P526" s="264"/>
      <c r="Q526" s="264"/>
      <c r="R526" s="264"/>
      <c r="S526" s="264"/>
      <c r="T526" s="264"/>
      <c r="U526" s="264"/>
    </row>
    <row r="527" spans="1:21" ht="12.75" hidden="1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4"/>
      <c r="M527" s="264"/>
      <c r="N527" s="264"/>
      <c r="O527" s="264"/>
      <c r="P527" s="264"/>
      <c r="Q527" s="264"/>
      <c r="R527" s="264"/>
      <c r="S527" s="264"/>
      <c r="T527" s="264"/>
      <c r="U527" s="264"/>
    </row>
    <row r="528" spans="1:21" ht="12.75" hidden="1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4"/>
      <c r="M528" s="264"/>
      <c r="N528" s="264"/>
      <c r="O528" s="264"/>
      <c r="P528" s="264"/>
      <c r="Q528" s="264"/>
      <c r="R528" s="264"/>
      <c r="S528" s="264"/>
      <c r="T528" s="264"/>
      <c r="U528" s="264"/>
    </row>
    <row r="529" spans="1:21" ht="12.75" hidden="1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4"/>
      <c r="M529" s="264"/>
      <c r="N529" s="264"/>
      <c r="O529" s="264"/>
      <c r="P529" s="264"/>
      <c r="Q529" s="264"/>
      <c r="R529" s="264"/>
      <c r="S529" s="264"/>
      <c r="T529" s="264"/>
      <c r="U529" s="264"/>
    </row>
    <row r="530" spans="1:21" ht="12.75" hidden="1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4"/>
      <c r="M530" s="264"/>
      <c r="N530" s="264"/>
      <c r="O530" s="264"/>
      <c r="P530" s="264"/>
      <c r="Q530" s="264"/>
      <c r="R530" s="264"/>
      <c r="S530" s="264"/>
      <c r="T530" s="264"/>
      <c r="U530" s="264"/>
    </row>
    <row r="531" spans="1:21" ht="12.75" hidden="1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4"/>
      <c r="M531" s="264"/>
      <c r="N531" s="264"/>
      <c r="O531" s="264"/>
      <c r="P531" s="264"/>
      <c r="Q531" s="264"/>
      <c r="R531" s="264"/>
      <c r="S531" s="264"/>
      <c r="T531" s="264"/>
      <c r="U531" s="264"/>
    </row>
    <row r="532" spans="1:21" ht="12.75" hidden="1">
      <c r="A532" s="407"/>
      <c r="B532" s="360"/>
      <c r="C532" s="360"/>
      <c r="D532" s="408"/>
      <c r="E532" s="408"/>
      <c r="F532" s="408"/>
      <c r="G532" s="409"/>
      <c r="H532" s="361"/>
      <c r="I532" s="362"/>
      <c r="J532" s="362"/>
      <c r="K532" s="363"/>
      <c r="L532" s="363"/>
      <c r="M532" s="363"/>
      <c r="N532" s="363"/>
      <c r="O532" s="363"/>
      <c r="P532" s="363"/>
      <c r="Q532" s="363"/>
      <c r="R532" s="363"/>
      <c r="S532" s="363"/>
      <c r="T532" s="363"/>
      <c r="U532" s="363"/>
    </row>
    <row r="533" spans="1:21" ht="19.5" hidden="1">
      <c r="A533" s="395"/>
      <c r="B533" s="815" t="s">
        <v>211</v>
      </c>
      <c r="C533" s="397"/>
      <c r="D533" s="398"/>
      <c r="E533" s="398"/>
      <c r="F533" s="398"/>
      <c r="G533" s="399"/>
      <c r="H533" s="410" t="s">
        <v>61</v>
      </c>
      <c r="I533" s="577">
        <f>I545</f>
        <v>0</v>
      </c>
      <c r="J533" s="577">
        <f>J545</f>
        <v>0</v>
      </c>
      <c r="K533" s="576">
        <f>IF(I533&gt;0,J533*100/I533,0)</f>
        <v>0</v>
      </c>
      <c r="L533" s="403"/>
      <c r="M533" s="403"/>
      <c r="N533" s="403"/>
      <c r="O533" s="403"/>
      <c r="P533" s="403"/>
      <c r="Q533" s="403"/>
      <c r="R533" s="403"/>
      <c r="S533" s="403"/>
      <c r="T533" s="403"/>
      <c r="U533" s="403"/>
    </row>
    <row r="534" spans="1:21" ht="19.5" hidden="1">
      <c r="A534" s="155"/>
      <c r="B534" s="50"/>
      <c r="C534" s="191" t="s">
        <v>18</v>
      </c>
      <c r="D534" s="575" t="s">
        <v>19</v>
      </c>
      <c r="E534" s="188"/>
      <c r="F534" s="50"/>
      <c r="G534" s="52"/>
      <c r="H534" s="158" t="s">
        <v>14</v>
      </c>
      <c r="I534" s="54"/>
      <c r="J534" s="54"/>
      <c r="K534" s="55"/>
      <c r="L534" s="540">
        <f>L535+L536</f>
        <v>0</v>
      </c>
      <c r="M534" s="540">
        <f>M535+M536</f>
        <v>0</v>
      </c>
      <c r="N534" s="540">
        <f>N535+N536</f>
        <v>0</v>
      </c>
      <c r="O534" s="540">
        <f>IF(L534&gt;0,N534*100/L534,0)</f>
        <v>0</v>
      </c>
      <c r="P534" s="540">
        <f>IF(M534&gt;0,N534*100/M534,0)</f>
        <v>0</v>
      </c>
      <c r="Q534" s="540">
        <f>Q535+Q536</f>
        <v>0</v>
      </c>
      <c r="R534" s="540">
        <f>R535+R536</f>
        <v>0</v>
      </c>
      <c r="S534" s="540">
        <f>S535+S536</f>
        <v>0</v>
      </c>
      <c r="T534" s="540">
        <f>IF(Q534&gt;0,S534*100/Q534,0)</f>
        <v>0</v>
      </c>
      <c r="U534" s="540">
        <f>IF(R534&gt;0,S534*100/R534,0)</f>
        <v>0</v>
      </c>
    </row>
    <row r="535" spans="1:21" ht="18.75" hidden="1">
      <c r="A535" s="155"/>
      <c r="B535" s="188"/>
      <c r="C535" s="188"/>
      <c r="D535" s="50"/>
      <c r="E535" s="358" t="s">
        <v>20</v>
      </c>
      <c r="F535" s="50"/>
      <c r="G535" s="52"/>
      <c r="H535" s="187" t="s">
        <v>14</v>
      </c>
      <c r="I535" s="54"/>
      <c r="J535" s="54"/>
      <c r="K535" s="55"/>
      <c r="L535" s="102">
        <f>L538+L541</f>
        <v>0</v>
      </c>
      <c r="M535" s="102">
        <f>M538+M541</f>
        <v>0</v>
      </c>
      <c r="N535" s="102">
        <f>N538+N541</f>
        <v>0</v>
      </c>
      <c r="O535" s="102">
        <f>IF(L535&gt;0,N535*100/L535,0)</f>
        <v>0</v>
      </c>
      <c r="P535" s="102">
        <f>IF(M535&gt;0,N535*100/M535,0)</f>
        <v>0</v>
      </c>
      <c r="Q535" s="102">
        <f>Q538+Q541</f>
        <v>0</v>
      </c>
      <c r="R535" s="102">
        <f>R538+R541</f>
        <v>0</v>
      </c>
      <c r="S535" s="102">
        <f>S538+S541</f>
        <v>0</v>
      </c>
      <c r="T535" s="102">
        <f>IF(Q535&gt;0,S535*100/Q535,0)</f>
        <v>0</v>
      </c>
      <c r="U535" s="102">
        <f>IF(R535&gt;0,S535*100/R535,0)</f>
        <v>0</v>
      </c>
    </row>
    <row r="536" spans="1:21" ht="18.75" hidden="1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255">
        <f>L539+L542</f>
        <v>0</v>
      </c>
      <c r="M536" s="255">
        <f>M539+M542</f>
        <v>0</v>
      </c>
      <c r="N536" s="255">
        <f>N539+N542</f>
        <v>0</v>
      </c>
      <c r="O536" s="255">
        <f>IF(L536&gt;0,N536*100/L536,0)</f>
        <v>0</v>
      </c>
      <c r="P536" s="255">
        <f>IF(M536&gt;0,N536*100/M536,0)</f>
        <v>0</v>
      </c>
      <c r="Q536" s="255">
        <f>Q539+Q542</f>
        <v>0</v>
      </c>
      <c r="R536" s="255">
        <f>R539+R542</f>
        <v>0</v>
      </c>
      <c r="S536" s="255">
        <f>S539+S542</f>
        <v>0</v>
      </c>
      <c r="T536" s="255">
        <f>IF(Q536&gt;0,S536*100/Q536,0)</f>
        <v>0</v>
      </c>
      <c r="U536" s="255">
        <f>IF(R536&gt;0,S536*100/R536,0)</f>
        <v>0</v>
      </c>
    </row>
    <row r="537" spans="1:21" ht="18.75" hidden="1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255">
        <f>L538+L539</f>
        <v>0</v>
      </c>
      <c r="M537" s="255">
        <f>M538+M539</f>
        <v>0</v>
      </c>
      <c r="N537" s="255">
        <f>N538+N539</f>
        <v>0</v>
      </c>
      <c r="O537" s="255">
        <f>IF(L537&gt;0,N537*100/L537,0)</f>
        <v>0</v>
      </c>
      <c r="P537" s="255">
        <f>IF(M537&gt;0,N537*100/M537,0)</f>
        <v>0</v>
      </c>
      <c r="Q537" s="255">
        <f>Q538+Q539</f>
        <v>0</v>
      </c>
      <c r="R537" s="255">
        <f>R538+R539</f>
        <v>0</v>
      </c>
      <c r="S537" s="255">
        <f>S538+S539</f>
        <v>0</v>
      </c>
      <c r="T537" s="255">
        <f>IF(Q537&gt;0,S537*100/Q537,0)</f>
        <v>0</v>
      </c>
      <c r="U537" s="255">
        <f>IF(R537&gt;0,S537*100/R537,0)</f>
        <v>0</v>
      </c>
    </row>
    <row r="538" spans="1:21" ht="18.75" hidden="1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102">
        <v>0</v>
      </c>
      <c r="M538" s="102">
        <v>0</v>
      </c>
      <c r="N538" s="102">
        <v>0</v>
      </c>
      <c r="O538" s="102">
        <f>IF(L538&gt;0,N538*100/L538,0)</f>
        <v>0</v>
      </c>
      <c r="P538" s="102">
        <f>IF(M538&gt;0,N538*100/M538,0)</f>
        <v>0</v>
      </c>
      <c r="Q538" s="102">
        <v>0</v>
      </c>
      <c r="R538" s="102">
        <v>0</v>
      </c>
      <c r="S538" s="102">
        <v>0</v>
      </c>
      <c r="T538" s="102">
        <f>IF(Q538&gt;0,S538*100/Q538,0)</f>
        <v>0</v>
      </c>
      <c r="U538" s="102">
        <f>IF(R538&gt;0,S538*100/R538,0)</f>
        <v>0</v>
      </c>
    </row>
    <row r="539" spans="1:21" ht="18.75" hidden="1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255">
        <v>0</v>
      </c>
      <c r="M539" s="255">
        <v>0</v>
      </c>
      <c r="N539" s="255">
        <v>0</v>
      </c>
      <c r="O539" s="255">
        <f>IF(L539&gt;0,N539*100/L539,0)</f>
        <v>0</v>
      </c>
      <c r="P539" s="255">
        <f>IF(M539&gt;0,N539*100/M539,0)</f>
        <v>0</v>
      </c>
      <c r="Q539" s="255">
        <v>0</v>
      </c>
      <c r="R539" s="255">
        <v>0</v>
      </c>
      <c r="S539" s="255">
        <v>0</v>
      </c>
      <c r="T539" s="255">
        <f>IF(Q539&gt;0,S539*100/Q539,0)</f>
        <v>0</v>
      </c>
      <c r="U539" s="255">
        <f>IF(R539&gt;0,S539*100/R539,0)</f>
        <v>0</v>
      </c>
    </row>
    <row r="540" spans="1:21" ht="18.75" hidden="1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255">
        <f>L541+L542</f>
        <v>0</v>
      </c>
      <c r="M540" s="255">
        <f>M541+M542</f>
        <v>0</v>
      </c>
      <c r="N540" s="255">
        <f>N541+N542</f>
        <v>0</v>
      </c>
      <c r="O540" s="255">
        <f>IF(L540&gt;0,N540*100/L540,0)</f>
        <v>0</v>
      </c>
      <c r="P540" s="255">
        <f>IF(M540&gt;0,N540*100/M540,0)</f>
        <v>0</v>
      </c>
      <c r="Q540" s="255">
        <f>Q541+Q542</f>
        <v>0</v>
      </c>
      <c r="R540" s="255">
        <f>R541+R542</f>
        <v>0</v>
      </c>
      <c r="S540" s="255">
        <f>S541+S542</f>
        <v>0</v>
      </c>
      <c r="T540" s="255">
        <f>IF(Q540&gt;0,S540*100/Q540,0)</f>
        <v>0</v>
      </c>
      <c r="U540" s="255">
        <f>IF(R540&gt;0,S540*100/R540,0)</f>
        <v>0</v>
      </c>
    </row>
    <row r="541" spans="1:21" ht="18.75" hidden="1">
      <c r="A541" s="155"/>
      <c r="B541" s="188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102">
        <v>0</v>
      </c>
      <c r="M541" s="102">
        <v>0</v>
      </c>
      <c r="N541" s="102">
        <v>0</v>
      </c>
      <c r="O541" s="102">
        <f>IF(L541&gt;0,N541*100/L541,0)</f>
        <v>0</v>
      </c>
      <c r="P541" s="102">
        <f>IF(M541&gt;0,N541*100/M541,0)</f>
        <v>0</v>
      </c>
      <c r="Q541" s="102">
        <v>0</v>
      </c>
      <c r="R541" s="102">
        <v>0</v>
      </c>
      <c r="S541" s="102">
        <v>0</v>
      </c>
      <c r="T541" s="102">
        <f>IF(Q541&gt;0,S541*100/Q541,0)</f>
        <v>0</v>
      </c>
      <c r="U541" s="102">
        <f>IF(R541&gt;0,S541*100/R541,0)</f>
        <v>0</v>
      </c>
    </row>
    <row r="542" spans="1:21" ht="18.75" hidden="1">
      <c r="A542" s="155"/>
      <c r="B542" s="50"/>
      <c r="C542" s="188"/>
      <c r="D542" s="50"/>
      <c r="E542" s="239" t="s">
        <v>21</v>
      </c>
      <c r="F542" s="50"/>
      <c r="G542" s="52"/>
      <c r="H542" s="165" t="s">
        <v>14</v>
      </c>
      <c r="I542" s="163"/>
      <c r="J542" s="163"/>
      <c r="K542" s="164"/>
      <c r="L542" s="255">
        <v>0</v>
      </c>
      <c r="M542" s="255">
        <v>0</v>
      </c>
      <c r="N542" s="255">
        <v>0</v>
      </c>
      <c r="O542" s="255">
        <f>IF(L542&gt;0,N542*100/L542,0)</f>
        <v>0</v>
      </c>
      <c r="P542" s="255">
        <f>IF(M542&gt;0,N542*100/M542,0)</f>
        <v>0</v>
      </c>
      <c r="Q542" s="255">
        <v>0</v>
      </c>
      <c r="R542" s="255">
        <v>0</v>
      </c>
      <c r="S542" s="255">
        <v>0</v>
      </c>
      <c r="T542" s="255">
        <f>IF(Q542&gt;0,S542*100/Q542,0)</f>
        <v>0</v>
      </c>
      <c r="U542" s="255">
        <f>IF(R542&gt;0,S542*100/R542,0)</f>
        <v>0</v>
      </c>
    </row>
    <row r="543" spans="1:21" ht="19.5" hidden="1">
      <c r="A543" s="166"/>
      <c r="B543" s="167"/>
      <c r="C543" s="367" t="s">
        <v>18</v>
      </c>
      <c r="D543" s="566" t="s">
        <v>38</v>
      </c>
      <c r="E543" s="232"/>
      <c r="F543" s="169"/>
      <c r="G543" s="170"/>
      <c r="H543" s="171"/>
      <c r="I543" s="163"/>
      <c r="J543" s="54"/>
      <c r="K543" s="55"/>
      <c r="L543" s="55"/>
      <c r="M543" s="55"/>
      <c r="N543" s="55"/>
      <c r="O543" s="164"/>
      <c r="P543" s="164"/>
      <c r="Q543" s="55"/>
      <c r="R543" s="55"/>
      <c r="S543" s="55"/>
      <c r="T543" s="164"/>
      <c r="U543" s="164"/>
    </row>
    <row r="544" spans="1:21" ht="12.75" hidden="1">
      <c r="A544" s="258"/>
      <c r="B544" s="259"/>
      <c r="C544" s="259"/>
      <c r="D544" s="260"/>
      <c r="E544" s="259"/>
      <c r="F544" s="260"/>
      <c r="G544" s="261"/>
      <c r="H544" s="262"/>
      <c r="I544" s="263"/>
      <c r="J544" s="263"/>
      <c r="K544" s="264"/>
      <c r="L544" s="264"/>
      <c r="M544" s="264"/>
      <c r="N544" s="264"/>
      <c r="O544" s="264"/>
      <c r="P544" s="264"/>
      <c r="Q544" s="264"/>
      <c r="R544" s="264"/>
      <c r="S544" s="264"/>
      <c r="T544" s="264"/>
      <c r="U544" s="264"/>
    </row>
    <row r="545" spans="1:21" ht="12.75" hidden="1">
      <c r="A545" s="258"/>
      <c r="B545" s="259"/>
      <c r="C545" s="259"/>
      <c r="D545" s="260"/>
      <c r="E545" s="259"/>
      <c r="F545" s="260"/>
      <c r="G545" s="261"/>
      <c r="H545" s="262"/>
      <c r="I545" s="263"/>
      <c r="J545" s="263"/>
      <c r="K545" s="264"/>
      <c r="L545" s="264"/>
      <c r="M545" s="264"/>
      <c r="N545" s="264"/>
      <c r="O545" s="264"/>
      <c r="P545" s="264"/>
      <c r="Q545" s="264"/>
      <c r="R545" s="264"/>
      <c r="S545" s="264"/>
      <c r="T545" s="264"/>
      <c r="U545" s="264"/>
    </row>
    <row r="546" spans="1:21" ht="12.75" hidden="1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4"/>
      <c r="M546" s="264"/>
      <c r="N546" s="264"/>
      <c r="O546" s="264"/>
      <c r="P546" s="264"/>
      <c r="Q546" s="264"/>
      <c r="R546" s="264"/>
      <c r="S546" s="264"/>
      <c r="T546" s="264"/>
      <c r="U546" s="264"/>
    </row>
    <row r="547" spans="1:21" ht="12.75" hidden="1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4"/>
      <c r="M547" s="264"/>
      <c r="N547" s="264"/>
      <c r="O547" s="264"/>
      <c r="P547" s="264"/>
      <c r="Q547" s="264"/>
      <c r="R547" s="264"/>
      <c r="S547" s="264"/>
      <c r="T547" s="264"/>
      <c r="U547" s="264"/>
    </row>
    <row r="548" spans="1:21" ht="12.75" hidden="1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4"/>
      <c r="M548" s="264"/>
      <c r="N548" s="264"/>
      <c r="O548" s="264"/>
      <c r="P548" s="264"/>
      <c r="Q548" s="264"/>
      <c r="R548" s="264"/>
      <c r="S548" s="264"/>
      <c r="T548" s="264"/>
      <c r="U548" s="264"/>
    </row>
    <row r="549" spans="1:21" ht="12.75" hidden="1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4"/>
      <c r="M549" s="264"/>
      <c r="N549" s="264"/>
      <c r="O549" s="264"/>
      <c r="P549" s="264"/>
      <c r="Q549" s="264"/>
      <c r="R549" s="264"/>
      <c r="S549" s="264"/>
      <c r="T549" s="264"/>
      <c r="U549" s="264"/>
    </row>
    <row r="550" spans="1:21" ht="12.75" hidden="1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4"/>
      <c r="M550" s="264"/>
      <c r="N550" s="264"/>
      <c r="O550" s="264"/>
      <c r="P550" s="264"/>
      <c r="Q550" s="264"/>
      <c r="R550" s="264"/>
      <c r="S550" s="264"/>
      <c r="T550" s="264"/>
      <c r="U550" s="264"/>
    </row>
    <row r="551" spans="1:21" ht="12.75" hidden="1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4"/>
      <c r="M551" s="264"/>
      <c r="N551" s="264"/>
      <c r="O551" s="264"/>
      <c r="P551" s="264"/>
      <c r="Q551" s="264"/>
      <c r="R551" s="264"/>
      <c r="S551" s="264"/>
      <c r="T551" s="264"/>
      <c r="U551" s="264"/>
    </row>
    <row r="552" spans="1:21" ht="12.75" hidden="1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4"/>
      <c r="M552" s="264"/>
      <c r="N552" s="264"/>
      <c r="O552" s="264"/>
      <c r="P552" s="264"/>
      <c r="Q552" s="264"/>
      <c r="R552" s="264"/>
      <c r="S552" s="264"/>
      <c r="T552" s="264"/>
      <c r="U552" s="264"/>
    </row>
    <row r="553" spans="1:21" ht="12.75" hidden="1">
      <c r="A553" s="407"/>
      <c r="B553" s="360"/>
      <c r="C553" s="360"/>
      <c r="D553" s="408"/>
      <c r="E553" s="408"/>
      <c r="F553" s="408"/>
      <c r="G553" s="409"/>
      <c r="H553" s="361"/>
      <c r="I553" s="362"/>
      <c r="J553" s="362"/>
      <c r="K553" s="363"/>
      <c r="L553" s="363"/>
      <c r="M553" s="363"/>
      <c r="N553" s="363"/>
      <c r="O553" s="363"/>
      <c r="P553" s="363"/>
      <c r="Q553" s="363"/>
      <c r="R553" s="363"/>
      <c r="S553" s="363"/>
      <c r="T553" s="363"/>
      <c r="U553" s="363"/>
    </row>
    <row r="554" spans="1:21" ht="19.5" hidden="1">
      <c r="A554" s="395"/>
      <c r="B554" s="815" t="s">
        <v>212</v>
      </c>
      <c r="C554" s="397"/>
      <c r="D554" s="398"/>
      <c r="E554" s="398"/>
      <c r="F554" s="398"/>
      <c r="G554" s="399"/>
      <c r="H554" s="410" t="s">
        <v>61</v>
      </c>
      <c r="I554" s="577">
        <f>I566</f>
        <v>0</v>
      </c>
      <c r="J554" s="577">
        <f>J566</f>
        <v>0</v>
      </c>
      <c r="K554" s="576">
        <f>IF(I554&gt;0,J554*100/I554,0)</f>
        <v>0</v>
      </c>
      <c r="L554" s="403"/>
      <c r="M554" s="403"/>
      <c r="N554" s="403"/>
      <c r="O554" s="403"/>
      <c r="P554" s="403"/>
      <c r="Q554" s="403"/>
      <c r="R554" s="403"/>
      <c r="S554" s="403"/>
      <c r="T554" s="403"/>
      <c r="U554" s="403"/>
    </row>
    <row r="555" spans="1:21" ht="19.5" hidden="1">
      <c r="A555" s="155"/>
      <c r="B555" s="50"/>
      <c r="C555" s="191" t="s">
        <v>18</v>
      </c>
      <c r="D555" s="575" t="s">
        <v>19</v>
      </c>
      <c r="E555" s="188"/>
      <c r="F555" s="50"/>
      <c r="G555" s="52"/>
      <c r="H555" s="158" t="s">
        <v>14</v>
      </c>
      <c r="I555" s="54"/>
      <c r="J555" s="54"/>
      <c r="K555" s="55"/>
      <c r="L555" s="540">
        <f>L556+L557</f>
        <v>0</v>
      </c>
      <c r="M555" s="540">
        <f>M556+M557</f>
        <v>0</v>
      </c>
      <c r="N555" s="540">
        <f>N556+N557</f>
        <v>0</v>
      </c>
      <c r="O555" s="540">
        <f>IF(L555&gt;0,N555*100/L555,0)</f>
        <v>0</v>
      </c>
      <c r="P555" s="540">
        <f>IF(M555&gt;0,N555*100/M555,0)</f>
        <v>0</v>
      </c>
      <c r="Q555" s="540">
        <f>Q556+Q557</f>
        <v>0</v>
      </c>
      <c r="R555" s="540">
        <f>R556+R557</f>
        <v>0</v>
      </c>
      <c r="S555" s="540">
        <f>S556+S557</f>
        <v>0</v>
      </c>
      <c r="T555" s="540">
        <f>IF(Q555&gt;0,S555*100/Q555,0)</f>
        <v>0</v>
      </c>
      <c r="U555" s="540">
        <f>IF(R555&gt;0,S555*100/R555,0)</f>
        <v>0</v>
      </c>
    </row>
    <row r="556" spans="1:21" ht="18.75" hidden="1">
      <c r="A556" s="155"/>
      <c r="B556" s="188"/>
      <c r="C556" s="188"/>
      <c r="D556" s="50"/>
      <c r="E556" s="358" t="s">
        <v>20</v>
      </c>
      <c r="F556" s="50"/>
      <c r="G556" s="52"/>
      <c r="H556" s="187" t="s">
        <v>14</v>
      </c>
      <c r="I556" s="54"/>
      <c r="J556" s="54"/>
      <c r="K556" s="55"/>
      <c r="L556" s="102">
        <f>L559+L562</f>
        <v>0</v>
      </c>
      <c r="M556" s="102">
        <f>M559+M562</f>
        <v>0</v>
      </c>
      <c r="N556" s="102">
        <f>N559+N562</f>
        <v>0</v>
      </c>
      <c r="O556" s="102">
        <f>IF(L556&gt;0,N556*100/L556,0)</f>
        <v>0</v>
      </c>
      <c r="P556" s="102">
        <f>IF(M556&gt;0,N556*100/M556,0)</f>
        <v>0</v>
      </c>
      <c r="Q556" s="102">
        <f>Q559+Q562</f>
        <v>0</v>
      </c>
      <c r="R556" s="102">
        <f>R559+R562</f>
        <v>0</v>
      </c>
      <c r="S556" s="102">
        <f>S559+S562</f>
        <v>0</v>
      </c>
      <c r="T556" s="102">
        <f>IF(Q556&gt;0,S556*100/Q556,0)</f>
        <v>0</v>
      </c>
      <c r="U556" s="102">
        <f>IF(R556&gt;0,S556*100/R556,0)</f>
        <v>0</v>
      </c>
    </row>
    <row r="557" spans="1:21" ht="18.75" hidden="1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255">
        <f>L560+L563</f>
        <v>0</v>
      </c>
      <c r="M557" s="255">
        <f>M560+M563</f>
        <v>0</v>
      </c>
      <c r="N557" s="255">
        <f>N560+N563</f>
        <v>0</v>
      </c>
      <c r="O557" s="255">
        <f>IF(L557&gt;0,N557*100/L557,0)</f>
        <v>0</v>
      </c>
      <c r="P557" s="255">
        <f>IF(M557&gt;0,N557*100/M557,0)</f>
        <v>0</v>
      </c>
      <c r="Q557" s="255">
        <f>Q560+Q563</f>
        <v>0</v>
      </c>
      <c r="R557" s="255">
        <f>R560+R563</f>
        <v>0</v>
      </c>
      <c r="S557" s="255">
        <f>S560+S563</f>
        <v>0</v>
      </c>
      <c r="T557" s="255">
        <f>IF(Q557&gt;0,S557*100/Q557,0)</f>
        <v>0</v>
      </c>
      <c r="U557" s="255">
        <f>IF(R557&gt;0,S557*100/R557,0)</f>
        <v>0</v>
      </c>
    </row>
    <row r="558" spans="1:21" ht="18.75" hidden="1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255">
        <f>L559+L560</f>
        <v>0</v>
      </c>
      <c r="M558" s="255">
        <f>M559+M560</f>
        <v>0</v>
      </c>
      <c r="N558" s="255">
        <f>N559+N560</f>
        <v>0</v>
      </c>
      <c r="O558" s="255">
        <f>IF(L558&gt;0,N558*100/L558,0)</f>
        <v>0</v>
      </c>
      <c r="P558" s="255">
        <f>IF(M558&gt;0,N558*100/M558,0)</f>
        <v>0</v>
      </c>
      <c r="Q558" s="255">
        <f>Q559+Q560</f>
        <v>0</v>
      </c>
      <c r="R558" s="255">
        <f>R559+R560</f>
        <v>0</v>
      </c>
      <c r="S558" s="255">
        <f>S559+S560</f>
        <v>0</v>
      </c>
      <c r="T558" s="255">
        <f>IF(Q558&gt;0,S558*100/Q558,0)</f>
        <v>0</v>
      </c>
      <c r="U558" s="255">
        <f>IF(R558&gt;0,S558*100/R558,0)</f>
        <v>0</v>
      </c>
    </row>
    <row r="559" spans="1:21" ht="18.75" hidden="1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102">
        <v>0</v>
      </c>
      <c r="M559" s="102">
        <v>0</v>
      </c>
      <c r="N559" s="102">
        <v>0</v>
      </c>
      <c r="O559" s="102">
        <f>IF(L559&gt;0,N559*100/L559,0)</f>
        <v>0</v>
      </c>
      <c r="P559" s="102">
        <f>IF(M559&gt;0,N559*100/M559,0)</f>
        <v>0</v>
      </c>
      <c r="Q559" s="102">
        <v>0</v>
      </c>
      <c r="R559" s="102">
        <v>0</v>
      </c>
      <c r="S559" s="102">
        <v>0</v>
      </c>
      <c r="T559" s="102">
        <f>IF(Q559&gt;0,S559*100/Q559,0)</f>
        <v>0</v>
      </c>
      <c r="U559" s="102">
        <f>IF(R559&gt;0,S559*100/R559,0)</f>
        <v>0</v>
      </c>
    </row>
    <row r="560" spans="1:21" ht="18.75" hidden="1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255">
        <v>0</v>
      </c>
      <c r="M560" s="255">
        <v>0</v>
      </c>
      <c r="N560" s="255">
        <v>0</v>
      </c>
      <c r="O560" s="255">
        <f>IF(L560&gt;0,N560*100/L560,0)</f>
        <v>0</v>
      </c>
      <c r="P560" s="255">
        <f>IF(M560&gt;0,N560*100/M560,0)</f>
        <v>0</v>
      </c>
      <c r="Q560" s="255">
        <v>0</v>
      </c>
      <c r="R560" s="255">
        <v>0</v>
      </c>
      <c r="S560" s="255">
        <v>0</v>
      </c>
      <c r="T560" s="255">
        <f>IF(Q560&gt;0,S560*100/Q560,0)</f>
        <v>0</v>
      </c>
      <c r="U560" s="255">
        <f>IF(R560&gt;0,S560*100/R560,0)</f>
        <v>0</v>
      </c>
    </row>
    <row r="561" spans="1:21" ht="18.75" hidden="1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255">
        <f>L562+L563</f>
        <v>0</v>
      </c>
      <c r="M561" s="255">
        <f>M562+M563</f>
        <v>0</v>
      </c>
      <c r="N561" s="255">
        <f>N562+N563</f>
        <v>0</v>
      </c>
      <c r="O561" s="255">
        <f>IF(L561&gt;0,N561*100/L561,0)</f>
        <v>0</v>
      </c>
      <c r="P561" s="255">
        <f>IF(M561&gt;0,N561*100/M561,0)</f>
        <v>0</v>
      </c>
      <c r="Q561" s="255">
        <f>Q562+Q563</f>
        <v>0</v>
      </c>
      <c r="R561" s="255">
        <f>R562+R563</f>
        <v>0</v>
      </c>
      <c r="S561" s="255">
        <f>S562+S563</f>
        <v>0</v>
      </c>
      <c r="T561" s="255">
        <f>IF(Q561&gt;0,S561*100/Q561,0)</f>
        <v>0</v>
      </c>
      <c r="U561" s="255">
        <f>IF(R561&gt;0,S561*100/R561,0)</f>
        <v>0</v>
      </c>
    </row>
    <row r="562" spans="1:21" ht="18.75" hidden="1">
      <c r="A562" s="155"/>
      <c r="B562" s="188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102">
        <v>0</v>
      </c>
      <c r="M562" s="102">
        <v>0</v>
      </c>
      <c r="N562" s="102">
        <v>0</v>
      </c>
      <c r="O562" s="102">
        <f>IF(L562&gt;0,N562*100/L562,0)</f>
        <v>0</v>
      </c>
      <c r="P562" s="102">
        <f>IF(M562&gt;0,N562*100/M562,0)</f>
        <v>0</v>
      </c>
      <c r="Q562" s="102">
        <v>0</v>
      </c>
      <c r="R562" s="102">
        <v>0</v>
      </c>
      <c r="S562" s="102">
        <v>0</v>
      </c>
      <c r="T562" s="102">
        <f>IF(Q562&gt;0,S562*100/Q562,0)</f>
        <v>0</v>
      </c>
      <c r="U562" s="102">
        <f>IF(R562&gt;0,S562*100/R562,0)</f>
        <v>0</v>
      </c>
    </row>
    <row r="563" spans="1:21" ht="18.75" hidden="1">
      <c r="A563" s="155"/>
      <c r="B563" s="50"/>
      <c r="C563" s="188"/>
      <c r="D563" s="50"/>
      <c r="E563" s="239" t="s">
        <v>21</v>
      </c>
      <c r="F563" s="50"/>
      <c r="G563" s="52"/>
      <c r="H563" s="165" t="s">
        <v>14</v>
      </c>
      <c r="I563" s="163"/>
      <c r="J563" s="163"/>
      <c r="K563" s="164"/>
      <c r="L563" s="255">
        <v>0</v>
      </c>
      <c r="M563" s="255">
        <v>0</v>
      </c>
      <c r="N563" s="255">
        <v>0</v>
      </c>
      <c r="O563" s="255">
        <f>IF(L563&gt;0,N563*100/L563,0)</f>
        <v>0</v>
      </c>
      <c r="P563" s="255">
        <f>IF(M563&gt;0,N563*100/M563,0)</f>
        <v>0</v>
      </c>
      <c r="Q563" s="255">
        <v>0</v>
      </c>
      <c r="R563" s="255">
        <v>0</v>
      </c>
      <c r="S563" s="255">
        <v>0</v>
      </c>
      <c r="T563" s="255">
        <f>IF(Q563&gt;0,S563*100/Q563,0)</f>
        <v>0</v>
      </c>
      <c r="U563" s="255">
        <f>IF(R563&gt;0,S563*100/R563,0)</f>
        <v>0</v>
      </c>
    </row>
    <row r="564" spans="1:21" ht="19.5" hidden="1">
      <c r="A564" s="166"/>
      <c r="B564" s="167"/>
      <c r="C564" s="367" t="s">
        <v>18</v>
      </c>
      <c r="D564" s="566" t="s">
        <v>38</v>
      </c>
      <c r="E564" s="232"/>
      <c r="F564" s="169"/>
      <c r="G564" s="170"/>
      <c r="H564" s="171"/>
      <c r="I564" s="163"/>
      <c r="J564" s="54"/>
      <c r="K564" s="55"/>
      <c r="L564" s="55"/>
      <c r="M564" s="55"/>
      <c r="N564" s="55"/>
      <c r="O564" s="164"/>
      <c r="P564" s="164"/>
      <c r="Q564" s="55"/>
      <c r="R564" s="55"/>
      <c r="S564" s="55"/>
      <c r="T564" s="164"/>
      <c r="U564" s="164"/>
    </row>
    <row r="565" spans="1:21" ht="12.75" hidden="1">
      <c r="A565" s="258"/>
      <c r="B565" s="259"/>
      <c r="C565" s="259"/>
      <c r="D565" s="260"/>
      <c r="E565" s="259"/>
      <c r="F565" s="260"/>
      <c r="G565" s="261"/>
      <c r="H565" s="262"/>
      <c r="I565" s="263"/>
      <c r="J565" s="263"/>
      <c r="K565" s="264"/>
      <c r="L565" s="264"/>
      <c r="M565" s="264"/>
      <c r="N565" s="264"/>
      <c r="O565" s="264"/>
      <c r="P565" s="264"/>
      <c r="Q565" s="264"/>
      <c r="R565" s="264"/>
      <c r="S565" s="264"/>
      <c r="T565" s="264"/>
      <c r="U565" s="264"/>
    </row>
    <row r="566" spans="1:21" ht="12.75" hidden="1">
      <c r="A566" s="258"/>
      <c r="B566" s="259"/>
      <c r="C566" s="259"/>
      <c r="D566" s="260"/>
      <c r="E566" s="259"/>
      <c r="F566" s="260"/>
      <c r="G566" s="261"/>
      <c r="H566" s="262"/>
      <c r="I566" s="263"/>
      <c r="J566" s="263"/>
      <c r="K566" s="264"/>
      <c r="L566" s="264"/>
      <c r="M566" s="264"/>
      <c r="N566" s="264"/>
      <c r="O566" s="264"/>
      <c r="P566" s="264"/>
      <c r="Q566" s="264"/>
      <c r="R566" s="264"/>
      <c r="S566" s="264"/>
      <c r="T566" s="264"/>
      <c r="U566" s="264"/>
    </row>
    <row r="567" spans="1:21" ht="12.75" hidden="1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4"/>
      <c r="M567" s="264"/>
      <c r="N567" s="264"/>
      <c r="O567" s="264"/>
      <c r="P567" s="264"/>
      <c r="Q567" s="264"/>
      <c r="R567" s="264"/>
      <c r="S567" s="264"/>
      <c r="T567" s="264"/>
      <c r="U567" s="264"/>
    </row>
    <row r="568" spans="1:21" ht="12.75" hidden="1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4"/>
      <c r="M568" s="264"/>
      <c r="N568" s="264"/>
      <c r="O568" s="264"/>
      <c r="P568" s="264"/>
      <c r="Q568" s="264"/>
      <c r="R568" s="264"/>
      <c r="S568" s="264"/>
      <c r="T568" s="264"/>
      <c r="U568" s="264"/>
    </row>
    <row r="569" spans="1:21" ht="12.75" hidden="1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4"/>
      <c r="M569" s="264"/>
      <c r="N569" s="264"/>
      <c r="O569" s="264"/>
      <c r="P569" s="264"/>
      <c r="Q569" s="264"/>
      <c r="R569" s="264"/>
      <c r="S569" s="264"/>
      <c r="T569" s="264"/>
      <c r="U569" s="264"/>
    </row>
    <row r="570" spans="1:21" ht="12.75" hidden="1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4"/>
      <c r="M570" s="264"/>
      <c r="N570" s="264"/>
      <c r="O570" s="264"/>
      <c r="P570" s="264"/>
      <c r="Q570" s="264"/>
      <c r="R570" s="264"/>
      <c r="S570" s="264"/>
      <c r="T570" s="264"/>
      <c r="U570" s="264"/>
    </row>
    <row r="571" spans="1:21" ht="12.75" hidden="1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4"/>
      <c r="M571" s="264"/>
      <c r="N571" s="264"/>
      <c r="O571" s="264"/>
      <c r="P571" s="264"/>
      <c r="Q571" s="264"/>
      <c r="R571" s="264"/>
      <c r="S571" s="264"/>
      <c r="T571" s="264"/>
      <c r="U571" s="264"/>
    </row>
    <row r="572" spans="1:21" ht="12.75" hidden="1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4"/>
      <c r="M572" s="264"/>
      <c r="N572" s="264"/>
      <c r="O572" s="264"/>
      <c r="P572" s="264"/>
      <c r="Q572" s="264"/>
      <c r="R572" s="264"/>
      <c r="S572" s="264"/>
      <c r="T572" s="264"/>
      <c r="U572" s="264"/>
    </row>
    <row r="573" spans="1:21" ht="12.75" hidden="1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4"/>
      <c r="M573" s="264"/>
      <c r="N573" s="264"/>
      <c r="O573" s="264"/>
      <c r="P573" s="264"/>
      <c r="Q573" s="264"/>
      <c r="R573" s="264"/>
      <c r="S573" s="264"/>
      <c r="T573" s="264"/>
      <c r="U573" s="264"/>
    </row>
    <row r="574" spans="1:21" ht="12.75" hidden="1">
      <c r="A574" s="407"/>
      <c r="B574" s="360"/>
      <c r="C574" s="360"/>
      <c r="D574" s="408"/>
      <c r="E574" s="408"/>
      <c r="F574" s="408"/>
      <c r="G574" s="409"/>
      <c r="H574" s="361"/>
      <c r="I574" s="362"/>
      <c r="J574" s="362"/>
      <c r="K574" s="363"/>
      <c r="L574" s="363"/>
      <c r="M574" s="363"/>
      <c r="N574" s="363"/>
      <c r="O574" s="363"/>
      <c r="P574" s="363"/>
      <c r="Q574" s="363"/>
      <c r="R574" s="363"/>
      <c r="S574" s="363"/>
      <c r="T574" s="363"/>
      <c r="U574" s="363"/>
    </row>
    <row r="575" spans="1:21" ht="19.5" hidden="1">
      <c r="A575" s="395"/>
      <c r="B575" s="815" t="s">
        <v>213</v>
      </c>
      <c r="C575" s="397"/>
      <c r="D575" s="398"/>
      <c r="E575" s="398"/>
      <c r="F575" s="398"/>
      <c r="G575" s="399"/>
      <c r="H575" s="410" t="s">
        <v>61</v>
      </c>
      <c r="I575" s="577">
        <f>I587</f>
        <v>0</v>
      </c>
      <c r="J575" s="577">
        <f>J587</f>
        <v>0</v>
      </c>
      <c r="K575" s="576">
        <f>IF(I575&gt;0,J575*100/I575,0)</f>
        <v>0</v>
      </c>
      <c r="L575" s="403"/>
      <c r="M575" s="403"/>
      <c r="N575" s="403"/>
      <c r="O575" s="403"/>
      <c r="P575" s="403"/>
      <c r="Q575" s="403"/>
      <c r="R575" s="403"/>
      <c r="S575" s="403"/>
      <c r="T575" s="403"/>
      <c r="U575" s="403"/>
    </row>
    <row r="576" spans="1:21" ht="19.5" hidden="1">
      <c r="A576" s="155"/>
      <c r="B576" s="50"/>
      <c r="C576" s="191" t="s">
        <v>18</v>
      </c>
      <c r="D576" s="575" t="s">
        <v>19</v>
      </c>
      <c r="E576" s="188"/>
      <c r="F576" s="50"/>
      <c r="G576" s="52"/>
      <c r="H576" s="158" t="s">
        <v>14</v>
      </c>
      <c r="I576" s="54"/>
      <c r="J576" s="54"/>
      <c r="K576" s="55"/>
      <c r="L576" s="540">
        <f>L577+L578</f>
        <v>0</v>
      </c>
      <c r="M576" s="540">
        <f>M577+M578</f>
        <v>0</v>
      </c>
      <c r="N576" s="540">
        <f>N577+N578</f>
        <v>0</v>
      </c>
      <c r="O576" s="540">
        <f>IF(L576&gt;0,N576*100/L576,0)</f>
        <v>0</v>
      </c>
      <c r="P576" s="540">
        <f>IF(M576&gt;0,N576*100/M576,0)</f>
        <v>0</v>
      </c>
      <c r="Q576" s="540">
        <f>Q577+Q578</f>
        <v>0</v>
      </c>
      <c r="R576" s="540">
        <f>R577+R578</f>
        <v>0</v>
      </c>
      <c r="S576" s="540">
        <f>S577+S578</f>
        <v>0</v>
      </c>
      <c r="T576" s="540">
        <f>IF(Q576&gt;0,S576*100/Q576,0)</f>
        <v>0</v>
      </c>
      <c r="U576" s="540">
        <f>IF(R576&gt;0,S576*100/R576,0)</f>
        <v>0</v>
      </c>
    </row>
    <row r="577" spans="1:21" ht="18.75" hidden="1">
      <c r="A577" s="155"/>
      <c r="B577" s="188"/>
      <c r="C577" s="188"/>
      <c r="D577" s="50"/>
      <c r="E577" s="358" t="s">
        <v>20</v>
      </c>
      <c r="F577" s="50"/>
      <c r="G577" s="52"/>
      <c r="H577" s="187" t="s">
        <v>14</v>
      </c>
      <c r="I577" s="54"/>
      <c r="J577" s="54"/>
      <c r="K577" s="55"/>
      <c r="L577" s="102">
        <f>L580+L583</f>
        <v>0</v>
      </c>
      <c r="M577" s="102">
        <f>M580+M583</f>
        <v>0</v>
      </c>
      <c r="N577" s="102">
        <f>N580+N583</f>
        <v>0</v>
      </c>
      <c r="O577" s="102">
        <f>IF(L577&gt;0,N577*100/L577,0)</f>
        <v>0</v>
      </c>
      <c r="P577" s="102">
        <f>IF(M577&gt;0,N577*100/M577,0)</f>
        <v>0</v>
      </c>
      <c r="Q577" s="102">
        <f>Q580+Q583</f>
        <v>0</v>
      </c>
      <c r="R577" s="102">
        <f>R580+R583</f>
        <v>0</v>
      </c>
      <c r="S577" s="102">
        <f>S580+S583</f>
        <v>0</v>
      </c>
      <c r="T577" s="102">
        <f>IF(Q577&gt;0,S577*100/Q577,0)</f>
        <v>0</v>
      </c>
      <c r="U577" s="102">
        <f>IF(R577&gt;0,S577*100/R577,0)</f>
        <v>0</v>
      </c>
    </row>
    <row r="578" spans="1:21" ht="18.75" hidden="1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255">
        <f>L581+L584</f>
        <v>0</v>
      </c>
      <c r="M578" s="255">
        <f>M581+M584</f>
        <v>0</v>
      </c>
      <c r="N578" s="255">
        <f>N581+N584</f>
        <v>0</v>
      </c>
      <c r="O578" s="255">
        <f>IF(L578&gt;0,N578*100/L578,0)</f>
        <v>0</v>
      </c>
      <c r="P578" s="255">
        <f>IF(M578&gt;0,N578*100/M578,0)</f>
        <v>0</v>
      </c>
      <c r="Q578" s="255">
        <f>Q581+Q584</f>
        <v>0</v>
      </c>
      <c r="R578" s="255">
        <f>R581+R584</f>
        <v>0</v>
      </c>
      <c r="S578" s="255">
        <f>S581+S584</f>
        <v>0</v>
      </c>
      <c r="T578" s="255">
        <f>IF(Q578&gt;0,S578*100/Q578,0)</f>
        <v>0</v>
      </c>
      <c r="U578" s="255">
        <f>IF(R578&gt;0,S578*100/R578,0)</f>
        <v>0</v>
      </c>
    </row>
    <row r="579" spans="1:21" ht="18.75" hidden="1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255">
        <f>L580+L581</f>
        <v>0</v>
      </c>
      <c r="M579" s="255">
        <f>M580+M581</f>
        <v>0</v>
      </c>
      <c r="N579" s="255">
        <f>N580+N581</f>
        <v>0</v>
      </c>
      <c r="O579" s="255">
        <f>IF(L579&gt;0,N579*100/L579,0)</f>
        <v>0</v>
      </c>
      <c r="P579" s="255">
        <f>IF(M579&gt;0,N579*100/M579,0)</f>
        <v>0</v>
      </c>
      <c r="Q579" s="255">
        <f>Q580+Q581</f>
        <v>0</v>
      </c>
      <c r="R579" s="255">
        <f>R580+R581</f>
        <v>0</v>
      </c>
      <c r="S579" s="255">
        <f>S580+S581</f>
        <v>0</v>
      </c>
      <c r="T579" s="255">
        <f>IF(Q579&gt;0,S579*100/Q579,0)</f>
        <v>0</v>
      </c>
      <c r="U579" s="255">
        <f>IF(R579&gt;0,S579*100/R579,0)</f>
        <v>0</v>
      </c>
    </row>
    <row r="580" spans="1:21" ht="18.75" hidden="1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102">
        <v>0</v>
      </c>
      <c r="M580" s="102">
        <v>0</v>
      </c>
      <c r="N580" s="102">
        <v>0</v>
      </c>
      <c r="O580" s="102">
        <f>IF(L580&gt;0,N580*100/L580,0)</f>
        <v>0</v>
      </c>
      <c r="P580" s="102">
        <f>IF(M580&gt;0,N580*100/M580,0)</f>
        <v>0</v>
      </c>
      <c r="Q580" s="102">
        <v>0</v>
      </c>
      <c r="R580" s="102">
        <v>0</v>
      </c>
      <c r="S580" s="102">
        <v>0</v>
      </c>
      <c r="T580" s="102">
        <f>IF(Q580&gt;0,S580*100/Q580,0)</f>
        <v>0</v>
      </c>
      <c r="U580" s="102">
        <f>IF(R580&gt;0,S580*100/R580,0)</f>
        <v>0</v>
      </c>
    </row>
    <row r="581" spans="1:21" ht="18.75" hidden="1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255">
        <v>0</v>
      </c>
      <c r="M581" s="255">
        <v>0</v>
      </c>
      <c r="N581" s="255">
        <v>0</v>
      </c>
      <c r="O581" s="255">
        <f>IF(L581&gt;0,N581*100/L581,0)</f>
        <v>0</v>
      </c>
      <c r="P581" s="255">
        <f>IF(M581&gt;0,N581*100/M581,0)</f>
        <v>0</v>
      </c>
      <c r="Q581" s="255">
        <v>0</v>
      </c>
      <c r="R581" s="255">
        <v>0</v>
      </c>
      <c r="S581" s="255">
        <v>0</v>
      </c>
      <c r="T581" s="255">
        <f>IF(Q581&gt;0,S581*100/Q581,0)</f>
        <v>0</v>
      </c>
      <c r="U581" s="255">
        <f>IF(R581&gt;0,S581*100/R581,0)</f>
        <v>0</v>
      </c>
    </row>
    <row r="582" spans="1:21" ht="18.75" hidden="1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255">
        <f>L583+L584</f>
        <v>0</v>
      </c>
      <c r="M582" s="255">
        <f>M583+M584</f>
        <v>0</v>
      </c>
      <c r="N582" s="255">
        <f>N583+N584</f>
        <v>0</v>
      </c>
      <c r="O582" s="255">
        <f>IF(L582&gt;0,N582*100/L582,0)</f>
        <v>0</v>
      </c>
      <c r="P582" s="255">
        <f>IF(M582&gt;0,N582*100/M582,0)</f>
        <v>0</v>
      </c>
      <c r="Q582" s="255">
        <f>Q583+Q584</f>
        <v>0</v>
      </c>
      <c r="R582" s="255">
        <f>R583+R584</f>
        <v>0</v>
      </c>
      <c r="S582" s="255">
        <f>S583+S584</f>
        <v>0</v>
      </c>
      <c r="T582" s="255">
        <f>IF(Q582&gt;0,S582*100/Q582,0)</f>
        <v>0</v>
      </c>
      <c r="U582" s="255">
        <f>IF(R582&gt;0,S582*100/R582,0)</f>
        <v>0</v>
      </c>
    </row>
    <row r="583" spans="1:21" ht="18.75" hidden="1">
      <c r="A583" s="155"/>
      <c r="B583" s="188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102">
        <v>0</v>
      </c>
      <c r="M583" s="102">
        <v>0</v>
      </c>
      <c r="N583" s="102">
        <v>0</v>
      </c>
      <c r="O583" s="102">
        <f>IF(L583&gt;0,N583*100/L583,0)</f>
        <v>0</v>
      </c>
      <c r="P583" s="102">
        <f>IF(M583&gt;0,N583*100/M583,0)</f>
        <v>0</v>
      </c>
      <c r="Q583" s="102">
        <v>0</v>
      </c>
      <c r="R583" s="102">
        <v>0</v>
      </c>
      <c r="S583" s="102">
        <v>0</v>
      </c>
      <c r="T583" s="102">
        <f>IF(Q583&gt;0,S583*100/Q583,0)</f>
        <v>0</v>
      </c>
      <c r="U583" s="102">
        <f>IF(R583&gt;0,S583*100/R583,0)</f>
        <v>0</v>
      </c>
    </row>
    <row r="584" spans="1:21" ht="18.75" hidden="1">
      <c r="A584" s="155"/>
      <c r="B584" s="50"/>
      <c r="C584" s="188"/>
      <c r="D584" s="50"/>
      <c r="E584" s="239" t="s">
        <v>21</v>
      </c>
      <c r="F584" s="50"/>
      <c r="G584" s="52"/>
      <c r="H584" s="165" t="s">
        <v>14</v>
      </c>
      <c r="I584" s="163"/>
      <c r="J584" s="163"/>
      <c r="K584" s="164"/>
      <c r="L584" s="255">
        <v>0</v>
      </c>
      <c r="M584" s="255">
        <v>0</v>
      </c>
      <c r="N584" s="255">
        <v>0</v>
      </c>
      <c r="O584" s="255">
        <f>IF(L584&gt;0,N584*100/L584,0)</f>
        <v>0</v>
      </c>
      <c r="P584" s="255">
        <f>IF(M584&gt;0,N584*100/M584,0)</f>
        <v>0</v>
      </c>
      <c r="Q584" s="255">
        <v>0</v>
      </c>
      <c r="R584" s="255">
        <v>0</v>
      </c>
      <c r="S584" s="255">
        <v>0</v>
      </c>
      <c r="T584" s="255">
        <f>IF(Q584&gt;0,S584*100/Q584,0)</f>
        <v>0</v>
      </c>
      <c r="U584" s="255">
        <f>IF(R584&gt;0,S584*100/R584,0)</f>
        <v>0</v>
      </c>
    </row>
    <row r="585" spans="1:21" ht="19.5" hidden="1">
      <c r="A585" s="166"/>
      <c r="B585" s="167"/>
      <c r="C585" s="367" t="s">
        <v>18</v>
      </c>
      <c r="D585" s="566" t="s">
        <v>38</v>
      </c>
      <c r="E585" s="232"/>
      <c r="F585" s="169"/>
      <c r="G585" s="170"/>
      <c r="H585" s="171"/>
      <c r="I585" s="163"/>
      <c r="J585" s="54"/>
      <c r="K585" s="55"/>
      <c r="L585" s="55"/>
      <c r="M585" s="55"/>
      <c r="N585" s="55"/>
      <c r="O585" s="164"/>
      <c r="P585" s="164"/>
      <c r="Q585" s="55"/>
      <c r="R585" s="55"/>
      <c r="S585" s="55"/>
      <c r="T585" s="164"/>
      <c r="U585" s="164"/>
    </row>
    <row r="586" spans="1:21" ht="12.75" hidden="1">
      <c r="A586" s="258"/>
      <c r="B586" s="259"/>
      <c r="C586" s="259"/>
      <c r="D586" s="260"/>
      <c r="E586" s="259"/>
      <c r="F586" s="260"/>
      <c r="G586" s="261"/>
      <c r="H586" s="262"/>
      <c r="I586" s="263"/>
      <c r="J586" s="263"/>
      <c r="K586" s="264"/>
      <c r="L586" s="264"/>
      <c r="M586" s="264"/>
      <c r="N586" s="264"/>
      <c r="O586" s="264"/>
      <c r="P586" s="264"/>
      <c r="Q586" s="264"/>
      <c r="R586" s="264"/>
      <c r="S586" s="264"/>
      <c r="T586" s="264"/>
      <c r="U586" s="264"/>
    </row>
    <row r="587" spans="1:21" ht="12.75" hidden="1">
      <c r="A587" s="258"/>
      <c r="B587" s="259"/>
      <c r="C587" s="259"/>
      <c r="D587" s="260"/>
      <c r="E587" s="259"/>
      <c r="F587" s="260"/>
      <c r="G587" s="261"/>
      <c r="H587" s="262"/>
      <c r="I587" s="263"/>
      <c r="J587" s="263"/>
      <c r="K587" s="264"/>
      <c r="L587" s="264"/>
      <c r="M587" s="264"/>
      <c r="N587" s="264"/>
      <c r="O587" s="264"/>
      <c r="P587" s="264"/>
      <c r="Q587" s="264"/>
      <c r="R587" s="264"/>
      <c r="S587" s="264"/>
      <c r="T587" s="264"/>
      <c r="U587" s="264"/>
    </row>
    <row r="588" spans="1:21" ht="12.75" hidden="1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4"/>
      <c r="M588" s="264"/>
      <c r="N588" s="264"/>
      <c r="O588" s="264"/>
      <c r="P588" s="264"/>
      <c r="Q588" s="264"/>
      <c r="R588" s="264"/>
      <c r="S588" s="264"/>
      <c r="T588" s="264"/>
      <c r="U588" s="264"/>
    </row>
    <row r="589" spans="1:21" ht="12.75" hidden="1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4"/>
      <c r="M589" s="264"/>
      <c r="N589" s="264"/>
      <c r="O589" s="264"/>
      <c r="P589" s="264"/>
      <c r="Q589" s="264"/>
      <c r="R589" s="264"/>
      <c r="S589" s="264"/>
      <c r="T589" s="264"/>
      <c r="U589" s="264"/>
    </row>
    <row r="590" spans="1:21" ht="12.75" hidden="1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4"/>
      <c r="M590" s="264"/>
      <c r="N590" s="264"/>
      <c r="O590" s="264"/>
      <c r="P590" s="264"/>
      <c r="Q590" s="264"/>
      <c r="R590" s="264"/>
      <c r="S590" s="264"/>
      <c r="T590" s="264"/>
      <c r="U590" s="264"/>
    </row>
    <row r="591" spans="1:21" ht="12.75" hidden="1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4"/>
      <c r="M591" s="264"/>
      <c r="N591" s="264"/>
      <c r="O591" s="264"/>
      <c r="P591" s="264"/>
      <c r="Q591" s="264"/>
      <c r="R591" s="264"/>
      <c r="S591" s="264"/>
      <c r="T591" s="264"/>
      <c r="U591" s="264"/>
    </row>
    <row r="592" spans="1:21" ht="12.75" hidden="1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4"/>
      <c r="M592" s="264"/>
      <c r="N592" s="264"/>
      <c r="O592" s="264"/>
      <c r="P592" s="264"/>
      <c r="Q592" s="264"/>
      <c r="R592" s="264"/>
      <c r="S592" s="264"/>
      <c r="T592" s="264"/>
      <c r="U592" s="264"/>
    </row>
    <row r="593" spans="1:21" ht="12.75" hidden="1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4"/>
      <c r="M593" s="264"/>
      <c r="N593" s="264"/>
      <c r="O593" s="264"/>
      <c r="P593" s="264"/>
      <c r="Q593" s="264"/>
      <c r="R593" s="264"/>
      <c r="S593" s="264"/>
      <c r="T593" s="264"/>
      <c r="U593" s="264"/>
    </row>
    <row r="594" spans="1:21" ht="12.75" hidden="1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4"/>
      <c r="M594" s="264"/>
      <c r="N594" s="264"/>
      <c r="O594" s="264"/>
      <c r="P594" s="264"/>
      <c r="Q594" s="264"/>
      <c r="R594" s="264"/>
      <c r="S594" s="264"/>
      <c r="T594" s="264"/>
      <c r="U594" s="264"/>
    </row>
    <row r="595" spans="1:21" ht="12.75" hidden="1">
      <c r="A595" s="407"/>
      <c r="B595" s="360"/>
      <c r="C595" s="360"/>
      <c r="D595" s="360"/>
      <c r="E595" s="408"/>
      <c r="F595" s="408"/>
      <c r="G595" s="409"/>
      <c r="H595" s="361"/>
      <c r="I595" s="362"/>
      <c r="J595" s="362"/>
      <c r="K595" s="363"/>
      <c r="L595" s="363"/>
      <c r="M595" s="363"/>
      <c r="N595" s="363"/>
      <c r="O595" s="363"/>
      <c r="P595" s="363"/>
      <c r="Q595" s="363"/>
      <c r="R595" s="363"/>
      <c r="S595" s="363"/>
      <c r="T595" s="363"/>
      <c r="U595" s="363"/>
    </row>
    <row r="596" spans="1:21" ht="19.5" hidden="1">
      <c r="A596" s="412" t="s">
        <v>214</v>
      </c>
      <c r="B596" s="145"/>
      <c r="C596" s="196"/>
      <c r="D596" s="144"/>
      <c r="E596" s="144"/>
      <c r="F596" s="144"/>
      <c r="G596" s="144"/>
      <c r="H596" s="145"/>
      <c r="I596" s="197"/>
      <c r="J596" s="197"/>
      <c r="K596" s="19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8"/>
    </row>
    <row r="597" spans="1:21" ht="19.5" hidden="1">
      <c r="A597" s="150"/>
      <c r="B597" s="814" t="s">
        <v>215</v>
      </c>
      <c r="C597" s="200"/>
      <c r="D597" s="151"/>
      <c r="E597" s="34"/>
      <c r="F597" s="34"/>
      <c r="G597" s="34"/>
      <c r="H597" s="414" t="s">
        <v>99</v>
      </c>
      <c r="I597" s="210"/>
      <c r="J597" s="39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</row>
    <row r="598" spans="1:21" ht="19.5" hidden="1">
      <c r="A598" s="415"/>
      <c r="B598" s="416" t="s">
        <v>216</v>
      </c>
      <c r="C598" s="151"/>
      <c r="D598" s="34"/>
      <c r="E598" s="34"/>
      <c r="F598" s="34"/>
      <c r="G598" s="37"/>
      <c r="H598" s="417" t="s">
        <v>35</v>
      </c>
      <c r="I598" s="39"/>
      <c r="J598" s="39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</row>
    <row r="599" spans="1:21" ht="19.5" hidden="1">
      <c r="A599" s="155"/>
      <c r="B599" s="188"/>
      <c r="C599" s="205" t="s">
        <v>18</v>
      </c>
      <c r="D599" s="563" t="s">
        <v>19</v>
      </c>
      <c r="E599" s="529"/>
      <c r="F599" s="529"/>
      <c r="G599" s="530"/>
      <c r="H599" s="418" t="s">
        <v>14</v>
      </c>
      <c r="I599" s="54"/>
      <c r="J599" s="54"/>
      <c r="K599" s="55"/>
      <c r="L599" s="540">
        <f>L600+L601</f>
        <v>0</v>
      </c>
      <c r="M599" s="540">
        <f>M600+M601</f>
        <v>0</v>
      </c>
      <c r="N599" s="540">
        <f>N600+N601</f>
        <v>0</v>
      </c>
      <c r="O599" s="540">
        <f>IF(L599&gt;0,N599*100/L599,0)</f>
        <v>0</v>
      </c>
      <c r="P599" s="540">
        <f>IF(M599&gt;0,N599*100/M599,0)</f>
        <v>0</v>
      </c>
      <c r="Q599" s="540">
        <f>Q600+Q601</f>
        <v>0</v>
      </c>
      <c r="R599" s="540">
        <f>R600+R601</f>
        <v>0</v>
      </c>
      <c r="S599" s="540">
        <f>S600+S601</f>
        <v>0</v>
      </c>
      <c r="T599" s="540">
        <f>IF(Q599&gt;0,S599*100/Q599,0)</f>
        <v>0</v>
      </c>
      <c r="U599" s="540">
        <f>IF(R599&gt;0,S599*100/R599,0)</f>
        <v>0</v>
      </c>
    </row>
    <row r="600" spans="1:21" ht="18.75" hidden="1">
      <c r="A600" s="155"/>
      <c r="B600" s="188"/>
      <c r="C600" s="188"/>
      <c r="D600" s="174"/>
      <c r="E600" s="186" t="s">
        <v>159</v>
      </c>
      <c r="F600" s="50"/>
      <c r="G600" s="52"/>
      <c r="H600" s="189" t="s">
        <v>14</v>
      </c>
      <c r="I600" s="54"/>
      <c r="J600" s="54"/>
      <c r="K600" s="55"/>
      <c r="L600" s="102">
        <f>L603+L606</f>
        <v>0</v>
      </c>
      <c r="M600" s="102">
        <f>M603+M606</f>
        <v>0</v>
      </c>
      <c r="N600" s="102">
        <f>N603+N606</f>
        <v>0</v>
      </c>
      <c r="O600" s="102">
        <f>IF(L600&gt;0,N600*100/L600,0)</f>
        <v>0</v>
      </c>
      <c r="P600" s="102">
        <f>IF(M600&gt;0,N600*100/M600,0)</f>
        <v>0</v>
      </c>
      <c r="Q600" s="102">
        <f>Q603+Q606</f>
        <v>0</v>
      </c>
      <c r="R600" s="102">
        <f>R603+R606</f>
        <v>0</v>
      </c>
      <c r="S600" s="102">
        <f>S603+S606</f>
        <v>0</v>
      </c>
      <c r="T600" s="102">
        <f>IF(Q600&gt;0,S600*100/Q600,0)</f>
        <v>0</v>
      </c>
      <c r="U600" s="102">
        <f>IF(R600&gt;0,S600*100/R600,0)</f>
        <v>0</v>
      </c>
    </row>
    <row r="601" spans="1:21" ht="18.75" hidden="1">
      <c r="A601" s="155"/>
      <c r="B601" s="188"/>
      <c r="C601" s="188"/>
      <c r="D601" s="174"/>
      <c r="E601" s="186" t="s">
        <v>160</v>
      </c>
      <c r="F601" s="50"/>
      <c r="G601" s="52"/>
      <c r="H601" s="189" t="s">
        <v>14</v>
      </c>
      <c r="I601" s="54"/>
      <c r="J601" s="54"/>
      <c r="K601" s="55"/>
      <c r="L601" s="255">
        <f>L604+L607</f>
        <v>0</v>
      </c>
      <c r="M601" s="255">
        <f>M604+M607</f>
        <v>0</v>
      </c>
      <c r="N601" s="255">
        <f>N604+N607</f>
        <v>0</v>
      </c>
      <c r="O601" s="255">
        <f>IF(L601&gt;0,N601*100/L601,0)</f>
        <v>0</v>
      </c>
      <c r="P601" s="255">
        <f>IF(M601&gt;0,N601*100/M601,0)</f>
        <v>0</v>
      </c>
      <c r="Q601" s="255">
        <f>Q604+Q607</f>
        <v>0</v>
      </c>
      <c r="R601" s="255">
        <f>R604+R607</f>
        <v>0</v>
      </c>
      <c r="S601" s="255">
        <f>S604+S607</f>
        <v>0</v>
      </c>
      <c r="T601" s="255">
        <f>IF(Q601&gt;0,S601*100/Q601,0)</f>
        <v>0</v>
      </c>
      <c r="U601" s="255">
        <f>IF(R601&gt;0,S601*100/R601,0)</f>
        <v>0</v>
      </c>
    </row>
    <row r="602" spans="1:21" ht="19.5" hidden="1">
      <c r="A602" s="155"/>
      <c r="B602" s="188"/>
      <c r="C602" s="188"/>
      <c r="D602" s="562" t="s">
        <v>22</v>
      </c>
      <c r="E602" s="50"/>
      <c r="F602" s="50"/>
      <c r="G602" s="52"/>
      <c r="H602" s="418" t="s">
        <v>14</v>
      </c>
      <c r="I602" s="163"/>
      <c r="J602" s="163"/>
      <c r="K602" s="164"/>
      <c r="L602" s="255">
        <f>L603+L604</f>
        <v>0</v>
      </c>
      <c r="M602" s="255">
        <f>M603+M604</f>
        <v>0</v>
      </c>
      <c r="N602" s="255">
        <f>N603+N604</f>
        <v>0</v>
      </c>
      <c r="O602" s="255">
        <f>IF(L602&gt;0,N602*100/L602,0)</f>
        <v>0</v>
      </c>
      <c r="P602" s="255">
        <f>IF(M602&gt;0,N602*100/M602,0)</f>
        <v>0</v>
      </c>
      <c r="Q602" s="255">
        <f>Q603+Q604</f>
        <v>0</v>
      </c>
      <c r="R602" s="255">
        <f>R603+R604</f>
        <v>0</v>
      </c>
      <c r="S602" s="255">
        <f>S603+S604</f>
        <v>0</v>
      </c>
      <c r="T602" s="255">
        <f>IF(Q602&gt;0,S602*100/Q602,0)</f>
        <v>0</v>
      </c>
      <c r="U602" s="255">
        <f>IF(R602&gt;0,S602*100/R602,0)</f>
        <v>0</v>
      </c>
    </row>
    <row r="603" spans="1:21" ht="18.75" hidden="1">
      <c r="A603" s="155"/>
      <c r="B603" s="188"/>
      <c r="C603" s="188"/>
      <c r="D603" s="174"/>
      <c r="E603" s="358" t="s">
        <v>159</v>
      </c>
      <c r="F603" s="50"/>
      <c r="G603" s="52"/>
      <c r="H603" s="189" t="s">
        <v>14</v>
      </c>
      <c r="I603" s="54"/>
      <c r="J603" s="54"/>
      <c r="K603" s="55"/>
      <c r="L603" s="102">
        <v>0</v>
      </c>
      <c r="M603" s="102">
        <v>0</v>
      </c>
      <c r="N603" s="102">
        <v>0</v>
      </c>
      <c r="O603" s="102">
        <f>IF(L603&gt;0,N603*100/L603,0)</f>
        <v>0</v>
      </c>
      <c r="P603" s="102">
        <f>IF(M603&gt;0,N603*100/M603,0)</f>
        <v>0</v>
      </c>
      <c r="Q603" s="102">
        <v>0</v>
      </c>
      <c r="R603" s="102">
        <v>0</v>
      </c>
      <c r="S603" s="102">
        <v>0</v>
      </c>
      <c r="T603" s="102">
        <f>IF(Q603&gt;0,S603*100/Q603,0)</f>
        <v>0</v>
      </c>
      <c r="U603" s="102">
        <f>IF(R603&gt;0,S603*100/R603,0)</f>
        <v>0</v>
      </c>
    </row>
    <row r="604" spans="1:21" ht="18.75" hidden="1">
      <c r="A604" s="155"/>
      <c r="B604" s="188"/>
      <c r="C604" s="188"/>
      <c r="D604" s="167"/>
      <c r="E604" s="358" t="s">
        <v>160</v>
      </c>
      <c r="F604" s="50"/>
      <c r="G604" s="52"/>
      <c r="H604" s="189" t="s">
        <v>14</v>
      </c>
      <c r="I604" s="54"/>
      <c r="J604" s="54"/>
      <c r="K604" s="55"/>
      <c r="L604" s="255">
        <v>0</v>
      </c>
      <c r="M604" s="255">
        <v>0</v>
      </c>
      <c r="N604" s="255">
        <v>0</v>
      </c>
      <c r="O604" s="255">
        <f>IF(L604&gt;0,N604*100/L604,0)</f>
        <v>0</v>
      </c>
      <c r="P604" s="255">
        <f>IF(M604&gt;0,N604*100/M604,0)</f>
        <v>0</v>
      </c>
      <c r="Q604" s="255">
        <v>0</v>
      </c>
      <c r="R604" s="255">
        <v>0</v>
      </c>
      <c r="S604" s="255">
        <v>0</v>
      </c>
      <c r="T604" s="255">
        <f>IF(Q604&gt;0,S604*100/Q604,0)</f>
        <v>0</v>
      </c>
      <c r="U604" s="255">
        <f>IF(R604&gt;0,S604*100/R604,0)</f>
        <v>0</v>
      </c>
    </row>
    <row r="605" spans="1:21" ht="19.5" hidden="1">
      <c r="A605" s="155"/>
      <c r="B605" s="188"/>
      <c r="C605" s="188"/>
      <c r="D605" s="562" t="s">
        <v>23</v>
      </c>
      <c r="E605" s="188"/>
      <c r="F605" s="50"/>
      <c r="G605" s="52"/>
      <c r="H605" s="420" t="s">
        <v>14</v>
      </c>
      <c r="I605" s="163"/>
      <c r="J605" s="163"/>
      <c r="K605" s="164"/>
      <c r="L605" s="255">
        <f>L606+L607</f>
        <v>0</v>
      </c>
      <c r="M605" s="255">
        <f>M606+M607</f>
        <v>0</v>
      </c>
      <c r="N605" s="255">
        <f>N606+N607</f>
        <v>0</v>
      </c>
      <c r="O605" s="255">
        <f>IF(L605&gt;0,N605*100/L605,0)</f>
        <v>0</v>
      </c>
      <c r="P605" s="255">
        <f>IF(M605&gt;0,N605*100/M605,0)</f>
        <v>0</v>
      </c>
      <c r="Q605" s="255">
        <f>Q606+Q607</f>
        <v>0</v>
      </c>
      <c r="R605" s="255">
        <f>R606+R607</f>
        <v>0</v>
      </c>
      <c r="S605" s="255">
        <f>S606+S607</f>
        <v>0</v>
      </c>
      <c r="T605" s="255">
        <f>IF(Q605&gt;0,S605*100/Q605,0)</f>
        <v>0</v>
      </c>
      <c r="U605" s="255">
        <f>IF(R605&gt;0,S605*100/R605,0)</f>
        <v>0</v>
      </c>
    </row>
    <row r="606" spans="1:21" ht="18.75" hidden="1">
      <c r="A606" s="155"/>
      <c r="B606" s="188"/>
      <c r="C606" s="188"/>
      <c r="D606" s="188"/>
      <c r="E606" s="358" t="s">
        <v>20</v>
      </c>
      <c r="F606" s="50"/>
      <c r="G606" s="52"/>
      <c r="H606" s="189" t="s">
        <v>14</v>
      </c>
      <c r="I606" s="163"/>
      <c r="J606" s="163"/>
      <c r="K606" s="164"/>
      <c r="L606" s="102">
        <v>0</v>
      </c>
      <c r="M606" s="102">
        <v>0</v>
      </c>
      <c r="N606" s="102">
        <v>0</v>
      </c>
      <c r="O606" s="102">
        <f>IF(L606&gt;0,N606*100/L606,0)</f>
        <v>0</v>
      </c>
      <c r="P606" s="102">
        <f>IF(M606&gt;0,N606*100/M606,0)</f>
        <v>0</v>
      </c>
      <c r="Q606" s="102">
        <v>0</v>
      </c>
      <c r="R606" s="102">
        <v>0</v>
      </c>
      <c r="S606" s="102">
        <v>0</v>
      </c>
      <c r="T606" s="102">
        <f>IF(Q606&gt;0,S606*100/Q606,0)</f>
        <v>0</v>
      </c>
      <c r="U606" s="102">
        <f>IF(R606&gt;0,S606*100/R606,0)</f>
        <v>0</v>
      </c>
    </row>
    <row r="607" spans="1:21" ht="18.75" hidden="1">
      <c r="A607" s="155"/>
      <c r="B607" s="188"/>
      <c r="C607" s="188"/>
      <c r="D607" s="188"/>
      <c r="E607" s="358" t="s">
        <v>21</v>
      </c>
      <c r="F607" s="50"/>
      <c r="G607" s="52"/>
      <c r="H607" s="421" t="s">
        <v>14</v>
      </c>
      <c r="I607" s="163"/>
      <c r="J607" s="163"/>
      <c r="K607" s="164"/>
      <c r="L607" s="255">
        <v>0</v>
      </c>
      <c r="M607" s="255">
        <v>0</v>
      </c>
      <c r="N607" s="255">
        <v>0</v>
      </c>
      <c r="O607" s="255">
        <f>IF(L607&gt;0,N607*100/L607,0)</f>
        <v>0</v>
      </c>
      <c r="P607" s="255">
        <f>IF(M607&gt;0,N607*100/M607,0)</f>
        <v>0</v>
      </c>
      <c r="Q607" s="255">
        <v>0</v>
      </c>
      <c r="R607" s="255">
        <v>0</v>
      </c>
      <c r="S607" s="255">
        <v>0</v>
      </c>
      <c r="T607" s="255">
        <f>IF(Q607&gt;0,S607*100/Q607,0)</f>
        <v>0</v>
      </c>
      <c r="U607" s="255">
        <f>IF(R607&gt;0,S607*100/R607,0)</f>
        <v>0</v>
      </c>
    </row>
    <row r="608" spans="1:21" ht="19.5" hidden="1">
      <c r="A608" s="166"/>
      <c r="B608" s="167"/>
      <c r="C608" s="205" t="s">
        <v>18</v>
      </c>
      <c r="D608" s="813" t="s">
        <v>38</v>
      </c>
      <c r="E608" s="169"/>
      <c r="F608" s="169"/>
      <c r="G608" s="170"/>
      <c r="H608" s="206"/>
      <c r="I608" s="163"/>
      <c r="J608" s="163"/>
      <c r="K608" s="164"/>
      <c r="L608" s="55"/>
      <c r="M608" s="55"/>
      <c r="N608" s="55"/>
      <c r="O608" s="55"/>
      <c r="P608" s="55"/>
      <c r="Q608" s="55"/>
      <c r="R608" s="55"/>
      <c r="S608" s="55"/>
      <c r="T608" s="55"/>
      <c r="U608" s="55"/>
    </row>
    <row r="609" spans="1:21" ht="18.75" hidden="1">
      <c r="A609" s="166"/>
      <c r="B609" s="167"/>
      <c r="C609" s="167"/>
      <c r="D609" s="423" t="s">
        <v>217</v>
      </c>
      <c r="E609" s="167"/>
      <c r="F609" s="174"/>
      <c r="G609" s="171"/>
      <c r="H609" s="189" t="s">
        <v>99</v>
      </c>
      <c r="I609" s="54"/>
      <c r="J609" s="54"/>
      <c r="K609" s="164"/>
      <c r="L609" s="55"/>
      <c r="M609" s="55"/>
      <c r="N609" s="55"/>
      <c r="O609" s="55"/>
      <c r="P609" s="55"/>
      <c r="Q609" s="55"/>
      <c r="R609" s="55"/>
      <c r="S609" s="55"/>
      <c r="T609" s="55"/>
      <c r="U609" s="55"/>
    </row>
    <row r="610" spans="1:21" ht="19.5" hidden="1">
      <c r="A610" s="166"/>
      <c r="B610" s="167"/>
      <c r="C610" s="167"/>
      <c r="D610" s="423" t="s">
        <v>218</v>
      </c>
      <c r="E610" s="167"/>
      <c r="F610" s="174"/>
      <c r="G610" s="171"/>
      <c r="H610" s="418" t="s">
        <v>35</v>
      </c>
      <c r="I610" s="54"/>
      <c r="J610" s="54"/>
      <c r="K610" s="164"/>
      <c r="L610" s="55"/>
      <c r="M610" s="55"/>
      <c r="N610" s="55"/>
      <c r="O610" s="55"/>
      <c r="P610" s="55"/>
      <c r="Q610" s="55"/>
      <c r="R610" s="55"/>
      <c r="S610" s="55"/>
      <c r="T610" s="55"/>
      <c r="U610" s="55"/>
    </row>
    <row r="611" spans="1:21" ht="18.75" hidden="1">
      <c r="A611" s="166"/>
      <c r="B611" s="167"/>
      <c r="C611" s="167"/>
      <c r="D611" s="167"/>
      <c r="E611" s="423" t="s">
        <v>219</v>
      </c>
      <c r="F611" s="174"/>
      <c r="G611" s="171"/>
      <c r="H611" s="421" t="s">
        <v>35</v>
      </c>
      <c r="I611" s="54"/>
      <c r="J611" s="54"/>
      <c r="K611" s="164"/>
      <c r="L611" s="55"/>
      <c r="M611" s="55"/>
      <c r="N611" s="55"/>
      <c r="O611" s="55"/>
      <c r="P611" s="55"/>
      <c r="Q611" s="55"/>
      <c r="R611" s="55"/>
      <c r="S611" s="55"/>
      <c r="T611" s="55"/>
      <c r="U611" s="55"/>
    </row>
    <row r="612" spans="1:21" ht="19.5" hidden="1" thickBot="1">
      <c r="A612" s="424"/>
      <c r="B612" s="425"/>
      <c r="C612" s="425"/>
      <c r="D612" s="425"/>
      <c r="E612" s="426" t="s">
        <v>220</v>
      </c>
      <c r="F612" s="427"/>
      <c r="G612" s="428"/>
      <c r="H612" s="429" t="s">
        <v>35</v>
      </c>
      <c r="I612" s="430"/>
      <c r="J612" s="430"/>
      <c r="K612" s="431"/>
      <c r="L612" s="432"/>
      <c r="M612" s="432"/>
      <c r="N612" s="432"/>
      <c r="O612" s="432"/>
      <c r="P612" s="432"/>
      <c r="Q612" s="432"/>
      <c r="R612" s="432"/>
      <c r="S612" s="432"/>
      <c r="T612" s="432"/>
      <c r="U612" s="432"/>
    </row>
    <row r="613" spans="1:21" ht="19.5" hidden="1">
      <c r="A613" s="434" t="s">
        <v>221</v>
      </c>
      <c r="B613" s="435"/>
      <c r="C613" s="435"/>
      <c r="D613" s="436"/>
      <c r="E613" s="436"/>
      <c r="F613" s="436"/>
      <c r="G613" s="437"/>
      <c r="H613" s="438"/>
      <c r="I613" s="439"/>
      <c r="J613" s="439"/>
      <c r="K613" s="440"/>
      <c r="L613" s="440"/>
      <c r="M613" s="440"/>
      <c r="N613" s="440"/>
      <c r="O613" s="440"/>
      <c r="P613" s="440"/>
      <c r="Q613" s="440"/>
      <c r="R613" s="440"/>
      <c r="S613" s="440"/>
      <c r="T613" s="440"/>
      <c r="U613" s="440"/>
    </row>
    <row r="614" spans="1:21" ht="19.5">
      <c r="A614" s="442"/>
      <c r="B614" s="443" t="s">
        <v>222</v>
      </c>
      <c r="C614" s="442"/>
      <c r="D614" s="444"/>
      <c r="E614" s="444"/>
      <c r="F614" s="444"/>
      <c r="G614" s="445"/>
      <c r="H614" s="446"/>
      <c r="I614" s="447"/>
      <c r="J614" s="447"/>
      <c r="K614" s="448"/>
      <c r="L614" s="448"/>
      <c r="M614" s="448"/>
      <c r="N614" s="448"/>
      <c r="O614" s="448"/>
      <c r="P614" s="448"/>
      <c r="Q614" s="448"/>
      <c r="R614" s="448"/>
      <c r="S614" s="448"/>
      <c r="T614" s="448"/>
      <c r="U614" s="448"/>
    </row>
    <row r="615" spans="1:21" ht="19.5">
      <c r="A615" s="450"/>
      <c r="B615" s="451" t="s">
        <v>223</v>
      </c>
      <c r="C615" s="450"/>
      <c r="D615" s="452"/>
      <c r="E615" s="452"/>
      <c r="F615" s="452"/>
      <c r="G615" s="453"/>
      <c r="H615" s="454" t="s">
        <v>46</v>
      </c>
      <c r="I615" s="573">
        <f ca="1">I626</f>
        <v>0</v>
      </c>
      <c r="J615" s="573">
        <f>J626</f>
        <v>0</v>
      </c>
      <c r="K615" s="572">
        <f ca="1">IF(I615&gt;0,J615*100/I615,0)</f>
        <v>0</v>
      </c>
      <c r="L615" s="457"/>
      <c r="M615" s="457"/>
      <c r="N615" s="457"/>
      <c r="O615" s="457"/>
      <c r="P615" s="457"/>
      <c r="Q615" s="457"/>
      <c r="R615" s="457"/>
      <c r="S615" s="457"/>
      <c r="T615" s="457"/>
      <c r="U615" s="457"/>
    </row>
    <row r="616" spans="1:21" ht="19.5">
      <c r="A616" s="155"/>
      <c r="B616" s="188"/>
      <c r="C616" s="205" t="s">
        <v>18</v>
      </c>
      <c r="D616" s="542" t="s">
        <v>19</v>
      </c>
      <c r="E616" s="529"/>
      <c r="F616" s="529"/>
      <c r="G616" s="530"/>
      <c r="H616" s="252" t="s">
        <v>14</v>
      </c>
      <c r="I616" s="54"/>
      <c r="J616" s="54"/>
      <c r="K616" s="55"/>
      <c r="L616" s="540">
        <f>L617+L618</f>
        <v>0</v>
      </c>
      <c r="M616" s="540">
        <f>M617+M618</f>
        <v>0</v>
      </c>
      <c r="N616" s="540">
        <f>N617+N618</f>
        <v>0</v>
      </c>
      <c r="O616" s="540">
        <f>IF(L616&gt;0,N616*100/L616,0)</f>
        <v>0</v>
      </c>
      <c r="P616" s="540">
        <f>IF(M616&gt;0,N616*100/M616,0)</f>
        <v>0</v>
      </c>
      <c r="Q616" s="540">
        <f ca="1">Q617+Q618</f>
        <v>1225</v>
      </c>
      <c r="R616" s="540">
        <f ca="1">R617+R618</f>
        <v>1225</v>
      </c>
      <c r="S616" s="540">
        <f ca="1">S617+S618</f>
        <v>0</v>
      </c>
      <c r="T616" s="540">
        <f ca="1">IF(Q616&gt;0,S616*100/Q616,0)</f>
        <v>0</v>
      </c>
      <c r="U616" s="540">
        <f ca="1">IF(R616&gt;0,S616*100/R616,0)</f>
        <v>0</v>
      </c>
    </row>
    <row r="617" spans="1:21" ht="18.75" hidden="1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102">
        <f>L620+L623</f>
        <v>0</v>
      </c>
      <c r="M617" s="102">
        <f>M620+M623</f>
        <v>0</v>
      </c>
      <c r="N617" s="102">
        <f>N620+N623</f>
        <v>0</v>
      </c>
      <c r="O617" s="102">
        <f>IF(L617&gt;0,N617*100/L617,0)</f>
        <v>0</v>
      </c>
      <c r="P617" s="102">
        <f>IF(M617&gt;0,N617*100/M617,0)</f>
        <v>0</v>
      </c>
      <c r="Q617" s="102">
        <f>Q620+Q623</f>
        <v>0</v>
      </c>
      <c r="R617" s="102">
        <f>R620+R623</f>
        <v>0</v>
      </c>
      <c r="S617" s="102">
        <f>S620+S623</f>
        <v>0</v>
      </c>
      <c r="T617" s="102">
        <f>IF(Q617&gt;0,S617*100/Q617,0)</f>
        <v>0</v>
      </c>
      <c r="U617" s="102">
        <f>IF(R617&gt;0,S617*100/R617,0)</f>
        <v>0</v>
      </c>
    </row>
    <row r="618" spans="1:21" ht="18.75" hidden="1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255">
        <f>L621+L624</f>
        <v>0</v>
      </c>
      <c r="M618" s="255">
        <f>M621+M624</f>
        <v>0</v>
      </c>
      <c r="N618" s="255">
        <f>N621+N624</f>
        <v>0</v>
      </c>
      <c r="O618" s="255">
        <f>IF(L618&gt;0,N618*100/L618,0)</f>
        <v>0</v>
      </c>
      <c r="P618" s="255">
        <f>IF(M618&gt;0,N618*100/M618,0)</f>
        <v>0</v>
      </c>
      <c r="Q618" s="255">
        <f ca="1">Q621+Q624</f>
        <v>1225</v>
      </c>
      <c r="R618" s="255">
        <f ca="1">R621+R624</f>
        <v>1225</v>
      </c>
      <c r="S618" s="255">
        <f ca="1">S621+S624</f>
        <v>0</v>
      </c>
      <c r="T618" s="255">
        <f ca="1">IF(Q618&gt;0,S618*100/Q618,0)</f>
        <v>0</v>
      </c>
      <c r="U618" s="255">
        <f ca="1">IF(R618&gt;0,S618*100/R618,0)</f>
        <v>0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255">
        <f>L620+L621</f>
        <v>0</v>
      </c>
      <c r="M619" s="255">
        <f>M620+M621</f>
        <v>0</v>
      </c>
      <c r="N619" s="255">
        <f>N620+N621</f>
        <v>0</v>
      </c>
      <c r="O619" s="255">
        <f>IF(L619&gt;0,N619*100/L619,0)</f>
        <v>0</v>
      </c>
      <c r="P619" s="255">
        <f>IF(M619&gt;0,N619*100/M619,0)</f>
        <v>0</v>
      </c>
      <c r="Q619" s="255">
        <f ca="1">Q620+Q621</f>
        <v>1225</v>
      </c>
      <c r="R619" s="255">
        <f ca="1">R620+R621</f>
        <v>1225</v>
      </c>
      <c r="S619" s="255">
        <f ca="1">S620+S621</f>
        <v>0</v>
      </c>
      <c r="T619" s="255">
        <f ca="1">IF(Q619&gt;0,S619*100/Q619,0)</f>
        <v>0</v>
      </c>
      <c r="U619" s="255">
        <f ca="1">IF(R619&gt;0,S619*100/R619,0)</f>
        <v>0</v>
      </c>
    </row>
    <row r="620" spans="1:21" ht="18.75" hidden="1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102">
        <v>0</v>
      </c>
      <c r="M620" s="102">
        <v>0</v>
      </c>
      <c r="N620" s="102">
        <v>0</v>
      </c>
      <c r="O620" s="102">
        <f>IF(L620&gt;0,N620*100/L620,0)</f>
        <v>0</v>
      </c>
      <c r="P620" s="102">
        <f>IF(M620&gt;0,N620*100/M620,0)</f>
        <v>0</v>
      </c>
      <c r="Q620" s="102">
        <v>0</v>
      </c>
      <c r="R620" s="102">
        <v>0</v>
      </c>
      <c r="S620" s="102">
        <v>0</v>
      </c>
      <c r="T620" s="102">
        <f>IF(Q620&gt;0,S620*100/Q620,0)</f>
        <v>0</v>
      </c>
      <c r="U620" s="102">
        <f>IF(R620&gt;0,S620*100/R620,0)</f>
        <v>0</v>
      </c>
    </row>
    <row r="621" spans="1:21" ht="18.75" hidden="1">
      <c r="A621" s="155"/>
      <c r="B621" s="188"/>
      <c r="C621" s="188"/>
      <c r="D621" s="167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255">
        <v>0</v>
      </c>
      <c r="M621" s="255">
        <v>0</v>
      </c>
      <c r="N621" s="255">
        <v>0</v>
      </c>
      <c r="O621" s="255">
        <f>IF(L621&gt;0,N621*100/L621,0)</f>
        <v>0</v>
      </c>
      <c r="P621" s="255">
        <f>IF(M621&gt;0,N621*100/M621,0)</f>
        <v>0</v>
      </c>
      <c r="Q621" s="255">
        <f ca="1">IFERROR(__xludf.DUMMYFUNCTION("IMPORTRANGE(""https://docs.google.com/spreadsheets/d/1ItG2mGa2ceCfYo0BwxsXqNm01IGEUdYcSSLTEv9YCik/edit?usp=sharing"",""เบิกจ่ายกองทุน!F47"")"),1225)</f>
        <v>1225</v>
      </c>
      <c r="R621" s="255">
        <f ca="1">IFERROR(__xludf.DUMMYFUNCTION("IMPORTRANGE(""https://docs.google.com/spreadsheets/d/1ItG2mGa2ceCfYo0BwxsXqNm01IGEUdYcSSLTEv9YCik/edit?usp=sharing"",""เบิกจ่ายกองทุน!G47"")"),1225)</f>
        <v>1225</v>
      </c>
      <c r="S621" s="255">
        <f ca="1">IFERROR(__xludf.DUMMYFUNCTION("IMPORTRANGE(""https://docs.google.com/spreadsheets/d/1ItG2mGa2ceCfYo0BwxsXqNm01IGEUdYcSSLTEv9YCik/edit?usp=sharing"",""เบิกจ่ายกองทุน!H47"")"),0)</f>
        <v>0</v>
      </c>
      <c r="T621" s="255">
        <f ca="1">IF(Q621&gt;0,S621*100/Q621,0)</f>
        <v>0</v>
      </c>
      <c r="U621" s="255">
        <f ca="1">IF(R621&gt;0,S621*100/R621,0)</f>
        <v>0</v>
      </c>
    </row>
    <row r="622" spans="1:21" ht="18.75">
      <c r="A622" s="155"/>
      <c r="B622" s="188"/>
      <c r="C622" s="188"/>
      <c r="D622" s="602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255">
        <f>L623+L624</f>
        <v>0</v>
      </c>
      <c r="M622" s="255">
        <f>M623+M624</f>
        <v>0</v>
      </c>
      <c r="N622" s="255">
        <f>N623+N624</f>
        <v>0</v>
      </c>
      <c r="O622" s="255">
        <f>IF(L622&gt;0,N622*100/L622,0)</f>
        <v>0</v>
      </c>
      <c r="P622" s="255">
        <f>IF(M622&gt;0,N622*100/M622,0)</f>
        <v>0</v>
      </c>
      <c r="Q622" s="255">
        <f>Q623+Q624</f>
        <v>0</v>
      </c>
      <c r="R622" s="255">
        <f>R623+R624</f>
        <v>0</v>
      </c>
      <c r="S622" s="255">
        <f>S623+S624</f>
        <v>0</v>
      </c>
      <c r="T622" s="255">
        <f>IF(Q622&gt;0,S622*100/Q622,0)</f>
        <v>0</v>
      </c>
      <c r="U622" s="255">
        <f>IF(R622&gt;0,S622*100/R622,0)</f>
        <v>0</v>
      </c>
    </row>
    <row r="623" spans="1:21" ht="18.75" hidden="1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102">
        <v>0</v>
      </c>
      <c r="M623" s="102">
        <v>0</v>
      </c>
      <c r="N623" s="102">
        <v>0</v>
      </c>
      <c r="O623" s="102">
        <f>IF(L623&gt;0,N623*100/L623,0)</f>
        <v>0</v>
      </c>
      <c r="P623" s="102">
        <f>IF(M623&gt;0,N623*100/M623,0)</f>
        <v>0</v>
      </c>
      <c r="Q623" s="102">
        <v>0</v>
      </c>
      <c r="R623" s="102">
        <v>0</v>
      </c>
      <c r="S623" s="102">
        <v>0</v>
      </c>
      <c r="T623" s="102">
        <f>IF(Q623&gt;0,S623*100/Q623,0)</f>
        <v>0</v>
      </c>
      <c r="U623" s="102">
        <f>IF(R623&gt;0,S623*100/R623,0)</f>
        <v>0</v>
      </c>
    </row>
    <row r="624" spans="1:21" ht="18.75" hidden="1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255">
        <v>0</v>
      </c>
      <c r="M624" s="255">
        <v>0</v>
      </c>
      <c r="N624" s="255">
        <v>0</v>
      </c>
      <c r="O624" s="255">
        <f>IF(L624&gt;0,N624*100/L624,0)</f>
        <v>0</v>
      </c>
      <c r="P624" s="255">
        <f>IF(M624&gt;0,N624*100/M624,0)</f>
        <v>0</v>
      </c>
      <c r="Q624" s="255">
        <v>0</v>
      </c>
      <c r="R624" s="255">
        <v>0</v>
      </c>
      <c r="S624" s="255">
        <v>0</v>
      </c>
      <c r="T624" s="255">
        <f>IF(Q624&gt;0,S624*100/Q624,0)</f>
        <v>0</v>
      </c>
      <c r="U624" s="255">
        <f>IF(R624&gt;0,S624*100/R624,0)</f>
        <v>0</v>
      </c>
    </row>
    <row r="625" spans="1:21" ht="19.5">
      <c r="A625" s="166"/>
      <c r="B625" s="167"/>
      <c r="C625" s="205" t="s">
        <v>18</v>
      </c>
      <c r="D625" s="539" t="s">
        <v>38</v>
      </c>
      <c r="E625" s="169"/>
      <c r="F625" s="169"/>
      <c r="G625" s="170"/>
      <c r="H625" s="206"/>
      <c r="I625" s="163"/>
      <c r="J625" s="163"/>
      <c r="K625" s="164"/>
      <c r="L625" s="164"/>
      <c r="M625" s="164"/>
      <c r="N625" s="164"/>
      <c r="O625" s="164"/>
      <c r="P625" s="164"/>
      <c r="Q625" s="164"/>
      <c r="R625" s="164"/>
      <c r="S625" s="164"/>
      <c r="T625" s="164"/>
      <c r="U625" s="164"/>
    </row>
    <row r="626" spans="1:21" ht="19.5">
      <c r="A626" s="166"/>
      <c r="B626" s="167"/>
      <c r="C626" s="167"/>
      <c r="D626" s="460" t="s">
        <v>224</v>
      </c>
      <c r="E626" s="174"/>
      <c r="F626" s="174"/>
      <c r="G626" s="171"/>
      <c r="H626" s="461" t="s">
        <v>46</v>
      </c>
      <c r="I626" s="373">
        <f ca="1">IFERROR(__xludf.DUMMYFUNCTION("IMPORTRANGE(""https://docs.google.com/spreadsheets/d/1eHaY18a8A9IcSdp1K8H6x8fbOy06t2VsZHhMHf-1x7Y/edit?usp=sharing"",""แผน!ID47"")"),0)</f>
        <v>0</v>
      </c>
      <c r="J626" s="373">
        <f>J632</f>
        <v>0</v>
      </c>
      <c r="K626" s="540">
        <f ca="1">IF(I626&gt;0,J626*100/I626,0)</f>
        <v>0</v>
      </c>
      <c r="L626" s="164"/>
      <c r="M626" s="164"/>
      <c r="N626" s="164"/>
      <c r="O626" s="164"/>
      <c r="P626" s="164"/>
      <c r="Q626" s="164"/>
      <c r="R626" s="164"/>
      <c r="S626" s="164"/>
      <c r="T626" s="164"/>
      <c r="U626" s="164"/>
    </row>
    <row r="627" spans="1:21" ht="18.75">
      <c r="A627" s="166"/>
      <c r="B627" s="167"/>
      <c r="C627" s="167"/>
      <c r="D627" s="167"/>
      <c r="E627" s="178" t="s">
        <v>225</v>
      </c>
      <c r="F627" s="174"/>
      <c r="G627" s="171"/>
      <c r="H627" s="165" t="s">
        <v>61</v>
      </c>
      <c r="I627" s="212">
        <f ca="1">IFERROR(__xludf.DUMMYFUNCTION("IMPORTRANGE(""https://docs.google.com/spreadsheets/d/1eHaY18a8A9IcSdp1K8H6x8fbOy06t2VsZHhMHf-1x7Y/edit?usp=sharing"",""แผน!IC47"")"),0)</f>
        <v>0</v>
      </c>
      <c r="J627" s="467">
        <v>0</v>
      </c>
      <c r="K627" s="255">
        <f ca="1">IF(I627&gt;0,(J627*100)/I627,0)</f>
        <v>0</v>
      </c>
      <c r="L627" s="164"/>
      <c r="M627" s="164"/>
      <c r="N627" s="164"/>
      <c r="O627" s="164"/>
      <c r="P627" s="164"/>
      <c r="Q627" s="164"/>
      <c r="R627" s="164"/>
      <c r="S627" s="164"/>
      <c r="T627" s="164"/>
      <c r="U627" s="164"/>
    </row>
    <row r="628" spans="1:21" ht="18.75">
      <c r="A628" s="166"/>
      <c r="B628" s="167"/>
      <c r="C628" s="167"/>
      <c r="D628" s="167"/>
      <c r="E628" s="178" t="s">
        <v>226</v>
      </c>
      <c r="F628" s="174"/>
      <c r="G628" s="171"/>
      <c r="H628" s="165" t="s">
        <v>61</v>
      </c>
      <c r="I628" s="212">
        <f ca="1">IFERROR(__xludf.DUMMYFUNCTION("IMPORTRANGE(""https://docs.google.com/spreadsheets/d/1eHaY18a8A9IcSdp1K8H6x8fbOy06t2VsZHhMHf-1x7Y/edit?usp=sharing"",""แผน!IC47"")"),0)</f>
        <v>0</v>
      </c>
      <c r="J628" s="467">
        <v>0</v>
      </c>
      <c r="K628" s="255">
        <f ca="1">IF(I628&gt;0,(J628*100)/I628,0)</f>
        <v>0</v>
      </c>
      <c r="L628" s="164"/>
      <c r="M628" s="164"/>
      <c r="N628" s="164"/>
      <c r="O628" s="164"/>
      <c r="P628" s="164"/>
      <c r="Q628" s="164"/>
      <c r="R628" s="164"/>
      <c r="S628" s="164"/>
      <c r="T628" s="164"/>
      <c r="U628" s="164"/>
    </row>
    <row r="629" spans="1:21" ht="18.75">
      <c r="A629" s="166"/>
      <c r="B629" s="167"/>
      <c r="C629" s="167"/>
      <c r="D629" s="167"/>
      <c r="E629" s="178" t="s">
        <v>227</v>
      </c>
      <c r="F629" s="174"/>
      <c r="G629" s="171"/>
      <c r="H629" s="165" t="s">
        <v>46</v>
      </c>
      <c r="I629" s="54"/>
      <c r="J629" s="467">
        <v>0</v>
      </c>
      <c r="K629" s="255">
        <f ca="1">IF(I$626&gt;0,J629*100/I$626,0)</f>
        <v>0</v>
      </c>
      <c r="L629" s="164"/>
      <c r="M629" s="164"/>
      <c r="N629" s="164"/>
      <c r="O629" s="164"/>
      <c r="P629" s="164"/>
      <c r="Q629" s="164"/>
      <c r="R629" s="164"/>
      <c r="S629" s="164"/>
      <c r="T629" s="164"/>
      <c r="U629" s="164"/>
    </row>
    <row r="630" spans="1:21" ht="18.75">
      <c r="A630" s="166"/>
      <c r="B630" s="167"/>
      <c r="C630" s="167"/>
      <c r="D630" s="167"/>
      <c r="E630" s="178" t="s">
        <v>228</v>
      </c>
      <c r="F630" s="174"/>
      <c r="G630" s="171"/>
      <c r="H630" s="165" t="s">
        <v>46</v>
      </c>
      <c r="I630" s="54"/>
      <c r="J630" s="467">
        <v>0</v>
      </c>
      <c r="K630" s="255">
        <f ca="1">IF(I$626&gt;0,J630*100/I$626,0)</f>
        <v>0</v>
      </c>
      <c r="L630" s="164"/>
      <c r="M630" s="164"/>
      <c r="N630" s="164"/>
      <c r="O630" s="164"/>
      <c r="P630" s="164"/>
      <c r="Q630" s="164"/>
      <c r="R630" s="164"/>
      <c r="S630" s="164"/>
      <c r="T630" s="164"/>
      <c r="U630" s="164"/>
    </row>
    <row r="631" spans="1:21" ht="18.75">
      <c r="A631" s="166"/>
      <c r="B631" s="167"/>
      <c r="C631" s="167"/>
      <c r="D631" s="167"/>
      <c r="E631" s="178" t="s">
        <v>229</v>
      </c>
      <c r="F631" s="174"/>
      <c r="G631" s="171"/>
      <c r="H631" s="165" t="s">
        <v>46</v>
      </c>
      <c r="I631" s="54"/>
      <c r="J631" s="467">
        <v>0</v>
      </c>
      <c r="K631" s="255">
        <f ca="1">IF(I$626&gt;0,J631*100/I$626,0)</f>
        <v>0</v>
      </c>
      <c r="L631" s="164"/>
      <c r="M631" s="164"/>
      <c r="N631" s="164"/>
      <c r="O631" s="164"/>
      <c r="P631" s="164"/>
      <c r="Q631" s="164"/>
      <c r="R631" s="164"/>
      <c r="S631" s="164"/>
      <c r="T631" s="164"/>
      <c r="U631" s="164"/>
    </row>
    <row r="632" spans="1:21" ht="19.5">
      <c r="A632" s="166"/>
      <c r="B632" s="167"/>
      <c r="C632" s="167"/>
      <c r="D632" s="167"/>
      <c r="E632" s="178" t="s">
        <v>230</v>
      </c>
      <c r="F632" s="174"/>
      <c r="G632" s="171"/>
      <c r="H632" s="165" t="s">
        <v>46</v>
      </c>
      <c r="I632" s="54"/>
      <c r="J632" s="373">
        <f>J633+J634</f>
        <v>0</v>
      </c>
      <c r="K632" s="540">
        <f ca="1">IF(I626&gt;0,J632*100/I626,0)</f>
        <v>0</v>
      </c>
      <c r="L632" s="164"/>
      <c r="M632" s="164"/>
      <c r="N632" s="164"/>
      <c r="O632" s="164"/>
      <c r="P632" s="164"/>
      <c r="Q632" s="164"/>
      <c r="R632" s="164"/>
      <c r="S632" s="164"/>
      <c r="T632" s="164"/>
      <c r="U632" s="164"/>
    </row>
    <row r="633" spans="1:21" ht="18.75">
      <c r="A633" s="166"/>
      <c r="B633" s="167"/>
      <c r="C633" s="167"/>
      <c r="D633" s="167"/>
      <c r="E633" s="174"/>
      <c r="F633" s="178" t="s">
        <v>231</v>
      </c>
      <c r="G633" s="171"/>
      <c r="H633" s="165" t="s">
        <v>46</v>
      </c>
      <c r="I633" s="54"/>
      <c r="J633" s="467">
        <v>0</v>
      </c>
      <c r="K633" s="55"/>
      <c r="L633" s="164"/>
      <c r="M633" s="164"/>
      <c r="N633" s="164"/>
      <c r="O633" s="164"/>
      <c r="P633" s="164"/>
      <c r="Q633" s="164"/>
      <c r="R633" s="164"/>
      <c r="S633" s="164"/>
      <c r="T633" s="164"/>
      <c r="U633" s="164"/>
    </row>
    <row r="634" spans="1:21" ht="18.75">
      <c r="A634" s="166"/>
      <c r="B634" s="167"/>
      <c r="C634" s="167"/>
      <c r="D634" s="167"/>
      <c r="E634" s="174"/>
      <c r="F634" s="178" t="s">
        <v>232</v>
      </c>
      <c r="G634" s="171"/>
      <c r="H634" s="165" t="s">
        <v>46</v>
      </c>
      <c r="I634" s="54"/>
      <c r="J634" s="467">
        <v>0</v>
      </c>
      <c r="K634" s="55"/>
      <c r="L634" s="164"/>
      <c r="M634" s="164"/>
      <c r="N634" s="164"/>
      <c r="O634" s="164"/>
      <c r="P634" s="164"/>
      <c r="Q634" s="164"/>
      <c r="R634" s="164"/>
      <c r="S634" s="164"/>
      <c r="T634" s="164"/>
      <c r="U634" s="164"/>
    </row>
    <row r="635" spans="1:21" ht="19.5">
      <c r="A635" s="166"/>
      <c r="B635" s="167"/>
      <c r="C635" s="167"/>
      <c r="D635" s="460" t="s">
        <v>233</v>
      </c>
      <c r="E635" s="174"/>
      <c r="F635" s="174"/>
      <c r="G635" s="171"/>
      <c r="H635" s="165" t="s">
        <v>46</v>
      </c>
      <c r="I635" s="373">
        <f ca="1">IFERROR(__xludf.DUMMYFUNCTION("IMPORTRANGE(""https://docs.google.com/spreadsheets/d/1eHaY18a8A9IcSdp1K8H6x8fbOy06t2VsZHhMHf-1x7Y/edit?usp=sharing"",""แผน!IE47"")"),0)</f>
        <v>0</v>
      </c>
      <c r="J635" s="373">
        <f>J636</f>
        <v>0</v>
      </c>
      <c r="K635" s="540">
        <f ca="1">IF(I635&gt;0,J635*100/I635,0)</f>
        <v>0</v>
      </c>
      <c r="L635" s="164"/>
      <c r="M635" s="164"/>
      <c r="N635" s="164"/>
      <c r="O635" s="164"/>
      <c r="P635" s="164"/>
      <c r="Q635" s="164"/>
      <c r="R635" s="164"/>
      <c r="S635" s="164"/>
      <c r="T635" s="164"/>
      <c r="U635" s="164"/>
    </row>
    <row r="636" spans="1:21" ht="18.75">
      <c r="A636" s="166"/>
      <c r="B636" s="167"/>
      <c r="C636" s="167"/>
      <c r="D636" s="167"/>
      <c r="E636" s="178" t="s">
        <v>234</v>
      </c>
      <c r="F636" s="174"/>
      <c r="G636" s="171"/>
      <c r="H636" s="165" t="s">
        <v>46</v>
      </c>
      <c r="I636" s="54"/>
      <c r="J636" s="212">
        <f>J637+J638</f>
        <v>0</v>
      </c>
      <c r="K636" s="55"/>
      <c r="L636" s="164"/>
      <c r="M636" s="164"/>
      <c r="N636" s="164"/>
      <c r="O636" s="164"/>
      <c r="P636" s="164"/>
      <c r="Q636" s="164"/>
      <c r="R636" s="164"/>
      <c r="S636" s="164"/>
      <c r="T636" s="164"/>
      <c r="U636" s="164"/>
    </row>
    <row r="637" spans="1:21" ht="18.75">
      <c r="A637" s="166"/>
      <c r="B637" s="167"/>
      <c r="C637" s="167"/>
      <c r="D637" s="167"/>
      <c r="E637" s="174"/>
      <c r="F637" s="178" t="s">
        <v>231</v>
      </c>
      <c r="G637" s="171"/>
      <c r="H637" s="165" t="s">
        <v>46</v>
      </c>
      <c r="I637" s="54"/>
      <c r="J637" s="467">
        <v>0</v>
      </c>
      <c r="K637" s="55"/>
      <c r="L637" s="164"/>
      <c r="M637" s="164"/>
      <c r="N637" s="164"/>
      <c r="O637" s="164"/>
      <c r="P637" s="164"/>
      <c r="Q637" s="164"/>
      <c r="R637" s="164"/>
      <c r="S637" s="164"/>
      <c r="T637" s="164"/>
      <c r="U637" s="164"/>
    </row>
    <row r="638" spans="1:21" ht="18.75">
      <c r="A638" s="166"/>
      <c r="B638" s="167"/>
      <c r="C638" s="167"/>
      <c r="D638" s="167"/>
      <c r="E638" s="174"/>
      <c r="F638" s="178" t="s">
        <v>232</v>
      </c>
      <c r="G638" s="171"/>
      <c r="H638" s="165" t="s">
        <v>46</v>
      </c>
      <c r="I638" s="54"/>
      <c r="J638" s="467">
        <v>0</v>
      </c>
      <c r="K638" s="55"/>
      <c r="L638" s="164"/>
      <c r="M638" s="164"/>
      <c r="N638" s="164"/>
      <c r="O638" s="164"/>
      <c r="P638" s="164"/>
      <c r="Q638" s="164"/>
      <c r="R638" s="164"/>
      <c r="S638" s="164"/>
      <c r="T638" s="164"/>
      <c r="U638" s="164"/>
    </row>
    <row r="639" spans="1:21" ht="18.75">
      <c r="A639" s="166"/>
      <c r="B639" s="167"/>
      <c r="C639" s="167"/>
      <c r="D639" s="167"/>
      <c r="E639" s="178" t="s">
        <v>235</v>
      </c>
      <c r="F639" s="174"/>
      <c r="G639" s="171"/>
      <c r="H639" s="165" t="s">
        <v>46</v>
      </c>
      <c r="I639" s="54"/>
      <c r="J639" s="467">
        <v>0</v>
      </c>
      <c r="K639" s="55"/>
      <c r="L639" s="164"/>
      <c r="M639" s="164"/>
      <c r="N639" s="164"/>
      <c r="O639" s="164"/>
      <c r="P639" s="164"/>
      <c r="Q639" s="164"/>
      <c r="R639" s="164"/>
      <c r="S639" s="164"/>
      <c r="T639" s="164"/>
      <c r="U639" s="164"/>
    </row>
    <row r="640" spans="1:21" ht="18.75">
      <c r="A640" s="166"/>
      <c r="B640" s="167"/>
      <c r="C640" s="167"/>
      <c r="D640" s="167"/>
      <c r="E640" s="174"/>
      <c r="F640" s="178" t="s">
        <v>236</v>
      </c>
      <c r="G640" s="171"/>
      <c r="H640" s="165" t="s">
        <v>46</v>
      </c>
      <c r="I640" s="54"/>
      <c r="J640" s="467">
        <v>0</v>
      </c>
      <c r="K640" s="55"/>
      <c r="L640" s="164"/>
      <c r="M640" s="164"/>
      <c r="N640" s="164"/>
      <c r="O640" s="164"/>
      <c r="P640" s="164"/>
      <c r="Q640" s="164"/>
      <c r="R640" s="164"/>
      <c r="S640" s="164"/>
      <c r="T640" s="164"/>
      <c r="U640" s="164"/>
    </row>
    <row r="641" spans="1:21" ht="19.5">
      <c r="A641" s="450"/>
      <c r="B641" s="451" t="s">
        <v>237</v>
      </c>
      <c r="C641" s="450"/>
      <c r="D641" s="452"/>
      <c r="E641" s="452"/>
      <c r="F641" s="452"/>
      <c r="G641" s="453"/>
      <c r="H641" s="462"/>
      <c r="I641" s="463"/>
      <c r="J641" s="463"/>
      <c r="K641" s="457"/>
      <c r="L641" s="457"/>
      <c r="M641" s="457"/>
      <c r="N641" s="457"/>
      <c r="O641" s="457"/>
      <c r="P641" s="457"/>
      <c r="Q641" s="457"/>
      <c r="R641" s="457"/>
      <c r="S641" s="457"/>
      <c r="T641" s="457"/>
      <c r="U641" s="457"/>
    </row>
    <row r="642" spans="1:21" ht="19.5">
      <c r="A642" s="155"/>
      <c r="B642" s="188"/>
      <c r="C642" s="239" t="s">
        <v>18</v>
      </c>
      <c r="D642" s="542" t="s">
        <v>19</v>
      </c>
      <c r="E642" s="529"/>
      <c r="F642" s="529"/>
      <c r="G642" s="530"/>
      <c r="H642" s="252" t="s">
        <v>14</v>
      </c>
      <c r="I642" s="54"/>
      <c r="J642" s="54"/>
      <c r="K642" s="55"/>
      <c r="L642" s="540">
        <f>L643+L644</f>
        <v>0</v>
      </c>
      <c r="M642" s="540">
        <f>M643+M644</f>
        <v>0</v>
      </c>
      <c r="N642" s="540">
        <f>N643+N644</f>
        <v>0</v>
      </c>
      <c r="O642" s="540">
        <f>IF(L642&gt;0,N642*100/L642,0)</f>
        <v>0</v>
      </c>
      <c r="P642" s="540">
        <f>IF(M642&gt;0,N642*100/M642,0)</f>
        <v>0</v>
      </c>
      <c r="Q642" s="540">
        <f ca="1">Q643+Q644</f>
        <v>19240</v>
      </c>
      <c r="R642" s="540">
        <f ca="1">R643+R644</f>
        <v>19240</v>
      </c>
      <c r="S642" s="540">
        <f ca="1">S643+S644</f>
        <v>0</v>
      </c>
      <c r="T642" s="540">
        <f ca="1">IF(Q642&gt;0,S642*100/Q642,0)</f>
        <v>0</v>
      </c>
      <c r="U642" s="540">
        <f ca="1">IF(R642&gt;0,S642*100/R642,0)</f>
        <v>0</v>
      </c>
    </row>
    <row r="643" spans="1:21" ht="18.75" hidden="1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102">
        <f>L646+L649</f>
        <v>0</v>
      </c>
      <c r="M643" s="102">
        <f>M646+M649</f>
        <v>0</v>
      </c>
      <c r="N643" s="102">
        <f>N646+N649</f>
        <v>0</v>
      </c>
      <c r="O643" s="102">
        <f>IF(L643&gt;0,N643*100/L643,0)</f>
        <v>0</v>
      </c>
      <c r="P643" s="102">
        <f>IF(M643&gt;0,N643*100/M643,0)</f>
        <v>0</v>
      </c>
      <c r="Q643" s="102">
        <f>Q646+Q649</f>
        <v>0</v>
      </c>
      <c r="R643" s="102">
        <f>R646+R649</f>
        <v>0</v>
      </c>
      <c r="S643" s="102">
        <f>S646+S649</f>
        <v>0</v>
      </c>
      <c r="T643" s="102">
        <f>IF(Q643&gt;0,S643*100/Q643,0)</f>
        <v>0</v>
      </c>
      <c r="U643" s="102">
        <f>IF(R643&gt;0,S643*100/R643,0)</f>
        <v>0</v>
      </c>
    </row>
    <row r="644" spans="1:21" ht="18.75" hidden="1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255">
        <f>L647+L650</f>
        <v>0</v>
      </c>
      <c r="M644" s="255">
        <f>M647+M650</f>
        <v>0</v>
      </c>
      <c r="N644" s="255">
        <f>N647+N650</f>
        <v>0</v>
      </c>
      <c r="O644" s="255">
        <f>IF(L644&gt;0,N644*100/L644,0)</f>
        <v>0</v>
      </c>
      <c r="P644" s="255">
        <f>IF(M644&gt;0,N644*100/M644,0)</f>
        <v>0</v>
      </c>
      <c r="Q644" s="255">
        <f ca="1">Q647+Q650</f>
        <v>19240</v>
      </c>
      <c r="R644" s="255">
        <f ca="1">R647+R650</f>
        <v>19240</v>
      </c>
      <c r="S644" s="255">
        <f ca="1">S647+S650</f>
        <v>0</v>
      </c>
      <c r="T644" s="255">
        <f ca="1">IF(Q644&gt;0,S644*100/Q644,0)</f>
        <v>0</v>
      </c>
      <c r="U644" s="255">
        <f ca="1">IF(R644&gt;0,S644*100/R644,0)</f>
        <v>0</v>
      </c>
    </row>
    <row r="645" spans="1:21" ht="18.75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255">
        <f>L646+L647</f>
        <v>0</v>
      </c>
      <c r="M645" s="255">
        <f>M646+M647</f>
        <v>0</v>
      </c>
      <c r="N645" s="255">
        <f>N646+N647</f>
        <v>0</v>
      </c>
      <c r="O645" s="255">
        <f>IF(L645&gt;0,N645*100/L645,0)</f>
        <v>0</v>
      </c>
      <c r="P645" s="255">
        <f>IF(M645&gt;0,N645*100/M645,0)</f>
        <v>0</v>
      </c>
      <c r="Q645" s="255">
        <f ca="1">Q646+Q647</f>
        <v>19240</v>
      </c>
      <c r="R645" s="255">
        <f ca="1">R646+R647</f>
        <v>19240</v>
      </c>
      <c r="S645" s="255">
        <f ca="1">S646+S647</f>
        <v>0</v>
      </c>
      <c r="T645" s="255">
        <f ca="1">IF(Q645&gt;0,S645*100/Q645,0)</f>
        <v>0</v>
      </c>
      <c r="U645" s="255">
        <f ca="1">IF(R645&gt;0,S645*100/R645,0)</f>
        <v>0</v>
      </c>
    </row>
    <row r="646" spans="1:21" ht="18.75" hidden="1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102">
        <v>0</v>
      </c>
      <c r="M646" s="102">
        <v>0</v>
      </c>
      <c r="N646" s="102">
        <v>0</v>
      </c>
      <c r="O646" s="102">
        <f>IF(L646&gt;0,N646*100/L646,0)</f>
        <v>0</v>
      </c>
      <c r="P646" s="102">
        <f>IF(M646&gt;0,N646*100/M646,0)</f>
        <v>0</v>
      </c>
      <c r="Q646" s="102">
        <v>0</v>
      </c>
      <c r="R646" s="102">
        <v>0</v>
      </c>
      <c r="S646" s="102">
        <v>0</v>
      </c>
      <c r="T646" s="102">
        <f>IF(Q646&gt;0,S646*100/Q646,0)</f>
        <v>0</v>
      </c>
      <c r="U646" s="102">
        <f>IF(R646&gt;0,S646*100/R646,0)</f>
        <v>0</v>
      </c>
    </row>
    <row r="647" spans="1:21" ht="18.75" hidden="1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255">
        <v>0</v>
      </c>
      <c r="M647" s="255">
        <v>0</v>
      </c>
      <c r="N647" s="255">
        <v>0</v>
      </c>
      <c r="O647" s="255">
        <f>IF(L647&gt;0,N647*100/L647,0)</f>
        <v>0</v>
      </c>
      <c r="P647" s="255">
        <f>IF(M647&gt;0,N647*100/M647,0)</f>
        <v>0</v>
      </c>
      <c r="Q647" s="255">
        <f ca="1">IFERROR(__xludf.DUMMYFUNCTION("IMPORTRANGE(""https://docs.google.com/spreadsheets/d/1ItG2mGa2ceCfYo0BwxsXqNm01IGEUdYcSSLTEv9YCik/edit?usp=sharing"",""เบิกจ่ายกองทุน!I47"")"),19240)</f>
        <v>19240</v>
      </c>
      <c r="R647" s="255">
        <f ca="1">IFERROR(__xludf.DUMMYFUNCTION("IMPORTRANGE(""https://docs.google.com/spreadsheets/d/1ItG2mGa2ceCfYo0BwxsXqNm01IGEUdYcSSLTEv9YCik/edit?usp=sharing"",""เบิกจ่ายกองทุน!J47"")"),19240)</f>
        <v>19240</v>
      </c>
      <c r="S647" s="255">
        <f ca="1">IFERROR(__xludf.DUMMYFUNCTION("IMPORTRANGE(""https://docs.google.com/spreadsheets/d/1ItG2mGa2ceCfYo0BwxsXqNm01IGEUdYcSSLTEv9YCik/edit?usp=sharing"",""เบิกจ่ายกองทุน!K47"")"),0)</f>
        <v>0</v>
      </c>
      <c r="T647" s="255">
        <f ca="1">IF(Q647&gt;0,S647*100/Q647,0)</f>
        <v>0</v>
      </c>
      <c r="U647" s="255">
        <f ca="1">IF(R647&gt;0,S647*100/R647,0)</f>
        <v>0</v>
      </c>
    </row>
    <row r="648" spans="1:21" ht="18.75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255">
        <f>L649+L650</f>
        <v>0</v>
      </c>
      <c r="M648" s="255">
        <f>M649+M650</f>
        <v>0</v>
      </c>
      <c r="N648" s="255">
        <f>N649+N650</f>
        <v>0</v>
      </c>
      <c r="O648" s="255">
        <f>IF(L648&gt;0,N648*100/L648,0)</f>
        <v>0</v>
      </c>
      <c r="P648" s="255">
        <f>IF(M648&gt;0,N648*100/M648,0)</f>
        <v>0</v>
      </c>
      <c r="Q648" s="255">
        <f>Q649+Q650</f>
        <v>0</v>
      </c>
      <c r="R648" s="255">
        <f>R649+R650</f>
        <v>0</v>
      </c>
      <c r="S648" s="255">
        <f>S649+S650</f>
        <v>0</v>
      </c>
      <c r="T648" s="255">
        <f>IF(Q648&gt;0,S648*100/Q648,0)</f>
        <v>0</v>
      </c>
      <c r="U648" s="255">
        <f>IF(R648&gt;0,S648*100/R648,0)</f>
        <v>0</v>
      </c>
    </row>
    <row r="649" spans="1:21" ht="18.75" hidden="1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102">
        <v>0</v>
      </c>
      <c r="M649" s="102">
        <v>0</v>
      </c>
      <c r="N649" s="102">
        <v>0</v>
      </c>
      <c r="O649" s="102">
        <f>IF(L649&gt;0,N649*100/L649,0)</f>
        <v>0</v>
      </c>
      <c r="P649" s="102">
        <f>IF(M649&gt;0,N649*100/M649,0)</f>
        <v>0</v>
      </c>
      <c r="Q649" s="102">
        <v>0</v>
      </c>
      <c r="R649" s="102">
        <v>0</v>
      </c>
      <c r="S649" s="102">
        <v>0</v>
      </c>
      <c r="T649" s="102">
        <f>IF(Q649&gt;0,S649*100/Q649,0)</f>
        <v>0</v>
      </c>
      <c r="U649" s="102">
        <f>IF(R649&gt;0,S649*100/R649,0)</f>
        <v>0</v>
      </c>
    </row>
    <row r="650" spans="1:21" ht="18.75" hidden="1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255">
        <v>0</v>
      </c>
      <c r="M650" s="255">
        <v>0</v>
      </c>
      <c r="N650" s="255">
        <v>0</v>
      </c>
      <c r="O650" s="255">
        <f>IF(L650&gt;0,N650*100/L650,0)</f>
        <v>0</v>
      </c>
      <c r="P650" s="255">
        <f>IF(M650&gt;0,N650*100/M650,0)</f>
        <v>0</v>
      </c>
      <c r="Q650" s="255">
        <v>0</v>
      </c>
      <c r="R650" s="255">
        <v>0</v>
      </c>
      <c r="S650" s="255">
        <v>0</v>
      </c>
      <c r="T650" s="255">
        <f>IF(Q650&gt;0,S650*100/Q650,0)</f>
        <v>0</v>
      </c>
      <c r="U650" s="255">
        <f>IF(R650&gt;0,S650*100/R650,0)</f>
        <v>0</v>
      </c>
    </row>
    <row r="651" spans="1:21" ht="19.5">
      <c r="A651" s="166"/>
      <c r="B651" s="167"/>
      <c r="C651" s="239" t="s">
        <v>18</v>
      </c>
      <c r="D651" s="571" t="s">
        <v>38</v>
      </c>
      <c r="E651" s="169"/>
      <c r="F651" s="169"/>
      <c r="G651" s="170"/>
      <c r="H651" s="206"/>
      <c r="I651" s="163"/>
      <c r="J651" s="163"/>
      <c r="K651" s="164"/>
      <c r="L651" s="164"/>
      <c r="M651" s="164"/>
      <c r="N651" s="164"/>
      <c r="O651" s="164"/>
      <c r="P651" s="164"/>
      <c r="Q651" s="55"/>
      <c r="R651" s="55"/>
      <c r="S651" s="55"/>
      <c r="T651" s="164"/>
      <c r="U651" s="164"/>
    </row>
    <row r="652" spans="1:21" ht="18.75" hidden="1">
      <c r="A652" s="238"/>
      <c r="B652" s="188"/>
      <c r="C652" s="188"/>
      <c r="D652" s="58" t="s">
        <v>238</v>
      </c>
      <c r="E652" s="50"/>
      <c r="F652" s="50"/>
      <c r="G652" s="52"/>
      <c r="H652" s="165" t="s">
        <v>46</v>
      </c>
      <c r="I652" s="570">
        <f ca="1">IFERROR(__xludf.DUMMYFUNCTION("IMPORTRANGE(""https://docs.google.com/spreadsheets/d/1eHaY18a8A9IcSdp1K8H6x8fbOy06t2VsZHhMHf-1x7Y/edit?usp=sharing"",""แผน!IF47"")"),0)</f>
        <v>0</v>
      </c>
      <c r="J652" s="212">
        <f ca="1">IFERROR(__xludf.DUMMYFUNCTION("IMPORTRANGE(""https://docs.google.com/spreadsheets/d/1tdoBKaGub7dwA3U6UFTqxio9LNnvDCQjHKmttSEBsFQ/edit?usp=sharing"",""จัดที่ดิน!AU47"")"),0)</f>
        <v>0</v>
      </c>
      <c r="K652" s="255">
        <f ca="1">IF(I652&gt;0,J652*100/I652,0)</f>
        <v>0</v>
      </c>
      <c r="L652" s="55"/>
      <c r="M652" s="55"/>
      <c r="N652" s="468"/>
      <c r="O652" s="55"/>
      <c r="P652" s="55"/>
      <c r="Q652" s="55"/>
      <c r="R652" s="55"/>
      <c r="S652" s="468"/>
      <c r="T652" s="55"/>
      <c r="U652" s="55"/>
    </row>
    <row r="653" spans="1:21" ht="18.75" hidden="1">
      <c r="A653" s="238"/>
      <c r="B653" s="188"/>
      <c r="C653" s="188"/>
      <c r="D653" s="58" t="s">
        <v>239</v>
      </c>
      <c r="E653" s="50"/>
      <c r="F653" s="50"/>
      <c r="G653" s="52"/>
      <c r="H653" s="165" t="s">
        <v>35</v>
      </c>
      <c r="I653" s="570">
        <f ca="1">IFERROR(__xludf.DUMMYFUNCTION("IMPORTRANGE(""https://docs.google.com/spreadsheets/d/1eHaY18a8A9IcSdp1K8H6x8fbOy06t2VsZHhMHf-1x7Y/edit?usp=sharing"",""แผน!IG47"")"),0)</f>
        <v>0</v>
      </c>
      <c r="J653" s="212">
        <f ca="1">IFERROR(__xludf.DUMMYFUNCTION("IMPORTRANGE(""https://docs.google.com/spreadsheets/d/1tdoBKaGub7dwA3U6UFTqxio9LNnvDCQjHKmttSEBsFQ/edit?usp=sharing"",""จัดที่ดิน!AW47"")"),0)</f>
        <v>0</v>
      </c>
      <c r="K653" s="255">
        <f ca="1">IF(I653&gt;0,J653*100/I653,0)</f>
        <v>0</v>
      </c>
      <c r="L653" s="55"/>
      <c r="M653" s="55"/>
      <c r="N653" s="468"/>
      <c r="O653" s="55"/>
      <c r="P653" s="55"/>
      <c r="Q653" s="55"/>
      <c r="R653" s="55"/>
      <c r="S653" s="468"/>
      <c r="T653" s="55"/>
      <c r="U653" s="55"/>
    </row>
    <row r="654" spans="1:21" ht="19.5">
      <c r="A654" s="238"/>
      <c r="B654" s="188"/>
      <c r="C654" s="188"/>
      <c r="D654" s="58" t="s">
        <v>240</v>
      </c>
      <c r="E654" s="50"/>
      <c r="F654" s="50"/>
      <c r="G654" s="52"/>
      <c r="H654" s="461" t="s">
        <v>46</v>
      </c>
      <c r="I654" s="569">
        <f ca="1">IFERROR(__xludf.DUMMYFUNCTION("IMPORTRANGE(""https://docs.google.com/spreadsheets/d/1eHaY18a8A9IcSdp1K8H6x8fbOy06t2VsZHhMHf-1x7Y/edit?usp=sharing"",""แผน!IH47"")"),13)</f>
        <v>13</v>
      </c>
      <c r="J654" s="373">
        <f>J657+J660</f>
        <v>0</v>
      </c>
      <c r="K654" s="540">
        <f ca="1">IF(I654&gt;0,J654*100/I654,0)</f>
        <v>0</v>
      </c>
      <c r="L654" s="55"/>
      <c r="M654" s="55"/>
      <c r="N654" s="468"/>
      <c r="O654" s="55"/>
      <c r="P654" s="55"/>
      <c r="Q654" s="55"/>
      <c r="R654" s="55"/>
      <c r="S654" s="468"/>
      <c r="T654" s="55"/>
      <c r="U654" s="55"/>
    </row>
    <row r="655" spans="1:21" ht="18.75">
      <c r="A655" s="238"/>
      <c r="B655" s="188"/>
      <c r="C655" s="188"/>
      <c r="D655" s="50"/>
      <c r="E655" s="58" t="s">
        <v>241</v>
      </c>
      <c r="F655" s="50"/>
      <c r="G655" s="52"/>
      <c r="H655" s="165" t="s">
        <v>35</v>
      </c>
      <c r="I655" s="208"/>
      <c r="J655" s="467">
        <v>0</v>
      </c>
      <c r="K655" s="55"/>
      <c r="L655" s="55"/>
      <c r="M655" s="55"/>
      <c r="N655" s="468"/>
      <c r="O655" s="55"/>
      <c r="P655" s="55"/>
      <c r="Q655" s="55"/>
      <c r="R655" s="55"/>
      <c r="S655" s="468"/>
      <c r="T655" s="55"/>
      <c r="U655" s="55"/>
    </row>
    <row r="656" spans="1:21" ht="18.75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67">
        <v>0</v>
      </c>
      <c r="K656" s="55"/>
      <c r="L656" s="55"/>
      <c r="M656" s="55"/>
      <c r="N656" s="468"/>
      <c r="O656" s="55"/>
      <c r="P656" s="55"/>
      <c r="Q656" s="55"/>
      <c r="R656" s="55"/>
      <c r="S656" s="468"/>
      <c r="T656" s="55"/>
      <c r="U656" s="55"/>
    </row>
    <row r="657" spans="1:21" ht="18.75">
      <c r="A657" s="238"/>
      <c r="B657" s="188"/>
      <c r="C657" s="188"/>
      <c r="D657" s="50"/>
      <c r="E657" s="50"/>
      <c r="F657" s="50"/>
      <c r="G657" s="52"/>
      <c r="H657" s="165" t="s">
        <v>46</v>
      </c>
      <c r="I657" s="570">
        <f ca="1">IFERROR(__xludf.DUMMYFUNCTION("IMPORTRANGE(""https://docs.google.com/spreadsheets/d/1eHaY18a8A9IcSdp1K8H6x8fbOy06t2VsZHhMHf-1x7Y/edit?usp=sharing"",""แผน!II47"")"),13)</f>
        <v>13</v>
      </c>
      <c r="J657" s="467">
        <v>0</v>
      </c>
      <c r="K657" s="55"/>
      <c r="L657" s="55"/>
      <c r="M657" s="55"/>
      <c r="N657" s="468"/>
      <c r="O657" s="55"/>
      <c r="P657" s="55"/>
      <c r="Q657" s="55"/>
      <c r="R657" s="55"/>
      <c r="S657" s="468"/>
      <c r="T657" s="55"/>
      <c r="U657" s="55"/>
    </row>
    <row r="658" spans="1:21" ht="18.75">
      <c r="A658" s="238"/>
      <c r="B658" s="188"/>
      <c r="C658" s="188"/>
      <c r="D658" s="50"/>
      <c r="E658" s="58" t="s">
        <v>242</v>
      </c>
      <c r="F658" s="50"/>
      <c r="G658" s="52"/>
      <c r="H658" s="165" t="s">
        <v>35</v>
      </c>
      <c r="I658" s="208"/>
      <c r="J658" s="467">
        <v>0</v>
      </c>
      <c r="K658" s="55"/>
      <c r="L658" s="55"/>
      <c r="M658" s="55"/>
      <c r="N658" s="468"/>
      <c r="O658" s="55"/>
      <c r="P658" s="55"/>
      <c r="Q658" s="55"/>
      <c r="R658" s="55"/>
      <c r="S658" s="468"/>
      <c r="T658" s="55"/>
      <c r="U658" s="55"/>
    </row>
    <row r="659" spans="1:21" ht="18.75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67">
        <v>0</v>
      </c>
      <c r="K659" s="55"/>
      <c r="L659" s="55"/>
      <c r="M659" s="55"/>
      <c r="N659" s="468"/>
      <c r="O659" s="55"/>
      <c r="P659" s="55"/>
      <c r="Q659" s="55"/>
      <c r="R659" s="55"/>
      <c r="S659" s="468"/>
      <c r="T659" s="55"/>
      <c r="U659" s="55"/>
    </row>
    <row r="660" spans="1:21" ht="18.75">
      <c r="A660" s="238"/>
      <c r="B660" s="188"/>
      <c r="C660" s="188"/>
      <c r="D660" s="50"/>
      <c r="E660" s="50"/>
      <c r="F660" s="50"/>
      <c r="G660" s="52"/>
      <c r="H660" s="165" t="s">
        <v>46</v>
      </c>
      <c r="I660" s="570">
        <f ca="1">IFERROR(__xludf.DUMMYFUNCTION("IMPORTRANGE(""https://docs.google.com/spreadsheets/d/1eHaY18a8A9IcSdp1K8H6x8fbOy06t2VsZHhMHf-1x7Y/edit?usp=sharing"",""แผน!IJ47"")"),0)</f>
        <v>0</v>
      </c>
      <c r="J660" s="467">
        <v>0</v>
      </c>
      <c r="K660" s="55"/>
      <c r="L660" s="55"/>
      <c r="M660" s="55"/>
      <c r="N660" s="468"/>
      <c r="O660" s="55"/>
      <c r="P660" s="55"/>
      <c r="Q660" s="55"/>
      <c r="R660" s="55"/>
      <c r="S660" s="468"/>
      <c r="T660" s="55"/>
      <c r="U660" s="55"/>
    </row>
    <row r="661" spans="1:21" ht="19.5">
      <c r="A661" s="238"/>
      <c r="B661" s="188"/>
      <c r="C661" s="188"/>
      <c r="D661" s="377" t="s">
        <v>243</v>
      </c>
      <c r="E661" s="50"/>
      <c r="F661" s="50"/>
      <c r="G661" s="52"/>
      <c r="H661" s="461" t="s">
        <v>46</v>
      </c>
      <c r="I661" s="569">
        <f ca="1">IFERROR(__xludf.DUMMYFUNCTION("IMPORTRANGE(""https://docs.google.com/spreadsheets/d/1eHaY18a8A9IcSdp1K8H6x8fbOy06t2VsZHhMHf-1x7Y/edit?usp=sharing"",""แผน!IK47"")"),316)</f>
        <v>316</v>
      </c>
      <c r="J661" s="373">
        <f>J667+J670</f>
        <v>0</v>
      </c>
      <c r="K661" s="540">
        <f ca="1">IF(I661&gt;0,J661*100/I661,0)</f>
        <v>0</v>
      </c>
      <c r="L661" s="55"/>
      <c r="M661" s="55"/>
      <c r="N661" s="468"/>
      <c r="O661" s="55"/>
      <c r="P661" s="55"/>
      <c r="Q661" s="55"/>
      <c r="R661" s="55"/>
      <c r="S661" s="468"/>
      <c r="T661" s="55"/>
      <c r="U661" s="55"/>
    </row>
    <row r="662" spans="1:21" ht="18.75">
      <c r="A662" s="238"/>
      <c r="B662" s="188"/>
      <c r="C662" s="188"/>
      <c r="D662" s="50"/>
      <c r="E662" s="58" t="s">
        <v>244</v>
      </c>
      <c r="F662" s="50"/>
      <c r="G662" s="52"/>
      <c r="H662" s="165" t="s">
        <v>34</v>
      </c>
      <c r="I662" s="208"/>
      <c r="J662" s="467">
        <v>0</v>
      </c>
      <c r="K662" s="55"/>
      <c r="L662" s="468"/>
      <c r="M662" s="55"/>
      <c r="N662" s="468"/>
      <c r="O662" s="55"/>
      <c r="P662" s="55"/>
      <c r="Q662" s="468"/>
      <c r="R662" s="55"/>
      <c r="S662" s="468"/>
      <c r="T662" s="55"/>
      <c r="U662" s="55"/>
    </row>
    <row r="663" spans="1:21" ht="18.75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67">
        <v>0</v>
      </c>
      <c r="K663" s="55"/>
      <c r="L663" s="468"/>
      <c r="M663" s="55"/>
      <c r="N663" s="468"/>
      <c r="O663" s="55"/>
      <c r="P663" s="55"/>
      <c r="Q663" s="468"/>
      <c r="R663" s="55"/>
      <c r="S663" s="468"/>
      <c r="T663" s="55"/>
      <c r="U663" s="55"/>
    </row>
    <row r="664" spans="1:21" ht="18.75">
      <c r="A664" s="238"/>
      <c r="B664" s="188"/>
      <c r="C664" s="188"/>
      <c r="D664" s="50"/>
      <c r="E664" s="58" t="s">
        <v>245</v>
      </c>
      <c r="F664" s="50"/>
      <c r="G664" s="52"/>
      <c r="H664" s="206"/>
      <c r="I664" s="208"/>
      <c r="J664" s="54"/>
      <c r="K664" s="55"/>
      <c r="L664" s="468"/>
      <c r="M664" s="55"/>
      <c r="N664" s="468"/>
      <c r="O664" s="55"/>
      <c r="P664" s="55"/>
      <c r="Q664" s="468"/>
      <c r="R664" s="55"/>
      <c r="S664" s="468"/>
      <c r="T664" s="55"/>
      <c r="U664" s="55"/>
    </row>
    <row r="665" spans="1:21" ht="18.75">
      <c r="A665" s="238"/>
      <c r="B665" s="188"/>
      <c r="C665" s="188"/>
      <c r="D665" s="50"/>
      <c r="E665" s="50"/>
      <c r="F665" s="58" t="s">
        <v>246</v>
      </c>
      <c r="G665" s="52"/>
      <c r="H665" s="165" t="s">
        <v>35</v>
      </c>
      <c r="I665" s="208"/>
      <c r="J665" s="467">
        <v>0</v>
      </c>
      <c r="K665" s="55"/>
      <c r="L665" s="468"/>
      <c r="M665" s="55"/>
      <c r="N665" s="468"/>
      <c r="O665" s="55"/>
      <c r="P665" s="55"/>
      <c r="Q665" s="468"/>
      <c r="R665" s="55"/>
      <c r="S665" s="468"/>
      <c r="T665" s="55"/>
      <c r="U665" s="55"/>
    </row>
    <row r="666" spans="1:21" ht="18.75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67">
        <v>0</v>
      </c>
      <c r="K666" s="55"/>
      <c r="L666" s="468"/>
      <c r="M666" s="55"/>
      <c r="N666" s="468"/>
      <c r="O666" s="55"/>
      <c r="P666" s="55"/>
      <c r="Q666" s="468"/>
      <c r="R666" s="55"/>
      <c r="S666" s="468"/>
      <c r="T666" s="55"/>
      <c r="U666" s="55"/>
    </row>
    <row r="667" spans="1:21" ht="18.75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67">
        <v>0</v>
      </c>
      <c r="K667" s="55"/>
      <c r="L667" s="468"/>
      <c r="M667" s="55"/>
      <c r="N667" s="468"/>
      <c r="O667" s="55"/>
      <c r="P667" s="55"/>
      <c r="Q667" s="468"/>
      <c r="R667" s="55"/>
      <c r="S667" s="468"/>
      <c r="T667" s="55"/>
      <c r="U667" s="55"/>
    </row>
    <row r="668" spans="1:21" ht="18.75">
      <c r="A668" s="238"/>
      <c r="B668" s="188"/>
      <c r="C668" s="188"/>
      <c r="D668" s="50"/>
      <c r="E668" s="50"/>
      <c r="F668" s="58" t="s">
        <v>247</v>
      </c>
      <c r="G668" s="52"/>
      <c r="H668" s="165" t="s">
        <v>35</v>
      </c>
      <c r="I668" s="208"/>
      <c r="J668" s="467">
        <v>0</v>
      </c>
      <c r="K668" s="55"/>
      <c r="L668" s="468"/>
      <c r="M668" s="55"/>
      <c r="N668" s="468"/>
      <c r="O668" s="55"/>
      <c r="P668" s="55"/>
      <c r="Q668" s="468"/>
      <c r="R668" s="55"/>
      <c r="S668" s="468"/>
      <c r="T668" s="55"/>
      <c r="U668" s="55"/>
    </row>
    <row r="669" spans="1:21" ht="18.75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67">
        <v>0</v>
      </c>
      <c r="K669" s="55"/>
      <c r="L669" s="468"/>
      <c r="M669" s="55"/>
      <c r="N669" s="468"/>
      <c r="O669" s="55"/>
      <c r="P669" s="55"/>
      <c r="Q669" s="468"/>
      <c r="R669" s="55"/>
      <c r="S669" s="468"/>
      <c r="T669" s="55"/>
      <c r="U669" s="55"/>
    </row>
    <row r="670" spans="1:21" ht="18.75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67">
        <v>0</v>
      </c>
      <c r="K670" s="55"/>
      <c r="L670" s="468"/>
      <c r="M670" s="55"/>
      <c r="N670" s="468"/>
      <c r="O670" s="55"/>
      <c r="P670" s="55"/>
      <c r="Q670" s="468"/>
      <c r="R670" s="55"/>
      <c r="S670" s="468"/>
      <c r="T670" s="55"/>
      <c r="U670" s="55"/>
    </row>
    <row r="671" spans="1:21" ht="18.75">
      <c r="A671" s="238"/>
      <c r="B671" s="188"/>
      <c r="C671" s="188"/>
      <c r="D671" s="58" t="s">
        <v>248</v>
      </c>
      <c r="E671" s="50"/>
      <c r="F671" s="50"/>
      <c r="G671" s="52"/>
      <c r="H671" s="165" t="s">
        <v>35</v>
      </c>
      <c r="I671" s="208"/>
      <c r="J671" s="212">
        <f ca="1">IFERROR(__xludf.DUMMYFUNCTION("IMPORTRANGE(""https://docs.google.com/spreadsheets/d/1tdoBKaGub7dwA3U6UFTqxio9LNnvDCQjHKmttSEBsFQ/edit?usp=sharing"",""จัดที่ดิน!AY47"")"),0)</f>
        <v>0</v>
      </c>
      <c r="K671" s="55"/>
      <c r="L671" s="55"/>
      <c r="M671" s="55"/>
      <c r="N671" s="468"/>
      <c r="O671" s="55"/>
      <c r="P671" s="55"/>
      <c r="Q671" s="55"/>
      <c r="R671" s="55"/>
      <c r="S671" s="468"/>
      <c r="T671" s="55"/>
      <c r="U671" s="55"/>
    </row>
    <row r="672" spans="1:21" ht="18.75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212">
        <f ca="1">IFERROR(__xludf.DUMMYFUNCTION("IMPORTRANGE(""https://docs.google.com/spreadsheets/d/1tdoBKaGub7dwA3U6UFTqxio9LNnvDCQjHKmttSEBsFQ/edit?usp=sharing"",""จัดที่ดิน!AZ47"")"),0)</f>
        <v>0</v>
      </c>
      <c r="K672" s="55"/>
      <c r="L672" s="468"/>
      <c r="M672" s="55"/>
      <c r="N672" s="468"/>
      <c r="O672" s="55"/>
      <c r="P672" s="55"/>
      <c r="Q672" s="468"/>
      <c r="R672" s="55"/>
      <c r="S672" s="468"/>
      <c r="T672" s="55"/>
      <c r="U672" s="55"/>
    </row>
    <row r="673" spans="1:21" ht="18.75">
      <c r="A673" s="238"/>
      <c r="B673" s="188"/>
      <c r="C673" s="188"/>
      <c r="D673" s="50"/>
      <c r="E673" s="50"/>
      <c r="F673" s="50"/>
      <c r="G673" s="52"/>
      <c r="H673" s="165" t="s">
        <v>46</v>
      </c>
      <c r="I673" s="570">
        <f ca="1">IFERROR(__xludf.DUMMYFUNCTION("IMPORTRANGE(""https://docs.google.com/spreadsheets/d/1eHaY18a8A9IcSdp1K8H6x8fbOy06t2VsZHhMHf-1x7Y/edit?usp=sharing"",""แผน!IL47"")"),87)</f>
        <v>87</v>
      </c>
      <c r="J673" s="212">
        <f ca="1">IFERROR(__xludf.DUMMYFUNCTION("IMPORTRANGE(""https://docs.google.com/spreadsheets/d/1tdoBKaGub7dwA3U6UFTqxio9LNnvDCQjHKmttSEBsFQ/edit?usp=sharing"",""จัดที่ดิน!BA47"")"),0)</f>
        <v>0</v>
      </c>
      <c r="K673" s="255">
        <f ca="1">IF(I673&gt;0,J673*100/I673,0)</f>
        <v>0</v>
      </c>
      <c r="L673" s="468"/>
      <c r="M673" s="55"/>
      <c r="N673" s="468"/>
      <c r="O673" s="55"/>
      <c r="P673" s="55"/>
      <c r="Q673" s="468"/>
      <c r="R673" s="55"/>
      <c r="S673" s="468"/>
      <c r="T673" s="55"/>
      <c r="U673" s="55"/>
    </row>
    <row r="674" spans="1:21" ht="19.5">
      <c r="A674" s="238"/>
      <c r="B674" s="188"/>
      <c r="C674" s="188"/>
      <c r="D674" s="58" t="s">
        <v>249</v>
      </c>
      <c r="E674" s="50"/>
      <c r="F674" s="50"/>
      <c r="G674" s="52"/>
      <c r="H674" s="461" t="s">
        <v>35</v>
      </c>
      <c r="I674" s="569">
        <f ca="1">IFERROR(__xludf.DUMMYFUNCTION("IMPORTRANGE(""https://docs.google.com/spreadsheets/d/1eHaY18a8A9IcSdp1K8H6x8fbOy06t2VsZHhMHf-1x7Y/edit?usp=sharing"",""แผน!IM47"")"),1)</f>
        <v>1</v>
      </c>
      <c r="J674" s="373">
        <f ca="1">J676+J679</f>
        <v>3</v>
      </c>
      <c r="K674" s="540">
        <f ca="1">IF(I674&gt;0,J674*100/I674,0)</f>
        <v>300</v>
      </c>
      <c r="L674" s="468"/>
      <c r="M674" s="55"/>
      <c r="N674" s="468"/>
      <c r="O674" s="55"/>
      <c r="P674" s="55"/>
      <c r="Q674" s="468"/>
      <c r="R674" s="55"/>
      <c r="S674" s="468"/>
      <c r="T674" s="55"/>
      <c r="U674" s="55"/>
    </row>
    <row r="675" spans="1:21" ht="19.5">
      <c r="A675" s="238"/>
      <c r="B675" s="188"/>
      <c r="C675" s="188"/>
      <c r="D675" s="50"/>
      <c r="E675" s="50"/>
      <c r="F675" s="50"/>
      <c r="G675" s="52"/>
      <c r="H675" s="461" t="s">
        <v>46</v>
      </c>
      <c r="I675" s="569">
        <f ca="1">IFERROR(__xludf.DUMMYFUNCTION("IMPORTRANGE(""https://docs.google.com/spreadsheets/d/1eHaY18a8A9IcSdp1K8H6x8fbOy06t2VsZHhMHf-1x7Y/edit?usp=sharing"",""แผน!IN47"")"),15)</f>
        <v>15</v>
      </c>
      <c r="J675" s="373">
        <f ca="1">J678+J681</f>
        <v>31.34</v>
      </c>
      <c r="K675" s="540">
        <f ca="1">IF(I675&gt;0,J675*100/I675,0)</f>
        <v>208.93333333333334</v>
      </c>
      <c r="L675" s="55"/>
      <c r="M675" s="55"/>
      <c r="N675" s="468"/>
      <c r="O675" s="55"/>
      <c r="P675" s="55"/>
      <c r="Q675" s="55"/>
      <c r="R675" s="55"/>
      <c r="S675" s="468"/>
      <c r="T675" s="55"/>
      <c r="U675" s="55"/>
    </row>
    <row r="676" spans="1:21" ht="18.75">
      <c r="A676" s="238"/>
      <c r="B676" s="188"/>
      <c r="C676" s="188"/>
      <c r="D676" s="50"/>
      <c r="E676" s="58" t="s">
        <v>250</v>
      </c>
      <c r="F676" s="50"/>
      <c r="G676" s="52"/>
      <c r="H676" s="165" t="s">
        <v>35</v>
      </c>
      <c r="I676" s="570">
        <f ca="1">IFERROR(__xludf.DUMMYFUNCTION("IMPORTRANGE(""https://docs.google.com/spreadsheets/d/1eHaY18a8A9IcSdp1K8H6x8fbOy06t2VsZHhMHf-1x7Y/edit?usp=sharing"",""แผน!IO47"")"),1)</f>
        <v>1</v>
      </c>
      <c r="J676" s="212">
        <f ca="1">IFERROR(__xludf.DUMMYFUNCTION("IMPORTRANGE(""https://docs.google.com/spreadsheets/d/1tdoBKaGub7dwA3U6UFTqxio9LNnvDCQjHKmttSEBsFQ/edit?usp=sharing"",""จัดที่ดิน!BF47"")"),3)</f>
        <v>3</v>
      </c>
      <c r="K676" s="255">
        <f ca="1">IF(I676&gt;0,J676*100/I676,0)</f>
        <v>300</v>
      </c>
      <c r="L676" s="55"/>
      <c r="M676" s="55"/>
      <c r="N676" s="468"/>
      <c r="O676" s="55"/>
      <c r="P676" s="55"/>
      <c r="Q676" s="55"/>
      <c r="R676" s="55"/>
      <c r="S676" s="468"/>
      <c r="T676" s="55"/>
      <c r="U676" s="55"/>
    </row>
    <row r="677" spans="1:21" ht="18.75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212">
        <f ca="1">IFERROR(__xludf.DUMMYFUNCTION("IMPORTRANGE(""https://docs.google.com/spreadsheets/d/1tdoBKaGub7dwA3U6UFTqxio9LNnvDCQjHKmttSEBsFQ/edit?usp=sharing"",""จัดที่ดิน!BG47"")"),3)</f>
        <v>3</v>
      </c>
      <c r="K677" s="55"/>
      <c r="L677" s="468"/>
      <c r="M677" s="55"/>
      <c r="N677" s="468"/>
      <c r="O677" s="55"/>
      <c r="P677" s="55"/>
      <c r="Q677" s="468"/>
      <c r="R677" s="55"/>
      <c r="S677" s="468"/>
      <c r="T677" s="55"/>
      <c r="U677" s="55"/>
    </row>
    <row r="678" spans="1:21" ht="18.75">
      <c r="A678" s="238"/>
      <c r="B678" s="188"/>
      <c r="C678" s="188"/>
      <c r="D678" s="50"/>
      <c r="E678" s="50"/>
      <c r="F678" s="50"/>
      <c r="G678" s="52"/>
      <c r="H678" s="165" t="s">
        <v>46</v>
      </c>
      <c r="I678" s="570">
        <f ca="1">IFERROR(__xludf.DUMMYFUNCTION("IMPORTRANGE(""https://docs.google.com/spreadsheets/d/1eHaY18a8A9IcSdp1K8H6x8fbOy06t2VsZHhMHf-1x7Y/edit?usp=sharing"",""แผน!IP47"")"),15)</f>
        <v>15</v>
      </c>
      <c r="J678" s="212">
        <f ca="1">IFERROR(__xludf.DUMMYFUNCTION("IMPORTRANGE(""https://docs.google.com/spreadsheets/d/1tdoBKaGub7dwA3U6UFTqxio9LNnvDCQjHKmttSEBsFQ/edit?usp=sharing"",""จัดที่ดิน!BH47"")"),31.34)</f>
        <v>31.34</v>
      </c>
      <c r="K678" s="255">
        <f ca="1">IF(I678&gt;0,J678*100/I678,0)</f>
        <v>208.93333333333334</v>
      </c>
      <c r="L678" s="468"/>
      <c r="M678" s="55"/>
      <c r="N678" s="468"/>
      <c r="O678" s="55"/>
      <c r="P678" s="55"/>
      <c r="Q678" s="468"/>
      <c r="R678" s="55"/>
      <c r="S678" s="468"/>
      <c r="T678" s="55"/>
      <c r="U678" s="55"/>
    </row>
    <row r="679" spans="1:21" ht="18.75">
      <c r="A679" s="238"/>
      <c r="B679" s="188"/>
      <c r="C679" s="188"/>
      <c r="D679" s="50"/>
      <c r="E679" s="58" t="s">
        <v>251</v>
      </c>
      <c r="F679" s="50"/>
      <c r="G679" s="52"/>
      <c r="H679" s="165" t="s">
        <v>35</v>
      </c>
      <c r="I679" s="570">
        <f ca="1">IFERROR(__xludf.DUMMYFUNCTION("IMPORTRANGE(""https://docs.google.com/spreadsheets/d/1eHaY18a8A9IcSdp1K8H6x8fbOy06t2VsZHhMHf-1x7Y/edit?usp=sharing"",""แผน!IQ47"")"),0)</f>
        <v>0</v>
      </c>
      <c r="J679" s="212">
        <f ca="1">IFERROR(__xludf.DUMMYFUNCTION("IMPORTRANGE(""https://docs.google.com/spreadsheets/d/1tdoBKaGub7dwA3U6UFTqxio9LNnvDCQjHKmttSEBsFQ/edit?usp=sharing"",""จัดที่ดิน!BK47"")"),0)</f>
        <v>0</v>
      </c>
      <c r="K679" s="255">
        <f ca="1">IF(I679&gt;0,J679*100/I679,0)</f>
        <v>0</v>
      </c>
      <c r="L679" s="55"/>
      <c r="M679" s="55"/>
      <c r="N679" s="468"/>
      <c r="O679" s="55"/>
      <c r="P679" s="55"/>
      <c r="Q679" s="55"/>
      <c r="R679" s="55"/>
      <c r="S679" s="468"/>
      <c r="T679" s="55"/>
      <c r="U679" s="55"/>
    </row>
    <row r="680" spans="1:21" ht="18.75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212">
        <f ca="1">IFERROR(__xludf.DUMMYFUNCTION("IMPORTRANGE(""https://docs.google.com/spreadsheets/d/1tdoBKaGub7dwA3U6UFTqxio9LNnvDCQjHKmttSEBsFQ/edit?usp=sharing"",""จัดที่ดิน!BL47"")"),0)</f>
        <v>0</v>
      </c>
      <c r="K680" s="55"/>
      <c r="L680" s="468"/>
      <c r="M680" s="55"/>
      <c r="N680" s="468"/>
      <c r="O680" s="55"/>
      <c r="P680" s="55"/>
      <c r="Q680" s="468"/>
      <c r="R680" s="55"/>
      <c r="S680" s="468"/>
      <c r="T680" s="55"/>
      <c r="U680" s="55"/>
    </row>
    <row r="681" spans="1:21" ht="18.75">
      <c r="A681" s="238"/>
      <c r="B681" s="188"/>
      <c r="C681" s="188"/>
      <c r="D681" s="50"/>
      <c r="E681" s="50"/>
      <c r="F681" s="50"/>
      <c r="G681" s="52"/>
      <c r="H681" s="165" t="s">
        <v>46</v>
      </c>
      <c r="I681" s="570">
        <f ca="1">IFERROR(__xludf.DUMMYFUNCTION("IMPORTRANGE(""https://docs.google.com/spreadsheets/d/1eHaY18a8A9IcSdp1K8H6x8fbOy06t2VsZHhMHf-1x7Y/edit?usp=sharing"",""แผน!IR47"")"),0)</f>
        <v>0</v>
      </c>
      <c r="J681" s="212">
        <f ca="1">IFERROR(__xludf.DUMMYFUNCTION("IMPORTRANGE(""https://docs.google.com/spreadsheets/d/1tdoBKaGub7dwA3U6UFTqxio9LNnvDCQjHKmttSEBsFQ/edit?usp=sharing"",""จัดที่ดิน!BM47"")"),0)</f>
        <v>0</v>
      </c>
      <c r="K681" s="255">
        <f ca="1">IF(I681&gt;0,J681*100/I681,0)</f>
        <v>0</v>
      </c>
      <c r="L681" s="468"/>
      <c r="M681" s="55"/>
      <c r="N681" s="468"/>
      <c r="O681" s="55"/>
      <c r="P681" s="55"/>
      <c r="Q681" s="468"/>
      <c r="R681" s="55"/>
      <c r="S681" s="468"/>
      <c r="T681" s="55"/>
      <c r="U681" s="55"/>
    </row>
    <row r="682" spans="1:21" ht="19.5" hidden="1">
      <c r="A682" s="238"/>
      <c r="B682" s="188"/>
      <c r="C682" s="188"/>
      <c r="D682" s="58" t="s">
        <v>252</v>
      </c>
      <c r="E682" s="50"/>
      <c r="F682" s="50"/>
      <c r="G682" s="52"/>
      <c r="H682" s="461" t="s">
        <v>46</v>
      </c>
      <c r="I682" s="569">
        <f ca="1">IFERROR(__xludf.DUMMYFUNCTION("IMPORTRANGE(""https://docs.google.com/spreadsheets/d/1eHaY18a8A9IcSdp1K8H6x8fbOy06t2VsZHhMHf-1x7Y/edit?usp=sharing"",""แผน!IS47"")"),0)</f>
        <v>0</v>
      </c>
      <c r="J682" s="373">
        <f>J685+J688</f>
        <v>0</v>
      </c>
      <c r="K682" s="540">
        <f ca="1">IF(I682&gt;0,J682*100/I682,0)</f>
        <v>0</v>
      </c>
      <c r="L682" s="55"/>
      <c r="M682" s="55"/>
      <c r="N682" s="468"/>
      <c r="O682" s="55"/>
      <c r="P682" s="55"/>
      <c r="Q682" s="55"/>
      <c r="R682" s="55"/>
      <c r="S682" s="468"/>
      <c r="T682" s="55"/>
      <c r="U682" s="55"/>
    </row>
    <row r="683" spans="1:21" ht="18.75" hidden="1">
      <c r="A683" s="238"/>
      <c r="B683" s="188"/>
      <c r="C683" s="188"/>
      <c r="D683" s="50"/>
      <c r="E683" s="58" t="s">
        <v>253</v>
      </c>
      <c r="F683" s="50"/>
      <c r="G683" s="52"/>
      <c r="H683" s="165" t="s">
        <v>35</v>
      </c>
      <c r="I683" s="208"/>
      <c r="J683" s="467">
        <v>0</v>
      </c>
      <c r="K683" s="55"/>
      <c r="L683" s="468"/>
      <c r="M683" s="55"/>
      <c r="N683" s="468"/>
      <c r="O683" s="55"/>
      <c r="P683" s="55"/>
      <c r="Q683" s="468"/>
      <c r="R683" s="55"/>
      <c r="S683" s="468"/>
      <c r="T683" s="55"/>
      <c r="U683" s="55"/>
    </row>
    <row r="684" spans="1:21" ht="18.75" hidden="1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467">
        <v>0</v>
      </c>
      <c r="K684" s="55"/>
      <c r="L684" s="468"/>
      <c r="M684" s="55"/>
      <c r="N684" s="468"/>
      <c r="O684" s="55"/>
      <c r="P684" s="55"/>
      <c r="Q684" s="468"/>
      <c r="R684" s="55"/>
      <c r="S684" s="468"/>
      <c r="T684" s="55"/>
      <c r="U684" s="55"/>
    </row>
    <row r="685" spans="1:21" ht="18.75" hidden="1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467">
        <v>0</v>
      </c>
      <c r="K685" s="55"/>
      <c r="L685" s="468"/>
      <c r="M685" s="55"/>
      <c r="N685" s="468"/>
      <c r="O685" s="55"/>
      <c r="P685" s="55"/>
      <c r="Q685" s="468"/>
      <c r="R685" s="55"/>
      <c r="S685" s="468"/>
      <c r="T685" s="55"/>
      <c r="U685" s="55"/>
    </row>
    <row r="686" spans="1:21" ht="18.75" hidden="1">
      <c r="A686" s="238"/>
      <c r="B686" s="188"/>
      <c r="C686" s="188"/>
      <c r="D686" s="50"/>
      <c r="E686" s="58" t="s">
        <v>254</v>
      </c>
      <c r="F686" s="50"/>
      <c r="G686" s="52"/>
      <c r="H686" s="165" t="s">
        <v>35</v>
      </c>
      <c r="I686" s="208"/>
      <c r="J686" s="467">
        <v>0</v>
      </c>
      <c r="K686" s="55"/>
      <c r="L686" s="468"/>
      <c r="M686" s="55"/>
      <c r="N686" s="468"/>
      <c r="O686" s="55"/>
      <c r="P686" s="55"/>
      <c r="Q686" s="468"/>
      <c r="R686" s="55"/>
      <c r="S686" s="468"/>
      <c r="T686" s="55"/>
      <c r="U686" s="55"/>
    </row>
    <row r="687" spans="1:21" ht="18.75" hidden="1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467">
        <v>0</v>
      </c>
      <c r="K687" s="55"/>
      <c r="L687" s="468"/>
      <c r="M687" s="55"/>
      <c r="N687" s="468"/>
      <c r="O687" s="55"/>
      <c r="P687" s="55"/>
      <c r="Q687" s="468"/>
      <c r="R687" s="55"/>
      <c r="S687" s="468"/>
      <c r="T687" s="55"/>
      <c r="U687" s="55"/>
    </row>
    <row r="688" spans="1:21" ht="19.5" hidden="1">
      <c r="A688" s="281"/>
      <c r="B688" s="470" t="s">
        <v>255</v>
      </c>
      <c r="C688" s="282"/>
      <c r="D688" s="2"/>
      <c r="E688" s="2"/>
      <c r="F688" s="2"/>
      <c r="G688" s="284"/>
      <c r="H688" s="214" t="s">
        <v>46</v>
      </c>
      <c r="I688" s="375"/>
      <c r="J688" s="538">
        <v>0</v>
      </c>
      <c r="K688" s="6"/>
      <c r="L688" s="471"/>
      <c r="M688" s="6"/>
      <c r="N688" s="471"/>
      <c r="O688" s="6"/>
      <c r="P688" s="6"/>
      <c r="Q688" s="471"/>
      <c r="R688" s="6"/>
      <c r="S688" s="471"/>
      <c r="T688" s="6"/>
      <c r="U688" s="6"/>
    </row>
    <row r="689" spans="1:21" ht="19.5">
      <c r="A689" s="442"/>
      <c r="B689" s="443" t="s">
        <v>256</v>
      </c>
      <c r="C689" s="442"/>
      <c r="D689" s="444"/>
      <c r="E689" s="444"/>
      <c r="F689" s="444"/>
      <c r="G689" s="445"/>
      <c r="H689" s="473" t="s">
        <v>35</v>
      </c>
      <c r="I689" s="544">
        <f ca="1">I707</f>
        <v>120</v>
      </c>
      <c r="J689" s="544">
        <f ca="1">J707</f>
        <v>0</v>
      </c>
      <c r="K689" s="543">
        <f ca="1">IF(I689&gt;0,J689*100/I689,0)</f>
        <v>0</v>
      </c>
      <c r="L689" s="448"/>
      <c r="M689" s="448"/>
      <c r="N689" s="448"/>
      <c r="O689" s="448"/>
      <c r="P689" s="448"/>
      <c r="Q689" s="448"/>
      <c r="R689" s="448"/>
      <c r="S689" s="448"/>
      <c r="T689" s="448"/>
      <c r="U689" s="448"/>
    </row>
    <row r="690" spans="1:21" ht="19.5">
      <c r="A690" s="155"/>
      <c r="B690" s="188"/>
      <c r="C690" s="205" t="s">
        <v>18</v>
      </c>
      <c r="D690" s="542" t="s">
        <v>19</v>
      </c>
      <c r="E690" s="529"/>
      <c r="F690" s="529"/>
      <c r="G690" s="530"/>
      <c r="H690" s="252" t="s">
        <v>14</v>
      </c>
      <c r="I690" s="54"/>
      <c r="J690" s="54"/>
      <c r="K690" s="55"/>
      <c r="L690" s="540">
        <f>L691+L692</f>
        <v>0</v>
      </c>
      <c r="M690" s="540">
        <f>M691+M692</f>
        <v>0</v>
      </c>
      <c r="N690" s="540">
        <f>N691+N692</f>
        <v>0</v>
      </c>
      <c r="O690" s="540">
        <f>IF(L690&gt;0,N690*100/L690,0)</f>
        <v>0</v>
      </c>
      <c r="P690" s="540">
        <f>IF(M690&gt;0,N690*100/M690,0)</f>
        <v>0</v>
      </c>
      <c r="Q690" s="540">
        <f ca="1">Q691+Q692</f>
        <v>231010</v>
      </c>
      <c r="R690" s="540">
        <f ca="1">R691+R692</f>
        <v>231010</v>
      </c>
      <c r="S690" s="540">
        <f ca="1">S691+S692</f>
        <v>18940</v>
      </c>
      <c r="T690" s="540">
        <f ca="1">IF(Q690&gt;0,S690*100/Q690,0)</f>
        <v>8.1987792736245186</v>
      </c>
      <c r="U690" s="540">
        <f ca="1">IF(R690&gt;0,S690*100/R690,0)</f>
        <v>8.1987792736245186</v>
      </c>
    </row>
    <row r="691" spans="1:21" ht="18.75" hidden="1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102">
        <f>L694+L697</f>
        <v>0</v>
      </c>
      <c r="M691" s="102">
        <f>M694+M697</f>
        <v>0</v>
      </c>
      <c r="N691" s="102">
        <f>N694+N697</f>
        <v>0</v>
      </c>
      <c r="O691" s="102">
        <f>IF(L691&gt;0,N691*100/L691,0)</f>
        <v>0</v>
      </c>
      <c r="P691" s="102">
        <f>IF(M691&gt;0,N691*100/M691,0)</f>
        <v>0</v>
      </c>
      <c r="Q691" s="102">
        <f>Q694+Q697</f>
        <v>0</v>
      </c>
      <c r="R691" s="102">
        <f>R694+R697</f>
        <v>0</v>
      </c>
      <c r="S691" s="102">
        <f>S694+S697</f>
        <v>0</v>
      </c>
      <c r="T691" s="102">
        <f>IF(Q691&gt;0,S691*100/Q691,0)</f>
        <v>0</v>
      </c>
      <c r="U691" s="102">
        <f>IF(R691&gt;0,S691*100/R691,0)</f>
        <v>0</v>
      </c>
    </row>
    <row r="692" spans="1:21" ht="18.75" hidden="1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255">
        <f>L695+L698</f>
        <v>0</v>
      </c>
      <c r="M692" s="255">
        <f>M695+M698</f>
        <v>0</v>
      </c>
      <c r="N692" s="255">
        <f>N695+N698</f>
        <v>0</v>
      </c>
      <c r="O692" s="255">
        <f>IF(L692&gt;0,N692*100/L692,0)</f>
        <v>0</v>
      </c>
      <c r="P692" s="255">
        <f>IF(M692&gt;0,N692*100/M692,0)</f>
        <v>0</v>
      </c>
      <c r="Q692" s="255">
        <f ca="1">Q695+Q698</f>
        <v>231010</v>
      </c>
      <c r="R692" s="255">
        <f ca="1">R695+R698</f>
        <v>231010</v>
      </c>
      <c r="S692" s="255">
        <f ca="1">S695+S698</f>
        <v>18940</v>
      </c>
      <c r="T692" s="255">
        <f ca="1">IF(Q692&gt;0,S692*100/Q692,0)</f>
        <v>8.1987792736245186</v>
      </c>
      <c r="U692" s="255">
        <f ca="1">IF(R692&gt;0,S692*100/R692,0)</f>
        <v>8.1987792736245186</v>
      </c>
    </row>
    <row r="693" spans="1:21" ht="18.75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255">
        <f>L694+L695</f>
        <v>0</v>
      </c>
      <c r="M693" s="255">
        <f>M694+M695</f>
        <v>0</v>
      </c>
      <c r="N693" s="255">
        <f>N694+N695</f>
        <v>0</v>
      </c>
      <c r="O693" s="255">
        <f>IF(L693&gt;0,N693*100/L693,0)</f>
        <v>0</v>
      </c>
      <c r="P693" s="255">
        <f>IF(M693&gt;0,N693*100/M693,0)</f>
        <v>0</v>
      </c>
      <c r="Q693" s="255">
        <f ca="1">Q694+Q695</f>
        <v>231010</v>
      </c>
      <c r="R693" s="255">
        <f ca="1">R694+R695</f>
        <v>231010</v>
      </c>
      <c r="S693" s="255">
        <f ca="1">S694+S695</f>
        <v>18940</v>
      </c>
      <c r="T693" s="255">
        <f ca="1">IF(Q693&gt;0,S693*100/Q693,0)</f>
        <v>8.1987792736245186</v>
      </c>
      <c r="U693" s="255">
        <f ca="1">IF(R693&gt;0,S693*100/R693,0)</f>
        <v>8.1987792736245186</v>
      </c>
    </row>
    <row r="694" spans="1:21" ht="18.75" hidden="1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102">
        <v>0</v>
      </c>
      <c r="M694" s="102">
        <v>0</v>
      </c>
      <c r="N694" s="102">
        <v>0</v>
      </c>
      <c r="O694" s="102">
        <f>IF(L694&gt;0,N694*100/L694,0)</f>
        <v>0</v>
      </c>
      <c r="P694" s="102">
        <f>IF(M694&gt;0,N694*100/M694,0)</f>
        <v>0</v>
      </c>
      <c r="Q694" s="102">
        <v>0</v>
      </c>
      <c r="R694" s="102">
        <v>0</v>
      </c>
      <c r="S694" s="102">
        <v>0</v>
      </c>
      <c r="T694" s="102">
        <f>IF(Q694&gt;0,S694*100/Q694,0)</f>
        <v>0</v>
      </c>
      <c r="U694" s="102">
        <f>IF(R694&gt;0,S694*100/R694,0)</f>
        <v>0</v>
      </c>
    </row>
    <row r="695" spans="1:21" ht="18.75" hidden="1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255">
        <v>0</v>
      </c>
      <c r="M695" s="255">
        <v>0</v>
      </c>
      <c r="N695" s="255">
        <v>0</v>
      </c>
      <c r="O695" s="255">
        <f>IF(L695&gt;0,N695*100/L695,0)</f>
        <v>0</v>
      </c>
      <c r="P695" s="255">
        <f>IF(M695&gt;0,N695*100/M695,0)</f>
        <v>0</v>
      </c>
      <c r="Q695" s="255">
        <f ca="1">IFERROR(__xludf.DUMMYFUNCTION("IMPORTRANGE(""https://docs.google.com/spreadsheets/d/1ItG2mGa2ceCfYo0BwxsXqNm01IGEUdYcSSLTEv9YCik/edit?usp=sharing"",""เบิกจ่ายกองทุน!L47"")"),231010)</f>
        <v>231010</v>
      </c>
      <c r="R695" s="255">
        <f ca="1">IFERROR(__xludf.DUMMYFUNCTION("IMPORTRANGE(""https://docs.google.com/spreadsheets/d/1ItG2mGa2ceCfYo0BwxsXqNm01IGEUdYcSSLTEv9YCik/edit?usp=sharing"",""เบิกจ่ายกองทุน!M47"")"),231010)</f>
        <v>231010</v>
      </c>
      <c r="S695" s="255">
        <f ca="1">IFERROR(__xludf.DUMMYFUNCTION("IMPORTRANGE(""https://docs.google.com/spreadsheets/d/1ItG2mGa2ceCfYo0BwxsXqNm01IGEUdYcSSLTEv9YCik/edit?usp=sharing"",""เบิกจ่ายกองทุน!N47"")"),18940)</f>
        <v>18940</v>
      </c>
      <c r="T695" s="255">
        <f ca="1">IF(Q695&gt;0,S695*100/Q695,0)</f>
        <v>8.1987792736245186</v>
      </c>
      <c r="U695" s="255">
        <f ca="1">IF(R695&gt;0,S695*100/R695,0)</f>
        <v>8.1987792736245186</v>
      </c>
    </row>
    <row r="696" spans="1:21" ht="18.75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255">
        <f>L697+L698</f>
        <v>0</v>
      </c>
      <c r="M696" s="255">
        <f>M697+M698</f>
        <v>0</v>
      </c>
      <c r="N696" s="255">
        <f>N697+N698</f>
        <v>0</v>
      </c>
      <c r="O696" s="255">
        <f>IF(L696&gt;0,N696*100/L696,0)</f>
        <v>0</v>
      </c>
      <c r="P696" s="255">
        <f>IF(M696&gt;0,N696*100/M696,0)</f>
        <v>0</v>
      </c>
      <c r="Q696" s="255">
        <f>Q697+Q698</f>
        <v>0</v>
      </c>
      <c r="R696" s="255">
        <f>R697+R698</f>
        <v>0</v>
      </c>
      <c r="S696" s="255">
        <f>S697+S698</f>
        <v>0</v>
      </c>
      <c r="T696" s="255">
        <f>IF(Q696&gt;0,S696*100/Q696,0)</f>
        <v>0</v>
      </c>
      <c r="U696" s="255">
        <f>IF(R696&gt;0,S696*100/R696,0)</f>
        <v>0</v>
      </c>
    </row>
    <row r="697" spans="1:21" ht="18.75" hidden="1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102">
        <v>0</v>
      </c>
      <c r="M697" s="102">
        <v>0</v>
      </c>
      <c r="N697" s="102">
        <v>0</v>
      </c>
      <c r="O697" s="102">
        <f>IF(L697&gt;0,N697*100/L697,0)</f>
        <v>0</v>
      </c>
      <c r="P697" s="102">
        <f>IF(M697&gt;0,N697*100/M697,0)</f>
        <v>0</v>
      </c>
      <c r="Q697" s="102">
        <v>0</v>
      </c>
      <c r="R697" s="102">
        <v>0</v>
      </c>
      <c r="S697" s="102">
        <v>0</v>
      </c>
      <c r="T697" s="102">
        <f>IF(Q697&gt;0,S697*100/Q697,0)</f>
        <v>0</v>
      </c>
      <c r="U697" s="102">
        <f>IF(R697&gt;0,S697*100/R697,0)</f>
        <v>0</v>
      </c>
    </row>
    <row r="698" spans="1:21" ht="18.75" hidden="1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255">
        <v>0</v>
      </c>
      <c r="M698" s="255">
        <v>0</v>
      </c>
      <c r="N698" s="255">
        <v>0</v>
      </c>
      <c r="O698" s="255">
        <f>IF(L698&gt;0,N698*100/L698,0)</f>
        <v>0</v>
      </c>
      <c r="P698" s="255">
        <f>IF(M698&gt;0,N698*100/M698,0)</f>
        <v>0</v>
      </c>
      <c r="Q698" s="255">
        <v>0</v>
      </c>
      <c r="R698" s="255">
        <v>0</v>
      </c>
      <c r="S698" s="255">
        <v>0</v>
      </c>
      <c r="T698" s="255">
        <f>IF(Q698&gt;0,S698*100/Q698,0)</f>
        <v>0</v>
      </c>
      <c r="U698" s="255">
        <f>IF(R698&gt;0,S698*100/R698,0)</f>
        <v>0</v>
      </c>
    </row>
    <row r="699" spans="1:21" ht="19.5">
      <c r="A699" s="166"/>
      <c r="B699" s="167"/>
      <c r="C699" s="205" t="s">
        <v>18</v>
      </c>
      <c r="D699" s="566" t="s">
        <v>38</v>
      </c>
      <c r="E699" s="169"/>
      <c r="F699" s="169"/>
      <c r="G699" s="169"/>
      <c r="H699" s="206"/>
      <c r="I699" s="163"/>
      <c r="J699" s="163"/>
      <c r="K699" s="164"/>
      <c r="L699" s="55"/>
      <c r="M699" s="55"/>
      <c r="N699" s="55"/>
      <c r="O699" s="55"/>
      <c r="P699" s="55"/>
      <c r="Q699" s="55"/>
      <c r="R699" s="55"/>
      <c r="S699" s="55"/>
      <c r="T699" s="55"/>
      <c r="U699" s="55"/>
    </row>
    <row r="700" spans="1:21" ht="18.75">
      <c r="A700" s="238"/>
      <c r="B700" s="188"/>
      <c r="C700" s="188"/>
      <c r="D700" s="174"/>
      <c r="E700" s="173" t="s">
        <v>257</v>
      </c>
      <c r="F700" s="174"/>
      <c r="G700" s="171"/>
      <c r="H700" s="165" t="s">
        <v>258</v>
      </c>
      <c r="I700" s="212">
        <f ca="1">IFERROR(__xludf.DUMMYFUNCTION("IMPORTRANGE(""https://docs.google.com/spreadsheets/d/1eHaY18a8A9IcSdp1K8H6x8fbOy06t2VsZHhMHf-1x7Y/edit?usp=sharing"",""แผน!LC47"")"),0)</f>
        <v>0</v>
      </c>
      <c r="J700" s="467">
        <v>0</v>
      </c>
      <c r="K700" s="565">
        <f ca="1">IF(I700&gt;0,J700*100/I700,0)</f>
        <v>0</v>
      </c>
      <c r="L700" s="164"/>
      <c r="M700" s="164"/>
      <c r="N700" s="55"/>
      <c r="O700" s="164"/>
      <c r="P700" s="164"/>
      <c r="Q700" s="164"/>
      <c r="R700" s="164"/>
      <c r="S700" s="55"/>
      <c r="T700" s="164"/>
      <c r="U700" s="164"/>
    </row>
    <row r="701" spans="1:21" ht="19.5">
      <c r="A701" s="238"/>
      <c r="B701" s="188"/>
      <c r="C701" s="188"/>
      <c r="D701" s="174"/>
      <c r="E701" s="476" t="s">
        <v>259</v>
      </c>
      <c r="F701" s="174"/>
      <c r="G701" s="171"/>
      <c r="H701" s="158" t="s">
        <v>35</v>
      </c>
      <c r="I701" s="373">
        <f ca="1">I703+I705</f>
        <v>126</v>
      </c>
      <c r="J701" s="373">
        <f ca="1">J703+J705</f>
        <v>0</v>
      </c>
      <c r="K701" s="540">
        <f ca="1">IF(I701&gt;0,J701*100/I701,0)</f>
        <v>0</v>
      </c>
      <c r="L701" s="164"/>
      <c r="M701" s="164"/>
      <c r="N701" s="164"/>
      <c r="O701" s="164"/>
      <c r="P701" s="164"/>
      <c r="Q701" s="164"/>
      <c r="R701" s="164"/>
      <c r="S701" s="164"/>
      <c r="T701" s="164"/>
      <c r="U701" s="164"/>
    </row>
    <row r="702" spans="1:21" ht="19.5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73">
        <v>0</v>
      </c>
      <c r="J702" s="373">
        <f ca="1">J704+J706</f>
        <v>0</v>
      </c>
      <c r="K702" s="540">
        <f>IF(I702&gt;0,J702*100/I702,0)</f>
        <v>0</v>
      </c>
      <c r="L702" s="164"/>
      <c r="M702" s="164"/>
      <c r="N702" s="164"/>
      <c r="O702" s="164"/>
      <c r="P702" s="164"/>
      <c r="Q702" s="164"/>
      <c r="R702" s="164"/>
      <c r="S702" s="164"/>
      <c r="T702" s="164"/>
      <c r="U702" s="164"/>
    </row>
    <row r="703" spans="1:21" ht="18.75">
      <c r="A703" s="238"/>
      <c r="B703" s="188"/>
      <c r="C703" s="188"/>
      <c r="D703" s="174"/>
      <c r="E703" s="174"/>
      <c r="F703" s="173" t="s">
        <v>260</v>
      </c>
      <c r="G703" s="171"/>
      <c r="H703" s="165" t="s">
        <v>35</v>
      </c>
      <c r="I703" s="212">
        <f ca="1">IFERROR(__xludf.DUMMYFUNCTION("IMPORTRANGE(""https://docs.google.com/spreadsheets/d/1eHaY18a8A9IcSdp1K8H6x8fbOy06t2VsZHhMHf-1x7Y/edit?usp=sharing"",""แผน!LJ47"")"),120)</f>
        <v>120</v>
      </c>
      <c r="J703" s="212">
        <f ca="1">IFERROR(__xludf.DUMMYFUNCTION("IMPORTRANGE(""https://docs.google.com/spreadsheets/d/1tdoBKaGub7dwA3U6UFTqxio9LNnvDCQjHKmttSEBsFQ/edit?usp=sharing"",""จัดที่ดิน!AP47"")"),0)</f>
        <v>0</v>
      </c>
      <c r="K703" s="255">
        <f ca="1">IF(I703&gt;0,J703*100/I703,0)</f>
        <v>0</v>
      </c>
      <c r="L703" s="164"/>
      <c r="M703" s="164"/>
      <c r="N703" s="164"/>
      <c r="O703" s="164"/>
      <c r="P703" s="164"/>
      <c r="Q703" s="164"/>
      <c r="R703" s="164"/>
      <c r="S703" s="164"/>
      <c r="T703" s="164"/>
      <c r="U703" s="164"/>
    </row>
    <row r="704" spans="1:21" ht="18.75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212">
        <f ca="1">IFERROR(__xludf.DUMMYFUNCTION("IMPORTRANGE(""https://docs.google.com/spreadsheets/d/1tdoBKaGub7dwA3U6UFTqxio9LNnvDCQjHKmttSEBsFQ/edit?usp=sharing"",""จัดที่ดิน!AQ47"")"),0)</f>
        <v>0</v>
      </c>
      <c r="K704" s="255">
        <f>IF(I704&gt;0,J704*100/I704,0)</f>
        <v>0</v>
      </c>
      <c r="L704" s="164"/>
      <c r="M704" s="164"/>
      <c r="N704" s="164"/>
      <c r="O704" s="164"/>
      <c r="P704" s="164"/>
      <c r="Q704" s="164"/>
      <c r="R704" s="164"/>
      <c r="S704" s="164"/>
      <c r="T704" s="164"/>
      <c r="U704" s="164"/>
    </row>
    <row r="705" spans="1:21" ht="18.75">
      <c r="A705" s="238"/>
      <c r="B705" s="188"/>
      <c r="C705" s="188"/>
      <c r="D705" s="174"/>
      <c r="E705" s="174"/>
      <c r="F705" s="173" t="s">
        <v>261</v>
      </c>
      <c r="G705" s="171"/>
      <c r="H705" s="165" t="s">
        <v>35</v>
      </c>
      <c r="I705" s="212">
        <f ca="1">IFERROR(__xludf.DUMMYFUNCTION("IMPORTRANGE(""https://docs.google.com/spreadsheets/d/1eHaY18a8A9IcSdp1K8H6x8fbOy06t2VsZHhMHf-1x7Y/edit?usp=sharing"",""แผน!LK47"")"),6)</f>
        <v>6</v>
      </c>
      <c r="J705" s="212">
        <f ca="1">IFERROR(__xludf.DUMMYFUNCTION("IMPORTRANGE(""https://docs.google.com/spreadsheets/d/1tdoBKaGub7dwA3U6UFTqxio9LNnvDCQjHKmttSEBsFQ/edit?usp=sharing"",""จัดที่ดิน!AR47"")"),0)</f>
        <v>0</v>
      </c>
      <c r="K705" s="565">
        <f ca="1">IF(I705&gt;0,J705*100/I705,0)</f>
        <v>0</v>
      </c>
      <c r="L705" s="164"/>
      <c r="M705" s="164"/>
      <c r="N705" s="164"/>
      <c r="O705" s="164"/>
      <c r="P705" s="164"/>
      <c r="Q705" s="164"/>
      <c r="R705" s="164"/>
      <c r="S705" s="164"/>
      <c r="T705" s="164"/>
      <c r="U705" s="164"/>
    </row>
    <row r="706" spans="1:21" ht="18.75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212">
        <f ca="1">IFERROR(__xludf.DUMMYFUNCTION("IMPORTRANGE(""https://docs.google.com/spreadsheets/d/1tdoBKaGub7dwA3U6UFTqxio9LNnvDCQjHKmttSEBsFQ/edit?usp=sharing"",""จัดที่ดิน!AS47"")"),0)</f>
        <v>0</v>
      </c>
      <c r="K706" s="255">
        <f>IF(I706&gt;0,J706*100/I706,0)</f>
        <v>0</v>
      </c>
      <c r="L706" s="164"/>
      <c r="M706" s="164"/>
      <c r="N706" s="164"/>
      <c r="O706" s="164"/>
      <c r="P706" s="164"/>
      <c r="Q706" s="164"/>
      <c r="R706" s="164"/>
      <c r="S706" s="164"/>
      <c r="T706" s="164"/>
      <c r="U706" s="164"/>
    </row>
    <row r="707" spans="1:21" ht="18.75">
      <c r="A707" s="238"/>
      <c r="B707" s="188"/>
      <c r="C707" s="188"/>
      <c r="D707" s="174"/>
      <c r="E707" s="173" t="s">
        <v>262</v>
      </c>
      <c r="F707" s="174"/>
      <c r="G707" s="171"/>
      <c r="H707" s="162" t="s">
        <v>35</v>
      </c>
      <c r="I707" s="212">
        <f ca="1">IFERROR(__xludf.DUMMYFUNCTION("IMPORTRANGE(""https://docs.google.com/spreadsheets/d/1eHaY18a8A9IcSdp1K8H6x8fbOy06t2VsZHhMHf-1x7Y/edit?usp=sharing"",""แผน!LJ47"")"),120)</f>
        <v>120</v>
      </c>
      <c r="J707" s="212">
        <f ca="1">IFERROR(__xludf.DUMMYFUNCTION("IMPORTRANGE(""https://docs.google.com/spreadsheets/d/1tdoBKaGub7dwA3U6UFTqxio9LNnvDCQjHKmttSEBsFQ/edit?usp=sharing"",""จัดที่ดิน!BN47"")"),0)</f>
        <v>0</v>
      </c>
      <c r="K707" s="255">
        <f ca="1">IF(I707&gt;0,J707*100/I707,0)</f>
        <v>0</v>
      </c>
      <c r="L707" s="164"/>
      <c r="M707" s="164"/>
      <c r="N707" s="164"/>
      <c r="O707" s="164"/>
      <c r="P707" s="164"/>
      <c r="Q707" s="164"/>
      <c r="R707" s="164"/>
      <c r="S707" s="164"/>
      <c r="T707" s="164"/>
      <c r="U707" s="164"/>
    </row>
    <row r="708" spans="1:21" ht="18.75">
      <c r="A708" s="238"/>
      <c r="B708" s="188"/>
      <c r="C708" s="188"/>
      <c r="D708" s="174"/>
      <c r="E708" s="477" t="s">
        <v>263</v>
      </c>
      <c r="F708" s="174"/>
      <c r="G708" s="171"/>
      <c r="H708" s="162" t="s">
        <v>46</v>
      </c>
      <c r="I708" s="212">
        <v>0</v>
      </c>
      <c r="J708" s="212">
        <f ca="1">IFERROR(__xludf.DUMMYFUNCTION("IMPORTRANGE(""https://docs.google.com/spreadsheets/d/1tdoBKaGub7dwA3U6UFTqxio9LNnvDCQjHKmttSEBsFQ/edit?usp=sharing"",""จัดที่ดิน!BO47"")"),0)</f>
        <v>0</v>
      </c>
      <c r="K708" s="255">
        <f>IF(I708&gt;0,J708*100/I708,0)</f>
        <v>0</v>
      </c>
      <c r="L708" s="164"/>
      <c r="M708" s="164"/>
      <c r="N708" s="164"/>
      <c r="O708" s="164"/>
      <c r="P708" s="164"/>
      <c r="Q708" s="164"/>
      <c r="R708" s="164"/>
      <c r="S708" s="164"/>
      <c r="T708" s="164"/>
      <c r="U708" s="164"/>
    </row>
    <row r="709" spans="1:21" ht="18.75">
      <c r="A709" s="238"/>
      <c r="B709" s="188"/>
      <c r="C709" s="188"/>
      <c r="D709" s="50"/>
      <c r="E709" s="58" t="s">
        <v>264</v>
      </c>
      <c r="F709" s="50"/>
      <c r="G709" s="52"/>
      <c r="H709" s="203" t="s">
        <v>35</v>
      </c>
      <c r="I709" s="212">
        <f ca="1">IFERROR(__xludf.DUMMYFUNCTION("IMPORTRANGE(""https://docs.google.com/spreadsheets/d/1eHaY18a8A9IcSdp1K8H6x8fbOy06t2VsZHhMHf-1x7Y/edit?usp=sharing"",""แผน!LK47"")"),6)</f>
        <v>6</v>
      </c>
      <c r="J709" s="212">
        <f ca="1">IFERROR(__xludf.DUMMYFUNCTION("IMPORTRANGE(""https://docs.google.com/spreadsheets/d/1tdoBKaGub7dwA3U6UFTqxio9LNnvDCQjHKmttSEBsFQ/edit?usp=sharing"",""จัดที่ดิน!BP47"")"),0)</f>
        <v>0</v>
      </c>
      <c r="K709" s="255">
        <f ca="1">IF(I709&gt;0,J709*100/I709,0)</f>
        <v>0</v>
      </c>
      <c r="L709" s="55"/>
      <c r="M709" s="55"/>
      <c r="N709" s="55"/>
      <c r="O709" s="55"/>
      <c r="P709" s="55"/>
      <c r="Q709" s="55"/>
      <c r="R709" s="55"/>
      <c r="S709" s="55"/>
      <c r="T709" s="55"/>
      <c r="U709" s="55"/>
    </row>
    <row r="710" spans="1:21" ht="18.75">
      <c r="A710" s="238"/>
      <c r="B710" s="188"/>
      <c r="C710" s="188"/>
      <c r="D710" s="50"/>
      <c r="E710" s="477" t="s">
        <v>265</v>
      </c>
      <c r="F710" s="50"/>
      <c r="G710" s="52"/>
      <c r="H710" s="203" t="s">
        <v>46</v>
      </c>
      <c r="I710" s="212">
        <v>0</v>
      </c>
      <c r="J710" s="212">
        <f ca="1">IFERROR(__xludf.DUMMYFUNCTION("IMPORTRANGE(""https://docs.google.com/spreadsheets/d/1tdoBKaGub7dwA3U6UFTqxio9LNnvDCQjHKmttSEBsFQ/edit?usp=sharing"",""จัดที่ดิน!BQ47"")"),0)</f>
        <v>0</v>
      </c>
      <c r="K710" s="255">
        <f>IF(I710&gt;0,J710*100/I710,0)</f>
        <v>0</v>
      </c>
      <c r="L710" s="55"/>
      <c r="M710" s="55"/>
      <c r="N710" s="55"/>
      <c r="O710" s="55"/>
      <c r="P710" s="55"/>
      <c r="Q710" s="55"/>
      <c r="R710" s="55"/>
      <c r="S710" s="55"/>
      <c r="T710" s="55"/>
      <c r="U710" s="55"/>
    </row>
    <row r="711" spans="1:21" ht="12.75" hidden="1">
      <c r="A711" s="407"/>
      <c r="B711" s="360"/>
      <c r="C711" s="360"/>
      <c r="D711" s="408"/>
      <c r="E711" s="408"/>
      <c r="F711" s="408"/>
      <c r="G711" s="409"/>
      <c r="H711" s="361"/>
      <c r="I711" s="362"/>
      <c r="J711" s="362"/>
      <c r="K711" s="363"/>
      <c r="L711" s="363"/>
      <c r="M711" s="363"/>
      <c r="N711" s="363"/>
      <c r="O711" s="363"/>
      <c r="P711" s="363"/>
      <c r="Q711" s="363"/>
      <c r="R711" s="363"/>
      <c r="S711" s="363"/>
      <c r="T711" s="363"/>
      <c r="U711" s="363"/>
    </row>
    <row r="712" spans="1:21" ht="19.5" hidden="1">
      <c r="A712" s="442"/>
      <c r="B712" s="478" t="s">
        <v>266</v>
      </c>
      <c r="C712" s="442"/>
      <c r="D712" s="444"/>
      <c r="E712" s="444"/>
      <c r="F712" s="444"/>
      <c r="G712" s="445"/>
      <c r="H712" s="479" t="s">
        <v>46</v>
      </c>
      <c r="I712" s="447"/>
      <c r="J712" s="447">
        <f>J724</f>
        <v>0</v>
      </c>
      <c r="K712" s="564">
        <f>IF(I712&gt;0,J712*100/I712,0)</f>
        <v>0</v>
      </c>
      <c r="L712" s="448"/>
      <c r="M712" s="448"/>
      <c r="N712" s="448"/>
      <c r="O712" s="448"/>
      <c r="P712" s="448"/>
      <c r="Q712" s="448"/>
      <c r="R712" s="448"/>
      <c r="S712" s="448"/>
      <c r="T712" s="448"/>
      <c r="U712" s="448"/>
    </row>
    <row r="713" spans="1:21" ht="19.5" hidden="1">
      <c r="A713" s="442"/>
      <c r="B713" s="478" t="s">
        <v>267</v>
      </c>
      <c r="C713" s="442"/>
      <c r="D713" s="444"/>
      <c r="E713" s="444"/>
      <c r="F713" s="444"/>
      <c r="G713" s="445"/>
      <c r="H713" s="446"/>
      <c r="I713" s="447"/>
      <c r="J713" s="447"/>
      <c r="K713" s="448"/>
      <c r="L713" s="448"/>
      <c r="M713" s="448"/>
      <c r="N713" s="448"/>
      <c r="O713" s="448"/>
      <c r="P713" s="448"/>
      <c r="Q713" s="448"/>
      <c r="R713" s="448"/>
      <c r="S713" s="448"/>
      <c r="T713" s="448"/>
      <c r="U713" s="448"/>
    </row>
    <row r="714" spans="1:21" ht="19.5" hidden="1">
      <c r="A714" s="155"/>
      <c r="B714" s="188"/>
      <c r="C714" s="358" t="s">
        <v>18</v>
      </c>
      <c r="D714" s="563" t="s">
        <v>19</v>
      </c>
      <c r="E714" s="529"/>
      <c r="F714" s="529"/>
      <c r="G714" s="530"/>
      <c r="H714" s="418" t="s">
        <v>14</v>
      </c>
      <c r="I714" s="54"/>
      <c r="J714" s="54"/>
      <c r="K714" s="55"/>
      <c r="L714" s="540">
        <f>L715+L716</f>
        <v>0</v>
      </c>
      <c r="M714" s="540">
        <f>M715+M716</f>
        <v>0</v>
      </c>
      <c r="N714" s="540">
        <f>N715+N716</f>
        <v>0</v>
      </c>
      <c r="O714" s="540">
        <f>IF(L714&gt;0,N714*100/L714,0)</f>
        <v>0</v>
      </c>
      <c r="P714" s="540">
        <f>IF(M714&gt;0,N714*100/M714,0)</f>
        <v>0</v>
      </c>
      <c r="Q714" s="540">
        <f>Q715+Q716</f>
        <v>0</v>
      </c>
      <c r="R714" s="540">
        <f>R715+R716</f>
        <v>0</v>
      </c>
      <c r="S714" s="540">
        <f>S715+S716</f>
        <v>0</v>
      </c>
      <c r="T714" s="540">
        <f>IF(Q714&gt;0,S714*100/Q714,0)</f>
        <v>0</v>
      </c>
      <c r="U714" s="540">
        <f>IF(R714&gt;0,S714*100/R714,0)</f>
        <v>0</v>
      </c>
    </row>
    <row r="715" spans="1:21" ht="18.75" hidden="1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102">
        <f>L718+L721</f>
        <v>0</v>
      </c>
      <c r="M715" s="102">
        <f>M718+M721</f>
        <v>0</v>
      </c>
      <c r="N715" s="102">
        <f>N718+N721</f>
        <v>0</v>
      </c>
      <c r="O715" s="102">
        <f>IF(L715&gt;0,N715*100/L715,0)</f>
        <v>0</v>
      </c>
      <c r="P715" s="102">
        <f>IF(M715&gt;0,N715*100/M715,0)</f>
        <v>0</v>
      </c>
      <c r="Q715" s="102">
        <f>Q718+Q721</f>
        <v>0</v>
      </c>
      <c r="R715" s="102">
        <f>R718+R721</f>
        <v>0</v>
      </c>
      <c r="S715" s="102">
        <f>S718+S721</f>
        <v>0</v>
      </c>
      <c r="T715" s="102">
        <f>IF(Q715&gt;0,S715*100/Q715,0)</f>
        <v>0</v>
      </c>
      <c r="U715" s="102">
        <f>IF(R715&gt;0,S715*100/R715,0)</f>
        <v>0</v>
      </c>
    </row>
    <row r="716" spans="1:21" ht="18.75" hidden="1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255">
        <f>L719+L722</f>
        <v>0</v>
      </c>
      <c r="M716" s="255">
        <f>M719+M722</f>
        <v>0</v>
      </c>
      <c r="N716" s="255">
        <f>N719+N722</f>
        <v>0</v>
      </c>
      <c r="O716" s="255">
        <f>IF(L716&gt;0,N716*100/L716,0)</f>
        <v>0</v>
      </c>
      <c r="P716" s="255">
        <f>IF(M716&gt;0,N716*100/M716,0)</f>
        <v>0</v>
      </c>
      <c r="Q716" s="255">
        <f>Q719+Q722</f>
        <v>0</v>
      </c>
      <c r="R716" s="255">
        <f>R719+R722</f>
        <v>0</v>
      </c>
      <c r="S716" s="255">
        <f>S719+S722</f>
        <v>0</v>
      </c>
      <c r="T716" s="255">
        <f>IF(Q716&gt;0,S716*100/Q716,0)</f>
        <v>0</v>
      </c>
      <c r="U716" s="255">
        <f>IF(R716&gt;0,S716*100/R716,0)</f>
        <v>0</v>
      </c>
    </row>
    <row r="717" spans="1:21" ht="19.5" hidden="1">
      <c r="A717" s="155"/>
      <c r="B717" s="188"/>
      <c r="C717" s="188"/>
      <c r="D717" s="562" t="s">
        <v>22</v>
      </c>
      <c r="E717" s="50"/>
      <c r="F717" s="50"/>
      <c r="G717" s="52"/>
      <c r="H717" s="418" t="s">
        <v>14</v>
      </c>
      <c r="I717" s="163"/>
      <c r="J717" s="163"/>
      <c r="K717" s="164"/>
      <c r="L717" s="255">
        <f>L718+L719</f>
        <v>0</v>
      </c>
      <c r="M717" s="255">
        <f>M718+M719</f>
        <v>0</v>
      </c>
      <c r="N717" s="255">
        <f>N718+N719</f>
        <v>0</v>
      </c>
      <c r="O717" s="255">
        <f>IF(L717&gt;0,N717*100/L717,0)</f>
        <v>0</v>
      </c>
      <c r="P717" s="255">
        <f>IF(M717&gt;0,N717*100/M717,0)</f>
        <v>0</v>
      </c>
      <c r="Q717" s="255">
        <f>Q718+Q719</f>
        <v>0</v>
      </c>
      <c r="R717" s="255">
        <f>R718+R719</f>
        <v>0</v>
      </c>
      <c r="S717" s="255">
        <f>S718+S719</f>
        <v>0</v>
      </c>
      <c r="T717" s="255">
        <f>IF(Q717&gt;0,S717*100/Q717,0)</f>
        <v>0</v>
      </c>
      <c r="U717" s="255">
        <f>IF(R717&gt;0,S717*100/R717,0)</f>
        <v>0</v>
      </c>
    </row>
    <row r="718" spans="1:21" ht="18.75" hidden="1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102">
        <v>0</v>
      </c>
      <c r="M718" s="102">
        <v>0</v>
      </c>
      <c r="N718" s="102">
        <v>0</v>
      </c>
      <c r="O718" s="102">
        <f>IF(L718&gt;0,N718*100/L718,0)</f>
        <v>0</v>
      </c>
      <c r="P718" s="102">
        <f>IF(M718&gt;0,N718*100/M718,0)</f>
        <v>0</v>
      </c>
      <c r="Q718" s="102">
        <v>0</v>
      </c>
      <c r="R718" s="102">
        <v>0</v>
      </c>
      <c r="S718" s="102">
        <v>0</v>
      </c>
      <c r="T718" s="102">
        <f>IF(Q718&gt;0,S718*100/Q718,0)</f>
        <v>0</v>
      </c>
      <c r="U718" s="102">
        <f>IF(R718&gt;0,S718*100/R718,0)</f>
        <v>0</v>
      </c>
    </row>
    <row r="719" spans="1:21" ht="18.75" hidden="1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255">
        <v>0</v>
      </c>
      <c r="M719" s="255">
        <v>0</v>
      </c>
      <c r="N719" s="255">
        <v>0</v>
      </c>
      <c r="O719" s="255">
        <f>IF(L719&gt;0,N719*100/L719,0)</f>
        <v>0</v>
      </c>
      <c r="P719" s="255">
        <f>IF(M719&gt;0,N719*100/M719,0)</f>
        <v>0</v>
      </c>
      <c r="Q719" s="255">
        <v>0</v>
      </c>
      <c r="R719" s="255">
        <v>0</v>
      </c>
      <c r="S719" s="255">
        <v>0</v>
      </c>
      <c r="T719" s="255">
        <f>IF(Q719&gt;0,S719*100/Q719,0)</f>
        <v>0</v>
      </c>
      <c r="U719" s="255">
        <f>IF(R719&gt;0,S719*100/R719,0)</f>
        <v>0</v>
      </c>
    </row>
    <row r="720" spans="1:21" ht="19.5" hidden="1">
      <c r="A720" s="155"/>
      <c r="B720" s="188"/>
      <c r="C720" s="188"/>
      <c r="D720" s="562" t="s">
        <v>23</v>
      </c>
      <c r="E720" s="50"/>
      <c r="F720" s="50"/>
      <c r="G720" s="52"/>
      <c r="H720" s="420" t="s">
        <v>14</v>
      </c>
      <c r="I720" s="163"/>
      <c r="J720" s="163"/>
      <c r="K720" s="164"/>
      <c r="L720" s="255">
        <f>L721+L722</f>
        <v>0</v>
      </c>
      <c r="M720" s="255">
        <f>M721+M722</f>
        <v>0</v>
      </c>
      <c r="N720" s="255">
        <f>N721+N722</f>
        <v>0</v>
      </c>
      <c r="O720" s="255">
        <f>IF(L720&gt;0,N720*100/L720,0)</f>
        <v>0</v>
      </c>
      <c r="P720" s="255">
        <f>IF(M720&gt;0,N720*100/M720,0)</f>
        <v>0</v>
      </c>
      <c r="Q720" s="255">
        <f>Q721+Q722</f>
        <v>0</v>
      </c>
      <c r="R720" s="255">
        <f>R721+R722</f>
        <v>0</v>
      </c>
      <c r="S720" s="255">
        <f>S721+S722</f>
        <v>0</v>
      </c>
      <c r="T720" s="255">
        <f>IF(Q720&gt;0,S720*100/Q720,0)</f>
        <v>0</v>
      </c>
      <c r="U720" s="255">
        <f>IF(R720&gt;0,S720*100/R720,0)</f>
        <v>0</v>
      </c>
    </row>
    <row r="721" spans="1:21" ht="18.75" hidden="1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102">
        <v>0</v>
      </c>
      <c r="M721" s="102">
        <v>0</v>
      </c>
      <c r="N721" s="102">
        <v>0</v>
      </c>
      <c r="O721" s="102">
        <f>IF(L721&gt;0,N721*100/L721,0)</f>
        <v>0</v>
      </c>
      <c r="P721" s="102">
        <f>IF(M721&gt;0,N721*100/M721,0)</f>
        <v>0</v>
      </c>
      <c r="Q721" s="102">
        <v>0</v>
      </c>
      <c r="R721" s="102">
        <v>0</v>
      </c>
      <c r="S721" s="102">
        <v>0</v>
      </c>
      <c r="T721" s="102">
        <f>IF(Q721&gt;0,S721*100/Q721,0)</f>
        <v>0</v>
      </c>
      <c r="U721" s="102">
        <f>IF(R721&gt;0,S721*100/R721,0)</f>
        <v>0</v>
      </c>
    </row>
    <row r="722" spans="1:21" ht="18.75" hidden="1">
      <c r="A722" s="155"/>
      <c r="B722" s="188"/>
      <c r="C722" s="188"/>
      <c r="D722" s="50"/>
      <c r="E722" s="186" t="s">
        <v>21</v>
      </c>
      <c r="F722" s="50"/>
      <c r="G722" s="52"/>
      <c r="H722" s="421" t="s">
        <v>14</v>
      </c>
      <c r="I722" s="163"/>
      <c r="J722" s="163"/>
      <c r="K722" s="164"/>
      <c r="L722" s="255">
        <v>0</v>
      </c>
      <c r="M722" s="255">
        <v>0</v>
      </c>
      <c r="N722" s="255">
        <v>0</v>
      </c>
      <c r="O722" s="255">
        <f>IF(L722&gt;0,N722*100/L722,0)</f>
        <v>0</v>
      </c>
      <c r="P722" s="255">
        <f>IF(M722&gt;0,N722*100/M722,0)</f>
        <v>0</v>
      </c>
      <c r="Q722" s="255">
        <v>0</v>
      </c>
      <c r="R722" s="255">
        <v>0</v>
      </c>
      <c r="S722" s="255">
        <v>0</v>
      </c>
      <c r="T722" s="255">
        <f>IF(Q722&gt;0,S722*100/Q722,0)</f>
        <v>0</v>
      </c>
      <c r="U722" s="255">
        <f>IF(R722&gt;0,S722*100/R722,0)</f>
        <v>0</v>
      </c>
    </row>
    <row r="723" spans="1:21" ht="19.5" hidden="1">
      <c r="A723" s="166"/>
      <c r="B723" s="167"/>
      <c r="C723" s="358" t="s">
        <v>18</v>
      </c>
      <c r="D723" s="561" t="s">
        <v>38</v>
      </c>
      <c r="E723" s="169"/>
      <c r="F723" s="169"/>
      <c r="G723" s="170"/>
      <c r="H723" s="206"/>
      <c r="I723" s="163"/>
      <c r="J723" s="163"/>
      <c r="K723" s="164"/>
      <c r="L723" s="164"/>
      <c r="M723" s="164"/>
      <c r="N723" s="164"/>
      <c r="O723" s="164"/>
      <c r="P723" s="164"/>
      <c r="Q723" s="164"/>
      <c r="R723" s="164"/>
      <c r="S723" s="164"/>
      <c r="T723" s="164"/>
      <c r="U723" s="164"/>
    </row>
    <row r="724" spans="1:21" ht="18.75" hidden="1">
      <c r="A724" s="238"/>
      <c r="B724" s="188"/>
      <c r="C724" s="188"/>
      <c r="D724" s="50"/>
      <c r="E724" s="186" t="s">
        <v>268</v>
      </c>
      <c r="F724" s="50"/>
      <c r="G724" s="52"/>
      <c r="H724" s="189" t="s">
        <v>46</v>
      </c>
      <c r="I724" s="483">
        <v>0</v>
      </c>
      <c r="J724" s="54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</row>
    <row r="725" spans="1:21" ht="18.75" hidden="1">
      <c r="A725" s="374"/>
      <c r="B725" s="5"/>
      <c r="C725" s="5"/>
      <c r="D725" s="4"/>
      <c r="E725" s="484" t="s">
        <v>269</v>
      </c>
      <c r="F725" s="4"/>
      <c r="G725" s="65"/>
      <c r="H725" s="485" t="s">
        <v>46</v>
      </c>
      <c r="I725" s="486">
        <v>0</v>
      </c>
      <c r="J725" s="67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>
      <c r="A726" s="442"/>
      <c r="B726" s="443" t="s">
        <v>270</v>
      </c>
      <c r="C726" s="442"/>
      <c r="D726" s="444"/>
      <c r="E726" s="444"/>
      <c r="F726" s="444"/>
      <c r="G726" s="445"/>
      <c r="H726" s="473" t="s">
        <v>35</v>
      </c>
      <c r="I726" s="544">
        <f ca="1">IFERROR(__xludf.DUMMYFUNCTION("IMPORTRANGE(""https://docs.google.com/spreadsheets/d/1eHaY18a8A9IcSdp1K8H6x8fbOy06t2VsZHhMHf-1x7Y/edit?usp=sharing"",""แผน!GA47"")"),51)</f>
        <v>51</v>
      </c>
      <c r="J726" s="544">
        <f>J742+J746+J749</f>
        <v>40</v>
      </c>
      <c r="K726" s="543">
        <f ca="1">IF(I726&gt;0,J726*100/I726,0)</f>
        <v>78.431372549019613</v>
      </c>
      <c r="L726" s="448"/>
      <c r="M726" s="448"/>
      <c r="N726" s="448"/>
      <c r="O726" s="448"/>
      <c r="P726" s="448"/>
      <c r="Q726" s="448"/>
      <c r="R726" s="448"/>
      <c r="S726" s="448"/>
      <c r="T726" s="448"/>
      <c r="U726" s="448"/>
    </row>
    <row r="727" spans="1:21" ht="19.5">
      <c r="A727" s="487"/>
      <c r="B727" s="442"/>
      <c r="C727" s="442"/>
      <c r="D727" s="444"/>
      <c r="E727" s="444"/>
      <c r="F727" s="444"/>
      <c r="G727" s="445"/>
      <c r="H727" s="473" t="s">
        <v>46</v>
      </c>
      <c r="I727" s="544">
        <f ca="1">IFERROR(__xludf.DUMMYFUNCTION("IMPORTRANGE(""https://docs.google.com/spreadsheets/d/1eHaY18a8A9IcSdp1K8H6x8fbOy06t2VsZHhMHf-1x7Y/edit?usp=sharing"",""แผน!FZ47"")"),500)</f>
        <v>500</v>
      </c>
      <c r="J727" s="544">
        <f>J752+J755</f>
        <v>0</v>
      </c>
      <c r="K727" s="543">
        <f ca="1">IF(I727&gt;0,J727*100/I727,0)</f>
        <v>0</v>
      </c>
      <c r="L727" s="448"/>
      <c r="M727" s="448"/>
      <c r="N727" s="448"/>
      <c r="O727" s="448"/>
      <c r="P727" s="448"/>
      <c r="Q727" s="448"/>
      <c r="R727" s="448"/>
      <c r="S727" s="448"/>
      <c r="T727" s="448"/>
      <c r="U727" s="448"/>
    </row>
    <row r="728" spans="1:21" ht="19.5">
      <c r="A728" s="155"/>
      <c r="B728" s="188"/>
      <c r="C728" s="205" t="s">
        <v>18</v>
      </c>
      <c r="D728" s="542" t="s">
        <v>19</v>
      </c>
      <c r="E728" s="529"/>
      <c r="F728" s="529"/>
      <c r="G728" s="530"/>
      <c r="H728" s="252" t="s">
        <v>14</v>
      </c>
      <c r="I728" s="54"/>
      <c r="J728" s="54"/>
      <c r="K728" s="55"/>
      <c r="L728" s="540">
        <f>L729+L730</f>
        <v>0</v>
      </c>
      <c r="M728" s="540">
        <f>M729+M730</f>
        <v>0</v>
      </c>
      <c r="N728" s="540">
        <f>N729+N730</f>
        <v>0</v>
      </c>
      <c r="O728" s="540">
        <f>IF(L728&gt;0,N728*100/L728,0)</f>
        <v>0</v>
      </c>
      <c r="P728" s="540">
        <f>IF(M728&gt;0,N728*100/M728,0)</f>
        <v>0</v>
      </c>
      <c r="Q728" s="540">
        <f ca="1">Q729+Q730</f>
        <v>379090</v>
      </c>
      <c r="R728" s="540">
        <f ca="1">R729+R730</f>
        <v>379090</v>
      </c>
      <c r="S728" s="540">
        <f ca="1">S729+S730</f>
        <v>47965</v>
      </c>
      <c r="T728" s="540">
        <f ca="1">IF(Q728&gt;0,S728*100/Q728,0)</f>
        <v>12.652668231818302</v>
      </c>
      <c r="U728" s="540">
        <f ca="1">IF(R728&gt;0,S728*100/R728,0)</f>
        <v>12.652668231818302</v>
      </c>
    </row>
    <row r="729" spans="1:21" ht="18.75" hidden="1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102">
        <f>L732+L735</f>
        <v>0</v>
      </c>
      <c r="M729" s="102">
        <f>M732+M735</f>
        <v>0</v>
      </c>
      <c r="N729" s="102">
        <f>N732+N735</f>
        <v>0</v>
      </c>
      <c r="O729" s="102">
        <f>IF(L729&gt;0,N729*100/L729,0)</f>
        <v>0</v>
      </c>
      <c r="P729" s="102">
        <f>IF(M729&gt;0,N729*100/M729,0)</f>
        <v>0</v>
      </c>
      <c r="Q729" s="102">
        <f>Q732+Q735</f>
        <v>0</v>
      </c>
      <c r="R729" s="102">
        <f>R732+R735</f>
        <v>0</v>
      </c>
      <c r="S729" s="102">
        <f>S732+S735</f>
        <v>0</v>
      </c>
      <c r="T729" s="102">
        <f>IF(Q729&gt;0,S729*100/Q729,0)</f>
        <v>0</v>
      </c>
      <c r="U729" s="102">
        <f>IF(R729&gt;0,S729*100/R729,0)</f>
        <v>0</v>
      </c>
    </row>
    <row r="730" spans="1:21" ht="18.75" hidden="1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255">
        <f>L733+L736</f>
        <v>0</v>
      </c>
      <c r="M730" s="255">
        <f>M733+M736</f>
        <v>0</v>
      </c>
      <c r="N730" s="255">
        <f>N733+N736</f>
        <v>0</v>
      </c>
      <c r="O730" s="255">
        <f>IF(L730&gt;0,N730*100/L730,0)</f>
        <v>0</v>
      </c>
      <c r="P730" s="255">
        <f>IF(M730&gt;0,N730*100/M730,0)</f>
        <v>0</v>
      </c>
      <c r="Q730" s="255">
        <f ca="1">Q733+Q736</f>
        <v>379090</v>
      </c>
      <c r="R730" s="255">
        <f ca="1">R733+R736</f>
        <v>379090</v>
      </c>
      <c r="S730" s="255">
        <f ca="1">S733+S736</f>
        <v>47965</v>
      </c>
      <c r="T730" s="255">
        <f ca="1">IF(Q730&gt;0,S730*100/Q730,0)</f>
        <v>12.652668231818302</v>
      </c>
      <c r="U730" s="255">
        <f ca="1">IF(R730&gt;0,S730*100/R730,0)</f>
        <v>12.652668231818302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255">
        <f>L732+L733</f>
        <v>0</v>
      </c>
      <c r="M731" s="255">
        <f>M732+M733</f>
        <v>0</v>
      </c>
      <c r="N731" s="255">
        <f>N732+N733</f>
        <v>0</v>
      </c>
      <c r="O731" s="255">
        <f>IF(L731&gt;0,N731*100/L731,0)</f>
        <v>0</v>
      </c>
      <c r="P731" s="255">
        <f>IF(M731&gt;0,N731*100/M731,0)</f>
        <v>0</v>
      </c>
      <c r="Q731" s="255">
        <f ca="1">Q732+Q733</f>
        <v>379090</v>
      </c>
      <c r="R731" s="255">
        <f ca="1">R732+R733</f>
        <v>379090</v>
      </c>
      <c r="S731" s="255">
        <f ca="1">S732+S733</f>
        <v>47965</v>
      </c>
      <c r="T731" s="255">
        <f ca="1">IF(Q731&gt;0,S731*100/Q731,0)</f>
        <v>12.652668231818302</v>
      </c>
      <c r="U731" s="255">
        <f ca="1">IF(R731&gt;0,S731*100/R731,0)</f>
        <v>12.652668231818302</v>
      </c>
    </row>
    <row r="732" spans="1:21" ht="18.75" hidden="1">
      <c r="A732" s="155"/>
      <c r="B732" s="188"/>
      <c r="C732" s="188"/>
      <c r="D732" s="174"/>
      <c r="E732" s="358" t="s">
        <v>159</v>
      </c>
      <c r="F732" s="188"/>
      <c r="G732" s="52"/>
      <c r="H732" s="189" t="s">
        <v>14</v>
      </c>
      <c r="I732" s="54"/>
      <c r="J732" s="54"/>
      <c r="K732" s="55"/>
      <c r="L732" s="102">
        <v>0</v>
      </c>
      <c r="M732" s="102">
        <v>0</v>
      </c>
      <c r="N732" s="102">
        <v>0</v>
      </c>
      <c r="O732" s="102">
        <f>IF(L732&gt;0,N732*100/L732,0)</f>
        <v>0</v>
      </c>
      <c r="P732" s="102">
        <f>IF(M732&gt;0,N732*100/M732,0)</f>
        <v>0</v>
      </c>
      <c r="Q732" s="102">
        <v>0</v>
      </c>
      <c r="R732" s="102">
        <v>0</v>
      </c>
      <c r="S732" s="102">
        <v>0</v>
      </c>
      <c r="T732" s="102">
        <f>IF(Q732&gt;0,S732*100/Q732,0)</f>
        <v>0</v>
      </c>
      <c r="U732" s="102">
        <f>IF(R732&gt;0,S732*100/R732,0)</f>
        <v>0</v>
      </c>
    </row>
    <row r="733" spans="1:21" ht="18.75" hidden="1">
      <c r="A733" s="155"/>
      <c r="B733" s="188"/>
      <c r="C733" s="188"/>
      <c r="D733" s="167"/>
      <c r="E733" s="239" t="s">
        <v>160</v>
      </c>
      <c r="F733" s="188"/>
      <c r="G733" s="52"/>
      <c r="H733" s="162" t="s">
        <v>14</v>
      </c>
      <c r="I733" s="54"/>
      <c r="J733" s="54"/>
      <c r="K733" s="55"/>
      <c r="L733" s="255">
        <v>0</v>
      </c>
      <c r="M733" s="255">
        <v>0</v>
      </c>
      <c r="N733" s="255">
        <v>0</v>
      </c>
      <c r="O733" s="255">
        <f>IF(L733&gt;0,N733*100/L733,0)</f>
        <v>0</v>
      </c>
      <c r="P733" s="255">
        <f>IF(M733&gt;0,N733*100/M733,0)</f>
        <v>0</v>
      </c>
      <c r="Q733" s="255">
        <f ca="1">IFERROR(__xludf.DUMMYFUNCTION("IMPORTRANGE(""https://docs.google.com/spreadsheets/d/1ItG2mGa2ceCfYo0BwxsXqNm01IGEUdYcSSLTEv9YCik/edit?usp=sharing"",""เบิกจ่ายกองทุน!O47"")"),379090)</f>
        <v>379090</v>
      </c>
      <c r="R733" s="255">
        <f ca="1">IFERROR(__xludf.DUMMYFUNCTION("IMPORTRANGE(""https://docs.google.com/spreadsheets/d/1ItG2mGa2ceCfYo0BwxsXqNm01IGEUdYcSSLTEv9YCik/edit?usp=sharing"",""เบิกจ่ายกองทุน!P47"")"),379090)</f>
        <v>379090</v>
      </c>
      <c r="S733" s="255">
        <f ca="1">IFERROR(__xludf.DUMMYFUNCTION("IMPORTRANGE(""https://docs.google.com/spreadsheets/d/1ItG2mGa2ceCfYo0BwxsXqNm01IGEUdYcSSLTEv9YCik/edit?usp=sharing"",""เบิกจ่ายกองทุน!Q47"")"),47965)</f>
        <v>47965</v>
      </c>
      <c r="T733" s="255">
        <f ca="1">IF(Q733&gt;0,S733*100/Q733,0)</f>
        <v>12.652668231818302</v>
      </c>
      <c r="U733" s="255">
        <f ca="1">IF(R733&gt;0,S733*100/R733,0)</f>
        <v>12.652668231818302</v>
      </c>
    </row>
    <row r="734" spans="1:21" ht="18.75">
      <c r="A734" s="155"/>
      <c r="B734" s="188"/>
      <c r="C734" s="188"/>
      <c r="D734" s="602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255">
        <f>L735+L736</f>
        <v>0</v>
      </c>
      <c r="M734" s="255">
        <f>M735+M736</f>
        <v>0</v>
      </c>
      <c r="N734" s="255">
        <f>N735+N736</f>
        <v>0</v>
      </c>
      <c r="O734" s="255">
        <f>IF(L734&gt;0,N734*100/L734,0)</f>
        <v>0</v>
      </c>
      <c r="P734" s="255">
        <f>IF(M734&gt;0,N734*100/M734,0)</f>
        <v>0</v>
      </c>
      <c r="Q734" s="255">
        <f>Q735+Q736</f>
        <v>0</v>
      </c>
      <c r="R734" s="255">
        <f>R735+R736</f>
        <v>0</v>
      </c>
      <c r="S734" s="255">
        <f>S735+S736</f>
        <v>0</v>
      </c>
      <c r="T734" s="255">
        <f>IF(Q734&gt;0,S734*100/Q734,0)</f>
        <v>0</v>
      </c>
      <c r="U734" s="255">
        <f>IF(R734&gt;0,S734*100/R734,0)</f>
        <v>0</v>
      </c>
    </row>
    <row r="735" spans="1:21" ht="18.75" hidden="1">
      <c r="A735" s="155"/>
      <c r="B735" s="188"/>
      <c r="C735" s="188"/>
      <c r="D735" s="188"/>
      <c r="E735" s="358" t="s">
        <v>20</v>
      </c>
      <c r="F735" s="188"/>
      <c r="G735" s="52"/>
      <c r="H735" s="189" t="s">
        <v>14</v>
      </c>
      <c r="I735" s="163"/>
      <c r="J735" s="163"/>
      <c r="K735" s="164"/>
      <c r="L735" s="102">
        <v>0</v>
      </c>
      <c r="M735" s="102">
        <v>0</v>
      </c>
      <c r="N735" s="102">
        <v>0</v>
      </c>
      <c r="O735" s="102">
        <f>IF(L735&gt;0,N735*100/L735,0)</f>
        <v>0</v>
      </c>
      <c r="P735" s="102">
        <f>IF(M735&gt;0,N735*100/M735,0)</f>
        <v>0</v>
      </c>
      <c r="Q735" s="102">
        <v>0</v>
      </c>
      <c r="R735" s="102">
        <v>0</v>
      </c>
      <c r="S735" s="102">
        <v>0</v>
      </c>
      <c r="T735" s="102">
        <f>IF(Q735&gt;0,S735*100/Q735,0)</f>
        <v>0</v>
      </c>
      <c r="U735" s="102">
        <f>IF(R735&gt;0,S735*100/R735,0)</f>
        <v>0</v>
      </c>
    </row>
    <row r="736" spans="1:21" ht="18.75" hidden="1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255">
        <v>0</v>
      </c>
      <c r="M736" s="255">
        <v>0</v>
      </c>
      <c r="N736" s="255">
        <v>0</v>
      </c>
      <c r="O736" s="255">
        <f>IF(L736&gt;0,N736*100/L736,0)</f>
        <v>0</v>
      </c>
      <c r="P736" s="255">
        <f>IF(M736&gt;0,N736*100/M736,0)</f>
        <v>0</v>
      </c>
      <c r="Q736" s="255">
        <v>0</v>
      </c>
      <c r="R736" s="255">
        <v>0</v>
      </c>
      <c r="S736" s="255">
        <v>0</v>
      </c>
      <c r="T736" s="255">
        <f>IF(Q736&gt;0,S736*100/Q736,0)</f>
        <v>0</v>
      </c>
      <c r="U736" s="255">
        <f>IF(R736&gt;0,S736*100/R736,0)</f>
        <v>0</v>
      </c>
    </row>
    <row r="737" spans="1:21" ht="19.5">
      <c r="A737" s="166"/>
      <c r="B737" s="167"/>
      <c r="C737" s="205" t="s">
        <v>18</v>
      </c>
      <c r="D737" s="560" t="s">
        <v>38</v>
      </c>
      <c r="E737" s="232"/>
      <c r="F737" s="232"/>
      <c r="G737" s="170"/>
      <c r="H737" s="206"/>
      <c r="I737" s="54"/>
      <c r="J737" s="54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</row>
    <row r="738" spans="1:21" ht="19.5">
      <c r="A738" s="166"/>
      <c r="B738" s="167"/>
      <c r="C738" s="167"/>
      <c r="D738" s="488" t="s">
        <v>121</v>
      </c>
      <c r="E738" s="167"/>
      <c r="F738" s="167"/>
      <c r="G738" s="171"/>
      <c r="H738" s="208"/>
      <c r="I738" s="54"/>
      <c r="J738" s="54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</row>
    <row r="739" spans="1:21" ht="18.75">
      <c r="A739" s="166"/>
      <c r="B739" s="167"/>
      <c r="C739" s="167"/>
      <c r="D739" s="167"/>
      <c r="E739" s="460" t="s">
        <v>271</v>
      </c>
      <c r="F739" s="167"/>
      <c r="G739" s="171"/>
      <c r="H739" s="208"/>
      <c r="I739" s="54"/>
      <c r="J739" s="54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</row>
    <row r="740" spans="1:21" ht="18.75">
      <c r="A740" s="554"/>
      <c r="B740" s="553"/>
      <c r="C740" s="553"/>
      <c r="D740" s="553"/>
      <c r="E740" s="553"/>
      <c r="F740" s="558" t="s">
        <v>272</v>
      </c>
      <c r="G740" s="550"/>
      <c r="H740" s="549" t="s">
        <v>46</v>
      </c>
      <c r="I740" s="556">
        <f ca="1">IFERROR(__xludf.DUMMYFUNCTION("IMPORTRANGE(""https://docs.google.com/spreadsheets/d/1eHaY18a8A9IcSdp1K8H6x8fbOy06t2VsZHhMHf-1x7Y/edit?usp=sharing"",""แผน!GB47"")"),400)</f>
        <v>400</v>
      </c>
      <c r="J740" s="547">
        <v>400</v>
      </c>
      <c r="K740" s="555">
        <f ca="1">IF(I740&gt;0,J740*100/I740,0)</f>
        <v>100</v>
      </c>
      <c r="L740" s="545"/>
      <c r="M740" s="545"/>
      <c r="N740" s="545"/>
      <c r="O740" s="545"/>
      <c r="P740" s="545"/>
      <c r="Q740" s="545"/>
      <c r="R740" s="545"/>
      <c r="S740" s="545"/>
      <c r="T740" s="545"/>
      <c r="U740" s="545"/>
    </row>
    <row r="741" spans="1:21" ht="18.75">
      <c r="A741" s="554"/>
      <c r="B741" s="553"/>
      <c r="C741" s="553"/>
      <c r="D741" s="553"/>
      <c r="E741" s="553"/>
      <c r="F741" s="558" t="s">
        <v>307</v>
      </c>
      <c r="G741" s="550"/>
      <c r="H741" s="549" t="s">
        <v>35</v>
      </c>
      <c r="I741" s="548"/>
      <c r="J741" s="547">
        <v>0</v>
      </c>
      <c r="K741" s="545"/>
      <c r="L741" s="545"/>
      <c r="M741" s="545"/>
      <c r="N741" s="545"/>
      <c r="O741" s="545"/>
      <c r="P741" s="545"/>
      <c r="Q741" s="545"/>
      <c r="R741" s="545"/>
      <c r="S741" s="545"/>
      <c r="T741" s="545"/>
      <c r="U741" s="545"/>
    </row>
    <row r="742" spans="1:21" ht="18.75">
      <c r="A742" s="554"/>
      <c r="B742" s="553"/>
      <c r="C742" s="553"/>
      <c r="D742" s="553"/>
      <c r="E742" s="553"/>
      <c r="F742" s="558" t="s">
        <v>306</v>
      </c>
      <c r="G742" s="550"/>
      <c r="H742" s="549" t="s">
        <v>35</v>
      </c>
      <c r="I742" s="556">
        <f ca="1">IFERROR(__xludf.DUMMYFUNCTION("IMPORTRANGE(""https://docs.google.com/spreadsheets/d/1eHaY18a8A9IcSdp1K8H6x8fbOy06t2VsZHhMHf-1x7Y/edit?usp=sharing"",""แผน!GC47"")"),40)</f>
        <v>40</v>
      </c>
      <c r="J742" s="547">
        <v>40</v>
      </c>
      <c r="K742" s="555">
        <f ca="1">IF(I742&gt;0,J742*100/I742,0)</f>
        <v>100</v>
      </c>
      <c r="L742" s="545"/>
      <c r="M742" s="545"/>
      <c r="N742" s="545"/>
      <c r="O742" s="545"/>
      <c r="P742" s="545"/>
      <c r="Q742" s="545"/>
      <c r="R742" s="545"/>
      <c r="S742" s="545"/>
      <c r="T742" s="545"/>
      <c r="U742" s="545"/>
    </row>
    <row r="743" spans="1:21" ht="18.75">
      <c r="A743" s="554"/>
      <c r="B743" s="553"/>
      <c r="C743" s="553"/>
      <c r="D743" s="553"/>
      <c r="E743" s="558" t="s">
        <v>275</v>
      </c>
      <c r="F743" s="553"/>
      <c r="G743" s="550"/>
      <c r="H743" s="557"/>
      <c r="I743" s="548"/>
      <c r="J743" s="548"/>
      <c r="K743" s="545"/>
      <c r="L743" s="545"/>
      <c r="M743" s="545"/>
      <c r="N743" s="545"/>
      <c r="O743" s="545"/>
      <c r="P743" s="545"/>
      <c r="Q743" s="545"/>
      <c r="R743" s="545"/>
      <c r="S743" s="545"/>
      <c r="T743" s="545"/>
      <c r="U743" s="545"/>
    </row>
    <row r="744" spans="1:21" ht="18.75">
      <c r="A744" s="554"/>
      <c r="B744" s="553"/>
      <c r="C744" s="553"/>
      <c r="D744" s="553"/>
      <c r="E744" s="553"/>
      <c r="F744" s="558" t="s">
        <v>272</v>
      </c>
      <c r="G744" s="550"/>
      <c r="H744" s="549" t="s">
        <v>46</v>
      </c>
      <c r="I744" s="556">
        <f ca="1">IFERROR(__xludf.DUMMYFUNCTION("IMPORTRANGE(""https://docs.google.com/spreadsheets/d/1eHaY18a8A9IcSdp1K8H6x8fbOy06t2VsZHhMHf-1x7Y/edit?usp=sharing"",""แผน!GD47"")"),100)</f>
        <v>100</v>
      </c>
      <c r="J744" s="547">
        <v>0</v>
      </c>
      <c r="K744" s="555">
        <f ca="1">IF(I744&gt;0,J744*100/I744,0)</f>
        <v>0</v>
      </c>
      <c r="L744" s="545"/>
      <c r="M744" s="545"/>
      <c r="N744" s="545"/>
      <c r="O744" s="545"/>
      <c r="P744" s="545"/>
      <c r="Q744" s="545"/>
      <c r="R744" s="545"/>
      <c r="S744" s="545"/>
      <c r="T744" s="545"/>
      <c r="U744" s="545"/>
    </row>
    <row r="745" spans="1:21" ht="18.75">
      <c r="A745" s="554"/>
      <c r="B745" s="553"/>
      <c r="C745" s="553"/>
      <c r="D745" s="553"/>
      <c r="E745" s="553"/>
      <c r="F745" s="558" t="s">
        <v>305</v>
      </c>
      <c r="G745" s="550"/>
      <c r="H745" s="549" t="s">
        <v>35</v>
      </c>
      <c r="I745" s="548"/>
      <c r="J745" s="547">
        <v>0</v>
      </c>
      <c r="K745" s="545"/>
      <c r="L745" s="545"/>
      <c r="M745" s="545"/>
      <c r="N745" s="545"/>
      <c r="O745" s="545"/>
      <c r="P745" s="545"/>
      <c r="Q745" s="545"/>
      <c r="R745" s="545"/>
      <c r="S745" s="545"/>
      <c r="T745" s="545"/>
      <c r="U745" s="545"/>
    </row>
    <row r="746" spans="1:21" ht="18.75">
      <c r="A746" s="554"/>
      <c r="B746" s="553"/>
      <c r="C746" s="553"/>
      <c r="D746" s="553"/>
      <c r="E746" s="553"/>
      <c r="F746" s="558" t="s">
        <v>304</v>
      </c>
      <c r="G746" s="550"/>
      <c r="H746" s="549" t="s">
        <v>35</v>
      </c>
      <c r="I746" s="556">
        <f ca="1">IFERROR(__xludf.DUMMYFUNCTION("IMPORTRANGE(""https://docs.google.com/spreadsheets/d/1eHaY18a8A9IcSdp1K8H6x8fbOy06t2VsZHhMHf-1x7Y/edit?usp=sharing"",""แผน!GE47"")"),10)</f>
        <v>10</v>
      </c>
      <c r="J746" s="547">
        <v>0</v>
      </c>
      <c r="K746" s="555">
        <f ca="1">IF(I746&gt;0,J746*100/I746,0)</f>
        <v>0</v>
      </c>
      <c r="L746" s="545"/>
      <c r="M746" s="545"/>
      <c r="N746" s="545"/>
      <c r="O746" s="545"/>
      <c r="P746" s="545"/>
      <c r="Q746" s="545"/>
      <c r="R746" s="545"/>
      <c r="S746" s="545"/>
      <c r="T746" s="545"/>
      <c r="U746" s="545"/>
    </row>
    <row r="747" spans="1:21" ht="18.75">
      <c r="A747" s="554"/>
      <c r="B747" s="553"/>
      <c r="C747" s="553"/>
      <c r="D747" s="553"/>
      <c r="E747" s="558" t="s">
        <v>278</v>
      </c>
      <c r="F747" s="553"/>
      <c r="G747" s="550"/>
      <c r="H747" s="557"/>
      <c r="I747" s="548"/>
      <c r="J747" s="548"/>
      <c r="K747" s="545"/>
      <c r="L747" s="545"/>
      <c r="M747" s="545"/>
      <c r="N747" s="545"/>
      <c r="O747" s="545"/>
      <c r="P747" s="545"/>
      <c r="Q747" s="545"/>
      <c r="R747" s="545"/>
      <c r="S747" s="545"/>
      <c r="T747" s="545"/>
      <c r="U747" s="545"/>
    </row>
    <row r="748" spans="1:21" ht="18.75">
      <c r="A748" s="554"/>
      <c r="B748" s="553"/>
      <c r="C748" s="553"/>
      <c r="D748" s="553"/>
      <c r="E748" s="553"/>
      <c r="F748" s="558" t="s">
        <v>303</v>
      </c>
      <c r="G748" s="550"/>
      <c r="H748" s="549" t="s">
        <v>35</v>
      </c>
      <c r="I748" s="548"/>
      <c r="J748" s="547">
        <v>0</v>
      </c>
      <c r="K748" s="545"/>
      <c r="L748" s="545"/>
      <c r="M748" s="545"/>
      <c r="N748" s="545"/>
      <c r="O748" s="545"/>
      <c r="P748" s="545"/>
      <c r="Q748" s="545"/>
      <c r="R748" s="545"/>
      <c r="S748" s="545"/>
      <c r="T748" s="545"/>
      <c r="U748" s="545"/>
    </row>
    <row r="749" spans="1:21" ht="18.75">
      <c r="A749" s="554"/>
      <c r="B749" s="553"/>
      <c r="C749" s="553"/>
      <c r="D749" s="553"/>
      <c r="E749" s="553"/>
      <c r="F749" s="558" t="s">
        <v>302</v>
      </c>
      <c r="G749" s="550"/>
      <c r="H749" s="549" t="s">
        <v>35</v>
      </c>
      <c r="I749" s="556">
        <f ca="1">IFERROR(__xludf.DUMMYFUNCTION("IMPORTRANGE(""https://docs.google.com/spreadsheets/d/1eHaY18a8A9IcSdp1K8H6x8fbOy06t2VsZHhMHf-1x7Y/edit?usp=sharing"",""แผน!GF47"")"),1)</f>
        <v>1</v>
      </c>
      <c r="J749" s="547">
        <v>0</v>
      </c>
      <c r="K749" s="555">
        <f ca="1">IF(I749&gt;0,J749*100/I749,0)</f>
        <v>0</v>
      </c>
      <c r="L749" s="545"/>
      <c r="M749" s="545"/>
      <c r="N749" s="545"/>
      <c r="O749" s="545"/>
      <c r="P749" s="545"/>
      <c r="Q749" s="545"/>
      <c r="R749" s="545"/>
      <c r="S749" s="545"/>
      <c r="T749" s="545"/>
      <c r="U749" s="545"/>
    </row>
    <row r="750" spans="1:21" ht="19.5">
      <c r="A750" s="554"/>
      <c r="B750" s="553"/>
      <c r="C750" s="553"/>
      <c r="D750" s="559" t="s">
        <v>50</v>
      </c>
      <c r="E750" s="553"/>
      <c r="F750" s="552"/>
      <c r="G750" s="550"/>
      <c r="H750" s="557"/>
      <c r="I750" s="548"/>
      <c r="J750" s="548"/>
      <c r="K750" s="545"/>
      <c r="L750" s="545"/>
      <c r="M750" s="545"/>
      <c r="N750" s="545"/>
      <c r="O750" s="545"/>
      <c r="P750" s="545"/>
      <c r="Q750" s="545"/>
      <c r="R750" s="545"/>
      <c r="S750" s="545"/>
      <c r="T750" s="545"/>
      <c r="U750" s="545"/>
    </row>
    <row r="751" spans="1:21" ht="18.75">
      <c r="A751" s="554"/>
      <c r="B751" s="553"/>
      <c r="C751" s="553"/>
      <c r="D751" s="553"/>
      <c r="E751" s="558" t="s">
        <v>271</v>
      </c>
      <c r="F751" s="552"/>
      <c r="G751" s="550"/>
      <c r="H751" s="557"/>
      <c r="I751" s="548"/>
      <c r="J751" s="548"/>
      <c r="K751" s="545"/>
      <c r="L751" s="545"/>
      <c r="M751" s="545"/>
      <c r="N751" s="545"/>
      <c r="O751" s="545"/>
      <c r="P751" s="545"/>
      <c r="Q751" s="545"/>
      <c r="R751" s="545"/>
      <c r="S751" s="545"/>
      <c r="T751" s="545"/>
      <c r="U751" s="545"/>
    </row>
    <row r="752" spans="1:21" ht="18.75">
      <c r="A752" s="554"/>
      <c r="B752" s="553"/>
      <c r="C752" s="553"/>
      <c r="D752" s="553"/>
      <c r="E752" s="553"/>
      <c r="F752" s="551" t="s">
        <v>301</v>
      </c>
      <c r="G752" s="550"/>
      <c r="H752" s="549" t="s">
        <v>46</v>
      </c>
      <c r="I752" s="556">
        <f ca="1">IFERROR(__xludf.DUMMYFUNCTION("IMPORTRANGE(""https://docs.google.com/spreadsheets/d/1eHaY18a8A9IcSdp1K8H6x8fbOy06t2VsZHhMHf-1x7Y/edit?usp=sharing"",""แผน!GB47"")"),400)</f>
        <v>400</v>
      </c>
      <c r="J752" s="547">
        <v>0</v>
      </c>
      <c r="K752" s="555">
        <f ca="1">IF(I752&gt;0,J752*100/I752,0)</f>
        <v>0</v>
      </c>
      <c r="L752" s="545"/>
      <c r="M752" s="545"/>
      <c r="N752" s="545"/>
      <c r="O752" s="545"/>
      <c r="P752" s="545"/>
      <c r="Q752" s="545"/>
      <c r="R752" s="545"/>
      <c r="S752" s="545"/>
      <c r="T752" s="545"/>
      <c r="U752" s="545"/>
    </row>
    <row r="753" spans="1:21" ht="18.75">
      <c r="A753" s="554"/>
      <c r="B753" s="553"/>
      <c r="C753" s="553"/>
      <c r="D753" s="553"/>
      <c r="E753" s="553"/>
      <c r="F753" s="551" t="s">
        <v>300</v>
      </c>
      <c r="G753" s="550"/>
      <c r="H753" s="549" t="s">
        <v>46</v>
      </c>
      <c r="I753" s="548"/>
      <c r="J753" s="547">
        <v>0</v>
      </c>
      <c r="K753" s="545"/>
      <c r="L753" s="545"/>
      <c r="M753" s="545"/>
      <c r="N753" s="545"/>
      <c r="O753" s="545"/>
      <c r="P753" s="545"/>
      <c r="Q753" s="545"/>
      <c r="R753" s="545"/>
      <c r="S753" s="545"/>
      <c r="T753" s="545"/>
      <c r="U753" s="545"/>
    </row>
    <row r="754" spans="1:21" ht="18.75">
      <c r="A754" s="554"/>
      <c r="B754" s="553"/>
      <c r="C754" s="553"/>
      <c r="D754" s="553"/>
      <c r="E754" s="558" t="s">
        <v>275</v>
      </c>
      <c r="F754" s="552"/>
      <c r="G754" s="550"/>
      <c r="H754" s="557"/>
      <c r="I754" s="548"/>
      <c r="J754" s="548"/>
      <c r="K754" s="545"/>
      <c r="L754" s="545"/>
      <c r="M754" s="545"/>
      <c r="N754" s="545"/>
      <c r="O754" s="545"/>
      <c r="P754" s="545"/>
      <c r="Q754" s="545"/>
      <c r="R754" s="545"/>
      <c r="S754" s="545"/>
      <c r="T754" s="545"/>
      <c r="U754" s="545"/>
    </row>
    <row r="755" spans="1:21" ht="18.75">
      <c r="A755" s="554"/>
      <c r="B755" s="553"/>
      <c r="C755" s="553"/>
      <c r="D755" s="553"/>
      <c r="E755" s="552"/>
      <c r="F755" s="551" t="s">
        <v>299</v>
      </c>
      <c r="G755" s="550"/>
      <c r="H755" s="549" t="s">
        <v>46</v>
      </c>
      <c r="I755" s="556">
        <f ca="1">IFERROR(__xludf.DUMMYFUNCTION("IMPORTRANGE(""https://docs.google.com/spreadsheets/d/1eHaY18a8A9IcSdp1K8H6x8fbOy06t2VsZHhMHf-1x7Y/edit?usp=sharing"",""แผน!GD47"")"),100)</f>
        <v>100</v>
      </c>
      <c r="J755" s="547">
        <v>0</v>
      </c>
      <c r="K755" s="555">
        <f ca="1">IF(I755&gt;0,J755*100/I755,0)</f>
        <v>0</v>
      </c>
      <c r="L755" s="545"/>
      <c r="M755" s="545"/>
      <c r="N755" s="545"/>
      <c r="O755" s="545"/>
      <c r="P755" s="545"/>
      <c r="Q755" s="545"/>
      <c r="R755" s="545"/>
      <c r="S755" s="545"/>
      <c r="T755" s="545"/>
      <c r="U755" s="545"/>
    </row>
    <row r="756" spans="1:21" ht="18.75">
      <c r="A756" s="554"/>
      <c r="B756" s="553"/>
      <c r="C756" s="553"/>
      <c r="D756" s="553"/>
      <c r="E756" s="552"/>
      <c r="F756" s="551" t="s">
        <v>298</v>
      </c>
      <c r="G756" s="550"/>
      <c r="H756" s="549" t="s">
        <v>46</v>
      </c>
      <c r="I756" s="548"/>
      <c r="J756" s="547">
        <v>0</v>
      </c>
      <c r="K756" s="545"/>
      <c r="L756" s="545"/>
      <c r="M756" s="545"/>
      <c r="N756" s="545"/>
      <c r="O756" s="545"/>
      <c r="P756" s="545"/>
      <c r="Q756" s="545"/>
      <c r="R756" s="545"/>
      <c r="S756" s="545"/>
      <c r="T756" s="545"/>
      <c r="U756" s="545"/>
    </row>
    <row r="757" spans="1:21" ht="18.75">
      <c r="A757" s="489"/>
      <c r="B757" s="489"/>
      <c r="C757" s="489"/>
      <c r="D757" s="489"/>
      <c r="E757" s="490" t="s">
        <v>285</v>
      </c>
      <c r="F757" s="491"/>
      <c r="G757" s="492"/>
      <c r="H757" s="493" t="s">
        <v>35</v>
      </c>
      <c r="I757" s="494"/>
      <c r="J757" s="495">
        <v>0</v>
      </c>
      <c r="K757" s="496"/>
      <c r="L757" s="496"/>
      <c r="M757" s="496"/>
      <c r="N757" s="496"/>
      <c r="O757" s="496"/>
      <c r="P757" s="496"/>
      <c r="Q757" s="496"/>
      <c r="R757" s="496"/>
      <c r="S757" s="496"/>
      <c r="T757" s="496"/>
      <c r="U757" s="496"/>
    </row>
    <row r="758" spans="1:21" ht="19.5">
      <c r="A758" s="442"/>
      <c r="B758" s="443" t="s">
        <v>286</v>
      </c>
      <c r="C758" s="442"/>
      <c r="D758" s="444"/>
      <c r="E758" s="444"/>
      <c r="F758" s="444"/>
      <c r="G758" s="445"/>
      <c r="H758" s="473" t="s">
        <v>35</v>
      </c>
      <c r="I758" s="544">
        <f ca="1">I772</f>
        <v>63</v>
      </c>
      <c r="J758" s="544">
        <f>J772</f>
        <v>0</v>
      </c>
      <c r="K758" s="543">
        <f ca="1">IF(I758&gt;0,J758*100/I758,0)</f>
        <v>0</v>
      </c>
      <c r="L758" s="448"/>
      <c r="M758" s="448"/>
      <c r="N758" s="448"/>
      <c r="O758" s="448"/>
      <c r="P758" s="448"/>
      <c r="Q758" s="448"/>
      <c r="R758" s="448"/>
      <c r="S758" s="448"/>
      <c r="T758" s="448"/>
      <c r="U758" s="448"/>
    </row>
    <row r="759" spans="1:21" ht="19.5">
      <c r="A759" s="487"/>
      <c r="B759" s="442"/>
      <c r="C759" s="442"/>
      <c r="D759" s="444"/>
      <c r="E759" s="444"/>
      <c r="F759" s="444"/>
      <c r="G759" s="445"/>
      <c r="H759" s="473" t="s">
        <v>46</v>
      </c>
      <c r="I759" s="544">
        <f ca="1">I774</f>
        <v>210</v>
      </c>
      <c r="J759" s="544">
        <f>J774</f>
        <v>0</v>
      </c>
      <c r="K759" s="543">
        <f ca="1">IF(I759&gt;0,J759*100/I759,0)</f>
        <v>0</v>
      </c>
      <c r="L759" s="448"/>
      <c r="M759" s="448"/>
      <c r="N759" s="448"/>
      <c r="O759" s="448"/>
      <c r="P759" s="448"/>
      <c r="Q759" s="448"/>
      <c r="R759" s="448"/>
      <c r="S759" s="448"/>
      <c r="T759" s="448"/>
      <c r="U759" s="448"/>
    </row>
    <row r="760" spans="1:21" ht="19.5">
      <c r="A760" s="155"/>
      <c r="B760" s="188"/>
      <c r="C760" s="205" t="s">
        <v>18</v>
      </c>
      <c r="D760" s="542" t="s">
        <v>19</v>
      </c>
      <c r="E760" s="529"/>
      <c r="F760" s="529"/>
      <c r="G760" s="530"/>
      <c r="H760" s="252" t="s">
        <v>14</v>
      </c>
      <c r="I760" s="54"/>
      <c r="J760" s="54"/>
      <c r="K760" s="55"/>
      <c r="L760" s="540">
        <f>L761+L762</f>
        <v>0</v>
      </c>
      <c r="M760" s="540">
        <f>M761+M762</f>
        <v>0</v>
      </c>
      <c r="N760" s="540">
        <f>N761+N762</f>
        <v>0</v>
      </c>
      <c r="O760" s="540">
        <f>IF(L760&gt;0,N760*100/L760,0)</f>
        <v>0</v>
      </c>
      <c r="P760" s="540">
        <f>IF(M760&gt;0,N760*100/M760,0)</f>
        <v>0</v>
      </c>
      <c r="Q760" s="540">
        <f ca="1">Q761+Q762</f>
        <v>533590</v>
      </c>
      <c r="R760" s="540">
        <f ca="1">R761+R762</f>
        <v>533590</v>
      </c>
      <c r="S760" s="540">
        <f ca="1">S761+S762</f>
        <v>65662.5</v>
      </c>
      <c r="T760" s="540">
        <f ca="1">IF(Q760&gt;0,S760*100/Q760,0)</f>
        <v>12.30579658539328</v>
      </c>
      <c r="U760" s="540">
        <f ca="1">IF(R760&gt;0,S760*100/R760,0)</f>
        <v>12.30579658539328</v>
      </c>
    </row>
    <row r="761" spans="1:21" ht="18.75" hidden="1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102">
        <f>L764+L767</f>
        <v>0</v>
      </c>
      <c r="M761" s="102">
        <f>M764+M767</f>
        <v>0</v>
      </c>
      <c r="N761" s="102">
        <f>N764+N767</f>
        <v>0</v>
      </c>
      <c r="O761" s="102">
        <f>IF(L761&gt;0,N761*100/L761,0)</f>
        <v>0</v>
      </c>
      <c r="P761" s="102">
        <f>IF(M761&gt;0,N761*100/M761,0)</f>
        <v>0</v>
      </c>
      <c r="Q761" s="102">
        <f>Q764+Q767</f>
        <v>0</v>
      </c>
      <c r="R761" s="102">
        <f>R764+R767</f>
        <v>0</v>
      </c>
      <c r="S761" s="102">
        <f>S764+S767</f>
        <v>0</v>
      </c>
      <c r="T761" s="102">
        <f>IF(Q761&gt;0,S761*100/Q761,0)</f>
        <v>0</v>
      </c>
      <c r="U761" s="102">
        <f>IF(R761&gt;0,S761*100/R761,0)</f>
        <v>0</v>
      </c>
    </row>
    <row r="762" spans="1:21" ht="18.75" hidden="1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255">
        <f>L765+L768</f>
        <v>0</v>
      </c>
      <c r="M762" s="255">
        <f>M765+M768</f>
        <v>0</v>
      </c>
      <c r="N762" s="255">
        <f>N765+N768</f>
        <v>0</v>
      </c>
      <c r="O762" s="255">
        <f>IF(L762&gt;0,N762*100/L762,0)</f>
        <v>0</v>
      </c>
      <c r="P762" s="255">
        <f>IF(M762&gt;0,N762*100/M762,0)</f>
        <v>0</v>
      </c>
      <c r="Q762" s="255">
        <f ca="1">Q765+Q768</f>
        <v>533590</v>
      </c>
      <c r="R762" s="255">
        <f ca="1">R765+R768</f>
        <v>533590</v>
      </c>
      <c r="S762" s="255">
        <f ca="1">S765+S768</f>
        <v>65662.5</v>
      </c>
      <c r="T762" s="255">
        <f ca="1">IF(Q762&gt;0,S762*100/Q762,0)</f>
        <v>12.30579658539328</v>
      </c>
      <c r="U762" s="255">
        <f ca="1">IF(R762&gt;0,S762*100/R762,0)</f>
        <v>12.30579658539328</v>
      </c>
    </row>
    <row r="763" spans="1:21" ht="18.75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255">
        <f>L764+L765</f>
        <v>0</v>
      </c>
      <c r="M763" s="255">
        <f>M764+M765</f>
        <v>0</v>
      </c>
      <c r="N763" s="255">
        <f>N764+N765</f>
        <v>0</v>
      </c>
      <c r="O763" s="255">
        <f>IF(L763&gt;0,N763*100/L763,0)</f>
        <v>0</v>
      </c>
      <c r="P763" s="255">
        <f>IF(M763&gt;0,N763*100/M763,0)</f>
        <v>0</v>
      </c>
      <c r="Q763" s="255">
        <f ca="1">Q764+Q765</f>
        <v>533590</v>
      </c>
      <c r="R763" s="255">
        <f ca="1">R764+R765</f>
        <v>533590</v>
      </c>
      <c r="S763" s="255">
        <f ca="1">S764+S765</f>
        <v>65662.5</v>
      </c>
      <c r="T763" s="255">
        <f ca="1">IF(Q763&gt;0,S763*100/Q763,0)</f>
        <v>12.30579658539328</v>
      </c>
      <c r="U763" s="255">
        <f ca="1">IF(R763&gt;0,S763*100/R763,0)</f>
        <v>12.30579658539328</v>
      </c>
    </row>
    <row r="764" spans="1:21" ht="18.75" hidden="1">
      <c r="A764" s="155"/>
      <c r="B764" s="188"/>
      <c r="C764" s="202"/>
      <c r="D764" s="174"/>
      <c r="E764" s="358" t="s">
        <v>159</v>
      </c>
      <c r="F764" s="50"/>
      <c r="G764" s="52"/>
      <c r="H764" s="189" t="s">
        <v>14</v>
      </c>
      <c r="I764" s="54"/>
      <c r="J764" s="54"/>
      <c r="K764" s="55"/>
      <c r="L764" s="102">
        <v>0</v>
      </c>
      <c r="M764" s="102">
        <v>0</v>
      </c>
      <c r="N764" s="102">
        <v>0</v>
      </c>
      <c r="O764" s="102">
        <f>IF(L764&gt;0,N764*100/L764,0)</f>
        <v>0</v>
      </c>
      <c r="P764" s="102">
        <f>IF(M764&gt;0,N764*100/M764,0)</f>
        <v>0</v>
      </c>
      <c r="Q764" s="102">
        <v>0</v>
      </c>
      <c r="R764" s="102">
        <v>0</v>
      </c>
      <c r="S764" s="102">
        <v>0</v>
      </c>
      <c r="T764" s="102">
        <f>IF(Q764&gt;0,S764*100/Q764,0)</f>
        <v>0</v>
      </c>
      <c r="U764" s="102">
        <f>IF(R764&gt;0,S764*100/R764,0)</f>
        <v>0</v>
      </c>
    </row>
    <row r="765" spans="1:21" ht="18.75" hidden="1">
      <c r="A765" s="155"/>
      <c r="B765" s="188"/>
      <c r="C765" s="202"/>
      <c r="D765" s="167"/>
      <c r="E765" s="239" t="s">
        <v>160</v>
      </c>
      <c r="F765" s="50"/>
      <c r="G765" s="52"/>
      <c r="H765" s="162" t="s">
        <v>14</v>
      </c>
      <c r="I765" s="54"/>
      <c r="J765" s="54"/>
      <c r="K765" s="55"/>
      <c r="L765" s="255">
        <v>0</v>
      </c>
      <c r="M765" s="255">
        <v>0</v>
      </c>
      <c r="N765" s="255">
        <v>0</v>
      </c>
      <c r="O765" s="255">
        <f>IF(L765&gt;0,N765*100/L765,0)</f>
        <v>0</v>
      </c>
      <c r="P765" s="255">
        <f>IF(M765&gt;0,N765*100/M765,0)</f>
        <v>0</v>
      </c>
      <c r="Q765" s="255">
        <f ca="1">IFERROR(__xludf.DUMMYFUNCTION("IMPORTRANGE(""https://docs.google.com/spreadsheets/d/1ItG2mGa2ceCfYo0BwxsXqNm01IGEUdYcSSLTEv9YCik/edit?usp=sharing"",""เบิกจ่ายกองทุน!U47"")"),533590)</f>
        <v>533590</v>
      </c>
      <c r="R765" s="255">
        <f ca="1">IFERROR(__xludf.DUMMYFUNCTION("IMPORTRANGE(""https://docs.google.com/spreadsheets/d/1ItG2mGa2ceCfYo0BwxsXqNm01IGEUdYcSSLTEv9YCik/edit?usp=sharing"",""เบิกจ่ายกองทุน!V47"")"),533590)</f>
        <v>533590</v>
      </c>
      <c r="S765" s="255">
        <f ca="1">IFERROR(__xludf.DUMMYFUNCTION("IMPORTRANGE(""https://docs.google.com/spreadsheets/d/1ItG2mGa2ceCfYo0BwxsXqNm01IGEUdYcSSLTEv9YCik/edit?usp=sharing"",""เบิกจ่ายกองทุน!W47"")"),65662.5)</f>
        <v>65662.5</v>
      </c>
      <c r="T765" s="255">
        <f ca="1">IF(Q765&gt;0,S765*100/Q765,0)</f>
        <v>12.30579658539328</v>
      </c>
      <c r="U765" s="255">
        <f ca="1">IF(R765&gt;0,S765*100/R765,0)</f>
        <v>12.30579658539328</v>
      </c>
    </row>
    <row r="766" spans="1:21" ht="18.75">
      <c r="A766" s="155"/>
      <c r="B766" s="188"/>
      <c r="C766" s="188"/>
      <c r="D766" s="602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255">
        <f>L767+L768</f>
        <v>0</v>
      </c>
      <c r="M766" s="255">
        <f>M767+M768</f>
        <v>0</v>
      </c>
      <c r="N766" s="255">
        <f>N767+N768</f>
        <v>0</v>
      </c>
      <c r="O766" s="255">
        <f>IF(L766&gt;0,N766*100/L766,0)</f>
        <v>0</v>
      </c>
      <c r="P766" s="255">
        <f>IF(M766&gt;0,N766*100/M766,0)</f>
        <v>0</v>
      </c>
      <c r="Q766" s="255">
        <f>Q767+Q768</f>
        <v>0</v>
      </c>
      <c r="R766" s="255">
        <f>R767+R768</f>
        <v>0</v>
      </c>
      <c r="S766" s="255">
        <f>S767+S768</f>
        <v>0</v>
      </c>
      <c r="T766" s="255">
        <f>IF(Q766&gt;0,S766*100/Q766,0)</f>
        <v>0</v>
      </c>
      <c r="U766" s="255">
        <f>IF(R766&gt;0,S766*100/R766,0)</f>
        <v>0</v>
      </c>
    </row>
    <row r="767" spans="1:21" ht="18.75" hidden="1">
      <c r="A767" s="155"/>
      <c r="B767" s="188"/>
      <c r="C767" s="188"/>
      <c r="D767" s="188"/>
      <c r="E767" s="358" t="s">
        <v>20</v>
      </c>
      <c r="F767" s="50"/>
      <c r="G767" s="52"/>
      <c r="H767" s="189" t="s">
        <v>14</v>
      </c>
      <c r="I767" s="163"/>
      <c r="J767" s="163"/>
      <c r="K767" s="164"/>
      <c r="L767" s="102">
        <v>0</v>
      </c>
      <c r="M767" s="102">
        <v>0</v>
      </c>
      <c r="N767" s="102">
        <v>0</v>
      </c>
      <c r="O767" s="102">
        <f>IF(L767&gt;0,N767*100/L767,0)</f>
        <v>0</v>
      </c>
      <c r="P767" s="102">
        <f>IF(M767&gt;0,N767*100/M767,0)</f>
        <v>0</v>
      </c>
      <c r="Q767" s="102">
        <v>0</v>
      </c>
      <c r="R767" s="102">
        <v>0</v>
      </c>
      <c r="S767" s="102">
        <v>0</v>
      </c>
      <c r="T767" s="102">
        <f>IF(Q767&gt;0,S767*100/Q767,0)</f>
        <v>0</v>
      </c>
      <c r="U767" s="102">
        <f>IF(R767&gt;0,S767*100/R767,0)</f>
        <v>0</v>
      </c>
    </row>
    <row r="768" spans="1:21" ht="18.75" hidden="1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255">
        <v>0</v>
      </c>
      <c r="M768" s="255">
        <v>0</v>
      </c>
      <c r="N768" s="255">
        <v>0</v>
      </c>
      <c r="O768" s="255">
        <f>IF(L768&gt;0,N768*100/L768,0)</f>
        <v>0</v>
      </c>
      <c r="P768" s="255">
        <f>IF(M768&gt;0,N768*100/M768,0)</f>
        <v>0</v>
      </c>
      <c r="Q768" s="255">
        <v>0</v>
      </c>
      <c r="R768" s="255">
        <v>0</v>
      </c>
      <c r="S768" s="255">
        <v>0</v>
      </c>
      <c r="T768" s="255">
        <f>IF(Q768&gt;0,S768*100/Q768,0)</f>
        <v>0</v>
      </c>
      <c r="U768" s="255">
        <f>IF(R768&gt;0,S768*100/R768,0)</f>
        <v>0</v>
      </c>
    </row>
    <row r="769" spans="1:21" ht="19.5">
      <c r="A769" s="166"/>
      <c r="B769" s="167"/>
      <c r="C769" s="497" t="s">
        <v>18</v>
      </c>
      <c r="D769" s="539" t="s">
        <v>38</v>
      </c>
      <c r="E769" s="232"/>
      <c r="F769" s="169"/>
      <c r="G769" s="170"/>
      <c r="H769" s="206"/>
      <c r="I769" s="54"/>
      <c r="J769" s="54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</row>
    <row r="770" spans="1:21" ht="18.75" hidden="1">
      <c r="A770" s="166"/>
      <c r="B770" s="167"/>
      <c r="C770" s="167"/>
      <c r="D770" s="423" t="s">
        <v>287</v>
      </c>
      <c r="E770" s="167"/>
      <c r="F770" s="174"/>
      <c r="G770" s="171"/>
      <c r="H770" s="421" t="s">
        <v>35</v>
      </c>
      <c r="I770" s="483">
        <f ca="1">IFERROR(__xludf.DUMMYFUNCTION("IMPORTRANGE(""https://docs.google.com/spreadsheets/d/1eHaY18a8A9IcSdp1K8H6x8fbOy06t2VsZHhMHf-1x7Y/edit?usp=sharing"",""แผน!FI47"")"),0)</f>
        <v>0</v>
      </c>
      <c r="J770" s="483">
        <v>0</v>
      </c>
      <c r="K770" s="102">
        <f ca="1">IF(I770&gt;0,J770*100/I770,0)</f>
        <v>0</v>
      </c>
      <c r="L770" s="55"/>
      <c r="M770" s="55"/>
      <c r="N770" s="55"/>
      <c r="O770" s="55"/>
      <c r="P770" s="55"/>
      <c r="Q770" s="55"/>
      <c r="R770" s="55"/>
      <c r="S770" s="55"/>
      <c r="T770" s="55"/>
      <c r="U770" s="55"/>
    </row>
    <row r="771" spans="1:21" ht="18.75" hidden="1">
      <c r="A771" s="166"/>
      <c r="B771" s="167"/>
      <c r="C771" s="167"/>
      <c r="D771" s="423" t="s">
        <v>288</v>
      </c>
      <c r="E771" s="167"/>
      <c r="F771" s="174"/>
      <c r="G771" s="171"/>
      <c r="H771" s="206"/>
      <c r="I771" s="54"/>
      <c r="J771" s="54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</row>
    <row r="772" spans="1:21" ht="18.75">
      <c r="A772" s="166"/>
      <c r="B772" s="167"/>
      <c r="C772" s="167"/>
      <c r="D772" s="460" t="s">
        <v>289</v>
      </c>
      <c r="E772" s="167"/>
      <c r="F772" s="174"/>
      <c r="G772" s="171"/>
      <c r="H772" s="165" t="s">
        <v>35</v>
      </c>
      <c r="I772" s="212">
        <f ca="1">IFERROR(__xludf.DUMMYFUNCTION("IMPORTRANGE(""https://docs.google.com/spreadsheets/d/1eHaY18a8A9IcSdp1K8H6x8fbOy06t2VsZHhMHf-1x7Y/edit?usp=sharing"",""แผน!FQ47"")"),63)</f>
        <v>63</v>
      </c>
      <c r="J772" s="467">
        <v>0</v>
      </c>
      <c r="K772" s="255">
        <f ca="1">IF(I772&gt;0,J772*100/I772,0)</f>
        <v>0</v>
      </c>
      <c r="L772" s="55"/>
      <c r="M772" s="55"/>
      <c r="N772" s="55"/>
      <c r="O772" s="55"/>
      <c r="P772" s="55"/>
      <c r="Q772" s="55"/>
      <c r="R772" s="55"/>
      <c r="S772" s="55"/>
      <c r="T772" s="55"/>
      <c r="U772" s="55"/>
    </row>
    <row r="773" spans="1:21" ht="18.75">
      <c r="A773" s="166"/>
      <c r="B773" s="167"/>
      <c r="C773" s="167"/>
      <c r="D773" s="460" t="s">
        <v>290</v>
      </c>
      <c r="E773" s="167"/>
      <c r="F773" s="174"/>
      <c r="G773" s="171"/>
      <c r="H773" s="206"/>
      <c r="I773" s="54"/>
      <c r="J773" s="54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</row>
    <row r="774" spans="1:21" ht="18.75">
      <c r="A774" s="166"/>
      <c r="B774" s="167"/>
      <c r="C774" s="167"/>
      <c r="D774" s="460" t="s">
        <v>291</v>
      </c>
      <c r="E774" s="167"/>
      <c r="F774" s="174"/>
      <c r="G774" s="171"/>
      <c r="H774" s="165" t="s">
        <v>46</v>
      </c>
      <c r="I774" s="212">
        <f ca="1">IFERROR(__xludf.DUMMYFUNCTION("IMPORTRANGE(""https://docs.google.com/spreadsheets/d/1eHaY18a8A9IcSdp1K8H6x8fbOy06t2VsZHhMHf-1x7Y/edit?usp=sharing"",""แผน!FR47"")"),210)</f>
        <v>210</v>
      </c>
      <c r="J774" s="467">
        <v>0</v>
      </c>
      <c r="K774" s="255">
        <f ca="1">IF(I774&gt;0,J774*100/I774,0)</f>
        <v>0</v>
      </c>
      <c r="L774" s="55"/>
      <c r="M774" s="55"/>
      <c r="N774" s="55"/>
      <c r="O774" s="55"/>
      <c r="P774" s="55"/>
      <c r="Q774" s="55"/>
      <c r="R774" s="55"/>
      <c r="S774" s="55"/>
      <c r="T774" s="55"/>
      <c r="U774" s="55"/>
    </row>
    <row r="775" spans="1:21" ht="18.75">
      <c r="A775" s="166"/>
      <c r="B775" s="167"/>
      <c r="C775" s="167"/>
      <c r="D775" s="460" t="s">
        <v>50</v>
      </c>
      <c r="E775" s="174"/>
      <c r="F775" s="50"/>
      <c r="G775" s="52"/>
      <c r="H775" s="165" t="s">
        <v>46</v>
      </c>
      <c r="I775" s="212">
        <f ca="1">IFERROR(__xludf.DUMMYFUNCTION("IMPORTRANGE(""https://docs.google.com/spreadsheets/d/1eHaY18a8A9IcSdp1K8H6x8fbOy06t2VsZHhMHf-1x7Y/edit?usp=sharing"",""แผน!FS47"")"),210)</f>
        <v>210</v>
      </c>
      <c r="J775" s="467">
        <v>0</v>
      </c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</row>
    <row r="776" spans="1:21" ht="18.75">
      <c r="A776" s="281"/>
      <c r="B776" s="282"/>
      <c r="C776" s="282"/>
      <c r="D776" s="282"/>
      <c r="E776" s="2"/>
      <c r="F776" s="2"/>
      <c r="G776" s="65"/>
      <c r="H776" s="214" t="s">
        <v>35</v>
      </c>
      <c r="I776" s="216">
        <f ca="1">IFERROR(__xludf.DUMMYFUNCTION("IMPORTRANGE(""https://docs.google.com/spreadsheets/d/1eHaY18a8A9IcSdp1K8H6x8fbOy06t2VsZHhMHf-1x7Y/edit?usp=sharing"",""แผน!FT47"")"),63)</f>
        <v>63</v>
      </c>
      <c r="J776" s="538">
        <v>0</v>
      </c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>
      <c r="A777" s="537" t="s">
        <v>292</v>
      </c>
      <c r="B777" s="500"/>
      <c r="C777" s="500"/>
      <c r="D777" s="499"/>
      <c r="E777" s="500"/>
      <c r="F777" s="500"/>
      <c r="G777" s="501"/>
      <c r="H777" s="536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503"/>
      <c r="J777" s="504"/>
      <c r="K777" s="505"/>
      <c r="L777" s="505"/>
      <c r="M777" s="505"/>
      <c r="N777" s="505"/>
      <c r="O777" s="505"/>
      <c r="P777" s="505"/>
      <c r="Q777" s="505"/>
      <c r="R777" s="505"/>
      <c r="S777" s="505"/>
      <c r="T777" s="505"/>
      <c r="U777" s="505"/>
    </row>
    <row r="778" spans="1:21" ht="18.75">
      <c r="A778" s="49"/>
      <c r="B778" s="58" t="s">
        <v>293</v>
      </c>
      <c r="C778" s="50"/>
      <c r="D778" s="188"/>
      <c r="E778" s="50"/>
      <c r="F778" s="50"/>
      <c r="G778" s="52"/>
      <c r="H778" s="53" t="s">
        <v>14</v>
      </c>
      <c r="I778" s="212">
        <f ca="1">IFERROR(__xludf.DUMMYFUNCTION("IMPORTRANGE(""https://docs.google.com/spreadsheets/d/10OvvATaaLtwErnr3qtWFcTmtbfpFEt5Bsqel9sXx0uE/edit?usp=sharing"",""งานกองทุน!D47"")"),3700752.98)</f>
        <v>3700752.98</v>
      </c>
      <c r="J778" s="212">
        <f ca="1">IFERROR(__xludf.DUMMYFUNCTION("IMPORTRANGE(""https://docs.google.com/spreadsheets/d/10OvvATaaLtwErnr3qtWFcTmtbfpFEt5Bsqel9sXx0uE/edit?usp=sharing"",""งานกองทุน!F47"")"),1261893.38)</f>
        <v>1261893.3799999999</v>
      </c>
      <c r="K778" s="255">
        <f ca="1">IF(I778&gt;0,J778*100/I778,0)</f>
        <v>34.098287208566937</v>
      </c>
      <c r="L778" s="55"/>
      <c r="M778" s="55"/>
      <c r="N778" s="55"/>
      <c r="O778" s="55"/>
      <c r="P778" s="55"/>
      <c r="Q778" s="55"/>
      <c r="R778" s="55"/>
      <c r="S778" s="55"/>
      <c r="T778" s="55"/>
      <c r="U778" s="55"/>
    </row>
    <row r="779" spans="1:21" ht="18.75">
      <c r="A779" s="49"/>
      <c r="B779" s="50"/>
      <c r="C779" s="50"/>
      <c r="D779" s="188"/>
      <c r="E779" s="50"/>
      <c r="F779" s="50"/>
      <c r="G779" s="52"/>
      <c r="H779" s="53" t="s">
        <v>35</v>
      </c>
      <c r="I779" s="212">
        <f ca="1">IFERROR(__xludf.DUMMYFUNCTION("IMPORTRANGE(""https://docs.google.com/spreadsheets/d/10OvvATaaLtwErnr3qtWFcTmtbfpFEt5Bsqel9sXx0uE/edit?usp=sharing"",""งานกองทุน!C47"")"),338)</f>
        <v>338</v>
      </c>
      <c r="J779" s="212">
        <f ca="1">IFERROR(__xludf.DUMMYFUNCTION("IMPORTRANGE(""https://docs.google.com/spreadsheets/d/10OvvATaaLtwErnr3qtWFcTmtbfpFEt5Bsqel9sXx0uE/edit?usp=sharing"",""งานกองทุน!E47"")"),129)</f>
        <v>129</v>
      </c>
      <c r="K779" s="255">
        <f ca="1">IF(I779&gt;0,J779*100/I779,0)</f>
        <v>38.165680473372781</v>
      </c>
      <c r="L779" s="55"/>
      <c r="M779" s="55"/>
      <c r="N779" s="55"/>
      <c r="O779" s="55"/>
      <c r="P779" s="55"/>
      <c r="Q779" s="55"/>
      <c r="R779" s="55"/>
      <c r="S779" s="55"/>
      <c r="T779" s="55"/>
      <c r="U779" s="55"/>
    </row>
    <row r="780" spans="1:21" ht="18.75">
      <c r="A780" s="49"/>
      <c r="B780" s="58" t="s">
        <v>294</v>
      </c>
      <c r="C780" s="50"/>
      <c r="D780" s="188"/>
      <c r="E780" s="50"/>
      <c r="F780" s="50"/>
      <c r="G780" s="52"/>
      <c r="H780" s="53" t="s">
        <v>14</v>
      </c>
      <c r="I780" s="212">
        <f ca="1">IFERROR(__xludf.DUMMYFUNCTION("IMPORTRANGE(""https://docs.google.com/spreadsheets/d/10OvvATaaLtwErnr3qtWFcTmtbfpFEt5Bsqel9sXx0uE/edit?usp=sharing"",""งานกองทุน!I47"")"),191815.27)</f>
        <v>191815.27</v>
      </c>
      <c r="J780" s="212">
        <f ca="1">IFERROR(__xludf.DUMMYFUNCTION("IMPORTRANGE(""https://docs.google.com/spreadsheets/d/10OvvATaaLtwErnr3qtWFcTmtbfpFEt5Bsqel9sXx0uE/edit?usp=sharing"",""งานกองทุน!K47"")"),108282.06)</f>
        <v>108282.06</v>
      </c>
      <c r="K780" s="255">
        <f ca="1">IF(I780&gt;0,J780*100/I780,0)</f>
        <v>56.451219968045301</v>
      </c>
      <c r="L780" s="55"/>
      <c r="M780" s="55"/>
      <c r="N780" s="55"/>
      <c r="O780" s="55"/>
      <c r="P780" s="55"/>
      <c r="Q780" s="55"/>
      <c r="R780" s="55"/>
      <c r="S780" s="55"/>
      <c r="T780" s="55"/>
      <c r="U780" s="55"/>
    </row>
    <row r="781" spans="1:21" ht="18.75">
      <c r="A781" s="49"/>
      <c r="B781" s="50"/>
      <c r="C781" s="50"/>
      <c r="D781" s="188"/>
      <c r="E781" s="50"/>
      <c r="F781" s="50"/>
      <c r="G781" s="52"/>
      <c r="H781" s="53" t="s">
        <v>35</v>
      </c>
      <c r="I781" s="212">
        <f ca="1">IFERROR(__xludf.DUMMYFUNCTION("IMPORTRANGE(""https://docs.google.com/spreadsheets/d/10OvvATaaLtwErnr3qtWFcTmtbfpFEt5Bsqel9sXx0uE/edit?usp=sharing"",""งานกองทุน!H47"")"),15)</f>
        <v>15</v>
      </c>
      <c r="J781" s="212">
        <f ca="1">IFERROR(__xludf.DUMMYFUNCTION("IMPORTRANGE(""https://docs.google.com/spreadsheets/d/10OvvATaaLtwErnr3qtWFcTmtbfpFEt5Bsqel9sXx0uE/edit?usp=sharing"",""งานกองทุน!J47"")"),20)</f>
        <v>20</v>
      </c>
      <c r="K781" s="255">
        <f ca="1">IF(I781&gt;0,J781*100/I781,0)</f>
        <v>133.33333333333334</v>
      </c>
      <c r="L781" s="55"/>
      <c r="M781" s="55"/>
      <c r="N781" s="55"/>
      <c r="O781" s="55"/>
      <c r="P781" s="55"/>
      <c r="Q781" s="55"/>
      <c r="R781" s="55"/>
      <c r="S781" s="55"/>
      <c r="T781" s="55"/>
      <c r="U781" s="55"/>
    </row>
    <row r="782" spans="1:21" ht="18.75">
      <c r="A782" s="49"/>
      <c r="B782" s="58" t="s">
        <v>295</v>
      </c>
      <c r="C782" s="50"/>
      <c r="D782" s="188"/>
      <c r="E782" s="50"/>
      <c r="F782" s="50"/>
      <c r="G782" s="52"/>
      <c r="H782" s="53" t="s">
        <v>14</v>
      </c>
      <c r="I782" s="212">
        <f ca="1">IFERROR(__xludf.DUMMYFUNCTION("IMPORTRANGE(""https://docs.google.com/spreadsheets/d/10OvvATaaLtwErnr3qtWFcTmtbfpFEt5Bsqel9sXx0uE/edit?usp=sharing"",""งานกองทุน!N47"")"),785582.06)</f>
        <v>785582.06</v>
      </c>
      <c r="J782" s="212">
        <f ca="1">IFERROR(__xludf.DUMMYFUNCTION("IMPORTRANGE(""https://docs.google.com/spreadsheets/d/10OvvATaaLtwErnr3qtWFcTmtbfpFEt5Bsqel9sXx0uE/edit?usp=sharing"",""งานกองทุน!P47"")"),169364.17)</f>
        <v>169364.17</v>
      </c>
      <c r="K782" s="255">
        <f ca="1">IF(I782&gt;0,J782*100/I782,0)</f>
        <v>21.559067934927128</v>
      </c>
      <c r="L782" s="55"/>
      <c r="M782" s="55"/>
      <c r="N782" s="55"/>
      <c r="O782" s="55"/>
      <c r="P782" s="55"/>
      <c r="Q782" s="55"/>
      <c r="R782" s="55"/>
      <c r="S782" s="55"/>
      <c r="T782" s="55"/>
      <c r="U782" s="55"/>
    </row>
    <row r="783" spans="1:21" ht="18.75">
      <c r="A783" s="49"/>
      <c r="B783" s="50"/>
      <c r="C783" s="50"/>
      <c r="D783" s="188"/>
      <c r="E783" s="50"/>
      <c r="F783" s="50"/>
      <c r="G783" s="52"/>
      <c r="H783" s="53" t="s">
        <v>35</v>
      </c>
      <c r="I783" s="212">
        <f ca="1">IFERROR(__xludf.DUMMYFUNCTION("IMPORTRANGE(""https://docs.google.com/spreadsheets/d/10OvvATaaLtwErnr3qtWFcTmtbfpFEt5Bsqel9sXx0uE/edit?usp=sharing"",""งานกองทุน!M47"")"),100)</f>
        <v>100</v>
      </c>
      <c r="J783" s="212">
        <f ca="1">IFERROR(__xludf.DUMMYFUNCTION("IMPORTRANGE(""https://docs.google.com/spreadsheets/d/10OvvATaaLtwErnr3qtWFcTmtbfpFEt5Bsqel9sXx0uE/edit?usp=sharing"",""งานกองทุน!O47"")"),55)</f>
        <v>55</v>
      </c>
      <c r="K783" s="255">
        <f ca="1">IF(I783&gt;0,J783*100/I783,0)</f>
        <v>55</v>
      </c>
      <c r="L783" s="55"/>
      <c r="M783" s="55"/>
      <c r="N783" s="55"/>
      <c r="O783" s="55"/>
      <c r="P783" s="55"/>
      <c r="Q783" s="55"/>
      <c r="R783" s="55"/>
      <c r="S783" s="55"/>
      <c r="T783" s="55"/>
      <c r="U783" s="55"/>
    </row>
    <row r="784" spans="1:21" ht="18.75">
      <c r="A784" s="49"/>
      <c r="B784" s="58" t="s">
        <v>296</v>
      </c>
      <c r="C784" s="50"/>
      <c r="D784" s="188"/>
      <c r="E784" s="50"/>
      <c r="F784" s="50"/>
      <c r="G784" s="52"/>
      <c r="H784" s="53" t="s">
        <v>14</v>
      </c>
      <c r="I784" s="212">
        <f ca="1">IFERROR(__xludf.DUMMYFUNCTION("IMPORTRANGE(""https://docs.google.com/spreadsheets/d/10OvvATaaLtwErnr3qtWFcTmtbfpFEt5Bsqel9sXx0uE/edit?usp=sharing"",""งานกองทุน!S47"")"),2884000)</f>
        <v>2884000</v>
      </c>
      <c r="J784" s="212">
        <f ca="1">IFERROR(__xludf.DUMMYFUNCTION("IMPORTRANGE(""https://docs.google.com/spreadsheets/d/10OvvATaaLtwErnr3qtWFcTmtbfpFEt5Bsqel9sXx0uE/edit?usp=sharing"",""งานกองทุน!U47"")"),1500000)</f>
        <v>1500000</v>
      </c>
      <c r="K784" s="255">
        <f ca="1">IF(I784&gt;0,J784*100/I784,0)</f>
        <v>52.011095700416092</v>
      </c>
      <c r="L784" s="55"/>
      <c r="M784" s="55"/>
      <c r="N784" s="55"/>
      <c r="O784" s="55"/>
      <c r="P784" s="55"/>
      <c r="Q784" s="55"/>
      <c r="R784" s="55"/>
      <c r="S784" s="55"/>
      <c r="T784" s="55"/>
      <c r="U784" s="55"/>
    </row>
    <row r="785" spans="1:21" ht="18.75">
      <c r="A785" s="63"/>
      <c r="B785" s="4"/>
      <c r="C785" s="4"/>
      <c r="D785" s="5"/>
      <c r="E785" s="4"/>
      <c r="F785" s="4"/>
      <c r="G785" s="65"/>
      <c r="H785" s="66" t="s">
        <v>35</v>
      </c>
      <c r="I785" s="216">
        <f ca="1">IFERROR(__xludf.DUMMYFUNCTION("IMPORTRANGE(""https://docs.google.com/spreadsheets/d/10OvvATaaLtwErnr3qtWFcTmtbfpFEt5Bsqel9sXx0uE/edit?usp=sharing"",""งานกองทุน!R47"")"),103)</f>
        <v>103</v>
      </c>
      <c r="J785" s="216">
        <f ca="1">IFERROR(__xludf.DUMMYFUNCTION("IMPORTRANGE(""https://docs.google.com/spreadsheets/d/10OvvATaaLtwErnr3qtWFcTmtbfpFEt5Bsqel9sXx0uE/edit?usp=sharing"",""งานกองทุน!T47"")"),33)</f>
        <v>33</v>
      </c>
      <c r="K785" s="506">
        <f ca="1">IF(I785&gt;0,J785*100/I785,0)</f>
        <v>32.038834951456309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6.5">
      <c r="A787" s="535" t="s">
        <v>297</v>
      </c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6.5">
      <c r="A788" s="535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</v>
      </c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6.5">
      <c r="A789" s="535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</v>
      </c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</sheetData>
  <mergeCells count="25">
    <mergeCell ref="A1:U1"/>
    <mergeCell ref="A2:U2"/>
    <mergeCell ref="A3:U3"/>
    <mergeCell ref="L4:P4"/>
    <mergeCell ref="Q4:U4"/>
    <mergeCell ref="L5:M5"/>
    <mergeCell ref="N5:P5"/>
    <mergeCell ref="Q5:R5"/>
    <mergeCell ref="S5:U5"/>
    <mergeCell ref="D493:F493"/>
    <mergeCell ref="D599:G599"/>
    <mergeCell ref="D616:G616"/>
    <mergeCell ref="D642:G642"/>
    <mergeCell ref="D690:G690"/>
    <mergeCell ref="I4:K5"/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" footer="0"/>
  <pageSetup paperSize="9" scale="29" fitToHeight="0" pageOrder="overThenDown" orientation="portrait" cellComments="atEnd" horizontalDpi="4294967293" verticalDpi="4294967293" r:id="rId1"/>
  <headerFooter>
    <oddFooter>&amp;Cหน้า &amp;P/&amp;N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269DE1-1BB4-4832-9BAF-3F08EE9C7A89}">
  <sheetPr>
    <outlinePr summaryBelow="0" summaryRight="0"/>
    <pageSetUpPr fitToPage="1"/>
  </sheetPr>
  <dimension ref="A1:U789"/>
  <sheetViews>
    <sheetView view="pageBreakPreview" zoomScale="60" zoomScaleNormal="60" workbookViewId="0">
      <pane xSplit="8" ySplit="17" topLeftCell="I18" activePane="bottomRight" state="frozen"/>
      <selection activeCell="T32" sqref="T32"/>
      <selection pane="topRight" activeCell="T32" sqref="T32"/>
      <selection pane="bottomLeft" activeCell="T32" sqref="T32"/>
      <selection pane="bottomRight" activeCell="T32" sqref="T32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10" width="16.85546875" bestFit="1" customWidth="1"/>
    <col min="11" max="11" width="12.5703125" bestFit="1" customWidth="1"/>
    <col min="12" max="14" width="21.28515625" bestFit="1" customWidth="1"/>
    <col min="15" max="15" width="20.140625" bestFit="1" customWidth="1"/>
    <col min="16" max="16" width="22" bestFit="1" customWidth="1"/>
    <col min="17" max="18" width="21.28515625" bestFit="1" customWidth="1"/>
    <col min="19" max="19" width="18.7109375" bestFit="1" customWidth="1"/>
    <col min="20" max="20" width="20.140625" bestFit="1" customWidth="1"/>
    <col min="21" max="21" width="22" bestFit="1" customWidth="1"/>
  </cols>
  <sheetData>
    <row r="1" spans="1:21" ht="19.5">
      <c r="A1" s="894" t="s">
        <v>0</v>
      </c>
      <c r="B1" s="894"/>
      <c r="C1" s="894"/>
      <c r="D1" s="894"/>
      <c r="E1" s="894"/>
      <c r="F1" s="894"/>
      <c r="G1" s="894"/>
      <c r="H1" s="894"/>
      <c r="I1" s="894"/>
      <c r="J1" s="894"/>
      <c r="K1" s="894"/>
      <c r="L1" s="894"/>
      <c r="M1" s="894"/>
      <c r="N1" s="894"/>
      <c r="O1" s="894"/>
      <c r="P1" s="894"/>
      <c r="Q1" s="894"/>
      <c r="R1" s="894"/>
      <c r="S1" s="894"/>
      <c r="T1" s="894"/>
      <c r="U1" s="894"/>
    </row>
    <row r="2" spans="1:21" ht="19.5">
      <c r="A2" s="894" t="s">
        <v>334</v>
      </c>
      <c r="B2" s="894"/>
      <c r="C2" s="894"/>
      <c r="D2" s="894"/>
      <c r="E2" s="894"/>
      <c r="F2" s="894"/>
      <c r="G2" s="894"/>
      <c r="H2" s="894"/>
      <c r="I2" s="894"/>
      <c r="J2" s="894"/>
      <c r="K2" s="894"/>
      <c r="L2" s="894"/>
      <c r="M2" s="894"/>
      <c r="N2" s="894"/>
      <c r="O2" s="894"/>
      <c r="P2" s="894"/>
      <c r="Q2" s="894"/>
      <c r="R2" s="894"/>
      <c r="S2" s="894"/>
      <c r="T2" s="894"/>
      <c r="U2" s="894"/>
    </row>
    <row r="3" spans="1:21" ht="19.5">
      <c r="A3" s="894" t="s">
        <v>339</v>
      </c>
      <c r="B3" s="894"/>
      <c r="C3" s="894"/>
      <c r="D3" s="894"/>
      <c r="E3" s="894"/>
      <c r="F3" s="894"/>
      <c r="G3" s="894"/>
      <c r="H3" s="894"/>
      <c r="I3" s="894"/>
      <c r="J3" s="894"/>
      <c r="K3" s="894"/>
      <c r="L3" s="894"/>
      <c r="M3" s="894"/>
      <c r="N3" s="894"/>
      <c r="O3" s="894"/>
      <c r="P3" s="894"/>
      <c r="Q3" s="894"/>
      <c r="R3" s="894"/>
      <c r="S3" s="894"/>
      <c r="T3" s="894"/>
      <c r="U3" s="894"/>
    </row>
    <row r="4" spans="1:21" ht="19.5">
      <c r="A4" s="4"/>
      <c r="B4" s="4"/>
      <c r="C4" s="4"/>
      <c r="D4" s="4"/>
      <c r="E4" s="4"/>
      <c r="F4" s="4"/>
      <c r="G4" s="4"/>
      <c r="H4" s="4"/>
      <c r="I4" s="4"/>
      <c r="J4" s="5"/>
      <c r="K4" s="766"/>
      <c r="L4" s="765" t="s">
        <v>2</v>
      </c>
      <c r="M4" s="514"/>
      <c r="N4" s="514"/>
      <c r="O4" s="514"/>
      <c r="P4" s="512"/>
      <c r="Q4" s="518" t="s">
        <v>3</v>
      </c>
      <c r="R4" s="514"/>
      <c r="S4" s="514"/>
      <c r="T4" s="514"/>
      <c r="U4" s="512"/>
    </row>
    <row r="5" spans="1:21" ht="19.5">
      <c r="A5" s="764" t="s">
        <v>4</v>
      </c>
      <c r="B5" s="516"/>
      <c r="C5" s="516"/>
      <c r="D5" s="516"/>
      <c r="E5" s="516"/>
      <c r="F5" s="516"/>
      <c r="G5" s="763"/>
      <c r="H5" s="772" t="s">
        <v>5</v>
      </c>
      <c r="I5" s="761" t="s">
        <v>6</v>
      </c>
      <c r="J5" s="514"/>
      <c r="K5" s="512"/>
      <c r="L5" s="760" t="s">
        <v>7</v>
      </c>
      <c r="M5" s="512"/>
      <c r="N5" s="513" t="s">
        <v>8</v>
      </c>
      <c r="O5" s="514"/>
      <c r="P5" s="512"/>
      <c r="Q5" s="511" t="s">
        <v>7</v>
      </c>
      <c r="R5" s="512"/>
      <c r="S5" s="513" t="s">
        <v>8</v>
      </c>
      <c r="T5" s="514"/>
      <c r="U5" s="512"/>
    </row>
    <row r="6" spans="1:21" ht="19.5">
      <c r="A6" s="522"/>
      <c r="B6" s="514"/>
      <c r="C6" s="514"/>
      <c r="D6" s="514"/>
      <c r="E6" s="514"/>
      <c r="F6" s="514"/>
      <c r="G6" s="512"/>
      <c r="H6" s="512"/>
      <c r="I6" s="9" t="s">
        <v>9</v>
      </c>
      <c r="J6" s="10" t="s">
        <v>10</v>
      </c>
      <c r="K6" s="9" t="s">
        <v>11</v>
      </c>
      <c r="L6" s="758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 hidden="1">
      <c r="A7" s="750"/>
      <c r="B7" s="514"/>
      <c r="C7" s="514"/>
      <c r="D7" s="514"/>
      <c r="E7" s="514"/>
      <c r="F7" s="514"/>
      <c r="G7" s="512"/>
      <c r="H7" s="17"/>
      <c r="I7" s="18"/>
      <c r="J7" s="18"/>
      <c r="K7" s="19"/>
      <c r="L7" s="28"/>
      <c r="M7" s="19"/>
      <c r="N7" s="19"/>
      <c r="O7" s="19"/>
      <c r="P7" s="19"/>
      <c r="Q7" s="19"/>
      <c r="R7" s="19"/>
      <c r="S7" s="19"/>
      <c r="T7" s="19"/>
      <c r="U7" s="19"/>
    </row>
    <row r="8" spans="1:21" ht="12.75" hidden="1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6"/>
      <c r="M8" s="25"/>
      <c r="N8" s="25"/>
      <c r="O8" s="25"/>
      <c r="P8" s="25"/>
      <c r="Q8" s="25"/>
      <c r="R8" s="25"/>
      <c r="S8" s="25"/>
      <c r="T8" s="25"/>
      <c r="U8" s="25"/>
    </row>
    <row r="9" spans="1:21" ht="12.75" hidden="1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6"/>
      <c r="M9" s="25"/>
      <c r="N9" s="25"/>
      <c r="O9" s="25"/>
      <c r="P9" s="25"/>
      <c r="Q9" s="25"/>
      <c r="R9" s="25"/>
      <c r="S9" s="25"/>
      <c r="T9" s="25"/>
      <c r="U9" s="25"/>
    </row>
    <row r="10" spans="1:21" ht="12.75" hidden="1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6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2.75" hidden="1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6"/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2.75" hidden="1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6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2.75" hidden="1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6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2.75" hidden="1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2.75" hidden="1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6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2.75" hidden="1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28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9.5">
      <c r="A17" s="532" t="s">
        <v>311</v>
      </c>
      <c r="B17" s="514"/>
      <c r="C17" s="514"/>
      <c r="D17" s="514"/>
      <c r="E17" s="514"/>
      <c r="F17" s="514"/>
      <c r="G17" s="512"/>
      <c r="H17" s="29"/>
      <c r="I17" s="30"/>
      <c r="J17" s="30"/>
      <c r="K17" s="31"/>
      <c r="L17" s="32"/>
      <c r="M17" s="31"/>
      <c r="N17" s="31"/>
      <c r="O17" s="31"/>
      <c r="P17" s="31"/>
      <c r="Q17" s="31"/>
      <c r="R17" s="31"/>
      <c r="S17" s="31"/>
      <c r="T17" s="31"/>
      <c r="U17" s="31"/>
    </row>
    <row r="18" spans="1:21" ht="19.5">
      <c r="A18" s="33"/>
      <c r="B18" s="34"/>
      <c r="C18" s="35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757">
        <f ca="1">L19+L20</f>
        <v>2042678</v>
      </c>
      <c r="M18" s="720">
        <f ca="1">M19+M20</f>
        <v>2085217</v>
      </c>
      <c r="N18" s="720">
        <f ca="1">N19+N20</f>
        <v>1700595.6</v>
      </c>
      <c r="O18" s="720">
        <f ca="1">IF(L18&gt;0,N18*100/L18,0)</f>
        <v>83.253239130200654</v>
      </c>
      <c r="P18" s="720">
        <f ca="1">IF(M18&gt;0,N18*100/M18,0)</f>
        <v>81.554850166673305</v>
      </c>
      <c r="Q18" s="720">
        <f ca="1">Q19+Q20</f>
        <v>3016780</v>
      </c>
      <c r="R18" s="720">
        <f ca="1">R19+R20</f>
        <v>3016780</v>
      </c>
      <c r="S18" s="720">
        <f ca="1">S19+S20</f>
        <v>581474.17000000004</v>
      </c>
      <c r="T18" s="720">
        <f ca="1">IF(Q18&gt;0,S18*100/Q18,0)</f>
        <v>19.27466271985362</v>
      </c>
      <c r="U18" s="720">
        <f ca="1">IF(R18&gt;0,S18*100/R18,0)</f>
        <v>19.27466271985362</v>
      </c>
    </row>
    <row r="19" spans="1:21" ht="18.75" hidden="1">
      <c r="A19" s="33"/>
      <c r="B19" s="34"/>
      <c r="C19" s="34"/>
      <c r="D19" s="34"/>
      <c r="E19" s="756" t="s">
        <v>20</v>
      </c>
      <c r="F19" s="34"/>
      <c r="G19" s="37"/>
      <c r="H19" s="755" t="s">
        <v>14</v>
      </c>
      <c r="I19" s="39"/>
      <c r="J19" s="39"/>
      <c r="K19" s="40"/>
      <c r="L19" s="754">
        <f>L22+L25</f>
        <v>0</v>
      </c>
      <c r="M19" s="753">
        <f>M22+M25</f>
        <v>0</v>
      </c>
      <c r="N19" s="753">
        <f>N22+N25</f>
        <v>0</v>
      </c>
      <c r="O19" s="753">
        <f>IF(L19&gt;0,N19*100/L19,0)</f>
        <v>0</v>
      </c>
      <c r="P19" s="753">
        <f>IF(M19&gt;0,N19*100/M19,0)</f>
        <v>0</v>
      </c>
      <c r="Q19" s="753">
        <f>Q22+Q25</f>
        <v>0</v>
      </c>
      <c r="R19" s="753">
        <f>R22+R25</f>
        <v>0</v>
      </c>
      <c r="S19" s="753">
        <f>S22+S25</f>
        <v>0</v>
      </c>
      <c r="T19" s="753">
        <f>IF(Q19&gt;0,S19*100/Q19,0)</f>
        <v>0</v>
      </c>
      <c r="U19" s="753">
        <f>IF(R19&gt;0,S19*100/R19,0)</f>
        <v>0</v>
      </c>
    </row>
    <row r="20" spans="1:21" ht="18.75" hidden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752">
        <f ca="1">L23+L26</f>
        <v>2042678</v>
      </c>
      <c r="M20" s="751">
        <f ca="1">M23+M26</f>
        <v>2085217</v>
      </c>
      <c r="N20" s="751">
        <f ca="1">N23+N26</f>
        <v>1700595.6</v>
      </c>
      <c r="O20" s="751">
        <f ca="1">IF(L20&gt;0,N20*100/L20,0)</f>
        <v>83.253239130200654</v>
      </c>
      <c r="P20" s="751">
        <f ca="1">IF(M20&gt;0,N20*100/M20,0)</f>
        <v>81.554850166673305</v>
      </c>
      <c r="Q20" s="751">
        <f ca="1">Q23+Q26</f>
        <v>3016780</v>
      </c>
      <c r="R20" s="751">
        <f ca="1">R23+R26</f>
        <v>3016780</v>
      </c>
      <c r="S20" s="751">
        <f ca="1">S23+S26</f>
        <v>581474.17000000004</v>
      </c>
      <c r="T20" s="751">
        <f ca="1">IF(Q20&gt;0,S20*100/Q20,0)</f>
        <v>19.27466271985362</v>
      </c>
      <c r="U20" s="751">
        <f ca="1">IF(R20&gt;0,S20*100/R20,0)</f>
        <v>19.27466271985362</v>
      </c>
    </row>
    <row r="21" spans="1:21" ht="18.75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256">
        <f ca="1">L22+L23</f>
        <v>2042678</v>
      </c>
      <c r="M21" s="255">
        <f ca="1">M22+M23</f>
        <v>2085217</v>
      </c>
      <c r="N21" s="255">
        <f ca="1">N22+N23</f>
        <v>1700595.6</v>
      </c>
      <c r="O21" s="255">
        <f ca="1">IF(L21&gt;0,N21*100/L21,0)</f>
        <v>83.253239130200654</v>
      </c>
      <c r="P21" s="255">
        <f ca="1">IF(M21&gt;0,N21*100/M21,0)</f>
        <v>81.554850166673305</v>
      </c>
      <c r="Q21" s="255">
        <f ca="1">Q22+Q23</f>
        <v>3016780</v>
      </c>
      <c r="R21" s="255">
        <f ca="1">R22+R23</f>
        <v>3016780</v>
      </c>
      <c r="S21" s="255">
        <f ca="1">S22+S23</f>
        <v>581474.17000000004</v>
      </c>
      <c r="T21" s="255">
        <f ca="1">IF(Q21&gt;0,S21*100/Q21,0)</f>
        <v>19.27466271985362</v>
      </c>
      <c r="U21" s="255">
        <f ca="1">IF(R21&gt;0,S21*100/R21,0)</f>
        <v>19.27466271985362</v>
      </c>
    </row>
    <row r="22" spans="1:21" ht="18.75" hidden="1">
      <c r="A22" s="49"/>
      <c r="B22" s="50"/>
      <c r="C22" s="50"/>
      <c r="D22" s="50"/>
      <c r="E22" s="186" t="s">
        <v>20</v>
      </c>
      <c r="F22" s="50"/>
      <c r="G22" s="52"/>
      <c r="H22" s="729" t="s">
        <v>14</v>
      </c>
      <c r="I22" s="54"/>
      <c r="J22" s="54"/>
      <c r="K22" s="55"/>
      <c r="L22" s="103">
        <f>L48+L63+L76+L98+L129+L143+L161+L190+L177+L270+L286+L307+L324+L337+L360+L517</f>
        <v>0</v>
      </c>
      <c r="M22" s="102">
        <f>M48+M63+M76+M98+M129+M143+M161+M190+M177+M270+M286+M307+M324+M337+M360+M517</f>
        <v>0</v>
      </c>
      <c r="N22" s="102">
        <f>N48+N63+N76+N98+N129+N143+N161+N190+N177+N270+N286+N307+N324+N337+N360+N517</f>
        <v>0</v>
      </c>
      <c r="O22" s="102">
        <f>IF(L22&gt;0,N22*100/L22,0)</f>
        <v>0</v>
      </c>
      <c r="P22" s="102">
        <f>IF(M22&gt;0,N22*100/M22,0)</f>
        <v>0</v>
      </c>
      <c r="Q22" s="102">
        <f>Q76+Q98+Q121+Q143+Q161+Q177+Q190+Q270+Q286+Q307+Q337+Q379+Q396+Q417+Q497+Q603+Q620+Q646+Q694+Q718+Q732+Q764</f>
        <v>0</v>
      </c>
      <c r="R22" s="102">
        <f>R76+R98+R121+R143+R161+R177+R190+R270+R286+R307+R337+R379+R396+R417+R497+R603+R620+R646+R694+R718+R732+R764</f>
        <v>0</v>
      </c>
      <c r="S22" s="102">
        <f>S76+S98+S121+S143+S161+S177+S190+S270+S286+S307+S337+S379+S396+S417+S497+S603+S620+S646+S694+S718+S732+S764</f>
        <v>0</v>
      </c>
      <c r="T22" s="102">
        <f>IF(Q22&gt;0,S22*100/Q22,0)</f>
        <v>0</v>
      </c>
      <c r="U22" s="102">
        <f>IF(R22&gt;0,S22*100/R22,0)</f>
        <v>0</v>
      </c>
    </row>
    <row r="23" spans="1:21" ht="18.75" hidden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256">
        <f ca="1">L49+L64+L77+L99+L130+L144+L162+L191+L178+L271+L287+L308+L325+L338+L361+L518</f>
        <v>2042678</v>
      </c>
      <c r="M23" s="255">
        <f ca="1">M49+M64+M77+M99+M130+M144+M162+M191+M178+M271+M287+M308+M325+M338+M361+M518</f>
        <v>2085217</v>
      </c>
      <c r="N23" s="255">
        <f ca="1">N49+N64+N77+N99+N130+N144+N162+N191+N178+N271+N287+N308+N325+N338+N361+N518</f>
        <v>1700595.6</v>
      </c>
      <c r="O23" s="255">
        <f ca="1">IF(L23&gt;0,N23*100/L23,0)</f>
        <v>83.253239130200654</v>
      </c>
      <c r="P23" s="255">
        <f ca="1">IF(M23&gt;0,N23*100/M23,0)</f>
        <v>81.554850166673305</v>
      </c>
      <c r="Q23" s="255">
        <f ca="1">Q77+Q99+Q122+Q144+Q162+Q178+Q191+Q271+Q287+Q308+Q338+Q380+Q397+Q418+Q498+Q604+Q621+Q647+Q695+Q719+Q733+Q765</f>
        <v>3016780</v>
      </c>
      <c r="R23" s="255">
        <f ca="1">R77+R99+R122+R144+R162+R178+R191+R271+R287+R308+R338+R380+R397+R418+R498+R604+R621+R647+R695+R719+R733+R765</f>
        <v>3016780</v>
      </c>
      <c r="S23" s="255">
        <f ca="1">S77+S99+S122+S144+S162+S178+S191+S271+S287+S308+S338+S380+S397+S418+S498+S604+S621+S647+S695+S719+S733+S765</f>
        <v>581474.17000000004</v>
      </c>
      <c r="T23" s="255">
        <f ca="1">IF(Q23&gt;0,S23*100/Q23,0)</f>
        <v>19.27466271985362</v>
      </c>
      <c r="U23" s="255">
        <f ca="1">IF(R23&gt;0,S23*100/R23,0)</f>
        <v>19.27466271985362</v>
      </c>
    </row>
    <row r="24" spans="1:21" ht="18.75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256">
        <f ca="1">L25+L26</f>
        <v>0</v>
      </c>
      <c r="M24" s="255">
        <f ca="1">M25+M26</f>
        <v>0</v>
      </c>
      <c r="N24" s="255">
        <f ca="1">N25+N26</f>
        <v>0</v>
      </c>
      <c r="O24" s="255">
        <f ca="1">IF(L24&gt;0,N24*100/L24,0)</f>
        <v>0</v>
      </c>
      <c r="P24" s="255">
        <f ca="1">IF(M24&gt;0,N24*100/M24,0)</f>
        <v>0</v>
      </c>
      <c r="Q24" s="255">
        <f>Q25+Q26</f>
        <v>0</v>
      </c>
      <c r="R24" s="255">
        <f>R25+R26</f>
        <v>0</v>
      </c>
      <c r="S24" s="255">
        <f>S25+S26</f>
        <v>0</v>
      </c>
      <c r="T24" s="255">
        <f>IF(Q24&gt;0,S24*100/Q24,0)</f>
        <v>0</v>
      </c>
      <c r="U24" s="255">
        <f>IF(R24&gt;0,S24*100/R24,0)</f>
        <v>0</v>
      </c>
    </row>
    <row r="25" spans="1:21" ht="18.75" hidden="1">
      <c r="A25" s="49"/>
      <c r="B25" s="50"/>
      <c r="C25" s="50"/>
      <c r="D25" s="50"/>
      <c r="E25" s="186" t="s">
        <v>20</v>
      </c>
      <c r="F25" s="50"/>
      <c r="G25" s="52"/>
      <c r="H25" s="729" t="s">
        <v>14</v>
      </c>
      <c r="I25" s="54"/>
      <c r="J25" s="54"/>
      <c r="K25" s="55"/>
      <c r="L25" s="103">
        <f>L51+L66+L79+L101+L132+L146+L164+L193+L180+L273+L289+L310+L327+L340+L363+L520</f>
        <v>0</v>
      </c>
      <c r="M25" s="102">
        <f>M51+M66+M79+M101+M132+M146+M164+M193+M180+M273+M289+M310+M327+M340+M363+M520</f>
        <v>0</v>
      </c>
      <c r="N25" s="102">
        <f>N51+N66+N79+N101+N132+N146+N164+N193+N180+N273+N289+N310+N327+N340+N363+N520</f>
        <v>0</v>
      </c>
      <c r="O25" s="102">
        <f>IF(L25&gt;0,N25*100/L25,0)</f>
        <v>0</v>
      </c>
      <c r="P25" s="102">
        <f>IF(M25&gt;0,N25*100/M25,0)</f>
        <v>0</v>
      </c>
      <c r="Q25" s="102">
        <f>Q79+Q101+Q124+Q146+Q164+Q180+Q193+Q273+Q289+Q310+Q340+Q382+Q399+Q420+Q500+Q606+Q623+Q649+Q697+Q721+Q735+Q767</f>
        <v>0</v>
      </c>
      <c r="R25" s="102">
        <f>R79+R101+R124+R146+R164+R180+R193+R273+R289+R310+R340+R382+R399+R420+R500+R606+R623+R649+R697+R721+R735+R767</f>
        <v>0</v>
      </c>
      <c r="S25" s="102">
        <f>S79+S101+S124+S146+S164+S180+S193+S273+S289+S310+S340+S382+S399+S420+S500+S606+S623+S649+S697+S721+S735+S767</f>
        <v>0</v>
      </c>
      <c r="T25" s="102">
        <f>IF(Q25&gt;0,S25*100/Q25,0)</f>
        <v>0</v>
      </c>
      <c r="U25" s="102">
        <f>IF(R25&gt;0,S25*100/R25,0)</f>
        <v>0</v>
      </c>
    </row>
    <row r="26" spans="1:21" ht="18.75" hidden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256">
        <f ca="1">L52+L67+L80+L102+L133+L147+L165+L194+L181+L274+L290+L311+L328+L341+L364+L521</f>
        <v>0</v>
      </c>
      <c r="M26" s="255">
        <f ca="1">M52+M67+M80+M102+M133+M147+M165+M194+M181+M274+M290+M311+M328+M341+M364+M521</f>
        <v>0</v>
      </c>
      <c r="N26" s="255">
        <f ca="1">N52+N67+N80+N102+N133+N147+N165+N194+N181+N274+N290+N311+N328+N341+N364+N521</f>
        <v>0</v>
      </c>
      <c r="O26" s="255">
        <f ca="1">IF(L26&gt;0,N26*100/L26,0)</f>
        <v>0</v>
      </c>
      <c r="P26" s="255">
        <f ca="1">IF(M26&gt;0,N26*100/M26,0)</f>
        <v>0</v>
      </c>
      <c r="Q26" s="102">
        <f>Q80+Q102+Q125+Q147+Q165+Q181+Q194+Q274+Q290+Q311+Q341+Q383+Q400+Q421+Q501+Q607+Q624+Q650+Q698+Q722+Q736+Q768</f>
        <v>0</v>
      </c>
      <c r="R26" s="102">
        <f>R80+R102+R125+R147+R165+R181+R194+R274+R290+R311+R341+R383+R400+R421+R501+R607+R624+R650+R698+R722+R736+R768</f>
        <v>0</v>
      </c>
      <c r="S26" s="102">
        <f>S80+S102+S125+S147+S165+S181+S194+S274+S290+S311+S341+S383+S400+S421+S501+S607+S624+S650+S698+S722+S736+S768</f>
        <v>0</v>
      </c>
      <c r="T26" s="255">
        <f>IF(Q26&gt;0,S26*100/Q26,0)</f>
        <v>0</v>
      </c>
      <c r="U26" s="255">
        <f>IF(R26&gt;0,S26*100/R26,0)</f>
        <v>0</v>
      </c>
    </row>
    <row r="27" spans="1:21" ht="18.75">
      <c r="A27" s="49"/>
      <c r="B27" s="50"/>
      <c r="C27" s="50"/>
      <c r="D27" s="51" t="s">
        <v>24</v>
      </c>
      <c r="E27" s="50"/>
      <c r="F27" s="50"/>
      <c r="G27" s="52"/>
      <c r="H27" s="53" t="s">
        <v>14</v>
      </c>
      <c r="I27" s="54"/>
      <c r="J27" s="54"/>
      <c r="K27" s="55"/>
      <c r="L27" s="62"/>
      <c r="M27" s="55"/>
      <c r="N27" s="55"/>
      <c r="O27" s="55"/>
      <c r="P27" s="55"/>
      <c r="Q27" s="55"/>
      <c r="R27" s="55"/>
      <c r="S27" s="55"/>
      <c r="T27" s="55"/>
      <c r="U27" s="55"/>
    </row>
    <row r="28" spans="1:21" ht="18.75" hidden="1">
      <c r="A28" s="49"/>
      <c r="B28" s="50"/>
      <c r="C28" s="50"/>
      <c r="D28" s="50"/>
      <c r="E28" s="186" t="s">
        <v>20</v>
      </c>
      <c r="F28" s="50"/>
      <c r="G28" s="52"/>
      <c r="H28" s="729" t="s">
        <v>14</v>
      </c>
      <c r="I28" s="54"/>
      <c r="J28" s="54"/>
      <c r="K28" s="55"/>
      <c r="L28" s="62"/>
      <c r="M28" s="55"/>
      <c r="N28" s="55"/>
      <c r="O28" s="55"/>
      <c r="P28" s="55"/>
      <c r="Q28" s="55"/>
      <c r="R28" s="55"/>
      <c r="S28" s="55"/>
      <c r="T28" s="55"/>
      <c r="U28" s="55"/>
    </row>
    <row r="29" spans="1:21" ht="18.75" hidden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8"/>
      <c r="M29" s="6"/>
      <c r="N29" s="6"/>
      <c r="O29" s="6"/>
      <c r="P29" s="6"/>
      <c r="Q29" s="6"/>
      <c r="R29" s="6"/>
      <c r="S29" s="6"/>
      <c r="T29" s="6"/>
      <c r="U29" s="6"/>
    </row>
    <row r="30" spans="1:21" ht="12.75" hidden="1">
      <c r="A30" s="750"/>
      <c r="B30" s="514"/>
      <c r="C30" s="514"/>
      <c r="D30" s="514"/>
      <c r="E30" s="514"/>
      <c r="F30" s="514"/>
      <c r="G30" s="512"/>
      <c r="H30" s="17"/>
      <c r="I30" s="18"/>
      <c r="J30" s="18"/>
      <c r="K30" s="19"/>
      <c r="L30" s="28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 hidden="1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6"/>
      <c r="M31" s="25"/>
      <c r="N31" s="25"/>
      <c r="O31" s="25"/>
      <c r="P31" s="25"/>
      <c r="Q31" s="25"/>
      <c r="R31" s="25"/>
      <c r="S31" s="25"/>
      <c r="T31" s="25"/>
      <c r="U31" s="25"/>
    </row>
    <row r="32" spans="1:21" ht="12.75" hidden="1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6"/>
      <c r="M32" s="25"/>
      <c r="N32" s="25"/>
      <c r="O32" s="25"/>
      <c r="P32" s="25"/>
      <c r="Q32" s="25"/>
      <c r="R32" s="25"/>
      <c r="S32" s="25"/>
      <c r="T32" s="25"/>
      <c r="U32" s="25"/>
    </row>
    <row r="33" spans="1:21" ht="12.75" hidden="1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6"/>
      <c r="M33" s="25"/>
      <c r="N33" s="25"/>
      <c r="O33" s="25"/>
      <c r="P33" s="25"/>
      <c r="Q33" s="25"/>
      <c r="R33" s="25"/>
      <c r="S33" s="25"/>
      <c r="T33" s="25"/>
      <c r="U33" s="25"/>
    </row>
    <row r="34" spans="1:21" ht="12.75" hidden="1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6"/>
      <c r="M34" s="25"/>
      <c r="N34" s="25"/>
      <c r="O34" s="25"/>
      <c r="P34" s="25"/>
      <c r="Q34" s="25"/>
      <c r="R34" s="25"/>
      <c r="S34" s="25"/>
      <c r="T34" s="25"/>
      <c r="U34" s="25"/>
    </row>
    <row r="35" spans="1:21" ht="12.75" hidden="1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6"/>
      <c r="M35" s="25"/>
      <c r="N35" s="25"/>
      <c r="O35" s="25"/>
      <c r="P35" s="25"/>
      <c r="Q35" s="25"/>
      <c r="R35" s="25"/>
      <c r="S35" s="25"/>
      <c r="T35" s="25"/>
      <c r="U35" s="25"/>
    </row>
    <row r="36" spans="1:21" ht="12.75" hidden="1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6"/>
      <c r="M36" s="25"/>
      <c r="N36" s="25"/>
      <c r="O36" s="25"/>
      <c r="P36" s="25"/>
      <c r="Q36" s="25"/>
      <c r="R36" s="25"/>
      <c r="S36" s="25"/>
      <c r="T36" s="25"/>
      <c r="U36" s="25"/>
    </row>
    <row r="37" spans="1:21" ht="12.75" hidden="1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6"/>
      <c r="M37" s="25"/>
      <c r="N37" s="25"/>
      <c r="O37" s="25"/>
      <c r="P37" s="25"/>
      <c r="Q37" s="25"/>
      <c r="R37" s="25"/>
      <c r="S37" s="25"/>
      <c r="T37" s="25"/>
      <c r="U37" s="25"/>
    </row>
    <row r="38" spans="1:21" ht="12.75" hidden="1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6"/>
      <c r="M38" s="25"/>
      <c r="N38" s="25"/>
      <c r="O38" s="25"/>
      <c r="P38" s="25"/>
      <c r="Q38" s="25"/>
      <c r="R38" s="25"/>
      <c r="S38" s="25"/>
      <c r="T38" s="25"/>
      <c r="U38" s="25"/>
    </row>
    <row r="39" spans="1:21" ht="12.75" hidden="1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28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9.5" hidden="1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749">
        <f ca="1">L44+L59+L72+L94+L125+L139+L157+L173+L186+L266+L282+L303+L320+L333+L356</f>
        <v>2042678</v>
      </c>
      <c r="M40" s="748">
        <f ca="1">M44+M59+M72+M94+M125+M139+M157+M173+M186+M266+M282+M303+M320+M333+M356</f>
        <v>2085217</v>
      </c>
      <c r="N40" s="748">
        <f ca="1">N44+N59+N72+N94+N125+N139+N157+N173+N186+N266+N282+N303+N320+N333+N356</f>
        <v>1700595.6</v>
      </c>
      <c r="O40" s="748">
        <f ca="1">IF(L40&gt;0,N40*100/L40,0)</f>
        <v>83.253239130200654</v>
      </c>
      <c r="P40" s="748">
        <f ca="1">IF(M40&gt;0,N40*100/M40,0)</f>
        <v>81.554850166673305</v>
      </c>
      <c r="Q40" s="73"/>
      <c r="R40" s="73"/>
      <c r="S40" s="73"/>
      <c r="T40" s="73"/>
      <c r="U40" s="73"/>
    </row>
    <row r="41" spans="1:21" ht="19.5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78"/>
      <c r="R41" s="78"/>
      <c r="S41" s="78"/>
      <c r="T41" s="78"/>
      <c r="U41" s="79"/>
    </row>
    <row r="42" spans="1:21" ht="19.5">
      <c r="A42" s="80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5"/>
      <c r="M42" s="84"/>
      <c r="N42" s="84"/>
      <c r="O42" s="84"/>
      <c r="P42" s="84"/>
      <c r="Q42" s="84"/>
      <c r="R42" s="84"/>
      <c r="S42" s="84"/>
      <c r="T42" s="84"/>
      <c r="U42" s="84"/>
    </row>
    <row r="43" spans="1:21" ht="12.75" hidden="1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6"/>
      <c r="M43" s="25"/>
      <c r="N43" s="25"/>
      <c r="O43" s="25"/>
      <c r="P43" s="25"/>
      <c r="Q43" s="25"/>
      <c r="R43" s="25"/>
      <c r="S43" s="25"/>
      <c r="T43" s="25"/>
      <c r="U43" s="25"/>
    </row>
    <row r="44" spans="1:21" ht="19.5">
      <c r="A44" s="86"/>
      <c r="B44" s="87"/>
      <c r="C44" s="88" t="s">
        <v>18</v>
      </c>
      <c r="D44" s="747" t="s">
        <v>19</v>
      </c>
      <c r="E44" s="87"/>
      <c r="F44" s="87"/>
      <c r="G44" s="90"/>
      <c r="H44" s="91" t="s">
        <v>14</v>
      </c>
      <c r="I44" s="92"/>
      <c r="J44" s="92"/>
      <c r="K44" s="93"/>
      <c r="L44" s="746">
        <f ca="1">L45+L46</f>
        <v>484278</v>
      </c>
      <c r="M44" s="745">
        <f ca="1">M45+M46</f>
        <v>497077</v>
      </c>
      <c r="N44" s="745">
        <f ca="1">N45+N46</f>
        <v>454855</v>
      </c>
      <c r="O44" s="745">
        <f ca="1">IF(L44&gt;0,N44*100/L44,0)</f>
        <v>93.924357497140079</v>
      </c>
      <c r="P44" s="745">
        <f ca="1">IF(M44&gt;0,N44*100/M44,0)</f>
        <v>91.505943747145821</v>
      </c>
      <c r="Q44" s="745">
        <f>Q45+Q46</f>
        <v>0</v>
      </c>
      <c r="R44" s="745">
        <f>R45+R46</f>
        <v>0</v>
      </c>
      <c r="S44" s="745">
        <f>S45+S46</f>
        <v>0</v>
      </c>
      <c r="T44" s="745">
        <f>IF(Q44&gt;0,S44*100/Q44,0)</f>
        <v>0</v>
      </c>
      <c r="U44" s="745">
        <f>IF(R44&gt;0,S44*100/R44,0)</f>
        <v>0</v>
      </c>
    </row>
    <row r="45" spans="1:21" ht="18.75" hidden="1">
      <c r="A45" s="86"/>
      <c r="B45" s="87"/>
      <c r="C45" s="87"/>
      <c r="D45" s="87"/>
      <c r="E45" s="744" t="s">
        <v>20</v>
      </c>
      <c r="F45" s="87"/>
      <c r="G45" s="90"/>
      <c r="H45" s="743" t="s">
        <v>14</v>
      </c>
      <c r="I45" s="92"/>
      <c r="J45" s="92"/>
      <c r="K45" s="93"/>
      <c r="L45" s="742">
        <f>L48+L51</f>
        <v>0</v>
      </c>
      <c r="M45" s="741">
        <f>M48+M51</f>
        <v>0</v>
      </c>
      <c r="N45" s="741">
        <f>N48+N51</f>
        <v>0</v>
      </c>
      <c r="O45" s="741">
        <f>IF(L45&gt;0,N45*100/L45,0)</f>
        <v>0</v>
      </c>
      <c r="P45" s="741">
        <f>IF(M45&gt;0,N45*100/M45,0)</f>
        <v>0</v>
      </c>
      <c r="Q45" s="741">
        <f>Q48+Q51</f>
        <v>0</v>
      </c>
      <c r="R45" s="741">
        <f>R48+R51</f>
        <v>0</v>
      </c>
      <c r="S45" s="741">
        <f>S48+S51</f>
        <v>0</v>
      </c>
      <c r="T45" s="741">
        <f>IF(Q45&gt;0,S45*100/Q45,0)</f>
        <v>0</v>
      </c>
      <c r="U45" s="741">
        <f>IF(R45&gt;0,S45*100/R45,0)</f>
        <v>0</v>
      </c>
    </row>
    <row r="46" spans="1:21" ht="18.75" hidden="1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740">
        <f ca="1">L49+L52</f>
        <v>484278</v>
      </c>
      <c r="M46" s="739">
        <f ca="1">M49+M52</f>
        <v>497077</v>
      </c>
      <c r="N46" s="739">
        <f ca="1">N49+N52</f>
        <v>454855</v>
      </c>
      <c r="O46" s="739">
        <f ca="1">IF(L46&gt;0,N46*100/L46,0)</f>
        <v>93.924357497140079</v>
      </c>
      <c r="P46" s="739">
        <f ca="1">IF(M46&gt;0,N46*100/M46,0)</f>
        <v>91.505943747145821</v>
      </c>
      <c r="Q46" s="739">
        <f>Q49+Q52</f>
        <v>0</v>
      </c>
      <c r="R46" s="739">
        <f>R49+R52</f>
        <v>0</v>
      </c>
      <c r="S46" s="739">
        <f>S49+S52</f>
        <v>0</v>
      </c>
      <c r="T46" s="739">
        <f>IF(Q46&gt;0,S46*100/Q46,0)</f>
        <v>0</v>
      </c>
      <c r="U46" s="739">
        <f>IF(R46&gt;0,S46*100/R46,0)</f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256">
        <f ca="1">L48+L49</f>
        <v>484278</v>
      </c>
      <c r="M47" s="255">
        <f ca="1">M48+M49</f>
        <v>497077</v>
      </c>
      <c r="N47" s="255">
        <f ca="1">N48+N49</f>
        <v>454855</v>
      </c>
      <c r="O47" s="255">
        <f ca="1">IF(L47&gt;0,N47*100/L47,0)</f>
        <v>93.924357497140079</v>
      </c>
      <c r="P47" s="255">
        <f ca="1">IF(M47&gt;0,N47*100/M47,0)</f>
        <v>91.505943747145821</v>
      </c>
      <c r="Q47" s="255">
        <f>Q48+Q49</f>
        <v>0</v>
      </c>
      <c r="R47" s="255">
        <f>R48+R49</f>
        <v>0</v>
      </c>
      <c r="S47" s="255">
        <f>S48+S49</f>
        <v>0</v>
      </c>
      <c r="T47" s="255">
        <f>IF(Q47&gt;0,S47*100/Q47,0)</f>
        <v>0</v>
      </c>
      <c r="U47" s="255">
        <f>IF(R47&gt;0,S47*100/R47,0)</f>
        <v>0</v>
      </c>
    </row>
    <row r="48" spans="1:21" ht="18.75" hidden="1">
      <c r="A48" s="49"/>
      <c r="B48" s="50"/>
      <c r="C48" s="50"/>
      <c r="D48" s="50"/>
      <c r="E48" s="186" t="s">
        <v>20</v>
      </c>
      <c r="F48" s="50"/>
      <c r="G48" s="52"/>
      <c r="H48" s="729" t="s">
        <v>14</v>
      </c>
      <c r="I48" s="54"/>
      <c r="J48" s="54"/>
      <c r="K48" s="55"/>
      <c r="L48" s="103">
        <v>0</v>
      </c>
      <c r="M48" s="102">
        <v>0</v>
      </c>
      <c r="N48" s="102">
        <v>0</v>
      </c>
      <c r="O48" s="102">
        <f>IF(L48&gt;0,N48*100/L48,0)</f>
        <v>0</v>
      </c>
      <c r="P48" s="102">
        <f>IF(M48&gt;0,N48*100/M48,0)</f>
        <v>0</v>
      </c>
      <c r="Q48" s="102">
        <v>0</v>
      </c>
      <c r="R48" s="102">
        <v>0</v>
      </c>
      <c r="S48" s="102">
        <v>0</v>
      </c>
      <c r="T48" s="102">
        <f>IF(Q48&gt;0,S48*100/Q48,0)</f>
        <v>0</v>
      </c>
      <c r="U48" s="102">
        <f>IF(R48&gt;0,S48*100/R48,0)</f>
        <v>0</v>
      </c>
    </row>
    <row r="49" spans="1:21" ht="18.75" hidden="1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256">
        <f ca="1">IFERROR(__xludf.DUMMYFUNCTION("IMPORTRANGE(""https://docs.google.com/spreadsheets/d/1-uDff_7J0KD5mKrp0Vvzr7lt3OU09vwQwhkpOPPYv2Y/edit?usp=sharing"",""งบพรบ!P48"")"),484278)</f>
        <v>484278</v>
      </c>
      <c r="M49" s="255">
        <f ca="1">IFERROR(__xludf.DUMMYFUNCTION("IMPORTRANGE(""https://docs.google.com/spreadsheets/d/1-uDff_7J0KD5mKrp0Vvzr7lt3OU09vwQwhkpOPPYv2Y/edit?usp=sharing"",""งบพรบ!V48"")"),497077)</f>
        <v>497077</v>
      </c>
      <c r="N49" s="255">
        <f ca="1">IFERROR(__xludf.DUMMYFUNCTION("IMPORTRANGE(""https://docs.google.com/spreadsheets/d/1-uDff_7J0KD5mKrp0Vvzr7lt3OU09vwQwhkpOPPYv2Y/edit?usp=sharing"",""งบพรบ!Y48"")"),454855)</f>
        <v>454855</v>
      </c>
      <c r="O49" s="255">
        <f ca="1">IF(L49&gt;0,N49*100/L49,0)</f>
        <v>93.924357497140079</v>
      </c>
      <c r="P49" s="255">
        <f ca="1">IF(M49&gt;0,N49*100/M49,0)</f>
        <v>91.505943747145821</v>
      </c>
      <c r="Q49" s="255">
        <v>0</v>
      </c>
      <c r="R49" s="255">
        <v>0</v>
      </c>
      <c r="S49" s="255">
        <v>0</v>
      </c>
      <c r="T49" s="255">
        <f>IF(Q49&gt;0,S49*100/Q49,0)</f>
        <v>0</v>
      </c>
      <c r="U49" s="255">
        <f>IF(R49&gt;0,S49*100/R49,0)</f>
        <v>0</v>
      </c>
    </row>
    <row r="50" spans="1:21" ht="18.75">
      <c r="A50" s="49"/>
      <c r="B50" s="50"/>
      <c r="C50" s="50"/>
      <c r="D50" s="51" t="s">
        <v>23</v>
      </c>
      <c r="E50" s="50"/>
      <c r="F50" s="50"/>
      <c r="G50" s="52"/>
      <c r="H50" s="53" t="s">
        <v>14</v>
      </c>
      <c r="I50" s="54"/>
      <c r="J50" s="54"/>
      <c r="K50" s="55"/>
      <c r="L50" s="256">
        <f ca="1">L51+L52</f>
        <v>0</v>
      </c>
      <c r="M50" s="255">
        <f ca="1">M51+M52</f>
        <v>0</v>
      </c>
      <c r="N50" s="255">
        <f ca="1">N51+N52</f>
        <v>0</v>
      </c>
      <c r="O50" s="255">
        <f ca="1">IF(L50&gt;0,N50*100/L50,0)</f>
        <v>0</v>
      </c>
      <c r="P50" s="255">
        <f ca="1">IF(M50&gt;0,N50*100/M50,0)</f>
        <v>0</v>
      </c>
      <c r="Q50" s="255">
        <f>Q51+Q52</f>
        <v>0</v>
      </c>
      <c r="R50" s="255">
        <f>R51+R52</f>
        <v>0</v>
      </c>
      <c r="S50" s="255">
        <f>S51+S52</f>
        <v>0</v>
      </c>
      <c r="T50" s="255">
        <f>IF(Q50&gt;0,S50*100/Q50,0)</f>
        <v>0</v>
      </c>
      <c r="U50" s="255">
        <f>IF(R50&gt;0,S50*100/R50,0)</f>
        <v>0</v>
      </c>
    </row>
    <row r="51" spans="1:21" ht="18.75" hidden="1">
      <c r="A51" s="49"/>
      <c r="B51" s="50"/>
      <c r="C51" s="50"/>
      <c r="D51" s="50"/>
      <c r="E51" s="186" t="s">
        <v>20</v>
      </c>
      <c r="F51" s="50"/>
      <c r="G51" s="52"/>
      <c r="H51" s="729" t="s">
        <v>14</v>
      </c>
      <c r="I51" s="54"/>
      <c r="J51" s="54"/>
      <c r="K51" s="55"/>
      <c r="L51" s="103">
        <v>0</v>
      </c>
      <c r="M51" s="102">
        <v>0</v>
      </c>
      <c r="N51" s="102">
        <v>0</v>
      </c>
      <c r="O51" s="102">
        <f>IF(L51&gt;0,N51*100/L51,0)</f>
        <v>0</v>
      </c>
      <c r="P51" s="102">
        <f>IF(M51&gt;0,N51*100/M51,0)</f>
        <v>0</v>
      </c>
      <c r="Q51" s="102">
        <v>0</v>
      </c>
      <c r="R51" s="102">
        <v>0</v>
      </c>
      <c r="S51" s="102">
        <v>0</v>
      </c>
      <c r="T51" s="102">
        <f>IF(Q51&gt;0,S51*100/Q51,0)</f>
        <v>0</v>
      </c>
      <c r="U51" s="102">
        <f>IF(R51&gt;0,S51*100/R51,0)</f>
        <v>0</v>
      </c>
    </row>
    <row r="52" spans="1:21" ht="18.75" hidden="1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256">
        <f ca="1">IFERROR(__xludf.DUMMYFUNCTION("IMPORTRANGE(""https://docs.google.com/spreadsheets/d/1-uDff_7J0KD5mKrp0Vvzr7lt3OU09vwQwhkpOPPYv2Y/edit?usp=sharing"",""งบพรบ!S48"")"),0)</f>
        <v>0</v>
      </c>
      <c r="M52" s="255">
        <f ca="1">IFERROR(__xludf.DUMMYFUNCTION("IMPORTRANGE(""https://docs.google.com/spreadsheets/d/1-uDff_7J0KD5mKrp0Vvzr7lt3OU09vwQwhkpOPPYv2Y/edit?usp=sharing"",""งบพรบ!W48"")"),0)</f>
        <v>0</v>
      </c>
      <c r="N52" s="255">
        <f ca="1">IFERROR(__xludf.DUMMYFUNCTION("IMPORTRANGE(""https://docs.google.com/spreadsheets/d/1-uDff_7J0KD5mKrp0Vvzr7lt3OU09vwQwhkpOPPYv2Y/edit?usp=sharing"",""งบพรบ!Z48"")"),0)</f>
        <v>0</v>
      </c>
      <c r="O52" s="255">
        <f ca="1">IF(L52&gt;0,N52*100/L52,0)</f>
        <v>0</v>
      </c>
      <c r="P52" s="255">
        <f ca="1">IF(M52&gt;0,N52*100/M52,0)</f>
        <v>0</v>
      </c>
      <c r="Q52" s="255">
        <v>0</v>
      </c>
      <c r="R52" s="255">
        <v>0</v>
      </c>
      <c r="S52" s="255">
        <v>0</v>
      </c>
      <c r="T52" s="255">
        <f>IF(Q52&gt;0,S52*100/Q52,0)</f>
        <v>0</v>
      </c>
      <c r="U52" s="255">
        <f>IF(R52&gt;0,S52*100/R52,0)</f>
        <v>0</v>
      </c>
    </row>
    <row r="53" spans="1:21" ht="18.75">
      <c r="A53" s="49"/>
      <c r="B53" s="50"/>
      <c r="C53" s="50"/>
      <c r="D53" s="51" t="s">
        <v>24</v>
      </c>
      <c r="E53" s="50"/>
      <c r="F53" s="50"/>
      <c r="G53" s="52"/>
      <c r="H53" s="53" t="s">
        <v>14</v>
      </c>
      <c r="I53" s="54"/>
      <c r="J53" s="54"/>
      <c r="K53" s="55"/>
      <c r="L53" s="62"/>
      <c r="M53" s="55"/>
      <c r="N53" s="55"/>
      <c r="O53" s="55"/>
      <c r="P53" s="55"/>
      <c r="Q53" s="55"/>
      <c r="R53" s="55"/>
      <c r="S53" s="55"/>
      <c r="T53" s="55"/>
      <c r="U53" s="55"/>
    </row>
    <row r="54" spans="1:21" ht="18.75" hidden="1">
      <c r="A54" s="49"/>
      <c r="B54" s="50"/>
      <c r="C54" s="50"/>
      <c r="D54" s="50"/>
      <c r="E54" s="186" t="s">
        <v>20</v>
      </c>
      <c r="F54" s="50"/>
      <c r="G54" s="52"/>
      <c r="H54" s="729" t="s">
        <v>14</v>
      </c>
      <c r="I54" s="54"/>
      <c r="J54" s="54"/>
      <c r="K54" s="55"/>
      <c r="L54" s="62"/>
      <c r="M54" s="55"/>
      <c r="N54" s="55"/>
      <c r="O54" s="55"/>
      <c r="P54" s="55"/>
      <c r="Q54" s="55"/>
      <c r="R54" s="55"/>
      <c r="S54" s="55"/>
      <c r="T54" s="55"/>
      <c r="U54" s="55"/>
    </row>
    <row r="55" spans="1:21" ht="18.75" hidden="1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8"/>
      <c r="M55" s="6"/>
      <c r="N55" s="6"/>
      <c r="O55" s="6"/>
      <c r="P55" s="6"/>
      <c r="Q55" s="6"/>
      <c r="R55" s="6"/>
      <c r="S55" s="6"/>
      <c r="T55" s="6"/>
      <c r="U55" s="6"/>
    </row>
    <row r="56" spans="1:21" ht="19.5">
      <c r="A56" s="533" t="s">
        <v>28</v>
      </c>
      <c r="B56" s="514"/>
      <c r="C56" s="514"/>
      <c r="D56" s="514"/>
      <c r="E56" s="514"/>
      <c r="F56" s="514"/>
      <c r="G56" s="512"/>
      <c r="H56" s="104"/>
      <c r="I56" s="105"/>
      <c r="J56" s="105"/>
      <c r="K56" s="106"/>
      <c r="L56" s="106"/>
      <c r="M56" s="106"/>
      <c r="N56" s="106"/>
      <c r="O56" s="106"/>
      <c r="P56" s="107"/>
      <c r="Q56" s="106"/>
      <c r="R56" s="106"/>
      <c r="S56" s="106"/>
      <c r="T56" s="106"/>
      <c r="U56" s="107"/>
    </row>
    <row r="57" spans="1:21" ht="19.5">
      <c r="A57" s="108"/>
      <c r="B57" s="534" t="s">
        <v>29</v>
      </c>
      <c r="C57" s="529"/>
      <c r="D57" s="529"/>
      <c r="E57" s="529"/>
      <c r="F57" s="529"/>
      <c r="G57" s="530"/>
      <c r="H57" s="109"/>
      <c r="I57" s="110"/>
      <c r="J57" s="110"/>
      <c r="K57" s="111"/>
      <c r="L57" s="112"/>
      <c r="M57" s="111"/>
      <c r="N57" s="111"/>
      <c r="O57" s="111"/>
      <c r="P57" s="111"/>
      <c r="Q57" s="111"/>
      <c r="R57" s="111"/>
      <c r="S57" s="111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9"/>
      <c r="M58" s="118"/>
      <c r="N58" s="118"/>
      <c r="O58" s="118"/>
      <c r="P58" s="118"/>
      <c r="Q58" s="118"/>
      <c r="R58" s="118"/>
      <c r="S58" s="118"/>
      <c r="T58" s="118"/>
      <c r="U58" s="118"/>
    </row>
    <row r="59" spans="1:21" ht="19.5">
      <c r="A59" s="120"/>
      <c r="B59" s="121"/>
      <c r="C59" s="122" t="s">
        <v>18</v>
      </c>
      <c r="D59" s="738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737">
        <f ca="1">L60+L61</f>
        <v>443300</v>
      </c>
      <c r="M59" s="736">
        <f ca="1">M60+M61</f>
        <v>443300</v>
      </c>
      <c r="N59" s="736">
        <f ca="1">N60+N61</f>
        <v>313958.68</v>
      </c>
      <c r="O59" s="736">
        <f ca="1">IF(L59&gt;0,N59*100/L59,0)</f>
        <v>70.823072411459506</v>
      </c>
      <c r="P59" s="736">
        <f ca="1">IF(M59&gt;0,N59*100/M59,0)</f>
        <v>70.823072411459506</v>
      </c>
      <c r="Q59" s="736">
        <f>Q60+Q61</f>
        <v>0</v>
      </c>
      <c r="R59" s="736">
        <f>R60+R61</f>
        <v>0</v>
      </c>
      <c r="S59" s="736">
        <f>S60+S61</f>
        <v>0</v>
      </c>
      <c r="T59" s="736">
        <f>IF(Q59&gt;0,S59*100/Q59,0)</f>
        <v>0</v>
      </c>
      <c r="U59" s="736">
        <f>IF(R59&gt;0,S59*100/R59,0)</f>
        <v>0</v>
      </c>
    </row>
    <row r="60" spans="1:21" ht="18.75" hidden="1">
      <c r="A60" s="120"/>
      <c r="B60" s="121"/>
      <c r="C60" s="121"/>
      <c r="D60" s="121"/>
      <c r="E60" s="735" t="s">
        <v>20</v>
      </c>
      <c r="F60" s="121"/>
      <c r="G60" s="124"/>
      <c r="H60" s="734" t="s">
        <v>14</v>
      </c>
      <c r="I60" s="126"/>
      <c r="J60" s="126"/>
      <c r="K60" s="127"/>
      <c r="L60" s="733">
        <f>L63+L66</f>
        <v>0</v>
      </c>
      <c r="M60" s="732">
        <f>M63+M66</f>
        <v>0</v>
      </c>
      <c r="N60" s="732">
        <f>N63+N66</f>
        <v>0</v>
      </c>
      <c r="O60" s="732">
        <f>IF(L60&gt;0,N60*100/L60,0)</f>
        <v>0</v>
      </c>
      <c r="P60" s="732">
        <f>IF(M60&gt;0,N60*100/M60,0)</f>
        <v>0</v>
      </c>
      <c r="Q60" s="732">
        <f>Q63+Q66</f>
        <v>0</v>
      </c>
      <c r="R60" s="732">
        <f>R63+R66</f>
        <v>0</v>
      </c>
      <c r="S60" s="732">
        <f>S63+S66</f>
        <v>0</v>
      </c>
      <c r="T60" s="732">
        <f>IF(Q60&gt;0,S60*100/Q60,0)</f>
        <v>0</v>
      </c>
      <c r="U60" s="732">
        <f>IF(R60&gt;0,S60*100/R60,0)</f>
        <v>0</v>
      </c>
    </row>
    <row r="61" spans="1:21" ht="18.75" hidden="1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731">
        <f ca="1">L64+L67</f>
        <v>443300</v>
      </c>
      <c r="M61" s="730">
        <f ca="1">M64+M67</f>
        <v>443300</v>
      </c>
      <c r="N61" s="730">
        <f ca="1">N64+N67</f>
        <v>313958.68</v>
      </c>
      <c r="O61" s="730">
        <f ca="1">IF(L61&gt;0,N61*100/L61,0)</f>
        <v>70.823072411459506</v>
      </c>
      <c r="P61" s="730">
        <f ca="1">IF(M61&gt;0,N61*100/M61,0)</f>
        <v>70.823072411459506</v>
      </c>
      <c r="Q61" s="730">
        <f>Q64+Q67</f>
        <v>0</v>
      </c>
      <c r="R61" s="730">
        <f>R64+R67</f>
        <v>0</v>
      </c>
      <c r="S61" s="730">
        <f>S64+S67</f>
        <v>0</v>
      </c>
      <c r="T61" s="730">
        <f>IF(Q61&gt;0,S61*100/Q61,0)</f>
        <v>0</v>
      </c>
      <c r="U61" s="730">
        <f>IF(R61&gt;0,S61*100/R61,0)</f>
        <v>0</v>
      </c>
    </row>
    <row r="62" spans="1:21" ht="18.75">
      <c r="A62" s="49"/>
      <c r="B62" s="50"/>
      <c r="C62" s="50"/>
      <c r="D62" s="51" t="s">
        <v>22</v>
      </c>
      <c r="E62" s="50"/>
      <c r="F62" s="50"/>
      <c r="G62" s="52"/>
      <c r="H62" s="53" t="s">
        <v>14</v>
      </c>
      <c r="I62" s="54"/>
      <c r="J62" s="54"/>
      <c r="K62" s="55"/>
      <c r="L62" s="256">
        <f ca="1">L63+L64</f>
        <v>443300</v>
      </c>
      <c r="M62" s="255">
        <f ca="1">M63+M64</f>
        <v>443300</v>
      </c>
      <c r="N62" s="255">
        <f ca="1">N63+N64</f>
        <v>313958.68</v>
      </c>
      <c r="O62" s="255">
        <f ca="1">IF(L62&gt;0,N62*100/L62,0)</f>
        <v>70.823072411459506</v>
      </c>
      <c r="P62" s="255">
        <f ca="1">IF(M62&gt;0,N62*100/M62,0)</f>
        <v>70.823072411459506</v>
      </c>
      <c r="Q62" s="255">
        <f>Q63+Q64</f>
        <v>0</v>
      </c>
      <c r="R62" s="255">
        <f>R63+R64</f>
        <v>0</v>
      </c>
      <c r="S62" s="255">
        <f>S63+S64</f>
        <v>0</v>
      </c>
      <c r="T62" s="255">
        <f>IF(Q62&gt;0,S62*100/Q62,0)</f>
        <v>0</v>
      </c>
      <c r="U62" s="255">
        <f>IF(R62&gt;0,S62*100/R62,0)</f>
        <v>0</v>
      </c>
    </row>
    <row r="63" spans="1:21" ht="18.75" hidden="1">
      <c r="A63" s="49"/>
      <c r="B63" s="50"/>
      <c r="C63" s="50"/>
      <c r="D63" s="50"/>
      <c r="E63" s="186" t="s">
        <v>20</v>
      </c>
      <c r="F63" s="50"/>
      <c r="G63" s="52"/>
      <c r="H63" s="729" t="s">
        <v>14</v>
      </c>
      <c r="I63" s="54"/>
      <c r="J63" s="54"/>
      <c r="K63" s="55"/>
      <c r="L63" s="103">
        <v>0</v>
      </c>
      <c r="M63" s="102">
        <v>0</v>
      </c>
      <c r="N63" s="102">
        <v>0</v>
      </c>
      <c r="O63" s="102">
        <f>IF(L63&gt;0,N63*100/L63,0)</f>
        <v>0</v>
      </c>
      <c r="P63" s="102">
        <f>IF(M63&gt;0,N63*100/M63,0)</f>
        <v>0</v>
      </c>
      <c r="Q63" s="102">
        <v>0</v>
      </c>
      <c r="R63" s="102">
        <v>0</v>
      </c>
      <c r="S63" s="102">
        <v>0</v>
      </c>
      <c r="T63" s="102">
        <f>IF(Q63&gt;0,S63*100/Q63,0)</f>
        <v>0</v>
      </c>
      <c r="U63" s="102">
        <f>IF(R63&gt;0,S63*100/R63,0)</f>
        <v>0</v>
      </c>
    </row>
    <row r="64" spans="1:21" ht="18.75" hidden="1">
      <c r="A64" s="49"/>
      <c r="B64" s="50"/>
      <c r="C64" s="50"/>
      <c r="D64" s="50"/>
      <c r="E64" s="58" t="s">
        <v>21</v>
      </c>
      <c r="F64" s="50"/>
      <c r="G64" s="52"/>
      <c r="H64" s="53" t="s">
        <v>14</v>
      </c>
      <c r="I64" s="54"/>
      <c r="J64" s="54"/>
      <c r="K64" s="55"/>
      <c r="L64" s="256">
        <f ca="1">IFERROR(__xludf.DUMMYFUNCTION("IMPORTRANGE(""https://docs.google.com/spreadsheets/d/1-uDff_7J0KD5mKrp0Vvzr7lt3OU09vwQwhkpOPPYv2Y/edit?usp=sharing"",""งบพรบ!AC48"")"),443300)</f>
        <v>443300</v>
      </c>
      <c r="M64" s="255">
        <f ca="1">IFERROR(__xludf.DUMMYFUNCTION("IMPORTRANGE(""https://docs.google.com/spreadsheets/d/1-uDff_7J0KD5mKrp0Vvzr7lt3OU09vwQwhkpOPPYv2Y/edit?usp=sharing"",""งบพรบ!AH48"")"),443300)</f>
        <v>443300</v>
      </c>
      <c r="N64" s="255">
        <f ca="1">IFERROR(__xludf.DUMMYFUNCTION("IMPORTRANGE(""https://docs.google.com/spreadsheets/d/1-uDff_7J0KD5mKrp0Vvzr7lt3OU09vwQwhkpOPPYv2Y/edit?usp=sharing"",""งบพรบ!AJ48"")"),313958.68)</f>
        <v>313958.68</v>
      </c>
      <c r="O64" s="255">
        <f ca="1">IF(L64&gt;0,N64*100/L64,0)</f>
        <v>70.823072411459506</v>
      </c>
      <c r="P64" s="255">
        <f ca="1">IF(M64&gt;0,N64*100/M64,0)</f>
        <v>70.823072411459506</v>
      </c>
      <c r="Q64" s="255">
        <v>0</v>
      </c>
      <c r="R64" s="255">
        <v>0</v>
      </c>
      <c r="S64" s="255">
        <v>0</v>
      </c>
      <c r="T64" s="255">
        <f>IF(Q64&gt;0,S64*100/Q64,0)</f>
        <v>0</v>
      </c>
      <c r="U64" s="255">
        <f>IF(R64&gt;0,S64*100/R64,0)</f>
        <v>0</v>
      </c>
    </row>
    <row r="65" spans="1:21" ht="18.75">
      <c r="A65" s="49"/>
      <c r="B65" s="50"/>
      <c r="C65" s="50"/>
      <c r="D65" s="51" t="s">
        <v>23</v>
      </c>
      <c r="E65" s="50"/>
      <c r="F65" s="50"/>
      <c r="G65" s="52"/>
      <c r="H65" s="53" t="s">
        <v>14</v>
      </c>
      <c r="I65" s="54"/>
      <c r="J65" s="54"/>
      <c r="K65" s="55"/>
      <c r="L65" s="256">
        <f ca="1">L66+L67</f>
        <v>0</v>
      </c>
      <c r="M65" s="255">
        <f ca="1">M66+M67</f>
        <v>0</v>
      </c>
      <c r="N65" s="255">
        <f ca="1">N66+N67</f>
        <v>0</v>
      </c>
      <c r="O65" s="255">
        <f ca="1">IF(L65&gt;0,N65*100/L65,0)</f>
        <v>0</v>
      </c>
      <c r="P65" s="255">
        <f ca="1">IF(M65&gt;0,N65*100/M65,0)</f>
        <v>0</v>
      </c>
      <c r="Q65" s="255">
        <f>Q66+Q67</f>
        <v>0</v>
      </c>
      <c r="R65" s="255">
        <f>R66+R67</f>
        <v>0</v>
      </c>
      <c r="S65" s="255">
        <f>S66+S67</f>
        <v>0</v>
      </c>
      <c r="T65" s="255">
        <f>IF(Q65&gt;0,S65*100/Q65,0)</f>
        <v>0</v>
      </c>
      <c r="U65" s="255">
        <f>IF(R65&gt;0,S65*100/R65,0)</f>
        <v>0</v>
      </c>
    </row>
    <row r="66" spans="1:21" ht="18.75" hidden="1">
      <c r="A66" s="49"/>
      <c r="B66" s="50"/>
      <c r="C66" s="50"/>
      <c r="D66" s="50"/>
      <c r="E66" s="186" t="s">
        <v>20</v>
      </c>
      <c r="F66" s="50"/>
      <c r="G66" s="52"/>
      <c r="H66" s="729" t="s">
        <v>14</v>
      </c>
      <c r="I66" s="54"/>
      <c r="J66" s="54"/>
      <c r="K66" s="55"/>
      <c r="L66" s="103">
        <v>0</v>
      </c>
      <c r="M66" s="102">
        <v>0</v>
      </c>
      <c r="N66" s="102">
        <v>0</v>
      </c>
      <c r="O66" s="102">
        <f>IF(L66&gt;0,N66*100/L66,0)</f>
        <v>0</v>
      </c>
      <c r="P66" s="102">
        <f>IF(M66&gt;0,N66*100/M66,0)</f>
        <v>0</v>
      </c>
      <c r="Q66" s="102">
        <v>0</v>
      </c>
      <c r="R66" s="102">
        <v>0</v>
      </c>
      <c r="S66" s="102">
        <v>0</v>
      </c>
      <c r="T66" s="102">
        <f>IF(Q66&gt;0,S66*100/Q66,0)</f>
        <v>0</v>
      </c>
      <c r="U66" s="102">
        <f>IF(R66&gt;0,S66*100/R66,0)</f>
        <v>0</v>
      </c>
    </row>
    <row r="67" spans="1:21" ht="18.75" hidden="1">
      <c r="A67" s="63"/>
      <c r="B67" s="4"/>
      <c r="C67" s="4"/>
      <c r="D67" s="4"/>
      <c r="E67" s="64" t="s">
        <v>21</v>
      </c>
      <c r="F67" s="4"/>
      <c r="G67" s="65"/>
      <c r="H67" s="66" t="s">
        <v>14</v>
      </c>
      <c r="I67" s="67"/>
      <c r="J67" s="67"/>
      <c r="K67" s="6"/>
      <c r="L67" s="728">
        <f ca="1">IFERROR(__xludf.DUMMYFUNCTION("IMPORTRANGE(""https://docs.google.com/spreadsheets/d/1-uDff_7J0KD5mKrp0Vvzr7lt3OU09vwQwhkpOPPYv2Y/edit?usp=sharing"",""งบพรบ!AF48"")"),0)</f>
        <v>0</v>
      </c>
      <c r="M67" s="506">
        <f ca="1">IFERROR(__xludf.DUMMYFUNCTION("IMPORTRANGE(""https://docs.google.com/spreadsheets/d/1-uDff_7J0KD5mKrp0Vvzr7lt3OU09vwQwhkpOPPYv2Y/edit?usp=sharing"",""งบพรบ!AI48"")"),0)</f>
        <v>0</v>
      </c>
      <c r="N67" s="506">
        <f ca="1">IFERROR(__xludf.DUMMYFUNCTION("IMPORTRANGE(""https://docs.google.com/spreadsheets/d/1-uDff_7J0KD5mKrp0Vvzr7lt3OU09vwQwhkpOPPYv2Y/edit?usp=sharing"",""งบพรบ!AK48"")"),0)</f>
        <v>0</v>
      </c>
      <c r="O67" s="506">
        <f ca="1">IF(L67&gt;0,N67*100/L67,0)</f>
        <v>0</v>
      </c>
      <c r="P67" s="506">
        <f ca="1">IF(M67&gt;0,N67*100/M67,0)</f>
        <v>0</v>
      </c>
      <c r="Q67" s="506">
        <v>0</v>
      </c>
      <c r="R67" s="506">
        <v>0</v>
      </c>
      <c r="S67" s="506">
        <v>0</v>
      </c>
      <c r="T67" s="506">
        <f>IF(Q67&gt;0,S67*100/Q67,0)</f>
        <v>0</v>
      </c>
      <c r="U67" s="506">
        <f>IF(R67&gt;0,S67*100/R67,0)</f>
        <v>0</v>
      </c>
    </row>
    <row r="68" spans="1:21" ht="19.5">
      <c r="A68" s="137" t="s">
        <v>31</v>
      </c>
      <c r="B68" s="138"/>
      <c r="C68" s="138"/>
      <c r="D68" s="138"/>
      <c r="E68" s="139"/>
      <c r="F68" s="139"/>
      <c r="G68" s="139"/>
      <c r="H68" s="139"/>
      <c r="I68" s="140"/>
      <c r="J68" s="140"/>
      <c r="K68" s="141"/>
      <c r="L68" s="141"/>
      <c r="M68" s="141"/>
      <c r="N68" s="141"/>
      <c r="O68" s="141"/>
      <c r="P68" s="142"/>
      <c r="Q68" s="141"/>
      <c r="R68" s="141"/>
      <c r="S68" s="141"/>
      <c r="T68" s="141"/>
      <c r="U68" s="142"/>
    </row>
    <row r="69" spans="1:21" ht="19.5">
      <c r="A69" s="143" t="s">
        <v>32</v>
      </c>
      <c r="B69" s="144"/>
      <c r="C69" s="145"/>
      <c r="D69" s="144"/>
      <c r="E69" s="144"/>
      <c r="F69" s="144"/>
      <c r="G69" s="146"/>
      <c r="H69" s="146"/>
      <c r="I69" s="147"/>
      <c r="J69" s="147"/>
      <c r="K69" s="148"/>
      <c r="L69" s="149"/>
      <c r="M69" s="148"/>
      <c r="N69" s="148"/>
      <c r="O69" s="148"/>
      <c r="P69" s="148"/>
      <c r="Q69" s="148"/>
      <c r="R69" s="148"/>
      <c r="S69" s="148"/>
      <c r="T69" s="148"/>
      <c r="U69" s="148"/>
    </row>
    <row r="70" spans="1:21" ht="19.5">
      <c r="A70" s="150"/>
      <c r="B70" s="35" t="s">
        <v>33</v>
      </c>
      <c r="C70" s="34"/>
      <c r="D70" s="151"/>
      <c r="E70" s="34"/>
      <c r="F70" s="34"/>
      <c r="G70" s="37"/>
      <c r="H70" s="152" t="s">
        <v>34</v>
      </c>
      <c r="I70" s="721">
        <f ca="1">I82</f>
        <v>1</v>
      </c>
      <c r="J70" s="721">
        <f>J82</f>
        <v>1</v>
      </c>
      <c r="K70" s="720">
        <f ca="1">IF(I70&gt;0,J70*100/I70,0)</f>
        <v>100</v>
      </c>
      <c r="L70" s="154"/>
      <c r="M70" s="40"/>
      <c r="N70" s="40"/>
      <c r="O70" s="40"/>
      <c r="P70" s="40"/>
      <c r="Q70" s="40"/>
      <c r="R70" s="40"/>
      <c r="S70" s="40"/>
      <c r="T70" s="40"/>
      <c r="U70" s="40"/>
    </row>
    <row r="71" spans="1:21" ht="19.5">
      <c r="A71" s="150"/>
      <c r="B71" s="34"/>
      <c r="C71" s="34"/>
      <c r="D71" s="151"/>
      <c r="E71" s="34"/>
      <c r="F71" s="34"/>
      <c r="G71" s="37"/>
      <c r="H71" s="152" t="s">
        <v>35</v>
      </c>
      <c r="I71" s="721">
        <f ca="1">I83</f>
        <v>30</v>
      </c>
      <c r="J71" s="721">
        <f>J83</f>
        <v>30</v>
      </c>
      <c r="K71" s="720">
        <f ca="1">IF(I71&gt;0,J71*100/I71,0)</f>
        <v>100</v>
      </c>
      <c r="L71" s="154"/>
      <c r="M71" s="40"/>
      <c r="N71" s="40"/>
      <c r="O71" s="40"/>
      <c r="P71" s="40"/>
      <c r="Q71" s="40"/>
      <c r="R71" s="40"/>
      <c r="S71" s="40"/>
      <c r="T71" s="40"/>
      <c r="U71" s="40"/>
    </row>
    <row r="72" spans="1:21" ht="19.5">
      <c r="A72" s="155"/>
      <c r="B72" s="50"/>
      <c r="C72" s="156" t="s">
        <v>18</v>
      </c>
      <c r="D72" s="575" t="s">
        <v>19</v>
      </c>
      <c r="E72" s="50"/>
      <c r="F72" s="50"/>
      <c r="G72" s="52"/>
      <c r="H72" s="158" t="s">
        <v>14</v>
      </c>
      <c r="I72" s="54"/>
      <c r="J72" s="54"/>
      <c r="K72" s="55"/>
      <c r="L72" s="541">
        <f ca="1">L73+L74</f>
        <v>262000</v>
      </c>
      <c r="M72" s="540">
        <f ca="1">M73+M74</f>
        <v>262000</v>
      </c>
      <c r="N72" s="540">
        <f ca="1">N73+N74</f>
        <v>229345.24</v>
      </c>
      <c r="O72" s="540">
        <f ca="1">IF(L72&gt;0,N72*100/L72,0)</f>
        <v>87.536351145038168</v>
      </c>
      <c r="P72" s="540">
        <f ca="1">IF(M72&gt;0,N72*100/M72,0)</f>
        <v>87.536351145038168</v>
      </c>
      <c r="Q72" s="540">
        <f ca="1">Q73+Q74</f>
        <v>310980</v>
      </c>
      <c r="R72" s="540">
        <f ca="1">R73+R74</f>
        <v>310980</v>
      </c>
      <c r="S72" s="540">
        <f ca="1">S73+S74</f>
        <v>0</v>
      </c>
      <c r="T72" s="540">
        <f ca="1">IF(Q72&gt;0,S72*100/Q72,0)</f>
        <v>0</v>
      </c>
      <c r="U72" s="540">
        <f ca="1">IF(R72&gt;0,S72*100/R72,0)</f>
        <v>0</v>
      </c>
    </row>
    <row r="73" spans="1:21" ht="18.75" hidden="1">
      <c r="A73" s="155"/>
      <c r="B73" s="50"/>
      <c r="C73" s="50"/>
      <c r="D73" s="50"/>
      <c r="E73" s="186" t="s">
        <v>20</v>
      </c>
      <c r="F73" s="50"/>
      <c r="G73" s="52"/>
      <c r="H73" s="187" t="s">
        <v>14</v>
      </c>
      <c r="I73" s="54"/>
      <c r="J73" s="54"/>
      <c r="K73" s="55"/>
      <c r="L73" s="103">
        <f>L76+L79</f>
        <v>0</v>
      </c>
      <c r="M73" s="102">
        <f>M76+M79</f>
        <v>0</v>
      </c>
      <c r="N73" s="102">
        <f>N76+N79</f>
        <v>0</v>
      </c>
      <c r="O73" s="102">
        <f>IF(L73&gt;0,N73*100/L73,0)</f>
        <v>0</v>
      </c>
      <c r="P73" s="102">
        <f>IF(M73&gt;0,N73*100/M73,0)</f>
        <v>0</v>
      </c>
      <c r="Q73" s="102">
        <f>Q76+Q79</f>
        <v>0</v>
      </c>
      <c r="R73" s="102">
        <f>R76+R79</f>
        <v>0</v>
      </c>
      <c r="S73" s="102">
        <f>S76+S79</f>
        <v>0</v>
      </c>
      <c r="T73" s="102">
        <f>IF(Q73&gt;0,S73*100/Q73,0)</f>
        <v>0</v>
      </c>
      <c r="U73" s="102">
        <f>IF(R73&gt;0,S73*100/R73,0)</f>
        <v>0</v>
      </c>
    </row>
    <row r="74" spans="1:21" ht="18.75" hidden="1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256">
        <f ca="1">L77+L80</f>
        <v>262000</v>
      </c>
      <c r="M74" s="255">
        <f ca="1">M77+M80</f>
        <v>262000</v>
      </c>
      <c r="N74" s="255">
        <f ca="1">N77+N80</f>
        <v>229345.24</v>
      </c>
      <c r="O74" s="255">
        <f ca="1">IF(L74&gt;0,N74*100/L74,0)</f>
        <v>87.536351145038168</v>
      </c>
      <c r="P74" s="255">
        <f ca="1">IF(M74&gt;0,N74*100/M74,0)</f>
        <v>87.536351145038168</v>
      </c>
      <c r="Q74" s="255">
        <f ca="1">Q77+Q80</f>
        <v>310980</v>
      </c>
      <c r="R74" s="255">
        <f ca="1">R77+R80</f>
        <v>310980</v>
      </c>
      <c r="S74" s="255">
        <f ca="1">S77+S80</f>
        <v>0</v>
      </c>
      <c r="T74" s="255">
        <f ca="1">IF(Q74&gt;0,S74*100/Q74,0)</f>
        <v>0</v>
      </c>
      <c r="U74" s="255">
        <f ca="1">IF(R74&gt;0,S74*100/R74,0)</f>
        <v>0</v>
      </c>
    </row>
    <row r="75" spans="1:21" ht="18.75">
      <c r="A75" s="155"/>
      <c r="B75" s="50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256">
        <f ca="1">L76+L77</f>
        <v>262000</v>
      </c>
      <c r="M75" s="255">
        <f ca="1">M76+M77</f>
        <v>262000</v>
      </c>
      <c r="N75" s="255">
        <f ca="1">N76+N77</f>
        <v>229345.24</v>
      </c>
      <c r="O75" s="255">
        <f ca="1">IF(L75&gt;0,N75*100/L75,0)</f>
        <v>87.536351145038168</v>
      </c>
      <c r="P75" s="255">
        <f ca="1">IF(M75&gt;0,N75*100/M75,0)</f>
        <v>87.536351145038168</v>
      </c>
      <c r="Q75" s="255">
        <f ca="1">Q76+Q77</f>
        <v>310980</v>
      </c>
      <c r="R75" s="255">
        <f ca="1">R76+R77</f>
        <v>310980</v>
      </c>
      <c r="S75" s="255">
        <f ca="1">S76+S77</f>
        <v>0</v>
      </c>
      <c r="T75" s="255">
        <f ca="1">IF(Q75&gt;0,S75*100/Q75,0)</f>
        <v>0</v>
      </c>
      <c r="U75" s="255">
        <f ca="1">IF(R75&gt;0,S75*100/R75,0)</f>
        <v>0</v>
      </c>
    </row>
    <row r="76" spans="1:21" ht="18.75" hidden="1">
      <c r="A76" s="155"/>
      <c r="B76" s="50"/>
      <c r="C76" s="50"/>
      <c r="D76" s="50"/>
      <c r="E76" s="186" t="s">
        <v>36</v>
      </c>
      <c r="F76" s="50"/>
      <c r="G76" s="52"/>
      <c r="H76" s="189" t="s">
        <v>14</v>
      </c>
      <c r="I76" s="163"/>
      <c r="J76" s="163"/>
      <c r="K76" s="164"/>
      <c r="L76" s="103">
        <v>0</v>
      </c>
      <c r="M76" s="102">
        <v>0</v>
      </c>
      <c r="N76" s="102">
        <v>0</v>
      </c>
      <c r="O76" s="102">
        <f>IF(L76&gt;0,N76*100/L76,0)</f>
        <v>0</v>
      </c>
      <c r="P76" s="102">
        <f>IF(M76&gt;0,N76*100/M76,0)</f>
        <v>0</v>
      </c>
      <c r="Q76" s="102">
        <v>0</v>
      </c>
      <c r="R76" s="102">
        <v>0</v>
      </c>
      <c r="S76" s="102">
        <v>0</v>
      </c>
      <c r="T76" s="102">
        <f>IF(Q76&gt;0,S76*100/Q76,0)</f>
        <v>0</v>
      </c>
      <c r="U76" s="102">
        <f>IF(R76&gt;0,S76*100/R76,0)</f>
        <v>0</v>
      </c>
    </row>
    <row r="77" spans="1:21" ht="18.75" hidden="1">
      <c r="A77" s="155"/>
      <c r="B77" s="50"/>
      <c r="C77" s="50"/>
      <c r="D77" s="50"/>
      <c r="E77" s="58" t="s">
        <v>37</v>
      </c>
      <c r="F77" s="50"/>
      <c r="G77" s="52"/>
      <c r="H77" s="162" t="s">
        <v>14</v>
      </c>
      <c r="I77" s="163"/>
      <c r="J77" s="163"/>
      <c r="K77" s="164"/>
      <c r="L77" s="256">
        <f ca="1">IFERROR(__xludf.DUMMYFUNCTION("IMPORTRANGE(""https://docs.google.com/spreadsheets/d/1-uDff_7J0KD5mKrp0Vvzr7lt3OU09vwQwhkpOPPYv2Y/edit?usp=sharing"",""งบพรบ!AM48"")"),262000)</f>
        <v>262000</v>
      </c>
      <c r="M77" s="255">
        <f ca="1">IFERROR(__xludf.DUMMYFUNCTION("IMPORTRANGE(""https://docs.google.com/spreadsheets/d/1-uDff_7J0KD5mKrp0Vvzr7lt3OU09vwQwhkpOPPYv2Y/edit?usp=sharing"",""งบพรบ!AR48"")"),262000)</f>
        <v>262000</v>
      </c>
      <c r="N77" s="255">
        <f ca="1">IFERROR(__xludf.DUMMYFUNCTION("IMPORTRANGE(""https://docs.google.com/spreadsheets/d/1-uDff_7J0KD5mKrp0Vvzr7lt3OU09vwQwhkpOPPYv2Y/edit?usp=sharing"",""งบพรบ!AT48"")"),229345.24)</f>
        <v>229345.24</v>
      </c>
      <c r="O77" s="255">
        <f ca="1">IF(L77&gt;0,N77*100/L77,0)</f>
        <v>87.536351145038168</v>
      </c>
      <c r="P77" s="255">
        <f ca="1">IF(M77&gt;0,N77*100/M77,0)</f>
        <v>87.536351145038168</v>
      </c>
      <c r="Q77" s="255">
        <f ca="1">IFERROR(__xludf.DUMMYFUNCTION("IMPORTRANGE(""https://docs.google.com/spreadsheets/d/1ItG2mGa2ceCfYo0BwxsXqNm01IGEUdYcSSLTEv9YCik/edit?usp=sharing"",""เบิกจ่ายกองทุน!AS48"")"),310980)</f>
        <v>310980</v>
      </c>
      <c r="R77" s="255">
        <f ca="1">IFERROR(__xludf.DUMMYFUNCTION("IMPORTRANGE(""https://docs.google.com/spreadsheets/d/1ItG2mGa2ceCfYo0BwxsXqNm01IGEUdYcSSLTEv9YCik/edit?usp=sharing"",""เบิกจ่ายกองทุน!AT48"")"),310980)</f>
        <v>310980</v>
      </c>
      <c r="S77" s="255">
        <f ca="1">IFERROR(__xludf.DUMMYFUNCTION("IMPORTRANGE(""https://docs.google.com/spreadsheets/d/1ItG2mGa2ceCfYo0BwxsXqNm01IGEUdYcSSLTEv9YCik/edit?usp=sharing"",""เบิกจ่ายกองทุน!AU48"")"),0)</f>
        <v>0</v>
      </c>
      <c r="T77" s="255">
        <f ca="1">IF(Q77&gt;0,S77*100/Q77,0)</f>
        <v>0</v>
      </c>
      <c r="U77" s="255">
        <f ca="1">IF(R77&gt;0,S77*100/R77,0)</f>
        <v>0</v>
      </c>
    </row>
    <row r="78" spans="1:21" ht="18.75">
      <c r="A78" s="155"/>
      <c r="B78" s="50"/>
      <c r="C78" s="50"/>
      <c r="D78" s="51" t="s">
        <v>23</v>
      </c>
      <c r="E78" s="50"/>
      <c r="F78" s="50"/>
      <c r="G78" s="52"/>
      <c r="H78" s="165" t="s">
        <v>14</v>
      </c>
      <c r="I78" s="163"/>
      <c r="J78" s="163"/>
      <c r="K78" s="164"/>
      <c r="L78" s="256">
        <f ca="1">L79+L80</f>
        <v>0</v>
      </c>
      <c r="M78" s="255">
        <f ca="1">M79+M80</f>
        <v>0</v>
      </c>
      <c r="N78" s="255">
        <f ca="1">N79+N80</f>
        <v>0</v>
      </c>
      <c r="O78" s="255">
        <f ca="1">IF(L78&gt;0,N78*100/L78,0)</f>
        <v>0</v>
      </c>
      <c r="P78" s="255">
        <f ca="1">IF(M78&gt;0,N78*100/M78,0)</f>
        <v>0</v>
      </c>
      <c r="Q78" s="255">
        <f>Q79+Q80</f>
        <v>0</v>
      </c>
      <c r="R78" s="255">
        <f>R79+R80</f>
        <v>0</v>
      </c>
      <c r="S78" s="255">
        <f>S79+S80</f>
        <v>0</v>
      </c>
      <c r="T78" s="255">
        <f>IF(Q78&gt;0,S78*100/Q78,0)</f>
        <v>0</v>
      </c>
      <c r="U78" s="255">
        <f>IF(R78&gt;0,S78*100/R78,0)</f>
        <v>0</v>
      </c>
    </row>
    <row r="79" spans="1:21" ht="18.75" hidden="1">
      <c r="A79" s="155"/>
      <c r="B79" s="50"/>
      <c r="C79" s="50"/>
      <c r="D79" s="50"/>
      <c r="E79" s="186" t="s">
        <v>20</v>
      </c>
      <c r="F79" s="50"/>
      <c r="G79" s="52"/>
      <c r="H79" s="189" t="s">
        <v>14</v>
      </c>
      <c r="I79" s="163"/>
      <c r="J79" s="163"/>
      <c r="K79" s="164"/>
      <c r="L79" s="103">
        <v>0</v>
      </c>
      <c r="M79" s="255">
        <v>0</v>
      </c>
      <c r="N79" s="255">
        <v>0</v>
      </c>
      <c r="O79" s="102">
        <f>IF(L79&gt;0,N79*100/L79,0)</f>
        <v>0</v>
      </c>
      <c r="P79" s="102">
        <f>IF(M79&gt;0,N79*100/M79,0)</f>
        <v>0</v>
      </c>
      <c r="Q79" s="102">
        <v>0</v>
      </c>
      <c r="R79" s="255">
        <v>0</v>
      </c>
      <c r="S79" s="255">
        <v>0</v>
      </c>
      <c r="T79" s="102">
        <f>IF(Q79&gt;0,S79*100/Q79,0)</f>
        <v>0</v>
      </c>
      <c r="U79" s="102">
        <f>IF(R79&gt;0,S79*100/R79,0)</f>
        <v>0</v>
      </c>
    </row>
    <row r="80" spans="1:21" ht="18.75" hidden="1">
      <c r="A80" s="155"/>
      <c r="B80" s="50"/>
      <c r="C80" s="50"/>
      <c r="D80" s="50"/>
      <c r="E80" s="58" t="s">
        <v>21</v>
      </c>
      <c r="F80" s="50"/>
      <c r="G80" s="52"/>
      <c r="H80" s="165" t="s">
        <v>14</v>
      </c>
      <c r="I80" s="163"/>
      <c r="J80" s="163"/>
      <c r="K80" s="164"/>
      <c r="L80" s="256">
        <f ca="1">IFERROR(__xludf.DUMMYFUNCTION("IMPORTRANGE(""https://docs.google.com/spreadsheets/d/1-uDff_7J0KD5mKrp0Vvzr7lt3OU09vwQwhkpOPPYv2Y/edit?usp=sharing"",""งบพรบ!AP48"")"),0)</f>
        <v>0</v>
      </c>
      <c r="M80" s="255">
        <f ca="1">IFERROR(__xludf.DUMMYFUNCTION("IMPORTRANGE(""https://docs.google.com/spreadsheets/d/1-uDff_7J0KD5mKrp0Vvzr7lt3OU09vwQwhkpOPPYv2Y/edit?usp=sharing"",""งบพรบ!AS48"")"),0)</f>
        <v>0</v>
      </c>
      <c r="N80" s="255">
        <f ca="1">IFERROR(__xludf.DUMMYFUNCTION("IMPORTRANGE(""https://docs.google.com/spreadsheets/d/1-uDff_7J0KD5mKrp0Vvzr7lt3OU09vwQwhkpOPPYv2Y/edit?usp=sharing"",""งบพรบ!AU48"")"),0)</f>
        <v>0</v>
      </c>
      <c r="O80" s="255">
        <f ca="1">IF(L80&gt;0,N80*100/L80,0)</f>
        <v>0</v>
      </c>
      <c r="P80" s="255">
        <f ca="1">IF(M80&gt;0,N80*100/M80,0)</f>
        <v>0</v>
      </c>
      <c r="Q80" s="255">
        <v>0</v>
      </c>
      <c r="R80" s="255">
        <v>0</v>
      </c>
      <c r="S80" s="255">
        <v>0</v>
      </c>
      <c r="T80" s="255">
        <f>IF(Q80&gt;0,S80*100/Q80,0)</f>
        <v>0</v>
      </c>
      <c r="U80" s="255">
        <f>IF(R80&gt;0,S80*100/R80,0)</f>
        <v>0</v>
      </c>
    </row>
    <row r="81" spans="1:21" ht="19.5">
      <c r="A81" s="166"/>
      <c r="B81" s="167"/>
      <c r="C81" s="156" t="s">
        <v>18</v>
      </c>
      <c r="D81" s="566" t="s">
        <v>38</v>
      </c>
      <c r="E81" s="169"/>
      <c r="F81" s="169"/>
      <c r="G81" s="170"/>
      <c r="H81" s="171"/>
      <c r="I81" s="163"/>
      <c r="J81" s="163"/>
      <c r="K81" s="164"/>
      <c r="L81" s="172"/>
      <c r="M81" s="164"/>
      <c r="N81" s="164"/>
      <c r="O81" s="164"/>
      <c r="P81" s="164"/>
      <c r="Q81" s="164"/>
      <c r="R81" s="164"/>
      <c r="S81" s="164"/>
      <c r="T81" s="164"/>
      <c r="U81" s="164"/>
    </row>
    <row r="82" spans="1:21" ht="19.5">
      <c r="A82" s="166"/>
      <c r="B82" s="167"/>
      <c r="C82" s="167"/>
      <c r="D82" s="173" t="s">
        <v>39</v>
      </c>
      <c r="E82" s="174"/>
      <c r="F82" s="174"/>
      <c r="G82" s="171"/>
      <c r="H82" s="175" t="s">
        <v>34</v>
      </c>
      <c r="I82" s="373">
        <f ca="1">I84+I86+I88</f>
        <v>1</v>
      </c>
      <c r="J82" s="373">
        <f>J84+J86+J88</f>
        <v>1</v>
      </c>
      <c r="K82" s="642">
        <f ca="1">IF(I82&gt;0,J82*100/I82,0)</f>
        <v>100</v>
      </c>
      <c r="L82" s="172"/>
      <c r="M82" s="164"/>
      <c r="N82" s="164"/>
      <c r="O82" s="164"/>
      <c r="P82" s="164"/>
      <c r="Q82" s="164"/>
      <c r="R82" s="164"/>
      <c r="S82" s="164"/>
      <c r="T82" s="164"/>
      <c r="U82" s="164"/>
    </row>
    <row r="83" spans="1:21" ht="19.5">
      <c r="A83" s="166"/>
      <c r="B83" s="167"/>
      <c r="C83" s="167"/>
      <c r="D83" s="167"/>
      <c r="E83" s="174"/>
      <c r="F83" s="174"/>
      <c r="G83" s="171"/>
      <c r="H83" s="175" t="s">
        <v>35</v>
      </c>
      <c r="I83" s="373">
        <f ca="1">I85+I87+I89</f>
        <v>30</v>
      </c>
      <c r="J83" s="373">
        <f>J85+J87+J89</f>
        <v>30</v>
      </c>
      <c r="K83" s="642">
        <f ca="1">IF(I83&gt;0,J83*100/I83,0)</f>
        <v>100</v>
      </c>
      <c r="L83" s="172"/>
      <c r="M83" s="164"/>
      <c r="N83" s="164"/>
      <c r="O83" s="164"/>
      <c r="P83" s="164"/>
      <c r="Q83" s="164"/>
      <c r="R83" s="164"/>
      <c r="S83" s="164"/>
      <c r="T83" s="164"/>
      <c r="U83" s="164"/>
    </row>
    <row r="84" spans="1:21" ht="18.75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641">
        <f ca="1">IFERROR(__xludf.DUMMYFUNCTION("IMPORTRANGE(""https://docs.google.com/spreadsheets/d/1eHaY18a8A9IcSdp1K8H6x8fbOy06t2VsZHhMHf-1x7Y/edit?usp=sharing"",""แผน!H48"")"),0)</f>
        <v>0</v>
      </c>
      <c r="J84" s="467">
        <v>0</v>
      </c>
      <c r="K84" s="565">
        <f ca="1">IF(I84&gt;0,J84*100/I84,0)</f>
        <v>0</v>
      </c>
      <c r="L84" s="172"/>
      <c r="M84" s="164"/>
      <c r="N84" s="164"/>
      <c r="O84" s="164"/>
      <c r="P84" s="164"/>
      <c r="Q84" s="164"/>
      <c r="R84" s="164"/>
      <c r="S84" s="164"/>
      <c r="T84" s="164"/>
      <c r="U84" s="164"/>
    </row>
    <row r="85" spans="1:21" ht="18.75">
      <c r="A85" s="166"/>
      <c r="B85" s="167"/>
      <c r="C85" s="167"/>
      <c r="D85" s="167"/>
      <c r="E85" s="174"/>
      <c r="F85" s="174"/>
      <c r="G85" s="171"/>
      <c r="H85" s="179" t="s">
        <v>35</v>
      </c>
      <c r="I85" s="641">
        <f ca="1">IFERROR(__xludf.DUMMYFUNCTION("IMPORTRANGE(""https://docs.google.com/spreadsheets/d/1eHaY18a8A9IcSdp1K8H6x8fbOy06t2VsZHhMHf-1x7Y/edit?usp=sharing"",""แผน!I48"")"),0)</f>
        <v>0</v>
      </c>
      <c r="J85" s="467">
        <v>0</v>
      </c>
      <c r="K85" s="565">
        <f ca="1">IF(I85&gt;0,J85*100/I85,0)</f>
        <v>0</v>
      </c>
      <c r="L85" s="172"/>
      <c r="M85" s="164"/>
      <c r="N85" s="164"/>
      <c r="O85" s="164"/>
      <c r="P85" s="164"/>
      <c r="Q85" s="164"/>
      <c r="R85" s="164"/>
      <c r="S85" s="164"/>
      <c r="T85" s="164"/>
      <c r="U85" s="164"/>
    </row>
    <row r="86" spans="1:21" ht="18.75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641">
        <f ca="1">IFERROR(__xludf.DUMMYFUNCTION("IMPORTRANGE(""https://docs.google.com/spreadsheets/d/1eHaY18a8A9IcSdp1K8H6x8fbOy06t2VsZHhMHf-1x7Y/edit?usp=sharing"",""แผน!F48"")"),0)</f>
        <v>0</v>
      </c>
      <c r="J86" s="467">
        <v>0</v>
      </c>
      <c r="K86" s="565">
        <f ca="1">IF(I86&gt;0,J86*100/I86,0)</f>
        <v>0</v>
      </c>
      <c r="L86" s="172"/>
      <c r="M86" s="164"/>
      <c r="N86" s="164"/>
      <c r="O86" s="164"/>
      <c r="P86" s="164"/>
      <c r="Q86" s="164"/>
      <c r="R86" s="164"/>
      <c r="S86" s="164"/>
      <c r="T86" s="164"/>
      <c r="U86" s="164"/>
    </row>
    <row r="87" spans="1:21" ht="18.75">
      <c r="A87" s="166"/>
      <c r="B87" s="167"/>
      <c r="C87" s="167"/>
      <c r="D87" s="167"/>
      <c r="E87" s="174"/>
      <c r="F87" s="174"/>
      <c r="G87" s="171"/>
      <c r="H87" s="179" t="s">
        <v>35</v>
      </c>
      <c r="I87" s="641">
        <f ca="1">IFERROR(__xludf.DUMMYFUNCTION("IMPORTRANGE(""https://docs.google.com/spreadsheets/d/1eHaY18a8A9IcSdp1K8H6x8fbOy06t2VsZHhMHf-1x7Y/edit?usp=sharing"",""แผน!G48"")"),0)</f>
        <v>0</v>
      </c>
      <c r="J87" s="467">
        <v>0</v>
      </c>
      <c r="K87" s="565">
        <f ca="1">IF(I87&gt;0,J87*100/I87,0)</f>
        <v>0</v>
      </c>
      <c r="L87" s="172"/>
      <c r="M87" s="164"/>
      <c r="N87" s="164"/>
      <c r="O87" s="164"/>
      <c r="P87" s="164"/>
      <c r="Q87" s="164"/>
      <c r="R87" s="164"/>
      <c r="S87" s="164"/>
      <c r="T87" s="164"/>
      <c r="U87" s="164"/>
    </row>
    <row r="88" spans="1:21" ht="18.75">
      <c r="A88" s="166"/>
      <c r="B88" s="167"/>
      <c r="C88" s="167"/>
      <c r="D88" s="167"/>
      <c r="E88" s="178" t="s">
        <v>42</v>
      </c>
      <c r="F88" s="174"/>
      <c r="G88" s="171"/>
      <c r="H88" s="179" t="s">
        <v>34</v>
      </c>
      <c r="I88" s="641">
        <f ca="1">IFERROR(__xludf.DUMMYFUNCTION("IMPORTRANGE(""https://docs.google.com/spreadsheets/d/1eHaY18a8A9IcSdp1K8H6x8fbOy06t2VsZHhMHf-1x7Y/edit?usp=sharing"",""แผน!D48"")"),1)</f>
        <v>1</v>
      </c>
      <c r="J88" s="467">
        <v>1</v>
      </c>
      <c r="K88" s="565">
        <f ca="1">IF(I88&gt;0,J88*100/I88,0)</f>
        <v>100</v>
      </c>
      <c r="L88" s="172"/>
      <c r="M88" s="164"/>
      <c r="N88" s="164"/>
      <c r="O88" s="164"/>
      <c r="P88" s="164"/>
      <c r="Q88" s="164"/>
      <c r="R88" s="164"/>
      <c r="S88" s="164"/>
      <c r="T88" s="164"/>
      <c r="U88" s="164"/>
    </row>
    <row r="89" spans="1:21" ht="18.75">
      <c r="A89" s="166"/>
      <c r="B89" s="167"/>
      <c r="C89" s="167"/>
      <c r="D89" s="167"/>
      <c r="E89" s="174"/>
      <c r="F89" s="174"/>
      <c r="G89" s="171"/>
      <c r="H89" s="179" t="s">
        <v>35</v>
      </c>
      <c r="I89" s="641">
        <f ca="1">IFERROR(__xludf.DUMMYFUNCTION("IMPORTRANGE(""https://docs.google.com/spreadsheets/d/1eHaY18a8A9IcSdp1K8H6x8fbOy06t2VsZHhMHf-1x7Y/edit?usp=sharing"",""แผน!E48"")"),30)</f>
        <v>30</v>
      </c>
      <c r="J89" s="467">
        <v>30</v>
      </c>
      <c r="K89" s="565">
        <f ca="1">IF(I89&gt;0,J89*100/I89,0)</f>
        <v>100</v>
      </c>
      <c r="L89" s="172"/>
      <c r="M89" s="164"/>
      <c r="N89" s="164"/>
      <c r="O89" s="164"/>
      <c r="P89" s="164"/>
      <c r="Q89" s="164"/>
      <c r="R89" s="164"/>
      <c r="S89" s="164"/>
      <c r="T89" s="164"/>
      <c r="U89" s="164"/>
    </row>
    <row r="90" spans="1:21" ht="18.75">
      <c r="A90" s="166"/>
      <c r="B90" s="167"/>
      <c r="C90" s="167"/>
      <c r="D90" s="173" t="s">
        <v>43</v>
      </c>
      <c r="E90" s="174"/>
      <c r="F90" s="174"/>
      <c r="G90" s="171"/>
      <c r="H90" s="183" t="s">
        <v>34</v>
      </c>
      <c r="I90" s="641">
        <f ca="1">IFERROR(__xludf.DUMMYFUNCTION("IMPORTRANGE(""https://docs.google.com/spreadsheets/d/1eHaY18a8A9IcSdp1K8H6x8fbOy06t2VsZHhMHf-1x7Y/edit?usp=sharing"",""แผน!J48"")"),1)</f>
        <v>1</v>
      </c>
      <c r="J90" s="467">
        <v>1</v>
      </c>
      <c r="K90" s="565">
        <f ca="1">IF(I90&gt;0,J90*100/I90,0)</f>
        <v>100</v>
      </c>
      <c r="L90" s="172"/>
      <c r="M90" s="164"/>
      <c r="N90" s="164"/>
      <c r="O90" s="164"/>
      <c r="P90" s="164"/>
      <c r="Q90" s="164"/>
      <c r="R90" s="164"/>
      <c r="S90" s="164"/>
      <c r="T90" s="164"/>
      <c r="U90" s="164"/>
    </row>
    <row r="91" spans="1:21" ht="19.5">
      <c r="A91" s="143" t="s">
        <v>44</v>
      </c>
      <c r="B91" s="144"/>
      <c r="C91" s="145"/>
      <c r="D91" s="144"/>
      <c r="E91" s="144"/>
      <c r="F91" s="144"/>
      <c r="G91" s="146"/>
      <c r="H91" s="146"/>
      <c r="I91" s="147"/>
      <c r="J91" s="147"/>
      <c r="K91" s="148"/>
      <c r="L91" s="149"/>
      <c r="M91" s="148"/>
      <c r="N91" s="148"/>
      <c r="O91" s="148"/>
      <c r="P91" s="148"/>
      <c r="Q91" s="148"/>
      <c r="R91" s="148"/>
      <c r="S91" s="148"/>
      <c r="T91" s="148"/>
      <c r="U91" s="148"/>
    </row>
    <row r="92" spans="1:21" ht="19.5">
      <c r="A92" s="150"/>
      <c r="B92" s="35" t="s">
        <v>45</v>
      </c>
      <c r="C92" s="34"/>
      <c r="D92" s="151"/>
      <c r="E92" s="34"/>
      <c r="F92" s="34"/>
      <c r="G92" s="37"/>
      <c r="H92" s="152" t="s">
        <v>46</v>
      </c>
      <c r="I92" s="721">
        <f ca="1">I108</f>
        <v>30</v>
      </c>
      <c r="J92" s="721">
        <f>J108</f>
        <v>0</v>
      </c>
      <c r="K92" s="720">
        <f ca="1">IF(I92&gt;0,J92*100/I92,0)</f>
        <v>0</v>
      </c>
      <c r="L92" s="154"/>
      <c r="M92" s="40"/>
      <c r="N92" s="40"/>
      <c r="O92" s="40"/>
      <c r="P92" s="40"/>
      <c r="Q92" s="40"/>
      <c r="R92" s="40"/>
      <c r="S92" s="40"/>
      <c r="T92" s="40"/>
      <c r="U92" s="40"/>
    </row>
    <row r="93" spans="1:21" ht="19.5">
      <c r="A93" s="150"/>
      <c r="B93" s="34"/>
      <c r="C93" s="34"/>
      <c r="D93" s="151"/>
      <c r="E93" s="34"/>
      <c r="F93" s="34"/>
      <c r="G93" s="37"/>
      <c r="H93" s="152" t="s">
        <v>35</v>
      </c>
      <c r="I93" s="721">
        <f ca="1">I109</f>
        <v>10</v>
      </c>
      <c r="J93" s="721">
        <f>J109</f>
        <v>10</v>
      </c>
      <c r="K93" s="720">
        <f ca="1">IF(I93&gt;0,J93*100/I93,0)</f>
        <v>100</v>
      </c>
      <c r="L93" s="154"/>
      <c r="M93" s="40"/>
      <c r="N93" s="40"/>
      <c r="O93" s="40"/>
      <c r="P93" s="40"/>
      <c r="Q93" s="40"/>
      <c r="R93" s="40"/>
      <c r="S93" s="40"/>
      <c r="T93" s="40"/>
      <c r="U93" s="40"/>
    </row>
    <row r="94" spans="1:21" ht="19.5">
      <c r="A94" s="155"/>
      <c r="B94" s="50"/>
      <c r="C94" s="156" t="s">
        <v>18</v>
      </c>
      <c r="D94" s="575" t="s">
        <v>19</v>
      </c>
      <c r="E94" s="50"/>
      <c r="F94" s="50"/>
      <c r="G94" s="52"/>
      <c r="H94" s="158" t="s">
        <v>14</v>
      </c>
      <c r="I94" s="54"/>
      <c r="J94" s="54"/>
      <c r="K94" s="55"/>
      <c r="L94" s="541">
        <f ca="1">L95+L96</f>
        <v>0</v>
      </c>
      <c r="M94" s="540">
        <f ca="1">M95+M96</f>
        <v>19500</v>
      </c>
      <c r="N94" s="540">
        <f ca="1">N95+N96</f>
        <v>0</v>
      </c>
      <c r="O94" s="540">
        <f ca="1">IF(L94&gt;0,N94*100/L94,0)</f>
        <v>0</v>
      </c>
      <c r="P94" s="540">
        <f ca="1">IF(M94&gt;0,N94*100/M94,0)</f>
        <v>0</v>
      </c>
      <c r="Q94" s="540">
        <f ca="1">Q95+Q96</f>
        <v>64920</v>
      </c>
      <c r="R94" s="540">
        <f ca="1">R95+R96</f>
        <v>64920</v>
      </c>
      <c r="S94" s="540">
        <f ca="1">S95+S96</f>
        <v>39235</v>
      </c>
      <c r="T94" s="540">
        <f ca="1">IF(Q94&gt;0,S94*100/Q94,0)</f>
        <v>60.435921133703019</v>
      </c>
      <c r="U94" s="540">
        <f ca="1">IF(R94&gt;0,S94*100/R94,0)</f>
        <v>60.435921133703019</v>
      </c>
    </row>
    <row r="95" spans="1:21" ht="18.75" hidden="1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103">
        <f>L98+L101</f>
        <v>0</v>
      </c>
      <c r="M95" s="102">
        <f>M98+M101</f>
        <v>0</v>
      </c>
      <c r="N95" s="102">
        <f>N98+N101</f>
        <v>0</v>
      </c>
      <c r="O95" s="102">
        <f>IF(L95&gt;0,N95*100/L95,0)</f>
        <v>0</v>
      </c>
      <c r="P95" s="102">
        <f>IF(M95&gt;0,N95*100/M95,0)</f>
        <v>0</v>
      </c>
      <c r="Q95" s="102">
        <f>Q98+Q101</f>
        <v>0</v>
      </c>
      <c r="R95" s="102">
        <f>R98+R101</f>
        <v>0</v>
      </c>
      <c r="S95" s="102">
        <f>S98+S101</f>
        <v>0</v>
      </c>
      <c r="T95" s="102">
        <f>IF(Q95&gt;0,S95*100/Q95,0)</f>
        <v>0</v>
      </c>
      <c r="U95" s="102">
        <f>IF(R95&gt;0,S95*100/R95,0)</f>
        <v>0</v>
      </c>
    </row>
    <row r="96" spans="1:21" ht="18.75" hidden="1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256">
        <f ca="1">L99+L102</f>
        <v>0</v>
      </c>
      <c r="M96" s="255">
        <f ca="1">M99+M102</f>
        <v>19500</v>
      </c>
      <c r="N96" s="255">
        <f ca="1">N99+N102</f>
        <v>0</v>
      </c>
      <c r="O96" s="255">
        <f ca="1">IF(L96&gt;0,N96*100/L96,0)</f>
        <v>0</v>
      </c>
      <c r="P96" s="255">
        <f ca="1">IF(M96&gt;0,N96*100/M96,0)</f>
        <v>0</v>
      </c>
      <c r="Q96" s="255">
        <f ca="1">Q99+Q102</f>
        <v>64920</v>
      </c>
      <c r="R96" s="255">
        <f ca="1">R99+R102</f>
        <v>64920</v>
      </c>
      <c r="S96" s="255">
        <f ca="1">S99+S102</f>
        <v>39235</v>
      </c>
      <c r="T96" s="255">
        <f ca="1">IF(Q96&gt;0,S96*100/Q96,0)</f>
        <v>60.435921133703019</v>
      </c>
      <c r="U96" s="255">
        <f ca="1">IF(R96&gt;0,S96*100/R96,0)</f>
        <v>60.435921133703019</v>
      </c>
    </row>
    <row r="97" spans="1:21" ht="18.75">
      <c r="A97" s="155"/>
      <c r="B97" s="50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256">
        <f ca="1">L98+L99</f>
        <v>0</v>
      </c>
      <c r="M97" s="255">
        <f ca="1">M98+M99</f>
        <v>19500</v>
      </c>
      <c r="N97" s="255">
        <f ca="1">N98+N99</f>
        <v>0</v>
      </c>
      <c r="O97" s="255">
        <f ca="1">IF(L97&gt;0,N97*100/L97,0)</f>
        <v>0</v>
      </c>
      <c r="P97" s="255">
        <f ca="1">IF(M97&gt;0,N97*100/M97,0)</f>
        <v>0</v>
      </c>
      <c r="Q97" s="255">
        <f ca="1">Q98+Q99</f>
        <v>64920</v>
      </c>
      <c r="R97" s="255">
        <f ca="1">R98+R99</f>
        <v>64920</v>
      </c>
      <c r="S97" s="255">
        <f ca="1">S98+S99</f>
        <v>39235</v>
      </c>
      <c r="T97" s="255">
        <f ca="1">IF(Q97&gt;0,S97*100/Q97,0)</f>
        <v>60.435921133703019</v>
      </c>
      <c r="U97" s="255">
        <f ca="1">IF(R97&gt;0,S97*100/R97,0)</f>
        <v>60.435921133703019</v>
      </c>
    </row>
    <row r="98" spans="1:21" ht="18.75" hidden="1">
      <c r="A98" s="155"/>
      <c r="B98" s="50"/>
      <c r="C98" s="50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103">
        <v>0</v>
      </c>
      <c r="M98" s="102">
        <v>0</v>
      </c>
      <c r="N98" s="102">
        <v>0</v>
      </c>
      <c r="O98" s="102">
        <f>IF(L98&gt;0,N98*100/L98,0)</f>
        <v>0</v>
      </c>
      <c r="P98" s="102">
        <f>IF(M98&gt;0,N98*100/M98,0)</f>
        <v>0</v>
      </c>
      <c r="Q98" s="102">
        <v>0</v>
      </c>
      <c r="R98" s="102">
        <v>0</v>
      </c>
      <c r="S98" s="102">
        <v>0</v>
      </c>
      <c r="T98" s="102">
        <f>IF(Q98&gt;0,S98*100/Q98,0)</f>
        <v>0</v>
      </c>
      <c r="U98" s="102">
        <f>IF(R98&gt;0,S98*100/R98,0)</f>
        <v>0</v>
      </c>
    </row>
    <row r="99" spans="1:21" ht="18.75" hidden="1">
      <c r="A99" s="155"/>
      <c r="B99" s="50"/>
      <c r="C99" s="50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256">
        <f ca="1">IFERROR(__xludf.DUMMYFUNCTION("IMPORTRANGE(""https://docs.google.com/spreadsheets/d/1-uDff_7J0KD5mKrp0Vvzr7lt3OU09vwQwhkpOPPYv2Y/edit?usp=sharing"",""งบพรบ!AW48"")"),0)</f>
        <v>0</v>
      </c>
      <c r="M99" s="255">
        <f ca="1">IFERROR(__xludf.DUMMYFUNCTION("IMPORTRANGE(""https://docs.google.com/spreadsheets/d/1-uDff_7J0KD5mKrp0Vvzr7lt3OU09vwQwhkpOPPYv2Y/edit?usp=sharing"",""งบพรบ!BB48"")"),19500)</f>
        <v>19500</v>
      </c>
      <c r="N99" s="255">
        <f ca="1">IFERROR(__xludf.DUMMYFUNCTION("IMPORTRANGE(""https://docs.google.com/spreadsheets/d/1-uDff_7J0KD5mKrp0Vvzr7lt3OU09vwQwhkpOPPYv2Y/edit?usp=sharing"",""งบพรบ!BD48"")"),0)</f>
        <v>0</v>
      </c>
      <c r="O99" s="255">
        <f ca="1">IF(L99&gt;0,N99*100/L99,0)</f>
        <v>0</v>
      </c>
      <c r="P99" s="255">
        <f ca="1">IF(M99&gt;0,N99*100/M99,0)</f>
        <v>0</v>
      </c>
      <c r="Q99" s="255">
        <f ca="1">IFERROR(__xludf.DUMMYFUNCTION("IMPORTRANGE(""https://docs.google.com/spreadsheets/d/1ItG2mGa2ceCfYo0BwxsXqNm01IGEUdYcSSLTEv9YCik/edit?usp=sharing"",""เบิกจ่ายกองทุน!AD48"")"),64920)</f>
        <v>64920</v>
      </c>
      <c r="R99" s="255">
        <f ca="1">IFERROR(__xludf.DUMMYFUNCTION("IMPORTRANGE(""https://docs.google.com/spreadsheets/d/1ItG2mGa2ceCfYo0BwxsXqNm01IGEUdYcSSLTEv9YCik/edit?usp=sharing"",""เบิกจ่ายกองทุน!AE48"")"),64920)</f>
        <v>64920</v>
      </c>
      <c r="S99" s="255">
        <f ca="1">IFERROR(__xludf.DUMMYFUNCTION("IMPORTRANGE(""https://docs.google.com/spreadsheets/d/1ItG2mGa2ceCfYo0BwxsXqNm01IGEUdYcSSLTEv9YCik/edit?usp=sharing"",""เบิกจ่ายกองทุน!AF48"")"),39235)</f>
        <v>39235</v>
      </c>
      <c r="T99" s="255">
        <f ca="1">IF(Q99&gt;0,S99*100/Q99,0)</f>
        <v>60.435921133703019</v>
      </c>
      <c r="U99" s="255">
        <f ca="1">IF(R99&gt;0,S99*100/R99,0)</f>
        <v>60.435921133703019</v>
      </c>
    </row>
    <row r="100" spans="1:21" ht="18.75">
      <c r="A100" s="155"/>
      <c r="B100" s="50"/>
      <c r="C100" s="50"/>
      <c r="D100" s="51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256">
        <f ca="1">L101+L102</f>
        <v>0</v>
      </c>
      <c r="M100" s="255">
        <f ca="1">M101+M102</f>
        <v>0</v>
      </c>
      <c r="N100" s="255">
        <f ca="1">N101+N102</f>
        <v>0</v>
      </c>
      <c r="O100" s="255">
        <f ca="1">IF(L100&gt;0,N100*100/L100,0)</f>
        <v>0</v>
      </c>
      <c r="P100" s="255">
        <f ca="1">IF(M100&gt;0,N100*100/M100,0)</f>
        <v>0</v>
      </c>
      <c r="Q100" s="255">
        <f>Q101+Q102</f>
        <v>0</v>
      </c>
      <c r="R100" s="255">
        <f>R101+R102</f>
        <v>0</v>
      </c>
      <c r="S100" s="255">
        <f>S101+S102</f>
        <v>0</v>
      </c>
      <c r="T100" s="255">
        <f>IF(Q100&gt;0,S100*100/Q100,0)</f>
        <v>0</v>
      </c>
      <c r="U100" s="255">
        <f>IF(R100&gt;0,S100*100/R100,0)</f>
        <v>0</v>
      </c>
    </row>
    <row r="101" spans="1:21" ht="18.75" hidden="1">
      <c r="A101" s="155"/>
      <c r="B101" s="50"/>
      <c r="C101" s="50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103">
        <v>0</v>
      </c>
      <c r="M101" s="102">
        <v>0</v>
      </c>
      <c r="N101" s="102">
        <v>0</v>
      </c>
      <c r="O101" s="102">
        <f>IF(L101&gt;0,N101*100/L101,0)</f>
        <v>0</v>
      </c>
      <c r="P101" s="102">
        <f>IF(M101&gt;0,N101*100/M101,0)</f>
        <v>0</v>
      </c>
      <c r="Q101" s="102">
        <v>0</v>
      </c>
      <c r="R101" s="102">
        <v>0</v>
      </c>
      <c r="S101" s="102">
        <v>0</v>
      </c>
      <c r="T101" s="102">
        <f>IF(Q101&gt;0,S101*100/Q101,0)</f>
        <v>0</v>
      </c>
      <c r="U101" s="102">
        <f>IF(R101&gt;0,S101*100/R101,0)</f>
        <v>0</v>
      </c>
    </row>
    <row r="102" spans="1:21" ht="18.75" hidden="1">
      <c r="A102" s="155"/>
      <c r="B102" s="50"/>
      <c r="C102" s="50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256">
        <f ca="1">IFERROR(__xludf.DUMMYFUNCTION("IMPORTRANGE(""https://docs.google.com/spreadsheets/d/1-uDff_7J0KD5mKrp0Vvzr7lt3OU09vwQwhkpOPPYv2Y/edit?usp=sharing"",""งบพรบ!AZ48"")"),0)</f>
        <v>0</v>
      </c>
      <c r="M102" s="255">
        <f ca="1">IFERROR(__xludf.DUMMYFUNCTION("IMPORTRANGE(""https://docs.google.com/spreadsheets/d/1-uDff_7J0KD5mKrp0Vvzr7lt3OU09vwQwhkpOPPYv2Y/edit?usp=sharing"",""งบพรบ!BC48"")"),0)</f>
        <v>0</v>
      </c>
      <c r="N102" s="255">
        <f ca="1">IFERROR(__xludf.DUMMYFUNCTION("IMPORTRANGE(""https://docs.google.com/spreadsheets/d/1-uDff_7J0KD5mKrp0Vvzr7lt3OU09vwQwhkpOPPYv2Y/edit?usp=sharing"",""งบพรบ!BE48"")"),0)</f>
        <v>0</v>
      </c>
      <c r="O102" s="255">
        <f ca="1">IF(L102&gt;0,N102*100/L102,0)</f>
        <v>0</v>
      </c>
      <c r="P102" s="255">
        <f ca="1">IF(M102&gt;0,N102*100/M102,0)</f>
        <v>0</v>
      </c>
      <c r="Q102" s="255">
        <v>0</v>
      </c>
      <c r="R102" s="255">
        <v>0</v>
      </c>
      <c r="S102" s="255">
        <v>0</v>
      </c>
      <c r="T102" s="255">
        <f>IF(Q102&gt;0,S102*100/Q102,0)</f>
        <v>0</v>
      </c>
      <c r="U102" s="255">
        <f>IF(R102&gt;0,S102*100/R102,0)</f>
        <v>0</v>
      </c>
    </row>
    <row r="103" spans="1:21" ht="19.5">
      <c r="A103" s="166"/>
      <c r="B103" s="167"/>
      <c r="C103" s="156" t="s">
        <v>18</v>
      </c>
      <c r="D103" s="566" t="s">
        <v>38</v>
      </c>
      <c r="E103" s="169"/>
      <c r="F103" s="169"/>
      <c r="G103" s="170"/>
      <c r="H103" s="171"/>
      <c r="I103" s="163"/>
      <c r="J103" s="54"/>
      <c r="K103" s="55"/>
      <c r="L103" s="62"/>
      <c r="M103" s="55"/>
      <c r="N103" s="55"/>
      <c r="O103" s="164"/>
      <c r="P103" s="164"/>
      <c r="Q103" s="55"/>
      <c r="R103" s="55"/>
      <c r="S103" s="55"/>
      <c r="T103" s="164"/>
      <c r="U103" s="164"/>
    </row>
    <row r="104" spans="1:21" ht="12.75" hidden="1">
      <c r="A104" s="192"/>
      <c r="B104" s="193"/>
      <c r="C104" s="193"/>
      <c r="D104" s="22"/>
      <c r="E104" s="22"/>
      <c r="F104" s="22"/>
      <c r="G104" s="23"/>
      <c r="H104" s="23"/>
      <c r="I104" s="24"/>
      <c r="J104" s="24"/>
      <c r="K104" s="25"/>
      <c r="L104" s="26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2.75" hidden="1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6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2.75" hidden="1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9.5" hidden="1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62"/>
      <c r="M107" s="55"/>
      <c r="N107" s="55"/>
      <c r="O107" s="164"/>
      <c r="P107" s="164"/>
      <c r="Q107" s="55"/>
      <c r="R107" s="55"/>
      <c r="S107" s="55"/>
      <c r="T107" s="164"/>
      <c r="U107" s="164"/>
    </row>
    <row r="108" spans="1:21" ht="18.75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212">
        <f ca="1">IFERROR(__xludf.DUMMYFUNCTION("IMPORTRANGE(""https://docs.google.com/spreadsheets/d/1eHaY18a8A9IcSdp1K8H6x8fbOy06t2VsZHhMHf-1x7Y/edit?usp=sharing"",""แผน!N48"")"),30)</f>
        <v>30</v>
      </c>
      <c r="J108" s="467">
        <v>0</v>
      </c>
      <c r="K108" s="255">
        <f ca="1">IF(I108&gt;0,J108*100/I108,0)</f>
        <v>0</v>
      </c>
      <c r="L108" s="62"/>
      <c r="M108" s="55"/>
      <c r="N108" s="55"/>
      <c r="O108" s="164"/>
      <c r="P108" s="164"/>
      <c r="Q108" s="55"/>
      <c r="R108" s="55"/>
      <c r="S108" s="55"/>
      <c r="T108" s="164"/>
      <c r="U108" s="164"/>
    </row>
    <row r="109" spans="1:21" ht="18.75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212">
        <f ca="1">IFERROR(__xludf.DUMMYFUNCTION("IMPORTRANGE(""https://docs.google.com/spreadsheets/d/1eHaY18a8A9IcSdp1K8H6x8fbOy06t2VsZHhMHf-1x7Y/edit?usp=sharing"",""แผน!O48"")"),10)</f>
        <v>10</v>
      </c>
      <c r="J109" s="467">
        <v>10</v>
      </c>
      <c r="K109" s="255">
        <f ca="1">IF(I109&gt;0,J109*100/I109,0)</f>
        <v>100</v>
      </c>
      <c r="L109" s="62"/>
      <c r="M109" s="55"/>
      <c r="N109" s="55"/>
      <c r="O109" s="164"/>
      <c r="P109" s="164"/>
      <c r="Q109" s="55"/>
      <c r="R109" s="55"/>
      <c r="S109" s="55"/>
      <c r="T109" s="164"/>
      <c r="U109" s="164"/>
    </row>
    <row r="110" spans="1:21" ht="12.75" hidden="1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6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2.75" hidden="1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6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2.75" hidden="1">
      <c r="A112" s="192"/>
      <c r="B112" s="193"/>
      <c r="C112" s="193"/>
      <c r="D112" s="22"/>
      <c r="E112" s="22"/>
      <c r="F112" s="22"/>
      <c r="G112" s="23"/>
      <c r="H112" s="23"/>
      <c r="I112" s="24"/>
      <c r="J112" s="24"/>
      <c r="K112" s="25"/>
      <c r="L112" s="26"/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8.75">
      <c r="A113" s="771"/>
      <c r="B113" s="489"/>
      <c r="C113" s="489"/>
      <c r="D113" s="345" t="s">
        <v>50</v>
      </c>
      <c r="E113" s="491"/>
      <c r="F113" s="491"/>
      <c r="G113" s="492"/>
      <c r="H113" s="770" t="s">
        <v>46</v>
      </c>
      <c r="I113" s="769">
        <f ca="1">IFERROR(__xludf.DUMMYFUNCTION("IMPORTRANGE(""https://docs.google.com/spreadsheets/d/1eHaY18a8A9IcSdp1K8H6x8fbOy06t2VsZHhMHf-1x7Y/edit?usp=sharing"",""แผน!N48"")"),30)</f>
        <v>30</v>
      </c>
      <c r="J113" s="495">
        <v>0</v>
      </c>
      <c r="K113" s="708">
        <f ca="1">IF(I113&gt;0,J113*100/I113,0)</f>
        <v>0</v>
      </c>
      <c r="L113" s="350"/>
      <c r="M113" s="350"/>
      <c r="N113" s="350"/>
      <c r="O113" s="496"/>
      <c r="P113" s="496"/>
      <c r="Q113" s="350"/>
      <c r="R113" s="350"/>
      <c r="S113" s="350"/>
      <c r="T113" s="496"/>
      <c r="U113" s="496"/>
    </row>
    <row r="114" spans="1:21" ht="18.75">
      <c r="A114" s="166"/>
      <c r="B114" s="167"/>
      <c r="C114" s="167"/>
      <c r="D114" s="174"/>
      <c r="E114" s="174"/>
      <c r="F114" s="174"/>
      <c r="G114" s="171"/>
      <c r="H114" s="179" t="s">
        <v>35</v>
      </c>
      <c r="I114" s="641">
        <f ca="1">IFERROR(__xludf.DUMMYFUNCTION("IMPORTRANGE(""https://docs.google.com/spreadsheets/d/1eHaY18a8A9IcSdp1K8H6x8fbOy06t2VsZHhMHf-1x7Y/edit?usp=sharing"",""แผน!O48"")"),10)</f>
        <v>10</v>
      </c>
      <c r="J114" s="467">
        <v>0</v>
      </c>
      <c r="K114" s="255">
        <f ca="1">IF(I114&gt;0,J114*100/I114,0)</f>
        <v>0</v>
      </c>
      <c r="L114" s="55"/>
      <c r="M114" s="55"/>
      <c r="N114" s="55"/>
      <c r="O114" s="164"/>
      <c r="P114" s="164"/>
      <c r="Q114" s="55"/>
      <c r="R114" s="55"/>
      <c r="S114" s="55"/>
      <c r="T114" s="164"/>
      <c r="U114" s="164"/>
    </row>
    <row r="115" spans="1:21" ht="19.5">
      <c r="A115" s="727" t="s">
        <v>51</v>
      </c>
      <c r="B115" s="724"/>
      <c r="C115" s="726"/>
      <c r="D115" s="725"/>
      <c r="E115" s="725"/>
      <c r="F115" s="725"/>
      <c r="G115" s="725"/>
      <c r="H115" s="724"/>
      <c r="I115" s="723"/>
      <c r="J115" s="723"/>
      <c r="K115" s="722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721">
        <f ca="1">I127</f>
        <v>15</v>
      </c>
      <c r="J116" s="721">
        <f>J127</f>
        <v>15</v>
      </c>
      <c r="K116" s="720">
        <f ca="1">IF(I116&gt;0,J116*100/I116,0)</f>
        <v>100</v>
      </c>
      <c r="L116" s="154"/>
      <c r="M116" s="40"/>
      <c r="N116" s="40"/>
      <c r="O116" s="40"/>
      <c r="P116" s="40"/>
      <c r="Q116" s="40"/>
      <c r="R116" s="40"/>
      <c r="S116" s="40"/>
      <c r="T116" s="40"/>
      <c r="U116" s="40"/>
    </row>
    <row r="117" spans="1:21" ht="19.5">
      <c r="A117" s="155"/>
      <c r="B117" s="188"/>
      <c r="C117" s="191" t="s">
        <v>18</v>
      </c>
      <c r="D117" s="575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541">
        <f ca="1">L118+L119</f>
        <v>0</v>
      </c>
      <c r="M117" s="540">
        <f ca="1">M118+M119</f>
        <v>0</v>
      </c>
      <c r="N117" s="540">
        <f ca="1">N118+N119</f>
        <v>0</v>
      </c>
      <c r="O117" s="540">
        <f ca="1">IF(L117&gt;0,N117*100/L117,0)</f>
        <v>0</v>
      </c>
      <c r="P117" s="540">
        <f ca="1">IF(M117&gt;0,N117*100/M117,0)</f>
        <v>0</v>
      </c>
      <c r="Q117" s="540">
        <f ca="1">Q118+Q119</f>
        <v>191460</v>
      </c>
      <c r="R117" s="540">
        <f ca="1">R118+R119</f>
        <v>191460</v>
      </c>
      <c r="S117" s="540">
        <f ca="1">S118+S119</f>
        <v>74860</v>
      </c>
      <c r="T117" s="540">
        <f ca="1">IF(Q117&gt;0,S117*100/Q117,0)</f>
        <v>39.099550820014628</v>
      </c>
      <c r="U117" s="540">
        <f ca="1">IF(R117&gt;0,S117*100/R117,0)</f>
        <v>39.099550820014628</v>
      </c>
    </row>
    <row r="118" spans="1:21" ht="18.75" hidden="1">
      <c r="A118" s="155"/>
      <c r="B118" s="188"/>
      <c r="C118" s="188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103">
        <f>L121+L124</f>
        <v>0</v>
      </c>
      <c r="M118" s="102">
        <f>M121+M124</f>
        <v>0</v>
      </c>
      <c r="N118" s="102">
        <f>N121+N124</f>
        <v>0</v>
      </c>
      <c r="O118" s="102">
        <f>IF(L118&gt;0,N118*100/L118,0)</f>
        <v>0</v>
      </c>
      <c r="P118" s="102">
        <f>IF(M118&gt;0,N118*100/M118,0)</f>
        <v>0</v>
      </c>
      <c r="Q118" s="102">
        <f>Q121+Q124</f>
        <v>0</v>
      </c>
      <c r="R118" s="102">
        <f>R121+R124</f>
        <v>0</v>
      </c>
      <c r="S118" s="102">
        <f>S121+S124</f>
        <v>0</v>
      </c>
      <c r="T118" s="102">
        <f>IF(Q118&gt;0,S118*100/Q118,0)</f>
        <v>0</v>
      </c>
      <c r="U118" s="102">
        <f>IF(R118&gt;0,S118*100/R118,0)</f>
        <v>0</v>
      </c>
    </row>
    <row r="119" spans="1:21" ht="18.75" hidden="1">
      <c r="A119" s="155"/>
      <c r="B119" s="188"/>
      <c r="C119" s="188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256">
        <f ca="1">L122+L125</f>
        <v>0</v>
      </c>
      <c r="M119" s="255">
        <f ca="1">M122+M125</f>
        <v>0</v>
      </c>
      <c r="N119" s="255">
        <f ca="1">N122+N125</f>
        <v>0</v>
      </c>
      <c r="O119" s="255">
        <f ca="1">IF(L119&gt;0,N119*100/L119,0)</f>
        <v>0</v>
      </c>
      <c r="P119" s="255">
        <f ca="1">IF(M119&gt;0,N119*100/M119,0)</f>
        <v>0</v>
      </c>
      <c r="Q119" s="255">
        <f ca="1">Q122+Q125</f>
        <v>191460</v>
      </c>
      <c r="R119" s="255">
        <f ca="1">R122+R125</f>
        <v>191460</v>
      </c>
      <c r="S119" s="255">
        <f ca="1">S122+S125</f>
        <v>74860</v>
      </c>
      <c r="T119" s="255">
        <f ca="1">IF(Q119&gt;0,S119*100/Q119,0)</f>
        <v>39.099550820014628</v>
      </c>
      <c r="U119" s="255">
        <f ca="1">IF(R119&gt;0,S119*100/R119,0)</f>
        <v>39.099550820014628</v>
      </c>
    </row>
    <row r="120" spans="1:21" ht="18.75">
      <c r="A120" s="155"/>
      <c r="B120" s="188"/>
      <c r="C120" s="202"/>
      <c r="D120" s="602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256">
        <f ca="1">L121+L122</f>
        <v>0</v>
      </c>
      <c r="M120" s="255">
        <f ca="1">M121+M122</f>
        <v>0</v>
      </c>
      <c r="N120" s="255">
        <f ca="1">N121+N122</f>
        <v>0</v>
      </c>
      <c r="O120" s="255">
        <f ca="1">IF(L120&gt;0,N120*100/L120,0)</f>
        <v>0</v>
      </c>
      <c r="P120" s="255">
        <f ca="1">IF(M120&gt;0,N120*100/M120,0)</f>
        <v>0</v>
      </c>
      <c r="Q120" s="255">
        <f ca="1">Q121+Q122</f>
        <v>191460</v>
      </c>
      <c r="R120" s="255">
        <f ca="1">R121+R122</f>
        <v>191460</v>
      </c>
      <c r="S120" s="255">
        <f ca="1">S121+S122</f>
        <v>74860</v>
      </c>
      <c r="T120" s="255">
        <f ca="1">IF(Q120&gt;0,S120*100/Q120,0)</f>
        <v>39.099550820014628</v>
      </c>
      <c r="U120" s="255">
        <f ca="1">IF(R120&gt;0,S120*100/R120,0)</f>
        <v>39.099550820014628</v>
      </c>
    </row>
    <row r="121" spans="1:21" ht="18.75" hidden="1">
      <c r="A121" s="155"/>
      <c r="B121" s="188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103">
        <v>0</v>
      </c>
      <c r="M121" s="102">
        <v>0</v>
      </c>
      <c r="N121" s="102">
        <v>0</v>
      </c>
      <c r="O121" s="102">
        <f>IF(L121&gt;0,N121*100/L121,0)</f>
        <v>0</v>
      </c>
      <c r="P121" s="102">
        <f>IF(M121&gt;0,N121*100/M121,0)</f>
        <v>0</v>
      </c>
      <c r="Q121" s="102">
        <v>0</v>
      </c>
      <c r="R121" s="102">
        <v>0</v>
      </c>
      <c r="S121" s="102">
        <v>0</v>
      </c>
      <c r="T121" s="102">
        <f>IF(Q121&gt;0,S121*100/Q121,0)</f>
        <v>0</v>
      </c>
      <c r="U121" s="102">
        <f>IF(R121&gt;0,S121*100/R121,0)</f>
        <v>0</v>
      </c>
    </row>
    <row r="122" spans="1:21" ht="18.75" hidden="1">
      <c r="A122" s="155"/>
      <c r="B122" s="188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256">
        <f ca="1">IFERROR(__xludf.DUMMYFUNCTION("IMPORTRANGE(""https://docs.google.com/spreadsheets/d/1-uDff_7J0KD5mKrp0Vvzr7lt3OU09vwQwhkpOPPYv2Y/edit?usp=sharing"",""งบพรบ!BG48"")"),0)</f>
        <v>0</v>
      </c>
      <c r="M122" s="255">
        <f ca="1">IFERROR(__xludf.DUMMYFUNCTION("IMPORTRANGE(""https://docs.google.com/spreadsheets/d/1-uDff_7J0KD5mKrp0Vvzr7lt3OU09vwQwhkpOPPYv2Y/edit?usp=sharing"",""งบพรบ!BL48"")"),0)</f>
        <v>0</v>
      </c>
      <c r="N122" s="255">
        <f ca="1">IFERROR(__xludf.DUMMYFUNCTION("IMPORTRANGE(""https://docs.google.com/spreadsheets/d/1-uDff_7J0KD5mKrp0Vvzr7lt3OU09vwQwhkpOPPYv2Y/edit?usp=sharing"",""งบพรบ!BN48"")"),0)</f>
        <v>0</v>
      </c>
      <c r="O122" s="255">
        <f ca="1">IF(L122&gt;0,N122*100/L122,0)</f>
        <v>0</v>
      </c>
      <c r="P122" s="255">
        <f ca="1">IF(M122&gt;0,N122*100/M122,0)</f>
        <v>0</v>
      </c>
      <c r="Q122" s="255">
        <f ca="1">IFERROR(__xludf.DUMMYFUNCTION("IMPORTRANGE(""https://docs.google.com/spreadsheets/d/1ItG2mGa2ceCfYo0BwxsXqNm01IGEUdYcSSLTEv9YCik/edit?usp=sharing"",""เบิกจ่ายกองทุน!R48"")"),191460)</f>
        <v>191460</v>
      </c>
      <c r="R122" s="255">
        <f ca="1">IFERROR(__xludf.DUMMYFUNCTION("IMPORTRANGE(""https://docs.google.com/spreadsheets/d/1ItG2mGa2ceCfYo0BwxsXqNm01IGEUdYcSSLTEv9YCik/edit?usp=sharing"",""เบิกจ่ายกองทุน!S48"")"),191460)</f>
        <v>191460</v>
      </c>
      <c r="S122" s="255">
        <f ca="1">IFERROR(__xludf.DUMMYFUNCTION("IMPORTRANGE(""https://docs.google.com/spreadsheets/d/1ItG2mGa2ceCfYo0BwxsXqNm01IGEUdYcSSLTEv9YCik/edit?usp=sharing"",""เบิกจ่ายกองทุน!T48"")"),74860)</f>
        <v>74860</v>
      </c>
      <c r="T122" s="255">
        <f ca="1">IF(Q122&gt;0,S122*100/Q122,0)</f>
        <v>39.099550820014628</v>
      </c>
      <c r="U122" s="255">
        <f ca="1">IF(R122&gt;0,S122*100/R122,0)</f>
        <v>39.099550820014628</v>
      </c>
    </row>
    <row r="123" spans="1:21" ht="18.75">
      <c r="A123" s="155"/>
      <c r="B123" s="50"/>
      <c r="C123" s="202"/>
      <c r="D123" s="602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256">
        <f ca="1">L124+L125</f>
        <v>0</v>
      </c>
      <c r="M123" s="255">
        <f ca="1">M124+M125</f>
        <v>0</v>
      </c>
      <c r="N123" s="255">
        <f ca="1">N124+N125</f>
        <v>0</v>
      </c>
      <c r="O123" s="255">
        <f ca="1">IF(L123&gt;0,N123*100/L123,0)</f>
        <v>0</v>
      </c>
      <c r="P123" s="255">
        <f ca="1">IF(M123&gt;0,N123*100/M123,0)</f>
        <v>0</v>
      </c>
      <c r="Q123" s="255">
        <f>Q124+Q125</f>
        <v>0</v>
      </c>
      <c r="R123" s="255">
        <f>R124+R125</f>
        <v>0</v>
      </c>
      <c r="S123" s="255">
        <f>S124+S125</f>
        <v>0</v>
      </c>
      <c r="T123" s="255">
        <f>IF(Q123&gt;0,S123*100/Q123,0)</f>
        <v>0</v>
      </c>
      <c r="U123" s="255">
        <f>IF(R123&gt;0,S123*100/R123,0)</f>
        <v>0</v>
      </c>
    </row>
    <row r="124" spans="1:21" ht="18.75" hidden="1">
      <c r="A124" s="155"/>
      <c r="B124" s="50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103">
        <v>0</v>
      </c>
      <c r="M124" s="102">
        <v>0</v>
      </c>
      <c r="N124" s="102">
        <v>0</v>
      </c>
      <c r="O124" s="102">
        <f>IF(L124&gt;0,N124*100/L124,0)</f>
        <v>0</v>
      </c>
      <c r="P124" s="102">
        <f>IF(M124&gt;0,N124*100/M124,0)</f>
        <v>0</v>
      </c>
      <c r="Q124" s="102">
        <v>0</v>
      </c>
      <c r="R124" s="102">
        <v>0</v>
      </c>
      <c r="S124" s="102">
        <v>0</v>
      </c>
      <c r="T124" s="102">
        <f>IF(Q124&gt;0,S124*100/Q124,0)</f>
        <v>0</v>
      </c>
      <c r="U124" s="102">
        <f>IF(R124&gt;0,S124*100/R124,0)</f>
        <v>0</v>
      </c>
    </row>
    <row r="125" spans="1:21" ht="18.75" hidden="1">
      <c r="A125" s="155"/>
      <c r="B125" s="50"/>
      <c r="C125" s="50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256">
        <f ca="1">IFERROR(__xludf.DUMMYFUNCTION("IMPORTRANGE(""https://docs.google.com/spreadsheets/d/1-uDff_7J0KD5mKrp0Vvzr7lt3OU09vwQwhkpOPPYv2Y/edit?usp=sharing"",""งบพรบ!BJ48"")"),0)</f>
        <v>0</v>
      </c>
      <c r="M125" s="255">
        <f ca="1">IFERROR(__xludf.DUMMYFUNCTION("IMPORTRANGE(""https://docs.google.com/spreadsheets/d/1-uDff_7J0KD5mKrp0Vvzr7lt3OU09vwQwhkpOPPYv2Y/edit?usp=sharing"",""งบพรบ!BM48"")"),0)</f>
        <v>0</v>
      </c>
      <c r="N125" s="255">
        <f ca="1">IFERROR(__xludf.DUMMYFUNCTION("IMPORTRANGE(""https://docs.google.com/spreadsheets/d/1-uDff_7J0KD5mKrp0Vvzr7lt3OU09vwQwhkpOPPYv2Y/edit?usp=sharing"",""งบพรบ!BO48"")"),0)</f>
        <v>0</v>
      </c>
      <c r="O125" s="255">
        <f ca="1">IF(L125&gt;0,N125*100/L125,0)</f>
        <v>0</v>
      </c>
      <c r="P125" s="255">
        <f ca="1">IF(M125&gt;0,N125*100/M125,0)</f>
        <v>0</v>
      </c>
      <c r="Q125" s="255">
        <v>0</v>
      </c>
      <c r="R125" s="255">
        <v>0</v>
      </c>
      <c r="S125" s="255">
        <v>0</v>
      </c>
      <c r="T125" s="255">
        <f>IF(Q125&gt;0,S125*100/Q125,0)</f>
        <v>0</v>
      </c>
      <c r="U125" s="255">
        <f>IF(R125&gt;0,S125*100/R125,0)</f>
        <v>0</v>
      </c>
    </row>
    <row r="126" spans="1:21" ht="19.5">
      <c r="A126" s="166"/>
      <c r="B126" s="167"/>
      <c r="C126" s="205" t="s">
        <v>18</v>
      </c>
      <c r="D126" s="566" t="s">
        <v>38</v>
      </c>
      <c r="E126" s="169"/>
      <c r="F126" s="169"/>
      <c r="G126" s="170"/>
      <c r="H126" s="206"/>
      <c r="I126" s="54"/>
      <c r="J126" s="54"/>
      <c r="K126" s="55"/>
      <c r="L126" s="62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212">
        <f ca="1">IFERROR(__xludf.DUMMYFUNCTION("IMPORTRANGE(""https://docs.google.com/spreadsheets/d/1eHaY18a8A9IcSdp1K8H6x8fbOy06t2VsZHhMHf-1x7Y/edit?usp=sharing"",""แผน!FF48"")"),15)</f>
        <v>15</v>
      </c>
      <c r="J127" s="467">
        <v>15</v>
      </c>
      <c r="K127" s="255">
        <f ca="1">IF(I127&gt;0,J127*100/I127,0)</f>
        <v>100</v>
      </c>
      <c r="L127" s="62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212">
        <f ca="1">IFERROR(__xludf.DUMMYFUNCTION("IMPORTRANGE(""https://docs.google.com/spreadsheets/d/1eHaY18a8A9IcSdp1K8H6x8fbOy06t2VsZHhMHf-1x7Y/edit?usp=sharing"",""แผน!FG48"")"),0)</f>
        <v>0</v>
      </c>
      <c r="J128" s="467">
        <v>0</v>
      </c>
      <c r="K128" s="255">
        <f ca="1">IF(I128&gt;0,J128*100/I128,0)</f>
        <v>0</v>
      </c>
      <c r="L128" s="62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212">
        <f ca="1">IFERROR(__xludf.DUMMYFUNCTION("IMPORTRANGE(""https://docs.google.com/spreadsheets/d/1eHaY18a8A9IcSdp1K8H6x8fbOy06t2VsZHhMHf-1x7Y/edit?usp=sharing"",""แผน!FH48"")"),15)</f>
        <v>15</v>
      </c>
      <c r="J129" s="467">
        <v>15</v>
      </c>
      <c r="K129" s="255">
        <f ca="1">IF(I129&gt;0,J129*100/I129,0)</f>
        <v>100</v>
      </c>
      <c r="L129" s="62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212">
        <f ca="1">IFERROR(__xludf.DUMMYFUNCTION("IMPORTRANGE(""https://docs.google.com/spreadsheets/d/1eHaY18a8A9IcSdp1K8H6x8fbOy06t2VsZHhMHf-1x7Y/edit?usp=sharing"",""แผน!FI48"")"),0)</f>
        <v>0</v>
      </c>
      <c r="J130" s="467">
        <v>0</v>
      </c>
      <c r="K130" s="255">
        <f ca="1">IF(I130&gt;0,J130*100/I130,0)</f>
        <v>0</v>
      </c>
      <c r="L130" s="62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8.75" hidden="1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62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8.75" hidden="1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62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2.75" hidden="1">
      <c r="A133" s="192"/>
      <c r="B133" s="193"/>
      <c r="C133" s="193"/>
      <c r="D133" s="22"/>
      <c r="E133" s="22"/>
      <c r="F133" s="22"/>
      <c r="G133" s="23"/>
      <c r="H133" s="209"/>
      <c r="I133" s="24"/>
      <c r="J133" s="24"/>
      <c r="K133" s="25"/>
      <c r="L133" s="26"/>
      <c r="M133" s="25"/>
      <c r="N133" s="25"/>
      <c r="O133" s="25"/>
      <c r="P133" s="25"/>
      <c r="Q133" s="25"/>
      <c r="R133" s="25"/>
      <c r="S133" s="25"/>
      <c r="T133" s="25"/>
      <c r="U133" s="25"/>
    </row>
    <row r="134" spans="1:21" ht="19.5" hidden="1">
      <c r="A134" s="143" t="s">
        <v>58</v>
      </c>
      <c r="B134" s="144"/>
      <c r="C134" s="196"/>
      <c r="D134" s="144"/>
      <c r="E134" s="144"/>
      <c r="F134" s="144"/>
      <c r="G134" s="144"/>
      <c r="H134" s="144"/>
      <c r="I134" s="197"/>
      <c r="J134" s="197"/>
      <c r="K134" s="19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</row>
    <row r="135" spans="1:21" ht="19.5" hidden="1">
      <c r="A135" s="150"/>
      <c r="B135" s="35" t="s">
        <v>59</v>
      </c>
      <c r="C135" s="200"/>
      <c r="D135" s="151"/>
      <c r="E135" s="34"/>
      <c r="F135" s="34"/>
      <c r="G135" s="34"/>
      <c r="H135" s="34"/>
      <c r="I135" s="210"/>
      <c r="J135" s="39"/>
      <c r="K135" s="40"/>
      <c r="L135" s="154"/>
      <c r="M135" s="40"/>
      <c r="N135" s="40"/>
      <c r="O135" s="40"/>
      <c r="P135" s="40"/>
      <c r="Q135" s="40"/>
      <c r="R135" s="40"/>
      <c r="S135" s="40"/>
      <c r="T135" s="40"/>
      <c r="U135" s="40"/>
    </row>
    <row r="136" spans="1:21" ht="19.5" hidden="1">
      <c r="A136" s="150"/>
      <c r="B136" s="34"/>
      <c r="C136" s="211" t="s">
        <v>60</v>
      </c>
      <c r="D136" s="151"/>
      <c r="E136" s="34"/>
      <c r="F136" s="34"/>
      <c r="G136" s="37"/>
      <c r="H136" s="152" t="s">
        <v>61</v>
      </c>
      <c r="I136" s="721">
        <f ca="1">I154</f>
        <v>0</v>
      </c>
      <c r="J136" s="721">
        <f>J154</f>
        <v>0</v>
      </c>
      <c r="K136" s="720">
        <f ca="1">IF(I136&gt;0,J136*100/I136,0)</f>
        <v>0</v>
      </c>
      <c r="L136" s="154"/>
      <c r="M136" s="40"/>
      <c r="N136" s="40"/>
      <c r="O136" s="40"/>
      <c r="P136" s="40"/>
      <c r="Q136" s="40"/>
      <c r="R136" s="40"/>
      <c r="S136" s="40"/>
      <c r="T136" s="40"/>
      <c r="U136" s="40"/>
    </row>
    <row r="137" spans="1:21" ht="19.5" hidden="1">
      <c r="A137" s="150"/>
      <c r="B137" s="34"/>
      <c r="C137" s="211" t="s">
        <v>62</v>
      </c>
      <c r="D137" s="151"/>
      <c r="E137" s="34"/>
      <c r="F137" s="34"/>
      <c r="G137" s="37"/>
      <c r="H137" s="152" t="s">
        <v>35</v>
      </c>
      <c r="I137" s="721">
        <f ca="1">I152</f>
        <v>0</v>
      </c>
      <c r="J137" s="721">
        <f>J152</f>
        <v>0</v>
      </c>
      <c r="K137" s="720">
        <f ca="1">IF(I137&gt;0,J137*100/I137,0)</f>
        <v>0</v>
      </c>
      <c r="L137" s="154"/>
      <c r="M137" s="40"/>
      <c r="N137" s="40"/>
      <c r="O137" s="40"/>
      <c r="P137" s="40"/>
      <c r="Q137" s="40"/>
      <c r="R137" s="40"/>
      <c r="S137" s="40"/>
      <c r="T137" s="40"/>
      <c r="U137" s="40"/>
    </row>
    <row r="138" spans="1:21" ht="19.5" hidden="1">
      <c r="A138" s="150"/>
      <c r="B138" s="34"/>
      <c r="C138" s="200"/>
      <c r="D138" s="151"/>
      <c r="E138" s="34"/>
      <c r="F138" s="34"/>
      <c r="G138" s="37"/>
      <c r="H138" s="152" t="s">
        <v>54</v>
      </c>
      <c r="I138" s="721">
        <f ca="1">I153</f>
        <v>0</v>
      </c>
      <c r="J138" s="721">
        <f>J153</f>
        <v>0</v>
      </c>
      <c r="K138" s="720">
        <f ca="1">IF(I138&gt;0,J138*100/I138,0)</f>
        <v>0</v>
      </c>
      <c r="L138" s="154"/>
      <c r="M138" s="40"/>
      <c r="N138" s="40"/>
      <c r="O138" s="40"/>
      <c r="P138" s="40"/>
      <c r="Q138" s="40"/>
      <c r="R138" s="40"/>
      <c r="S138" s="40"/>
      <c r="T138" s="40"/>
      <c r="U138" s="40"/>
    </row>
    <row r="139" spans="1:21" ht="19.5" hidden="1">
      <c r="A139" s="155"/>
      <c r="B139" s="50"/>
      <c r="C139" s="156" t="s">
        <v>18</v>
      </c>
      <c r="D139" s="575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541">
        <f ca="1">L140+L141</f>
        <v>0</v>
      </c>
      <c r="M139" s="540">
        <f ca="1">M140+M141</f>
        <v>0</v>
      </c>
      <c r="N139" s="540">
        <f ca="1">N140+N141</f>
        <v>0</v>
      </c>
      <c r="O139" s="540">
        <f ca="1">IF(L139&gt;0,N139*100/L139,0)</f>
        <v>0</v>
      </c>
      <c r="P139" s="540">
        <f ca="1">IF(M139&gt;0,N139*100/M139,0)</f>
        <v>0</v>
      </c>
      <c r="Q139" s="540">
        <f ca="1">Q140+Q141</f>
        <v>0</v>
      </c>
      <c r="R139" s="540">
        <f ca="1">R140+R141</f>
        <v>0</v>
      </c>
      <c r="S139" s="540">
        <f ca="1">S140+S141</f>
        <v>0</v>
      </c>
      <c r="T139" s="540">
        <f ca="1">IF(Q139&gt;0,S139*100/Q139,0)</f>
        <v>0</v>
      </c>
      <c r="U139" s="540">
        <f ca="1">IF(R139&gt;0,S139*100/R139,0)</f>
        <v>0</v>
      </c>
    </row>
    <row r="140" spans="1:21" ht="18.75" hidden="1">
      <c r="A140" s="155"/>
      <c r="B140" s="50"/>
      <c r="C140" s="50"/>
      <c r="D140" s="50"/>
      <c r="E140" s="186" t="s">
        <v>20</v>
      </c>
      <c r="F140" s="50"/>
      <c r="G140" s="52"/>
      <c r="H140" s="187" t="s">
        <v>14</v>
      </c>
      <c r="I140" s="54"/>
      <c r="J140" s="54"/>
      <c r="K140" s="55"/>
      <c r="L140" s="103">
        <f>L143+L146</f>
        <v>0</v>
      </c>
      <c r="M140" s="102">
        <f>M143+M146</f>
        <v>0</v>
      </c>
      <c r="N140" s="102">
        <f>N143+N146</f>
        <v>0</v>
      </c>
      <c r="O140" s="102">
        <f>IF(L140&gt;0,N140*100/L140,0)</f>
        <v>0</v>
      </c>
      <c r="P140" s="102">
        <f>IF(M140&gt;0,N140*100/M140,0)</f>
        <v>0</v>
      </c>
      <c r="Q140" s="102">
        <f>Q143+Q146</f>
        <v>0</v>
      </c>
      <c r="R140" s="102">
        <f>R143+R146</f>
        <v>0</v>
      </c>
      <c r="S140" s="102">
        <f>S143+S146</f>
        <v>0</v>
      </c>
      <c r="T140" s="102">
        <f>IF(Q140&gt;0,S140*100/Q140,0)</f>
        <v>0</v>
      </c>
      <c r="U140" s="102">
        <f>IF(R140&gt;0,S140*100/R140,0)</f>
        <v>0</v>
      </c>
    </row>
    <row r="141" spans="1:21" ht="18.75" hidden="1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256">
        <f ca="1">L144+L147</f>
        <v>0</v>
      </c>
      <c r="M141" s="255">
        <f ca="1">M144+M147</f>
        <v>0</v>
      </c>
      <c r="N141" s="255">
        <f ca="1">N144+N147</f>
        <v>0</v>
      </c>
      <c r="O141" s="255">
        <f ca="1">IF(L141&gt;0,N141*100/L141,0)</f>
        <v>0</v>
      </c>
      <c r="P141" s="255">
        <f ca="1">IF(M141&gt;0,N141*100/M141,0)</f>
        <v>0</v>
      </c>
      <c r="Q141" s="255">
        <f ca="1">Q144+Q147</f>
        <v>0</v>
      </c>
      <c r="R141" s="255">
        <f ca="1">R144+R147</f>
        <v>0</v>
      </c>
      <c r="S141" s="255">
        <f ca="1">S144+S147</f>
        <v>0</v>
      </c>
      <c r="T141" s="255">
        <f ca="1">IF(Q141&gt;0,S141*100/Q141,0)</f>
        <v>0</v>
      </c>
      <c r="U141" s="255">
        <f ca="1">IF(R141&gt;0,S141*100/R141,0)</f>
        <v>0</v>
      </c>
    </row>
    <row r="142" spans="1:21" ht="18.75" hidden="1">
      <c r="A142" s="155"/>
      <c r="B142" s="50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256">
        <f ca="1">L143+L144</f>
        <v>0</v>
      </c>
      <c r="M142" s="255">
        <f ca="1">M143+M144</f>
        <v>0</v>
      </c>
      <c r="N142" s="255">
        <f ca="1">N143+N144</f>
        <v>0</v>
      </c>
      <c r="O142" s="255">
        <f ca="1">IF(L142&gt;0,N142*100/L142,0)</f>
        <v>0</v>
      </c>
      <c r="P142" s="255">
        <f ca="1">IF(M142&gt;0,N142*100/M142,0)</f>
        <v>0</v>
      </c>
      <c r="Q142" s="255">
        <f ca="1">Q143+Q144</f>
        <v>0</v>
      </c>
      <c r="R142" s="255">
        <f ca="1">R143+R144</f>
        <v>0</v>
      </c>
      <c r="S142" s="255">
        <f ca="1">S143+S144</f>
        <v>0</v>
      </c>
      <c r="T142" s="255">
        <f ca="1">IF(Q142&gt;0,S142*100/Q142,0)</f>
        <v>0</v>
      </c>
      <c r="U142" s="255">
        <f ca="1">IF(R142&gt;0,S142*100/R142,0)</f>
        <v>0</v>
      </c>
    </row>
    <row r="143" spans="1:21" ht="18.75" hidden="1">
      <c r="A143" s="155"/>
      <c r="B143" s="50"/>
      <c r="C143" s="50"/>
      <c r="D143" s="50"/>
      <c r="E143" s="186" t="s">
        <v>36</v>
      </c>
      <c r="F143" s="50"/>
      <c r="G143" s="52"/>
      <c r="H143" s="189" t="s">
        <v>14</v>
      </c>
      <c r="I143" s="163"/>
      <c r="J143" s="163"/>
      <c r="K143" s="164"/>
      <c r="L143" s="103">
        <v>0</v>
      </c>
      <c r="M143" s="102">
        <v>0</v>
      </c>
      <c r="N143" s="102">
        <v>0</v>
      </c>
      <c r="O143" s="102">
        <f>IF(L143&gt;0,N143*100/L143,0)</f>
        <v>0</v>
      </c>
      <c r="P143" s="102">
        <f>IF(M143&gt;0,N143*100/M143,0)</f>
        <v>0</v>
      </c>
      <c r="Q143" s="102">
        <v>0</v>
      </c>
      <c r="R143" s="102">
        <v>0</v>
      </c>
      <c r="S143" s="102">
        <v>0</v>
      </c>
      <c r="T143" s="102">
        <f>IF(Q143&gt;0,S143*100/Q143,0)</f>
        <v>0</v>
      </c>
      <c r="U143" s="102">
        <f>IF(R143&gt;0,S143*100/R143,0)</f>
        <v>0</v>
      </c>
    </row>
    <row r="144" spans="1:21" ht="18.75" hidden="1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256">
        <f ca="1">IFERROR(__xludf.DUMMYFUNCTION("IMPORTRANGE(""https://docs.google.com/spreadsheets/d/1-uDff_7J0KD5mKrp0Vvzr7lt3OU09vwQwhkpOPPYv2Y/edit?usp=sharing"",""งบพรบ!BQ48"")"),0)</f>
        <v>0</v>
      </c>
      <c r="M144" s="255">
        <f ca="1">IFERROR(__xludf.DUMMYFUNCTION("IMPORTRANGE(""https://docs.google.com/spreadsheets/d/1-uDff_7J0KD5mKrp0Vvzr7lt3OU09vwQwhkpOPPYv2Y/edit?usp=sharing"",""งบพรบ!BV48"")"),0)</f>
        <v>0</v>
      </c>
      <c r="N144" s="255">
        <f ca="1">IFERROR(__xludf.DUMMYFUNCTION("IMPORTRANGE(""https://docs.google.com/spreadsheets/d/1-uDff_7J0KD5mKrp0Vvzr7lt3OU09vwQwhkpOPPYv2Y/edit?usp=sharing"",""งบพรบ!BX48"")"),0)</f>
        <v>0</v>
      </c>
      <c r="O144" s="255">
        <f ca="1">IF(L144&gt;0,N144*100/L144,0)</f>
        <v>0</v>
      </c>
      <c r="P144" s="255">
        <f ca="1">IF(M144&gt;0,N144*100/M144,0)</f>
        <v>0</v>
      </c>
      <c r="Q144" s="255">
        <f ca="1">IFERROR(__xludf.DUMMYFUNCTION("IMPORTRANGE(""https://docs.google.com/spreadsheets/d/1ItG2mGa2ceCfYo0BwxsXqNm01IGEUdYcSSLTEv9YCik/edit?usp=sharing"",""เบิกจ่ายกองทุน!BB48"")"),0)</f>
        <v>0</v>
      </c>
      <c r="R144" s="255">
        <f ca="1">IFERROR(__xludf.DUMMYFUNCTION("IMPORTRANGE(""https://docs.google.com/spreadsheets/d/1ItG2mGa2ceCfYo0BwxsXqNm01IGEUdYcSSLTEv9YCik/edit?usp=sharing"",""เบิกจ่ายกองทุน!BC48"")"),0)</f>
        <v>0</v>
      </c>
      <c r="S144" s="255">
        <f ca="1">IFERROR(__xludf.DUMMYFUNCTION("IMPORTRANGE(""https://docs.google.com/spreadsheets/d/1ItG2mGa2ceCfYo0BwxsXqNm01IGEUdYcSSLTEv9YCik/edit?usp=sharing"",""เบิกจ่ายกองทุน!BD48"")"),0)</f>
        <v>0</v>
      </c>
      <c r="T144" s="255">
        <f ca="1">IF(Q144&gt;0,S144*100/Q144,0)</f>
        <v>0</v>
      </c>
      <c r="U144" s="255">
        <f ca="1">IF(R144&gt;0,S144*100/R144,0)</f>
        <v>0</v>
      </c>
    </row>
    <row r="145" spans="1:21" ht="18.75" hidden="1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256">
        <f ca="1">L146+L147</f>
        <v>0</v>
      </c>
      <c r="M145" s="255">
        <f ca="1">M146+M147</f>
        <v>0</v>
      </c>
      <c r="N145" s="255">
        <f ca="1">N146+N147</f>
        <v>0</v>
      </c>
      <c r="O145" s="255">
        <f ca="1">IF(L145&gt;0,N145*100/L145,0)</f>
        <v>0</v>
      </c>
      <c r="P145" s="255">
        <f ca="1">IF(M145&gt;0,N145*100/M145,0)</f>
        <v>0</v>
      </c>
      <c r="Q145" s="255">
        <f>Q146+Q147</f>
        <v>0</v>
      </c>
      <c r="R145" s="255">
        <f>R146+R147</f>
        <v>0</v>
      </c>
      <c r="S145" s="255">
        <f>S146+S147</f>
        <v>0</v>
      </c>
      <c r="T145" s="255">
        <f>IF(Q145&gt;0,S145*100/Q145,0)</f>
        <v>0</v>
      </c>
      <c r="U145" s="255">
        <f>IF(R145&gt;0,S145*100/R145,0)</f>
        <v>0</v>
      </c>
    </row>
    <row r="146" spans="1:21" ht="18.75" hidden="1">
      <c r="A146" s="155"/>
      <c r="B146" s="50"/>
      <c r="C146" s="50"/>
      <c r="D146" s="50"/>
      <c r="E146" s="186" t="s">
        <v>20</v>
      </c>
      <c r="F146" s="50"/>
      <c r="G146" s="52"/>
      <c r="H146" s="189" t="s">
        <v>14</v>
      </c>
      <c r="I146" s="163"/>
      <c r="J146" s="163"/>
      <c r="K146" s="164"/>
      <c r="L146" s="103">
        <v>0</v>
      </c>
      <c r="M146" s="102">
        <v>0</v>
      </c>
      <c r="N146" s="102">
        <v>0</v>
      </c>
      <c r="O146" s="102">
        <f>IF(L146&gt;0,N146*100/L146,0)</f>
        <v>0</v>
      </c>
      <c r="P146" s="102">
        <f>IF(M146&gt;0,N146*100/M146,0)</f>
        <v>0</v>
      </c>
      <c r="Q146" s="102">
        <v>0</v>
      </c>
      <c r="R146" s="102">
        <v>0</v>
      </c>
      <c r="S146" s="102">
        <v>0</v>
      </c>
      <c r="T146" s="102">
        <f>IF(Q146&gt;0,S146*100/Q146,0)</f>
        <v>0</v>
      </c>
      <c r="U146" s="102">
        <f>IF(R146&gt;0,S146*100/R146,0)</f>
        <v>0</v>
      </c>
    </row>
    <row r="147" spans="1:21" ht="18.75" hidden="1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256">
        <f ca="1">IFERROR(__xludf.DUMMYFUNCTION("IMPORTRANGE(""https://docs.google.com/spreadsheets/d/1-uDff_7J0KD5mKrp0Vvzr7lt3OU09vwQwhkpOPPYv2Y/edit?usp=sharing"",""งบพรบ!BT48"")"),0)</f>
        <v>0</v>
      </c>
      <c r="M147" s="255">
        <f ca="1">IFERROR(__xludf.DUMMYFUNCTION("IMPORTRANGE(""https://docs.google.com/spreadsheets/d/1-uDff_7J0KD5mKrp0Vvzr7lt3OU09vwQwhkpOPPYv2Y/edit?usp=sharing"",""งบพรบ!BW48"")"),0)</f>
        <v>0</v>
      </c>
      <c r="N147" s="255">
        <f ca="1">IFERROR(__xludf.DUMMYFUNCTION("IMPORTRANGE(""https://docs.google.com/spreadsheets/d/1-uDff_7J0KD5mKrp0Vvzr7lt3OU09vwQwhkpOPPYv2Y/edit?usp=sharing"",""งบพรบ!BY48"")"),0)</f>
        <v>0</v>
      </c>
      <c r="O147" s="255">
        <f ca="1">IF(L147&gt;0,N147*100/L147,0)</f>
        <v>0</v>
      </c>
      <c r="P147" s="255">
        <f ca="1">IF(M147&gt;0,N147*100/M147,0)</f>
        <v>0</v>
      </c>
      <c r="Q147" s="255">
        <v>0</v>
      </c>
      <c r="R147" s="255">
        <v>0</v>
      </c>
      <c r="S147" s="255">
        <v>0</v>
      </c>
      <c r="T147" s="255">
        <f>IF(Q147&gt;0,S147*100/Q147,0)</f>
        <v>0</v>
      </c>
      <c r="U147" s="255">
        <f>IF(R147&gt;0,S147*100/R147,0)</f>
        <v>0</v>
      </c>
    </row>
    <row r="148" spans="1:21" ht="19.5" hidden="1">
      <c r="A148" s="166"/>
      <c r="B148" s="167"/>
      <c r="C148" s="156" t="s">
        <v>18</v>
      </c>
      <c r="D148" s="566" t="s">
        <v>38</v>
      </c>
      <c r="E148" s="169"/>
      <c r="F148" s="169"/>
      <c r="G148" s="170"/>
      <c r="H148" s="206"/>
      <c r="I148" s="54"/>
      <c r="J148" s="54"/>
      <c r="K148" s="55"/>
      <c r="L148" s="62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8.75" hidden="1">
      <c r="A149" s="155"/>
      <c r="B149" s="50"/>
      <c r="C149" s="50"/>
      <c r="D149" s="58" t="s">
        <v>63</v>
      </c>
      <c r="E149" s="50"/>
      <c r="F149" s="50"/>
      <c r="G149" s="52"/>
      <c r="H149" s="206"/>
      <c r="I149" s="54"/>
      <c r="J149" s="467">
        <v>0</v>
      </c>
      <c r="K149" s="55"/>
      <c r="L149" s="62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9.5" hidden="1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212">
        <f ca="1">IFERROR(__xludf.DUMMYFUNCTION("IMPORTRANGE(""https://docs.google.com/spreadsheets/d/1eHaY18a8A9IcSdp1K8H6x8fbOy06t2VsZHhMHf-1x7Y/edit?usp=sharing"",""แผน!U48"")"),0)</f>
        <v>0</v>
      </c>
      <c r="J150" s="467">
        <v>0</v>
      </c>
      <c r="K150" s="255">
        <f ca="1">IF(I150&gt;0,J150*100/I150,0)</f>
        <v>0</v>
      </c>
      <c r="L150" s="62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8.75" hidden="1">
      <c r="A151" s="155"/>
      <c r="B151" s="50"/>
      <c r="C151" s="50"/>
      <c r="D151" s="174"/>
      <c r="E151" s="50"/>
      <c r="F151" s="50"/>
      <c r="G151" s="52"/>
      <c r="H151" s="165" t="s">
        <v>54</v>
      </c>
      <c r="I151" s="212">
        <f ca="1">IFERROR(__xludf.DUMMYFUNCTION("IMPORTRANGE(""https://docs.google.com/spreadsheets/d/1eHaY18a8A9IcSdp1K8H6x8fbOy06t2VsZHhMHf-1x7Y/edit?usp=sharing"",""แผน!V48"")"),0)</f>
        <v>0</v>
      </c>
      <c r="J151" s="467">
        <v>0</v>
      </c>
      <c r="K151" s="255">
        <f ca="1">IF(I151&gt;0,J151*100/I151,0)</f>
        <v>0</v>
      </c>
      <c r="L151" s="62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9.5" hidden="1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212">
        <f ca="1">IFERROR(__xludf.DUMMYFUNCTION("IMPORTRANGE(""https://docs.google.com/spreadsheets/d/1eHaY18a8A9IcSdp1K8H6x8fbOy06t2VsZHhMHf-1x7Y/edit?usp=sharing"",""แผน!W48"")"),0)</f>
        <v>0</v>
      </c>
      <c r="J152" s="467">
        <v>0</v>
      </c>
      <c r="K152" s="255">
        <f ca="1">IF(I152&gt;0,J152*100/I152,0)</f>
        <v>0</v>
      </c>
      <c r="L152" s="62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8.75" hidden="1">
      <c r="A153" s="155"/>
      <c r="B153" s="50"/>
      <c r="C153" s="50"/>
      <c r="D153" s="50"/>
      <c r="E153" s="50"/>
      <c r="F153" s="50"/>
      <c r="G153" s="52"/>
      <c r="H153" s="165" t="s">
        <v>54</v>
      </c>
      <c r="I153" s="212">
        <f ca="1">IFERROR(__xludf.DUMMYFUNCTION("IMPORTRANGE(""https://docs.google.com/spreadsheets/d/1eHaY18a8A9IcSdp1K8H6x8fbOy06t2VsZHhMHf-1x7Y/edit?usp=sharing"",""แผน!X48"")"),0)</f>
        <v>0</v>
      </c>
      <c r="J153" s="467">
        <v>0</v>
      </c>
      <c r="K153" s="255">
        <f ca="1">IF(I153&gt;0,J153*100/I153,0)</f>
        <v>0</v>
      </c>
      <c r="L153" s="62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8.75" hidden="1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212">
        <f ca="1">IFERROR(__xludf.DUMMYFUNCTION("IMPORTRANGE(""https://docs.google.com/spreadsheets/d/1eHaY18a8A9IcSdp1K8H6x8fbOy06t2VsZHhMHf-1x7Y/edit?usp=sharing"",""แผน!Y48"")"),0)</f>
        <v>0</v>
      </c>
      <c r="J154" s="467">
        <v>0</v>
      </c>
      <c r="K154" s="255">
        <f ca="1">IF(I154&gt;0,J154*100/I154,0)</f>
        <v>0</v>
      </c>
      <c r="L154" s="62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9.5" hidden="1">
      <c r="A155" s="143" t="s">
        <v>67</v>
      </c>
      <c r="B155" s="144"/>
      <c r="C155" s="196"/>
      <c r="D155" s="144"/>
      <c r="E155" s="144"/>
      <c r="F155" s="144"/>
      <c r="G155" s="144"/>
      <c r="H155" s="144"/>
      <c r="I155" s="197"/>
      <c r="J155" s="197"/>
      <c r="K155" s="19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</row>
    <row r="156" spans="1:21" ht="19.5" hidden="1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721">
        <f ca="1">I169</f>
        <v>0</v>
      </c>
      <c r="J156" s="721">
        <f>J169</f>
        <v>0</v>
      </c>
      <c r="K156" s="720">
        <f ca="1">IF(I156&gt;0,J156*100/I156,0)</f>
        <v>0</v>
      </c>
      <c r="L156" s="154"/>
      <c r="M156" s="40"/>
      <c r="N156" s="40"/>
      <c r="O156" s="40"/>
      <c r="P156" s="40"/>
      <c r="Q156" s="40"/>
      <c r="R156" s="40"/>
      <c r="S156" s="40"/>
      <c r="T156" s="40"/>
      <c r="U156" s="40"/>
    </row>
    <row r="157" spans="1:21" ht="19.5" hidden="1">
      <c r="A157" s="155"/>
      <c r="B157" s="50"/>
      <c r="C157" s="156" t="s">
        <v>18</v>
      </c>
      <c r="D157" s="575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541">
        <f ca="1">L158+L159</f>
        <v>0</v>
      </c>
      <c r="M157" s="540">
        <f ca="1">M158+M159</f>
        <v>0</v>
      </c>
      <c r="N157" s="540">
        <f ca="1">N158+N159</f>
        <v>0</v>
      </c>
      <c r="O157" s="540">
        <f ca="1">IF(L157&gt;0,N157*100/L157,0)</f>
        <v>0</v>
      </c>
      <c r="P157" s="540">
        <f ca="1">IF(M157&gt;0,N157*100/M157,0)</f>
        <v>0</v>
      </c>
      <c r="Q157" s="540">
        <f ca="1">Q158+Q159</f>
        <v>0</v>
      </c>
      <c r="R157" s="540">
        <f ca="1">R158+R159</f>
        <v>0</v>
      </c>
      <c r="S157" s="540">
        <f ca="1">S158+S159</f>
        <v>0</v>
      </c>
      <c r="T157" s="540">
        <f ca="1">IF(Q157&gt;0,S157*100/Q157,0)</f>
        <v>0</v>
      </c>
      <c r="U157" s="540">
        <f ca="1">IF(R157&gt;0,S157*100/R157,0)</f>
        <v>0</v>
      </c>
    </row>
    <row r="158" spans="1:21" ht="18.75" hidden="1">
      <c r="A158" s="155"/>
      <c r="B158" s="50"/>
      <c r="C158" s="50"/>
      <c r="D158" s="50"/>
      <c r="E158" s="186" t="s">
        <v>20</v>
      </c>
      <c r="F158" s="50"/>
      <c r="G158" s="52"/>
      <c r="H158" s="187" t="s">
        <v>14</v>
      </c>
      <c r="I158" s="54"/>
      <c r="J158" s="54"/>
      <c r="K158" s="55"/>
      <c r="L158" s="103">
        <f>L161+L164</f>
        <v>0</v>
      </c>
      <c r="M158" s="102">
        <f>M161+M164</f>
        <v>0</v>
      </c>
      <c r="N158" s="102">
        <f>N161+N164</f>
        <v>0</v>
      </c>
      <c r="O158" s="102">
        <f>IF(L158&gt;0,N158*100/L158,0)</f>
        <v>0</v>
      </c>
      <c r="P158" s="102">
        <f>IF(M158&gt;0,N158*100/M158,0)</f>
        <v>0</v>
      </c>
      <c r="Q158" s="102">
        <f>Q161+Q164</f>
        <v>0</v>
      </c>
      <c r="R158" s="102">
        <f>R161+R164</f>
        <v>0</v>
      </c>
      <c r="S158" s="102">
        <f>S161+S164</f>
        <v>0</v>
      </c>
      <c r="T158" s="102">
        <f>IF(Q158&gt;0,S158*100/Q158,0)</f>
        <v>0</v>
      </c>
      <c r="U158" s="102">
        <f>IF(R158&gt;0,S158*100/R158,0)</f>
        <v>0</v>
      </c>
    </row>
    <row r="159" spans="1:21" ht="18.75" hidden="1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256">
        <f ca="1">L162+L165</f>
        <v>0</v>
      </c>
      <c r="M159" s="255">
        <f ca="1">M162+M165</f>
        <v>0</v>
      </c>
      <c r="N159" s="255">
        <f ca="1">N162+N165</f>
        <v>0</v>
      </c>
      <c r="O159" s="255">
        <f ca="1">IF(L159&gt;0,N159*100/L159,0)</f>
        <v>0</v>
      </c>
      <c r="P159" s="255">
        <f ca="1">IF(M159&gt;0,N159*100/M159,0)</f>
        <v>0</v>
      </c>
      <c r="Q159" s="255">
        <f ca="1">Q162+Q165</f>
        <v>0</v>
      </c>
      <c r="R159" s="255">
        <f ca="1">R162+R165</f>
        <v>0</v>
      </c>
      <c r="S159" s="255">
        <f ca="1">S162+S165</f>
        <v>0</v>
      </c>
      <c r="T159" s="255">
        <f ca="1">IF(Q159&gt;0,S159*100/Q159,0)</f>
        <v>0</v>
      </c>
      <c r="U159" s="255">
        <f ca="1">IF(R159&gt;0,S159*100/R159,0)</f>
        <v>0</v>
      </c>
    </row>
    <row r="160" spans="1:21" ht="18.75" hidden="1">
      <c r="A160" s="155"/>
      <c r="B160" s="50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256">
        <f ca="1">L161+L162</f>
        <v>0</v>
      </c>
      <c r="M160" s="255">
        <f ca="1">M161+M162</f>
        <v>0</v>
      </c>
      <c r="N160" s="255">
        <f ca="1">N161+N162</f>
        <v>0</v>
      </c>
      <c r="O160" s="255">
        <f ca="1">IF(L160&gt;0,N160*100/L160,0)</f>
        <v>0</v>
      </c>
      <c r="P160" s="255">
        <f ca="1">IF(M160&gt;0,N160*100/M160,0)</f>
        <v>0</v>
      </c>
      <c r="Q160" s="255">
        <f ca="1">Q161+Q162</f>
        <v>0</v>
      </c>
      <c r="R160" s="255">
        <f ca="1">R161+R162</f>
        <v>0</v>
      </c>
      <c r="S160" s="255">
        <f ca="1">S161+S162</f>
        <v>0</v>
      </c>
      <c r="T160" s="255">
        <f ca="1">IF(Q160&gt;0,S160*100/Q160,0)</f>
        <v>0</v>
      </c>
      <c r="U160" s="255">
        <f ca="1">IF(R160&gt;0,S160*100/R160,0)</f>
        <v>0</v>
      </c>
    </row>
    <row r="161" spans="1:21" ht="18.75" hidden="1">
      <c r="A161" s="155"/>
      <c r="B161" s="50"/>
      <c r="C161" s="50"/>
      <c r="D161" s="50"/>
      <c r="E161" s="186" t="s">
        <v>36</v>
      </c>
      <c r="F161" s="50"/>
      <c r="G161" s="52"/>
      <c r="H161" s="189" t="s">
        <v>14</v>
      </c>
      <c r="I161" s="163"/>
      <c r="J161" s="163"/>
      <c r="K161" s="164"/>
      <c r="L161" s="103">
        <v>0</v>
      </c>
      <c r="M161" s="102">
        <v>0</v>
      </c>
      <c r="N161" s="102">
        <v>0</v>
      </c>
      <c r="O161" s="102">
        <f>IF(L161&gt;0,N161*100/L161,0)</f>
        <v>0</v>
      </c>
      <c r="P161" s="102">
        <f>IF(M161&gt;0,N161*100/M161,0)</f>
        <v>0</v>
      </c>
      <c r="Q161" s="102">
        <v>0</v>
      </c>
      <c r="R161" s="102">
        <v>0</v>
      </c>
      <c r="S161" s="102">
        <v>0</v>
      </c>
      <c r="T161" s="102">
        <f>IF(Q161&gt;0,S161*100/Q161,0)</f>
        <v>0</v>
      </c>
      <c r="U161" s="102">
        <f>IF(R161&gt;0,S161*100/R161,0)</f>
        <v>0</v>
      </c>
    </row>
    <row r="162" spans="1:21" ht="18.75" hidden="1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256">
        <f ca="1">IFERROR(__xludf.DUMMYFUNCTION("IMPORTRANGE(""https://docs.google.com/spreadsheets/d/1-uDff_7J0KD5mKrp0Vvzr7lt3OU09vwQwhkpOPPYv2Y/edit?usp=sharing"",""งบพรบ!CA48"")"),0)</f>
        <v>0</v>
      </c>
      <c r="M162" s="255">
        <f ca="1">IFERROR(__xludf.DUMMYFUNCTION("IMPORTRANGE(""https://docs.google.com/spreadsheets/d/1-uDff_7J0KD5mKrp0Vvzr7lt3OU09vwQwhkpOPPYv2Y/edit?usp=sharing"",""งบพรบ!CF48"")"),0)</f>
        <v>0</v>
      </c>
      <c r="N162" s="255">
        <f ca="1">IFERROR(__xludf.DUMMYFUNCTION("IMPORTRANGE(""https://docs.google.com/spreadsheets/d/1-uDff_7J0KD5mKrp0Vvzr7lt3OU09vwQwhkpOPPYv2Y/edit?usp=sharing"",""งบพรบ!CH48"")"),0)</f>
        <v>0</v>
      </c>
      <c r="O162" s="255">
        <f ca="1">IF(L162&gt;0,N162*100/L162,0)</f>
        <v>0</v>
      </c>
      <c r="P162" s="255">
        <f ca="1">IF(M162&gt;0,N162*100/M162,0)</f>
        <v>0</v>
      </c>
      <c r="Q162" s="255">
        <f ca="1">IFERROR(__xludf.DUMMYFUNCTION("IMPORTRANGE(""https://docs.google.com/spreadsheets/d/1ItG2mGa2ceCfYo0BwxsXqNm01IGEUdYcSSLTEv9YCik/edit?usp=sharing"",""เบิกจ่ายกองทุน!AG48"")"),0)</f>
        <v>0</v>
      </c>
      <c r="R162" s="255">
        <f ca="1">IFERROR(__xludf.DUMMYFUNCTION("IMPORTRANGE(""https://docs.google.com/spreadsheets/d/1ItG2mGa2ceCfYo0BwxsXqNm01IGEUdYcSSLTEv9YCik/edit?usp=sharing"",""เบิกจ่ายกองทุน!AH48"")"),0)</f>
        <v>0</v>
      </c>
      <c r="S162" s="255">
        <f ca="1">IFERROR(__xludf.DUMMYFUNCTION("IMPORTRANGE(""https://docs.google.com/spreadsheets/d/1ItG2mGa2ceCfYo0BwxsXqNm01IGEUdYcSSLTEv9YCik/edit?usp=sharing"",""เบิกจ่ายกองทุน!AI48"")"),0)</f>
        <v>0</v>
      </c>
      <c r="T162" s="255">
        <f ca="1">IF(Q162&gt;0,S162*100/Q162,0)</f>
        <v>0</v>
      </c>
      <c r="U162" s="255">
        <f ca="1">IF(R162&gt;0,S162*100/R162,0)</f>
        <v>0</v>
      </c>
    </row>
    <row r="163" spans="1:21" ht="18.75" hidden="1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256">
        <f ca="1">L164+L165</f>
        <v>0</v>
      </c>
      <c r="M163" s="255">
        <f ca="1">M164+M165</f>
        <v>0</v>
      </c>
      <c r="N163" s="255">
        <f ca="1">N164+N165</f>
        <v>0</v>
      </c>
      <c r="O163" s="255">
        <f ca="1">IF(L163&gt;0,N163*100/L163,0)</f>
        <v>0</v>
      </c>
      <c r="P163" s="255">
        <f ca="1">IF(M163&gt;0,N163*100/M163,0)</f>
        <v>0</v>
      </c>
      <c r="Q163" s="255">
        <f>Q164+Q165</f>
        <v>0</v>
      </c>
      <c r="R163" s="255">
        <f>R164+R165</f>
        <v>0</v>
      </c>
      <c r="S163" s="255">
        <f>S164+S165</f>
        <v>0</v>
      </c>
      <c r="T163" s="255">
        <f>IF(Q163&gt;0,S163*100/Q163,0)</f>
        <v>0</v>
      </c>
      <c r="U163" s="255">
        <f>IF(R163&gt;0,S163*100/R163,0)</f>
        <v>0</v>
      </c>
    </row>
    <row r="164" spans="1:21" ht="18.75" hidden="1">
      <c r="A164" s="155"/>
      <c r="B164" s="50"/>
      <c r="C164" s="50"/>
      <c r="D164" s="50"/>
      <c r="E164" s="186" t="s">
        <v>20</v>
      </c>
      <c r="F164" s="50"/>
      <c r="G164" s="52"/>
      <c r="H164" s="189" t="s">
        <v>14</v>
      </c>
      <c r="I164" s="163"/>
      <c r="J164" s="163"/>
      <c r="K164" s="164"/>
      <c r="L164" s="103">
        <v>0</v>
      </c>
      <c r="M164" s="102">
        <v>0</v>
      </c>
      <c r="N164" s="102">
        <v>0</v>
      </c>
      <c r="O164" s="102">
        <f>IF(L164&gt;0,N164*100/L164,0)</f>
        <v>0</v>
      </c>
      <c r="P164" s="102">
        <f>IF(M164&gt;0,N164*100/M164,0)</f>
        <v>0</v>
      </c>
      <c r="Q164" s="102">
        <v>0</v>
      </c>
      <c r="R164" s="102">
        <v>0</v>
      </c>
      <c r="S164" s="102">
        <v>0</v>
      </c>
      <c r="T164" s="102">
        <f>IF(Q164&gt;0,S164*100/Q164,0)</f>
        <v>0</v>
      </c>
      <c r="U164" s="102">
        <f>IF(R164&gt;0,S164*100/R164,0)</f>
        <v>0</v>
      </c>
    </row>
    <row r="165" spans="1:21" ht="18.75" hidden="1">
      <c r="A165" s="155"/>
      <c r="B165" s="50"/>
      <c r="C165" s="50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256">
        <f ca="1">IFERROR(__xludf.DUMMYFUNCTION("IMPORTRANGE(""https://docs.google.com/spreadsheets/d/1-uDff_7J0KD5mKrp0Vvzr7lt3OU09vwQwhkpOPPYv2Y/edit?usp=sharing"",""งบพรบ!CD48"")"),0)</f>
        <v>0</v>
      </c>
      <c r="M165" s="255">
        <f ca="1">IFERROR(__xludf.DUMMYFUNCTION("IMPORTRANGE(""https://docs.google.com/spreadsheets/d/1-uDff_7J0KD5mKrp0Vvzr7lt3OU09vwQwhkpOPPYv2Y/edit?usp=sharing"",""งบพรบ!CG48"")"),0)</f>
        <v>0</v>
      </c>
      <c r="N165" s="255">
        <f ca="1">IFERROR(__xludf.DUMMYFUNCTION("IMPORTRANGE(""https://docs.google.com/spreadsheets/d/1-uDff_7J0KD5mKrp0Vvzr7lt3OU09vwQwhkpOPPYv2Y/edit?usp=sharing"",""งบพรบ!CI48"")"),0)</f>
        <v>0</v>
      </c>
      <c r="O165" s="255">
        <f ca="1">IF(L165&gt;0,N165*100/L165,0)</f>
        <v>0</v>
      </c>
      <c r="P165" s="255">
        <f ca="1">IF(M165&gt;0,N165*100/M165,0)</f>
        <v>0</v>
      </c>
      <c r="Q165" s="255">
        <v>0</v>
      </c>
      <c r="R165" s="255">
        <v>0</v>
      </c>
      <c r="S165" s="255">
        <v>0</v>
      </c>
      <c r="T165" s="255">
        <f>IF(Q165&gt;0,S165*100/Q165,0)</f>
        <v>0</v>
      </c>
      <c r="U165" s="255">
        <f>IF(R165&gt;0,S165*100/R165,0)</f>
        <v>0</v>
      </c>
    </row>
    <row r="166" spans="1:21" ht="19.5" hidden="1">
      <c r="A166" s="166"/>
      <c r="B166" s="167"/>
      <c r="C166" s="156" t="s">
        <v>18</v>
      </c>
      <c r="D166" s="566" t="s">
        <v>38</v>
      </c>
      <c r="E166" s="169"/>
      <c r="F166" s="169"/>
      <c r="G166" s="170"/>
      <c r="H166" s="206"/>
      <c r="I166" s="54"/>
      <c r="J166" s="54"/>
      <c r="K166" s="55"/>
      <c r="L166" s="62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8.75" hidden="1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212">
        <f ca="1">IFERROR(__xludf.DUMMYFUNCTION("IMPORTRANGE(""https://docs.google.com/spreadsheets/d/1eHaY18a8A9IcSdp1K8H6x8fbOy06t2VsZHhMHf-1x7Y/edit?usp=sharing"",""แผน!Z48"")"),0)</f>
        <v>0</v>
      </c>
      <c r="J167" s="467">
        <v>0</v>
      </c>
      <c r="K167" s="255">
        <f ca="1">IF(I167&gt;0,J167*100/I167,0)</f>
        <v>0</v>
      </c>
      <c r="L167" s="62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8.75" hidden="1">
      <c r="A168" s="155"/>
      <c r="B168" s="50"/>
      <c r="C168" s="50"/>
      <c r="D168" s="186" t="s">
        <v>70</v>
      </c>
      <c r="E168" s="50"/>
      <c r="F168" s="50"/>
      <c r="G168" s="52"/>
      <c r="H168" s="421" t="s">
        <v>35</v>
      </c>
      <c r="I168" s="483">
        <f ca="1">IFERROR(__xludf.DUMMYFUNCTION("IMPORTRANGE(""https://docs.google.com/spreadsheets/d/1eHaY18a8A9IcSdp1K8H6x8fbOy06t2VsZHhMHf-1x7Y/edit?usp=sharing"",""แผน!Z48"")"),0)</f>
        <v>0</v>
      </c>
      <c r="J168" s="589">
        <v>0</v>
      </c>
      <c r="K168" s="102">
        <f ca="1">IF(I168&gt;0,J168*100/I168,0)</f>
        <v>0</v>
      </c>
      <c r="L168" s="62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8.75" hidden="1">
      <c r="A169" s="213"/>
      <c r="B169" s="4"/>
      <c r="C169" s="4"/>
      <c r="D169" s="484" t="s">
        <v>71</v>
      </c>
      <c r="E169" s="4"/>
      <c r="F169" s="4"/>
      <c r="G169" s="65"/>
      <c r="H169" s="719" t="s">
        <v>35</v>
      </c>
      <c r="I169" s="486">
        <f ca="1">IFERROR(__xludf.DUMMYFUNCTION("IMPORTRANGE(""https://docs.google.com/spreadsheets/d/1eHaY18a8A9IcSdp1K8H6x8fbOy06t2VsZHhMHf-1x7Y/edit?usp=sharing"",""แผน!Z48"")"),0)</f>
        <v>0</v>
      </c>
      <c r="J169" s="586">
        <v>0</v>
      </c>
      <c r="K169" s="585">
        <f ca="1">IF(I169&gt;0,J169*100/I169,0)</f>
        <v>0</v>
      </c>
      <c r="L169" s="68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9"/>
      <c r="I170" s="220"/>
      <c r="J170" s="220"/>
      <c r="K170" s="221"/>
      <c r="L170" s="221"/>
      <c r="M170" s="221"/>
      <c r="N170" s="221"/>
      <c r="O170" s="221"/>
      <c r="P170" s="222"/>
      <c r="Q170" s="221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226"/>
      <c r="I171" s="227"/>
      <c r="J171" s="227"/>
      <c r="K171" s="228"/>
      <c r="L171" s="229"/>
      <c r="M171" s="228"/>
      <c r="N171" s="228"/>
      <c r="O171" s="228"/>
      <c r="P171" s="228"/>
      <c r="Q171" s="228"/>
      <c r="R171" s="228"/>
      <c r="S171" s="228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233" t="s">
        <v>35</v>
      </c>
      <c r="I172" s="718">
        <f ca="1">I183+I184</f>
        <v>7</v>
      </c>
      <c r="J172" s="718">
        <f>J183+J184</f>
        <v>7</v>
      </c>
      <c r="K172" s="717">
        <f ca="1">IF(I172&gt;0,J172*100/I172,0)</f>
        <v>100</v>
      </c>
      <c r="L172" s="237"/>
      <c r="M172" s="236"/>
      <c r="N172" s="236"/>
      <c r="O172" s="236"/>
      <c r="P172" s="236"/>
      <c r="Q172" s="236"/>
      <c r="R172" s="236"/>
      <c r="S172" s="236"/>
      <c r="T172" s="236"/>
      <c r="U172" s="236"/>
    </row>
    <row r="173" spans="1:21" ht="19.5">
      <c r="A173" s="155"/>
      <c r="B173" s="50"/>
      <c r="C173" s="156" t="s">
        <v>18</v>
      </c>
      <c r="D173" s="575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541">
        <f ca="1">L174+L175</f>
        <v>19590</v>
      </c>
      <c r="M173" s="540">
        <f ca="1">M174+M175</f>
        <v>35210</v>
      </c>
      <c r="N173" s="540">
        <f ca="1">N174+N175</f>
        <v>34825</v>
      </c>
      <c r="O173" s="540">
        <f ca="1">IF(L173&gt;0,N173*100/L173,0)</f>
        <v>177.76927003573252</v>
      </c>
      <c r="P173" s="540">
        <f ca="1">IF(M173&gt;0,N173*100/M173,0)</f>
        <v>98.906560636182903</v>
      </c>
      <c r="Q173" s="540">
        <f ca="1">Q174+Q175</f>
        <v>0</v>
      </c>
      <c r="R173" s="540">
        <f ca="1">R174+R175</f>
        <v>0</v>
      </c>
      <c r="S173" s="540">
        <f ca="1">S174+S175</f>
        <v>0</v>
      </c>
      <c r="T173" s="540">
        <f ca="1">IF(Q173&gt;0,S173*100/Q173,0)</f>
        <v>0</v>
      </c>
      <c r="U173" s="540">
        <f ca="1">IF(R173&gt;0,S173*100/R173,0)</f>
        <v>0</v>
      </c>
    </row>
    <row r="174" spans="1:21" ht="18.75" hidden="1">
      <c r="A174" s="155"/>
      <c r="B174" s="50"/>
      <c r="C174" s="50"/>
      <c r="D174" s="50"/>
      <c r="E174" s="186" t="s">
        <v>20</v>
      </c>
      <c r="F174" s="50"/>
      <c r="G174" s="52"/>
      <c r="H174" s="187" t="s">
        <v>14</v>
      </c>
      <c r="I174" s="54"/>
      <c r="J174" s="54"/>
      <c r="K174" s="55"/>
      <c r="L174" s="103">
        <f>L177+L180</f>
        <v>0</v>
      </c>
      <c r="M174" s="102">
        <f>M177+M180</f>
        <v>0</v>
      </c>
      <c r="N174" s="102">
        <f>N177+N180</f>
        <v>0</v>
      </c>
      <c r="O174" s="102">
        <f>IF(L174&gt;0,N174*100/L174,0)</f>
        <v>0</v>
      </c>
      <c r="P174" s="102">
        <f>IF(M174&gt;0,N174*100/M174,0)</f>
        <v>0</v>
      </c>
      <c r="Q174" s="102">
        <f>Q177+Q180</f>
        <v>0</v>
      </c>
      <c r="R174" s="102">
        <f>R177+R180</f>
        <v>0</v>
      </c>
      <c r="S174" s="102">
        <f>S177+S180</f>
        <v>0</v>
      </c>
      <c r="T174" s="102">
        <f>IF(Q174&gt;0,S174*100/Q174,0)</f>
        <v>0</v>
      </c>
      <c r="U174" s="102">
        <f>IF(R174&gt;0,S174*100/R174,0)</f>
        <v>0</v>
      </c>
    </row>
    <row r="175" spans="1:21" ht="18.75" hidden="1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256">
        <f ca="1">L178+L181</f>
        <v>19590</v>
      </c>
      <c r="M175" s="255">
        <f ca="1">M178+M181</f>
        <v>35210</v>
      </c>
      <c r="N175" s="255">
        <f ca="1">N178+N181</f>
        <v>34825</v>
      </c>
      <c r="O175" s="255">
        <f ca="1">IF(L175&gt;0,N175*100/L175,0)</f>
        <v>177.76927003573252</v>
      </c>
      <c r="P175" s="255">
        <f ca="1">IF(M175&gt;0,N175*100/M175,0)</f>
        <v>98.906560636182903</v>
      </c>
      <c r="Q175" s="255">
        <f ca="1">Q178+Q181</f>
        <v>0</v>
      </c>
      <c r="R175" s="255">
        <f ca="1">R178+R181</f>
        <v>0</v>
      </c>
      <c r="S175" s="255">
        <f ca="1">S178+S181</f>
        <v>0</v>
      </c>
      <c r="T175" s="255">
        <f ca="1">IF(Q175&gt;0,S175*100/Q175,0)</f>
        <v>0</v>
      </c>
      <c r="U175" s="255">
        <f ca="1">IF(R175&gt;0,S175*100/R175,0)</f>
        <v>0</v>
      </c>
    </row>
    <row r="176" spans="1:21" ht="18.75">
      <c r="A176" s="155"/>
      <c r="B176" s="50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256">
        <f ca="1">L177+L178</f>
        <v>19590</v>
      </c>
      <c r="M176" s="255">
        <f ca="1">M177+M178</f>
        <v>35210</v>
      </c>
      <c r="N176" s="255">
        <f ca="1">N177+N178</f>
        <v>34825</v>
      </c>
      <c r="O176" s="255">
        <f ca="1">IF(L176&gt;0,N176*100/L176,0)</f>
        <v>177.76927003573252</v>
      </c>
      <c r="P176" s="255">
        <f ca="1">IF(M176&gt;0,N176*100/M176,0)</f>
        <v>98.906560636182903</v>
      </c>
      <c r="Q176" s="255">
        <f ca="1">Q177+Q178</f>
        <v>0</v>
      </c>
      <c r="R176" s="255">
        <f ca="1">R177+R178</f>
        <v>0</v>
      </c>
      <c r="S176" s="255">
        <f ca="1">S177+S178</f>
        <v>0</v>
      </c>
      <c r="T176" s="255">
        <f ca="1">IF(Q176&gt;0,S176*100/Q176,0)</f>
        <v>0</v>
      </c>
      <c r="U176" s="255">
        <f ca="1">IF(R176&gt;0,S176*100/R176,0)</f>
        <v>0</v>
      </c>
    </row>
    <row r="177" spans="1:21" ht="18.75" hidden="1">
      <c r="A177" s="155"/>
      <c r="B177" s="50"/>
      <c r="C177" s="50"/>
      <c r="D177" s="50"/>
      <c r="E177" s="186" t="s">
        <v>36</v>
      </c>
      <c r="F177" s="50"/>
      <c r="G177" s="52"/>
      <c r="H177" s="189" t="s">
        <v>14</v>
      </c>
      <c r="I177" s="163"/>
      <c r="J177" s="163"/>
      <c r="K177" s="164"/>
      <c r="L177" s="103">
        <v>0</v>
      </c>
      <c r="M177" s="102">
        <v>0</v>
      </c>
      <c r="N177" s="102">
        <v>0</v>
      </c>
      <c r="O177" s="102">
        <f>IF(L177&gt;0,N177*100/L177,0)</f>
        <v>0</v>
      </c>
      <c r="P177" s="102">
        <f>IF(M177&gt;0,N177*100/M177,0)</f>
        <v>0</v>
      </c>
      <c r="Q177" s="102">
        <v>0</v>
      </c>
      <c r="R177" s="102">
        <v>0</v>
      </c>
      <c r="S177" s="102">
        <v>0</v>
      </c>
      <c r="T177" s="102">
        <f>IF(Q177&gt;0,S177*100/Q177,0)</f>
        <v>0</v>
      </c>
      <c r="U177" s="102">
        <f>IF(R177&gt;0,S177*100/R177,0)</f>
        <v>0</v>
      </c>
    </row>
    <row r="178" spans="1:21" ht="18.75" hidden="1">
      <c r="A178" s="155"/>
      <c r="B178" s="50"/>
      <c r="C178" s="50"/>
      <c r="D178" s="50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256">
        <f ca="1">IFERROR(__xludf.DUMMYFUNCTION("IMPORTRANGE(""https://docs.google.com/spreadsheets/d/1-uDff_7J0KD5mKrp0Vvzr7lt3OU09vwQwhkpOPPYv2Y/edit?usp=sharing"",""งบพรบ!CK48"")"),19590)</f>
        <v>19590</v>
      </c>
      <c r="M178" s="255">
        <f ca="1">IFERROR(__xludf.DUMMYFUNCTION("IMPORTRANGE(""https://docs.google.com/spreadsheets/d/1-uDff_7J0KD5mKrp0Vvzr7lt3OU09vwQwhkpOPPYv2Y/edit?usp=sharing"",""งบพรบ!CP48"")"),35210)</f>
        <v>35210</v>
      </c>
      <c r="N178" s="255">
        <f ca="1">IFERROR(__xludf.DUMMYFUNCTION("IMPORTRANGE(""https://docs.google.com/spreadsheets/d/1-uDff_7J0KD5mKrp0Vvzr7lt3OU09vwQwhkpOPPYv2Y/edit?usp=sharing"",""งบพรบ!CR48"")"),34825)</f>
        <v>34825</v>
      </c>
      <c r="O178" s="255">
        <f ca="1">IF(L178&gt;0,N178*100/L178,0)</f>
        <v>177.76927003573252</v>
      </c>
      <c r="P178" s="255">
        <f ca="1">IF(M178&gt;0,N178*100/M178,0)</f>
        <v>98.906560636182903</v>
      </c>
      <c r="Q178" s="255">
        <f ca="1">IFERROR(__xludf.DUMMYFUNCTION("IMPORTRANGE(""https://docs.google.com/spreadsheets/d/1ItG2mGa2ceCfYo0BwxsXqNm01IGEUdYcSSLTEv9YCik/edit?usp=sharing"",""เบิกจ่ายกองทุน!BE48"")"),0)</f>
        <v>0</v>
      </c>
      <c r="R178" s="255">
        <f ca="1">IFERROR(__xludf.DUMMYFUNCTION("IMPORTRANGE(""https://docs.google.com/spreadsheets/d/1ItG2mGa2ceCfYo0BwxsXqNm01IGEUdYcSSLTEv9YCik/edit?usp=sharing"",""เบิกจ่ายกองทุน!BF48"")"),0)</f>
        <v>0</v>
      </c>
      <c r="S178" s="255">
        <f ca="1">IFERROR(__xludf.DUMMYFUNCTION("IMPORTRANGE(""https://docs.google.com/spreadsheets/d/1ItG2mGa2ceCfYo0BwxsXqNm01IGEUdYcSSLTEv9YCik/edit?usp=sharing"",""เบิกจ่ายกองทุน!BG48"")"),0)</f>
        <v>0</v>
      </c>
      <c r="T178" s="255">
        <f ca="1">IF(Q178&gt;0,S178*100/Q178,0)</f>
        <v>0</v>
      </c>
      <c r="U178" s="255">
        <f ca="1">IF(R178&gt;0,S178*100/R178,0)</f>
        <v>0</v>
      </c>
    </row>
    <row r="179" spans="1:21" ht="18.75">
      <c r="A179" s="155"/>
      <c r="B179" s="50"/>
      <c r="C179" s="50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256">
        <f ca="1">L180+L181</f>
        <v>0</v>
      </c>
      <c r="M179" s="255">
        <f ca="1">M180+M181</f>
        <v>0</v>
      </c>
      <c r="N179" s="255">
        <f ca="1">N180+N181</f>
        <v>0</v>
      </c>
      <c r="O179" s="255">
        <f ca="1">IF(L179&gt;0,N179*100/L179,0)</f>
        <v>0</v>
      </c>
      <c r="P179" s="255">
        <f ca="1">IF(M179&gt;0,N179*100/M179,0)</f>
        <v>0</v>
      </c>
      <c r="Q179" s="255">
        <f>Q180+Q181</f>
        <v>0</v>
      </c>
      <c r="R179" s="255">
        <f>R180+R181</f>
        <v>0</v>
      </c>
      <c r="S179" s="255">
        <f>S180+S181</f>
        <v>0</v>
      </c>
      <c r="T179" s="255">
        <f>IF(Q179&gt;0,S179*100/Q179,0)</f>
        <v>0</v>
      </c>
      <c r="U179" s="255">
        <f>IF(R179&gt;0,S179*100/R179,0)</f>
        <v>0</v>
      </c>
    </row>
    <row r="180" spans="1:21" ht="18.75" hidden="1">
      <c r="A180" s="155"/>
      <c r="B180" s="50"/>
      <c r="C180" s="50"/>
      <c r="D180" s="50"/>
      <c r="E180" s="186" t="s">
        <v>20</v>
      </c>
      <c r="F180" s="50"/>
      <c r="G180" s="52"/>
      <c r="H180" s="189" t="s">
        <v>14</v>
      </c>
      <c r="I180" s="163"/>
      <c r="J180" s="163"/>
      <c r="K180" s="164"/>
      <c r="L180" s="103">
        <v>0</v>
      </c>
      <c r="M180" s="102">
        <v>0</v>
      </c>
      <c r="N180" s="102">
        <v>0</v>
      </c>
      <c r="O180" s="102">
        <f>IF(L180&gt;0,N180*100/L180,0)</f>
        <v>0</v>
      </c>
      <c r="P180" s="102">
        <f>IF(M180&gt;0,N180*100/M180,0)</f>
        <v>0</v>
      </c>
      <c r="Q180" s="102">
        <v>0</v>
      </c>
      <c r="R180" s="102">
        <v>0</v>
      </c>
      <c r="S180" s="102">
        <v>0</v>
      </c>
      <c r="T180" s="102">
        <f>IF(Q180&gt;0,S180*100/Q180,0)</f>
        <v>0</v>
      </c>
      <c r="U180" s="102">
        <f>IF(R180&gt;0,S180*100/R180,0)</f>
        <v>0</v>
      </c>
    </row>
    <row r="181" spans="1:21" ht="18.75" hidden="1">
      <c r="A181" s="155"/>
      <c r="B181" s="50"/>
      <c r="C181" s="50"/>
      <c r="D181" s="50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256">
        <f ca="1">IFERROR(__xludf.DUMMYFUNCTION("IMPORTRANGE(""https://docs.google.com/spreadsheets/d/1-uDff_7J0KD5mKrp0Vvzr7lt3OU09vwQwhkpOPPYv2Y/edit?usp=sharing"",""งบพรบ!CN48"")"),0)</f>
        <v>0</v>
      </c>
      <c r="M181" s="255">
        <f ca="1">IFERROR(__xludf.DUMMYFUNCTION("IMPORTRANGE(""https://docs.google.com/spreadsheets/d/1-uDff_7J0KD5mKrp0Vvzr7lt3OU09vwQwhkpOPPYv2Y/edit?usp=sharing"",""งบพรบ!CQ48"")"),0)</f>
        <v>0</v>
      </c>
      <c r="N181" s="255">
        <f ca="1">IFERROR(__xludf.DUMMYFUNCTION("IMPORTRANGE(""https://docs.google.com/spreadsheets/d/1-uDff_7J0KD5mKrp0Vvzr7lt3OU09vwQwhkpOPPYv2Y/edit?usp=sharing"",""งบพรบ!CS48"")"),0)</f>
        <v>0</v>
      </c>
      <c r="O181" s="255">
        <f ca="1">IF(L181&gt;0,N181*100/L181,0)</f>
        <v>0</v>
      </c>
      <c r="P181" s="255">
        <f ca="1">IF(M181&gt;0,N181*100/M181,0)</f>
        <v>0</v>
      </c>
      <c r="Q181" s="255">
        <v>0</v>
      </c>
      <c r="R181" s="255">
        <v>0</v>
      </c>
      <c r="S181" s="255">
        <v>0</v>
      </c>
      <c r="T181" s="255">
        <f>IF(Q181&gt;0,S181*100/Q181,0)</f>
        <v>0</v>
      </c>
      <c r="U181" s="255">
        <f>IF(R181&gt;0,S181*100/R181,0)</f>
        <v>0</v>
      </c>
    </row>
    <row r="182" spans="1:21" ht="19.5">
      <c r="A182" s="166"/>
      <c r="B182" s="167"/>
      <c r="C182" s="156" t="s">
        <v>18</v>
      </c>
      <c r="D182" s="566" t="s">
        <v>38</v>
      </c>
      <c r="E182" s="169"/>
      <c r="F182" s="169"/>
      <c r="G182" s="170"/>
      <c r="H182" s="206"/>
      <c r="I182" s="54"/>
      <c r="J182" s="54"/>
      <c r="K182" s="55"/>
      <c r="L182" s="62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40" t="s">
        <v>35</v>
      </c>
      <c r="I183" s="212">
        <f ca="1">IFERROR(__xludf.DUMMYFUNCTION("IMPORTRANGE(""https://docs.google.com/spreadsheets/d/1eHaY18a8A9IcSdp1K8H6x8fbOy06t2VsZHhMHf-1x7Y/edit?usp=sharing"",""แผน!AA48"")"),7)</f>
        <v>7</v>
      </c>
      <c r="J183" s="467">
        <v>7</v>
      </c>
      <c r="K183" s="255">
        <f ca="1">IF(I183&gt;0,J183*100/I183,0)</f>
        <v>100</v>
      </c>
      <c r="L183" s="62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8.75" hidden="1">
      <c r="A184" s="238"/>
      <c r="B184" s="188"/>
      <c r="C184" s="188"/>
      <c r="D184" s="358" t="s">
        <v>76</v>
      </c>
      <c r="E184" s="50"/>
      <c r="F184" s="50"/>
      <c r="G184" s="52"/>
      <c r="H184" s="590" t="s">
        <v>35</v>
      </c>
      <c r="I184" s="483">
        <v>0</v>
      </c>
      <c r="J184" s="483">
        <v>0</v>
      </c>
      <c r="K184" s="102">
        <f>IF(I184&gt;0,J184*100/I184,0)</f>
        <v>0</v>
      </c>
      <c r="L184" s="62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233" t="s">
        <v>35</v>
      </c>
      <c r="I185" s="718">
        <f ca="1">I230+I231</f>
        <v>0</v>
      </c>
      <c r="J185" s="718">
        <f>J230+J231</f>
        <v>0</v>
      </c>
      <c r="K185" s="717">
        <f ca="1">IF(I185&gt;0,J185*100/I185,0)</f>
        <v>0</v>
      </c>
      <c r="L185" s="237"/>
      <c r="M185" s="236"/>
      <c r="N185" s="236"/>
      <c r="O185" s="236"/>
      <c r="P185" s="236"/>
      <c r="Q185" s="236"/>
      <c r="R185" s="236"/>
      <c r="S185" s="236"/>
      <c r="T185" s="236"/>
      <c r="U185" s="236"/>
    </row>
    <row r="186" spans="1:21" ht="19.5">
      <c r="A186" s="155"/>
      <c r="B186" s="50"/>
      <c r="C186" s="156" t="s">
        <v>18</v>
      </c>
      <c r="D186" s="575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541">
        <f ca="1">L187+L188</f>
        <v>161500</v>
      </c>
      <c r="M186" s="540">
        <f ca="1">M187+M188</f>
        <v>136200</v>
      </c>
      <c r="N186" s="540">
        <f ca="1">N187+N188</f>
        <v>85480.03</v>
      </c>
      <c r="O186" s="540">
        <f ca="1">IF(L186&gt;0,N186*100/L186,0)</f>
        <v>52.928811145510835</v>
      </c>
      <c r="P186" s="540">
        <f ca="1">IF(M186&gt;0,N186*100/M186,0)</f>
        <v>62.76066813509545</v>
      </c>
      <c r="Q186" s="540">
        <f ca="1">Q187+Q188</f>
        <v>191100</v>
      </c>
      <c r="R186" s="540">
        <f ca="1">R187+R188</f>
        <v>191100</v>
      </c>
      <c r="S186" s="540">
        <f ca="1">S187+S188</f>
        <v>0</v>
      </c>
      <c r="T186" s="540">
        <f ca="1">IF(Q186&gt;0,S186*100/Q186,0)</f>
        <v>0</v>
      </c>
      <c r="U186" s="540">
        <f ca="1">IF(R186&gt;0,S186*100/R186,0)</f>
        <v>0</v>
      </c>
    </row>
    <row r="187" spans="1:21" ht="18.75" hidden="1">
      <c r="A187" s="155"/>
      <c r="B187" s="50"/>
      <c r="C187" s="50"/>
      <c r="D187" s="50"/>
      <c r="E187" s="186" t="s">
        <v>20</v>
      </c>
      <c r="F187" s="50"/>
      <c r="G187" s="52"/>
      <c r="H187" s="187" t="s">
        <v>14</v>
      </c>
      <c r="I187" s="54"/>
      <c r="J187" s="54"/>
      <c r="K187" s="55"/>
      <c r="L187" s="103">
        <f>L190+L193</f>
        <v>0</v>
      </c>
      <c r="M187" s="102">
        <f>M190+M193</f>
        <v>0</v>
      </c>
      <c r="N187" s="102">
        <f>N190+N193</f>
        <v>0</v>
      </c>
      <c r="O187" s="102">
        <f>IF(L187&gt;0,N187*100/L187,0)</f>
        <v>0</v>
      </c>
      <c r="P187" s="102">
        <f>IF(M187&gt;0,N187*100/M187,0)</f>
        <v>0</v>
      </c>
      <c r="Q187" s="102">
        <f>Q190+Q193</f>
        <v>0</v>
      </c>
      <c r="R187" s="102">
        <f>R190+R193</f>
        <v>0</v>
      </c>
      <c r="S187" s="102">
        <f>S190+S193</f>
        <v>0</v>
      </c>
      <c r="T187" s="102">
        <f>IF(Q187&gt;0,S187*100/Q187,0)</f>
        <v>0</v>
      </c>
      <c r="U187" s="102">
        <f>IF(R187&gt;0,S187*100/R187,0)</f>
        <v>0</v>
      </c>
    </row>
    <row r="188" spans="1:21" ht="18.75" hidden="1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256">
        <f ca="1">L191+L194</f>
        <v>161500</v>
      </c>
      <c r="M188" s="255">
        <f ca="1">M191+M194</f>
        <v>136200</v>
      </c>
      <c r="N188" s="255">
        <f ca="1">N191+N194</f>
        <v>85480.03</v>
      </c>
      <c r="O188" s="255">
        <f ca="1">IF(L188&gt;0,N188*100/L188,0)</f>
        <v>52.928811145510835</v>
      </c>
      <c r="P188" s="255">
        <f ca="1">IF(M188&gt;0,N188*100/M188,0)</f>
        <v>62.76066813509545</v>
      </c>
      <c r="Q188" s="255">
        <f ca="1">Q191+Q194</f>
        <v>191100</v>
      </c>
      <c r="R188" s="255">
        <f ca="1">R191+R194</f>
        <v>191100</v>
      </c>
      <c r="S188" s="255">
        <f ca="1">S191+S194</f>
        <v>0</v>
      </c>
      <c r="T188" s="255">
        <f ca="1">IF(Q188&gt;0,S188*100/Q188,0)</f>
        <v>0</v>
      </c>
      <c r="U188" s="255">
        <f ca="1">IF(R188&gt;0,S188*100/R188,0)</f>
        <v>0</v>
      </c>
    </row>
    <row r="189" spans="1:21" ht="18.75">
      <c r="A189" s="155"/>
      <c r="B189" s="50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256">
        <f ca="1">L190+L191</f>
        <v>161500</v>
      </c>
      <c r="M189" s="255">
        <f ca="1">M190+M191</f>
        <v>136200</v>
      </c>
      <c r="N189" s="255">
        <f ca="1">N190+N191</f>
        <v>85480.03</v>
      </c>
      <c r="O189" s="255">
        <f ca="1">IF(L189&gt;0,N189*100/L189,0)</f>
        <v>52.928811145510835</v>
      </c>
      <c r="P189" s="255">
        <f ca="1">IF(M189&gt;0,N189*100/M189,0)</f>
        <v>62.76066813509545</v>
      </c>
      <c r="Q189" s="255">
        <f ca="1">Q190+Q191</f>
        <v>191100</v>
      </c>
      <c r="R189" s="255">
        <f ca="1">R190+R191</f>
        <v>191100</v>
      </c>
      <c r="S189" s="255">
        <f ca="1">S190+S191</f>
        <v>0</v>
      </c>
      <c r="T189" s="255">
        <f ca="1">IF(Q189&gt;0,S189*100/Q189,0)</f>
        <v>0</v>
      </c>
      <c r="U189" s="255">
        <f ca="1">IF(R189&gt;0,S189*100/R189,0)</f>
        <v>0</v>
      </c>
    </row>
    <row r="190" spans="1:21" ht="18.75" hidden="1">
      <c r="A190" s="155"/>
      <c r="B190" s="50"/>
      <c r="C190" s="50"/>
      <c r="D190" s="50"/>
      <c r="E190" s="186" t="s">
        <v>36</v>
      </c>
      <c r="F190" s="50"/>
      <c r="G190" s="52"/>
      <c r="H190" s="189" t="s">
        <v>14</v>
      </c>
      <c r="I190" s="163"/>
      <c r="J190" s="163"/>
      <c r="K190" s="164"/>
      <c r="L190" s="103">
        <v>0</v>
      </c>
      <c r="M190" s="102">
        <v>0</v>
      </c>
      <c r="N190" s="102">
        <v>0</v>
      </c>
      <c r="O190" s="102">
        <f>IF(L190&gt;0,N190*100/L190,0)</f>
        <v>0</v>
      </c>
      <c r="P190" s="102">
        <f>IF(M190&gt;0,N190*100/M190,0)</f>
        <v>0</v>
      </c>
      <c r="Q190" s="102">
        <v>0</v>
      </c>
      <c r="R190" s="102">
        <v>0</v>
      </c>
      <c r="S190" s="102">
        <v>0</v>
      </c>
      <c r="T190" s="102">
        <f>IF(Q190&gt;0,S190*100/Q190,0)</f>
        <v>0</v>
      </c>
      <c r="U190" s="102">
        <f>IF(R190&gt;0,S190*100/R190,0)</f>
        <v>0</v>
      </c>
    </row>
    <row r="191" spans="1:21" ht="18.75" hidden="1">
      <c r="A191" s="155"/>
      <c r="B191" s="50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256">
        <f ca="1">IFERROR(__xludf.DUMMYFUNCTION("IMPORTRANGE(""https://docs.google.com/spreadsheets/d/1-uDff_7J0KD5mKrp0Vvzr7lt3OU09vwQwhkpOPPYv2Y/edit?usp=sharing"",""งบพรบ!CU48"")"),161500)</f>
        <v>161500</v>
      </c>
      <c r="M191" s="255">
        <f ca="1">IFERROR(__xludf.DUMMYFUNCTION("IMPORTRANGE(""https://docs.google.com/spreadsheets/d/1-uDff_7J0KD5mKrp0Vvzr7lt3OU09vwQwhkpOPPYv2Y/edit?usp=sharing"",""งบพรบ!CZ48"")"),136200)</f>
        <v>136200</v>
      </c>
      <c r="N191" s="255">
        <f ca="1">IFERROR(__xludf.DUMMYFUNCTION("IMPORTRANGE(""https://docs.google.com/spreadsheets/d/1-uDff_7J0KD5mKrp0Vvzr7lt3OU09vwQwhkpOPPYv2Y/edit?usp=sharing"",""งบพรบ!DB48"")"),85480.03)</f>
        <v>85480.03</v>
      </c>
      <c r="O191" s="255">
        <f ca="1">IF(L191&gt;0,N191*100/L191,0)</f>
        <v>52.928811145510835</v>
      </c>
      <c r="P191" s="255">
        <f ca="1">IF(M191&gt;0,N191*100/M191,0)</f>
        <v>62.76066813509545</v>
      </c>
      <c r="Q191" s="255">
        <f ca="1">IFERROR(__xludf.DUMMYFUNCTION("IMPORTRANGE(""https://docs.google.com/spreadsheets/d/1ItG2mGa2ceCfYo0BwxsXqNm01IGEUdYcSSLTEv9YCik/edit?usp=sharing"",""เบิกจ่ายกองทุน!AV48"")"),191100)</f>
        <v>191100</v>
      </c>
      <c r="R191" s="255">
        <f ca="1">IFERROR(__xludf.DUMMYFUNCTION("IMPORTRANGE(""https://docs.google.com/spreadsheets/d/1ItG2mGa2ceCfYo0BwxsXqNm01IGEUdYcSSLTEv9YCik/edit?usp=sharing"",""เบิกจ่ายกองทุน!AW48"")"),191100)</f>
        <v>191100</v>
      </c>
      <c r="S191" s="255">
        <f ca="1">IFERROR(__xludf.DUMMYFUNCTION("IMPORTRANGE(""https://docs.google.com/spreadsheets/d/1ItG2mGa2ceCfYo0BwxsXqNm01IGEUdYcSSLTEv9YCik/edit?usp=sharing"",""เบิกจ่ายกองทุน!AX48"")"),0)</f>
        <v>0</v>
      </c>
      <c r="T191" s="255">
        <f ca="1">IF(Q191&gt;0,S191*100/Q191,0)</f>
        <v>0</v>
      </c>
      <c r="U191" s="255">
        <f ca="1">IF(R191&gt;0,S191*100/R191,0)</f>
        <v>0</v>
      </c>
    </row>
    <row r="192" spans="1:21" ht="18.75">
      <c r="A192" s="155"/>
      <c r="B192" s="50"/>
      <c r="C192" s="50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256">
        <f ca="1">L193+L194</f>
        <v>0</v>
      </c>
      <c r="M192" s="255">
        <f ca="1">M193+M194</f>
        <v>0</v>
      </c>
      <c r="N192" s="255">
        <f ca="1">N193+N194</f>
        <v>0</v>
      </c>
      <c r="O192" s="255">
        <f ca="1">IF(L192&gt;0,N192*100/L192,0)</f>
        <v>0</v>
      </c>
      <c r="P192" s="255">
        <f ca="1">IF(M192&gt;0,N192*100/M192,0)</f>
        <v>0</v>
      </c>
      <c r="Q192" s="255">
        <f>Q193+Q194</f>
        <v>0</v>
      </c>
      <c r="R192" s="255">
        <f>R193+R194</f>
        <v>0</v>
      </c>
      <c r="S192" s="255">
        <f>S193+S194</f>
        <v>0</v>
      </c>
      <c r="T192" s="255">
        <f>IF(Q192&gt;0,S192*100/Q192,0)</f>
        <v>0</v>
      </c>
      <c r="U192" s="255">
        <f>IF(R192&gt;0,S192*100/R192,0)</f>
        <v>0</v>
      </c>
    </row>
    <row r="193" spans="1:21" ht="18.75" hidden="1">
      <c r="A193" s="155"/>
      <c r="B193" s="50"/>
      <c r="C193" s="50"/>
      <c r="D193" s="50"/>
      <c r="E193" s="186" t="s">
        <v>20</v>
      </c>
      <c r="F193" s="50"/>
      <c r="G193" s="52"/>
      <c r="H193" s="189" t="s">
        <v>14</v>
      </c>
      <c r="I193" s="163"/>
      <c r="J193" s="163"/>
      <c r="K193" s="164"/>
      <c r="L193" s="103">
        <v>0</v>
      </c>
      <c r="M193" s="102">
        <v>0</v>
      </c>
      <c r="N193" s="102">
        <v>0</v>
      </c>
      <c r="O193" s="102">
        <f>IF(L193&gt;0,N193*100/L193,0)</f>
        <v>0</v>
      </c>
      <c r="P193" s="102">
        <f>IF(M193&gt;0,N193*100/M193,0)</f>
        <v>0</v>
      </c>
      <c r="Q193" s="102">
        <v>0</v>
      </c>
      <c r="R193" s="102">
        <v>0</v>
      </c>
      <c r="S193" s="102">
        <v>0</v>
      </c>
      <c r="T193" s="102">
        <f>IF(Q193&gt;0,S193*100/Q193,0)</f>
        <v>0</v>
      </c>
      <c r="U193" s="102">
        <f>IF(R193&gt;0,S193*100/R193,0)</f>
        <v>0</v>
      </c>
    </row>
    <row r="194" spans="1:21" ht="18.75" hidden="1">
      <c r="A194" s="155"/>
      <c r="B194" s="50"/>
      <c r="C194" s="50"/>
      <c r="D194" s="50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256">
        <f ca="1">IFERROR(__xludf.DUMMYFUNCTION("IMPORTRANGE(""https://docs.google.com/spreadsheets/d/1-uDff_7J0KD5mKrp0Vvzr7lt3OU09vwQwhkpOPPYv2Y/edit?usp=sharing"",""งบพรบ!CX48"")"),0)</f>
        <v>0</v>
      </c>
      <c r="M194" s="255">
        <f ca="1">IFERROR(__xludf.DUMMYFUNCTION("IMPORTRANGE(""https://docs.google.com/spreadsheets/d/1-uDff_7J0KD5mKrp0Vvzr7lt3OU09vwQwhkpOPPYv2Y/edit?usp=sharing"",""งบพรบ!DA48"")"),0)</f>
        <v>0</v>
      </c>
      <c r="N194" s="255">
        <f ca="1">IFERROR(__xludf.DUMMYFUNCTION("IMPORTRANGE(""https://docs.google.com/spreadsheets/d/1-uDff_7J0KD5mKrp0Vvzr7lt3OU09vwQwhkpOPPYv2Y/edit?usp=sharing"",""งบพรบ!DC48"")"),0)</f>
        <v>0</v>
      </c>
      <c r="O194" s="255">
        <f ca="1">IF(L194&gt;0,N194*100/L194,0)</f>
        <v>0</v>
      </c>
      <c r="P194" s="255">
        <f ca="1">IF(M194&gt;0,N194*100/M194,0)</f>
        <v>0</v>
      </c>
      <c r="Q194" s="255">
        <v>0</v>
      </c>
      <c r="R194" s="255">
        <v>0</v>
      </c>
      <c r="S194" s="255">
        <v>0</v>
      </c>
      <c r="T194" s="255">
        <f>IF(Q194&gt;0,S194*100/Q194,0)</f>
        <v>0</v>
      </c>
      <c r="U194" s="255">
        <f>IF(R194&gt;0,S194*100/R194,0)</f>
        <v>0</v>
      </c>
    </row>
    <row r="195" spans="1:21" ht="19.5">
      <c r="A195" s="241"/>
      <c r="B195" s="242"/>
      <c r="C195" s="243" t="s">
        <v>78</v>
      </c>
      <c r="D195" s="244"/>
      <c r="E195" s="244"/>
      <c r="F195" s="244"/>
      <c r="G195" s="245"/>
      <c r="H195" s="246" t="s">
        <v>79</v>
      </c>
      <c r="I195" s="339">
        <f ca="1">I198</f>
        <v>4</v>
      </c>
      <c r="J195" s="339">
        <f>J198</f>
        <v>2</v>
      </c>
      <c r="K195" s="340">
        <f ca="1">IF(I195&gt;0,J195*100/I195,0)</f>
        <v>50</v>
      </c>
      <c r="L195" s="250"/>
      <c r="M195" s="249"/>
      <c r="N195" s="249"/>
      <c r="O195" s="249"/>
      <c r="P195" s="249"/>
      <c r="Q195" s="249"/>
      <c r="R195" s="249"/>
      <c r="S195" s="249"/>
      <c r="T195" s="249"/>
      <c r="U195" s="249"/>
    </row>
    <row r="196" spans="1:21" ht="19.5">
      <c r="A196" s="155"/>
      <c r="B196" s="50"/>
      <c r="C196" s="156" t="s">
        <v>18</v>
      </c>
      <c r="D196" s="713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541">
        <f ca="1">IFERROR(__xludf.DUMMYFUNCTION("IMPORTRANGE(""https://docs.google.com/spreadsheets/d/1eHaY18a8A9IcSdp1K8H6x8fbOy06t2VsZHhMHf-1x7Y/edit?usp=sharing"",""แผน!AB48"")"),6000)</f>
        <v>6000</v>
      </c>
      <c r="M196" s="55"/>
      <c r="N196" s="716">
        <v>1000</v>
      </c>
      <c r="O196" s="540">
        <f ca="1">IF(L196&gt;0,N196*100/L196,0)</f>
        <v>16.666666666666668</v>
      </c>
      <c r="P196" s="540">
        <f>IF(M196&gt;0,N196*100/M196,0)</f>
        <v>0</v>
      </c>
      <c r="Q196" s="55"/>
      <c r="R196" s="55"/>
      <c r="S196" s="55"/>
      <c r="T196" s="55"/>
      <c r="U196" s="55"/>
    </row>
    <row r="197" spans="1:21" ht="19.5">
      <c r="A197" s="166"/>
      <c r="B197" s="167"/>
      <c r="C197" s="156" t="s">
        <v>18</v>
      </c>
      <c r="D197" s="566" t="s">
        <v>38</v>
      </c>
      <c r="E197" s="169"/>
      <c r="F197" s="169"/>
      <c r="G197" s="170"/>
      <c r="H197" s="171"/>
      <c r="I197" s="54"/>
      <c r="J197" s="54"/>
      <c r="K197" s="55"/>
      <c r="L197" s="62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8.75">
      <c r="A198" s="166"/>
      <c r="B198" s="167"/>
      <c r="C198" s="167"/>
      <c r="D198" s="178" t="s">
        <v>80</v>
      </c>
      <c r="E198" s="174"/>
      <c r="F198" s="174"/>
      <c r="G198" s="171"/>
      <c r="H198" s="179" t="s">
        <v>79</v>
      </c>
      <c r="I198" s="212">
        <f ca="1">IFERROR(__xludf.DUMMYFUNCTION("IMPORTRANGE(""https://docs.google.com/spreadsheets/d/1eHaY18a8A9IcSdp1K8H6x8fbOy06t2VsZHhMHf-1x7Y/edit?usp=sharing"",""แผน!AE48"")"),4)</f>
        <v>4</v>
      </c>
      <c r="J198" s="467">
        <v>2</v>
      </c>
      <c r="K198" s="255">
        <f ca="1">IF(I198&gt;0,J198*100/I198,0)</f>
        <v>50</v>
      </c>
      <c r="L198" s="62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8.75">
      <c r="A199" s="166"/>
      <c r="B199" s="167"/>
      <c r="C199" s="167"/>
      <c r="D199" s="178" t="s">
        <v>81</v>
      </c>
      <c r="E199" s="174"/>
      <c r="F199" s="174"/>
      <c r="G199" s="171"/>
      <c r="H199" s="240" t="s">
        <v>35</v>
      </c>
      <c r="I199" s="54"/>
      <c r="J199" s="212">
        <f>J200+J201</f>
        <v>45</v>
      </c>
      <c r="K199" s="55"/>
      <c r="L199" s="62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467">
        <v>45</v>
      </c>
      <c r="K200" s="55"/>
      <c r="L200" s="62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40" t="s">
        <v>35</v>
      </c>
      <c r="I201" s="54"/>
      <c r="J201" s="467">
        <v>0</v>
      </c>
      <c r="K201" s="55"/>
      <c r="L201" s="62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254" t="s">
        <v>85</v>
      </c>
      <c r="I202" s="339">
        <f ca="1">I209</f>
        <v>3</v>
      </c>
      <c r="J202" s="339">
        <f>J209</f>
        <v>0</v>
      </c>
      <c r="K202" s="340">
        <f ca="1">IF(I202&gt;0,J202*100/I202,0)</f>
        <v>0</v>
      </c>
      <c r="L202" s="250"/>
      <c r="M202" s="249"/>
      <c r="N202" s="249"/>
      <c r="O202" s="249"/>
      <c r="P202" s="249"/>
      <c r="Q202" s="249"/>
      <c r="R202" s="249"/>
      <c r="S202" s="249"/>
      <c r="T202" s="249"/>
      <c r="U202" s="249"/>
    </row>
    <row r="203" spans="1:21" ht="19.5">
      <c r="A203" s="155"/>
      <c r="B203" s="50"/>
      <c r="C203" s="156" t="s">
        <v>18</v>
      </c>
      <c r="D203" s="713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541">
        <f ca="1">L204+L205+L206+L207</f>
        <v>10000</v>
      </c>
      <c r="M203" s="55"/>
      <c r="N203" s="540">
        <f>N204+N205+N206+N207</f>
        <v>0</v>
      </c>
      <c r="O203" s="540">
        <f ca="1">IF(L203&gt;0,N203*100/L203,0)</f>
        <v>0</v>
      </c>
      <c r="P203" s="540">
        <f>IF(M203&gt;0,N203*100/M203,0)</f>
        <v>0</v>
      </c>
      <c r="Q203" s="715">
        <f ca="1">Q204+Q205+Q206+Q207</f>
        <v>42000</v>
      </c>
      <c r="R203" s="350"/>
      <c r="S203" s="714">
        <f>S204+S205+S206+S207</f>
        <v>0</v>
      </c>
      <c r="T203" s="714">
        <f ca="1">IF(Q203&gt;0,S203*100/Q203,0)</f>
        <v>0</v>
      </c>
      <c r="U203" s="714">
        <f>IF(R203&gt;0,S203*100/R203,0)</f>
        <v>0</v>
      </c>
    </row>
    <row r="204" spans="1:21" ht="18.75">
      <c r="A204" s="155"/>
      <c r="B204" s="188"/>
      <c r="C204" s="50"/>
      <c r="D204" s="712" t="s">
        <v>310</v>
      </c>
      <c r="E204" s="50"/>
      <c r="F204" s="50"/>
      <c r="G204" s="52"/>
      <c r="H204" s="162" t="s">
        <v>14</v>
      </c>
      <c r="I204" s="163"/>
      <c r="J204" s="163"/>
      <c r="K204" s="164"/>
      <c r="L204" s="256">
        <f ca="1">IFERROR(__xludf.DUMMYFUNCTION("IMPORTRANGE(""https://docs.google.com/spreadsheets/d/1eHaY18a8A9IcSdp1K8H6x8fbOy06t2VsZHhMHf-1x7Y/edit?usp=sharing"",""แผน!AG48"")"),1000)</f>
        <v>1000</v>
      </c>
      <c r="M204" s="55"/>
      <c r="N204" s="702">
        <v>0</v>
      </c>
      <c r="O204" s="164"/>
      <c r="P204" s="55"/>
      <c r="Q204" s="256">
        <v>0</v>
      </c>
      <c r="R204" s="55"/>
      <c r="S204" s="255">
        <v>0</v>
      </c>
      <c r="T204" s="164"/>
      <c r="U204" s="55"/>
    </row>
    <row r="205" spans="1:21" ht="18.75">
      <c r="A205" s="238"/>
      <c r="B205" s="188"/>
      <c r="C205" s="50"/>
      <c r="D205" s="58" t="s">
        <v>308</v>
      </c>
      <c r="E205" s="50"/>
      <c r="F205" s="50"/>
      <c r="G205" s="52"/>
      <c r="H205" s="53" t="s">
        <v>14</v>
      </c>
      <c r="I205" s="54"/>
      <c r="J205" s="54"/>
      <c r="K205" s="55"/>
      <c r="L205" s="256">
        <f ca="1">IFERROR(__xludf.DUMMYFUNCTION("IMPORTRANGE(""https://docs.google.com/spreadsheets/d/1eHaY18a8A9IcSdp1K8H6x8fbOy06t2VsZHhMHf-1x7Y/edit?usp=sharing"",""แผน!AH48"")"),0)</f>
        <v>0</v>
      </c>
      <c r="M205" s="55"/>
      <c r="N205" s="702">
        <v>0</v>
      </c>
      <c r="O205" s="164"/>
      <c r="P205" s="55"/>
      <c r="Q205" s="256">
        <v>0</v>
      </c>
      <c r="R205" s="55"/>
      <c r="S205" s="255">
        <v>0</v>
      </c>
      <c r="T205" s="164"/>
      <c r="U205" s="55"/>
    </row>
    <row r="206" spans="1:21" ht="18.75">
      <c r="A206" s="238"/>
      <c r="B206" s="188"/>
      <c r="C206" s="50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256">
        <f ca="1">IFERROR(__xludf.DUMMYFUNCTION("IMPORTRANGE(""https://docs.google.com/spreadsheets/d/1eHaY18a8A9IcSdp1K8H6x8fbOy06t2VsZHhMHf-1x7Y/edit?usp=sharing"",""แผน!AI48"")"),0)</f>
        <v>0</v>
      </c>
      <c r="M206" s="55"/>
      <c r="N206" s="702">
        <v>0</v>
      </c>
      <c r="O206" s="164"/>
      <c r="P206" s="55"/>
      <c r="Q206" s="256">
        <f ca="1">IFERROR(__xludf.DUMMYFUNCTION("IMPORTRANGE(""https://docs.google.com/spreadsheets/d/1eHaY18a8A9IcSdp1K8H6x8fbOy06t2VsZHhMHf-1x7Y/edit?usp=sharing"",""แผน!LV48"")"),42000)</f>
        <v>42000</v>
      </c>
      <c r="R206" s="55"/>
      <c r="S206" s="702">
        <v>0</v>
      </c>
      <c r="T206" s="164"/>
      <c r="U206" s="55"/>
    </row>
    <row r="207" spans="1:21" ht="18.75">
      <c r="A207" s="238"/>
      <c r="B207" s="188"/>
      <c r="C207" s="50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256">
        <f ca="1">IFERROR(__xludf.DUMMYFUNCTION("IMPORTRANGE(""https://docs.google.com/spreadsheets/d/1eHaY18a8A9IcSdp1K8H6x8fbOy06t2VsZHhMHf-1x7Y/edit?usp=sharing"",""แผน!AJ48"")"),9000)</f>
        <v>9000</v>
      </c>
      <c r="M207" s="55"/>
      <c r="N207" s="702">
        <v>0</v>
      </c>
      <c r="O207" s="164"/>
      <c r="P207" s="55"/>
      <c r="Q207" s="256">
        <v>0</v>
      </c>
      <c r="R207" s="55"/>
      <c r="S207" s="255">
        <v>0</v>
      </c>
      <c r="T207" s="164"/>
      <c r="U207" s="55"/>
    </row>
    <row r="208" spans="1:21" ht="19.5">
      <c r="A208" s="166"/>
      <c r="B208" s="167"/>
      <c r="C208" s="156" t="s">
        <v>18</v>
      </c>
      <c r="D208" s="566" t="s">
        <v>38</v>
      </c>
      <c r="E208" s="169"/>
      <c r="F208" s="169"/>
      <c r="G208" s="170"/>
      <c r="H208" s="171"/>
      <c r="I208" s="163"/>
      <c r="J208" s="163"/>
      <c r="K208" s="164"/>
      <c r="L208" s="172"/>
      <c r="M208" s="164"/>
      <c r="N208" s="164"/>
      <c r="O208" s="164"/>
      <c r="P208" s="164"/>
      <c r="Q208" s="172"/>
      <c r="R208" s="164"/>
      <c r="S208" s="164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257" t="s">
        <v>85</v>
      </c>
      <c r="I209" s="212">
        <f ca="1">IFERROR(__xludf.DUMMYFUNCTION("IMPORTRANGE(""https://docs.google.com/spreadsheets/d/1eHaY18a8A9IcSdp1K8H6x8fbOy06t2VsZHhMHf-1x7Y/edit?usp=sharing"",""แผน!AK48"")"),3)</f>
        <v>3</v>
      </c>
      <c r="J209" s="467">
        <v>0</v>
      </c>
      <c r="K209" s="565">
        <f ca="1">IF(I209&gt;0,J209*100/I209,0)</f>
        <v>0</v>
      </c>
      <c r="L209" s="62"/>
      <c r="M209" s="55"/>
      <c r="N209" s="55"/>
      <c r="O209" s="55"/>
      <c r="P209" s="55"/>
      <c r="Q209" s="62"/>
      <c r="R209" s="55"/>
      <c r="S209" s="55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171"/>
      <c r="I210" s="54"/>
      <c r="J210" s="54"/>
      <c r="K210" s="164"/>
      <c r="L210" s="62"/>
      <c r="M210" s="55"/>
      <c r="N210" s="55"/>
      <c r="O210" s="55"/>
      <c r="P210" s="55"/>
      <c r="Q210" s="62"/>
      <c r="R210" s="55"/>
      <c r="S210" s="55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257" t="s">
        <v>85</v>
      </c>
      <c r="I211" s="212">
        <f ca="1">IFERROR(__xludf.DUMMYFUNCTION("IMPORTRANGE(""https://docs.google.com/spreadsheets/d/1eHaY18a8A9IcSdp1K8H6x8fbOy06t2VsZHhMHf-1x7Y/edit?usp=sharing"",""แผน!JX48"")"),1)</f>
        <v>1</v>
      </c>
      <c r="J211" s="467">
        <v>0</v>
      </c>
      <c r="K211" s="565">
        <f ca="1">IF(I211&gt;0,J211*100/I211,0)</f>
        <v>0</v>
      </c>
      <c r="L211" s="62"/>
      <c r="M211" s="55"/>
      <c r="N211" s="55"/>
      <c r="O211" s="55"/>
      <c r="P211" s="55"/>
      <c r="Q211" s="62"/>
      <c r="R211" s="55"/>
      <c r="S211" s="55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79" t="s">
        <v>93</v>
      </c>
      <c r="I212" s="212">
        <f ca="1">IFERROR(__xludf.DUMMYFUNCTION("IMPORTRANGE(""https://docs.google.com/spreadsheets/d/1eHaY18a8A9IcSdp1K8H6x8fbOy06t2VsZHhMHf-1x7Y/edit?usp=sharing"",""แผน!JY48"")"),1)</f>
        <v>1</v>
      </c>
      <c r="J212" s="467">
        <v>0</v>
      </c>
      <c r="K212" s="565">
        <f ca="1">IF(I212&gt;0,J212*100/I212,0)</f>
        <v>0</v>
      </c>
      <c r="L212" s="62"/>
      <c r="M212" s="55"/>
      <c r="N212" s="55"/>
      <c r="O212" s="55"/>
      <c r="P212" s="55"/>
      <c r="Q212" s="62"/>
      <c r="R212" s="55"/>
      <c r="S212" s="55"/>
      <c r="T212" s="55"/>
      <c r="U212" s="55"/>
    </row>
    <row r="213" spans="1:21" ht="19.5">
      <c r="A213" s="241"/>
      <c r="B213" s="242"/>
      <c r="C213" s="243" t="s">
        <v>94</v>
      </c>
      <c r="D213" s="244"/>
      <c r="E213" s="244"/>
      <c r="F213" s="244"/>
      <c r="G213" s="245"/>
      <c r="H213" s="254" t="s">
        <v>85</v>
      </c>
      <c r="I213" s="339">
        <f ca="1">I220</f>
        <v>3</v>
      </c>
      <c r="J213" s="339">
        <f>J220</f>
        <v>0</v>
      </c>
      <c r="K213" s="340">
        <f ca="1">IF(I213&gt;0,J213*100/I213,0)</f>
        <v>0</v>
      </c>
      <c r="L213" s="250"/>
      <c r="M213" s="249"/>
      <c r="N213" s="249"/>
      <c r="O213" s="249"/>
      <c r="P213" s="249"/>
      <c r="Q213" s="250"/>
      <c r="R213" s="249"/>
      <c r="S213" s="249"/>
      <c r="T213" s="249"/>
      <c r="U213" s="249"/>
    </row>
    <row r="214" spans="1:21" ht="19.5">
      <c r="A214" s="155"/>
      <c r="B214" s="50"/>
      <c r="C214" s="156" t="s">
        <v>18</v>
      </c>
      <c r="D214" s="713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541">
        <f ca="1">L215+L216+L217</f>
        <v>18000</v>
      </c>
      <c r="M214" s="55"/>
      <c r="N214" s="540">
        <f>N215+N216+N217</f>
        <v>0</v>
      </c>
      <c r="O214" s="540">
        <f ca="1">IF(L214&gt;0,N214*100/L214,0)</f>
        <v>0</v>
      </c>
      <c r="P214" s="540">
        <f>IF(M214&gt;0,N214*100/M214,0)</f>
        <v>0</v>
      </c>
      <c r="Q214" s="541">
        <f ca="1">Q215+Q216+Q217</f>
        <v>149100</v>
      </c>
      <c r="R214" s="55"/>
      <c r="S214" s="540">
        <f>S215+S216+S217</f>
        <v>0</v>
      </c>
      <c r="T214" s="540">
        <f ca="1">IF(Q214&gt;0,S214*100/Q214,0)</f>
        <v>0</v>
      </c>
      <c r="U214" s="540">
        <f>IF(R214&gt;0,S214*100/R214,0)</f>
        <v>0</v>
      </c>
    </row>
    <row r="215" spans="1:21" ht="18.75">
      <c r="A215" s="155"/>
      <c r="B215" s="188"/>
      <c r="C215" s="50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256">
        <f ca="1">IFERROR(__xludf.DUMMYFUNCTION("IMPORTRANGE(""https://docs.google.com/spreadsheets/d/1eHaY18a8A9IcSdp1K8H6x8fbOy06t2VsZHhMHf-1x7Y/edit?usp=sharing"",""แผน!AM48"")"),3000)</f>
        <v>3000</v>
      </c>
      <c r="M215" s="55"/>
      <c r="N215" s="702">
        <v>0</v>
      </c>
      <c r="O215" s="164"/>
      <c r="P215" s="55"/>
      <c r="Q215" s="256">
        <v>0</v>
      </c>
      <c r="R215" s="55"/>
      <c r="S215" s="255">
        <v>0</v>
      </c>
      <c r="T215" s="164"/>
      <c r="U215" s="55"/>
    </row>
    <row r="216" spans="1:21" ht="18.75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256">
        <f ca="1">IFERROR(__xludf.DUMMYFUNCTION("IMPORTRANGE(""https://docs.google.com/spreadsheets/d/1eHaY18a8A9IcSdp1K8H6x8fbOy06t2VsZHhMHf-1x7Y/edit?usp=sharing"",""แผน!AN48"")"),15000)</f>
        <v>15000</v>
      </c>
      <c r="M216" s="55"/>
      <c r="N216" s="702">
        <v>0</v>
      </c>
      <c r="O216" s="164"/>
      <c r="P216" s="55"/>
      <c r="Q216" s="256">
        <v>0</v>
      </c>
      <c r="R216" s="55"/>
      <c r="S216" s="255">
        <v>0</v>
      </c>
      <c r="T216" s="164"/>
      <c r="U216" s="55"/>
    </row>
    <row r="217" spans="1:21" ht="18.75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256">
        <f ca="1">IFERROR(__xludf.DUMMYFUNCTION("IMPORTRANGE(""https://docs.google.com/spreadsheets/d/1eHaY18a8A9IcSdp1K8H6x8fbOy06t2VsZHhMHf-1x7Y/edit?usp=sharing"",""แผน!AO48"")"),0)</f>
        <v>0</v>
      </c>
      <c r="M217" s="55"/>
      <c r="N217" s="702">
        <v>0</v>
      </c>
      <c r="O217" s="164"/>
      <c r="P217" s="55"/>
      <c r="Q217" s="256">
        <f ca="1">IFERROR(__xludf.DUMMYFUNCTION("IMPORTRANGE(""https://docs.google.com/spreadsheets/d/1eHaY18a8A9IcSdp1K8H6x8fbOy06t2VsZHhMHf-1x7Y/edit?usp=sharing"",""แผน!LY48"")"),149100)</f>
        <v>149100</v>
      </c>
      <c r="R217" s="55"/>
      <c r="S217" s="702">
        <v>0</v>
      </c>
      <c r="T217" s="164"/>
      <c r="U217" s="55"/>
    </row>
    <row r="218" spans="1:21" ht="19.5">
      <c r="A218" s="166"/>
      <c r="B218" s="167"/>
      <c r="C218" s="191" t="s">
        <v>18</v>
      </c>
      <c r="D218" s="566" t="s">
        <v>38</v>
      </c>
      <c r="E218" s="169"/>
      <c r="F218" s="169"/>
      <c r="G218" s="170"/>
      <c r="H218" s="171"/>
      <c r="I218" s="163"/>
      <c r="J218" s="54"/>
      <c r="K218" s="55"/>
      <c r="L218" s="62"/>
      <c r="M218" s="55"/>
      <c r="N218" s="55"/>
      <c r="O218" s="164"/>
      <c r="P218" s="164"/>
      <c r="Q218" s="62"/>
      <c r="R218" s="55"/>
      <c r="S218" s="55"/>
      <c r="T218" s="164"/>
      <c r="U218" s="164"/>
    </row>
    <row r="219" spans="1:21" ht="18.75">
      <c r="A219" s="166"/>
      <c r="B219" s="167"/>
      <c r="C219" s="167"/>
      <c r="D219" s="173" t="s">
        <v>96</v>
      </c>
      <c r="E219" s="174"/>
      <c r="F219" s="174"/>
      <c r="G219" s="171"/>
      <c r="H219" s="257" t="s">
        <v>85</v>
      </c>
      <c r="I219" s="212">
        <f ca="1">IFERROR(__xludf.DUMMYFUNCTION("IMPORTRANGE(""https://docs.google.com/spreadsheets/d/1eHaY18a8A9IcSdp1K8H6x8fbOy06t2VsZHhMHf-1x7Y/edit?usp=sharing"",""แผน!AP48"")"),3)</f>
        <v>3</v>
      </c>
      <c r="J219" s="467">
        <v>0</v>
      </c>
      <c r="K219" s="255">
        <f ca="1">IF(I219&gt;0,J219*100/I219,0)</f>
        <v>0</v>
      </c>
      <c r="L219" s="62"/>
      <c r="M219" s="55"/>
      <c r="N219" s="55"/>
      <c r="O219" s="55"/>
      <c r="P219" s="55"/>
      <c r="Q219" s="62"/>
      <c r="R219" s="55"/>
      <c r="S219" s="55"/>
      <c r="T219" s="55"/>
      <c r="U219" s="55"/>
    </row>
    <row r="220" spans="1:21" ht="18.75">
      <c r="A220" s="166"/>
      <c r="B220" s="167"/>
      <c r="C220" s="167"/>
      <c r="D220" s="173" t="s">
        <v>97</v>
      </c>
      <c r="E220" s="174"/>
      <c r="F220" s="174"/>
      <c r="G220" s="171"/>
      <c r="H220" s="257" t="s">
        <v>85</v>
      </c>
      <c r="I220" s="212">
        <f ca="1">IFERROR(__xludf.DUMMYFUNCTION("IMPORTRANGE(""https://docs.google.com/spreadsheets/d/1eHaY18a8A9IcSdp1K8H6x8fbOy06t2VsZHhMHf-1x7Y/edit?usp=sharing"",""แผน!AP48"")"),3)</f>
        <v>3</v>
      </c>
      <c r="J220" s="467">
        <v>0</v>
      </c>
      <c r="K220" s="255">
        <f ca="1">IF(I220&gt;0,J220*100/I220,0)</f>
        <v>0</v>
      </c>
      <c r="L220" s="62"/>
      <c r="M220" s="55"/>
      <c r="N220" s="55"/>
      <c r="O220" s="55"/>
      <c r="P220" s="55"/>
      <c r="Q220" s="62"/>
      <c r="R220" s="55"/>
      <c r="S220" s="55"/>
      <c r="T220" s="55"/>
      <c r="U220" s="55"/>
    </row>
    <row r="221" spans="1:21" ht="19.5">
      <c r="A221" s="241"/>
      <c r="B221" s="242"/>
      <c r="C221" s="243" t="s">
        <v>98</v>
      </c>
      <c r="D221" s="244"/>
      <c r="E221" s="244"/>
      <c r="F221" s="244"/>
      <c r="G221" s="245"/>
      <c r="H221" s="246" t="s">
        <v>99</v>
      </c>
      <c r="I221" s="339">
        <f ca="1">I229</f>
        <v>10000</v>
      </c>
      <c r="J221" s="339">
        <f>J229</f>
        <v>0</v>
      </c>
      <c r="K221" s="340">
        <f ca="1">IF(I221&gt;0,J221*100/I221,0)</f>
        <v>0</v>
      </c>
      <c r="L221" s="250"/>
      <c r="M221" s="249"/>
      <c r="N221" s="249"/>
      <c r="O221" s="249"/>
      <c r="P221" s="249"/>
      <c r="Q221" s="249"/>
      <c r="R221" s="249"/>
      <c r="S221" s="249"/>
      <c r="T221" s="249"/>
      <c r="U221" s="249"/>
    </row>
    <row r="222" spans="1:21" ht="19.5">
      <c r="A222" s="155"/>
      <c r="B222" s="50"/>
      <c r="C222" s="156" t="s">
        <v>18</v>
      </c>
      <c r="D222" s="713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541">
        <f ca="1">L223+L224+L225</f>
        <v>4500</v>
      </c>
      <c r="M222" s="55"/>
      <c r="N222" s="540">
        <f>N223+N224+N225</f>
        <v>0</v>
      </c>
      <c r="O222" s="540">
        <f ca="1">IF(L222&gt;0,N222*100/L222,0)</f>
        <v>0</v>
      </c>
      <c r="P222" s="540">
        <f>IF(M222&gt;0,N222*100/M222,0)</f>
        <v>0</v>
      </c>
      <c r="Q222" s="55"/>
      <c r="R222" s="55"/>
      <c r="S222" s="55"/>
      <c r="T222" s="55"/>
      <c r="U222" s="55"/>
    </row>
    <row r="223" spans="1:21" ht="18.75">
      <c r="A223" s="155"/>
      <c r="B223" s="188"/>
      <c r="C223" s="50"/>
      <c r="D223" s="712" t="s">
        <v>309</v>
      </c>
      <c r="E223" s="50"/>
      <c r="F223" s="50"/>
      <c r="G223" s="52"/>
      <c r="H223" s="162" t="s">
        <v>14</v>
      </c>
      <c r="I223" s="163"/>
      <c r="J223" s="163"/>
      <c r="K223" s="164"/>
      <c r="L223" s="256">
        <f ca="1">IFERROR(__xludf.DUMMYFUNCTION("IMPORTRANGE(""https://docs.google.com/spreadsheets/d/1eHaY18a8A9IcSdp1K8H6x8fbOy06t2VsZHhMHf-1x7Y/edit?usp=sharing"",""แผน!AR48"")"),2500)</f>
        <v>2500</v>
      </c>
      <c r="M223" s="55"/>
      <c r="N223" s="702">
        <v>0</v>
      </c>
      <c r="O223" s="164"/>
      <c r="P223" s="55"/>
      <c r="Q223" s="55"/>
      <c r="R223" s="55"/>
      <c r="S223" s="55"/>
      <c r="T223" s="164"/>
      <c r="U223" s="55"/>
    </row>
    <row r="224" spans="1:21" ht="18.75">
      <c r="A224" s="238"/>
      <c r="B224" s="188"/>
      <c r="C224" s="188"/>
      <c r="D224" s="58" t="s">
        <v>308</v>
      </c>
      <c r="E224" s="50"/>
      <c r="F224" s="50"/>
      <c r="G224" s="52"/>
      <c r="H224" s="162" t="s">
        <v>14</v>
      </c>
      <c r="I224" s="54"/>
      <c r="J224" s="54"/>
      <c r="K224" s="55"/>
      <c r="L224" s="256">
        <f ca="1">IFERROR(__xludf.DUMMYFUNCTION("IMPORTRANGE(""https://docs.google.com/spreadsheets/d/1eHaY18a8A9IcSdp1K8H6x8fbOy06t2VsZHhMHf-1x7Y/edit?usp=sharing"",""แผน!AS48"")"),2000)</f>
        <v>2000</v>
      </c>
      <c r="M224" s="55"/>
      <c r="N224" s="702">
        <v>0</v>
      </c>
      <c r="O224" s="164"/>
      <c r="P224" s="55"/>
      <c r="Q224" s="55"/>
      <c r="R224" s="55"/>
      <c r="S224" s="55"/>
      <c r="T224" s="164"/>
      <c r="U224" s="55"/>
    </row>
    <row r="225" spans="1:21" ht="18.75">
      <c r="A225" s="238"/>
      <c r="B225" s="188"/>
      <c r="C225" s="188"/>
      <c r="D225" s="58" t="s">
        <v>88</v>
      </c>
      <c r="E225" s="50"/>
      <c r="F225" s="50"/>
      <c r="G225" s="52"/>
      <c r="H225" s="162" t="s">
        <v>14</v>
      </c>
      <c r="I225" s="54"/>
      <c r="J225" s="54"/>
      <c r="K225" s="55"/>
      <c r="L225" s="256">
        <f ca="1">IFERROR(__xludf.DUMMYFUNCTION("IMPORTRANGE(""https://docs.google.com/spreadsheets/d/1eHaY18a8A9IcSdp1K8H6x8fbOy06t2VsZHhMHf-1x7Y/edit?usp=sharing"",""แผน!AT48"")"),0)</f>
        <v>0</v>
      </c>
      <c r="M225" s="55"/>
      <c r="N225" s="702">
        <v>0</v>
      </c>
      <c r="O225" s="164"/>
      <c r="P225" s="55"/>
      <c r="Q225" s="55"/>
      <c r="R225" s="55"/>
      <c r="S225" s="55"/>
      <c r="T225" s="164"/>
      <c r="U225" s="55"/>
    </row>
    <row r="226" spans="1:21" ht="19.5">
      <c r="A226" s="166"/>
      <c r="B226" s="167"/>
      <c r="C226" s="191" t="s">
        <v>18</v>
      </c>
      <c r="D226" s="566" t="s">
        <v>38</v>
      </c>
      <c r="E226" s="169"/>
      <c r="F226" s="169"/>
      <c r="G226" s="170"/>
      <c r="H226" s="171"/>
      <c r="I226" s="163"/>
      <c r="J226" s="163"/>
      <c r="K226" s="164"/>
      <c r="L226" s="172"/>
      <c r="M226" s="164"/>
      <c r="N226" s="164"/>
      <c r="O226" s="164"/>
      <c r="P226" s="164"/>
      <c r="Q226" s="164"/>
      <c r="R226" s="164"/>
      <c r="S226" s="164"/>
      <c r="T226" s="164"/>
      <c r="U226" s="164"/>
    </row>
    <row r="227" spans="1:21" ht="18.75">
      <c r="A227" s="166"/>
      <c r="B227" s="167"/>
      <c r="C227" s="167"/>
      <c r="D227" s="58" t="s">
        <v>101</v>
      </c>
      <c r="E227" s="174"/>
      <c r="F227" s="174"/>
      <c r="G227" s="171"/>
      <c r="H227" s="171"/>
      <c r="I227" s="54"/>
      <c r="J227" s="54"/>
      <c r="K227" s="164"/>
      <c r="L227" s="172"/>
      <c r="M227" s="164"/>
      <c r="N227" s="164"/>
      <c r="O227" s="164"/>
      <c r="P227" s="164"/>
      <c r="Q227" s="164"/>
      <c r="R227" s="164"/>
      <c r="S227" s="164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79" t="s">
        <v>99</v>
      </c>
      <c r="I228" s="212">
        <f ca="1">IFERROR(__xludf.DUMMYFUNCTION("IMPORTRANGE(""https://docs.google.com/spreadsheets/d/1eHaY18a8A9IcSdp1K8H6x8fbOy06t2VsZHhMHf-1x7Y/edit?usp=sharing"",""แผน!AV48"")"),10000)</f>
        <v>10000</v>
      </c>
      <c r="J228" s="467">
        <v>0</v>
      </c>
      <c r="K228" s="565">
        <f ca="1">IF(I228&gt;0,J228*100/I228,0)</f>
        <v>0</v>
      </c>
      <c r="L228" s="172"/>
      <c r="M228" s="164"/>
      <c r="N228" s="164"/>
      <c r="O228" s="164"/>
      <c r="P228" s="164"/>
      <c r="Q228" s="164"/>
      <c r="R228" s="164"/>
      <c r="S228" s="164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79" t="s">
        <v>99</v>
      </c>
      <c r="I229" s="212">
        <f ca="1">IFERROR(__xludf.DUMMYFUNCTION("IMPORTRANGE(""https://docs.google.com/spreadsheets/d/1eHaY18a8A9IcSdp1K8H6x8fbOy06t2VsZHhMHf-1x7Y/edit?usp=sharing"",""แผน!AV48"")"),10000)</f>
        <v>10000</v>
      </c>
      <c r="J229" s="467">
        <v>0</v>
      </c>
      <c r="K229" s="565">
        <f ca="1">IF(I229&gt;0,J229*100/I229,0)</f>
        <v>0</v>
      </c>
      <c r="L229" s="62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79" t="s">
        <v>35</v>
      </c>
      <c r="I230" s="212">
        <f ca="1">IFERROR(__xludf.DUMMYFUNCTION("IMPORTRANGE(""https://docs.google.com/spreadsheets/d/1eHaY18a8A9IcSdp1K8H6x8fbOy06t2VsZHhMHf-1x7Y/edit?usp=sharing"",""แผน!AU48"")"),0)</f>
        <v>0</v>
      </c>
      <c r="J230" s="467">
        <v>0</v>
      </c>
      <c r="K230" s="565">
        <f ca="1">IF(I230&gt;0,J230*100/I230,0)</f>
        <v>0</v>
      </c>
      <c r="L230" s="62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9.5" hidden="1">
      <c r="A231" s="241"/>
      <c r="B231" s="242"/>
      <c r="C231" s="243" t="s">
        <v>105</v>
      </c>
      <c r="D231" s="244"/>
      <c r="E231" s="244"/>
      <c r="F231" s="244"/>
      <c r="G231" s="245"/>
      <c r="H231" s="246" t="s">
        <v>35</v>
      </c>
      <c r="I231" s="339">
        <f ca="1">I242+I253</f>
        <v>0</v>
      </c>
      <c r="J231" s="339">
        <f>J242+J253</f>
        <v>0</v>
      </c>
      <c r="K231" s="340">
        <f ca="1">IF(I231&gt;0,J231*100/I231,0)</f>
        <v>0</v>
      </c>
      <c r="L231" s="250"/>
      <c r="M231" s="249"/>
      <c r="N231" s="249"/>
      <c r="O231" s="249"/>
      <c r="P231" s="249"/>
      <c r="Q231" s="249"/>
      <c r="R231" s="249"/>
      <c r="S231" s="249"/>
      <c r="T231" s="249"/>
      <c r="U231" s="249"/>
    </row>
    <row r="232" spans="1:21" ht="19.5" hidden="1">
      <c r="A232" s="155"/>
      <c r="B232" s="50"/>
      <c r="C232" s="156" t="s">
        <v>18</v>
      </c>
      <c r="D232" s="575" t="s">
        <v>19</v>
      </c>
      <c r="E232" s="50"/>
      <c r="F232" s="50"/>
      <c r="G232" s="52"/>
      <c r="H232" s="252" t="s">
        <v>14</v>
      </c>
      <c r="I232" s="163"/>
      <c r="J232" s="163"/>
      <c r="K232" s="164"/>
      <c r="L232" s="711">
        <f ca="1">L243+L254</f>
        <v>0</v>
      </c>
      <c r="M232" s="55"/>
      <c r="N232" s="710">
        <f>N243+N254</f>
        <v>0</v>
      </c>
      <c r="O232" s="55"/>
      <c r="P232" s="55"/>
      <c r="Q232" s="55"/>
      <c r="R232" s="55"/>
      <c r="S232" s="55"/>
      <c r="T232" s="55"/>
      <c r="U232" s="55"/>
    </row>
    <row r="233" spans="1:21" ht="18.75" hidden="1">
      <c r="A233" s="155"/>
      <c r="B233" s="188"/>
      <c r="C233" s="50"/>
      <c r="D233" s="58" t="s">
        <v>86</v>
      </c>
      <c r="E233" s="50"/>
      <c r="F233" s="50"/>
      <c r="G233" s="52"/>
      <c r="H233" s="162" t="s">
        <v>14</v>
      </c>
      <c r="I233" s="163"/>
      <c r="J233" s="163"/>
      <c r="K233" s="164"/>
      <c r="L233" s="103">
        <f ca="1">L244+L255</f>
        <v>0</v>
      </c>
      <c r="M233" s="55"/>
      <c r="N233" s="102">
        <f>N244+N255</f>
        <v>0</v>
      </c>
      <c r="O233" s="55"/>
      <c r="P233" s="55"/>
      <c r="Q233" s="709">
        <v>0</v>
      </c>
      <c r="R233" s="708">
        <v>0</v>
      </c>
      <c r="S233" s="708">
        <v>0</v>
      </c>
      <c r="T233" s="55"/>
      <c r="U233" s="55"/>
    </row>
    <row r="234" spans="1:21" ht="18.75" hidden="1">
      <c r="A234" s="238"/>
      <c r="B234" s="188"/>
      <c r="C234" s="188"/>
      <c r="D234" s="58" t="s">
        <v>88</v>
      </c>
      <c r="E234" s="50"/>
      <c r="F234" s="50"/>
      <c r="G234" s="52"/>
      <c r="H234" s="162" t="s">
        <v>14</v>
      </c>
      <c r="I234" s="54"/>
      <c r="J234" s="54"/>
      <c r="K234" s="55"/>
      <c r="L234" s="103">
        <f ca="1">L245+L256</f>
        <v>0</v>
      </c>
      <c r="M234" s="55"/>
      <c r="N234" s="102">
        <f>N245+N256</f>
        <v>0</v>
      </c>
      <c r="O234" s="55"/>
      <c r="P234" s="55"/>
      <c r="Q234" s="256">
        <v>0</v>
      </c>
      <c r="R234" s="255">
        <v>0</v>
      </c>
      <c r="S234" s="255">
        <v>0</v>
      </c>
      <c r="T234" s="55"/>
      <c r="U234" s="55"/>
    </row>
    <row r="235" spans="1:21" ht="18.75" hidden="1">
      <c r="A235" s="238"/>
      <c r="B235" s="188"/>
      <c r="C235" s="188"/>
      <c r="D235" s="58" t="s">
        <v>106</v>
      </c>
      <c r="E235" s="50"/>
      <c r="F235" s="50"/>
      <c r="G235" s="52"/>
      <c r="H235" s="162" t="s">
        <v>14</v>
      </c>
      <c r="I235" s="54"/>
      <c r="J235" s="54"/>
      <c r="K235" s="55"/>
      <c r="L235" s="103">
        <f ca="1">L246+L257</f>
        <v>0</v>
      </c>
      <c r="M235" s="55"/>
      <c r="N235" s="102">
        <f>N246+N257</f>
        <v>0</v>
      </c>
      <c r="O235" s="55"/>
      <c r="P235" s="55"/>
      <c r="Q235" s="256">
        <v>0</v>
      </c>
      <c r="R235" s="255">
        <v>0</v>
      </c>
      <c r="S235" s="255">
        <v>0</v>
      </c>
      <c r="T235" s="55"/>
      <c r="U235" s="55"/>
    </row>
    <row r="236" spans="1:21" ht="18.75" hidden="1">
      <c r="A236" s="238"/>
      <c r="B236" s="188"/>
      <c r="C236" s="188"/>
      <c r="D236" s="58" t="s">
        <v>107</v>
      </c>
      <c r="E236" s="50"/>
      <c r="F236" s="50"/>
      <c r="G236" s="52"/>
      <c r="H236" s="162" t="s">
        <v>14</v>
      </c>
      <c r="I236" s="54"/>
      <c r="J236" s="54"/>
      <c r="K236" s="55"/>
      <c r="L236" s="103">
        <f ca="1">L247+L258</f>
        <v>0</v>
      </c>
      <c r="M236" s="55"/>
      <c r="N236" s="102">
        <f>N247+N258</f>
        <v>0</v>
      </c>
      <c r="O236" s="55"/>
      <c r="P236" s="55"/>
      <c r="Q236" s="256">
        <v>0</v>
      </c>
      <c r="R236" s="255">
        <v>0</v>
      </c>
      <c r="S236" s="255">
        <v>0</v>
      </c>
      <c r="T236" s="55"/>
      <c r="U236" s="55"/>
    </row>
    <row r="237" spans="1:21" ht="19.5" hidden="1">
      <c r="A237" s="166"/>
      <c r="B237" s="167"/>
      <c r="C237" s="191" t="s">
        <v>18</v>
      </c>
      <c r="D237" s="566" t="s">
        <v>38</v>
      </c>
      <c r="E237" s="169"/>
      <c r="F237" s="169"/>
      <c r="G237" s="170"/>
      <c r="H237" s="171"/>
      <c r="I237" s="163"/>
      <c r="J237" s="54"/>
      <c r="K237" s="55"/>
      <c r="L237" s="62"/>
      <c r="M237" s="55"/>
      <c r="N237" s="55"/>
      <c r="O237" s="164"/>
      <c r="P237" s="164"/>
      <c r="Q237" s="55"/>
      <c r="R237" s="55"/>
      <c r="S237" s="55"/>
      <c r="T237" s="164"/>
      <c r="U237" s="164"/>
    </row>
    <row r="238" spans="1:21" ht="18.75" hidden="1">
      <c r="A238" s="166"/>
      <c r="B238" s="167"/>
      <c r="C238" s="167"/>
      <c r="D238" s="178" t="s">
        <v>108</v>
      </c>
      <c r="E238" s="174"/>
      <c r="F238" s="174"/>
      <c r="G238" s="171"/>
      <c r="H238" s="179" t="s">
        <v>35</v>
      </c>
      <c r="I238" s="212">
        <f ca="1">I249+I260</f>
        <v>0</v>
      </c>
      <c r="J238" s="212">
        <f>J249+J260</f>
        <v>0</v>
      </c>
      <c r="K238" s="255">
        <f ca="1">IF(I238&gt;0,J238*100/I238,0)</f>
        <v>0</v>
      </c>
      <c r="L238" s="62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ht="18.75" hidden="1">
      <c r="A239" s="166"/>
      <c r="B239" s="167"/>
      <c r="C239" s="167"/>
      <c r="D239" s="266" t="s">
        <v>43</v>
      </c>
      <c r="E239" s="174"/>
      <c r="F239" s="174"/>
      <c r="G239" s="171"/>
      <c r="H239" s="171"/>
      <c r="I239" s="54"/>
      <c r="J239" s="54"/>
      <c r="K239" s="55"/>
      <c r="L239" s="62"/>
      <c r="M239" s="55"/>
      <c r="N239" s="55"/>
      <c r="O239" s="164"/>
      <c r="P239" s="164"/>
      <c r="Q239" s="55"/>
      <c r="R239" s="55"/>
      <c r="S239" s="55"/>
      <c r="T239" s="164"/>
      <c r="U239" s="164"/>
    </row>
    <row r="240" spans="1:21" ht="18.75" hidden="1">
      <c r="A240" s="166"/>
      <c r="B240" s="167"/>
      <c r="C240" s="167"/>
      <c r="D240" s="167"/>
      <c r="E240" s="173" t="s">
        <v>109</v>
      </c>
      <c r="F240" s="174"/>
      <c r="G240" s="171"/>
      <c r="H240" s="179" t="s">
        <v>35</v>
      </c>
      <c r="I240" s="212">
        <f>I251+I262</f>
        <v>0</v>
      </c>
      <c r="J240" s="212">
        <f>J251+J262</f>
        <v>0</v>
      </c>
      <c r="K240" s="255">
        <f>IF(I240&gt;0,J240*100/I240,0)</f>
        <v>0</v>
      </c>
      <c r="L240" s="62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ht="18.75" hidden="1">
      <c r="A241" s="166"/>
      <c r="B241" s="167"/>
      <c r="C241" s="167"/>
      <c r="D241" s="167"/>
      <c r="E241" s="173" t="s">
        <v>110</v>
      </c>
      <c r="F241" s="174"/>
      <c r="G241" s="171"/>
      <c r="H241" s="179" t="s">
        <v>61</v>
      </c>
      <c r="I241" s="212">
        <f>I252+I263</f>
        <v>0</v>
      </c>
      <c r="J241" s="212">
        <f>J252+J263</f>
        <v>0</v>
      </c>
      <c r="K241" s="255">
        <f>IF(I241&gt;0,J241*100/I241,0)</f>
        <v>0</v>
      </c>
      <c r="L241" s="62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ht="19.5" hidden="1">
      <c r="A242" s="241"/>
      <c r="B242" s="242"/>
      <c r="C242" s="707" t="s">
        <v>111</v>
      </c>
      <c r="D242" s="244"/>
      <c r="E242" s="244"/>
      <c r="F242" s="244"/>
      <c r="G242" s="245"/>
      <c r="H242" s="706" t="s">
        <v>35</v>
      </c>
      <c r="I242" s="705">
        <f ca="1">I249</f>
        <v>0</v>
      </c>
      <c r="J242" s="705">
        <f>J249</f>
        <v>0</v>
      </c>
      <c r="K242" s="704">
        <f ca="1">IF(I242&gt;0,J242*100/I242,0)</f>
        <v>0</v>
      </c>
      <c r="L242" s="250"/>
      <c r="M242" s="249"/>
      <c r="N242" s="249"/>
      <c r="O242" s="249"/>
      <c r="P242" s="249"/>
      <c r="Q242" s="249"/>
      <c r="R242" s="249"/>
      <c r="S242" s="249"/>
      <c r="T242" s="249"/>
      <c r="U242" s="249"/>
    </row>
    <row r="243" spans="1:21" ht="19.5" hidden="1">
      <c r="A243" s="155"/>
      <c r="B243" s="50"/>
      <c r="C243" s="591" t="s">
        <v>18</v>
      </c>
      <c r="D243" s="562" t="s">
        <v>19</v>
      </c>
      <c r="E243" s="50"/>
      <c r="F243" s="50"/>
      <c r="G243" s="52"/>
      <c r="H243" s="418" t="s">
        <v>14</v>
      </c>
      <c r="I243" s="163"/>
      <c r="J243" s="163"/>
      <c r="K243" s="164"/>
      <c r="L243" s="541">
        <f ca="1">L244+L245+L246+L247</f>
        <v>0</v>
      </c>
      <c r="M243" s="55"/>
      <c r="N243" s="540">
        <f>N244+N245+N246+N247</f>
        <v>0</v>
      </c>
      <c r="O243" s="540">
        <f ca="1">IF(L243&gt;0,N243*100/L243,0)</f>
        <v>0</v>
      </c>
      <c r="P243" s="540">
        <f>IF(M243&gt;0,N243*100/M243,0)</f>
        <v>0</v>
      </c>
      <c r="Q243" s="55"/>
      <c r="R243" s="55"/>
      <c r="S243" s="55"/>
      <c r="T243" s="55"/>
      <c r="U243" s="55"/>
    </row>
    <row r="244" spans="1:21" ht="18.75" hidden="1">
      <c r="A244" s="155"/>
      <c r="B244" s="188"/>
      <c r="C244" s="50"/>
      <c r="D244" s="186" t="s">
        <v>86</v>
      </c>
      <c r="E244" s="50"/>
      <c r="F244" s="50"/>
      <c r="G244" s="52"/>
      <c r="H244" s="189" t="s">
        <v>14</v>
      </c>
      <c r="I244" s="163"/>
      <c r="J244" s="163"/>
      <c r="K244" s="164"/>
      <c r="L244" s="256">
        <f ca="1">IFERROR(__xludf.DUMMYFUNCTION("IMPORTRANGE(""https://docs.google.com/spreadsheets/d/1eHaY18a8A9IcSdp1K8H6x8fbOy06t2VsZHhMHf-1x7Y/edit?usp=sharing"",""แผน!AX48"")"),0)</f>
        <v>0</v>
      </c>
      <c r="M244" s="55"/>
      <c r="N244" s="702">
        <v>0</v>
      </c>
      <c r="O244" s="55"/>
      <c r="P244" s="55"/>
      <c r="Q244" s="55"/>
      <c r="R244" s="55"/>
      <c r="S244" s="55"/>
      <c r="T244" s="55"/>
      <c r="U244" s="55"/>
    </row>
    <row r="245" spans="1:21" ht="18.75" hidden="1">
      <c r="A245" s="238"/>
      <c r="B245" s="188"/>
      <c r="C245" s="188"/>
      <c r="D245" s="186" t="s">
        <v>88</v>
      </c>
      <c r="E245" s="50"/>
      <c r="F245" s="50"/>
      <c r="G245" s="52"/>
      <c r="H245" s="189" t="s">
        <v>14</v>
      </c>
      <c r="I245" s="54"/>
      <c r="J245" s="54"/>
      <c r="K245" s="55"/>
      <c r="L245" s="256">
        <f ca="1">IFERROR(__xludf.DUMMYFUNCTION("IMPORTRANGE(""https://docs.google.com/spreadsheets/d/1eHaY18a8A9IcSdp1K8H6x8fbOy06t2VsZHhMHf-1x7Y/edit?usp=sharing"",""แผน!AY48"")"),0)</f>
        <v>0</v>
      </c>
      <c r="M245" s="55"/>
      <c r="N245" s="702">
        <v>0</v>
      </c>
      <c r="O245" s="55"/>
      <c r="P245" s="55"/>
      <c r="Q245" s="55"/>
      <c r="R245" s="55"/>
      <c r="S245" s="55"/>
      <c r="T245" s="55"/>
      <c r="U245" s="55"/>
    </row>
    <row r="246" spans="1:21" ht="18.75" hidden="1">
      <c r="A246" s="238"/>
      <c r="B246" s="188"/>
      <c r="C246" s="188"/>
      <c r="D246" s="186" t="s">
        <v>106</v>
      </c>
      <c r="E246" s="50"/>
      <c r="F246" s="50"/>
      <c r="G246" s="52"/>
      <c r="H246" s="189" t="s">
        <v>14</v>
      </c>
      <c r="I246" s="54"/>
      <c r="J246" s="54"/>
      <c r="K246" s="55"/>
      <c r="L246" s="256">
        <f ca="1">IFERROR(__xludf.DUMMYFUNCTION("IMPORTRANGE(""https://docs.google.com/spreadsheets/d/1eHaY18a8A9IcSdp1K8H6x8fbOy06t2VsZHhMHf-1x7Y/edit?usp=sharing"",""แผน!AZ48"")"),0)</f>
        <v>0</v>
      </c>
      <c r="M246" s="55"/>
      <c r="N246" s="702">
        <v>0</v>
      </c>
      <c r="O246" s="55"/>
      <c r="P246" s="55"/>
      <c r="Q246" s="55"/>
      <c r="R246" s="55"/>
      <c r="S246" s="55"/>
      <c r="T246" s="55"/>
      <c r="U246" s="55"/>
    </row>
    <row r="247" spans="1:21" ht="18.75" hidden="1">
      <c r="A247" s="238"/>
      <c r="B247" s="188"/>
      <c r="C247" s="188"/>
      <c r="D247" s="186" t="s">
        <v>107</v>
      </c>
      <c r="E247" s="50"/>
      <c r="F247" s="50"/>
      <c r="G247" s="52"/>
      <c r="H247" s="189" t="s">
        <v>14</v>
      </c>
      <c r="I247" s="54"/>
      <c r="J247" s="54"/>
      <c r="K247" s="55"/>
      <c r="L247" s="256">
        <f ca="1">IFERROR(__xludf.DUMMYFUNCTION("IMPORTRANGE(""https://docs.google.com/spreadsheets/d/1eHaY18a8A9IcSdp1K8H6x8fbOy06t2VsZHhMHf-1x7Y/edit?usp=sharing"",""แผน!BA48"")"),0)</f>
        <v>0</v>
      </c>
      <c r="M247" s="55"/>
      <c r="N247" s="702">
        <v>0</v>
      </c>
      <c r="O247" s="55"/>
      <c r="P247" s="55"/>
      <c r="Q247" s="55"/>
      <c r="R247" s="55"/>
      <c r="S247" s="55"/>
      <c r="T247" s="55"/>
      <c r="U247" s="55"/>
    </row>
    <row r="248" spans="1:21" ht="19.5" hidden="1">
      <c r="A248" s="166"/>
      <c r="B248" s="167"/>
      <c r="C248" s="701" t="s">
        <v>18</v>
      </c>
      <c r="D248" s="574" t="s">
        <v>38</v>
      </c>
      <c r="E248" s="169"/>
      <c r="F248" s="169"/>
      <c r="G248" s="170"/>
      <c r="H248" s="171"/>
      <c r="I248" s="163"/>
      <c r="J248" s="54"/>
      <c r="K248" s="55"/>
      <c r="L248" s="62"/>
      <c r="M248" s="55"/>
      <c r="N248" s="55"/>
      <c r="O248" s="164"/>
      <c r="P248" s="164"/>
      <c r="Q248" s="55"/>
      <c r="R248" s="55"/>
      <c r="S248" s="55"/>
      <c r="T248" s="164"/>
      <c r="U248" s="164"/>
    </row>
    <row r="249" spans="1:21" ht="18.75" hidden="1">
      <c r="A249" s="166"/>
      <c r="B249" s="167"/>
      <c r="C249" s="167"/>
      <c r="D249" s="207" t="s">
        <v>108</v>
      </c>
      <c r="E249" s="174"/>
      <c r="F249" s="174"/>
      <c r="G249" s="171"/>
      <c r="H249" s="698" t="s">
        <v>35</v>
      </c>
      <c r="I249" s="483">
        <f ca="1">IFERROR(__xludf.DUMMYFUNCTION("IMPORTRANGE(""https://docs.google.com/spreadsheets/d/1eHaY18a8A9IcSdp1K8H6x8fbOy06t2VsZHhMHf-1x7Y/edit?usp=sharing"",""แผน!BG48"")"),0)</f>
        <v>0</v>
      </c>
      <c r="J249" s="589">
        <v>0</v>
      </c>
      <c r="K249" s="102">
        <f ca="1">IF(I249&gt;0,J249*100/I249,0)</f>
        <v>0</v>
      </c>
      <c r="L249" s="62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8.75" hidden="1">
      <c r="A250" s="166"/>
      <c r="B250" s="167"/>
      <c r="C250" s="167"/>
      <c r="D250" s="700" t="s">
        <v>43</v>
      </c>
      <c r="E250" s="174"/>
      <c r="F250" s="174"/>
      <c r="G250" s="171"/>
      <c r="H250" s="171"/>
      <c r="I250" s="54"/>
      <c r="J250" s="54"/>
      <c r="K250" s="55"/>
      <c r="L250" s="62"/>
      <c r="M250" s="55"/>
      <c r="N250" s="55"/>
      <c r="O250" s="164"/>
      <c r="P250" s="164"/>
      <c r="Q250" s="55"/>
      <c r="R250" s="55"/>
      <c r="S250" s="55"/>
      <c r="T250" s="164"/>
      <c r="U250" s="164"/>
    </row>
    <row r="251" spans="1:21" ht="18.75" hidden="1">
      <c r="A251" s="166"/>
      <c r="B251" s="167"/>
      <c r="C251" s="167"/>
      <c r="D251" s="167"/>
      <c r="E251" s="699" t="s">
        <v>109</v>
      </c>
      <c r="F251" s="174"/>
      <c r="G251" s="171"/>
      <c r="H251" s="698" t="s">
        <v>35</v>
      </c>
      <c r="I251" s="483">
        <v>0</v>
      </c>
      <c r="J251" s="589">
        <v>0</v>
      </c>
      <c r="K251" s="102">
        <f>IF(I251&gt;0,J251*100/I251,0)</f>
        <v>0</v>
      </c>
      <c r="L251" s="62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8.75" hidden="1">
      <c r="A252" s="166"/>
      <c r="B252" s="167"/>
      <c r="C252" s="167"/>
      <c r="D252" s="167"/>
      <c r="E252" s="699" t="s">
        <v>110</v>
      </c>
      <c r="F252" s="174"/>
      <c r="G252" s="171"/>
      <c r="H252" s="698" t="s">
        <v>61</v>
      </c>
      <c r="I252" s="483">
        <v>0</v>
      </c>
      <c r="J252" s="589">
        <v>0</v>
      </c>
      <c r="K252" s="102">
        <f>IF(I252&gt;0,J252*100/I252,0)</f>
        <v>0</v>
      </c>
      <c r="L252" s="62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9.5" hidden="1">
      <c r="A253" s="241"/>
      <c r="B253" s="242"/>
      <c r="C253" s="707" t="s">
        <v>112</v>
      </c>
      <c r="D253" s="244"/>
      <c r="E253" s="244"/>
      <c r="F253" s="244"/>
      <c r="G253" s="245"/>
      <c r="H253" s="706" t="s">
        <v>35</v>
      </c>
      <c r="I253" s="705">
        <f ca="1">I260</f>
        <v>0</v>
      </c>
      <c r="J253" s="705">
        <f>J260</f>
        <v>0</v>
      </c>
      <c r="K253" s="704">
        <f ca="1">IF(I253&gt;0,J253*100/I253,0)</f>
        <v>0</v>
      </c>
      <c r="L253" s="250"/>
      <c r="M253" s="249"/>
      <c r="N253" s="249"/>
      <c r="O253" s="249"/>
      <c r="P253" s="249"/>
      <c r="Q253" s="249"/>
      <c r="R253" s="249"/>
      <c r="S253" s="249"/>
      <c r="T253" s="249"/>
      <c r="U253" s="249"/>
    </row>
    <row r="254" spans="1:21" ht="19.5" hidden="1">
      <c r="A254" s="155"/>
      <c r="B254" s="50"/>
      <c r="C254" s="591" t="s">
        <v>18</v>
      </c>
      <c r="D254" s="703" t="s">
        <v>19</v>
      </c>
      <c r="E254" s="50"/>
      <c r="F254" s="50"/>
      <c r="G254" s="52"/>
      <c r="H254" s="418" t="s">
        <v>14</v>
      </c>
      <c r="I254" s="163"/>
      <c r="J254" s="163"/>
      <c r="K254" s="164"/>
      <c r="L254" s="541">
        <f ca="1">L255+L256+L257+L258</f>
        <v>0</v>
      </c>
      <c r="M254" s="55"/>
      <c r="N254" s="540">
        <f>N255+N256+N257+N258</f>
        <v>0</v>
      </c>
      <c r="O254" s="540">
        <f ca="1">IF(L254&gt;0,N254*100/L254,0)</f>
        <v>0</v>
      </c>
      <c r="P254" s="540">
        <f>IF(M254&gt;0,N254*100/M254,0)</f>
        <v>0</v>
      </c>
      <c r="Q254" s="55"/>
      <c r="R254" s="55"/>
      <c r="S254" s="55"/>
      <c r="T254" s="55"/>
      <c r="U254" s="55"/>
    </row>
    <row r="255" spans="1:21" ht="18.75" hidden="1">
      <c r="A255" s="155"/>
      <c r="B255" s="188"/>
      <c r="C255" s="50"/>
      <c r="D255" s="186" t="s">
        <v>86</v>
      </c>
      <c r="E255" s="50"/>
      <c r="F255" s="50"/>
      <c r="G255" s="52"/>
      <c r="H255" s="189" t="s">
        <v>14</v>
      </c>
      <c r="I255" s="163"/>
      <c r="J255" s="163"/>
      <c r="K255" s="164"/>
      <c r="L255" s="256">
        <f ca="1">IFERROR(__xludf.DUMMYFUNCTION("IMPORTRANGE(""https://docs.google.com/spreadsheets/d/1eHaY18a8A9IcSdp1K8H6x8fbOy06t2VsZHhMHf-1x7Y/edit?usp=sharing"",""แผน!BB48"")"),0)</f>
        <v>0</v>
      </c>
      <c r="M255" s="55"/>
      <c r="N255" s="702">
        <v>0</v>
      </c>
      <c r="O255" s="55"/>
      <c r="P255" s="55"/>
      <c r="Q255" s="55"/>
      <c r="R255" s="55"/>
      <c r="S255" s="55"/>
      <c r="T255" s="55"/>
      <c r="U255" s="55"/>
    </row>
    <row r="256" spans="1:21" ht="18.75" hidden="1">
      <c r="A256" s="238"/>
      <c r="B256" s="188"/>
      <c r="C256" s="188"/>
      <c r="D256" s="186" t="s">
        <v>88</v>
      </c>
      <c r="E256" s="50"/>
      <c r="F256" s="50"/>
      <c r="G256" s="52"/>
      <c r="H256" s="189" t="s">
        <v>14</v>
      </c>
      <c r="I256" s="54"/>
      <c r="J256" s="54"/>
      <c r="K256" s="55"/>
      <c r="L256" s="256">
        <f ca="1">IFERROR(__xludf.DUMMYFUNCTION("IMPORTRANGE(""https://docs.google.com/spreadsheets/d/1eHaY18a8A9IcSdp1K8H6x8fbOy06t2VsZHhMHf-1x7Y/edit?usp=sharing"",""แผน!BC48"")"),0)</f>
        <v>0</v>
      </c>
      <c r="M256" s="55"/>
      <c r="N256" s="702">
        <v>0</v>
      </c>
      <c r="O256" s="55"/>
      <c r="P256" s="55"/>
      <c r="Q256" s="55"/>
      <c r="R256" s="55"/>
      <c r="S256" s="55"/>
      <c r="T256" s="55"/>
      <c r="U256" s="55"/>
    </row>
    <row r="257" spans="1:21" ht="18.75" hidden="1">
      <c r="A257" s="238"/>
      <c r="B257" s="188"/>
      <c r="C257" s="188"/>
      <c r="D257" s="186" t="s">
        <v>106</v>
      </c>
      <c r="E257" s="50"/>
      <c r="F257" s="50"/>
      <c r="G257" s="52"/>
      <c r="H257" s="189" t="s">
        <v>14</v>
      </c>
      <c r="I257" s="54"/>
      <c r="J257" s="54"/>
      <c r="K257" s="55"/>
      <c r="L257" s="256">
        <f ca="1">IFERROR(__xludf.DUMMYFUNCTION("IMPORTRANGE(""https://docs.google.com/spreadsheets/d/1eHaY18a8A9IcSdp1K8H6x8fbOy06t2VsZHhMHf-1x7Y/edit?usp=sharing"",""แผน!BD48"")"),0)</f>
        <v>0</v>
      </c>
      <c r="M257" s="55"/>
      <c r="N257" s="702">
        <v>0</v>
      </c>
      <c r="O257" s="55"/>
      <c r="P257" s="55"/>
      <c r="Q257" s="55"/>
      <c r="R257" s="55"/>
      <c r="S257" s="55"/>
      <c r="T257" s="55"/>
      <c r="U257" s="55"/>
    </row>
    <row r="258" spans="1:21" ht="18.75" hidden="1">
      <c r="A258" s="238"/>
      <c r="B258" s="188"/>
      <c r="C258" s="188"/>
      <c r="D258" s="186" t="s">
        <v>107</v>
      </c>
      <c r="E258" s="50"/>
      <c r="F258" s="50"/>
      <c r="G258" s="52"/>
      <c r="H258" s="189" t="s">
        <v>14</v>
      </c>
      <c r="I258" s="54"/>
      <c r="J258" s="54"/>
      <c r="K258" s="55"/>
      <c r="L258" s="256">
        <f ca="1">IFERROR(__xludf.DUMMYFUNCTION("IMPORTRANGE(""https://docs.google.com/spreadsheets/d/1eHaY18a8A9IcSdp1K8H6x8fbOy06t2VsZHhMHf-1x7Y/edit?usp=sharing"",""แผน!BE48"")"),0)</f>
        <v>0</v>
      </c>
      <c r="M258" s="55"/>
      <c r="N258" s="702">
        <v>0</v>
      </c>
      <c r="O258" s="55"/>
      <c r="P258" s="55"/>
      <c r="Q258" s="55"/>
      <c r="R258" s="55"/>
      <c r="S258" s="55"/>
      <c r="T258" s="55"/>
      <c r="U258" s="55"/>
    </row>
    <row r="259" spans="1:21" ht="19.5" hidden="1">
      <c r="A259" s="166"/>
      <c r="B259" s="167"/>
      <c r="C259" s="701" t="s">
        <v>18</v>
      </c>
      <c r="D259" s="574" t="s">
        <v>38</v>
      </c>
      <c r="E259" s="169"/>
      <c r="F259" s="169"/>
      <c r="G259" s="170"/>
      <c r="H259" s="171"/>
      <c r="I259" s="163"/>
      <c r="J259" s="54"/>
      <c r="K259" s="55"/>
      <c r="L259" s="62"/>
      <c r="M259" s="55"/>
      <c r="N259" s="55"/>
      <c r="O259" s="164"/>
      <c r="P259" s="164"/>
      <c r="Q259" s="55"/>
      <c r="R259" s="55"/>
      <c r="S259" s="55"/>
      <c r="T259" s="164"/>
      <c r="U259" s="164"/>
    </row>
    <row r="260" spans="1:21" ht="18.75" hidden="1">
      <c r="A260" s="166"/>
      <c r="B260" s="167"/>
      <c r="C260" s="167"/>
      <c r="D260" s="207" t="s">
        <v>108</v>
      </c>
      <c r="E260" s="174"/>
      <c r="F260" s="174"/>
      <c r="G260" s="171"/>
      <c r="H260" s="698" t="s">
        <v>35</v>
      </c>
      <c r="I260" s="483">
        <f ca="1">IFERROR(__xludf.DUMMYFUNCTION("IMPORTRANGE(""https://docs.google.com/spreadsheets/d/1eHaY18a8A9IcSdp1K8H6x8fbOy06t2VsZHhMHf-1x7Y/edit?usp=sharing"",""แผน!BH48"")"),0)</f>
        <v>0</v>
      </c>
      <c r="J260" s="589">
        <v>0</v>
      </c>
      <c r="K260" s="102">
        <f ca="1">IF(I260&gt;0,J260*100/I260,0)</f>
        <v>0</v>
      </c>
      <c r="L260" s="62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8.75" hidden="1">
      <c r="A261" s="166"/>
      <c r="B261" s="167"/>
      <c r="C261" s="167"/>
      <c r="D261" s="700" t="s">
        <v>43</v>
      </c>
      <c r="E261" s="174"/>
      <c r="F261" s="174"/>
      <c r="G261" s="171"/>
      <c r="H261" s="171"/>
      <c r="I261" s="54"/>
      <c r="J261" s="54"/>
      <c r="K261" s="55"/>
      <c r="L261" s="62"/>
      <c r="M261" s="55"/>
      <c r="N261" s="55"/>
      <c r="O261" s="164"/>
      <c r="P261" s="164"/>
      <c r="Q261" s="55"/>
      <c r="R261" s="55"/>
      <c r="S261" s="55"/>
      <c r="T261" s="164"/>
      <c r="U261" s="164"/>
    </row>
    <row r="262" spans="1:21" ht="18.75" hidden="1">
      <c r="A262" s="166"/>
      <c r="B262" s="167"/>
      <c r="C262" s="167"/>
      <c r="D262" s="167"/>
      <c r="E262" s="699" t="s">
        <v>109</v>
      </c>
      <c r="F262" s="174"/>
      <c r="G262" s="171"/>
      <c r="H262" s="698" t="s">
        <v>35</v>
      </c>
      <c r="I262" s="54"/>
      <c r="J262" s="589">
        <v>0</v>
      </c>
      <c r="K262" s="102">
        <f>IF(I262&gt;0,J262*100/I262,0)</f>
        <v>0</v>
      </c>
      <c r="L262" s="62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8.75" hidden="1">
      <c r="A263" s="166"/>
      <c r="B263" s="167"/>
      <c r="C263" s="167"/>
      <c r="D263" s="167"/>
      <c r="E263" s="699" t="s">
        <v>110</v>
      </c>
      <c r="F263" s="174"/>
      <c r="G263" s="171"/>
      <c r="H263" s="698" t="s">
        <v>61</v>
      </c>
      <c r="I263" s="54"/>
      <c r="J263" s="589">
        <v>0</v>
      </c>
      <c r="K263" s="102">
        <f>IF(I263&gt;0,J263*100/I263,0)</f>
        <v>0</v>
      </c>
      <c r="L263" s="62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9.5">
      <c r="A264" s="697" t="s">
        <v>113</v>
      </c>
      <c r="B264" s="696"/>
      <c r="C264" s="696"/>
      <c r="D264" s="695"/>
      <c r="E264" s="695"/>
      <c r="F264" s="695"/>
      <c r="G264" s="694"/>
      <c r="H264" s="694"/>
      <c r="I264" s="693"/>
      <c r="J264" s="693"/>
      <c r="K264" s="691"/>
      <c r="L264" s="692"/>
      <c r="M264" s="691"/>
      <c r="N264" s="691"/>
      <c r="O264" s="691"/>
      <c r="P264" s="691"/>
      <c r="Q264" s="691"/>
      <c r="R264" s="691"/>
      <c r="S264" s="691"/>
      <c r="T264" s="691"/>
      <c r="U264" s="691"/>
    </row>
    <row r="265" spans="1:21" ht="19.5">
      <c r="A265" s="690"/>
      <c r="B265" s="689" t="s">
        <v>114</v>
      </c>
      <c r="C265" s="688"/>
      <c r="D265" s="661"/>
      <c r="E265" s="661"/>
      <c r="F265" s="661"/>
      <c r="G265" s="660"/>
      <c r="H265" s="687" t="s">
        <v>35</v>
      </c>
      <c r="I265" s="686">
        <f ca="1">I276</f>
        <v>22</v>
      </c>
      <c r="J265" s="686">
        <f>J276</f>
        <v>22</v>
      </c>
      <c r="K265" s="685">
        <f ca="1">IF(I265&gt;0,J265*100/I265,0)</f>
        <v>100</v>
      </c>
      <c r="L265" s="684"/>
      <c r="M265" s="683"/>
      <c r="N265" s="683"/>
      <c r="O265" s="683"/>
      <c r="P265" s="683"/>
      <c r="Q265" s="683"/>
      <c r="R265" s="683"/>
      <c r="S265" s="683"/>
      <c r="T265" s="683"/>
      <c r="U265" s="683"/>
    </row>
    <row r="266" spans="1:21" ht="19.5">
      <c r="A266" s="668"/>
      <c r="B266" s="667"/>
      <c r="C266" s="682" t="s">
        <v>18</v>
      </c>
      <c r="D266" s="681" t="s">
        <v>19</v>
      </c>
      <c r="E266" s="667"/>
      <c r="F266" s="667"/>
      <c r="G266" s="666"/>
      <c r="H266" s="680" t="s">
        <v>14</v>
      </c>
      <c r="I266" s="548"/>
      <c r="J266" s="548"/>
      <c r="K266" s="545"/>
      <c r="L266" s="679">
        <f ca="1">L267+L268</f>
        <v>0</v>
      </c>
      <c r="M266" s="678">
        <f ca="1">M267+M268</f>
        <v>5000</v>
      </c>
      <c r="N266" s="678">
        <f ca="1">N267+N268</f>
        <v>0</v>
      </c>
      <c r="O266" s="678">
        <f ca="1">IF(L266&gt;0,N266*100/L266,0)</f>
        <v>0</v>
      </c>
      <c r="P266" s="678">
        <f ca="1">IF(M266&gt;0,N266*100/M266,0)</f>
        <v>0</v>
      </c>
      <c r="Q266" s="678">
        <f ca="1">Q267+Q268</f>
        <v>50660</v>
      </c>
      <c r="R266" s="678">
        <f ca="1">R267+R268</f>
        <v>50660</v>
      </c>
      <c r="S266" s="678">
        <f ca="1">S267+S268</f>
        <v>42519</v>
      </c>
      <c r="T266" s="678">
        <f ca="1">IF(Q266&gt;0,S266*100/Q266,0)</f>
        <v>83.930122384524282</v>
      </c>
      <c r="U266" s="678">
        <f ca="1">IF(R266&gt;0,S266*100/R266,0)</f>
        <v>83.930122384524282</v>
      </c>
    </row>
    <row r="267" spans="1:21" ht="18.75" hidden="1">
      <c r="A267" s="673"/>
      <c r="B267" s="672"/>
      <c r="C267" s="672"/>
      <c r="D267" s="672"/>
      <c r="E267" s="186" t="s">
        <v>20</v>
      </c>
      <c r="F267" s="672"/>
      <c r="G267" s="671"/>
      <c r="H267" s="187" t="s">
        <v>14</v>
      </c>
      <c r="I267" s="677"/>
      <c r="J267" s="677"/>
      <c r="K267" s="676"/>
      <c r="L267" s="103">
        <f>L270+L273</f>
        <v>0</v>
      </c>
      <c r="M267" s="102">
        <f>M270+M273</f>
        <v>0</v>
      </c>
      <c r="N267" s="102">
        <f>N270+N273</f>
        <v>0</v>
      </c>
      <c r="O267" s="102">
        <f>IF(L267&gt;0,N267*100/L267,0)</f>
        <v>0</v>
      </c>
      <c r="P267" s="102">
        <f>IF(M267&gt;0,N267*100/M267,0)</f>
        <v>0</v>
      </c>
      <c r="Q267" s="102">
        <f>Q270+Q273</f>
        <v>0</v>
      </c>
      <c r="R267" s="102">
        <f>R270+R273</f>
        <v>0</v>
      </c>
      <c r="S267" s="102">
        <f>S270+S273</f>
        <v>0</v>
      </c>
      <c r="T267" s="102">
        <f>IF(Q267&gt;0,S267*100/Q267,0)</f>
        <v>0</v>
      </c>
      <c r="U267" s="102">
        <f>IF(R267&gt;0,S267*100/R267,0)</f>
        <v>0</v>
      </c>
    </row>
    <row r="268" spans="1:21" ht="18.75" hidden="1">
      <c r="A268" s="668"/>
      <c r="B268" s="667"/>
      <c r="C268" s="667"/>
      <c r="D268" s="667"/>
      <c r="E268" s="663" t="s">
        <v>21</v>
      </c>
      <c r="F268" s="667"/>
      <c r="G268" s="666"/>
      <c r="H268" s="549" t="s">
        <v>14</v>
      </c>
      <c r="I268" s="548"/>
      <c r="J268" s="548"/>
      <c r="K268" s="545"/>
      <c r="L268" s="664">
        <f ca="1">L271+L274</f>
        <v>0</v>
      </c>
      <c r="M268" s="555">
        <f ca="1">M271+M274</f>
        <v>5000</v>
      </c>
      <c r="N268" s="555">
        <f ca="1">N271+N274</f>
        <v>0</v>
      </c>
      <c r="O268" s="555">
        <f ca="1">IF(L268&gt;0,N268*100/L268,0)</f>
        <v>0</v>
      </c>
      <c r="P268" s="555">
        <f ca="1">IF(M268&gt;0,N268*100/M268,0)</f>
        <v>0</v>
      </c>
      <c r="Q268" s="555">
        <f ca="1">Q271+Q274</f>
        <v>50660</v>
      </c>
      <c r="R268" s="555">
        <f ca="1">R271+R274</f>
        <v>50660</v>
      </c>
      <c r="S268" s="555">
        <f ca="1">S271+S274</f>
        <v>42519</v>
      </c>
      <c r="T268" s="555">
        <f ca="1">IF(Q268&gt;0,S268*100/Q268,0)</f>
        <v>83.930122384524282</v>
      </c>
      <c r="U268" s="555">
        <f ca="1">IF(R268&gt;0,S268*100/R268,0)</f>
        <v>83.930122384524282</v>
      </c>
    </row>
    <row r="269" spans="1:21" ht="18.75">
      <c r="A269" s="668"/>
      <c r="B269" s="667"/>
      <c r="C269" s="667"/>
      <c r="D269" s="674" t="s">
        <v>22</v>
      </c>
      <c r="E269" s="667"/>
      <c r="F269" s="667"/>
      <c r="G269" s="666"/>
      <c r="H269" s="675" t="s">
        <v>14</v>
      </c>
      <c r="I269" s="659"/>
      <c r="J269" s="659"/>
      <c r="K269" s="657"/>
      <c r="L269" s="664">
        <f ca="1">L270+L271</f>
        <v>0</v>
      </c>
      <c r="M269" s="555">
        <f ca="1">M270+M271</f>
        <v>5000</v>
      </c>
      <c r="N269" s="555">
        <f ca="1">N270+N271</f>
        <v>0</v>
      </c>
      <c r="O269" s="555">
        <f ca="1">IF(L269&gt;0,N269*100/L269,0)</f>
        <v>0</v>
      </c>
      <c r="P269" s="555">
        <f ca="1">IF(M269&gt;0,N269*100/M269,0)</f>
        <v>0</v>
      </c>
      <c r="Q269" s="555">
        <f ca="1">Q270+Q271</f>
        <v>50660</v>
      </c>
      <c r="R269" s="555">
        <f ca="1">R270+R271</f>
        <v>50660</v>
      </c>
      <c r="S269" s="555">
        <f ca="1">S270+S271</f>
        <v>42519</v>
      </c>
      <c r="T269" s="555">
        <f ca="1">IF(Q269&gt;0,S269*100/Q269,0)</f>
        <v>83.930122384524282</v>
      </c>
      <c r="U269" s="555">
        <f ca="1">IF(R269&gt;0,S269*100/R269,0)</f>
        <v>83.930122384524282</v>
      </c>
    </row>
    <row r="270" spans="1:21" ht="18.75" hidden="1">
      <c r="A270" s="673"/>
      <c r="B270" s="672"/>
      <c r="C270" s="672"/>
      <c r="D270" s="672"/>
      <c r="E270" s="186" t="s">
        <v>36</v>
      </c>
      <c r="F270" s="672"/>
      <c r="G270" s="671"/>
      <c r="H270" s="189" t="s">
        <v>14</v>
      </c>
      <c r="I270" s="670"/>
      <c r="J270" s="670"/>
      <c r="K270" s="669"/>
      <c r="L270" s="103">
        <v>0</v>
      </c>
      <c r="M270" s="102">
        <v>0</v>
      </c>
      <c r="N270" s="102">
        <v>0</v>
      </c>
      <c r="O270" s="102">
        <f>IF(L270&gt;0,N270*100/L270,0)</f>
        <v>0</v>
      </c>
      <c r="P270" s="102">
        <f>IF(M270&gt;0,N270*100/M270,0)</f>
        <v>0</v>
      </c>
      <c r="Q270" s="102">
        <v>0</v>
      </c>
      <c r="R270" s="102">
        <v>0</v>
      </c>
      <c r="S270" s="102">
        <v>0</v>
      </c>
      <c r="T270" s="102">
        <f>IF(Q270&gt;0,S270*100/Q270,0)</f>
        <v>0</v>
      </c>
      <c r="U270" s="102">
        <f>IF(R270&gt;0,S270*100/R270,0)</f>
        <v>0</v>
      </c>
    </row>
    <row r="271" spans="1:21" ht="18.75" hidden="1">
      <c r="A271" s="668"/>
      <c r="B271" s="667"/>
      <c r="C271" s="667"/>
      <c r="D271" s="667"/>
      <c r="E271" s="663" t="s">
        <v>37</v>
      </c>
      <c r="F271" s="667"/>
      <c r="G271" s="666"/>
      <c r="H271" s="675" t="s">
        <v>14</v>
      </c>
      <c r="I271" s="659"/>
      <c r="J271" s="659"/>
      <c r="K271" s="657"/>
      <c r="L271" s="664">
        <f ca="1">IFERROR(__xludf.DUMMYFUNCTION("IMPORTRANGE(""https://docs.google.com/spreadsheets/d/1-uDff_7J0KD5mKrp0Vvzr7lt3OU09vwQwhkpOPPYv2Y/edit?usp=sharing"",""งบพรบ!DE48"")"),0)</f>
        <v>0</v>
      </c>
      <c r="M271" s="555">
        <f ca="1">IFERROR(__xludf.DUMMYFUNCTION("IMPORTRANGE(""https://docs.google.com/spreadsheets/d/1-uDff_7J0KD5mKrp0Vvzr7lt3OU09vwQwhkpOPPYv2Y/edit?usp=sharing"",""งบพรบ!DJ48"")"),5000)</f>
        <v>5000</v>
      </c>
      <c r="N271" s="555">
        <f ca="1">IFERROR(__xludf.DUMMYFUNCTION("IMPORTRANGE(""https://docs.google.com/spreadsheets/d/1-uDff_7J0KD5mKrp0Vvzr7lt3OU09vwQwhkpOPPYv2Y/edit?usp=sharing"",""งบพรบ!DL48"")"),0)</f>
        <v>0</v>
      </c>
      <c r="O271" s="555">
        <f ca="1">IF(L271&gt;0,N271*100/L271,0)</f>
        <v>0</v>
      </c>
      <c r="P271" s="555">
        <f ca="1">IF(M271&gt;0,N271*100/M271,0)</f>
        <v>0</v>
      </c>
      <c r="Q271" s="555">
        <f ca="1">IFERROR(__xludf.DUMMYFUNCTION("IMPORTRANGE(""https://docs.google.com/spreadsheets/d/1ItG2mGa2ceCfYo0BwxsXqNm01IGEUdYcSSLTEv9YCik/edit?usp=sharing"",""เบิกจ่ายกองทุน!AJ48"")"),50660)</f>
        <v>50660</v>
      </c>
      <c r="R271" s="555">
        <f ca="1">IFERROR(__xludf.DUMMYFUNCTION("IMPORTRANGE(""https://docs.google.com/spreadsheets/d/1ItG2mGa2ceCfYo0BwxsXqNm01IGEUdYcSSLTEv9YCik/edit?usp=sharing"",""เบิกจ่ายกองทุน!AK48"")"),50660)</f>
        <v>50660</v>
      </c>
      <c r="S271" s="555">
        <f ca="1">IFERROR(__xludf.DUMMYFUNCTION("IMPORTRANGE(""https://docs.google.com/spreadsheets/d/1ItG2mGa2ceCfYo0BwxsXqNm01IGEUdYcSSLTEv9YCik/edit?usp=sharing"",""เบิกจ่ายกองทุน!AL48"")"),42519)</f>
        <v>42519</v>
      </c>
      <c r="T271" s="555">
        <f ca="1">IF(Q271&gt;0,S271*100/Q271,0)</f>
        <v>83.930122384524282</v>
      </c>
      <c r="U271" s="555">
        <f ca="1">IF(R271&gt;0,S271*100/R271,0)</f>
        <v>83.930122384524282</v>
      </c>
    </row>
    <row r="272" spans="1:21" ht="18.75">
      <c r="A272" s="668"/>
      <c r="B272" s="667"/>
      <c r="C272" s="667"/>
      <c r="D272" s="674" t="s">
        <v>23</v>
      </c>
      <c r="E272" s="667"/>
      <c r="F272" s="667"/>
      <c r="G272" s="666"/>
      <c r="H272" s="665" t="s">
        <v>14</v>
      </c>
      <c r="I272" s="659"/>
      <c r="J272" s="659"/>
      <c r="K272" s="657"/>
      <c r="L272" s="664">
        <f ca="1">L273+L274</f>
        <v>0</v>
      </c>
      <c r="M272" s="555">
        <f ca="1">M273+M274</f>
        <v>0</v>
      </c>
      <c r="N272" s="555">
        <f ca="1">N273+N274</f>
        <v>0</v>
      </c>
      <c r="O272" s="555">
        <f ca="1">IF(L272&gt;0,N272*100/L272,0)</f>
        <v>0</v>
      </c>
      <c r="P272" s="555">
        <f ca="1">IF(M272&gt;0,N272*100/M272,0)</f>
        <v>0</v>
      </c>
      <c r="Q272" s="555">
        <f>Q273+Q274</f>
        <v>0</v>
      </c>
      <c r="R272" s="555">
        <f>R273+R274</f>
        <v>0</v>
      </c>
      <c r="S272" s="555">
        <f>S273+S274</f>
        <v>0</v>
      </c>
      <c r="T272" s="555">
        <f>IF(Q272&gt;0,S272*100/Q272,0)</f>
        <v>0</v>
      </c>
      <c r="U272" s="555">
        <f>IF(R272&gt;0,S272*100/R272,0)</f>
        <v>0</v>
      </c>
    </row>
    <row r="273" spans="1:21" ht="18.75" hidden="1">
      <c r="A273" s="673"/>
      <c r="B273" s="672"/>
      <c r="C273" s="672"/>
      <c r="D273" s="672"/>
      <c r="E273" s="186" t="s">
        <v>20</v>
      </c>
      <c r="F273" s="672"/>
      <c r="G273" s="671"/>
      <c r="H273" s="189" t="s">
        <v>14</v>
      </c>
      <c r="I273" s="670"/>
      <c r="J273" s="670"/>
      <c r="K273" s="669"/>
      <c r="L273" s="103">
        <v>0</v>
      </c>
      <c r="M273" s="102">
        <v>0</v>
      </c>
      <c r="N273" s="102">
        <v>0</v>
      </c>
      <c r="O273" s="102">
        <f>IF(L273&gt;0,N273*100/L273,0)</f>
        <v>0</v>
      </c>
      <c r="P273" s="102">
        <f>IF(M273&gt;0,N273*100/M273,0)</f>
        <v>0</v>
      </c>
      <c r="Q273" s="102">
        <v>0</v>
      </c>
      <c r="R273" s="102">
        <v>0</v>
      </c>
      <c r="S273" s="102">
        <v>0</v>
      </c>
      <c r="T273" s="102">
        <f>IF(Q273&gt;0,S273*100/Q273,0)</f>
        <v>0</v>
      </c>
      <c r="U273" s="102">
        <f>IF(R273&gt;0,S273*100/R273,0)</f>
        <v>0</v>
      </c>
    </row>
    <row r="274" spans="1:21" ht="18.75" hidden="1">
      <c r="A274" s="668"/>
      <c r="B274" s="667"/>
      <c r="C274" s="667"/>
      <c r="D274" s="667"/>
      <c r="E274" s="663" t="s">
        <v>21</v>
      </c>
      <c r="F274" s="667"/>
      <c r="G274" s="666"/>
      <c r="H274" s="665" t="s">
        <v>14</v>
      </c>
      <c r="I274" s="659"/>
      <c r="J274" s="659"/>
      <c r="K274" s="657"/>
      <c r="L274" s="664">
        <f ca="1">IFERROR(__xludf.DUMMYFUNCTION("IMPORTRANGE(""https://docs.google.com/spreadsheets/d/1-uDff_7J0KD5mKrp0Vvzr7lt3OU09vwQwhkpOPPYv2Y/edit?usp=sharing"",""งบพรบ!DH48"")"),0)</f>
        <v>0</v>
      </c>
      <c r="M274" s="555">
        <f ca="1">IFERROR(__xludf.DUMMYFUNCTION("IMPORTRANGE(""https://docs.google.com/spreadsheets/d/1-uDff_7J0KD5mKrp0Vvzr7lt3OU09vwQwhkpOPPYv2Y/edit?usp=sharing"",""งบพรบ!DK48"")"),0)</f>
        <v>0</v>
      </c>
      <c r="N274" s="555">
        <f ca="1">IFERROR(__xludf.DUMMYFUNCTION("IMPORTRANGE(""https://docs.google.com/spreadsheets/d/1-uDff_7J0KD5mKrp0Vvzr7lt3OU09vwQwhkpOPPYv2Y/edit?usp=sharing"",""งบพรบ!DM48"")"),0)</f>
        <v>0</v>
      </c>
      <c r="O274" s="555">
        <f ca="1">IF(L274&gt;0,N274*100/L274,0)</f>
        <v>0</v>
      </c>
      <c r="P274" s="555">
        <f ca="1">IF(M274&gt;0,N274*100/M274,0)</f>
        <v>0</v>
      </c>
      <c r="Q274" s="555">
        <v>0</v>
      </c>
      <c r="R274" s="555">
        <v>0</v>
      </c>
      <c r="S274" s="555">
        <v>0</v>
      </c>
      <c r="T274" s="555">
        <f>IF(Q274&gt;0,S274*100/Q274,0)</f>
        <v>0</v>
      </c>
      <c r="U274" s="555">
        <f>IF(R274&gt;0,S274*100/R274,0)</f>
        <v>0</v>
      </c>
    </row>
    <row r="275" spans="1:21" ht="19.5">
      <c r="A275" s="554"/>
      <c r="B275" s="553"/>
      <c r="C275" s="663" t="s">
        <v>18</v>
      </c>
      <c r="D275" s="662" t="s">
        <v>38</v>
      </c>
      <c r="E275" s="661"/>
      <c r="F275" s="661"/>
      <c r="G275" s="660"/>
      <c r="H275" s="550"/>
      <c r="I275" s="659"/>
      <c r="J275" s="659"/>
      <c r="K275" s="657"/>
      <c r="L275" s="658"/>
      <c r="M275" s="657"/>
      <c r="N275" s="657"/>
      <c r="O275" s="657"/>
      <c r="P275" s="657"/>
      <c r="Q275" s="657"/>
      <c r="R275" s="657"/>
      <c r="S275" s="657"/>
      <c r="T275" s="657"/>
      <c r="U275" s="657"/>
    </row>
    <row r="276" spans="1:21" ht="18.75">
      <c r="A276" s="783"/>
      <c r="B276" s="343"/>
      <c r="C276" s="343"/>
      <c r="D276" s="782" t="s">
        <v>115</v>
      </c>
      <c r="E276" s="344"/>
      <c r="F276" s="344"/>
      <c r="G276" s="346"/>
      <c r="H276" s="347" t="s">
        <v>35</v>
      </c>
      <c r="I276" s="349">
        <f ca="1">IFERROR(__xludf.DUMMYFUNCTION("IMPORTRANGE(""https://docs.google.com/spreadsheets/d/1eHaY18a8A9IcSdp1K8H6x8fbOy06t2VsZHhMHf-1x7Y/edit?usp=sharing"",""แผน!EC48"")"),22)</f>
        <v>22</v>
      </c>
      <c r="J276" s="495">
        <v>22</v>
      </c>
      <c r="K276" s="708">
        <f ca="1">IF(I276&gt;0,J276*100/I276,0)</f>
        <v>100</v>
      </c>
      <c r="L276" s="62"/>
      <c r="M276" s="55"/>
      <c r="N276" s="55"/>
      <c r="O276" s="55"/>
      <c r="P276" s="55"/>
      <c r="Q276" s="55"/>
      <c r="R276" s="55"/>
      <c r="S276" s="55"/>
      <c r="T276" s="55"/>
      <c r="U276" s="55"/>
    </row>
    <row r="277" spans="1:21" ht="18.75" hidden="1">
      <c r="A277" s="281"/>
      <c r="B277" s="282"/>
      <c r="C277" s="282"/>
      <c r="D277" s="647" t="s">
        <v>116</v>
      </c>
      <c r="E277" s="2"/>
      <c r="F277" s="2"/>
      <c r="G277" s="284"/>
      <c r="H277" s="646" t="s">
        <v>35</v>
      </c>
      <c r="I277" s="486">
        <v>0</v>
      </c>
      <c r="J277" s="486">
        <v>0</v>
      </c>
      <c r="K277" s="645">
        <v>0</v>
      </c>
      <c r="L277" s="287"/>
      <c r="M277" s="286"/>
      <c r="N277" s="286"/>
      <c r="O277" s="286"/>
      <c r="P277" s="286"/>
      <c r="Q277" s="286"/>
      <c r="R277" s="286"/>
      <c r="S277" s="286"/>
      <c r="T277" s="286"/>
      <c r="U277" s="286"/>
    </row>
    <row r="278" spans="1:21" ht="19.5" hidden="1">
      <c r="A278" s="288" t="s">
        <v>117</v>
      </c>
      <c r="B278" s="289"/>
      <c r="C278" s="289"/>
      <c r="D278" s="289"/>
      <c r="E278" s="290"/>
      <c r="F278" s="290"/>
      <c r="G278" s="290"/>
      <c r="H278" s="290"/>
      <c r="I278" s="291"/>
      <c r="J278" s="291"/>
      <c r="K278" s="292"/>
      <c r="L278" s="292"/>
      <c r="M278" s="292"/>
      <c r="N278" s="292"/>
      <c r="O278" s="292"/>
      <c r="P278" s="293"/>
      <c r="Q278" s="292"/>
      <c r="R278" s="292"/>
      <c r="S278" s="292"/>
      <c r="T278" s="292"/>
      <c r="U278" s="293"/>
    </row>
    <row r="279" spans="1:21" ht="19.5" hidden="1">
      <c r="A279" s="294" t="s">
        <v>118</v>
      </c>
      <c r="B279" s="295"/>
      <c r="C279" s="296"/>
      <c r="D279" s="295"/>
      <c r="E279" s="295"/>
      <c r="F279" s="295"/>
      <c r="G279" s="295"/>
      <c r="H279" s="295"/>
      <c r="I279" s="297"/>
      <c r="J279" s="298"/>
      <c r="K279" s="299"/>
      <c r="L279" s="300"/>
      <c r="M279" s="299"/>
      <c r="N279" s="299"/>
      <c r="O279" s="299"/>
      <c r="P279" s="299"/>
      <c r="Q279" s="299"/>
      <c r="R279" s="299"/>
      <c r="S279" s="299"/>
      <c r="T279" s="299"/>
      <c r="U279" s="299"/>
    </row>
    <row r="280" spans="1:21" ht="19.5" hidden="1">
      <c r="A280" s="301"/>
      <c r="B280" s="302" t="s">
        <v>119</v>
      </c>
      <c r="C280" s="303"/>
      <c r="D280" s="304"/>
      <c r="E280" s="303"/>
      <c r="F280" s="303"/>
      <c r="G280" s="305"/>
      <c r="H280" s="306" t="s">
        <v>35</v>
      </c>
      <c r="I280" s="644">
        <f ca="1">I293</f>
        <v>0</v>
      </c>
      <c r="J280" s="644">
        <f>J293</f>
        <v>0</v>
      </c>
      <c r="K280" s="643">
        <f ca="1">IF(I280&gt;0,J280*100/I280,0)</f>
        <v>0</v>
      </c>
      <c r="L280" s="310"/>
      <c r="M280" s="309"/>
      <c r="N280" s="309"/>
      <c r="O280" s="309"/>
      <c r="P280" s="309"/>
      <c r="Q280" s="309"/>
      <c r="R280" s="309"/>
      <c r="S280" s="309"/>
      <c r="T280" s="309"/>
      <c r="U280" s="309"/>
    </row>
    <row r="281" spans="1:21" ht="19.5" hidden="1">
      <c r="A281" s="301"/>
      <c r="B281" s="303"/>
      <c r="C281" s="303"/>
      <c r="D281" s="304"/>
      <c r="E281" s="303"/>
      <c r="F281" s="303"/>
      <c r="G281" s="305"/>
      <c r="H281" s="306" t="s">
        <v>46</v>
      </c>
      <c r="I281" s="644">
        <f ca="1">I292</f>
        <v>0</v>
      </c>
      <c r="J281" s="644">
        <f>J292</f>
        <v>0</v>
      </c>
      <c r="K281" s="643">
        <f ca="1">IF(I281&gt;0,J281*100/I281,0)</f>
        <v>0</v>
      </c>
      <c r="L281" s="310"/>
      <c r="M281" s="309"/>
      <c r="N281" s="309"/>
      <c r="O281" s="309"/>
      <c r="P281" s="309"/>
      <c r="Q281" s="309"/>
      <c r="R281" s="309"/>
      <c r="S281" s="309"/>
      <c r="T281" s="309"/>
      <c r="U281" s="309"/>
    </row>
    <row r="282" spans="1:21" ht="19.5" hidden="1">
      <c r="A282" s="155"/>
      <c r="B282" s="50"/>
      <c r="C282" s="156" t="s">
        <v>18</v>
      </c>
      <c r="D282" s="575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541">
        <f ca="1">L283+L284</f>
        <v>0</v>
      </c>
      <c r="M282" s="540">
        <f ca="1">M283+M284</f>
        <v>0</v>
      </c>
      <c r="N282" s="540">
        <f ca="1">N283+N284</f>
        <v>0</v>
      </c>
      <c r="O282" s="540">
        <f ca="1">IF(L282&gt;0,N282*100/L282,0)</f>
        <v>0</v>
      </c>
      <c r="P282" s="540">
        <f ca="1">IF(M282&gt;0,N282*100/M282,0)</f>
        <v>0</v>
      </c>
      <c r="Q282" s="540">
        <f>Q283+Q284</f>
        <v>0</v>
      </c>
      <c r="R282" s="540">
        <f>R283+R284</f>
        <v>0</v>
      </c>
      <c r="S282" s="540">
        <f>S283+S284</f>
        <v>0</v>
      </c>
      <c r="T282" s="540">
        <f>IF(Q282&gt;0,S282*100/Q282,0)</f>
        <v>0</v>
      </c>
      <c r="U282" s="540">
        <f>IF(R282&gt;0,S282*100/R282,0)</f>
        <v>0</v>
      </c>
    </row>
    <row r="283" spans="1:21" ht="18.75" hidden="1">
      <c r="A283" s="155"/>
      <c r="B283" s="50"/>
      <c r="C283" s="50"/>
      <c r="D283" s="50"/>
      <c r="E283" s="186" t="s">
        <v>20</v>
      </c>
      <c r="F283" s="50"/>
      <c r="G283" s="52"/>
      <c r="H283" s="187" t="s">
        <v>14</v>
      </c>
      <c r="I283" s="54"/>
      <c r="J283" s="54"/>
      <c r="K283" s="55"/>
      <c r="L283" s="103">
        <f>L286+L289</f>
        <v>0</v>
      </c>
      <c r="M283" s="102">
        <f>M286+M289</f>
        <v>0</v>
      </c>
      <c r="N283" s="102">
        <f>N286+N289</f>
        <v>0</v>
      </c>
      <c r="O283" s="102">
        <f>IF(L283&gt;0,N283*100/L283,0)</f>
        <v>0</v>
      </c>
      <c r="P283" s="102">
        <f>IF(M283&gt;0,N283*100/M283,0)</f>
        <v>0</v>
      </c>
      <c r="Q283" s="102">
        <f>Q286+Q289</f>
        <v>0</v>
      </c>
      <c r="R283" s="102">
        <f>R286+R289</f>
        <v>0</v>
      </c>
      <c r="S283" s="102">
        <f>S286+S289</f>
        <v>0</v>
      </c>
      <c r="T283" s="102">
        <f>IF(Q283&gt;0,S283*100/Q283,0)</f>
        <v>0</v>
      </c>
      <c r="U283" s="102">
        <f>IF(R283&gt;0,S283*100/R283,0)</f>
        <v>0</v>
      </c>
    </row>
    <row r="284" spans="1:21" ht="18.75" hidden="1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256">
        <f ca="1">L287+L290</f>
        <v>0</v>
      </c>
      <c r="M284" s="255">
        <f ca="1">M287+M290</f>
        <v>0</v>
      </c>
      <c r="N284" s="255">
        <f ca="1">N287+N290</f>
        <v>0</v>
      </c>
      <c r="O284" s="255">
        <f ca="1">IF(L284&gt;0,N284*100/L284,0)</f>
        <v>0</v>
      </c>
      <c r="P284" s="255">
        <f ca="1">IF(M284&gt;0,N284*100/M284,0)</f>
        <v>0</v>
      </c>
      <c r="Q284" s="255">
        <f>Q287+Q290</f>
        <v>0</v>
      </c>
      <c r="R284" s="255">
        <f>R287+R290</f>
        <v>0</v>
      </c>
      <c r="S284" s="255">
        <f>S287+S290</f>
        <v>0</v>
      </c>
      <c r="T284" s="255">
        <f>IF(Q284&gt;0,S284*100/Q284,0)</f>
        <v>0</v>
      </c>
      <c r="U284" s="255">
        <f>IF(R284&gt;0,S284*100/R284,0)</f>
        <v>0</v>
      </c>
    </row>
    <row r="285" spans="1:21" ht="18.75" hidden="1">
      <c r="A285" s="155"/>
      <c r="B285" s="50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256">
        <f ca="1">L286+L287</f>
        <v>0</v>
      </c>
      <c r="M285" s="255">
        <f ca="1">M286+M287</f>
        <v>0</v>
      </c>
      <c r="N285" s="255">
        <f ca="1">N286+N287</f>
        <v>0</v>
      </c>
      <c r="O285" s="255">
        <f ca="1">IF(L285&gt;0,N285*100/L285,0)</f>
        <v>0</v>
      </c>
      <c r="P285" s="255">
        <f ca="1">IF(M285&gt;0,N285*100/M285,0)</f>
        <v>0</v>
      </c>
      <c r="Q285" s="255">
        <f>Q286+Q287</f>
        <v>0</v>
      </c>
      <c r="R285" s="255">
        <f>R286+R287</f>
        <v>0</v>
      </c>
      <c r="S285" s="255">
        <f>S286+S287</f>
        <v>0</v>
      </c>
      <c r="T285" s="255">
        <f>IF(Q285&gt;0,S285*100/Q285,0)</f>
        <v>0</v>
      </c>
      <c r="U285" s="255">
        <f>IF(R285&gt;0,S285*100/R285,0)</f>
        <v>0</v>
      </c>
    </row>
    <row r="286" spans="1:21" ht="18.75" hidden="1">
      <c r="A286" s="155"/>
      <c r="B286" s="50"/>
      <c r="C286" s="50"/>
      <c r="D286" s="50"/>
      <c r="E286" s="186" t="s">
        <v>36</v>
      </c>
      <c r="F286" s="50"/>
      <c r="G286" s="52"/>
      <c r="H286" s="189" t="s">
        <v>14</v>
      </c>
      <c r="I286" s="163"/>
      <c r="J286" s="163"/>
      <c r="K286" s="164"/>
      <c r="L286" s="103">
        <v>0</v>
      </c>
      <c r="M286" s="102">
        <v>0</v>
      </c>
      <c r="N286" s="102">
        <v>0</v>
      </c>
      <c r="O286" s="102">
        <f>IF(L286&gt;0,N286*100/L286,0)</f>
        <v>0</v>
      </c>
      <c r="P286" s="102">
        <f>IF(M286&gt;0,N286*100/M286,0)</f>
        <v>0</v>
      </c>
      <c r="Q286" s="102">
        <v>0</v>
      </c>
      <c r="R286" s="102">
        <v>0</v>
      </c>
      <c r="S286" s="102">
        <v>0</v>
      </c>
      <c r="T286" s="102">
        <f>IF(Q286&gt;0,S286*100/Q286,0)</f>
        <v>0</v>
      </c>
      <c r="U286" s="102">
        <f>IF(R286&gt;0,S286*100/R286,0)</f>
        <v>0</v>
      </c>
    </row>
    <row r="287" spans="1:21" ht="18.75" hidden="1">
      <c r="A287" s="155"/>
      <c r="B287" s="50"/>
      <c r="C287" s="50"/>
      <c r="D287" s="50"/>
      <c r="E287" s="58" t="s">
        <v>37</v>
      </c>
      <c r="F287" s="50"/>
      <c r="G287" s="52"/>
      <c r="H287" s="162" t="s">
        <v>14</v>
      </c>
      <c r="I287" s="163"/>
      <c r="J287" s="163"/>
      <c r="K287" s="164"/>
      <c r="L287" s="256">
        <f ca="1">IFERROR(__xludf.DUMMYFUNCTION("IMPORTRANGE(""https://docs.google.com/spreadsheets/d/1-uDff_7J0KD5mKrp0Vvzr7lt3OU09vwQwhkpOPPYv2Y/edit?usp=sharing"",""งบพรบ!DO48"")"),0)</f>
        <v>0</v>
      </c>
      <c r="M287" s="255">
        <f ca="1">IFERROR(__xludf.DUMMYFUNCTION("IMPORTRANGE(""https://docs.google.com/spreadsheets/d/1-uDff_7J0KD5mKrp0Vvzr7lt3OU09vwQwhkpOPPYv2Y/edit?usp=sharing"",""งบพรบ!DT48"")"),0)</f>
        <v>0</v>
      </c>
      <c r="N287" s="255">
        <f ca="1">IFERROR(__xludf.DUMMYFUNCTION("IMPORTRANGE(""https://docs.google.com/spreadsheets/d/1-uDff_7J0KD5mKrp0Vvzr7lt3OU09vwQwhkpOPPYv2Y/edit?usp=sharing"",""งบพรบ!DV48"")"),0)</f>
        <v>0</v>
      </c>
      <c r="O287" s="255">
        <f ca="1">IF(L287&gt;0,N287*100/L287,0)</f>
        <v>0</v>
      </c>
      <c r="P287" s="255">
        <f ca="1">IF(M287&gt;0,N287*100/M287,0)</f>
        <v>0</v>
      </c>
      <c r="Q287" s="255">
        <v>0</v>
      </c>
      <c r="R287" s="255">
        <v>0</v>
      </c>
      <c r="S287" s="255">
        <v>0</v>
      </c>
      <c r="T287" s="102">
        <f>IF(Q287&gt;0,S287*100/Q287,0)</f>
        <v>0</v>
      </c>
      <c r="U287" s="102">
        <f>IF(R287&gt;0,S287*100/R287,0)</f>
        <v>0</v>
      </c>
    </row>
    <row r="288" spans="1:21" ht="18.75" hidden="1">
      <c r="A288" s="155"/>
      <c r="B288" s="50"/>
      <c r="C288" s="50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256">
        <f ca="1">L289+L290</f>
        <v>0</v>
      </c>
      <c r="M288" s="255">
        <f ca="1">M289+M290</f>
        <v>0</v>
      </c>
      <c r="N288" s="255">
        <f ca="1">N289+N290</f>
        <v>0</v>
      </c>
      <c r="O288" s="255">
        <f ca="1">IF(L288&gt;0,N288*100/L288,0)</f>
        <v>0</v>
      </c>
      <c r="P288" s="255">
        <f ca="1">IF(M288&gt;0,N288*100/M288,0)</f>
        <v>0</v>
      </c>
      <c r="Q288" s="255">
        <f>Q289+Q290</f>
        <v>0</v>
      </c>
      <c r="R288" s="255">
        <f>R289+R290</f>
        <v>0</v>
      </c>
      <c r="S288" s="255">
        <f>S289+S290</f>
        <v>0</v>
      </c>
      <c r="T288" s="255">
        <f>IF(Q288&gt;0,S288*100/Q288,0)</f>
        <v>0</v>
      </c>
      <c r="U288" s="255">
        <f>IF(R288&gt;0,S288*100/R288,0)</f>
        <v>0</v>
      </c>
    </row>
    <row r="289" spans="1:21" ht="18.75" hidden="1">
      <c r="A289" s="155"/>
      <c r="B289" s="50"/>
      <c r="C289" s="50"/>
      <c r="D289" s="50"/>
      <c r="E289" s="186" t="s">
        <v>20</v>
      </c>
      <c r="F289" s="50"/>
      <c r="G289" s="52"/>
      <c r="H289" s="189" t="s">
        <v>14</v>
      </c>
      <c r="I289" s="163"/>
      <c r="J289" s="163"/>
      <c r="K289" s="164"/>
      <c r="L289" s="103">
        <v>0</v>
      </c>
      <c r="M289" s="102">
        <v>0</v>
      </c>
      <c r="N289" s="102">
        <v>0</v>
      </c>
      <c r="O289" s="102">
        <f>IF(L289&gt;0,N289*100/L289,0)</f>
        <v>0</v>
      </c>
      <c r="P289" s="102">
        <f>IF(M289&gt;0,N289*100/M289,0)</f>
        <v>0</v>
      </c>
      <c r="Q289" s="102">
        <v>0</v>
      </c>
      <c r="R289" s="102">
        <v>0</v>
      </c>
      <c r="S289" s="102">
        <v>0</v>
      </c>
      <c r="T289" s="102">
        <f>IF(Q289&gt;0,S289*100/Q289,0)</f>
        <v>0</v>
      </c>
      <c r="U289" s="102">
        <f>IF(R289&gt;0,S289*100/R289,0)</f>
        <v>0</v>
      </c>
    </row>
    <row r="290" spans="1:21" ht="18.75" hidden="1">
      <c r="A290" s="155"/>
      <c r="B290" s="50"/>
      <c r="C290" s="50"/>
      <c r="D290" s="50"/>
      <c r="E290" s="58" t="s">
        <v>21</v>
      </c>
      <c r="F290" s="50"/>
      <c r="G290" s="52"/>
      <c r="H290" s="165" t="s">
        <v>14</v>
      </c>
      <c r="I290" s="163"/>
      <c r="J290" s="163"/>
      <c r="K290" s="164"/>
      <c r="L290" s="256">
        <f ca="1">IFERROR(__xludf.DUMMYFUNCTION("IMPORTRANGE(""https://docs.google.com/spreadsheets/d/1-uDff_7J0KD5mKrp0Vvzr7lt3OU09vwQwhkpOPPYv2Y/edit?usp=sharing"",""งบพรบ!DR48"")"),0)</f>
        <v>0</v>
      </c>
      <c r="M290" s="255">
        <f ca="1">IFERROR(__xludf.DUMMYFUNCTION("IMPORTRANGE(""https://docs.google.com/spreadsheets/d/1-uDff_7J0KD5mKrp0Vvzr7lt3OU09vwQwhkpOPPYv2Y/edit?usp=sharing"",""งบพรบ!DU48"")"),0)</f>
        <v>0</v>
      </c>
      <c r="N290" s="255">
        <f ca="1">IFERROR(__xludf.DUMMYFUNCTION("IMPORTRANGE(""https://docs.google.com/spreadsheets/d/1-uDff_7J0KD5mKrp0Vvzr7lt3OU09vwQwhkpOPPYv2Y/edit?usp=sharing"",""งบพรบ!DW48"")"),0)</f>
        <v>0</v>
      </c>
      <c r="O290" s="255">
        <f ca="1">IF(L290&gt;0,N290*100/L290,0)</f>
        <v>0</v>
      </c>
      <c r="P290" s="255">
        <f ca="1">IF(M290&gt;0,N290*100/M290,0)</f>
        <v>0</v>
      </c>
      <c r="Q290" s="255">
        <v>0</v>
      </c>
      <c r="R290" s="255">
        <v>0</v>
      </c>
      <c r="S290" s="255">
        <v>0</v>
      </c>
      <c r="T290" s="255">
        <f>IF(Q290&gt;0,S290*100/Q290,0)</f>
        <v>0</v>
      </c>
      <c r="U290" s="255">
        <f>IF(R290&gt;0,S290*100/R290,0)</f>
        <v>0</v>
      </c>
    </row>
    <row r="291" spans="1:21" ht="19.5" hidden="1">
      <c r="A291" s="166"/>
      <c r="B291" s="167"/>
      <c r="C291" s="156" t="s">
        <v>18</v>
      </c>
      <c r="D291" s="566" t="s">
        <v>38</v>
      </c>
      <c r="E291" s="169"/>
      <c r="F291" s="169"/>
      <c r="G291" s="170"/>
      <c r="H291" s="171"/>
      <c r="I291" s="163"/>
      <c r="J291" s="163"/>
      <c r="K291" s="164"/>
      <c r="L291" s="172"/>
      <c r="M291" s="164"/>
      <c r="N291" s="164"/>
      <c r="O291" s="164"/>
      <c r="P291" s="164"/>
      <c r="Q291" s="164"/>
      <c r="R291" s="164"/>
      <c r="S291" s="164"/>
      <c r="T291" s="164"/>
      <c r="U291" s="164"/>
    </row>
    <row r="292" spans="1:21" ht="18.75" hidden="1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212">
        <f ca="1">IFERROR(__xludf.DUMMYFUNCTION("IMPORTRANGE(""https://docs.google.com/spreadsheets/d/1eHaY18a8A9IcSdp1K8H6x8fbOy06t2VsZHhMHf-1x7Y/edit?usp=sharing"",""แผน!EE48"")"),0)</f>
        <v>0</v>
      </c>
      <c r="J292" s="467">
        <v>0</v>
      </c>
      <c r="K292" s="565">
        <f ca="1">IF(I292&gt;0,J292*100/I292,0)</f>
        <v>0</v>
      </c>
      <c r="L292" s="172"/>
      <c r="M292" s="164"/>
      <c r="N292" s="164"/>
      <c r="O292" s="164"/>
      <c r="P292" s="164"/>
      <c r="Q292" s="164"/>
      <c r="R292" s="164"/>
      <c r="S292" s="164"/>
      <c r="T292" s="164"/>
      <c r="U292" s="164"/>
    </row>
    <row r="293" spans="1:21" ht="19.5" hidden="1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373">
        <f ca="1">IFERROR(__xludf.DUMMYFUNCTION("IMPORTRANGE(""https://docs.google.com/spreadsheets/d/1eHaY18a8A9IcSdp1K8H6x8fbOy06t2VsZHhMHf-1x7Y/edit?usp=sharing"",""แผน!ED48"")"),0)</f>
        <v>0</v>
      </c>
      <c r="J293" s="373">
        <f>J296</f>
        <v>0</v>
      </c>
      <c r="K293" s="642">
        <f ca="1">IF(I293&gt;0,J293*100/I293,0)</f>
        <v>0</v>
      </c>
      <c r="L293" s="172"/>
      <c r="M293" s="164"/>
      <c r="N293" s="164"/>
      <c r="O293" s="164"/>
      <c r="P293" s="164"/>
      <c r="Q293" s="164"/>
      <c r="R293" s="164"/>
      <c r="S293" s="164"/>
      <c r="T293" s="164"/>
      <c r="U293" s="164"/>
    </row>
    <row r="294" spans="1:21" ht="19.5" hidden="1">
      <c r="A294" s="166"/>
      <c r="B294" s="167"/>
      <c r="C294" s="167"/>
      <c r="D294" s="174"/>
      <c r="E294" s="194" t="s">
        <v>122</v>
      </c>
      <c r="F294" s="174"/>
      <c r="G294" s="171"/>
      <c r="H294" s="171"/>
      <c r="I294" s="163"/>
      <c r="J294" s="54"/>
      <c r="K294" s="164"/>
      <c r="L294" s="172"/>
      <c r="M294" s="164"/>
      <c r="N294" s="164"/>
      <c r="O294" s="164"/>
      <c r="P294" s="164"/>
      <c r="Q294" s="164"/>
      <c r="R294" s="164"/>
      <c r="S294" s="164"/>
      <c r="T294" s="164"/>
      <c r="U294" s="164"/>
    </row>
    <row r="295" spans="1:21" ht="19.5" hidden="1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641">
        <f ca="1">IFERROR(__xludf.DUMMYFUNCTION("IMPORTRANGE(""https://docs.google.com/spreadsheets/d/1eHaY18a8A9IcSdp1K8H6x8fbOy06t2VsZHhMHf-1x7Y/edit?usp=sharing"",""แผน!ED48"")"),0)</f>
        <v>0</v>
      </c>
      <c r="J295" s="467">
        <v>0</v>
      </c>
      <c r="K295" s="565">
        <f ca="1">IF(I295&gt;0,J295*100/I295,0)</f>
        <v>0</v>
      </c>
      <c r="L295" s="172"/>
      <c r="M295" s="164"/>
      <c r="N295" s="164"/>
      <c r="O295" s="164"/>
      <c r="P295" s="164"/>
      <c r="Q295" s="164"/>
      <c r="R295" s="164"/>
      <c r="S295" s="164"/>
      <c r="T295" s="164"/>
      <c r="U295" s="164"/>
    </row>
    <row r="296" spans="1:21" ht="19.5" hidden="1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641">
        <f ca="1">IFERROR(__xludf.DUMMYFUNCTION("IMPORTRANGE(""https://docs.google.com/spreadsheets/d/1eHaY18a8A9IcSdp1K8H6x8fbOy06t2VsZHhMHf-1x7Y/edit?usp=sharing"",""แผน!ED48"")"),0)</f>
        <v>0</v>
      </c>
      <c r="J296" s="467">
        <v>0</v>
      </c>
      <c r="K296" s="565">
        <f ca="1">IF(I296&gt;0,J296*100/I296,0)</f>
        <v>0</v>
      </c>
      <c r="L296" s="172"/>
      <c r="M296" s="164"/>
      <c r="N296" s="164"/>
      <c r="O296" s="164"/>
      <c r="P296" s="164"/>
      <c r="Q296" s="164"/>
      <c r="R296" s="164"/>
      <c r="S296" s="164"/>
      <c r="T296" s="164"/>
      <c r="U296" s="164"/>
    </row>
    <row r="297" spans="1:21" ht="12.75" hidden="1">
      <c r="A297" s="192"/>
      <c r="B297" s="193"/>
      <c r="C297" s="193"/>
      <c r="D297" s="22"/>
      <c r="E297" s="22"/>
      <c r="F297" s="22"/>
      <c r="G297" s="23"/>
      <c r="H297" s="23"/>
      <c r="I297" s="24"/>
      <c r="J297" s="24"/>
      <c r="K297" s="25"/>
      <c r="L297" s="26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2.75" hidden="1">
      <c r="A298" s="192"/>
      <c r="B298" s="193"/>
      <c r="C298" s="193"/>
      <c r="D298" s="22"/>
      <c r="E298" s="22"/>
      <c r="F298" s="22"/>
      <c r="G298" s="23"/>
      <c r="H298" s="23"/>
      <c r="I298" s="24"/>
      <c r="J298" s="24"/>
      <c r="K298" s="25"/>
      <c r="L298" s="26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2.75" hidden="1">
      <c r="A299" s="311"/>
      <c r="B299" s="312"/>
      <c r="C299" s="312"/>
      <c r="D299" s="27"/>
      <c r="E299" s="27"/>
      <c r="F299" s="27"/>
      <c r="G299" s="17"/>
      <c r="H299" s="17"/>
      <c r="I299" s="18"/>
      <c r="J299" s="18"/>
      <c r="K299" s="19"/>
      <c r="L299" s="28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>
      <c r="A300" s="313" t="s">
        <v>125</v>
      </c>
      <c r="B300" s="314"/>
      <c r="C300" s="314"/>
      <c r="D300" s="314"/>
      <c r="E300" s="315"/>
      <c r="F300" s="315"/>
      <c r="G300" s="315"/>
      <c r="H300" s="315"/>
      <c r="I300" s="316"/>
      <c r="J300" s="316"/>
      <c r="K300" s="317"/>
      <c r="L300" s="317"/>
      <c r="M300" s="317"/>
      <c r="N300" s="317"/>
      <c r="O300" s="317"/>
      <c r="P300" s="318"/>
      <c r="Q300" s="317"/>
      <c r="R300" s="317"/>
      <c r="S300" s="317"/>
      <c r="T300" s="317"/>
      <c r="U300" s="318"/>
    </row>
    <row r="301" spans="1:21" ht="19.5" hidden="1">
      <c r="A301" s="319" t="s">
        <v>126</v>
      </c>
      <c r="B301" s="320"/>
      <c r="C301" s="320"/>
      <c r="D301" s="321"/>
      <c r="E301" s="321"/>
      <c r="F301" s="321"/>
      <c r="G301" s="322"/>
      <c r="H301" s="322"/>
      <c r="I301" s="323"/>
      <c r="J301" s="323"/>
      <c r="K301" s="324"/>
      <c r="L301" s="325"/>
      <c r="M301" s="324"/>
      <c r="N301" s="324"/>
      <c r="O301" s="324"/>
      <c r="P301" s="324"/>
      <c r="Q301" s="324"/>
      <c r="R301" s="324"/>
      <c r="S301" s="324"/>
      <c r="T301" s="324"/>
      <c r="U301" s="324"/>
    </row>
    <row r="302" spans="1:21" ht="19.5" hidden="1">
      <c r="A302" s="326"/>
      <c r="B302" s="327" t="s">
        <v>127</v>
      </c>
      <c r="C302" s="328"/>
      <c r="D302" s="328"/>
      <c r="E302" s="328"/>
      <c r="F302" s="328"/>
      <c r="G302" s="329"/>
      <c r="H302" s="330" t="s">
        <v>35</v>
      </c>
      <c r="I302" s="605">
        <f ca="1">I314</f>
        <v>0</v>
      </c>
      <c r="J302" s="605">
        <f>J314</f>
        <v>0</v>
      </c>
      <c r="K302" s="604">
        <f ca="1">IF(I302&gt;0,J302*100/I302,0)</f>
        <v>0</v>
      </c>
      <c r="L302" s="334"/>
      <c r="M302" s="333"/>
      <c r="N302" s="333"/>
      <c r="O302" s="333"/>
      <c r="P302" s="333"/>
      <c r="Q302" s="333"/>
      <c r="R302" s="333"/>
      <c r="S302" s="333"/>
      <c r="T302" s="333"/>
      <c r="U302" s="333"/>
    </row>
    <row r="303" spans="1:21" ht="19.5" hidden="1">
      <c r="A303" s="155"/>
      <c r="B303" s="50"/>
      <c r="C303" s="156" t="s">
        <v>18</v>
      </c>
      <c r="D303" s="575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541">
        <f ca="1">L304+L305</f>
        <v>0</v>
      </c>
      <c r="M303" s="540">
        <f ca="1">M304+M305</f>
        <v>0</v>
      </c>
      <c r="N303" s="540">
        <f ca="1">N304+N305</f>
        <v>0</v>
      </c>
      <c r="O303" s="540">
        <f ca="1">IF(L303&gt;0,N303*100/L303,0)</f>
        <v>0</v>
      </c>
      <c r="P303" s="540">
        <f ca="1">IF(M303&gt;0,N303*100/M303,0)</f>
        <v>0</v>
      </c>
      <c r="Q303" s="540">
        <f ca="1">Q304+Q305</f>
        <v>0</v>
      </c>
      <c r="R303" s="540">
        <f ca="1">R304+R305</f>
        <v>0</v>
      </c>
      <c r="S303" s="540">
        <f ca="1">S304+S305</f>
        <v>0</v>
      </c>
      <c r="T303" s="540">
        <f ca="1">IF(Q303&gt;0,S303*100/Q303,0)</f>
        <v>0</v>
      </c>
      <c r="U303" s="540">
        <f ca="1">IF(R303&gt;0,S303*100/R303,0)</f>
        <v>0</v>
      </c>
    </row>
    <row r="304" spans="1:21" ht="18.75" hidden="1">
      <c r="A304" s="155"/>
      <c r="B304" s="50"/>
      <c r="C304" s="50"/>
      <c r="D304" s="50"/>
      <c r="E304" s="186" t="s">
        <v>20</v>
      </c>
      <c r="F304" s="50"/>
      <c r="G304" s="52"/>
      <c r="H304" s="187" t="s">
        <v>14</v>
      </c>
      <c r="I304" s="54"/>
      <c r="J304" s="54"/>
      <c r="K304" s="55"/>
      <c r="L304" s="103">
        <f>L307+L310</f>
        <v>0</v>
      </c>
      <c r="M304" s="102">
        <f>M307+M310</f>
        <v>0</v>
      </c>
      <c r="N304" s="102">
        <f>N307+N310</f>
        <v>0</v>
      </c>
      <c r="O304" s="102">
        <f>IF(L304&gt;0,N304*100/L304,0)</f>
        <v>0</v>
      </c>
      <c r="P304" s="102">
        <f>IF(M304&gt;0,N304*100/M304,0)</f>
        <v>0</v>
      </c>
      <c r="Q304" s="102">
        <f>Q307+Q310</f>
        <v>0</v>
      </c>
      <c r="R304" s="102">
        <f>R307+R310</f>
        <v>0</v>
      </c>
      <c r="S304" s="102">
        <f>S307+S310</f>
        <v>0</v>
      </c>
      <c r="T304" s="102">
        <f>IF(Q304&gt;0,S304*100/Q304,0)</f>
        <v>0</v>
      </c>
      <c r="U304" s="102">
        <f>IF(R304&gt;0,S304*100/R304,0)</f>
        <v>0</v>
      </c>
    </row>
    <row r="305" spans="1:21" ht="18.75" hidden="1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256">
        <f ca="1">L308+L311</f>
        <v>0</v>
      </c>
      <c r="M305" s="255">
        <f ca="1">M308+M311</f>
        <v>0</v>
      </c>
      <c r="N305" s="255">
        <f ca="1">N308+N311</f>
        <v>0</v>
      </c>
      <c r="O305" s="255">
        <f ca="1">IF(L305&gt;0,N305*100/L305,0)</f>
        <v>0</v>
      </c>
      <c r="P305" s="255">
        <f ca="1">IF(M305&gt;0,N305*100/M305,0)</f>
        <v>0</v>
      </c>
      <c r="Q305" s="255">
        <f ca="1">Q308+Q311</f>
        <v>0</v>
      </c>
      <c r="R305" s="255">
        <f ca="1">R308+R311</f>
        <v>0</v>
      </c>
      <c r="S305" s="255">
        <f ca="1">S308+S311</f>
        <v>0</v>
      </c>
      <c r="T305" s="255">
        <f ca="1">IF(Q305&gt;0,S305*100/Q305,0)</f>
        <v>0</v>
      </c>
      <c r="U305" s="255">
        <f ca="1">IF(R305&gt;0,S305*100/R305,0)</f>
        <v>0</v>
      </c>
    </row>
    <row r="306" spans="1:21" ht="18.75" hidden="1">
      <c r="A306" s="155"/>
      <c r="B306" s="50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256">
        <f ca="1">L307+L308</f>
        <v>0</v>
      </c>
      <c r="M306" s="255">
        <f ca="1">M307+M308</f>
        <v>0</v>
      </c>
      <c r="N306" s="255">
        <f ca="1">N307+N308</f>
        <v>0</v>
      </c>
      <c r="O306" s="255">
        <f ca="1">IF(L306&gt;0,N306*100/L306,0)</f>
        <v>0</v>
      </c>
      <c r="P306" s="255">
        <f ca="1">IF(M306&gt;0,N306*100/M306,0)</f>
        <v>0</v>
      </c>
      <c r="Q306" s="255">
        <f ca="1">Q307+Q308</f>
        <v>0</v>
      </c>
      <c r="R306" s="255">
        <f ca="1">R307+R308</f>
        <v>0</v>
      </c>
      <c r="S306" s="255">
        <f ca="1">S307+S308</f>
        <v>0</v>
      </c>
      <c r="T306" s="255">
        <f ca="1">IF(Q306&gt;0,S306*100/Q306,0)</f>
        <v>0</v>
      </c>
      <c r="U306" s="255">
        <f ca="1">IF(R306&gt;0,S306*100/R306,0)</f>
        <v>0</v>
      </c>
    </row>
    <row r="307" spans="1:21" ht="18.75" hidden="1">
      <c r="A307" s="155"/>
      <c r="B307" s="50"/>
      <c r="C307" s="50"/>
      <c r="D307" s="50"/>
      <c r="E307" s="186" t="s">
        <v>36</v>
      </c>
      <c r="F307" s="50"/>
      <c r="G307" s="52"/>
      <c r="H307" s="189" t="s">
        <v>14</v>
      </c>
      <c r="I307" s="163"/>
      <c r="J307" s="163"/>
      <c r="K307" s="164"/>
      <c r="L307" s="103">
        <v>0</v>
      </c>
      <c r="M307" s="102">
        <v>0</v>
      </c>
      <c r="N307" s="102">
        <v>0</v>
      </c>
      <c r="O307" s="102">
        <f>IF(L307&gt;0,N307*100/L307,0)</f>
        <v>0</v>
      </c>
      <c r="P307" s="102">
        <f>IF(M307&gt;0,N307*100/M307,0)</f>
        <v>0</v>
      </c>
      <c r="Q307" s="102">
        <v>0</v>
      </c>
      <c r="R307" s="102">
        <v>0</v>
      </c>
      <c r="S307" s="102">
        <v>0</v>
      </c>
      <c r="T307" s="102">
        <f>IF(Q307&gt;0,S307*100/Q307,0)</f>
        <v>0</v>
      </c>
      <c r="U307" s="102">
        <f>IF(R307&gt;0,S307*100/R307,0)</f>
        <v>0</v>
      </c>
    </row>
    <row r="308" spans="1:21" ht="18.75" hidden="1">
      <c r="A308" s="155"/>
      <c r="B308" s="50"/>
      <c r="C308" s="50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256">
        <f ca="1">IFERROR(__xludf.DUMMYFUNCTION("IMPORTRANGE(""https://docs.google.com/spreadsheets/d/1-uDff_7J0KD5mKrp0Vvzr7lt3OU09vwQwhkpOPPYv2Y/edit?usp=sharing"",""งบพรบ!DY48"")"),0)</f>
        <v>0</v>
      </c>
      <c r="M308" s="255">
        <f ca="1">IFERROR(__xludf.DUMMYFUNCTION("IMPORTRANGE(""https://docs.google.com/spreadsheets/d/1-uDff_7J0KD5mKrp0Vvzr7lt3OU09vwQwhkpOPPYv2Y/edit?usp=sharing"",""งบพรบ!ED48"")"),0)</f>
        <v>0</v>
      </c>
      <c r="N308" s="255">
        <f ca="1">IFERROR(__xludf.DUMMYFUNCTION("IMPORTRANGE(""https://docs.google.com/spreadsheets/d/1-uDff_7J0KD5mKrp0Vvzr7lt3OU09vwQwhkpOPPYv2Y/edit?usp=sharing"",""งบพรบ!EF48"")"),0)</f>
        <v>0</v>
      </c>
      <c r="O308" s="255">
        <f ca="1">IF(L308&gt;0,N308*100/L308,0)</f>
        <v>0</v>
      </c>
      <c r="P308" s="255">
        <f ca="1">IF(M308&gt;0,N308*100/M308,0)</f>
        <v>0</v>
      </c>
      <c r="Q308" s="255">
        <f ca="1">IFERROR(__xludf.DUMMYFUNCTION("IMPORTRANGE(""https://docs.google.com/spreadsheets/d/1ItG2mGa2ceCfYo0BwxsXqNm01IGEUdYcSSLTEv9YCik/edit?usp=sharing"",""เบิกจ่ายกองทุน!AP48"")"),0)</f>
        <v>0</v>
      </c>
      <c r="R308" s="255">
        <f ca="1">IFERROR(__xludf.DUMMYFUNCTION("IMPORTRANGE(""https://docs.google.com/spreadsheets/d/1ItG2mGa2ceCfYo0BwxsXqNm01IGEUdYcSSLTEv9YCik/edit?usp=sharing"",""เบิกจ่ายกองทุน!AQ48"")"),0)</f>
        <v>0</v>
      </c>
      <c r="S308" s="255">
        <f ca="1">IFERROR(__xludf.DUMMYFUNCTION("IMPORTRANGE(""https://docs.google.com/spreadsheets/d/1ItG2mGa2ceCfYo0BwxsXqNm01IGEUdYcSSLTEv9YCik/edit?usp=sharing"",""เบิกจ่ายกองทุน!AR48"")"),0)</f>
        <v>0</v>
      </c>
      <c r="T308" s="255">
        <f ca="1">IF(Q308&gt;0,S308*100/Q308,0)</f>
        <v>0</v>
      </c>
      <c r="U308" s="255">
        <f ca="1">IF(R308&gt;0,S308*100/R308,0)</f>
        <v>0</v>
      </c>
    </row>
    <row r="309" spans="1:21" ht="18.75" hidden="1">
      <c r="A309" s="155"/>
      <c r="B309" s="50"/>
      <c r="C309" s="50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256">
        <f ca="1">L310+L311</f>
        <v>0</v>
      </c>
      <c r="M309" s="255">
        <f ca="1">M310+M311</f>
        <v>0</v>
      </c>
      <c r="N309" s="255">
        <f ca="1">N310+N311</f>
        <v>0</v>
      </c>
      <c r="O309" s="255">
        <f ca="1">IF(L309&gt;0,N309*100/L309,0)</f>
        <v>0</v>
      </c>
      <c r="P309" s="255">
        <f ca="1">IF(M309&gt;0,N309*100/M309,0)</f>
        <v>0</v>
      </c>
      <c r="Q309" s="255">
        <f>Q310+Q311</f>
        <v>0</v>
      </c>
      <c r="R309" s="255">
        <f>R310+R311</f>
        <v>0</v>
      </c>
      <c r="S309" s="255">
        <f>S310+S311</f>
        <v>0</v>
      </c>
      <c r="T309" s="255">
        <f>IF(Q309&gt;0,S309*100/Q309,0)</f>
        <v>0</v>
      </c>
      <c r="U309" s="255">
        <f>IF(R309&gt;0,S309*100/R309,0)</f>
        <v>0</v>
      </c>
    </row>
    <row r="310" spans="1:21" ht="18.75" hidden="1">
      <c r="A310" s="155"/>
      <c r="B310" s="50"/>
      <c r="C310" s="50"/>
      <c r="D310" s="50"/>
      <c r="E310" s="186" t="s">
        <v>20</v>
      </c>
      <c r="F310" s="50"/>
      <c r="G310" s="52"/>
      <c r="H310" s="189" t="s">
        <v>14</v>
      </c>
      <c r="I310" s="163"/>
      <c r="J310" s="163"/>
      <c r="K310" s="164"/>
      <c r="L310" s="103">
        <v>0</v>
      </c>
      <c r="M310" s="102">
        <v>0</v>
      </c>
      <c r="N310" s="102">
        <v>0</v>
      </c>
      <c r="O310" s="102">
        <f>IF(L310&gt;0,N310*100/L310,0)</f>
        <v>0</v>
      </c>
      <c r="P310" s="102">
        <f>IF(M310&gt;0,N310*100/M310,0)</f>
        <v>0</v>
      </c>
      <c r="Q310" s="102">
        <v>0</v>
      </c>
      <c r="R310" s="102">
        <v>0</v>
      </c>
      <c r="S310" s="102">
        <v>0</v>
      </c>
      <c r="T310" s="102">
        <f>IF(Q310&gt;0,S310*100/Q310,0)</f>
        <v>0</v>
      </c>
      <c r="U310" s="102">
        <f>IF(R310&gt;0,S310*100/R310,0)</f>
        <v>0</v>
      </c>
    </row>
    <row r="311" spans="1:21" ht="18.75" hidden="1">
      <c r="A311" s="155"/>
      <c r="B311" s="50"/>
      <c r="C311" s="50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256">
        <f ca="1">IFERROR(__xludf.DUMMYFUNCTION("IMPORTRANGE(""https://docs.google.com/spreadsheets/d/1-uDff_7J0KD5mKrp0Vvzr7lt3OU09vwQwhkpOPPYv2Y/edit?usp=sharing"",""งบพรบ!EB48"")"),0)</f>
        <v>0</v>
      </c>
      <c r="M311" s="255">
        <f ca="1">IFERROR(__xludf.DUMMYFUNCTION("IMPORTRANGE(""https://docs.google.com/spreadsheets/d/1-uDff_7J0KD5mKrp0Vvzr7lt3OU09vwQwhkpOPPYv2Y/edit?usp=sharing"",""งบพรบ!EE48"")"),0)</f>
        <v>0</v>
      </c>
      <c r="N311" s="255">
        <f ca="1">IFERROR(__xludf.DUMMYFUNCTION("IMPORTRANGE(""https://docs.google.com/spreadsheets/d/1-uDff_7J0KD5mKrp0Vvzr7lt3OU09vwQwhkpOPPYv2Y/edit?usp=sharing"",""งบพรบ!EG48"")"),0)</f>
        <v>0</v>
      </c>
      <c r="O311" s="255">
        <f ca="1">IF(L311&gt;0,N311*100/L311,0)</f>
        <v>0</v>
      </c>
      <c r="P311" s="255">
        <f ca="1">IF(M311&gt;0,N311*100/M311,0)</f>
        <v>0</v>
      </c>
      <c r="Q311" s="255">
        <v>0</v>
      </c>
      <c r="R311" s="255">
        <v>0</v>
      </c>
      <c r="S311" s="255">
        <v>0</v>
      </c>
      <c r="T311" s="255">
        <f>IF(Q311&gt;0,S311*100/Q311,0)</f>
        <v>0</v>
      </c>
      <c r="U311" s="255">
        <f>IF(R311&gt;0,S311*100/R311,0)</f>
        <v>0</v>
      </c>
    </row>
    <row r="312" spans="1:21" ht="19.5" hidden="1">
      <c r="A312" s="166"/>
      <c r="B312" s="167"/>
      <c r="C312" s="156" t="s">
        <v>18</v>
      </c>
      <c r="D312" s="566" t="s">
        <v>38</v>
      </c>
      <c r="E312" s="169"/>
      <c r="F312" s="169"/>
      <c r="G312" s="170"/>
      <c r="H312" s="171"/>
      <c r="I312" s="54"/>
      <c r="J312" s="54"/>
      <c r="K312" s="55"/>
      <c r="L312" s="62"/>
      <c r="M312" s="55"/>
      <c r="N312" s="55"/>
      <c r="O312" s="55"/>
      <c r="P312" s="55"/>
      <c r="Q312" s="55"/>
      <c r="R312" s="55"/>
      <c r="S312" s="55"/>
      <c r="T312" s="55"/>
      <c r="U312" s="55"/>
    </row>
    <row r="313" spans="1:21" ht="18.75" hidden="1">
      <c r="A313" s="192"/>
      <c r="B313" s="193"/>
      <c r="C313" s="193"/>
      <c r="D313" s="640"/>
      <c r="E313" s="22"/>
      <c r="F313" s="22"/>
      <c r="G313" s="23"/>
      <c r="H313" s="23"/>
      <c r="I313" s="24"/>
      <c r="J313" s="638"/>
      <c r="K313" s="25"/>
      <c r="L313" s="26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8.75" hidden="1">
      <c r="A314" s="166"/>
      <c r="B314" s="167"/>
      <c r="C314" s="167"/>
      <c r="D314" s="178" t="s">
        <v>121</v>
      </c>
      <c r="E314" s="174"/>
      <c r="F314" s="174"/>
      <c r="G314" s="171"/>
      <c r="H314" s="179" t="s">
        <v>35</v>
      </c>
      <c r="I314" s="212">
        <f ca="1">IFERROR(__xludf.DUMMYFUNCTION("IMPORTRANGE(""https://docs.google.com/spreadsheets/d/1eHaY18a8A9IcSdp1K8H6x8fbOy06t2VsZHhMHf-1x7Y/edit?usp=sharing"",""แผน!EF48"")"),0)</f>
        <v>0</v>
      </c>
      <c r="J314" s="467">
        <v>0</v>
      </c>
      <c r="K314" s="255">
        <f ca="1">IF(I314&gt;0,J314*100/I314,0)</f>
        <v>0</v>
      </c>
      <c r="L314" s="62"/>
      <c r="M314" s="55"/>
      <c r="N314" s="55"/>
      <c r="O314" s="55"/>
      <c r="P314" s="55"/>
      <c r="Q314" s="55"/>
      <c r="R314" s="55"/>
      <c r="S314" s="55"/>
      <c r="T314" s="55"/>
      <c r="U314" s="55"/>
    </row>
    <row r="315" spans="1:21" ht="18.75" hidden="1">
      <c r="A315" s="192"/>
      <c r="B315" s="193"/>
      <c r="C315" s="193"/>
      <c r="D315" s="640"/>
      <c r="E315" s="22"/>
      <c r="F315" s="22"/>
      <c r="G315" s="23"/>
      <c r="H315" s="639"/>
      <c r="I315" s="638"/>
      <c r="J315" s="638"/>
      <c r="K315" s="637"/>
      <c r="L315" s="26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8.75" hidden="1">
      <c r="A316" s="192"/>
      <c r="B316" s="193"/>
      <c r="C316" s="193"/>
      <c r="D316" s="640"/>
      <c r="E316" s="22"/>
      <c r="F316" s="22"/>
      <c r="G316" s="23"/>
      <c r="H316" s="639"/>
      <c r="I316" s="638"/>
      <c r="J316" s="638"/>
      <c r="K316" s="637"/>
      <c r="L316" s="26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8.75" hidden="1">
      <c r="A317" s="192"/>
      <c r="B317" s="193"/>
      <c r="C317" s="193"/>
      <c r="D317" s="636"/>
      <c r="E317" s="22"/>
      <c r="F317" s="22"/>
      <c r="G317" s="23"/>
      <c r="H317" s="635"/>
      <c r="I317" s="634"/>
      <c r="J317" s="634"/>
      <c r="K317" s="633"/>
      <c r="L317" s="26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9.5" hidden="1">
      <c r="A318" s="319" t="s">
        <v>131</v>
      </c>
      <c r="B318" s="320"/>
      <c r="C318" s="320"/>
      <c r="D318" s="321"/>
      <c r="E318" s="320"/>
      <c r="F318" s="320"/>
      <c r="G318" s="320"/>
      <c r="H318" s="321"/>
      <c r="I318" s="323"/>
      <c r="J318" s="323"/>
      <c r="K318" s="324"/>
      <c r="L318" s="325"/>
      <c r="M318" s="324"/>
      <c r="N318" s="324"/>
      <c r="O318" s="324"/>
      <c r="P318" s="324"/>
      <c r="Q318" s="324"/>
      <c r="R318" s="324"/>
      <c r="S318" s="324"/>
      <c r="T318" s="324"/>
      <c r="U318" s="324"/>
    </row>
    <row r="319" spans="1:21" ht="19.5" hidden="1">
      <c r="A319" s="335"/>
      <c r="B319" s="327" t="s">
        <v>132</v>
      </c>
      <c r="C319" s="336"/>
      <c r="D319" s="337"/>
      <c r="E319" s="328"/>
      <c r="F319" s="328"/>
      <c r="G319" s="329"/>
      <c r="H319" s="330" t="s">
        <v>133</v>
      </c>
      <c r="I319" s="605">
        <f ca="1">I330</f>
        <v>0</v>
      </c>
      <c r="J319" s="605">
        <f>J330</f>
        <v>0</v>
      </c>
      <c r="K319" s="604">
        <f ca="1">IF(I319&gt;0,J319*100/I319,0)</f>
        <v>0</v>
      </c>
      <c r="L319" s="334"/>
      <c r="M319" s="333"/>
      <c r="N319" s="333"/>
      <c r="O319" s="333"/>
      <c r="P319" s="333"/>
      <c r="Q319" s="333"/>
      <c r="R319" s="333"/>
      <c r="S319" s="333"/>
      <c r="T319" s="333"/>
      <c r="U319" s="333"/>
    </row>
    <row r="320" spans="1:21" ht="19.5" hidden="1">
      <c r="A320" s="155"/>
      <c r="B320" s="50"/>
      <c r="C320" s="156" t="s">
        <v>18</v>
      </c>
      <c r="D320" s="575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541">
        <f ca="1">L321+L322</f>
        <v>0</v>
      </c>
      <c r="M320" s="540">
        <f ca="1">M321+M322</f>
        <v>0</v>
      </c>
      <c r="N320" s="540">
        <f ca="1">N321+N322</f>
        <v>0</v>
      </c>
      <c r="O320" s="540">
        <f ca="1">IF(L320&gt;0,N320*100/L320,0)</f>
        <v>0</v>
      </c>
      <c r="P320" s="540">
        <f ca="1">IF(M320&gt;0,N320*100/M320,0)</f>
        <v>0</v>
      </c>
      <c r="Q320" s="540">
        <f>Q321+Q322</f>
        <v>0</v>
      </c>
      <c r="R320" s="540">
        <f>R321+R322</f>
        <v>0</v>
      </c>
      <c r="S320" s="540">
        <f>S321+S322</f>
        <v>0</v>
      </c>
      <c r="T320" s="540">
        <f>IF(Q320&gt;0,S320*100/Q320,0)</f>
        <v>0</v>
      </c>
      <c r="U320" s="540">
        <f>IF(R320&gt;0,S320*100/R320,0)</f>
        <v>0</v>
      </c>
    </row>
    <row r="321" spans="1:21" ht="18.75" hidden="1">
      <c r="A321" s="155"/>
      <c r="B321" s="50"/>
      <c r="C321" s="50"/>
      <c r="D321" s="50"/>
      <c r="E321" s="186" t="s">
        <v>20</v>
      </c>
      <c r="F321" s="50"/>
      <c r="G321" s="52"/>
      <c r="H321" s="187" t="s">
        <v>14</v>
      </c>
      <c r="I321" s="54"/>
      <c r="J321" s="54"/>
      <c r="K321" s="55"/>
      <c r="L321" s="103">
        <f>L324+L327</f>
        <v>0</v>
      </c>
      <c r="M321" s="102">
        <f>M324+M327</f>
        <v>0</v>
      </c>
      <c r="N321" s="102">
        <f>N324+N327</f>
        <v>0</v>
      </c>
      <c r="O321" s="102">
        <f>IF(L321&gt;0,N321*100/L321,0)</f>
        <v>0</v>
      </c>
      <c r="P321" s="102">
        <f>IF(M321&gt;0,N321*100/M321,0)</f>
        <v>0</v>
      </c>
      <c r="Q321" s="102">
        <f>Q324+Q327</f>
        <v>0</v>
      </c>
      <c r="R321" s="102">
        <f>R324+R327</f>
        <v>0</v>
      </c>
      <c r="S321" s="102">
        <f>S324+S327</f>
        <v>0</v>
      </c>
      <c r="T321" s="102">
        <f>IF(Q321&gt;0,S321*100/Q321,0)</f>
        <v>0</v>
      </c>
      <c r="U321" s="102">
        <f>IF(R321&gt;0,S321*100/R321,0)</f>
        <v>0</v>
      </c>
    </row>
    <row r="322" spans="1:21" ht="18.75" hidden="1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256">
        <f ca="1">L325+L328</f>
        <v>0</v>
      </c>
      <c r="M322" s="255">
        <f ca="1">M325+M328</f>
        <v>0</v>
      </c>
      <c r="N322" s="255">
        <f ca="1">N325+N328</f>
        <v>0</v>
      </c>
      <c r="O322" s="255">
        <f ca="1">IF(L322&gt;0,N322*100/L322,0)</f>
        <v>0</v>
      </c>
      <c r="P322" s="255">
        <f ca="1">IF(M322&gt;0,N322*100/M322,0)</f>
        <v>0</v>
      </c>
      <c r="Q322" s="255">
        <f>Q325+Q328</f>
        <v>0</v>
      </c>
      <c r="R322" s="255">
        <f>R325+R328</f>
        <v>0</v>
      </c>
      <c r="S322" s="255">
        <f>S325+S328</f>
        <v>0</v>
      </c>
      <c r="T322" s="255">
        <f>IF(Q322&gt;0,S322*100/Q322,0)</f>
        <v>0</v>
      </c>
      <c r="U322" s="255">
        <f>IF(R322&gt;0,S322*100/R322,0)</f>
        <v>0</v>
      </c>
    </row>
    <row r="323" spans="1:21" ht="18.75" hidden="1">
      <c r="A323" s="155"/>
      <c r="B323" s="50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256">
        <f ca="1">L324+L325</f>
        <v>0</v>
      </c>
      <c r="M323" s="255">
        <f ca="1">M324+M325</f>
        <v>0</v>
      </c>
      <c r="N323" s="255">
        <f ca="1">N324+N325</f>
        <v>0</v>
      </c>
      <c r="O323" s="255">
        <f ca="1">IF(L323&gt;0,N323*100/L323,0)</f>
        <v>0</v>
      </c>
      <c r="P323" s="255">
        <f ca="1">IF(M323&gt;0,N323*100/M323,0)</f>
        <v>0</v>
      </c>
      <c r="Q323" s="255">
        <f>Q324+Q325</f>
        <v>0</v>
      </c>
      <c r="R323" s="255">
        <f>R324+R325</f>
        <v>0</v>
      </c>
      <c r="S323" s="255">
        <f>S324+S325</f>
        <v>0</v>
      </c>
      <c r="T323" s="255">
        <f>IF(Q323&gt;0,S323*100/Q323,0)</f>
        <v>0</v>
      </c>
      <c r="U323" s="255">
        <f>IF(R323&gt;0,S323*100/R323,0)</f>
        <v>0</v>
      </c>
    </row>
    <row r="324" spans="1:21" ht="18.75" hidden="1">
      <c r="A324" s="155"/>
      <c r="B324" s="50"/>
      <c r="C324" s="50"/>
      <c r="D324" s="50"/>
      <c r="E324" s="186" t="s">
        <v>36</v>
      </c>
      <c r="F324" s="50"/>
      <c r="G324" s="52"/>
      <c r="H324" s="189" t="s">
        <v>14</v>
      </c>
      <c r="I324" s="163"/>
      <c r="J324" s="163"/>
      <c r="K324" s="164"/>
      <c r="L324" s="103">
        <v>0</v>
      </c>
      <c r="M324" s="102">
        <v>0</v>
      </c>
      <c r="N324" s="102">
        <v>0</v>
      </c>
      <c r="O324" s="102">
        <f>IF(L324&gt;0,N324*100/L324,0)</f>
        <v>0</v>
      </c>
      <c r="P324" s="102">
        <f>IF(M324&gt;0,N324*100/M324,0)</f>
        <v>0</v>
      </c>
      <c r="Q324" s="102">
        <v>0</v>
      </c>
      <c r="R324" s="102">
        <v>0</v>
      </c>
      <c r="S324" s="102">
        <v>0</v>
      </c>
      <c r="T324" s="102">
        <f>IF(Q324&gt;0,S324*100/Q324,0)</f>
        <v>0</v>
      </c>
      <c r="U324" s="102">
        <f>IF(R324&gt;0,S324*100/R324,0)</f>
        <v>0</v>
      </c>
    </row>
    <row r="325" spans="1:21" ht="18.75" hidden="1">
      <c r="A325" s="155"/>
      <c r="B325" s="50"/>
      <c r="C325" s="50"/>
      <c r="D325" s="50"/>
      <c r="E325" s="58" t="s">
        <v>37</v>
      </c>
      <c r="F325" s="50"/>
      <c r="G325" s="52"/>
      <c r="H325" s="162" t="s">
        <v>14</v>
      </c>
      <c r="I325" s="163"/>
      <c r="J325" s="163"/>
      <c r="K325" s="164"/>
      <c r="L325" s="256">
        <f ca="1">IFERROR(__xludf.DUMMYFUNCTION("IMPORTRANGE(""https://docs.google.com/spreadsheets/d/1-uDff_7J0KD5mKrp0Vvzr7lt3OU09vwQwhkpOPPYv2Y/edit?usp=sharing"",""งบพรบ!EI48"")"),0)</f>
        <v>0</v>
      </c>
      <c r="M325" s="255">
        <f ca="1">IFERROR(__xludf.DUMMYFUNCTION("IMPORTRANGE(""https://docs.google.com/spreadsheets/d/1-uDff_7J0KD5mKrp0Vvzr7lt3OU09vwQwhkpOPPYv2Y/edit?usp=sharing"",""งบพรบ!EN48"")"),0)</f>
        <v>0</v>
      </c>
      <c r="N325" s="255">
        <f ca="1">IFERROR(__xludf.DUMMYFUNCTION("IMPORTRANGE(""https://docs.google.com/spreadsheets/d/1-uDff_7J0KD5mKrp0Vvzr7lt3OU09vwQwhkpOPPYv2Y/edit?usp=sharing"",""งบพรบ!EP48"")"),0)</f>
        <v>0</v>
      </c>
      <c r="O325" s="255">
        <f ca="1">IF(L325&gt;0,N325*100/L325,0)</f>
        <v>0</v>
      </c>
      <c r="P325" s="255">
        <f ca="1">IF(M325&gt;0,N325*100/M325,0)</f>
        <v>0</v>
      </c>
      <c r="Q325" s="255">
        <v>0</v>
      </c>
      <c r="R325" s="255">
        <v>0</v>
      </c>
      <c r="S325" s="255">
        <v>0</v>
      </c>
      <c r="T325" s="255">
        <f>IF(Q325&gt;0,S325*100/Q325,0)</f>
        <v>0</v>
      </c>
      <c r="U325" s="255">
        <f>IF(R325&gt;0,S325*100/R325,0)</f>
        <v>0</v>
      </c>
    </row>
    <row r="326" spans="1:21" ht="18.75" hidden="1">
      <c r="A326" s="155"/>
      <c r="B326" s="50"/>
      <c r="C326" s="50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256">
        <f ca="1">L327+L328</f>
        <v>0</v>
      </c>
      <c r="M326" s="255">
        <f ca="1">M327+M328</f>
        <v>0</v>
      </c>
      <c r="N326" s="255">
        <f ca="1">N327+N328</f>
        <v>0</v>
      </c>
      <c r="O326" s="255">
        <f ca="1">IF(L326&gt;0,N326*100/L326,0)</f>
        <v>0</v>
      </c>
      <c r="P326" s="255">
        <f ca="1">IF(M326&gt;0,N326*100/M326,0)</f>
        <v>0</v>
      </c>
      <c r="Q326" s="255">
        <f>Q327+Q328</f>
        <v>0</v>
      </c>
      <c r="R326" s="255">
        <f>R327+R328</f>
        <v>0</v>
      </c>
      <c r="S326" s="255">
        <f>S327+S328</f>
        <v>0</v>
      </c>
      <c r="T326" s="255">
        <f>IF(Q326&gt;0,S326*100/Q326,0)</f>
        <v>0</v>
      </c>
      <c r="U326" s="255">
        <f>IF(R326&gt;0,S326*100/R326,0)</f>
        <v>0</v>
      </c>
    </row>
    <row r="327" spans="1:21" ht="18.75" hidden="1">
      <c r="A327" s="155"/>
      <c r="B327" s="50"/>
      <c r="C327" s="50"/>
      <c r="D327" s="50"/>
      <c r="E327" s="186" t="s">
        <v>20</v>
      </c>
      <c r="F327" s="50"/>
      <c r="G327" s="52"/>
      <c r="H327" s="189" t="s">
        <v>14</v>
      </c>
      <c r="I327" s="163"/>
      <c r="J327" s="163"/>
      <c r="K327" s="164"/>
      <c r="L327" s="103">
        <v>0</v>
      </c>
      <c r="M327" s="102">
        <v>0</v>
      </c>
      <c r="N327" s="102">
        <v>0</v>
      </c>
      <c r="O327" s="102">
        <f>IF(L327&gt;0,N327*100/L327,0)</f>
        <v>0</v>
      </c>
      <c r="P327" s="102">
        <f>IF(M327&gt;0,N327*100/M327,0)</f>
        <v>0</v>
      </c>
      <c r="Q327" s="102">
        <v>0</v>
      </c>
      <c r="R327" s="102">
        <v>0</v>
      </c>
      <c r="S327" s="102">
        <v>0</v>
      </c>
      <c r="T327" s="102">
        <f>IF(Q327&gt;0,S327*100/Q327,0)</f>
        <v>0</v>
      </c>
      <c r="U327" s="102">
        <f>IF(R327&gt;0,S327*100/R327,0)</f>
        <v>0</v>
      </c>
    </row>
    <row r="328" spans="1:21" ht="18.75" hidden="1">
      <c r="A328" s="155"/>
      <c r="B328" s="50"/>
      <c r="C328" s="50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256">
        <f ca="1">IFERROR(__xludf.DUMMYFUNCTION("IMPORTRANGE(""https://docs.google.com/spreadsheets/d/1-uDff_7J0KD5mKrp0Vvzr7lt3OU09vwQwhkpOPPYv2Y/edit?usp=sharing"",""งบพรบ!EL48"")"),0)</f>
        <v>0</v>
      </c>
      <c r="M328" s="255">
        <f ca="1">IFERROR(__xludf.DUMMYFUNCTION("IMPORTRANGE(""https://docs.google.com/spreadsheets/d/1-uDff_7J0KD5mKrp0Vvzr7lt3OU09vwQwhkpOPPYv2Y/edit?usp=sharing"",""งบพรบ!EO48"")"),0)</f>
        <v>0</v>
      </c>
      <c r="N328" s="255">
        <f ca="1">IFERROR(__xludf.DUMMYFUNCTION("IMPORTRANGE(""https://docs.google.com/spreadsheets/d/1-uDff_7J0KD5mKrp0Vvzr7lt3OU09vwQwhkpOPPYv2Y/edit?usp=sharing"",""งบพรบ!EQ48"")"),0)</f>
        <v>0</v>
      </c>
      <c r="O328" s="255">
        <f ca="1">IF(L328&gt;0,N328*100/L328,0)</f>
        <v>0</v>
      </c>
      <c r="P328" s="255">
        <f ca="1">IF(M328&gt;0,N328*100/M328,0)</f>
        <v>0</v>
      </c>
      <c r="Q328" s="255">
        <v>0</v>
      </c>
      <c r="R328" s="255">
        <v>0</v>
      </c>
      <c r="S328" s="255">
        <v>0</v>
      </c>
      <c r="T328" s="255">
        <f>IF(Q328&gt;0,S328*100/Q328,0)</f>
        <v>0</v>
      </c>
      <c r="U328" s="255">
        <f>IF(R328&gt;0,S328*100/R328,0)</f>
        <v>0</v>
      </c>
    </row>
    <row r="329" spans="1:21" ht="19.5" hidden="1">
      <c r="A329" s="166"/>
      <c r="B329" s="167"/>
      <c r="C329" s="156" t="s">
        <v>18</v>
      </c>
      <c r="D329" s="566" t="s">
        <v>38</v>
      </c>
      <c r="E329" s="169"/>
      <c r="F329" s="169"/>
      <c r="G329" s="170"/>
      <c r="H329" s="171"/>
      <c r="I329" s="163"/>
      <c r="J329" s="54"/>
      <c r="K329" s="55"/>
      <c r="L329" s="62"/>
      <c r="M329" s="55"/>
      <c r="N329" s="55"/>
      <c r="O329" s="164"/>
      <c r="P329" s="164"/>
      <c r="Q329" s="55"/>
      <c r="R329" s="55"/>
      <c r="S329" s="55"/>
      <c r="T329" s="164"/>
      <c r="U329" s="164"/>
    </row>
    <row r="330" spans="1:21" ht="18.75" hidden="1">
      <c r="A330" s="166"/>
      <c r="B330" s="167"/>
      <c r="C330" s="167"/>
      <c r="D330" s="173" t="s">
        <v>134</v>
      </c>
      <c r="E330" s="174"/>
      <c r="F330" s="174"/>
      <c r="G330" s="171"/>
      <c r="H330" s="53" t="s">
        <v>133</v>
      </c>
      <c r="I330" s="212">
        <f ca="1">IFERROR(__xludf.DUMMYFUNCTION("IMPORTRANGE(""https://docs.google.com/spreadsheets/d/1eHaY18a8A9IcSdp1K8H6x8fbOy06t2VsZHhMHf-1x7Y/edit?usp=sharing"",""แผน!EJ48"")"),0)</f>
        <v>0</v>
      </c>
      <c r="J330" s="467">
        <v>0</v>
      </c>
      <c r="K330" s="255">
        <f ca="1">IF(I330&gt;0,J330*100/I330,0)</f>
        <v>0</v>
      </c>
      <c r="L330" s="62"/>
      <c r="M330" s="55"/>
      <c r="N330" s="55"/>
      <c r="O330" s="164"/>
      <c r="P330" s="164"/>
      <c r="Q330" s="55"/>
      <c r="R330" s="55"/>
      <c r="S330" s="55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1"/>
      <c r="I331" s="323"/>
      <c r="J331" s="323"/>
      <c r="K331" s="324"/>
      <c r="L331" s="325"/>
      <c r="M331" s="324"/>
      <c r="N331" s="324"/>
      <c r="O331" s="324"/>
      <c r="P331" s="324"/>
      <c r="Q331" s="324"/>
      <c r="R331" s="324"/>
      <c r="S331" s="324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30" t="s">
        <v>35</v>
      </c>
      <c r="I332" s="632">
        <f ca="1">I344</f>
        <v>3060</v>
      </c>
      <c r="J332" s="631">
        <f ca="1">J344+J347+J348+J349+J353</f>
        <v>4676</v>
      </c>
      <c r="K332" s="630">
        <f ca="1">IF(I332&gt;0,J332*100/I332,0)</f>
        <v>152.81045751633988</v>
      </c>
      <c r="L332" s="334"/>
      <c r="M332" s="333"/>
      <c r="N332" s="333"/>
      <c r="O332" s="333"/>
      <c r="P332" s="333"/>
      <c r="Q332" s="333"/>
      <c r="R332" s="333"/>
      <c r="S332" s="333"/>
      <c r="T332" s="333"/>
      <c r="U332" s="333"/>
    </row>
    <row r="333" spans="1:21" ht="19.5">
      <c r="A333" s="155"/>
      <c r="B333" s="50"/>
      <c r="C333" s="156" t="s">
        <v>18</v>
      </c>
      <c r="D333" s="575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541">
        <f ca="1">L334+L335</f>
        <v>111000</v>
      </c>
      <c r="M333" s="540">
        <f ca="1">M334+M335</f>
        <v>116000</v>
      </c>
      <c r="N333" s="540">
        <f ca="1">N334+N335</f>
        <v>89935</v>
      </c>
      <c r="O333" s="540">
        <f ca="1">IF(L333&gt;0,N333*100/L333,0)</f>
        <v>81.022522522522522</v>
      </c>
      <c r="P333" s="540">
        <f ca="1">IF(M333&gt;0,N333*100/M333,0)</f>
        <v>77.53017241379311</v>
      </c>
      <c r="Q333" s="540">
        <f>Q334+Q335</f>
        <v>0</v>
      </c>
      <c r="R333" s="540">
        <f>R334+R335</f>
        <v>0</v>
      </c>
      <c r="S333" s="540">
        <f>S334+S335</f>
        <v>0</v>
      </c>
      <c r="T333" s="540">
        <f>IF(Q333&gt;0,S333*100/Q333,0)</f>
        <v>0</v>
      </c>
      <c r="U333" s="540">
        <f>IF(R333&gt;0,S333*100/R333,0)</f>
        <v>0</v>
      </c>
    </row>
    <row r="334" spans="1:21" ht="18.75" hidden="1">
      <c r="A334" s="155"/>
      <c r="B334" s="50"/>
      <c r="C334" s="50"/>
      <c r="D334" s="50"/>
      <c r="E334" s="186" t="s">
        <v>20</v>
      </c>
      <c r="F334" s="50"/>
      <c r="G334" s="52"/>
      <c r="H334" s="187" t="s">
        <v>14</v>
      </c>
      <c r="I334" s="54"/>
      <c r="J334" s="54"/>
      <c r="K334" s="55"/>
      <c r="L334" s="103">
        <f>L337+L340</f>
        <v>0</v>
      </c>
      <c r="M334" s="102">
        <f>M337+M340</f>
        <v>0</v>
      </c>
      <c r="N334" s="102">
        <f>N337+N340</f>
        <v>0</v>
      </c>
      <c r="O334" s="102">
        <f>IF(L334&gt;0,N334*100/L334,0)</f>
        <v>0</v>
      </c>
      <c r="P334" s="102">
        <f>IF(M334&gt;0,N334*100/M334,0)</f>
        <v>0</v>
      </c>
      <c r="Q334" s="102">
        <f>Q337+Q340</f>
        <v>0</v>
      </c>
      <c r="R334" s="102">
        <f>R337+R340</f>
        <v>0</v>
      </c>
      <c r="S334" s="102">
        <f>S337+S340</f>
        <v>0</v>
      </c>
      <c r="T334" s="102">
        <f>IF(Q334&gt;0,S334*100/Q334,0)</f>
        <v>0</v>
      </c>
      <c r="U334" s="102">
        <f>IF(R334&gt;0,S334*100/R334,0)</f>
        <v>0</v>
      </c>
    </row>
    <row r="335" spans="1:21" ht="18.75" hidden="1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256">
        <f ca="1">L338+L341</f>
        <v>111000</v>
      </c>
      <c r="M335" s="255">
        <f ca="1">M338+M341</f>
        <v>116000</v>
      </c>
      <c r="N335" s="255">
        <f ca="1">N338+N341</f>
        <v>89935</v>
      </c>
      <c r="O335" s="255">
        <f ca="1">IF(L335&gt;0,N335*100/L335,0)</f>
        <v>81.022522522522522</v>
      </c>
      <c r="P335" s="255">
        <f ca="1">IF(M335&gt;0,N335*100/M335,0)</f>
        <v>77.53017241379311</v>
      </c>
      <c r="Q335" s="255">
        <f>Q338+Q341</f>
        <v>0</v>
      </c>
      <c r="R335" s="255">
        <f>R338+R341</f>
        <v>0</v>
      </c>
      <c r="S335" s="255">
        <f>S338+S341</f>
        <v>0</v>
      </c>
      <c r="T335" s="255">
        <f>IF(Q335&gt;0,S335*100/Q335,0)</f>
        <v>0</v>
      </c>
      <c r="U335" s="255">
        <f>IF(R335&gt;0,S335*100/R335,0)</f>
        <v>0</v>
      </c>
    </row>
    <row r="336" spans="1:21" ht="18.75">
      <c r="A336" s="155"/>
      <c r="B336" s="50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256">
        <f ca="1">L337+L338</f>
        <v>111000</v>
      </c>
      <c r="M336" s="255">
        <f ca="1">M337+M338</f>
        <v>116000</v>
      </c>
      <c r="N336" s="255">
        <f ca="1">N337+N338</f>
        <v>89935</v>
      </c>
      <c r="O336" s="255">
        <f ca="1">IF(L336&gt;0,N336*100/L336,0)</f>
        <v>81.022522522522522</v>
      </c>
      <c r="P336" s="255">
        <f ca="1">IF(M336&gt;0,N336*100/M336,0)</f>
        <v>77.53017241379311</v>
      </c>
      <c r="Q336" s="255">
        <f>Q337+Q338</f>
        <v>0</v>
      </c>
      <c r="R336" s="255">
        <f>R337+R338</f>
        <v>0</v>
      </c>
      <c r="S336" s="255">
        <f>S337+S338</f>
        <v>0</v>
      </c>
      <c r="T336" s="255">
        <f>IF(Q336&gt;0,S336*100/Q336,0)</f>
        <v>0</v>
      </c>
      <c r="U336" s="255">
        <f>IF(R336&gt;0,S336*100/R336,0)</f>
        <v>0</v>
      </c>
    </row>
    <row r="337" spans="1:21" ht="18.75" hidden="1">
      <c r="A337" s="155"/>
      <c r="B337" s="50"/>
      <c r="C337" s="50"/>
      <c r="D337" s="50"/>
      <c r="E337" s="186" t="s">
        <v>36</v>
      </c>
      <c r="F337" s="50"/>
      <c r="G337" s="52"/>
      <c r="H337" s="189" t="s">
        <v>14</v>
      </c>
      <c r="I337" s="163"/>
      <c r="J337" s="163"/>
      <c r="K337" s="164"/>
      <c r="L337" s="103">
        <v>0</v>
      </c>
      <c r="M337" s="102">
        <v>0</v>
      </c>
      <c r="N337" s="102">
        <v>0</v>
      </c>
      <c r="O337" s="102">
        <f>IF(L337&gt;0,N337*100/L337,0)</f>
        <v>0</v>
      </c>
      <c r="P337" s="102">
        <f>IF(M337&gt;0,N337*100/M337,0)</f>
        <v>0</v>
      </c>
      <c r="Q337" s="102">
        <v>0</v>
      </c>
      <c r="R337" s="102">
        <v>0</v>
      </c>
      <c r="S337" s="102">
        <v>0</v>
      </c>
      <c r="T337" s="102">
        <f>IF(Q337&gt;0,S337*100/Q337,0)</f>
        <v>0</v>
      </c>
      <c r="U337" s="102">
        <f>IF(R337&gt;0,S337*100/R337,0)</f>
        <v>0</v>
      </c>
    </row>
    <row r="338" spans="1:21" ht="18.75" hidden="1">
      <c r="A338" s="155"/>
      <c r="B338" s="50"/>
      <c r="C338" s="50"/>
      <c r="D338" s="50"/>
      <c r="E338" s="58" t="s">
        <v>37</v>
      </c>
      <c r="F338" s="50"/>
      <c r="G338" s="52"/>
      <c r="H338" s="162" t="s">
        <v>14</v>
      </c>
      <c r="I338" s="163"/>
      <c r="J338" s="163"/>
      <c r="K338" s="164"/>
      <c r="L338" s="256">
        <f ca="1">IFERROR(__xludf.DUMMYFUNCTION("IMPORTRANGE(""https://docs.google.com/spreadsheets/d/1-uDff_7J0KD5mKrp0Vvzr7lt3OU09vwQwhkpOPPYv2Y/edit?usp=sharing"",""งบพรบ!ES48"")"),111000)</f>
        <v>111000</v>
      </c>
      <c r="M338" s="255">
        <f ca="1">IFERROR(__xludf.DUMMYFUNCTION("IMPORTRANGE(""https://docs.google.com/spreadsheets/d/1-uDff_7J0KD5mKrp0Vvzr7lt3OU09vwQwhkpOPPYv2Y/edit?usp=sharing"",""งบพรบ!EX48"")"),116000)</f>
        <v>116000</v>
      </c>
      <c r="N338" s="255">
        <f ca="1">IFERROR(__xludf.DUMMYFUNCTION("IMPORTRANGE(""https://docs.google.com/spreadsheets/d/1-uDff_7J0KD5mKrp0Vvzr7lt3OU09vwQwhkpOPPYv2Y/edit?usp=sharing"",""งบพรบ!EZ48"")"),89935)</f>
        <v>89935</v>
      </c>
      <c r="O338" s="255">
        <f ca="1">IF(L338&gt;0,N338*100/L338,0)</f>
        <v>81.022522522522522</v>
      </c>
      <c r="P338" s="255">
        <f ca="1">IF(M338&gt;0,N338*100/M338,0)</f>
        <v>77.53017241379311</v>
      </c>
      <c r="Q338" s="255">
        <v>0</v>
      </c>
      <c r="R338" s="255">
        <v>0</v>
      </c>
      <c r="S338" s="255">
        <v>0</v>
      </c>
      <c r="T338" s="255">
        <f>IF(Q338&gt;0,S338*100/Q338,0)</f>
        <v>0</v>
      </c>
      <c r="U338" s="255">
        <f>IF(R338&gt;0,S338*100/R338,0)</f>
        <v>0</v>
      </c>
    </row>
    <row r="339" spans="1:21" ht="18.75">
      <c r="A339" s="155"/>
      <c r="B339" s="50"/>
      <c r="C339" s="50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256">
        <f ca="1">L340+L341</f>
        <v>0</v>
      </c>
      <c r="M339" s="255">
        <f ca="1">M340+M341</f>
        <v>0</v>
      </c>
      <c r="N339" s="255">
        <f ca="1">N340+N341</f>
        <v>0</v>
      </c>
      <c r="O339" s="255">
        <f ca="1">IF(L339&gt;0,N339*100/L339,0)</f>
        <v>0</v>
      </c>
      <c r="P339" s="255">
        <f ca="1">IF(M339&gt;0,N339*100/M339,0)</f>
        <v>0</v>
      </c>
      <c r="Q339" s="255">
        <f>Q340+Q341</f>
        <v>0</v>
      </c>
      <c r="R339" s="255">
        <f>R340+R341</f>
        <v>0</v>
      </c>
      <c r="S339" s="255">
        <f>S340+S341</f>
        <v>0</v>
      </c>
      <c r="T339" s="255">
        <f>IF(Q339&gt;0,S339*100/Q339,0)</f>
        <v>0</v>
      </c>
      <c r="U339" s="255">
        <f>IF(R339&gt;0,S339*100/R339,0)</f>
        <v>0</v>
      </c>
    </row>
    <row r="340" spans="1:21" ht="18.75" hidden="1">
      <c r="A340" s="155"/>
      <c r="B340" s="50"/>
      <c r="C340" s="50"/>
      <c r="D340" s="50"/>
      <c r="E340" s="186" t="s">
        <v>20</v>
      </c>
      <c r="F340" s="50"/>
      <c r="G340" s="52"/>
      <c r="H340" s="189" t="s">
        <v>14</v>
      </c>
      <c r="I340" s="163"/>
      <c r="J340" s="163"/>
      <c r="K340" s="164"/>
      <c r="L340" s="103">
        <v>0</v>
      </c>
      <c r="M340" s="102">
        <v>0</v>
      </c>
      <c r="N340" s="102">
        <v>0</v>
      </c>
      <c r="O340" s="102">
        <f>IF(L340&gt;0,N340*100/L340,0)</f>
        <v>0</v>
      </c>
      <c r="P340" s="102">
        <f>IF(M340&gt;0,N340*100/M340,0)</f>
        <v>0</v>
      </c>
      <c r="Q340" s="102">
        <v>0</v>
      </c>
      <c r="R340" s="102">
        <v>0</v>
      </c>
      <c r="S340" s="102">
        <v>0</v>
      </c>
      <c r="T340" s="102">
        <f>IF(Q340&gt;0,S340*100/Q340,0)</f>
        <v>0</v>
      </c>
      <c r="U340" s="102">
        <f>IF(R340&gt;0,S340*100/R340,0)</f>
        <v>0</v>
      </c>
    </row>
    <row r="341" spans="1:21" ht="18.75" hidden="1">
      <c r="A341" s="155"/>
      <c r="B341" s="50"/>
      <c r="C341" s="50"/>
      <c r="D341" s="50"/>
      <c r="E341" s="58" t="s">
        <v>21</v>
      </c>
      <c r="F341" s="50"/>
      <c r="G341" s="52"/>
      <c r="H341" s="165" t="s">
        <v>14</v>
      </c>
      <c r="I341" s="163"/>
      <c r="J341" s="163"/>
      <c r="K341" s="164"/>
      <c r="L341" s="256">
        <f ca="1">IFERROR(__xludf.DUMMYFUNCTION("IMPORTRANGE(""https://docs.google.com/spreadsheets/d/1-uDff_7J0KD5mKrp0Vvzr7lt3OU09vwQwhkpOPPYv2Y/edit?usp=sharing"",""งบพรบ!EV48"")"),0)</f>
        <v>0</v>
      </c>
      <c r="M341" s="255">
        <f ca="1">IFERROR(__xludf.DUMMYFUNCTION("IMPORTRANGE(""https://docs.google.com/spreadsheets/d/1-uDff_7J0KD5mKrp0Vvzr7lt3OU09vwQwhkpOPPYv2Y/edit?usp=sharing"",""งบพรบ!EY48"")"),0)</f>
        <v>0</v>
      </c>
      <c r="N341" s="255">
        <f ca="1">IFERROR(__xludf.DUMMYFUNCTION("IMPORTRANGE(""https://docs.google.com/spreadsheets/d/1-uDff_7J0KD5mKrp0Vvzr7lt3OU09vwQwhkpOPPYv2Y/edit?usp=sharing"",""งบพรบ!FA48"")"),0)</f>
        <v>0</v>
      </c>
      <c r="O341" s="255">
        <f ca="1">IF(L341&gt;0,N341*100/L341,0)</f>
        <v>0</v>
      </c>
      <c r="P341" s="255">
        <f ca="1">IF(M341&gt;0,N341*100/M341,0)</f>
        <v>0</v>
      </c>
      <c r="Q341" s="255">
        <v>0</v>
      </c>
      <c r="R341" s="255">
        <v>0</v>
      </c>
      <c r="S341" s="255">
        <v>0</v>
      </c>
      <c r="T341" s="255">
        <f>IF(Q341&gt;0,S341*100/Q341,0)</f>
        <v>0</v>
      </c>
      <c r="U341" s="255">
        <f>IF(R341&gt;0,S341*100/R341,0)</f>
        <v>0</v>
      </c>
    </row>
    <row r="342" spans="1:21" ht="19.5">
      <c r="A342" s="166"/>
      <c r="B342" s="167"/>
      <c r="C342" s="156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62"/>
      <c r="M342" s="55"/>
      <c r="N342" s="55"/>
      <c r="O342" s="164"/>
      <c r="P342" s="164"/>
      <c r="Q342" s="55"/>
      <c r="R342" s="55"/>
      <c r="S342" s="55"/>
      <c r="T342" s="164"/>
      <c r="U342" s="164"/>
    </row>
    <row r="343" spans="1:21" ht="19.5">
      <c r="A343" s="629"/>
      <c r="B343" s="626"/>
      <c r="C343" s="628"/>
      <c r="D343" s="626"/>
      <c r="E343" s="627" t="s">
        <v>137</v>
      </c>
      <c r="F343" s="626"/>
      <c r="G343" s="625"/>
      <c r="H343" s="624" t="s">
        <v>35</v>
      </c>
      <c r="I343" s="623">
        <v>0</v>
      </c>
      <c r="J343" s="623">
        <f ca="1">J344+J347+J348+J349</f>
        <v>3220</v>
      </c>
      <c r="K343" s="622">
        <v>0</v>
      </c>
      <c r="L343" s="250"/>
      <c r="M343" s="249"/>
      <c r="N343" s="249"/>
      <c r="O343" s="249"/>
      <c r="P343" s="249"/>
      <c r="Q343" s="249"/>
      <c r="R343" s="249"/>
      <c r="S343" s="249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40" t="s">
        <v>35</v>
      </c>
      <c r="I344" s="212">
        <f ca="1">IFERROR(__xludf.DUMMYFUNCTION("IMPORTRANGE(""https://docs.google.com/spreadsheets/d/1eHaY18a8A9IcSdp1K8H6x8fbOy06t2VsZHhMHf-1x7Y/edit?usp=sharing"",""แผน!EK48"")"),3060)</f>
        <v>3060</v>
      </c>
      <c r="J344" s="212">
        <f ca="1">IFERROR(__xludf.DUMMYFUNCTION("IMPORTRANGE(""https://docs.google.com/spreadsheets/d/1awYsYK3VOup2i3Pq_Yjnu8DRu_mYwSBnCR2QPthd0rU/edit?usp=sharing"",""ศูนย์ยกเว้นโฉนด!D48"")"),3212)</f>
        <v>3212</v>
      </c>
      <c r="K344" s="255">
        <f ca="1">IF(I344&gt;0,J344*100/I344,0)</f>
        <v>104.96732026143791</v>
      </c>
      <c r="L344" s="62"/>
      <c r="M344" s="55"/>
      <c r="N344" s="55"/>
      <c r="O344" s="55"/>
      <c r="P344" s="55"/>
      <c r="Q344" s="55"/>
      <c r="R344" s="55"/>
      <c r="S344" s="55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62"/>
      <c r="M345" s="55"/>
      <c r="N345" s="55"/>
      <c r="O345" s="55"/>
      <c r="P345" s="55"/>
      <c r="Q345" s="55"/>
      <c r="R345" s="55"/>
      <c r="S345" s="55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212">
        <f ca="1">IFERROR(__xludf.DUMMYFUNCTION("IMPORTRANGE(""https://docs.google.com/spreadsheets/d/1eHaY18a8A9IcSdp1K8H6x8fbOy06t2VsZHhMHf-1x7Y/edit?usp=sharing"",""แผน!EL48"")"),4)</f>
        <v>4</v>
      </c>
      <c r="J346" s="212">
        <f ca="1">IFERROR(__xludf.DUMMYFUNCTION("IMPORTRANGE(""https://docs.google.com/spreadsheets/d/1awYsYK3VOup2i3Pq_Yjnu8DRu_mYwSBnCR2QPthd0rU/edit?usp=sharing"",""ศูนย์รวม!E48"")"),5)</f>
        <v>5</v>
      </c>
      <c r="K346" s="255">
        <f ca="1">IF(I346&gt;0,J346*100/I346,0)</f>
        <v>125</v>
      </c>
      <c r="L346" s="62"/>
      <c r="M346" s="55"/>
      <c r="N346" s="55"/>
      <c r="O346" s="55"/>
      <c r="P346" s="55"/>
      <c r="Q346" s="55"/>
      <c r="R346" s="55"/>
      <c r="S346" s="55"/>
      <c r="T346" s="55"/>
      <c r="U346" s="55"/>
    </row>
    <row r="347" spans="1:21" ht="18.75">
      <c r="A347" s="238"/>
      <c r="B347" s="50"/>
      <c r="C347" s="188"/>
      <c r="D347" s="174"/>
      <c r="E347" s="174"/>
      <c r="F347" s="178" t="s">
        <v>142</v>
      </c>
      <c r="G347" s="52"/>
      <c r="H347" s="203" t="s">
        <v>35</v>
      </c>
      <c r="I347" s="54"/>
      <c r="J347" s="212">
        <f ca="1">IFERROR(__xludf.DUMMYFUNCTION("IMPORTRANGE(""https://docs.google.com/spreadsheets/d/1awYsYK3VOup2i3Pq_Yjnu8DRu_mYwSBnCR2QPthd0rU/edit?usp=sharing"",""ศูนย์ยกเว้นโฉนด!F48"")"),3)</f>
        <v>3</v>
      </c>
      <c r="K347" s="55"/>
      <c r="L347" s="62"/>
      <c r="M347" s="55"/>
      <c r="N347" s="55"/>
      <c r="O347" s="55"/>
      <c r="P347" s="55"/>
      <c r="Q347" s="55"/>
      <c r="R347" s="55"/>
      <c r="S347" s="55"/>
      <c r="T347" s="55"/>
      <c r="U347" s="55"/>
    </row>
    <row r="348" spans="1:21" ht="18.75">
      <c r="A348" s="238"/>
      <c r="B348" s="50"/>
      <c r="C348" s="188"/>
      <c r="D348" s="174"/>
      <c r="E348" s="178" t="s">
        <v>143</v>
      </c>
      <c r="F348" s="174"/>
      <c r="G348" s="52"/>
      <c r="H348" s="203" t="s">
        <v>35</v>
      </c>
      <c r="I348" s="54"/>
      <c r="J348" s="212">
        <f ca="1">IFERROR(__xludf.DUMMYFUNCTION("IMPORTRANGE(""https://docs.google.com/spreadsheets/d/1awYsYK3VOup2i3Pq_Yjnu8DRu_mYwSBnCR2QPthd0rU/edit?usp=sharing"",""ศูนย์ยกเว้นโฉนด!G48"")"),0)</f>
        <v>0</v>
      </c>
      <c r="K348" s="55"/>
      <c r="L348" s="62"/>
      <c r="M348" s="55"/>
      <c r="N348" s="55"/>
      <c r="O348" s="55"/>
      <c r="P348" s="55"/>
      <c r="Q348" s="55"/>
      <c r="R348" s="55"/>
      <c r="S348" s="55"/>
      <c r="T348" s="55"/>
      <c r="U348" s="55"/>
    </row>
    <row r="349" spans="1:21" ht="18.75">
      <c r="A349" s="238"/>
      <c r="B349" s="50"/>
      <c r="C349" s="188"/>
      <c r="D349" s="167"/>
      <c r="E349" s="178" t="s">
        <v>144</v>
      </c>
      <c r="F349" s="174"/>
      <c r="G349" s="52"/>
      <c r="H349" s="203" t="s">
        <v>35</v>
      </c>
      <c r="I349" s="54"/>
      <c r="J349" s="212">
        <f ca="1">IFERROR(__xludf.DUMMYFUNCTION("IMPORTRANGE(""https://docs.google.com/spreadsheets/d/1awYsYK3VOup2i3Pq_Yjnu8DRu_mYwSBnCR2QPthd0rU/edit?usp=sharing"",""ศูนย์ยกเว้นโฉนด!H48"")"),5)</f>
        <v>5</v>
      </c>
      <c r="K349" s="55"/>
      <c r="L349" s="62"/>
      <c r="M349" s="55"/>
      <c r="N349" s="55"/>
      <c r="O349" s="55"/>
      <c r="P349" s="55"/>
      <c r="Q349" s="55"/>
      <c r="R349" s="55"/>
      <c r="S349" s="55"/>
      <c r="T349" s="55"/>
      <c r="U349" s="55"/>
    </row>
    <row r="350" spans="1:21" ht="16.5">
      <c r="A350" s="18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0" s="50"/>
      <c r="F350" s="50"/>
      <c r="G350" s="52"/>
      <c r="H350" s="208"/>
      <c r="I350" s="54"/>
      <c r="J350" s="54"/>
      <c r="K350" s="55"/>
      <c r="L350" s="62"/>
      <c r="M350" s="55"/>
      <c r="N350" s="55"/>
      <c r="O350" s="55"/>
      <c r="P350" s="55"/>
      <c r="Q350" s="55"/>
      <c r="R350" s="55"/>
      <c r="S350" s="55"/>
      <c r="T350" s="55"/>
      <c r="U350" s="55"/>
    </row>
    <row r="351" spans="1:21" ht="19.5">
      <c r="A351" s="241"/>
      <c r="B351" s="244"/>
      <c r="C351" s="242"/>
      <c r="D351" s="244"/>
      <c r="E351" s="621" t="s">
        <v>145</v>
      </c>
      <c r="F351" s="244"/>
      <c r="G351" s="245"/>
      <c r="H351" s="246" t="s">
        <v>35</v>
      </c>
      <c r="I351" s="339">
        <v>0</v>
      </c>
      <c r="J351" s="339">
        <f ca="1">J352+J353</f>
        <v>2574</v>
      </c>
      <c r="K351" s="340">
        <v>0</v>
      </c>
      <c r="L351" s="250"/>
      <c r="M351" s="249"/>
      <c r="N351" s="249"/>
      <c r="O351" s="249"/>
      <c r="P351" s="249"/>
      <c r="Q351" s="249"/>
      <c r="R351" s="249"/>
      <c r="S351" s="249"/>
      <c r="T351" s="249"/>
      <c r="U351" s="249"/>
    </row>
    <row r="352" spans="1:21" ht="18.75">
      <c r="A352" s="188"/>
      <c r="B352" s="50"/>
      <c r="C352" s="188"/>
      <c r="D352" s="174"/>
      <c r="E352" s="178" t="s">
        <v>146</v>
      </c>
      <c r="F352" s="50"/>
      <c r="G352" s="52"/>
      <c r="H352" s="161" t="s">
        <v>35</v>
      </c>
      <c r="I352" s="54"/>
      <c r="J352" s="212">
        <f ca="1">IFERROR(__xludf.DUMMYFUNCTION("IMPORTRANGE(""https://docs.google.com/spreadsheets/d/1awYsYK3VOup2i3Pq_Yjnu8DRu_mYwSBnCR2QPthd0rU/edit?usp=sharing"",""โฉนดM3!G48"")"),1118)</f>
        <v>1118</v>
      </c>
      <c r="K352" s="55"/>
      <c r="L352" s="62"/>
      <c r="M352" s="55"/>
      <c r="N352" s="55"/>
      <c r="O352" s="55"/>
      <c r="P352" s="55"/>
      <c r="Q352" s="55"/>
      <c r="R352" s="55"/>
      <c r="S352" s="55"/>
      <c r="T352" s="55"/>
      <c r="U352" s="55"/>
    </row>
    <row r="353" spans="1:21" ht="18.75">
      <c r="A353" s="18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212">
        <f ca="1">IFERROR(__xludf.DUMMYFUNCTION("IMPORTRANGE(""https://docs.google.com/spreadsheets/d/1awYsYK3VOup2i3Pq_Yjnu8DRu_mYwSBnCR2QPthd0rU/edit?usp=sharing"",""โฉนดM3!H48"")"),1456)</f>
        <v>1456</v>
      </c>
      <c r="K353" s="55"/>
      <c r="L353" s="62"/>
      <c r="M353" s="55"/>
      <c r="N353" s="55"/>
      <c r="O353" s="55"/>
      <c r="P353" s="55"/>
      <c r="Q353" s="55"/>
      <c r="R353" s="55"/>
      <c r="S353" s="55"/>
      <c r="T353" s="55"/>
      <c r="U353" s="55"/>
    </row>
    <row r="354" spans="1:21" ht="16.5">
      <c r="A354" s="188"/>
      <c r="B354" s="50"/>
      <c r="C354" s="188"/>
      <c r="D354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4" s="50"/>
      <c r="F354" s="50"/>
      <c r="G354" s="52"/>
      <c r="H354" s="208"/>
      <c r="I354" s="54"/>
      <c r="J354" s="54"/>
      <c r="K354" s="55"/>
      <c r="L354" s="62"/>
      <c r="M354" s="55"/>
      <c r="N354" s="55"/>
      <c r="O354" s="55"/>
      <c r="P354" s="55"/>
      <c r="Q354" s="55"/>
      <c r="R354" s="55"/>
      <c r="S354" s="55"/>
      <c r="T354" s="55"/>
      <c r="U354" s="55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29"/>
      <c r="I355" s="351"/>
      <c r="J355" s="351"/>
      <c r="K355" s="333"/>
      <c r="L355" s="334"/>
      <c r="M355" s="333"/>
      <c r="N355" s="333"/>
      <c r="O355" s="333"/>
      <c r="P355" s="333"/>
      <c r="Q355" s="333"/>
      <c r="R355" s="333"/>
      <c r="S355" s="333"/>
      <c r="T355" s="333"/>
      <c r="U355" s="333"/>
    </row>
    <row r="356" spans="1:21" ht="19.5">
      <c r="A356" s="155"/>
      <c r="B356" s="50"/>
      <c r="C356" s="156" t="s">
        <v>18</v>
      </c>
      <c r="D356" s="575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541">
        <f ca="1">L357+L358</f>
        <v>561010</v>
      </c>
      <c r="M356" s="540">
        <f ca="1">M357+M358</f>
        <v>570930</v>
      </c>
      <c r="N356" s="540">
        <f ca="1">N357+N358</f>
        <v>492196.65</v>
      </c>
      <c r="O356" s="540">
        <f ca="1">IF(L356&gt;0,N356*100/L356,0)</f>
        <v>87.734024348942086</v>
      </c>
      <c r="P356" s="540">
        <f ca="1">IF(M356&gt;0,N356*100/M356,0)</f>
        <v>86.209631653617777</v>
      </c>
      <c r="Q356" s="540">
        <f>Q357+Q358</f>
        <v>0</v>
      </c>
      <c r="R356" s="540">
        <f>R357+R358</f>
        <v>0</v>
      </c>
      <c r="S356" s="540">
        <f>S357+S358</f>
        <v>0</v>
      </c>
      <c r="T356" s="540">
        <f>IF(Q356&gt;0,S356*100/Q356,0)</f>
        <v>0</v>
      </c>
      <c r="U356" s="540">
        <f>IF(R356&gt;0,S356*100/R356,0)</f>
        <v>0</v>
      </c>
    </row>
    <row r="357" spans="1:21" ht="18.75" hidden="1">
      <c r="A357" s="155"/>
      <c r="B357" s="50"/>
      <c r="C357" s="50"/>
      <c r="D357" s="50"/>
      <c r="E357" s="186" t="s">
        <v>20</v>
      </c>
      <c r="F357" s="50"/>
      <c r="G357" s="52"/>
      <c r="H357" s="187" t="s">
        <v>14</v>
      </c>
      <c r="I357" s="54"/>
      <c r="J357" s="54"/>
      <c r="K357" s="55"/>
      <c r="L357" s="103">
        <f>L360+L363</f>
        <v>0</v>
      </c>
      <c r="M357" s="102">
        <f>M360+M363</f>
        <v>0</v>
      </c>
      <c r="N357" s="102">
        <f>N360+N363</f>
        <v>0</v>
      </c>
      <c r="O357" s="102">
        <f>IF(L357&gt;0,N357*100/L357,0)</f>
        <v>0</v>
      </c>
      <c r="P357" s="102">
        <f>IF(M357&gt;0,N357*100/M357,0)</f>
        <v>0</v>
      </c>
      <c r="Q357" s="102">
        <f>Q360+Q363</f>
        <v>0</v>
      </c>
      <c r="R357" s="102">
        <f>R360+R363</f>
        <v>0</v>
      </c>
      <c r="S357" s="102">
        <f>S360+S363</f>
        <v>0</v>
      </c>
      <c r="T357" s="102">
        <f>IF(Q357&gt;0,S357*100/Q357,0)</f>
        <v>0</v>
      </c>
      <c r="U357" s="102">
        <f>IF(R357&gt;0,S357*100/R357,0)</f>
        <v>0</v>
      </c>
    </row>
    <row r="358" spans="1:21" ht="18.75" hidden="1">
      <c r="A358" s="155"/>
      <c r="B358" s="50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256">
        <f ca="1">L361+L364</f>
        <v>561010</v>
      </c>
      <c r="M358" s="255">
        <f ca="1">M361+M364</f>
        <v>570930</v>
      </c>
      <c r="N358" s="255">
        <f ca="1">N361+N364</f>
        <v>492196.65</v>
      </c>
      <c r="O358" s="255">
        <f ca="1">IF(L358&gt;0,N358*100/L358,0)</f>
        <v>87.734024348942086</v>
      </c>
      <c r="P358" s="255">
        <f ca="1">IF(M358&gt;0,N358*100/M358,0)</f>
        <v>86.209631653617777</v>
      </c>
      <c r="Q358" s="255">
        <f>Q361+Q364</f>
        <v>0</v>
      </c>
      <c r="R358" s="255">
        <f>R361+R364</f>
        <v>0</v>
      </c>
      <c r="S358" s="255">
        <f>S361+S364</f>
        <v>0</v>
      </c>
      <c r="T358" s="255">
        <f>IF(Q358&gt;0,S358*100/Q358,0)</f>
        <v>0</v>
      </c>
      <c r="U358" s="255">
        <f>IF(R358&gt;0,S358*100/R358,0)</f>
        <v>0</v>
      </c>
    </row>
    <row r="359" spans="1:21" ht="18.75">
      <c r="A359" s="155"/>
      <c r="B359" s="50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256">
        <f ca="1">L360+L361</f>
        <v>561010</v>
      </c>
      <c r="M359" s="255">
        <f ca="1">M360+M361</f>
        <v>570930</v>
      </c>
      <c r="N359" s="255">
        <f ca="1">N360+N361</f>
        <v>492196.65</v>
      </c>
      <c r="O359" s="255">
        <f ca="1">IF(L359&gt;0,N359*100/L359,0)</f>
        <v>87.734024348942086</v>
      </c>
      <c r="P359" s="255">
        <f ca="1">IF(M359&gt;0,N359*100/M359,0)</f>
        <v>86.209631653617777</v>
      </c>
      <c r="Q359" s="255">
        <f>Q360+Q361</f>
        <v>0</v>
      </c>
      <c r="R359" s="255">
        <f>R360+R361</f>
        <v>0</v>
      </c>
      <c r="S359" s="255">
        <f>S360+S361</f>
        <v>0</v>
      </c>
      <c r="T359" s="255">
        <f>IF(Q359&gt;0,S359*100/Q359,0)</f>
        <v>0</v>
      </c>
      <c r="U359" s="255">
        <f>IF(R359&gt;0,S359*100/R359,0)</f>
        <v>0</v>
      </c>
    </row>
    <row r="360" spans="1:21" ht="18.75" hidden="1">
      <c r="A360" s="155"/>
      <c r="B360" s="50"/>
      <c r="C360" s="50"/>
      <c r="D360" s="50"/>
      <c r="E360" s="186" t="s">
        <v>36</v>
      </c>
      <c r="F360" s="50"/>
      <c r="G360" s="52"/>
      <c r="H360" s="189" t="s">
        <v>14</v>
      </c>
      <c r="I360" s="163"/>
      <c r="J360" s="163"/>
      <c r="K360" s="164"/>
      <c r="L360" s="103">
        <v>0</v>
      </c>
      <c r="M360" s="102">
        <v>0</v>
      </c>
      <c r="N360" s="102">
        <v>0</v>
      </c>
      <c r="O360" s="102">
        <f>IF(L360&gt;0,N360*100/L360,0)</f>
        <v>0</v>
      </c>
      <c r="P360" s="102">
        <f>IF(M360&gt;0,N360*100/M360,0)</f>
        <v>0</v>
      </c>
      <c r="Q360" s="102">
        <v>0</v>
      </c>
      <c r="R360" s="102">
        <v>0</v>
      </c>
      <c r="S360" s="102">
        <v>0</v>
      </c>
      <c r="T360" s="102">
        <f>IF(Q360&gt;0,S360*100/Q360,0)</f>
        <v>0</v>
      </c>
      <c r="U360" s="102">
        <f>IF(R360&gt;0,S360*100/R360,0)</f>
        <v>0</v>
      </c>
    </row>
    <row r="361" spans="1:21" ht="18.75" hidden="1">
      <c r="A361" s="155"/>
      <c r="B361" s="50"/>
      <c r="C361" s="50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256">
        <f ca="1">IFERROR(__xludf.DUMMYFUNCTION("IMPORTRANGE(""https://docs.google.com/spreadsheets/d/1-uDff_7J0KD5mKrp0Vvzr7lt3OU09vwQwhkpOPPYv2Y/edit?usp=sharing"",""งบพรบ!FC48"")"),561010)</f>
        <v>561010</v>
      </c>
      <c r="M361" s="255">
        <f ca="1">IFERROR(__xludf.DUMMYFUNCTION("IMPORTRANGE(""https://docs.google.com/spreadsheets/d/1-uDff_7J0KD5mKrp0Vvzr7lt3OU09vwQwhkpOPPYv2Y/edit?usp=sharing"",""งบพรบ!FH48"")"),570930)</f>
        <v>570930</v>
      </c>
      <c r="N361" s="255">
        <f ca="1">IFERROR(__xludf.DUMMYFUNCTION("IMPORTRANGE(""https://docs.google.com/spreadsheets/d/1-uDff_7J0KD5mKrp0Vvzr7lt3OU09vwQwhkpOPPYv2Y/edit?usp=sharing"",""งบพรบ!FJ48"")"),492196.65)</f>
        <v>492196.65</v>
      </c>
      <c r="O361" s="255">
        <f ca="1">IF(L361&gt;0,N361*100/L361,0)</f>
        <v>87.734024348942086</v>
      </c>
      <c r="P361" s="255">
        <f ca="1">IF(M361&gt;0,N361*100/M361,0)</f>
        <v>86.209631653617777</v>
      </c>
      <c r="Q361" s="255">
        <v>0</v>
      </c>
      <c r="R361" s="255">
        <v>0</v>
      </c>
      <c r="S361" s="255">
        <v>0</v>
      </c>
      <c r="T361" s="255">
        <f>IF(Q361&gt;0,S361*100/Q361,0)</f>
        <v>0</v>
      </c>
      <c r="U361" s="255">
        <f>IF(R361&gt;0,S361*100/R361,0)</f>
        <v>0</v>
      </c>
    </row>
    <row r="362" spans="1:21" ht="18.75">
      <c r="A362" s="155"/>
      <c r="B362" s="50"/>
      <c r="C362" s="50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256">
        <f ca="1">L363+L364</f>
        <v>0</v>
      </c>
      <c r="M362" s="255">
        <f ca="1">M363+M364</f>
        <v>0</v>
      </c>
      <c r="N362" s="255">
        <f ca="1">N363+N364</f>
        <v>0</v>
      </c>
      <c r="O362" s="255">
        <f ca="1">IF(L362&gt;0,N362*100/L362,0)</f>
        <v>0</v>
      </c>
      <c r="P362" s="255">
        <f ca="1">IF(M362&gt;0,N362*100/M362,0)</f>
        <v>0</v>
      </c>
      <c r="Q362" s="255">
        <f>Q363+Q364</f>
        <v>0</v>
      </c>
      <c r="R362" s="255">
        <f>R363+R364</f>
        <v>0</v>
      </c>
      <c r="S362" s="255">
        <f>S363+S364</f>
        <v>0</v>
      </c>
      <c r="T362" s="255">
        <f>IF(Q362&gt;0,S362*100/Q362,0)</f>
        <v>0</v>
      </c>
      <c r="U362" s="255">
        <f>IF(R362&gt;0,S362*100/R362,0)</f>
        <v>0</v>
      </c>
    </row>
    <row r="363" spans="1:21" ht="18.75" hidden="1">
      <c r="A363" s="155"/>
      <c r="B363" s="50"/>
      <c r="C363" s="50"/>
      <c r="D363" s="50"/>
      <c r="E363" s="186" t="s">
        <v>20</v>
      </c>
      <c r="F363" s="50"/>
      <c r="G363" s="52"/>
      <c r="H363" s="189" t="s">
        <v>14</v>
      </c>
      <c r="I363" s="163"/>
      <c r="J363" s="163"/>
      <c r="K363" s="164"/>
      <c r="L363" s="103">
        <v>0</v>
      </c>
      <c r="M363" s="102">
        <v>0</v>
      </c>
      <c r="N363" s="102">
        <v>0</v>
      </c>
      <c r="O363" s="102">
        <f>IF(L363&gt;0,N363*100/L363,0)</f>
        <v>0</v>
      </c>
      <c r="P363" s="102">
        <f>IF(M363&gt;0,N363*100/M363,0)</f>
        <v>0</v>
      </c>
      <c r="Q363" s="102">
        <v>0</v>
      </c>
      <c r="R363" s="102">
        <v>0</v>
      </c>
      <c r="S363" s="102">
        <v>0</v>
      </c>
      <c r="T363" s="102">
        <f>IF(Q363&gt;0,S363*100/Q363,0)</f>
        <v>0</v>
      </c>
      <c r="U363" s="102">
        <f>IF(R363&gt;0,S363*100/R363,0)</f>
        <v>0</v>
      </c>
    </row>
    <row r="364" spans="1:21" ht="18.75" hidden="1">
      <c r="A364" s="155"/>
      <c r="B364" s="50"/>
      <c r="C364" s="50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256">
        <f ca="1">IFERROR(__xludf.DUMMYFUNCTION("IMPORTRANGE(""https://docs.google.com/spreadsheets/d/1-uDff_7J0KD5mKrp0Vvzr7lt3OU09vwQwhkpOPPYv2Y/edit?usp=sharing"",""งบพรบ!FF48"")"),0)</f>
        <v>0</v>
      </c>
      <c r="M364" s="255">
        <f ca="1">IFERROR(__xludf.DUMMYFUNCTION("IMPORTRANGE(""https://docs.google.com/spreadsheets/d/1-uDff_7J0KD5mKrp0Vvzr7lt3OU09vwQwhkpOPPYv2Y/edit?usp=sharing"",""งบพรบ!FI48"")"),0)</f>
        <v>0</v>
      </c>
      <c r="N364" s="255">
        <f ca="1">IFERROR(__xludf.DUMMYFUNCTION("IMPORTRANGE(""https://docs.google.com/spreadsheets/d/1-uDff_7J0KD5mKrp0Vvzr7lt3OU09vwQwhkpOPPYv2Y/edit?usp=sharing"",""งบพรบ!FK48"")"),0)</f>
        <v>0</v>
      </c>
      <c r="O364" s="255">
        <f ca="1">IF(L364&gt;0,N364*100/L364,0)</f>
        <v>0</v>
      </c>
      <c r="P364" s="255">
        <f ca="1">IF(M364&gt;0,N364*100/M364,0)</f>
        <v>0</v>
      </c>
      <c r="Q364" s="255">
        <v>0</v>
      </c>
      <c r="R364" s="255">
        <v>0</v>
      </c>
      <c r="S364" s="255">
        <v>0</v>
      </c>
      <c r="T364" s="255">
        <f>IF(Q364&gt;0,S364*100/Q364,0)</f>
        <v>0</v>
      </c>
      <c r="U364" s="255">
        <f>IF(R364&gt;0,S364*100/R364,0)</f>
        <v>0</v>
      </c>
    </row>
    <row r="365" spans="1:21" ht="19.5">
      <c r="A365" s="241"/>
      <c r="B365" s="242"/>
      <c r="C365" s="244"/>
      <c r="D365" s="621" t="s">
        <v>150</v>
      </c>
      <c r="E365" s="244"/>
      <c r="F365" s="244"/>
      <c r="G365" s="245"/>
      <c r="H365" s="254" t="s">
        <v>35</v>
      </c>
      <c r="I365" s="339">
        <f ca="1">I371</f>
        <v>284</v>
      </c>
      <c r="J365" s="339">
        <f ca="1">J371</f>
        <v>208</v>
      </c>
      <c r="K365" s="340">
        <f ca="1">IF(I365&gt;0,J365*100/I365,0)</f>
        <v>73.239436619718305</v>
      </c>
      <c r="L365" s="250"/>
      <c r="M365" s="249"/>
      <c r="N365" s="249"/>
      <c r="O365" s="249"/>
      <c r="P365" s="249"/>
      <c r="Q365" s="249"/>
      <c r="R365" s="249"/>
      <c r="S365" s="249"/>
      <c r="T365" s="249"/>
      <c r="U365" s="249"/>
    </row>
    <row r="366" spans="1:21" ht="19.5">
      <c r="A366" s="166"/>
      <c r="B366" s="167"/>
      <c r="C366" s="156" t="s">
        <v>18</v>
      </c>
      <c r="D366" s="566" t="s">
        <v>38</v>
      </c>
      <c r="E366" s="169"/>
      <c r="F366" s="169"/>
      <c r="G366" s="170"/>
      <c r="H366" s="171"/>
      <c r="I366" s="54"/>
      <c r="J366" s="54"/>
      <c r="K366" s="55"/>
      <c r="L366" s="172"/>
      <c r="M366" s="164"/>
      <c r="N366" s="164"/>
      <c r="O366" s="164"/>
      <c r="P366" s="164"/>
      <c r="Q366" s="164"/>
      <c r="R366" s="164"/>
      <c r="S366" s="164"/>
      <c r="T366" s="164"/>
      <c r="U366" s="164"/>
    </row>
    <row r="367" spans="1:21" ht="18.75">
      <c r="A367" s="166"/>
      <c r="B367" s="174"/>
      <c r="C367" s="167"/>
      <c r="D367" s="174"/>
      <c r="E367" s="173" t="s">
        <v>151</v>
      </c>
      <c r="F367" s="174"/>
      <c r="G367" s="171"/>
      <c r="H367" s="183" t="s">
        <v>35</v>
      </c>
      <c r="I367" s="212">
        <v>0</v>
      </c>
      <c r="J367" s="212">
        <f ca="1">IFERROR(__xludf.DUMMYFUNCTION("IMPORTRANGE(""https://docs.google.com/spreadsheets/d/1tdoBKaGub7dwA3U6UFTqxio9LNnvDCQjHKmttSEBsFQ/edit?usp=sharing"",""จัดที่ดิน!AB48"")"),149)</f>
        <v>149</v>
      </c>
      <c r="K367" s="255">
        <f>IF(I367&gt;0,J367*100/I367,0)</f>
        <v>0</v>
      </c>
      <c r="L367" s="172"/>
      <c r="M367" s="164"/>
      <c r="N367" s="164"/>
      <c r="O367" s="164"/>
      <c r="P367" s="164"/>
      <c r="Q367" s="164"/>
      <c r="R367" s="164"/>
      <c r="S367" s="164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212">
        <f ca="1">IFERROR(__xludf.DUMMYFUNCTION("IMPORTRANGE(""https://docs.google.com/spreadsheets/d/1eHaY18a8A9IcSdp1K8H6x8fbOy06t2VsZHhMHf-1x7Y/edit?usp=sharing"",""แผน!EW48"")"),1175)</f>
        <v>1175</v>
      </c>
      <c r="J368" s="620">
        <f ca="1">IFERROR(__xludf.DUMMYFUNCTION("IMPORTRANGE(""https://docs.google.com/spreadsheets/d/1tdoBKaGub7dwA3U6UFTqxio9LNnvDCQjHKmttSEBsFQ/edit?usp=sharing"",""จัดที่ดิน!AC48"")"),1616.86)</f>
        <v>1616.86</v>
      </c>
      <c r="K368" s="255">
        <f ca="1">IF(I368&gt;0,J368*100/I368,0)</f>
        <v>137.60510638297873</v>
      </c>
      <c r="L368" s="172"/>
      <c r="M368" s="164"/>
      <c r="N368" s="164"/>
      <c r="O368" s="164"/>
      <c r="P368" s="164"/>
      <c r="Q368" s="164"/>
      <c r="R368" s="164"/>
      <c r="S368" s="164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79" t="s">
        <v>35</v>
      </c>
      <c r="I369" s="212">
        <f ca="1">IFERROR(__xludf.DUMMYFUNCTION("IMPORTRANGE(""https://docs.google.com/spreadsheets/d/1eHaY18a8A9IcSdp1K8H6x8fbOy06t2VsZHhMHf-1x7Y/edit?usp=sharing"",""แผน!EX48"")"),284)</f>
        <v>284</v>
      </c>
      <c r="J369" s="212">
        <f ca="1">IFERROR(__xludf.DUMMYFUNCTION("IMPORTRANGE(""https://docs.google.com/spreadsheets/d/1tdoBKaGub7dwA3U6UFTqxio9LNnvDCQjHKmttSEBsFQ/edit?usp=sharing"",""จัดที่ดิน!AD48"")"),208)</f>
        <v>208</v>
      </c>
      <c r="K369" s="255">
        <f ca="1">IF(I369&gt;0,J369*100/I369,0)</f>
        <v>73.239436619718305</v>
      </c>
      <c r="L369" s="172"/>
      <c r="M369" s="164"/>
      <c r="N369" s="164"/>
      <c r="O369" s="164"/>
      <c r="P369" s="164"/>
      <c r="Q369" s="164"/>
      <c r="R369" s="164"/>
      <c r="S369" s="164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79" t="s">
        <v>46</v>
      </c>
      <c r="I370" s="212">
        <v>0</v>
      </c>
      <c r="J370" s="620">
        <f ca="1">IFERROR(__xludf.DUMMYFUNCTION("IMPORTRANGE(""https://docs.google.com/spreadsheets/d/1tdoBKaGub7dwA3U6UFTqxio9LNnvDCQjHKmttSEBsFQ/edit?usp=sharing"",""จัดที่ดิน!AE48"")"),3043.4)</f>
        <v>3043.4</v>
      </c>
      <c r="K370" s="255">
        <f>IF(I370&gt;0,J370*100/I370,0)</f>
        <v>0</v>
      </c>
      <c r="L370" s="172"/>
      <c r="M370" s="164"/>
      <c r="N370" s="164"/>
      <c r="O370" s="164"/>
      <c r="P370" s="164"/>
      <c r="Q370" s="164"/>
      <c r="R370" s="164"/>
      <c r="S370" s="164"/>
      <c r="T370" s="164"/>
      <c r="U370" s="164"/>
    </row>
    <row r="371" spans="1:21" ht="18.75">
      <c r="A371" s="166"/>
      <c r="B371" s="174"/>
      <c r="C371" s="167"/>
      <c r="D371" s="174"/>
      <c r="E371" s="352" t="s">
        <v>153</v>
      </c>
      <c r="F371" s="174"/>
      <c r="G371" s="171"/>
      <c r="H371" s="179" t="s">
        <v>35</v>
      </c>
      <c r="I371" s="212">
        <f ca="1">IFERROR(__xludf.DUMMYFUNCTION("IMPORTRANGE(""https://docs.google.com/spreadsheets/d/1eHaY18a8A9IcSdp1K8H6x8fbOy06t2VsZHhMHf-1x7Y/edit?usp=sharing"",""แผน!EY48"")"),284)</f>
        <v>284</v>
      </c>
      <c r="J371" s="212">
        <f ca="1">IFERROR(__xludf.DUMMYFUNCTION("IMPORTRANGE(""https://docs.google.com/spreadsheets/d/1tdoBKaGub7dwA3U6UFTqxio9LNnvDCQjHKmttSEBsFQ/edit?usp=sharing"",""จัดที่ดิน!AF48"")"),208)</f>
        <v>208</v>
      </c>
      <c r="K371" s="255">
        <f ca="1">IF(I371&gt;0,J371*100/I371,0)</f>
        <v>73.239436619718305</v>
      </c>
      <c r="L371" s="172"/>
      <c r="M371" s="164"/>
      <c r="N371" s="164"/>
      <c r="O371" s="164"/>
      <c r="P371" s="164"/>
      <c r="Q371" s="164"/>
      <c r="R371" s="164"/>
      <c r="S371" s="164"/>
      <c r="T371" s="164"/>
      <c r="U371" s="164"/>
    </row>
    <row r="372" spans="1:21" ht="18.75">
      <c r="A372" s="166"/>
      <c r="B372" s="174"/>
      <c r="C372" s="167"/>
      <c r="D372" s="174"/>
      <c r="E372" s="174"/>
      <c r="F372" s="174"/>
      <c r="G372" s="171"/>
      <c r="H372" s="179" t="s">
        <v>46</v>
      </c>
      <c r="I372" s="212">
        <v>0</v>
      </c>
      <c r="J372" s="620">
        <f ca="1">IFERROR(__xludf.DUMMYFUNCTION("IMPORTRANGE(""https://docs.google.com/spreadsheets/d/1tdoBKaGub7dwA3U6UFTqxio9LNnvDCQjHKmttSEBsFQ/edit?usp=sharing"",""จัดที่ดิน!AG48"")"),3043.4)</f>
        <v>3043.4</v>
      </c>
      <c r="K372" s="255">
        <f>IF(I372&gt;0,J372*100/I372,0)</f>
        <v>0</v>
      </c>
      <c r="L372" s="172"/>
      <c r="M372" s="164"/>
      <c r="N372" s="164"/>
      <c r="O372" s="164"/>
      <c r="P372" s="164"/>
      <c r="Q372" s="164"/>
      <c r="R372" s="164"/>
      <c r="S372" s="164"/>
      <c r="T372" s="164"/>
      <c r="U372" s="164"/>
    </row>
    <row r="373" spans="1:21" ht="16.5">
      <c r="A373" s="5"/>
      <c r="B373" s="4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พ.ค. 67 เวลา 07.29 น.]")</f>
        <v xml:space="preserve"> [ข้อมูลจาก ระบบ ALRO Land Online ข้อมูล ณ 1 พ.ค. 67 เวลา 07.29 น.]</v>
      </c>
      <c r="E373" s="4"/>
      <c r="F373" s="4"/>
      <c r="G373" s="65"/>
      <c r="H373" s="65"/>
      <c r="I373" s="67"/>
      <c r="J373" s="67"/>
      <c r="K373" s="6"/>
      <c r="L373" s="68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>
      <c r="A374" s="619"/>
      <c r="B374" s="618" t="s">
        <v>154</v>
      </c>
      <c r="C374" s="617"/>
      <c r="D374" s="616"/>
      <c r="E374" s="615"/>
      <c r="F374" s="615"/>
      <c r="G374" s="614"/>
      <c r="H374" s="613" t="s">
        <v>46</v>
      </c>
      <c r="I374" s="612">
        <f ca="1">I386+I388</f>
        <v>50200</v>
      </c>
      <c r="J374" s="612">
        <f ca="1">J386+J388</f>
        <v>8654.5400000000009</v>
      </c>
      <c r="K374" s="611">
        <f ca="1">IF(I374&gt;0,J374*100/I374,0)</f>
        <v>17.240119521912352</v>
      </c>
      <c r="L374" s="334"/>
      <c r="M374" s="333"/>
      <c r="N374" s="333"/>
      <c r="O374" s="333"/>
      <c r="P374" s="333"/>
      <c r="Q374" s="333"/>
      <c r="R374" s="333"/>
      <c r="S374" s="333"/>
      <c r="T374" s="333"/>
      <c r="U374" s="333"/>
    </row>
    <row r="375" spans="1:21" ht="19.5">
      <c r="A375" s="155"/>
      <c r="B375" s="188"/>
      <c r="C375" s="191" t="s">
        <v>18</v>
      </c>
      <c r="D375" s="608" t="s">
        <v>19</v>
      </c>
      <c r="E375" s="50"/>
      <c r="F375" s="50"/>
      <c r="G375" s="52"/>
      <c r="H375" s="158" t="s">
        <v>14</v>
      </c>
      <c r="I375" s="54"/>
      <c r="J375" s="54"/>
      <c r="K375" s="55"/>
      <c r="L375" s="541">
        <f>L376+L377</f>
        <v>0</v>
      </c>
      <c r="M375" s="540">
        <f>M376+M377</f>
        <v>0</v>
      </c>
      <c r="N375" s="540">
        <f>N376+N377</f>
        <v>0</v>
      </c>
      <c r="O375" s="540">
        <f>IF(L375&gt;0,N375*100/L375,0)</f>
        <v>0</v>
      </c>
      <c r="P375" s="540">
        <f>IF(M375&gt;0,N375*100/M375,0)</f>
        <v>0</v>
      </c>
      <c r="Q375" s="540">
        <f ca="1">Q376+Q377</f>
        <v>437500</v>
      </c>
      <c r="R375" s="540">
        <f ca="1">R376+R377</f>
        <v>437500</v>
      </c>
      <c r="S375" s="540">
        <f ca="1">S376+S377</f>
        <v>0</v>
      </c>
      <c r="T375" s="540">
        <f ca="1">IF(Q375&gt;0,S375*100/Q375,0)</f>
        <v>0</v>
      </c>
      <c r="U375" s="540">
        <f ca="1">IF(R375&gt;0,S375*100/R375,0)</f>
        <v>0</v>
      </c>
    </row>
    <row r="376" spans="1:21" ht="18.75" hidden="1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103">
        <f>L379+L382</f>
        <v>0</v>
      </c>
      <c r="M376" s="102">
        <f>M379+M382</f>
        <v>0</v>
      </c>
      <c r="N376" s="102">
        <f>N379+N382</f>
        <v>0</v>
      </c>
      <c r="O376" s="102">
        <f>IF(L376&gt;0,N376*100/L376,0)</f>
        <v>0</v>
      </c>
      <c r="P376" s="102">
        <f>IF(M376&gt;0,N376*100/M376,0)</f>
        <v>0</v>
      </c>
      <c r="Q376" s="102">
        <f>Q379+Q382</f>
        <v>0</v>
      </c>
      <c r="R376" s="102">
        <f>R379+R382</f>
        <v>0</v>
      </c>
      <c r="S376" s="102">
        <f>S379+S382</f>
        <v>0</v>
      </c>
      <c r="T376" s="102">
        <f>IF(Q376&gt;0,S376*100/Q376,0)</f>
        <v>0</v>
      </c>
      <c r="U376" s="102">
        <f>IF(R376&gt;0,S376*100/R376,0)</f>
        <v>0</v>
      </c>
    </row>
    <row r="377" spans="1:21" ht="18.75" hidden="1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256">
        <f>L380+L383</f>
        <v>0</v>
      </c>
      <c r="M377" s="255">
        <f>M380+M383</f>
        <v>0</v>
      </c>
      <c r="N377" s="255">
        <f>N380+N383</f>
        <v>0</v>
      </c>
      <c r="O377" s="255">
        <f>IF(L377&gt;0,N377*100/L377,0)</f>
        <v>0</v>
      </c>
      <c r="P377" s="255">
        <f>IF(M377&gt;0,N377*100/M377,0)</f>
        <v>0</v>
      </c>
      <c r="Q377" s="255">
        <f ca="1">Q380+Q383</f>
        <v>437500</v>
      </c>
      <c r="R377" s="255">
        <f ca="1">R380+R383</f>
        <v>437500</v>
      </c>
      <c r="S377" s="255">
        <f ca="1">S380+S383</f>
        <v>0</v>
      </c>
      <c r="T377" s="255">
        <f ca="1">IF(Q377&gt;0,S377*100/Q377,0)</f>
        <v>0</v>
      </c>
      <c r="U377" s="255">
        <f ca="1">IF(R377&gt;0,S377*100/R377,0)</f>
        <v>0</v>
      </c>
    </row>
    <row r="378" spans="1:21" ht="18.75">
      <c r="A378" s="155"/>
      <c r="B378" s="188"/>
      <c r="C378" s="188"/>
      <c r="D378" s="602" t="s">
        <v>22</v>
      </c>
      <c r="E378" s="50"/>
      <c r="F378" s="50"/>
      <c r="G378" s="52"/>
      <c r="H378" s="162" t="s">
        <v>14</v>
      </c>
      <c r="I378" s="163"/>
      <c r="J378" s="163"/>
      <c r="K378" s="164"/>
      <c r="L378" s="256">
        <f>L379+L380</f>
        <v>0</v>
      </c>
      <c r="M378" s="255">
        <f>M379+M380</f>
        <v>0</v>
      </c>
      <c r="N378" s="255">
        <f>N379+N380</f>
        <v>0</v>
      </c>
      <c r="O378" s="255">
        <f>IF(L378&gt;0,N378*100/L378,0)</f>
        <v>0</v>
      </c>
      <c r="P378" s="255">
        <f>IF(M378&gt;0,N378*100/M378,0)</f>
        <v>0</v>
      </c>
      <c r="Q378" s="255">
        <f ca="1">Q379+Q380</f>
        <v>437500</v>
      </c>
      <c r="R378" s="255">
        <f ca="1">R379+R380</f>
        <v>437500</v>
      </c>
      <c r="S378" s="255">
        <f ca="1">S379+S380</f>
        <v>0</v>
      </c>
      <c r="T378" s="255">
        <f ca="1">IF(Q378&gt;0,S378*100/Q378,0)</f>
        <v>0</v>
      </c>
      <c r="U378" s="255">
        <f ca="1">IF(R378&gt;0,S378*100/R378,0)</f>
        <v>0</v>
      </c>
    </row>
    <row r="379" spans="1:21" ht="18.75" hidden="1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103">
        <v>0</v>
      </c>
      <c r="M379" s="102">
        <v>0</v>
      </c>
      <c r="N379" s="102">
        <v>0</v>
      </c>
      <c r="O379" s="102">
        <f>IF(L379&gt;0,N379*100/L379,0)</f>
        <v>0</v>
      </c>
      <c r="P379" s="102">
        <f>IF(M379&gt;0,N379*100/M379,0)</f>
        <v>0</v>
      </c>
      <c r="Q379" s="102">
        <v>0</v>
      </c>
      <c r="R379" s="102">
        <v>0</v>
      </c>
      <c r="S379" s="102">
        <v>0</v>
      </c>
      <c r="T379" s="102">
        <f>IF(Q379&gt;0,S379*100/Q379,0)</f>
        <v>0</v>
      </c>
      <c r="U379" s="102">
        <f>IF(R379&gt;0,S379*100/R379,0)</f>
        <v>0</v>
      </c>
    </row>
    <row r="380" spans="1:21" ht="18.75" hidden="1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256">
        <v>0</v>
      </c>
      <c r="M380" s="255">
        <v>0</v>
      </c>
      <c r="N380" s="255">
        <v>0</v>
      </c>
      <c r="O380" s="255">
        <f>IF(L380&gt;0,N380*100/L380,0)</f>
        <v>0</v>
      </c>
      <c r="P380" s="255">
        <f>IF(M380&gt;0,N380*100/M380,0)</f>
        <v>0</v>
      </c>
      <c r="Q380" s="255">
        <f ca="1">IFERROR(__xludf.DUMMYFUNCTION("IMPORTRANGE(""https://docs.google.com/spreadsheets/d/1ItG2mGa2ceCfYo0BwxsXqNm01IGEUdYcSSLTEv9YCik/edit?usp=sharing"",""เบิกจ่ายกองทุน!AY48"")"),437500)</f>
        <v>437500</v>
      </c>
      <c r="R380" s="255">
        <f ca="1">IFERROR(__xludf.DUMMYFUNCTION("IMPORTRANGE(""https://docs.google.com/spreadsheets/d/1ItG2mGa2ceCfYo0BwxsXqNm01IGEUdYcSSLTEv9YCik/edit?usp=sharing"",""เบิกจ่ายกองทุน!AZ48"")"),437500)</f>
        <v>437500</v>
      </c>
      <c r="S380" s="255">
        <f ca="1">IFERROR(__xludf.DUMMYFUNCTION("IMPORTRANGE(""https://docs.google.com/spreadsheets/d/1ItG2mGa2ceCfYo0BwxsXqNm01IGEUdYcSSLTEv9YCik/edit?usp=sharing"",""เบิกจ่ายกองทุน!BA48"")"),0)</f>
        <v>0</v>
      </c>
      <c r="T380" s="255">
        <f ca="1">IF(Q380&gt;0,S380*100/Q380,0)</f>
        <v>0</v>
      </c>
      <c r="U380" s="255">
        <f ca="1">IF(R380&gt;0,S380*100/R380,0)</f>
        <v>0</v>
      </c>
    </row>
    <row r="381" spans="1:21" ht="18.75">
      <c r="A381" s="155"/>
      <c r="B381" s="188"/>
      <c r="C381" s="188"/>
      <c r="D381" s="602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256">
        <f>L382+L383</f>
        <v>0</v>
      </c>
      <c r="M381" s="255">
        <f>M382+M383</f>
        <v>0</v>
      </c>
      <c r="N381" s="255">
        <f>N382+N383</f>
        <v>0</v>
      </c>
      <c r="O381" s="255">
        <f>IF(L381&gt;0,N381*100/L381,0)</f>
        <v>0</v>
      </c>
      <c r="P381" s="255">
        <f>IF(M381&gt;0,N381*100/M381,0)</f>
        <v>0</v>
      </c>
      <c r="Q381" s="255">
        <f>Q382+Q383</f>
        <v>0</v>
      </c>
      <c r="R381" s="255">
        <f>R382+R383</f>
        <v>0</v>
      </c>
      <c r="S381" s="255">
        <f>S382+S383</f>
        <v>0</v>
      </c>
      <c r="T381" s="255">
        <f>IF(Q381&gt;0,S381*100/Q381,0)</f>
        <v>0</v>
      </c>
      <c r="U381" s="255">
        <f>IF(R381&gt;0,S381*100/R381,0)</f>
        <v>0</v>
      </c>
    </row>
    <row r="382" spans="1:21" ht="18.75" hidden="1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103">
        <v>0</v>
      </c>
      <c r="M382" s="102">
        <v>0</v>
      </c>
      <c r="N382" s="102">
        <v>0</v>
      </c>
      <c r="O382" s="102">
        <f>IF(L382&gt;0,N382*100/L382,0)</f>
        <v>0</v>
      </c>
      <c r="P382" s="102">
        <f>IF(M382&gt;0,N382*100/M382,0)</f>
        <v>0</v>
      </c>
      <c r="Q382" s="102">
        <v>0</v>
      </c>
      <c r="R382" s="102">
        <v>0</v>
      </c>
      <c r="S382" s="102">
        <v>0</v>
      </c>
      <c r="T382" s="102">
        <f>IF(Q382&gt;0,S382*100/Q382,0)</f>
        <v>0</v>
      </c>
      <c r="U382" s="102">
        <f>IF(R382&gt;0,S382*100/R382,0)</f>
        <v>0</v>
      </c>
    </row>
    <row r="383" spans="1:21" ht="18.75" hidden="1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256">
        <v>0</v>
      </c>
      <c r="M383" s="255">
        <v>0</v>
      </c>
      <c r="N383" s="255">
        <v>0</v>
      </c>
      <c r="O383" s="255">
        <f>IF(L383&gt;0,N383*100/L383,0)</f>
        <v>0</v>
      </c>
      <c r="P383" s="255">
        <f>IF(M383&gt;0,N383*100/M383,0)</f>
        <v>0</v>
      </c>
      <c r="Q383" s="255">
        <v>0</v>
      </c>
      <c r="R383" s="255">
        <v>0</v>
      </c>
      <c r="S383" s="255">
        <v>0</v>
      </c>
      <c r="T383" s="255">
        <f>IF(Q383&gt;0,S383*100/Q383,0)</f>
        <v>0</v>
      </c>
      <c r="U383" s="255">
        <f>IF(R383&gt;0,S383*100/R383,0)</f>
        <v>0</v>
      </c>
    </row>
    <row r="384" spans="1:21" ht="19.5">
      <c r="A384" s="166"/>
      <c r="B384" s="167"/>
      <c r="C384" s="191" t="s">
        <v>18</v>
      </c>
      <c r="D384" s="560" t="s">
        <v>38</v>
      </c>
      <c r="E384" s="169"/>
      <c r="F384" s="169"/>
      <c r="G384" s="170"/>
      <c r="H384" s="206"/>
      <c r="I384" s="163"/>
      <c r="J384" s="54"/>
      <c r="K384" s="55"/>
      <c r="L384" s="62"/>
      <c r="M384" s="55"/>
      <c r="N384" s="55"/>
      <c r="O384" s="164"/>
      <c r="P384" s="164"/>
      <c r="Q384" s="55"/>
      <c r="R384" s="55"/>
      <c r="S384" s="55"/>
      <c r="T384" s="164"/>
      <c r="U384" s="164"/>
    </row>
    <row r="385" spans="1:21" ht="18.75">
      <c r="A385" s="238"/>
      <c r="B385" s="188"/>
      <c r="C385" s="188"/>
      <c r="D385" s="188"/>
      <c r="E385" s="58" t="s">
        <v>155</v>
      </c>
      <c r="F385" s="50"/>
      <c r="G385" s="52"/>
      <c r="H385" s="161" t="s">
        <v>34</v>
      </c>
      <c r="I385" s="212">
        <v>0</v>
      </c>
      <c r="J385" s="212">
        <f ca="1">IFERROR(__xludf.DUMMYFUNCTION("IMPORTRANGE(""https://docs.google.com/spreadsheets/d/1w5rwWK1o49a35cNtocGL0gxDwhFSTZUQu90BiH9_zqM/edit?usp=sharing"",""RTK!H48"")"),0)</f>
        <v>0</v>
      </c>
      <c r="K385" s="255">
        <f>IF(I385&gt;0,J385*100/I385,0)</f>
        <v>0</v>
      </c>
      <c r="L385" s="62"/>
      <c r="M385" s="55"/>
      <c r="N385" s="55"/>
      <c r="O385" s="55"/>
      <c r="P385" s="55"/>
      <c r="Q385" s="55"/>
      <c r="R385" s="55"/>
      <c r="S385" s="55"/>
      <c r="T385" s="55"/>
      <c r="U385" s="55"/>
    </row>
    <row r="386" spans="1:21" ht="18.75">
      <c r="A386" s="188"/>
      <c r="B386" s="188"/>
      <c r="C386" s="188"/>
      <c r="D386" s="188"/>
      <c r="E386" s="188"/>
      <c r="F386" s="188"/>
      <c r="G386" s="208"/>
      <c r="H386" s="161" t="s">
        <v>46</v>
      </c>
      <c r="I386" s="212">
        <f ca="1">IFERROR(__xludf.DUMMYFUNCTION("IMPORTRANGE(""https://docs.google.com/spreadsheets/d/1w5rwWK1o49a35cNtocGL0gxDwhFSTZUQu90BiH9_zqM/edit?usp=sharing"",""RTK!G48"")"),7000)</f>
        <v>7000</v>
      </c>
      <c r="J386" s="212">
        <f ca="1">IFERROR(__xludf.DUMMYFUNCTION("IMPORTRANGE(""https://docs.google.com/spreadsheets/d/1w5rwWK1o49a35cNtocGL0gxDwhFSTZUQu90BiH9_zqM/edit?usp=sharing"",""RTK!I48"")"),0)</f>
        <v>0</v>
      </c>
      <c r="K386" s="255">
        <f ca="1">IF(I386&gt;0,J386*100/I386,0)</f>
        <v>0</v>
      </c>
      <c r="L386" s="62"/>
      <c r="M386" s="55"/>
      <c r="N386" s="55"/>
      <c r="O386" s="55"/>
      <c r="P386" s="55"/>
      <c r="Q386" s="55"/>
      <c r="R386" s="55"/>
      <c r="S386" s="55"/>
      <c r="T386" s="55"/>
      <c r="U386" s="55"/>
    </row>
    <row r="387" spans="1:21" ht="18.75">
      <c r="A387" s="609"/>
      <c r="B387" s="609"/>
      <c r="C387" s="609"/>
      <c r="D387" s="609"/>
      <c r="E387" s="610" t="s">
        <v>156</v>
      </c>
      <c r="F387" s="609"/>
      <c r="G387" s="557"/>
      <c r="H387" s="549" t="s">
        <v>34</v>
      </c>
      <c r="I387" s="556">
        <v>0</v>
      </c>
      <c r="J387" s="556">
        <f ca="1">IFERROR(__xludf.DUMMYFUNCTION("IMPORTRANGE(""https://docs.google.com/spreadsheets/d/1w5rwWK1o49a35cNtocGL0gxDwhFSTZUQu90BiH9_zqM/edit?usp=sharing"",""RTK!L48"")"),514)</f>
        <v>514</v>
      </c>
      <c r="K387" s="555">
        <f>IF(I387&gt;0,J387*100/I387,0)</f>
        <v>0</v>
      </c>
      <c r="L387" s="546"/>
      <c r="M387" s="545"/>
      <c r="N387" s="545"/>
      <c r="O387" s="545"/>
      <c r="P387" s="545"/>
      <c r="Q387" s="545"/>
      <c r="R387" s="545"/>
      <c r="S387" s="545"/>
      <c r="T387" s="545"/>
      <c r="U387" s="545"/>
    </row>
    <row r="388" spans="1:21" ht="18.75">
      <c r="A388" s="609"/>
      <c r="B388" s="609"/>
      <c r="C388" s="609"/>
      <c r="D388" s="609"/>
      <c r="E388" s="609"/>
      <c r="F388" s="609"/>
      <c r="G388" s="557"/>
      <c r="H388" s="549" t="s">
        <v>46</v>
      </c>
      <c r="I388" s="556">
        <f ca="1">IFERROR(__xludf.DUMMYFUNCTION("IMPORTRANGE(""https://docs.google.com/spreadsheets/d/1w5rwWK1o49a35cNtocGL0gxDwhFSTZUQu90BiH9_zqM/edit?usp=sharing"",""RTK!K48"")"),43200)</f>
        <v>43200</v>
      </c>
      <c r="J388" s="556">
        <f ca="1">IFERROR(__xludf.DUMMYFUNCTION("IMPORTRANGE(""https://docs.google.com/spreadsheets/d/1w5rwWK1o49a35cNtocGL0gxDwhFSTZUQu90BiH9_zqM/edit?usp=sharing"",""RTK!M48"")"),8654.54)</f>
        <v>8654.5400000000009</v>
      </c>
      <c r="K388" s="555">
        <f ca="1">IF(I388&gt;0,J388*100/I388,0)</f>
        <v>20.033657407407411</v>
      </c>
      <c r="L388" s="546"/>
      <c r="M388" s="545"/>
      <c r="N388" s="545"/>
      <c r="O388" s="545"/>
      <c r="P388" s="545"/>
      <c r="Q388" s="545"/>
      <c r="R388" s="545"/>
      <c r="S388" s="545"/>
      <c r="T388" s="545"/>
      <c r="U388" s="545"/>
    </row>
    <row r="389" spans="1:21" ht="12.75" hidden="1">
      <c r="A389" s="259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5"/>
      <c r="M389" s="264"/>
      <c r="N389" s="264"/>
      <c r="O389" s="264"/>
      <c r="P389" s="264"/>
      <c r="Q389" s="264"/>
      <c r="R389" s="264"/>
      <c r="S389" s="264"/>
      <c r="T389" s="264"/>
      <c r="U389" s="264"/>
    </row>
    <row r="390" spans="1:21" ht="12.75" hidden="1">
      <c r="A390" s="360"/>
      <c r="B390" s="360"/>
      <c r="C390" s="360"/>
      <c r="D390" s="360"/>
      <c r="E390" s="360"/>
      <c r="F390" s="360"/>
      <c r="G390" s="361"/>
      <c r="H390" s="361"/>
      <c r="I390" s="362"/>
      <c r="J390" s="362"/>
      <c r="K390" s="363"/>
      <c r="L390" s="364"/>
      <c r="M390" s="363"/>
      <c r="N390" s="363"/>
      <c r="O390" s="363"/>
      <c r="P390" s="363"/>
      <c r="Q390" s="363"/>
      <c r="R390" s="363"/>
      <c r="S390" s="363"/>
      <c r="T390" s="363"/>
      <c r="U390" s="363"/>
    </row>
    <row r="391" spans="1:21" ht="19.5" hidden="1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51">
        <f>I402</f>
        <v>0</v>
      </c>
      <c r="J391" s="351">
        <f>J402</f>
        <v>0</v>
      </c>
      <c r="K391" s="604">
        <f>IF(I391&gt;0,J391*100/I391,0)</f>
        <v>0</v>
      </c>
      <c r="L391" s="334"/>
      <c r="M391" s="333"/>
      <c r="N391" s="333"/>
      <c r="O391" s="333"/>
      <c r="P391" s="333"/>
      <c r="Q391" s="333"/>
      <c r="R391" s="333"/>
      <c r="S391" s="333"/>
      <c r="T391" s="333"/>
      <c r="U391" s="333"/>
    </row>
    <row r="392" spans="1:21" ht="19.5" hidden="1">
      <c r="A392" s="155"/>
      <c r="B392" s="188"/>
      <c r="C392" s="191" t="s">
        <v>18</v>
      </c>
      <c r="D392" s="608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541">
        <f>L393+L394</f>
        <v>0</v>
      </c>
      <c r="M392" s="540">
        <f>M393+M394</f>
        <v>0</v>
      </c>
      <c r="N392" s="540">
        <f>N393+N394</f>
        <v>0</v>
      </c>
      <c r="O392" s="540">
        <f>IF(L392&gt;0,N392*100/L392,0)</f>
        <v>0</v>
      </c>
      <c r="P392" s="540">
        <f>IF(M392&gt;0,N392*100/M392,0)</f>
        <v>0</v>
      </c>
      <c r="Q392" s="540">
        <f>Q393+Q394</f>
        <v>0</v>
      </c>
      <c r="R392" s="540">
        <f>R393+R394</f>
        <v>0</v>
      </c>
      <c r="S392" s="540">
        <f>S393+S394</f>
        <v>0</v>
      </c>
      <c r="T392" s="540">
        <f>IF(Q392&gt;0,S392*100/Q392,0)</f>
        <v>0</v>
      </c>
      <c r="U392" s="540">
        <f>IF(R392&gt;0,S392*100/R392,0)</f>
        <v>0</v>
      </c>
    </row>
    <row r="393" spans="1:21" ht="18.75" hidden="1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103">
        <f>L396+L399</f>
        <v>0</v>
      </c>
      <c r="M393" s="102">
        <f>M396+M399</f>
        <v>0</v>
      </c>
      <c r="N393" s="102">
        <f>N396+N399</f>
        <v>0</v>
      </c>
      <c r="O393" s="102">
        <f>IF(L393&gt;0,N393*100/L393,0)</f>
        <v>0</v>
      </c>
      <c r="P393" s="102">
        <f>IF(M393&gt;0,N393*100/M393,0)</f>
        <v>0</v>
      </c>
      <c r="Q393" s="102">
        <f>Q396+Q399</f>
        <v>0</v>
      </c>
      <c r="R393" s="102">
        <f>R396+R399</f>
        <v>0</v>
      </c>
      <c r="S393" s="102">
        <f>S396+S399</f>
        <v>0</v>
      </c>
      <c r="T393" s="102">
        <f>IF(Q393&gt;0,S393*100/Q393,0)</f>
        <v>0</v>
      </c>
      <c r="U393" s="102">
        <f>IF(R393&gt;0,S393*100/R393,0)</f>
        <v>0</v>
      </c>
    </row>
    <row r="394" spans="1:21" ht="18.75" hidden="1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256">
        <f>L397+L400</f>
        <v>0</v>
      </c>
      <c r="M394" s="255">
        <f>M397+M400</f>
        <v>0</v>
      </c>
      <c r="N394" s="255">
        <f>N397+N400</f>
        <v>0</v>
      </c>
      <c r="O394" s="255">
        <f>IF(L394&gt;0,N394*100/L394,0)</f>
        <v>0</v>
      </c>
      <c r="P394" s="255">
        <f>IF(M394&gt;0,N394*100/M394,0)</f>
        <v>0</v>
      </c>
      <c r="Q394" s="255">
        <f>Q397+Q400</f>
        <v>0</v>
      </c>
      <c r="R394" s="255">
        <f>R397+R400</f>
        <v>0</v>
      </c>
      <c r="S394" s="255">
        <f>S397+S400</f>
        <v>0</v>
      </c>
      <c r="T394" s="255">
        <f>IF(Q394&gt;0,S394*100/Q394,0)</f>
        <v>0</v>
      </c>
      <c r="U394" s="255">
        <f>IF(R394&gt;0,S394*100/R394,0)</f>
        <v>0</v>
      </c>
    </row>
    <row r="395" spans="1:21" ht="18.75" hidden="1">
      <c r="A395" s="155"/>
      <c r="B395" s="188"/>
      <c r="C395" s="188"/>
      <c r="D395" s="602" t="s">
        <v>22</v>
      </c>
      <c r="E395" s="50"/>
      <c r="F395" s="50"/>
      <c r="G395" s="52"/>
      <c r="H395" s="162" t="s">
        <v>14</v>
      </c>
      <c r="I395" s="163"/>
      <c r="J395" s="163"/>
      <c r="K395" s="164"/>
      <c r="L395" s="256">
        <f>L396+L397</f>
        <v>0</v>
      </c>
      <c r="M395" s="255">
        <f>M396+M397</f>
        <v>0</v>
      </c>
      <c r="N395" s="255">
        <f>N396+N397</f>
        <v>0</v>
      </c>
      <c r="O395" s="255">
        <f>IF(L395&gt;0,N395*100/L395,0)</f>
        <v>0</v>
      </c>
      <c r="P395" s="255">
        <f>IF(M395&gt;0,N395*100/M395,0)</f>
        <v>0</v>
      </c>
      <c r="Q395" s="255">
        <f>Q396+Q397</f>
        <v>0</v>
      </c>
      <c r="R395" s="255">
        <f>R396+R397</f>
        <v>0</v>
      </c>
      <c r="S395" s="255">
        <f>S396+S397</f>
        <v>0</v>
      </c>
      <c r="T395" s="255">
        <f>IF(Q395&gt;0,S395*100/Q395,0)</f>
        <v>0</v>
      </c>
      <c r="U395" s="255">
        <f>IF(R395&gt;0,S395*100/R395,0)</f>
        <v>0</v>
      </c>
    </row>
    <row r="396" spans="1:21" ht="18.75" hidden="1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103">
        <v>0</v>
      </c>
      <c r="M396" s="102">
        <v>0</v>
      </c>
      <c r="N396" s="102">
        <v>0</v>
      </c>
      <c r="O396" s="102">
        <f>IF(L396&gt;0,N396*100/L396,0)</f>
        <v>0</v>
      </c>
      <c r="P396" s="102">
        <f>IF(M396&gt;0,N396*100/M396,0)</f>
        <v>0</v>
      </c>
      <c r="Q396" s="102">
        <v>0</v>
      </c>
      <c r="R396" s="102">
        <v>0</v>
      </c>
      <c r="S396" s="102">
        <v>0</v>
      </c>
      <c r="T396" s="102">
        <f>IF(Q396&gt;0,S396*100/Q396,0)</f>
        <v>0</v>
      </c>
      <c r="U396" s="102">
        <f>IF(R396&gt;0,S396*100/R396,0)</f>
        <v>0</v>
      </c>
    </row>
    <row r="397" spans="1:21" ht="18.75" hidden="1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256">
        <v>0</v>
      </c>
      <c r="M397" s="255">
        <v>0</v>
      </c>
      <c r="N397" s="255">
        <v>0</v>
      </c>
      <c r="O397" s="255">
        <f>IF(L397&gt;0,N397*100/L397,0)</f>
        <v>0</v>
      </c>
      <c r="P397" s="255">
        <f>IF(M397&gt;0,N397*100/M397,0)</f>
        <v>0</v>
      </c>
      <c r="Q397" s="255">
        <v>0</v>
      </c>
      <c r="R397" s="255">
        <v>0</v>
      </c>
      <c r="S397" s="255">
        <v>0</v>
      </c>
      <c r="T397" s="255">
        <f>IF(Q397&gt;0,S397*100/Q397,0)</f>
        <v>0</v>
      </c>
      <c r="U397" s="255">
        <f>IF(R397&gt;0,S397*100/R397,0)</f>
        <v>0</v>
      </c>
    </row>
    <row r="398" spans="1:21" ht="18.75" hidden="1">
      <c r="A398" s="155"/>
      <c r="B398" s="188"/>
      <c r="C398" s="188"/>
      <c r="D398" s="602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256">
        <f>L399+L400</f>
        <v>0</v>
      </c>
      <c r="M398" s="255">
        <f>M399+M400</f>
        <v>0</v>
      </c>
      <c r="N398" s="255">
        <f>N399+N400</f>
        <v>0</v>
      </c>
      <c r="O398" s="255">
        <f>IF(L398&gt;0,N398*100/L398,0)</f>
        <v>0</v>
      </c>
      <c r="P398" s="255">
        <f>IF(M398&gt;0,N398*100/M398,0)</f>
        <v>0</v>
      </c>
      <c r="Q398" s="255">
        <f>Q399+Q400</f>
        <v>0</v>
      </c>
      <c r="R398" s="255">
        <f>R399+R400</f>
        <v>0</v>
      </c>
      <c r="S398" s="255">
        <f>S399+S400</f>
        <v>0</v>
      </c>
      <c r="T398" s="255">
        <f>IF(Q398&gt;0,S398*100/Q398,0)</f>
        <v>0</v>
      </c>
      <c r="U398" s="255">
        <f>IF(R398&gt;0,S398*100/R398,0)</f>
        <v>0</v>
      </c>
    </row>
    <row r="399" spans="1:21" ht="18.75" hidden="1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103">
        <v>0</v>
      </c>
      <c r="M399" s="102">
        <v>0</v>
      </c>
      <c r="N399" s="102">
        <v>0</v>
      </c>
      <c r="O399" s="102">
        <f>IF(L399&gt;0,N399*100/L399,0)</f>
        <v>0</v>
      </c>
      <c r="P399" s="102">
        <f>IF(M399&gt;0,N399*100/M399,0)</f>
        <v>0</v>
      </c>
      <c r="Q399" s="102">
        <v>0</v>
      </c>
      <c r="R399" s="102">
        <v>0</v>
      </c>
      <c r="S399" s="102">
        <v>0</v>
      </c>
      <c r="T399" s="102">
        <f>IF(Q399&gt;0,S399*100/Q399,0)</f>
        <v>0</v>
      </c>
      <c r="U399" s="102">
        <f>IF(R399&gt;0,S399*100/R399,0)</f>
        <v>0</v>
      </c>
    </row>
    <row r="400" spans="1:21" ht="18.75" hidden="1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256">
        <v>0</v>
      </c>
      <c r="M400" s="255">
        <v>0</v>
      </c>
      <c r="N400" s="255">
        <v>0</v>
      </c>
      <c r="O400" s="255">
        <f>IF(L400&gt;0,N400*100/L400,0)</f>
        <v>0</v>
      </c>
      <c r="P400" s="255">
        <f>IF(M400&gt;0,N400*100/M400,0)</f>
        <v>0</v>
      </c>
      <c r="Q400" s="255">
        <v>0</v>
      </c>
      <c r="R400" s="255">
        <v>0</v>
      </c>
      <c r="S400" s="255">
        <v>0</v>
      </c>
      <c r="T400" s="255">
        <f>IF(Q400&gt;0,S400*100/Q400,0)</f>
        <v>0</v>
      </c>
      <c r="U400" s="255">
        <f>IF(R400&gt;0,S400*100/R400,0)</f>
        <v>0</v>
      </c>
    </row>
    <row r="401" spans="1:21" ht="19.5" hidden="1">
      <c r="A401" s="166"/>
      <c r="B401" s="167"/>
      <c r="C401" s="191" t="s">
        <v>18</v>
      </c>
      <c r="D401" s="560" t="s">
        <v>38</v>
      </c>
      <c r="E401" s="169"/>
      <c r="F401" s="169"/>
      <c r="G401" s="170"/>
      <c r="H401" s="206"/>
      <c r="I401" s="163"/>
      <c r="J401" s="54"/>
      <c r="K401" s="55"/>
      <c r="L401" s="62"/>
      <c r="M401" s="55"/>
      <c r="N401" s="55"/>
      <c r="O401" s="164"/>
      <c r="P401" s="164"/>
      <c r="Q401" s="55"/>
      <c r="R401" s="55"/>
      <c r="S401" s="55"/>
      <c r="T401" s="164"/>
      <c r="U401" s="164"/>
    </row>
    <row r="402" spans="1:21" ht="12.75" hidden="1">
      <c r="A402" s="258"/>
      <c r="B402" s="259"/>
      <c r="C402" s="259"/>
      <c r="D402" s="259"/>
      <c r="E402" s="260"/>
      <c r="F402" s="260"/>
      <c r="G402" s="261"/>
      <c r="H402" s="262"/>
      <c r="I402" s="263"/>
      <c r="J402" s="263"/>
      <c r="K402" s="264"/>
      <c r="L402" s="265"/>
      <c r="M402" s="264"/>
      <c r="N402" s="264"/>
      <c r="O402" s="264"/>
      <c r="P402" s="264"/>
      <c r="Q402" s="264"/>
      <c r="R402" s="264"/>
      <c r="S402" s="264"/>
      <c r="T402" s="264"/>
      <c r="U402" s="264"/>
    </row>
    <row r="403" spans="1:21" ht="12.75" hidden="1">
      <c r="A403" s="259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5"/>
      <c r="M403" s="264"/>
      <c r="N403" s="264"/>
      <c r="O403" s="264"/>
      <c r="P403" s="264"/>
      <c r="Q403" s="264"/>
      <c r="R403" s="264"/>
      <c r="S403" s="264"/>
      <c r="T403" s="264"/>
      <c r="U403" s="264"/>
    </row>
    <row r="404" spans="1:21" ht="12.75" hidden="1">
      <c r="A404" s="259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5"/>
      <c r="M404" s="264"/>
      <c r="N404" s="264"/>
      <c r="O404" s="264"/>
      <c r="P404" s="264"/>
      <c r="Q404" s="264"/>
      <c r="R404" s="264"/>
      <c r="S404" s="264"/>
      <c r="T404" s="264"/>
      <c r="U404" s="264"/>
    </row>
    <row r="405" spans="1:21" ht="12.75" hidden="1">
      <c r="A405" s="259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5"/>
      <c r="M405" s="264"/>
      <c r="N405" s="264"/>
      <c r="O405" s="264"/>
      <c r="P405" s="264"/>
      <c r="Q405" s="264"/>
      <c r="R405" s="264"/>
      <c r="S405" s="264"/>
      <c r="T405" s="264"/>
      <c r="U405" s="264"/>
    </row>
    <row r="406" spans="1:21" ht="12.75" hidden="1">
      <c r="A406" s="259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5"/>
      <c r="M406" s="264"/>
      <c r="N406" s="264"/>
      <c r="O406" s="264"/>
      <c r="P406" s="264"/>
      <c r="Q406" s="264"/>
      <c r="R406" s="264"/>
      <c r="S406" s="264"/>
      <c r="T406" s="264"/>
      <c r="U406" s="264"/>
    </row>
    <row r="407" spans="1:21" ht="12.75" hidden="1">
      <c r="A407" s="259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5"/>
      <c r="M407" s="264"/>
      <c r="N407" s="264"/>
      <c r="O407" s="264"/>
      <c r="P407" s="264"/>
      <c r="Q407" s="264"/>
      <c r="R407" s="264"/>
      <c r="S407" s="264"/>
      <c r="T407" s="264"/>
      <c r="U407" s="264"/>
    </row>
    <row r="408" spans="1:21" ht="12.75" hidden="1">
      <c r="A408" s="259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5"/>
      <c r="M408" s="264"/>
      <c r="N408" s="264"/>
      <c r="O408" s="264"/>
      <c r="P408" s="264"/>
      <c r="Q408" s="264"/>
      <c r="R408" s="264"/>
      <c r="S408" s="264"/>
      <c r="T408" s="264"/>
      <c r="U408" s="264"/>
    </row>
    <row r="409" spans="1:21" ht="12.75" hidden="1">
      <c r="A409" s="259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5"/>
      <c r="M409" s="264"/>
      <c r="N409" s="264"/>
      <c r="O409" s="264"/>
      <c r="P409" s="264"/>
      <c r="Q409" s="264"/>
      <c r="R409" s="264"/>
      <c r="S409" s="264"/>
      <c r="T409" s="264"/>
      <c r="U409" s="264"/>
    </row>
    <row r="410" spans="1:21" ht="12.75" hidden="1">
      <c r="A410" s="259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5"/>
      <c r="M410" s="264"/>
      <c r="N410" s="264"/>
      <c r="O410" s="264"/>
      <c r="P410" s="264"/>
      <c r="Q410" s="264"/>
      <c r="R410" s="264"/>
      <c r="S410" s="264"/>
      <c r="T410" s="264"/>
      <c r="U410" s="264"/>
    </row>
    <row r="411" spans="1:21" ht="12.75" hidden="1">
      <c r="A411" s="360"/>
      <c r="B411" s="360"/>
      <c r="C411" s="360"/>
      <c r="D411" s="360"/>
      <c r="E411" s="360"/>
      <c r="F411" s="360"/>
      <c r="G411" s="361"/>
      <c r="H411" s="361"/>
      <c r="I411" s="362"/>
      <c r="J411" s="362"/>
      <c r="K411" s="363"/>
      <c r="L411" s="364"/>
      <c r="M411" s="363"/>
      <c r="N411" s="363"/>
      <c r="O411" s="363"/>
      <c r="P411" s="363"/>
      <c r="Q411" s="363"/>
      <c r="R411" s="363"/>
      <c r="S411" s="363"/>
      <c r="T411" s="363"/>
      <c r="U411" s="363"/>
    </row>
    <row r="412" spans="1:21" ht="19.5" hidden="1">
      <c r="A412" s="337"/>
      <c r="B412" s="354" t="s">
        <v>158</v>
      </c>
      <c r="C412" s="337"/>
      <c r="D412" s="337"/>
      <c r="E412" s="337"/>
      <c r="F412" s="337"/>
      <c r="G412" s="365"/>
      <c r="H412" s="366" t="s">
        <v>46</v>
      </c>
      <c r="I412" s="605">
        <f ca="1">I423</f>
        <v>0</v>
      </c>
      <c r="J412" s="605">
        <f>J423</f>
        <v>0</v>
      </c>
      <c r="K412" s="604">
        <f ca="1">IF(I412&gt;0,J412*100/I412,0)</f>
        <v>0</v>
      </c>
      <c r="L412" s="334"/>
      <c r="M412" s="333"/>
      <c r="N412" s="333"/>
      <c r="O412" s="333"/>
      <c r="P412" s="333"/>
      <c r="Q412" s="333"/>
      <c r="R412" s="333"/>
      <c r="S412" s="333"/>
      <c r="T412" s="333"/>
      <c r="U412" s="333"/>
    </row>
    <row r="413" spans="1:21" ht="19.5" hidden="1">
      <c r="A413" s="155"/>
      <c r="B413" s="188"/>
      <c r="C413" s="367" t="s">
        <v>18</v>
      </c>
      <c r="D413" s="603" t="s">
        <v>19</v>
      </c>
      <c r="E413" s="514"/>
      <c r="F413" s="514"/>
      <c r="G413" s="512"/>
      <c r="H413" s="368" t="s">
        <v>14</v>
      </c>
      <c r="I413" s="54"/>
      <c r="J413" s="54"/>
      <c r="K413" s="55"/>
      <c r="L413" s="541">
        <f>L414+L415</f>
        <v>0</v>
      </c>
      <c r="M413" s="540">
        <f>M414+M415</f>
        <v>0</v>
      </c>
      <c r="N413" s="540">
        <f>N414+N415</f>
        <v>0</v>
      </c>
      <c r="O413" s="540">
        <f>IF(L413&gt;0,N413*100/L413,0)</f>
        <v>0</v>
      </c>
      <c r="P413" s="540">
        <f>IF(M413&gt;0,N413*100/M413,0)</f>
        <v>0</v>
      </c>
      <c r="Q413" s="540">
        <f ca="1">Q414+Q415</f>
        <v>0</v>
      </c>
      <c r="R413" s="540">
        <f ca="1">R414+R415</f>
        <v>0</v>
      </c>
      <c r="S413" s="540">
        <f ca="1">S414+S415</f>
        <v>0</v>
      </c>
      <c r="T413" s="540">
        <f ca="1">IF(Q413&gt;0,S413*100/Q413,0)</f>
        <v>0</v>
      </c>
      <c r="U413" s="540">
        <f ca="1">IF(R413&gt;0,S413*100/R413,0)</f>
        <v>0</v>
      </c>
    </row>
    <row r="414" spans="1:21" ht="18.75" hidden="1">
      <c r="A414" s="155"/>
      <c r="B414" s="188"/>
      <c r="C414" s="188"/>
      <c r="D414" s="188"/>
      <c r="E414" s="358" t="s">
        <v>159</v>
      </c>
      <c r="F414" s="188"/>
      <c r="G414" s="208"/>
      <c r="H414" s="204" t="s">
        <v>14</v>
      </c>
      <c r="I414" s="54"/>
      <c r="J414" s="54"/>
      <c r="K414" s="55"/>
      <c r="L414" s="103">
        <f>L417+L420</f>
        <v>0</v>
      </c>
      <c r="M414" s="102">
        <f>M417+M420</f>
        <v>0</v>
      </c>
      <c r="N414" s="102">
        <f>N417+N420</f>
        <v>0</v>
      </c>
      <c r="O414" s="102">
        <f>IF(L414&gt;0,N414*100/L414,0)</f>
        <v>0</v>
      </c>
      <c r="P414" s="102">
        <f>IF(M414&gt;0,N414*100/M414,0)</f>
        <v>0</v>
      </c>
      <c r="Q414" s="102">
        <f>Q417+Q420</f>
        <v>0</v>
      </c>
      <c r="R414" s="102">
        <f>R417+R420</f>
        <v>0</v>
      </c>
      <c r="S414" s="102">
        <f>S417+S420</f>
        <v>0</v>
      </c>
      <c r="T414" s="102">
        <f>IF(Q414&gt;0,S414*100/Q414,0)</f>
        <v>0</v>
      </c>
      <c r="U414" s="102">
        <f>IF(R414&gt;0,S414*100/R414,0)</f>
        <v>0</v>
      </c>
    </row>
    <row r="415" spans="1:21" ht="18.75" hidden="1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256">
        <f>L418+L421</f>
        <v>0</v>
      </c>
      <c r="M415" s="255">
        <f>M418+M421</f>
        <v>0</v>
      </c>
      <c r="N415" s="255">
        <f>N418+N421</f>
        <v>0</v>
      </c>
      <c r="O415" s="255">
        <f>IF(L415&gt;0,N415*100/L415,0)</f>
        <v>0</v>
      </c>
      <c r="P415" s="255">
        <f>IF(M415&gt;0,N415*100/M415,0)</f>
        <v>0</v>
      </c>
      <c r="Q415" s="255">
        <f ca="1">Q418+Q421</f>
        <v>0</v>
      </c>
      <c r="R415" s="255">
        <f ca="1">R418+R421</f>
        <v>0</v>
      </c>
      <c r="S415" s="255">
        <f ca="1">S418+S421</f>
        <v>0</v>
      </c>
      <c r="T415" s="255">
        <f ca="1">IF(Q415&gt;0,S415*100/Q415,0)</f>
        <v>0</v>
      </c>
      <c r="U415" s="255">
        <f ca="1">IF(R415&gt;0,S415*100/R415,0)</f>
        <v>0</v>
      </c>
    </row>
    <row r="416" spans="1:21" ht="19.5" hidden="1">
      <c r="A416" s="155"/>
      <c r="B416" s="188"/>
      <c r="C416" s="188"/>
      <c r="D416" s="608" t="s">
        <v>22</v>
      </c>
      <c r="E416" s="188"/>
      <c r="F416" s="188"/>
      <c r="G416" s="208"/>
      <c r="H416" s="368" t="s">
        <v>14</v>
      </c>
      <c r="I416" s="54"/>
      <c r="J416" s="54"/>
      <c r="K416" s="55"/>
      <c r="L416" s="256">
        <f>L417+L418</f>
        <v>0</v>
      </c>
      <c r="M416" s="255">
        <f>M417+M418</f>
        <v>0</v>
      </c>
      <c r="N416" s="255">
        <f>N417+N418</f>
        <v>0</v>
      </c>
      <c r="O416" s="255">
        <f>IF(L416&gt;0,N416*100/L416,0)</f>
        <v>0</v>
      </c>
      <c r="P416" s="255">
        <f>IF(M416&gt;0,N416*100/M416,0)</f>
        <v>0</v>
      </c>
      <c r="Q416" s="255">
        <f ca="1">Q417+Q418</f>
        <v>0</v>
      </c>
      <c r="R416" s="255">
        <f ca="1">R417+R418</f>
        <v>0</v>
      </c>
      <c r="S416" s="255">
        <f ca="1">S417+S418</f>
        <v>0</v>
      </c>
      <c r="T416" s="255">
        <f ca="1">IF(Q416&gt;0,S416*100/Q416,0)</f>
        <v>0</v>
      </c>
      <c r="U416" s="255">
        <f ca="1">IF(R416&gt;0,S416*100/R416,0)</f>
        <v>0</v>
      </c>
    </row>
    <row r="417" spans="1:21" ht="18.75" hidden="1">
      <c r="A417" s="155"/>
      <c r="B417" s="188"/>
      <c r="C417" s="188"/>
      <c r="D417" s="188"/>
      <c r="E417" s="358" t="s">
        <v>159</v>
      </c>
      <c r="F417" s="188"/>
      <c r="G417" s="208"/>
      <c r="H417" s="204" t="s">
        <v>14</v>
      </c>
      <c r="I417" s="54"/>
      <c r="J417" s="54"/>
      <c r="K417" s="55"/>
      <c r="L417" s="103">
        <v>0</v>
      </c>
      <c r="M417" s="102">
        <v>0</v>
      </c>
      <c r="N417" s="102">
        <v>0</v>
      </c>
      <c r="O417" s="102">
        <f>IF(L417&gt;0,N417*100/L417,0)</f>
        <v>0</v>
      </c>
      <c r="P417" s="102">
        <f>IF(M417&gt;0,N417*100/M417,0)</f>
        <v>0</v>
      </c>
      <c r="Q417" s="102">
        <v>0</v>
      </c>
      <c r="R417" s="102">
        <v>0</v>
      </c>
      <c r="S417" s="102">
        <v>0</v>
      </c>
      <c r="T417" s="102">
        <f>IF(Q417&gt;0,S417*100/Q417,0)</f>
        <v>0</v>
      </c>
      <c r="U417" s="102">
        <f>IF(R417&gt;0,S417*100/R417,0)</f>
        <v>0</v>
      </c>
    </row>
    <row r="418" spans="1:21" ht="18.75" hidden="1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256">
        <v>0</v>
      </c>
      <c r="M418" s="255">
        <v>0</v>
      </c>
      <c r="N418" s="255">
        <v>0</v>
      </c>
      <c r="O418" s="255">
        <f>IF(L418&gt;0,N418*100/L418,0)</f>
        <v>0</v>
      </c>
      <c r="P418" s="255">
        <f>IF(M418&gt;0,N418*100/M418,0)</f>
        <v>0</v>
      </c>
      <c r="Q418" s="255">
        <f ca="1">IFERROR(__xludf.DUMMYFUNCTION("IMPORTRANGE(""https://docs.google.com/spreadsheets/d/1ItG2mGa2ceCfYo0BwxsXqNm01IGEUdYcSSLTEv9YCik/edit?usp=sharing"",""เบิกจ่ายกองทุน!BH48"")"),0)</f>
        <v>0</v>
      </c>
      <c r="R418" s="255">
        <f ca="1">IFERROR(__xludf.DUMMYFUNCTION("IMPORTRANGE(""https://docs.google.com/spreadsheets/d/1ItG2mGa2ceCfYo0BwxsXqNm01IGEUdYcSSLTEv9YCik/edit?usp=sharing"",""เบิกจ่ายกองทุน!BI48"")"),0)</f>
        <v>0</v>
      </c>
      <c r="S418" s="255">
        <f ca="1">IFERROR(__xludf.DUMMYFUNCTION("IMPORTRANGE(""https://docs.google.com/spreadsheets/d/1ItG2mGa2ceCfYo0BwxsXqNm01IGEUdYcSSLTEv9YCik/edit?usp=sharing"",""เบิกจ่ายกองทุน!BJ48"")"),0)</f>
        <v>0</v>
      </c>
      <c r="T418" s="255">
        <f ca="1">IF(Q418&gt;0,S418*100/Q418,0)</f>
        <v>0</v>
      </c>
      <c r="U418" s="255">
        <f ca="1">IF(R418&gt;0,S418*100/R418,0)</f>
        <v>0</v>
      </c>
    </row>
    <row r="419" spans="1:21" ht="19.5" hidden="1">
      <c r="A419" s="155"/>
      <c r="B419" s="188"/>
      <c r="C419" s="188"/>
      <c r="D419" s="608" t="s">
        <v>23</v>
      </c>
      <c r="E419" s="188"/>
      <c r="F419" s="188"/>
      <c r="G419" s="208"/>
      <c r="H419" s="158" t="s">
        <v>14</v>
      </c>
      <c r="I419" s="54"/>
      <c r="J419" s="54"/>
      <c r="K419" s="55"/>
      <c r="L419" s="256">
        <f>L420+L421</f>
        <v>0</v>
      </c>
      <c r="M419" s="255">
        <f>M420+M421</f>
        <v>0</v>
      </c>
      <c r="N419" s="255">
        <f>N420+N421</f>
        <v>0</v>
      </c>
      <c r="O419" s="255">
        <f>IF(L419&gt;0,N419*100/L419,0)</f>
        <v>0</v>
      </c>
      <c r="P419" s="255">
        <f>IF(M419&gt;0,N419*100/M419,0)</f>
        <v>0</v>
      </c>
      <c r="Q419" s="255">
        <f>Q420+Q421</f>
        <v>0</v>
      </c>
      <c r="R419" s="255">
        <f>R420+R421</f>
        <v>0</v>
      </c>
      <c r="S419" s="255">
        <f>S420+S421</f>
        <v>0</v>
      </c>
      <c r="T419" s="255">
        <f>IF(Q419&gt;0,S419*100/Q419,0)</f>
        <v>0</v>
      </c>
      <c r="U419" s="255">
        <f>IF(R419&gt;0,S419*100/R419,0)</f>
        <v>0</v>
      </c>
    </row>
    <row r="420" spans="1:21" ht="18.75" hidden="1">
      <c r="A420" s="155"/>
      <c r="B420" s="188"/>
      <c r="C420" s="188"/>
      <c r="D420" s="188"/>
      <c r="E420" s="358" t="s">
        <v>20</v>
      </c>
      <c r="F420" s="188"/>
      <c r="G420" s="208"/>
      <c r="H420" s="204" t="s">
        <v>14</v>
      </c>
      <c r="I420" s="54"/>
      <c r="J420" s="54"/>
      <c r="K420" s="55"/>
      <c r="L420" s="103">
        <v>0</v>
      </c>
      <c r="M420" s="102">
        <v>0</v>
      </c>
      <c r="N420" s="102">
        <v>0</v>
      </c>
      <c r="O420" s="102">
        <f>IF(L420&gt;0,N420*100/L420,0)</f>
        <v>0</v>
      </c>
      <c r="P420" s="102">
        <f>IF(M420&gt;0,N420*100/M420,0)</f>
        <v>0</v>
      </c>
      <c r="Q420" s="102">
        <v>0</v>
      </c>
      <c r="R420" s="102">
        <v>0</v>
      </c>
      <c r="S420" s="102">
        <v>0</v>
      </c>
      <c r="T420" s="102">
        <f>IF(Q420&gt;0,S420*100/Q420,0)</f>
        <v>0</v>
      </c>
      <c r="U420" s="102">
        <f>IF(R420&gt;0,S420*100/R420,0)</f>
        <v>0</v>
      </c>
    </row>
    <row r="421" spans="1:21" ht="18.75" hidden="1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256">
        <v>0</v>
      </c>
      <c r="M421" s="255">
        <v>0</v>
      </c>
      <c r="N421" s="255">
        <v>0</v>
      </c>
      <c r="O421" s="255">
        <f>IF(L421&gt;0,N421*100/L421,0)</f>
        <v>0</v>
      </c>
      <c r="P421" s="255">
        <f>IF(M421&gt;0,N421*100/M421,0)</f>
        <v>0</v>
      </c>
      <c r="Q421" s="255">
        <v>0</v>
      </c>
      <c r="R421" s="255">
        <v>0</v>
      </c>
      <c r="S421" s="255">
        <v>0</v>
      </c>
      <c r="T421" s="255">
        <f>IF(Q421&gt;0,S421*100/Q421,0)</f>
        <v>0</v>
      </c>
      <c r="U421" s="255">
        <f>IF(R421&gt;0,S421*100/R421,0)</f>
        <v>0</v>
      </c>
    </row>
    <row r="422" spans="1:21" ht="19.5" hidden="1">
      <c r="A422" s="238"/>
      <c r="B422" s="188"/>
      <c r="C422" s="367" t="s">
        <v>18</v>
      </c>
      <c r="D422" s="607" t="s">
        <v>38</v>
      </c>
      <c r="E422" s="188"/>
      <c r="F422" s="188"/>
      <c r="G422" s="208"/>
      <c r="H422" s="208"/>
      <c r="I422" s="54"/>
      <c r="J422" s="54"/>
      <c r="K422" s="55"/>
      <c r="L422" s="62"/>
      <c r="M422" s="55"/>
      <c r="N422" s="55"/>
      <c r="O422" s="55"/>
      <c r="P422" s="55"/>
      <c r="Q422" s="55"/>
      <c r="R422" s="55"/>
      <c r="S422" s="55"/>
      <c r="T422" s="55"/>
      <c r="U422" s="55"/>
    </row>
    <row r="423" spans="1:21" ht="19.5" hidden="1">
      <c r="A423" s="238"/>
      <c r="B423" s="191" t="s">
        <v>161</v>
      </c>
      <c r="C423" s="188"/>
      <c r="D423" s="188"/>
      <c r="E423" s="188"/>
      <c r="F423" s="188"/>
      <c r="G423" s="208"/>
      <c r="H423" s="368" t="s">
        <v>46</v>
      </c>
      <c r="I423" s="373">
        <f ca="1">I440</f>
        <v>0</v>
      </c>
      <c r="J423" s="373">
        <f>J440</f>
        <v>0</v>
      </c>
      <c r="K423" s="540">
        <f ca="1">IF(I423&gt;0,J423*100/I423,0)</f>
        <v>0</v>
      </c>
      <c r="L423" s="62"/>
      <c r="M423" s="55"/>
      <c r="N423" s="55"/>
      <c r="O423" s="55"/>
      <c r="P423" s="55"/>
      <c r="Q423" s="55"/>
      <c r="R423" s="55"/>
      <c r="S423" s="55"/>
      <c r="T423" s="55"/>
      <c r="U423" s="55"/>
    </row>
    <row r="424" spans="1:21" ht="19.5" hidden="1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373">
        <f ca="1">IFERROR(__xludf.DUMMYFUNCTION("IMPORTRANGE(""https://docs.google.com/spreadsheets/d/1eHaY18a8A9IcSdp1K8H6x8fbOy06t2VsZHhMHf-1x7Y/edit?usp=sharing"",""แผน!HJ48"")"),0)</f>
        <v>0</v>
      </c>
      <c r="J424" s="373">
        <f>J426+J428+J430</f>
        <v>0</v>
      </c>
      <c r="K424" s="540">
        <f ca="1">IF(I424&gt;0,J424*100/I424,0)</f>
        <v>0</v>
      </c>
      <c r="L424" s="62"/>
      <c r="M424" s="55"/>
      <c r="N424" s="55"/>
      <c r="O424" s="55"/>
      <c r="P424" s="55"/>
      <c r="Q424" s="55"/>
      <c r="R424" s="55"/>
      <c r="S424" s="55"/>
      <c r="T424" s="55"/>
      <c r="U424" s="55"/>
    </row>
    <row r="425" spans="1:21" ht="19.5" hidden="1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373">
        <f ca="1">IFERROR(__xludf.DUMMYFUNCTION("IMPORTRANGE(""https://docs.google.com/spreadsheets/d/1eHaY18a8A9IcSdp1K8H6x8fbOy06t2VsZHhMHf-1x7Y/edit?usp=sharing"",""แผน!HK48"")"),0)</f>
        <v>0</v>
      </c>
      <c r="J425" s="373">
        <f>J427+J429+J431</f>
        <v>0</v>
      </c>
      <c r="K425" s="540">
        <f ca="1">IF(I425&gt;0,J425*100/I425,0)</f>
        <v>0</v>
      </c>
      <c r="L425" s="62"/>
      <c r="M425" s="55"/>
      <c r="N425" s="55"/>
      <c r="O425" s="55"/>
      <c r="P425" s="55"/>
      <c r="Q425" s="55"/>
      <c r="R425" s="55"/>
      <c r="S425" s="55"/>
      <c r="T425" s="55"/>
      <c r="U425" s="55"/>
    </row>
    <row r="426" spans="1:21" ht="18.75" hidden="1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54"/>
      <c r="K426" s="55"/>
      <c r="L426" s="62"/>
      <c r="M426" s="55"/>
      <c r="N426" s="55"/>
      <c r="O426" s="55"/>
      <c r="P426" s="55"/>
      <c r="Q426" s="55"/>
      <c r="R426" s="55"/>
      <c r="S426" s="55"/>
      <c r="T426" s="55"/>
      <c r="U426" s="55"/>
    </row>
    <row r="427" spans="1:21" ht="18.75" hidden="1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54"/>
      <c r="K427" s="55"/>
      <c r="L427" s="62"/>
      <c r="M427" s="55"/>
      <c r="N427" s="55"/>
      <c r="O427" s="55"/>
      <c r="P427" s="55"/>
      <c r="Q427" s="55"/>
      <c r="R427" s="55"/>
      <c r="S427" s="55"/>
      <c r="T427" s="55"/>
      <c r="U427" s="55"/>
    </row>
    <row r="428" spans="1:21" ht="18.75" hidden="1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54"/>
      <c r="K428" s="55"/>
      <c r="L428" s="62"/>
      <c r="M428" s="55"/>
      <c r="N428" s="55"/>
      <c r="O428" s="55"/>
      <c r="P428" s="55"/>
      <c r="Q428" s="55"/>
      <c r="R428" s="55"/>
      <c r="S428" s="55"/>
      <c r="T428" s="55"/>
      <c r="U428" s="55"/>
    </row>
    <row r="429" spans="1:21" ht="18.75" hidden="1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54"/>
      <c r="K429" s="55"/>
      <c r="L429" s="62"/>
      <c r="M429" s="55"/>
      <c r="N429" s="55"/>
      <c r="O429" s="55"/>
      <c r="P429" s="55"/>
      <c r="Q429" s="55"/>
      <c r="R429" s="55"/>
      <c r="S429" s="55"/>
      <c r="T429" s="55"/>
      <c r="U429" s="55"/>
    </row>
    <row r="430" spans="1:21" ht="18.75" hidden="1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54"/>
      <c r="K430" s="55"/>
      <c r="L430" s="62"/>
      <c r="M430" s="55"/>
      <c r="N430" s="55"/>
      <c r="O430" s="55"/>
      <c r="P430" s="55"/>
      <c r="Q430" s="55"/>
      <c r="R430" s="55"/>
      <c r="S430" s="55"/>
      <c r="T430" s="55"/>
      <c r="U430" s="55"/>
    </row>
    <row r="431" spans="1:21" ht="18.75" hidden="1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54"/>
      <c r="K431" s="55"/>
      <c r="L431" s="62"/>
      <c r="M431" s="55"/>
      <c r="N431" s="55"/>
      <c r="O431" s="55"/>
      <c r="P431" s="55"/>
      <c r="Q431" s="55"/>
      <c r="R431" s="55"/>
      <c r="S431" s="55"/>
      <c r="T431" s="55"/>
      <c r="U431" s="55"/>
    </row>
    <row r="432" spans="1:21" ht="19.5" hidden="1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373">
        <f ca="1">IFERROR(__xludf.DUMMYFUNCTION("IMPORTRANGE(""https://docs.google.com/spreadsheets/d/1eHaY18a8A9IcSdp1K8H6x8fbOy06t2VsZHhMHf-1x7Y/edit?usp=sharing"",""แผน!HJ48"")"),0)</f>
        <v>0</v>
      </c>
      <c r="J432" s="373">
        <f>J434+J436+J438</f>
        <v>0</v>
      </c>
      <c r="K432" s="540">
        <f ca="1">IF(I432&gt;0,J432*100/I432,0)</f>
        <v>0</v>
      </c>
      <c r="L432" s="62"/>
      <c r="M432" s="55"/>
      <c r="N432" s="55"/>
      <c r="O432" s="55"/>
      <c r="P432" s="55"/>
      <c r="Q432" s="55"/>
      <c r="R432" s="55"/>
      <c r="S432" s="55"/>
      <c r="T432" s="55"/>
      <c r="U432" s="55"/>
    </row>
    <row r="433" spans="1:21" ht="19.5" hidden="1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373">
        <f ca="1">IFERROR(__xludf.DUMMYFUNCTION("IMPORTRANGE(""https://docs.google.com/spreadsheets/d/1eHaY18a8A9IcSdp1K8H6x8fbOy06t2VsZHhMHf-1x7Y/edit?usp=sharing"",""แผน!HK48"")"),0)</f>
        <v>0</v>
      </c>
      <c r="J433" s="373">
        <f>J435+J437+J439</f>
        <v>0</v>
      </c>
      <c r="K433" s="540">
        <f ca="1">IF(I433&gt;0,J433*100/I433,0)</f>
        <v>0</v>
      </c>
      <c r="L433" s="62"/>
      <c r="M433" s="55"/>
      <c r="N433" s="55"/>
      <c r="O433" s="55"/>
      <c r="P433" s="55"/>
      <c r="Q433" s="55"/>
      <c r="R433" s="55"/>
      <c r="S433" s="55"/>
      <c r="T433" s="55"/>
      <c r="U433" s="55"/>
    </row>
    <row r="434" spans="1:21" ht="18.75" hidden="1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54"/>
      <c r="K434" s="55"/>
      <c r="L434" s="62"/>
      <c r="M434" s="55"/>
      <c r="N434" s="55"/>
      <c r="O434" s="55"/>
      <c r="P434" s="55"/>
      <c r="Q434" s="55"/>
      <c r="R434" s="55"/>
      <c r="S434" s="55"/>
      <c r="T434" s="55"/>
      <c r="U434" s="55"/>
    </row>
    <row r="435" spans="1:21" ht="18.75" hidden="1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54"/>
      <c r="K435" s="55"/>
      <c r="L435" s="62"/>
      <c r="M435" s="55"/>
      <c r="N435" s="55"/>
      <c r="O435" s="55"/>
      <c r="P435" s="55"/>
      <c r="Q435" s="55"/>
      <c r="R435" s="55"/>
      <c r="S435" s="55"/>
      <c r="T435" s="55"/>
      <c r="U435" s="55"/>
    </row>
    <row r="436" spans="1:21" ht="18.75" hidden="1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54"/>
      <c r="K436" s="55"/>
      <c r="L436" s="62"/>
      <c r="M436" s="55"/>
      <c r="N436" s="55"/>
      <c r="O436" s="55"/>
      <c r="P436" s="55"/>
      <c r="Q436" s="55"/>
      <c r="R436" s="55"/>
      <c r="S436" s="55"/>
      <c r="T436" s="55"/>
      <c r="U436" s="55"/>
    </row>
    <row r="437" spans="1:21" ht="18.75" hidden="1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54"/>
      <c r="K437" s="55"/>
      <c r="L437" s="62"/>
      <c r="M437" s="55"/>
      <c r="N437" s="55"/>
      <c r="O437" s="55"/>
      <c r="P437" s="55"/>
      <c r="Q437" s="55"/>
      <c r="R437" s="55"/>
      <c r="S437" s="55"/>
      <c r="T437" s="55"/>
      <c r="U437" s="55"/>
    </row>
    <row r="438" spans="1:21" ht="18.75" hidden="1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54"/>
      <c r="K438" s="55"/>
      <c r="L438" s="62"/>
      <c r="M438" s="55"/>
      <c r="N438" s="55"/>
      <c r="O438" s="55"/>
      <c r="P438" s="55"/>
      <c r="Q438" s="55"/>
      <c r="R438" s="55"/>
      <c r="S438" s="55"/>
      <c r="T438" s="55"/>
      <c r="U438" s="55"/>
    </row>
    <row r="439" spans="1:21" ht="18.75" hidden="1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54"/>
      <c r="K439" s="55"/>
      <c r="L439" s="62"/>
      <c r="M439" s="55"/>
      <c r="N439" s="55"/>
      <c r="O439" s="55"/>
      <c r="P439" s="55"/>
      <c r="Q439" s="55"/>
      <c r="R439" s="55"/>
      <c r="S439" s="55"/>
      <c r="T439" s="55"/>
      <c r="U439" s="55"/>
    </row>
    <row r="440" spans="1:21" ht="19.5" hidden="1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373">
        <f ca="1">IFERROR(__xludf.DUMMYFUNCTION("IMPORTRANGE(""https://docs.google.com/spreadsheets/d/1eHaY18a8A9IcSdp1K8H6x8fbOy06t2VsZHhMHf-1x7Y/edit?usp=sharing"",""แผน!HJ48"")"),0)</f>
        <v>0</v>
      </c>
      <c r="J440" s="373">
        <f>J442+J444+J446+J452+J454</f>
        <v>0</v>
      </c>
      <c r="K440" s="540">
        <f ca="1">IF(I440&gt;0,J440*100/I440,0)</f>
        <v>0</v>
      </c>
      <c r="L440" s="62"/>
      <c r="M440" s="55"/>
      <c r="N440" s="55"/>
      <c r="O440" s="55"/>
      <c r="P440" s="55"/>
      <c r="Q440" s="55"/>
      <c r="R440" s="55"/>
      <c r="S440" s="55"/>
      <c r="T440" s="55"/>
      <c r="U440" s="55"/>
    </row>
    <row r="441" spans="1:21" ht="19.5" hidden="1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373">
        <f ca="1">IFERROR(__xludf.DUMMYFUNCTION("IMPORTRANGE(""https://docs.google.com/spreadsheets/d/1eHaY18a8A9IcSdp1K8H6x8fbOy06t2VsZHhMHf-1x7Y/edit?usp=sharing"",""แผน!HK48"")"),0)</f>
        <v>0</v>
      </c>
      <c r="J441" s="373">
        <f>J443+J445+J447+J453+J455</f>
        <v>0</v>
      </c>
      <c r="K441" s="540">
        <f ca="1">IF(I441&gt;0,J441*100/I441,0)</f>
        <v>0</v>
      </c>
      <c r="L441" s="62"/>
      <c r="M441" s="55"/>
      <c r="N441" s="55"/>
      <c r="O441" s="55"/>
      <c r="P441" s="55"/>
      <c r="Q441" s="55"/>
      <c r="R441" s="55"/>
      <c r="S441" s="55"/>
      <c r="T441" s="55"/>
      <c r="U441" s="55"/>
    </row>
    <row r="442" spans="1:21" ht="18.75" hidden="1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54"/>
      <c r="K442" s="55"/>
      <c r="L442" s="62"/>
      <c r="M442" s="55"/>
      <c r="N442" s="55"/>
      <c r="O442" s="55"/>
      <c r="P442" s="55"/>
      <c r="Q442" s="55"/>
      <c r="R442" s="55"/>
      <c r="S442" s="55"/>
      <c r="T442" s="55"/>
      <c r="U442" s="55"/>
    </row>
    <row r="443" spans="1:21" ht="18.75" hidden="1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54"/>
      <c r="K443" s="55"/>
      <c r="L443" s="62"/>
      <c r="M443" s="55"/>
      <c r="N443" s="55"/>
      <c r="O443" s="55"/>
      <c r="P443" s="55"/>
      <c r="Q443" s="55"/>
      <c r="R443" s="55"/>
      <c r="S443" s="55"/>
      <c r="T443" s="55"/>
      <c r="U443" s="55"/>
    </row>
    <row r="444" spans="1:21" ht="18.75" hidden="1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54"/>
      <c r="K444" s="55"/>
      <c r="L444" s="62"/>
      <c r="M444" s="55"/>
      <c r="N444" s="55"/>
      <c r="O444" s="55"/>
      <c r="P444" s="55"/>
      <c r="Q444" s="55"/>
      <c r="R444" s="55"/>
      <c r="S444" s="55"/>
      <c r="T444" s="55"/>
      <c r="U444" s="55"/>
    </row>
    <row r="445" spans="1:21" ht="18.75" hidden="1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54"/>
      <c r="K445" s="55"/>
      <c r="L445" s="62"/>
      <c r="M445" s="55"/>
      <c r="N445" s="55"/>
      <c r="O445" s="55"/>
      <c r="P445" s="55"/>
      <c r="Q445" s="55"/>
      <c r="R445" s="55"/>
      <c r="S445" s="55"/>
      <c r="T445" s="55"/>
      <c r="U445" s="55"/>
    </row>
    <row r="446" spans="1:21" ht="19.5" hidden="1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373">
        <f>J448+J450</f>
        <v>0</v>
      </c>
      <c r="K446" s="55"/>
      <c r="L446" s="62"/>
      <c r="M446" s="55"/>
      <c r="N446" s="55"/>
      <c r="O446" s="55"/>
      <c r="P446" s="55"/>
      <c r="Q446" s="55"/>
      <c r="R446" s="55"/>
      <c r="S446" s="55"/>
      <c r="T446" s="55"/>
      <c r="U446" s="55"/>
    </row>
    <row r="447" spans="1:21" ht="19.5" hidden="1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373">
        <f>J449+J451</f>
        <v>0</v>
      </c>
      <c r="K447" s="55"/>
      <c r="L447" s="62"/>
      <c r="M447" s="55"/>
      <c r="N447" s="55"/>
      <c r="O447" s="55"/>
      <c r="P447" s="55"/>
      <c r="Q447" s="55"/>
      <c r="R447" s="55"/>
      <c r="S447" s="55"/>
      <c r="T447" s="55"/>
      <c r="U447" s="55"/>
    </row>
    <row r="448" spans="1:21" ht="18.75" hidden="1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54"/>
      <c r="K448" s="55"/>
      <c r="L448" s="62"/>
      <c r="M448" s="55"/>
      <c r="N448" s="55"/>
      <c r="O448" s="55"/>
      <c r="P448" s="55"/>
      <c r="Q448" s="55"/>
      <c r="R448" s="55"/>
      <c r="S448" s="55"/>
      <c r="T448" s="55"/>
      <c r="U448" s="55"/>
    </row>
    <row r="449" spans="1:21" ht="18.75" hidden="1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54"/>
      <c r="K449" s="55"/>
      <c r="L449" s="62"/>
      <c r="M449" s="55"/>
      <c r="N449" s="55"/>
      <c r="O449" s="55"/>
      <c r="P449" s="55"/>
      <c r="Q449" s="55"/>
      <c r="R449" s="55"/>
      <c r="S449" s="55"/>
      <c r="T449" s="55"/>
      <c r="U449" s="55"/>
    </row>
    <row r="450" spans="1:21" ht="18.75" hidden="1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54"/>
      <c r="K450" s="55"/>
      <c r="L450" s="62"/>
      <c r="M450" s="55"/>
      <c r="N450" s="55"/>
      <c r="O450" s="55"/>
      <c r="P450" s="55"/>
      <c r="Q450" s="55"/>
      <c r="R450" s="55"/>
      <c r="S450" s="55"/>
      <c r="T450" s="55"/>
      <c r="U450" s="55"/>
    </row>
    <row r="451" spans="1:21" ht="18.75" hidden="1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54"/>
      <c r="K451" s="55"/>
      <c r="L451" s="62"/>
      <c r="M451" s="55"/>
      <c r="N451" s="55"/>
      <c r="O451" s="55"/>
      <c r="P451" s="55"/>
      <c r="Q451" s="55"/>
      <c r="R451" s="55"/>
      <c r="S451" s="55"/>
      <c r="T451" s="55"/>
      <c r="U451" s="55"/>
    </row>
    <row r="452" spans="1:21" ht="18.75" hidden="1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54"/>
      <c r="K452" s="55"/>
      <c r="L452" s="62"/>
      <c r="M452" s="55"/>
      <c r="N452" s="55"/>
      <c r="O452" s="55"/>
      <c r="P452" s="55"/>
      <c r="Q452" s="55"/>
      <c r="R452" s="55"/>
      <c r="S452" s="55"/>
      <c r="T452" s="55"/>
      <c r="U452" s="55"/>
    </row>
    <row r="453" spans="1:21" ht="18.75" hidden="1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54"/>
      <c r="K453" s="55"/>
      <c r="L453" s="62"/>
      <c r="M453" s="55"/>
      <c r="N453" s="55"/>
      <c r="O453" s="55"/>
      <c r="P453" s="55"/>
      <c r="Q453" s="55"/>
      <c r="R453" s="55"/>
      <c r="S453" s="55"/>
      <c r="T453" s="55"/>
      <c r="U453" s="55"/>
    </row>
    <row r="454" spans="1:21" ht="18.75" hidden="1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606"/>
      <c r="K454" s="55"/>
      <c r="L454" s="62"/>
      <c r="M454" s="55"/>
      <c r="N454" s="55"/>
      <c r="O454" s="55"/>
      <c r="P454" s="55"/>
      <c r="Q454" s="55"/>
      <c r="R454" s="55"/>
      <c r="S454" s="55"/>
      <c r="T454" s="55"/>
      <c r="U454" s="55"/>
    </row>
    <row r="455" spans="1:21" ht="18.75" hidden="1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54"/>
      <c r="K455" s="55"/>
      <c r="L455" s="62"/>
      <c r="M455" s="55"/>
      <c r="N455" s="55"/>
      <c r="O455" s="55"/>
      <c r="P455" s="55"/>
      <c r="Q455" s="55"/>
      <c r="R455" s="55"/>
      <c r="S455" s="55"/>
      <c r="T455" s="55"/>
      <c r="U455" s="55"/>
    </row>
    <row r="456" spans="1:21" ht="19.5" hidden="1">
      <c r="A456" s="238"/>
      <c r="B456" s="191" t="s">
        <v>178</v>
      </c>
      <c r="C456" s="188"/>
      <c r="D456" s="188"/>
      <c r="E456" s="188"/>
      <c r="F456" s="188"/>
      <c r="G456" s="208"/>
      <c r="H456" s="368" t="s">
        <v>46</v>
      </c>
      <c r="I456" s="373">
        <f ca="1">I457</f>
        <v>0</v>
      </c>
      <c r="J456" s="373">
        <f>J457</f>
        <v>0</v>
      </c>
      <c r="K456" s="540">
        <f ca="1">IF(I456&gt;0,J456*100/I456,0)</f>
        <v>0</v>
      </c>
      <c r="L456" s="62"/>
      <c r="M456" s="55"/>
      <c r="N456" s="55"/>
      <c r="O456" s="55"/>
      <c r="P456" s="55"/>
      <c r="Q456" s="55"/>
      <c r="R456" s="55"/>
      <c r="S456" s="55"/>
      <c r="T456" s="55"/>
      <c r="U456" s="55"/>
    </row>
    <row r="457" spans="1:21" ht="19.5" hidden="1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373">
        <f ca="1">IFERROR(__xludf.DUMMYFUNCTION("IMPORTRANGE(""https://docs.google.com/spreadsheets/d/1eHaY18a8A9IcSdp1K8H6x8fbOy06t2VsZHhMHf-1x7Y/edit?usp=sharing"",""แผน!HL48"")"),0)</f>
        <v>0</v>
      </c>
      <c r="J457" s="373">
        <f>J459+J467+J473</f>
        <v>0</v>
      </c>
      <c r="K457" s="540">
        <f ca="1">IF(I457&gt;0,J457*100/I457,0)</f>
        <v>0</v>
      </c>
      <c r="L457" s="62"/>
      <c r="M457" s="55"/>
      <c r="N457" s="55"/>
      <c r="O457" s="55"/>
      <c r="P457" s="55"/>
      <c r="Q457" s="55"/>
      <c r="R457" s="55"/>
      <c r="S457" s="55"/>
      <c r="T457" s="55"/>
      <c r="U457" s="55"/>
    </row>
    <row r="458" spans="1:21" ht="19.5" hidden="1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373">
        <f ca="1">IFERROR(__xludf.DUMMYFUNCTION("IMPORTRANGE(""https://docs.google.com/spreadsheets/d/1eHaY18a8A9IcSdp1K8H6x8fbOy06t2VsZHhMHf-1x7Y/edit?usp=sharing"",""แผน!HM48"")"),0)</f>
        <v>0</v>
      </c>
      <c r="J458" s="373">
        <f>J460+J468+J474</f>
        <v>0</v>
      </c>
      <c r="K458" s="540">
        <f ca="1">IF(I458&gt;0,J458*100/I458,0)</f>
        <v>0</v>
      </c>
      <c r="L458" s="62"/>
      <c r="M458" s="55"/>
      <c r="N458" s="55"/>
      <c r="O458" s="55"/>
      <c r="P458" s="55"/>
      <c r="Q458" s="55"/>
      <c r="R458" s="55"/>
      <c r="S458" s="55"/>
      <c r="T458" s="55"/>
      <c r="U458" s="55"/>
    </row>
    <row r="459" spans="1:21" ht="18.75" hidden="1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212">
        <f>J461+J463</f>
        <v>0</v>
      </c>
      <c r="K459" s="55"/>
      <c r="L459" s="62"/>
      <c r="M459" s="55"/>
      <c r="N459" s="55"/>
      <c r="O459" s="55"/>
      <c r="P459" s="55"/>
      <c r="Q459" s="55"/>
      <c r="R459" s="55"/>
      <c r="S459" s="55"/>
      <c r="T459" s="55"/>
      <c r="U459" s="55"/>
    </row>
    <row r="460" spans="1:21" ht="18.75" hidden="1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212">
        <f>J462+J464</f>
        <v>0</v>
      </c>
      <c r="K460" s="55"/>
      <c r="L460" s="62"/>
      <c r="M460" s="55"/>
      <c r="N460" s="55"/>
      <c r="O460" s="55"/>
      <c r="P460" s="55"/>
      <c r="Q460" s="55"/>
      <c r="R460" s="55"/>
      <c r="S460" s="55"/>
      <c r="T460" s="55"/>
      <c r="U460" s="55"/>
    </row>
    <row r="461" spans="1:21" ht="18.75" hidden="1">
      <c r="A461" s="238"/>
      <c r="B461" s="188"/>
      <c r="C461" s="188"/>
      <c r="D461" s="371" t="s">
        <v>181</v>
      </c>
      <c r="E461" s="188"/>
      <c r="F461" s="188"/>
      <c r="G461" s="208"/>
      <c r="H461" s="161" t="s">
        <v>46</v>
      </c>
      <c r="I461" s="54"/>
      <c r="J461" s="54"/>
      <c r="K461" s="55"/>
      <c r="L461" s="62"/>
      <c r="M461" s="55"/>
      <c r="N461" s="55"/>
      <c r="O461" s="55"/>
      <c r="P461" s="55"/>
      <c r="Q461" s="55"/>
      <c r="R461" s="55"/>
      <c r="S461" s="55"/>
      <c r="T461" s="55"/>
      <c r="U461" s="55"/>
    </row>
    <row r="462" spans="1:21" ht="18.75" hidden="1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54"/>
      <c r="K462" s="55"/>
      <c r="L462" s="62"/>
      <c r="M462" s="55"/>
      <c r="N462" s="55"/>
      <c r="O462" s="55"/>
      <c r="P462" s="55"/>
      <c r="Q462" s="55"/>
      <c r="R462" s="55"/>
      <c r="S462" s="55"/>
      <c r="T462" s="55"/>
      <c r="U462" s="55"/>
    </row>
    <row r="463" spans="1:21" ht="18.75" hidden="1">
      <c r="A463" s="238"/>
      <c r="B463" s="188"/>
      <c r="C463" s="188"/>
      <c r="D463" s="371" t="s">
        <v>182</v>
      </c>
      <c r="E463" s="188"/>
      <c r="F463" s="188"/>
      <c r="G463" s="208"/>
      <c r="H463" s="161" t="s">
        <v>46</v>
      </c>
      <c r="I463" s="54"/>
      <c r="J463" s="54"/>
      <c r="K463" s="55"/>
      <c r="L463" s="62"/>
      <c r="M463" s="55"/>
      <c r="N463" s="55"/>
      <c r="O463" s="55"/>
      <c r="P463" s="55"/>
      <c r="Q463" s="55"/>
      <c r="R463" s="55"/>
      <c r="S463" s="55"/>
      <c r="T463" s="55"/>
      <c r="U463" s="55"/>
    </row>
    <row r="464" spans="1:21" ht="18.75" hidden="1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54"/>
      <c r="K464" s="55"/>
      <c r="L464" s="62"/>
      <c r="M464" s="55"/>
      <c r="N464" s="55"/>
      <c r="O464" s="55"/>
      <c r="P464" s="55"/>
      <c r="Q464" s="55"/>
      <c r="R464" s="55"/>
      <c r="S464" s="55"/>
      <c r="T464" s="55"/>
      <c r="U464" s="55"/>
    </row>
    <row r="465" spans="1:21" ht="18.75" hidden="1">
      <c r="A465" s="238"/>
      <c r="B465" s="188"/>
      <c r="C465" s="188"/>
      <c r="D465" s="371" t="s">
        <v>183</v>
      </c>
      <c r="E465" s="188"/>
      <c r="F465" s="188"/>
      <c r="G465" s="208"/>
      <c r="H465" s="161" t="s">
        <v>46</v>
      </c>
      <c r="I465" s="54"/>
      <c r="J465" s="54"/>
      <c r="K465" s="55"/>
      <c r="L465" s="62"/>
      <c r="M465" s="55"/>
      <c r="N465" s="55"/>
      <c r="O465" s="55"/>
      <c r="P465" s="55"/>
      <c r="Q465" s="55"/>
      <c r="R465" s="55"/>
      <c r="S465" s="55"/>
      <c r="T465" s="55"/>
      <c r="U465" s="55"/>
    </row>
    <row r="466" spans="1:21" ht="18.75" hidden="1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54"/>
      <c r="K466" s="55"/>
      <c r="L466" s="62"/>
      <c r="M466" s="55"/>
      <c r="N466" s="55"/>
      <c r="O466" s="55"/>
      <c r="P466" s="55"/>
      <c r="Q466" s="55"/>
      <c r="R466" s="55"/>
      <c r="S466" s="55"/>
      <c r="T466" s="55"/>
      <c r="U466" s="55"/>
    </row>
    <row r="467" spans="1:21" ht="18.75" hidden="1">
      <c r="A467" s="238"/>
      <c r="B467" s="188"/>
      <c r="C467" s="371" t="s">
        <v>184</v>
      </c>
      <c r="D467" s="188"/>
      <c r="E467" s="188"/>
      <c r="F467" s="188"/>
      <c r="G467" s="208"/>
      <c r="H467" s="161" t="s">
        <v>46</v>
      </c>
      <c r="I467" s="54"/>
      <c r="J467" s="212">
        <f>J469+J471</f>
        <v>0</v>
      </c>
      <c r="K467" s="55"/>
      <c r="L467" s="62"/>
      <c r="M467" s="55"/>
      <c r="N467" s="55"/>
      <c r="O467" s="55"/>
      <c r="P467" s="55"/>
      <c r="Q467" s="55"/>
      <c r="R467" s="55"/>
      <c r="S467" s="55"/>
      <c r="T467" s="55"/>
      <c r="U467" s="55"/>
    </row>
    <row r="468" spans="1:21" ht="18.75" hidden="1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212">
        <f>J470+J472</f>
        <v>0</v>
      </c>
      <c r="K468" s="55"/>
      <c r="L468" s="62"/>
      <c r="M468" s="55"/>
      <c r="N468" s="55"/>
      <c r="O468" s="55"/>
      <c r="P468" s="55"/>
      <c r="Q468" s="55"/>
      <c r="R468" s="55"/>
      <c r="S468" s="55"/>
      <c r="T468" s="55"/>
      <c r="U468" s="55"/>
    </row>
    <row r="469" spans="1:21" ht="18.75" hidden="1">
      <c r="A469" s="238"/>
      <c r="B469" s="188"/>
      <c r="C469" s="188"/>
      <c r="D469" s="371" t="s">
        <v>185</v>
      </c>
      <c r="E469" s="188"/>
      <c r="F469" s="188"/>
      <c r="G469" s="208"/>
      <c r="H469" s="161" t="s">
        <v>46</v>
      </c>
      <c r="I469" s="54"/>
      <c r="J469" s="54"/>
      <c r="K469" s="55"/>
      <c r="L469" s="62"/>
      <c r="M469" s="55"/>
      <c r="N469" s="55"/>
      <c r="O469" s="55"/>
      <c r="P469" s="55"/>
      <c r="Q469" s="55"/>
      <c r="R469" s="55"/>
      <c r="S469" s="55"/>
      <c r="T469" s="55"/>
      <c r="U469" s="55"/>
    </row>
    <row r="470" spans="1:21" ht="18.75" hidden="1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54"/>
      <c r="K470" s="55"/>
      <c r="L470" s="62"/>
      <c r="M470" s="55"/>
      <c r="N470" s="55"/>
      <c r="O470" s="55"/>
      <c r="P470" s="55"/>
      <c r="Q470" s="55"/>
      <c r="R470" s="55"/>
      <c r="S470" s="55"/>
      <c r="T470" s="55"/>
      <c r="U470" s="55"/>
    </row>
    <row r="471" spans="1:21" ht="18.75" hidden="1">
      <c r="A471" s="238"/>
      <c r="B471" s="188"/>
      <c r="C471" s="188"/>
      <c r="D471" s="371" t="s">
        <v>186</v>
      </c>
      <c r="E471" s="188"/>
      <c r="F471" s="188"/>
      <c r="G471" s="208"/>
      <c r="H471" s="161" t="s">
        <v>46</v>
      </c>
      <c r="I471" s="54"/>
      <c r="J471" s="54"/>
      <c r="K471" s="55"/>
      <c r="L471" s="62"/>
      <c r="M471" s="55"/>
      <c r="N471" s="55"/>
      <c r="O471" s="55"/>
      <c r="P471" s="55"/>
      <c r="Q471" s="55"/>
      <c r="R471" s="55"/>
      <c r="S471" s="55"/>
      <c r="T471" s="55"/>
      <c r="U471" s="55"/>
    </row>
    <row r="472" spans="1:21" ht="18.75" hidden="1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54"/>
      <c r="K472" s="55"/>
      <c r="L472" s="62"/>
      <c r="M472" s="55"/>
      <c r="N472" s="55"/>
      <c r="O472" s="55"/>
      <c r="P472" s="55"/>
      <c r="Q472" s="55"/>
      <c r="R472" s="55"/>
      <c r="S472" s="55"/>
      <c r="T472" s="55"/>
      <c r="U472" s="55"/>
    </row>
    <row r="473" spans="1:21" ht="18.75" hidden="1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54"/>
      <c r="K473" s="55"/>
      <c r="L473" s="62"/>
      <c r="M473" s="55"/>
      <c r="N473" s="55"/>
      <c r="O473" s="55"/>
      <c r="P473" s="55"/>
      <c r="Q473" s="55"/>
      <c r="R473" s="55"/>
      <c r="S473" s="55"/>
      <c r="T473" s="55"/>
      <c r="U473" s="55"/>
    </row>
    <row r="474" spans="1:21" ht="18.75" hidden="1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54"/>
      <c r="K474" s="55"/>
      <c r="L474" s="62"/>
      <c r="M474" s="55"/>
      <c r="N474" s="55"/>
      <c r="O474" s="55"/>
      <c r="P474" s="55"/>
      <c r="Q474" s="55"/>
      <c r="R474" s="55"/>
      <c r="S474" s="55"/>
      <c r="T474" s="55"/>
      <c r="U474" s="55"/>
    </row>
    <row r="475" spans="1:21" ht="19.5" hidden="1">
      <c r="A475" s="238"/>
      <c r="B475" s="372" t="s">
        <v>188</v>
      </c>
      <c r="C475" s="188"/>
      <c r="D475" s="188"/>
      <c r="E475" s="188"/>
      <c r="F475" s="188"/>
      <c r="G475" s="208"/>
      <c r="H475" s="158" t="s">
        <v>46</v>
      </c>
      <c r="I475" s="373">
        <v>0</v>
      </c>
      <c r="J475" s="373">
        <f>J478+J480</f>
        <v>0</v>
      </c>
      <c r="K475" s="540">
        <f>IF(I475&gt;0,J475*100/I475,0)</f>
        <v>0</v>
      </c>
      <c r="L475" s="62"/>
      <c r="M475" s="55"/>
      <c r="N475" s="55"/>
      <c r="O475" s="55"/>
      <c r="P475" s="55"/>
      <c r="Q475" s="55"/>
      <c r="R475" s="55"/>
      <c r="S475" s="55"/>
      <c r="T475" s="55"/>
      <c r="U475" s="55"/>
    </row>
    <row r="476" spans="1:21" ht="19.5" hidden="1">
      <c r="A476" s="238"/>
      <c r="B476" s="188"/>
      <c r="C476" s="191" t="s">
        <v>189</v>
      </c>
      <c r="D476" s="188"/>
      <c r="E476" s="188"/>
      <c r="F476" s="188"/>
      <c r="G476" s="208"/>
      <c r="H476" s="158" t="s">
        <v>46</v>
      </c>
      <c r="I476" s="373">
        <v>0</v>
      </c>
      <c r="J476" s="373">
        <f>J478+J480</f>
        <v>0</v>
      </c>
      <c r="K476" s="540">
        <f>IF(I476&gt;0,J476*100/I476,0)</f>
        <v>0</v>
      </c>
      <c r="L476" s="62"/>
      <c r="M476" s="55"/>
      <c r="N476" s="55"/>
      <c r="O476" s="55"/>
      <c r="P476" s="55"/>
      <c r="Q476" s="55"/>
      <c r="R476" s="55"/>
      <c r="S476" s="55"/>
      <c r="T476" s="55"/>
      <c r="U476" s="55"/>
    </row>
    <row r="477" spans="1:21" ht="19.5" hidden="1">
      <c r="A477" s="238"/>
      <c r="B477" s="188"/>
      <c r="C477" s="239" t="s">
        <v>190</v>
      </c>
      <c r="D477" s="188"/>
      <c r="E477" s="188"/>
      <c r="F477" s="188"/>
      <c r="G477" s="208"/>
      <c r="H477" s="158" t="s">
        <v>34</v>
      </c>
      <c r="I477" s="373">
        <v>0</v>
      </c>
      <c r="J477" s="373">
        <f>J479+J481</f>
        <v>0</v>
      </c>
      <c r="K477" s="540">
        <f>IF(I477&gt;0,J477*100/I477,0)</f>
        <v>0</v>
      </c>
      <c r="L477" s="62"/>
      <c r="M477" s="55"/>
      <c r="N477" s="55"/>
      <c r="O477" s="55"/>
      <c r="P477" s="55"/>
      <c r="Q477" s="55"/>
      <c r="R477" s="55"/>
      <c r="S477" s="55"/>
      <c r="T477" s="55"/>
      <c r="U477" s="55"/>
    </row>
    <row r="478" spans="1:21" ht="18.75" hidden="1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54"/>
      <c r="K478" s="55"/>
      <c r="L478" s="62"/>
      <c r="M478" s="55"/>
      <c r="N478" s="55"/>
      <c r="O478" s="55"/>
      <c r="P478" s="55"/>
      <c r="Q478" s="55"/>
      <c r="R478" s="55"/>
      <c r="S478" s="55"/>
      <c r="T478" s="55"/>
      <c r="U478" s="55"/>
    </row>
    <row r="479" spans="1:21" ht="18.75" hidden="1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54"/>
      <c r="K479" s="55"/>
      <c r="L479" s="62"/>
      <c r="M479" s="55"/>
      <c r="N479" s="55"/>
      <c r="O479" s="55"/>
      <c r="P479" s="55"/>
      <c r="Q479" s="55"/>
      <c r="R479" s="55"/>
      <c r="S479" s="55"/>
      <c r="T479" s="55"/>
      <c r="U479" s="55"/>
    </row>
    <row r="480" spans="1:21" ht="18.75" hidden="1">
      <c r="A480" s="238"/>
      <c r="B480" s="188"/>
      <c r="C480" s="188"/>
      <c r="D480" s="371" t="s">
        <v>192</v>
      </c>
      <c r="E480" s="188"/>
      <c r="F480" s="188"/>
      <c r="G480" s="208"/>
      <c r="H480" s="161" t="s">
        <v>46</v>
      </c>
      <c r="I480" s="54"/>
      <c r="J480" s="54"/>
      <c r="K480" s="55"/>
      <c r="L480" s="62"/>
      <c r="M480" s="55"/>
      <c r="N480" s="55"/>
      <c r="O480" s="55"/>
      <c r="P480" s="55"/>
      <c r="Q480" s="55"/>
      <c r="R480" s="55"/>
      <c r="S480" s="55"/>
      <c r="T480" s="55"/>
      <c r="U480" s="55"/>
    </row>
    <row r="481" spans="1:21" ht="18.75" hidden="1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54"/>
      <c r="K481" s="55"/>
      <c r="L481" s="62"/>
      <c r="M481" s="55"/>
      <c r="N481" s="55"/>
      <c r="O481" s="55"/>
      <c r="P481" s="55"/>
      <c r="Q481" s="55"/>
      <c r="R481" s="55"/>
      <c r="S481" s="55"/>
      <c r="T481" s="55"/>
      <c r="U481" s="55"/>
    </row>
    <row r="482" spans="1:21" ht="18.75" hidden="1">
      <c r="A482" s="238"/>
      <c r="B482" s="188"/>
      <c r="C482" s="188"/>
      <c r="D482" s="371" t="s">
        <v>193</v>
      </c>
      <c r="E482" s="188"/>
      <c r="F482" s="188"/>
      <c r="G482" s="208"/>
      <c r="H482" s="161" t="s">
        <v>46</v>
      </c>
      <c r="I482" s="54"/>
      <c r="J482" s="212">
        <f ca="1">IFERROR(__xludf.DUMMYFUNCTION("IMPORTRANGE(""https://docs.google.com/spreadsheets/d/1eHaY18a8A9IcSdp1K8H6x8fbOy06t2VsZHhMHf-1x7Y/edit?usp=sharing"",""แผน!HN48"")"),0)</f>
        <v>0</v>
      </c>
      <c r="K482" s="55"/>
      <c r="L482" s="62"/>
      <c r="M482" s="55"/>
      <c r="N482" s="55"/>
      <c r="O482" s="55"/>
      <c r="P482" s="55"/>
      <c r="Q482" s="55"/>
      <c r="R482" s="55"/>
      <c r="S482" s="55"/>
      <c r="T482" s="55"/>
      <c r="U482" s="55"/>
    </row>
    <row r="483" spans="1:21" ht="18.75" hidden="1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212">
        <f ca="1">IFERROR(__xludf.DUMMYFUNCTION("IMPORTRANGE(""https://docs.google.com/spreadsheets/d/1eHaY18a8A9IcSdp1K8H6x8fbOy06t2VsZHhMHf-1x7Y/edit?usp=sharing"",""แผน!HO48"")"),0)</f>
        <v>0</v>
      </c>
      <c r="K483" s="55"/>
      <c r="L483" s="62"/>
      <c r="M483" s="55"/>
      <c r="N483" s="55"/>
      <c r="O483" s="55"/>
      <c r="P483" s="55"/>
      <c r="Q483" s="55"/>
      <c r="R483" s="55"/>
      <c r="S483" s="55"/>
      <c r="T483" s="55"/>
      <c r="U483" s="55"/>
    </row>
    <row r="484" spans="1:21" ht="19.5" hidden="1">
      <c r="A484" s="238"/>
      <c r="B484" s="188"/>
      <c r="C484" s="191" t="s">
        <v>194</v>
      </c>
      <c r="D484" s="188"/>
      <c r="E484" s="188"/>
      <c r="F484" s="188"/>
      <c r="G484" s="208"/>
      <c r="H484" s="158" t="s">
        <v>46</v>
      </c>
      <c r="I484" s="54">
        <f>J480</f>
        <v>0</v>
      </c>
      <c r="J484" s="373">
        <f>J486+J488+J490</f>
        <v>0</v>
      </c>
      <c r="K484" s="540">
        <f>IF(I484&gt;0,J484*100/I484,0)</f>
        <v>0</v>
      </c>
      <c r="L484" s="62"/>
      <c r="M484" s="55"/>
      <c r="N484" s="55"/>
      <c r="O484" s="55"/>
      <c r="P484" s="55"/>
      <c r="Q484" s="55"/>
      <c r="R484" s="55"/>
      <c r="S484" s="55"/>
      <c r="T484" s="55"/>
      <c r="U484" s="55"/>
    </row>
    <row r="485" spans="1:21" ht="19.5" hidden="1">
      <c r="A485" s="238"/>
      <c r="B485" s="188"/>
      <c r="C485" s="239" t="s">
        <v>195</v>
      </c>
      <c r="D485" s="188"/>
      <c r="E485" s="188"/>
      <c r="F485" s="188"/>
      <c r="G485" s="208"/>
      <c r="H485" s="158" t="s">
        <v>34</v>
      </c>
      <c r="I485" s="54">
        <f>J481</f>
        <v>0</v>
      </c>
      <c r="J485" s="373">
        <f>J487+J489+J491</f>
        <v>0</v>
      </c>
      <c r="K485" s="540">
        <f>IF(I485&gt;0,J485*100/I485,0)</f>
        <v>0</v>
      </c>
      <c r="L485" s="62"/>
      <c r="M485" s="55"/>
      <c r="N485" s="55"/>
      <c r="O485" s="55"/>
      <c r="P485" s="55"/>
      <c r="Q485" s="55"/>
      <c r="R485" s="55"/>
      <c r="S485" s="55"/>
      <c r="T485" s="55"/>
      <c r="U485" s="55"/>
    </row>
    <row r="486" spans="1:21" ht="18.75" hidden="1">
      <c r="A486" s="238"/>
      <c r="B486" s="188"/>
      <c r="C486" s="188"/>
      <c r="D486" s="371" t="s">
        <v>196</v>
      </c>
      <c r="E486" s="188"/>
      <c r="F486" s="188"/>
      <c r="G486" s="208"/>
      <c r="H486" s="161" t="s">
        <v>46</v>
      </c>
      <c r="I486" s="54"/>
      <c r="J486" s="54"/>
      <c r="K486" s="55"/>
      <c r="L486" s="62"/>
      <c r="M486" s="55"/>
      <c r="N486" s="55"/>
      <c r="O486" s="55"/>
      <c r="P486" s="55"/>
      <c r="Q486" s="55"/>
      <c r="R486" s="55"/>
      <c r="S486" s="55"/>
      <c r="T486" s="55"/>
      <c r="U486" s="55"/>
    </row>
    <row r="487" spans="1:21" ht="18.75" hidden="1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54"/>
      <c r="K487" s="55"/>
      <c r="L487" s="62"/>
      <c r="M487" s="55"/>
      <c r="N487" s="55"/>
      <c r="O487" s="55"/>
      <c r="P487" s="55"/>
      <c r="Q487" s="55"/>
      <c r="R487" s="55"/>
      <c r="S487" s="55"/>
      <c r="T487" s="55"/>
      <c r="U487" s="55"/>
    </row>
    <row r="488" spans="1:21" ht="18.75" hidden="1">
      <c r="A488" s="238"/>
      <c r="B488" s="188"/>
      <c r="C488" s="188"/>
      <c r="D488" s="371" t="s">
        <v>197</v>
      </c>
      <c r="E488" s="188"/>
      <c r="F488" s="188"/>
      <c r="G488" s="208"/>
      <c r="H488" s="161" t="s">
        <v>46</v>
      </c>
      <c r="I488" s="54"/>
      <c r="J488" s="54"/>
      <c r="K488" s="55"/>
      <c r="L488" s="62"/>
      <c r="M488" s="55"/>
      <c r="N488" s="55"/>
      <c r="O488" s="55"/>
      <c r="P488" s="55"/>
      <c r="Q488" s="55"/>
      <c r="R488" s="55"/>
      <c r="S488" s="55"/>
      <c r="T488" s="55"/>
      <c r="U488" s="55"/>
    </row>
    <row r="489" spans="1:21" ht="18.75" hidden="1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54"/>
      <c r="K489" s="55"/>
      <c r="L489" s="62"/>
      <c r="M489" s="55"/>
      <c r="N489" s="55"/>
      <c r="O489" s="55"/>
      <c r="P489" s="55"/>
      <c r="Q489" s="55"/>
      <c r="R489" s="55"/>
      <c r="S489" s="55"/>
      <c r="T489" s="55"/>
      <c r="U489" s="55"/>
    </row>
    <row r="490" spans="1:21" ht="18.75" hidden="1">
      <c r="A490" s="238"/>
      <c r="B490" s="188"/>
      <c r="C490" s="188"/>
      <c r="D490" s="371" t="s">
        <v>198</v>
      </c>
      <c r="E490" s="188"/>
      <c r="F490" s="188"/>
      <c r="G490" s="208"/>
      <c r="H490" s="161" t="s">
        <v>46</v>
      </c>
      <c r="I490" s="54"/>
      <c r="J490" s="54"/>
      <c r="K490" s="55"/>
      <c r="L490" s="62"/>
      <c r="M490" s="55"/>
      <c r="N490" s="55"/>
      <c r="O490" s="55"/>
      <c r="P490" s="55"/>
      <c r="Q490" s="55"/>
      <c r="R490" s="55"/>
      <c r="S490" s="55"/>
      <c r="T490" s="55"/>
      <c r="U490" s="55"/>
    </row>
    <row r="491" spans="1:21" ht="18.75" hidden="1">
      <c r="A491" s="374"/>
      <c r="B491" s="5"/>
      <c r="C491" s="5"/>
      <c r="D491" s="5"/>
      <c r="E491" s="5"/>
      <c r="F491" s="5"/>
      <c r="G491" s="375"/>
      <c r="H491" s="376" t="s">
        <v>34</v>
      </c>
      <c r="I491" s="67"/>
      <c r="J491" s="67"/>
      <c r="K491" s="6"/>
      <c r="L491" s="68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 hidden="1">
      <c r="A492" s="335"/>
      <c r="B492" s="354" t="s">
        <v>199</v>
      </c>
      <c r="C492" s="337"/>
      <c r="D492" s="337"/>
      <c r="E492" s="328"/>
      <c r="F492" s="328"/>
      <c r="G492" s="329"/>
      <c r="H492" s="366" t="s">
        <v>35</v>
      </c>
      <c r="I492" s="605">
        <f ca="1">I503</f>
        <v>0</v>
      </c>
      <c r="J492" s="605">
        <f ca="1">J503</f>
        <v>0</v>
      </c>
      <c r="K492" s="604">
        <f ca="1">IF(I492&gt;0,J492*100/I492,0)</f>
        <v>0</v>
      </c>
      <c r="L492" s="334"/>
      <c r="M492" s="333"/>
      <c r="N492" s="333"/>
      <c r="O492" s="333"/>
      <c r="P492" s="333"/>
      <c r="Q492" s="333"/>
      <c r="R492" s="333"/>
      <c r="S492" s="333"/>
      <c r="T492" s="333"/>
      <c r="U492" s="333"/>
    </row>
    <row r="493" spans="1:21" ht="19.5" hidden="1">
      <c r="A493" s="155"/>
      <c r="B493" s="188"/>
      <c r="C493" s="205" t="s">
        <v>18</v>
      </c>
      <c r="D493" s="603" t="s">
        <v>19</v>
      </c>
      <c r="E493" s="514"/>
      <c r="F493" s="514"/>
      <c r="G493" s="52"/>
      <c r="H493" s="252" t="s">
        <v>14</v>
      </c>
      <c r="I493" s="54"/>
      <c r="J493" s="54"/>
      <c r="K493" s="55"/>
      <c r="L493" s="541">
        <f>L494+L495</f>
        <v>0</v>
      </c>
      <c r="M493" s="540">
        <f>M494+M495</f>
        <v>0</v>
      </c>
      <c r="N493" s="540">
        <f>N494+N495</f>
        <v>0</v>
      </c>
      <c r="O493" s="540">
        <f>IF(L493&gt;0,N493*100/L493,0)</f>
        <v>0</v>
      </c>
      <c r="P493" s="540">
        <f>IF(M493&gt;0,N493*100/M493,0)</f>
        <v>0</v>
      </c>
      <c r="Q493" s="540">
        <f ca="1">Q494+Q495</f>
        <v>0</v>
      </c>
      <c r="R493" s="540">
        <f ca="1">R494+R495</f>
        <v>0</v>
      </c>
      <c r="S493" s="540">
        <f ca="1">S494+S495</f>
        <v>0</v>
      </c>
      <c r="T493" s="540">
        <f ca="1">IF(Q493&gt;0,S493*100/Q493,0)</f>
        <v>0</v>
      </c>
      <c r="U493" s="540">
        <f ca="1">IF(R493&gt;0,S493*100/R493,0)</f>
        <v>0</v>
      </c>
    </row>
    <row r="494" spans="1:21" ht="18.75" hidden="1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103">
        <f>L497+L500</f>
        <v>0</v>
      </c>
      <c r="M494" s="102">
        <f>M497+M500</f>
        <v>0</v>
      </c>
      <c r="N494" s="102">
        <f>N497+N500</f>
        <v>0</v>
      </c>
      <c r="O494" s="102">
        <f>IF(L494&gt;0,N494*100/L494,0)</f>
        <v>0</v>
      </c>
      <c r="P494" s="102">
        <f>IF(M494&gt;0,N494*100/M494,0)</f>
        <v>0</v>
      </c>
      <c r="Q494" s="102">
        <f>Q497+Q500</f>
        <v>0</v>
      </c>
      <c r="R494" s="102">
        <f>R497+R500</f>
        <v>0</v>
      </c>
      <c r="S494" s="102">
        <f>S497+S500</f>
        <v>0</v>
      </c>
      <c r="T494" s="102">
        <f>IF(Q494&gt;0,S494*100/Q494,0)</f>
        <v>0</v>
      </c>
      <c r="U494" s="102">
        <f>IF(R494&gt;0,S494*100/R494,0)</f>
        <v>0</v>
      </c>
    </row>
    <row r="495" spans="1:21" ht="18.75" hidden="1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256">
        <f>L498+L501</f>
        <v>0</v>
      </c>
      <c r="M495" s="255">
        <f>M498+M501</f>
        <v>0</v>
      </c>
      <c r="N495" s="255">
        <f>N498+N501</f>
        <v>0</v>
      </c>
      <c r="O495" s="255">
        <f>IF(L495&gt;0,N495*100/L495,0)</f>
        <v>0</v>
      </c>
      <c r="P495" s="255">
        <f>IF(M495&gt;0,N495*100/M495,0)</f>
        <v>0</v>
      </c>
      <c r="Q495" s="255">
        <f ca="1">Q498+Q501</f>
        <v>0</v>
      </c>
      <c r="R495" s="255">
        <f ca="1">R498+R501</f>
        <v>0</v>
      </c>
      <c r="S495" s="255">
        <f ca="1">S498+S501</f>
        <v>0</v>
      </c>
      <c r="T495" s="255">
        <f ca="1">IF(Q495&gt;0,S495*100/Q495,0)</f>
        <v>0</v>
      </c>
      <c r="U495" s="255">
        <f ca="1">IF(R495&gt;0,S495*100/R495,0)</f>
        <v>0</v>
      </c>
    </row>
    <row r="496" spans="1:21" ht="18.75" hidden="1">
      <c r="A496" s="155"/>
      <c r="B496" s="188"/>
      <c r="C496" s="188"/>
      <c r="D496" s="602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256">
        <f>L497+L498</f>
        <v>0</v>
      </c>
      <c r="M496" s="255">
        <f>M497+M498</f>
        <v>0</v>
      </c>
      <c r="N496" s="255">
        <f>N497+N498</f>
        <v>0</v>
      </c>
      <c r="O496" s="255">
        <f>IF(L496&gt;0,N496*100/L496,0)</f>
        <v>0</v>
      </c>
      <c r="P496" s="255">
        <f>IF(M496&gt;0,N496*100/M496,0)</f>
        <v>0</v>
      </c>
      <c r="Q496" s="255">
        <f ca="1">Q497+Q498</f>
        <v>0</v>
      </c>
      <c r="R496" s="255">
        <f ca="1">R497+R498</f>
        <v>0</v>
      </c>
      <c r="S496" s="255">
        <f ca="1">S497+S498</f>
        <v>0</v>
      </c>
      <c r="T496" s="255">
        <f ca="1">IF(Q496&gt;0,S496*100/Q496,0)</f>
        <v>0</v>
      </c>
      <c r="U496" s="255">
        <f ca="1">IF(R496&gt;0,S496*100/R496,0)</f>
        <v>0</v>
      </c>
    </row>
    <row r="497" spans="1:21" ht="18.75" hidden="1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103">
        <v>0</v>
      </c>
      <c r="M497" s="102">
        <v>0</v>
      </c>
      <c r="N497" s="102">
        <v>0</v>
      </c>
      <c r="O497" s="102">
        <f>IF(L497&gt;0,N497*100/L497,0)</f>
        <v>0</v>
      </c>
      <c r="P497" s="102">
        <f>IF(M497&gt;0,N497*100/M497,0)</f>
        <v>0</v>
      </c>
      <c r="Q497" s="102">
        <v>0</v>
      </c>
      <c r="R497" s="102">
        <v>0</v>
      </c>
      <c r="S497" s="102">
        <v>0</v>
      </c>
      <c r="T497" s="102">
        <f>IF(Q497&gt;0,S497*100/Q497,0)</f>
        <v>0</v>
      </c>
      <c r="U497" s="102">
        <f>IF(R497&gt;0,S497*100/R497,0)</f>
        <v>0</v>
      </c>
    </row>
    <row r="498" spans="1:21" ht="18.75" hidden="1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256">
        <v>0</v>
      </c>
      <c r="M498" s="255">
        <v>0</v>
      </c>
      <c r="N498" s="255">
        <v>0</v>
      </c>
      <c r="O498" s="255">
        <f>IF(L498&gt;0,N498*100/L498,0)</f>
        <v>0</v>
      </c>
      <c r="P498" s="255">
        <f>IF(M498&gt;0,N498*100/M498,0)</f>
        <v>0</v>
      </c>
      <c r="Q498" s="255">
        <f ca="1">IFERROR(__xludf.DUMMYFUNCTION("IMPORTRANGE(""https://docs.google.com/spreadsheets/d/1ItG2mGa2ceCfYo0BwxsXqNm01IGEUdYcSSLTEv9YCik/edit?usp=sharing"",""เบิกจ่ายกองทุน!X48"")"),0)</f>
        <v>0</v>
      </c>
      <c r="R498" s="255">
        <f ca="1">IFERROR(__xludf.DUMMYFUNCTION("IMPORTRANGE(""https://docs.google.com/spreadsheets/d/1ItG2mGa2ceCfYo0BwxsXqNm01IGEUdYcSSLTEv9YCik/edit?usp=sharing"",""เบิกจ่ายกองทุน!Y48"")"),0)</f>
        <v>0</v>
      </c>
      <c r="S498" s="255">
        <f ca="1">IFERROR(__xludf.DUMMYFUNCTION("IMPORTRANGE(""https://docs.google.com/spreadsheets/d/1ItG2mGa2ceCfYo0BwxsXqNm01IGEUdYcSSLTEv9YCik/edit?usp=sharing"",""เบิกจ่ายกองทุน!Z48"")"),0)</f>
        <v>0</v>
      </c>
      <c r="T498" s="255">
        <f ca="1">IF(Q498&gt;0,S498*100/Q498,0)</f>
        <v>0</v>
      </c>
      <c r="U498" s="255">
        <f ca="1">IF(R498&gt;0,S498*100/R498,0)</f>
        <v>0</v>
      </c>
    </row>
    <row r="499" spans="1:21" ht="18.75" hidden="1">
      <c r="A499" s="155"/>
      <c r="B499" s="188"/>
      <c r="C499" s="188"/>
      <c r="D499" s="602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256">
        <f>L500+L501</f>
        <v>0</v>
      </c>
      <c r="M499" s="255">
        <f>M500+M501</f>
        <v>0</v>
      </c>
      <c r="N499" s="255">
        <f>N500+N501</f>
        <v>0</v>
      </c>
      <c r="O499" s="255">
        <f>IF(L499&gt;0,N499*100/L499,0)</f>
        <v>0</v>
      </c>
      <c r="P499" s="255">
        <f>IF(M499&gt;0,N499*100/M499,0)</f>
        <v>0</v>
      </c>
      <c r="Q499" s="255">
        <f>Q500+Q501</f>
        <v>0</v>
      </c>
      <c r="R499" s="255">
        <f>R500+R501</f>
        <v>0</v>
      </c>
      <c r="S499" s="255">
        <f>S500+S501</f>
        <v>0</v>
      </c>
      <c r="T499" s="255">
        <f>IF(Q499&gt;0,S499*100/Q499,0)</f>
        <v>0</v>
      </c>
      <c r="U499" s="255">
        <f>IF(R499&gt;0,S499*100/R499,0)</f>
        <v>0</v>
      </c>
    </row>
    <row r="500" spans="1:21" ht="18.75" hidden="1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103">
        <v>0</v>
      </c>
      <c r="M500" s="102">
        <v>0</v>
      </c>
      <c r="N500" s="102">
        <v>0</v>
      </c>
      <c r="O500" s="102">
        <f>IF(L500&gt;0,N500*100/L500,0)</f>
        <v>0</v>
      </c>
      <c r="P500" s="102">
        <f>IF(M500&gt;0,N500*100/M500,0)</f>
        <v>0</v>
      </c>
      <c r="Q500" s="102">
        <v>0</v>
      </c>
      <c r="R500" s="102">
        <v>0</v>
      </c>
      <c r="S500" s="102">
        <v>0</v>
      </c>
      <c r="T500" s="102">
        <f>IF(Q500&gt;0,S500*100/Q500,0)</f>
        <v>0</v>
      </c>
      <c r="U500" s="102">
        <f>IF(R500&gt;0,S500*100/R500,0)</f>
        <v>0</v>
      </c>
    </row>
    <row r="501" spans="1:21" ht="18.75" hidden="1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256">
        <v>0</v>
      </c>
      <c r="M501" s="255">
        <v>0</v>
      </c>
      <c r="N501" s="255">
        <v>0</v>
      </c>
      <c r="O501" s="255">
        <f>IF(L501&gt;0,N501*100/L501,0)</f>
        <v>0</v>
      </c>
      <c r="P501" s="255">
        <f>IF(M501&gt;0,N501*100/M501,0)</f>
        <v>0</v>
      </c>
      <c r="Q501" s="255">
        <v>0</v>
      </c>
      <c r="R501" s="255">
        <v>0</v>
      </c>
      <c r="S501" s="255">
        <v>0</v>
      </c>
      <c r="T501" s="255">
        <f>IF(Q501&gt;0,S501*100/Q501,0)</f>
        <v>0</v>
      </c>
      <c r="U501" s="255">
        <f>IF(R501&gt;0,S501*100/R501,0)</f>
        <v>0</v>
      </c>
    </row>
    <row r="502" spans="1:21" ht="19.5" hidden="1">
      <c r="A502" s="166"/>
      <c r="B502" s="167"/>
      <c r="C502" s="205" t="s">
        <v>18</v>
      </c>
      <c r="D502" s="560" t="s">
        <v>38</v>
      </c>
      <c r="E502" s="169"/>
      <c r="F502" s="169"/>
      <c r="G502" s="170"/>
      <c r="H502" s="206"/>
      <c r="I502" s="163"/>
      <c r="J502" s="163"/>
      <c r="K502" s="164"/>
      <c r="L502" s="172"/>
      <c r="M502" s="164"/>
      <c r="N502" s="164"/>
      <c r="O502" s="164"/>
      <c r="P502" s="164"/>
      <c r="Q502" s="164"/>
      <c r="R502" s="164"/>
      <c r="S502" s="164"/>
      <c r="T502" s="164"/>
      <c r="U502" s="164"/>
    </row>
    <row r="503" spans="1:21" ht="19.5" hidden="1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373">
        <f ca="1">IFERROR(__xludf.DUMMYFUNCTION("IMPORTRANGE(""https://docs.google.com/spreadsheets/d/1eHaY18a8A9IcSdp1K8H6x8fbOy06t2VsZHhMHf-1x7Y/edit?usp=sharing"",""แผน!GX48"")"),0)</f>
        <v>0</v>
      </c>
      <c r="J503" s="373">
        <f ca="1">IF(AND(J504=I504,J505=I505,J506=I506,J507=I507),I503,0)</f>
        <v>0</v>
      </c>
      <c r="K503" s="540">
        <f ca="1">IF(I503&gt;0,J503*100/I503,0)</f>
        <v>0</v>
      </c>
      <c r="L503" s="62"/>
      <c r="M503" s="55"/>
      <c r="N503" s="55"/>
      <c r="O503" s="55"/>
      <c r="P503" s="55"/>
      <c r="Q503" s="55"/>
      <c r="R503" s="55"/>
      <c r="S503" s="55"/>
      <c r="T503" s="55"/>
      <c r="U503" s="55"/>
    </row>
    <row r="504" spans="1:21" ht="18.75" hidden="1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212">
        <f ca="1">IFERROR(__xludf.DUMMYFUNCTION("IMPORTRANGE(""https://docs.google.com/spreadsheets/d/1eHaY18a8A9IcSdp1K8H6x8fbOy06t2VsZHhMHf-1x7Y/edit?usp=sharing"",""แผน!GY48"")"),0)</f>
        <v>0</v>
      </c>
      <c r="J504" s="467">
        <v>0</v>
      </c>
      <c r="K504" s="255">
        <f ca="1">IF(I504&gt;0,J504*100/I504,0)</f>
        <v>0</v>
      </c>
      <c r="L504" s="62"/>
      <c r="M504" s="55"/>
      <c r="N504" s="55"/>
      <c r="O504" s="55"/>
      <c r="P504" s="55"/>
      <c r="Q504" s="55"/>
      <c r="R504" s="55"/>
      <c r="S504" s="55"/>
      <c r="T504" s="55"/>
      <c r="U504" s="55"/>
    </row>
    <row r="505" spans="1:21" ht="18.75" hidden="1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212">
        <f ca="1">IFERROR(__xludf.DUMMYFUNCTION("IMPORTRANGE(""https://docs.google.com/spreadsheets/d/1eHaY18a8A9IcSdp1K8H6x8fbOy06t2VsZHhMHf-1x7Y/edit?usp=sharing"",""แผน!GZ48"")"),0)</f>
        <v>0</v>
      </c>
      <c r="J505" s="467">
        <v>0</v>
      </c>
      <c r="K505" s="255">
        <f ca="1">IF(I505&gt;0,J505*100/I505,0)</f>
        <v>0</v>
      </c>
      <c r="L505" s="62"/>
      <c r="M505" s="55"/>
      <c r="N505" s="55"/>
      <c r="O505" s="55"/>
      <c r="P505" s="55"/>
      <c r="Q505" s="55"/>
      <c r="R505" s="55"/>
      <c r="S505" s="55"/>
      <c r="T505" s="55"/>
      <c r="U505" s="55"/>
    </row>
    <row r="506" spans="1:21" ht="18.75" hidden="1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212">
        <f ca="1">IFERROR(__xludf.DUMMYFUNCTION("IMPORTRANGE(""https://docs.google.com/spreadsheets/d/1eHaY18a8A9IcSdp1K8H6x8fbOy06t2VsZHhMHf-1x7Y/edit?usp=sharing"",""แผน!HA48"")"),0)</f>
        <v>0</v>
      </c>
      <c r="J506" s="467">
        <v>0</v>
      </c>
      <c r="K506" s="255">
        <f ca="1">IF(I506&gt;0,J506*100/I506,0)</f>
        <v>0</v>
      </c>
      <c r="L506" s="62"/>
      <c r="M506" s="55"/>
      <c r="N506" s="55"/>
      <c r="O506" s="55"/>
      <c r="P506" s="55"/>
      <c r="Q506" s="55"/>
      <c r="R506" s="55"/>
      <c r="S506" s="55"/>
      <c r="T506" s="55"/>
      <c r="U506" s="55"/>
    </row>
    <row r="507" spans="1:21" ht="18.75" hidden="1">
      <c r="A507" s="238"/>
      <c r="B507" s="188"/>
      <c r="C507" s="188"/>
      <c r="D507" s="188"/>
      <c r="E507" s="377" t="s">
        <v>204</v>
      </c>
      <c r="F507" s="50"/>
      <c r="G507" s="52"/>
      <c r="H507" s="161" t="s">
        <v>35</v>
      </c>
      <c r="I507" s="212">
        <f ca="1">IFERROR(__xludf.DUMMYFUNCTION("IMPORTRANGE(""https://docs.google.com/spreadsheets/d/1eHaY18a8A9IcSdp1K8H6x8fbOy06t2VsZHhMHf-1x7Y/edit?usp=sharing"",""แผน!HB48"")"),0)</f>
        <v>0</v>
      </c>
      <c r="J507" s="467">
        <v>0</v>
      </c>
      <c r="K507" s="255">
        <f ca="1">IF(I507&gt;0,J507*100/I507,0)</f>
        <v>0</v>
      </c>
      <c r="L507" s="62"/>
      <c r="M507" s="55"/>
      <c r="N507" s="55"/>
      <c r="O507" s="55"/>
      <c r="P507" s="55"/>
      <c r="Q507" s="55"/>
      <c r="R507" s="55"/>
      <c r="S507" s="55"/>
      <c r="T507" s="55"/>
      <c r="U507" s="55"/>
    </row>
    <row r="508" spans="1:21" ht="18.75" hidden="1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255">
        <f>IF(I508&gt;0,J508*100/I508,0)</f>
        <v>0</v>
      </c>
      <c r="L508" s="62"/>
      <c r="M508" s="55"/>
      <c r="N508" s="55"/>
      <c r="O508" s="55"/>
      <c r="P508" s="55"/>
      <c r="Q508" s="55"/>
      <c r="R508" s="55"/>
      <c r="S508" s="55"/>
      <c r="T508" s="55"/>
      <c r="U508" s="55"/>
    </row>
    <row r="509" spans="1:21" ht="19.5" hidden="1">
      <c r="A509" s="374"/>
      <c r="B509" s="5"/>
      <c r="C509" s="5"/>
      <c r="D509" s="378" t="s">
        <v>50</v>
      </c>
      <c r="E509" s="4"/>
      <c r="F509" s="4"/>
      <c r="G509" s="65"/>
      <c r="H509" s="376" t="s">
        <v>35</v>
      </c>
      <c r="I509" s="216">
        <f ca="1">IFERROR(__xludf.DUMMYFUNCTION("IMPORTRANGE(""https://docs.google.com/spreadsheets/d/1eHaY18a8A9IcSdp1K8H6x8fbOy06t2VsZHhMHf-1x7Y/edit?usp=sharing"",""แผน!HC48"")"),0)</f>
        <v>0</v>
      </c>
      <c r="J509" s="538">
        <v>0</v>
      </c>
      <c r="K509" s="506">
        <f ca="1">IF(I509&gt;0,J509*100/I509,0)</f>
        <v>0</v>
      </c>
      <c r="L509" s="68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 hidden="1">
      <c r="A510" s="601" t="s">
        <v>206</v>
      </c>
      <c r="B510" s="381"/>
      <c r="C510" s="381"/>
      <c r="D510" s="381"/>
      <c r="E510" s="382"/>
      <c r="F510" s="382"/>
      <c r="G510" s="382"/>
      <c r="H510" s="382"/>
      <c r="I510" s="383"/>
      <c r="J510" s="383"/>
      <c r="K510" s="384"/>
      <c r="L510" s="600"/>
      <c r="M510" s="386"/>
      <c r="N510" s="386"/>
      <c r="O510" s="386"/>
      <c r="P510" s="386"/>
      <c r="Q510" s="386"/>
      <c r="R510" s="386"/>
      <c r="S510" s="386"/>
      <c r="T510" s="386"/>
      <c r="U510" s="386"/>
    </row>
    <row r="511" spans="1:21" ht="19.5" hidden="1">
      <c r="A511" s="599" t="s">
        <v>207</v>
      </c>
      <c r="B511" s="388"/>
      <c r="C511" s="388"/>
      <c r="D511" s="389"/>
      <c r="E511" s="388"/>
      <c r="F511" s="388"/>
      <c r="G511" s="388"/>
      <c r="H511" s="390"/>
      <c r="I511" s="391"/>
      <c r="J511" s="391"/>
      <c r="K511" s="392"/>
      <c r="L511" s="598"/>
      <c r="M511" s="394"/>
      <c r="N511" s="394"/>
      <c r="O511" s="394"/>
      <c r="P511" s="394"/>
      <c r="Q511" s="394"/>
      <c r="R511" s="394"/>
      <c r="S511" s="394"/>
      <c r="T511" s="394"/>
      <c r="U511" s="394"/>
    </row>
    <row r="512" spans="1:21" ht="19.5" hidden="1">
      <c r="A512" s="395"/>
      <c r="B512" s="597" t="s">
        <v>208</v>
      </c>
      <c r="C512" s="397"/>
      <c r="D512" s="398"/>
      <c r="E512" s="398"/>
      <c r="F512" s="398"/>
      <c r="G512" s="399"/>
      <c r="H512" s="596" t="s">
        <v>61</v>
      </c>
      <c r="I512" s="595">
        <f>I524</f>
        <v>0</v>
      </c>
      <c r="J512" s="595">
        <f>J524</f>
        <v>0</v>
      </c>
      <c r="K512" s="594">
        <f>IF(I512&gt;0,J512*100/I512,0)</f>
        <v>0</v>
      </c>
      <c r="L512" s="404"/>
      <c r="M512" s="403"/>
      <c r="N512" s="403"/>
      <c r="O512" s="403"/>
      <c r="P512" s="403"/>
      <c r="Q512" s="403"/>
      <c r="R512" s="403"/>
      <c r="S512" s="403"/>
      <c r="T512" s="403"/>
      <c r="U512" s="403"/>
    </row>
    <row r="513" spans="1:21" ht="19.5" hidden="1">
      <c r="A513" s="155"/>
      <c r="B513" s="50"/>
      <c r="C513" s="591" t="s">
        <v>18</v>
      </c>
      <c r="D513" s="562" t="s">
        <v>19</v>
      </c>
      <c r="E513" s="50"/>
      <c r="F513" s="50"/>
      <c r="G513" s="52"/>
      <c r="H513" s="593" t="s">
        <v>14</v>
      </c>
      <c r="I513" s="54"/>
      <c r="J513" s="54"/>
      <c r="K513" s="55"/>
      <c r="L513" s="541">
        <f ca="1">L514+L515</f>
        <v>0</v>
      </c>
      <c r="M513" s="540">
        <f ca="1">M514+M515</f>
        <v>0</v>
      </c>
      <c r="N513" s="540">
        <f ca="1">N514+N515</f>
        <v>0</v>
      </c>
      <c r="O513" s="540">
        <f ca="1">IF(L513&gt;0,N513*100/L513,0)</f>
        <v>0</v>
      </c>
      <c r="P513" s="540">
        <f ca="1">IF(M513&gt;0,N513*100/M513,0)</f>
        <v>0</v>
      </c>
      <c r="Q513" s="540">
        <f>Q514+Q515</f>
        <v>0</v>
      </c>
      <c r="R513" s="540">
        <f>R514+R515</f>
        <v>0</v>
      </c>
      <c r="S513" s="540">
        <f>S514+S515</f>
        <v>0</v>
      </c>
      <c r="T513" s="540">
        <f>IF(Q513&gt;0,S513*100/Q513,0)</f>
        <v>0</v>
      </c>
      <c r="U513" s="540">
        <f>IF(R513&gt;0,S513*100/R513,0)</f>
        <v>0</v>
      </c>
    </row>
    <row r="514" spans="1:21" ht="18.75" hidden="1">
      <c r="A514" s="155"/>
      <c r="B514" s="50"/>
      <c r="C514" s="50"/>
      <c r="D514" s="50"/>
      <c r="E514" s="186" t="s">
        <v>20</v>
      </c>
      <c r="F514" s="50"/>
      <c r="G514" s="52"/>
      <c r="H514" s="187" t="s">
        <v>14</v>
      </c>
      <c r="I514" s="54"/>
      <c r="J514" s="54"/>
      <c r="K514" s="55"/>
      <c r="L514" s="103">
        <f>L517+L520</f>
        <v>0</v>
      </c>
      <c r="M514" s="102">
        <f>M517+M520</f>
        <v>0</v>
      </c>
      <c r="N514" s="102">
        <f>N517+N520</f>
        <v>0</v>
      </c>
      <c r="O514" s="102">
        <f>IF(L514&gt;0,N514*100/L514,0)</f>
        <v>0</v>
      </c>
      <c r="P514" s="102">
        <f>IF(M514&gt;0,N514*100/M514,0)</f>
        <v>0</v>
      </c>
      <c r="Q514" s="102">
        <f>Q517+Q520</f>
        <v>0</v>
      </c>
      <c r="R514" s="102">
        <f>R517+R520</f>
        <v>0</v>
      </c>
      <c r="S514" s="102">
        <f>S517+S520</f>
        <v>0</v>
      </c>
      <c r="T514" s="102">
        <f>IF(Q514&gt;0,S514*100/Q514,0)</f>
        <v>0</v>
      </c>
      <c r="U514" s="102">
        <f>IF(R514&gt;0,S514*100/R514,0)</f>
        <v>0</v>
      </c>
    </row>
    <row r="515" spans="1:21" ht="18.75" hidden="1">
      <c r="A515" s="155"/>
      <c r="B515" s="50"/>
      <c r="C515" s="50"/>
      <c r="D515" s="50"/>
      <c r="E515" s="186" t="s">
        <v>21</v>
      </c>
      <c r="F515" s="50"/>
      <c r="G515" s="52"/>
      <c r="H515" s="187" t="s">
        <v>14</v>
      </c>
      <c r="I515" s="54"/>
      <c r="J515" s="54"/>
      <c r="K515" s="55"/>
      <c r="L515" s="256">
        <f ca="1">L518+L521</f>
        <v>0</v>
      </c>
      <c r="M515" s="255">
        <f ca="1">M518+M521</f>
        <v>0</v>
      </c>
      <c r="N515" s="255">
        <f ca="1">N518+N521</f>
        <v>0</v>
      </c>
      <c r="O515" s="255">
        <f ca="1">IF(L515&gt;0,N515*100/L515,0)</f>
        <v>0</v>
      </c>
      <c r="P515" s="255">
        <f ca="1">IF(M515&gt;0,N515*100/M515,0)</f>
        <v>0</v>
      </c>
      <c r="Q515" s="255">
        <f>Q518+Q521</f>
        <v>0</v>
      </c>
      <c r="R515" s="255">
        <f>R518+R521</f>
        <v>0</v>
      </c>
      <c r="S515" s="255">
        <f>S518+S521</f>
        <v>0</v>
      </c>
      <c r="T515" s="255">
        <f>IF(Q515&gt;0,S515*100/Q515,0)</f>
        <v>0</v>
      </c>
      <c r="U515" s="255">
        <f>IF(R515&gt;0,S515*100/R515,0)</f>
        <v>0</v>
      </c>
    </row>
    <row r="516" spans="1:21" ht="18.75" hidden="1">
      <c r="A516" s="155"/>
      <c r="B516" s="50"/>
      <c r="C516" s="50"/>
      <c r="D516" s="592" t="s">
        <v>22</v>
      </c>
      <c r="E516" s="50"/>
      <c r="F516" s="50"/>
      <c r="G516" s="52"/>
      <c r="H516" s="189" t="s">
        <v>14</v>
      </c>
      <c r="I516" s="163"/>
      <c r="J516" s="163"/>
      <c r="K516" s="164"/>
      <c r="L516" s="256">
        <f ca="1">L517+L518</f>
        <v>0</v>
      </c>
      <c r="M516" s="255">
        <f ca="1">M517+M518</f>
        <v>0</v>
      </c>
      <c r="N516" s="255">
        <f ca="1">N517+N518</f>
        <v>0</v>
      </c>
      <c r="O516" s="255">
        <f ca="1">IF(L516&gt;0,N516*100/L516,0)</f>
        <v>0</v>
      </c>
      <c r="P516" s="255">
        <f ca="1">IF(M516&gt;0,N516*100/M516,0)</f>
        <v>0</v>
      </c>
      <c r="Q516" s="255">
        <f>Q517+Q518</f>
        <v>0</v>
      </c>
      <c r="R516" s="255">
        <f>R517+R518</f>
        <v>0</v>
      </c>
      <c r="S516" s="255">
        <f>S517+S518</f>
        <v>0</v>
      </c>
      <c r="T516" s="255">
        <f>IF(Q516&gt;0,S516*100/Q516,0)</f>
        <v>0</v>
      </c>
      <c r="U516" s="255">
        <f>IF(R516&gt;0,S516*100/R516,0)</f>
        <v>0</v>
      </c>
    </row>
    <row r="517" spans="1:21" ht="18.75" hidden="1">
      <c r="A517" s="155"/>
      <c r="B517" s="50"/>
      <c r="C517" s="50"/>
      <c r="D517" s="50"/>
      <c r="E517" s="186" t="s">
        <v>36</v>
      </c>
      <c r="F517" s="50"/>
      <c r="G517" s="52"/>
      <c r="H517" s="189" t="s">
        <v>14</v>
      </c>
      <c r="I517" s="163"/>
      <c r="J517" s="163"/>
      <c r="K517" s="164"/>
      <c r="L517" s="103">
        <v>0</v>
      </c>
      <c r="M517" s="102">
        <v>0</v>
      </c>
      <c r="N517" s="102">
        <v>0</v>
      </c>
      <c r="O517" s="102">
        <f>IF(L517&gt;0,N517*100/L517,0)</f>
        <v>0</v>
      </c>
      <c r="P517" s="102">
        <f>IF(M517&gt;0,N517*100/M517,0)</f>
        <v>0</v>
      </c>
      <c r="Q517" s="102">
        <v>0</v>
      </c>
      <c r="R517" s="102">
        <v>0</v>
      </c>
      <c r="S517" s="102">
        <v>0</v>
      </c>
      <c r="T517" s="102">
        <f>IF(Q517&gt;0,S517*100/Q517,0)</f>
        <v>0</v>
      </c>
      <c r="U517" s="102">
        <f>IF(R517&gt;0,S517*100/R517,0)</f>
        <v>0</v>
      </c>
    </row>
    <row r="518" spans="1:21" ht="18.75" hidden="1">
      <c r="A518" s="155"/>
      <c r="B518" s="50"/>
      <c r="C518" s="50"/>
      <c r="D518" s="50"/>
      <c r="E518" s="186" t="s">
        <v>37</v>
      </c>
      <c r="F518" s="50"/>
      <c r="G518" s="52"/>
      <c r="H518" s="189" t="s">
        <v>14</v>
      </c>
      <c r="I518" s="163"/>
      <c r="J518" s="163"/>
      <c r="K518" s="164"/>
      <c r="L518" s="256">
        <f ca="1">IFERROR(__xludf.DUMMYFUNCTION("IMPORTRANGE(""https://docs.google.com/spreadsheets/d/1-uDff_7J0KD5mKrp0Vvzr7lt3OU09vwQwhkpOPPYv2Y/edit?usp=sharing"",""งบพรบ!FM48"")"),0)</f>
        <v>0</v>
      </c>
      <c r="M518" s="255">
        <f ca="1">IFERROR(__xludf.DUMMYFUNCTION("IMPORTRANGE(""https://docs.google.com/spreadsheets/d/1-uDff_7J0KD5mKrp0Vvzr7lt3OU09vwQwhkpOPPYv2Y/edit?usp=sharing"",""งบพรบ!FR48"")"),0)</f>
        <v>0</v>
      </c>
      <c r="N518" s="255">
        <f ca="1">IFERROR(__xludf.DUMMYFUNCTION("IMPORTRANGE(""https://docs.google.com/spreadsheets/d/1-uDff_7J0KD5mKrp0Vvzr7lt3OU09vwQwhkpOPPYv2Y/edit?usp=sharing"",""งบพรบ!FT48"")"),0)</f>
        <v>0</v>
      </c>
      <c r="O518" s="255">
        <f ca="1">IF(L518&gt;0,N518*100/L518,0)</f>
        <v>0</v>
      </c>
      <c r="P518" s="255">
        <f ca="1">IF(M518&gt;0,N518*100/M518,0)</f>
        <v>0</v>
      </c>
      <c r="Q518" s="255">
        <v>0</v>
      </c>
      <c r="R518" s="255">
        <v>0</v>
      </c>
      <c r="S518" s="255">
        <v>0</v>
      </c>
      <c r="T518" s="255">
        <f>IF(Q518&gt;0,S518*100/Q518,0)</f>
        <v>0</v>
      </c>
      <c r="U518" s="255">
        <f>IF(R518&gt;0,S518*100/R518,0)</f>
        <v>0</v>
      </c>
    </row>
    <row r="519" spans="1:21" ht="18.75" hidden="1">
      <c r="A519" s="155"/>
      <c r="B519" s="50"/>
      <c r="C519" s="50"/>
      <c r="D519" s="592" t="s">
        <v>23</v>
      </c>
      <c r="E519" s="50"/>
      <c r="F519" s="50"/>
      <c r="G519" s="52"/>
      <c r="H519" s="421" t="s">
        <v>14</v>
      </c>
      <c r="I519" s="163"/>
      <c r="J519" s="163"/>
      <c r="K519" s="164"/>
      <c r="L519" s="256">
        <f ca="1">L520+L521</f>
        <v>0</v>
      </c>
      <c r="M519" s="255">
        <f ca="1">M520+M521</f>
        <v>0</v>
      </c>
      <c r="N519" s="255">
        <f ca="1">N520+N521</f>
        <v>0</v>
      </c>
      <c r="O519" s="255">
        <f ca="1">IF(L519&gt;0,N519*100/L519,0)</f>
        <v>0</v>
      </c>
      <c r="P519" s="255">
        <f ca="1">IF(M519&gt;0,N519*100/M519,0)</f>
        <v>0</v>
      </c>
      <c r="Q519" s="255">
        <f>Q520+Q521</f>
        <v>0</v>
      </c>
      <c r="R519" s="255">
        <f>R520+R521</f>
        <v>0</v>
      </c>
      <c r="S519" s="255">
        <f>S520+S521</f>
        <v>0</v>
      </c>
      <c r="T519" s="255">
        <f>IF(Q519&gt;0,S519*100/Q519,0)</f>
        <v>0</v>
      </c>
      <c r="U519" s="255">
        <f>IF(R519&gt;0,S519*100/R519,0)</f>
        <v>0</v>
      </c>
    </row>
    <row r="520" spans="1:21" ht="18.75" hidden="1">
      <c r="A520" s="155"/>
      <c r="B520" s="50"/>
      <c r="C520" s="50"/>
      <c r="D520" s="50"/>
      <c r="E520" s="186" t="s">
        <v>20</v>
      </c>
      <c r="F520" s="50"/>
      <c r="G520" s="52"/>
      <c r="H520" s="189" t="s">
        <v>14</v>
      </c>
      <c r="I520" s="163"/>
      <c r="J520" s="163"/>
      <c r="K520" s="164"/>
      <c r="L520" s="103">
        <v>0</v>
      </c>
      <c r="M520" s="102">
        <v>0</v>
      </c>
      <c r="N520" s="102">
        <v>0</v>
      </c>
      <c r="O520" s="102">
        <f>IF(L520&gt;0,N520*100/L520,0)</f>
        <v>0</v>
      </c>
      <c r="P520" s="102">
        <f>IF(M520&gt;0,N520*100/M520,0)</f>
        <v>0</v>
      </c>
      <c r="Q520" s="102">
        <v>0</v>
      </c>
      <c r="R520" s="102">
        <v>0</v>
      </c>
      <c r="S520" s="102">
        <v>0</v>
      </c>
      <c r="T520" s="102">
        <f>IF(Q520&gt;0,S520*100/Q520,0)</f>
        <v>0</v>
      </c>
      <c r="U520" s="102">
        <f>IF(R520&gt;0,S520*100/R520,0)</f>
        <v>0</v>
      </c>
    </row>
    <row r="521" spans="1:21" ht="18.75" hidden="1">
      <c r="A521" s="155"/>
      <c r="B521" s="50"/>
      <c r="C521" s="50"/>
      <c r="D521" s="50"/>
      <c r="E521" s="186" t="s">
        <v>21</v>
      </c>
      <c r="F521" s="50"/>
      <c r="G521" s="52"/>
      <c r="H521" s="421" t="s">
        <v>14</v>
      </c>
      <c r="I521" s="163"/>
      <c r="J521" s="163"/>
      <c r="K521" s="164"/>
      <c r="L521" s="256">
        <f ca="1">IFERROR(__xludf.DUMMYFUNCTION("IMPORTRANGE(""https://docs.google.com/spreadsheets/d/1-uDff_7J0KD5mKrp0Vvzr7lt3OU09vwQwhkpOPPYv2Y/edit?usp=sharing"",""งบพรบ!FP48"")"),0)</f>
        <v>0</v>
      </c>
      <c r="M521" s="255">
        <f ca="1">IFERROR(__xludf.DUMMYFUNCTION("IMPORTRANGE(""https://docs.google.com/spreadsheets/d/1-uDff_7J0KD5mKrp0Vvzr7lt3OU09vwQwhkpOPPYv2Y/edit?usp=sharing"",""งบพรบ!FS48"")"),0)</f>
        <v>0</v>
      </c>
      <c r="N521" s="255">
        <f ca="1">IFERROR(__xludf.DUMMYFUNCTION("IMPORTRANGE(""https://docs.google.com/spreadsheets/d/1-uDff_7J0KD5mKrp0Vvzr7lt3OU09vwQwhkpOPPYv2Y/edit?usp=sharing"",""งบพรบ!FU48"")"),0)</f>
        <v>0</v>
      </c>
      <c r="O521" s="255">
        <f ca="1">IF(L521&gt;0,N521*100/L521,0)</f>
        <v>0</v>
      </c>
      <c r="P521" s="255">
        <f ca="1">IF(M521&gt;0,N521*100/M521,0)</f>
        <v>0</v>
      </c>
      <c r="Q521" s="255">
        <v>0</v>
      </c>
      <c r="R521" s="255">
        <v>0</v>
      </c>
      <c r="S521" s="255">
        <v>0</v>
      </c>
      <c r="T521" s="255">
        <f>IF(Q521&gt;0,S521*100/Q521,0)</f>
        <v>0</v>
      </c>
      <c r="U521" s="255">
        <f>IF(R521&gt;0,S521*100/R521,0)</f>
        <v>0</v>
      </c>
    </row>
    <row r="522" spans="1:21" ht="19.5" hidden="1">
      <c r="A522" s="166"/>
      <c r="B522" s="167"/>
      <c r="C522" s="591" t="s">
        <v>18</v>
      </c>
      <c r="D522" s="574" t="s">
        <v>38</v>
      </c>
      <c r="E522" s="169"/>
      <c r="F522" s="169"/>
      <c r="G522" s="170"/>
      <c r="H522" s="171"/>
      <c r="I522" s="163"/>
      <c r="J522" s="54"/>
      <c r="K522" s="55"/>
      <c r="L522" s="62"/>
      <c r="M522" s="55"/>
      <c r="N522" s="55"/>
      <c r="O522" s="164"/>
      <c r="P522" s="164"/>
      <c r="Q522" s="55"/>
      <c r="R522" s="55"/>
      <c r="S522" s="55"/>
      <c r="T522" s="164"/>
      <c r="U522" s="164"/>
    </row>
    <row r="523" spans="1:21" ht="18.75" hidden="1">
      <c r="A523" s="238"/>
      <c r="B523" s="50"/>
      <c r="C523" s="188"/>
      <c r="D523" s="207" t="s">
        <v>209</v>
      </c>
      <c r="E523" s="167"/>
      <c r="F523" s="50"/>
      <c r="G523" s="52"/>
      <c r="H523" s="590" t="s">
        <v>11</v>
      </c>
      <c r="I523" s="483">
        <v>0</v>
      </c>
      <c r="J523" s="589">
        <v>0</v>
      </c>
      <c r="K523" s="102">
        <f>IF(I523&gt;0,J523*100/I523,0)</f>
        <v>0</v>
      </c>
      <c r="L523" s="62"/>
      <c r="M523" s="55"/>
      <c r="N523" s="55"/>
      <c r="O523" s="55"/>
      <c r="P523" s="55"/>
      <c r="Q523" s="55"/>
      <c r="R523" s="55"/>
      <c r="S523" s="55"/>
      <c r="T523" s="55"/>
      <c r="U523" s="55"/>
    </row>
    <row r="524" spans="1:21" ht="18.75" hidden="1">
      <c r="A524" s="374"/>
      <c r="B524" s="4"/>
      <c r="C524" s="5"/>
      <c r="D524" s="588" t="s">
        <v>210</v>
      </c>
      <c r="E524" s="282"/>
      <c r="F524" s="4"/>
      <c r="G524" s="65"/>
      <c r="H524" s="587" t="s">
        <v>61</v>
      </c>
      <c r="I524" s="486">
        <v>0</v>
      </c>
      <c r="J524" s="586">
        <v>0</v>
      </c>
      <c r="K524" s="585">
        <f>IF(I524&gt;0,J524*100/I524,0)</f>
        <v>0</v>
      </c>
      <c r="L524" s="62"/>
      <c r="M524" s="55"/>
      <c r="N524" s="55"/>
      <c r="O524" s="55"/>
      <c r="P524" s="55"/>
      <c r="Q524" s="55"/>
      <c r="R524" s="55"/>
      <c r="S524" s="55"/>
      <c r="T524" s="55"/>
      <c r="U524" s="55"/>
    </row>
    <row r="525" spans="1:21" ht="12.75" hidden="1">
      <c r="A525" s="584"/>
      <c r="B525" s="583"/>
      <c r="C525" s="583"/>
      <c r="D525" s="582"/>
      <c r="E525" s="582"/>
      <c r="F525" s="582"/>
      <c r="G525" s="581"/>
      <c r="H525" s="580"/>
      <c r="I525" s="579"/>
      <c r="J525" s="579"/>
      <c r="K525" s="578"/>
      <c r="L525" s="265"/>
      <c r="M525" s="264"/>
      <c r="N525" s="264"/>
      <c r="O525" s="264"/>
      <c r="P525" s="264"/>
      <c r="Q525" s="264"/>
      <c r="R525" s="264"/>
      <c r="S525" s="264"/>
      <c r="T525" s="264"/>
      <c r="U525" s="264"/>
    </row>
    <row r="526" spans="1:21" ht="12.75" hidden="1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5"/>
      <c r="M526" s="264"/>
      <c r="N526" s="264"/>
      <c r="O526" s="264"/>
      <c r="P526" s="264"/>
      <c r="Q526" s="264"/>
      <c r="R526" s="264"/>
      <c r="S526" s="264"/>
      <c r="T526" s="264"/>
      <c r="U526" s="264"/>
    </row>
    <row r="527" spans="1:21" ht="12.75" hidden="1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5"/>
      <c r="M527" s="264"/>
      <c r="N527" s="264"/>
      <c r="O527" s="264"/>
      <c r="P527" s="264"/>
      <c r="Q527" s="264"/>
      <c r="R527" s="264"/>
      <c r="S527" s="264"/>
      <c r="T527" s="264"/>
      <c r="U527" s="264"/>
    </row>
    <row r="528" spans="1:21" ht="12.75" hidden="1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5"/>
      <c r="M528" s="264"/>
      <c r="N528" s="264"/>
      <c r="O528" s="264"/>
      <c r="P528" s="264"/>
      <c r="Q528" s="264"/>
      <c r="R528" s="264"/>
      <c r="S528" s="264"/>
      <c r="T528" s="264"/>
      <c r="U528" s="264"/>
    </row>
    <row r="529" spans="1:21" ht="12.75" hidden="1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5"/>
      <c r="M529" s="264"/>
      <c r="N529" s="264"/>
      <c r="O529" s="264"/>
      <c r="P529" s="264"/>
      <c r="Q529" s="264"/>
      <c r="R529" s="264"/>
      <c r="S529" s="264"/>
      <c r="T529" s="264"/>
      <c r="U529" s="264"/>
    </row>
    <row r="530" spans="1:21" ht="12.75" hidden="1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5"/>
      <c r="M530" s="264"/>
      <c r="N530" s="264"/>
      <c r="O530" s="264"/>
      <c r="P530" s="264"/>
      <c r="Q530" s="264"/>
      <c r="R530" s="264"/>
      <c r="S530" s="264"/>
      <c r="T530" s="264"/>
      <c r="U530" s="264"/>
    </row>
    <row r="531" spans="1:21" ht="12.75" hidden="1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5"/>
      <c r="M531" s="264"/>
      <c r="N531" s="264"/>
      <c r="O531" s="264"/>
      <c r="P531" s="264"/>
      <c r="Q531" s="264"/>
      <c r="R531" s="264"/>
      <c r="S531" s="264"/>
      <c r="T531" s="264"/>
      <c r="U531" s="264"/>
    </row>
    <row r="532" spans="1:21" ht="12.75" hidden="1">
      <c r="A532" s="407"/>
      <c r="B532" s="360"/>
      <c r="C532" s="360"/>
      <c r="D532" s="408"/>
      <c r="E532" s="408"/>
      <c r="F532" s="408"/>
      <c r="G532" s="409"/>
      <c r="H532" s="361"/>
      <c r="I532" s="362"/>
      <c r="J532" s="362"/>
      <c r="K532" s="363"/>
      <c r="L532" s="364"/>
      <c r="M532" s="363"/>
      <c r="N532" s="363"/>
      <c r="O532" s="363"/>
      <c r="P532" s="363"/>
      <c r="Q532" s="363"/>
      <c r="R532" s="363"/>
      <c r="S532" s="363"/>
      <c r="T532" s="363"/>
      <c r="U532" s="363"/>
    </row>
    <row r="533" spans="1:21" ht="19.5" hidden="1">
      <c r="A533" s="395"/>
      <c r="B533" s="396" t="s">
        <v>211</v>
      </c>
      <c r="C533" s="397"/>
      <c r="D533" s="398"/>
      <c r="E533" s="398"/>
      <c r="F533" s="398"/>
      <c r="G533" s="399"/>
      <c r="H533" s="410" t="s">
        <v>61</v>
      </c>
      <c r="I533" s="577">
        <f>I545</f>
        <v>0</v>
      </c>
      <c r="J533" s="577">
        <f>J545</f>
        <v>0</v>
      </c>
      <c r="K533" s="576">
        <f>IF(I533&gt;0,J533*100/I533,0)</f>
        <v>0</v>
      </c>
      <c r="L533" s="404"/>
      <c r="M533" s="403"/>
      <c r="N533" s="403"/>
      <c r="O533" s="403"/>
      <c r="P533" s="403"/>
      <c r="Q533" s="403"/>
      <c r="R533" s="403"/>
      <c r="S533" s="403"/>
      <c r="T533" s="403"/>
      <c r="U533" s="403"/>
    </row>
    <row r="534" spans="1:21" ht="19.5" hidden="1">
      <c r="A534" s="155"/>
      <c r="B534" s="50"/>
      <c r="C534" s="156" t="s">
        <v>18</v>
      </c>
      <c r="D534" s="575" t="s">
        <v>19</v>
      </c>
      <c r="E534" s="50"/>
      <c r="F534" s="50"/>
      <c r="G534" s="52"/>
      <c r="H534" s="158" t="s">
        <v>14</v>
      </c>
      <c r="I534" s="54"/>
      <c r="J534" s="54"/>
      <c r="K534" s="55"/>
      <c r="L534" s="541">
        <f>L535+L536</f>
        <v>0</v>
      </c>
      <c r="M534" s="540">
        <f>M535+M536</f>
        <v>0</v>
      </c>
      <c r="N534" s="540">
        <f>N535+N536</f>
        <v>0</v>
      </c>
      <c r="O534" s="540">
        <f>IF(L534&gt;0,N534*100/L534,0)</f>
        <v>0</v>
      </c>
      <c r="P534" s="540">
        <f>IF(M534&gt;0,N534*100/M534,0)</f>
        <v>0</v>
      </c>
      <c r="Q534" s="540">
        <f>Q535+Q536</f>
        <v>0</v>
      </c>
      <c r="R534" s="540">
        <f>R535+R536</f>
        <v>0</v>
      </c>
      <c r="S534" s="540">
        <f>S535+S536</f>
        <v>0</v>
      </c>
      <c r="T534" s="540">
        <f>IF(Q534&gt;0,S534*100/Q534,0)</f>
        <v>0</v>
      </c>
      <c r="U534" s="540">
        <f>IF(R534&gt;0,S534*100/R534,0)</f>
        <v>0</v>
      </c>
    </row>
    <row r="535" spans="1:21" ht="18.75" hidden="1">
      <c r="A535" s="155"/>
      <c r="B535" s="188"/>
      <c r="C535" s="50"/>
      <c r="D535" s="50"/>
      <c r="E535" s="186" t="s">
        <v>20</v>
      </c>
      <c r="F535" s="50"/>
      <c r="G535" s="52"/>
      <c r="H535" s="187" t="s">
        <v>14</v>
      </c>
      <c r="I535" s="54"/>
      <c r="J535" s="54"/>
      <c r="K535" s="55"/>
      <c r="L535" s="103">
        <f>L538+L541</f>
        <v>0</v>
      </c>
      <c r="M535" s="102">
        <f>M538+M541</f>
        <v>0</v>
      </c>
      <c r="N535" s="102">
        <f>N538+N541</f>
        <v>0</v>
      </c>
      <c r="O535" s="102">
        <f>IF(L535&gt;0,N535*100/L535,0)</f>
        <v>0</v>
      </c>
      <c r="P535" s="102">
        <f>IF(M535&gt;0,N535*100/M535,0)</f>
        <v>0</v>
      </c>
      <c r="Q535" s="102">
        <f>Q538+Q541</f>
        <v>0</v>
      </c>
      <c r="R535" s="102">
        <f>R538+R541</f>
        <v>0</v>
      </c>
      <c r="S535" s="102">
        <f>S538+S541</f>
        <v>0</v>
      </c>
      <c r="T535" s="102">
        <f>IF(Q535&gt;0,S535*100/Q535,0)</f>
        <v>0</v>
      </c>
      <c r="U535" s="102">
        <f>IF(R535&gt;0,S535*100/R535,0)</f>
        <v>0</v>
      </c>
    </row>
    <row r="536" spans="1:21" ht="18.75" hidden="1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256">
        <f>L539+L542</f>
        <v>0</v>
      </c>
      <c r="M536" s="255">
        <f>M539+M542</f>
        <v>0</v>
      </c>
      <c r="N536" s="255">
        <f>N539+N542</f>
        <v>0</v>
      </c>
      <c r="O536" s="255">
        <f>IF(L536&gt;0,N536*100/L536,0)</f>
        <v>0</v>
      </c>
      <c r="P536" s="255">
        <f>IF(M536&gt;0,N536*100/M536,0)</f>
        <v>0</v>
      </c>
      <c r="Q536" s="255">
        <f>Q539+Q542</f>
        <v>0</v>
      </c>
      <c r="R536" s="255">
        <f>R539+R542</f>
        <v>0</v>
      </c>
      <c r="S536" s="255">
        <f>S539+S542</f>
        <v>0</v>
      </c>
      <c r="T536" s="255">
        <f>IF(Q536&gt;0,S536*100/Q536,0)</f>
        <v>0</v>
      </c>
      <c r="U536" s="255">
        <f>IF(R536&gt;0,S536*100/R536,0)</f>
        <v>0</v>
      </c>
    </row>
    <row r="537" spans="1:21" ht="18.75" hidden="1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256">
        <f>L538+L539</f>
        <v>0</v>
      </c>
      <c r="M537" s="255">
        <f>M538+M539</f>
        <v>0</v>
      </c>
      <c r="N537" s="255">
        <f>N538+N539</f>
        <v>0</v>
      </c>
      <c r="O537" s="255">
        <f>IF(L537&gt;0,N537*100/L537,0)</f>
        <v>0</v>
      </c>
      <c r="P537" s="255">
        <f>IF(M537&gt;0,N537*100/M537,0)</f>
        <v>0</v>
      </c>
      <c r="Q537" s="255">
        <f>Q538+Q539</f>
        <v>0</v>
      </c>
      <c r="R537" s="255">
        <f>R538+R539</f>
        <v>0</v>
      </c>
      <c r="S537" s="255">
        <f>S538+S539</f>
        <v>0</v>
      </c>
      <c r="T537" s="255">
        <f>IF(Q537&gt;0,S537*100/Q537,0)</f>
        <v>0</v>
      </c>
      <c r="U537" s="255">
        <f>IF(R537&gt;0,S537*100/R537,0)</f>
        <v>0</v>
      </c>
    </row>
    <row r="538" spans="1:21" ht="18.75" hidden="1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103">
        <v>0</v>
      </c>
      <c r="M538" s="102">
        <v>0</v>
      </c>
      <c r="N538" s="102">
        <v>0</v>
      </c>
      <c r="O538" s="102">
        <f>IF(L538&gt;0,N538*100/L538,0)</f>
        <v>0</v>
      </c>
      <c r="P538" s="102">
        <f>IF(M538&gt;0,N538*100/M538,0)</f>
        <v>0</v>
      </c>
      <c r="Q538" s="102">
        <v>0</v>
      </c>
      <c r="R538" s="102">
        <v>0</v>
      </c>
      <c r="S538" s="102">
        <v>0</v>
      </c>
      <c r="T538" s="102">
        <f>IF(Q538&gt;0,S538*100/Q538,0)</f>
        <v>0</v>
      </c>
      <c r="U538" s="102">
        <f>IF(R538&gt;0,S538*100/R538,0)</f>
        <v>0</v>
      </c>
    </row>
    <row r="539" spans="1:21" ht="18.75" hidden="1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256">
        <v>0</v>
      </c>
      <c r="M539" s="255">
        <v>0</v>
      </c>
      <c r="N539" s="255">
        <v>0</v>
      </c>
      <c r="O539" s="255">
        <f>IF(L539&gt;0,N539*100/L539,0)</f>
        <v>0</v>
      </c>
      <c r="P539" s="255">
        <f>IF(M539&gt;0,N539*100/M539,0)</f>
        <v>0</v>
      </c>
      <c r="Q539" s="255">
        <v>0</v>
      </c>
      <c r="R539" s="255">
        <v>0</v>
      </c>
      <c r="S539" s="255">
        <v>0</v>
      </c>
      <c r="T539" s="255">
        <f>IF(Q539&gt;0,S539*100/Q539,0)</f>
        <v>0</v>
      </c>
      <c r="U539" s="255">
        <f>IF(R539&gt;0,S539*100/R539,0)</f>
        <v>0</v>
      </c>
    </row>
    <row r="540" spans="1:21" ht="18.75" hidden="1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256">
        <f>L541+L542</f>
        <v>0</v>
      </c>
      <c r="M540" s="255">
        <f>M541+M542</f>
        <v>0</v>
      </c>
      <c r="N540" s="255">
        <f>N541+N542</f>
        <v>0</v>
      </c>
      <c r="O540" s="255">
        <f>IF(L540&gt;0,N540*100/L540,0)</f>
        <v>0</v>
      </c>
      <c r="P540" s="255">
        <f>IF(M540&gt;0,N540*100/M540,0)</f>
        <v>0</v>
      </c>
      <c r="Q540" s="255">
        <f>Q541+Q542</f>
        <v>0</v>
      </c>
      <c r="R540" s="255">
        <f>R541+R542</f>
        <v>0</v>
      </c>
      <c r="S540" s="255">
        <f>S541+S542</f>
        <v>0</v>
      </c>
      <c r="T540" s="255">
        <f>IF(Q540&gt;0,S540*100/Q540,0)</f>
        <v>0</v>
      </c>
      <c r="U540" s="255">
        <f>IF(R540&gt;0,S540*100/R540,0)</f>
        <v>0</v>
      </c>
    </row>
    <row r="541" spans="1:21" ht="18.75" hidden="1">
      <c r="A541" s="155"/>
      <c r="B541" s="50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103">
        <v>0</v>
      </c>
      <c r="M541" s="102">
        <v>0</v>
      </c>
      <c r="N541" s="102">
        <v>0</v>
      </c>
      <c r="O541" s="102">
        <f>IF(L541&gt;0,N541*100/L541,0)</f>
        <v>0</v>
      </c>
      <c r="P541" s="102">
        <f>IF(M541&gt;0,N541*100/M541,0)</f>
        <v>0</v>
      </c>
      <c r="Q541" s="102">
        <v>0</v>
      </c>
      <c r="R541" s="102">
        <v>0</v>
      </c>
      <c r="S541" s="102">
        <v>0</v>
      </c>
      <c r="T541" s="102">
        <f>IF(Q541&gt;0,S541*100/Q541,0)</f>
        <v>0</v>
      </c>
      <c r="U541" s="102">
        <f>IF(R541&gt;0,S541*100/R541,0)</f>
        <v>0</v>
      </c>
    </row>
    <row r="542" spans="1:21" ht="18.75" hidden="1">
      <c r="A542" s="155"/>
      <c r="B542" s="50"/>
      <c r="C542" s="50"/>
      <c r="D542" s="50"/>
      <c r="E542" s="58" t="s">
        <v>21</v>
      </c>
      <c r="F542" s="50"/>
      <c r="G542" s="52"/>
      <c r="H542" s="165" t="s">
        <v>14</v>
      </c>
      <c r="I542" s="163"/>
      <c r="J542" s="163"/>
      <c r="K542" s="164"/>
      <c r="L542" s="256">
        <v>0</v>
      </c>
      <c r="M542" s="255">
        <v>0</v>
      </c>
      <c r="N542" s="255">
        <v>0</v>
      </c>
      <c r="O542" s="255">
        <f>IF(L542&gt;0,N542*100/L542,0)</f>
        <v>0</v>
      </c>
      <c r="P542" s="255">
        <f>IF(M542&gt;0,N542*100/M542,0)</f>
        <v>0</v>
      </c>
      <c r="Q542" s="255">
        <v>0</v>
      </c>
      <c r="R542" s="255">
        <v>0</v>
      </c>
      <c r="S542" s="255">
        <v>0</v>
      </c>
      <c r="T542" s="255">
        <f>IF(Q542&gt;0,S542*100/Q542,0)</f>
        <v>0</v>
      </c>
      <c r="U542" s="255">
        <f>IF(R542&gt;0,S542*100/R542,0)</f>
        <v>0</v>
      </c>
    </row>
    <row r="543" spans="1:21" ht="19.5" hidden="1">
      <c r="A543" s="166"/>
      <c r="B543" s="167"/>
      <c r="C543" s="411" t="s">
        <v>18</v>
      </c>
      <c r="D543" s="566" t="s">
        <v>38</v>
      </c>
      <c r="E543" s="169"/>
      <c r="F543" s="169"/>
      <c r="G543" s="170"/>
      <c r="H543" s="171"/>
      <c r="I543" s="163"/>
      <c r="J543" s="54"/>
      <c r="K543" s="55"/>
      <c r="L543" s="62"/>
      <c r="M543" s="55"/>
      <c r="N543" s="55"/>
      <c r="O543" s="164"/>
      <c r="P543" s="164"/>
      <c r="Q543" s="55"/>
      <c r="R543" s="55"/>
      <c r="S543" s="55"/>
      <c r="T543" s="164"/>
      <c r="U543" s="164"/>
    </row>
    <row r="544" spans="1:21" ht="12.75" hidden="1">
      <c r="A544" s="258"/>
      <c r="B544" s="260"/>
      <c r="C544" s="259"/>
      <c r="D544" s="260"/>
      <c r="E544" s="259"/>
      <c r="F544" s="260"/>
      <c r="G544" s="261"/>
      <c r="H544" s="261"/>
      <c r="I544" s="263"/>
      <c r="J544" s="263"/>
      <c r="K544" s="264"/>
      <c r="L544" s="265"/>
      <c r="M544" s="264"/>
      <c r="N544" s="264"/>
      <c r="O544" s="264"/>
      <c r="P544" s="264"/>
      <c r="Q544" s="264"/>
      <c r="R544" s="264"/>
      <c r="S544" s="264"/>
      <c r="T544" s="264"/>
      <c r="U544" s="264"/>
    </row>
    <row r="545" spans="1:21" ht="12.75" hidden="1">
      <c r="A545" s="258"/>
      <c r="B545" s="260"/>
      <c r="C545" s="259"/>
      <c r="D545" s="260"/>
      <c r="E545" s="259"/>
      <c r="F545" s="260"/>
      <c r="G545" s="261"/>
      <c r="H545" s="261"/>
      <c r="I545" s="263"/>
      <c r="J545" s="263"/>
      <c r="K545" s="264"/>
      <c r="L545" s="265"/>
      <c r="M545" s="264"/>
      <c r="N545" s="264"/>
      <c r="O545" s="264"/>
      <c r="P545" s="264"/>
      <c r="Q545" s="264"/>
      <c r="R545" s="264"/>
      <c r="S545" s="264"/>
      <c r="T545" s="264"/>
      <c r="U545" s="264"/>
    </row>
    <row r="546" spans="1:21" ht="12.75" hidden="1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5"/>
      <c r="M546" s="264"/>
      <c r="N546" s="264"/>
      <c r="O546" s="264"/>
      <c r="P546" s="264"/>
      <c r="Q546" s="264"/>
      <c r="R546" s="264"/>
      <c r="S546" s="264"/>
      <c r="T546" s="264"/>
      <c r="U546" s="264"/>
    </row>
    <row r="547" spans="1:21" ht="12.75" hidden="1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5"/>
      <c r="M547" s="264"/>
      <c r="N547" s="264"/>
      <c r="O547" s="264"/>
      <c r="P547" s="264"/>
      <c r="Q547" s="264"/>
      <c r="R547" s="264"/>
      <c r="S547" s="264"/>
      <c r="T547" s="264"/>
      <c r="U547" s="264"/>
    </row>
    <row r="548" spans="1:21" ht="12.75" hidden="1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5"/>
      <c r="M548" s="264"/>
      <c r="N548" s="264"/>
      <c r="O548" s="264"/>
      <c r="P548" s="264"/>
      <c r="Q548" s="264"/>
      <c r="R548" s="264"/>
      <c r="S548" s="264"/>
      <c r="T548" s="264"/>
      <c r="U548" s="264"/>
    </row>
    <row r="549" spans="1:21" ht="12.75" hidden="1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5"/>
      <c r="M549" s="264"/>
      <c r="N549" s="264"/>
      <c r="O549" s="264"/>
      <c r="P549" s="264"/>
      <c r="Q549" s="264"/>
      <c r="R549" s="264"/>
      <c r="S549" s="264"/>
      <c r="T549" s="264"/>
      <c r="U549" s="264"/>
    </row>
    <row r="550" spans="1:21" ht="12.75" hidden="1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5"/>
      <c r="M550" s="264"/>
      <c r="N550" s="264"/>
      <c r="O550" s="264"/>
      <c r="P550" s="264"/>
      <c r="Q550" s="264"/>
      <c r="R550" s="264"/>
      <c r="S550" s="264"/>
      <c r="T550" s="264"/>
      <c r="U550" s="264"/>
    </row>
    <row r="551" spans="1:21" ht="12.75" hidden="1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5"/>
      <c r="M551" s="264"/>
      <c r="N551" s="264"/>
      <c r="O551" s="264"/>
      <c r="P551" s="264"/>
      <c r="Q551" s="264"/>
      <c r="R551" s="264"/>
      <c r="S551" s="264"/>
      <c r="T551" s="264"/>
      <c r="U551" s="264"/>
    </row>
    <row r="552" spans="1:21" ht="12.75" hidden="1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5"/>
      <c r="M552" s="264"/>
      <c r="N552" s="264"/>
      <c r="O552" s="264"/>
      <c r="P552" s="264"/>
      <c r="Q552" s="264"/>
      <c r="R552" s="264"/>
      <c r="S552" s="264"/>
      <c r="T552" s="264"/>
      <c r="U552" s="264"/>
    </row>
    <row r="553" spans="1:21" ht="12.75" hidden="1">
      <c r="A553" s="407"/>
      <c r="B553" s="360"/>
      <c r="C553" s="360"/>
      <c r="D553" s="408"/>
      <c r="E553" s="408"/>
      <c r="F553" s="408"/>
      <c r="G553" s="409"/>
      <c r="H553" s="361"/>
      <c r="I553" s="362"/>
      <c r="J553" s="362"/>
      <c r="K553" s="363"/>
      <c r="L553" s="364"/>
      <c r="M553" s="363"/>
      <c r="N553" s="363"/>
      <c r="O553" s="363"/>
      <c r="P553" s="363"/>
      <c r="Q553" s="363"/>
      <c r="R553" s="363"/>
      <c r="S553" s="363"/>
      <c r="T553" s="363"/>
      <c r="U553" s="363"/>
    </row>
    <row r="554" spans="1:21" ht="19.5" hidden="1">
      <c r="A554" s="395"/>
      <c r="B554" s="396" t="s">
        <v>212</v>
      </c>
      <c r="C554" s="397"/>
      <c r="D554" s="398"/>
      <c r="E554" s="398"/>
      <c r="F554" s="398"/>
      <c r="G554" s="399"/>
      <c r="H554" s="410" t="s">
        <v>61</v>
      </c>
      <c r="I554" s="577">
        <f>I566</f>
        <v>0</v>
      </c>
      <c r="J554" s="577">
        <f>J566</f>
        <v>0</v>
      </c>
      <c r="K554" s="576">
        <f>IF(I554&gt;0,J554*100/I554,0)</f>
        <v>0</v>
      </c>
      <c r="L554" s="404"/>
      <c r="M554" s="403"/>
      <c r="N554" s="403"/>
      <c r="O554" s="403"/>
      <c r="P554" s="403"/>
      <c r="Q554" s="403"/>
      <c r="R554" s="403"/>
      <c r="S554" s="403"/>
      <c r="T554" s="403"/>
      <c r="U554" s="403"/>
    </row>
    <row r="555" spans="1:21" ht="19.5" hidden="1">
      <c r="A555" s="155"/>
      <c r="B555" s="50"/>
      <c r="C555" s="156" t="s">
        <v>18</v>
      </c>
      <c r="D555" s="575" t="s">
        <v>19</v>
      </c>
      <c r="E555" s="50"/>
      <c r="F555" s="50"/>
      <c r="G555" s="52"/>
      <c r="H555" s="158" t="s">
        <v>14</v>
      </c>
      <c r="I555" s="54"/>
      <c r="J555" s="54"/>
      <c r="K555" s="55"/>
      <c r="L555" s="541">
        <f>L556+L557</f>
        <v>0</v>
      </c>
      <c r="M555" s="540">
        <f>M556+M557</f>
        <v>0</v>
      </c>
      <c r="N555" s="540">
        <f>N556+N557</f>
        <v>0</v>
      </c>
      <c r="O555" s="540">
        <f>IF(L555&gt;0,N555*100/L555,0)</f>
        <v>0</v>
      </c>
      <c r="P555" s="540">
        <f>IF(M555&gt;0,N555*100/M555,0)</f>
        <v>0</v>
      </c>
      <c r="Q555" s="540">
        <f>Q556+Q557</f>
        <v>0</v>
      </c>
      <c r="R555" s="540">
        <f>R556+R557</f>
        <v>0</v>
      </c>
      <c r="S555" s="540">
        <f>S556+S557</f>
        <v>0</v>
      </c>
      <c r="T555" s="540">
        <f>IF(Q555&gt;0,S555*100/Q555,0)</f>
        <v>0</v>
      </c>
      <c r="U555" s="540">
        <f>IF(R555&gt;0,S555*100/R555,0)</f>
        <v>0</v>
      </c>
    </row>
    <row r="556" spans="1:21" ht="18.75" hidden="1">
      <c r="A556" s="155"/>
      <c r="B556" s="188"/>
      <c r="C556" s="50"/>
      <c r="D556" s="50"/>
      <c r="E556" s="186" t="s">
        <v>20</v>
      </c>
      <c r="F556" s="50"/>
      <c r="G556" s="52"/>
      <c r="H556" s="187" t="s">
        <v>14</v>
      </c>
      <c r="I556" s="54"/>
      <c r="J556" s="54"/>
      <c r="K556" s="55"/>
      <c r="L556" s="103">
        <f>L559+L562</f>
        <v>0</v>
      </c>
      <c r="M556" s="102">
        <f>M559+M562</f>
        <v>0</v>
      </c>
      <c r="N556" s="102">
        <f>N559+N562</f>
        <v>0</v>
      </c>
      <c r="O556" s="102">
        <f>IF(L556&gt;0,N556*100/L556,0)</f>
        <v>0</v>
      </c>
      <c r="P556" s="102">
        <f>IF(M556&gt;0,N556*100/M556,0)</f>
        <v>0</v>
      </c>
      <c r="Q556" s="102">
        <f>Q559+Q562</f>
        <v>0</v>
      </c>
      <c r="R556" s="102">
        <f>R559+R562</f>
        <v>0</v>
      </c>
      <c r="S556" s="102">
        <f>S559+S562</f>
        <v>0</v>
      </c>
      <c r="T556" s="102">
        <f>IF(Q556&gt;0,S556*100/Q556,0)</f>
        <v>0</v>
      </c>
      <c r="U556" s="102">
        <f>IF(R556&gt;0,S556*100/R556,0)</f>
        <v>0</v>
      </c>
    </row>
    <row r="557" spans="1:21" ht="18.75" hidden="1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256">
        <f>L560+L563</f>
        <v>0</v>
      </c>
      <c r="M557" s="255">
        <f>M560+M563</f>
        <v>0</v>
      </c>
      <c r="N557" s="255">
        <f>N560+N563</f>
        <v>0</v>
      </c>
      <c r="O557" s="255">
        <f>IF(L557&gt;0,N557*100/L557,0)</f>
        <v>0</v>
      </c>
      <c r="P557" s="255">
        <f>IF(M557&gt;0,N557*100/M557,0)</f>
        <v>0</v>
      </c>
      <c r="Q557" s="255">
        <f>Q560+Q563</f>
        <v>0</v>
      </c>
      <c r="R557" s="255">
        <f>R560+R563</f>
        <v>0</v>
      </c>
      <c r="S557" s="255">
        <f>S560+S563</f>
        <v>0</v>
      </c>
      <c r="T557" s="255">
        <f>IF(Q557&gt;0,S557*100/Q557,0)</f>
        <v>0</v>
      </c>
      <c r="U557" s="255">
        <f>IF(R557&gt;0,S557*100/R557,0)</f>
        <v>0</v>
      </c>
    </row>
    <row r="558" spans="1:21" ht="18.75" hidden="1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256">
        <f>L559+L560</f>
        <v>0</v>
      </c>
      <c r="M558" s="255">
        <f>M559+M560</f>
        <v>0</v>
      </c>
      <c r="N558" s="255">
        <f>N559+N560</f>
        <v>0</v>
      </c>
      <c r="O558" s="255">
        <f>IF(L558&gt;0,N558*100/L558,0)</f>
        <v>0</v>
      </c>
      <c r="P558" s="255">
        <f>IF(M558&gt;0,N558*100/M558,0)</f>
        <v>0</v>
      </c>
      <c r="Q558" s="255">
        <f>Q559+Q560</f>
        <v>0</v>
      </c>
      <c r="R558" s="255">
        <f>R559+R560</f>
        <v>0</v>
      </c>
      <c r="S558" s="255">
        <f>S559+S560</f>
        <v>0</v>
      </c>
      <c r="T558" s="255">
        <f>IF(Q558&gt;0,S558*100/Q558,0)</f>
        <v>0</v>
      </c>
      <c r="U558" s="255">
        <f>IF(R558&gt;0,S558*100/R558,0)</f>
        <v>0</v>
      </c>
    </row>
    <row r="559" spans="1:21" ht="18.75" hidden="1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103">
        <v>0</v>
      </c>
      <c r="M559" s="102">
        <v>0</v>
      </c>
      <c r="N559" s="102">
        <v>0</v>
      </c>
      <c r="O559" s="102">
        <f>IF(L559&gt;0,N559*100/L559,0)</f>
        <v>0</v>
      </c>
      <c r="P559" s="102">
        <f>IF(M559&gt;0,N559*100/M559,0)</f>
        <v>0</v>
      </c>
      <c r="Q559" s="102">
        <v>0</v>
      </c>
      <c r="R559" s="102">
        <v>0</v>
      </c>
      <c r="S559" s="102">
        <v>0</v>
      </c>
      <c r="T559" s="102">
        <f>IF(Q559&gt;0,S559*100/Q559,0)</f>
        <v>0</v>
      </c>
      <c r="U559" s="102">
        <f>IF(R559&gt;0,S559*100/R559,0)</f>
        <v>0</v>
      </c>
    </row>
    <row r="560" spans="1:21" ht="18.75" hidden="1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256">
        <v>0</v>
      </c>
      <c r="M560" s="255">
        <v>0</v>
      </c>
      <c r="N560" s="255">
        <v>0</v>
      </c>
      <c r="O560" s="255">
        <f>IF(L560&gt;0,N560*100/L560,0)</f>
        <v>0</v>
      </c>
      <c r="P560" s="255">
        <f>IF(M560&gt;0,N560*100/M560,0)</f>
        <v>0</v>
      </c>
      <c r="Q560" s="255">
        <v>0</v>
      </c>
      <c r="R560" s="255">
        <v>0</v>
      </c>
      <c r="S560" s="255">
        <v>0</v>
      </c>
      <c r="T560" s="255">
        <f>IF(Q560&gt;0,S560*100/Q560,0)</f>
        <v>0</v>
      </c>
      <c r="U560" s="255">
        <f>IF(R560&gt;0,S560*100/R560,0)</f>
        <v>0</v>
      </c>
    </row>
    <row r="561" spans="1:21" ht="18.75" hidden="1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256">
        <f>L562+L563</f>
        <v>0</v>
      </c>
      <c r="M561" s="255">
        <f>M562+M563</f>
        <v>0</v>
      </c>
      <c r="N561" s="255">
        <f>N562+N563</f>
        <v>0</v>
      </c>
      <c r="O561" s="255">
        <f>IF(L561&gt;0,N561*100/L561,0)</f>
        <v>0</v>
      </c>
      <c r="P561" s="255">
        <f>IF(M561&gt;0,N561*100/M561,0)</f>
        <v>0</v>
      </c>
      <c r="Q561" s="255">
        <f>Q562+Q563</f>
        <v>0</v>
      </c>
      <c r="R561" s="255">
        <f>R562+R563</f>
        <v>0</v>
      </c>
      <c r="S561" s="255">
        <f>S562+S563</f>
        <v>0</v>
      </c>
      <c r="T561" s="255">
        <f>IF(Q561&gt;0,S561*100/Q561,0)</f>
        <v>0</v>
      </c>
      <c r="U561" s="255">
        <f>IF(R561&gt;0,S561*100/R561,0)</f>
        <v>0</v>
      </c>
    </row>
    <row r="562" spans="1:21" ht="18.75" hidden="1">
      <c r="A562" s="155"/>
      <c r="B562" s="50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103">
        <v>0</v>
      </c>
      <c r="M562" s="102">
        <v>0</v>
      </c>
      <c r="N562" s="102">
        <v>0</v>
      </c>
      <c r="O562" s="102">
        <f>IF(L562&gt;0,N562*100/L562,0)</f>
        <v>0</v>
      </c>
      <c r="P562" s="102">
        <f>IF(M562&gt;0,N562*100/M562,0)</f>
        <v>0</v>
      </c>
      <c r="Q562" s="102">
        <v>0</v>
      </c>
      <c r="R562" s="102">
        <v>0</v>
      </c>
      <c r="S562" s="102">
        <v>0</v>
      </c>
      <c r="T562" s="102">
        <f>IF(Q562&gt;0,S562*100/Q562,0)</f>
        <v>0</v>
      </c>
      <c r="U562" s="102">
        <f>IF(R562&gt;0,S562*100/R562,0)</f>
        <v>0</v>
      </c>
    </row>
    <row r="563" spans="1:21" ht="18.75" hidden="1">
      <c r="A563" s="155"/>
      <c r="B563" s="50"/>
      <c r="C563" s="50"/>
      <c r="D563" s="50"/>
      <c r="E563" s="58" t="s">
        <v>21</v>
      </c>
      <c r="F563" s="50"/>
      <c r="G563" s="52"/>
      <c r="H563" s="165" t="s">
        <v>14</v>
      </c>
      <c r="I563" s="163"/>
      <c r="J563" s="163"/>
      <c r="K563" s="164"/>
      <c r="L563" s="256">
        <v>0</v>
      </c>
      <c r="M563" s="255">
        <v>0</v>
      </c>
      <c r="N563" s="255">
        <v>0</v>
      </c>
      <c r="O563" s="255">
        <f>IF(L563&gt;0,N563*100/L563,0)</f>
        <v>0</v>
      </c>
      <c r="P563" s="255">
        <f>IF(M563&gt;0,N563*100/M563,0)</f>
        <v>0</v>
      </c>
      <c r="Q563" s="255">
        <v>0</v>
      </c>
      <c r="R563" s="255">
        <v>0</v>
      </c>
      <c r="S563" s="255">
        <v>0</v>
      </c>
      <c r="T563" s="255">
        <f>IF(Q563&gt;0,S563*100/Q563,0)</f>
        <v>0</v>
      </c>
      <c r="U563" s="255">
        <f>IF(R563&gt;0,S563*100/R563,0)</f>
        <v>0</v>
      </c>
    </row>
    <row r="564" spans="1:21" ht="19.5" hidden="1">
      <c r="A564" s="166"/>
      <c r="B564" s="167"/>
      <c r="C564" s="411" t="s">
        <v>18</v>
      </c>
      <c r="D564" s="566" t="s">
        <v>38</v>
      </c>
      <c r="E564" s="169"/>
      <c r="F564" s="169"/>
      <c r="G564" s="170"/>
      <c r="H564" s="171"/>
      <c r="I564" s="163"/>
      <c r="J564" s="54"/>
      <c r="K564" s="55"/>
      <c r="L564" s="62"/>
      <c r="M564" s="55"/>
      <c r="N564" s="55"/>
      <c r="O564" s="164"/>
      <c r="P564" s="164"/>
      <c r="Q564" s="55"/>
      <c r="R564" s="55"/>
      <c r="S564" s="55"/>
      <c r="T564" s="164"/>
      <c r="U564" s="164"/>
    </row>
    <row r="565" spans="1:21" ht="12.75" hidden="1">
      <c r="A565" s="258"/>
      <c r="B565" s="260"/>
      <c r="C565" s="259"/>
      <c r="D565" s="260"/>
      <c r="E565" s="259"/>
      <c r="F565" s="260"/>
      <c r="G565" s="261"/>
      <c r="H565" s="261"/>
      <c r="I565" s="263"/>
      <c r="J565" s="263"/>
      <c r="K565" s="264"/>
      <c r="L565" s="265"/>
      <c r="M565" s="264"/>
      <c r="N565" s="264"/>
      <c r="O565" s="264"/>
      <c r="P565" s="264"/>
      <c r="Q565" s="264"/>
      <c r="R565" s="264"/>
      <c r="S565" s="264"/>
      <c r="T565" s="264"/>
      <c r="U565" s="264"/>
    </row>
    <row r="566" spans="1:21" ht="12.75" hidden="1">
      <c r="A566" s="258"/>
      <c r="B566" s="260"/>
      <c r="C566" s="259"/>
      <c r="D566" s="260"/>
      <c r="E566" s="259"/>
      <c r="F566" s="260"/>
      <c r="G566" s="261"/>
      <c r="H566" s="261"/>
      <c r="I566" s="263"/>
      <c r="J566" s="263"/>
      <c r="K566" s="264"/>
      <c r="L566" s="265"/>
      <c r="M566" s="264"/>
      <c r="N566" s="264"/>
      <c r="O566" s="264"/>
      <c r="P566" s="264"/>
      <c r="Q566" s="264"/>
      <c r="R566" s="264"/>
      <c r="S566" s="264"/>
      <c r="T566" s="264"/>
      <c r="U566" s="264"/>
    </row>
    <row r="567" spans="1:21" ht="12.75" hidden="1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5"/>
      <c r="M567" s="264"/>
      <c r="N567" s="264"/>
      <c r="O567" s="264"/>
      <c r="P567" s="264"/>
      <c r="Q567" s="264"/>
      <c r="R567" s="264"/>
      <c r="S567" s="264"/>
      <c r="T567" s="264"/>
      <c r="U567" s="264"/>
    </row>
    <row r="568" spans="1:21" ht="12.75" hidden="1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5"/>
      <c r="M568" s="264"/>
      <c r="N568" s="264"/>
      <c r="O568" s="264"/>
      <c r="P568" s="264"/>
      <c r="Q568" s="264"/>
      <c r="R568" s="264"/>
      <c r="S568" s="264"/>
      <c r="T568" s="264"/>
      <c r="U568" s="264"/>
    </row>
    <row r="569" spans="1:21" ht="12.75" hidden="1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5"/>
      <c r="M569" s="264"/>
      <c r="N569" s="264"/>
      <c r="O569" s="264"/>
      <c r="P569" s="264"/>
      <c r="Q569" s="264"/>
      <c r="R569" s="264"/>
      <c r="S569" s="264"/>
      <c r="T569" s="264"/>
      <c r="U569" s="264"/>
    </row>
    <row r="570" spans="1:21" ht="12.75" hidden="1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5"/>
      <c r="M570" s="264"/>
      <c r="N570" s="264"/>
      <c r="O570" s="264"/>
      <c r="P570" s="264"/>
      <c r="Q570" s="264"/>
      <c r="R570" s="264"/>
      <c r="S570" s="264"/>
      <c r="T570" s="264"/>
      <c r="U570" s="264"/>
    </row>
    <row r="571" spans="1:21" ht="12.75" hidden="1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5"/>
      <c r="M571" s="264"/>
      <c r="N571" s="264"/>
      <c r="O571" s="264"/>
      <c r="P571" s="264"/>
      <c r="Q571" s="264"/>
      <c r="R571" s="264"/>
      <c r="S571" s="264"/>
      <c r="T571" s="264"/>
      <c r="U571" s="264"/>
    </row>
    <row r="572" spans="1:21" ht="12.75" hidden="1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5"/>
      <c r="M572" s="264"/>
      <c r="N572" s="264"/>
      <c r="O572" s="264"/>
      <c r="P572" s="264"/>
      <c r="Q572" s="264"/>
      <c r="R572" s="264"/>
      <c r="S572" s="264"/>
      <c r="T572" s="264"/>
      <c r="U572" s="264"/>
    </row>
    <row r="573" spans="1:21" ht="12.75" hidden="1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5"/>
      <c r="M573" s="264"/>
      <c r="N573" s="264"/>
      <c r="O573" s="264"/>
      <c r="P573" s="264"/>
      <c r="Q573" s="264"/>
      <c r="R573" s="264"/>
      <c r="S573" s="264"/>
      <c r="T573" s="264"/>
      <c r="U573" s="264"/>
    </row>
    <row r="574" spans="1:21" ht="12.75" hidden="1">
      <c r="A574" s="407"/>
      <c r="B574" s="360"/>
      <c r="C574" s="360"/>
      <c r="D574" s="408"/>
      <c r="E574" s="408"/>
      <c r="F574" s="408"/>
      <c r="G574" s="409"/>
      <c r="H574" s="361"/>
      <c r="I574" s="362"/>
      <c r="J574" s="362"/>
      <c r="K574" s="363"/>
      <c r="L574" s="364"/>
      <c r="M574" s="363"/>
      <c r="N574" s="363"/>
      <c r="O574" s="363"/>
      <c r="P574" s="363"/>
      <c r="Q574" s="363"/>
      <c r="R574" s="363"/>
      <c r="S574" s="363"/>
      <c r="T574" s="363"/>
      <c r="U574" s="363"/>
    </row>
    <row r="575" spans="1:21" ht="19.5" hidden="1">
      <c r="A575" s="395"/>
      <c r="B575" s="396" t="s">
        <v>213</v>
      </c>
      <c r="C575" s="397"/>
      <c r="D575" s="398"/>
      <c r="E575" s="398"/>
      <c r="F575" s="398"/>
      <c r="G575" s="399"/>
      <c r="H575" s="410" t="s">
        <v>61</v>
      </c>
      <c r="I575" s="577">
        <f>I587</f>
        <v>0</v>
      </c>
      <c r="J575" s="577">
        <f>J587</f>
        <v>0</v>
      </c>
      <c r="K575" s="576">
        <f>IF(I575&gt;0,J575*100/I575,0)</f>
        <v>0</v>
      </c>
      <c r="L575" s="404"/>
      <c r="M575" s="403"/>
      <c r="N575" s="403"/>
      <c r="O575" s="403"/>
      <c r="P575" s="403"/>
      <c r="Q575" s="403"/>
      <c r="R575" s="403"/>
      <c r="S575" s="403"/>
      <c r="T575" s="403"/>
      <c r="U575" s="403"/>
    </row>
    <row r="576" spans="1:21" ht="19.5" hidden="1">
      <c r="A576" s="155"/>
      <c r="B576" s="50"/>
      <c r="C576" s="156" t="s">
        <v>18</v>
      </c>
      <c r="D576" s="575" t="s">
        <v>19</v>
      </c>
      <c r="E576" s="50"/>
      <c r="F576" s="50"/>
      <c r="G576" s="52"/>
      <c r="H576" s="158" t="s">
        <v>14</v>
      </c>
      <c r="I576" s="54"/>
      <c r="J576" s="54"/>
      <c r="K576" s="55"/>
      <c r="L576" s="541">
        <f>L577+L578</f>
        <v>0</v>
      </c>
      <c r="M576" s="540">
        <f>M577+M578</f>
        <v>0</v>
      </c>
      <c r="N576" s="540">
        <f>N577+N578</f>
        <v>0</v>
      </c>
      <c r="O576" s="540">
        <f>IF(L576&gt;0,N576*100/L576,0)</f>
        <v>0</v>
      </c>
      <c r="P576" s="540">
        <f>IF(M576&gt;0,N576*100/M576,0)</f>
        <v>0</v>
      </c>
      <c r="Q576" s="540">
        <f>Q577+Q578</f>
        <v>0</v>
      </c>
      <c r="R576" s="540">
        <f>R577+R578</f>
        <v>0</v>
      </c>
      <c r="S576" s="540">
        <f>S577+S578</f>
        <v>0</v>
      </c>
      <c r="T576" s="540">
        <f>IF(Q576&gt;0,S576*100/Q576,0)</f>
        <v>0</v>
      </c>
      <c r="U576" s="540">
        <f>IF(R576&gt;0,S576*100/R576,0)</f>
        <v>0</v>
      </c>
    </row>
    <row r="577" spans="1:21" ht="18.75" hidden="1">
      <c r="A577" s="155"/>
      <c r="B577" s="188"/>
      <c r="C577" s="50"/>
      <c r="D577" s="50"/>
      <c r="E577" s="186" t="s">
        <v>20</v>
      </c>
      <c r="F577" s="50"/>
      <c r="G577" s="52"/>
      <c r="H577" s="187" t="s">
        <v>14</v>
      </c>
      <c r="I577" s="54"/>
      <c r="J577" s="54"/>
      <c r="K577" s="55"/>
      <c r="L577" s="103">
        <f>L580+L583</f>
        <v>0</v>
      </c>
      <c r="M577" s="102">
        <f>M580+M583</f>
        <v>0</v>
      </c>
      <c r="N577" s="102">
        <f>N580+N583</f>
        <v>0</v>
      </c>
      <c r="O577" s="102">
        <f>IF(L577&gt;0,N577*100/L577,0)</f>
        <v>0</v>
      </c>
      <c r="P577" s="102">
        <f>IF(M577&gt;0,N577*100/M577,0)</f>
        <v>0</v>
      </c>
      <c r="Q577" s="102">
        <f>Q580+Q583</f>
        <v>0</v>
      </c>
      <c r="R577" s="102">
        <f>R580+R583</f>
        <v>0</v>
      </c>
      <c r="S577" s="102">
        <f>S580+S583</f>
        <v>0</v>
      </c>
      <c r="T577" s="102">
        <f>IF(Q577&gt;0,S577*100/Q577,0)</f>
        <v>0</v>
      </c>
      <c r="U577" s="102">
        <f>IF(R577&gt;0,S577*100/R577,0)</f>
        <v>0</v>
      </c>
    </row>
    <row r="578" spans="1:21" ht="18.75" hidden="1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256">
        <f>L581+L584</f>
        <v>0</v>
      </c>
      <c r="M578" s="255">
        <f>M581+M584</f>
        <v>0</v>
      </c>
      <c r="N578" s="255">
        <f>N581+N584</f>
        <v>0</v>
      </c>
      <c r="O578" s="255">
        <f>IF(L578&gt;0,N578*100/L578,0)</f>
        <v>0</v>
      </c>
      <c r="P578" s="255">
        <f>IF(M578&gt;0,N578*100/M578,0)</f>
        <v>0</v>
      </c>
      <c r="Q578" s="255">
        <f>Q581+Q584</f>
        <v>0</v>
      </c>
      <c r="R578" s="255">
        <f>R581+R584</f>
        <v>0</v>
      </c>
      <c r="S578" s="255">
        <f>S581+S584</f>
        <v>0</v>
      </c>
      <c r="T578" s="255">
        <f>IF(Q578&gt;0,S578*100/Q578,0)</f>
        <v>0</v>
      </c>
      <c r="U578" s="255">
        <f>IF(R578&gt;0,S578*100/R578,0)</f>
        <v>0</v>
      </c>
    </row>
    <row r="579" spans="1:21" ht="18.75" hidden="1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256">
        <f>L580+L581</f>
        <v>0</v>
      </c>
      <c r="M579" s="255">
        <f>M580+M581</f>
        <v>0</v>
      </c>
      <c r="N579" s="255">
        <f>N580+N581</f>
        <v>0</v>
      </c>
      <c r="O579" s="255">
        <f>IF(L579&gt;0,N579*100/L579,0)</f>
        <v>0</v>
      </c>
      <c r="P579" s="255">
        <f>IF(M579&gt;0,N579*100/M579,0)</f>
        <v>0</v>
      </c>
      <c r="Q579" s="255">
        <f>Q580+Q581</f>
        <v>0</v>
      </c>
      <c r="R579" s="255">
        <f>R580+R581</f>
        <v>0</v>
      </c>
      <c r="S579" s="255">
        <f>S580+S581</f>
        <v>0</v>
      </c>
      <c r="T579" s="255">
        <f>IF(Q579&gt;0,S579*100/Q579,0)</f>
        <v>0</v>
      </c>
      <c r="U579" s="255">
        <f>IF(R579&gt;0,S579*100/R579,0)</f>
        <v>0</v>
      </c>
    </row>
    <row r="580" spans="1:21" ht="18.75" hidden="1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103">
        <v>0</v>
      </c>
      <c r="M580" s="102">
        <v>0</v>
      </c>
      <c r="N580" s="102">
        <v>0</v>
      </c>
      <c r="O580" s="102">
        <f>IF(L580&gt;0,N580*100/L580,0)</f>
        <v>0</v>
      </c>
      <c r="P580" s="102">
        <f>IF(M580&gt;0,N580*100/M580,0)</f>
        <v>0</v>
      </c>
      <c r="Q580" s="102">
        <v>0</v>
      </c>
      <c r="R580" s="102">
        <v>0</v>
      </c>
      <c r="S580" s="102">
        <v>0</v>
      </c>
      <c r="T580" s="102">
        <f>IF(Q580&gt;0,S580*100/Q580,0)</f>
        <v>0</v>
      </c>
      <c r="U580" s="102">
        <f>IF(R580&gt;0,S580*100/R580,0)</f>
        <v>0</v>
      </c>
    </row>
    <row r="581" spans="1:21" ht="18.75" hidden="1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256">
        <v>0</v>
      </c>
      <c r="M581" s="255">
        <v>0</v>
      </c>
      <c r="N581" s="255">
        <v>0</v>
      </c>
      <c r="O581" s="255">
        <f>IF(L581&gt;0,N581*100/L581,0)</f>
        <v>0</v>
      </c>
      <c r="P581" s="255">
        <f>IF(M581&gt;0,N581*100/M581,0)</f>
        <v>0</v>
      </c>
      <c r="Q581" s="255">
        <v>0</v>
      </c>
      <c r="R581" s="255">
        <v>0</v>
      </c>
      <c r="S581" s="255">
        <v>0</v>
      </c>
      <c r="T581" s="255">
        <f>IF(Q581&gt;0,S581*100/Q581,0)</f>
        <v>0</v>
      </c>
      <c r="U581" s="255">
        <f>IF(R581&gt;0,S581*100/R581,0)</f>
        <v>0</v>
      </c>
    </row>
    <row r="582" spans="1:21" ht="18.75" hidden="1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256">
        <f>L583+L584</f>
        <v>0</v>
      </c>
      <c r="M582" s="255">
        <f>M583+M584</f>
        <v>0</v>
      </c>
      <c r="N582" s="255">
        <f>N583+N584</f>
        <v>0</v>
      </c>
      <c r="O582" s="255">
        <f>IF(L582&gt;0,N582*100/L582,0)</f>
        <v>0</v>
      </c>
      <c r="P582" s="255">
        <f>IF(M582&gt;0,N582*100/M582,0)</f>
        <v>0</v>
      </c>
      <c r="Q582" s="255">
        <f>Q583+Q584</f>
        <v>0</v>
      </c>
      <c r="R582" s="255">
        <f>R583+R584</f>
        <v>0</v>
      </c>
      <c r="S582" s="255">
        <f>S583+S584</f>
        <v>0</v>
      </c>
      <c r="T582" s="255">
        <f>IF(Q582&gt;0,S582*100/Q582,0)</f>
        <v>0</v>
      </c>
      <c r="U582" s="255">
        <f>IF(R582&gt;0,S582*100/R582,0)</f>
        <v>0</v>
      </c>
    </row>
    <row r="583" spans="1:21" ht="18.75" hidden="1">
      <c r="A583" s="155"/>
      <c r="B583" s="50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103">
        <v>0</v>
      </c>
      <c r="M583" s="102">
        <v>0</v>
      </c>
      <c r="N583" s="102">
        <v>0</v>
      </c>
      <c r="O583" s="102">
        <f>IF(L583&gt;0,N583*100/L583,0)</f>
        <v>0</v>
      </c>
      <c r="P583" s="102">
        <f>IF(M583&gt;0,N583*100/M583,0)</f>
        <v>0</v>
      </c>
      <c r="Q583" s="102">
        <v>0</v>
      </c>
      <c r="R583" s="102">
        <v>0</v>
      </c>
      <c r="S583" s="102">
        <v>0</v>
      </c>
      <c r="T583" s="102">
        <f>IF(Q583&gt;0,S583*100/Q583,0)</f>
        <v>0</v>
      </c>
      <c r="U583" s="102">
        <f>IF(R583&gt;0,S583*100/R583,0)</f>
        <v>0</v>
      </c>
    </row>
    <row r="584" spans="1:21" ht="18.75" hidden="1">
      <c r="A584" s="155"/>
      <c r="B584" s="50"/>
      <c r="C584" s="50"/>
      <c r="D584" s="50"/>
      <c r="E584" s="58" t="s">
        <v>21</v>
      </c>
      <c r="F584" s="50"/>
      <c r="G584" s="52"/>
      <c r="H584" s="165" t="s">
        <v>14</v>
      </c>
      <c r="I584" s="163"/>
      <c r="J584" s="163"/>
      <c r="K584" s="164"/>
      <c r="L584" s="256">
        <v>0</v>
      </c>
      <c r="M584" s="255">
        <v>0</v>
      </c>
      <c r="N584" s="255">
        <v>0</v>
      </c>
      <c r="O584" s="255">
        <f>IF(L584&gt;0,N584*100/L584,0)</f>
        <v>0</v>
      </c>
      <c r="P584" s="255">
        <f>IF(M584&gt;0,N584*100/M584,0)</f>
        <v>0</v>
      </c>
      <c r="Q584" s="255">
        <v>0</v>
      </c>
      <c r="R584" s="255">
        <v>0</v>
      </c>
      <c r="S584" s="255">
        <v>0</v>
      </c>
      <c r="T584" s="255">
        <f>IF(Q584&gt;0,S584*100/Q584,0)</f>
        <v>0</v>
      </c>
      <c r="U584" s="255">
        <f>IF(R584&gt;0,S584*100/R584,0)</f>
        <v>0</v>
      </c>
    </row>
    <row r="585" spans="1:21" ht="19.5" hidden="1">
      <c r="A585" s="166"/>
      <c r="B585" s="167"/>
      <c r="C585" s="411" t="s">
        <v>18</v>
      </c>
      <c r="D585" s="566" t="s">
        <v>38</v>
      </c>
      <c r="E585" s="169"/>
      <c r="F585" s="169"/>
      <c r="G585" s="170"/>
      <c r="H585" s="171"/>
      <c r="I585" s="163"/>
      <c r="J585" s="54"/>
      <c r="K585" s="55"/>
      <c r="L585" s="62"/>
      <c r="M585" s="55"/>
      <c r="N585" s="55"/>
      <c r="O585" s="164"/>
      <c r="P585" s="164"/>
      <c r="Q585" s="55"/>
      <c r="R585" s="55"/>
      <c r="S585" s="55"/>
      <c r="T585" s="164"/>
      <c r="U585" s="164"/>
    </row>
    <row r="586" spans="1:21" ht="12.75" hidden="1">
      <c r="A586" s="258"/>
      <c r="B586" s="260"/>
      <c r="C586" s="259"/>
      <c r="D586" s="260"/>
      <c r="E586" s="259"/>
      <c r="F586" s="260"/>
      <c r="G586" s="261"/>
      <c r="H586" s="261"/>
      <c r="I586" s="263"/>
      <c r="J586" s="263"/>
      <c r="K586" s="264"/>
      <c r="L586" s="265"/>
      <c r="M586" s="264"/>
      <c r="N586" s="264"/>
      <c r="O586" s="264"/>
      <c r="P586" s="264"/>
      <c r="Q586" s="264"/>
      <c r="R586" s="264"/>
      <c r="S586" s="264"/>
      <c r="T586" s="264"/>
      <c r="U586" s="264"/>
    </row>
    <row r="587" spans="1:21" ht="12.75" hidden="1">
      <c r="A587" s="258"/>
      <c r="B587" s="260"/>
      <c r="C587" s="259"/>
      <c r="D587" s="260"/>
      <c r="E587" s="259"/>
      <c r="F587" s="260"/>
      <c r="G587" s="261"/>
      <c r="H587" s="261"/>
      <c r="I587" s="263"/>
      <c r="J587" s="263"/>
      <c r="K587" s="264"/>
      <c r="L587" s="265"/>
      <c r="M587" s="264"/>
      <c r="N587" s="264"/>
      <c r="O587" s="264"/>
      <c r="P587" s="264"/>
      <c r="Q587" s="264"/>
      <c r="R587" s="264"/>
      <c r="S587" s="264"/>
      <c r="T587" s="264"/>
      <c r="U587" s="264"/>
    </row>
    <row r="588" spans="1:21" ht="12.75" hidden="1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5"/>
      <c r="M588" s="264"/>
      <c r="N588" s="264"/>
      <c r="O588" s="264"/>
      <c r="P588" s="264"/>
      <c r="Q588" s="264"/>
      <c r="R588" s="264"/>
      <c r="S588" s="264"/>
      <c r="T588" s="264"/>
      <c r="U588" s="264"/>
    </row>
    <row r="589" spans="1:21" ht="12.75" hidden="1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5"/>
      <c r="M589" s="264"/>
      <c r="N589" s="264"/>
      <c r="O589" s="264"/>
      <c r="P589" s="264"/>
      <c r="Q589" s="264"/>
      <c r="R589" s="264"/>
      <c r="S589" s="264"/>
      <c r="T589" s="264"/>
      <c r="U589" s="264"/>
    </row>
    <row r="590" spans="1:21" ht="12.75" hidden="1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5"/>
      <c r="M590" s="264"/>
      <c r="N590" s="264"/>
      <c r="O590" s="264"/>
      <c r="P590" s="264"/>
      <c r="Q590" s="264"/>
      <c r="R590" s="264"/>
      <c r="S590" s="264"/>
      <c r="T590" s="264"/>
      <c r="U590" s="264"/>
    </row>
    <row r="591" spans="1:21" ht="12.75" hidden="1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5"/>
      <c r="M591" s="264"/>
      <c r="N591" s="264"/>
      <c r="O591" s="264"/>
      <c r="P591" s="264"/>
      <c r="Q591" s="264"/>
      <c r="R591" s="264"/>
      <c r="S591" s="264"/>
      <c r="T591" s="264"/>
      <c r="U591" s="264"/>
    </row>
    <row r="592" spans="1:21" ht="12.75" hidden="1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5"/>
      <c r="M592" s="264"/>
      <c r="N592" s="264"/>
      <c r="O592" s="264"/>
      <c r="P592" s="264"/>
      <c r="Q592" s="264"/>
      <c r="R592" s="264"/>
      <c r="S592" s="264"/>
      <c r="T592" s="264"/>
      <c r="U592" s="264"/>
    </row>
    <row r="593" spans="1:21" ht="12.75" hidden="1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5"/>
      <c r="M593" s="264"/>
      <c r="N593" s="264"/>
      <c r="O593" s="264"/>
      <c r="P593" s="264"/>
      <c r="Q593" s="264"/>
      <c r="R593" s="264"/>
      <c r="S593" s="264"/>
      <c r="T593" s="264"/>
      <c r="U593" s="264"/>
    </row>
    <row r="594" spans="1:21" ht="12.75" hidden="1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5"/>
      <c r="M594" s="264"/>
      <c r="N594" s="264"/>
      <c r="O594" s="264"/>
      <c r="P594" s="264"/>
      <c r="Q594" s="264"/>
      <c r="R594" s="264"/>
      <c r="S594" s="264"/>
      <c r="T594" s="264"/>
      <c r="U594" s="264"/>
    </row>
    <row r="595" spans="1:21" ht="12.75" hidden="1">
      <c r="A595" s="407"/>
      <c r="B595" s="360"/>
      <c r="C595" s="360"/>
      <c r="D595" s="408"/>
      <c r="E595" s="408"/>
      <c r="F595" s="408"/>
      <c r="G595" s="409"/>
      <c r="H595" s="361"/>
      <c r="I595" s="362"/>
      <c r="J595" s="362"/>
      <c r="K595" s="363"/>
      <c r="L595" s="364"/>
      <c r="M595" s="363"/>
      <c r="N595" s="363"/>
      <c r="O595" s="363"/>
      <c r="P595" s="363"/>
      <c r="Q595" s="363"/>
      <c r="R595" s="363"/>
      <c r="S595" s="363"/>
      <c r="T595" s="363"/>
      <c r="U595" s="363"/>
    </row>
    <row r="596" spans="1:21" ht="19.5" hidden="1">
      <c r="A596" s="412" t="s">
        <v>214</v>
      </c>
      <c r="B596" s="144"/>
      <c r="C596" s="196"/>
      <c r="D596" s="144"/>
      <c r="E596" s="144"/>
      <c r="F596" s="144"/>
      <c r="G596" s="144"/>
      <c r="H596" s="145"/>
      <c r="I596" s="197"/>
      <c r="J596" s="197"/>
      <c r="K596" s="19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8"/>
    </row>
    <row r="597" spans="1:21" ht="19.5" hidden="1">
      <c r="A597" s="150"/>
      <c r="B597" s="413" t="s">
        <v>215</v>
      </c>
      <c r="C597" s="200"/>
      <c r="D597" s="151"/>
      <c r="E597" s="34"/>
      <c r="F597" s="34"/>
      <c r="G597" s="34"/>
      <c r="H597" s="414" t="s">
        <v>99</v>
      </c>
      <c r="I597" s="210"/>
      <c r="J597" s="39"/>
      <c r="K597" s="40"/>
      <c r="L597" s="154"/>
      <c r="M597" s="40"/>
      <c r="N597" s="40"/>
      <c r="O597" s="40"/>
      <c r="P597" s="40"/>
      <c r="Q597" s="40"/>
      <c r="R597" s="40"/>
      <c r="S597" s="40"/>
      <c r="T597" s="40"/>
      <c r="U597" s="40"/>
    </row>
    <row r="598" spans="1:21" ht="19.5" hidden="1">
      <c r="A598" s="415"/>
      <c r="B598" s="416" t="s">
        <v>216</v>
      </c>
      <c r="C598" s="151"/>
      <c r="D598" s="34"/>
      <c r="E598" s="34"/>
      <c r="F598" s="34"/>
      <c r="G598" s="37"/>
      <c r="H598" s="417" t="s">
        <v>35</v>
      </c>
      <c r="I598" s="39"/>
      <c r="J598" s="39"/>
      <c r="K598" s="40"/>
      <c r="L598" s="154"/>
      <c r="M598" s="40"/>
      <c r="N598" s="40"/>
      <c r="O598" s="40"/>
      <c r="P598" s="40"/>
      <c r="Q598" s="40"/>
      <c r="R598" s="40"/>
      <c r="S598" s="40"/>
      <c r="T598" s="40"/>
      <c r="U598" s="40"/>
    </row>
    <row r="599" spans="1:21" ht="19.5" hidden="1">
      <c r="A599" s="155"/>
      <c r="B599" s="188"/>
      <c r="C599" s="205" t="s">
        <v>18</v>
      </c>
      <c r="D599" s="563" t="s">
        <v>19</v>
      </c>
      <c r="E599" s="529"/>
      <c r="F599" s="529"/>
      <c r="G599" s="530"/>
      <c r="H599" s="418" t="s">
        <v>14</v>
      </c>
      <c r="I599" s="54"/>
      <c r="J599" s="54"/>
      <c r="K599" s="55"/>
      <c r="L599" s="541">
        <f>L600+L601</f>
        <v>0</v>
      </c>
      <c r="M599" s="540">
        <f>M600+M601</f>
        <v>0</v>
      </c>
      <c r="N599" s="540">
        <f>N600+N601</f>
        <v>0</v>
      </c>
      <c r="O599" s="540">
        <f>IF(L599&gt;0,N599*100/L599,0)</f>
        <v>0</v>
      </c>
      <c r="P599" s="540">
        <f>IF(M599&gt;0,N599*100/M599,0)</f>
        <v>0</v>
      </c>
      <c r="Q599" s="540">
        <f>Q600+Q601</f>
        <v>0</v>
      </c>
      <c r="R599" s="540">
        <f>R600+R601</f>
        <v>0</v>
      </c>
      <c r="S599" s="540">
        <f>S600+S601</f>
        <v>0</v>
      </c>
      <c r="T599" s="540">
        <f>IF(Q599&gt;0,S599*100/Q599,0)</f>
        <v>0</v>
      </c>
      <c r="U599" s="540">
        <f>IF(R599&gt;0,S599*100/R599,0)</f>
        <v>0</v>
      </c>
    </row>
    <row r="600" spans="1:21" ht="18.75" hidden="1">
      <c r="A600" s="155"/>
      <c r="B600" s="188"/>
      <c r="C600" s="188"/>
      <c r="D600" s="174"/>
      <c r="E600" s="186" t="s">
        <v>159</v>
      </c>
      <c r="F600" s="50"/>
      <c r="G600" s="52"/>
      <c r="H600" s="189" t="s">
        <v>14</v>
      </c>
      <c r="I600" s="54"/>
      <c r="J600" s="54"/>
      <c r="K600" s="55"/>
      <c r="L600" s="103">
        <f>L603+L606</f>
        <v>0</v>
      </c>
      <c r="M600" s="102">
        <f>M603+M606</f>
        <v>0</v>
      </c>
      <c r="N600" s="102">
        <f>N603+N606</f>
        <v>0</v>
      </c>
      <c r="O600" s="102">
        <f>IF(L600&gt;0,N600*100/L600,0)</f>
        <v>0</v>
      </c>
      <c r="P600" s="102">
        <f>IF(M600&gt;0,N600*100/M600,0)</f>
        <v>0</v>
      </c>
      <c r="Q600" s="102">
        <f>Q603+Q606</f>
        <v>0</v>
      </c>
      <c r="R600" s="102">
        <f>R603+R606</f>
        <v>0</v>
      </c>
      <c r="S600" s="102">
        <f>S603+S606</f>
        <v>0</v>
      </c>
      <c r="T600" s="102">
        <f>IF(Q600&gt;0,S600*100/Q600,0)</f>
        <v>0</v>
      </c>
      <c r="U600" s="102">
        <f>IF(R600&gt;0,S600*100/R600,0)</f>
        <v>0</v>
      </c>
    </row>
    <row r="601" spans="1:21" ht="18.75" hidden="1">
      <c r="A601" s="155"/>
      <c r="B601" s="188"/>
      <c r="C601" s="188"/>
      <c r="D601" s="174"/>
      <c r="E601" s="186" t="s">
        <v>160</v>
      </c>
      <c r="F601" s="50"/>
      <c r="G601" s="52"/>
      <c r="H601" s="189" t="s">
        <v>14</v>
      </c>
      <c r="I601" s="54"/>
      <c r="J601" s="54"/>
      <c r="K601" s="55"/>
      <c r="L601" s="256">
        <f>L604+L607</f>
        <v>0</v>
      </c>
      <c r="M601" s="255">
        <f>M604+M607</f>
        <v>0</v>
      </c>
      <c r="N601" s="255">
        <f>N604+N607</f>
        <v>0</v>
      </c>
      <c r="O601" s="255">
        <f>IF(L601&gt;0,N601*100/L601,0)</f>
        <v>0</v>
      </c>
      <c r="P601" s="255">
        <f>IF(M601&gt;0,N601*100/M601,0)</f>
        <v>0</v>
      </c>
      <c r="Q601" s="255">
        <f>Q604+Q607</f>
        <v>0</v>
      </c>
      <c r="R601" s="255">
        <f>R604+R607</f>
        <v>0</v>
      </c>
      <c r="S601" s="255">
        <f>S604+S607</f>
        <v>0</v>
      </c>
      <c r="T601" s="255">
        <f>IF(Q601&gt;0,S601*100/Q601,0)</f>
        <v>0</v>
      </c>
      <c r="U601" s="255">
        <f>IF(R601&gt;0,S601*100/R601,0)</f>
        <v>0</v>
      </c>
    </row>
    <row r="602" spans="1:21" ht="19.5" hidden="1">
      <c r="A602" s="155"/>
      <c r="B602" s="188"/>
      <c r="C602" s="188"/>
      <c r="D602" s="562" t="s">
        <v>22</v>
      </c>
      <c r="E602" s="50"/>
      <c r="F602" s="50"/>
      <c r="G602" s="52"/>
      <c r="H602" s="418" t="s">
        <v>14</v>
      </c>
      <c r="I602" s="163"/>
      <c r="J602" s="163"/>
      <c r="K602" s="164"/>
      <c r="L602" s="256">
        <f>L603+L604</f>
        <v>0</v>
      </c>
      <c r="M602" s="255">
        <f>M603+M604</f>
        <v>0</v>
      </c>
      <c r="N602" s="255">
        <f>N603+N604</f>
        <v>0</v>
      </c>
      <c r="O602" s="255">
        <f>IF(L602&gt;0,N602*100/L602,0)</f>
        <v>0</v>
      </c>
      <c r="P602" s="255">
        <f>IF(M602&gt;0,N602*100/M602,0)</f>
        <v>0</v>
      </c>
      <c r="Q602" s="255">
        <f>Q603+Q604</f>
        <v>0</v>
      </c>
      <c r="R602" s="255">
        <f>R603+R604</f>
        <v>0</v>
      </c>
      <c r="S602" s="255">
        <f>S603+S604</f>
        <v>0</v>
      </c>
      <c r="T602" s="255">
        <f>IF(Q602&gt;0,S602*100/Q602,0)</f>
        <v>0</v>
      </c>
      <c r="U602" s="255">
        <f>IF(R602&gt;0,S602*100/R602,0)</f>
        <v>0</v>
      </c>
    </row>
    <row r="603" spans="1:21" ht="18.75" hidden="1">
      <c r="A603" s="155"/>
      <c r="B603" s="188"/>
      <c r="C603" s="188"/>
      <c r="D603" s="174"/>
      <c r="E603" s="186" t="s">
        <v>159</v>
      </c>
      <c r="F603" s="50"/>
      <c r="G603" s="52"/>
      <c r="H603" s="189" t="s">
        <v>14</v>
      </c>
      <c r="I603" s="54"/>
      <c r="J603" s="54"/>
      <c r="K603" s="55"/>
      <c r="L603" s="103">
        <v>0</v>
      </c>
      <c r="M603" s="102">
        <v>0</v>
      </c>
      <c r="N603" s="102">
        <v>0</v>
      </c>
      <c r="O603" s="102">
        <f>IF(L603&gt;0,N603*100/L603,0)</f>
        <v>0</v>
      </c>
      <c r="P603" s="102">
        <f>IF(M603&gt;0,N603*100/M603,0)</f>
        <v>0</v>
      </c>
      <c r="Q603" s="102">
        <v>0</v>
      </c>
      <c r="R603" s="102">
        <v>0</v>
      </c>
      <c r="S603" s="102">
        <v>0</v>
      </c>
      <c r="T603" s="102">
        <f>IF(Q603&gt;0,S603*100/Q603,0)</f>
        <v>0</v>
      </c>
      <c r="U603" s="102">
        <f>IF(R603&gt;0,S603*100/R603,0)</f>
        <v>0</v>
      </c>
    </row>
    <row r="604" spans="1:21" ht="18.75" hidden="1">
      <c r="A604" s="155"/>
      <c r="B604" s="188"/>
      <c r="C604" s="188"/>
      <c r="D604" s="174"/>
      <c r="E604" s="186" t="s">
        <v>160</v>
      </c>
      <c r="F604" s="50"/>
      <c r="G604" s="52"/>
      <c r="H604" s="189" t="s">
        <v>14</v>
      </c>
      <c r="I604" s="54"/>
      <c r="J604" s="54"/>
      <c r="K604" s="55"/>
      <c r="L604" s="256">
        <v>0</v>
      </c>
      <c r="M604" s="255">
        <v>0</v>
      </c>
      <c r="N604" s="255">
        <v>0</v>
      </c>
      <c r="O604" s="255">
        <f>IF(L604&gt;0,N604*100/L604,0)</f>
        <v>0</v>
      </c>
      <c r="P604" s="255">
        <f>IF(M604&gt;0,N604*100/M604,0)</f>
        <v>0</v>
      </c>
      <c r="Q604" s="255">
        <v>0</v>
      </c>
      <c r="R604" s="255">
        <v>0</v>
      </c>
      <c r="S604" s="255">
        <v>0</v>
      </c>
      <c r="T604" s="255">
        <f>IF(Q604&gt;0,S604*100/Q604,0)</f>
        <v>0</v>
      </c>
      <c r="U604" s="255">
        <f>IF(R604&gt;0,S604*100/R604,0)</f>
        <v>0</v>
      </c>
    </row>
    <row r="605" spans="1:21" ht="19.5" hidden="1">
      <c r="A605" s="155"/>
      <c r="B605" s="188"/>
      <c r="C605" s="188"/>
      <c r="D605" s="562" t="s">
        <v>23</v>
      </c>
      <c r="E605" s="188"/>
      <c r="F605" s="50"/>
      <c r="G605" s="52"/>
      <c r="H605" s="420" t="s">
        <v>14</v>
      </c>
      <c r="I605" s="163"/>
      <c r="J605" s="163"/>
      <c r="K605" s="164"/>
      <c r="L605" s="256">
        <f>L606+L607</f>
        <v>0</v>
      </c>
      <c r="M605" s="255">
        <f>M606+M607</f>
        <v>0</v>
      </c>
      <c r="N605" s="255">
        <f>N606+N607</f>
        <v>0</v>
      </c>
      <c r="O605" s="255">
        <f>IF(L605&gt;0,N605*100/L605,0)</f>
        <v>0</v>
      </c>
      <c r="P605" s="255">
        <f>IF(M605&gt;0,N605*100/M605,0)</f>
        <v>0</v>
      </c>
      <c r="Q605" s="255">
        <f>Q606+Q607</f>
        <v>0</v>
      </c>
      <c r="R605" s="255">
        <f>R606+R607</f>
        <v>0</v>
      </c>
      <c r="S605" s="255">
        <f>S606+S607</f>
        <v>0</v>
      </c>
      <c r="T605" s="255">
        <f>IF(Q605&gt;0,S605*100/Q605,0)</f>
        <v>0</v>
      </c>
      <c r="U605" s="255">
        <f>IF(R605&gt;0,S605*100/R605,0)</f>
        <v>0</v>
      </c>
    </row>
    <row r="606" spans="1:21" ht="18.75" hidden="1">
      <c r="A606" s="155"/>
      <c r="B606" s="188"/>
      <c r="C606" s="188"/>
      <c r="D606" s="188"/>
      <c r="E606" s="358" t="s">
        <v>20</v>
      </c>
      <c r="F606" s="50"/>
      <c r="G606" s="52"/>
      <c r="H606" s="189" t="s">
        <v>14</v>
      </c>
      <c r="I606" s="163"/>
      <c r="J606" s="163"/>
      <c r="K606" s="164"/>
      <c r="L606" s="103">
        <v>0</v>
      </c>
      <c r="M606" s="102">
        <v>0</v>
      </c>
      <c r="N606" s="102">
        <v>0</v>
      </c>
      <c r="O606" s="102">
        <f>IF(L606&gt;0,N606*100/L606,0)</f>
        <v>0</v>
      </c>
      <c r="P606" s="102">
        <f>IF(M606&gt;0,N606*100/M606,0)</f>
        <v>0</v>
      </c>
      <c r="Q606" s="102">
        <v>0</v>
      </c>
      <c r="R606" s="102">
        <v>0</v>
      </c>
      <c r="S606" s="102">
        <v>0</v>
      </c>
      <c r="T606" s="102">
        <f>IF(Q606&gt;0,S606*100/Q606,0)</f>
        <v>0</v>
      </c>
      <c r="U606" s="102">
        <f>IF(R606&gt;0,S606*100/R606,0)</f>
        <v>0</v>
      </c>
    </row>
    <row r="607" spans="1:21" ht="18.75" hidden="1">
      <c r="A607" s="155"/>
      <c r="B607" s="188"/>
      <c r="C607" s="188"/>
      <c r="D607" s="50"/>
      <c r="E607" s="358" t="s">
        <v>21</v>
      </c>
      <c r="F607" s="50"/>
      <c r="G607" s="52"/>
      <c r="H607" s="421" t="s">
        <v>14</v>
      </c>
      <c r="I607" s="163"/>
      <c r="J607" s="163"/>
      <c r="K607" s="164"/>
      <c r="L607" s="256">
        <v>0</v>
      </c>
      <c r="M607" s="255">
        <v>0</v>
      </c>
      <c r="N607" s="255">
        <v>0</v>
      </c>
      <c r="O607" s="255">
        <f>IF(L607&gt;0,N607*100/L607,0)</f>
        <v>0</v>
      </c>
      <c r="P607" s="255">
        <f>IF(M607&gt;0,N607*100/M607,0)</f>
        <v>0</v>
      </c>
      <c r="Q607" s="255">
        <v>0</v>
      </c>
      <c r="R607" s="255">
        <v>0</v>
      </c>
      <c r="S607" s="255">
        <v>0</v>
      </c>
      <c r="T607" s="255">
        <f>IF(Q607&gt;0,S607*100/Q607,0)</f>
        <v>0</v>
      </c>
      <c r="U607" s="255">
        <f>IF(R607&gt;0,S607*100/R607,0)</f>
        <v>0</v>
      </c>
    </row>
    <row r="608" spans="1:21" ht="19.5" hidden="1">
      <c r="A608" s="166"/>
      <c r="B608" s="167"/>
      <c r="C608" s="205" t="s">
        <v>18</v>
      </c>
      <c r="D608" s="574" t="s">
        <v>38</v>
      </c>
      <c r="E608" s="169"/>
      <c r="F608" s="169"/>
      <c r="G608" s="170"/>
      <c r="H608" s="206"/>
      <c r="I608" s="163"/>
      <c r="J608" s="163"/>
      <c r="K608" s="164"/>
      <c r="L608" s="62"/>
      <c r="M608" s="55"/>
      <c r="N608" s="55"/>
      <c r="O608" s="55"/>
      <c r="P608" s="55"/>
      <c r="Q608" s="55"/>
      <c r="R608" s="55"/>
      <c r="S608" s="55"/>
      <c r="T608" s="55"/>
      <c r="U608" s="55"/>
    </row>
    <row r="609" spans="1:21" ht="18.75" hidden="1">
      <c r="A609" s="166"/>
      <c r="B609" s="167"/>
      <c r="C609" s="167"/>
      <c r="D609" s="423" t="s">
        <v>217</v>
      </c>
      <c r="E609" s="174"/>
      <c r="F609" s="174"/>
      <c r="G609" s="171"/>
      <c r="H609" s="189" t="s">
        <v>99</v>
      </c>
      <c r="I609" s="54"/>
      <c r="J609" s="54"/>
      <c r="K609" s="164"/>
      <c r="L609" s="62"/>
      <c r="M609" s="55"/>
      <c r="N609" s="55"/>
      <c r="O609" s="55"/>
      <c r="P609" s="55"/>
      <c r="Q609" s="55"/>
      <c r="R609" s="55"/>
      <c r="S609" s="55"/>
      <c r="T609" s="55"/>
      <c r="U609" s="55"/>
    </row>
    <row r="610" spans="1:21" ht="19.5" hidden="1">
      <c r="A610" s="166"/>
      <c r="B610" s="167"/>
      <c r="C610" s="167"/>
      <c r="D610" s="423" t="s">
        <v>218</v>
      </c>
      <c r="E610" s="174"/>
      <c r="F610" s="174"/>
      <c r="G610" s="171"/>
      <c r="H610" s="418" t="s">
        <v>35</v>
      </c>
      <c r="I610" s="54"/>
      <c r="J610" s="54"/>
      <c r="K610" s="164"/>
      <c r="L610" s="62"/>
      <c r="M610" s="55"/>
      <c r="N610" s="55"/>
      <c r="O610" s="55"/>
      <c r="P610" s="55"/>
      <c r="Q610" s="55"/>
      <c r="R610" s="55"/>
      <c r="S610" s="55"/>
      <c r="T610" s="55"/>
      <c r="U610" s="55"/>
    </row>
    <row r="611" spans="1:21" ht="18.75" hidden="1">
      <c r="A611" s="166"/>
      <c r="B611" s="167"/>
      <c r="C611" s="167"/>
      <c r="D611" s="167"/>
      <c r="E611" s="423" t="s">
        <v>219</v>
      </c>
      <c r="F611" s="174"/>
      <c r="G611" s="171"/>
      <c r="H611" s="421" t="s">
        <v>35</v>
      </c>
      <c r="I611" s="54"/>
      <c r="J611" s="54"/>
      <c r="K611" s="164"/>
      <c r="L611" s="62"/>
      <c r="M611" s="55"/>
      <c r="N611" s="55"/>
      <c r="O611" s="55"/>
      <c r="P611" s="55"/>
      <c r="Q611" s="55"/>
      <c r="R611" s="55"/>
      <c r="S611" s="55"/>
      <c r="T611" s="55"/>
      <c r="U611" s="55"/>
    </row>
    <row r="612" spans="1:21" ht="19.5" hidden="1" thickBot="1">
      <c r="A612" s="424"/>
      <c r="B612" s="425"/>
      <c r="C612" s="425"/>
      <c r="D612" s="425"/>
      <c r="E612" s="426" t="s">
        <v>220</v>
      </c>
      <c r="F612" s="427"/>
      <c r="G612" s="428"/>
      <c r="H612" s="429" t="s">
        <v>35</v>
      </c>
      <c r="I612" s="430"/>
      <c r="J612" s="430"/>
      <c r="K612" s="431"/>
      <c r="L612" s="433"/>
      <c r="M612" s="432"/>
      <c r="N612" s="432"/>
      <c r="O612" s="432"/>
      <c r="P612" s="432"/>
      <c r="Q612" s="432"/>
      <c r="R612" s="432"/>
      <c r="S612" s="432"/>
      <c r="T612" s="432"/>
      <c r="U612" s="432"/>
    </row>
    <row r="613" spans="1:21" ht="19.5" hidden="1">
      <c r="A613" s="434" t="s">
        <v>221</v>
      </c>
      <c r="B613" s="435"/>
      <c r="C613" s="435"/>
      <c r="D613" s="436"/>
      <c r="E613" s="436"/>
      <c r="F613" s="436"/>
      <c r="G613" s="437"/>
      <c r="H613" s="438"/>
      <c r="I613" s="439"/>
      <c r="J613" s="439"/>
      <c r="K613" s="440"/>
      <c r="L613" s="441"/>
      <c r="M613" s="440"/>
      <c r="N613" s="440"/>
      <c r="O613" s="440"/>
      <c r="P613" s="440"/>
      <c r="Q613" s="440"/>
      <c r="R613" s="440"/>
      <c r="S613" s="440"/>
      <c r="T613" s="440"/>
      <c r="U613" s="440"/>
    </row>
    <row r="614" spans="1:21" ht="19.5">
      <c r="A614" s="442"/>
      <c r="B614" s="443" t="s">
        <v>222</v>
      </c>
      <c r="C614" s="442"/>
      <c r="D614" s="444"/>
      <c r="E614" s="444"/>
      <c r="F614" s="444"/>
      <c r="G614" s="445"/>
      <c r="H614" s="446"/>
      <c r="I614" s="447"/>
      <c r="J614" s="447"/>
      <c r="K614" s="448"/>
      <c r="L614" s="449"/>
      <c r="M614" s="448"/>
      <c r="N614" s="448"/>
      <c r="O614" s="448"/>
      <c r="P614" s="448"/>
      <c r="Q614" s="448"/>
      <c r="R614" s="448"/>
      <c r="S614" s="448"/>
      <c r="T614" s="448"/>
      <c r="U614" s="448"/>
    </row>
    <row r="615" spans="1:21" ht="19.5">
      <c r="A615" s="450"/>
      <c r="B615" s="451" t="s">
        <v>223</v>
      </c>
      <c r="C615" s="450"/>
      <c r="D615" s="452"/>
      <c r="E615" s="452"/>
      <c r="F615" s="452"/>
      <c r="G615" s="453"/>
      <c r="H615" s="454" t="s">
        <v>46</v>
      </c>
      <c r="I615" s="573">
        <f ca="1">I626</f>
        <v>50</v>
      </c>
      <c r="J615" s="573">
        <f>J626</f>
        <v>0</v>
      </c>
      <c r="K615" s="572">
        <f ca="1">IF(I615&gt;0,J615*100/I615,0)</f>
        <v>0</v>
      </c>
      <c r="L615" s="458"/>
      <c r="M615" s="457"/>
      <c r="N615" s="457"/>
      <c r="O615" s="457"/>
      <c r="P615" s="457"/>
      <c r="Q615" s="457"/>
      <c r="R615" s="457"/>
      <c r="S615" s="457"/>
      <c r="T615" s="457"/>
      <c r="U615" s="457"/>
    </row>
    <row r="616" spans="1:21" ht="19.5">
      <c r="A616" s="155"/>
      <c r="B616" s="188"/>
      <c r="C616" s="205" t="s">
        <v>18</v>
      </c>
      <c r="D616" s="542" t="s">
        <v>19</v>
      </c>
      <c r="E616" s="529"/>
      <c r="F616" s="529"/>
      <c r="G616" s="530"/>
      <c r="H616" s="252" t="s">
        <v>14</v>
      </c>
      <c r="I616" s="54"/>
      <c r="J616" s="54"/>
      <c r="K616" s="55"/>
      <c r="L616" s="541">
        <f>L617+L618</f>
        <v>0</v>
      </c>
      <c r="M616" s="540">
        <f>M617+M618</f>
        <v>0</v>
      </c>
      <c r="N616" s="540">
        <f>N617+N618</f>
        <v>0</v>
      </c>
      <c r="O616" s="540">
        <f>IF(L616&gt;0,N616*100/L616,0)</f>
        <v>0</v>
      </c>
      <c r="P616" s="540">
        <f>IF(M616&gt;0,N616*100/M616,0)</f>
        <v>0</v>
      </c>
      <c r="Q616" s="540">
        <f ca="1">Q617+Q618</f>
        <v>6650</v>
      </c>
      <c r="R616" s="540">
        <f ca="1">R617+R618</f>
        <v>6650</v>
      </c>
      <c r="S616" s="540">
        <f ca="1">S617+S618</f>
        <v>1000</v>
      </c>
      <c r="T616" s="540">
        <f ca="1">IF(Q616&gt;0,S616*100/Q616,0)</f>
        <v>15.037593984962406</v>
      </c>
      <c r="U616" s="540">
        <f ca="1">IF(R616&gt;0,S616*100/R616,0)</f>
        <v>15.037593984962406</v>
      </c>
    </row>
    <row r="617" spans="1:21" ht="18.75" hidden="1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103">
        <f>L620+L623</f>
        <v>0</v>
      </c>
      <c r="M617" s="102">
        <f>M620+M623</f>
        <v>0</v>
      </c>
      <c r="N617" s="102">
        <f>N620+N623</f>
        <v>0</v>
      </c>
      <c r="O617" s="102">
        <f>IF(L617&gt;0,N617*100/L617,0)</f>
        <v>0</v>
      </c>
      <c r="P617" s="102">
        <f>IF(M617&gt;0,N617*100/M617,0)</f>
        <v>0</v>
      </c>
      <c r="Q617" s="102">
        <f>Q620+Q623</f>
        <v>0</v>
      </c>
      <c r="R617" s="102">
        <f>R620+R623</f>
        <v>0</v>
      </c>
      <c r="S617" s="102">
        <f>S620+S623</f>
        <v>0</v>
      </c>
      <c r="T617" s="102">
        <f>IF(Q617&gt;0,S617*100/Q617,0)</f>
        <v>0</v>
      </c>
      <c r="U617" s="102">
        <f>IF(R617&gt;0,S617*100/R617,0)</f>
        <v>0</v>
      </c>
    </row>
    <row r="618" spans="1:21" ht="18.75" hidden="1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256">
        <f>L621+L624</f>
        <v>0</v>
      </c>
      <c r="M618" s="255">
        <f>M621+M624</f>
        <v>0</v>
      </c>
      <c r="N618" s="255">
        <f>N621+N624</f>
        <v>0</v>
      </c>
      <c r="O618" s="255">
        <f>IF(L618&gt;0,N618*100/L618,0)</f>
        <v>0</v>
      </c>
      <c r="P618" s="255">
        <f>IF(M618&gt;0,N618*100/M618,0)</f>
        <v>0</v>
      </c>
      <c r="Q618" s="255">
        <f ca="1">Q621+Q624</f>
        <v>6650</v>
      </c>
      <c r="R618" s="255">
        <f ca="1">R621+R624</f>
        <v>6650</v>
      </c>
      <c r="S618" s="255">
        <f ca="1">S621+S624</f>
        <v>1000</v>
      </c>
      <c r="T618" s="255">
        <f ca="1">IF(Q618&gt;0,S618*100/Q618,0)</f>
        <v>15.037593984962406</v>
      </c>
      <c r="U618" s="255">
        <f ca="1">IF(R618&gt;0,S618*100/R618,0)</f>
        <v>15.037593984962406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256">
        <f>L620+L621</f>
        <v>0</v>
      </c>
      <c r="M619" s="255">
        <f>M620+M621</f>
        <v>0</v>
      </c>
      <c r="N619" s="255">
        <f>N620+N621</f>
        <v>0</v>
      </c>
      <c r="O619" s="255">
        <f>IF(L619&gt;0,N619*100/L619,0)</f>
        <v>0</v>
      </c>
      <c r="P619" s="255">
        <f>IF(M619&gt;0,N619*100/M619,0)</f>
        <v>0</v>
      </c>
      <c r="Q619" s="255">
        <f ca="1">Q620+Q621</f>
        <v>6650</v>
      </c>
      <c r="R619" s="255">
        <f ca="1">R620+R621</f>
        <v>6650</v>
      </c>
      <c r="S619" s="255">
        <f ca="1">S620+S621</f>
        <v>1000</v>
      </c>
      <c r="T619" s="255">
        <f ca="1">IF(Q619&gt;0,S619*100/Q619,0)</f>
        <v>15.037593984962406</v>
      </c>
      <c r="U619" s="255">
        <f ca="1">IF(R619&gt;0,S619*100/R619,0)</f>
        <v>15.037593984962406</v>
      </c>
    </row>
    <row r="620" spans="1:21" ht="18.75" hidden="1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103">
        <v>0</v>
      </c>
      <c r="M620" s="102">
        <v>0</v>
      </c>
      <c r="N620" s="102">
        <v>0</v>
      </c>
      <c r="O620" s="102">
        <f>IF(L620&gt;0,N620*100/L620,0)</f>
        <v>0</v>
      </c>
      <c r="P620" s="102">
        <f>IF(M620&gt;0,N620*100/M620,0)</f>
        <v>0</v>
      </c>
      <c r="Q620" s="102">
        <v>0</v>
      </c>
      <c r="R620" s="102">
        <v>0</v>
      </c>
      <c r="S620" s="102">
        <v>0</v>
      </c>
      <c r="T620" s="102">
        <f>IF(Q620&gt;0,S620*100/Q620,0)</f>
        <v>0</v>
      </c>
      <c r="U620" s="102">
        <f>IF(R620&gt;0,S620*100/R620,0)</f>
        <v>0</v>
      </c>
    </row>
    <row r="621" spans="1:21" ht="18.75" hidden="1">
      <c r="A621" s="155"/>
      <c r="B621" s="188"/>
      <c r="C621" s="188"/>
      <c r="D621" s="174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256">
        <v>0</v>
      </c>
      <c r="M621" s="255">
        <v>0</v>
      </c>
      <c r="N621" s="255">
        <v>0</v>
      </c>
      <c r="O621" s="255">
        <f>IF(L621&gt;0,N621*100/L621,0)</f>
        <v>0</v>
      </c>
      <c r="P621" s="255">
        <f>IF(M621&gt;0,N621*100/M621,0)</f>
        <v>0</v>
      </c>
      <c r="Q621" s="255">
        <f ca="1">IFERROR(__xludf.DUMMYFUNCTION("IMPORTRANGE(""https://docs.google.com/spreadsheets/d/1ItG2mGa2ceCfYo0BwxsXqNm01IGEUdYcSSLTEv9YCik/edit?usp=sharing"",""เบิกจ่ายกองทุน!F48"")"),6650)</f>
        <v>6650</v>
      </c>
      <c r="R621" s="255">
        <f ca="1">IFERROR(__xludf.DUMMYFUNCTION("IMPORTRANGE(""https://docs.google.com/spreadsheets/d/1ItG2mGa2ceCfYo0BwxsXqNm01IGEUdYcSSLTEv9YCik/edit?usp=sharing"",""เบิกจ่ายกองทุน!G48"")"),6650)</f>
        <v>6650</v>
      </c>
      <c r="S621" s="255">
        <f ca="1">IFERROR(__xludf.DUMMYFUNCTION("IMPORTRANGE(""https://docs.google.com/spreadsheets/d/1ItG2mGa2ceCfYo0BwxsXqNm01IGEUdYcSSLTEv9YCik/edit?usp=sharing"",""เบิกจ่ายกองทุน!H48"")"),1000)</f>
        <v>1000</v>
      </c>
      <c r="T621" s="255">
        <f ca="1">IF(Q621&gt;0,S621*100/Q621,0)</f>
        <v>15.037593984962406</v>
      </c>
      <c r="U621" s="255">
        <f ca="1">IF(R621&gt;0,S621*100/R621,0)</f>
        <v>15.037593984962406</v>
      </c>
    </row>
    <row r="622" spans="1:21" ht="18.75">
      <c r="A622" s="155"/>
      <c r="B622" s="188"/>
      <c r="C622" s="188"/>
      <c r="D622" s="51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256">
        <f>L623+L624</f>
        <v>0</v>
      </c>
      <c r="M622" s="255">
        <f>M623+M624</f>
        <v>0</v>
      </c>
      <c r="N622" s="255">
        <f>N623+N624</f>
        <v>0</v>
      </c>
      <c r="O622" s="255">
        <f>IF(L622&gt;0,N622*100/L622,0)</f>
        <v>0</v>
      </c>
      <c r="P622" s="255">
        <f>IF(M622&gt;0,N622*100/M622,0)</f>
        <v>0</v>
      </c>
      <c r="Q622" s="255">
        <f>Q623+Q624</f>
        <v>0</v>
      </c>
      <c r="R622" s="255">
        <f>R623+R624</f>
        <v>0</v>
      </c>
      <c r="S622" s="255">
        <f>S623+S624</f>
        <v>0</v>
      </c>
      <c r="T622" s="255">
        <f>IF(Q622&gt;0,S622*100/Q622,0)</f>
        <v>0</v>
      </c>
      <c r="U622" s="255">
        <f>IF(R622&gt;0,S622*100/R622,0)</f>
        <v>0</v>
      </c>
    </row>
    <row r="623" spans="1:21" ht="18.75" hidden="1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103">
        <v>0</v>
      </c>
      <c r="M623" s="102">
        <v>0</v>
      </c>
      <c r="N623" s="102">
        <v>0</v>
      </c>
      <c r="O623" s="102">
        <f>IF(L623&gt;0,N623*100/L623,0)</f>
        <v>0</v>
      </c>
      <c r="P623" s="102">
        <f>IF(M623&gt;0,N623*100/M623,0)</f>
        <v>0</v>
      </c>
      <c r="Q623" s="102">
        <v>0</v>
      </c>
      <c r="R623" s="102">
        <v>0</v>
      </c>
      <c r="S623" s="102">
        <v>0</v>
      </c>
      <c r="T623" s="102">
        <f>IF(Q623&gt;0,S623*100/Q623,0)</f>
        <v>0</v>
      </c>
      <c r="U623" s="102">
        <f>IF(R623&gt;0,S623*100/R623,0)</f>
        <v>0</v>
      </c>
    </row>
    <row r="624" spans="1:21" ht="18.75" hidden="1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256">
        <v>0</v>
      </c>
      <c r="M624" s="255">
        <v>0</v>
      </c>
      <c r="N624" s="255">
        <v>0</v>
      </c>
      <c r="O624" s="255">
        <f>IF(L624&gt;0,N624*100/L624,0)</f>
        <v>0</v>
      </c>
      <c r="P624" s="255">
        <f>IF(M624&gt;0,N624*100/M624,0)</f>
        <v>0</v>
      </c>
      <c r="Q624" s="255">
        <v>0</v>
      </c>
      <c r="R624" s="255">
        <v>0</v>
      </c>
      <c r="S624" s="255">
        <v>0</v>
      </c>
      <c r="T624" s="255">
        <f>IF(Q624&gt;0,S624*100/Q624,0)</f>
        <v>0</v>
      </c>
      <c r="U624" s="255">
        <f>IF(R624&gt;0,S624*100/R624,0)</f>
        <v>0</v>
      </c>
    </row>
    <row r="625" spans="1:21" ht="19.5">
      <c r="A625" s="166"/>
      <c r="B625" s="167"/>
      <c r="C625" s="205" t="s">
        <v>18</v>
      </c>
      <c r="D625" s="539" t="s">
        <v>38</v>
      </c>
      <c r="E625" s="169"/>
      <c r="F625" s="169"/>
      <c r="G625" s="170"/>
      <c r="H625" s="206"/>
      <c r="I625" s="163"/>
      <c r="J625" s="163"/>
      <c r="K625" s="164"/>
      <c r="L625" s="172"/>
      <c r="M625" s="164"/>
      <c r="N625" s="164"/>
      <c r="O625" s="164"/>
      <c r="P625" s="164"/>
      <c r="Q625" s="164"/>
      <c r="R625" s="164"/>
      <c r="S625" s="164"/>
      <c r="T625" s="164"/>
      <c r="U625" s="164"/>
    </row>
    <row r="626" spans="1:21" ht="19.5">
      <c r="A626" s="166"/>
      <c r="B626" s="167"/>
      <c r="C626" s="167"/>
      <c r="D626" s="460" t="s">
        <v>224</v>
      </c>
      <c r="E626" s="174"/>
      <c r="F626" s="174"/>
      <c r="G626" s="171"/>
      <c r="H626" s="461" t="s">
        <v>46</v>
      </c>
      <c r="I626" s="373">
        <f ca="1">IFERROR(__xludf.DUMMYFUNCTION("IMPORTRANGE(""https://docs.google.com/spreadsheets/d/1eHaY18a8A9IcSdp1K8H6x8fbOy06t2VsZHhMHf-1x7Y/edit?usp=sharing"",""แผน!ID48"")"),50)</f>
        <v>50</v>
      </c>
      <c r="J626" s="373">
        <f>J632</f>
        <v>0</v>
      </c>
      <c r="K626" s="540">
        <f ca="1">IF(I626&gt;0,J626*100/I626,0)</f>
        <v>0</v>
      </c>
      <c r="L626" s="172"/>
      <c r="M626" s="164"/>
      <c r="N626" s="164"/>
      <c r="O626" s="164"/>
      <c r="P626" s="164"/>
      <c r="Q626" s="164"/>
      <c r="R626" s="164"/>
      <c r="S626" s="164"/>
      <c r="T626" s="164"/>
      <c r="U626" s="164"/>
    </row>
    <row r="627" spans="1:21" ht="18.75">
      <c r="A627" s="166"/>
      <c r="B627" s="167"/>
      <c r="C627" s="167"/>
      <c r="D627" s="167"/>
      <c r="E627" s="178" t="s">
        <v>225</v>
      </c>
      <c r="F627" s="174"/>
      <c r="G627" s="171"/>
      <c r="H627" s="165" t="s">
        <v>61</v>
      </c>
      <c r="I627" s="212">
        <f ca="1">IFERROR(__xludf.DUMMYFUNCTION("IMPORTRANGE(""https://docs.google.com/spreadsheets/d/1eHaY18a8A9IcSdp1K8H6x8fbOy06t2VsZHhMHf-1x7Y/edit?usp=sharing"",""แผน!IC48"")"),0)</f>
        <v>0</v>
      </c>
      <c r="J627" s="467">
        <v>0</v>
      </c>
      <c r="K627" s="255">
        <f ca="1">IF(I627&gt;0,(J627*100)/I627,0)</f>
        <v>0</v>
      </c>
      <c r="L627" s="172"/>
      <c r="M627" s="164"/>
      <c r="N627" s="164"/>
      <c r="O627" s="164"/>
      <c r="P627" s="164"/>
      <c r="Q627" s="164"/>
      <c r="R627" s="164"/>
      <c r="S627" s="164"/>
      <c r="T627" s="164"/>
      <c r="U627" s="164"/>
    </row>
    <row r="628" spans="1:21" ht="18.75">
      <c r="A628" s="166"/>
      <c r="B628" s="167"/>
      <c r="C628" s="167"/>
      <c r="D628" s="167"/>
      <c r="E628" s="178" t="s">
        <v>226</v>
      </c>
      <c r="F628" s="174"/>
      <c r="G628" s="171"/>
      <c r="H628" s="165" t="s">
        <v>61</v>
      </c>
      <c r="I628" s="212">
        <f ca="1">IFERROR(__xludf.DUMMYFUNCTION("IMPORTRANGE(""https://docs.google.com/spreadsheets/d/1eHaY18a8A9IcSdp1K8H6x8fbOy06t2VsZHhMHf-1x7Y/edit?usp=sharing"",""แผน!IC48"")"),0)</f>
        <v>0</v>
      </c>
      <c r="J628" s="467">
        <v>0</v>
      </c>
      <c r="K628" s="255">
        <f ca="1">IF(I628&gt;0,(J628*100)/I628,0)</f>
        <v>0</v>
      </c>
      <c r="L628" s="172"/>
      <c r="M628" s="164"/>
      <c r="N628" s="164"/>
      <c r="O628" s="164"/>
      <c r="P628" s="164"/>
      <c r="Q628" s="164"/>
      <c r="R628" s="164"/>
      <c r="S628" s="164"/>
      <c r="T628" s="164"/>
      <c r="U628" s="164"/>
    </row>
    <row r="629" spans="1:21" ht="18.75">
      <c r="A629" s="166"/>
      <c r="B629" s="167"/>
      <c r="C629" s="167"/>
      <c r="D629" s="167"/>
      <c r="E629" s="178" t="s">
        <v>227</v>
      </c>
      <c r="F629" s="174"/>
      <c r="G629" s="171"/>
      <c r="H629" s="165" t="s">
        <v>46</v>
      </c>
      <c r="I629" s="54"/>
      <c r="J629" s="467">
        <v>0</v>
      </c>
      <c r="K629" s="255">
        <f ca="1">IF(I$626&gt;0,J629*100/I$626,0)</f>
        <v>0</v>
      </c>
      <c r="L629" s="172"/>
      <c r="M629" s="164"/>
      <c r="N629" s="164"/>
      <c r="O629" s="164"/>
      <c r="P629" s="164"/>
      <c r="Q629" s="164"/>
      <c r="R629" s="164"/>
      <c r="S629" s="164"/>
      <c r="T629" s="164"/>
      <c r="U629" s="164"/>
    </row>
    <row r="630" spans="1:21" ht="18.75">
      <c r="A630" s="166"/>
      <c r="B630" s="167"/>
      <c r="C630" s="167"/>
      <c r="D630" s="167"/>
      <c r="E630" s="178" t="s">
        <v>228</v>
      </c>
      <c r="F630" s="174"/>
      <c r="G630" s="171"/>
      <c r="H630" s="165" t="s">
        <v>46</v>
      </c>
      <c r="I630" s="54"/>
      <c r="J630" s="467">
        <v>0</v>
      </c>
      <c r="K630" s="255">
        <f ca="1">IF(I$626&gt;0,J630*100/I$626,0)</f>
        <v>0</v>
      </c>
      <c r="L630" s="172"/>
      <c r="M630" s="164"/>
      <c r="N630" s="164"/>
      <c r="O630" s="164"/>
      <c r="P630" s="164"/>
      <c r="Q630" s="164"/>
      <c r="R630" s="164"/>
      <c r="S630" s="164"/>
      <c r="T630" s="164"/>
      <c r="U630" s="164"/>
    </row>
    <row r="631" spans="1:21" ht="18.75">
      <c r="A631" s="166"/>
      <c r="B631" s="167"/>
      <c r="C631" s="167"/>
      <c r="D631" s="167"/>
      <c r="E631" s="178" t="s">
        <v>229</v>
      </c>
      <c r="F631" s="174"/>
      <c r="G631" s="171"/>
      <c r="H631" s="165" t="s">
        <v>46</v>
      </c>
      <c r="I631" s="54"/>
      <c r="J631" s="467">
        <v>0</v>
      </c>
      <c r="K631" s="255">
        <f ca="1">IF(I$626&gt;0,J631*100/I$626,0)</f>
        <v>0</v>
      </c>
      <c r="L631" s="172"/>
      <c r="M631" s="164"/>
      <c r="N631" s="164"/>
      <c r="O631" s="164"/>
      <c r="P631" s="164"/>
      <c r="Q631" s="164"/>
      <c r="R631" s="164"/>
      <c r="S631" s="164"/>
      <c r="T631" s="164"/>
      <c r="U631" s="164"/>
    </row>
    <row r="632" spans="1:21" ht="19.5">
      <c r="A632" s="166"/>
      <c r="B632" s="167"/>
      <c r="C632" s="167"/>
      <c r="D632" s="167"/>
      <c r="E632" s="178" t="s">
        <v>230</v>
      </c>
      <c r="F632" s="174"/>
      <c r="G632" s="171"/>
      <c r="H632" s="165" t="s">
        <v>46</v>
      </c>
      <c r="I632" s="54"/>
      <c r="J632" s="373">
        <f>J633+J634</f>
        <v>0</v>
      </c>
      <c r="K632" s="540">
        <f ca="1">IF(I626&gt;0,J632*100/I626,0)</f>
        <v>0</v>
      </c>
      <c r="L632" s="172"/>
      <c r="M632" s="164"/>
      <c r="N632" s="164"/>
      <c r="O632" s="164"/>
      <c r="P632" s="164"/>
      <c r="Q632" s="164"/>
      <c r="R632" s="164"/>
      <c r="S632" s="164"/>
      <c r="T632" s="164"/>
      <c r="U632" s="164"/>
    </row>
    <row r="633" spans="1:21" ht="18.75">
      <c r="A633" s="166"/>
      <c r="B633" s="167"/>
      <c r="C633" s="167"/>
      <c r="D633" s="167"/>
      <c r="E633" s="174"/>
      <c r="F633" s="178" t="s">
        <v>231</v>
      </c>
      <c r="G633" s="171"/>
      <c r="H633" s="165" t="s">
        <v>46</v>
      </c>
      <c r="I633" s="54"/>
      <c r="J633" s="467">
        <v>0</v>
      </c>
      <c r="K633" s="55"/>
      <c r="L633" s="172"/>
      <c r="M633" s="164"/>
      <c r="N633" s="164"/>
      <c r="O633" s="164"/>
      <c r="P633" s="164"/>
      <c r="Q633" s="164"/>
      <c r="R633" s="164"/>
      <c r="S633" s="164"/>
      <c r="T633" s="164"/>
      <c r="U633" s="164"/>
    </row>
    <row r="634" spans="1:21" ht="18.75">
      <c r="A634" s="166"/>
      <c r="B634" s="167"/>
      <c r="C634" s="167"/>
      <c r="D634" s="167"/>
      <c r="E634" s="174"/>
      <c r="F634" s="178" t="s">
        <v>232</v>
      </c>
      <c r="G634" s="171"/>
      <c r="H634" s="165" t="s">
        <v>46</v>
      </c>
      <c r="I634" s="54"/>
      <c r="J634" s="467">
        <v>0</v>
      </c>
      <c r="K634" s="55"/>
      <c r="L634" s="172"/>
      <c r="M634" s="164"/>
      <c r="N634" s="164"/>
      <c r="O634" s="164"/>
      <c r="P634" s="164"/>
      <c r="Q634" s="164"/>
      <c r="R634" s="164"/>
      <c r="S634" s="164"/>
      <c r="T634" s="164"/>
      <c r="U634" s="164"/>
    </row>
    <row r="635" spans="1:21" ht="19.5">
      <c r="A635" s="166"/>
      <c r="B635" s="167"/>
      <c r="C635" s="167"/>
      <c r="D635" s="460" t="s">
        <v>233</v>
      </c>
      <c r="E635" s="174"/>
      <c r="F635" s="174"/>
      <c r="G635" s="171"/>
      <c r="H635" s="165" t="s">
        <v>46</v>
      </c>
      <c r="I635" s="373">
        <f ca="1">IFERROR(__xludf.DUMMYFUNCTION("IMPORTRANGE(""https://docs.google.com/spreadsheets/d/1eHaY18a8A9IcSdp1K8H6x8fbOy06t2VsZHhMHf-1x7Y/edit?usp=sharing"",""แผน!IE48"")"),0)</f>
        <v>0</v>
      </c>
      <c r="J635" s="373">
        <f>J636</f>
        <v>0</v>
      </c>
      <c r="K635" s="540">
        <f ca="1">IF(I635&gt;0,J635*100/I635,0)</f>
        <v>0</v>
      </c>
      <c r="L635" s="172"/>
      <c r="M635" s="164"/>
      <c r="N635" s="164"/>
      <c r="O635" s="164"/>
      <c r="P635" s="164"/>
      <c r="Q635" s="164"/>
      <c r="R635" s="164"/>
      <c r="S635" s="164"/>
      <c r="T635" s="164"/>
      <c r="U635" s="164"/>
    </row>
    <row r="636" spans="1:21" ht="18.75">
      <c r="A636" s="166"/>
      <c r="B636" s="167"/>
      <c r="C636" s="167"/>
      <c r="D636" s="167"/>
      <c r="E636" s="178" t="s">
        <v>234</v>
      </c>
      <c r="F636" s="174"/>
      <c r="G636" s="171"/>
      <c r="H636" s="165" t="s">
        <v>46</v>
      </c>
      <c r="I636" s="54"/>
      <c r="J636" s="212">
        <f>J637+J638</f>
        <v>0</v>
      </c>
      <c r="K636" s="55"/>
      <c r="L636" s="172"/>
      <c r="M636" s="164"/>
      <c r="N636" s="164"/>
      <c r="O636" s="164"/>
      <c r="P636" s="164"/>
      <c r="Q636" s="164"/>
      <c r="R636" s="164"/>
      <c r="S636" s="164"/>
      <c r="T636" s="164"/>
      <c r="U636" s="164"/>
    </row>
    <row r="637" spans="1:21" ht="18.75">
      <c r="A637" s="166"/>
      <c r="B637" s="167"/>
      <c r="C637" s="167"/>
      <c r="D637" s="167"/>
      <c r="E637" s="174"/>
      <c r="F637" s="178" t="s">
        <v>231</v>
      </c>
      <c r="G637" s="171"/>
      <c r="H637" s="165" t="s">
        <v>46</v>
      </c>
      <c r="I637" s="54"/>
      <c r="J637" s="467">
        <v>0</v>
      </c>
      <c r="K637" s="55"/>
      <c r="L637" s="172"/>
      <c r="M637" s="164"/>
      <c r="N637" s="164"/>
      <c r="O637" s="164"/>
      <c r="P637" s="164"/>
      <c r="Q637" s="164"/>
      <c r="R637" s="164"/>
      <c r="S637" s="164"/>
      <c r="T637" s="164"/>
      <c r="U637" s="164"/>
    </row>
    <row r="638" spans="1:21" ht="18.75">
      <c r="A638" s="166"/>
      <c r="B638" s="167"/>
      <c r="C638" s="167"/>
      <c r="D638" s="167"/>
      <c r="E638" s="174"/>
      <c r="F638" s="178" t="s">
        <v>232</v>
      </c>
      <c r="G638" s="171"/>
      <c r="H638" s="165" t="s">
        <v>46</v>
      </c>
      <c r="I638" s="54"/>
      <c r="J638" s="467">
        <v>0</v>
      </c>
      <c r="K638" s="55"/>
      <c r="L638" s="172"/>
      <c r="M638" s="164"/>
      <c r="N638" s="164"/>
      <c r="O638" s="164"/>
      <c r="P638" s="164"/>
      <c r="Q638" s="164"/>
      <c r="R638" s="164"/>
      <c r="S638" s="164"/>
      <c r="T638" s="164"/>
      <c r="U638" s="164"/>
    </row>
    <row r="639" spans="1:21" ht="18.75">
      <c r="A639" s="166"/>
      <c r="B639" s="167"/>
      <c r="C639" s="167"/>
      <c r="D639" s="167"/>
      <c r="E639" s="178" t="s">
        <v>235</v>
      </c>
      <c r="F639" s="174"/>
      <c r="G639" s="171"/>
      <c r="H639" s="165" t="s">
        <v>46</v>
      </c>
      <c r="I639" s="54"/>
      <c r="J639" s="467">
        <v>0</v>
      </c>
      <c r="K639" s="55"/>
      <c r="L639" s="172"/>
      <c r="M639" s="164"/>
      <c r="N639" s="164"/>
      <c r="O639" s="164"/>
      <c r="P639" s="164"/>
      <c r="Q639" s="164"/>
      <c r="R639" s="164"/>
      <c r="S639" s="164"/>
      <c r="T639" s="164"/>
      <c r="U639" s="164"/>
    </row>
    <row r="640" spans="1:21" ht="18.75">
      <c r="A640" s="166"/>
      <c r="B640" s="167"/>
      <c r="C640" s="167"/>
      <c r="D640" s="167"/>
      <c r="E640" s="174"/>
      <c r="F640" s="178" t="s">
        <v>236</v>
      </c>
      <c r="G640" s="171"/>
      <c r="H640" s="165" t="s">
        <v>46</v>
      </c>
      <c r="I640" s="54"/>
      <c r="J640" s="467">
        <v>0</v>
      </c>
      <c r="K640" s="55"/>
      <c r="L640" s="172"/>
      <c r="M640" s="164"/>
      <c r="N640" s="164"/>
      <c r="O640" s="164"/>
      <c r="P640" s="164"/>
      <c r="Q640" s="164"/>
      <c r="R640" s="164"/>
      <c r="S640" s="164"/>
      <c r="T640" s="164"/>
      <c r="U640" s="164"/>
    </row>
    <row r="641" spans="1:21" ht="19.5" hidden="1">
      <c r="A641" s="450"/>
      <c r="B641" s="451" t="s">
        <v>237</v>
      </c>
      <c r="C641" s="450"/>
      <c r="D641" s="452"/>
      <c r="E641" s="452"/>
      <c r="F641" s="452"/>
      <c r="G641" s="453"/>
      <c r="H641" s="462"/>
      <c r="I641" s="463"/>
      <c r="J641" s="463"/>
      <c r="K641" s="457"/>
      <c r="L641" s="458"/>
      <c r="M641" s="457"/>
      <c r="N641" s="457"/>
      <c r="O641" s="457"/>
      <c r="P641" s="457"/>
      <c r="Q641" s="457"/>
      <c r="R641" s="457"/>
      <c r="S641" s="457"/>
      <c r="T641" s="457"/>
      <c r="U641" s="457"/>
    </row>
    <row r="642" spans="1:21" ht="19.5" hidden="1">
      <c r="A642" s="155"/>
      <c r="B642" s="188"/>
      <c r="C642" s="239" t="s">
        <v>18</v>
      </c>
      <c r="D642" s="542" t="s">
        <v>19</v>
      </c>
      <c r="E642" s="529"/>
      <c r="F642" s="529"/>
      <c r="G642" s="530"/>
      <c r="H642" s="252" t="s">
        <v>14</v>
      </c>
      <c r="I642" s="54"/>
      <c r="J642" s="54"/>
      <c r="K642" s="55"/>
      <c r="L642" s="541">
        <f>L643+L644</f>
        <v>0</v>
      </c>
      <c r="M642" s="540">
        <f>M643+M644</f>
        <v>0</v>
      </c>
      <c r="N642" s="540">
        <f>N643+N644</f>
        <v>0</v>
      </c>
      <c r="O642" s="540">
        <f>IF(L642&gt;0,N642*100/L642,0)</f>
        <v>0</v>
      </c>
      <c r="P642" s="540">
        <f>IF(M642&gt;0,N642*100/M642,0)</f>
        <v>0</v>
      </c>
      <c r="Q642" s="540">
        <f ca="1">Q643+Q644</f>
        <v>0</v>
      </c>
      <c r="R642" s="540">
        <f ca="1">R643+R644</f>
        <v>0</v>
      </c>
      <c r="S642" s="540">
        <f ca="1">S643+S644</f>
        <v>0</v>
      </c>
      <c r="T642" s="540">
        <f ca="1">IF(Q642&gt;0,S642*100/Q642,0)</f>
        <v>0</v>
      </c>
      <c r="U642" s="540">
        <f ca="1">IF(R642&gt;0,S642*100/R642,0)</f>
        <v>0</v>
      </c>
    </row>
    <row r="643" spans="1:21" ht="18.75" hidden="1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103">
        <f>L646+L649</f>
        <v>0</v>
      </c>
      <c r="M643" s="102">
        <f>M646+M649</f>
        <v>0</v>
      </c>
      <c r="N643" s="102">
        <f>N646+N649</f>
        <v>0</v>
      </c>
      <c r="O643" s="102">
        <f>IF(L643&gt;0,N643*100/L643,0)</f>
        <v>0</v>
      </c>
      <c r="P643" s="102">
        <f>IF(M643&gt;0,N643*100/M643,0)</f>
        <v>0</v>
      </c>
      <c r="Q643" s="102">
        <f>Q646+Q649</f>
        <v>0</v>
      </c>
      <c r="R643" s="102">
        <f>R646+R649</f>
        <v>0</v>
      </c>
      <c r="S643" s="102">
        <f>S646+S649</f>
        <v>0</v>
      </c>
      <c r="T643" s="102">
        <f>IF(Q643&gt;0,S643*100/Q643,0)</f>
        <v>0</v>
      </c>
      <c r="U643" s="102">
        <f>IF(R643&gt;0,S643*100/R643,0)</f>
        <v>0</v>
      </c>
    </row>
    <row r="644" spans="1:21" ht="18.75" hidden="1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256">
        <f>L647+L650</f>
        <v>0</v>
      </c>
      <c r="M644" s="255">
        <f>M647+M650</f>
        <v>0</v>
      </c>
      <c r="N644" s="255">
        <f>N647+N650</f>
        <v>0</v>
      </c>
      <c r="O644" s="255">
        <f>IF(L644&gt;0,N644*100/L644,0)</f>
        <v>0</v>
      </c>
      <c r="P644" s="255">
        <f>IF(M644&gt;0,N644*100/M644,0)</f>
        <v>0</v>
      </c>
      <c r="Q644" s="255">
        <f ca="1">Q647+Q650</f>
        <v>0</v>
      </c>
      <c r="R644" s="255">
        <f ca="1">R647+R650</f>
        <v>0</v>
      </c>
      <c r="S644" s="255">
        <f ca="1">S647+S650</f>
        <v>0</v>
      </c>
      <c r="T644" s="255">
        <f ca="1">IF(Q644&gt;0,S644*100/Q644,0)</f>
        <v>0</v>
      </c>
      <c r="U644" s="255">
        <f ca="1">IF(R644&gt;0,S644*100/R644,0)</f>
        <v>0</v>
      </c>
    </row>
    <row r="645" spans="1:21" ht="18.75" hidden="1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256">
        <f>L646+L647</f>
        <v>0</v>
      </c>
      <c r="M645" s="255">
        <f>M646+M647</f>
        <v>0</v>
      </c>
      <c r="N645" s="255">
        <f>N646+N647</f>
        <v>0</v>
      </c>
      <c r="O645" s="255">
        <f>IF(L645&gt;0,N645*100/L645,0)</f>
        <v>0</v>
      </c>
      <c r="P645" s="255">
        <f>IF(M645&gt;0,N645*100/M645,0)</f>
        <v>0</v>
      </c>
      <c r="Q645" s="255">
        <f ca="1">Q646+Q647</f>
        <v>0</v>
      </c>
      <c r="R645" s="255">
        <f ca="1">R646+R647</f>
        <v>0</v>
      </c>
      <c r="S645" s="255">
        <f ca="1">S646+S647</f>
        <v>0</v>
      </c>
      <c r="T645" s="255">
        <f ca="1">IF(Q645&gt;0,S645*100/Q645,0)</f>
        <v>0</v>
      </c>
      <c r="U645" s="255">
        <f ca="1">IF(R645&gt;0,S645*100/R645,0)</f>
        <v>0</v>
      </c>
    </row>
    <row r="646" spans="1:21" ht="18.75" hidden="1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103">
        <v>0</v>
      </c>
      <c r="M646" s="102">
        <v>0</v>
      </c>
      <c r="N646" s="102">
        <v>0</v>
      </c>
      <c r="O646" s="102">
        <f>IF(L646&gt;0,N646*100/L646,0)</f>
        <v>0</v>
      </c>
      <c r="P646" s="102">
        <f>IF(M646&gt;0,N646*100/M646,0)</f>
        <v>0</v>
      </c>
      <c r="Q646" s="102">
        <v>0</v>
      </c>
      <c r="R646" s="102">
        <v>0</v>
      </c>
      <c r="S646" s="102">
        <v>0</v>
      </c>
      <c r="T646" s="102">
        <f>IF(Q646&gt;0,S646*100/Q646,0)</f>
        <v>0</v>
      </c>
      <c r="U646" s="102">
        <f>IF(R646&gt;0,S646*100/R646,0)</f>
        <v>0</v>
      </c>
    </row>
    <row r="647" spans="1:21" ht="18.75" hidden="1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256">
        <v>0</v>
      </c>
      <c r="M647" s="255">
        <v>0</v>
      </c>
      <c r="N647" s="255">
        <v>0</v>
      </c>
      <c r="O647" s="255">
        <f>IF(L647&gt;0,N647*100/L647,0)</f>
        <v>0</v>
      </c>
      <c r="P647" s="255">
        <f>IF(M647&gt;0,N647*100/M647,0)</f>
        <v>0</v>
      </c>
      <c r="Q647" s="255">
        <f ca="1">IFERROR(__xludf.DUMMYFUNCTION("IMPORTRANGE(""https://docs.google.com/spreadsheets/d/1ItG2mGa2ceCfYo0BwxsXqNm01IGEUdYcSSLTEv9YCik/edit?usp=sharing"",""เบิกจ่ายกองทุน!I48"")"),0)</f>
        <v>0</v>
      </c>
      <c r="R647" s="255">
        <f ca="1">IFERROR(__xludf.DUMMYFUNCTION("IMPORTRANGE(""https://docs.google.com/spreadsheets/d/1ItG2mGa2ceCfYo0BwxsXqNm01IGEUdYcSSLTEv9YCik/edit?usp=sharing"",""เบิกจ่ายกองทุน!J48"")"),0)</f>
        <v>0</v>
      </c>
      <c r="S647" s="255">
        <f ca="1">IFERROR(__xludf.DUMMYFUNCTION("IMPORTRANGE(""https://docs.google.com/spreadsheets/d/1ItG2mGa2ceCfYo0BwxsXqNm01IGEUdYcSSLTEv9YCik/edit?usp=sharing"",""เบิกจ่ายกองทุน!K48"")"),0)</f>
        <v>0</v>
      </c>
      <c r="T647" s="255">
        <f ca="1">IF(Q647&gt;0,S647*100/Q647,0)</f>
        <v>0</v>
      </c>
      <c r="U647" s="255">
        <f ca="1">IF(R647&gt;0,S647*100/R647,0)</f>
        <v>0</v>
      </c>
    </row>
    <row r="648" spans="1:21" ht="18.75" hidden="1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256">
        <f>L649+L650</f>
        <v>0</v>
      </c>
      <c r="M648" s="255">
        <f>M649+M650</f>
        <v>0</v>
      </c>
      <c r="N648" s="255">
        <f>N649+N650</f>
        <v>0</v>
      </c>
      <c r="O648" s="255">
        <f>IF(L648&gt;0,N648*100/L648,0)</f>
        <v>0</v>
      </c>
      <c r="P648" s="255">
        <f>IF(M648&gt;0,N648*100/M648,0)</f>
        <v>0</v>
      </c>
      <c r="Q648" s="255">
        <f>Q649+Q650</f>
        <v>0</v>
      </c>
      <c r="R648" s="255">
        <f>R649+R650</f>
        <v>0</v>
      </c>
      <c r="S648" s="255">
        <f>S649+S650</f>
        <v>0</v>
      </c>
      <c r="T648" s="255">
        <f>IF(Q648&gt;0,S648*100/Q648,0)</f>
        <v>0</v>
      </c>
      <c r="U648" s="255">
        <f>IF(R648&gt;0,S648*100/R648,0)</f>
        <v>0</v>
      </c>
    </row>
    <row r="649" spans="1:21" ht="18.75" hidden="1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103">
        <v>0</v>
      </c>
      <c r="M649" s="102">
        <v>0</v>
      </c>
      <c r="N649" s="102">
        <v>0</v>
      </c>
      <c r="O649" s="102">
        <f>IF(L649&gt;0,N649*100/L649,0)</f>
        <v>0</v>
      </c>
      <c r="P649" s="102">
        <f>IF(M649&gt;0,N649*100/M649,0)</f>
        <v>0</v>
      </c>
      <c r="Q649" s="102">
        <v>0</v>
      </c>
      <c r="R649" s="102">
        <v>0</v>
      </c>
      <c r="S649" s="102">
        <v>0</v>
      </c>
      <c r="T649" s="102">
        <f>IF(Q649&gt;0,S649*100/Q649,0)</f>
        <v>0</v>
      </c>
      <c r="U649" s="102">
        <f>IF(R649&gt;0,S649*100/R649,0)</f>
        <v>0</v>
      </c>
    </row>
    <row r="650" spans="1:21" ht="18.75" hidden="1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256">
        <v>0</v>
      </c>
      <c r="M650" s="255">
        <v>0</v>
      </c>
      <c r="N650" s="255">
        <v>0</v>
      </c>
      <c r="O650" s="255">
        <f>IF(L650&gt;0,N650*100/L650,0)</f>
        <v>0</v>
      </c>
      <c r="P650" s="255">
        <f>IF(M650&gt;0,N650*100/M650,0)</f>
        <v>0</v>
      </c>
      <c r="Q650" s="255">
        <v>0</v>
      </c>
      <c r="R650" s="255">
        <v>0</v>
      </c>
      <c r="S650" s="255">
        <v>0</v>
      </c>
      <c r="T650" s="255">
        <f>IF(Q650&gt;0,S650*100/Q650,0)</f>
        <v>0</v>
      </c>
      <c r="U650" s="255">
        <f>IF(R650&gt;0,S650*100/R650,0)</f>
        <v>0</v>
      </c>
    </row>
    <row r="651" spans="1:21" ht="19.5" hidden="1">
      <c r="A651" s="166"/>
      <c r="B651" s="167"/>
      <c r="C651" s="239" t="s">
        <v>18</v>
      </c>
      <c r="D651" s="571" t="s">
        <v>38</v>
      </c>
      <c r="E651" s="169"/>
      <c r="F651" s="169"/>
      <c r="G651" s="170"/>
      <c r="H651" s="206"/>
      <c r="I651" s="163"/>
      <c r="J651" s="163"/>
      <c r="K651" s="164"/>
      <c r="L651" s="172"/>
      <c r="M651" s="164"/>
      <c r="N651" s="164"/>
      <c r="O651" s="164"/>
      <c r="P651" s="164"/>
      <c r="Q651" s="55"/>
      <c r="R651" s="55"/>
      <c r="S651" s="55"/>
      <c r="T651" s="164"/>
      <c r="U651" s="164"/>
    </row>
    <row r="652" spans="1:21" ht="18.75" hidden="1">
      <c r="A652" s="238"/>
      <c r="B652" s="188"/>
      <c r="C652" s="188"/>
      <c r="D652" s="58" t="s">
        <v>238</v>
      </c>
      <c r="E652" s="50"/>
      <c r="F652" s="50"/>
      <c r="G652" s="52"/>
      <c r="H652" s="165" t="s">
        <v>46</v>
      </c>
      <c r="I652" s="570">
        <f ca="1">IFERROR(__xludf.DUMMYFUNCTION("IMPORTRANGE(""https://docs.google.com/spreadsheets/d/1eHaY18a8A9IcSdp1K8H6x8fbOy06t2VsZHhMHf-1x7Y/edit?usp=sharing"",""แผน!IF48"")"),0)</f>
        <v>0</v>
      </c>
      <c r="J652" s="212">
        <f ca="1">IFERROR(__xludf.DUMMYFUNCTION("IMPORTRANGE(""https://docs.google.com/spreadsheets/d/1tdoBKaGub7dwA3U6UFTqxio9LNnvDCQjHKmttSEBsFQ/edit?usp=sharing"",""จัดที่ดิน!AU48"")"),0)</f>
        <v>0</v>
      </c>
      <c r="K652" s="255">
        <f ca="1">IF(I652&gt;0,J652*100/I652,0)</f>
        <v>0</v>
      </c>
      <c r="L652" s="62"/>
      <c r="M652" s="55"/>
      <c r="N652" s="468"/>
      <c r="O652" s="55"/>
      <c r="P652" s="55"/>
      <c r="Q652" s="55"/>
      <c r="R652" s="55"/>
      <c r="S652" s="468"/>
      <c r="T652" s="55"/>
      <c r="U652" s="55"/>
    </row>
    <row r="653" spans="1:21" ht="18.75" hidden="1">
      <c r="A653" s="238"/>
      <c r="B653" s="188"/>
      <c r="C653" s="188"/>
      <c r="D653" s="58" t="s">
        <v>239</v>
      </c>
      <c r="E653" s="50"/>
      <c r="F653" s="50"/>
      <c r="G653" s="52"/>
      <c r="H653" s="165" t="s">
        <v>35</v>
      </c>
      <c r="I653" s="570">
        <f ca="1">IFERROR(__xludf.DUMMYFUNCTION("IMPORTRANGE(""https://docs.google.com/spreadsheets/d/1eHaY18a8A9IcSdp1K8H6x8fbOy06t2VsZHhMHf-1x7Y/edit?usp=sharing"",""แผน!IG48"")"),0)</f>
        <v>0</v>
      </c>
      <c r="J653" s="212">
        <f ca="1">IFERROR(__xludf.DUMMYFUNCTION("IMPORTRANGE(""https://docs.google.com/spreadsheets/d/1tdoBKaGub7dwA3U6UFTqxio9LNnvDCQjHKmttSEBsFQ/edit?usp=sharing"",""จัดที่ดิน!AW48"")"),0)</f>
        <v>0</v>
      </c>
      <c r="K653" s="255">
        <f ca="1">IF(I653&gt;0,J653*100/I653,0)</f>
        <v>0</v>
      </c>
      <c r="L653" s="62"/>
      <c r="M653" s="55"/>
      <c r="N653" s="468"/>
      <c r="O653" s="55"/>
      <c r="P653" s="55"/>
      <c r="Q653" s="55"/>
      <c r="R653" s="55"/>
      <c r="S653" s="468"/>
      <c r="T653" s="55"/>
      <c r="U653" s="55"/>
    </row>
    <row r="654" spans="1:21" ht="19.5" hidden="1">
      <c r="A654" s="238"/>
      <c r="B654" s="188"/>
      <c r="C654" s="188"/>
      <c r="D654" s="58" t="s">
        <v>240</v>
      </c>
      <c r="E654" s="50"/>
      <c r="F654" s="50"/>
      <c r="G654" s="52"/>
      <c r="H654" s="461" t="s">
        <v>46</v>
      </c>
      <c r="I654" s="569">
        <f ca="1">IFERROR(__xludf.DUMMYFUNCTION("IMPORTRANGE(""https://docs.google.com/spreadsheets/d/1eHaY18a8A9IcSdp1K8H6x8fbOy06t2VsZHhMHf-1x7Y/edit?usp=sharing"",""แผน!IH48"")"),0)</f>
        <v>0</v>
      </c>
      <c r="J654" s="373">
        <f>J657+J660</f>
        <v>0</v>
      </c>
      <c r="K654" s="540">
        <f ca="1">IF(I654&gt;0,J654*100/I654,0)</f>
        <v>0</v>
      </c>
      <c r="L654" s="62"/>
      <c r="M654" s="55"/>
      <c r="N654" s="468"/>
      <c r="O654" s="55"/>
      <c r="P654" s="55"/>
      <c r="Q654" s="55"/>
      <c r="R654" s="55"/>
      <c r="S654" s="468"/>
      <c r="T654" s="55"/>
      <c r="U654" s="55"/>
    </row>
    <row r="655" spans="1:21" ht="18.75" hidden="1">
      <c r="A655" s="238"/>
      <c r="B655" s="188"/>
      <c r="C655" s="188"/>
      <c r="D655" s="50"/>
      <c r="E655" s="58" t="s">
        <v>241</v>
      </c>
      <c r="F655" s="50"/>
      <c r="G655" s="52"/>
      <c r="H655" s="165" t="s">
        <v>35</v>
      </c>
      <c r="I655" s="208"/>
      <c r="J655" s="467">
        <v>0</v>
      </c>
      <c r="K655" s="55"/>
      <c r="L655" s="62"/>
      <c r="M655" s="55"/>
      <c r="N655" s="468"/>
      <c r="O655" s="55"/>
      <c r="P655" s="55"/>
      <c r="Q655" s="55"/>
      <c r="R655" s="55"/>
      <c r="S655" s="468"/>
      <c r="T655" s="55"/>
      <c r="U655" s="55"/>
    </row>
    <row r="656" spans="1:21" ht="18.75" hidden="1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67">
        <v>0</v>
      </c>
      <c r="K656" s="55"/>
      <c r="L656" s="62"/>
      <c r="M656" s="55"/>
      <c r="N656" s="468"/>
      <c r="O656" s="55"/>
      <c r="P656" s="55"/>
      <c r="Q656" s="55"/>
      <c r="R656" s="55"/>
      <c r="S656" s="468"/>
      <c r="T656" s="55"/>
      <c r="U656" s="55"/>
    </row>
    <row r="657" spans="1:21" ht="18.75" hidden="1">
      <c r="A657" s="238"/>
      <c r="B657" s="188"/>
      <c r="C657" s="188"/>
      <c r="D657" s="50"/>
      <c r="E657" s="50"/>
      <c r="F657" s="50"/>
      <c r="G657" s="52"/>
      <c r="H657" s="165" t="s">
        <v>46</v>
      </c>
      <c r="I657" s="570">
        <f ca="1">IFERROR(__xludf.DUMMYFUNCTION("IMPORTRANGE(""https://docs.google.com/spreadsheets/d/1eHaY18a8A9IcSdp1K8H6x8fbOy06t2VsZHhMHf-1x7Y/edit?usp=sharing"",""แผน!II48"")"),0)</f>
        <v>0</v>
      </c>
      <c r="J657" s="467">
        <v>0</v>
      </c>
      <c r="K657" s="55"/>
      <c r="L657" s="62"/>
      <c r="M657" s="55"/>
      <c r="N657" s="468"/>
      <c r="O657" s="55"/>
      <c r="P657" s="55"/>
      <c r="Q657" s="55"/>
      <c r="R657" s="55"/>
      <c r="S657" s="468"/>
      <c r="T657" s="55"/>
      <c r="U657" s="55"/>
    </row>
    <row r="658" spans="1:21" ht="18.75" hidden="1">
      <c r="A658" s="238"/>
      <c r="B658" s="188"/>
      <c r="C658" s="188"/>
      <c r="D658" s="50"/>
      <c r="E658" s="58" t="s">
        <v>242</v>
      </c>
      <c r="F658" s="50"/>
      <c r="G658" s="52"/>
      <c r="H658" s="165" t="s">
        <v>35</v>
      </c>
      <c r="I658" s="208"/>
      <c r="J658" s="467">
        <v>0</v>
      </c>
      <c r="K658" s="55"/>
      <c r="L658" s="62"/>
      <c r="M658" s="55"/>
      <c r="N658" s="468"/>
      <c r="O658" s="55"/>
      <c r="P658" s="55"/>
      <c r="Q658" s="55"/>
      <c r="R658" s="55"/>
      <c r="S658" s="468"/>
      <c r="T658" s="55"/>
      <c r="U658" s="55"/>
    </row>
    <row r="659" spans="1:21" ht="18.75" hidden="1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67">
        <v>0</v>
      </c>
      <c r="K659" s="55"/>
      <c r="L659" s="62"/>
      <c r="M659" s="55"/>
      <c r="N659" s="468"/>
      <c r="O659" s="55"/>
      <c r="P659" s="55"/>
      <c r="Q659" s="55"/>
      <c r="R659" s="55"/>
      <c r="S659" s="468"/>
      <c r="T659" s="55"/>
      <c r="U659" s="55"/>
    </row>
    <row r="660" spans="1:21" ht="18.75" hidden="1">
      <c r="A660" s="238"/>
      <c r="B660" s="188"/>
      <c r="C660" s="188"/>
      <c r="D660" s="50"/>
      <c r="E660" s="50"/>
      <c r="F660" s="50"/>
      <c r="G660" s="52"/>
      <c r="H660" s="165" t="s">
        <v>46</v>
      </c>
      <c r="I660" s="570">
        <f ca="1">IFERROR(__xludf.DUMMYFUNCTION("IMPORTRANGE(""https://docs.google.com/spreadsheets/d/1eHaY18a8A9IcSdp1K8H6x8fbOy06t2VsZHhMHf-1x7Y/edit?usp=sharing"",""แผน!IJ48"")"),0)</f>
        <v>0</v>
      </c>
      <c r="J660" s="467">
        <v>0</v>
      </c>
      <c r="K660" s="55"/>
      <c r="L660" s="62"/>
      <c r="M660" s="55"/>
      <c r="N660" s="468"/>
      <c r="O660" s="55"/>
      <c r="P660" s="55"/>
      <c r="Q660" s="55"/>
      <c r="R660" s="55"/>
      <c r="S660" s="468"/>
      <c r="T660" s="55"/>
      <c r="U660" s="55"/>
    </row>
    <row r="661" spans="1:21" ht="19.5" hidden="1">
      <c r="A661" s="238"/>
      <c r="B661" s="188"/>
      <c r="C661" s="188"/>
      <c r="D661" s="377" t="s">
        <v>243</v>
      </c>
      <c r="E661" s="50"/>
      <c r="F661" s="50"/>
      <c r="G661" s="52"/>
      <c r="H661" s="461" t="s">
        <v>46</v>
      </c>
      <c r="I661" s="569">
        <f ca="1">IFERROR(__xludf.DUMMYFUNCTION("IMPORTRANGE(""https://docs.google.com/spreadsheets/d/1eHaY18a8A9IcSdp1K8H6x8fbOy06t2VsZHhMHf-1x7Y/edit?usp=sharing"",""แผน!IK48"")"),0)</f>
        <v>0</v>
      </c>
      <c r="J661" s="373">
        <f>J667+J670</f>
        <v>0</v>
      </c>
      <c r="K661" s="540">
        <f ca="1">IF(I661&gt;0,J661*100/I661,0)</f>
        <v>0</v>
      </c>
      <c r="L661" s="62"/>
      <c r="M661" s="55"/>
      <c r="N661" s="468"/>
      <c r="O661" s="55"/>
      <c r="P661" s="55"/>
      <c r="Q661" s="55"/>
      <c r="R661" s="55"/>
      <c r="S661" s="468"/>
      <c r="T661" s="55"/>
      <c r="U661" s="55"/>
    </row>
    <row r="662" spans="1:21" ht="18.75" hidden="1">
      <c r="A662" s="238"/>
      <c r="B662" s="188"/>
      <c r="C662" s="188"/>
      <c r="D662" s="50"/>
      <c r="E662" s="58" t="s">
        <v>244</v>
      </c>
      <c r="F662" s="50"/>
      <c r="G662" s="52"/>
      <c r="H662" s="165" t="s">
        <v>34</v>
      </c>
      <c r="I662" s="208"/>
      <c r="J662" s="467">
        <v>0</v>
      </c>
      <c r="K662" s="55"/>
      <c r="L662" s="469"/>
      <c r="M662" s="55"/>
      <c r="N662" s="468"/>
      <c r="O662" s="55"/>
      <c r="P662" s="55"/>
      <c r="Q662" s="468"/>
      <c r="R662" s="55"/>
      <c r="S662" s="468"/>
      <c r="T662" s="55"/>
      <c r="U662" s="55"/>
    </row>
    <row r="663" spans="1:21" ht="18.75" hidden="1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67">
        <v>0</v>
      </c>
      <c r="K663" s="55"/>
      <c r="L663" s="469"/>
      <c r="M663" s="55"/>
      <c r="N663" s="468"/>
      <c r="O663" s="55"/>
      <c r="P663" s="55"/>
      <c r="Q663" s="468"/>
      <c r="R663" s="55"/>
      <c r="S663" s="468"/>
      <c r="T663" s="55"/>
      <c r="U663" s="55"/>
    </row>
    <row r="664" spans="1:21" ht="18.75" hidden="1">
      <c r="A664" s="238"/>
      <c r="B664" s="188"/>
      <c r="C664" s="188"/>
      <c r="D664" s="50"/>
      <c r="E664" s="58" t="s">
        <v>245</v>
      </c>
      <c r="F664" s="50"/>
      <c r="G664" s="52"/>
      <c r="H664" s="206"/>
      <c r="I664" s="208"/>
      <c r="J664" s="54"/>
      <c r="K664" s="55"/>
      <c r="L664" s="469"/>
      <c r="M664" s="55"/>
      <c r="N664" s="468"/>
      <c r="O664" s="55"/>
      <c r="P664" s="55"/>
      <c r="Q664" s="468"/>
      <c r="R664" s="55"/>
      <c r="S664" s="468"/>
      <c r="T664" s="55"/>
      <c r="U664" s="55"/>
    </row>
    <row r="665" spans="1:21" ht="18.75" hidden="1">
      <c r="A665" s="238"/>
      <c r="B665" s="188"/>
      <c r="C665" s="188"/>
      <c r="D665" s="50"/>
      <c r="E665" s="50"/>
      <c r="F665" s="58" t="s">
        <v>246</v>
      </c>
      <c r="G665" s="52"/>
      <c r="H665" s="165" t="s">
        <v>35</v>
      </c>
      <c r="I665" s="208"/>
      <c r="J665" s="467">
        <v>0</v>
      </c>
      <c r="K665" s="55"/>
      <c r="L665" s="469"/>
      <c r="M665" s="55"/>
      <c r="N665" s="468"/>
      <c r="O665" s="55"/>
      <c r="P665" s="55"/>
      <c r="Q665" s="468"/>
      <c r="R665" s="55"/>
      <c r="S665" s="468"/>
      <c r="T665" s="55"/>
      <c r="U665" s="55"/>
    </row>
    <row r="666" spans="1:21" ht="18.75" hidden="1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67">
        <v>0</v>
      </c>
      <c r="K666" s="55"/>
      <c r="L666" s="469"/>
      <c r="M666" s="55"/>
      <c r="N666" s="468"/>
      <c r="O666" s="55"/>
      <c r="P666" s="55"/>
      <c r="Q666" s="468"/>
      <c r="R666" s="55"/>
      <c r="S666" s="468"/>
      <c r="T666" s="55"/>
      <c r="U666" s="55"/>
    </row>
    <row r="667" spans="1:21" ht="18.75" hidden="1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67">
        <v>0</v>
      </c>
      <c r="K667" s="55"/>
      <c r="L667" s="469"/>
      <c r="M667" s="55"/>
      <c r="N667" s="468"/>
      <c r="O667" s="55"/>
      <c r="P667" s="55"/>
      <c r="Q667" s="468"/>
      <c r="R667" s="55"/>
      <c r="S667" s="468"/>
      <c r="T667" s="55"/>
      <c r="U667" s="55"/>
    </row>
    <row r="668" spans="1:21" ht="18.75" hidden="1">
      <c r="A668" s="238"/>
      <c r="B668" s="188"/>
      <c r="C668" s="188"/>
      <c r="D668" s="50"/>
      <c r="E668" s="50"/>
      <c r="F668" s="58" t="s">
        <v>247</v>
      </c>
      <c r="G668" s="52"/>
      <c r="H668" s="165" t="s">
        <v>35</v>
      </c>
      <c r="I668" s="208"/>
      <c r="J668" s="467">
        <v>0</v>
      </c>
      <c r="K668" s="55"/>
      <c r="L668" s="469"/>
      <c r="M668" s="55"/>
      <c r="N668" s="468"/>
      <c r="O668" s="55"/>
      <c r="P668" s="55"/>
      <c r="Q668" s="468"/>
      <c r="R668" s="55"/>
      <c r="S668" s="468"/>
      <c r="T668" s="55"/>
      <c r="U668" s="55"/>
    </row>
    <row r="669" spans="1:21" ht="18.75" hidden="1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67">
        <v>0</v>
      </c>
      <c r="K669" s="55"/>
      <c r="L669" s="469"/>
      <c r="M669" s="55"/>
      <c r="N669" s="468"/>
      <c r="O669" s="55"/>
      <c r="P669" s="55"/>
      <c r="Q669" s="468"/>
      <c r="R669" s="55"/>
      <c r="S669" s="468"/>
      <c r="T669" s="55"/>
      <c r="U669" s="55"/>
    </row>
    <row r="670" spans="1:21" ht="18.75" hidden="1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67">
        <v>0</v>
      </c>
      <c r="K670" s="55"/>
      <c r="L670" s="469"/>
      <c r="M670" s="55"/>
      <c r="N670" s="468"/>
      <c r="O670" s="55"/>
      <c r="P670" s="55"/>
      <c r="Q670" s="468"/>
      <c r="R670" s="55"/>
      <c r="S670" s="468"/>
      <c r="T670" s="55"/>
      <c r="U670" s="55"/>
    </row>
    <row r="671" spans="1:21" ht="18.75" hidden="1">
      <c r="A671" s="238"/>
      <c r="B671" s="188"/>
      <c r="C671" s="188"/>
      <c r="D671" s="58" t="s">
        <v>248</v>
      </c>
      <c r="E671" s="50"/>
      <c r="F671" s="50"/>
      <c r="G671" s="52"/>
      <c r="H671" s="165" t="s">
        <v>35</v>
      </c>
      <c r="I671" s="208"/>
      <c r="J671" s="212">
        <f ca="1">IFERROR(__xludf.DUMMYFUNCTION("IMPORTRANGE(""https://docs.google.com/spreadsheets/d/1tdoBKaGub7dwA3U6UFTqxio9LNnvDCQjHKmttSEBsFQ/edit?usp=sharing"",""จัดที่ดิน!AY48"")"),0)</f>
        <v>0</v>
      </c>
      <c r="K671" s="55"/>
      <c r="L671" s="62"/>
      <c r="M671" s="55"/>
      <c r="N671" s="468"/>
      <c r="O671" s="55"/>
      <c r="P671" s="55"/>
      <c r="Q671" s="55"/>
      <c r="R671" s="55"/>
      <c r="S671" s="468"/>
      <c r="T671" s="55"/>
      <c r="U671" s="55"/>
    </row>
    <row r="672" spans="1:21" ht="18.75" hidden="1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212">
        <f ca="1">IFERROR(__xludf.DUMMYFUNCTION("IMPORTRANGE(""https://docs.google.com/spreadsheets/d/1tdoBKaGub7dwA3U6UFTqxio9LNnvDCQjHKmttSEBsFQ/edit?usp=sharing"",""จัดที่ดิน!AZ48"")"),0)</f>
        <v>0</v>
      </c>
      <c r="K672" s="55"/>
      <c r="L672" s="469"/>
      <c r="M672" s="55"/>
      <c r="N672" s="468"/>
      <c r="O672" s="55"/>
      <c r="P672" s="55"/>
      <c r="Q672" s="468"/>
      <c r="R672" s="55"/>
      <c r="S672" s="468"/>
      <c r="T672" s="55"/>
      <c r="U672" s="55"/>
    </row>
    <row r="673" spans="1:21" ht="18.75" hidden="1">
      <c r="A673" s="238"/>
      <c r="B673" s="188"/>
      <c r="C673" s="188"/>
      <c r="D673" s="50"/>
      <c r="E673" s="50"/>
      <c r="F673" s="50"/>
      <c r="G673" s="52"/>
      <c r="H673" s="165" t="s">
        <v>46</v>
      </c>
      <c r="I673" s="570">
        <f ca="1">IFERROR(__xludf.DUMMYFUNCTION("IMPORTRANGE(""https://docs.google.com/spreadsheets/d/1eHaY18a8A9IcSdp1K8H6x8fbOy06t2VsZHhMHf-1x7Y/edit?usp=sharing"",""แผน!IL48"")"),0)</f>
        <v>0</v>
      </c>
      <c r="J673" s="212">
        <f ca="1">IFERROR(__xludf.DUMMYFUNCTION("IMPORTRANGE(""https://docs.google.com/spreadsheets/d/1tdoBKaGub7dwA3U6UFTqxio9LNnvDCQjHKmttSEBsFQ/edit?usp=sharing"",""จัดที่ดิน!BA48"")"),0)</f>
        <v>0</v>
      </c>
      <c r="K673" s="255">
        <f ca="1">IF(I673&gt;0,J673*100/I673,0)</f>
        <v>0</v>
      </c>
      <c r="L673" s="469"/>
      <c r="M673" s="55"/>
      <c r="N673" s="468"/>
      <c r="O673" s="55"/>
      <c r="P673" s="55"/>
      <c r="Q673" s="468"/>
      <c r="R673" s="55"/>
      <c r="S673" s="468"/>
      <c r="T673" s="55"/>
      <c r="U673" s="55"/>
    </row>
    <row r="674" spans="1:21" ht="19.5" hidden="1">
      <c r="A674" s="238"/>
      <c r="B674" s="188"/>
      <c r="C674" s="188"/>
      <c r="D674" s="58" t="s">
        <v>249</v>
      </c>
      <c r="E674" s="50"/>
      <c r="F674" s="50"/>
      <c r="G674" s="52"/>
      <c r="H674" s="461" t="s">
        <v>35</v>
      </c>
      <c r="I674" s="569">
        <f ca="1">IFERROR(__xludf.DUMMYFUNCTION("IMPORTRANGE(""https://docs.google.com/spreadsheets/d/1eHaY18a8A9IcSdp1K8H6x8fbOy06t2VsZHhMHf-1x7Y/edit?usp=sharing"",""แผน!IM48"")"),0)</f>
        <v>0</v>
      </c>
      <c r="J674" s="373">
        <f ca="1">J676+J679</f>
        <v>0</v>
      </c>
      <c r="K674" s="540">
        <f ca="1">IF(I674&gt;0,J674*100/I674,0)</f>
        <v>0</v>
      </c>
      <c r="L674" s="469"/>
      <c r="M674" s="55"/>
      <c r="N674" s="468"/>
      <c r="O674" s="55"/>
      <c r="P674" s="55"/>
      <c r="Q674" s="468"/>
      <c r="R674" s="55"/>
      <c r="S674" s="468"/>
      <c r="T674" s="55"/>
      <c r="U674" s="55"/>
    </row>
    <row r="675" spans="1:21" ht="19.5" hidden="1">
      <c r="A675" s="238"/>
      <c r="B675" s="188"/>
      <c r="C675" s="188"/>
      <c r="D675" s="50"/>
      <c r="E675" s="50"/>
      <c r="F675" s="50"/>
      <c r="G675" s="52"/>
      <c r="H675" s="461" t="s">
        <v>46</v>
      </c>
      <c r="I675" s="569">
        <f ca="1">IFERROR(__xludf.DUMMYFUNCTION("IMPORTRANGE(""https://docs.google.com/spreadsheets/d/1eHaY18a8A9IcSdp1K8H6x8fbOy06t2VsZHhMHf-1x7Y/edit?usp=sharing"",""แผน!IN48"")"),0)</f>
        <v>0</v>
      </c>
      <c r="J675" s="373">
        <f ca="1">J678+J681</f>
        <v>0</v>
      </c>
      <c r="K675" s="540">
        <f ca="1">IF(I675&gt;0,J675*100/I675,0)</f>
        <v>0</v>
      </c>
      <c r="L675" s="62"/>
      <c r="M675" s="55"/>
      <c r="N675" s="468"/>
      <c r="O675" s="55"/>
      <c r="P675" s="55"/>
      <c r="Q675" s="55"/>
      <c r="R675" s="55"/>
      <c r="S675" s="468"/>
      <c r="T675" s="55"/>
      <c r="U675" s="55"/>
    </row>
    <row r="676" spans="1:21" ht="18.75" hidden="1">
      <c r="A676" s="238"/>
      <c r="B676" s="188"/>
      <c r="C676" s="188"/>
      <c r="D676" s="50"/>
      <c r="E676" s="58" t="s">
        <v>250</v>
      </c>
      <c r="F676" s="50"/>
      <c r="G676" s="52"/>
      <c r="H676" s="165" t="s">
        <v>35</v>
      </c>
      <c r="I676" s="570">
        <f ca="1">IFERROR(__xludf.DUMMYFUNCTION("IMPORTRANGE(""https://docs.google.com/spreadsheets/d/1eHaY18a8A9IcSdp1K8H6x8fbOy06t2VsZHhMHf-1x7Y/edit?usp=sharing"",""แผน!IO48"")"),0)</f>
        <v>0</v>
      </c>
      <c r="J676" s="212">
        <f ca="1">IFERROR(__xludf.DUMMYFUNCTION("IMPORTRANGE(""https://docs.google.com/spreadsheets/d/1tdoBKaGub7dwA3U6UFTqxio9LNnvDCQjHKmttSEBsFQ/edit?usp=sharing"",""จัดที่ดิน!BF48"")"),0)</f>
        <v>0</v>
      </c>
      <c r="K676" s="255">
        <f ca="1">IF(I676&gt;0,J676*100/I676,0)</f>
        <v>0</v>
      </c>
      <c r="L676" s="62"/>
      <c r="M676" s="55"/>
      <c r="N676" s="468"/>
      <c r="O676" s="55"/>
      <c r="P676" s="55"/>
      <c r="Q676" s="55"/>
      <c r="R676" s="55"/>
      <c r="S676" s="468"/>
      <c r="T676" s="55"/>
      <c r="U676" s="55"/>
    </row>
    <row r="677" spans="1:21" ht="18.75" hidden="1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212">
        <f ca="1">IFERROR(__xludf.DUMMYFUNCTION("IMPORTRANGE(""https://docs.google.com/spreadsheets/d/1tdoBKaGub7dwA3U6UFTqxio9LNnvDCQjHKmttSEBsFQ/edit?usp=sharing"",""จัดที่ดิน!BG48"")"),0)</f>
        <v>0</v>
      </c>
      <c r="K677" s="55"/>
      <c r="L677" s="469"/>
      <c r="M677" s="55"/>
      <c r="N677" s="468"/>
      <c r="O677" s="55"/>
      <c r="P677" s="55"/>
      <c r="Q677" s="468"/>
      <c r="R677" s="55"/>
      <c r="S677" s="468"/>
      <c r="T677" s="55"/>
      <c r="U677" s="55"/>
    </row>
    <row r="678" spans="1:21" ht="18.75" hidden="1">
      <c r="A678" s="238"/>
      <c r="B678" s="188"/>
      <c r="C678" s="188"/>
      <c r="D678" s="50"/>
      <c r="E678" s="50"/>
      <c r="F678" s="50"/>
      <c r="G678" s="52"/>
      <c r="H678" s="165" t="s">
        <v>46</v>
      </c>
      <c r="I678" s="570">
        <f ca="1">IFERROR(__xludf.DUMMYFUNCTION("IMPORTRANGE(""https://docs.google.com/spreadsheets/d/1eHaY18a8A9IcSdp1K8H6x8fbOy06t2VsZHhMHf-1x7Y/edit?usp=sharing"",""แผน!IP48"")"),0)</f>
        <v>0</v>
      </c>
      <c r="J678" s="212">
        <f ca="1">IFERROR(__xludf.DUMMYFUNCTION("IMPORTRANGE(""https://docs.google.com/spreadsheets/d/1tdoBKaGub7dwA3U6UFTqxio9LNnvDCQjHKmttSEBsFQ/edit?usp=sharing"",""จัดที่ดิน!BH48"")"),0)</f>
        <v>0</v>
      </c>
      <c r="K678" s="255">
        <f ca="1">IF(I678&gt;0,J678*100/I678,0)</f>
        <v>0</v>
      </c>
      <c r="L678" s="469"/>
      <c r="M678" s="55"/>
      <c r="N678" s="468"/>
      <c r="O678" s="55"/>
      <c r="P678" s="55"/>
      <c r="Q678" s="468"/>
      <c r="R678" s="55"/>
      <c r="S678" s="468"/>
      <c r="T678" s="55"/>
      <c r="U678" s="55"/>
    </row>
    <row r="679" spans="1:21" ht="18.75" hidden="1">
      <c r="A679" s="238"/>
      <c r="B679" s="188"/>
      <c r="C679" s="188"/>
      <c r="D679" s="50"/>
      <c r="E679" s="58" t="s">
        <v>251</v>
      </c>
      <c r="F679" s="50"/>
      <c r="G679" s="52"/>
      <c r="H679" s="165" t="s">
        <v>35</v>
      </c>
      <c r="I679" s="570">
        <f ca="1">IFERROR(__xludf.DUMMYFUNCTION("IMPORTRANGE(""https://docs.google.com/spreadsheets/d/1eHaY18a8A9IcSdp1K8H6x8fbOy06t2VsZHhMHf-1x7Y/edit?usp=sharing"",""แผน!IQ48"")"),0)</f>
        <v>0</v>
      </c>
      <c r="J679" s="212">
        <f ca="1">IFERROR(__xludf.DUMMYFUNCTION("IMPORTRANGE(""https://docs.google.com/spreadsheets/d/1tdoBKaGub7dwA3U6UFTqxio9LNnvDCQjHKmttSEBsFQ/edit?usp=sharing"",""จัดที่ดิน!BK48"")"),0)</f>
        <v>0</v>
      </c>
      <c r="K679" s="255">
        <f ca="1">IF(I679&gt;0,J679*100/I679,0)</f>
        <v>0</v>
      </c>
      <c r="L679" s="62"/>
      <c r="M679" s="55"/>
      <c r="N679" s="468"/>
      <c r="O679" s="55"/>
      <c r="P679" s="55"/>
      <c r="Q679" s="55"/>
      <c r="R679" s="55"/>
      <c r="S679" s="468"/>
      <c r="T679" s="55"/>
      <c r="U679" s="55"/>
    </row>
    <row r="680" spans="1:21" ht="18.75" hidden="1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212">
        <f ca="1">IFERROR(__xludf.DUMMYFUNCTION("IMPORTRANGE(""https://docs.google.com/spreadsheets/d/1tdoBKaGub7dwA3U6UFTqxio9LNnvDCQjHKmttSEBsFQ/edit?usp=sharing"",""จัดที่ดิน!BL48"")"),0)</f>
        <v>0</v>
      </c>
      <c r="K680" s="55"/>
      <c r="L680" s="469"/>
      <c r="M680" s="55"/>
      <c r="N680" s="468"/>
      <c r="O680" s="55"/>
      <c r="P680" s="55"/>
      <c r="Q680" s="468"/>
      <c r="R680" s="55"/>
      <c r="S680" s="468"/>
      <c r="T680" s="55"/>
      <c r="U680" s="55"/>
    </row>
    <row r="681" spans="1:21" ht="18.75" hidden="1">
      <c r="A681" s="238"/>
      <c r="B681" s="188"/>
      <c r="C681" s="188"/>
      <c r="D681" s="50"/>
      <c r="E681" s="50"/>
      <c r="F681" s="50"/>
      <c r="G681" s="52"/>
      <c r="H681" s="165" t="s">
        <v>46</v>
      </c>
      <c r="I681" s="570">
        <f ca="1">IFERROR(__xludf.DUMMYFUNCTION("IMPORTRANGE(""https://docs.google.com/spreadsheets/d/1eHaY18a8A9IcSdp1K8H6x8fbOy06t2VsZHhMHf-1x7Y/edit?usp=sharing"",""แผน!IR48"")"),0)</f>
        <v>0</v>
      </c>
      <c r="J681" s="212">
        <f ca="1">IFERROR(__xludf.DUMMYFUNCTION("IMPORTRANGE(""https://docs.google.com/spreadsheets/d/1tdoBKaGub7dwA3U6UFTqxio9LNnvDCQjHKmttSEBsFQ/edit?usp=sharing"",""จัดที่ดิน!BM48"")"),0)</f>
        <v>0</v>
      </c>
      <c r="K681" s="255">
        <f ca="1">IF(I681&gt;0,J681*100/I681,0)</f>
        <v>0</v>
      </c>
      <c r="L681" s="469"/>
      <c r="M681" s="55"/>
      <c r="N681" s="468"/>
      <c r="O681" s="55"/>
      <c r="P681" s="55"/>
      <c r="Q681" s="468"/>
      <c r="R681" s="55"/>
      <c r="S681" s="468"/>
      <c r="T681" s="55"/>
      <c r="U681" s="55"/>
    </row>
    <row r="682" spans="1:21" ht="19.5" hidden="1">
      <c r="A682" s="238"/>
      <c r="B682" s="188"/>
      <c r="C682" s="188"/>
      <c r="D682" s="58" t="s">
        <v>252</v>
      </c>
      <c r="E682" s="50"/>
      <c r="F682" s="50"/>
      <c r="G682" s="52"/>
      <c r="H682" s="461" t="s">
        <v>46</v>
      </c>
      <c r="I682" s="569">
        <f ca="1">IFERROR(__xludf.DUMMYFUNCTION("IMPORTRANGE(""https://docs.google.com/spreadsheets/d/1eHaY18a8A9IcSdp1K8H6x8fbOy06t2VsZHhMHf-1x7Y/edit?usp=sharing"",""แผน!IS48"")"),0)</f>
        <v>0</v>
      </c>
      <c r="J682" s="373">
        <f>J685+J688</f>
        <v>0</v>
      </c>
      <c r="K682" s="540">
        <f ca="1">IF(I682&gt;0,J682*100/I682,0)</f>
        <v>0</v>
      </c>
      <c r="L682" s="62"/>
      <c r="M682" s="55"/>
      <c r="N682" s="468"/>
      <c r="O682" s="55"/>
      <c r="P682" s="55"/>
      <c r="Q682" s="55"/>
      <c r="R682" s="55"/>
      <c r="S682" s="468"/>
      <c r="T682" s="55"/>
      <c r="U682" s="55"/>
    </row>
    <row r="683" spans="1:21" ht="18.75" hidden="1">
      <c r="A683" s="238"/>
      <c r="B683" s="188"/>
      <c r="C683" s="188"/>
      <c r="D683" s="50"/>
      <c r="E683" s="58" t="s">
        <v>253</v>
      </c>
      <c r="F683" s="50"/>
      <c r="G683" s="52"/>
      <c r="H683" s="165" t="s">
        <v>35</v>
      </c>
      <c r="I683" s="208"/>
      <c r="J683" s="467">
        <v>0</v>
      </c>
      <c r="K683" s="55"/>
      <c r="L683" s="469"/>
      <c r="M683" s="55"/>
      <c r="N683" s="468"/>
      <c r="O683" s="55"/>
      <c r="P683" s="55"/>
      <c r="Q683" s="468"/>
      <c r="R683" s="55"/>
      <c r="S683" s="468"/>
      <c r="T683" s="55"/>
      <c r="U683" s="55"/>
    </row>
    <row r="684" spans="1:21" ht="18.75" hidden="1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467">
        <v>0</v>
      </c>
      <c r="K684" s="55"/>
      <c r="L684" s="469"/>
      <c r="M684" s="55"/>
      <c r="N684" s="468"/>
      <c r="O684" s="55"/>
      <c r="P684" s="55"/>
      <c r="Q684" s="468"/>
      <c r="R684" s="55"/>
      <c r="S684" s="468"/>
      <c r="T684" s="55"/>
      <c r="U684" s="55"/>
    </row>
    <row r="685" spans="1:21" ht="18.75" hidden="1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467">
        <v>0</v>
      </c>
      <c r="K685" s="55"/>
      <c r="L685" s="469"/>
      <c r="M685" s="55"/>
      <c r="N685" s="468"/>
      <c r="O685" s="55"/>
      <c r="P685" s="55"/>
      <c r="Q685" s="468"/>
      <c r="R685" s="55"/>
      <c r="S685" s="468"/>
      <c r="T685" s="55"/>
      <c r="U685" s="55"/>
    </row>
    <row r="686" spans="1:21" ht="18.75" hidden="1">
      <c r="A686" s="238"/>
      <c r="B686" s="188"/>
      <c r="C686" s="188"/>
      <c r="D686" s="50"/>
      <c r="E686" s="58" t="s">
        <v>254</v>
      </c>
      <c r="F686" s="50"/>
      <c r="G686" s="52"/>
      <c r="H686" s="165" t="s">
        <v>35</v>
      </c>
      <c r="I686" s="208"/>
      <c r="J686" s="467">
        <v>0</v>
      </c>
      <c r="K686" s="55"/>
      <c r="L686" s="469"/>
      <c r="M686" s="55"/>
      <c r="N686" s="468"/>
      <c r="O686" s="55"/>
      <c r="P686" s="55"/>
      <c r="Q686" s="468"/>
      <c r="R686" s="55"/>
      <c r="S686" s="468"/>
      <c r="T686" s="55"/>
      <c r="U686" s="55"/>
    </row>
    <row r="687" spans="1:21" ht="18.75" hidden="1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467">
        <v>0</v>
      </c>
      <c r="K687" s="55"/>
      <c r="L687" s="469"/>
      <c r="M687" s="55"/>
      <c r="N687" s="468"/>
      <c r="O687" s="55"/>
      <c r="P687" s="55"/>
      <c r="Q687" s="468"/>
      <c r="R687" s="55"/>
      <c r="S687" s="468"/>
      <c r="T687" s="55"/>
      <c r="U687" s="55"/>
    </row>
    <row r="688" spans="1:21" ht="19.5" hidden="1">
      <c r="A688" s="281"/>
      <c r="B688" s="470" t="s">
        <v>255</v>
      </c>
      <c r="C688" s="282"/>
      <c r="D688" s="2"/>
      <c r="E688" s="2"/>
      <c r="F688" s="2"/>
      <c r="G688" s="284"/>
      <c r="H688" s="214" t="s">
        <v>46</v>
      </c>
      <c r="I688" s="375"/>
      <c r="J688" s="538">
        <v>0</v>
      </c>
      <c r="K688" s="6"/>
      <c r="L688" s="472"/>
      <c r="M688" s="6"/>
      <c r="N688" s="471"/>
      <c r="O688" s="6"/>
      <c r="P688" s="6"/>
      <c r="Q688" s="471"/>
      <c r="R688" s="6"/>
      <c r="S688" s="471"/>
      <c r="T688" s="6"/>
      <c r="U688" s="6"/>
    </row>
    <row r="689" spans="1:21" ht="19.5">
      <c r="A689" s="442"/>
      <c r="B689" s="443" t="s">
        <v>256</v>
      </c>
      <c r="C689" s="442"/>
      <c r="D689" s="444"/>
      <c r="E689" s="444"/>
      <c r="F689" s="444"/>
      <c r="G689" s="445"/>
      <c r="H689" s="568" t="s">
        <v>35</v>
      </c>
      <c r="I689" s="567">
        <f ca="1">I707</f>
        <v>76</v>
      </c>
      <c r="J689" s="567">
        <f ca="1">J707</f>
        <v>54</v>
      </c>
      <c r="K689" s="543">
        <f ca="1">IF(I689&gt;0,J689*100/I689,0)</f>
        <v>71.05263157894737</v>
      </c>
      <c r="L689" s="449"/>
      <c r="M689" s="448"/>
      <c r="N689" s="448"/>
      <c r="O689" s="448"/>
      <c r="P689" s="448"/>
      <c r="Q689" s="448"/>
      <c r="R689" s="448"/>
      <c r="S689" s="448"/>
      <c r="T689" s="448"/>
      <c r="U689" s="448"/>
    </row>
    <row r="690" spans="1:21" ht="19.5">
      <c r="A690" s="155"/>
      <c r="B690" s="188"/>
      <c r="C690" s="205" t="s">
        <v>18</v>
      </c>
      <c r="D690" s="542" t="s">
        <v>19</v>
      </c>
      <c r="E690" s="529"/>
      <c r="F690" s="529"/>
      <c r="G690" s="530"/>
      <c r="H690" s="252" t="s">
        <v>14</v>
      </c>
      <c r="I690" s="54"/>
      <c r="J690" s="54"/>
      <c r="K690" s="55"/>
      <c r="L690" s="541">
        <f>L691+L692</f>
        <v>0</v>
      </c>
      <c r="M690" s="540">
        <f>M691+M692</f>
        <v>0</v>
      </c>
      <c r="N690" s="540">
        <f>N691+N692</f>
        <v>0</v>
      </c>
      <c r="O690" s="540">
        <f>IF(L690&gt;0,N690*100/L690,0)</f>
        <v>0</v>
      </c>
      <c r="P690" s="540">
        <f>IF(M690&gt;0,N690*100/M690,0)</f>
        <v>0</v>
      </c>
      <c r="Q690" s="540">
        <f ca="1">Q691+Q692</f>
        <v>188640</v>
      </c>
      <c r="R690" s="540">
        <f ca="1">R691+R692</f>
        <v>188640</v>
      </c>
      <c r="S690" s="540">
        <f ca="1">S691+S692</f>
        <v>88010</v>
      </c>
      <c r="T690" s="540">
        <f ca="1">IF(Q690&gt;0,S690*100/Q690,0)</f>
        <v>46.6550042408821</v>
      </c>
      <c r="U690" s="540">
        <f ca="1">IF(R690&gt;0,S690*100/R690,0)</f>
        <v>46.6550042408821</v>
      </c>
    </row>
    <row r="691" spans="1:21" ht="18.75" hidden="1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103">
        <f>L694+L697</f>
        <v>0</v>
      </c>
      <c r="M691" s="102">
        <f>M694+M697</f>
        <v>0</v>
      </c>
      <c r="N691" s="102">
        <f>N694+N697</f>
        <v>0</v>
      </c>
      <c r="O691" s="102">
        <f>IF(L691&gt;0,N691*100/L691,0)</f>
        <v>0</v>
      </c>
      <c r="P691" s="102">
        <f>IF(M691&gt;0,N691*100/M691,0)</f>
        <v>0</v>
      </c>
      <c r="Q691" s="102">
        <f>Q694+Q697</f>
        <v>0</v>
      </c>
      <c r="R691" s="102">
        <f>R694+R697</f>
        <v>0</v>
      </c>
      <c r="S691" s="102">
        <f>S694+S697</f>
        <v>0</v>
      </c>
      <c r="T691" s="102">
        <f>IF(Q691&gt;0,S691*100/Q691,0)</f>
        <v>0</v>
      </c>
      <c r="U691" s="102">
        <f>IF(R691&gt;0,S691*100/R691,0)</f>
        <v>0</v>
      </c>
    </row>
    <row r="692" spans="1:21" ht="18.75" hidden="1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256">
        <f>L695+L698</f>
        <v>0</v>
      </c>
      <c r="M692" s="255">
        <f>M695+M698</f>
        <v>0</v>
      </c>
      <c r="N692" s="255">
        <f>N695+N698</f>
        <v>0</v>
      </c>
      <c r="O692" s="255">
        <f>IF(L692&gt;0,N692*100/L692,0)</f>
        <v>0</v>
      </c>
      <c r="P692" s="255">
        <f>IF(M692&gt;0,N692*100/M692,0)</f>
        <v>0</v>
      </c>
      <c r="Q692" s="255">
        <f ca="1">Q695+Q698</f>
        <v>188640</v>
      </c>
      <c r="R692" s="255">
        <f ca="1">R695+R698</f>
        <v>188640</v>
      </c>
      <c r="S692" s="255">
        <f ca="1">S695+S698</f>
        <v>88010</v>
      </c>
      <c r="T692" s="255">
        <f ca="1">IF(Q692&gt;0,S692*100/Q692,0)</f>
        <v>46.6550042408821</v>
      </c>
      <c r="U692" s="255">
        <f ca="1">IF(R692&gt;0,S692*100/R692,0)</f>
        <v>46.6550042408821</v>
      </c>
    </row>
    <row r="693" spans="1:21" ht="18.75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256">
        <f>L694+L695</f>
        <v>0</v>
      </c>
      <c r="M693" s="255">
        <f>M694+M695</f>
        <v>0</v>
      </c>
      <c r="N693" s="255">
        <f>N694+N695</f>
        <v>0</v>
      </c>
      <c r="O693" s="255">
        <f>IF(L693&gt;0,N693*100/L693,0)</f>
        <v>0</v>
      </c>
      <c r="P693" s="255">
        <f>IF(M693&gt;0,N693*100/M693,0)</f>
        <v>0</v>
      </c>
      <c r="Q693" s="255">
        <f ca="1">Q694+Q695</f>
        <v>188640</v>
      </c>
      <c r="R693" s="255">
        <f ca="1">R694+R695</f>
        <v>188640</v>
      </c>
      <c r="S693" s="255">
        <f ca="1">S694+S695</f>
        <v>88010</v>
      </c>
      <c r="T693" s="255">
        <f ca="1">IF(Q693&gt;0,S693*100/Q693,0)</f>
        <v>46.6550042408821</v>
      </c>
      <c r="U693" s="255">
        <f ca="1">IF(R693&gt;0,S693*100/R693,0)</f>
        <v>46.6550042408821</v>
      </c>
    </row>
    <row r="694" spans="1:21" ht="18.75" hidden="1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103">
        <v>0</v>
      </c>
      <c r="M694" s="102">
        <v>0</v>
      </c>
      <c r="N694" s="102">
        <v>0</v>
      </c>
      <c r="O694" s="102">
        <f>IF(L694&gt;0,N694*100/L694,0)</f>
        <v>0</v>
      </c>
      <c r="P694" s="102">
        <f>IF(M694&gt;0,N694*100/M694,0)</f>
        <v>0</v>
      </c>
      <c r="Q694" s="102">
        <v>0</v>
      </c>
      <c r="R694" s="102">
        <v>0</v>
      </c>
      <c r="S694" s="102">
        <v>0</v>
      </c>
      <c r="T694" s="102">
        <f>IF(Q694&gt;0,S694*100/Q694,0)</f>
        <v>0</v>
      </c>
      <c r="U694" s="102">
        <f>IF(R694&gt;0,S694*100/R694,0)</f>
        <v>0</v>
      </c>
    </row>
    <row r="695" spans="1:21" ht="18.75" hidden="1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256">
        <v>0</v>
      </c>
      <c r="M695" s="255">
        <v>0</v>
      </c>
      <c r="N695" s="255">
        <v>0</v>
      </c>
      <c r="O695" s="255">
        <f>IF(L695&gt;0,N695*100/L695,0)</f>
        <v>0</v>
      </c>
      <c r="P695" s="255">
        <f>IF(M695&gt;0,N695*100/M695,0)</f>
        <v>0</v>
      </c>
      <c r="Q695" s="255">
        <f ca="1">IFERROR(__xludf.DUMMYFUNCTION("IMPORTRANGE(""https://docs.google.com/spreadsheets/d/1ItG2mGa2ceCfYo0BwxsXqNm01IGEUdYcSSLTEv9YCik/edit?usp=sharing"",""เบิกจ่ายกองทุน!L48"")"),188640)</f>
        <v>188640</v>
      </c>
      <c r="R695" s="255">
        <f ca="1">IFERROR(__xludf.DUMMYFUNCTION("IMPORTRANGE(""https://docs.google.com/spreadsheets/d/1ItG2mGa2ceCfYo0BwxsXqNm01IGEUdYcSSLTEv9YCik/edit?usp=sharing"",""เบิกจ่ายกองทุน!M48"")"),188640)</f>
        <v>188640</v>
      </c>
      <c r="S695" s="255">
        <f ca="1">IFERROR(__xludf.DUMMYFUNCTION("IMPORTRANGE(""https://docs.google.com/spreadsheets/d/1ItG2mGa2ceCfYo0BwxsXqNm01IGEUdYcSSLTEv9YCik/edit?usp=sharing"",""เบิกจ่ายกองทุน!N48"")"),88010)</f>
        <v>88010</v>
      </c>
      <c r="T695" s="255">
        <f ca="1">IF(Q695&gt;0,S695*100/Q695,0)</f>
        <v>46.6550042408821</v>
      </c>
      <c r="U695" s="255">
        <f ca="1">IF(R695&gt;0,S695*100/R695,0)</f>
        <v>46.6550042408821</v>
      </c>
    </row>
    <row r="696" spans="1:21" ht="18.75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256">
        <f>L697+L698</f>
        <v>0</v>
      </c>
      <c r="M696" s="255">
        <f>M697+M698</f>
        <v>0</v>
      </c>
      <c r="N696" s="255">
        <f>N697+N698</f>
        <v>0</v>
      </c>
      <c r="O696" s="255">
        <f>IF(L696&gt;0,N696*100/L696,0)</f>
        <v>0</v>
      </c>
      <c r="P696" s="255">
        <f>IF(M696&gt;0,N696*100/M696,0)</f>
        <v>0</v>
      </c>
      <c r="Q696" s="255">
        <f>Q697+Q698</f>
        <v>0</v>
      </c>
      <c r="R696" s="255">
        <f>R697+R698</f>
        <v>0</v>
      </c>
      <c r="S696" s="255">
        <f>S697+S698</f>
        <v>0</v>
      </c>
      <c r="T696" s="255">
        <f>IF(Q696&gt;0,S696*100/Q696,0)</f>
        <v>0</v>
      </c>
      <c r="U696" s="255">
        <f>IF(R696&gt;0,S696*100/R696,0)</f>
        <v>0</v>
      </c>
    </row>
    <row r="697" spans="1:21" ht="18.75" hidden="1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103">
        <v>0</v>
      </c>
      <c r="M697" s="102">
        <v>0</v>
      </c>
      <c r="N697" s="102">
        <v>0</v>
      </c>
      <c r="O697" s="102">
        <f>IF(L697&gt;0,N697*100/L697,0)</f>
        <v>0</v>
      </c>
      <c r="P697" s="102">
        <f>IF(M697&gt;0,N697*100/M697,0)</f>
        <v>0</v>
      </c>
      <c r="Q697" s="102">
        <v>0</v>
      </c>
      <c r="R697" s="102">
        <v>0</v>
      </c>
      <c r="S697" s="102">
        <v>0</v>
      </c>
      <c r="T697" s="102">
        <f>IF(Q697&gt;0,S697*100/Q697,0)</f>
        <v>0</v>
      </c>
      <c r="U697" s="102">
        <f>IF(R697&gt;0,S697*100/R697,0)</f>
        <v>0</v>
      </c>
    </row>
    <row r="698" spans="1:21" ht="18.75" hidden="1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256">
        <v>0</v>
      </c>
      <c r="M698" s="255">
        <v>0</v>
      </c>
      <c r="N698" s="255">
        <v>0</v>
      </c>
      <c r="O698" s="255">
        <f>IF(L698&gt;0,N698*100/L698,0)</f>
        <v>0</v>
      </c>
      <c r="P698" s="255">
        <f>IF(M698&gt;0,N698*100/M698,0)</f>
        <v>0</v>
      </c>
      <c r="Q698" s="255">
        <v>0</v>
      </c>
      <c r="R698" s="255">
        <v>0</v>
      </c>
      <c r="S698" s="255">
        <v>0</v>
      </c>
      <c r="T698" s="255">
        <f>IF(Q698&gt;0,S698*100/Q698,0)</f>
        <v>0</v>
      </c>
      <c r="U698" s="255">
        <f>IF(R698&gt;0,S698*100/R698,0)</f>
        <v>0</v>
      </c>
    </row>
    <row r="699" spans="1:21" ht="19.5">
      <c r="A699" s="166"/>
      <c r="B699" s="167"/>
      <c r="C699" s="205" t="s">
        <v>18</v>
      </c>
      <c r="D699" s="566" t="s">
        <v>38</v>
      </c>
      <c r="E699" s="169"/>
      <c r="F699" s="169"/>
      <c r="G699" s="169"/>
      <c r="H699" s="206"/>
      <c r="I699" s="163"/>
      <c r="J699" s="163"/>
      <c r="K699" s="164"/>
      <c r="L699" s="62"/>
      <c r="M699" s="55"/>
      <c r="N699" s="55"/>
      <c r="O699" s="55"/>
      <c r="P699" s="55"/>
      <c r="Q699" s="55"/>
      <c r="R699" s="55"/>
      <c r="S699" s="55"/>
      <c r="T699" s="55"/>
      <c r="U699" s="55"/>
    </row>
    <row r="700" spans="1:21" ht="18.75">
      <c r="A700" s="238"/>
      <c r="B700" s="188"/>
      <c r="C700" s="188"/>
      <c r="D700" s="174"/>
      <c r="E700" s="173" t="s">
        <v>257</v>
      </c>
      <c r="F700" s="174"/>
      <c r="G700" s="171"/>
      <c r="H700" s="165" t="s">
        <v>258</v>
      </c>
      <c r="I700" s="212">
        <f ca="1">IFERROR(__xludf.DUMMYFUNCTION("IMPORTRANGE(""https://docs.google.com/spreadsheets/d/1eHaY18a8A9IcSdp1K8H6x8fbOy06t2VsZHhMHf-1x7Y/edit?usp=sharing"",""แผน!LC48"")"),0)</f>
        <v>0</v>
      </c>
      <c r="J700" s="467">
        <v>0</v>
      </c>
      <c r="K700" s="565">
        <f ca="1">IF(I700&gt;0,J700*100/I700,0)</f>
        <v>0</v>
      </c>
      <c r="L700" s="172"/>
      <c r="M700" s="164"/>
      <c r="N700" s="55"/>
      <c r="O700" s="164"/>
      <c r="P700" s="164"/>
      <c r="Q700" s="164"/>
      <c r="R700" s="164"/>
      <c r="S700" s="55"/>
      <c r="T700" s="164"/>
      <c r="U700" s="164"/>
    </row>
    <row r="701" spans="1:21" ht="19.5">
      <c r="A701" s="238"/>
      <c r="B701" s="188"/>
      <c r="C701" s="188"/>
      <c r="D701" s="174"/>
      <c r="E701" s="476" t="s">
        <v>259</v>
      </c>
      <c r="F701" s="174"/>
      <c r="G701" s="171"/>
      <c r="H701" s="158" t="s">
        <v>35</v>
      </c>
      <c r="I701" s="373">
        <f ca="1">I703+I705</f>
        <v>81</v>
      </c>
      <c r="J701" s="373">
        <f ca="1">J703+J705</f>
        <v>53</v>
      </c>
      <c r="K701" s="540">
        <f ca="1">IF(I701&gt;0,J701*100/I701,0)</f>
        <v>65.432098765432102</v>
      </c>
      <c r="L701" s="172"/>
      <c r="M701" s="164"/>
      <c r="N701" s="164"/>
      <c r="O701" s="164"/>
      <c r="P701" s="164"/>
      <c r="Q701" s="164"/>
      <c r="R701" s="164"/>
      <c r="S701" s="164"/>
      <c r="T701" s="164"/>
      <c r="U701" s="164"/>
    </row>
    <row r="702" spans="1:21" ht="19.5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73">
        <v>0</v>
      </c>
      <c r="J702" s="373">
        <f ca="1">J704+J706</f>
        <v>40.58</v>
      </c>
      <c r="K702" s="540">
        <f>IF(I702&gt;0,J702*100/I702,0)</f>
        <v>0</v>
      </c>
      <c r="L702" s="172"/>
      <c r="M702" s="164"/>
      <c r="N702" s="164"/>
      <c r="O702" s="164"/>
      <c r="P702" s="164"/>
      <c r="Q702" s="164"/>
      <c r="R702" s="164"/>
      <c r="S702" s="164"/>
      <c r="T702" s="164"/>
      <c r="U702" s="164"/>
    </row>
    <row r="703" spans="1:21" ht="18.75">
      <c r="A703" s="238"/>
      <c r="B703" s="188"/>
      <c r="C703" s="188"/>
      <c r="D703" s="174"/>
      <c r="E703" s="174"/>
      <c r="F703" s="173" t="s">
        <v>260</v>
      </c>
      <c r="G703" s="171"/>
      <c r="H703" s="165" t="s">
        <v>35</v>
      </c>
      <c r="I703" s="212">
        <f ca="1">IFERROR(__xludf.DUMMYFUNCTION("IMPORTRANGE(""https://docs.google.com/spreadsheets/d/1eHaY18a8A9IcSdp1K8H6x8fbOy06t2VsZHhMHf-1x7Y/edit?usp=sharing"",""แผน!LJ48"")"),76)</f>
        <v>76</v>
      </c>
      <c r="J703" s="212">
        <f ca="1">IFERROR(__xludf.DUMMYFUNCTION("IMPORTRANGE(""https://docs.google.com/spreadsheets/d/1tdoBKaGub7dwA3U6UFTqxio9LNnvDCQjHKmttSEBsFQ/edit?usp=sharing"",""จัดที่ดิน!AP48"")"),53)</f>
        <v>53</v>
      </c>
      <c r="K703" s="255">
        <f ca="1">IF(I703&gt;0,J703*100/I703,0)</f>
        <v>69.736842105263165</v>
      </c>
      <c r="L703" s="172"/>
      <c r="M703" s="164"/>
      <c r="N703" s="164"/>
      <c r="O703" s="164"/>
      <c r="P703" s="164"/>
      <c r="Q703" s="164"/>
      <c r="R703" s="164"/>
      <c r="S703" s="164"/>
      <c r="T703" s="164"/>
      <c r="U703" s="164"/>
    </row>
    <row r="704" spans="1:21" ht="18.75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212">
        <f ca="1">IFERROR(__xludf.DUMMYFUNCTION("IMPORTRANGE(""https://docs.google.com/spreadsheets/d/1tdoBKaGub7dwA3U6UFTqxio9LNnvDCQjHKmttSEBsFQ/edit?usp=sharing"",""จัดที่ดิน!AQ48"")"),40.58)</f>
        <v>40.58</v>
      </c>
      <c r="K704" s="255">
        <f>IF(I704&gt;0,J704*100/I704,0)</f>
        <v>0</v>
      </c>
      <c r="L704" s="172"/>
      <c r="M704" s="164"/>
      <c r="N704" s="164"/>
      <c r="O704" s="164"/>
      <c r="P704" s="164"/>
      <c r="Q704" s="164"/>
      <c r="R704" s="164"/>
      <c r="S704" s="164"/>
      <c r="T704" s="164"/>
      <c r="U704" s="164"/>
    </row>
    <row r="705" spans="1:21" ht="18.75">
      <c r="A705" s="238"/>
      <c r="B705" s="188"/>
      <c r="C705" s="188"/>
      <c r="D705" s="174"/>
      <c r="E705" s="174"/>
      <c r="F705" s="173" t="s">
        <v>261</v>
      </c>
      <c r="G705" s="171"/>
      <c r="H705" s="165" t="s">
        <v>35</v>
      </c>
      <c r="I705" s="212">
        <f ca="1">IFERROR(__xludf.DUMMYFUNCTION("IMPORTRANGE(""https://docs.google.com/spreadsheets/d/1eHaY18a8A9IcSdp1K8H6x8fbOy06t2VsZHhMHf-1x7Y/edit?usp=sharing"",""แผน!LK48"")"),5)</f>
        <v>5</v>
      </c>
      <c r="J705" s="212">
        <f ca="1">IFERROR(__xludf.DUMMYFUNCTION("IMPORTRANGE(""https://docs.google.com/spreadsheets/d/1tdoBKaGub7dwA3U6UFTqxio9LNnvDCQjHKmttSEBsFQ/edit?usp=sharing"",""จัดที่ดิน!AR48"")"),0)</f>
        <v>0</v>
      </c>
      <c r="K705" s="565">
        <f ca="1">IF(I705&gt;0,J705*100/I705,0)</f>
        <v>0</v>
      </c>
      <c r="L705" s="172"/>
      <c r="M705" s="164"/>
      <c r="N705" s="164"/>
      <c r="O705" s="164"/>
      <c r="P705" s="164"/>
      <c r="Q705" s="164"/>
      <c r="R705" s="164"/>
      <c r="S705" s="164"/>
      <c r="T705" s="164"/>
      <c r="U705" s="164"/>
    </row>
    <row r="706" spans="1:21" ht="18.75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212">
        <f ca="1">IFERROR(__xludf.DUMMYFUNCTION("IMPORTRANGE(""https://docs.google.com/spreadsheets/d/1tdoBKaGub7dwA3U6UFTqxio9LNnvDCQjHKmttSEBsFQ/edit?usp=sharing"",""จัดที่ดิน!AS48"")"),0)</f>
        <v>0</v>
      </c>
      <c r="K706" s="255">
        <f>IF(I706&gt;0,J706*100/I706,0)</f>
        <v>0</v>
      </c>
      <c r="L706" s="172"/>
      <c r="M706" s="164"/>
      <c r="N706" s="164"/>
      <c r="O706" s="164"/>
      <c r="P706" s="164"/>
      <c r="Q706" s="164"/>
      <c r="R706" s="164"/>
      <c r="S706" s="164"/>
      <c r="T706" s="164"/>
      <c r="U706" s="164"/>
    </row>
    <row r="707" spans="1:21" ht="18.75">
      <c r="A707" s="238"/>
      <c r="B707" s="188"/>
      <c r="C707" s="188"/>
      <c r="D707" s="174"/>
      <c r="E707" s="173" t="s">
        <v>262</v>
      </c>
      <c r="F707" s="174"/>
      <c r="G707" s="171"/>
      <c r="H707" s="162" t="s">
        <v>35</v>
      </c>
      <c r="I707" s="212">
        <f ca="1">IFERROR(__xludf.DUMMYFUNCTION("IMPORTRANGE(""https://docs.google.com/spreadsheets/d/1eHaY18a8A9IcSdp1K8H6x8fbOy06t2VsZHhMHf-1x7Y/edit?usp=sharing"",""แผน!LJ48"")"),76)</f>
        <v>76</v>
      </c>
      <c r="J707" s="212">
        <f ca="1">IFERROR(__xludf.DUMMYFUNCTION("IMPORTRANGE(""https://docs.google.com/spreadsheets/d/1tdoBKaGub7dwA3U6UFTqxio9LNnvDCQjHKmttSEBsFQ/edit?usp=sharing"",""จัดที่ดิน!BN48"")"),54)</f>
        <v>54</v>
      </c>
      <c r="K707" s="255">
        <f ca="1">IF(I707&gt;0,J707*100/I707,0)</f>
        <v>71.05263157894737</v>
      </c>
      <c r="L707" s="172"/>
      <c r="M707" s="164"/>
      <c r="N707" s="164"/>
      <c r="O707" s="164"/>
      <c r="P707" s="164"/>
      <c r="Q707" s="164"/>
      <c r="R707" s="164"/>
      <c r="S707" s="164"/>
      <c r="T707" s="164"/>
      <c r="U707" s="164"/>
    </row>
    <row r="708" spans="1:21" ht="18.75">
      <c r="A708" s="238"/>
      <c r="B708" s="188"/>
      <c r="C708" s="188"/>
      <c r="D708" s="174"/>
      <c r="E708" s="477" t="s">
        <v>263</v>
      </c>
      <c r="F708" s="174"/>
      <c r="G708" s="171"/>
      <c r="H708" s="162" t="s">
        <v>46</v>
      </c>
      <c r="I708" s="212">
        <v>0</v>
      </c>
      <c r="J708" s="212">
        <f ca="1">IFERROR(__xludf.DUMMYFUNCTION("IMPORTRANGE(""https://docs.google.com/spreadsheets/d/1tdoBKaGub7dwA3U6UFTqxio9LNnvDCQjHKmttSEBsFQ/edit?usp=sharing"",""จัดที่ดิน!BO48"")"),35)</f>
        <v>35</v>
      </c>
      <c r="K708" s="255">
        <f>IF(I708&gt;0,J708*100/I708,0)</f>
        <v>0</v>
      </c>
      <c r="L708" s="172"/>
      <c r="M708" s="164"/>
      <c r="N708" s="164"/>
      <c r="O708" s="164"/>
      <c r="P708" s="164"/>
      <c r="Q708" s="164"/>
      <c r="R708" s="164"/>
      <c r="S708" s="164"/>
      <c r="T708" s="164"/>
      <c r="U708" s="164"/>
    </row>
    <row r="709" spans="1:21" ht="18.75">
      <c r="A709" s="238"/>
      <c r="B709" s="188"/>
      <c r="C709" s="188"/>
      <c r="D709" s="50"/>
      <c r="E709" s="58" t="s">
        <v>264</v>
      </c>
      <c r="F709" s="50"/>
      <c r="G709" s="52"/>
      <c r="H709" s="203" t="s">
        <v>35</v>
      </c>
      <c r="I709" s="212">
        <f ca="1">IFERROR(__xludf.DUMMYFUNCTION("IMPORTRANGE(""https://docs.google.com/spreadsheets/d/1eHaY18a8A9IcSdp1K8H6x8fbOy06t2VsZHhMHf-1x7Y/edit?usp=sharing"",""แผน!LK48"")"),5)</f>
        <v>5</v>
      </c>
      <c r="J709" s="212">
        <f ca="1">IFERROR(__xludf.DUMMYFUNCTION("IMPORTRANGE(""https://docs.google.com/spreadsheets/d/1tdoBKaGub7dwA3U6UFTqxio9LNnvDCQjHKmttSEBsFQ/edit?usp=sharing"",""จัดที่ดิน!BP48"")"),0)</f>
        <v>0</v>
      </c>
      <c r="K709" s="255">
        <f ca="1">IF(I709&gt;0,J709*100/I709,0)</f>
        <v>0</v>
      </c>
      <c r="L709" s="62"/>
      <c r="M709" s="55"/>
      <c r="N709" s="55"/>
      <c r="O709" s="55"/>
      <c r="P709" s="55"/>
      <c r="Q709" s="55"/>
      <c r="R709" s="55"/>
      <c r="S709" s="55"/>
      <c r="T709" s="55"/>
      <c r="U709" s="55"/>
    </row>
    <row r="710" spans="1:21" ht="18.75">
      <c r="A710" s="238"/>
      <c r="B710" s="188"/>
      <c r="C710" s="188"/>
      <c r="D710" s="50"/>
      <c r="E710" s="477" t="s">
        <v>265</v>
      </c>
      <c r="F710" s="50"/>
      <c r="G710" s="52"/>
      <c r="H710" s="203" t="s">
        <v>46</v>
      </c>
      <c r="I710" s="212">
        <v>0</v>
      </c>
      <c r="J710" s="212">
        <f ca="1">IFERROR(__xludf.DUMMYFUNCTION("IMPORTRANGE(""https://docs.google.com/spreadsheets/d/1tdoBKaGub7dwA3U6UFTqxio9LNnvDCQjHKmttSEBsFQ/edit?usp=sharing"",""จัดที่ดิน!BQ48"")"),0)</f>
        <v>0</v>
      </c>
      <c r="K710" s="255">
        <f>IF(I710&gt;0,J710*100/I710,0)</f>
        <v>0</v>
      </c>
      <c r="L710" s="62"/>
      <c r="M710" s="55"/>
      <c r="N710" s="55"/>
      <c r="O710" s="55"/>
      <c r="P710" s="55"/>
      <c r="Q710" s="55"/>
      <c r="R710" s="55"/>
      <c r="S710" s="55"/>
      <c r="T710" s="55"/>
      <c r="U710" s="55"/>
    </row>
    <row r="711" spans="1:21" ht="12.75" hidden="1">
      <c r="A711" s="407"/>
      <c r="B711" s="360"/>
      <c r="C711" s="360"/>
      <c r="D711" s="408"/>
      <c r="E711" s="408"/>
      <c r="F711" s="408"/>
      <c r="G711" s="409"/>
      <c r="H711" s="361"/>
      <c r="I711" s="362"/>
      <c r="J711" s="362"/>
      <c r="K711" s="363"/>
      <c r="L711" s="364"/>
      <c r="M711" s="363"/>
      <c r="N711" s="363"/>
      <c r="O711" s="363"/>
      <c r="P711" s="363"/>
      <c r="Q711" s="363"/>
      <c r="R711" s="363"/>
      <c r="S711" s="363"/>
      <c r="T711" s="363"/>
      <c r="U711" s="363"/>
    </row>
    <row r="712" spans="1:21" ht="19.5" hidden="1">
      <c r="A712" s="442"/>
      <c r="B712" s="478" t="s">
        <v>266</v>
      </c>
      <c r="C712" s="442"/>
      <c r="D712" s="444"/>
      <c r="E712" s="444"/>
      <c r="F712" s="444"/>
      <c r="G712" s="445"/>
      <c r="H712" s="479" t="s">
        <v>46</v>
      </c>
      <c r="I712" s="447"/>
      <c r="J712" s="447">
        <f>J724</f>
        <v>0</v>
      </c>
      <c r="K712" s="564">
        <f>IF(I712&gt;0,J712*100/I712,0)</f>
        <v>0</v>
      </c>
      <c r="L712" s="449"/>
      <c r="M712" s="448"/>
      <c r="N712" s="448"/>
      <c r="O712" s="448"/>
      <c r="P712" s="448"/>
      <c r="Q712" s="448"/>
      <c r="R712" s="448"/>
      <c r="S712" s="448"/>
      <c r="T712" s="448"/>
      <c r="U712" s="448"/>
    </row>
    <row r="713" spans="1:21" ht="19.5" hidden="1">
      <c r="A713" s="442"/>
      <c r="B713" s="478" t="s">
        <v>267</v>
      </c>
      <c r="C713" s="442"/>
      <c r="D713" s="444"/>
      <c r="E713" s="444"/>
      <c r="F713" s="444"/>
      <c r="G713" s="445"/>
      <c r="H713" s="446"/>
      <c r="I713" s="447"/>
      <c r="J713" s="447"/>
      <c r="K713" s="448"/>
      <c r="L713" s="449"/>
      <c r="M713" s="448"/>
      <c r="N713" s="448"/>
      <c r="O713" s="448"/>
      <c r="P713" s="448"/>
      <c r="Q713" s="448"/>
      <c r="R713" s="448"/>
      <c r="S713" s="448"/>
      <c r="T713" s="448"/>
      <c r="U713" s="448"/>
    </row>
    <row r="714" spans="1:21" ht="19.5" hidden="1">
      <c r="A714" s="155"/>
      <c r="B714" s="188"/>
      <c r="C714" s="358" t="s">
        <v>18</v>
      </c>
      <c r="D714" s="563" t="s">
        <v>19</v>
      </c>
      <c r="E714" s="529"/>
      <c r="F714" s="529"/>
      <c r="G714" s="530"/>
      <c r="H714" s="418" t="s">
        <v>14</v>
      </c>
      <c r="I714" s="54"/>
      <c r="J714" s="54"/>
      <c r="K714" s="55"/>
      <c r="L714" s="541">
        <f>L715+L716</f>
        <v>0</v>
      </c>
      <c r="M714" s="540">
        <f>M715+M716</f>
        <v>0</v>
      </c>
      <c r="N714" s="540">
        <f>N715+N716</f>
        <v>0</v>
      </c>
      <c r="O714" s="540">
        <f>IF(L714&gt;0,N714*100/L714,0)</f>
        <v>0</v>
      </c>
      <c r="P714" s="540">
        <f>IF(M714&gt;0,N714*100/M714,0)</f>
        <v>0</v>
      </c>
      <c r="Q714" s="540">
        <f>Q715+Q716</f>
        <v>0</v>
      </c>
      <c r="R714" s="540">
        <f>R715+R716</f>
        <v>0</v>
      </c>
      <c r="S714" s="540">
        <f>S715+S716</f>
        <v>0</v>
      </c>
      <c r="T714" s="540">
        <f>IF(Q714&gt;0,S714*100/Q714,0)</f>
        <v>0</v>
      </c>
      <c r="U714" s="540">
        <f>IF(R714&gt;0,S714*100/R714,0)</f>
        <v>0</v>
      </c>
    </row>
    <row r="715" spans="1:21" ht="18.75" hidden="1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103">
        <f>L718+L721</f>
        <v>0</v>
      </c>
      <c r="M715" s="102">
        <f>M718+M721</f>
        <v>0</v>
      </c>
      <c r="N715" s="102">
        <f>N718+N721</f>
        <v>0</v>
      </c>
      <c r="O715" s="102">
        <f>IF(L715&gt;0,N715*100/L715,0)</f>
        <v>0</v>
      </c>
      <c r="P715" s="102">
        <f>IF(M715&gt;0,N715*100/M715,0)</f>
        <v>0</v>
      </c>
      <c r="Q715" s="102">
        <f>Q718+Q721</f>
        <v>0</v>
      </c>
      <c r="R715" s="102">
        <f>R718+R721</f>
        <v>0</v>
      </c>
      <c r="S715" s="102">
        <f>S718+S721</f>
        <v>0</v>
      </c>
      <c r="T715" s="102">
        <f>IF(Q715&gt;0,S715*100/Q715,0)</f>
        <v>0</v>
      </c>
      <c r="U715" s="102">
        <f>IF(R715&gt;0,S715*100/R715,0)</f>
        <v>0</v>
      </c>
    </row>
    <row r="716" spans="1:21" ht="18.75" hidden="1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256">
        <f>L719+L722</f>
        <v>0</v>
      </c>
      <c r="M716" s="255">
        <f>M719+M722</f>
        <v>0</v>
      </c>
      <c r="N716" s="255">
        <f>N719+N722</f>
        <v>0</v>
      </c>
      <c r="O716" s="255">
        <f>IF(L716&gt;0,N716*100/L716,0)</f>
        <v>0</v>
      </c>
      <c r="P716" s="255">
        <f>IF(M716&gt;0,N716*100/M716,0)</f>
        <v>0</v>
      </c>
      <c r="Q716" s="255">
        <f>Q719+Q722</f>
        <v>0</v>
      </c>
      <c r="R716" s="255">
        <f>R719+R722</f>
        <v>0</v>
      </c>
      <c r="S716" s="255">
        <f>S719+S722</f>
        <v>0</v>
      </c>
      <c r="T716" s="255">
        <f>IF(Q716&gt;0,S716*100/Q716,0)</f>
        <v>0</v>
      </c>
      <c r="U716" s="255">
        <f>IF(R716&gt;0,S716*100/R716,0)</f>
        <v>0</v>
      </c>
    </row>
    <row r="717" spans="1:21" ht="19.5" hidden="1">
      <c r="A717" s="155"/>
      <c r="B717" s="188"/>
      <c r="C717" s="188"/>
      <c r="D717" s="562" t="s">
        <v>22</v>
      </c>
      <c r="E717" s="50"/>
      <c r="F717" s="50"/>
      <c r="G717" s="52"/>
      <c r="H717" s="418" t="s">
        <v>14</v>
      </c>
      <c r="I717" s="163"/>
      <c r="J717" s="163"/>
      <c r="K717" s="164"/>
      <c r="L717" s="256">
        <f>L718+L719</f>
        <v>0</v>
      </c>
      <c r="M717" s="255">
        <f>M718+M719</f>
        <v>0</v>
      </c>
      <c r="N717" s="255">
        <f>N718+N719</f>
        <v>0</v>
      </c>
      <c r="O717" s="255">
        <f>IF(L717&gt;0,N717*100/L717,0)</f>
        <v>0</v>
      </c>
      <c r="P717" s="255">
        <f>IF(M717&gt;0,N717*100/M717,0)</f>
        <v>0</v>
      </c>
      <c r="Q717" s="255">
        <f>Q718+Q719</f>
        <v>0</v>
      </c>
      <c r="R717" s="255">
        <f>R718+R719</f>
        <v>0</v>
      </c>
      <c r="S717" s="255">
        <f>S718+S719</f>
        <v>0</v>
      </c>
      <c r="T717" s="255">
        <f>IF(Q717&gt;0,S717*100/Q717,0)</f>
        <v>0</v>
      </c>
      <c r="U717" s="255">
        <f>IF(R717&gt;0,S717*100/R717,0)</f>
        <v>0</v>
      </c>
    </row>
    <row r="718" spans="1:21" ht="18.75" hidden="1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103">
        <v>0</v>
      </c>
      <c r="M718" s="102">
        <v>0</v>
      </c>
      <c r="N718" s="102">
        <v>0</v>
      </c>
      <c r="O718" s="102">
        <f>IF(L718&gt;0,N718*100/L718,0)</f>
        <v>0</v>
      </c>
      <c r="P718" s="102">
        <f>IF(M718&gt;0,N718*100/M718,0)</f>
        <v>0</v>
      </c>
      <c r="Q718" s="102">
        <v>0</v>
      </c>
      <c r="R718" s="102">
        <v>0</v>
      </c>
      <c r="S718" s="102">
        <v>0</v>
      </c>
      <c r="T718" s="102">
        <f>IF(Q718&gt;0,S718*100/Q718,0)</f>
        <v>0</v>
      </c>
      <c r="U718" s="102">
        <f>IF(R718&gt;0,S718*100/R718,0)</f>
        <v>0</v>
      </c>
    </row>
    <row r="719" spans="1:21" ht="18.75" hidden="1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256">
        <v>0</v>
      </c>
      <c r="M719" s="255">
        <v>0</v>
      </c>
      <c r="N719" s="255">
        <v>0</v>
      </c>
      <c r="O719" s="255">
        <f>IF(L719&gt;0,N719*100/L719,0)</f>
        <v>0</v>
      </c>
      <c r="P719" s="255">
        <f>IF(M719&gt;0,N719*100/M719,0)</f>
        <v>0</v>
      </c>
      <c r="Q719" s="255">
        <v>0</v>
      </c>
      <c r="R719" s="255">
        <v>0</v>
      </c>
      <c r="S719" s="255">
        <v>0</v>
      </c>
      <c r="T719" s="255">
        <f>IF(Q719&gt;0,S719*100/Q719,0)</f>
        <v>0</v>
      </c>
      <c r="U719" s="255">
        <f>IF(R719&gt;0,S719*100/R719,0)</f>
        <v>0</v>
      </c>
    </row>
    <row r="720" spans="1:21" ht="19.5" hidden="1">
      <c r="A720" s="155"/>
      <c r="B720" s="188"/>
      <c r="C720" s="188"/>
      <c r="D720" s="562" t="s">
        <v>23</v>
      </c>
      <c r="E720" s="50"/>
      <c r="F720" s="50"/>
      <c r="G720" s="52"/>
      <c r="H720" s="420" t="s">
        <v>14</v>
      </c>
      <c r="I720" s="163"/>
      <c r="J720" s="163"/>
      <c r="K720" s="164"/>
      <c r="L720" s="256">
        <f>L721+L722</f>
        <v>0</v>
      </c>
      <c r="M720" s="255">
        <f>M721+M722</f>
        <v>0</v>
      </c>
      <c r="N720" s="255">
        <f>N721+N722</f>
        <v>0</v>
      </c>
      <c r="O720" s="255">
        <f>IF(L720&gt;0,N720*100/L720,0)</f>
        <v>0</v>
      </c>
      <c r="P720" s="255">
        <f>IF(M720&gt;0,N720*100/M720,0)</f>
        <v>0</v>
      </c>
      <c r="Q720" s="255">
        <f>Q721+Q722</f>
        <v>0</v>
      </c>
      <c r="R720" s="255">
        <f>R721+R722</f>
        <v>0</v>
      </c>
      <c r="S720" s="255">
        <f>S721+S722</f>
        <v>0</v>
      </c>
      <c r="T720" s="255">
        <f>IF(Q720&gt;0,S720*100/Q720,0)</f>
        <v>0</v>
      </c>
      <c r="U720" s="255">
        <f>IF(R720&gt;0,S720*100/R720,0)</f>
        <v>0</v>
      </c>
    </row>
    <row r="721" spans="1:21" ht="18.75" hidden="1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103">
        <v>0</v>
      </c>
      <c r="M721" s="102">
        <v>0</v>
      </c>
      <c r="N721" s="102">
        <v>0</v>
      </c>
      <c r="O721" s="102">
        <f>IF(L721&gt;0,N721*100/L721,0)</f>
        <v>0</v>
      </c>
      <c r="P721" s="102">
        <f>IF(M721&gt;0,N721*100/M721,0)</f>
        <v>0</v>
      </c>
      <c r="Q721" s="102">
        <v>0</v>
      </c>
      <c r="R721" s="102">
        <v>0</v>
      </c>
      <c r="S721" s="102">
        <v>0</v>
      </c>
      <c r="T721" s="102">
        <f>IF(Q721&gt;0,S721*100/Q721,0)</f>
        <v>0</v>
      </c>
      <c r="U721" s="102">
        <f>IF(R721&gt;0,S721*100/R721,0)</f>
        <v>0</v>
      </c>
    </row>
    <row r="722" spans="1:21" ht="18.75" hidden="1">
      <c r="A722" s="155"/>
      <c r="B722" s="188"/>
      <c r="C722" s="188"/>
      <c r="D722" s="50"/>
      <c r="E722" s="186" t="s">
        <v>21</v>
      </c>
      <c r="F722" s="50"/>
      <c r="G722" s="52"/>
      <c r="H722" s="421" t="s">
        <v>14</v>
      </c>
      <c r="I722" s="163"/>
      <c r="J722" s="163"/>
      <c r="K722" s="164"/>
      <c r="L722" s="256">
        <v>0</v>
      </c>
      <c r="M722" s="255">
        <v>0</v>
      </c>
      <c r="N722" s="255">
        <v>0</v>
      </c>
      <c r="O722" s="255">
        <f>IF(L722&gt;0,N722*100/L722,0)</f>
        <v>0</v>
      </c>
      <c r="P722" s="255">
        <f>IF(M722&gt;0,N722*100/M722,0)</f>
        <v>0</v>
      </c>
      <c r="Q722" s="255">
        <v>0</v>
      </c>
      <c r="R722" s="255">
        <v>0</v>
      </c>
      <c r="S722" s="255">
        <v>0</v>
      </c>
      <c r="T722" s="255">
        <f>IF(Q722&gt;0,S722*100/Q722,0)</f>
        <v>0</v>
      </c>
      <c r="U722" s="255">
        <f>IF(R722&gt;0,S722*100/R722,0)</f>
        <v>0</v>
      </c>
    </row>
    <row r="723" spans="1:21" ht="19.5" hidden="1">
      <c r="A723" s="166"/>
      <c r="B723" s="167"/>
      <c r="C723" s="358" t="s">
        <v>18</v>
      </c>
      <c r="D723" s="561" t="s">
        <v>38</v>
      </c>
      <c r="E723" s="169"/>
      <c r="F723" s="169"/>
      <c r="G723" s="170"/>
      <c r="H723" s="206"/>
      <c r="I723" s="163"/>
      <c r="J723" s="163"/>
      <c r="K723" s="164"/>
      <c r="L723" s="172"/>
      <c r="M723" s="164"/>
      <c r="N723" s="164"/>
      <c r="O723" s="164"/>
      <c r="P723" s="164"/>
      <c r="Q723" s="164"/>
      <c r="R723" s="164"/>
      <c r="S723" s="164"/>
      <c r="T723" s="164"/>
      <c r="U723" s="164"/>
    </row>
    <row r="724" spans="1:21" ht="18.75" hidden="1">
      <c r="A724" s="238"/>
      <c r="B724" s="188"/>
      <c r="C724" s="188"/>
      <c r="D724" s="50"/>
      <c r="E724" s="186" t="s">
        <v>268</v>
      </c>
      <c r="F724" s="50"/>
      <c r="G724" s="52"/>
      <c r="H724" s="189" t="s">
        <v>46</v>
      </c>
      <c r="I724" s="483">
        <v>0</v>
      </c>
      <c r="J724" s="54"/>
      <c r="K724" s="55"/>
      <c r="L724" s="62"/>
      <c r="M724" s="55"/>
      <c r="N724" s="55"/>
      <c r="O724" s="55"/>
      <c r="P724" s="55"/>
      <c r="Q724" s="55"/>
      <c r="R724" s="55"/>
      <c r="S724" s="55"/>
      <c r="T724" s="55"/>
      <c r="U724" s="55"/>
    </row>
    <row r="725" spans="1:21" ht="18.75" hidden="1">
      <c r="A725" s="374"/>
      <c r="B725" s="5"/>
      <c r="C725" s="5"/>
      <c r="D725" s="4"/>
      <c r="E725" s="484" t="s">
        <v>269</v>
      </c>
      <c r="F725" s="4"/>
      <c r="G725" s="65"/>
      <c r="H725" s="485" t="s">
        <v>46</v>
      </c>
      <c r="I725" s="486">
        <v>0</v>
      </c>
      <c r="J725" s="67"/>
      <c r="K725" s="6"/>
      <c r="L725" s="68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>
      <c r="A726" s="442"/>
      <c r="B726" s="443" t="s">
        <v>270</v>
      </c>
      <c r="C726" s="442"/>
      <c r="D726" s="444"/>
      <c r="E726" s="444"/>
      <c r="F726" s="444"/>
      <c r="G726" s="445"/>
      <c r="H726" s="473" t="s">
        <v>35</v>
      </c>
      <c r="I726" s="544">
        <f ca="1">IFERROR(__xludf.DUMMYFUNCTION("IMPORTRANGE(""https://docs.google.com/spreadsheets/d/1eHaY18a8A9IcSdp1K8H6x8fbOy06t2VsZHhMHf-1x7Y/edit?usp=sharing"",""แผน!GA48"")"),128)</f>
        <v>128</v>
      </c>
      <c r="J726" s="544">
        <f>J742+J746+J749</f>
        <v>128</v>
      </c>
      <c r="K726" s="543">
        <f ca="1">IF(I726&gt;0,J726*100/I726,0)</f>
        <v>100</v>
      </c>
      <c r="L726" s="449"/>
      <c r="M726" s="448"/>
      <c r="N726" s="448"/>
      <c r="O726" s="448"/>
      <c r="P726" s="448"/>
      <c r="Q726" s="448"/>
      <c r="R726" s="448"/>
      <c r="S726" s="448"/>
      <c r="T726" s="448"/>
      <c r="U726" s="448"/>
    </row>
    <row r="727" spans="1:21" ht="19.5">
      <c r="A727" s="487"/>
      <c r="B727" s="442"/>
      <c r="C727" s="442"/>
      <c r="D727" s="444"/>
      <c r="E727" s="444"/>
      <c r="F727" s="444"/>
      <c r="G727" s="445"/>
      <c r="H727" s="473" t="s">
        <v>46</v>
      </c>
      <c r="I727" s="544">
        <f ca="1">IFERROR(__xludf.DUMMYFUNCTION("IMPORTRANGE(""https://docs.google.com/spreadsheets/d/1eHaY18a8A9IcSdp1K8H6x8fbOy06t2VsZHhMHf-1x7Y/edit?usp=sharing"",""แผน!FZ48"")"),1250)</f>
        <v>1250</v>
      </c>
      <c r="J727" s="544">
        <f>J752+J755</f>
        <v>0</v>
      </c>
      <c r="K727" s="543">
        <f ca="1">IF(I727&gt;0,J727*100/I727,0)</f>
        <v>0</v>
      </c>
      <c r="L727" s="449"/>
      <c r="M727" s="448"/>
      <c r="N727" s="448"/>
      <c r="O727" s="448"/>
      <c r="P727" s="448"/>
      <c r="Q727" s="448"/>
      <c r="R727" s="448"/>
      <c r="S727" s="448"/>
      <c r="T727" s="448"/>
      <c r="U727" s="448"/>
    </row>
    <row r="728" spans="1:21" ht="19.5">
      <c r="A728" s="155"/>
      <c r="B728" s="188"/>
      <c r="C728" s="205" t="s">
        <v>18</v>
      </c>
      <c r="D728" s="542" t="s">
        <v>19</v>
      </c>
      <c r="E728" s="529"/>
      <c r="F728" s="529"/>
      <c r="G728" s="530"/>
      <c r="H728" s="252" t="s">
        <v>14</v>
      </c>
      <c r="I728" s="54"/>
      <c r="J728" s="54"/>
      <c r="K728" s="55"/>
      <c r="L728" s="541">
        <f>L729+L730</f>
        <v>0</v>
      </c>
      <c r="M728" s="540">
        <f>M729+M730</f>
        <v>0</v>
      </c>
      <c r="N728" s="540">
        <f>N729+N730</f>
        <v>0</v>
      </c>
      <c r="O728" s="540">
        <f>IF(L728&gt;0,N728*100/L728,0)</f>
        <v>0</v>
      </c>
      <c r="P728" s="540">
        <f>IF(M728&gt;0,N728*100/M728,0)</f>
        <v>0</v>
      </c>
      <c r="Q728" s="540">
        <f ca="1">Q729+Q730</f>
        <v>1008470</v>
      </c>
      <c r="R728" s="540">
        <f ca="1">R729+R730</f>
        <v>1008470</v>
      </c>
      <c r="S728" s="540">
        <f ca="1">S729+S730</f>
        <v>207261.67</v>
      </c>
      <c r="T728" s="540">
        <f ca="1">IF(Q728&gt;0,S728*100/Q728,0)</f>
        <v>20.552090791000229</v>
      </c>
      <c r="U728" s="540">
        <f ca="1">IF(R728&gt;0,S728*100/R728,0)</f>
        <v>20.552090791000229</v>
      </c>
    </row>
    <row r="729" spans="1:21" ht="18.75" hidden="1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103">
        <f>L732+L735</f>
        <v>0</v>
      </c>
      <c r="M729" s="102">
        <f>M732+M735</f>
        <v>0</v>
      </c>
      <c r="N729" s="102">
        <f>N732+N735</f>
        <v>0</v>
      </c>
      <c r="O729" s="102">
        <f>IF(L729&gt;0,N729*100/L729,0)</f>
        <v>0</v>
      </c>
      <c r="P729" s="102">
        <f>IF(M729&gt;0,N729*100/M729,0)</f>
        <v>0</v>
      </c>
      <c r="Q729" s="102">
        <f>Q732+Q735</f>
        <v>0</v>
      </c>
      <c r="R729" s="102">
        <f>R732+R735</f>
        <v>0</v>
      </c>
      <c r="S729" s="102">
        <f>S732+S735</f>
        <v>0</v>
      </c>
      <c r="T729" s="102">
        <f>IF(Q729&gt;0,S729*100/Q729,0)</f>
        <v>0</v>
      </c>
      <c r="U729" s="102">
        <f>IF(R729&gt;0,S729*100/R729,0)</f>
        <v>0</v>
      </c>
    </row>
    <row r="730" spans="1:21" ht="18.75" hidden="1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256">
        <f>L733+L736</f>
        <v>0</v>
      </c>
      <c r="M730" s="255">
        <f>M733+M736</f>
        <v>0</v>
      </c>
      <c r="N730" s="255">
        <f>N733+N736</f>
        <v>0</v>
      </c>
      <c r="O730" s="255">
        <f>IF(L730&gt;0,N730*100/L730,0)</f>
        <v>0</v>
      </c>
      <c r="P730" s="255">
        <f>IF(M730&gt;0,N730*100/M730,0)</f>
        <v>0</v>
      </c>
      <c r="Q730" s="255">
        <f ca="1">Q733+Q736</f>
        <v>1008470</v>
      </c>
      <c r="R730" s="255">
        <f ca="1">R733+R736</f>
        <v>1008470</v>
      </c>
      <c r="S730" s="255">
        <f ca="1">S733+S736</f>
        <v>207261.67</v>
      </c>
      <c r="T730" s="255">
        <f ca="1">IF(Q730&gt;0,S730*100/Q730,0)</f>
        <v>20.552090791000229</v>
      </c>
      <c r="U730" s="255">
        <f ca="1">IF(R730&gt;0,S730*100/R730,0)</f>
        <v>20.552090791000229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256">
        <f>L732+L733</f>
        <v>0</v>
      </c>
      <c r="M731" s="255">
        <f>M732+M733</f>
        <v>0</v>
      </c>
      <c r="N731" s="255">
        <f>N732+N733</f>
        <v>0</v>
      </c>
      <c r="O731" s="255">
        <f>IF(L731&gt;0,N731*100/L731,0)</f>
        <v>0</v>
      </c>
      <c r="P731" s="255">
        <f>IF(M731&gt;0,N731*100/M731,0)</f>
        <v>0</v>
      </c>
      <c r="Q731" s="255">
        <f ca="1">Q732+Q733</f>
        <v>1008470</v>
      </c>
      <c r="R731" s="255">
        <f ca="1">R732+R733</f>
        <v>1008470</v>
      </c>
      <c r="S731" s="255">
        <f ca="1">S732+S733</f>
        <v>207261.67</v>
      </c>
      <c r="T731" s="255">
        <f ca="1">IF(Q731&gt;0,S731*100/Q731,0)</f>
        <v>20.552090791000229</v>
      </c>
      <c r="U731" s="255">
        <f ca="1">IF(R731&gt;0,S731*100/R731,0)</f>
        <v>20.552090791000229</v>
      </c>
    </row>
    <row r="732" spans="1:21" ht="18.75" hidden="1">
      <c r="A732" s="155"/>
      <c r="B732" s="188"/>
      <c r="C732" s="188"/>
      <c r="D732" s="174"/>
      <c r="E732" s="186" t="s">
        <v>159</v>
      </c>
      <c r="F732" s="50"/>
      <c r="G732" s="52"/>
      <c r="H732" s="189" t="s">
        <v>14</v>
      </c>
      <c r="I732" s="54"/>
      <c r="J732" s="54"/>
      <c r="K732" s="55"/>
      <c r="L732" s="103">
        <v>0</v>
      </c>
      <c r="M732" s="102">
        <v>0</v>
      </c>
      <c r="N732" s="102">
        <v>0</v>
      </c>
      <c r="O732" s="102">
        <f>IF(L732&gt;0,N732*100/L732,0)</f>
        <v>0</v>
      </c>
      <c r="P732" s="102">
        <f>IF(M732&gt;0,N732*100/M732,0)</f>
        <v>0</v>
      </c>
      <c r="Q732" s="102">
        <v>0</v>
      </c>
      <c r="R732" s="102">
        <v>0</v>
      </c>
      <c r="S732" s="102">
        <v>0</v>
      </c>
      <c r="T732" s="102">
        <f>IF(Q732&gt;0,S732*100/Q732,0)</f>
        <v>0</v>
      </c>
      <c r="U732" s="102">
        <f>IF(R732&gt;0,S732*100/R732,0)</f>
        <v>0</v>
      </c>
    </row>
    <row r="733" spans="1:21" ht="18.75" hidden="1">
      <c r="A733" s="155"/>
      <c r="B733" s="188"/>
      <c r="C733" s="188"/>
      <c r="D733" s="174"/>
      <c r="E733" s="58" t="s">
        <v>160</v>
      </c>
      <c r="F733" s="50"/>
      <c r="G733" s="52"/>
      <c r="H733" s="162" t="s">
        <v>14</v>
      </c>
      <c r="I733" s="54"/>
      <c r="J733" s="54"/>
      <c r="K733" s="55"/>
      <c r="L733" s="256">
        <v>0</v>
      </c>
      <c r="M733" s="255">
        <v>0</v>
      </c>
      <c r="N733" s="255">
        <v>0</v>
      </c>
      <c r="O733" s="255">
        <f>IF(L733&gt;0,N733*100/L733,0)</f>
        <v>0</v>
      </c>
      <c r="P733" s="255">
        <f>IF(M733&gt;0,N733*100/M733,0)</f>
        <v>0</v>
      </c>
      <c r="Q733" s="255">
        <f ca="1">IFERROR(__xludf.DUMMYFUNCTION("IMPORTRANGE(""https://docs.google.com/spreadsheets/d/1ItG2mGa2ceCfYo0BwxsXqNm01IGEUdYcSSLTEv9YCik/edit?usp=sharing"",""เบิกจ่ายกองทุน!O48"")"),1008470)</f>
        <v>1008470</v>
      </c>
      <c r="R733" s="255">
        <f ca="1">IFERROR(__xludf.DUMMYFUNCTION("IMPORTRANGE(""https://docs.google.com/spreadsheets/d/1ItG2mGa2ceCfYo0BwxsXqNm01IGEUdYcSSLTEv9YCik/edit?usp=sharing"",""เบิกจ่ายกองทุน!P48"")"),1008470)</f>
        <v>1008470</v>
      </c>
      <c r="S733" s="255">
        <f ca="1">IFERROR(__xludf.DUMMYFUNCTION("IMPORTRANGE(""https://docs.google.com/spreadsheets/d/1ItG2mGa2ceCfYo0BwxsXqNm01IGEUdYcSSLTEv9YCik/edit?usp=sharing"",""เบิกจ่ายกองทุน!Q48"")"),207261.67)</f>
        <v>207261.67</v>
      </c>
      <c r="T733" s="255">
        <f ca="1">IF(Q733&gt;0,S733*100/Q733,0)</f>
        <v>20.552090791000229</v>
      </c>
      <c r="U733" s="255">
        <f ca="1">IF(R733&gt;0,S733*100/R733,0)</f>
        <v>20.552090791000229</v>
      </c>
    </row>
    <row r="734" spans="1:21" ht="18.75">
      <c r="A734" s="155"/>
      <c r="B734" s="188"/>
      <c r="C734" s="188"/>
      <c r="D734" s="51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256">
        <f>L735+L736</f>
        <v>0</v>
      </c>
      <c r="M734" s="255">
        <f>M735+M736</f>
        <v>0</v>
      </c>
      <c r="N734" s="255">
        <f>N735+N736</f>
        <v>0</v>
      </c>
      <c r="O734" s="255">
        <f>IF(L734&gt;0,N734*100/L734,0)</f>
        <v>0</v>
      </c>
      <c r="P734" s="255">
        <f>IF(M734&gt;0,N734*100/M734,0)</f>
        <v>0</v>
      </c>
      <c r="Q734" s="255">
        <f>Q735+Q736</f>
        <v>0</v>
      </c>
      <c r="R734" s="255">
        <f>R735+R736</f>
        <v>0</v>
      </c>
      <c r="S734" s="255">
        <f>S735+S736</f>
        <v>0</v>
      </c>
      <c r="T734" s="255">
        <f>IF(Q734&gt;0,S734*100/Q734,0)</f>
        <v>0</v>
      </c>
      <c r="U734" s="255">
        <f>IF(R734&gt;0,S734*100/R734,0)</f>
        <v>0</v>
      </c>
    </row>
    <row r="735" spans="1:21" ht="18.75" hidden="1">
      <c r="A735" s="155"/>
      <c r="B735" s="188"/>
      <c r="C735" s="188"/>
      <c r="D735" s="188"/>
      <c r="E735" s="358" t="s">
        <v>20</v>
      </c>
      <c r="F735" s="188"/>
      <c r="G735" s="52"/>
      <c r="H735" s="189" t="s">
        <v>14</v>
      </c>
      <c r="I735" s="163"/>
      <c r="J735" s="163"/>
      <c r="K735" s="164"/>
      <c r="L735" s="103">
        <v>0</v>
      </c>
      <c r="M735" s="102">
        <v>0</v>
      </c>
      <c r="N735" s="102">
        <v>0</v>
      </c>
      <c r="O735" s="102">
        <f>IF(L735&gt;0,N735*100/L735,0)</f>
        <v>0</v>
      </c>
      <c r="P735" s="102">
        <f>IF(M735&gt;0,N735*100/M735,0)</f>
        <v>0</v>
      </c>
      <c r="Q735" s="102">
        <v>0</v>
      </c>
      <c r="R735" s="102">
        <v>0</v>
      </c>
      <c r="S735" s="102">
        <v>0</v>
      </c>
      <c r="T735" s="102">
        <f>IF(Q735&gt;0,S735*100/Q735,0)</f>
        <v>0</v>
      </c>
      <c r="U735" s="102">
        <f>IF(R735&gt;0,S735*100/R735,0)</f>
        <v>0</v>
      </c>
    </row>
    <row r="736" spans="1:21" ht="18.75" hidden="1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256">
        <v>0</v>
      </c>
      <c r="M736" s="255">
        <v>0</v>
      </c>
      <c r="N736" s="255">
        <v>0</v>
      </c>
      <c r="O736" s="255">
        <f>IF(L736&gt;0,N736*100/L736,0)</f>
        <v>0</v>
      </c>
      <c r="P736" s="255">
        <f>IF(M736&gt;0,N736*100/M736,0)</f>
        <v>0</v>
      </c>
      <c r="Q736" s="255">
        <v>0</v>
      </c>
      <c r="R736" s="255">
        <v>0</v>
      </c>
      <c r="S736" s="255">
        <v>0</v>
      </c>
      <c r="T736" s="255">
        <f>IF(Q736&gt;0,S736*100/Q736,0)</f>
        <v>0</v>
      </c>
      <c r="U736" s="255">
        <f>IF(R736&gt;0,S736*100/R736,0)</f>
        <v>0</v>
      </c>
    </row>
    <row r="737" spans="1:21" ht="19.5">
      <c r="A737" s="166"/>
      <c r="B737" s="167"/>
      <c r="C737" s="205" t="s">
        <v>18</v>
      </c>
      <c r="D737" s="560" t="s">
        <v>38</v>
      </c>
      <c r="E737" s="232"/>
      <c r="F737" s="169"/>
      <c r="G737" s="170"/>
      <c r="H737" s="206"/>
      <c r="I737" s="54"/>
      <c r="J737" s="54"/>
      <c r="K737" s="55"/>
      <c r="L737" s="62"/>
      <c r="M737" s="55"/>
      <c r="N737" s="55"/>
      <c r="O737" s="55"/>
      <c r="P737" s="55"/>
      <c r="Q737" s="55"/>
      <c r="R737" s="55"/>
      <c r="S737" s="55"/>
      <c r="T737" s="55"/>
      <c r="U737" s="55"/>
    </row>
    <row r="738" spans="1:21" ht="19.5">
      <c r="A738" s="166"/>
      <c r="B738" s="167"/>
      <c r="C738" s="167"/>
      <c r="D738" s="488" t="s">
        <v>121</v>
      </c>
      <c r="E738" s="167"/>
      <c r="F738" s="167"/>
      <c r="G738" s="171"/>
      <c r="H738" s="208"/>
      <c r="I738" s="54"/>
      <c r="J738" s="54"/>
      <c r="K738" s="55"/>
      <c r="L738" s="62"/>
      <c r="M738" s="55"/>
      <c r="N738" s="55"/>
      <c r="O738" s="55"/>
      <c r="P738" s="55"/>
      <c r="Q738" s="55"/>
      <c r="R738" s="55"/>
      <c r="S738" s="55"/>
      <c r="T738" s="55"/>
      <c r="U738" s="55"/>
    </row>
    <row r="739" spans="1:21" ht="18.75">
      <c r="A739" s="166"/>
      <c r="B739" s="167"/>
      <c r="C739" s="167"/>
      <c r="D739" s="167"/>
      <c r="E739" s="460" t="s">
        <v>271</v>
      </c>
      <c r="F739" s="167"/>
      <c r="G739" s="171"/>
      <c r="H739" s="208"/>
      <c r="I739" s="54"/>
      <c r="J739" s="54"/>
      <c r="K739" s="55"/>
      <c r="L739" s="62"/>
      <c r="M739" s="55"/>
      <c r="N739" s="55"/>
      <c r="O739" s="55"/>
      <c r="P739" s="55"/>
      <c r="Q739" s="55"/>
      <c r="R739" s="55"/>
      <c r="S739" s="55"/>
      <c r="T739" s="55"/>
      <c r="U739" s="55"/>
    </row>
    <row r="740" spans="1:21" ht="18.75">
      <c r="A740" s="166"/>
      <c r="B740" s="167"/>
      <c r="C740" s="167"/>
      <c r="D740" s="167"/>
      <c r="E740" s="167"/>
      <c r="F740" s="460" t="s">
        <v>272</v>
      </c>
      <c r="G740" s="171"/>
      <c r="H740" s="161" t="s">
        <v>46</v>
      </c>
      <c r="I740" s="212">
        <f ca="1">IFERROR(__xludf.DUMMYFUNCTION("IMPORTRANGE(""https://docs.google.com/spreadsheets/d/1eHaY18a8A9IcSdp1K8H6x8fbOy06t2VsZHhMHf-1x7Y/edit?usp=sharing"",""แผน!GB48"")"),1000)</f>
        <v>1000</v>
      </c>
      <c r="J740" s="467">
        <v>0</v>
      </c>
      <c r="K740" s="255">
        <f ca="1">IF(I740&gt;0,J740*100/I740,0)</f>
        <v>0</v>
      </c>
      <c r="L740" s="62"/>
      <c r="M740" s="55"/>
      <c r="N740" s="55"/>
      <c r="O740" s="55"/>
      <c r="P740" s="55"/>
      <c r="Q740" s="55"/>
      <c r="R740" s="55"/>
      <c r="S740" s="55"/>
      <c r="T740" s="55"/>
      <c r="U740" s="55"/>
    </row>
    <row r="741" spans="1:21" ht="18.75">
      <c r="A741" s="554"/>
      <c r="B741" s="553"/>
      <c r="C741" s="553"/>
      <c r="D741" s="553"/>
      <c r="E741" s="553"/>
      <c r="F741" s="558" t="s">
        <v>307</v>
      </c>
      <c r="G741" s="550"/>
      <c r="H741" s="549" t="s">
        <v>35</v>
      </c>
      <c r="I741" s="548"/>
      <c r="J741" s="547"/>
      <c r="K741" s="545"/>
      <c r="L741" s="546"/>
      <c r="M741" s="545"/>
      <c r="N741" s="545"/>
      <c r="O741" s="545"/>
      <c r="P741" s="545"/>
      <c r="Q741" s="545"/>
      <c r="R741" s="545"/>
      <c r="S741" s="545"/>
      <c r="T741" s="545"/>
      <c r="U741" s="545"/>
    </row>
    <row r="742" spans="1:21" ht="18.75">
      <c r="A742" s="554"/>
      <c r="B742" s="553"/>
      <c r="C742" s="553"/>
      <c r="D742" s="553"/>
      <c r="E742" s="553"/>
      <c r="F742" s="558" t="s">
        <v>306</v>
      </c>
      <c r="G742" s="550"/>
      <c r="H742" s="549" t="s">
        <v>35</v>
      </c>
      <c r="I742" s="556">
        <f ca="1">IFERROR(__xludf.DUMMYFUNCTION("IMPORTRANGE(""https://docs.google.com/spreadsheets/d/1eHaY18a8A9IcSdp1K8H6x8fbOy06t2VsZHhMHf-1x7Y/edit?usp=sharing"",""แผน!GC48"")"),100)</f>
        <v>100</v>
      </c>
      <c r="J742" s="547">
        <v>100</v>
      </c>
      <c r="K742" s="555">
        <f ca="1">IF(I742&gt;0,J742*100/I742,0)</f>
        <v>100</v>
      </c>
      <c r="L742" s="546"/>
      <c r="M742" s="545"/>
      <c r="N742" s="545"/>
      <c r="O742" s="545"/>
      <c r="P742" s="545"/>
      <c r="Q742" s="545"/>
      <c r="R742" s="545"/>
      <c r="S742" s="545"/>
      <c r="T742" s="545"/>
      <c r="U742" s="545"/>
    </row>
    <row r="743" spans="1:21" ht="18.75">
      <c r="A743" s="554"/>
      <c r="B743" s="553"/>
      <c r="C743" s="553"/>
      <c r="D743" s="553"/>
      <c r="E743" s="558" t="s">
        <v>275</v>
      </c>
      <c r="F743" s="553"/>
      <c r="G743" s="550"/>
      <c r="H743" s="557"/>
      <c r="I743" s="548"/>
      <c r="J743" s="548"/>
      <c r="K743" s="545"/>
      <c r="L743" s="546"/>
      <c r="M743" s="545"/>
      <c r="N743" s="545"/>
      <c r="O743" s="545"/>
      <c r="P743" s="545"/>
      <c r="Q743" s="545"/>
      <c r="R743" s="545"/>
      <c r="S743" s="545"/>
      <c r="T743" s="545"/>
      <c r="U743" s="545"/>
    </row>
    <row r="744" spans="1:21" ht="18.75">
      <c r="A744" s="554"/>
      <c r="B744" s="553"/>
      <c r="C744" s="553"/>
      <c r="D744" s="553"/>
      <c r="E744" s="553"/>
      <c r="F744" s="558" t="s">
        <v>272</v>
      </c>
      <c r="G744" s="550"/>
      <c r="H744" s="549" t="s">
        <v>46</v>
      </c>
      <c r="I744" s="556">
        <f ca="1">IFERROR(__xludf.DUMMYFUNCTION("IMPORTRANGE(""https://docs.google.com/spreadsheets/d/1eHaY18a8A9IcSdp1K8H6x8fbOy06t2VsZHhMHf-1x7Y/edit?usp=sharing"",""แผน!GD48"")"),250)</f>
        <v>250</v>
      </c>
      <c r="J744" s="547">
        <v>0</v>
      </c>
      <c r="K744" s="555">
        <f ca="1">IF(I744&gt;0,J744*100/I744,0)</f>
        <v>0</v>
      </c>
      <c r="L744" s="546"/>
      <c r="M744" s="545"/>
      <c r="N744" s="545"/>
      <c r="O744" s="545"/>
      <c r="P744" s="545"/>
      <c r="Q744" s="545"/>
      <c r="R744" s="545"/>
      <c r="S744" s="545"/>
      <c r="T744" s="545"/>
      <c r="U744" s="545"/>
    </row>
    <row r="745" spans="1:21" ht="18.75">
      <c r="A745" s="554"/>
      <c r="B745" s="553"/>
      <c r="C745" s="553"/>
      <c r="D745" s="553"/>
      <c r="E745" s="553"/>
      <c r="F745" s="558" t="s">
        <v>305</v>
      </c>
      <c r="G745" s="550"/>
      <c r="H745" s="549" t="s">
        <v>35</v>
      </c>
      <c r="I745" s="548"/>
      <c r="J745" s="547">
        <v>0</v>
      </c>
      <c r="K745" s="545"/>
      <c r="L745" s="546"/>
      <c r="M745" s="545"/>
      <c r="N745" s="545"/>
      <c r="O745" s="545"/>
      <c r="P745" s="545"/>
      <c r="Q745" s="545"/>
      <c r="R745" s="545"/>
      <c r="S745" s="545"/>
      <c r="T745" s="545"/>
      <c r="U745" s="545"/>
    </row>
    <row r="746" spans="1:21" ht="18.75">
      <c r="A746" s="554"/>
      <c r="B746" s="553"/>
      <c r="C746" s="553"/>
      <c r="D746" s="553"/>
      <c r="E746" s="553"/>
      <c r="F746" s="558" t="s">
        <v>304</v>
      </c>
      <c r="G746" s="550"/>
      <c r="H746" s="549" t="s">
        <v>35</v>
      </c>
      <c r="I746" s="556">
        <f ca="1">IFERROR(__xludf.DUMMYFUNCTION("IMPORTRANGE(""https://docs.google.com/spreadsheets/d/1eHaY18a8A9IcSdp1K8H6x8fbOy06t2VsZHhMHf-1x7Y/edit?usp=sharing"",""แผน!GE48"")"),25)</f>
        <v>25</v>
      </c>
      <c r="J746" s="547">
        <v>25</v>
      </c>
      <c r="K746" s="555">
        <f ca="1">IF(I746&gt;0,J746*100/I746,0)</f>
        <v>100</v>
      </c>
      <c r="L746" s="546"/>
      <c r="M746" s="545"/>
      <c r="N746" s="545"/>
      <c r="O746" s="545"/>
      <c r="P746" s="545"/>
      <c r="Q746" s="545"/>
      <c r="R746" s="545"/>
      <c r="S746" s="545"/>
      <c r="T746" s="545"/>
      <c r="U746" s="545"/>
    </row>
    <row r="747" spans="1:21" ht="18.75">
      <c r="A747" s="554"/>
      <c r="B747" s="553"/>
      <c r="C747" s="553"/>
      <c r="D747" s="553"/>
      <c r="E747" s="558" t="s">
        <v>278</v>
      </c>
      <c r="F747" s="552"/>
      <c r="G747" s="550"/>
      <c r="H747" s="557"/>
      <c r="I747" s="548"/>
      <c r="J747" s="548"/>
      <c r="K747" s="545"/>
      <c r="L747" s="546"/>
      <c r="M747" s="545"/>
      <c r="N747" s="545"/>
      <c r="O747" s="545"/>
      <c r="P747" s="545"/>
      <c r="Q747" s="545"/>
      <c r="R747" s="545"/>
      <c r="S747" s="545"/>
      <c r="T747" s="545"/>
      <c r="U747" s="545"/>
    </row>
    <row r="748" spans="1:21" ht="18.75">
      <c r="A748" s="554"/>
      <c r="B748" s="553"/>
      <c r="C748" s="553"/>
      <c r="D748" s="553"/>
      <c r="E748" s="553"/>
      <c r="F748" s="558" t="s">
        <v>303</v>
      </c>
      <c r="G748" s="550"/>
      <c r="H748" s="549" t="s">
        <v>35</v>
      </c>
      <c r="I748" s="548"/>
      <c r="J748" s="547">
        <v>0</v>
      </c>
      <c r="K748" s="545"/>
      <c r="L748" s="546"/>
      <c r="M748" s="545"/>
      <c r="N748" s="545"/>
      <c r="O748" s="545"/>
      <c r="P748" s="545"/>
      <c r="Q748" s="545"/>
      <c r="R748" s="545"/>
      <c r="S748" s="545"/>
      <c r="T748" s="545"/>
      <c r="U748" s="545"/>
    </row>
    <row r="749" spans="1:21" ht="18.75">
      <c r="A749" s="554"/>
      <c r="B749" s="553"/>
      <c r="C749" s="553"/>
      <c r="D749" s="553"/>
      <c r="E749" s="553"/>
      <c r="F749" s="558" t="s">
        <v>302</v>
      </c>
      <c r="G749" s="550"/>
      <c r="H749" s="549" t="s">
        <v>35</v>
      </c>
      <c r="I749" s="556">
        <f ca="1">IFERROR(__xludf.DUMMYFUNCTION("IMPORTRANGE(""https://docs.google.com/spreadsheets/d/1eHaY18a8A9IcSdp1K8H6x8fbOy06t2VsZHhMHf-1x7Y/edit?usp=sharing"",""แผน!GF48"")"),3)</f>
        <v>3</v>
      </c>
      <c r="J749" s="547">
        <v>3</v>
      </c>
      <c r="K749" s="555">
        <f ca="1">IF(I749&gt;0,J749*100/I749,0)</f>
        <v>100</v>
      </c>
      <c r="L749" s="546"/>
      <c r="M749" s="545"/>
      <c r="N749" s="545"/>
      <c r="O749" s="545"/>
      <c r="P749" s="545"/>
      <c r="Q749" s="545"/>
      <c r="R749" s="545"/>
      <c r="S749" s="545"/>
      <c r="T749" s="545"/>
      <c r="U749" s="545"/>
    </row>
    <row r="750" spans="1:21" ht="19.5">
      <c r="A750" s="554"/>
      <c r="B750" s="553"/>
      <c r="C750" s="553"/>
      <c r="D750" s="559" t="s">
        <v>50</v>
      </c>
      <c r="E750" s="553"/>
      <c r="F750" s="552"/>
      <c r="G750" s="550"/>
      <c r="H750" s="557"/>
      <c r="I750" s="548"/>
      <c r="J750" s="548"/>
      <c r="K750" s="545"/>
      <c r="L750" s="546"/>
      <c r="M750" s="545"/>
      <c r="N750" s="545"/>
      <c r="O750" s="545"/>
      <c r="P750" s="545"/>
      <c r="Q750" s="545"/>
      <c r="R750" s="545"/>
      <c r="S750" s="545"/>
      <c r="T750" s="545"/>
      <c r="U750" s="545"/>
    </row>
    <row r="751" spans="1:21" ht="18.75">
      <c r="A751" s="554"/>
      <c r="B751" s="553"/>
      <c r="C751" s="553"/>
      <c r="D751" s="553"/>
      <c r="E751" s="558" t="s">
        <v>271</v>
      </c>
      <c r="F751" s="552"/>
      <c r="G751" s="550"/>
      <c r="H751" s="557"/>
      <c r="I751" s="548"/>
      <c r="J751" s="548"/>
      <c r="K751" s="545"/>
      <c r="L751" s="546"/>
      <c r="M751" s="545"/>
      <c r="N751" s="545"/>
      <c r="O751" s="545"/>
      <c r="P751" s="545"/>
      <c r="Q751" s="545"/>
      <c r="R751" s="545"/>
      <c r="S751" s="545"/>
      <c r="T751" s="545"/>
      <c r="U751" s="545"/>
    </row>
    <row r="752" spans="1:21" ht="18.75">
      <c r="A752" s="554"/>
      <c r="B752" s="553"/>
      <c r="C752" s="553"/>
      <c r="D752" s="553"/>
      <c r="E752" s="553"/>
      <c r="F752" s="551" t="s">
        <v>301</v>
      </c>
      <c r="G752" s="550"/>
      <c r="H752" s="549" t="s">
        <v>46</v>
      </c>
      <c r="I752" s="556">
        <f ca="1">IFERROR(__xludf.DUMMYFUNCTION("IMPORTRANGE(""https://docs.google.com/spreadsheets/d/1eHaY18a8A9IcSdp1K8H6x8fbOy06t2VsZHhMHf-1x7Y/edit?usp=sharing"",""แผน!GB48"")"),1000)</f>
        <v>1000</v>
      </c>
      <c r="J752" s="547">
        <v>0</v>
      </c>
      <c r="K752" s="555">
        <f ca="1">IF(I752&gt;0,J752*100/I752,0)</f>
        <v>0</v>
      </c>
      <c r="L752" s="546"/>
      <c r="M752" s="545"/>
      <c r="N752" s="545"/>
      <c r="O752" s="545"/>
      <c r="P752" s="545"/>
      <c r="Q752" s="545"/>
      <c r="R752" s="545"/>
      <c r="S752" s="545"/>
      <c r="T752" s="545"/>
      <c r="U752" s="545"/>
    </row>
    <row r="753" spans="1:21" ht="18.75">
      <c r="A753" s="554"/>
      <c r="B753" s="553"/>
      <c r="C753" s="553"/>
      <c r="D753" s="553"/>
      <c r="E753" s="553"/>
      <c r="F753" s="551" t="s">
        <v>300</v>
      </c>
      <c r="G753" s="550"/>
      <c r="H753" s="549" t="s">
        <v>46</v>
      </c>
      <c r="I753" s="548"/>
      <c r="J753" s="547">
        <v>0</v>
      </c>
      <c r="K753" s="545"/>
      <c r="L753" s="546"/>
      <c r="M753" s="545"/>
      <c r="N753" s="545"/>
      <c r="O753" s="545"/>
      <c r="P753" s="545"/>
      <c r="Q753" s="545"/>
      <c r="R753" s="545"/>
      <c r="S753" s="545"/>
      <c r="T753" s="545"/>
      <c r="U753" s="545"/>
    </row>
    <row r="754" spans="1:21" ht="18.75">
      <c r="A754" s="554"/>
      <c r="B754" s="553"/>
      <c r="C754" s="553"/>
      <c r="D754" s="553"/>
      <c r="E754" s="558" t="s">
        <v>275</v>
      </c>
      <c r="F754" s="552"/>
      <c r="G754" s="550"/>
      <c r="H754" s="557"/>
      <c r="I754" s="548"/>
      <c r="J754" s="548"/>
      <c r="K754" s="545"/>
      <c r="L754" s="546"/>
      <c r="M754" s="545"/>
      <c r="N754" s="545"/>
      <c r="O754" s="545"/>
      <c r="P754" s="545"/>
      <c r="Q754" s="545"/>
      <c r="R754" s="545"/>
      <c r="S754" s="545"/>
      <c r="T754" s="545"/>
      <c r="U754" s="545"/>
    </row>
    <row r="755" spans="1:21" ht="18.75">
      <c r="A755" s="554"/>
      <c r="B755" s="553"/>
      <c r="C755" s="553"/>
      <c r="D755" s="553"/>
      <c r="E755" s="552"/>
      <c r="F755" s="551" t="s">
        <v>299</v>
      </c>
      <c r="G755" s="550"/>
      <c r="H755" s="549" t="s">
        <v>46</v>
      </c>
      <c r="I755" s="556">
        <f ca="1">IFERROR(__xludf.DUMMYFUNCTION("IMPORTRANGE(""https://docs.google.com/spreadsheets/d/1eHaY18a8A9IcSdp1K8H6x8fbOy06t2VsZHhMHf-1x7Y/edit?usp=sharing"",""แผน!GD48"")"),250)</f>
        <v>250</v>
      </c>
      <c r="J755" s="547">
        <v>0</v>
      </c>
      <c r="K755" s="555">
        <f ca="1">IF(I755&gt;0,J755*100/I755,0)</f>
        <v>0</v>
      </c>
      <c r="L755" s="546"/>
      <c r="M755" s="545"/>
      <c r="N755" s="545"/>
      <c r="O755" s="545"/>
      <c r="P755" s="545"/>
      <c r="Q755" s="545"/>
      <c r="R755" s="545"/>
      <c r="S755" s="545"/>
      <c r="T755" s="545"/>
      <c r="U755" s="545"/>
    </row>
    <row r="756" spans="1:21" ht="18.75">
      <c r="A756" s="554"/>
      <c r="B756" s="553"/>
      <c r="C756" s="553"/>
      <c r="D756" s="553"/>
      <c r="E756" s="552"/>
      <c r="F756" s="551" t="s">
        <v>298</v>
      </c>
      <c r="G756" s="550"/>
      <c r="H756" s="549" t="s">
        <v>46</v>
      </c>
      <c r="I756" s="548"/>
      <c r="J756" s="547">
        <v>0</v>
      </c>
      <c r="K756" s="545"/>
      <c r="L756" s="546"/>
      <c r="M756" s="545"/>
      <c r="N756" s="545"/>
      <c r="O756" s="545"/>
      <c r="P756" s="545"/>
      <c r="Q756" s="545"/>
      <c r="R756" s="545"/>
      <c r="S756" s="545"/>
      <c r="T756" s="545"/>
      <c r="U756" s="545"/>
    </row>
    <row r="757" spans="1:21" ht="18.75">
      <c r="A757" s="489"/>
      <c r="B757" s="489"/>
      <c r="C757" s="489"/>
      <c r="D757" s="489"/>
      <c r="E757" s="490" t="s">
        <v>285</v>
      </c>
      <c r="F757" s="491"/>
      <c r="G757" s="492"/>
      <c r="H757" s="493" t="s">
        <v>35</v>
      </c>
      <c r="I757" s="494"/>
      <c r="J757" s="495">
        <v>0</v>
      </c>
      <c r="K757" s="496"/>
      <c r="L757" s="496"/>
      <c r="M757" s="496"/>
      <c r="N757" s="496"/>
      <c r="O757" s="496"/>
      <c r="P757" s="496"/>
      <c r="Q757" s="496"/>
      <c r="R757" s="496"/>
      <c r="S757" s="496"/>
      <c r="T757" s="496"/>
      <c r="U757" s="496"/>
    </row>
    <row r="758" spans="1:21" ht="19.5">
      <c r="A758" s="442"/>
      <c r="B758" s="443" t="s">
        <v>286</v>
      </c>
      <c r="C758" s="442"/>
      <c r="D758" s="444"/>
      <c r="E758" s="444"/>
      <c r="F758" s="444"/>
      <c r="G758" s="445"/>
      <c r="H758" s="473" t="s">
        <v>35</v>
      </c>
      <c r="I758" s="544">
        <f ca="1">I772</f>
        <v>70</v>
      </c>
      <c r="J758" s="544">
        <f>J772</f>
        <v>70</v>
      </c>
      <c r="K758" s="543">
        <f ca="1">IF(I758&gt;0,J758*100/I758,0)</f>
        <v>100</v>
      </c>
      <c r="L758" s="449"/>
      <c r="M758" s="448"/>
      <c r="N758" s="448"/>
      <c r="O758" s="448"/>
      <c r="P758" s="448"/>
      <c r="Q758" s="448"/>
      <c r="R758" s="448"/>
      <c r="S758" s="448"/>
      <c r="T758" s="448"/>
      <c r="U758" s="448"/>
    </row>
    <row r="759" spans="1:21" ht="19.5">
      <c r="A759" s="487"/>
      <c r="B759" s="442"/>
      <c r="C759" s="442"/>
      <c r="D759" s="444"/>
      <c r="E759" s="444"/>
      <c r="F759" s="444"/>
      <c r="G759" s="445"/>
      <c r="H759" s="473" t="s">
        <v>46</v>
      </c>
      <c r="I759" s="544">
        <f ca="1">I774</f>
        <v>230</v>
      </c>
      <c r="J759" s="544">
        <f>J774</f>
        <v>0</v>
      </c>
      <c r="K759" s="543">
        <f ca="1">IF(I759&gt;0,J759*100/I759,0)</f>
        <v>0</v>
      </c>
      <c r="L759" s="449"/>
      <c r="M759" s="448"/>
      <c r="N759" s="448"/>
      <c r="O759" s="448"/>
      <c r="P759" s="448"/>
      <c r="Q759" s="448"/>
      <c r="R759" s="448"/>
      <c r="S759" s="448"/>
      <c r="T759" s="448"/>
      <c r="U759" s="448"/>
    </row>
    <row r="760" spans="1:21" ht="19.5">
      <c r="A760" s="155"/>
      <c r="B760" s="188"/>
      <c r="C760" s="205" t="s">
        <v>18</v>
      </c>
      <c r="D760" s="542" t="s">
        <v>19</v>
      </c>
      <c r="E760" s="529"/>
      <c r="F760" s="529"/>
      <c r="G760" s="530"/>
      <c r="H760" s="252" t="s">
        <v>14</v>
      </c>
      <c r="I760" s="54"/>
      <c r="J760" s="54"/>
      <c r="K760" s="55"/>
      <c r="L760" s="541">
        <f>L761+L762</f>
        <v>0</v>
      </c>
      <c r="M760" s="540">
        <f>M761+M762</f>
        <v>0</v>
      </c>
      <c r="N760" s="540">
        <f>N761+N762</f>
        <v>0</v>
      </c>
      <c r="O760" s="540">
        <f>IF(L760&gt;0,N760*100/L760,0)</f>
        <v>0</v>
      </c>
      <c r="P760" s="540">
        <f>IF(M760&gt;0,N760*100/M760,0)</f>
        <v>0</v>
      </c>
      <c r="Q760" s="540">
        <f ca="1">Q761+Q762</f>
        <v>566400</v>
      </c>
      <c r="R760" s="540">
        <f ca="1">R761+R762</f>
        <v>566400</v>
      </c>
      <c r="S760" s="540">
        <f ca="1">S761+S762</f>
        <v>128588.5</v>
      </c>
      <c r="T760" s="540">
        <f ca="1">IF(Q760&gt;0,S760*100/Q760,0)</f>
        <v>22.702771892655367</v>
      </c>
      <c r="U760" s="540">
        <f ca="1">IF(R760&gt;0,S760*100/R760,0)</f>
        <v>22.702771892655367</v>
      </c>
    </row>
    <row r="761" spans="1:21" ht="18.75" hidden="1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103">
        <f>L764+L767</f>
        <v>0</v>
      </c>
      <c r="M761" s="102">
        <f>M764+M767</f>
        <v>0</v>
      </c>
      <c r="N761" s="102">
        <f>N764+N767</f>
        <v>0</v>
      </c>
      <c r="O761" s="102">
        <f>IF(L761&gt;0,N761*100/L761,0)</f>
        <v>0</v>
      </c>
      <c r="P761" s="102">
        <f>IF(M761&gt;0,N761*100/M761,0)</f>
        <v>0</v>
      </c>
      <c r="Q761" s="102">
        <f>Q764+Q767</f>
        <v>0</v>
      </c>
      <c r="R761" s="102">
        <f>R764+R767</f>
        <v>0</v>
      </c>
      <c r="S761" s="102">
        <f>S764+S767</f>
        <v>0</v>
      </c>
      <c r="T761" s="102">
        <f>IF(Q761&gt;0,S761*100/Q761,0)</f>
        <v>0</v>
      </c>
      <c r="U761" s="102">
        <f>IF(R761&gt;0,S761*100/R761,0)</f>
        <v>0</v>
      </c>
    </row>
    <row r="762" spans="1:21" ht="18.75" hidden="1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256">
        <f>L765+L768</f>
        <v>0</v>
      </c>
      <c r="M762" s="255">
        <f>M765+M768</f>
        <v>0</v>
      </c>
      <c r="N762" s="255">
        <f>N765+N768</f>
        <v>0</v>
      </c>
      <c r="O762" s="255">
        <f>IF(L762&gt;0,N762*100/L762,0)</f>
        <v>0</v>
      </c>
      <c r="P762" s="255">
        <f>IF(M762&gt;0,N762*100/M762,0)</f>
        <v>0</v>
      </c>
      <c r="Q762" s="255">
        <f ca="1">Q765+Q768</f>
        <v>566400</v>
      </c>
      <c r="R762" s="255">
        <f ca="1">R765+R768</f>
        <v>566400</v>
      </c>
      <c r="S762" s="255">
        <f ca="1">S765+S768</f>
        <v>128588.5</v>
      </c>
      <c r="T762" s="255">
        <f ca="1">IF(Q762&gt;0,S762*100/Q762,0)</f>
        <v>22.702771892655367</v>
      </c>
      <c r="U762" s="255">
        <f ca="1">IF(R762&gt;0,S762*100/R762,0)</f>
        <v>22.702771892655367</v>
      </c>
    </row>
    <row r="763" spans="1:21" ht="18.75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256">
        <f>L764+L765</f>
        <v>0</v>
      </c>
      <c r="M763" s="255">
        <f>M764+M765</f>
        <v>0</v>
      </c>
      <c r="N763" s="255">
        <f>N764+N765</f>
        <v>0</v>
      </c>
      <c r="O763" s="255">
        <f>IF(L763&gt;0,N763*100/L763,0)</f>
        <v>0</v>
      </c>
      <c r="P763" s="255">
        <f>IF(M763&gt;0,N763*100/M763,0)</f>
        <v>0</v>
      </c>
      <c r="Q763" s="255">
        <f ca="1">Q764+Q765</f>
        <v>566400</v>
      </c>
      <c r="R763" s="255">
        <f ca="1">R764+R765</f>
        <v>566400</v>
      </c>
      <c r="S763" s="255">
        <f ca="1">S764+S765</f>
        <v>128588.5</v>
      </c>
      <c r="T763" s="255">
        <f ca="1">IF(Q763&gt;0,S763*100/Q763,0)</f>
        <v>22.702771892655367</v>
      </c>
      <c r="U763" s="255">
        <f ca="1">IF(R763&gt;0,S763*100/R763,0)</f>
        <v>22.702771892655367</v>
      </c>
    </row>
    <row r="764" spans="1:21" ht="18.75" hidden="1">
      <c r="A764" s="155"/>
      <c r="B764" s="188"/>
      <c r="C764" s="202"/>
      <c r="D764" s="174"/>
      <c r="E764" s="186" t="s">
        <v>159</v>
      </c>
      <c r="F764" s="50"/>
      <c r="G764" s="52"/>
      <c r="H764" s="189" t="s">
        <v>14</v>
      </c>
      <c r="I764" s="54"/>
      <c r="J764" s="54"/>
      <c r="K764" s="55"/>
      <c r="L764" s="103">
        <v>0</v>
      </c>
      <c r="M764" s="102">
        <v>0</v>
      </c>
      <c r="N764" s="102">
        <v>0</v>
      </c>
      <c r="O764" s="102">
        <f>IF(L764&gt;0,N764*100/L764,0)</f>
        <v>0</v>
      </c>
      <c r="P764" s="102">
        <f>IF(M764&gt;0,N764*100/M764,0)</f>
        <v>0</v>
      </c>
      <c r="Q764" s="102">
        <v>0</v>
      </c>
      <c r="R764" s="102">
        <v>0</v>
      </c>
      <c r="S764" s="102">
        <v>0</v>
      </c>
      <c r="T764" s="102">
        <f>IF(Q764&gt;0,S764*100/Q764,0)</f>
        <v>0</v>
      </c>
      <c r="U764" s="102">
        <f>IF(R764&gt;0,S764*100/R764,0)</f>
        <v>0</v>
      </c>
    </row>
    <row r="765" spans="1:21" ht="18.75" hidden="1">
      <c r="A765" s="155"/>
      <c r="B765" s="188"/>
      <c r="C765" s="202"/>
      <c r="D765" s="174"/>
      <c r="E765" s="58" t="s">
        <v>160</v>
      </c>
      <c r="F765" s="50"/>
      <c r="G765" s="52"/>
      <c r="H765" s="162" t="s">
        <v>14</v>
      </c>
      <c r="I765" s="54"/>
      <c r="J765" s="54"/>
      <c r="K765" s="55"/>
      <c r="L765" s="256">
        <v>0</v>
      </c>
      <c r="M765" s="255">
        <v>0</v>
      </c>
      <c r="N765" s="255">
        <v>0</v>
      </c>
      <c r="O765" s="255">
        <f>IF(L765&gt;0,N765*100/L765,0)</f>
        <v>0</v>
      </c>
      <c r="P765" s="255">
        <f>IF(M765&gt;0,N765*100/M765,0)</f>
        <v>0</v>
      </c>
      <c r="Q765" s="255">
        <f ca="1">IFERROR(__xludf.DUMMYFUNCTION("IMPORTRANGE(""https://docs.google.com/spreadsheets/d/1ItG2mGa2ceCfYo0BwxsXqNm01IGEUdYcSSLTEv9YCik/edit?usp=sharing"",""เบิกจ่ายกองทุน!U48"")"),566400)</f>
        <v>566400</v>
      </c>
      <c r="R765" s="255">
        <f ca="1">IFERROR(__xludf.DUMMYFUNCTION("IMPORTRANGE(""https://docs.google.com/spreadsheets/d/1ItG2mGa2ceCfYo0BwxsXqNm01IGEUdYcSSLTEv9YCik/edit?usp=sharing"",""เบิกจ่ายกองทุน!V48"")"),566400)</f>
        <v>566400</v>
      </c>
      <c r="S765" s="255">
        <f ca="1">IFERROR(__xludf.DUMMYFUNCTION("IMPORTRANGE(""https://docs.google.com/spreadsheets/d/1ItG2mGa2ceCfYo0BwxsXqNm01IGEUdYcSSLTEv9YCik/edit?usp=sharing"",""เบิกจ่ายกองทุน!W48"")"),128588.5)</f>
        <v>128588.5</v>
      </c>
      <c r="T765" s="255">
        <f ca="1">IF(Q765&gt;0,S765*100/Q765,0)</f>
        <v>22.702771892655367</v>
      </c>
      <c r="U765" s="255">
        <f ca="1">IF(R765&gt;0,S765*100/R765,0)</f>
        <v>22.702771892655367</v>
      </c>
    </row>
    <row r="766" spans="1:21" ht="18.75">
      <c r="A766" s="155"/>
      <c r="B766" s="188"/>
      <c r="C766" s="188"/>
      <c r="D766" s="51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256">
        <f>L767+L768</f>
        <v>0</v>
      </c>
      <c r="M766" s="255">
        <f>M767+M768</f>
        <v>0</v>
      </c>
      <c r="N766" s="255">
        <f>N767+N768</f>
        <v>0</v>
      </c>
      <c r="O766" s="255">
        <f>IF(L766&gt;0,N766*100/L766,0)</f>
        <v>0</v>
      </c>
      <c r="P766" s="255">
        <f>IF(M766&gt;0,N766*100/M766,0)</f>
        <v>0</v>
      </c>
      <c r="Q766" s="255">
        <f>Q767+Q768</f>
        <v>0</v>
      </c>
      <c r="R766" s="255">
        <f>R767+R768</f>
        <v>0</v>
      </c>
      <c r="S766" s="255">
        <f>S767+S768</f>
        <v>0</v>
      </c>
      <c r="T766" s="255">
        <f>IF(Q766&gt;0,S766*100/Q766,0)</f>
        <v>0</v>
      </c>
      <c r="U766" s="255">
        <f>IF(R766&gt;0,S766*100/R766,0)</f>
        <v>0</v>
      </c>
    </row>
    <row r="767" spans="1:21" ht="18.75" hidden="1">
      <c r="A767" s="155"/>
      <c r="B767" s="188"/>
      <c r="C767" s="188"/>
      <c r="D767" s="188"/>
      <c r="E767" s="358" t="s">
        <v>20</v>
      </c>
      <c r="F767" s="50"/>
      <c r="G767" s="52"/>
      <c r="H767" s="189" t="s">
        <v>14</v>
      </c>
      <c r="I767" s="163"/>
      <c r="J767" s="163"/>
      <c r="K767" s="164"/>
      <c r="L767" s="103">
        <v>0</v>
      </c>
      <c r="M767" s="102">
        <v>0</v>
      </c>
      <c r="N767" s="102">
        <v>0</v>
      </c>
      <c r="O767" s="102">
        <f>IF(L767&gt;0,N767*100/L767,0)</f>
        <v>0</v>
      </c>
      <c r="P767" s="102">
        <f>IF(M767&gt;0,N767*100/M767,0)</f>
        <v>0</v>
      </c>
      <c r="Q767" s="102">
        <v>0</v>
      </c>
      <c r="R767" s="102">
        <v>0</v>
      </c>
      <c r="S767" s="102">
        <v>0</v>
      </c>
      <c r="T767" s="102">
        <f>IF(Q767&gt;0,S767*100/Q767,0)</f>
        <v>0</v>
      </c>
      <c r="U767" s="102">
        <f>IF(R767&gt;0,S767*100/R767,0)</f>
        <v>0</v>
      </c>
    </row>
    <row r="768" spans="1:21" ht="18.75" hidden="1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256">
        <v>0</v>
      </c>
      <c r="M768" s="255">
        <v>0</v>
      </c>
      <c r="N768" s="255">
        <v>0</v>
      </c>
      <c r="O768" s="255">
        <f>IF(L768&gt;0,N768*100/L768,0)</f>
        <v>0</v>
      </c>
      <c r="P768" s="255">
        <f>IF(M768&gt;0,N768*100/M768,0)</f>
        <v>0</v>
      </c>
      <c r="Q768" s="255">
        <v>0</v>
      </c>
      <c r="R768" s="255">
        <v>0</v>
      </c>
      <c r="S768" s="255">
        <v>0</v>
      </c>
      <c r="T768" s="255">
        <f>IF(Q768&gt;0,S768*100/Q768,0)</f>
        <v>0</v>
      </c>
      <c r="U768" s="255">
        <f>IF(R768&gt;0,S768*100/R768,0)</f>
        <v>0</v>
      </c>
    </row>
    <row r="769" spans="1:21" ht="19.5">
      <c r="A769" s="166"/>
      <c r="B769" s="167"/>
      <c r="C769" s="497" t="s">
        <v>18</v>
      </c>
      <c r="D769" s="539" t="s">
        <v>38</v>
      </c>
      <c r="E769" s="232"/>
      <c r="F769" s="169"/>
      <c r="G769" s="170"/>
      <c r="H769" s="206"/>
      <c r="I769" s="54"/>
      <c r="J769" s="54"/>
      <c r="K769" s="55"/>
      <c r="L769" s="62"/>
      <c r="M769" s="55"/>
      <c r="N769" s="55"/>
      <c r="O769" s="55"/>
      <c r="P769" s="55"/>
      <c r="Q769" s="55"/>
      <c r="R769" s="55"/>
      <c r="S769" s="55"/>
      <c r="T769" s="55"/>
      <c r="U769" s="55"/>
    </row>
    <row r="770" spans="1:21" ht="18.75" hidden="1">
      <c r="A770" s="166"/>
      <c r="B770" s="167"/>
      <c r="C770" s="167"/>
      <c r="D770" s="423" t="s">
        <v>287</v>
      </c>
      <c r="E770" s="167"/>
      <c r="F770" s="174"/>
      <c r="G770" s="171"/>
      <c r="H770" s="421" t="s">
        <v>35</v>
      </c>
      <c r="I770" s="483">
        <f ca="1">IFERROR(__xludf.DUMMYFUNCTION("IMPORTRANGE(""https://docs.google.com/spreadsheets/d/1eHaY18a8A9IcSdp1K8H6x8fbOy06t2VsZHhMHf-1x7Y/edit?usp=sharing"",""แผน!FI48"")"),0)</f>
        <v>0</v>
      </c>
      <c r="J770" s="483">
        <v>0</v>
      </c>
      <c r="K770" s="102">
        <f ca="1">IF(I770&gt;0,J770*100/I770,0)</f>
        <v>0</v>
      </c>
      <c r="L770" s="62"/>
      <c r="M770" s="55"/>
      <c r="N770" s="55"/>
      <c r="O770" s="55"/>
      <c r="P770" s="55"/>
      <c r="Q770" s="55"/>
      <c r="R770" s="55"/>
      <c r="S770" s="55"/>
      <c r="T770" s="55"/>
      <c r="U770" s="55"/>
    </row>
    <row r="771" spans="1:21" ht="18.75" hidden="1">
      <c r="A771" s="166"/>
      <c r="B771" s="167"/>
      <c r="C771" s="167"/>
      <c r="D771" s="423" t="s">
        <v>288</v>
      </c>
      <c r="E771" s="167"/>
      <c r="F771" s="174"/>
      <c r="G771" s="171"/>
      <c r="H771" s="206"/>
      <c r="I771" s="54"/>
      <c r="J771" s="54"/>
      <c r="K771" s="55"/>
      <c r="L771" s="62"/>
      <c r="M771" s="55"/>
      <c r="N771" s="55"/>
      <c r="O771" s="55"/>
      <c r="P771" s="55"/>
      <c r="Q771" s="55"/>
      <c r="R771" s="55"/>
      <c r="S771" s="55"/>
      <c r="T771" s="55"/>
      <c r="U771" s="55"/>
    </row>
    <row r="772" spans="1:21" ht="18.75">
      <c r="A772" s="166"/>
      <c r="B772" s="167"/>
      <c r="C772" s="167"/>
      <c r="D772" s="460" t="s">
        <v>289</v>
      </c>
      <c r="E772" s="167"/>
      <c r="F772" s="174"/>
      <c r="G772" s="171"/>
      <c r="H772" s="165" t="s">
        <v>35</v>
      </c>
      <c r="I772" s="212">
        <f ca="1">IFERROR(__xludf.DUMMYFUNCTION("IMPORTRANGE(""https://docs.google.com/spreadsheets/d/1eHaY18a8A9IcSdp1K8H6x8fbOy06t2VsZHhMHf-1x7Y/edit?usp=sharing"",""แผน!FQ48"")"),70)</f>
        <v>70</v>
      </c>
      <c r="J772" s="467">
        <v>70</v>
      </c>
      <c r="K772" s="255">
        <f ca="1">IF(I772&gt;0,J772*100/I772,0)</f>
        <v>100</v>
      </c>
      <c r="L772" s="62"/>
      <c r="M772" s="55"/>
      <c r="N772" s="55"/>
      <c r="O772" s="55"/>
      <c r="P772" s="55"/>
      <c r="Q772" s="55"/>
      <c r="R772" s="55"/>
      <c r="S772" s="55"/>
      <c r="T772" s="55"/>
      <c r="U772" s="55"/>
    </row>
    <row r="773" spans="1:21" ht="18.75">
      <c r="A773" s="166"/>
      <c r="B773" s="167"/>
      <c r="C773" s="167"/>
      <c r="D773" s="460" t="s">
        <v>290</v>
      </c>
      <c r="E773" s="167"/>
      <c r="F773" s="174"/>
      <c r="G773" s="171"/>
      <c r="H773" s="206"/>
      <c r="I773" s="54"/>
      <c r="J773" s="54"/>
      <c r="K773" s="55"/>
      <c r="L773" s="62"/>
      <c r="M773" s="55"/>
      <c r="N773" s="55"/>
      <c r="O773" s="55"/>
      <c r="P773" s="55"/>
      <c r="Q773" s="55"/>
      <c r="R773" s="55"/>
      <c r="S773" s="55"/>
      <c r="T773" s="55"/>
      <c r="U773" s="55"/>
    </row>
    <row r="774" spans="1:21" ht="18.75">
      <c r="A774" s="166"/>
      <c r="B774" s="167"/>
      <c r="C774" s="167"/>
      <c r="D774" s="460" t="s">
        <v>291</v>
      </c>
      <c r="E774" s="167"/>
      <c r="F774" s="174"/>
      <c r="G774" s="171"/>
      <c r="H774" s="165" t="s">
        <v>46</v>
      </c>
      <c r="I774" s="212">
        <f ca="1">IFERROR(__xludf.DUMMYFUNCTION("IMPORTRANGE(""https://docs.google.com/spreadsheets/d/1eHaY18a8A9IcSdp1K8H6x8fbOy06t2VsZHhMHf-1x7Y/edit?usp=sharing"",""แผน!FR48"")"),230)</f>
        <v>230</v>
      </c>
      <c r="J774" s="467">
        <v>0</v>
      </c>
      <c r="K774" s="255">
        <f ca="1">IF(I774&gt;0,J774*100/I774,0)</f>
        <v>0</v>
      </c>
      <c r="L774" s="62"/>
      <c r="M774" s="55"/>
      <c r="N774" s="55"/>
      <c r="O774" s="55"/>
      <c r="P774" s="55"/>
      <c r="Q774" s="55"/>
      <c r="R774" s="55"/>
      <c r="S774" s="55"/>
      <c r="T774" s="55"/>
      <c r="U774" s="55"/>
    </row>
    <row r="775" spans="1:21" ht="18.75">
      <c r="A775" s="166"/>
      <c r="B775" s="167"/>
      <c r="C775" s="167"/>
      <c r="D775" s="460" t="s">
        <v>50</v>
      </c>
      <c r="E775" s="174"/>
      <c r="F775" s="50"/>
      <c r="G775" s="52"/>
      <c r="H775" s="165" t="s">
        <v>46</v>
      </c>
      <c r="I775" s="212">
        <f ca="1">IFERROR(__xludf.DUMMYFUNCTION("IMPORTRANGE(""https://docs.google.com/spreadsheets/d/1eHaY18a8A9IcSdp1K8H6x8fbOy06t2VsZHhMHf-1x7Y/edit?usp=sharing"",""แผน!FS48"")"),230)</f>
        <v>230</v>
      </c>
      <c r="J775" s="467">
        <v>0</v>
      </c>
      <c r="K775" s="55"/>
      <c r="L775" s="62"/>
      <c r="M775" s="55"/>
      <c r="N775" s="55"/>
      <c r="O775" s="55"/>
      <c r="P775" s="55"/>
      <c r="Q775" s="55"/>
      <c r="R775" s="55"/>
      <c r="S775" s="55"/>
      <c r="T775" s="55"/>
      <c r="U775" s="55"/>
    </row>
    <row r="776" spans="1:21" ht="18.75">
      <c r="A776" s="281"/>
      <c r="B776" s="282"/>
      <c r="C776" s="282"/>
      <c r="D776" s="282"/>
      <c r="E776" s="2"/>
      <c r="F776" s="2"/>
      <c r="G776" s="65"/>
      <c r="H776" s="214" t="s">
        <v>35</v>
      </c>
      <c r="I776" s="216">
        <f ca="1">IFERROR(__xludf.DUMMYFUNCTION("IMPORTRANGE(""https://docs.google.com/spreadsheets/d/1eHaY18a8A9IcSdp1K8H6x8fbOy06t2VsZHhMHf-1x7Y/edit?usp=sharing"",""แผน!FT48"")"),70)</f>
        <v>70</v>
      </c>
      <c r="J776" s="538">
        <v>0</v>
      </c>
      <c r="K776" s="6"/>
      <c r="L776" s="68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>
      <c r="A777" s="537" t="s">
        <v>292</v>
      </c>
      <c r="B777" s="500"/>
      <c r="C777" s="500"/>
      <c r="D777" s="499"/>
      <c r="E777" s="500"/>
      <c r="F777" s="500"/>
      <c r="G777" s="501"/>
      <c r="H777" s="536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503"/>
      <c r="J777" s="504"/>
      <c r="K777" s="505"/>
      <c r="L777" s="505"/>
      <c r="M777" s="505"/>
      <c r="N777" s="505"/>
      <c r="O777" s="505"/>
      <c r="P777" s="505"/>
      <c r="Q777" s="505"/>
      <c r="R777" s="505"/>
      <c r="S777" s="505"/>
      <c r="T777" s="505"/>
      <c r="U777" s="505"/>
    </row>
    <row r="778" spans="1:21" ht="18.75">
      <c r="A778" s="49"/>
      <c r="B778" s="58" t="s">
        <v>293</v>
      </c>
      <c r="C778" s="50"/>
      <c r="D778" s="188"/>
      <c r="E778" s="50"/>
      <c r="F778" s="50"/>
      <c r="G778" s="52"/>
      <c r="H778" s="53" t="s">
        <v>14</v>
      </c>
      <c r="I778" s="212">
        <f ca="1">IFERROR(__xludf.DUMMYFUNCTION("IMPORTRANGE(""https://docs.google.com/spreadsheets/d/10OvvATaaLtwErnr3qtWFcTmtbfpFEt5Bsqel9sXx0uE/edit?usp=sharing"",""งานกองทุน!D48"")"),2757958.63)</f>
        <v>2757958.63</v>
      </c>
      <c r="J778" s="212">
        <f ca="1">IFERROR(__xludf.DUMMYFUNCTION("IMPORTRANGE(""https://docs.google.com/spreadsheets/d/10OvvATaaLtwErnr3qtWFcTmtbfpFEt5Bsqel9sXx0uE/edit?usp=sharing"",""งานกองทุน!F48"")"),1251626.97)</f>
        <v>1251626.97</v>
      </c>
      <c r="K778" s="255">
        <f ca="1">IF(I778&gt;0,J778*100/I778,0)</f>
        <v>45.382369277961217</v>
      </c>
      <c r="L778" s="55"/>
      <c r="M778" s="55"/>
      <c r="N778" s="55"/>
      <c r="O778" s="55"/>
      <c r="P778" s="55"/>
      <c r="Q778" s="55"/>
      <c r="R778" s="55"/>
      <c r="S778" s="55"/>
      <c r="T778" s="55"/>
      <c r="U778" s="55"/>
    </row>
    <row r="779" spans="1:21" ht="18.75">
      <c r="A779" s="49"/>
      <c r="B779" s="50"/>
      <c r="C779" s="50"/>
      <c r="D779" s="188"/>
      <c r="E779" s="50"/>
      <c r="F779" s="50"/>
      <c r="G779" s="52"/>
      <c r="H779" s="53" t="s">
        <v>35</v>
      </c>
      <c r="I779" s="212">
        <f ca="1">IFERROR(__xludf.DUMMYFUNCTION("IMPORTRANGE(""https://docs.google.com/spreadsheets/d/10OvvATaaLtwErnr3qtWFcTmtbfpFEt5Bsqel9sXx0uE/edit?usp=sharing"",""งานกองทุน!C48"")"),171)</f>
        <v>171</v>
      </c>
      <c r="J779" s="212">
        <f ca="1">IFERROR(__xludf.DUMMYFUNCTION("IMPORTRANGE(""https://docs.google.com/spreadsheets/d/10OvvATaaLtwErnr3qtWFcTmtbfpFEt5Bsqel9sXx0uE/edit?usp=sharing"",""งานกองทุน!E48"")"),76)</f>
        <v>76</v>
      </c>
      <c r="K779" s="255">
        <f ca="1">IF(I779&gt;0,J779*100/I779,0)</f>
        <v>44.444444444444443</v>
      </c>
      <c r="L779" s="55"/>
      <c r="M779" s="55"/>
      <c r="N779" s="55"/>
      <c r="O779" s="55"/>
      <c r="P779" s="55"/>
      <c r="Q779" s="55"/>
      <c r="R779" s="55"/>
      <c r="S779" s="55"/>
      <c r="T779" s="55"/>
      <c r="U779" s="55"/>
    </row>
    <row r="780" spans="1:21" ht="18.75">
      <c r="A780" s="49"/>
      <c r="B780" s="58" t="s">
        <v>294</v>
      </c>
      <c r="C780" s="50"/>
      <c r="D780" s="188"/>
      <c r="E780" s="50"/>
      <c r="F780" s="50"/>
      <c r="G780" s="52"/>
      <c r="H780" s="53" t="s">
        <v>14</v>
      </c>
      <c r="I780" s="212">
        <f ca="1">IFERROR(__xludf.DUMMYFUNCTION("IMPORTRANGE(""https://docs.google.com/spreadsheets/d/10OvvATaaLtwErnr3qtWFcTmtbfpFEt5Bsqel9sXx0uE/edit?usp=sharing"",""งานกองทุน!I48"")"),2285852.97)</f>
        <v>2285852.9700000002</v>
      </c>
      <c r="J780" s="212">
        <f ca="1">IFERROR(__xludf.DUMMYFUNCTION("IMPORTRANGE(""https://docs.google.com/spreadsheets/d/10OvvATaaLtwErnr3qtWFcTmtbfpFEt5Bsqel9sXx0uE/edit?usp=sharing"",""งานกองทุน!K48"")"),286145.93)</f>
        <v>286145.93</v>
      </c>
      <c r="K780" s="255">
        <f ca="1">IF(I780&gt;0,J780*100/I780,0)</f>
        <v>12.518124908095029</v>
      </c>
      <c r="L780" s="55"/>
      <c r="M780" s="55"/>
      <c r="N780" s="55"/>
      <c r="O780" s="55"/>
      <c r="P780" s="55"/>
      <c r="Q780" s="55"/>
      <c r="R780" s="55"/>
      <c r="S780" s="55"/>
      <c r="T780" s="55"/>
      <c r="U780" s="55"/>
    </row>
    <row r="781" spans="1:21" ht="18.75">
      <c r="A781" s="49"/>
      <c r="B781" s="50"/>
      <c r="C781" s="50"/>
      <c r="D781" s="188"/>
      <c r="E781" s="50"/>
      <c r="F781" s="50"/>
      <c r="G781" s="52"/>
      <c r="H781" s="53" t="s">
        <v>35</v>
      </c>
      <c r="I781" s="212">
        <f ca="1">IFERROR(__xludf.DUMMYFUNCTION("IMPORTRANGE(""https://docs.google.com/spreadsheets/d/10OvvATaaLtwErnr3qtWFcTmtbfpFEt5Bsqel9sXx0uE/edit?usp=sharing"",""งานกองทุน!H48"")"),101)</f>
        <v>101</v>
      </c>
      <c r="J781" s="212">
        <f ca="1">IFERROR(__xludf.DUMMYFUNCTION("IMPORTRANGE(""https://docs.google.com/spreadsheets/d/10OvvATaaLtwErnr3qtWFcTmtbfpFEt5Bsqel9sXx0uE/edit?usp=sharing"",""งานกองทุน!J48"")"),27)</f>
        <v>27</v>
      </c>
      <c r="K781" s="255">
        <f ca="1">IF(I781&gt;0,J781*100/I781,0)</f>
        <v>26.732673267326732</v>
      </c>
      <c r="L781" s="55"/>
      <c r="M781" s="55"/>
      <c r="N781" s="55"/>
      <c r="O781" s="55"/>
      <c r="P781" s="55"/>
      <c r="Q781" s="55"/>
      <c r="R781" s="55"/>
      <c r="S781" s="55"/>
      <c r="T781" s="55"/>
      <c r="U781" s="55"/>
    </row>
    <row r="782" spans="1:21" ht="18.75">
      <c r="A782" s="49"/>
      <c r="B782" s="58" t="s">
        <v>295</v>
      </c>
      <c r="C782" s="50"/>
      <c r="D782" s="188"/>
      <c r="E782" s="50"/>
      <c r="F782" s="50"/>
      <c r="G782" s="52"/>
      <c r="H782" s="53" t="s">
        <v>14</v>
      </c>
      <c r="I782" s="212">
        <f ca="1">IFERROR(__xludf.DUMMYFUNCTION("IMPORTRANGE(""https://docs.google.com/spreadsheets/d/10OvvATaaLtwErnr3qtWFcTmtbfpFEt5Bsqel9sXx0uE/edit?usp=sharing"",""งานกองทุน!N48"")"),0)</f>
        <v>0</v>
      </c>
      <c r="J782" s="212">
        <f ca="1">IFERROR(__xludf.DUMMYFUNCTION("IMPORTRANGE(""https://docs.google.com/spreadsheets/d/10OvvATaaLtwErnr3qtWFcTmtbfpFEt5Bsqel9sXx0uE/edit?usp=sharing"",""งานกองทุน!P48"")"),0)</f>
        <v>0</v>
      </c>
      <c r="K782" s="255">
        <f ca="1">IF(I782&gt;0,J782*100/I782,0)</f>
        <v>0</v>
      </c>
      <c r="L782" s="55"/>
      <c r="M782" s="55"/>
      <c r="N782" s="55"/>
      <c r="O782" s="55"/>
      <c r="P782" s="55"/>
      <c r="Q782" s="55"/>
      <c r="R782" s="55"/>
      <c r="S782" s="55"/>
      <c r="T782" s="55"/>
      <c r="U782" s="55"/>
    </row>
    <row r="783" spans="1:21" ht="18.75">
      <c r="A783" s="49"/>
      <c r="B783" s="50"/>
      <c r="C783" s="50"/>
      <c r="D783" s="188"/>
      <c r="E783" s="50"/>
      <c r="F783" s="50"/>
      <c r="G783" s="52"/>
      <c r="H783" s="53" t="s">
        <v>35</v>
      </c>
      <c r="I783" s="212">
        <f ca="1">IFERROR(__xludf.DUMMYFUNCTION("IMPORTRANGE(""https://docs.google.com/spreadsheets/d/10OvvATaaLtwErnr3qtWFcTmtbfpFEt5Bsqel9sXx0uE/edit?usp=sharing"",""งานกองทุน!M48"")"),0)</f>
        <v>0</v>
      </c>
      <c r="J783" s="212">
        <f ca="1">IFERROR(__xludf.DUMMYFUNCTION("IMPORTRANGE(""https://docs.google.com/spreadsheets/d/10OvvATaaLtwErnr3qtWFcTmtbfpFEt5Bsqel9sXx0uE/edit?usp=sharing"",""งานกองทุน!O48"")"),0)</f>
        <v>0</v>
      </c>
      <c r="K783" s="255">
        <f ca="1">IF(I783&gt;0,J783*100/I783,0)</f>
        <v>0</v>
      </c>
      <c r="L783" s="55"/>
      <c r="M783" s="55"/>
      <c r="N783" s="55"/>
      <c r="O783" s="55"/>
      <c r="P783" s="55"/>
      <c r="Q783" s="55"/>
      <c r="R783" s="55"/>
      <c r="S783" s="55"/>
      <c r="T783" s="55"/>
      <c r="U783" s="55"/>
    </row>
    <row r="784" spans="1:21" ht="18.75">
      <c r="A784" s="49"/>
      <c r="B784" s="58" t="s">
        <v>296</v>
      </c>
      <c r="C784" s="50"/>
      <c r="D784" s="188"/>
      <c r="E784" s="50"/>
      <c r="F784" s="50"/>
      <c r="G784" s="52"/>
      <c r="H784" s="53" t="s">
        <v>14</v>
      </c>
      <c r="I784" s="212">
        <f ca="1">IFERROR(__xludf.DUMMYFUNCTION("IMPORTRANGE(""https://docs.google.com/spreadsheets/d/10OvvATaaLtwErnr3qtWFcTmtbfpFEt5Bsqel9sXx0uE/edit?usp=sharing"",""งานกองทุน!S48"")"),4032000)</f>
        <v>4032000</v>
      </c>
      <c r="J784" s="212">
        <f ca="1">IFERROR(__xludf.DUMMYFUNCTION("IMPORTRANGE(""https://docs.google.com/spreadsheets/d/10OvvATaaLtwErnr3qtWFcTmtbfpFEt5Bsqel9sXx0uE/edit?usp=sharing"",""งานกองทุน!U48"")"),1856000)</f>
        <v>1856000</v>
      </c>
      <c r="K784" s="255">
        <f ca="1">IF(I784&gt;0,J784*100/I784,0)</f>
        <v>46.031746031746032</v>
      </c>
      <c r="L784" s="55"/>
      <c r="M784" s="55"/>
      <c r="N784" s="55"/>
      <c r="O784" s="55"/>
      <c r="P784" s="55"/>
      <c r="Q784" s="55"/>
      <c r="R784" s="55"/>
      <c r="S784" s="55"/>
      <c r="T784" s="55"/>
      <c r="U784" s="55"/>
    </row>
    <row r="785" spans="1:21" ht="18.75">
      <c r="A785" s="63"/>
      <c r="B785" s="4"/>
      <c r="C785" s="4"/>
      <c r="D785" s="5"/>
      <c r="E785" s="4"/>
      <c r="F785" s="4"/>
      <c r="G785" s="65"/>
      <c r="H785" s="66" t="s">
        <v>35</v>
      </c>
      <c r="I785" s="216">
        <f ca="1">IFERROR(__xludf.DUMMYFUNCTION("IMPORTRANGE(""https://docs.google.com/spreadsheets/d/10OvvATaaLtwErnr3qtWFcTmtbfpFEt5Bsqel9sXx0uE/edit?usp=sharing"",""งานกองทุน!R48"")"),144)</f>
        <v>144</v>
      </c>
      <c r="J785" s="216">
        <f ca="1">IFERROR(__xludf.DUMMYFUNCTION("IMPORTRANGE(""https://docs.google.com/spreadsheets/d/10OvvATaaLtwErnr3qtWFcTmtbfpFEt5Bsqel9sXx0uE/edit?usp=sharing"",""งานกองทุน!T48"")"),42)</f>
        <v>42</v>
      </c>
      <c r="K785" s="506">
        <f ca="1">IF(I785&gt;0,J785*100/I785,0)</f>
        <v>29.166666666666668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6.5">
      <c r="A787" s="535" t="s">
        <v>297</v>
      </c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6.5">
      <c r="A788" s="535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</v>
      </c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6.5">
      <c r="A789" s="535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</v>
      </c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</sheetData>
  <mergeCells count="26">
    <mergeCell ref="A1:U1"/>
    <mergeCell ref="A2:U2"/>
    <mergeCell ref="A3:U3"/>
    <mergeCell ref="L4:P4"/>
    <mergeCell ref="Q4:U4"/>
    <mergeCell ref="A5:G6"/>
    <mergeCell ref="H5:H6"/>
    <mergeCell ref="I5:K5"/>
    <mergeCell ref="L5:M5"/>
    <mergeCell ref="N5:P5"/>
    <mergeCell ref="D616:G616"/>
    <mergeCell ref="D642:G642"/>
    <mergeCell ref="D690:G690"/>
    <mergeCell ref="D714:G714"/>
    <mergeCell ref="Q5:R5"/>
    <mergeCell ref="S5:U5"/>
    <mergeCell ref="D728:G728"/>
    <mergeCell ref="D760:G760"/>
    <mergeCell ref="A7:G7"/>
    <mergeCell ref="A17:G17"/>
    <mergeCell ref="A30:G30"/>
    <mergeCell ref="A56:G56"/>
    <mergeCell ref="B57:G57"/>
    <mergeCell ref="D413:G413"/>
    <mergeCell ref="D493:F493"/>
    <mergeCell ref="D599:G599"/>
  </mergeCells>
  <printOptions horizontalCentered="1"/>
  <pageMargins left="0.23622047244094491" right="0.23622047244094491" top="0.55118110236220474" bottom="0.55118110236220474" header="0" footer="0"/>
  <pageSetup paperSize="9" scale="29" fitToHeight="0" pageOrder="overThenDown" orientation="portrait" cellComments="atEnd" horizontalDpi="4294967293" verticalDpi="4294967293" r:id="rId1"/>
  <headerFooter>
    <oddFooter>&amp;Cหน้า &amp;P/&amp;N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BBBF35-400F-4B02-9C6D-2BDA52E140D2}">
  <sheetPr>
    <outlinePr summaryBelow="0" summaryRight="0"/>
    <pageSetUpPr fitToPage="1"/>
  </sheetPr>
  <dimension ref="A1:U789"/>
  <sheetViews>
    <sheetView view="pageBreakPreview" zoomScale="60" zoomScaleNormal="60" workbookViewId="0">
      <pane xSplit="8" ySplit="17" topLeftCell="I18" activePane="bottomRight" state="frozen"/>
      <selection activeCell="T32" sqref="T32"/>
      <selection pane="topRight" activeCell="T32" sqref="T32"/>
      <selection pane="bottomLeft" activeCell="T32" sqref="T32"/>
      <selection pane="bottomRight" activeCell="T32" sqref="T32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10" width="16.85546875" bestFit="1" customWidth="1"/>
    <col min="11" max="11" width="12.5703125" bestFit="1" customWidth="1"/>
    <col min="12" max="14" width="21.28515625" bestFit="1" customWidth="1"/>
    <col min="15" max="15" width="20.140625" bestFit="1" customWidth="1"/>
    <col min="16" max="16" width="22" bestFit="1" customWidth="1"/>
    <col min="17" max="18" width="21.28515625" bestFit="1" customWidth="1"/>
    <col min="19" max="19" width="18.7109375" bestFit="1" customWidth="1"/>
    <col min="20" max="20" width="20.140625" bestFit="1" customWidth="1"/>
    <col min="21" max="21" width="22" bestFit="1" customWidth="1"/>
  </cols>
  <sheetData>
    <row r="1" spans="1:21" ht="19.5">
      <c r="A1" s="894" t="s">
        <v>0</v>
      </c>
      <c r="B1" s="894"/>
      <c r="C1" s="894"/>
      <c r="D1" s="894"/>
      <c r="E1" s="894"/>
      <c r="F1" s="894"/>
      <c r="G1" s="894"/>
      <c r="H1" s="894"/>
      <c r="I1" s="894"/>
      <c r="J1" s="894"/>
      <c r="K1" s="894"/>
      <c r="L1" s="894"/>
      <c r="M1" s="894"/>
      <c r="N1" s="894"/>
      <c r="O1" s="894"/>
      <c r="P1" s="894"/>
      <c r="Q1" s="894"/>
      <c r="R1" s="894"/>
      <c r="S1" s="894"/>
      <c r="T1" s="894"/>
      <c r="U1" s="894"/>
    </row>
    <row r="2" spans="1:21" ht="19.5">
      <c r="A2" s="894" t="s">
        <v>335</v>
      </c>
      <c r="B2" s="894"/>
      <c r="C2" s="894"/>
      <c r="D2" s="894"/>
      <c r="E2" s="894"/>
      <c r="F2" s="894"/>
      <c r="G2" s="894"/>
      <c r="H2" s="894"/>
      <c r="I2" s="894"/>
      <c r="J2" s="894"/>
      <c r="K2" s="894"/>
      <c r="L2" s="894"/>
      <c r="M2" s="894"/>
      <c r="N2" s="894"/>
      <c r="O2" s="894"/>
      <c r="P2" s="894"/>
      <c r="Q2" s="894"/>
      <c r="R2" s="894"/>
      <c r="S2" s="894"/>
      <c r="T2" s="894"/>
      <c r="U2" s="894"/>
    </row>
    <row r="3" spans="1:21" ht="19.5">
      <c r="A3" s="894" t="s">
        <v>339</v>
      </c>
      <c r="B3" s="894"/>
      <c r="C3" s="894"/>
      <c r="D3" s="894"/>
      <c r="E3" s="894"/>
      <c r="F3" s="894"/>
      <c r="G3" s="894"/>
      <c r="H3" s="894"/>
      <c r="I3" s="894"/>
      <c r="J3" s="894"/>
      <c r="K3" s="894"/>
      <c r="L3" s="894"/>
      <c r="M3" s="894"/>
      <c r="N3" s="894"/>
      <c r="O3" s="894"/>
      <c r="P3" s="894"/>
      <c r="Q3" s="894"/>
      <c r="R3" s="894"/>
      <c r="S3" s="894"/>
      <c r="T3" s="894"/>
      <c r="U3" s="894"/>
    </row>
    <row r="4" spans="1:21" ht="19.5">
      <c r="A4" s="4"/>
      <c r="B4" s="4"/>
      <c r="C4" s="4"/>
      <c r="D4" s="4"/>
      <c r="E4" s="4"/>
      <c r="F4" s="4"/>
      <c r="G4" s="4"/>
      <c r="H4" s="4"/>
      <c r="I4" s="4"/>
      <c r="J4" s="5"/>
      <c r="K4" s="766"/>
      <c r="L4" s="765" t="s">
        <v>2</v>
      </c>
      <c r="M4" s="514"/>
      <c r="N4" s="514"/>
      <c r="O4" s="514"/>
      <c r="P4" s="512"/>
      <c r="Q4" s="518" t="s">
        <v>3</v>
      </c>
      <c r="R4" s="514"/>
      <c r="S4" s="514"/>
      <c r="T4" s="514"/>
      <c r="U4" s="512"/>
    </row>
    <row r="5" spans="1:21" ht="19.5">
      <c r="A5" s="764" t="s">
        <v>4</v>
      </c>
      <c r="B5" s="516"/>
      <c r="C5" s="516"/>
      <c r="D5" s="516"/>
      <c r="E5" s="516"/>
      <c r="F5" s="516"/>
      <c r="G5" s="763"/>
      <c r="H5" s="772" t="s">
        <v>5</v>
      </c>
      <c r="I5" s="761" t="s">
        <v>6</v>
      </c>
      <c r="J5" s="514"/>
      <c r="K5" s="512"/>
      <c r="L5" s="760" t="s">
        <v>7</v>
      </c>
      <c r="M5" s="512"/>
      <c r="N5" s="513" t="s">
        <v>8</v>
      </c>
      <c r="O5" s="514"/>
      <c r="P5" s="512"/>
      <c r="Q5" s="511" t="s">
        <v>7</v>
      </c>
      <c r="R5" s="512"/>
      <c r="S5" s="513" t="s">
        <v>8</v>
      </c>
      <c r="T5" s="514"/>
      <c r="U5" s="512"/>
    </row>
    <row r="6" spans="1:21" ht="19.5">
      <c r="A6" s="522"/>
      <c r="B6" s="514"/>
      <c r="C6" s="514"/>
      <c r="D6" s="514"/>
      <c r="E6" s="514"/>
      <c r="F6" s="514"/>
      <c r="G6" s="512"/>
      <c r="H6" s="512"/>
      <c r="I6" s="9" t="s">
        <v>9</v>
      </c>
      <c r="J6" s="10" t="s">
        <v>10</v>
      </c>
      <c r="K6" s="9" t="s">
        <v>11</v>
      </c>
      <c r="L6" s="758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 hidden="1">
      <c r="A7" s="750"/>
      <c r="B7" s="514"/>
      <c r="C7" s="514"/>
      <c r="D7" s="514"/>
      <c r="E7" s="514"/>
      <c r="F7" s="514"/>
      <c r="G7" s="512"/>
      <c r="H7" s="17"/>
      <c r="I7" s="18"/>
      <c r="J7" s="18"/>
      <c r="K7" s="19"/>
      <c r="L7" s="28"/>
      <c r="M7" s="19"/>
      <c r="N7" s="19"/>
      <c r="O7" s="19"/>
      <c r="P7" s="19"/>
      <c r="Q7" s="19"/>
      <c r="R7" s="19"/>
      <c r="S7" s="19"/>
      <c r="T7" s="19"/>
      <c r="U7" s="19"/>
    </row>
    <row r="8" spans="1:21" ht="12.75" hidden="1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6"/>
      <c r="M8" s="25"/>
      <c r="N8" s="25"/>
      <c r="O8" s="25"/>
      <c r="P8" s="25"/>
      <c r="Q8" s="25"/>
      <c r="R8" s="25"/>
      <c r="S8" s="25"/>
      <c r="T8" s="25"/>
      <c r="U8" s="25"/>
    </row>
    <row r="9" spans="1:21" ht="12.75" hidden="1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6"/>
      <c r="M9" s="25"/>
      <c r="N9" s="25"/>
      <c r="O9" s="25"/>
      <c r="P9" s="25"/>
      <c r="Q9" s="25"/>
      <c r="R9" s="25"/>
      <c r="S9" s="25"/>
      <c r="T9" s="25"/>
      <c r="U9" s="25"/>
    </row>
    <row r="10" spans="1:21" ht="12.75" hidden="1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6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2.75" hidden="1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6"/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2.75" hidden="1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6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2.75" hidden="1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6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2.75" hidden="1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2.75" hidden="1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6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2.75" hidden="1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28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9.5">
      <c r="A17" s="532" t="s">
        <v>311</v>
      </c>
      <c r="B17" s="514"/>
      <c r="C17" s="514"/>
      <c r="D17" s="514"/>
      <c r="E17" s="514"/>
      <c r="F17" s="514"/>
      <c r="G17" s="512"/>
      <c r="H17" s="29"/>
      <c r="I17" s="30"/>
      <c r="J17" s="30"/>
      <c r="K17" s="31"/>
      <c r="L17" s="32"/>
      <c r="M17" s="31"/>
      <c r="N17" s="31"/>
      <c r="O17" s="31"/>
      <c r="P17" s="31"/>
      <c r="Q17" s="31"/>
      <c r="R17" s="31"/>
      <c r="S17" s="31"/>
      <c r="T17" s="31"/>
      <c r="U17" s="31"/>
    </row>
    <row r="18" spans="1:21" ht="19.5">
      <c r="A18" s="33"/>
      <c r="B18" s="34"/>
      <c r="C18" s="35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757">
        <f ca="1">L19+L20</f>
        <v>1707895</v>
      </c>
      <c r="M18" s="720">
        <f ca="1">M19+M20</f>
        <v>1690065</v>
      </c>
      <c r="N18" s="720">
        <f ca="1">N19+N20</f>
        <v>1147251.29</v>
      </c>
      <c r="O18" s="720">
        <f ca="1">IF(L18&gt;0,N18*100/L18,0)</f>
        <v>67.173408786839943</v>
      </c>
      <c r="P18" s="720">
        <f ca="1">IF(M18&gt;0,N18*100/M18,0)</f>
        <v>67.882080866712229</v>
      </c>
      <c r="Q18" s="720">
        <f ca="1">Q19+Q20</f>
        <v>2158519.39</v>
      </c>
      <c r="R18" s="720">
        <f ca="1">R19+R20</f>
        <v>2096019</v>
      </c>
      <c r="S18" s="720">
        <f ca="1">S19+S20</f>
        <v>461531</v>
      </c>
      <c r="T18" s="720">
        <f ca="1">IF(Q18&gt;0,S18*100/Q18,0)</f>
        <v>21.381832479160632</v>
      </c>
      <c r="U18" s="720">
        <f ca="1">IF(R18&gt;0,S18*100/R18,0)</f>
        <v>22.019409175203087</v>
      </c>
    </row>
    <row r="19" spans="1:21" ht="18.75" hidden="1">
      <c r="A19" s="33"/>
      <c r="B19" s="34"/>
      <c r="C19" s="34"/>
      <c r="D19" s="34"/>
      <c r="E19" s="756" t="s">
        <v>20</v>
      </c>
      <c r="F19" s="34"/>
      <c r="G19" s="37"/>
      <c r="H19" s="755" t="s">
        <v>14</v>
      </c>
      <c r="I19" s="39"/>
      <c r="J19" s="39"/>
      <c r="K19" s="40"/>
      <c r="L19" s="754">
        <f>L22+L25</f>
        <v>0</v>
      </c>
      <c r="M19" s="753">
        <f>M22+M25</f>
        <v>0</v>
      </c>
      <c r="N19" s="753">
        <f>N22+N25</f>
        <v>0</v>
      </c>
      <c r="O19" s="753">
        <f>IF(L19&gt;0,N19*100/L19,0)</f>
        <v>0</v>
      </c>
      <c r="P19" s="753">
        <f>IF(M19&gt;0,N19*100/M19,0)</f>
        <v>0</v>
      </c>
      <c r="Q19" s="753">
        <f>Q22+Q25</f>
        <v>0</v>
      </c>
      <c r="R19" s="753">
        <f>R22+R25</f>
        <v>0</v>
      </c>
      <c r="S19" s="753">
        <f>S22+S25</f>
        <v>0</v>
      </c>
      <c r="T19" s="753">
        <f>IF(Q19&gt;0,S19*100/Q19,0)</f>
        <v>0</v>
      </c>
      <c r="U19" s="753">
        <f>IF(R19&gt;0,S19*100/R19,0)</f>
        <v>0</v>
      </c>
    </row>
    <row r="20" spans="1:21" ht="18.75" hidden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752">
        <f ca="1">L23+L26</f>
        <v>1707895</v>
      </c>
      <c r="M20" s="751">
        <f ca="1">M23+M26</f>
        <v>1690065</v>
      </c>
      <c r="N20" s="751">
        <f ca="1">N23+N26</f>
        <v>1147251.29</v>
      </c>
      <c r="O20" s="751">
        <f ca="1">IF(L20&gt;0,N20*100/L20,0)</f>
        <v>67.173408786839943</v>
      </c>
      <c r="P20" s="751">
        <f ca="1">IF(M20&gt;0,N20*100/M20,0)</f>
        <v>67.882080866712229</v>
      </c>
      <c r="Q20" s="751">
        <f ca="1">Q23+Q26</f>
        <v>2158519.39</v>
      </c>
      <c r="R20" s="751">
        <f ca="1">R23+R26</f>
        <v>2096019</v>
      </c>
      <c r="S20" s="751">
        <f ca="1">S23+S26</f>
        <v>461531</v>
      </c>
      <c r="T20" s="751">
        <f ca="1">IF(Q20&gt;0,S20*100/Q20,0)</f>
        <v>21.381832479160632</v>
      </c>
      <c r="U20" s="751">
        <f ca="1">IF(R20&gt;0,S20*100/R20,0)</f>
        <v>22.019409175203087</v>
      </c>
    </row>
    <row r="21" spans="1:21" ht="18.75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256">
        <f ca="1">L22+L23</f>
        <v>1707895</v>
      </c>
      <c r="M21" s="255">
        <f ca="1">M22+M23</f>
        <v>1690065</v>
      </c>
      <c r="N21" s="255">
        <f ca="1">N22+N23</f>
        <v>1147251.29</v>
      </c>
      <c r="O21" s="255">
        <f ca="1">IF(L21&gt;0,N21*100/L21,0)</f>
        <v>67.173408786839943</v>
      </c>
      <c r="P21" s="255">
        <f ca="1">IF(M21&gt;0,N21*100/M21,0)</f>
        <v>67.882080866712229</v>
      </c>
      <c r="Q21" s="255">
        <f ca="1">Q22+Q23</f>
        <v>2158519.39</v>
      </c>
      <c r="R21" s="255">
        <f ca="1">R22+R23</f>
        <v>2096019</v>
      </c>
      <c r="S21" s="255">
        <f ca="1">S22+S23</f>
        <v>461531</v>
      </c>
      <c r="T21" s="255">
        <f ca="1">IF(Q21&gt;0,S21*100/Q21,0)</f>
        <v>21.381832479160632</v>
      </c>
      <c r="U21" s="255">
        <f ca="1">IF(R21&gt;0,S21*100/R21,0)</f>
        <v>22.019409175203087</v>
      </c>
    </row>
    <row r="22" spans="1:21" ht="18.75" hidden="1">
      <c r="A22" s="49"/>
      <c r="B22" s="50"/>
      <c r="C22" s="50"/>
      <c r="D22" s="50"/>
      <c r="E22" s="186" t="s">
        <v>20</v>
      </c>
      <c r="F22" s="50"/>
      <c r="G22" s="52"/>
      <c r="H22" s="729" t="s">
        <v>14</v>
      </c>
      <c r="I22" s="54"/>
      <c r="J22" s="54"/>
      <c r="K22" s="55"/>
      <c r="L22" s="103">
        <f>L48+L63+L76+L98+L129+L143+L161+L190+L177+L270+L286+L307+L324+L337+L360+L517</f>
        <v>0</v>
      </c>
      <c r="M22" s="102">
        <f>M48+M63+M76+M98+M129+M143+M161+M190+M177+M270+M286+M307+M324+M337+M360+M517</f>
        <v>0</v>
      </c>
      <c r="N22" s="102">
        <f>N48+N63+N76+N98+N129+N143+N161+N190+N177+N270+N286+N307+N324+N337+N360+N517</f>
        <v>0</v>
      </c>
      <c r="O22" s="102">
        <f>IF(L22&gt;0,N22*100/L22,0)</f>
        <v>0</v>
      </c>
      <c r="P22" s="102">
        <f>IF(M22&gt;0,N22*100/M22,0)</f>
        <v>0</v>
      </c>
      <c r="Q22" s="102">
        <f>Q76+Q98+Q121+Q143+Q161+Q177+Q190+Q270+Q286+Q307+Q337+Q379+Q396+Q417+Q497+Q603+Q620+Q646+Q694+Q718+Q732+Q764</f>
        <v>0</v>
      </c>
      <c r="R22" s="102">
        <f>R76+R98+R121+R143+R161+R177+R190+R270+R286+R307+R337+R379+R396+R417+R497+R603+R620+R646+R694+R718+R732+R764</f>
        <v>0</v>
      </c>
      <c r="S22" s="102">
        <f>S76+S98+S121+S143+S161+S177+S190+S270+S286+S307+S337+S379+S396+S417+S497+S603+S620+S646+S694+S718+S732+S764</f>
        <v>0</v>
      </c>
      <c r="T22" s="102">
        <f>IF(Q22&gt;0,S22*100/Q22,0)</f>
        <v>0</v>
      </c>
      <c r="U22" s="102">
        <f>IF(R22&gt;0,S22*100/R22,0)</f>
        <v>0</v>
      </c>
    </row>
    <row r="23" spans="1:21" ht="18.75" hidden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256">
        <f ca="1">L49+L64+L77+L99+L130+L144+L162+L191+L178+L271+L287+L308+L325+L338+L361+L518</f>
        <v>1707895</v>
      </c>
      <c r="M23" s="255">
        <f ca="1">M49+M64+M77+M99+M130+M144+M162+M191+M178+M271+M287+M308+M325+M338+M361+M518</f>
        <v>1690065</v>
      </c>
      <c r="N23" s="255">
        <f ca="1">N49+N64+N77+N99+N130+N144+N162+N191+N178+N271+N287+N308+N325+N338+N361+N518</f>
        <v>1147251.29</v>
      </c>
      <c r="O23" s="255">
        <f ca="1">IF(L23&gt;0,N23*100/L23,0)</f>
        <v>67.173408786839943</v>
      </c>
      <c r="P23" s="255">
        <f ca="1">IF(M23&gt;0,N23*100/M23,0)</f>
        <v>67.882080866712229</v>
      </c>
      <c r="Q23" s="255">
        <f ca="1">Q77+Q99+Q122+Q144+Q162+Q178+Q191+Q271+Q287+Q308+Q338+Q380+Q397+Q418+Q498+Q604+Q621+Q647+Q695+Q719+Q733+Q765</f>
        <v>2158519.39</v>
      </c>
      <c r="R23" s="255">
        <f ca="1">R77+R99+R122+R144+R162+R178+R191+R271+R287+R308+R338+R380+R397+R418+R498+R604+R621+R647+R695+R719+R733+R765</f>
        <v>2096019</v>
      </c>
      <c r="S23" s="255">
        <f ca="1">S77+S99+S122+S144+S162+S178+S191+S271+S287+S308+S338+S380+S397+S418+S498+S604+S621+S647+S695+S719+S733+S765</f>
        <v>461531</v>
      </c>
      <c r="T23" s="255">
        <f ca="1">IF(Q23&gt;0,S23*100/Q23,0)</f>
        <v>21.381832479160632</v>
      </c>
      <c r="U23" s="255">
        <f ca="1">IF(R23&gt;0,S23*100/R23,0)</f>
        <v>22.019409175203087</v>
      </c>
    </row>
    <row r="24" spans="1:21" ht="18.75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256">
        <f ca="1">L25+L26</f>
        <v>0</v>
      </c>
      <c r="M24" s="255">
        <f ca="1">M25+M26</f>
        <v>0</v>
      </c>
      <c r="N24" s="255">
        <f ca="1">N25+N26</f>
        <v>0</v>
      </c>
      <c r="O24" s="255">
        <f ca="1">IF(L24&gt;0,N24*100/L24,0)</f>
        <v>0</v>
      </c>
      <c r="P24" s="255">
        <f ca="1">IF(M24&gt;0,N24*100/M24,0)</f>
        <v>0</v>
      </c>
      <c r="Q24" s="255">
        <f>Q25+Q26</f>
        <v>0</v>
      </c>
      <c r="R24" s="255">
        <f>R25+R26</f>
        <v>0</v>
      </c>
      <c r="S24" s="255">
        <f>S25+S26</f>
        <v>0</v>
      </c>
      <c r="T24" s="255">
        <f>IF(Q24&gt;0,S24*100/Q24,0)</f>
        <v>0</v>
      </c>
      <c r="U24" s="255">
        <f>IF(R24&gt;0,S24*100/R24,0)</f>
        <v>0</v>
      </c>
    </row>
    <row r="25" spans="1:21" ht="18.75" hidden="1">
      <c r="A25" s="49"/>
      <c r="B25" s="50"/>
      <c r="C25" s="50"/>
      <c r="D25" s="50"/>
      <c r="E25" s="186" t="s">
        <v>20</v>
      </c>
      <c r="F25" s="50"/>
      <c r="G25" s="52"/>
      <c r="H25" s="729" t="s">
        <v>14</v>
      </c>
      <c r="I25" s="54"/>
      <c r="J25" s="54"/>
      <c r="K25" s="55"/>
      <c r="L25" s="103">
        <f>L51+L66+L79+L101+L132+L146+L164+L193+L180+L273+L289+L310+L327+L340+L363+L520</f>
        <v>0</v>
      </c>
      <c r="M25" s="102">
        <f>M51+M66+M79+M101+M132+M146+M164+M193+M180+M273+M289+M310+M327+M340+M363+M520</f>
        <v>0</v>
      </c>
      <c r="N25" s="102">
        <f>N51+N66+N79+N101+N132+N146+N164+N193+N180+N273+N289+N310+N327+N340+N363+N520</f>
        <v>0</v>
      </c>
      <c r="O25" s="102">
        <f>IF(L25&gt;0,N25*100/L25,0)</f>
        <v>0</v>
      </c>
      <c r="P25" s="102">
        <f>IF(M25&gt;0,N25*100/M25,0)</f>
        <v>0</v>
      </c>
      <c r="Q25" s="102">
        <f>Q79+Q101+Q124+Q146+Q164+Q180+Q193+Q273+Q289+Q310+Q340+Q382+Q399+Q420+Q500+Q606+Q623+Q649+Q697+Q721+Q735+Q767</f>
        <v>0</v>
      </c>
      <c r="R25" s="102">
        <f>R79+R101+R124+R146+R164+R180+R193+R273+R289+R310+R340+R382+R399+R420+R500+R606+R623+R649+R697+R721+R735+R767</f>
        <v>0</v>
      </c>
      <c r="S25" s="102">
        <f>S79+S101+S124+S146+S164+S180+S193+S273+S289+S310+S340+S382+S399+S420+S500+S606+S623+S649+S697+S721+S735+S767</f>
        <v>0</v>
      </c>
      <c r="T25" s="102">
        <f>IF(Q25&gt;0,S25*100/Q25,0)</f>
        <v>0</v>
      </c>
      <c r="U25" s="102">
        <f>IF(R25&gt;0,S25*100/R25,0)</f>
        <v>0</v>
      </c>
    </row>
    <row r="26" spans="1:21" ht="18.75" hidden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256">
        <f ca="1">L52+L67+L80+L102+L133+L147+L165+L194+L181+L274+L290+L311+L328+L341+L364+L521</f>
        <v>0</v>
      </c>
      <c r="M26" s="255">
        <f ca="1">M52+M67+M80+M102+M133+M147+M165+M194+M181+M274+M290+M311+M328+M341+M364+M521</f>
        <v>0</v>
      </c>
      <c r="N26" s="255">
        <f ca="1">N52+N67+N80+N102+N133+N147+N165+N194+N181+N274+N290+N311+N328+N341+N364+N521</f>
        <v>0</v>
      </c>
      <c r="O26" s="255">
        <f ca="1">IF(L26&gt;0,N26*100/L26,0)</f>
        <v>0</v>
      </c>
      <c r="P26" s="255">
        <f ca="1">IF(M26&gt;0,N26*100/M26,0)</f>
        <v>0</v>
      </c>
      <c r="Q26" s="102">
        <f>Q80+Q102+Q125+Q147+Q165+Q181+Q194+Q274+Q290+Q311+Q341+Q383+Q400+Q421+Q501+Q607+Q624+Q650+Q698+Q722+Q736+Q768</f>
        <v>0</v>
      </c>
      <c r="R26" s="102">
        <f>R80+R102+R125+R147+R165+R181+R194+R274+R290+R311+R341+R383+R400+R421+R501+R607+R624+R650+R698+R722+R736+R768</f>
        <v>0</v>
      </c>
      <c r="S26" s="102">
        <f>S80+S102+S125+S147+S165+S181+S194+S274+S290+S311+S341+S383+S400+S421+S501+S607+S624+S650+S698+S722+S736+S768</f>
        <v>0</v>
      </c>
      <c r="T26" s="255">
        <f>IF(Q26&gt;0,S26*100/Q26,0)</f>
        <v>0</v>
      </c>
      <c r="U26" s="255">
        <f>IF(R26&gt;0,S26*100/R26,0)</f>
        <v>0</v>
      </c>
    </row>
    <row r="27" spans="1:21" ht="18.75">
      <c r="A27" s="49"/>
      <c r="B27" s="50"/>
      <c r="C27" s="50"/>
      <c r="D27" s="51" t="s">
        <v>24</v>
      </c>
      <c r="E27" s="50"/>
      <c r="F27" s="50"/>
      <c r="G27" s="52"/>
      <c r="H27" s="53" t="s">
        <v>14</v>
      </c>
      <c r="I27" s="54"/>
      <c r="J27" s="54"/>
      <c r="K27" s="55"/>
      <c r="L27" s="62"/>
      <c r="M27" s="55"/>
      <c r="N27" s="55"/>
      <c r="O27" s="55"/>
      <c r="P27" s="55"/>
      <c r="Q27" s="55"/>
      <c r="R27" s="55"/>
      <c r="S27" s="55"/>
      <c r="T27" s="55"/>
      <c r="U27" s="55"/>
    </row>
    <row r="28" spans="1:21" ht="18.75" hidden="1">
      <c r="A28" s="49"/>
      <c r="B28" s="50"/>
      <c r="C28" s="50"/>
      <c r="D28" s="50"/>
      <c r="E28" s="186" t="s">
        <v>20</v>
      </c>
      <c r="F28" s="50"/>
      <c r="G28" s="52"/>
      <c r="H28" s="729" t="s">
        <v>14</v>
      </c>
      <c r="I28" s="54"/>
      <c r="J28" s="54"/>
      <c r="K28" s="55"/>
      <c r="L28" s="62"/>
      <c r="M28" s="55"/>
      <c r="N28" s="55"/>
      <c r="O28" s="55"/>
      <c r="P28" s="55"/>
      <c r="Q28" s="55"/>
      <c r="R28" s="55"/>
      <c r="S28" s="55"/>
      <c r="T28" s="55"/>
      <c r="U28" s="55"/>
    </row>
    <row r="29" spans="1:21" ht="18.75" hidden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8"/>
      <c r="M29" s="6"/>
      <c r="N29" s="6"/>
      <c r="O29" s="6"/>
      <c r="P29" s="6"/>
      <c r="Q29" s="6"/>
      <c r="R29" s="6"/>
      <c r="S29" s="6"/>
      <c r="T29" s="6"/>
      <c r="U29" s="6"/>
    </row>
    <row r="30" spans="1:21" ht="12.75" hidden="1">
      <c r="A30" s="750"/>
      <c r="B30" s="514"/>
      <c r="C30" s="514"/>
      <c r="D30" s="514"/>
      <c r="E30" s="514"/>
      <c r="F30" s="514"/>
      <c r="G30" s="512"/>
      <c r="H30" s="17"/>
      <c r="I30" s="18"/>
      <c r="J30" s="18"/>
      <c r="K30" s="19"/>
      <c r="L30" s="28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 hidden="1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6"/>
      <c r="M31" s="25"/>
      <c r="N31" s="25"/>
      <c r="O31" s="25"/>
      <c r="P31" s="25"/>
      <c r="Q31" s="25"/>
      <c r="R31" s="25"/>
      <c r="S31" s="25"/>
      <c r="T31" s="25"/>
      <c r="U31" s="25"/>
    </row>
    <row r="32" spans="1:21" ht="12.75" hidden="1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6"/>
      <c r="M32" s="25"/>
      <c r="N32" s="25"/>
      <c r="O32" s="25"/>
      <c r="P32" s="25"/>
      <c r="Q32" s="25"/>
      <c r="R32" s="25"/>
      <c r="S32" s="25"/>
      <c r="T32" s="25"/>
      <c r="U32" s="25"/>
    </row>
    <row r="33" spans="1:21" ht="12.75" hidden="1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6"/>
      <c r="M33" s="25"/>
      <c r="N33" s="25"/>
      <c r="O33" s="25"/>
      <c r="P33" s="25"/>
      <c r="Q33" s="25"/>
      <c r="R33" s="25"/>
      <c r="S33" s="25"/>
      <c r="T33" s="25"/>
      <c r="U33" s="25"/>
    </row>
    <row r="34" spans="1:21" ht="12.75" hidden="1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6"/>
      <c r="M34" s="25"/>
      <c r="N34" s="25"/>
      <c r="O34" s="25"/>
      <c r="P34" s="25"/>
      <c r="Q34" s="25"/>
      <c r="R34" s="25"/>
      <c r="S34" s="25"/>
      <c r="T34" s="25"/>
      <c r="U34" s="25"/>
    </row>
    <row r="35" spans="1:21" ht="12.75" hidden="1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6"/>
      <c r="M35" s="25"/>
      <c r="N35" s="25"/>
      <c r="O35" s="25"/>
      <c r="P35" s="25"/>
      <c r="Q35" s="25"/>
      <c r="R35" s="25"/>
      <c r="S35" s="25"/>
      <c r="T35" s="25"/>
      <c r="U35" s="25"/>
    </row>
    <row r="36" spans="1:21" ht="12.75" hidden="1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6"/>
      <c r="M36" s="25"/>
      <c r="N36" s="25"/>
      <c r="O36" s="25"/>
      <c r="P36" s="25"/>
      <c r="Q36" s="25"/>
      <c r="R36" s="25"/>
      <c r="S36" s="25"/>
      <c r="T36" s="25"/>
      <c r="U36" s="25"/>
    </row>
    <row r="37" spans="1:21" ht="12.75" hidden="1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6"/>
      <c r="M37" s="25"/>
      <c r="N37" s="25"/>
      <c r="O37" s="25"/>
      <c r="P37" s="25"/>
      <c r="Q37" s="25"/>
      <c r="R37" s="25"/>
      <c r="S37" s="25"/>
      <c r="T37" s="25"/>
      <c r="U37" s="25"/>
    </row>
    <row r="38" spans="1:21" ht="12.75" hidden="1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6"/>
      <c r="M38" s="25"/>
      <c r="N38" s="25"/>
      <c r="O38" s="25"/>
      <c r="P38" s="25"/>
      <c r="Q38" s="25"/>
      <c r="R38" s="25"/>
      <c r="S38" s="25"/>
      <c r="T38" s="25"/>
      <c r="U38" s="25"/>
    </row>
    <row r="39" spans="1:21" ht="12.75" hidden="1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28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9.5" hidden="1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749">
        <f ca="1">L44+L59+L72+L94+L125+L139+L157+L173+L186+L266+L282+L303+L320+L333+L356</f>
        <v>1707895</v>
      </c>
      <c r="M40" s="748">
        <f ca="1">M44+M59+M72+M94+M125+M139+M157+M173+M186+M266+M282+M303+M320+M333+M356</f>
        <v>1690065</v>
      </c>
      <c r="N40" s="748">
        <f ca="1">N44+N59+N72+N94+N125+N139+N157+N173+N186+N266+N282+N303+N320+N333+N356</f>
        <v>1147251.29</v>
      </c>
      <c r="O40" s="748">
        <f ca="1">IF(L40&gt;0,N40*100/L40,0)</f>
        <v>67.173408786839943</v>
      </c>
      <c r="P40" s="748">
        <f ca="1">IF(M40&gt;0,N40*100/M40,0)</f>
        <v>67.882080866712229</v>
      </c>
      <c r="Q40" s="73"/>
      <c r="R40" s="73"/>
      <c r="S40" s="73"/>
      <c r="T40" s="73"/>
      <c r="U40" s="73"/>
    </row>
    <row r="41" spans="1:21" ht="19.5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78"/>
      <c r="R41" s="78"/>
      <c r="S41" s="78"/>
      <c r="T41" s="78"/>
      <c r="U41" s="79"/>
    </row>
    <row r="42" spans="1:21" ht="19.5">
      <c r="A42" s="80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5"/>
      <c r="M42" s="84"/>
      <c r="N42" s="84"/>
      <c r="O42" s="84"/>
      <c r="P42" s="84"/>
      <c r="Q42" s="84"/>
      <c r="R42" s="84"/>
      <c r="S42" s="84"/>
      <c r="T42" s="84"/>
      <c r="U42" s="84"/>
    </row>
    <row r="43" spans="1:21" ht="12.75" hidden="1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6"/>
      <c r="M43" s="25"/>
      <c r="N43" s="25"/>
      <c r="O43" s="25"/>
      <c r="P43" s="25"/>
      <c r="Q43" s="25"/>
      <c r="R43" s="25"/>
      <c r="S43" s="25"/>
      <c r="T43" s="25"/>
      <c r="U43" s="25"/>
    </row>
    <row r="44" spans="1:21" ht="19.5">
      <c r="A44" s="86"/>
      <c r="B44" s="87"/>
      <c r="C44" s="88" t="s">
        <v>18</v>
      </c>
      <c r="D44" s="747" t="s">
        <v>19</v>
      </c>
      <c r="E44" s="87"/>
      <c r="F44" s="87"/>
      <c r="G44" s="90"/>
      <c r="H44" s="91" t="s">
        <v>14</v>
      </c>
      <c r="I44" s="92"/>
      <c r="J44" s="92"/>
      <c r="K44" s="93"/>
      <c r="L44" s="746">
        <f ca="1">L45+L46</f>
        <v>293500</v>
      </c>
      <c r="M44" s="745">
        <f ca="1">M45+M46</f>
        <v>293500</v>
      </c>
      <c r="N44" s="745">
        <f ca="1">N45+N46</f>
        <v>227500</v>
      </c>
      <c r="O44" s="745">
        <f ca="1">IF(L44&gt;0,N44*100/L44,0)</f>
        <v>77.512776831345832</v>
      </c>
      <c r="P44" s="745">
        <f ca="1">IF(M44&gt;0,N44*100/M44,0)</f>
        <v>77.512776831345832</v>
      </c>
      <c r="Q44" s="745">
        <f>Q45+Q46</f>
        <v>0</v>
      </c>
      <c r="R44" s="745">
        <f>R45+R46</f>
        <v>0</v>
      </c>
      <c r="S44" s="745">
        <f>S45+S46</f>
        <v>0</v>
      </c>
      <c r="T44" s="745">
        <f>IF(Q44&gt;0,S44*100/Q44,0)</f>
        <v>0</v>
      </c>
      <c r="U44" s="745">
        <f>IF(R44&gt;0,S44*100/R44,0)</f>
        <v>0</v>
      </c>
    </row>
    <row r="45" spans="1:21" ht="18.75" hidden="1">
      <c r="A45" s="86"/>
      <c r="B45" s="87"/>
      <c r="C45" s="87"/>
      <c r="D45" s="87"/>
      <c r="E45" s="744" t="s">
        <v>20</v>
      </c>
      <c r="F45" s="87"/>
      <c r="G45" s="90"/>
      <c r="H45" s="743" t="s">
        <v>14</v>
      </c>
      <c r="I45" s="92"/>
      <c r="J45" s="92"/>
      <c r="K45" s="93"/>
      <c r="L45" s="742">
        <f>L48+L51</f>
        <v>0</v>
      </c>
      <c r="M45" s="741">
        <f>M48+M51</f>
        <v>0</v>
      </c>
      <c r="N45" s="741">
        <f>N48+N51</f>
        <v>0</v>
      </c>
      <c r="O45" s="741">
        <f>IF(L45&gt;0,N45*100/L45,0)</f>
        <v>0</v>
      </c>
      <c r="P45" s="741">
        <f>IF(M45&gt;0,N45*100/M45,0)</f>
        <v>0</v>
      </c>
      <c r="Q45" s="741">
        <f>Q48+Q51</f>
        <v>0</v>
      </c>
      <c r="R45" s="741">
        <f>R48+R51</f>
        <v>0</v>
      </c>
      <c r="S45" s="741">
        <f>S48+S51</f>
        <v>0</v>
      </c>
      <c r="T45" s="741">
        <f>IF(Q45&gt;0,S45*100/Q45,0)</f>
        <v>0</v>
      </c>
      <c r="U45" s="741">
        <f>IF(R45&gt;0,S45*100/R45,0)</f>
        <v>0</v>
      </c>
    </row>
    <row r="46" spans="1:21" ht="18.75" hidden="1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740">
        <f ca="1">L49+L52</f>
        <v>293500</v>
      </c>
      <c r="M46" s="739">
        <f ca="1">M49+M52</f>
        <v>293500</v>
      </c>
      <c r="N46" s="739">
        <f ca="1">N49+N52</f>
        <v>227500</v>
      </c>
      <c r="O46" s="739">
        <f ca="1">IF(L46&gt;0,N46*100/L46,0)</f>
        <v>77.512776831345832</v>
      </c>
      <c r="P46" s="739">
        <f ca="1">IF(M46&gt;0,N46*100/M46,0)</f>
        <v>77.512776831345832</v>
      </c>
      <c r="Q46" s="739">
        <f>Q49+Q52</f>
        <v>0</v>
      </c>
      <c r="R46" s="739">
        <f>R49+R52</f>
        <v>0</v>
      </c>
      <c r="S46" s="739">
        <f>S49+S52</f>
        <v>0</v>
      </c>
      <c r="T46" s="739">
        <f>IF(Q46&gt;0,S46*100/Q46,0)</f>
        <v>0</v>
      </c>
      <c r="U46" s="739">
        <f>IF(R46&gt;0,S46*100/R46,0)</f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256">
        <f ca="1">L48+L49</f>
        <v>293500</v>
      </c>
      <c r="M47" s="255">
        <f ca="1">M48+M49</f>
        <v>293500</v>
      </c>
      <c r="N47" s="255">
        <f ca="1">N48+N49</f>
        <v>227500</v>
      </c>
      <c r="O47" s="255">
        <f ca="1">IF(L47&gt;0,N47*100/L47,0)</f>
        <v>77.512776831345832</v>
      </c>
      <c r="P47" s="255">
        <f ca="1">IF(M47&gt;0,N47*100/M47,0)</f>
        <v>77.512776831345832</v>
      </c>
      <c r="Q47" s="255">
        <f>Q48+Q49</f>
        <v>0</v>
      </c>
      <c r="R47" s="255">
        <f>R48+R49</f>
        <v>0</v>
      </c>
      <c r="S47" s="255">
        <f>S48+S49</f>
        <v>0</v>
      </c>
      <c r="T47" s="255">
        <f>IF(Q47&gt;0,S47*100/Q47,0)</f>
        <v>0</v>
      </c>
      <c r="U47" s="255">
        <f>IF(R47&gt;0,S47*100/R47,0)</f>
        <v>0</v>
      </c>
    </row>
    <row r="48" spans="1:21" ht="18.75" hidden="1">
      <c r="A48" s="49"/>
      <c r="B48" s="50"/>
      <c r="C48" s="50"/>
      <c r="D48" s="50"/>
      <c r="E48" s="186" t="s">
        <v>20</v>
      </c>
      <c r="F48" s="50"/>
      <c r="G48" s="52"/>
      <c r="H48" s="729" t="s">
        <v>14</v>
      </c>
      <c r="I48" s="54"/>
      <c r="J48" s="54"/>
      <c r="K48" s="55"/>
      <c r="L48" s="103">
        <v>0</v>
      </c>
      <c r="M48" s="102">
        <v>0</v>
      </c>
      <c r="N48" s="102">
        <v>0</v>
      </c>
      <c r="O48" s="102">
        <f>IF(L48&gt;0,N48*100/L48,0)</f>
        <v>0</v>
      </c>
      <c r="P48" s="102">
        <f>IF(M48&gt;0,N48*100/M48,0)</f>
        <v>0</v>
      </c>
      <c r="Q48" s="102">
        <v>0</v>
      </c>
      <c r="R48" s="102">
        <v>0</v>
      </c>
      <c r="S48" s="102">
        <v>0</v>
      </c>
      <c r="T48" s="102">
        <f>IF(Q48&gt;0,S48*100/Q48,0)</f>
        <v>0</v>
      </c>
      <c r="U48" s="102">
        <f>IF(R48&gt;0,S48*100/R48,0)</f>
        <v>0</v>
      </c>
    </row>
    <row r="49" spans="1:21" ht="18.75" hidden="1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256">
        <f ca="1">IFERROR(__xludf.DUMMYFUNCTION("IMPORTRANGE(""https://docs.google.com/spreadsheets/d/1-uDff_7J0KD5mKrp0Vvzr7lt3OU09vwQwhkpOPPYv2Y/edit?usp=sharing"",""งบพรบ!P49"")"),293500)</f>
        <v>293500</v>
      </c>
      <c r="M49" s="255">
        <f ca="1">IFERROR(__xludf.DUMMYFUNCTION("IMPORTRANGE(""https://docs.google.com/spreadsheets/d/1-uDff_7J0KD5mKrp0Vvzr7lt3OU09vwQwhkpOPPYv2Y/edit?usp=sharing"",""งบพรบ!V49"")"),293500)</f>
        <v>293500</v>
      </c>
      <c r="N49" s="255">
        <f ca="1">IFERROR(__xludf.DUMMYFUNCTION("IMPORTRANGE(""https://docs.google.com/spreadsheets/d/1-uDff_7J0KD5mKrp0Vvzr7lt3OU09vwQwhkpOPPYv2Y/edit?usp=sharing"",""งบพรบ!Y49"")"),227500)</f>
        <v>227500</v>
      </c>
      <c r="O49" s="255">
        <f ca="1">IF(L49&gt;0,N49*100/L49,0)</f>
        <v>77.512776831345832</v>
      </c>
      <c r="P49" s="255">
        <f ca="1">IF(M49&gt;0,N49*100/M49,0)</f>
        <v>77.512776831345832</v>
      </c>
      <c r="Q49" s="255">
        <v>0</v>
      </c>
      <c r="R49" s="255">
        <v>0</v>
      </c>
      <c r="S49" s="255">
        <v>0</v>
      </c>
      <c r="T49" s="255">
        <f>IF(Q49&gt;0,S49*100/Q49,0)</f>
        <v>0</v>
      </c>
      <c r="U49" s="255">
        <f>IF(R49&gt;0,S49*100/R49,0)</f>
        <v>0</v>
      </c>
    </row>
    <row r="50" spans="1:21" ht="18.75">
      <c r="A50" s="49"/>
      <c r="B50" s="50"/>
      <c r="C50" s="50"/>
      <c r="D50" s="51" t="s">
        <v>23</v>
      </c>
      <c r="E50" s="50"/>
      <c r="F50" s="50"/>
      <c r="G50" s="52"/>
      <c r="H50" s="53" t="s">
        <v>14</v>
      </c>
      <c r="I50" s="54"/>
      <c r="J50" s="54"/>
      <c r="K50" s="55"/>
      <c r="L50" s="256">
        <f ca="1">L51+L52</f>
        <v>0</v>
      </c>
      <c r="M50" s="255">
        <f ca="1">M51+M52</f>
        <v>0</v>
      </c>
      <c r="N50" s="255">
        <f ca="1">N51+N52</f>
        <v>0</v>
      </c>
      <c r="O50" s="255">
        <f ca="1">IF(L50&gt;0,N50*100/L50,0)</f>
        <v>0</v>
      </c>
      <c r="P50" s="255">
        <f ca="1">IF(M50&gt;0,N50*100/M50,0)</f>
        <v>0</v>
      </c>
      <c r="Q50" s="255">
        <f>Q51+Q52</f>
        <v>0</v>
      </c>
      <c r="R50" s="255">
        <f>R51+R52</f>
        <v>0</v>
      </c>
      <c r="S50" s="255">
        <f>S51+S52</f>
        <v>0</v>
      </c>
      <c r="T50" s="255">
        <f>IF(Q50&gt;0,S50*100/Q50,0)</f>
        <v>0</v>
      </c>
      <c r="U50" s="255">
        <f>IF(R50&gt;0,S50*100/R50,0)</f>
        <v>0</v>
      </c>
    </row>
    <row r="51" spans="1:21" ht="18.75" hidden="1">
      <c r="A51" s="49"/>
      <c r="B51" s="50"/>
      <c r="C51" s="50"/>
      <c r="D51" s="50"/>
      <c r="E51" s="186" t="s">
        <v>20</v>
      </c>
      <c r="F51" s="50"/>
      <c r="G51" s="52"/>
      <c r="H51" s="729" t="s">
        <v>14</v>
      </c>
      <c r="I51" s="54"/>
      <c r="J51" s="54"/>
      <c r="K51" s="55"/>
      <c r="L51" s="103">
        <v>0</v>
      </c>
      <c r="M51" s="102">
        <v>0</v>
      </c>
      <c r="N51" s="102">
        <v>0</v>
      </c>
      <c r="O51" s="102">
        <f>IF(L51&gt;0,N51*100/L51,0)</f>
        <v>0</v>
      </c>
      <c r="P51" s="102">
        <f>IF(M51&gt;0,N51*100/M51,0)</f>
        <v>0</v>
      </c>
      <c r="Q51" s="102">
        <v>0</v>
      </c>
      <c r="R51" s="102">
        <v>0</v>
      </c>
      <c r="S51" s="102">
        <v>0</v>
      </c>
      <c r="T51" s="102">
        <f>IF(Q51&gt;0,S51*100/Q51,0)</f>
        <v>0</v>
      </c>
      <c r="U51" s="102">
        <f>IF(R51&gt;0,S51*100/R51,0)</f>
        <v>0</v>
      </c>
    </row>
    <row r="52" spans="1:21" ht="18.75" hidden="1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256">
        <f ca="1">IFERROR(__xludf.DUMMYFUNCTION("IMPORTRANGE(""https://docs.google.com/spreadsheets/d/1-uDff_7J0KD5mKrp0Vvzr7lt3OU09vwQwhkpOPPYv2Y/edit?usp=sharing"",""งบพรบ!S49"")"),0)</f>
        <v>0</v>
      </c>
      <c r="M52" s="255">
        <f ca="1">IFERROR(__xludf.DUMMYFUNCTION("IMPORTRANGE(""https://docs.google.com/spreadsheets/d/1-uDff_7J0KD5mKrp0Vvzr7lt3OU09vwQwhkpOPPYv2Y/edit?usp=sharing"",""งบพรบ!W49"")"),0)</f>
        <v>0</v>
      </c>
      <c r="N52" s="255">
        <f ca="1">IFERROR(__xludf.DUMMYFUNCTION("IMPORTRANGE(""https://docs.google.com/spreadsheets/d/1-uDff_7J0KD5mKrp0Vvzr7lt3OU09vwQwhkpOPPYv2Y/edit?usp=sharing"",""งบพรบ!Z49"")"),0)</f>
        <v>0</v>
      </c>
      <c r="O52" s="255">
        <f ca="1">IF(L52&gt;0,N52*100/L52,0)</f>
        <v>0</v>
      </c>
      <c r="P52" s="255">
        <f ca="1">IF(M52&gt;0,N52*100/M52,0)</f>
        <v>0</v>
      </c>
      <c r="Q52" s="255">
        <v>0</v>
      </c>
      <c r="R52" s="255">
        <v>0</v>
      </c>
      <c r="S52" s="255">
        <v>0</v>
      </c>
      <c r="T52" s="255">
        <f>IF(Q52&gt;0,S52*100/Q52,0)</f>
        <v>0</v>
      </c>
      <c r="U52" s="255">
        <f>IF(R52&gt;0,S52*100/R52,0)</f>
        <v>0</v>
      </c>
    </row>
    <row r="53" spans="1:21" ht="18.75">
      <c r="A53" s="49"/>
      <c r="B53" s="50"/>
      <c r="C53" s="50"/>
      <c r="D53" s="51" t="s">
        <v>24</v>
      </c>
      <c r="E53" s="50"/>
      <c r="F53" s="50"/>
      <c r="G53" s="52"/>
      <c r="H53" s="53" t="s">
        <v>14</v>
      </c>
      <c r="I53" s="54"/>
      <c r="J53" s="54"/>
      <c r="K53" s="55"/>
      <c r="L53" s="62"/>
      <c r="M53" s="55"/>
      <c r="N53" s="55"/>
      <c r="O53" s="55"/>
      <c r="P53" s="55"/>
      <c r="Q53" s="55"/>
      <c r="R53" s="55"/>
      <c r="S53" s="55"/>
      <c r="T53" s="55"/>
      <c r="U53" s="55"/>
    </row>
    <row r="54" spans="1:21" ht="18.75" hidden="1">
      <c r="A54" s="49"/>
      <c r="B54" s="50"/>
      <c r="C54" s="50"/>
      <c r="D54" s="50"/>
      <c r="E54" s="186" t="s">
        <v>20</v>
      </c>
      <c r="F54" s="50"/>
      <c r="G54" s="52"/>
      <c r="H54" s="729" t="s">
        <v>14</v>
      </c>
      <c r="I54" s="54"/>
      <c r="J54" s="54"/>
      <c r="K54" s="55"/>
      <c r="L54" s="62"/>
      <c r="M54" s="55"/>
      <c r="N54" s="55"/>
      <c r="O54" s="55"/>
      <c r="P54" s="55"/>
      <c r="Q54" s="55"/>
      <c r="R54" s="55"/>
      <c r="S54" s="55"/>
      <c r="T54" s="55"/>
      <c r="U54" s="55"/>
    </row>
    <row r="55" spans="1:21" ht="18.75" hidden="1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8"/>
      <c r="M55" s="6"/>
      <c r="N55" s="6"/>
      <c r="O55" s="6"/>
      <c r="P55" s="6"/>
      <c r="Q55" s="6"/>
      <c r="R55" s="6"/>
      <c r="S55" s="6"/>
      <c r="T55" s="6"/>
      <c r="U55" s="6"/>
    </row>
    <row r="56" spans="1:21" ht="19.5">
      <c r="A56" s="533" t="s">
        <v>28</v>
      </c>
      <c r="B56" s="514"/>
      <c r="C56" s="514"/>
      <c r="D56" s="514"/>
      <c r="E56" s="514"/>
      <c r="F56" s="514"/>
      <c r="G56" s="512"/>
      <c r="H56" s="104"/>
      <c r="I56" s="105"/>
      <c r="J56" s="105"/>
      <c r="K56" s="106"/>
      <c r="L56" s="106"/>
      <c r="M56" s="106"/>
      <c r="N56" s="106"/>
      <c r="O56" s="106"/>
      <c r="P56" s="107"/>
      <c r="Q56" s="106"/>
      <c r="R56" s="106"/>
      <c r="S56" s="106"/>
      <c r="T56" s="106"/>
      <c r="U56" s="107"/>
    </row>
    <row r="57" spans="1:21" ht="19.5">
      <c r="A57" s="108"/>
      <c r="B57" s="534" t="s">
        <v>29</v>
      </c>
      <c r="C57" s="529"/>
      <c r="D57" s="529"/>
      <c r="E57" s="529"/>
      <c r="F57" s="529"/>
      <c r="G57" s="530"/>
      <c r="H57" s="109"/>
      <c r="I57" s="110"/>
      <c r="J57" s="110"/>
      <c r="K57" s="111"/>
      <c r="L57" s="112"/>
      <c r="M57" s="111"/>
      <c r="N57" s="111"/>
      <c r="O57" s="111"/>
      <c r="P57" s="111"/>
      <c r="Q57" s="111"/>
      <c r="R57" s="111"/>
      <c r="S57" s="111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9"/>
      <c r="M58" s="118"/>
      <c r="N58" s="118"/>
      <c r="O58" s="118"/>
      <c r="P58" s="118"/>
      <c r="Q58" s="118"/>
      <c r="R58" s="118"/>
      <c r="S58" s="118"/>
      <c r="T58" s="118"/>
      <c r="U58" s="118"/>
    </row>
    <row r="59" spans="1:21" ht="19.5">
      <c r="A59" s="120"/>
      <c r="B59" s="121"/>
      <c r="C59" s="122" t="s">
        <v>18</v>
      </c>
      <c r="D59" s="738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737">
        <f ca="1">L60+L61</f>
        <v>449200</v>
      </c>
      <c r="M59" s="736">
        <f ca="1">M60+M61</f>
        <v>449200</v>
      </c>
      <c r="N59" s="736">
        <f ca="1">N60+N61</f>
        <v>340004.29</v>
      </c>
      <c r="O59" s="736">
        <f ca="1">IF(L59&gt;0,N59*100/L59,0)</f>
        <v>75.691070792520037</v>
      </c>
      <c r="P59" s="736">
        <f ca="1">IF(M59&gt;0,N59*100/M59,0)</f>
        <v>75.691070792520037</v>
      </c>
      <c r="Q59" s="736">
        <f>Q60+Q61</f>
        <v>0</v>
      </c>
      <c r="R59" s="736">
        <f>R60+R61</f>
        <v>0</v>
      </c>
      <c r="S59" s="736">
        <f>S60+S61</f>
        <v>0</v>
      </c>
      <c r="T59" s="736">
        <f>IF(Q59&gt;0,S59*100/Q59,0)</f>
        <v>0</v>
      </c>
      <c r="U59" s="736">
        <f>IF(R59&gt;0,S59*100/R59,0)</f>
        <v>0</v>
      </c>
    </row>
    <row r="60" spans="1:21" ht="18.75" hidden="1">
      <c r="A60" s="120"/>
      <c r="B60" s="121"/>
      <c r="C60" s="121"/>
      <c r="D60" s="121"/>
      <c r="E60" s="735" t="s">
        <v>20</v>
      </c>
      <c r="F60" s="121"/>
      <c r="G60" s="124"/>
      <c r="H60" s="734" t="s">
        <v>14</v>
      </c>
      <c r="I60" s="126"/>
      <c r="J60" s="126"/>
      <c r="K60" s="127"/>
      <c r="L60" s="733">
        <f>L63+L66</f>
        <v>0</v>
      </c>
      <c r="M60" s="732">
        <f>M63+M66</f>
        <v>0</v>
      </c>
      <c r="N60" s="732">
        <f>N63+N66</f>
        <v>0</v>
      </c>
      <c r="O60" s="732">
        <f>IF(L60&gt;0,N60*100/L60,0)</f>
        <v>0</v>
      </c>
      <c r="P60" s="732">
        <f>IF(M60&gt;0,N60*100/M60,0)</f>
        <v>0</v>
      </c>
      <c r="Q60" s="732">
        <f>Q63+Q66</f>
        <v>0</v>
      </c>
      <c r="R60" s="732">
        <f>R63+R66</f>
        <v>0</v>
      </c>
      <c r="S60" s="732">
        <f>S63+S66</f>
        <v>0</v>
      </c>
      <c r="T60" s="732">
        <f>IF(Q60&gt;0,S60*100/Q60,0)</f>
        <v>0</v>
      </c>
      <c r="U60" s="732">
        <f>IF(R60&gt;0,S60*100/R60,0)</f>
        <v>0</v>
      </c>
    </row>
    <row r="61" spans="1:21" ht="18.75" hidden="1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731">
        <f ca="1">L64+L67</f>
        <v>449200</v>
      </c>
      <c r="M61" s="730">
        <f ca="1">M64+M67</f>
        <v>449200</v>
      </c>
      <c r="N61" s="730">
        <f ca="1">N64+N67</f>
        <v>340004.29</v>
      </c>
      <c r="O61" s="730">
        <f ca="1">IF(L61&gt;0,N61*100/L61,0)</f>
        <v>75.691070792520037</v>
      </c>
      <c r="P61" s="730">
        <f ca="1">IF(M61&gt;0,N61*100/M61,0)</f>
        <v>75.691070792520037</v>
      </c>
      <c r="Q61" s="730">
        <f>Q64+Q67</f>
        <v>0</v>
      </c>
      <c r="R61" s="730">
        <f>R64+R67</f>
        <v>0</v>
      </c>
      <c r="S61" s="730">
        <f>S64+S67</f>
        <v>0</v>
      </c>
      <c r="T61" s="730">
        <f>IF(Q61&gt;0,S61*100/Q61,0)</f>
        <v>0</v>
      </c>
      <c r="U61" s="730">
        <f>IF(R61&gt;0,S61*100/R61,0)</f>
        <v>0</v>
      </c>
    </row>
    <row r="62" spans="1:21" ht="18.75">
      <c r="A62" s="49"/>
      <c r="B62" s="50"/>
      <c r="C62" s="50"/>
      <c r="D62" s="51" t="s">
        <v>22</v>
      </c>
      <c r="E62" s="50"/>
      <c r="F62" s="50"/>
      <c r="G62" s="52"/>
      <c r="H62" s="53" t="s">
        <v>14</v>
      </c>
      <c r="I62" s="54"/>
      <c r="J62" s="54"/>
      <c r="K62" s="55"/>
      <c r="L62" s="256">
        <f ca="1">L63+L64</f>
        <v>449200</v>
      </c>
      <c r="M62" s="255">
        <f ca="1">M63+M64</f>
        <v>449200</v>
      </c>
      <c r="N62" s="255">
        <f ca="1">N63+N64</f>
        <v>340004.29</v>
      </c>
      <c r="O62" s="255">
        <f ca="1">IF(L62&gt;0,N62*100/L62,0)</f>
        <v>75.691070792520037</v>
      </c>
      <c r="P62" s="255">
        <f ca="1">IF(M62&gt;0,N62*100/M62,0)</f>
        <v>75.691070792520037</v>
      </c>
      <c r="Q62" s="255">
        <f>Q63+Q64</f>
        <v>0</v>
      </c>
      <c r="R62" s="255">
        <f>R63+R64</f>
        <v>0</v>
      </c>
      <c r="S62" s="255">
        <f>S63+S64</f>
        <v>0</v>
      </c>
      <c r="T62" s="255">
        <f>IF(Q62&gt;0,S62*100/Q62,0)</f>
        <v>0</v>
      </c>
      <c r="U62" s="255">
        <f>IF(R62&gt;0,S62*100/R62,0)</f>
        <v>0</v>
      </c>
    </row>
    <row r="63" spans="1:21" ht="18.75" hidden="1">
      <c r="A63" s="49"/>
      <c r="B63" s="50"/>
      <c r="C63" s="50"/>
      <c r="D63" s="50"/>
      <c r="E63" s="186" t="s">
        <v>20</v>
      </c>
      <c r="F63" s="50"/>
      <c r="G63" s="52"/>
      <c r="H63" s="729" t="s">
        <v>14</v>
      </c>
      <c r="I63" s="54"/>
      <c r="J63" s="54"/>
      <c r="K63" s="55"/>
      <c r="L63" s="103">
        <v>0</v>
      </c>
      <c r="M63" s="102">
        <v>0</v>
      </c>
      <c r="N63" s="102">
        <v>0</v>
      </c>
      <c r="O63" s="102">
        <f>IF(L63&gt;0,N63*100/L63,0)</f>
        <v>0</v>
      </c>
      <c r="P63" s="102">
        <f>IF(M63&gt;0,N63*100/M63,0)</f>
        <v>0</v>
      </c>
      <c r="Q63" s="102">
        <v>0</v>
      </c>
      <c r="R63" s="102">
        <v>0</v>
      </c>
      <c r="S63" s="102">
        <v>0</v>
      </c>
      <c r="T63" s="102">
        <f>IF(Q63&gt;0,S63*100/Q63,0)</f>
        <v>0</v>
      </c>
      <c r="U63" s="102">
        <f>IF(R63&gt;0,S63*100/R63,0)</f>
        <v>0</v>
      </c>
    </row>
    <row r="64" spans="1:21" ht="18.75" hidden="1">
      <c r="A64" s="49"/>
      <c r="B64" s="50"/>
      <c r="C64" s="50"/>
      <c r="D64" s="50"/>
      <c r="E64" s="58" t="s">
        <v>21</v>
      </c>
      <c r="F64" s="50"/>
      <c r="G64" s="52"/>
      <c r="H64" s="53" t="s">
        <v>14</v>
      </c>
      <c r="I64" s="54"/>
      <c r="J64" s="54"/>
      <c r="K64" s="55"/>
      <c r="L64" s="256">
        <f ca="1">IFERROR(__xludf.DUMMYFUNCTION("IMPORTRANGE(""https://docs.google.com/spreadsheets/d/1-uDff_7J0KD5mKrp0Vvzr7lt3OU09vwQwhkpOPPYv2Y/edit?usp=sharing"",""งบพรบ!AC49"")"),449200)</f>
        <v>449200</v>
      </c>
      <c r="M64" s="255">
        <f ca="1">IFERROR(__xludf.DUMMYFUNCTION("IMPORTRANGE(""https://docs.google.com/spreadsheets/d/1-uDff_7J0KD5mKrp0Vvzr7lt3OU09vwQwhkpOPPYv2Y/edit?usp=sharing"",""งบพรบ!AH49"")"),449200)</f>
        <v>449200</v>
      </c>
      <c r="N64" s="255">
        <f ca="1">IFERROR(__xludf.DUMMYFUNCTION("IMPORTRANGE(""https://docs.google.com/spreadsheets/d/1-uDff_7J0KD5mKrp0Vvzr7lt3OU09vwQwhkpOPPYv2Y/edit?usp=sharing"",""งบพรบ!AJ49"")"),340004.29)</f>
        <v>340004.29</v>
      </c>
      <c r="O64" s="255">
        <f ca="1">IF(L64&gt;0,N64*100/L64,0)</f>
        <v>75.691070792520037</v>
      </c>
      <c r="P64" s="255">
        <f ca="1">IF(M64&gt;0,N64*100/M64,0)</f>
        <v>75.691070792520037</v>
      </c>
      <c r="Q64" s="255">
        <v>0</v>
      </c>
      <c r="R64" s="255">
        <v>0</v>
      </c>
      <c r="S64" s="255">
        <v>0</v>
      </c>
      <c r="T64" s="255">
        <f>IF(Q64&gt;0,S64*100/Q64,0)</f>
        <v>0</v>
      </c>
      <c r="U64" s="255">
        <f>IF(R64&gt;0,S64*100/R64,0)</f>
        <v>0</v>
      </c>
    </row>
    <row r="65" spans="1:21" ht="18.75">
      <c r="A65" s="49"/>
      <c r="B65" s="50"/>
      <c r="C65" s="50"/>
      <c r="D65" s="51" t="s">
        <v>23</v>
      </c>
      <c r="E65" s="50"/>
      <c r="F65" s="50"/>
      <c r="G65" s="52"/>
      <c r="H65" s="53" t="s">
        <v>14</v>
      </c>
      <c r="I65" s="54"/>
      <c r="J65" s="54"/>
      <c r="K65" s="55"/>
      <c r="L65" s="256">
        <f ca="1">L66+L67</f>
        <v>0</v>
      </c>
      <c r="M65" s="255">
        <f ca="1">M66+M67</f>
        <v>0</v>
      </c>
      <c r="N65" s="255">
        <f ca="1">N66+N67</f>
        <v>0</v>
      </c>
      <c r="O65" s="255">
        <f ca="1">IF(L65&gt;0,N65*100/L65,0)</f>
        <v>0</v>
      </c>
      <c r="P65" s="255">
        <f ca="1">IF(M65&gt;0,N65*100/M65,0)</f>
        <v>0</v>
      </c>
      <c r="Q65" s="255">
        <f>Q66+Q67</f>
        <v>0</v>
      </c>
      <c r="R65" s="255">
        <f>R66+R67</f>
        <v>0</v>
      </c>
      <c r="S65" s="255">
        <f>S66+S67</f>
        <v>0</v>
      </c>
      <c r="T65" s="255">
        <f>IF(Q65&gt;0,S65*100/Q65,0)</f>
        <v>0</v>
      </c>
      <c r="U65" s="255">
        <f>IF(R65&gt;0,S65*100/R65,0)</f>
        <v>0</v>
      </c>
    </row>
    <row r="66" spans="1:21" ht="18.75" hidden="1">
      <c r="A66" s="49"/>
      <c r="B66" s="50"/>
      <c r="C66" s="50"/>
      <c r="D66" s="50"/>
      <c r="E66" s="186" t="s">
        <v>20</v>
      </c>
      <c r="F66" s="50"/>
      <c r="G66" s="52"/>
      <c r="H66" s="729" t="s">
        <v>14</v>
      </c>
      <c r="I66" s="54"/>
      <c r="J66" s="54"/>
      <c r="K66" s="55"/>
      <c r="L66" s="103">
        <v>0</v>
      </c>
      <c r="M66" s="102">
        <v>0</v>
      </c>
      <c r="N66" s="102">
        <v>0</v>
      </c>
      <c r="O66" s="102">
        <f>IF(L66&gt;0,N66*100/L66,0)</f>
        <v>0</v>
      </c>
      <c r="P66" s="102">
        <f>IF(M66&gt;0,N66*100/M66,0)</f>
        <v>0</v>
      </c>
      <c r="Q66" s="102">
        <v>0</v>
      </c>
      <c r="R66" s="102">
        <v>0</v>
      </c>
      <c r="S66" s="102">
        <v>0</v>
      </c>
      <c r="T66" s="102">
        <f>IF(Q66&gt;0,S66*100/Q66,0)</f>
        <v>0</v>
      </c>
      <c r="U66" s="102">
        <f>IF(R66&gt;0,S66*100/R66,0)</f>
        <v>0</v>
      </c>
    </row>
    <row r="67" spans="1:21" ht="18.75" hidden="1">
      <c r="A67" s="63"/>
      <c r="B67" s="4"/>
      <c r="C67" s="4"/>
      <c r="D67" s="4"/>
      <c r="E67" s="64" t="s">
        <v>21</v>
      </c>
      <c r="F67" s="4"/>
      <c r="G67" s="65"/>
      <c r="H67" s="66" t="s">
        <v>14</v>
      </c>
      <c r="I67" s="67"/>
      <c r="J67" s="67"/>
      <c r="K67" s="6"/>
      <c r="L67" s="728">
        <f ca="1">IFERROR(__xludf.DUMMYFUNCTION("IMPORTRANGE(""https://docs.google.com/spreadsheets/d/1-uDff_7J0KD5mKrp0Vvzr7lt3OU09vwQwhkpOPPYv2Y/edit?usp=sharing"",""งบพรบ!AF49"")"),0)</f>
        <v>0</v>
      </c>
      <c r="M67" s="506">
        <f ca="1">IFERROR(__xludf.DUMMYFUNCTION("IMPORTRANGE(""https://docs.google.com/spreadsheets/d/1-uDff_7J0KD5mKrp0Vvzr7lt3OU09vwQwhkpOPPYv2Y/edit?usp=sharing"",""งบพรบ!AI49"")"),0)</f>
        <v>0</v>
      </c>
      <c r="N67" s="506">
        <f ca="1">IFERROR(__xludf.DUMMYFUNCTION("IMPORTRANGE(""https://docs.google.com/spreadsheets/d/1-uDff_7J0KD5mKrp0Vvzr7lt3OU09vwQwhkpOPPYv2Y/edit?usp=sharing"",""งบพรบ!AK49"")"),0)</f>
        <v>0</v>
      </c>
      <c r="O67" s="506">
        <f ca="1">IF(L67&gt;0,N67*100/L67,0)</f>
        <v>0</v>
      </c>
      <c r="P67" s="506">
        <f ca="1">IF(M67&gt;0,N67*100/M67,0)</f>
        <v>0</v>
      </c>
      <c r="Q67" s="506">
        <v>0</v>
      </c>
      <c r="R67" s="506">
        <v>0</v>
      </c>
      <c r="S67" s="506">
        <v>0</v>
      </c>
      <c r="T67" s="506">
        <f>IF(Q67&gt;0,S67*100/Q67,0)</f>
        <v>0</v>
      </c>
      <c r="U67" s="506">
        <f>IF(R67&gt;0,S67*100/R67,0)</f>
        <v>0</v>
      </c>
    </row>
    <row r="68" spans="1:21" ht="19.5">
      <c r="A68" s="137" t="s">
        <v>31</v>
      </c>
      <c r="B68" s="138"/>
      <c r="C68" s="138"/>
      <c r="D68" s="138"/>
      <c r="E68" s="139"/>
      <c r="F68" s="139"/>
      <c r="G68" s="139"/>
      <c r="H68" s="139"/>
      <c r="I68" s="140"/>
      <c r="J68" s="140"/>
      <c r="K68" s="141"/>
      <c r="L68" s="141"/>
      <c r="M68" s="141"/>
      <c r="N68" s="141"/>
      <c r="O68" s="141"/>
      <c r="P68" s="142"/>
      <c r="Q68" s="141"/>
      <c r="R68" s="141"/>
      <c r="S68" s="141"/>
      <c r="T68" s="141"/>
      <c r="U68" s="142"/>
    </row>
    <row r="69" spans="1:21" ht="19.5">
      <c r="A69" s="143" t="s">
        <v>32</v>
      </c>
      <c r="B69" s="144"/>
      <c r="C69" s="145"/>
      <c r="D69" s="144"/>
      <c r="E69" s="144"/>
      <c r="F69" s="144"/>
      <c r="G69" s="146"/>
      <c r="H69" s="146"/>
      <c r="I69" s="147"/>
      <c r="J69" s="147"/>
      <c r="K69" s="148"/>
      <c r="L69" s="149"/>
      <c r="M69" s="148"/>
      <c r="N69" s="148"/>
      <c r="O69" s="148"/>
      <c r="P69" s="148"/>
      <c r="Q69" s="148"/>
      <c r="R69" s="148"/>
      <c r="S69" s="148"/>
      <c r="T69" s="148"/>
      <c r="U69" s="148"/>
    </row>
    <row r="70" spans="1:21" ht="19.5">
      <c r="A70" s="150"/>
      <c r="B70" s="35" t="s">
        <v>33</v>
      </c>
      <c r="C70" s="34"/>
      <c r="D70" s="151"/>
      <c r="E70" s="34"/>
      <c r="F70" s="34"/>
      <c r="G70" s="37"/>
      <c r="H70" s="152" t="s">
        <v>34</v>
      </c>
      <c r="I70" s="721">
        <f ca="1">I82</f>
        <v>1</v>
      </c>
      <c r="J70" s="721">
        <f>J82</f>
        <v>0</v>
      </c>
      <c r="K70" s="720">
        <f ca="1">IF(I70&gt;0,J70*100/I70,0)</f>
        <v>0</v>
      </c>
      <c r="L70" s="154"/>
      <c r="M70" s="40"/>
      <c r="N70" s="40"/>
      <c r="O70" s="40"/>
      <c r="P70" s="40"/>
      <c r="Q70" s="40"/>
      <c r="R70" s="40"/>
      <c r="S70" s="40"/>
      <c r="T70" s="40"/>
      <c r="U70" s="40"/>
    </row>
    <row r="71" spans="1:21" ht="19.5">
      <c r="A71" s="150"/>
      <c r="B71" s="34"/>
      <c r="C71" s="34"/>
      <c r="D71" s="151"/>
      <c r="E71" s="34"/>
      <c r="F71" s="34"/>
      <c r="G71" s="37"/>
      <c r="H71" s="152" t="s">
        <v>35</v>
      </c>
      <c r="I71" s="721">
        <f ca="1">I83</f>
        <v>30</v>
      </c>
      <c r="J71" s="721">
        <f>J83</f>
        <v>0</v>
      </c>
      <c r="K71" s="720">
        <f ca="1">IF(I71&gt;0,J71*100/I71,0)</f>
        <v>0</v>
      </c>
      <c r="L71" s="154"/>
      <c r="M71" s="40"/>
      <c r="N71" s="40"/>
      <c r="O71" s="40"/>
      <c r="P71" s="40"/>
      <c r="Q71" s="40"/>
      <c r="R71" s="40"/>
      <c r="S71" s="40"/>
      <c r="T71" s="40"/>
      <c r="U71" s="40"/>
    </row>
    <row r="72" spans="1:21" ht="19.5">
      <c r="A72" s="155"/>
      <c r="B72" s="50"/>
      <c r="C72" s="156" t="s">
        <v>18</v>
      </c>
      <c r="D72" s="575" t="s">
        <v>19</v>
      </c>
      <c r="E72" s="50"/>
      <c r="F72" s="50"/>
      <c r="G72" s="52"/>
      <c r="H72" s="158" t="s">
        <v>14</v>
      </c>
      <c r="I72" s="54"/>
      <c r="J72" s="54"/>
      <c r="K72" s="55"/>
      <c r="L72" s="541">
        <f ca="1">L73+L74</f>
        <v>90000</v>
      </c>
      <c r="M72" s="540">
        <f ca="1">M73+M74</f>
        <v>90000</v>
      </c>
      <c r="N72" s="540">
        <f ca="1">N73+N74</f>
        <v>13000</v>
      </c>
      <c r="O72" s="540">
        <f ca="1">IF(L72&gt;0,N72*100/L72,0)</f>
        <v>14.444444444444445</v>
      </c>
      <c r="P72" s="540">
        <f ca="1">IF(M72&gt;0,N72*100/M72,0)</f>
        <v>14.444444444444445</v>
      </c>
      <c r="Q72" s="540">
        <f ca="1">Q73+Q74</f>
        <v>403700</v>
      </c>
      <c r="R72" s="540">
        <f ca="1">R73+R74</f>
        <v>403700</v>
      </c>
      <c r="S72" s="540">
        <f ca="1">S73+S74</f>
        <v>1240</v>
      </c>
      <c r="T72" s="540">
        <f ca="1">IF(Q72&gt;0,S72*100/Q72,0)</f>
        <v>0.30715878127322271</v>
      </c>
      <c r="U72" s="540">
        <f ca="1">IF(R72&gt;0,S72*100/R72,0)</f>
        <v>0.30715878127322271</v>
      </c>
    </row>
    <row r="73" spans="1:21" ht="18.75" hidden="1">
      <c r="A73" s="155"/>
      <c r="B73" s="50"/>
      <c r="C73" s="50"/>
      <c r="D73" s="50"/>
      <c r="E73" s="186" t="s">
        <v>20</v>
      </c>
      <c r="F73" s="50"/>
      <c r="G73" s="52"/>
      <c r="H73" s="187" t="s">
        <v>14</v>
      </c>
      <c r="I73" s="54"/>
      <c r="J73" s="54"/>
      <c r="K73" s="55"/>
      <c r="L73" s="103">
        <f>L76+L79</f>
        <v>0</v>
      </c>
      <c r="M73" s="102">
        <f>M76+M79</f>
        <v>0</v>
      </c>
      <c r="N73" s="102">
        <f>N76+N79</f>
        <v>0</v>
      </c>
      <c r="O73" s="102">
        <f>IF(L73&gt;0,N73*100/L73,0)</f>
        <v>0</v>
      </c>
      <c r="P73" s="102">
        <f>IF(M73&gt;0,N73*100/M73,0)</f>
        <v>0</v>
      </c>
      <c r="Q73" s="102">
        <f>Q76+Q79</f>
        <v>0</v>
      </c>
      <c r="R73" s="102">
        <f>R76+R79</f>
        <v>0</v>
      </c>
      <c r="S73" s="102">
        <f>S76+S79</f>
        <v>0</v>
      </c>
      <c r="T73" s="102">
        <f>IF(Q73&gt;0,S73*100/Q73,0)</f>
        <v>0</v>
      </c>
      <c r="U73" s="102">
        <f>IF(R73&gt;0,S73*100/R73,0)</f>
        <v>0</v>
      </c>
    </row>
    <row r="74" spans="1:21" ht="18.75" hidden="1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256">
        <f ca="1">L77+L80</f>
        <v>90000</v>
      </c>
      <c r="M74" s="255">
        <f ca="1">M77+M80</f>
        <v>90000</v>
      </c>
      <c r="N74" s="255">
        <f ca="1">N77+N80</f>
        <v>13000</v>
      </c>
      <c r="O74" s="255">
        <f ca="1">IF(L74&gt;0,N74*100/L74,0)</f>
        <v>14.444444444444445</v>
      </c>
      <c r="P74" s="255">
        <f ca="1">IF(M74&gt;0,N74*100/M74,0)</f>
        <v>14.444444444444445</v>
      </c>
      <c r="Q74" s="255">
        <f ca="1">Q77+Q80</f>
        <v>403700</v>
      </c>
      <c r="R74" s="255">
        <f ca="1">R77+R80</f>
        <v>403700</v>
      </c>
      <c r="S74" s="255">
        <f ca="1">S77+S80</f>
        <v>1240</v>
      </c>
      <c r="T74" s="255">
        <f ca="1">IF(Q74&gt;0,S74*100/Q74,0)</f>
        <v>0.30715878127322271</v>
      </c>
      <c r="U74" s="255">
        <f ca="1">IF(R74&gt;0,S74*100/R74,0)</f>
        <v>0.30715878127322271</v>
      </c>
    </row>
    <row r="75" spans="1:21" ht="18.75">
      <c r="A75" s="155"/>
      <c r="B75" s="50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256">
        <f ca="1">L76+L77</f>
        <v>90000</v>
      </c>
      <c r="M75" s="255">
        <f ca="1">M76+M77</f>
        <v>90000</v>
      </c>
      <c r="N75" s="255">
        <f ca="1">N76+N77</f>
        <v>13000</v>
      </c>
      <c r="O75" s="255">
        <f ca="1">IF(L75&gt;0,N75*100/L75,0)</f>
        <v>14.444444444444445</v>
      </c>
      <c r="P75" s="255">
        <f ca="1">IF(M75&gt;0,N75*100/M75,0)</f>
        <v>14.444444444444445</v>
      </c>
      <c r="Q75" s="255">
        <f ca="1">Q76+Q77</f>
        <v>403700</v>
      </c>
      <c r="R75" s="255">
        <f ca="1">R76+R77</f>
        <v>403700</v>
      </c>
      <c r="S75" s="255">
        <f ca="1">S76+S77</f>
        <v>1240</v>
      </c>
      <c r="T75" s="255">
        <f ca="1">IF(Q75&gt;0,S75*100/Q75,0)</f>
        <v>0.30715878127322271</v>
      </c>
      <c r="U75" s="255">
        <f ca="1">IF(R75&gt;0,S75*100/R75,0)</f>
        <v>0.30715878127322271</v>
      </c>
    </row>
    <row r="76" spans="1:21" ht="18.75" hidden="1">
      <c r="A76" s="155"/>
      <c r="B76" s="50"/>
      <c r="C76" s="50"/>
      <c r="D76" s="50"/>
      <c r="E76" s="186" t="s">
        <v>36</v>
      </c>
      <c r="F76" s="50"/>
      <c r="G76" s="52"/>
      <c r="H76" s="189" t="s">
        <v>14</v>
      </c>
      <c r="I76" s="163"/>
      <c r="J76" s="163"/>
      <c r="K76" s="164"/>
      <c r="L76" s="103">
        <v>0</v>
      </c>
      <c r="M76" s="102">
        <v>0</v>
      </c>
      <c r="N76" s="102">
        <v>0</v>
      </c>
      <c r="O76" s="102">
        <f>IF(L76&gt;0,N76*100/L76,0)</f>
        <v>0</v>
      </c>
      <c r="P76" s="102">
        <f>IF(M76&gt;0,N76*100/M76,0)</f>
        <v>0</v>
      </c>
      <c r="Q76" s="102">
        <v>0</v>
      </c>
      <c r="R76" s="102">
        <v>0</v>
      </c>
      <c r="S76" s="102">
        <v>0</v>
      </c>
      <c r="T76" s="102">
        <f>IF(Q76&gt;0,S76*100/Q76,0)</f>
        <v>0</v>
      </c>
      <c r="U76" s="102">
        <f>IF(R76&gt;0,S76*100/R76,0)</f>
        <v>0</v>
      </c>
    </row>
    <row r="77" spans="1:21" ht="18.75" hidden="1">
      <c r="A77" s="155"/>
      <c r="B77" s="50"/>
      <c r="C77" s="50"/>
      <c r="D77" s="50"/>
      <c r="E77" s="58" t="s">
        <v>37</v>
      </c>
      <c r="F77" s="50"/>
      <c r="G77" s="52"/>
      <c r="H77" s="162" t="s">
        <v>14</v>
      </c>
      <c r="I77" s="163"/>
      <c r="J77" s="163"/>
      <c r="K77" s="164"/>
      <c r="L77" s="256">
        <f ca="1">IFERROR(__xludf.DUMMYFUNCTION("IMPORTRANGE(""https://docs.google.com/spreadsheets/d/1-uDff_7J0KD5mKrp0Vvzr7lt3OU09vwQwhkpOPPYv2Y/edit?usp=sharing"",""งบพรบ!AM49"")"),90000)</f>
        <v>90000</v>
      </c>
      <c r="M77" s="255">
        <f ca="1">IFERROR(__xludf.DUMMYFUNCTION("IMPORTRANGE(""https://docs.google.com/spreadsheets/d/1-uDff_7J0KD5mKrp0Vvzr7lt3OU09vwQwhkpOPPYv2Y/edit?usp=sharing"",""งบพรบ!AR49"")"),90000)</f>
        <v>90000</v>
      </c>
      <c r="N77" s="255">
        <f ca="1">IFERROR(__xludf.DUMMYFUNCTION("IMPORTRANGE(""https://docs.google.com/spreadsheets/d/1-uDff_7J0KD5mKrp0Vvzr7lt3OU09vwQwhkpOPPYv2Y/edit?usp=sharing"",""งบพรบ!AT49"")"),13000)</f>
        <v>13000</v>
      </c>
      <c r="O77" s="255">
        <f ca="1">IF(L77&gt;0,N77*100/L77,0)</f>
        <v>14.444444444444445</v>
      </c>
      <c r="P77" s="255">
        <f ca="1">IF(M77&gt;0,N77*100/M77,0)</f>
        <v>14.444444444444445</v>
      </c>
      <c r="Q77" s="255">
        <f ca="1">IFERROR(__xludf.DUMMYFUNCTION("IMPORTRANGE(""https://docs.google.com/spreadsheets/d/1ItG2mGa2ceCfYo0BwxsXqNm01IGEUdYcSSLTEv9YCik/edit?usp=sharing"",""เบิกจ่ายกองทุน!AS49"")"),403700)</f>
        <v>403700</v>
      </c>
      <c r="R77" s="255">
        <f ca="1">IFERROR(__xludf.DUMMYFUNCTION("IMPORTRANGE(""https://docs.google.com/spreadsheets/d/1ItG2mGa2ceCfYo0BwxsXqNm01IGEUdYcSSLTEv9YCik/edit?usp=sharing"",""เบิกจ่ายกองทุน!AT49"")"),403700)</f>
        <v>403700</v>
      </c>
      <c r="S77" s="255">
        <f ca="1">IFERROR(__xludf.DUMMYFUNCTION("IMPORTRANGE(""https://docs.google.com/spreadsheets/d/1ItG2mGa2ceCfYo0BwxsXqNm01IGEUdYcSSLTEv9YCik/edit?usp=sharing"",""เบิกจ่ายกองทุน!AU49"")"),1240)</f>
        <v>1240</v>
      </c>
      <c r="T77" s="255">
        <f ca="1">IF(Q77&gt;0,S77*100/Q77,0)</f>
        <v>0.30715878127322271</v>
      </c>
      <c r="U77" s="255">
        <f ca="1">IF(R77&gt;0,S77*100/R77,0)</f>
        <v>0.30715878127322271</v>
      </c>
    </row>
    <row r="78" spans="1:21" ht="18.75">
      <c r="A78" s="155"/>
      <c r="B78" s="50"/>
      <c r="C78" s="50"/>
      <c r="D78" s="51" t="s">
        <v>23</v>
      </c>
      <c r="E78" s="50"/>
      <c r="F78" s="50"/>
      <c r="G78" s="52"/>
      <c r="H78" s="165" t="s">
        <v>14</v>
      </c>
      <c r="I78" s="163"/>
      <c r="J78" s="163"/>
      <c r="K78" s="164"/>
      <c r="L78" s="256">
        <f ca="1">L79+L80</f>
        <v>0</v>
      </c>
      <c r="M78" s="255">
        <f ca="1">M79+M80</f>
        <v>0</v>
      </c>
      <c r="N78" s="255">
        <f ca="1">N79+N80</f>
        <v>0</v>
      </c>
      <c r="O78" s="255">
        <f ca="1">IF(L78&gt;0,N78*100/L78,0)</f>
        <v>0</v>
      </c>
      <c r="P78" s="255">
        <f ca="1">IF(M78&gt;0,N78*100/M78,0)</f>
        <v>0</v>
      </c>
      <c r="Q78" s="255">
        <f>Q79+Q80</f>
        <v>0</v>
      </c>
      <c r="R78" s="255">
        <f>R79+R80</f>
        <v>0</v>
      </c>
      <c r="S78" s="255">
        <f>S79+S80</f>
        <v>0</v>
      </c>
      <c r="T78" s="255">
        <f>IF(Q78&gt;0,S78*100/Q78,0)</f>
        <v>0</v>
      </c>
      <c r="U78" s="255">
        <f>IF(R78&gt;0,S78*100/R78,0)</f>
        <v>0</v>
      </c>
    </row>
    <row r="79" spans="1:21" ht="18.75" hidden="1">
      <c r="A79" s="155"/>
      <c r="B79" s="50"/>
      <c r="C79" s="50"/>
      <c r="D79" s="50"/>
      <c r="E79" s="186" t="s">
        <v>20</v>
      </c>
      <c r="F79" s="50"/>
      <c r="G79" s="52"/>
      <c r="H79" s="189" t="s">
        <v>14</v>
      </c>
      <c r="I79" s="163"/>
      <c r="J79" s="163"/>
      <c r="K79" s="164"/>
      <c r="L79" s="103">
        <v>0</v>
      </c>
      <c r="M79" s="255">
        <v>0</v>
      </c>
      <c r="N79" s="255">
        <v>0</v>
      </c>
      <c r="O79" s="102">
        <f>IF(L79&gt;0,N79*100/L79,0)</f>
        <v>0</v>
      </c>
      <c r="P79" s="102">
        <f>IF(M79&gt;0,N79*100/M79,0)</f>
        <v>0</v>
      </c>
      <c r="Q79" s="102">
        <v>0</v>
      </c>
      <c r="R79" s="255">
        <v>0</v>
      </c>
      <c r="S79" s="255">
        <v>0</v>
      </c>
      <c r="T79" s="102">
        <f>IF(Q79&gt;0,S79*100/Q79,0)</f>
        <v>0</v>
      </c>
      <c r="U79" s="102">
        <f>IF(R79&gt;0,S79*100/R79,0)</f>
        <v>0</v>
      </c>
    </row>
    <row r="80" spans="1:21" ht="18.75" hidden="1">
      <c r="A80" s="155"/>
      <c r="B80" s="50"/>
      <c r="C80" s="50"/>
      <c r="D80" s="50"/>
      <c r="E80" s="58" t="s">
        <v>21</v>
      </c>
      <c r="F80" s="50"/>
      <c r="G80" s="52"/>
      <c r="H80" s="165" t="s">
        <v>14</v>
      </c>
      <c r="I80" s="163"/>
      <c r="J80" s="163"/>
      <c r="K80" s="164"/>
      <c r="L80" s="256">
        <f ca="1">IFERROR(__xludf.DUMMYFUNCTION("IMPORTRANGE(""https://docs.google.com/spreadsheets/d/1-uDff_7J0KD5mKrp0Vvzr7lt3OU09vwQwhkpOPPYv2Y/edit?usp=sharing"",""งบพรบ!AP49"")"),0)</f>
        <v>0</v>
      </c>
      <c r="M80" s="255">
        <f ca="1">IFERROR(__xludf.DUMMYFUNCTION("IMPORTRANGE(""https://docs.google.com/spreadsheets/d/1-uDff_7J0KD5mKrp0Vvzr7lt3OU09vwQwhkpOPPYv2Y/edit?usp=sharing"",""งบพรบ!AS49"")"),0)</f>
        <v>0</v>
      </c>
      <c r="N80" s="255">
        <f ca="1">IFERROR(__xludf.DUMMYFUNCTION("IMPORTRANGE(""https://docs.google.com/spreadsheets/d/1-uDff_7J0KD5mKrp0Vvzr7lt3OU09vwQwhkpOPPYv2Y/edit?usp=sharing"",""งบพรบ!AU49"")"),0)</f>
        <v>0</v>
      </c>
      <c r="O80" s="255">
        <f ca="1">IF(L80&gt;0,N80*100/L80,0)</f>
        <v>0</v>
      </c>
      <c r="P80" s="255">
        <f ca="1">IF(M80&gt;0,N80*100/M80,0)</f>
        <v>0</v>
      </c>
      <c r="Q80" s="255">
        <v>0</v>
      </c>
      <c r="R80" s="255">
        <v>0</v>
      </c>
      <c r="S80" s="255">
        <v>0</v>
      </c>
      <c r="T80" s="255">
        <f>IF(Q80&gt;0,S80*100/Q80,0)</f>
        <v>0</v>
      </c>
      <c r="U80" s="255">
        <f>IF(R80&gt;0,S80*100/R80,0)</f>
        <v>0</v>
      </c>
    </row>
    <row r="81" spans="1:21" ht="19.5">
      <c r="A81" s="166"/>
      <c r="B81" s="167"/>
      <c r="C81" s="156" t="s">
        <v>18</v>
      </c>
      <c r="D81" s="566" t="s">
        <v>38</v>
      </c>
      <c r="E81" s="169"/>
      <c r="F81" s="169"/>
      <c r="G81" s="170"/>
      <c r="H81" s="171"/>
      <c r="I81" s="163"/>
      <c r="J81" s="163"/>
      <c r="K81" s="164"/>
      <c r="L81" s="172"/>
      <c r="M81" s="164"/>
      <c r="N81" s="164"/>
      <c r="O81" s="164"/>
      <c r="P81" s="164"/>
      <c r="Q81" s="164"/>
      <c r="R81" s="164"/>
      <c r="S81" s="164"/>
      <c r="T81" s="164"/>
      <c r="U81" s="164"/>
    </row>
    <row r="82" spans="1:21" ht="19.5">
      <c r="A82" s="166"/>
      <c r="B82" s="167"/>
      <c r="C82" s="167"/>
      <c r="D82" s="173" t="s">
        <v>39</v>
      </c>
      <c r="E82" s="174"/>
      <c r="F82" s="174"/>
      <c r="G82" s="171"/>
      <c r="H82" s="175" t="s">
        <v>34</v>
      </c>
      <c r="I82" s="373">
        <f ca="1">I84+I86+I88</f>
        <v>1</v>
      </c>
      <c r="J82" s="373">
        <f>J84+J86+J88</f>
        <v>0</v>
      </c>
      <c r="K82" s="642">
        <f ca="1">IF(I82&gt;0,J82*100/I82,0)</f>
        <v>0</v>
      </c>
      <c r="L82" s="172"/>
      <c r="M82" s="164"/>
      <c r="N82" s="164"/>
      <c r="O82" s="164"/>
      <c r="P82" s="164"/>
      <c r="Q82" s="164"/>
      <c r="R82" s="164"/>
      <c r="S82" s="164"/>
      <c r="T82" s="164"/>
      <c r="U82" s="164"/>
    </row>
    <row r="83" spans="1:21" ht="19.5">
      <c r="A83" s="166"/>
      <c r="B83" s="167"/>
      <c r="C83" s="167"/>
      <c r="D83" s="167"/>
      <c r="E83" s="174"/>
      <c r="F83" s="174"/>
      <c r="G83" s="171"/>
      <c r="H83" s="175" t="s">
        <v>35</v>
      </c>
      <c r="I83" s="373">
        <f ca="1">I85+I87+I89</f>
        <v>30</v>
      </c>
      <c r="J83" s="373">
        <f>J85+J87+J89</f>
        <v>0</v>
      </c>
      <c r="K83" s="642">
        <f ca="1">IF(I83&gt;0,J83*100/I83,0)</f>
        <v>0</v>
      </c>
      <c r="L83" s="172"/>
      <c r="M83" s="164"/>
      <c r="N83" s="164"/>
      <c r="O83" s="164"/>
      <c r="P83" s="164"/>
      <c r="Q83" s="164"/>
      <c r="R83" s="164"/>
      <c r="S83" s="164"/>
      <c r="T83" s="164"/>
      <c r="U83" s="164"/>
    </row>
    <row r="84" spans="1:21" ht="18.75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641">
        <f ca="1">IFERROR(__xludf.DUMMYFUNCTION("IMPORTRANGE(""https://docs.google.com/spreadsheets/d/1eHaY18a8A9IcSdp1K8H6x8fbOy06t2VsZHhMHf-1x7Y/edit?usp=sharing"",""แผน!H49"")"),1)</f>
        <v>1</v>
      </c>
      <c r="J84" s="467">
        <v>0</v>
      </c>
      <c r="K84" s="565">
        <f ca="1">IF(I84&gt;0,J84*100/I84,0)</f>
        <v>0</v>
      </c>
      <c r="L84" s="172"/>
      <c r="M84" s="164"/>
      <c r="N84" s="164"/>
      <c r="O84" s="164"/>
      <c r="P84" s="164"/>
      <c r="Q84" s="164"/>
      <c r="R84" s="164"/>
      <c r="S84" s="164"/>
      <c r="T84" s="164"/>
      <c r="U84" s="164"/>
    </row>
    <row r="85" spans="1:21" ht="18.75">
      <c r="A85" s="166"/>
      <c r="B85" s="167"/>
      <c r="C85" s="167"/>
      <c r="D85" s="167"/>
      <c r="E85" s="174"/>
      <c r="F85" s="174"/>
      <c r="G85" s="171"/>
      <c r="H85" s="179" t="s">
        <v>35</v>
      </c>
      <c r="I85" s="641">
        <f ca="1">IFERROR(__xludf.DUMMYFUNCTION("IMPORTRANGE(""https://docs.google.com/spreadsheets/d/1eHaY18a8A9IcSdp1K8H6x8fbOy06t2VsZHhMHf-1x7Y/edit?usp=sharing"",""แผน!I49"")"),30)</f>
        <v>30</v>
      </c>
      <c r="J85" s="467">
        <v>0</v>
      </c>
      <c r="K85" s="565">
        <f ca="1">IF(I85&gt;0,J85*100/I85,0)</f>
        <v>0</v>
      </c>
      <c r="L85" s="172"/>
      <c r="M85" s="164"/>
      <c r="N85" s="164"/>
      <c r="O85" s="164"/>
      <c r="P85" s="164"/>
      <c r="Q85" s="164"/>
      <c r="R85" s="164"/>
      <c r="S85" s="164"/>
      <c r="T85" s="164"/>
      <c r="U85" s="164"/>
    </row>
    <row r="86" spans="1:21" ht="18.75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641">
        <f ca="1">IFERROR(__xludf.DUMMYFUNCTION("IMPORTRANGE(""https://docs.google.com/spreadsheets/d/1eHaY18a8A9IcSdp1K8H6x8fbOy06t2VsZHhMHf-1x7Y/edit?usp=sharing"",""แผน!F49"")"),0)</f>
        <v>0</v>
      </c>
      <c r="J86" s="467">
        <v>0</v>
      </c>
      <c r="K86" s="565">
        <f ca="1">IF(I86&gt;0,J86*100/I86,0)</f>
        <v>0</v>
      </c>
      <c r="L86" s="172"/>
      <c r="M86" s="164"/>
      <c r="N86" s="164"/>
      <c r="O86" s="164"/>
      <c r="P86" s="164"/>
      <c r="Q86" s="164"/>
      <c r="R86" s="164"/>
      <c r="S86" s="164"/>
      <c r="T86" s="164"/>
      <c r="U86" s="164"/>
    </row>
    <row r="87" spans="1:21" ht="18.75">
      <c r="A87" s="166"/>
      <c r="B87" s="167"/>
      <c r="C87" s="167"/>
      <c r="D87" s="167"/>
      <c r="E87" s="174"/>
      <c r="F87" s="174"/>
      <c r="G87" s="171"/>
      <c r="H87" s="179" t="s">
        <v>35</v>
      </c>
      <c r="I87" s="641">
        <f ca="1">IFERROR(__xludf.DUMMYFUNCTION("IMPORTRANGE(""https://docs.google.com/spreadsheets/d/1eHaY18a8A9IcSdp1K8H6x8fbOy06t2VsZHhMHf-1x7Y/edit?usp=sharing"",""แผน!G49"")"),0)</f>
        <v>0</v>
      </c>
      <c r="J87" s="467">
        <v>0</v>
      </c>
      <c r="K87" s="565">
        <f ca="1">IF(I87&gt;0,J87*100/I87,0)</f>
        <v>0</v>
      </c>
      <c r="L87" s="172"/>
      <c r="M87" s="164"/>
      <c r="N87" s="164"/>
      <c r="O87" s="164"/>
      <c r="P87" s="164"/>
      <c r="Q87" s="164"/>
      <c r="R87" s="164"/>
      <c r="S87" s="164"/>
      <c r="T87" s="164"/>
      <c r="U87" s="164"/>
    </row>
    <row r="88" spans="1:21" ht="18.75">
      <c r="A88" s="166"/>
      <c r="B88" s="167"/>
      <c r="C88" s="167"/>
      <c r="D88" s="167"/>
      <c r="E88" s="178" t="s">
        <v>42</v>
      </c>
      <c r="F88" s="174"/>
      <c r="G88" s="171"/>
      <c r="H88" s="179" t="s">
        <v>34</v>
      </c>
      <c r="I88" s="641">
        <f ca="1">IFERROR(__xludf.DUMMYFUNCTION("IMPORTRANGE(""https://docs.google.com/spreadsheets/d/1eHaY18a8A9IcSdp1K8H6x8fbOy06t2VsZHhMHf-1x7Y/edit?usp=sharing"",""แผน!D49"")"),0)</f>
        <v>0</v>
      </c>
      <c r="J88" s="467">
        <v>0</v>
      </c>
      <c r="K88" s="565">
        <f ca="1">IF(I88&gt;0,J88*100/I88,0)</f>
        <v>0</v>
      </c>
      <c r="L88" s="172"/>
      <c r="M88" s="164"/>
      <c r="N88" s="164"/>
      <c r="O88" s="164"/>
      <c r="P88" s="164"/>
      <c r="Q88" s="164"/>
      <c r="R88" s="164"/>
      <c r="S88" s="164"/>
      <c r="T88" s="164"/>
      <c r="U88" s="164"/>
    </row>
    <row r="89" spans="1:21" ht="18.75">
      <c r="A89" s="166"/>
      <c r="B89" s="167"/>
      <c r="C89" s="167"/>
      <c r="D89" s="167"/>
      <c r="E89" s="174"/>
      <c r="F89" s="174"/>
      <c r="G89" s="171"/>
      <c r="H89" s="179" t="s">
        <v>35</v>
      </c>
      <c r="I89" s="641">
        <f ca="1">IFERROR(__xludf.DUMMYFUNCTION("IMPORTRANGE(""https://docs.google.com/spreadsheets/d/1eHaY18a8A9IcSdp1K8H6x8fbOy06t2VsZHhMHf-1x7Y/edit?usp=sharing"",""แผน!E49"")"),0)</f>
        <v>0</v>
      </c>
      <c r="J89" s="467">
        <v>0</v>
      </c>
      <c r="K89" s="565">
        <f ca="1">IF(I89&gt;0,J89*100/I89,0)</f>
        <v>0</v>
      </c>
      <c r="L89" s="172"/>
      <c r="M89" s="164"/>
      <c r="N89" s="164"/>
      <c r="O89" s="164"/>
      <c r="P89" s="164"/>
      <c r="Q89" s="164"/>
      <c r="R89" s="164"/>
      <c r="S89" s="164"/>
      <c r="T89" s="164"/>
      <c r="U89" s="164"/>
    </row>
    <row r="90" spans="1:21" ht="18.75">
      <c r="A90" s="166"/>
      <c r="B90" s="167"/>
      <c r="C90" s="167"/>
      <c r="D90" s="173" t="s">
        <v>43</v>
      </c>
      <c r="E90" s="174"/>
      <c r="F90" s="174"/>
      <c r="G90" s="171"/>
      <c r="H90" s="183" t="s">
        <v>34</v>
      </c>
      <c r="I90" s="641">
        <f ca="1">IFERROR(__xludf.DUMMYFUNCTION("IMPORTRANGE(""https://docs.google.com/spreadsheets/d/1eHaY18a8A9IcSdp1K8H6x8fbOy06t2VsZHhMHf-1x7Y/edit?usp=sharing"",""แผน!J49"")"),1)</f>
        <v>1</v>
      </c>
      <c r="J90" s="467">
        <v>0</v>
      </c>
      <c r="K90" s="565">
        <f ca="1">IF(I90&gt;0,J90*100/I90,0)</f>
        <v>0</v>
      </c>
      <c r="L90" s="172"/>
      <c r="M90" s="164"/>
      <c r="N90" s="164"/>
      <c r="O90" s="164"/>
      <c r="P90" s="164"/>
      <c r="Q90" s="164"/>
      <c r="R90" s="164"/>
      <c r="S90" s="164"/>
      <c r="T90" s="164"/>
      <c r="U90" s="164"/>
    </row>
    <row r="91" spans="1:21" ht="19.5">
      <c r="A91" s="143" t="s">
        <v>44</v>
      </c>
      <c r="B91" s="144"/>
      <c r="C91" s="145"/>
      <c r="D91" s="144"/>
      <c r="E91" s="144"/>
      <c r="F91" s="144"/>
      <c r="G91" s="146"/>
      <c r="H91" s="146"/>
      <c r="I91" s="147"/>
      <c r="J91" s="147"/>
      <c r="K91" s="148"/>
      <c r="L91" s="149"/>
      <c r="M91" s="148"/>
      <c r="N91" s="148"/>
      <c r="O91" s="148"/>
      <c r="P91" s="148"/>
      <c r="Q91" s="148"/>
      <c r="R91" s="148"/>
      <c r="S91" s="148"/>
      <c r="T91" s="148"/>
      <c r="U91" s="148"/>
    </row>
    <row r="92" spans="1:21" ht="19.5">
      <c r="A92" s="150"/>
      <c r="B92" s="35" t="s">
        <v>45</v>
      </c>
      <c r="C92" s="34"/>
      <c r="D92" s="151"/>
      <c r="E92" s="34"/>
      <c r="F92" s="34"/>
      <c r="G92" s="37"/>
      <c r="H92" s="152" t="s">
        <v>46</v>
      </c>
      <c r="I92" s="721">
        <f ca="1">I108</f>
        <v>30</v>
      </c>
      <c r="J92" s="721">
        <f>J108</f>
        <v>0</v>
      </c>
      <c r="K92" s="720">
        <f ca="1">IF(I92&gt;0,J92*100/I92,0)</f>
        <v>0</v>
      </c>
      <c r="L92" s="154"/>
      <c r="M92" s="40"/>
      <c r="N92" s="40"/>
      <c r="O92" s="40"/>
      <c r="P92" s="40"/>
      <c r="Q92" s="40"/>
      <c r="R92" s="40"/>
      <c r="S92" s="40"/>
      <c r="T92" s="40"/>
      <c r="U92" s="40"/>
    </row>
    <row r="93" spans="1:21" ht="19.5">
      <c r="A93" s="150"/>
      <c r="B93" s="34"/>
      <c r="C93" s="34"/>
      <c r="D93" s="151"/>
      <c r="E93" s="34"/>
      <c r="F93" s="34"/>
      <c r="G93" s="37"/>
      <c r="H93" s="152" t="s">
        <v>35</v>
      </c>
      <c r="I93" s="721">
        <f ca="1">I109</f>
        <v>10</v>
      </c>
      <c r="J93" s="721">
        <f>J109</f>
        <v>0</v>
      </c>
      <c r="K93" s="720">
        <f ca="1">IF(I93&gt;0,J93*100/I93,0)</f>
        <v>0</v>
      </c>
      <c r="L93" s="154"/>
      <c r="M93" s="40"/>
      <c r="N93" s="40"/>
      <c r="O93" s="40"/>
      <c r="P93" s="40"/>
      <c r="Q93" s="40"/>
      <c r="R93" s="40"/>
      <c r="S93" s="40"/>
      <c r="T93" s="40"/>
      <c r="U93" s="40"/>
    </row>
    <row r="94" spans="1:21" ht="19.5">
      <c r="A94" s="155"/>
      <c r="B94" s="50"/>
      <c r="C94" s="156" t="s">
        <v>18</v>
      </c>
      <c r="D94" s="575" t="s">
        <v>19</v>
      </c>
      <c r="E94" s="50"/>
      <c r="F94" s="50"/>
      <c r="G94" s="52"/>
      <c r="H94" s="158" t="s">
        <v>14</v>
      </c>
      <c r="I94" s="54"/>
      <c r="J94" s="54"/>
      <c r="K94" s="55"/>
      <c r="L94" s="541">
        <f ca="1">L95+L96</f>
        <v>130100</v>
      </c>
      <c r="M94" s="540">
        <f ca="1">M95+M96</f>
        <v>76000</v>
      </c>
      <c r="N94" s="540">
        <f ca="1">N95+N96</f>
        <v>73380</v>
      </c>
      <c r="O94" s="540">
        <f ca="1">IF(L94&gt;0,N94*100/L94,0)</f>
        <v>56.402767102229056</v>
      </c>
      <c r="P94" s="540">
        <f ca="1">IF(M94&gt;0,N94*100/M94,0)</f>
        <v>96.55263157894737</v>
      </c>
      <c r="Q94" s="540">
        <f ca="1">Q95+Q96</f>
        <v>64920</v>
      </c>
      <c r="R94" s="540">
        <f ca="1">R95+R96</f>
        <v>64920</v>
      </c>
      <c r="S94" s="540">
        <f ca="1">S95+S96</f>
        <v>31240</v>
      </c>
      <c r="T94" s="540">
        <f ca="1">IF(Q94&gt;0,S94*100/Q94,0)</f>
        <v>48.120764017252</v>
      </c>
      <c r="U94" s="540">
        <f ca="1">IF(R94&gt;0,S94*100/R94,0)</f>
        <v>48.120764017252</v>
      </c>
    </row>
    <row r="95" spans="1:21" ht="18.75" hidden="1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103">
        <f>L98+L101</f>
        <v>0</v>
      </c>
      <c r="M95" s="102">
        <f>M98+M101</f>
        <v>0</v>
      </c>
      <c r="N95" s="102">
        <f>N98+N101</f>
        <v>0</v>
      </c>
      <c r="O95" s="102">
        <f>IF(L95&gt;0,N95*100/L95,0)</f>
        <v>0</v>
      </c>
      <c r="P95" s="102">
        <f>IF(M95&gt;0,N95*100/M95,0)</f>
        <v>0</v>
      </c>
      <c r="Q95" s="102">
        <f>Q98+Q101</f>
        <v>0</v>
      </c>
      <c r="R95" s="102">
        <f>R98+R101</f>
        <v>0</v>
      </c>
      <c r="S95" s="102">
        <f>S98+S101</f>
        <v>0</v>
      </c>
      <c r="T95" s="102">
        <f>IF(Q95&gt;0,S95*100/Q95,0)</f>
        <v>0</v>
      </c>
      <c r="U95" s="102">
        <f>IF(R95&gt;0,S95*100/R95,0)</f>
        <v>0</v>
      </c>
    </row>
    <row r="96" spans="1:21" ht="18.75" hidden="1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256">
        <f ca="1">L99+L102</f>
        <v>130100</v>
      </c>
      <c r="M96" s="255">
        <f ca="1">M99+M102</f>
        <v>76000</v>
      </c>
      <c r="N96" s="255">
        <f ca="1">N99+N102</f>
        <v>73380</v>
      </c>
      <c r="O96" s="255">
        <f ca="1">IF(L96&gt;0,N96*100/L96,0)</f>
        <v>56.402767102229056</v>
      </c>
      <c r="P96" s="255">
        <f ca="1">IF(M96&gt;0,N96*100/M96,0)</f>
        <v>96.55263157894737</v>
      </c>
      <c r="Q96" s="255">
        <f ca="1">Q99+Q102</f>
        <v>64920</v>
      </c>
      <c r="R96" s="255">
        <f ca="1">R99+R102</f>
        <v>64920</v>
      </c>
      <c r="S96" s="255">
        <f ca="1">S99+S102</f>
        <v>31240</v>
      </c>
      <c r="T96" s="255">
        <f ca="1">IF(Q96&gt;0,S96*100/Q96,0)</f>
        <v>48.120764017252</v>
      </c>
      <c r="U96" s="255">
        <f ca="1">IF(R96&gt;0,S96*100/R96,0)</f>
        <v>48.120764017252</v>
      </c>
    </row>
    <row r="97" spans="1:21" ht="18.75">
      <c r="A97" s="155"/>
      <c r="B97" s="50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256">
        <f ca="1">L98+L99</f>
        <v>130100</v>
      </c>
      <c r="M97" s="255">
        <f ca="1">M98+M99</f>
        <v>76000</v>
      </c>
      <c r="N97" s="255">
        <f ca="1">N98+N99</f>
        <v>73380</v>
      </c>
      <c r="O97" s="255">
        <f ca="1">IF(L97&gt;0,N97*100/L97,0)</f>
        <v>56.402767102229056</v>
      </c>
      <c r="P97" s="255">
        <f ca="1">IF(M97&gt;0,N97*100/M97,0)</f>
        <v>96.55263157894737</v>
      </c>
      <c r="Q97" s="255">
        <f ca="1">Q98+Q99</f>
        <v>64920</v>
      </c>
      <c r="R97" s="255">
        <f ca="1">R98+R99</f>
        <v>64920</v>
      </c>
      <c r="S97" s="255">
        <f ca="1">S98+S99</f>
        <v>31240</v>
      </c>
      <c r="T97" s="255">
        <f ca="1">IF(Q97&gt;0,S97*100/Q97,0)</f>
        <v>48.120764017252</v>
      </c>
      <c r="U97" s="255">
        <f ca="1">IF(R97&gt;0,S97*100/R97,0)</f>
        <v>48.120764017252</v>
      </c>
    </row>
    <row r="98" spans="1:21" ht="18.75" hidden="1">
      <c r="A98" s="155"/>
      <c r="B98" s="50"/>
      <c r="C98" s="50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103">
        <v>0</v>
      </c>
      <c r="M98" s="102">
        <v>0</v>
      </c>
      <c r="N98" s="102">
        <v>0</v>
      </c>
      <c r="O98" s="102">
        <f>IF(L98&gt;0,N98*100/L98,0)</f>
        <v>0</v>
      </c>
      <c r="P98" s="102">
        <f>IF(M98&gt;0,N98*100/M98,0)</f>
        <v>0</v>
      </c>
      <c r="Q98" s="102">
        <v>0</v>
      </c>
      <c r="R98" s="102">
        <v>0</v>
      </c>
      <c r="S98" s="102">
        <v>0</v>
      </c>
      <c r="T98" s="102">
        <f>IF(Q98&gt;0,S98*100/Q98,0)</f>
        <v>0</v>
      </c>
      <c r="U98" s="102">
        <f>IF(R98&gt;0,S98*100/R98,0)</f>
        <v>0</v>
      </c>
    </row>
    <row r="99" spans="1:21" ht="18.75" hidden="1">
      <c r="A99" s="155"/>
      <c r="B99" s="50"/>
      <c r="C99" s="50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256">
        <f ca="1">IFERROR(__xludf.DUMMYFUNCTION("IMPORTRANGE(""https://docs.google.com/spreadsheets/d/1-uDff_7J0KD5mKrp0Vvzr7lt3OU09vwQwhkpOPPYv2Y/edit?usp=sharing"",""งบพรบ!AW49"")"),130100)</f>
        <v>130100</v>
      </c>
      <c r="M99" s="255">
        <f ca="1">IFERROR(__xludf.DUMMYFUNCTION("IMPORTRANGE(""https://docs.google.com/spreadsheets/d/1-uDff_7J0KD5mKrp0Vvzr7lt3OU09vwQwhkpOPPYv2Y/edit?usp=sharing"",""งบพรบ!BB49"")"),76000)</f>
        <v>76000</v>
      </c>
      <c r="N99" s="255">
        <f ca="1">IFERROR(__xludf.DUMMYFUNCTION("IMPORTRANGE(""https://docs.google.com/spreadsheets/d/1-uDff_7J0KD5mKrp0Vvzr7lt3OU09vwQwhkpOPPYv2Y/edit?usp=sharing"",""งบพรบ!BD49"")"),73380)</f>
        <v>73380</v>
      </c>
      <c r="O99" s="255">
        <f ca="1">IF(L99&gt;0,N99*100/L99,0)</f>
        <v>56.402767102229056</v>
      </c>
      <c r="P99" s="255">
        <f ca="1">IF(M99&gt;0,N99*100/M99,0)</f>
        <v>96.55263157894737</v>
      </c>
      <c r="Q99" s="255">
        <f ca="1">IFERROR(__xludf.DUMMYFUNCTION("IMPORTRANGE(""https://docs.google.com/spreadsheets/d/1ItG2mGa2ceCfYo0BwxsXqNm01IGEUdYcSSLTEv9YCik/edit?usp=sharing"",""เบิกจ่ายกองทุน!AD49"")"),64920)</f>
        <v>64920</v>
      </c>
      <c r="R99" s="255">
        <f ca="1">IFERROR(__xludf.DUMMYFUNCTION("IMPORTRANGE(""https://docs.google.com/spreadsheets/d/1ItG2mGa2ceCfYo0BwxsXqNm01IGEUdYcSSLTEv9YCik/edit?usp=sharing"",""เบิกจ่ายกองทุน!AE49"")"),64920)</f>
        <v>64920</v>
      </c>
      <c r="S99" s="255">
        <f ca="1">IFERROR(__xludf.DUMMYFUNCTION("IMPORTRANGE(""https://docs.google.com/spreadsheets/d/1ItG2mGa2ceCfYo0BwxsXqNm01IGEUdYcSSLTEv9YCik/edit?usp=sharing"",""เบิกจ่ายกองทุน!AF49"")"),31240)</f>
        <v>31240</v>
      </c>
      <c r="T99" s="255">
        <f ca="1">IF(Q99&gt;0,S99*100/Q99,0)</f>
        <v>48.120764017252</v>
      </c>
      <c r="U99" s="255">
        <f ca="1">IF(R99&gt;0,S99*100/R99,0)</f>
        <v>48.120764017252</v>
      </c>
    </row>
    <row r="100" spans="1:21" ht="18.75">
      <c r="A100" s="155"/>
      <c r="B100" s="50"/>
      <c r="C100" s="50"/>
      <c r="D100" s="51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256">
        <f ca="1">L101+L102</f>
        <v>0</v>
      </c>
      <c r="M100" s="255">
        <f ca="1">M101+M102</f>
        <v>0</v>
      </c>
      <c r="N100" s="255">
        <f ca="1">N101+N102</f>
        <v>0</v>
      </c>
      <c r="O100" s="255">
        <f ca="1">IF(L100&gt;0,N100*100/L100,0)</f>
        <v>0</v>
      </c>
      <c r="P100" s="255">
        <f ca="1">IF(M100&gt;0,N100*100/M100,0)</f>
        <v>0</v>
      </c>
      <c r="Q100" s="255">
        <f>Q101+Q102</f>
        <v>0</v>
      </c>
      <c r="R100" s="255">
        <f>R101+R102</f>
        <v>0</v>
      </c>
      <c r="S100" s="255">
        <f>S101+S102</f>
        <v>0</v>
      </c>
      <c r="T100" s="255">
        <f>IF(Q100&gt;0,S100*100/Q100,0)</f>
        <v>0</v>
      </c>
      <c r="U100" s="255">
        <f>IF(R100&gt;0,S100*100/R100,0)</f>
        <v>0</v>
      </c>
    </row>
    <row r="101" spans="1:21" ht="18.75" hidden="1">
      <c r="A101" s="155"/>
      <c r="B101" s="50"/>
      <c r="C101" s="50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103">
        <v>0</v>
      </c>
      <c r="M101" s="102">
        <v>0</v>
      </c>
      <c r="N101" s="102">
        <v>0</v>
      </c>
      <c r="O101" s="102">
        <f>IF(L101&gt;0,N101*100/L101,0)</f>
        <v>0</v>
      </c>
      <c r="P101" s="102">
        <f>IF(M101&gt;0,N101*100/M101,0)</f>
        <v>0</v>
      </c>
      <c r="Q101" s="102">
        <v>0</v>
      </c>
      <c r="R101" s="102">
        <v>0</v>
      </c>
      <c r="S101" s="102">
        <v>0</v>
      </c>
      <c r="T101" s="102">
        <f>IF(Q101&gt;0,S101*100/Q101,0)</f>
        <v>0</v>
      </c>
      <c r="U101" s="102">
        <f>IF(R101&gt;0,S101*100/R101,0)</f>
        <v>0</v>
      </c>
    </row>
    <row r="102" spans="1:21" ht="18.75" hidden="1">
      <c r="A102" s="155"/>
      <c r="B102" s="50"/>
      <c r="C102" s="50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256">
        <f ca="1">IFERROR(__xludf.DUMMYFUNCTION("IMPORTRANGE(""https://docs.google.com/spreadsheets/d/1-uDff_7J0KD5mKrp0Vvzr7lt3OU09vwQwhkpOPPYv2Y/edit?usp=sharing"",""งบพรบ!AZ49"")"),0)</f>
        <v>0</v>
      </c>
      <c r="M102" s="255">
        <f ca="1">IFERROR(__xludf.DUMMYFUNCTION("IMPORTRANGE(""https://docs.google.com/spreadsheets/d/1-uDff_7J0KD5mKrp0Vvzr7lt3OU09vwQwhkpOPPYv2Y/edit?usp=sharing"",""งบพรบ!BC49"")"),0)</f>
        <v>0</v>
      </c>
      <c r="N102" s="255">
        <f ca="1">IFERROR(__xludf.DUMMYFUNCTION("IMPORTRANGE(""https://docs.google.com/spreadsheets/d/1-uDff_7J0KD5mKrp0Vvzr7lt3OU09vwQwhkpOPPYv2Y/edit?usp=sharing"",""งบพรบ!BE49"")"),0)</f>
        <v>0</v>
      </c>
      <c r="O102" s="255">
        <f ca="1">IF(L102&gt;0,N102*100/L102,0)</f>
        <v>0</v>
      </c>
      <c r="P102" s="255">
        <f ca="1">IF(M102&gt;0,N102*100/M102,0)</f>
        <v>0</v>
      </c>
      <c r="Q102" s="255">
        <v>0</v>
      </c>
      <c r="R102" s="255">
        <v>0</v>
      </c>
      <c r="S102" s="255">
        <v>0</v>
      </c>
      <c r="T102" s="255">
        <f>IF(Q102&gt;0,S102*100/Q102,0)</f>
        <v>0</v>
      </c>
      <c r="U102" s="255">
        <f>IF(R102&gt;0,S102*100/R102,0)</f>
        <v>0</v>
      </c>
    </row>
    <row r="103" spans="1:21" ht="19.5">
      <c r="A103" s="166"/>
      <c r="B103" s="167"/>
      <c r="C103" s="156" t="s">
        <v>18</v>
      </c>
      <c r="D103" s="566" t="s">
        <v>38</v>
      </c>
      <c r="E103" s="169"/>
      <c r="F103" s="169"/>
      <c r="G103" s="170"/>
      <c r="H103" s="171"/>
      <c r="I103" s="163"/>
      <c r="J103" s="54"/>
      <c r="K103" s="55"/>
      <c r="L103" s="62"/>
      <c r="M103" s="55"/>
      <c r="N103" s="55"/>
      <c r="O103" s="164"/>
      <c r="P103" s="164"/>
      <c r="Q103" s="55"/>
      <c r="R103" s="55"/>
      <c r="S103" s="55"/>
      <c r="T103" s="164"/>
      <c r="U103" s="164"/>
    </row>
    <row r="104" spans="1:21" ht="12.75" hidden="1">
      <c r="A104" s="192"/>
      <c r="B104" s="193"/>
      <c r="C104" s="193"/>
      <c r="D104" s="22"/>
      <c r="E104" s="22"/>
      <c r="F104" s="22"/>
      <c r="G104" s="23"/>
      <c r="H104" s="23"/>
      <c r="I104" s="24"/>
      <c r="J104" s="24"/>
      <c r="K104" s="25"/>
      <c r="L104" s="26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2.75" hidden="1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6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2.75" hidden="1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9.5" hidden="1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62"/>
      <c r="M107" s="55"/>
      <c r="N107" s="55"/>
      <c r="O107" s="164"/>
      <c r="P107" s="164"/>
      <c r="Q107" s="55"/>
      <c r="R107" s="55"/>
      <c r="S107" s="55"/>
      <c r="T107" s="164"/>
      <c r="U107" s="164"/>
    </row>
    <row r="108" spans="1:21" ht="18.75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212">
        <f ca="1">IFERROR(__xludf.DUMMYFUNCTION("IMPORTRANGE(""https://docs.google.com/spreadsheets/d/1eHaY18a8A9IcSdp1K8H6x8fbOy06t2VsZHhMHf-1x7Y/edit?usp=sharing"",""แผน!N49"")"),30)</f>
        <v>30</v>
      </c>
      <c r="J108" s="467">
        <v>0</v>
      </c>
      <c r="K108" s="255">
        <f ca="1">IF(I108&gt;0,J108*100/I108,0)</f>
        <v>0</v>
      </c>
      <c r="L108" s="62"/>
      <c r="M108" s="55"/>
      <c r="N108" s="55"/>
      <c r="O108" s="164"/>
      <c r="P108" s="164"/>
      <c r="Q108" s="55"/>
      <c r="R108" s="55"/>
      <c r="S108" s="55"/>
      <c r="T108" s="164"/>
      <c r="U108" s="164"/>
    </row>
    <row r="109" spans="1:21" ht="18.75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212">
        <f ca="1">IFERROR(__xludf.DUMMYFUNCTION("IMPORTRANGE(""https://docs.google.com/spreadsheets/d/1eHaY18a8A9IcSdp1K8H6x8fbOy06t2VsZHhMHf-1x7Y/edit?usp=sharing"",""แผน!O49"")"),10)</f>
        <v>10</v>
      </c>
      <c r="J109" s="467">
        <v>0</v>
      </c>
      <c r="K109" s="255">
        <f ca="1">IF(I109&gt;0,J109*100/I109,0)</f>
        <v>0</v>
      </c>
      <c r="L109" s="62"/>
      <c r="M109" s="55"/>
      <c r="N109" s="55"/>
      <c r="O109" s="164"/>
      <c r="P109" s="164"/>
      <c r="Q109" s="55"/>
      <c r="R109" s="55"/>
      <c r="S109" s="55"/>
      <c r="T109" s="164"/>
      <c r="U109" s="164"/>
    </row>
    <row r="110" spans="1:21" ht="12.75" hidden="1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6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2.75" hidden="1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6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2.75" hidden="1">
      <c r="A112" s="192"/>
      <c r="B112" s="193"/>
      <c r="C112" s="193"/>
      <c r="D112" s="22"/>
      <c r="E112" s="22"/>
      <c r="F112" s="22"/>
      <c r="G112" s="23"/>
      <c r="H112" s="23"/>
      <c r="I112" s="24"/>
      <c r="J112" s="24"/>
      <c r="K112" s="25"/>
      <c r="L112" s="26"/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8.75">
      <c r="A113" s="771"/>
      <c r="B113" s="489"/>
      <c r="C113" s="489"/>
      <c r="D113" s="345" t="s">
        <v>50</v>
      </c>
      <c r="E113" s="491"/>
      <c r="F113" s="491"/>
      <c r="G113" s="492"/>
      <c r="H113" s="770" t="s">
        <v>46</v>
      </c>
      <c r="I113" s="769">
        <f ca="1">IFERROR(__xludf.DUMMYFUNCTION("IMPORTRANGE(""https://docs.google.com/spreadsheets/d/1eHaY18a8A9IcSdp1K8H6x8fbOy06t2VsZHhMHf-1x7Y/edit?usp=sharing"",""แผน!N49"")"),30)</f>
        <v>30</v>
      </c>
      <c r="J113" s="495">
        <v>0</v>
      </c>
      <c r="K113" s="708">
        <f ca="1">IF(I113&gt;0,J113*100/I113,0)</f>
        <v>0</v>
      </c>
      <c r="L113" s="350"/>
      <c r="M113" s="350"/>
      <c r="N113" s="350"/>
      <c r="O113" s="496"/>
      <c r="P113" s="496"/>
      <c r="Q113" s="350"/>
      <c r="R113" s="350"/>
      <c r="S113" s="350"/>
      <c r="T113" s="496"/>
      <c r="U113" s="496"/>
    </row>
    <row r="114" spans="1:21" ht="18.75">
      <c r="A114" s="166"/>
      <c r="B114" s="167"/>
      <c r="C114" s="167"/>
      <c r="D114" s="174"/>
      <c r="E114" s="174"/>
      <c r="F114" s="174"/>
      <c r="G114" s="171"/>
      <c r="H114" s="179" t="s">
        <v>35</v>
      </c>
      <c r="I114" s="641">
        <f ca="1">IFERROR(__xludf.DUMMYFUNCTION("IMPORTRANGE(""https://docs.google.com/spreadsheets/d/1eHaY18a8A9IcSdp1K8H6x8fbOy06t2VsZHhMHf-1x7Y/edit?usp=sharing"",""แผน!O49"")"),10)</f>
        <v>10</v>
      </c>
      <c r="J114" s="467">
        <v>0</v>
      </c>
      <c r="K114" s="255">
        <f ca="1">IF(I114&gt;0,J114*100/I114,0)</f>
        <v>0</v>
      </c>
      <c r="L114" s="55"/>
      <c r="M114" s="55"/>
      <c r="N114" s="55"/>
      <c r="O114" s="164"/>
      <c r="P114" s="164"/>
      <c r="Q114" s="55"/>
      <c r="R114" s="55"/>
      <c r="S114" s="55"/>
      <c r="T114" s="164"/>
      <c r="U114" s="164"/>
    </row>
    <row r="115" spans="1:21" ht="19.5">
      <c r="A115" s="727" t="s">
        <v>51</v>
      </c>
      <c r="B115" s="724"/>
      <c r="C115" s="726"/>
      <c r="D115" s="725"/>
      <c r="E115" s="725"/>
      <c r="F115" s="725"/>
      <c r="G115" s="725"/>
      <c r="H115" s="724"/>
      <c r="I115" s="723"/>
      <c r="J115" s="723"/>
      <c r="K115" s="722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721">
        <f ca="1">I127</f>
        <v>20</v>
      </c>
      <c r="J116" s="721">
        <f>J127</f>
        <v>0</v>
      </c>
      <c r="K116" s="720">
        <f ca="1">IF(I116&gt;0,J116*100/I116,0)</f>
        <v>0</v>
      </c>
      <c r="L116" s="154"/>
      <c r="M116" s="40"/>
      <c r="N116" s="40"/>
      <c r="O116" s="40"/>
      <c r="P116" s="40"/>
      <c r="Q116" s="40"/>
      <c r="R116" s="40"/>
      <c r="S116" s="40"/>
      <c r="T116" s="40"/>
      <c r="U116" s="40"/>
    </row>
    <row r="117" spans="1:21" ht="19.5">
      <c r="A117" s="155"/>
      <c r="B117" s="188"/>
      <c r="C117" s="191" t="s">
        <v>18</v>
      </c>
      <c r="D117" s="575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541">
        <f ca="1">L118+L119</f>
        <v>0</v>
      </c>
      <c r="M117" s="540">
        <f ca="1">M118+M119</f>
        <v>0</v>
      </c>
      <c r="N117" s="540">
        <f ca="1">N118+N119</f>
        <v>0</v>
      </c>
      <c r="O117" s="540">
        <f ca="1">IF(L117&gt;0,N117*100/L117,0)</f>
        <v>0</v>
      </c>
      <c r="P117" s="540">
        <f ca="1">IF(M117&gt;0,N117*100/M117,0)</f>
        <v>0</v>
      </c>
      <c r="Q117" s="540">
        <f ca="1">Q118+Q119</f>
        <v>209360</v>
      </c>
      <c r="R117" s="540">
        <f ca="1">R118+R119</f>
        <v>209360</v>
      </c>
      <c r="S117" s="540">
        <f ca="1">S118+S119</f>
        <v>103755</v>
      </c>
      <c r="T117" s="540">
        <f ca="1">IF(Q117&gt;0,S117*100/Q117,0)</f>
        <v>49.558177302254492</v>
      </c>
      <c r="U117" s="540">
        <f ca="1">IF(R117&gt;0,S117*100/R117,0)</f>
        <v>49.558177302254492</v>
      </c>
    </row>
    <row r="118" spans="1:21" ht="18.75" hidden="1">
      <c r="A118" s="155"/>
      <c r="B118" s="188"/>
      <c r="C118" s="188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103">
        <f>L121+L124</f>
        <v>0</v>
      </c>
      <c r="M118" s="102">
        <f>M121+M124</f>
        <v>0</v>
      </c>
      <c r="N118" s="102">
        <f>N121+N124</f>
        <v>0</v>
      </c>
      <c r="O118" s="102">
        <f>IF(L118&gt;0,N118*100/L118,0)</f>
        <v>0</v>
      </c>
      <c r="P118" s="102">
        <f>IF(M118&gt;0,N118*100/M118,0)</f>
        <v>0</v>
      </c>
      <c r="Q118" s="102">
        <f>Q121+Q124</f>
        <v>0</v>
      </c>
      <c r="R118" s="102">
        <f>R121+R124</f>
        <v>0</v>
      </c>
      <c r="S118" s="102">
        <f>S121+S124</f>
        <v>0</v>
      </c>
      <c r="T118" s="102">
        <f>IF(Q118&gt;0,S118*100/Q118,0)</f>
        <v>0</v>
      </c>
      <c r="U118" s="102">
        <f>IF(R118&gt;0,S118*100/R118,0)</f>
        <v>0</v>
      </c>
    </row>
    <row r="119" spans="1:21" ht="18.75" hidden="1">
      <c r="A119" s="155"/>
      <c r="B119" s="188"/>
      <c r="C119" s="188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256">
        <f ca="1">L122+L125</f>
        <v>0</v>
      </c>
      <c r="M119" s="255">
        <f ca="1">M122+M125</f>
        <v>0</v>
      </c>
      <c r="N119" s="255">
        <f ca="1">N122+N125</f>
        <v>0</v>
      </c>
      <c r="O119" s="255">
        <f ca="1">IF(L119&gt;0,N119*100/L119,0)</f>
        <v>0</v>
      </c>
      <c r="P119" s="255">
        <f ca="1">IF(M119&gt;0,N119*100/M119,0)</f>
        <v>0</v>
      </c>
      <c r="Q119" s="255">
        <f ca="1">Q122+Q125</f>
        <v>209360</v>
      </c>
      <c r="R119" s="255">
        <f ca="1">R122+R125</f>
        <v>209360</v>
      </c>
      <c r="S119" s="255">
        <f ca="1">S122+S125</f>
        <v>103755</v>
      </c>
      <c r="T119" s="255">
        <f ca="1">IF(Q119&gt;0,S119*100/Q119,0)</f>
        <v>49.558177302254492</v>
      </c>
      <c r="U119" s="255">
        <f ca="1">IF(R119&gt;0,S119*100/R119,0)</f>
        <v>49.558177302254492</v>
      </c>
    </row>
    <row r="120" spans="1:21" ht="18.75">
      <c r="A120" s="155"/>
      <c r="B120" s="188"/>
      <c r="C120" s="202"/>
      <c r="D120" s="602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256">
        <f ca="1">L121+L122</f>
        <v>0</v>
      </c>
      <c r="M120" s="255">
        <f ca="1">M121+M122</f>
        <v>0</v>
      </c>
      <c r="N120" s="255">
        <f ca="1">N121+N122</f>
        <v>0</v>
      </c>
      <c r="O120" s="255">
        <f ca="1">IF(L120&gt;0,N120*100/L120,0)</f>
        <v>0</v>
      </c>
      <c r="P120" s="255">
        <f ca="1">IF(M120&gt;0,N120*100/M120,0)</f>
        <v>0</v>
      </c>
      <c r="Q120" s="255">
        <f ca="1">Q121+Q122</f>
        <v>209360</v>
      </c>
      <c r="R120" s="255">
        <f ca="1">R121+R122</f>
        <v>209360</v>
      </c>
      <c r="S120" s="255">
        <f ca="1">S121+S122</f>
        <v>103755</v>
      </c>
      <c r="T120" s="255">
        <f ca="1">IF(Q120&gt;0,S120*100/Q120,0)</f>
        <v>49.558177302254492</v>
      </c>
      <c r="U120" s="255">
        <f ca="1">IF(R120&gt;0,S120*100/R120,0)</f>
        <v>49.558177302254492</v>
      </c>
    </row>
    <row r="121" spans="1:21" ht="18.75" hidden="1">
      <c r="A121" s="155"/>
      <c r="B121" s="188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103">
        <v>0</v>
      </c>
      <c r="M121" s="102">
        <v>0</v>
      </c>
      <c r="N121" s="102">
        <v>0</v>
      </c>
      <c r="O121" s="102">
        <f>IF(L121&gt;0,N121*100/L121,0)</f>
        <v>0</v>
      </c>
      <c r="P121" s="102">
        <f>IF(M121&gt;0,N121*100/M121,0)</f>
        <v>0</v>
      </c>
      <c r="Q121" s="102">
        <v>0</v>
      </c>
      <c r="R121" s="102">
        <v>0</v>
      </c>
      <c r="S121" s="102">
        <v>0</v>
      </c>
      <c r="T121" s="102">
        <f>IF(Q121&gt;0,S121*100/Q121,0)</f>
        <v>0</v>
      </c>
      <c r="U121" s="102">
        <f>IF(R121&gt;0,S121*100/R121,0)</f>
        <v>0</v>
      </c>
    </row>
    <row r="122" spans="1:21" ht="18.75" hidden="1">
      <c r="A122" s="155"/>
      <c r="B122" s="188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256">
        <f ca="1">IFERROR(__xludf.DUMMYFUNCTION("IMPORTRANGE(""https://docs.google.com/spreadsheets/d/1-uDff_7J0KD5mKrp0Vvzr7lt3OU09vwQwhkpOPPYv2Y/edit?usp=sharing"",""งบพรบ!BG49"")"),0)</f>
        <v>0</v>
      </c>
      <c r="M122" s="255">
        <f ca="1">IFERROR(__xludf.DUMMYFUNCTION("IMPORTRANGE(""https://docs.google.com/spreadsheets/d/1-uDff_7J0KD5mKrp0Vvzr7lt3OU09vwQwhkpOPPYv2Y/edit?usp=sharing"",""งบพรบ!BL49"")"),0)</f>
        <v>0</v>
      </c>
      <c r="N122" s="255">
        <f ca="1">IFERROR(__xludf.DUMMYFUNCTION("IMPORTRANGE(""https://docs.google.com/spreadsheets/d/1-uDff_7J0KD5mKrp0Vvzr7lt3OU09vwQwhkpOPPYv2Y/edit?usp=sharing"",""งบพรบ!BN49"")"),0)</f>
        <v>0</v>
      </c>
      <c r="O122" s="255">
        <f ca="1">IF(L122&gt;0,N122*100/L122,0)</f>
        <v>0</v>
      </c>
      <c r="P122" s="255">
        <f ca="1">IF(M122&gt;0,N122*100/M122,0)</f>
        <v>0</v>
      </c>
      <c r="Q122" s="255">
        <f ca="1">IFERROR(__xludf.DUMMYFUNCTION("IMPORTRANGE(""https://docs.google.com/spreadsheets/d/1ItG2mGa2ceCfYo0BwxsXqNm01IGEUdYcSSLTEv9YCik/edit?usp=sharing"",""เบิกจ่ายกองทุน!R49"")"),209360)</f>
        <v>209360</v>
      </c>
      <c r="R122" s="255">
        <f ca="1">IFERROR(__xludf.DUMMYFUNCTION("IMPORTRANGE(""https://docs.google.com/spreadsheets/d/1ItG2mGa2ceCfYo0BwxsXqNm01IGEUdYcSSLTEv9YCik/edit?usp=sharing"",""เบิกจ่ายกองทุน!S49"")"),209360)</f>
        <v>209360</v>
      </c>
      <c r="S122" s="255">
        <f ca="1">IFERROR(__xludf.DUMMYFUNCTION("IMPORTRANGE(""https://docs.google.com/spreadsheets/d/1ItG2mGa2ceCfYo0BwxsXqNm01IGEUdYcSSLTEv9YCik/edit?usp=sharing"",""เบิกจ่ายกองทุน!T49"")"),103755)</f>
        <v>103755</v>
      </c>
      <c r="T122" s="255">
        <f ca="1">IF(Q122&gt;0,S122*100/Q122,0)</f>
        <v>49.558177302254492</v>
      </c>
      <c r="U122" s="255">
        <f ca="1">IF(R122&gt;0,S122*100/R122,0)</f>
        <v>49.558177302254492</v>
      </c>
    </row>
    <row r="123" spans="1:21" ht="18.75">
      <c r="A123" s="155"/>
      <c r="B123" s="50"/>
      <c r="C123" s="202"/>
      <c r="D123" s="602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256">
        <f ca="1">L124+L125</f>
        <v>0</v>
      </c>
      <c r="M123" s="255">
        <f ca="1">M124+M125</f>
        <v>0</v>
      </c>
      <c r="N123" s="255">
        <f ca="1">N124+N125</f>
        <v>0</v>
      </c>
      <c r="O123" s="255">
        <f ca="1">IF(L123&gt;0,N123*100/L123,0)</f>
        <v>0</v>
      </c>
      <c r="P123" s="255">
        <f ca="1">IF(M123&gt;0,N123*100/M123,0)</f>
        <v>0</v>
      </c>
      <c r="Q123" s="255">
        <f>Q124+Q125</f>
        <v>0</v>
      </c>
      <c r="R123" s="255">
        <f>R124+R125</f>
        <v>0</v>
      </c>
      <c r="S123" s="255">
        <f>S124+S125</f>
        <v>0</v>
      </c>
      <c r="T123" s="255">
        <f>IF(Q123&gt;0,S123*100/Q123,0)</f>
        <v>0</v>
      </c>
      <c r="U123" s="255">
        <f>IF(R123&gt;0,S123*100/R123,0)</f>
        <v>0</v>
      </c>
    </row>
    <row r="124" spans="1:21" ht="18.75" hidden="1">
      <c r="A124" s="155"/>
      <c r="B124" s="50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103">
        <v>0</v>
      </c>
      <c r="M124" s="102">
        <v>0</v>
      </c>
      <c r="N124" s="102">
        <v>0</v>
      </c>
      <c r="O124" s="102">
        <f>IF(L124&gt;0,N124*100/L124,0)</f>
        <v>0</v>
      </c>
      <c r="P124" s="102">
        <f>IF(M124&gt;0,N124*100/M124,0)</f>
        <v>0</v>
      </c>
      <c r="Q124" s="102">
        <v>0</v>
      </c>
      <c r="R124" s="102">
        <v>0</v>
      </c>
      <c r="S124" s="102">
        <v>0</v>
      </c>
      <c r="T124" s="102">
        <f>IF(Q124&gt;0,S124*100/Q124,0)</f>
        <v>0</v>
      </c>
      <c r="U124" s="102">
        <f>IF(R124&gt;0,S124*100/R124,0)</f>
        <v>0</v>
      </c>
    </row>
    <row r="125" spans="1:21" ht="18.75" hidden="1">
      <c r="A125" s="155"/>
      <c r="B125" s="50"/>
      <c r="C125" s="50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256">
        <f ca="1">IFERROR(__xludf.DUMMYFUNCTION("IMPORTRANGE(""https://docs.google.com/spreadsheets/d/1-uDff_7J0KD5mKrp0Vvzr7lt3OU09vwQwhkpOPPYv2Y/edit?usp=sharing"",""งบพรบ!BJ49"")"),0)</f>
        <v>0</v>
      </c>
      <c r="M125" s="255">
        <f ca="1">IFERROR(__xludf.DUMMYFUNCTION("IMPORTRANGE(""https://docs.google.com/spreadsheets/d/1-uDff_7J0KD5mKrp0Vvzr7lt3OU09vwQwhkpOPPYv2Y/edit?usp=sharing"",""งบพรบ!BM49"")"),0)</f>
        <v>0</v>
      </c>
      <c r="N125" s="255">
        <f ca="1">IFERROR(__xludf.DUMMYFUNCTION("IMPORTRANGE(""https://docs.google.com/spreadsheets/d/1-uDff_7J0KD5mKrp0Vvzr7lt3OU09vwQwhkpOPPYv2Y/edit?usp=sharing"",""งบพรบ!BO49"")"),0)</f>
        <v>0</v>
      </c>
      <c r="O125" s="255">
        <f ca="1">IF(L125&gt;0,N125*100/L125,0)</f>
        <v>0</v>
      </c>
      <c r="P125" s="255">
        <f ca="1">IF(M125&gt;0,N125*100/M125,0)</f>
        <v>0</v>
      </c>
      <c r="Q125" s="255">
        <v>0</v>
      </c>
      <c r="R125" s="255">
        <v>0</v>
      </c>
      <c r="S125" s="255">
        <v>0</v>
      </c>
      <c r="T125" s="255">
        <f>IF(Q125&gt;0,S125*100/Q125,0)</f>
        <v>0</v>
      </c>
      <c r="U125" s="255">
        <f>IF(R125&gt;0,S125*100/R125,0)</f>
        <v>0</v>
      </c>
    </row>
    <row r="126" spans="1:21" ht="19.5">
      <c r="A126" s="166"/>
      <c r="B126" s="167"/>
      <c r="C126" s="205" t="s">
        <v>18</v>
      </c>
      <c r="D126" s="566" t="s">
        <v>38</v>
      </c>
      <c r="E126" s="169"/>
      <c r="F126" s="169"/>
      <c r="G126" s="170"/>
      <c r="H126" s="206"/>
      <c r="I126" s="54"/>
      <c r="J126" s="54"/>
      <c r="K126" s="55"/>
      <c r="L126" s="62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212">
        <f ca="1">IFERROR(__xludf.DUMMYFUNCTION("IMPORTRANGE(""https://docs.google.com/spreadsheets/d/1eHaY18a8A9IcSdp1K8H6x8fbOy06t2VsZHhMHf-1x7Y/edit?usp=sharing"",""แผน!FF49"")"),20)</f>
        <v>20</v>
      </c>
      <c r="J127" s="467">
        <v>0</v>
      </c>
      <c r="K127" s="255">
        <f ca="1">IF(I127&gt;0,J127*100/I127,0)</f>
        <v>0</v>
      </c>
      <c r="L127" s="62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212">
        <f ca="1">IFERROR(__xludf.DUMMYFUNCTION("IMPORTRANGE(""https://docs.google.com/spreadsheets/d/1eHaY18a8A9IcSdp1K8H6x8fbOy06t2VsZHhMHf-1x7Y/edit?usp=sharing"",""แผน!FG49"")"),0)</f>
        <v>0</v>
      </c>
      <c r="J128" s="467">
        <v>0</v>
      </c>
      <c r="K128" s="255">
        <f ca="1">IF(I128&gt;0,J128*100/I128,0)</f>
        <v>0</v>
      </c>
      <c r="L128" s="62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212">
        <f ca="1">IFERROR(__xludf.DUMMYFUNCTION("IMPORTRANGE(""https://docs.google.com/spreadsheets/d/1eHaY18a8A9IcSdp1K8H6x8fbOy06t2VsZHhMHf-1x7Y/edit?usp=sharing"",""แผน!FH49"")"),20)</f>
        <v>20</v>
      </c>
      <c r="J129" s="467">
        <v>0</v>
      </c>
      <c r="K129" s="255">
        <f ca="1">IF(I129&gt;0,J129*100/I129,0)</f>
        <v>0</v>
      </c>
      <c r="L129" s="62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212">
        <f ca="1">IFERROR(__xludf.DUMMYFUNCTION("IMPORTRANGE(""https://docs.google.com/spreadsheets/d/1eHaY18a8A9IcSdp1K8H6x8fbOy06t2VsZHhMHf-1x7Y/edit?usp=sharing"",""แผน!FI49"")"),0)</f>
        <v>0</v>
      </c>
      <c r="J130" s="467">
        <v>0</v>
      </c>
      <c r="K130" s="255">
        <f ca="1">IF(I130&gt;0,J130*100/I130,0)</f>
        <v>0</v>
      </c>
      <c r="L130" s="62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8.75" hidden="1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62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8.75" hidden="1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62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2.75" hidden="1">
      <c r="A133" s="192"/>
      <c r="B133" s="193"/>
      <c r="C133" s="193"/>
      <c r="D133" s="22"/>
      <c r="E133" s="22"/>
      <c r="F133" s="22"/>
      <c r="G133" s="23"/>
      <c r="H133" s="209"/>
      <c r="I133" s="24"/>
      <c r="J133" s="24"/>
      <c r="K133" s="25"/>
      <c r="L133" s="26"/>
      <c r="M133" s="25"/>
      <c r="N133" s="25"/>
      <c r="O133" s="25"/>
      <c r="P133" s="25"/>
      <c r="Q133" s="25"/>
      <c r="R133" s="25"/>
      <c r="S133" s="25"/>
      <c r="T133" s="25"/>
      <c r="U133" s="25"/>
    </row>
    <row r="134" spans="1:21" ht="19.5" hidden="1">
      <c r="A134" s="143" t="s">
        <v>58</v>
      </c>
      <c r="B134" s="144"/>
      <c r="C134" s="196"/>
      <c r="D134" s="144"/>
      <c r="E134" s="144"/>
      <c r="F134" s="144"/>
      <c r="G134" s="144"/>
      <c r="H134" s="144"/>
      <c r="I134" s="197"/>
      <c r="J134" s="197"/>
      <c r="K134" s="19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</row>
    <row r="135" spans="1:21" ht="19.5" hidden="1">
      <c r="A135" s="150"/>
      <c r="B135" s="35" t="s">
        <v>59</v>
      </c>
      <c r="C135" s="200"/>
      <c r="D135" s="151"/>
      <c r="E135" s="34"/>
      <c r="F135" s="34"/>
      <c r="G135" s="34"/>
      <c r="H135" s="34"/>
      <c r="I135" s="210"/>
      <c r="J135" s="39"/>
      <c r="K135" s="40"/>
      <c r="L135" s="154"/>
      <c r="M135" s="40"/>
      <c r="N135" s="40"/>
      <c r="O135" s="40"/>
      <c r="P135" s="40"/>
      <c r="Q135" s="40"/>
      <c r="R135" s="40"/>
      <c r="S135" s="40"/>
      <c r="T135" s="40"/>
      <c r="U135" s="40"/>
    </row>
    <row r="136" spans="1:21" ht="19.5" hidden="1">
      <c r="A136" s="150"/>
      <c r="B136" s="34"/>
      <c r="C136" s="211" t="s">
        <v>60</v>
      </c>
      <c r="D136" s="151"/>
      <c r="E136" s="34"/>
      <c r="F136" s="34"/>
      <c r="G136" s="37"/>
      <c r="H136" s="152" t="s">
        <v>61</v>
      </c>
      <c r="I136" s="721">
        <f ca="1">I154</f>
        <v>0</v>
      </c>
      <c r="J136" s="721">
        <f>J154</f>
        <v>0</v>
      </c>
      <c r="K136" s="720">
        <f ca="1">IF(I136&gt;0,J136*100/I136,0)</f>
        <v>0</v>
      </c>
      <c r="L136" s="154"/>
      <c r="M136" s="40"/>
      <c r="N136" s="40"/>
      <c r="O136" s="40"/>
      <c r="P136" s="40"/>
      <c r="Q136" s="40"/>
      <c r="R136" s="40"/>
      <c r="S136" s="40"/>
      <c r="T136" s="40"/>
      <c r="U136" s="40"/>
    </row>
    <row r="137" spans="1:21" ht="19.5" hidden="1">
      <c r="A137" s="150"/>
      <c r="B137" s="34"/>
      <c r="C137" s="211" t="s">
        <v>62</v>
      </c>
      <c r="D137" s="151"/>
      <c r="E137" s="34"/>
      <c r="F137" s="34"/>
      <c r="G137" s="37"/>
      <c r="H137" s="152" t="s">
        <v>35</v>
      </c>
      <c r="I137" s="721">
        <f ca="1">I152</f>
        <v>0</v>
      </c>
      <c r="J137" s="721">
        <f>J152</f>
        <v>0</v>
      </c>
      <c r="K137" s="720">
        <f ca="1">IF(I137&gt;0,J137*100/I137,0)</f>
        <v>0</v>
      </c>
      <c r="L137" s="154"/>
      <c r="M137" s="40"/>
      <c r="N137" s="40"/>
      <c r="O137" s="40"/>
      <c r="P137" s="40"/>
      <c r="Q137" s="40"/>
      <c r="R137" s="40"/>
      <c r="S137" s="40"/>
      <c r="T137" s="40"/>
      <c r="U137" s="40"/>
    </row>
    <row r="138" spans="1:21" ht="19.5" hidden="1">
      <c r="A138" s="150"/>
      <c r="B138" s="34"/>
      <c r="C138" s="200"/>
      <c r="D138" s="151"/>
      <c r="E138" s="34"/>
      <c r="F138" s="34"/>
      <c r="G138" s="37"/>
      <c r="H138" s="152" t="s">
        <v>54</v>
      </c>
      <c r="I138" s="721">
        <f ca="1">I153</f>
        <v>0</v>
      </c>
      <c r="J138" s="721">
        <f>J153</f>
        <v>0</v>
      </c>
      <c r="K138" s="720">
        <f ca="1">IF(I138&gt;0,J138*100/I138,0)</f>
        <v>0</v>
      </c>
      <c r="L138" s="154"/>
      <c r="M138" s="40"/>
      <c r="N138" s="40"/>
      <c r="O138" s="40"/>
      <c r="P138" s="40"/>
      <c r="Q138" s="40"/>
      <c r="R138" s="40"/>
      <c r="S138" s="40"/>
      <c r="T138" s="40"/>
      <c r="U138" s="40"/>
    </row>
    <row r="139" spans="1:21" ht="19.5" hidden="1">
      <c r="A139" s="155"/>
      <c r="B139" s="50"/>
      <c r="C139" s="156" t="s">
        <v>18</v>
      </c>
      <c r="D139" s="575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541">
        <f ca="1">L140+L141</f>
        <v>0</v>
      </c>
      <c r="M139" s="540">
        <f ca="1">M140+M141</f>
        <v>0</v>
      </c>
      <c r="N139" s="540">
        <f ca="1">N140+N141</f>
        <v>0</v>
      </c>
      <c r="O139" s="540">
        <f ca="1">IF(L139&gt;0,N139*100/L139,0)</f>
        <v>0</v>
      </c>
      <c r="P139" s="540">
        <f ca="1">IF(M139&gt;0,N139*100/M139,0)</f>
        <v>0</v>
      </c>
      <c r="Q139" s="540">
        <f ca="1">Q140+Q141</f>
        <v>0</v>
      </c>
      <c r="R139" s="540">
        <f ca="1">R140+R141</f>
        <v>0</v>
      </c>
      <c r="S139" s="540">
        <f ca="1">S140+S141</f>
        <v>0</v>
      </c>
      <c r="T139" s="540">
        <f ca="1">IF(Q139&gt;0,S139*100/Q139,0)</f>
        <v>0</v>
      </c>
      <c r="U139" s="540">
        <f ca="1">IF(R139&gt;0,S139*100/R139,0)</f>
        <v>0</v>
      </c>
    </row>
    <row r="140" spans="1:21" ht="18.75" hidden="1">
      <c r="A140" s="155"/>
      <c r="B140" s="50"/>
      <c r="C140" s="50"/>
      <c r="D140" s="50"/>
      <c r="E140" s="186" t="s">
        <v>20</v>
      </c>
      <c r="F140" s="50"/>
      <c r="G140" s="52"/>
      <c r="H140" s="187" t="s">
        <v>14</v>
      </c>
      <c r="I140" s="54"/>
      <c r="J140" s="54"/>
      <c r="K140" s="55"/>
      <c r="L140" s="103">
        <f>L143+L146</f>
        <v>0</v>
      </c>
      <c r="M140" s="102">
        <f>M143+M146</f>
        <v>0</v>
      </c>
      <c r="N140" s="102">
        <f>N143+N146</f>
        <v>0</v>
      </c>
      <c r="O140" s="102">
        <f>IF(L140&gt;0,N140*100/L140,0)</f>
        <v>0</v>
      </c>
      <c r="P140" s="102">
        <f>IF(M140&gt;0,N140*100/M140,0)</f>
        <v>0</v>
      </c>
      <c r="Q140" s="102">
        <f>Q143+Q146</f>
        <v>0</v>
      </c>
      <c r="R140" s="102">
        <f>R143+R146</f>
        <v>0</v>
      </c>
      <c r="S140" s="102">
        <f>S143+S146</f>
        <v>0</v>
      </c>
      <c r="T140" s="102">
        <f>IF(Q140&gt;0,S140*100/Q140,0)</f>
        <v>0</v>
      </c>
      <c r="U140" s="102">
        <f>IF(R140&gt;0,S140*100/R140,0)</f>
        <v>0</v>
      </c>
    </row>
    <row r="141" spans="1:21" ht="18.75" hidden="1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256">
        <f ca="1">L144+L147</f>
        <v>0</v>
      </c>
      <c r="M141" s="255">
        <f ca="1">M144+M147</f>
        <v>0</v>
      </c>
      <c r="N141" s="255">
        <f ca="1">N144+N147</f>
        <v>0</v>
      </c>
      <c r="O141" s="255">
        <f ca="1">IF(L141&gt;0,N141*100/L141,0)</f>
        <v>0</v>
      </c>
      <c r="P141" s="255">
        <f ca="1">IF(M141&gt;0,N141*100/M141,0)</f>
        <v>0</v>
      </c>
      <c r="Q141" s="255">
        <f ca="1">Q144+Q147</f>
        <v>0</v>
      </c>
      <c r="R141" s="255">
        <f ca="1">R144+R147</f>
        <v>0</v>
      </c>
      <c r="S141" s="255">
        <f ca="1">S144+S147</f>
        <v>0</v>
      </c>
      <c r="T141" s="255">
        <f ca="1">IF(Q141&gt;0,S141*100/Q141,0)</f>
        <v>0</v>
      </c>
      <c r="U141" s="255">
        <f ca="1">IF(R141&gt;0,S141*100/R141,0)</f>
        <v>0</v>
      </c>
    </row>
    <row r="142" spans="1:21" ht="18.75" hidden="1">
      <c r="A142" s="155"/>
      <c r="B142" s="50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256">
        <f ca="1">L143+L144</f>
        <v>0</v>
      </c>
      <c r="M142" s="255">
        <f ca="1">M143+M144</f>
        <v>0</v>
      </c>
      <c r="N142" s="255">
        <f ca="1">N143+N144</f>
        <v>0</v>
      </c>
      <c r="O142" s="255">
        <f ca="1">IF(L142&gt;0,N142*100/L142,0)</f>
        <v>0</v>
      </c>
      <c r="P142" s="255">
        <f ca="1">IF(M142&gt;0,N142*100/M142,0)</f>
        <v>0</v>
      </c>
      <c r="Q142" s="255">
        <f ca="1">Q143+Q144</f>
        <v>0</v>
      </c>
      <c r="R142" s="255">
        <f ca="1">R143+R144</f>
        <v>0</v>
      </c>
      <c r="S142" s="255">
        <f ca="1">S143+S144</f>
        <v>0</v>
      </c>
      <c r="T142" s="255">
        <f ca="1">IF(Q142&gt;0,S142*100/Q142,0)</f>
        <v>0</v>
      </c>
      <c r="U142" s="255">
        <f ca="1">IF(R142&gt;0,S142*100/R142,0)</f>
        <v>0</v>
      </c>
    </row>
    <row r="143" spans="1:21" ht="18.75" hidden="1">
      <c r="A143" s="155"/>
      <c r="B143" s="50"/>
      <c r="C143" s="50"/>
      <c r="D143" s="50"/>
      <c r="E143" s="186" t="s">
        <v>36</v>
      </c>
      <c r="F143" s="50"/>
      <c r="G143" s="52"/>
      <c r="H143" s="189" t="s">
        <v>14</v>
      </c>
      <c r="I143" s="163"/>
      <c r="J143" s="163"/>
      <c r="K143" s="164"/>
      <c r="L143" s="103">
        <v>0</v>
      </c>
      <c r="M143" s="102">
        <v>0</v>
      </c>
      <c r="N143" s="102">
        <v>0</v>
      </c>
      <c r="O143" s="102">
        <f>IF(L143&gt;0,N143*100/L143,0)</f>
        <v>0</v>
      </c>
      <c r="P143" s="102">
        <f>IF(M143&gt;0,N143*100/M143,0)</f>
        <v>0</v>
      </c>
      <c r="Q143" s="102">
        <v>0</v>
      </c>
      <c r="R143" s="102">
        <v>0</v>
      </c>
      <c r="S143" s="102">
        <v>0</v>
      </c>
      <c r="T143" s="102">
        <f>IF(Q143&gt;0,S143*100/Q143,0)</f>
        <v>0</v>
      </c>
      <c r="U143" s="102">
        <f>IF(R143&gt;0,S143*100/R143,0)</f>
        <v>0</v>
      </c>
    </row>
    <row r="144" spans="1:21" ht="18.75" hidden="1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256">
        <f ca="1">IFERROR(__xludf.DUMMYFUNCTION("IMPORTRANGE(""https://docs.google.com/spreadsheets/d/1-uDff_7J0KD5mKrp0Vvzr7lt3OU09vwQwhkpOPPYv2Y/edit?usp=sharing"",""งบพรบ!BQ49"")"),0)</f>
        <v>0</v>
      </c>
      <c r="M144" s="255">
        <f ca="1">IFERROR(__xludf.DUMMYFUNCTION("IMPORTRANGE(""https://docs.google.com/spreadsheets/d/1-uDff_7J0KD5mKrp0Vvzr7lt3OU09vwQwhkpOPPYv2Y/edit?usp=sharing"",""งบพรบ!BV49"")"),0)</f>
        <v>0</v>
      </c>
      <c r="N144" s="255">
        <f ca="1">IFERROR(__xludf.DUMMYFUNCTION("IMPORTRANGE(""https://docs.google.com/spreadsheets/d/1-uDff_7J0KD5mKrp0Vvzr7lt3OU09vwQwhkpOPPYv2Y/edit?usp=sharing"",""งบพรบ!BX49"")"),0)</f>
        <v>0</v>
      </c>
      <c r="O144" s="255">
        <f ca="1">IF(L144&gt;0,N144*100/L144,0)</f>
        <v>0</v>
      </c>
      <c r="P144" s="255">
        <f ca="1">IF(M144&gt;0,N144*100/M144,0)</f>
        <v>0</v>
      </c>
      <c r="Q144" s="255">
        <f ca="1">IFERROR(__xludf.DUMMYFUNCTION("IMPORTRANGE(""https://docs.google.com/spreadsheets/d/1ItG2mGa2ceCfYo0BwxsXqNm01IGEUdYcSSLTEv9YCik/edit?usp=sharing"",""เบิกจ่ายกองทุน!BB49"")"),0)</f>
        <v>0</v>
      </c>
      <c r="R144" s="255">
        <f ca="1">IFERROR(__xludf.DUMMYFUNCTION("IMPORTRANGE(""https://docs.google.com/spreadsheets/d/1ItG2mGa2ceCfYo0BwxsXqNm01IGEUdYcSSLTEv9YCik/edit?usp=sharing"",""เบิกจ่ายกองทุน!BC49"")"),0)</f>
        <v>0</v>
      </c>
      <c r="S144" s="255">
        <f ca="1">IFERROR(__xludf.DUMMYFUNCTION("IMPORTRANGE(""https://docs.google.com/spreadsheets/d/1ItG2mGa2ceCfYo0BwxsXqNm01IGEUdYcSSLTEv9YCik/edit?usp=sharing"",""เบิกจ่ายกองทุน!BD49"")"),0)</f>
        <v>0</v>
      </c>
      <c r="T144" s="255">
        <f ca="1">IF(Q144&gt;0,S144*100/Q144,0)</f>
        <v>0</v>
      </c>
      <c r="U144" s="255">
        <f ca="1">IF(R144&gt;0,S144*100/R144,0)</f>
        <v>0</v>
      </c>
    </row>
    <row r="145" spans="1:21" ht="18.75" hidden="1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256">
        <f ca="1">L146+L147</f>
        <v>0</v>
      </c>
      <c r="M145" s="255">
        <f ca="1">M146+M147</f>
        <v>0</v>
      </c>
      <c r="N145" s="255">
        <f ca="1">N146+N147</f>
        <v>0</v>
      </c>
      <c r="O145" s="255">
        <f ca="1">IF(L145&gt;0,N145*100/L145,0)</f>
        <v>0</v>
      </c>
      <c r="P145" s="255">
        <f ca="1">IF(M145&gt;0,N145*100/M145,0)</f>
        <v>0</v>
      </c>
      <c r="Q145" s="255">
        <f>Q146+Q147</f>
        <v>0</v>
      </c>
      <c r="R145" s="255">
        <f>R146+R147</f>
        <v>0</v>
      </c>
      <c r="S145" s="255">
        <f>S146+S147</f>
        <v>0</v>
      </c>
      <c r="T145" s="255">
        <f>IF(Q145&gt;0,S145*100/Q145,0)</f>
        <v>0</v>
      </c>
      <c r="U145" s="255">
        <f>IF(R145&gt;0,S145*100/R145,0)</f>
        <v>0</v>
      </c>
    </row>
    <row r="146" spans="1:21" ht="18.75" hidden="1">
      <c r="A146" s="155"/>
      <c r="B146" s="50"/>
      <c r="C146" s="50"/>
      <c r="D146" s="50"/>
      <c r="E146" s="186" t="s">
        <v>20</v>
      </c>
      <c r="F146" s="50"/>
      <c r="G146" s="52"/>
      <c r="H146" s="189" t="s">
        <v>14</v>
      </c>
      <c r="I146" s="163"/>
      <c r="J146" s="163"/>
      <c r="K146" s="164"/>
      <c r="L146" s="103">
        <v>0</v>
      </c>
      <c r="M146" s="102">
        <v>0</v>
      </c>
      <c r="N146" s="102">
        <v>0</v>
      </c>
      <c r="O146" s="102">
        <f>IF(L146&gt;0,N146*100/L146,0)</f>
        <v>0</v>
      </c>
      <c r="P146" s="102">
        <f>IF(M146&gt;0,N146*100/M146,0)</f>
        <v>0</v>
      </c>
      <c r="Q146" s="102">
        <v>0</v>
      </c>
      <c r="R146" s="102">
        <v>0</v>
      </c>
      <c r="S146" s="102">
        <v>0</v>
      </c>
      <c r="T146" s="102">
        <f>IF(Q146&gt;0,S146*100/Q146,0)</f>
        <v>0</v>
      </c>
      <c r="U146" s="102">
        <f>IF(R146&gt;0,S146*100/R146,0)</f>
        <v>0</v>
      </c>
    </row>
    <row r="147" spans="1:21" ht="18.75" hidden="1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256">
        <f ca="1">IFERROR(__xludf.DUMMYFUNCTION("IMPORTRANGE(""https://docs.google.com/spreadsheets/d/1-uDff_7J0KD5mKrp0Vvzr7lt3OU09vwQwhkpOPPYv2Y/edit?usp=sharing"",""งบพรบ!BT49"")"),0)</f>
        <v>0</v>
      </c>
      <c r="M147" s="255">
        <f ca="1">IFERROR(__xludf.DUMMYFUNCTION("IMPORTRANGE(""https://docs.google.com/spreadsheets/d/1-uDff_7J0KD5mKrp0Vvzr7lt3OU09vwQwhkpOPPYv2Y/edit?usp=sharing"",""งบพรบ!BW49"")"),0)</f>
        <v>0</v>
      </c>
      <c r="N147" s="255">
        <f ca="1">IFERROR(__xludf.DUMMYFUNCTION("IMPORTRANGE(""https://docs.google.com/spreadsheets/d/1-uDff_7J0KD5mKrp0Vvzr7lt3OU09vwQwhkpOPPYv2Y/edit?usp=sharing"",""งบพรบ!BY49"")"),0)</f>
        <v>0</v>
      </c>
      <c r="O147" s="255">
        <f ca="1">IF(L147&gt;0,N147*100/L147,0)</f>
        <v>0</v>
      </c>
      <c r="P147" s="255">
        <f ca="1">IF(M147&gt;0,N147*100/M147,0)</f>
        <v>0</v>
      </c>
      <c r="Q147" s="255">
        <v>0</v>
      </c>
      <c r="R147" s="255">
        <v>0</v>
      </c>
      <c r="S147" s="255">
        <v>0</v>
      </c>
      <c r="T147" s="255">
        <f>IF(Q147&gt;0,S147*100/Q147,0)</f>
        <v>0</v>
      </c>
      <c r="U147" s="255">
        <f>IF(R147&gt;0,S147*100/R147,0)</f>
        <v>0</v>
      </c>
    </row>
    <row r="148" spans="1:21" ht="19.5" hidden="1">
      <c r="A148" s="166"/>
      <c r="B148" s="167"/>
      <c r="C148" s="156" t="s">
        <v>18</v>
      </c>
      <c r="D148" s="566" t="s">
        <v>38</v>
      </c>
      <c r="E148" s="169"/>
      <c r="F148" s="169"/>
      <c r="G148" s="170"/>
      <c r="H148" s="206"/>
      <c r="I148" s="54"/>
      <c r="J148" s="54"/>
      <c r="K148" s="55"/>
      <c r="L148" s="62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8.75" hidden="1">
      <c r="A149" s="155"/>
      <c r="B149" s="50"/>
      <c r="C149" s="50"/>
      <c r="D149" s="58" t="s">
        <v>63</v>
      </c>
      <c r="E149" s="50"/>
      <c r="F149" s="50"/>
      <c r="G149" s="52"/>
      <c r="H149" s="206"/>
      <c r="I149" s="54"/>
      <c r="J149" s="467">
        <v>0</v>
      </c>
      <c r="K149" s="55"/>
      <c r="L149" s="62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9.5" hidden="1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212">
        <f ca="1">IFERROR(__xludf.DUMMYFUNCTION("IMPORTRANGE(""https://docs.google.com/spreadsheets/d/1eHaY18a8A9IcSdp1K8H6x8fbOy06t2VsZHhMHf-1x7Y/edit?usp=sharing"",""แผน!U49"")"),0)</f>
        <v>0</v>
      </c>
      <c r="J150" s="467">
        <v>0</v>
      </c>
      <c r="K150" s="255">
        <f ca="1">IF(I150&gt;0,J150*100/I150,0)</f>
        <v>0</v>
      </c>
      <c r="L150" s="62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8.75" hidden="1">
      <c r="A151" s="155"/>
      <c r="B151" s="50"/>
      <c r="C151" s="50"/>
      <c r="D151" s="174"/>
      <c r="E151" s="50"/>
      <c r="F151" s="50"/>
      <c r="G151" s="52"/>
      <c r="H151" s="165" t="s">
        <v>54</v>
      </c>
      <c r="I151" s="212">
        <f ca="1">IFERROR(__xludf.DUMMYFUNCTION("IMPORTRANGE(""https://docs.google.com/spreadsheets/d/1eHaY18a8A9IcSdp1K8H6x8fbOy06t2VsZHhMHf-1x7Y/edit?usp=sharing"",""แผน!V49"")"),0)</f>
        <v>0</v>
      </c>
      <c r="J151" s="467">
        <v>0</v>
      </c>
      <c r="K151" s="255">
        <f ca="1">IF(I151&gt;0,J151*100/I151,0)</f>
        <v>0</v>
      </c>
      <c r="L151" s="62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9.5" hidden="1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212">
        <f ca="1">IFERROR(__xludf.DUMMYFUNCTION("IMPORTRANGE(""https://docs.google.com/spreadsheets/d/1eHaY18a8A9IcSdp1K8H6x8fbOy06t2VsZHhMHf-1x7Y/edit?usp=sharing"",""แผน!W49"")"),0)</f>
        <v>0</v>
      </c>
      <c r="J152" s="467">
        <v>0</v>
      </c>
      <c r="K152" s="255">
        <f ca="1">IF(I152&gt;0,J152*100/I152,0)</f>
        <v>0</v>
      </c>
      <c r="L152" s="62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8.75" hidden="1">
      <c r="A153" s="155"/>
      <c r="B153" s="50"/>
      <c r="C153" s="50"/>
      <c r="D153" s="50"/>
      <c r="E153" s="50"/>
      <c r="F153" s="50"/>
      <c r="G153" s="52"/>
      <c r="H153" s="165" t="s">
        <v>54</v>
      </c>
      <c r="I153" s="212">
        <f ca="1">IFERROR(__xludf.DUMMYFUNCTION("IMPORTRANGE(""https://docs.google.com/spreadsheets/d/1eHaY18a8A9IcSdp1K8H6x8fbOy06t2VsZHhMHf-1x7Y/edit?usp=sharing"",""แผน!X49"")"),0)</f>
        <v>0</v>
      </c>
      <c r="J153" s="467">
        <v>0</v>
      </c>
      <c r="K153" s="255">
        <f ca="1">IF(I153&gt;0,J153*100/I153,0)</f>
        <v>0</v>
      </c>
      <c r="L153" s="62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8.75" hidden="1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212">
        <f ca="1">IFERROR(__xludf.DUMMYFUNCTION("IMPORTRANGE(""https://docs.google.com/spreadsheets/d/1eHaY18a8A9IcSdp1K8H6x8fbOy06t2VsZHhMHf-1x7Y/edit?usp=sharing"",""แผน!Y49"")"),0)</f>
        <v>0</v>
      </c>
      <c r="J154" s="467">
        <v>0</v>
      </c>
      <c r="K154" s="255">
        <f ca="1">IF(I154&gt;0,J154*100/I154,0)</f>
        <v>0</v>
      </c>
      <c r="L154" s="62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9.5" hidden="1">
      <c r="A155" s="143" t="s">
        <v>67</v>
      </c>
      <c r="B155" s="144"/>
      <c r="C155" s="196"/>
      <c r="D155" s="144"/>
      <c r="E155" s="144"/>
      <c r="F155" s="144"/>
      <c r="G155" s="144"/>
      <c r="H155" s="144"/>
      <c r="I155" s="197"/>
      <c r="J155" s="197"/>
      <c r="K155" s="19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</row>
    <row r="156" spans="1:21" ht="19.5" hidden="1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721">
        <f ca="1">I169</f>
        <v>0</v>
      </c>
      <c r="J156" s="721">
        <f>J169</f>
        <v>0</v>
      </c>
      <c r="K156" s="720">
        <f ca="1">IF(I156&gt;0,J156*100/I156,0)</f>
        <v>0</v>
      </c>
      <c r="L156" s="154"/>
      <c r="M156" s="40"/>
      <c r="N156" s="40"/>
      <c r="O156" s="40"/>
      <c r="P156" s="40"/>
      <c r="Q156" s="40"/>
      <c r="R156" s="40"/>
      <c r="S156" s="40"/>
      <c r="T156" s="40"/>
      <c r="U156" s="40"/>
    </row>
    <row r="157" spans="1:21" ht="19.5" hidden="1">
      <c r="A157" s="155"/>
      <c r="B157" s="50"/>
      <c r="C157" s="156" t="s">
        <v>18</v>
      </c>
      <c r="D157" s="575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541">
        <f ca="1">L158+L159</f>
        <v>0</v>
      </c>
      <c r="M157" s="540">
        <f ca="1">M158+M159</f>
        <v>0</v>
      </c>
      <c r="N157" s="540">
        <f ca="1">N158+N159</f>
        <v>0</v>
      </c>
      <c r="O157" s="540">
        <f ca="1">IF(L157&gt;0,N157*100/L157,0)</f>
        <v>0</v>
      </c>
      <c r="P157" s="540">
        <f ca="1">IF(M157&gt;0,N157*100/M157,0)</f>
        <v>0</v>
      </c>
      <c r="Q157" s="540">
        <f ca="1">Q158+Q159</f>
        <v>0</v>
      </c>
      <c r="R157" s="540">
        <f ca="1">R158+R159</f>
        <v>0</v>
      </c>
      <c r="S157" s="540">
        <f ca="1">S158+S159</f>
        <v>0</v>
      </c>
      <c r="T157" s="540">
        <f ca="1">IF(Q157&gt;0,S157*100/Q157,0)</f>
        <v>0</v>
      </c>
      <c r="U157" s="540">
        <f ca="1">IF(R157&gt;0,S157*100/R157,0)</f>
        <v>0</v>
      </c>
    </row>
    <row r="158" spans="1:21" ht="18.75" hidden="1">
      <c r="A158" s="155"/>
      <c r="B158" s="50"/>
      <c r="C158" s="50"/>
      <c r="D158" s="50"/>
      <c r="E158" s="186" t="s">
        <v>20</v>
      </c>
      <c r="F158" s="50"/>
      <c r="G158" s="52"/>
      <c r="H158" s="187" t="s">
        <v>14</v>
      </c>
      <c r="I158" s="54"/>
      <c r="J158" s="54"/>
      <c r="K158" s="55"/>
      <c r="L158" s="103">
        <f>L161+L164</f>
        <v>0</v>
      </c>
      <c r="M158" s="102">
        <f>M161+M164</f>
        <v>0</v>
      </c>
      <c r="N158" s="102">
        <f>N161+N164</f>
        <v>0</v>
      </c>
      <c r="O158" s="102">
        <f>IF(L158&gt;0,N158*100/L158,0)</f>
        <v>0</v>
      </c>
      <c r="P158" s="102">
        <f>IF(M158&gt;0,N158*100/M158,0)</f>
        <v>0</v>
      </c>
      <c r="Q158" s="102">
        <f>Q161+Q164</f>
        <v>0</v>
      </c>
      <c r="R158" s="102">
        <f>R161+R164</f>
        <v>0</v>
      </c>
      <c r="S158" s="102">
        <f>S161+S164</f>
        <v>0</v>
      </c>
      <c r="T158" s="102">
        <f>IF(Q158&gt;0,S158*100/Q158,0)</f>
        <v>0</v>
      </c>
      <c r="U158" s="102">
        <f>IF(R158&gt;0,S158*100/R158,0)</f>
        <v>0</v>
      </c>
    </row>
    <row r="159" spans="1:21" ht="18.75" hidden="1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256">
        <f ca="1">L162+L165</f>
        <v>0</v>
      </c>
      <c r="M159" s="255">
        <f ca="1">M162+M165</f>
        <v>0</v>
      </c>
      <c r="N159" s="255">
        <f ca="1">N162+N165</f>
        <v>0</v>
      </c>
      <c r="O159" s="255">
        <f ca="1">IF(L159&gt;0,N159*100/L159,0)</f>
        <v>0</v>
      </c>
      <c r="P159" s="255">
        <f ca="1">IF(M159&gt;0,N159*100/M159,0)</f>
        <v>0</v>
      </c>
      <c r="Q159" s="255">
        <f ca="1">Q162+Q165</f>
        <v>0</v>
      </c>
      <c r="R159" s="255">
        <f ca="1">R162+R165</f>
        <v>0</v>
      </c>
      <c r="S159" s="255">
        <f ca="1">S162+S165</f>
        <v>0</v>
      </c>
      <c r="T159" s="255">
        <f ca="1">IF(Q159&gt;0,S159*100/Q159,0)</f>
        <v>0</v>
      </c>
      <c r="U159" s="255">
        <f ca="1">IF(R159&gt;0,S159*100/R159,0)</f>
        <v>0</v>
      </c>
    </row>
    <row r="160" spans="1:21" ht="18.75" hidden="1">
      <c r="A160" s="155"/>
      <c r="B160" s="50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256">
        <f ca="1">L161+L162</f>
        <v>0</v>
      </c>
      <c r="M160" s="255">
        <f ca="1">M161+M162</f>
        <v>0</v>
      </c>
      <c r="N160" s="255">
        <f ca="1">N161+N162</f>
        <v>0</v>
      </c>
      <c r="O160" s="255">
        <f ca="1">IF(L160&gt;0,N160*100/L160,0)</f>
        <v>0</v>
      </c>
      <c r="P160" s="255">
        <f ca="1">IF(M160&gt;0,N160*100/M160,0)</f>
        <v>0</v>
      </c>
      <c r="Q160" s="255">
        <f ca="1">Q161+Q162</f>
        <v>0</v>
      </c>
      <c r="R160" s="255">
        <f ca="1">R161+R162</f>
        <v>0</v>
      </c>
      <c r="S160" s="255">
        <f ca="1">S161+S162</f>
        <v>0</v>
      </c>
      <c r="T160" s="255">
        <f ca="1">IF(Q160&gt;0,S160*100/Q160,0)</f>
        <v>0</v>
      </c>
      <c r="U160" s="255">
        <f ca="1">IF(R160&gt;0,S160*100/R160,0)</f>
        <v>0</v>
      </c>
    </row>
    <row r="161" spans="1:21" ht="18.75" hidden="1">
      <c r="A161" s="155"/>
      <c r="B161" s="50"/>
      <c r="C161" s="50"/>
      <c r="D161" s="50"/>
      <c r="E161" s="186" t="s">
        <v>36</v>
      </c>
      <c r="F161" s="50"/>
      <c r="G161" s="52"/>
      <c r="H161" s="189" t="s">
        <v>14</v>
      </c>
      <c r="I161" s="163"/>
      <c r="J161" s="163"/>
      <c r="K161" s="164"/>
      <c r="L161" s="103">
        <v>0</v>
      </c>
      <c r="M161" s="102">
        <v>0</v>
      </c>
      <c r="N161" s="102">
        <v>0</v>
      </c>
      <c r="O161" s="102">
        <f>IF(L161&gt;0,N161*100/L161,0)</f>
        <v>0</v>
      </c>
      <c r="P161" s="102">
        <f>IF(M161&gt;0,N161*100/M161,0)</f>
        <v>0</v>
      </c>
      <c r="Q161" s="102">
        <v>0</v>
      </c>
      <c r="R161" s="102">
        <v>0</v>
      </c>
      <c r="S161" s="102">
        <v>0</v>
      </c>
      <c r="T161" s="102">
        <f>IF(Q161&gt;0,S161*100/Q161,0)</f>
        <v>0</v>
      </c>
      <c r="U161" s="102">
        <f>IF(R161&gt;0,S161*100/R161,0)</f>
        <v>0</v>
      </c>
    </row>
    <row r="162" spans="1:21" ht="18.75" hidden="1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256">
        <f ca="1">IFERROR(__xludf.DUMMYFUNCTION("IMPORTRANGE(""https://docs.google.com/spreadsheets/d/1-uDff_7J0KD5mKrp0Vvzr7lt3OU09vwQwhkpOPPYv2Y/edit?usp=sharing"",""งบพรบ!CA49"")"),0)</f>
        <v>0</v>
      </c>
      <c r="M162" s="255">
        <f ca="1">IFERROR(__xludf.DUMMYFUNCTION("IMPORTRANGE(""https://docs.google.com/spreadsheets/d/1-uDff_7J0KD5mKrp0Vvzr7lt3OU09vwQwhkpOPPYv2Y/edit?usp=sharing"",""งบพรบ!CF49"")"),0)</f>
        <v>0</v>
      </c>
      <c r="N162" s="255">
        <f ca="1">IFERROR(__xludf.DUMMYFUNCTION("IMPORTRANGE(""https://docs.google.com/spreadsheets/d/1-uDff_7J0KD5mKrp0Vvzr7lt3OU09vwQwhkpOPPYv2Y/edit?usp=sharing"",""งบพรบ!CH49"")"),0)</f>
        <v>0</v>
      </c>
      <c r="O162" s="255">
        <f ca="1">IF(L162&gt;0,N162*100/L162,0)</f>
        <v>0</v>
      </c>
      <c r="P162" s="255">
        <f ca="1">IF(M162&gt;0,N162*100/M162,0)</f>
        <v>0</v>
      </c>
      <c r="Q162" s="255">
        <f ca="1">IFERROR(__xludf.DUMMYFUNCTION("IMPORTRANGE(""https://docs.google.com/spreadsheets/d/1ItG2mGa2ceCfYo0BwxsXqNm01IGEUdYcSSLTEv9YCik/edit?usp=sharing"",""เบิกจ่ายกองทุน!AG49"")"),0)</f>
        <v>0</v>
      </c>
      <c r="R162" s="255">
        <f ca="1">IFERROR(__xludf.DUMMYFUNCTION("IMPORTRANGE(""https://docs.google.com/spreadsheets/d/1ItG2mGa2ceCfYo0BwxsXqNm01IGEUdYcSSLTEv9YCik/edit?usp=sharing"",""เบิกจ่ายกองทุน!AH49"")"),0)</f>
        <v>0</v>
      </c>
      <c r="S162" s="255">
        <f ca="1">IFERROR(__xludf.DUMMYFUNCTION("IMPORTRANGE(""https://docs.google.com/spreadsheets/d/1ItG2mGa2ceCfYo0BwxsXqNm01IGEUdYcSSLTEv9YCik/edit?usp=sharing"",""เบิกจ่ายกองทุน!AI49"")"),0)</f>
        <v>0</v>
      </c>
      <c r="T162" s="255">
        <f ca="1">IF(Q162&gt;0,S162*100/Q162,0)</f>
        <v>0</v>
      </c>
      <c r="U162" s="255">
        <f ca="1">IF(R162&gt;0,S162*100/R162,0)</f>
        <v>0</v>
      </c>
    </row>
    <row r="163" spans="1:21" ht="18.75" hidden="1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256">
        <f ca="1">L164+L165</f>
        <v>0</v>
      </c>
      <c r="M163" s="255">
        <f ca="1">M164+M165</f>
        <v>0</v>
      </c>
      <c r="N163" s="255">
        <f ca="1">N164+N165</f>
        <v>0</v>
      </c>
      <c r="O163" s="255">
        <f ca="1">IF(L163&gt;0,N163*100/L163,0)</f>
        <v>0</v>
      </c>
      <c r="P163" s="255">
        <f ca="1">IF(M163&gt;0,N163*100/M163,0)</f>
        <v>0</v>
      </c>
      <c r="Q163" s="255">
        <f>Q164+Q165</f>
        <v>0</v>
      </c>
      <c r="R163" s="255">
        <f>R164+R165</f>
        <v>0</v>
      </c>
      <c r="S163" s="255">
        <f>S164+S165</f>
        <v>0</v>
      </c>
      <c r="T163" s="255">
        <f>IF(Q163&gt;0,S163*100/Q163,0)</f>
        <v>0</v>
      </c>
      <c r="U163" s="255">
        <f>IF(R163&gt;0,S163*100/R163,0)</f>
        <v>0</v>
      </c>
    </row>
    <row r="164" spans="1:21" ht="18.75" hidden="1">
      <c r="A164" s="155"/>
      <c r="B164" s="50"/>
      <c r="C164" s="50"/>
      <c r="D164" s="50"/>
      <c r="E164" s="186" t="s">
        <v>20</v>
      </c>
      <c r="F164" s="50"/>
      <c r="G164" s="52"/>
      <c r="H164" s="189" t="s">
        <v>14</v>
      </c>
      <c r="I164" s="163"/>
      <c r="J164" s="163"/>
      <c r="K164" s="164"/>
      <c r="L164" s="103">
        <v>0</v>
      </c>
      <c r="M164" s="102">
        <v>0</v>
      </c>
      <c r="N164" s="102">
        <v>0</v>
      </c>
      <c r="O164" s="102">
        <f>IF(L164&gt;0,N164*100/L164,0)</f>
        <v>0</v>
      </c>
      <c r="P164" s="102">
        <f>IF(M164&gt;0,N164*100/M164,0)</f>
        <v>0</v>
      </c>
      <c r="Q164" s="102">
        <v>0</v>
      </c>
      <c r="R164" s="102">
        <v>0</v>
      </c>
      <c r="S164" s="102">
        <v>0</v>
      </c>
      <c r="T164" s="102">
        <f>IF(Q164&gt;0,S164*100/Q164,0)</f>
        <v>0</v>
      </c>
      <c r="U164" s="102">
        <f>IF(R164&gt;0,S164*100/R164,0)</f>
        <v>0</v>
      </c>
    </row>
    <row r="165" spans="1:21" ht="18.75" hidden="1">
      <c r="A165" s="155"/>
      <c r="B165" s="50"/>
      <c r="C165" s="50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256">
        <f ca="1">IFERROR(__xludf.DUMMYFUNCTION("IMPORTRANGE(""https://docs.google.com/spreadsheets/d/1-uDff_7J0KD5mKrp0Vvzr7lt3OU09vwQwhkpOPPYv2Y/edit?usp=sharing"",""งบพรบ!CD49"")"),0)</f>
        <v>0</v>
      </c>
      <c r="M165" s="255">
        <f ca="1">IFERROR(__xludf.DUMMYFUNCTION("IMPORTRANGE(""https://docs.google.com/spreadsheets/d/1-uDff_7J0KD5mKrp0Vvzr7lt3OU09vwQwhkpOPPYv2Y/edit?usp=sharing"",""งบพรบ!CG49"")"),0)</f>
        <v>0</v>
      </c>
      <c r="N165" s="255">
        <f ca="1">IFERROR(__xludf.DUMMYFUNCTION("IMPORTRANGE(""https://docs.google.com/spreadsheets/d/1-uDff_7J0KD5mKrp0Vvzr7lt3OU09vwQwhkpOPPYv2Y/edit?usp=sharing"",""งบพรบ!CI49"")"),0)</f>
        <v>0</v>
      </c>
      <c r="O165" s="255">
        <f ca="1">IF(L165&gt;0,N165*100/L165,0)</f>
        <v>0</v>
      </c>
      <c r="P165" s="255">
        <f ca="1">IF(M165&gt;0,N165*100/M165,0)</f>
        <v>0</v>
      </c>
      <c r="Q165" s="255">
        <v>0</v>
      </c>
      <c r="R165" s="255">
        <v>0</v>
      </c>
      <c r="S165" s="255">
        <v>0</v>
      </c>
      <c r="T165" s="255">
        <f>IF(Q165&gt;0,S165*100/Q165,0)</f>
        <v>0</v>
      </c>
      <c r="U165" s="255">
        <f>IF(R165&gt;0,S165*100/R165,0)</f>
        <v>0</v>
      </c>
    </row>
    <row r="166" spans="1:21" ht="19.5" hidden="1">
      <c r="A166" s="166"/>
      <c r="B166" s="167"/>
      <c r="C166" s="156" t="s">
        <v>18</v>
      </c>
      <c r="D166" s="566" t="s">
        <v>38</v>
      </c>
      <c r="E166" s="169"/>
      <c r="F166" s="169"/>
      <c r="G166" s="170"/>
      <c r="H166" s="206"/>
      <c r="I166" s="54"/>
      <c r="J166" s="54"/>
      <c r="K166" s="55"/>
      <c r="L166" s="62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8.75" hidden="1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212">
        <f ca="1">IFERROR(__xludf.DUMMYFUNCTION("IMPORTRANGE(""https://docs.google.com/spreadsheets/d/1eHaY18a8A9IcSdp1K8H6x8fbOy06t2VsZHhMHf-1x7Y/edit?usp=sharing"",""แผน!Z49"")"),0)</f>
        <v>0</v>
      </c>
      <c r="J167" s="467">
        <v>0</v>
      </c>
      <c r="K167" s="255">
        <f ca="1">IF(I167&gt;0,J167*100/I167,0)</f>
        <v>0</v>
      </c>
      <c r="L167" s="62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8.75" hidden="1">
      <c r="A168" s="155"/>
      <c r="B168" s="50"/>
      <c r="C168" s="50"/>
      <c r="D168" s="186" t="s">
        <v>70</v>
      </c>
      <c r="E168" s="50"/>
      <c r="F168" s="50"/>
      <c r="G168" s="52"/>
      <c r="H168" s="421" t="s">
        <v>35</v>
      </c>
      <c r="I168" s="483">
        <f ca="1">IFERROR(__xludf.DUMMYFUNCTION("IMPORTRANGE(""https://docs.google.com/spreadsheets/d/1eHaY18a8A9IcSdp1K8H6x8fbOy06t2VsZHhMHf-1x7Y/edit?usp=sharing"",""แผน!Z49"")"),0)</f>
        <v>0</v>
      </c>
      <c r="J168" s="589">
        <v>0</v>
      </c>
      <c r="K168" s="102">
        <f ca="1">IF(I168&gt;0,J168*100/I168,0)</f>
        <v>0</v>
      </c>
      <c r="L168" s="62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8.75" hidden="1">
      <c r="A169" s="213"/>
      <c r="B169" s="4"/>
      <c r="C169" s="4"/>
      <c r="D169" s="484" t="s">
        <v>71</v>
      </c>
      <c r="E169" s="4"/>
      <c r="F169" s="4"/>
      <c r="G169" s="65"/>
      <c r="H169" s="719" t="s">
        <v>35</v>
      </c>
      <c r="I169" s="486">
        <f ca="1">IFERROR(__xludf.DUMMYFUNCTION("IMPORTRANGE(""https://docs.google.com/spreadsheets/d/1eHaY18a8A9IcSdp1K8H6x8fbOy06t2VsZHhMHf-1x7Y/edit?usp=sharing"",""แผน!Z49"")"),0)</f>
        <v>0</v>
      </c>
      <c r="J169" s="586">
        <v>0</v>
      </c>
      <c r="K169" s="585">
        <f ca="1">IF(I169&gt;0,J169*100/I169,0)</f>
        <v>0</v>
      </c>
      <c r="L169" s="68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9"/>
      <c r="I170" s="220"/>
      <c r="J170" s="220"/>
      <c r="K170" s="221"/>
      <c r="L170" s="221"/>
      <c r="M170" s="221"/>
      <c r="N170" s="221"/>
      <c r="O170" s="221"/>
      <c r="P170" s="222"/>
      <c r="Q170" s="221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226"/>
      <c r="I171" s="227"/>
      <c r="J171" s="227"/>
      <c r="K171" s="228"/>
      <c r="L171" s="229"/>
      <c r="M171" s="228"/>
      <c r="N171" s="228"/>
      <c r="O171" s="228"/>
      <c r="P171" s="228"/>
      <c r="Q171" s="228"/>
      <c r="R171" s="228"/>
      <c r="S171" s="228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233" t="s">
        <v>35</v>
      </c>
      <c r="I172" s="718">
        <f ca="1">I183+I184</f>
        <v>7</v>
      </c>
      <c r="J172" s="718">
        <f>J183+J184</f>
        <v>7</v>
      </c>
      <c r="K172" s="717">
        <f ca="1">IF(I172&gt;0,J172*100/I172,0)</f>
        <v>100</v>
      </c>
      <c r="L172" s="237"/>
      <c r="M172" s="236"/>
      <c r="N172" s="236"/>
      <c r="O172" s="236"/>
      <c r="P172" s="236"/>
      <c r="Q172" s="236"/>
      <c r="R172" s="236"/>
      <c r="S172" s="236"/>
      <c r="T172" s="236"/>
      <c r="U172" s="236"/>
    </row>
    <row r="173" spans="1:21" ht="19.5">
      <c r="A173" s="155"/>
      <c r="B173" s="50"/>
      <c r="C173" s="156" t="s">
        <v>18</v>
      </c>
      <c r="D173" s="575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541">
        <f ca="1">L174+L175</f>
        <v>19590</v>
      </c>
      <c r="M173" s="540">
        <f ca="1">M174+M175</f>
        <v>39260</v>
      </c>
      <c r="N173" s="540">
        <f ca="1">N174+N175</f>
        <v>38140</v>
      </c>
      <c r="O173" s="540">
        <f ca="1">IF(L173&gt;0,N173*100/L173,0)</f>
        <v>194.69116896375701</v>
      </c>
      <c r="P173" s="540">
        <f ca="1">IF(M173&gt;0,N173*100/M173,0)</f>
        <v>97.147223637289869</v>
      </c>
      <c r="Q173" s="540">
        <f ca="1">Q174+Q175</f>
        <v>0</v>
      </c>
      <c r="R173" s="540">
        <f ca="1">R174+R175</f>
        <v>0</v>
      </c>
      <c r="S173" s="540">
        <f ca="1">S174+S175</f>
        <v>0</v>
      </c>
      <c r="T173" s="540">
        <f ca="1">IF(Q173&gt;0,S173*100/Q173,0)</f>
        <v>0</v>
      </c>
      <c r="U173" s="540">
        <f ca="1">IF(R173&gt;0,S173*100/R173,0)</f>
        <v>0</v>
      </c>
    </row>
    <row r="174" spans="1:21" ht="18.75" hidden="1">
      <c r="A174" s="155"/>
      <c r="B174" s="50"/>
      <c r="C174" s="50"/>
      <c r="D174" s="50"/>
      <c r="E174" s="186" t="s">
        <v>20</v>
      </c>
      <c r="F174" s="50"/>
      <c r="G174" s="52"/>
      <c r="H174" s="187" t="s">
        <v>14</v>
      </c>
      <c r="I174" s="54"/>
      <c r="J174" s="54"/>
      <c r="K174" s="55"/>
      <c r="L174" s="103">
        <f>L177+L180</f>
        <v>0</v>
      </c>
      <c r="M174" s="102">
        <f>M177+M180</f>
        <v>0</v>
      </c>
      <c r="N174" s="102">
        <f>N177+N180</f>
        <v>0</v>
      </c>
      <c r="O174" s="102">
        <f>IF(L174&gt;0,N174*100/L174,0)</f>
        <v>0</v>
      </c>
      <c r="P174" s="102">
        <f>IF(M174&gt;0,N174*100/M174,0)</f>
        <v>0</v>
      </c>
      <c r="Q174" s="102">
        <f>Q177+Q180</f>
        <v>0</v>
      </c>
      <c r="R174" s="102">
        <f>R177+R180</f>
        <v>0</v>
      </c>
      <c r="S174" s="102">
        <f>S177+S180</f>
        <v>0</v>
      </c>
      <c r="T174" s="102">
        <f>IF(Q174&gt;0,S174*100/Q174,0)</f>
        <v>0</v>
      </c>
      <c r="U174" s="102">
        <f>IF(R174&gt;0,S174*100/R174,0)</f>
        <v>0</v>
      </c>
    </row>
    <row r="175" spans="1:21" ht="18.75" hidden="1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256">
        <f ca="1">L178+L181</f>
        <v>19590</v>
      </c>
      <c r="M175" s="255">
        <f ca="1">M178+M181</f>
        <v>39260</v>
      </c>
      <c r="N175" s="255">
        <f ca="1">N178+N181</f>
        <v>38140</v>
      </c>
      <c r="O175" s="255">
        <f ca="1">IF(L175&gt;0,N175*100/L175,0)</f>
        <v>194.69116896375701</v>
      </c>
      <c r="P175" s="255">
        <f ca="1">IF(M175&gt;0,N175*100/M175,0)</f>
        <v>97.147223637289869</v>
      </c>
      <c r="Q175" s="255">
        <f ca="1">Q178+Q181</f>
        <v>0</v>
      </c>
      <c r="R175" s="255">
        <f ca="1">R178+R181</f>
        <v>0</v>
      </c>
      <c r="S175" s="255">
        <f ca="1">S178+S181</f>
        <v>0</v>
      </c>
      <c r="T175" s="255">
        <f ca="1">IF(Q175&gt;0,S175*100/Q175,0)</f>
        <v>0</v>
      </c>
      <c r="U175" s="255">
        <f ca="1">IF(R175&gt;0,S175*100/R175,0)</f>
        <v>0</v>
      </c>
    </row>
    <row r="176" spans="1:21" ht="18.75">
      <c r="A176" s="155"/>
      <c r="B176" s="50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256">
        <f ca="1">L177+L178</f>
        <v>19590</v>
      </c>
      <c r="M176" s="255">
        <f ca="1">M177+M178</f>
        <v>39260</v>
      </c>
      <c r="N176" s="255">
        <f ca="1">N177+N178</f>
        <v>38140</v>
      </c>
      <c r="O176" s="255">
        <f ca="1">IF(L176&gt;0,N176*100/L176,0)</f>
        <v>194.69116896375701</v>
      </c>
      <c r="P176" s="255">
        <f ca="1">IF(M176&gt;0,N176*100/M176,0)</f>
        <v>97.147223637289869</v>
      </c>
      <c r="Q176" s="255">
        <f ca="1">Q177+Q178</f>
        <v>0</v>
      </c>
      <c r="R176" s="255">
        <f ca="1">R177+R178</f>
        <v>0</v>
      </c>
      <c r="S176" s="255">
        <f ca="1">S177+S178</f>
        <v>0</v>
      </c>
      <c r="T176" s="255">
        <f ca="1">IF(Q176&gt;0,S176*100/Q176,0)</f>
        <v>0</v>
      </c>
      <c r="U176" s="255">
        <f ca="1">IF(R176&gt;0,S176*100/R176,0)</f>
        <v>0</v>
      </c>
    </row>
    <row r="177" spans="1:21" ht="18.75" hidden="1">
      <c r="A177" s="155"/>
      <c r="B177" s="50"/>
      <c r="C177" s="50"/>
      <c r="D177" s="50"/>
      <c r="E177" s="186" t="s">
        <v>36</v>
      </c>
      <c r="F177" s="50"/>
      <c r="G177" s="52"/>
      <c r="H177" s="189" t="s">
        <v>14</v>
      </c>
      <c r="I177" s="163"/>
      <c r="J177" s="163"/>
      <c r="K177" s="164"/>
      <c r="L177" s="103">
        <v>0</v>
      </c>
      <c r="M177" s="102">
        <v>0</v>
      </c>
      <c r="N177" s="102">
        <v>0</v>
      </c>
      <c r="O177" s="102">
        <f>IF(L177&gt;0,N177*100/L177,0)</f>
        <v>0</v>
      </c>
      <c r="P177" s="102">
        <f>IF(M177&gt;0,N177*100/M177,0)</f>
        <v>0</v>
      </c>
      <c r="Q177" s="102">
        <v>0</v>
      </c>
      <c r="R177" s="102">
        <v>0</v>
      </c>
      <c r="S177" s="102">
        <v>0</v>
      </c>
      <c r="T177" s="102">
        <f>IF(Q177&gt;0,S177*100/Q177,0)</f>
        <v>0</v>
      </c>
      <c r="U177" s="102">
        <f>IF(R177&gt;0,S177*100/R177,0)</f>
        <v>0</v>
      </c>
    </row>
    <row r="178" spans="1:21" ht="18.75" hidden="1">
      <c r="A178" s="155"/>
      <c r="B178" s="50"/>
      <c r="C178" s="50"/>
      <c r="D178" s="50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256">
        <f ca="1">IFERROR(__xludf.DUMMYFUNCTION("IMPORTRANGE(""https://docs.google.com/spreadsheets/d/1-uDff_7J0KD5mKrp0Vvzr7lt3OU09vwQwhkpOPPYv2Y/edit?usp=sharing"",""งบพรบ!CK49"")"),19590)</f>
        <v>19590</v>
      </c>
      <c r="M178" s="255">
        <f ca="1">IFERROR(__xludf.DUMMYFUNCTION("IMPORTRANGE(""https://docs.google.com/spreadsheets/d/1-uDff_7J0KD5mKrp0Vvzr7lt3OU09vwQwhkpOPPYv2Y/edit?usp=sharing"",""งบพรบ!CP49"")"),39260)</f>
        <v>39260</v>
      </c>
      <c r="N178" s="255">
        <f ca="1">IFERROR(__xludf.DUMMYFUNCTION("IMPORTRANGE(""https://docs.google.com/spreadsheets/d/1-uDff_7J0KD5mKrp0Vvzr7lt3OU09vwQwhkpOPPYv2Y/edit?usp=sharing"",""งบพรบ!CR49"")"),38140)</f>
        <v>38140</v>
      </c>
      <c r="O178" s="255">
        <f ca="1">IF(L178&gt;0,N178*100/L178,0)</f>
        <v>194.69116896375701</v>
      </c>
      <c r="P178" s="255">
        <f ca="1">IF(M178&gt;0,N178*100/M178,0)</f>
        <v>97.147223637289869</v>
      </c>
      <c r="Q178" s="255">
        <f ca="1">IFERROR(__xludf.DUMMYFUNCTION("IMPORTRANGE(""https://docs.google.com/spreadsheets/d/1ItG2mGa2ceCfYo0BwxsXqNm01IGEUdYcSSLTEv9YCik/edit?usp=sharing"",""เบิกจ่ายกองทุน!BE49"")"),0)</f>
        <v>0</v>
      </c>
      <c r="R178" s="255">
        <f ca="1">IFERROR(__xludf.DUMMYFUNCTION("IMPORTRANGE(""https://docs.google.com/spreadsheets/d/1ItG2mGa2ceCfYo0BwxsXqNm01IGEUdYcSSLTEv9YCik/edit?usp=sharing"",""เบิกจ่ายกองทุน!BF49"")"),0)</f>
        <v>0</v>
      </c>
      <c r="S178" s="255">
        <f ca="1">IFERROR(__xludf.DUMMYFUNCTION("IMPORTRANGE(""https://docs.google.com/spreadsheets/d/1ItG2mGa2ceCfYo0BwxsXqNm01IGEUdYcSSLTEv9YCik/edit?usp=sharing"",""เบิกจ่ายกองทุน!BG49"")"),0)</f>
        <v>0</v>
      </c>
      <c r="T178" s="255">
        <f ca="1">IF(Q178&gt;0,S178*100/Q178,0)</f>
        <v>0</v>
      </c>
      <c r="U178" s="255">
        <f ca="1">IF(R178&gt;0,S178*100/R178,0)</f>
        <v>0</v>
      </c>
    </row>
    <row r="179" spans="1:21" ht="18.75">
      <c r="A179" s="155"/>
      <c r="B179" s="50"/>
      <c r="C179" s="50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256">
        <f ca="1">L180+L181</f>
        <v>0</v>
      </c>
      <c r="M179" s="255">
        <f ca="1">M180+M181</f>
        <v>0</v>
      </c>
      <c r="N179" s="255">
        <f ca="1">N180+N181</f>
        <v>0</v>
      </c>
      <c r="O179" s="255">
        <f ca="1">IF(L179&gt;0,N179*100/L179,0)</f>
        <v>0</v>
      </c>
      <c r="P179" s="255">
        <f ca="1">IF(M179&gt;0,N179*100/M179,0)</f>
        <v>0</v>
      </c>
      <c r="Q179" s="255">
        <f>Q180+Q181</f>
        <v>0</v>
      </c>
      <c r="R179" s="255">
        <f>R180+R181</f>
        <v>0</v>
      </c>
      <c r="S179" s="255">
        <f>S180+S181</f>
        <v>0</v>
      </c>
      <c r="T179" s="255">
        <f>IF(Q179&gt;0,S179*100/Q179,0)</f>
        <v>0</v>
      </c>
      <c r="U179" s="255">
        <f>IF(R179&gt;0,S179*100/R179,0)</f>
        <v>0</v>
      </c>
    </row>
    <row r="180" spans="1:21" ht="18.75" hidden="1">
      <c r="A180" s="155"/>
      <c r="B180" s="50"/>
      <c r="C180" s="50"/>
      <c r="D180" s="50"/>
      <c r="E180" s="186" t="s">
        <v>20</v>
      </c>
      <c r="F180" s="50"/>
      <c r="G180" s="52"/>
      <c r="H180" s="189" t="s">
        <v>14</v>
      </c>
      <c r="I180" s="163"/>
      <c r="J180" s="163"/>
      <c r="K180" s="164"/>
      <c r="L180" s="103">
        <v>0</v>
      </c>
      <c r="M180" s="102">
        <v>0</v>
      </c>
      <c r="N180" s="102">
        <v>0</v>
      </c>
      <c r="O180" s="102">
        <f>IF(L180&gt;0,N180*100/L180,0)</f>
        <v>0</v>
      </c>
      <c r="P180" s="102">
        <f>IF(M180&gt;0,N180*100/M180,0)</f>
        <v>0</v>
      </c>
      <c r="Q180" s="102">
        <v>0</v>
      </c>
      <c r="R180" s="102">
        <v>0</v>
      </c>
      <c r="S180" s="102">
        <v>0</v>
      </c>
      <c r="T180" s="102">
        <f>IF(Q180&gt;0,S180*100/Q180,0)</f>
        <v>0</v>
      </c>
      <c r="U180" s="102">
        <f>IF(R180&gt;0,S180*100/R180,0)</f>
        <v>0</v>
      </c>
    </row>
    <row r="181" spans="1:21" ht="18.75" hidden="1">
      <c r="A181" s="155"/>
      <c r="B181" s="50"/>
      <c r="C181" s="50"/>
      <c r="D181" s="50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256">
        <f ca="1">IFERROR(__xludf.DUMMYFUNCTION("IMPORTRANGE(""https://docs.google.com/spreadsheets/d/1-uDff_7J0KD5mKrp0Vvzr7lt3OU09vwQwhkpOPPYv2Y/edit?usp=sharing"",""งบพรบ!CN49"")"),0)</f>
        <v>0</v>
      </c>
      <c r="M181" s="255">
        <f ca="1">IFERROR(__xludf.DUMMYFUNCTION("IMPORTRANGE(""https://docs.google.com/spreadsheets/d/1-uDff_7J0KD5mKrp0Vvzr7lt3OU09vwQwhkpOPPYv2Y/edit?usp=sharing"",""งบพรบ!CQ49"")"),0)</f>
        <v>0</v>
      </c>
      <c r="N181" s="255">
        <f ca="1">IFERROR(__xludf.DUMMYFUNCTION("IMPORTRANGE(""https://docs.google.com/spreadsheets/d/1-uDff_7J0KD5mKrp0Vvzr7lt3OU09vwQwhkpOPPYv2Y/edit?usp=sharing"",""งบพรบ!CS49"")"),0)</f>
        <v>0</v>
      </c>
      <c r="O181" s="255">
        <f ca="1">IF(L181&gt;0,N181*100/L181,0)</f>
        <v>0</v>
      </c>
      <c r="P181" s="255">
        <f ca="1">IF(M181&gt;0,N181*100/M181,0)</f>
        <v>0</v>
      </c>
      <c r="Q181" s="255">
        <v>0</v>
      </c>
      <c r="R181" s="255">
        <v>0</v>
      </c>
      <c r="S181" s="255">
        <v>0</v>
      </c>
      <c r="T181" s="255">
        <f>IF(Q181&gt;0,S181*100/Q181,0)</f>
        <v>0</v>
      </c>
      <c r="U181" s="255">
        <f>IF(R181&gt;0,S181*100/R181,0)</f>
        <v>0</v>
      </c>
    </row>
    <row r="182" spans="1:21" ht="19.5">
      <c r="A182" s="166"/>
      <c r="B182" s="167"/>
      <c r="C182" s="156" t="s">
        <v>18</v>
      </c>
      <c r="D182" s="566" t="s">
        <v>38</v>
      </c>
      <c r="E182" s="169"/>
      <c r="F182" s="169"/>
      <c r="G182" s="170"/>
      <c r="H182" s="206"/>
      <c r="I182" s="54"/>
      <c r="J182" s="54"/>
      <c r="K182" s="55"/>
      <c r="L182" s="62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40" t="s">
        <v>35</v>
      </c>
      <c r="I183" s="212">
        <f ca="1">IFERROR(__xludf.DUMMYFUNCTION("IMPORTRANGE(""https://docs.google.com/spreadsheets/d/1eHaY18a8A9IcSdp1K8H6x8fbOy06t2VsZHhMHf-1x7Y/edit?usp=sharing"",""แผน!AA49"")"),7)</f>
        <v>7</v>
      </c>
      <c r="J183" s="467">
        <v>7</v>
      </c>
      <c r="K183" s="255">
        <f ca="1">IF(I183&gt;0,J183*100/I183,0)</f>
        <v>100</v>
      </c>
      <c r="L183" s="62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8.75" hidden="1">
      <c r="A184" s="238"/>
      <c r="B184" s="188"/>
      <c r="C184" s="188"/>
      <c r="D184" s="358" t="s">
        <v>76</v>
      </c>
      <c r="E184" s="50"/>
      <c r="F184" s="50"/>
      <c r="G184" s="52"/>
      <c r="H184" s="590" t="s">
        <v>35</v>
      </c>
      <c r="I184" s="483">
        <v>0</v>
      </c>
      <c r="J184" s="483">
        <v>0</v>
      </c>
      <c r="K184" s="102">
        <f>IF(I184&gt;0,J184*100/I184,0)</f>
        <v>0</v>
      </c>
      <c r="L184" s="62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233" t="s">
        <v>35</v>
      </c>
      <c r="I185" s="718">
        <f ca="1">I230+I231</f>
        <v>0</v>
      </c>
      <c r="J185" s="718">
        <f>J230+J231</f>
        <v>0</v>
      </c>
      <c r="K185" s="717">
        <f ca="1">IF(I185&gt;0,J185*100/I185,0)</f>
        <v>0</v>
      </c>
      <c r="L185" s="237"/>
      <c r="M185" s="236"/>
      <c r="N185" s="236"/>
      <c r="O185" s="236"/>
      <c r="P185" s="236"/>
      <c r="Q185" s="236"/>
      <c r="R185" s="236"/>
      <c r="S185" s="236"/>
      <c r="T185" s="236"/>
      <c r="U185" s="236"/>
    </row>
    <row r="186" spans="1:21" ht="19.5">
      <c r="A186" s="155"/>
      <c r="B186" s="50"/>
      <c r="C186" s="156" t="s">
        <v>18</v>
      </c>
      <c r="D186" s="575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541">
        <f ca="1">L187+L188</f>
        <v>42500</v>
      </c>
      <c r="M186" s="540">
        <f ca="1">M187+M188</f>
        <v>26500</v>
      </c>
      <c r="N186" s="540">
        <f ca="1">N187+N188</f>
        <v>1980</v>
      </c>
      <c r="O186" s="540">
        <f ca="1">IF(L186&gt;0,N186*100/L186,0)</f>
        <v>4.658823529411765</v>
      </c>
      <c r="P186" s="540">
        <f ca="1">IF(M186&gt;0,N186*100/M186,0)</f>
        <v>7.4716981132075473</v>
      </c>
      <c r="Q186" s="540">
        <f ca="1">Q187+Q188</f>
        <v>77700</v>
      </c>
      <c r="R186" s="540">
        <f ca="1">R187+R188</f>
        <v>77700</v>
      </c>
      <c r="S186" s="540">
        <f ca="1">S187+S188</f>
        <v>0</v>
      </c>
      <c r="T186" s="540">
        <f ca="1">IF(Q186&gt;0,S186*100/Q186,0)</f>
        <v>0</v>
      </c>
      <c r="U186" s="540">
        <f ca="1">IF(R186&gt;0,S186*100/R186,0)</f>
        <v>0</v>
      </c>
    </row>
    <row r="187" spans="1:21" ht="18.75" hidden="1">
      <c r="A187" s="155"/>
      <c r="B187" s="50"/>
      <c r="C187" s="50"/>
      <c r="D187" s="50"/>
      <c r="E187" s="186" t="s">
        <v>20</v>
      </c>
      <c r="F187" s="50"/>
      <c r="G187" s="52"/>
      <c r="H187" s="187" t="s">
        <v>14</v>
      </c>
      <c r="I187" s="54"/>
      <c r="J187" s="54"/>
      <c r="K187" s="55"/>
      <c r="L187" s="103">
        <f>L190+L193</f>
        <v>0</v>
      </c>
      <c r="M187" s="102">
        <f>M190+M193</f>
        <v>0</v>
      </c>
      <c r="N187" s="102">
        <f>N190+N193</f>
        <v>0</v>
      </c>
      <c r="O187" s="102">
        <f>IF(L187&gt;0,N187*100/L187,0)</f>
        <v>0</v>
      </c>
      <c r="P187" s="102">
        <f>IF(M187&gt;0,N187*100/M187,0)</f>
        <v>0</v>
      </c>
      <c r="Q187" s="102">
        <f>Q190+Q193</f>
        <v>0</v>
      </c>
      <c r="R187" s="102">
        <f>R190+R193</f>
        <v>0</v>
      </c>
      <c r="S187" s="102">
        <f>S190+S193</f>
        <v>0</v>
      </c>
      <c r="T187" s="102">
        <f>IF(Q187&gt;0,S187*100/Q187,0)</f>
        <v>0</v>
      </c>
      <c r="U187" s="102">
        <f>IF(R187&gt;0,S187*100/R187,0)</f>
        <v>0</v>
      </c>
    </row>
    <row r="188" spans="1:21" ht="18.75" hidden="1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256">
        <f ca="1">L191+L194</f>
        <v>42500</v>
      </c>
      <c r="M188" s="255">
        <f ca="1">M191+M194</f>
        <v>26500</v>
      </c>
      <c r="N188" s="255">
        <f ca="1">N191+N194</f>
        <v>1980</v>
      </c>
      <c r="O188" s="255">
        <f ca="1">IF(L188&gt;0,N188*100/L188,0)</f>
        <v>4.658823529411765</v>
      </c>
      <c r="P188" s="255">
        <f ca="1">IF(M188&gt;0,N188*100/M188,0)</f>
        <v>7.4716981132075473</v>
      </c>
      <c r="Q188" s="255">
        <f ca="1">Q191+Q194</f>
        <v>77700</v>
      </c>
      <c r="R188" s="255">
        <f ca="1">R191+R194</f>
        <v>77700</v>
      </c>
      <c r="S188" s="255">
        <f ca="1">S191+S194</f>
        <v>0</v>
      </c>
      <c r="T188" s="255">
        <f ca="1">IF(Q188&gt;0,S188*100/Q188,0)</f>
        <v>0</v>
      </c>
      <c r="U188" s="255">
        <f ca="1">IF(R188&gt;0,S188*100/R188,0)</f>
        <v>0</v>
      </c>
    </row>
    <row r="189" spans="1:21" ht="18.75">
      <c r="A189" s="155"/>
      <c r="B189" s="50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256">
        <f ca="1">L190+L191</f>
        <v>42500</v>
      </c>
      <c r="M189" s="255">
        <f ca="1">M190+M191</f>
        <v>26500</v>
      </c>
      <c r="N189" s="255">
        <f ca="1">N190+N191</f>
        <v>1980</v>
      </c>
      <c r="O189" s="255">
        <f ca="1">IF(L189&gt;0,N189*100/L189,0)</f>
        <v>4.658823529411765</v>
      </c>
      <c r="P189" s="255">
        <f ca="1">IF(M189&gt;0,N189*100/M189,0)</f>
        <v>7.4716981132075473</v>
      </c>
      <c r="Q189" s="255">
        <f ca="1">Q190+Q191</f>
        <v>77700</v>
      </c>
      <c r="R189" s="255">
        <f ca="1">R190+R191</f>
        <v>77700</v>
      </c>
      <c r="S189" s="255">
        <f ca="1">S190+S191</f>
        <v>0</v>
      </c>
      <c r="T189" s="255">
        <f ca="1">IF(Q189&gt;0,S189*100/Q189,0)</f>
        <v>0</v>
      </c>
      <c r="U189" s="255">
        <f ca="1">IF(R189&gt;0,S189*100/R189,0)</f>
        <v>0</v>
      </c>
    </row>
    <row r="190" spans="1:21" ht="18.75" hidden="1">
      <c r="A190" s="155"/>
      <c r="B190" s="50"/>
      <c r="C190" s="50"/>
      <c r="D190" s="50"/>
      <c r="E190" s="186" t="s">
        <v>36</v>
      </c>
      <c r="F190" s="50"/>
      <c r="G190" s="52"/>
      <c r="H190" s="189" t="s">
        <v>14</v>
      </c>
      <c r="I190" s="163"/>
      <c r="J190" s="163"/>
      <c r="K190" s="164"/>
      <c r="L190" s="103">
        <v>0</v>
      </c>
      <c r="M190" s="102">
        <v>0</v>
      </c>
      <c r="N190" s="102">
        <v>0</v>
      </c>
      <c r="O190" s="102">
        <f>IF(L190&gt;0,N190*100/L190,0)</f>
        <v>0</v>
      </c>
      <c r="P190" s="102">
        <f>IF(M190&gt;0,N190*100/M190,0)</f>
        <v>0</v>
      </c>
      <c r="Q190" s="102">
        <v>0</v>
      </c>
      <c r="R190" s="102">
        <v>0</v>
      </c>
      <c r="S190" s="102">
        <v>0</v>
      </c>
      <c r="T190" s="102">
        <f>IF(Q190&gt;0,S190*100/Q190,0)</f>
        <v>0</v>
      </c>
      <c r="U190" s="102">
        <f>IF(R190&gt;0,S190*100/R190,0)</f>
        <v>0</v>
      </c>
    </row>
    <row r="191" spans="1:21" ht="18.75" hidden="1">
      <c r="A191" s="155"/>
      <c r="B191" s="50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256">
        <f ca="1">IFERROR(__xludf.DUMMYFUNCTION("IMPORTRANGE(""https://docs.google.com/spreadsheets/d/1-uDff_7J0KD5mKrp0Vvzr7lt3OU09vwQwhkpOPPYv2Y/edit?usp=sharing"",""งบพรบ!CU49"")"),42500)</f>
        <v>42500</v>
      </c>
      <c r="M191" s="255">
        <f ca="1">IFERROR(__xludf.DUMMYFUNCTION("IMPORTRANGE(""https://docs.google.com/spreadsheets/d/1-uDff_7J0KD5mKrp0Vvzr7lt3OU09vwQwhkpOPPYv2Y/edit?usp=sharing"",""งบพรบ!CZ49"")"),26500)</f>
        <v>26500</v>
      </c>
      <c r="N191" s="255">
        <f ca="1">IFERROR(__xludf.DUMMYFUNCTION("IMPORTRANGE(""https://docs.google.com/spreadsheets/d/1-uDff_7J0KD5mKrp0Vvzr7lt3OU09vwQwhkpOPPYv2Y/edit?usp=sharing"",""งบพรบ!DB49"")"),1980)</f>
        <v>1980</v>
      </c>
      <c r="O191" s="255">
        <f ca="1">IF(L191&gt;0,N191*100/L191,0)</f>
        <v>4.658823529411765</v>
      </c>
      <c r="P191" s="255">
        <f ca="1">IF(M191&gt;0,N191*100/M191,0)</f>
        <v>7.4716981132075473</v>
      </c>
      <c r="Q191" s="255">
        <f ca="1">IFERROR(__xludf.DUMMYFUNCTION("IMPORTRANGE(""https://docs.google.com/spreadsheets/d/1ItG2mGa2ceCfYo0BwxsXqNm01IGEUdYcSSLTEv9YCik/edit?usp=sharing"",""เบิกจ่ายกองทุน!AV49"")"),77700)</f>
        <v>77700</v>
      </c>
      <c r="R191" s="255">
        <f ca="1">IFERROR(__xludf.DUMMYFUNCTION("IMPORTRANGE(""https://docs.google.com/spreadsheets/d/1ItG2mGa2ceCfYo0BwxsXqNm01IGEUdYcSSLTEv9YCik/edit?usp=sharing"",""เบิกจ่ายกองทุน!AW49"")"),77700)</f>
        <v>77700</v>
      </c>
      <c r="S191" s="255">
        <f ca="1">IFERROR(__xludf.DUMMYFUNCTION("IMPORTRANGE(""https://docs.google.com/spreadsheets/d/1ItG2mGa2ceCfYo0BwxsXqNm01IGEUdYcSSLTEv9YCik/edit?usp=sharing"",""เบิกจ่ายกองทุน!AX49"")"),0)</f>
        <v>0</v>
      </c>
      <c r="T191" s="255">
        <f ca="1">IF(Q191&gt;0,S191*100/Q191,0)</f>
        <v>0</v>
      </c>
      <c r="U191" s="255">
        <f ca="1">IF(R191&gt;0,S191*100/R191,0)</f>
        <v>0</v>
      </c>
    </row>
    <row r="192" spans="1:21" ht="18.75">
      <c r="A192" s="155"/>
      <c r="B192" s="50"/>
      <c r="C192" s="50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256">
        <f ca="1">L193+L194</f>
        <v>0</v>
      </c>
      <c r="M192" s="255">
        <f ca="1">M193+M194</f>
        <v>0</v>
      </c>
      <c r="N192" s="255">
        <f ca="1">N193+N194</f>
        <v>0</v>
      </c>
      <c r="O192" s="255">
        <f ca="1">IF(L192&gt;0,N192*100/L192,0)</f>
        <v>0</v>
      </c>
      <c r="P192" s="255">
        <f ca="1">IF(M192&gt;0,N192*100/M192,0)</f>
        <v>0</v>
      </c>
      <c r="Q192" s="255">
        <f>Q193+Q194</f>
        <v>0</v>
      </c>
      <c r="R192" s="255">
        <f>R193+R194</f>
        <v>0</v>
      </c>
      <c r="S192" s="255">
        <f>S193+S194</f>
        <v>0</v>
      </c>
      <c r="T192" s="255">
        <f>IF(Q192&gt;0,S192*100/Q192,0)</f>
        <v>0</v>
      </c>
      <c r="U192" s="255">
        <f>IF(R192&gt;0,S192*100/R192,0)</f>
        <v>0</v>
      </c>
    </row>
    <row r="193" spans="1:21" ht="18.75" hidden="1">
      <c r="A193" s="155"/>
      <c r="B193" s="50"/>
      <c r="C193" s="50"/>
      <c r="D193" s="50"/>
      <c r="E193" s="186" t="s">
        <v>20</v>
      </c>
      <c r="F193" s="50"/>
      <c r="G193" s="52"/>
      <c r="H193" s="189" t="s">
        <v>14</v>
      </c>
      <c r="I193" s="163"/>
      <c r="J193" s="163"/>
      <c r="K193" s="164"/>
      <c r="L193" s="103">
        <v>0</v>
      </c>
      <c r="M193" s="102">
        <v>0</v>
      </c>
      <c r="N193" s="102">
        <v>0</v>
      </c>
      <c r="O193" s="102">
        <f>IF(L193&gt;0,N193*100/L193,0)</f>
        <v>0</v>
      </c>
      <c r="P193" s="102">
        <f>IF(M193&gt;0,N193*100/M193,0)</f>
        <v>0</v>
      </c>
      <c r="Q193" s="102">
        <v>0</v>
      </c>
      <c r="R193" s="102">
        <v>0</v>
      </c>
      <c r="S193" s="102">
        <v>0</v>
      </c>
      <c r="T193" s="102">
        <f>IF(Q193&gt;0,S193*100/Q193,0)</f>
        <v>0</v>
      </c>
      <c r="U193" s="102">
        <f>IF(R193&gt;0,S193*100/R193,0)</f>
        <v>0</v>
      </c>
    </row>
    <row r="194" spans="1:21" ht="18.75" hidden="1">
      <c r="A194" s="155"/>
      <c r="B194" s="50"/>
      <c r="C194" s="50"/>
      <c r="D194" s="50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256">
        <f ca="1">IFERROR(__xludf.DUMMYFUNCTION("IMPORTRANGE(""https://docs.google.com/spreadsheets/d/1-uDff_7J0KD5mKrp0Vvzr7lt3OU09vwQwhkpOPPYv2Y/edit?usp=sharing"",""งบพรบ!CX49"")"),0)</f>
        <v>0</v>
      </c>
      <c r="M194" s="255">
        <f ca="1">IFERROR(__xludf.DUMMYFUNCTION("IMPORTRANGE(""https://docs.google.com/spreadsheets/d/1-uDff_7J0KD5mKrp0Vvzr7lt3OU09vwQwhkpOPPYv2Y/edit?usp=sharing"",""งบพรบ!DA49"")"),0)</f>
        <v>0</v>
      </c>
      <c r="N194" s="255">
        <f ca="1">IFERROR(__xludf.DUMMYFUNCTION("IMPORTRANGE(""https://docs.google.com/spreadsheets/d/1-uDff_7J0KD5mKrp0Vvzr7lt3OU09vwQwhkpOPPYv2Y/edit?usp=sharing"",""งบพรบ!DC49"")"),0)</f>
        <v>0</v>
      </c>
      <c r="O194" s="255">
        <f ca="1">IF(L194&gt;0,N194*100/L194,0)</f>
        <v>0</v>
      </c>
      <c r="P194" s="255">
        <f ca="1">IF(M194&gt;0,N194*100/M194,0)</f>
        <v>0</v>
      </c>
      <c r="Q194" s="255">
        <v>0</v>
      </c>
      <c r="R194" s="255">
        <v>0</v>
      </c>
      <c r="S194" s="255">
        <v>0</v>
      </c>
      <c r="T194" s="255">
        <f>IF(Q194&gt;0,S194*100/Q194,0)</f>
        <v>0</v>
      </c>
      <c r="U194" s="255">
        <f>IF(R194&gt;0,S194*100/R194,0)</f>
        <v>0</v>
      </c>
    </row>
    <row r="195" spans="1:21" ht="19.5">
      <c r="A195" s="241"/>
      <c r="B195" s="242"/>
      <c r="C195" s="243" t="s">
        <v>78</v>
      </c>
      <c r="D195" s="244"/>
      <c r="E195" s="244"/>
      <c r="F195" s="244"/>
      <c r="G195" s="245"/>
      <c r="H195" s="246" t="s">
        <v>79</v>
      </c>
      <c r="I195" s="339">
        <f ca="1">I198</f>
        <v>4</v>
      </c>
      <c r="J195" s="339">
        <f>J198</f>
        <v>1</v>
      </c>
      <c r="K195" s="340">
        <f ca="1">IF(I195&gt;0,J195*100/I195,0)</f>
        <v>25</v>
      </c>
      <c r="L195" s="250"/>
      <c r="M195" s="249"/>
      <c r="N195" s="249"/>
      <c r="O195" s="249"/>
      <c r="P195" s="249"/>
      <c r="Q195" s="249"/>
      <c r="R195" s="249"/>
      <c r="S195" s="249"/>
      <c r="T195" s="249"/>
      <c r="U195" s="249"/>
    </row>
    <row r="196" spans="1:21" ht="19.5">
      <c r="A196" s="155"/>
      <c r="B196" s="50"/>
      <c r="C196" s="156" t="s">
        <v>18</v>
      </c>
      <c r="D196" s="713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541">
        <f ca="1">IFERROR(__xludf.DUMMYFUNCTION("IMPORTRANGE(""https://docs.google.com/spreadsheets/d/1eHaY18a8A9IcSdp1K8H6x8fbOy06t2VsZHhMHf-1x7Y/edit?usp=sharing"",""แผน!AB49"")"),6000)</f>
        <v>6000</v>
      </c>
      <c r="M196" s="55"/>
      <c r="N196" s="716">
        <v>0</v>
      </c>
      <c r="O196" s="540">
        <f ca="1">IF(L196&gt;0,N196*100/L196,0)</f>
        <v>0</v>
      </c>
      <c r="P196" s="540">
        <f>IF(M196&gt;0,N196*100/M196,0)</f>
        <v>0</v>
      </c>
      <c r="Q196" s="55"/>
      <c r="R196" s="55"/>
      <c r="S196" s="55"/>
      <c r="T196" s="55"/>
      <c r="U196" s="55"/>
    </row>
    <row r="197" spans="1:21" ht="19.5">
      <c r="A197" s="166"/>
      <c r="B197" s="167"/>
      <c r="C197" s="156" t="s">
        <v>18</v>
      </c>
      <c r="D197" s="566" t="s">
        <v>38</v>
      </c>
      <c r="E197" s="169"/>
      <c r="F197" s="169"/>
      <c r="G197" s="170"/>
      <c r="H197" s="171"/>
      <c r="I197" s="54"/>
      <c r="J197" s="54"/>
      <c r="K197" s="55"/>
      <c r="L197" s="62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8.75">
      <c r="A198" s="166"/>
      <c r="B198" s="167"/>
      <c r="C198" s="167"/>
      <c r="D198" s="178" t="s">
        <v>80</v>
      </c>
      <c r="E198" s="174"/>
      <c r="F198" s="174"/>
      <c r="G198" s="171"/>
      <c r="H198" s="179" t="s">
        <v>79</v>
      </c>
      <c r="I198" s="212">
        <f ca="1">IFERROR(__xludf.DUMMYFUNCTION("IMPORTRANGE(""https://docs.google.com/spreadsheets/d/1eHaY18a8A9IcSdp1K8H6x8fbOy06t2VsZHhMHf-1x7Y/edit?usp=sharing"",""แผน!AE49"")"),4)</f>
        <v>4</v>
      </c>
      <c r="J198" s="467">
        <v>1</v>
      </c>
      <c r="K198" s="255">
        <f ca="1">IF(I198&gt;0,J198*100/I198,0)</f>
        <v>25</v>
      </c>
      <c r="L198" s="62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8.75">
      <c r="A199" s="166"/>
      <c r="B199" s="167"/>
      <c r="C199" s="167"/>
      <c r="D199" s="178" t="s">
        <v>81</v>
      </c>
      <c r="E199" s="174"/>
      <c r="F199" s="174"/>
      <c r="G199" s="171"/>
      <c r="H199" s="240" t="s">
        <v>35</v>
      </c>
      <c r="I199" s="54"/>
      <c r="J199" s="212">
        <f>J200+J201</f>
        <v>0</v>
      </c>
      <c r="K199" s="55"/>
      <c r="L199" s="62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467">
        <v>0</v>
      </c>
      <c r="K200" s="55"/>
      <c r="L200" s="62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40" t="s">
        <v>35</v>
      </c>
      <c r="I201" s="54"/>
      <c r="J201" s="467">
        <v>0</v>
      </c>
      <c r="K201" s="55"/>
      <c r="L201" s="62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254" t="s">
        <v>85</v>
      </c>
      <c r="I202" s="339">
        <f ca="1">I209</f>
        <v>2</v>
      </c>
      <c r="J202" s="339">
        <f>J209</f>
        <v>0</v>
      </c>
      <c r="K202" s="340">
        <f ca="1">IF(I202&gt;0,J202*100/I202,0)</f>
        <v>0</v>
      </c>
      <c r="L202" s="250"/>
      <c r="M202" s="249"/>
      <c r="N202" s="249"/>
      <c r="O202" s="249"/>
      <c r="P202" s="249"/>
      <c r="Q202" s="249"/>
      <c r="R202" s="249"/>
      <c r="S202" s="249"/>
      <c r="T202" s="249"/>
      <c r="U202" s="249"/>
    </row>
    <row r="203" spans="1:21" ht="19.5">
      <c r="A203" s="155"/>
      <c r="B203" s="50"/>
      <c r="C203" s="156" t="s">
        <v>18</v>
      </c>
      <c r="D203" s="713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541">
        <f ca="1">L204+L205+L206+L207</f>
        <v>8000</v>
      </c>
      <c r="M203" s="55"/>
      <c r="N203" s="540">
        <f>N204+N205+N206+N207</f>
        <v>0</v>
      </c>
      <c r="O203" s="540">
        <f ca="1">IF(L203&gt;0,N203*100/L203,0)</f>
        <v>0</v>
      </c>
      <c r="P203" s="540">
        <f>IF(M203&gt;0,N203*100/M203,0)</f>
        <v>0</v>
      </c>
      <c r="Q203" s="715">
        <f ca="1">Q204+Q205+Q206+Q207</f>
        <v>28000</v>
      </c>
      <c r="R203" s="350"/>
      <c r="S203" s="714">
        <f>S204+S205+S206+S207</f>
        <v>0</v>
      </c>
      <c r="T203" s="714">
        <f ca="1">IF(Q203&gt;0,S203*100/Q203,0)</f>
        <v>0</v>
      </c>
      <c r="U203" s="714">
        <f>IF(R203&gt;0,S203*100/R203,0)</f>
        <v>0</v>
      </c>
    </row>
    <row r="204" spans="1:21" ht="18.75">
      <c r="A204" s="155"/>
      <c r="B204" s="188"/>
      <c r="C204" s="50"/>
      <c r="D204" s="712" t="s">
        <v>310</v>
      </c>
      <c r="E204" s="50"/>
      <c r="F204" s="50"/>
      <c r="G204" s="52"/>
      <c r="H204" s="162" t="s">
        <v>14</v>
      </c>
      <c r="I204" s="163"/>
      <c r="J204" s="163"/>
      <c r="K204" s="164"/>
      <c r="L204" s="256">
        <f ca="1">IFERROR(__xludf.DUMMYFUNCTION("IMPORTRANGE(""https://docs.google.com/spreadsheets/d/1eHaY18a8A9IcSdp1K8H6x8fbOy06t2VsZHhMHf-1x7Y/edit?usp=sharing"",""แผน!AG49"")"),1000)</f>
        <v>1000</v>
      </c>
      <c r="M204" s="55"/>
      <c r="N204" s="702">
        <v>0</v>
      </c>
      <c r="O204" s="164"/>
      <c r="P204" s="55"/>
      <c r="Q204" s="256">
        <v>0</v>
      </c>
      <c r="R204" s="55"/>
      <c r="S204" s="255">
        <v>0</v>
      </c>
      <c r="T204" s="164"/>
      <c r="U204" s="55"/>
    </row>
    <row r="205" spans="1:21" ht="18.75">
      <c r="A205" s="238"/>
      <c r="B205" s="188"/>
      <c r="C205" s="50"/>
      <c r="D205" s="58" t="s">
        <v>308</v>
      </c>
      <c r="E205" s="50"/>
      <c r="F205" s="50"/>
      <c r="G205" s="52"/>
      <c r="H205" s="53" t="s">
        <v>14</v>
      </c>
      <c r="I205" s="54"/>
      <c r="J205" s="54"/>
      <c r="K205" s="55"/>
      <c r="L205" s="256">
        <f ca="1">IFERROR(__xludf.DUMMYFUNCTION("IMPORTRANGE(""https://docs.google.com/spreadsheets/d/1eHaY18a8A9IcSdp1K8H6x8fbOy06t2VsZHhMHf-1x7Y/edit?usp=sharing"",""แผน!AH49"")"),0)</f>
        <v>0</v>
      </c>
      <c r="M205" s="55"/>
      <c r="N205" s="702">
        <v>0</v>
      </c>
      <c r="O205" s="164"/>
      <c r="P205" s="55"/>
      <c r="Q205" s="256">
        <v>0</v>
      </c>
      <c r="R205" s="55"/>
      <c r="S205" s="255">
        <v>0</v>
      </c>
      <c r="T205" s="164"/>
      <c r="U205" s="55"/>
    </row>
    <row r="206" spans="1:21" ht="18.75">
      <c r="A206" s="238"/>
      <c r="B206" s="188"/>
      <c r="C206" s="50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256">
        <f ca="1">IFERROR(__xludf.DUMMYFUNCTION("IMPORTRANGE(""https://docs.google.com/spreadsheets/d/1eHaY18a8A9IcSdp1K8H6x8fbOy06t2VsZHhMHf-1x7Y/edit?usp=sharing"",""แผน!AI49"")"),0)</f>
        <v>0</v>
      </c>
      <c r="M206" s="55"/>
      <c r="N206" s="702">
        <v>0</v>
      </c>
      <c r="O206" s="164"/>
      <c r="P206" s="55"/>
      <c r="Q206" s="256">
        <f ca="1">IFERROR(__xludf.DUMMYFUNCTION("IMPORTRANGE(""https://docs.google.com/spreadsheets/d/1eHaY18a8A9IcSdp1K8H6x8fbOy06t2VsZHhMHf-1x7Y/edit?usp=sharing"",""แผน!LV49"")"),28000)</f>
        <v>28000</v>
      </c>
      <c r="R206" s="55"/>
      <c r="S206" s="702">
        <v>0</v>
      </c>
      <c r="T206" s="164"/>
      <c r="U206" s="55"/>
    </row>
    <row r="207" spans="1:21" ht="18.75">
      <c r="A207" s="238"/>
      <c r="B207" s="188"/>
      <c r="C207" s="50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256">
        <f ca="1">IFERROR(__xludf.DUMMYFUNCTION("IMPORTRANGE(""https://docs.google.com/spreadsheets/d/1eHaY18a8A9IcSdp1K8H6x8fbOy06t2VsZHhMHf-1x7Y/edit?usp=sharing"",""แผน!AJ49"")"),7000)</f>
        <v>7000</v>
      </c>
      <c r="M207" s="55"/>
      <c r="N207" s="702">
        <v>0</v>
      </c>
      <c r="O207" s="164"/>
      <c r="P207" s="55"/>
      <c r="Q207" s="256">
        <v>0</v>
      </c>
      <c r="R207" s="55"/>
      <c r="S207" s="255">
        <v>0</v>
      </c>
      <c r="T207" s="164"/>
      <c r="U207" s="55"/>
    </row>
    <row r="208" spans="1:21" ht="19.5">
      <c r="A208" s="166"/>
      <c r="B208" s="167"/>
      <c r="C208" s="156" t="s">
        <v>18</v>
      </c>
      <c r="D208" s="566" t="s">
        <v>38</v>
      </c>
      <c r="E208" s="169"/>
      <c r="F208" s="169"/>
      <c r="G208" s="170"/>
      <c r="H208" s="171"/>
      <c r="I208" s="163"/>
      <c r="J208" s="163"/>
      <c r="K208" s="164"/>
      <c r="L208" s="172"/>
      <c r="M208" s="164"/>
      <c r="N208" s="164"/>
      <c r="O208" s="164"/>
      <c r="P208" s="164"/>
      <c r="Q208" s="172"/>
      <c r="R208" s="164"/>
      <c r="S208" s="164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257" t="s">
        <v>85</v>
      </c>
      <c r="I209" s="212">
        <f ca="1">IFERROR(__xludf.DUMMYFUNCTION("IMPORTRANGE(""https://docs.google.com/spreadsheets/d/1eHaY18a8A9IcSdp1K8H6x8fbOy06t2VsZHhMHf-1x7Y/edit?usp=sharing"",""แผน!AK49"")"),2)</f>
        <v>2</v>
      </c>
      <c r="J209" s="467">
        <v>0</v>
      </c>
      <c r="K209" s="565">
        <f ca="1">IF(I209&gt;0,J209*100/I209,0)</f>
        <v>0</v>
      </c>
      <c r="L209" s="62"/>
      <c r="M209" s="55"/>
      <c r="N209" s="55"/>
      <c r="O209" s="55"/>
      <c r="P209" s="55"/>
      <c r="Q209" s="62"/>
      <c r="R209" s="55"/>
      <c r="S209" s="55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171"/>
      <c r="I210" s="54"/>
      <c r="J210" s="54"/>
      <c r="K210" s="164"/>
      <c r="L210" s="62"/>
      <c r="M210" s="55"/>
      <c r="N210" s="55"/>
      <c r="O210" s="55"/>
      <c r="P210" s="55"/>
      <c r="Q210" s="62"/>
      <c r="R210" s="55"/>
      <c r="S210" s="55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257" t="s">
        <v>85</v>
      </c>
      <c r="I211" s="212">
        <f ca="1">IFERROR(__xludf.DUMMYFUNCTION("IMPORTRANGE(""https://docs.google.com/spreadsheets/d/1eHaY18a8A9IcSdp1K8H6x8fbOy06t2VsZHhMHf-1x7Y/edit?usp=sharing"",""แผน!JX49"")"),1)</f>
        <v>1</v>
      </c>
      <c r="J211" s="467">
        <v>0</v>
      </c>
      <c r="K211" s="565">
        <f ca="1">IF(I211&gt;0,J211*100/I211,0)</f>
        <v>0</v>
      </c>
      <c r="L211" s="62"/>
      <c r="M211" s="55"/>
      <c r="N211" s="55"/>
      <c r="O211" s="55"/>
      <c r="P211" s="55"/>
      <c r="Q211" s="62"/>
      <c r="R211" s="55"/>
      <c r="S211" s="55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79" t="s">
        <v>93</v>
      </c>
      <c r="I212" s="212">
        <f ca="1">IFERROR(__xludf.DUMMYFUNCTION("IMPORTRANGE(""https://docs.google.com/spreadsheets/d/1eHaY18a8A9IcSdp1K8H6x8fbOy06t2VsZHhMHf-1x7Y/edit?usp=sharing"",""แผน!JY49"")"),1)</f>
        <v>1</v>
      </c>
      <c r="J212" s="467">
        <v>0</v>
      </c>
      <c r="K212" s="565">
        <f ca="1">IF(I212&gt;0,J212*100/I212,0)</f>
        <v>0</v>
      </c>
      <c r="L212" s="62"/>
      <c r="M212" s="55"/>
      <c r="N212" s="55"/>
      <c r="O212" s="55"/>
      <c r="P212" s="55"/>
      <c r="Q212" s="62"/>
      <c r="R212" s="55"/>
      <c r="S212" s="55"/>
      <c r="T212" s="55"/>
      <c r="U212" s="55"/>
    </row>
    <row r="213" spans="1:21" ht="19.5">
      <c r="A213" s="241"/>
      <c r="B213" s="242"/>
      <c r="C213" s="243" t="s">
        <v>94</v>
      </c>
      <c r="D213" s="244"/>
      <c r="E213" s="244"/>
      <c r="F213" s="244"/>
      <c r="G213" s="245"/>
      <c r="H213" s="254" t="s">
        <v>85</v>
      </c>
      <c r="I213" s="339">
        <f ca="1">I220</f>
        <v>1</v>
      </c>
      <c r="J213" s="339">
        <f>J220</f>
        <v>0</v>
      </c>
      <c r="K213" s="340">
        <f ca="1">IF(I213&gt;0,J213*100/I213,0)</f>
        <v>0</v>
      </c>
      <c r="L213" s="250"/>
      <c r="M213" s="249"/>
      <c r="N213" s="249"/>
      <c r="O213" s="249"/>
      <c r="P213" s="249"/>
      <c r="Q213" s="250"/>
      <c r="R213" s="249"/>
      <c r="S213" s="249"/>
      <c r="T213" s="249"/>
      <c r="U213" s="249"/>
    </row>
    <row r="214" spans="1:21" ht="19.5">
      <c r="A214" s="155"/>
      <c r="B214" s="50"/>
      <c r="C214" s="156" t="s">
        <v>18</v>
      </c>
      <c r="D214" s="713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541">
        <f ca="1">L215+L216+L217</f>
        <v>6000</v>
      </c>
      <c r="M214" s="55"/>
      <c r="N214" s="540">
        <f>N215+N216+N217</f>
        <v>0</v>
      </c>
      <c r="O214" s="540">
        <f ca="1">IF(L214&gt;0,N214*100/L214,0)</f>
        <v>0</v>
      </c>
      <c r="P214" s="540">
        <f>IF(M214&gt;0,N214*100/M214,0)</f>
        <v>0</v>
      </c>
      <c r="Q214" s="541">
        <f ca="1">Q215+Q216+Q217</f>
        <v>49700</v>
      </c>
      <c r="R214" s="55"/>
      <c r="S214" s="540">
        <f>S215+S216+S217</f>
        <v>0</v>
      </c>
      <c r="T214" s="540">
        <f ca="1">IF(Q214&gt;0,S214*100/Q214,0)</f>
        <v>0</v>
      </c>
      <c r="U214" s="540">
        <f>IF(R214&gt;0,S214*100/R214,0)</f>
        <v>0</v>
      </c>
    </row>
    <row r="215" spans="1:21" ht="18.75">
      <c r="A215" s="155"/>
      <c r="B215" s="188"/>
      <c r="C215" s="50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256">
        <f ca="1">IFERROR(__xludf.DUMMYFUNCTION("IMPORTRANGE(""https://docs.google.com/spreadsheets/d/1eHaY18a8A9IcSdp1K8H6x8fbOy06t2VsZHhMHf-1x7Y/edit?usp=sharing"",""แผน!AM49"")"),1000)</f>
        <v>1000</v>
      </c>
      <c r="M215" s="55"/>
      <c r="N215" s="702">
        <v>0</v>
      </c>
      <c r="O215" s="164"/>
      <c r="P215" s="55"/>
      <c r="Q215" s="256">
        <v>0</v>
      </c>
      <c r="R215" s="55"/>
      <c r="S215" s="255">
        <v>0</v>
      </c>
      <c r="T215" s="164"/>
      <c r="U215" s="55"/>
    </row>
    <row r="216" spans="1:21" ht="18.75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256">
        <f ca="1">IFERROR(__xludf.DUMMYFUNCTION("IMPORTRANGE(""https://docs.google.com/spreadsheets/d/1eHaY18a8A9IcSdp1K8H6x8fbOy06t2VsZHhMHf-1x7Y/edit?usp=sharing"",""แผน!AN49"")"),5000)</f>
        <v>5000</v>
      </c>
      <c r="M216" s="55"/>
      <c r="N216" s="702">
        <v>0</v>
      </c>
      <c r="O216" s="164"/>
      <c r="P216" s="55"/>
      <c r="Q216" s="256">
        <v>0</v>
      </c>
      <c r="R216" s="55"/>
      <c r="S216" s="255">
        <v>0</v>
      </c>
      <c r="T216" s="164"/>
      <c r="U216" s="55"/>
    </row>
    <row r="217" spans="1:21" ht="18.75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256">
        <f ca="1">IFERROR(__xludf.DUMMYFUNCTION("IMPORTRANGE(""https://docs.google.com/spreadsheets/d/1eHaY18a8A9IcSdp1K8H6x8fbOy06t2VsZHhMHf-1x7Y/edit?usp=sharing"",""แผน!AO49"")"),0)</f>
        <v>0</v>
      </c>
      <c r="M217" s="55"/>
      <c r="N217" s="702">
        <v>0</v>
      </c>
      <c r="O217" s="164"/>
      <c r="P217" s="55"/>
      <c r="Q217" s="256">
        <f ca="1">IFERROR(__xludf.DUMMYFUNCTION("IMPORTRANGE(""https://docs.google.com/spreadsheets/d/1eHaY18a8A9IcSdp1K8H6x8fbOy06t2VsZHhMHf-1x7Y/edit?usp=sharing"",""แผน!LY49"")"),49700)</f>
        <v>49700</v>
      </c>
      <c r="R217" s="55"/>
      <c r="S217" s="702">
        <v>0</v>
      </c>
      <c r="T217" s="164"/>
      <c r="U217" s="55"/>
    </row>
    <row r="218" spans="1:21" ht="19.5">
      <c r="A218" s="166"/>
      <c r="B218" s="167"/>
      <c r="C218" s="191" t="s">
        <v>18</v>
      </c>
      <c r="D218" s="566" t="s">
        <v>38</v>
      </c>
      <c r="E218" s="169"/>
      <c r="F218" s="169"/>
      <c r="G218" s="170"/>
      <c r="H218" s="171"/>
      <c r="I218" s="163"/>
      <c r="J218" s="54"/>
      <c r="K218" s="55"/>
      <c r="L218" s="62"/>
      <c r="M218" s="55"/>
      <c r="N218" s="55"/>
      <c r="O218" s="164"/>
      <c r="P218" s="164"/>
      <c r="Q218" s="62"/>
      <c r="R218" s="55"/>
      <c r="S218" s="55"/>
      <c r="T218" s="164"/>
      <c r="U218" s="164"/>
    </row>
    <row r="219" spans="1:21" ht="18.75">
      <c r="A219" s="166"/>
      <c r="B219" s="167"/>
      <c r="C219" s="167"/>
      <c r="D219" s="173" t="s">
        <v>96</v>
      </c>
      <c r="E219" s="174"/>
      <c r="F219" s="174"/>
      <c r="G219" s="171"/>
      <c r="H219" s="257" t="s">
        <v>85</v>
      </c>
      <c r="I219" s="212">
        <f ca="1">IFERROR(__xludf.DUMMYFUNCTION("IMPORTRANGE(""https://docs.google.com/spreadsheets/d/1eHaY18a8A9IcSdp1K8H6x8fbOy06t2VsZHhMHf-1x7Y/edit?usp=sharing"",""แผน!AP49"")"),1)</f>
        <v>1</v>
      </c>
      <c r="J219" s="467">
        <v>0</v>
      </c>
      <c r="K219" s="255">
        <f ca="1">IF(I219&gt;0,J219*100/I219,0)</f>
        <v>0</v>
      </c>
      <c r="L219" s="62"/>
      <c r="M219" s="55"/>
      <c r="N219" s="55"/>
      <c r="O219" s="55"/>
      <c r="P219" s="55"/>
      <c r="Q219" s="62"/>
      <c r="R219" s="55"/>
      <c r="S219" s="55"/>
      <c r="T219" s="55"/>
      <c r="U219" s="55"/>
    </row>
    <row r="220" spans="1:21" ht="18.75">
      <c r="A220" s="166"/>
      <c r="B220" s="167"/>
      <c r="C220" s="167"/>
      <c r="D220" s="173" t="s">
        <v>97</v>
      </c>
      <c r="E220" s="174"/>
      <c r="F220" s="174"/>
      <c r="G220" s="171"/>
      <c r="H220" s="257" t="s">
        <v>85</v>
      </c>
      <c r="I220" s="212">
        <f ca="1">IFERROR(__xludf.DUMMYFUNCTION("IMPORTRANGE(""https://docs.google.com/spreadsheets/d/1eHaY18a8A9IcSdp1K8H6x8fbOy06t2VsZHhMHf-1x7Y/edit?usp=sharing"",""แผน!AP49"")"),1)</f>
        <v>1</v>
      </c>
      <c r="J220" s="467">
        <v>0</v>
      </c>
      <c r="K220" s="255">
        <f ca="1">IF(I220&gt;0,J220*100/I220,0)</f>
        <v>0</v>
      </c>
      <c r="L220" s="62"/>
      <c r="M220" s="55"/>
      <c r="N220" s="55"/>
      <c r="O220" s="55"/>
      <c r="P220" s="55"/>
      <c r="Q220" s="62"/>
      <c r="R220" s="55"/>
      <c r="S220" s="55"/>
      <c r="T220" s="55"/>
      <c r="U220" s="55"/>
    </row>
    <row r="221" spans="1:21" ht="19.5">
      <c r="A221" s="241"/>
      <c r="B221" s="242"/>
      <c r="C221" s="243" t="s">
        <v>98</v>
      </c>
      <c r="D221" s="244"/>
      <c r="E221" s="244"/>
      <c r="F221" s="244"/>
      <c r="G221" s="245"/>
      <c r="H221" s="246" t="s">
        <v>99</v>
      </c>
      <c r="I221" s="339">
        <f ca="1">I229</f>
        <v>30000</v>
      </c>
      <c r="J221" s="339">
        <f>J229</f>
        <v>0</v>
      </c>
      <c r="K221" s="340">
        <f ca="1">IF(I221&gt;0,J221*100/I221,0)</f>
        <v>0</v>
      </c>
      <c r="L221" s="250"/>
      <c r="M221" s="249"/>
      <c r="N221" s="249"/>
      <c r="O221" s="249"/>
      <c r="P221" s="249"/>
      <c r="Q221" s="249"/>
      <c r="R221" s="249"/>
      <c r="S221" s="249"/>
      <c r="T221" s="249"/>
      <c r="U221" s="249"/>
    </row>
    <row r="222" spans="1:21" ht="19.5">
      <c r="A222" s="155"/>
      <c r="B222" s="50"/>
      <c r="C222" s="156" t="s">
        <v>18</v>
      </c>
      <c r="D222" s="713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541">
        <f ca="1">L223+L224+L225</f>
        <v>6500</v>
      </c>
      <c r="M222" s="55"/>
      <c r="N222" s="540">
        <f>N223+N224+N225</f>
        <v>0</v>
      </c>
      <c r="O222" s="540">
        <f ca="1">IF(L222&gt;0,N222*100/L222,0)</f>
        <v>0</v>
      </c>
      <c r="P222" s="540">
        <f>IF(M222&gt;0,N222*100/M222,0)</f>
        <v>0</v>
      </c>
      <c r="Q222" s="55"/>
      <c r="R222" s="55"/>
      <c r="S222" s="55"/>
      <c r="T222" s="55"/>
      <c r="U222" s="55"/>
    </row>
    <row r="223" spans="1:21" ht="18.75">
      <c r="A223" s="155"/>
      <c r="B223" s="188"/>
      <c r="C223" s="50"/>
      <c r="D223" s="712" t="s">
        <v>309</v>
      </c>
      <c r="E223" s="50"/>
      <c r="F223" s="50"/>
      <c r="G223" s="52"/>
      <c r="H223" s="162" t="s">
        <v>14</v>
      </c>
      <c r="I223" s="163"/>
      <c r="J223" s="163"/>
      <c r="K223" s="164"/>
      <c r="L223" s="256">
        <f ca="1">IFERROR(__xludf.DUMMYFUNCTION("IMPORTRANGE(""https://docs.google.com/spreadsheets/d/1eHaY18a8A9IcSdp1K8H6x8fbOy06t2VsZHhMHf-1x7Y/edit?usp=sharing"",""แผน!AR49"")"),2500)</f>
        <v>2500</v>
      </c>
      <c r="M223" s="55"/>
      <c r="N223" s="702">
        <v>0</v>
      </c>
      <c r="O223" s="164"/>
      <c r="P223" s="55"/>
      <c r="Q223" s="55"/>
      <c r="R223" s="55"/>
      <c r="S223" s="55"/>
      <c r="T223" s="164"/>
      <c r="U223" s="55"/>
    </row>
    <row r="224" spans="1:21" ht="18.75">
      <c r="A224" s="238"/>
      <c r="B224" s="188"/>
      <c r="C224" s="188"/>
      <c r="D224" s="58" t="s">
        <v>308</v>
      </c>
      <c r="E224" s="50"/>
      <c r="F224" s="50"/>
      <c r="G224" s="52"/>
      <c r="H224" s="162" t="s">
        <v>14</v>
      </c>
      <c r="I224" s="54"/>
      <c r="J224" s="54"/>
      <c r="K224" s="55"/>
      <c r="L224" s="256">
        <f ca="1">IFERROR(__xludf.DUMMYFUNCTION("IMPORTRANGE(""https://docs.google.com/spreadsheets/d/1eHaY18a8A9IcSdp1K8H6x8fbOy06t2VsZHhMHf-1x7Y/edit?usp=sharing"",""แผน!AS49"")"),4000)</f>
        <v>4000</v>
      </c>
      <c r="M224" s="55"/>
      <c r="N224" s="702">
        <v>0</v>
      </c>
      <c r="O224" s="164"/>
      <c r="P224" s="55"/>
      <c r="Q224" s="55"/>
      <c r="R224" s="55"/>
      <c r="S224" s="55"/>
      <c r="T224" s="164"/>
      <c r="U224" s="55"/>
    </row>
    <row r="225" spans="1:21" ht="18.75">
      <c r="A225" s="238"/>
      <c r="B225" s="188"/>
      <c r="C225" s="188"/>
      <c r="D225" s="58" t="s">
        <v>88</v>
      </c>
      <c r="E225" s="50"/>
      <c r="F225" s="50"/>
      <c r="G225" s="52"/>
      <c r="H225" s="162" t="s">
        <v>14</v>
      </c>
      <c r="I225" s="54"/>
      <c r="J225" s="54"/>
      <c r="K225" s="55"/>
      <c r="L225" s="256">
        <f ca="1">IFERROR(__xludf.DUMMYFUNCTION("IMPORTRANGE(""https://docs.google.com/spreadsheets/d/1eHaY18a8A9IcSdp1K8H6x8fbOy06t2VsZHhMHf-1x7Y/edit?usp=sharing"",""แผน!AT49"")"),0)</f>
        <v>0</v>
      </c>
      <c r="M225" s="55"/>
      <c r="N225" s="702">
        <v>0</v>
      </c>
      <c r="O225" s="164"/>
      <c r="P225" s="55"/>
      <c r="Q225" s="55"/>
      <c r="R225" s="55"/>
      <c r="S225" s="55"/>
      <c r="T225" s="164"/>
      <c r="U225" s="55"/>
    </row>
    <row r="226" spans="1:21" ht="19.5">
      <c r="A226" s="166"/>
      <c r="B226" s="167"/>
      <c r="C226" s="191" t="s">
        <v>18</v>
      </c>
      <c r="D226" s="566" t="s">
        <v>38</v>
      </c>
      <c r="E226" s="169"/>
      <c r="F226" s="169"/>
      <c r="G226" s="170"/>
      <c r="H226" s="171"/>
      <c r="I226" s="163"/>
      <c r="J226" s="163"/>
      <c r="K226" s="164"/>
      <c r="L226" s="172"/>
      <c r="M226" s="164"/>
      <c r="N226" s="164"/>
      <c r="O226" s="164"/>
      <c r="P226" s="164"/>
      <c r="Q226" s="164"/>
      <c r="R226" s="164"/>
      <c r="S226" s="164"/>
      <c r="T226" s="164"/>
      <c r="U226" s="164"/>
    </row>
    <row r="227" spans="1:21" ht="18.75">
      <c r="A227" s="166"/>
      <c r="B227" s="167"/>
      <c r="C227" s="167"/>
      <c r="D227" s="58" t="s">
        <v>101</v>
      </c>
      <c r="E227" s="174"/>
      <c r="F227" s="174"/>
      <c r="G227" s="171"/>
      <c r="H227" s="171"/>
      <c r="I227" s="54"/>
      <c r="J227" s="54"/>
      <c r="K227" s="164"/>
      <c r="L227" s="172"/>
      <c r="M227" s="164"/>
      <c r="N227" s="164"/>
      <c r="O227" s="164"/>
      <c r="P227" s="164"/>
      <c r="Q227" s="164"/>
      <c r="R227" s="164"/>
      <c r="S227" s="164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79" t="s">
        <v>99</v>
      </c>
      <c r="I228" s="212">
        <f ca="1">IFERROR(__xludf.DUMMYFUNCTION("IMPORTRANGE(""https://docs.google.com/spreadsheets/d/1eHaY18a8A9IcSdp1K8H6x8fbOy06t2VsZHhMHf-1x7Y/edit?usp=sharing"",""แผน!AV49"")"),30000)</f>
        <v>30000</v>
      </c>
      <c r="J228" s="467">
        <v>0</v>
      </c>
      <c r="K228" s="565">
        <f ca="1">IF(I228&gt;0,J228*100/I228,0)</f>
        <v>0</v>
      </c>
      <c r="L228" s="172"/>
      <c r="M228" s="164"/>
      <c r="N228" s="164"/>
      <c r="O228" s="164"/>
      <c r="P228" s="164"/>
      <c r="Q228" s="164"/>
      <c r="R228" s="164"/>
      <c r="S228" s="164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79" t="s">
        <v>99</v>
      </c>
      <c r="I229" s="212">
        <f ca="1">IFERROR(__xludf.DUMMYFUNCTION("IMPORTRANGE(""https://docs.google.com/spreadsheets/d/1eHaY18a8A9IcSdp1K8H6x8fbOy06t2VsZHhMHf-1x7Y/edit?usp=sharing"",""แผน!AV49"")"),30000)</f>
        <v>30000</v>
      </c>
      <c r="J229" s="467">
        <v>0</v>
      </c>
      <c r="K229" s="565">
        <f ca="1">IF(I229&gt;0,J229*100/I229,0)</f>
        <v>0</v>
      </c>
      <c r="L229" s="62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79" t="s">
        <v>35</v>
      </c>
      <c r="I230" s="212">
        <f ca="1">IFERROR(__xludf.DUMMYFUNCTION("IMPORTRANGE(""https://docs.google.com/spreadsheets/d/1eHaY18a8A9IcSdp1K8H6x8fbOy06t2VsZHhMHf-1x7Y/edit?usp=sharing"",""แผน!AU49"")"),0)</f>
        <v>0</v>
      </c>
      <c r="J230" s="467">
        <v>0</v>
      </c>
      <c r="K230" s="565">
        <f ca="1">IF(I230&gt;0,J230*100/I230,0)</f>
        <v>0</v>
      </c>
      <c r="L230" s="62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9.5" hidden="1">
      <c r="A231" s="241"/>
      <c r="B231" s="242"/>
      <c r="C231" s="243" t="s">
        <v>105</v>
      </c>
      <c r="D231" s="244"/>
      <c r="E231" s="244"/>
      <c r="F231" s="244"/>
      <c r="G231" s="245"/>
      <c r="H231" s="246" t="s">
        <v>35</v>
      </c>
      <c r="I231" s="339">
        <f ca="1">I242+I253</f>
        <v>0</v>
      </c>
      <c r="J231" s="339">
        <f>J242+J253</f>
        <v>0</v>
      </c>
      <c r="K231" s="340">
        <f ca="1">IF(I231&gt;0,J231*100/I231,0)</f>
        <v>0</v>
      </c>
      <c r="L231" s="250"/>
      <c r="M231" s="249"/>
      <c r="N231" s="249"/>
      <c r="O231" s="249"/>
      <c r="P231" s="249"/>
      <c r="Q231" s="249"/>
      <c r="R231" s="249"/>
      <c r="S231" s="249"/>
      <c r="T231" s="249"/>
      <c r="U231" s="249"/>
    </row>
    <row r="232" spans="1:21" ht="19.5" hidden="1">
      <c r="A232" s="155"/>
      <c r="B232" s="50"/>
      <c r="C232" s="156" t="s">
        <v>18</v>
      </c>
      <c r="D232" s="575" t="s">
        <v>19</v>
      </c>
      <c r="E232" s="50"/>
      <c r="F232" s="50"/>
      <c r="G232" s="52"/>
      <c r="H232" s="252" t="s">
        <v>14</v>
      </c>
      <c r="I232" s="163"/>
      <c r="J232" s="163"/>
      <c r="K232" s="164"/>
      <c r="L232" s="711">
        <f ca="1">L243+L254</f>
        <v>0</v>
      </c>
      <c r="M232" s="55"/>
      <c r="N232" s="710">
        <f>N243+N254</f>
        <v>0</v>
      </c>
      <c r="O232" s="55"/>
      <c r="P232" s="55"/>
      <c r="Q232" s="55"/>
      <c r="R232" s="55"/>
      <c r="S232" s="55"/>
      <c r="T232" s="55"/>
      <c r="U232" s="55"/>
    </row>
    <row r="233" spans="1:21" ht="18.75" hidden="1">
      <c r="A233" s="155"/>
      <c r="B233" s="188"/>
      <c r="C233" s="50"/>
      <c r="D233" s="58" t="s">
        <v>86</v>
      </c>
      <c r="E233" s="50"/>
      <c r="F233" s="50"/>
      <c r="G233" s="52"/>
      <c r="H233" s="162" t="s">
        <v>14</v>
      </c>
      <c r="I233" s="163"/>
      <c r="J233" s="163"/>
      <c r="K233" s="164"/>
      <c r="L233" s="103">
        <f ca="1">L244+L255</f>
        <v>0</v>
      </c>
      <c r="M233" s="55"/>
      <c r="N233" s="102">
        <f>N244+N255</f>
        <v>0</v>
      </c>
      <c r="O233" s="55"/>
      <c r="P233" s="55"/>
      <c r="Q233" s="709">
        <v>0</v>
      </c>
      <c r="R233" s="708">
        <v>0</v>
      </c>
      <c r="S233" s="708">
        <v>0</v>
      </c>
      <c r="T233" s="55"/>
      <c r="U233" s="55"/>
    </row>
    <row r="234" spans="1:21" ht="18.75" hidden="1">
      <c r="A234" s="238"/>
      <c r="B234" s="188"/>
      <c r="C234" s="188"/>
      <c r="D234" s="58" t="s">
        <v>88</v>
      </c>
      <c r="E234" s="50"/>
      <c r="F234" s="50"/>
      <c r="G234" s="52"/>
      <c r="H234" s="162" t="s">
        <v>14</v>
      </c>
      <c r="I234" s="54"/>
      <c r="J234" s="54"/>
      <c r="K234" s="55"/>
      <c r="L234" s="103">
        <f ca="1">L245+L256</f>
        <v>0</v>
      </c>
      <c r="M234" s="55"/>
      <c r="N234" s="102">
        <f>N245+N256</f>
        <v>0</v>
      </c>
      <c r="O234" s="55"/>
      <c r="P234" s="55"/>
      <c r="Q234" s="256">
        <v>0</v>
      </c>
      <c r="R234" s="255">
        <v>0</v>
      </c>
      <c r="S234" s="255">
        <v>0</v>
      </c>
      <c r="T234" s="55"/>
      <c r="U234" s="55"/>
    </row>
    <row r="235" spans="1:21" ht="18.75" hidden="1">
      <c r="A235" s="238"/>
      <c r="B235" s="188"/>
      <c r="C235" s="188"/>
      <c r="D235" s="58" t="s">
        <v>106</v>
      </c>
      <c r="E235" s="50"/>
      <c r="F235" s="50"/>
      <c r="G235" s="52"/>
      <c r="H235" s="162" t="s">
        <v>14</v>
      </c>
      <c r="I235" s="54"/>
      <c r="J235" s="54"/>
      <c r="K235" s="55"/>
      <c r="L235" s="103">
        <f ca="1">L246+L257</f>
        <v>0</v>
      </c>
      <c r="M235" s="55"/>
      <c r="N235" s="102">
        <f>N246+N257</f>
        <v>0</v>
      </c>
      <c r="O235" s="55"/>
      <c r="P235" s="55"/>
      <c r="Q235" s="256">
        <v>0</v>
      </c>
      <c r="R235" s="255">
        <v>0</v>
      </c>
      <c r="S235" s="255">
        <v>0</v>
      </c>
      <c r="T235" s="55"/>
      <c r="U235" s="55"/>
    </row>
    <row r="236" spans="1:21" ht="18.75" hidden="1">
      <c r="A236" s="238"/>
      <c r="B236" s="188"/>
      <c r="C236" s="188"/>
      <c r="D236" s="58" t="s">
        <v>107</v>
      </c>
      <c r="E236" s="50"/>
      <c r="F236" s="50"/>
      <c r="G236" s="52"/>
      <c r="H236" s="162" t="s">
        <v>14</v>
      </c>
      <c r="I236" s="54"/>
      <c r="J236" s="54"/>
      <c r="K236" s="55"/>
      <c r="L236" s="103">
        <f ca="1">L247+L258</f>
        <v>0</v>
      </c>
      <c r="M236" s="55"/>
      <c r="N236" s="102">
        <f>N247+N258</f>
        <v>0</v>
      </c>
      <c r="O236" s="55"/>
      <c r="P236" s="55"/>
      <c r="Q236" s="256">
        <v>0</v>
      </c>
      <c r="R236" s="255">
        <v>0</v>
      </c>
      <c r="S236" s="255">
        <v>0</v>
      </c>
      <c r="T236" s="55"/>
      <c r="U236" s="55"/>
    </row>
    <row r="237" spans="1:21" ht="19.5" hidden="1">
      <c r="A237" s="166"/>
      <c r="B237" s="167"/>
      <c r="C237" s="191" t="s">
        <v>18</v>
      </c>
      <c r="D237" s="566" t="s">
        <v>38</v>
      </c>
      <c r="E237" s="169"/>
      <c r="F237" s="169"/>
      <c r="G237" s="170"/>
      <c r="H237" s="171"/>
      <c r="I237" s="163"/>
      <c r="J237" s="54"/>
      <c r="K237" s="55"/>
      <c r="L237" s="62"/>
      <c r="M237" s="55"/>
      <c r="N237" s="55"/>
      <c r="O237" s="164"/>
      <c r="P237" s="164"/>
      <c r="Q237" s="55"/>
      <c r="R237" s="55"/>
      <c r="S237" s="55"/>
      <c r="T237" s="164"/>
      <c r="U237" s="164"/>
    </row>
    <row r="238" spans="1:21" ht="18.75" hidden="1">
      <c r="A238" s="166"/>
      <c r="B238" s="167"/>
      <c r="C238" s="167"/>
      <c r="D238" s="178" t="s">
        <v>108</v>
      </c>
      <c r="E238" s="174"/>
      <c r="F238" s="174"/>
      <c r="G238" s="171"/>
      <c r="H238" s="179" t="s">
        <v>35</v>
      </c>
      <c r="I238" s="212">
        <f ca="1">I249+I260</f>
        <v>0</v>
      </c>
      <c r="J238" s="212">
        <f>J249+J260</f>
        <v>0</v>
      </c>
      <c r="K238" s="255">
        <f ca="1">IF(I238&gt;0,J238*100/I238,0)</f>
        <v>0</v>
      </c>
      <c r="L238" s="62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ht="18.75" hidden="1">
      <c r="A239" s="166"/>
      <c r="B239" s="167"/>
      <c r="C239" s="167"/>
      <c r="D239" s="266" t="s">
        <v>43</v>
      </c>
      <c r="E239" s="174"/>
      <c r="F239" s="174"/>
      <c r="G239" s="171"/>
      <c r="H239" s="171"/>
      <c r="I239" s="54"/>
      <c r="J239" s="54"/>
      <c r="K239" s="55"/>
      <c r="L239" s="62"/>
      <c r="M239" s="55"/>
      <c r="N239" s="55"/>
      <c r="O239" s="164"/>
      <c r="P239" s="164"/>
      <c r="Q239" s="55"/>
      <c r="R239" s="55"/>
      <c r="S239" s="55"/>
      <c r="T239" s="164"/>
      <c r="U239" s="164"/>
    </row>
    <row r="240" spans="1:21" ht="18.75" hidden="1">
      <c r="A240" s="166"/>
      <c r="B240" s="167"/>
      <c r="C240" s="167"/>
      <c r="D240" s="167"/>
      <c r="E240" s="173" t="s">
        <v>109</v>
      </c>
      <c r="F240" s="174"/>
      <c r="G240" s="171"/>
      <c r="H240" s="179" t="s">
        <v>35</v>
      </c>
      <c r="I240" s="212">
        <f>I251+I262</f>
        <v>0</v>
      </c>
      <c r="J240" s="212">
        <f>J251+J262</f>
        <v>0</v>
      </c>
      <c r="K240" s="255">
        <f>IF(I240&gt;0,J240*100/I240,0)</f>
        <v>0</v>
      </c>
      <c r="L240" s="62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ht="18.75" hidden="1">
      <c r="A241" s="166"/>
      <c r="B241" s="167"/>
      <c r="C241" s="167"/>
      <c r="D241" s="167"/>
      <c r="E241" s="173" t="s">
        <v>110</v>
      </c>
      <c r="F241" s="174"/>
      <c r="G241" s="171"/>
      <c r="H241" s="179" t="s">
        <v>61</v>
      </c>
      <c r="I241" s="212">
        <f>I252+I263</f>
        <v>0</v>
      </c>
      <c r="J241" s="212">
        <f>J252+J263</f>
        <v>0</v>
      </c>
      <c r="K241" s="255">
        <f>IF(I241&gt;0,J241*100/I241,0)</f>
        <v>0</v>
      </c>
      <c r="L241" s="62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ht="19.5" hidden="1">
      <c r="A242" s="241"/>
      <c r="B242" s="242"/>
      <c r="C242" s="707" t="s">
        <v>111</v>
      </c>
      <c r="D242" s="244"/>
      <c r="E242" s="244"/>
      <c r="F242" s="244"/>
      <c r="G242" s="245"/>
      <c r="H242" s="706" t="s">
        <v>35</v>
      </c>
      <c r="I242" s="705">
        <f ca="1">I249</f>
        <v>0</v>
      </c>
      <c r="J242" s="705">
        <f>J249</f>
        <v>0</v>
      </c>
      <c r="K242" s="704">
        <f ca="1">IF(I242&gt;0,J242*100/I242,0)</f>
        <v>0</v>
      </c>
      <c r="L242" s="250"/>
      <c r="M242" s="249"/>
      <c r="N242" s="249"/>
      <c r="O242" s="249"/>
      <c r="P242" s="249"/>
      <c r="Q242" s="249"/>
      <c r="R242" s="249"/>
      <c r="S242" s="249"/>
      <c r="T242" s="249"/>
      <c r="U242" s="249"/>
    </row>
    <row r="243" spans="1:21" ht="19.5" hidden="1">
      <c r="A243" s="155"/>
      <c r="B243" s="50"/>
      <c r="C243" s="591" t="s">
        <v>18</v>
      </c>
      <c r="D243" s="562" t="s">
        <v>19</v>
      </c>
      <c r="E243" s="50"/>
      <c r="F243" s="50"/>
      <c r="G243" s="52"/>
      <c r="H243" s="418" t="s">
        <v>14</v>
      </c>
      <c r="I243" s="163"/>
      <c r="J243" s="163"/>
      <c r="K243" s="164"/>
      <c r="L243" s="541">
        <f ca="1">L244+L245+L246+L247</f>
        <v>0</v>
      </c>
      <c r="M243" s="55"/>
      <c r="N243" s="540">
        <f>N244+N245+N246+N247</f>
        <v>0</v>
      </c>
      <c r="O243" s="540">
        <f ca="1">IF(L243&gt;0,N243*100/L243,0)</f>
        <v>0</v>
      </c>
      <c r="P243" s="540">
        <f>IF(M243&gt;0,N243*100/M243,0)</f>
        <v>0</v>
      </c>
      <c r="Q243" s="55"/>
      <c r="R243" s="55"/>
      <c r="S243" s="55"/>
      <c r="T243" s="55"/>
      <c r="U243" s="55"/>
    </row>
    <row r="244" spans="1:21" ht="18.75" hidden="1">
      <c r="A244" s="155"/>
      <c r="B244" s="188"/>
      <c r="C244" s="50"/>
      <c r="D244" s="186" t="s">
        <v>86</v>
      </c>
      <c r="E244" s="50"/>
      <c r="F244" s="50"/>
      <c r="G244" s="52"/>
      <c r="H244" s="189" t="s">
        <v>14</v>
      </c>
      <c r="I244" s="163"/>
      <c r="J244" s="163"/>
      <c r="K244" s="164"/>
      <c r="L244" s="256">
        <f ca="1">IFERROR(__xludf.DUMMYFUNCTION("IMPORTRANGE(""https://docs.google.com/spreadsheets/d/1eHaY18a8A9IcSdp1K8H6x8fbOy06t2VsZHhMHf-1x7Y/edit?usp=sharing"",""แผน!AX49"")"),0)</f>
        <v>0</v>
      </c>
      <c r="M244" s="55"/>
      <c r="N244" s="702">
        <v>0</v>
      </c>
      <c r="O244" s="55"/>
      <c r="P244" s="55"/>
      <c r="Q244" s="55"/>
      <c r="R244" s="55"/>
      <c r="S244" s="55"/>
      <c r="T244" s="55"/>
      <c r="U244" s="55"/>
    </row>
    <row r="245" spans="1:21" ht="18.75" hidden="1">
      <c r="A245" s="238"/>
      <c r="B245" s="188"/>
      <c r="C245" s="188"/>
      <c r="D245" s="186" t="s">
        <v>88</v>
      </c>
      <c r="E245" s="50"/>
      <c r="F245" s="50"/>
      <c r="G245" s="52"/>
      <c r="H245" s="189" t="s">
        <v>14</v>
      </c>
      <c r="I245" s="54"/>
      <c r="J245" s="54"/>
      <c r="K245" s="55"/>
      <c r="L245" s="256">
        <f ca="1">IFERROR(__xludf.DUMMYFUNCTION("IMPORTRANGE(""https://docs.google.com/spreadsheets/d/1eHaY18a8A9IcSdp1K8H6x8fbOy06t2VsZHhMHf-1x7Y/edit?usp=sharing"",""แผน!AY49"")"),0)</f>
        <v>0</v>
      </c>
      <c r="M245" s="55"/>
      <c r="N245" s="702">
        <v>0</v>
      </c>
      <c r="O245" s="55"/>
      <c r="P245" s="55"/>
      <c r="Q245" s="55"/>
      <c r="R245" s="55"/>
      <c r="S245" s="55"/>
      <c r="T245" s="55"/>
      <c r="U245" s="55"/>
    </row>
    <row r="246" spans="1:21" ht="18.75" hidden="1">
      <c r="A246" s="238"/>
      <c r="B246" s="188"/>
      <c r="C246" s="188"/>
      <c r="D246" s="186" t="s">
        <v>106</v>
      </c>
      <c r="E246" s="50"/>
      <c r="F246" s="50"/>
      <c r="G246" s="52"/>
      <c r="H246" s="189" t="s">
        <v>14</v>
      </c>
      <c r="I246" s="54"/>
      <c r="J246" s="54"/>
      <c r="K246" s="55"/>
      <c r="L246" s="256">
        <f ca="1">IFERROR(__xludf.DUMMYFUNCTION("IMPORTRANGE(""https://docs.google.com/spreadsheets/d/1eHaY18a8A9IcSdp1K8H6x8fbOy06t2VsZHhMHf-1x7Y/edit?usp=sharing"",""แผน!AZ49"")"),0)</f>
        <v>0</v>
      </c>
      <c r="M246" s="55"/>
      <c r="N246" s="702">
        <v>0</v>
      </c>
      <c r="O246" s="55"/>
      <c r="P246" s="55"/>
      <c r="Q246" s="55"/>
      <c r="R246" s="55"/>
      <c r="S246" s="55"/>
      <c r="T246" s="55"/>
      <c r="U246" s="55"/>
    </row>
    <row r="247" spans="1:21" ht="18.75" hidden="1">
      <c r="A247" s="238"/>
      <c r="B247" s="188"/>
      <c r="C247" s="188"/>
      <c r="D247" s="186" t="s">
        <v>107</v>
      </c>
      <c r="E247" s="50"/>
      <c r="F247" s="50"/>
      <c r="G247" s="52"/>
      <c r="H247" s="189" t="s">
        <v>14</v>
      </c>
      <c r="I247" s="54"/>
      <c r="J247" s="54"/>
      <c r="K247" s="55"/>
      <c r="L247" s="256">
        <f ca="1">IFERROR(__xludf.DUMMYFUNCTION("IMPORTRANGE(""https://docs.google.com/spreadsheets/d/1eHaY18a8A9IcSdp1K8H6x8fbOy06t2VsZHhMHf-1x7Y/edit?usp=sharing"",""แผน!BA49"")"),0)</f>
        <v>0</v>
      </c>
      <c r="M247" s="55"/>
      <c r="N247" s="702">
        <v>0</v>
      </c>
      <c r="O247" s="55"/>
      <c r="P247" s="55"/>
      <c r="Q247" s="55"/>
      <c r="R247" s="55"/>
      <c r="S247" s="55"/>
      <c r="T247" s="55"/>
      <c r="U247" s="55"/>
    </row>
    <row r="248" spans="1:21" ht="19.5" hidden="1">
      <c r="A248" s="166"/>
      <c r="B248" s="167"/>
      <c r="C248" s="701" t="s">
        <v>18</v>
      </c>
      <c r="D248" s="574" t="s">
        <v>38</v>
      </c>
      <c r="E248" s="169"/>
      <c r="F248" s="169"/>
      <c r="G248" s="170"/>
      <c r="H248" s="171"/>
      <c r="I248" s="163"/>
      <c r="J248" s="54"/>
      <c r="K248" s="55"/>
      <c r="L248" s="62"/>
      <c r="M248" s="55"/>
      <c r="N248" s="55"/>
      <c r="O248" s="164"/>
      <c r="P248" s="164"/>
      <c r="Q248" s="55"/>
      <c r="R248" s="55"/>
      <c r="S248" s="55"/>
      <c r="T248" s="164"/>
      <c r="U248" s="164"/>
    </row>
    <row r="249" spans="1:21" ht="18.75" hidden="1">
      <c r="A249" s="166"/>
      <c r="B249" s="167"/>
      <c r="C249" s="167"/>
      <c r="D249" s="207" t="s">
        <v>108</v>
      </c>
      <c r="E249" s="174"/>
      <c r="F249" s="174"/>
      <c r="G249" s="171"/>
      <c r="H249" s="698" t="s">
        <v>35</v>
      </c>
      <c r="I249" s="483">
        <f ca="1">IFERROR(__xludf.DUMMYFUNCTION("IMPORTRANGE(""https://docs.google.com/spreadsheets/d/1eHaY18a8A9IcSdp1K8H6x8fbOy06t2VsZHhMHf-1x7Y/edit?usp=sharing"",""แผน!BG49"")"),0)</f>
        <v>0</v>
      </c>
      <c r="J249" s="589">
        <v>0</v>
      </c>
      <c r="K249" s="102">
        <f ca="1">IF(I249&gt;0,J249*100/I249,0)</f>
        <v>0</v>
      </c>
      <c r="L249" s="62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8.75" hidden="1">
      <c r="A250" s="166"/>
      <c r="B250" s="167"/>
      <c r="C250" s="167"/>
      <c r="D250" s="700" t="s">
        <v>43</v>
      </c>
      <c r="E250" s="174"/>
      <c r="F250" s="174"/>
      <c r="G250" s="171"/>
      <c r="H250" s="171"/>
      <c r="I250" s="54"/>
      <c r="J250" s="54"/>
      <c r="K250" s="55"/>
      <c r="L250" s="62"/>
      <c r="M250" s="55"/>
      <c r="N250" s="55"/>
      <c r="O250" s="164"/>
      <c r="P250" s="164"/>
      <c r="Q250" s="55"/>
      <c r="R250" s="55"/>
      <c r="S250" s="55"/>
      <c r="T250" s="164"/>
      <c r="U250" s="164"/>
    </row>
    <row r="251" spans="1:21" ht="18.75" hidden="1">
      <c r="A251" s="166"/>
      <c r="B251" s="167"/>
      <c r="C251" s="167"/>
      <c r="D251" s="167"/>
      <c r="E251" s="699" t="s">
        <v>109</v>
      </c>
      <c r="F251" s="174"/>
      <c r="G251" s="171"/>
      <c r="H251" s="698" t="s">
        <v>35</v>
      </c>
      <c r="I251" s="483">
        <v>0</v>
      </c>
      <c r="J251" s="589">
        <v>0</v>
      </c>
      <c r="K251" s="102">
        <f>IF(I251&gt;0,J251*100/I251,0)</f>
        <v>0</v>
      </c>
      <c r="L251" s="62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8.75" hidden="1">
      <c r="A252" s="166"/>
      <c r="B252" s="167"/>
      <c r="C252" s="167"/>
      <c r="D252" s="167"/>
      <c r="E252" s="699" t="s">
        <v>110</v>
      </c>
      <c r="F252" s="174"/>
      <c r="G252" s="171"/>
      <c r="H252" s="698" t="s">
        <v>61</v>
      </c>
      <c r="I252" s="483">
        <v>0</v>
      </c>
      <c r="J252" s="589">
        <v>0</v>
      </c>
      <c r="K252" s="102">
        <f>IF(I252&gt;0,J252*100/I252,0)</f>
        <v>0</v>
      </c>
      <c r="L252" s="62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9.5" hidden="1">
      <c r="A253" s="241"/>
      <c r="B253" s="242"/>
      <c r="C253" s="707" t="s">
        <v>112</v>
      </c>
      <c r="D253" s="244"/>
      <c r="E253" s="244"/>
      <c r="F253" s="244"/>
      <c r="G253" s="245"/>
      <c r="H253" s="706" t="s">
        <v>35</v>
      </c>
      <c r="I253" s="705">
        <f ca="1">I260</f>
        <v>0</v>
      </c>
      <c r="J253" s="705">
        <f>J260</f>
        <v>0</v>
      </c>
      <c r="K253" s="704">
        <f ca="1">IF(I253&gt;0,J253*100/I253,0)</f>
        <v>0</v>
      </c>
      <c r="L253" s="250"/>
      <c r="M253" s="249"/>
      <c r="N253" s="249"/>
      <c r="O253" s="249"/>
      <c r="P253" s="249"/>
      <c r="Q253" s="249"/>
      <c r="R253" s="249"/>
      <c r="S253" s="249"/>
      <c r="T253" s="249"/>
      <c r="U253" s="249"/>
    </row>
    <row r="254" spans="1:21" ht="19.5" hidden="1">
      <c r="A254" s="155"/>
      <c r="B254" s="50"/>
      <c r="C254" s="591" t="s">
        <v>18</v>
      </c>
      <c r="D254" s="703" t="s">
        <v>19</v>
      </c>
      <c r="E254" s="50"/>
      <c r="F254" s="50"/>
      <c r="G254" s="52"/>
      <c r="H254" s="418" t="s">
        <v>14</v>
      </c>
      <c r="I254" s="163"/>
      <c r="J254" s="163"/>
      <c r="K254" s="164"/>
      <c r="L254" s="541">
        <f ca="1">L255+L256+L257+L258</f>
        <v>0</v>
      </c>
      <c r="M254" s="55"/>
      <c r="N254" s="540">
        <f>N255+N256+N257+N258</f>
        <v>0</v>
      </c>
      <c r="O254" s="540">
        <f ca="1">IF(L254&gt;0,N254*100/L254,0)</f>
        <v>0</v>
      </c>
      <c r="P254" s="540">
        <f>IF(M254&gt;0,N254*100/M254,0)</f>
        <v>0</v>
      </c>
      <c r="Q254" s="55"/>
      <c r="R254" s="55"/>
      <c r="S254" s="55"/>
      <c r="T254" s="55"/>
      <c r="U254" s="55"/>
    </row>
    <row r="255" spans="1:21" ht="18.75" hidden="1">
      <c r="A255" s="155"/>
      <c r="B255" s="188"/>
      <c r="C255" s="50"/>
      <c r="D255" s="186" t="s">
        <v>86</v>
      </c>
      <c r="E255" s="50"/>
      <c r="F255" s="50"/>
      <c r="G255" s="52"/>
      <c r="H255" s="189" t="s">
        <v>14</v>
      </c>
      <c r="I255" s="163"/>
      <c r="J255" s="163"/>
      <c r="K255" s="164"/>
      <c r="L255" s="256">
        <f ca="1">IFERROR(__xludf.DUMMYFUNCTION("IMPORTRANGE(""https://docs.google.com/spreadsheets/d/1eHaY18a8A9IcSdp1K8H6x8fbOy06t2VsZHhMHf-1x7Y/edit?usp=sharing"",""แผน!BB49"")"),0)</f>
        <v>0</v>
      </c>
      <c r="M255" s="55"/>
      <c r="N255" s="702">
        <v>0</v>
      </c>
      <c r="O255" s="55"/>
      <c r="P255" s="55"/>
      <c r="Q255" s="55"/>
      <c r="R255" s="55"/>
      <c r="S255" s="55"/>
      <c r="T255" s="55"/>
      <c r="U255" s="55"/>
    </row>
    <row r="256" spans="1:21" ht="18.75" hidden="1">
      <c r="A256" s="238"/>
      <c r="B256" s="188"/>
      <c r="C256" s="188"/>
      <c r="D256" s="186" t="s">
        <v>88</v>
      </c>
      <c r="E256" s="50"/>
      <c r="F256" s="50"/>
      <c r="G256" s="52"/>
      <c r="H256" s="189" t="s">
        <v>14</v>
      </c>
      <c r="I256" s="54"/>
      <c r="J256" s="54"/>
      <c r="K256" s="55"/>
      <c r="L256" s="256">
        <f ca="1">IFERROR(__xludf.DUMMYFUNCTION("IMPORTRANGE(""https://docs.google.com/spreadsheets/d/1eHaY18a8A9IcSdp1K8H6x8fbOy06t2VsZHhMHf-1x7Y/edit?usp=sharing"",""แผน!BC49"")"),0)</f>
        <v>0</v>
      </c>
      <c r="M256" s="55"/>
      <c r="N256" s="702">
        <v>0</v>
      </c>
      <c r="O256" s="55"/>
      <c r="P256" s="55"/>
      <c r="Q256" s="55"/>
      <c r="R256" s="55"/>
      <c r="S256" s="55"/>
      <c r="T256" s="55"/>
      <c r="U256" s="55"/>
    </row>
    <row r="257" spans="1:21" ht="18.75" hidden="1">
      <c r="A257" s="238"/>
      <c r="B257" s="188"/>
      <c r="C257" s="188"/>
      <c r="D257" s="186" t="s">
        <v>106</v>
      </c>
      <c r="E257" s="50"/>
      <c r="F257" s="50"/>
      <c r="G257" s="52"/>
      <c r="H257" s="189" t="s">
        <v>14</v>
      </c>
      <c r="I257" s="54"/>
      <c r="J257" s="54"/>
      <c r="K257" s="55"/>
      <c r="L257" s="256">
        <f ca="1">IFERROR(__xludf.DUMMYFUNCTION("IMPORTRANGE(""https://docs.google.com/spreadsheets/d/1eHaY18a8A9IcSdp1K8H6x8fbOy06t2VsZHhMHf-1x7Y/edit?usp=sharing"",""แผน!BD49"")"),0)</f>
        <v>0</v>
      </c>
      <c r="M257" s="55"/>
      <c r="N257" s="702">
        <v>0</v>
      </c>
      <c r="O257" s="55"/>
      <c r="P257" s="55"/>
      <c r="Q257" s="55"/>
      <c r="R257" s="55"/>
      <c r="S257" s="55"/>
      <c r="T257" s="55"/>
      <c r="U257" s="55"/>
    </row>
    <row r="258" spans="1:21" ht="18.75" hidden="1">
      <c r="A258" s="238"/>
      <c r="B258" s="188"/>
      <c r="C258" s="188"/>
      <c r="D258" s="186" t="s">
        <v>107</v>
      </c>
      <c r="E258" s="50"/>
      <c r="F258" s="50"/>
      <c r="G258" s="52"/>
      <c r="H258" s="189" t="s">
        <v>14</v>
      </c>
      <c r="I258" s="54"/>
      <c r="J258" s="54"/>
      <c r="K258" s="55"/>
      <c r="L258" s="256">
        <f ca="1">IFERROR(__xludf.DUMMYFUNCTION("IMPORTRANGE(""https://docs.google.com/spreadsheets/d/1eHaY18a8A9IcSdp1K8H6x8fbOy06t2VsZHhMHf-1x7Y/edit?usp=sharing"",""แผน!BE49"")"),0)</f>
        <v>0</v>
      </c>
      <c r="M258" s="55"/>
      <c r="N258" s="702">
        <v>0</v>
      </c>
      <c r="O258" s="55"/>
      <c r="P258" s="55"/>
      <c r="Q258" s="55"/>
      <c r="R258" s="55"/>
      <c r="S258" s="55"/>
      <c r="T258" s="55"/>
      <c r="U258" s="55"/>
    </row>
    <row r="259" spans="1:21" ht="19.5" hidden="1">
      <c r="A259" s="166"/>
      <c r="B259" s="167"/>
      <c r="C259" s="701" t="s">
        <v>18</v>
      </c>
      <c r="D259" s="574" t="s">
        <v>38</v>
      </c>
      <c r="E259" s="169"/>
      <c r="F259" s="169"/>
      <c r="G259" s="170"/>
      <c r="H259" s="171"/>
      <c r="I259" s="163"/>
      <c r="J259" s="54"/>
      <c r="K259" s="55"/>
      <c r="L259" s="62"/>
      <c r="M259" s="55"/>
      <c r="N259" s="55"/>
      <c r="O259" s="164"/>
      <c r="P259" s="164"/>
      <c r="Q259" s="55"/>
      <c r="R259" s="55"/>
      <c r="S259" s="55"/>
      <c r="T259" s="164"/>
      <c r="U259" s="164"/>
    </row>
    <row r="260" spans="1:21" ht="18.75" hidden="1">
      <c r="A260" s="166"/>
      <c r="B260" s="167"/>
      <c r="C260" s="167"/>
      <c r="D260" s="207" t="s">
        <v>108</v>
      </c>
      <c r="E260" s="174"/>
      <c r="F260" s="174"/>
      <c r="G260" s="171"/>
      <c r="H260" s="698" t="s">
        <v>35</v>
      </c>
      <c r="I260" s="483">
        <f ca="1">IFERROR(__xludf.DUMMYFUNCTION("IMPORTRANGE(""https://docs.google.com/spreadsheets/d/1eHaY18a8A9IcSdp1K8H6x8fbOy06t2VsZHhMHf-1x7Y/edit?usp=sharing"",""แผน!BH49"")"),0)</f>
        <v>0</v>
      </c>
      <c r="J260" s="589">
        <v>0</v>
      </c>
      <c r="K260" s="102">
        <f ca="1">IF(I260&gt;0,J260*100/I260,0)</f>
        <v>0</v>
      </c>
      <c r="L260" s="62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8.75" hidden="1">
      <c r="A261" s="166"/>
      <c r="B261" s="167"/>
      <c r="C261" s="167"/>
      <c r="D261" s="700" t="s">
        <v>43</v>
      </c>
      <c r="E261" s="174"/>
      <c r="F261" s="174"/>
      <c r="G261" s="171"/>
      <c r="H261" s="171"/>
      <c r="I261" s="54"/>
      <c r="J261" s="54"/>
      <c r="K261" s="55"/>
      <c r="L261" s="62"/>
      <c r="M261" s="55"/>
      <c r="N261" s="55"/>
      <c r="O261" s="164"/>
      <c r="P261" s="164"/>
      <c r="Q261" s="55"/>
      <c r="R261" s="55"/>
      <c r="S261" s="55"/>
      <c r="T261" s="164"/>
      <c r="U261" s="164"/>
    </row>
    <row r="262" spans="1:21" ht="18.75" hidden="1">
      <c r="A262" s="166"/>
      <c r="B262" s="167"/>
      <c r="C262" s="167"/>
      <c r="D262" s="167"/>
      <c r="E262" s="699" t="s">
        <v>109</v>
      </c>
      <c r="F262" s="174"/>
      <c r="G262" s="171"/>
      <c r="H262" s="698" t="s">
        <v>35</v>
      </c>
      <c r="I262" s="54"/>
      <c r="J262" s="589">
        <v>0</v>
      </c>
      <c r="K262" s="102">
        <f>IF(I262&gt;0,J262*100/I262,0)</f>
        <v>0</v>
      </c>
      <c r="L262" s="62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8.75" hidden="1">
      <c r="A263" s="166"/>
      <c r="B263" s="167"/>
      <c r="C263" s="167"/>
      <c r="D263" s="167"/>
      <c r="E263" s="699" t="s">
        <v>110</v>
      </c>
      <c r="F263" s="174"/>
      <c r="G263" s="171"/>
      <c r="H263" s="698" t="s">
        <v>61</v>
      </c>
      <c r="I263" s="54"/>
      <c r="J263" s="589">
        <v>0</v>
      </c>
      <c r="K263" s="102">
        <f>IF(I263&gt;0,J263*100/I263,0)</f>
        <v>0</v>
      </c>
      <c r="L263" s="62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9.5">
      <c r="A264" s="697" t="s">
        <v>113</v>
      </c>
      <c r="B264" s="696"/>
      <c r="C264" s="696"/>
      <c r="D264" s="695"/>
      <c r="E264" s="695"/>
      <c r="F264" s="695"/>
      <c r="G264" s="694"/>
      <c r="H264" s="694"/>
      <c r="I264" s="693"/>
      <c r="J264" s="693"/>
      <c r="K264" s="691"/>
      <c r="L264" s="692"/>
      <c r="M264" s="691"/>
      <c r="N264" s="691"/>
      <c r="O264" s="691"/>
      <c r="P264" s="691"/>
      <c r="Q264" s="691"/>
      <c r="R264" s="691"/>
      <c r="S264" s="691"/>
      <c r="T264" s="691"/>
      <c r="U264" s="691"/>
    </row>
    <row r="265" spans="1:21" ht="19.5">
      <c r="A265" s="690"/>
      <c r="B265" s="689" t="s">
        <v>114</v>
      </c>
      <c r="C265" s="688"/>
      <c r="D265" s="661"/>
      <c r="E265" s="661"/>
      <c r="F265" s="661"/>
      <c r="G265" s="660"/>
      <c r="H265" s="687" t="s">
        <v>35</v>
      </c>
      <c r="I265" s="686">
        <f ca="1">I276</f>
        <v>24</v>
      </c>
      <c r="J265" s="686">
        <f>J276</f>
        <v>0</v>
      </c>
      <c r="K265" s="685">
        <f ca="1">IF(I265&gt;0,J265*100/I265,0)</f>
        <v>0</v>
      </c>
      <c r="L265" s="684"/>
      <c r="M265" s="683"/>
      <c r="N265" s="683"/>
      <c r="O265" s="683"/>
      <c r="P265" s="683"/>
      <c r="Q265" s="683"/>
      <c r="R265" s="683"/>
      <c r="S265" s="683"/>
      <c r="T265" s="683"/>
      <c r="U265" s="683"/>
    </row>
    <row r="266" spans="1:21" ht="19.5">
      <c r="A266" s="668"/>
      <c r="B266" s="667"/>
      <c r="C266" s="682" t="s">
        <v>18</v>
      </c>
      <c r="D266" s="681" t="s">
        <v>19</v>
      </c>
      <c r="E266" s="667"/>
      <c r="F266" s="667"/>
      <c r="G266" s="666"/>
      <c r="H266" s="680" t="s">
        <v>14</v>
      </c>
      <c r="I266" s="548"/>
      <c r="J266" s="548"/>
      <c r="K266" s="545"/>
      <c r="L266" s="679">
        <f ca="1">L267+L268</f>
        <v>0</v>
      </c>
      <c r="M266" s="678">
        <f ca="1">M267+M268</f>
        <v>5000</v>
      </c>
      <c r="N266" s="678">
        <f ca="1">N267+N268</f>
        <v>5000</v>
      </c>
      <c r="O266" s="678">
        <f ca="1">IF(L266&gt;0,N266*100/L266,0)</f>
        <v>0</v>
      </c>
      <c r="P266" s="678">
        <f ca="1">IF(M266&gt;0,N266*100/M266,0)</f>
        <v>100</v>
      </c>
      <c r="Q266" s="678">
        <f ca="1">Q267+Q268</f>
        <v>53440</v>
      </c>
      <c r="R266" s="678">
        <f ca="1">R267+R268</f>
        <v>53440</v>
      </c>
      <c r="S266" s="678">
        <f ca="1">S267+S268</f>
        <v>49520</v>
      </c>
      <c r="T266" s="678">
        <f ca="1">IF(Q266&gt;0,S266*100/Q266,0)</f>
        <v>92.664670658682638</v>
      </c>
      <c r="U266" s="678">
        <f ca="1">IF(R266&gt;0,S266*100/R266,0)</f>
        <v>92.664670658682638</v>
      </c>
    </row>
    <row r="267" spans="1:21" ht="18.75" hidden="1">
      <c r="A267" s="673"/>
      <c r="B267" s="672"/>
      <c r="C267" s="672"/>
      <c r="D267" s="672"/>
      <c r="E267" s="186" t="s">
        <v>20</v>
      </c>
      <c r="F267" s="672"/>
      <c r="G267" s="671"/>
      <c r="H267" s="187" t="s">
        <v>14</v>
      </c>
      <c r="I267" s="677"/>
      <c r="J267" s="677"/>
      <c r="K267" s="676"/>
      <c r="L267" s="103">
        <f>L270+L273</f>
        <v>0</v>
      </c>
      <c r="M267" s="102">
        <f>M270+M273</f>
        <v>0</v>
      </c>
      <c r="N267" s="102">
        <f>N270+N273</f>
        <v>0</v>
      </c>
      <c r="O267" s="102">
        <f>IF(L267&gt;0,N267*100/L267,0)</f>
        <v>0</v>
      </c>
      <c r="P267" s="102">
        <f>IF(M267&gt;0,N267*100/M267,0)</f>
        <v>0</v>
      </c>
      <c r="Q267" s="102">
        <f>Q270+Q273</f>
        <v>0</v>
      </c>
      <c r="R267" s="102">
        <f>R270+R273</f>
        <v>0</v>
      </c>
      <c r="S267" s="102">
        <f>S270+S273</f>
        <v>0</v>
      </c>
      <c r="T267" s="102">
        <f>IF(Q267&gt;0,S267*100/Q267,0)</f>
        <v>0</v>
      </c>
      <c r="U267" s="102">
        <f>IF(R267&gt;0,S267*100/R267,0)</f>
        <v>0</v>
      </c>
    </row>
    <row r="268" spans="1:21" ht="18.75" hidden="1">
      <c r="A268" s="668"/>
      <c r="B268" s="667"/>
      <c r="C268" s="667"/>
      <c r="D268" s="667"/>
      <c r="E268" s="663" t="s">
        <v>21</v>
      </c>
      <c r="F268" s="667"/>
      <c r="G268" s="666"/>
      <c r="H268" s="549" t="s">
        <v>14</v>
      </c>
      <c r="I268" s="548"/>
      <c r="J268" s="548"/>
      <c r="K268" s="545"/>
      <c r="L268" s="664">
        <f ca="1">L271+L274</f>
        <v>0</v>
      </c>
      <c r="M268" s="555">
        <f ca="1">M271+M274</f>
        <v>5000</v>
      </c>
      <c r="N268" s="555">
        <f ca="1">N271+N274</f>
        <v>5000</v>
      </c>
      <c r="O268" s="555">
        <f ca="1">IF(L268&gt;0,N268*100/L268,0)</f>
        <v>0</v>
      </c>
      <c r="P268" s="555">
        <f ca="1">IF(M268&gt;0,N268*100/M268,0)</f>
        <v>100</v>
      </c>
      <c r="Q268" s="555">
        <f ca="1">Q271+Q274</f>
        <v>53440</v>
      </c>
      <c r="R268" s="555">
        <f ca="1">R271+R274</f>
        <v>53440</v>
      </c>
      <c r="S268" s="555">
        <f ca="1">S271+S274</f>
        <v>49520</v>
      </c>
      <c r="T268" s="555">
        <f ca="1">IF(Q268&gt;0,S268*100/Q268,0)</f>
        <v>92.664670658682638</v>
      </c>
      <c r="U268" s="555">
        <f ca="1">IF(R268&gt;0,S268*100/R268,0)</f>
        <v>92.664670658682638</v>
      </c>
    </row>
    <row r="269" spans="1:21" ht="18.75">
      <c r="A269" s="668"/>
      <c r="B269" s="667"/>
      <c r="C269" s="667"/>
      <c r="D269" s="674" t="s">
        <v>22</v>
      </c>
      <c r="E269" s="667"/>
      <c r="F269" s="667"/>
      <c r="G269" s="666"/>
      <c r="H269" s="675" t="s">
        <v>14</v>
      </c>
      <c r="I269" s="659"/>
      <c r="J269" s="659"/>
      <c r="K269" s="657"/>
      <c r="L269" s="664">
        <f ca="1">L270+L271</f>
        <v>0</v>
      </c>
      <c r="M269" s="555">
        <f ca="1">M270+M271</f>
        <v>5000</v>
      </c>
      <c r="N269" s="555">
        <f ca="1">N270+N271</f>
        <v>5000</v>
      </c>
      <c r="O269" s="555">
        <f ca="1">IF(L269&gt;0,N269*100/L269,0)</f>
        <v>0</v>
      </c>
      <c r="P269" s="555">
        <f ca="1">IF(M269&gt;0,N269*100/M269,0)</f>
        <v>100</v>
      </c>
      <c r="Q269" s="555">
        <f ca="1">Q270+Q271</f>
        <v>53440</v>
      </c>
      <c r="R269" s="555">
        <f ca="1">R270+R271</f>
        <v>53440</v>
      </c>
      <c r="S269" s="555">
        <f ca="1">S270+S271</f>
        <v>49520</v>
      </c>
      <c r="T269" s="555">
        <f ca="1">IF(Q269&gt;0,S269*100/Q269,0)</f>
        <v>92.664670658682638</v>
      </c>
      <c r="U269" s="555">
        <f ca="1">IF(R269&gt;0,S269*100/R269,0)</f>
        <v>92.664670658682638</v>
      </c>
    </row>
    <row r="270" spans="1:21" ht="18.75" hidden="1">
      <c r="A270" s="673"/>
      <c r="B270" s="672"/>
      <c r="C270" s="672"/>
      <c r="D270" s="672"/>
      <c r="E270" s="186" t="s">
        <v>36</v>
      </c>
      <c r="F270" s="672"/>
      <c r="G270" s="671"/>
      <c r="H270" s="189" t="s">
        <v>14</v>
      </c>
      <c r="I270" s="670"/>
      <c r="J270" s="670"/>
      <c r="K270" s="669"/>
      <c r="L270" s="103">
        <v>0</v>
      </c>
      <c r="M270" s="102">
        <v>0</v>
      </c>
      <c r="N270" s="102">
        <v>0</v>
      </c>
      <c r="O270" s="102">
        <f>IF(L270&gt;0,N270*100/L270,0)</f>
        <v>0</v>
      </c>
      <c r="P270" s="102">
        <f>IF(M270&gt;0,N270*100/M270,0)</f>
        <v>0</v>
      </c>
      <c r="Q270" s="102">
        <v>0</v>
      </c>
      <c r="R270" s="102">
        <v>0</v>
      </c>
      <c r="S270" s="102">
        <v>0</v>
      </c>
      <c r="T270" s="102">
        <f>IF(Q270&gt;0,S270*100/Q270,0)</f>
        <v>0</v>
      </c>
      <c r="U270" s="102">
        <f>IF(R270&gt;0,S270*100/R270,0)</f>
        <v>0</v>
      </c>
    </row>
    <row r="271" spans="1:21" ht="18.75" hidden="1">
      <c r="A271" s="668"/>
      <c r="B271" s="667"/>
      <c r="C271" s="667"/>
      <c r="D271" s="667"/>
      <c r="E271" s="663" t="s">
        <v>37</v>
      </c>
      <c r="F271" s="667"/>
      <c r="G271" s="666"/>
      <c r="H271" s="675" t="s">
        <v>14</v>
      </c>
      <c r="I271" s="659"/>
      <c r="J271" s="659"/>
      <c r="K271" s="657"/>
      <c r="L271" s="664">
        <f ca="1">IFERROR(__xludf.DUMMYFUNCTION("IMPORTRANGE(""https://docs.google.com/spreadsheets/d/1-uDff_7J0KD5mKrp0Vvzr7lt3OU09vwQwhkpOPPYv2Y/edit?usp=sharing"",""งบพรบ!DE49"")"),0)</f>
        <v>0</v>
      </c>
      <c r="M271" s="555">
        <f ca="1">IFERROR(__xludf.DUMMYFUNCTION("IMPORTRANGE(""https://docs.google.com/spreadsheets/d/1-uDff_7J0KD5mKrp0Vvzr7lt3OU09vwQwhkpOPPYv2Y/edit?usp=sharing"",""งบพรบ!DJ49"")"),5000)</f>
        <v>5000</v>
      </c>
      <c r="N271" s="555">
        <f ca="1">IFERROR(__xludf.DUMMYFUNCTION("IMPORTRANGE(""https://docs.google.com/spreadsheets/d/1-uDff_7J0KD5mKrp0Vvzr7lt3OU09vwQwhkpOPPYv2Y/edit?usp=sharing"",""งบพรบ!DL49"")"),5000)</f>
        <v>5000</v>
      </c>
      <c r="O271" s="555">
        <f ca="1">IF(L271&gt;0,N271*100/L271,0)</f>
        <v>0</v>
      </c>
      <c r="P271" s="555">
        <f ca="1">IF(M271&gt;0,N271*100/M271,0)</f>
        <v>100</v>
      </c>
      <c r="Q271" s="555">
        <f ca="1">IFERROR(__xludf.DUMMYFUNCTION("IMPORTRANGE(""https://docs.google.com/spreadsheets/d/1ItG2mGa2ceCfYo0BwxsXqNm01IGEUdYcSSLTEv9YCik/edit?usp=sharing"",""เบิกจ่ายกองทุน!AJ49"")"),53440)</f>
        <v>53440</v>
      </c>
      <c r="R271" s="555">
        <f ca="1">IFERROR(__xludf.DUMMYFUNCTION("IMPORTRANGE(""https://docs.google.com/spreadsheets/d/1ItG2mGa2ceCfYo0BwxsXqNm01IGEUdYcSSLTEv9YCik/edit?usp=sharing"",""เบิกจ่ายกองทุน!AK49"")"),53440)</f>
        <v>53440</v>
      </c>
      <c r="S271" s="555">
        <f ca="1">IFERROR(__xludf.DUMMYFUNCTION("IMPORTRANGE(""https://docs.google.com/spreadsheets/d/1ItG2mGa2ceCfYo0BwxsXqNm01IGEUdYcSSLTEv9YCik/edit?usp=sharing"",""เบิกจ่ายกองทุน!AL49"")"),49520)</f>
        <v>49520</v>
      </c>
      <c r="T271" s="555">
        <f ca="1">IF(Q271&gt;0,S271*100/Q271,0)</f>
        <v>92.664670658682638</v>
      </c>
      <c r="U271" s="555">
        <f ca="1">IF(R271&gt;0,S271*100/R271,0)</f>
        <v>92.664670658682638</v>
      </c>
    </row>
    <row r="272" spans="1:21" ht="18.75">
      <c r="A272" s="668"/>
      <c r="B272" s="667"/>
      <c r="C272" s="667"/>
      <c r="D272" s="674" t="s">
        <v>23</v>
      </c>
      <c r="E272" s="667"/>
      <c r="F272" s="667"/>
      <c r="G272" s="666"/>
      <c r="H272" s="665" t="s">
        <v>14</v>
      </c>
      <c r="I272" s="659"/>
      <c r="J272" s="659"/>
      <c r="K272" s="657"/>
      <c r="L272" s="664">
        <f ca="1">L273+L274</f>
        <v>0</v>
      </c>
      <c r="M272" s="555">
        <f ca="1">M273+M274</f>
        <v>0</v>
      </c>
      <c r="N272" s="555">
        <f ca="1">N273+N274</f>
        <v>0</v>
      </c>
      <c r="O272" s="555">
        <f ca="1">IF(L272&gt;0,N272*100/L272,0)</f>
        <v>0</v>
      </c>
      <c r="P272" s="555">
        <f ca="1">IF(M272&gt;0,N272*100/M272,0)</f>
        <v>0</v>
      </c>
      <c r="Q272" s="555">
        <f>Q273+Q274</f>
        <v>0</v>
      </c>
      <c r="R272" s="555">
        <f>R273+R274</f>
        <v>0</v>
      </c>
      <c r="S272" s="555">
        <f>S273+S274</f>
        <v>0</v>
      </c>
      <c r="T272" s="555">
        <f>IF(Q272&gt;0,S272*100/Q272,0)</f>
        <v>0</v>
      </c>
      <c r="U272" s="555">
        <f>IF(R272&gt;0,S272*100/R272,0)</f>
        <v>0</v>
      </c>
    </row>
    <row r="273" spans="1:21" ht="18.75" hidden="1">
      <c r="A273" s="673"/>
      <c r="B273" s="672"/>
      <c r="C273" s="672"/>
      <c r="D273" s="672"/>
      <c r="E273" s="186" t="s">
        <v>20</v>
      </c>
      <c r="F273" s="672"/>
      <c r="G273" s="671"/>
      <c r="H273" s="189" t="s">
        <v>14</v>
      </c>
      <c r="I273" s="670"/>
      <c r="J273" s="670"/>
      <c r="K273" s="669"/>
      <c r="L273" s="103">
        <v>0</v>
      </c>
      <c r="M273" s="102">
        <v>0</v>
      </c>
      <c r="N273" s="102">
        <v>0</v>
      </c>
      <c r="O273" s="102">
        <f>IF(L273&gt;0,N273*100/L273,0)</f>
        <v>0</v>
      </c>
      <c r="P273" s="102">
        <f>IF(M273&gt;0,N273*100/M273,0)</f>
        <v>0</v>
      </c>
      <c r="Q273" s="102">
        <v>0</v>
      </c>
      <c r="R273" s="102">
        <v>0</v>
      </c>
      <c r="S273" s="102">
        <v>0</v>
      </c>
      <c r="T273" s="102">
        <f>IF(Q273&gt;0,S273*100/Q273,0)</f>
        <v>0</v>
      </c>
      <c r="U273" s="102">
        <f>IF(R273&gt;0,S273*100/R273,0)</f>
        <v>0</v>
      </c>
    </row>
    <row r="274" spans="1:21" ht="18.75" hidden="1">
      <c r="A274" s="668"/>
      <c r="B274" s="667"/>
      <c r="C274" s="667"/>
      <c r="D274" s="667"/>
      <c r="E274" s="663" t="s">
        <v>21</v>
      </c>
      <c r="F274" s="667"/>
      <c r="G274" s="666"/>
      <c r="H274" s="665" t="s">
        <v>14</v>
      </c>
      <c r="I274" s="659"/>
      <c r="J274" s="659"/>
      <c r="K274" s="657"/>
      <c r="L274" s="664">
        <f ca="1">IFERROR(__xludf.DUMMYFUNCTION("IMPORTRANGE(""https://docs.google.com/spreadsheets/d/1-uDff_7J0KD5mKrp0Vvzr7lt3OU09vwQwhkpOPPYv2Y/edit?usp=sharing"",""งบพรบ!DH49"")"),0)</f>
        <v>0</v>
      </c>
      <c r="M274" s="555">
        <f ca="1">IFERROR(__xludf.DUMMYFUNCTION("IMPORTRANGE(""https://docs.google.com/spreadsheets/d/1-uDff_7J0KD5mKrp0Vvzr7lt3OU09vwQwhkpOPPYv2Y/edit?usp=sharing"",""งบพรบ!DK49"")"),0)</f>
        <v>0</v>
      </c>
      <c r="N274" s="555">
        <f ca="1">IFERROR(__xludf.DUMMYFUNCTION("IMPORTRANGE(""https://docs.google.com/spreadsheets/d/1-uDff_7J0KD5mKrp0Vvzr7lt3OU09vwQwhkpOPPYv2Y/edit?usp=sharing"",""งบพรบ!DM49"")"),0)</f>
        <v>0</v>
      </c>
      <c r="O274" s="555">
        <f ca="1">IF(L274&gt;0,N274*100/L274,0)</f>
        <v>0</v>
      </c>
      <c r="P274" s="555">
        <f ca="1">IF(M274&gt;0,N274*100/M274,0)</f>
        <v>0</v>
      </c>
      <c r="Q274" s="555">
        <v>0</v>
      </c>
      <c r="R274" s="555">
        <v>0</v>
      </c>
      <c r="S274" s="555">
        <v>0</v>
      </c>
      <c r="T274" s="555">
        <f>IF(Q274&gt;0,S274*100/Q274,0)</f>
        <v>0</v>
      </c>
      <c r="U274" s="555">
        <f>IF(R274&gt;0,S274*100/R274,0)</f>
        <v>0</v>
      </c>
    </row>
    <row r="275" spans="1:21" ht="19.5">
      <c r="A275" s="554"/>
      <c r="B275" s="553"/>
      <c r="C275" s="663" t="s">
        <v>18</v>
      </c>
      <c r="D275" s="662" t="s">
        <v>38</v>
      </c>
      <c r="E275" s="661"/>
      <c r="F275" s="661"/>
      <c r="G275" s="660"/>
      <c r="H275" s="550"/>
      <c r="I275" s="659"/>
      <c r="J275" s="659"/>
      <c r="K275" s="657"/>
      <c r="L275" s="658"/>
      <c r="M275" s="657"/>
      <c r="N275" s="657"/>
      <c r="O275" s="657"/>
      <c r="P275" s="657"/>
      <c r="Q275" s="657"/>
      <c r="R275" s="657"/>
      <c r="S275" s="657"/>
      <c r="T275" s="657"/>
      <c r="U275" s="657"/>
    </row>
    <row r="276" spans="1:21" ht="18.75">
      <c r="A276" s="783"/>
      <c r="B276" s="343"/>
      <c r="C276" s="343"/>
      <c r="D276" s="782" t="s">
        <v>115</v>
      </c>
      <c r="E276" s="344"/>
      <c r="F276" s="344"/>
      <c r="G276" s="346"/>
      <c r="H276" s="347" t="s">
        <v>35</v>
      </c>
      <c r="I276" s="349">
        <f ca="1">IFERROR(__xludf.DUMMYFUNCTION("IMPORTRANGE(""https://docs.google.com/spreadsheets/d/1eHaY18a8A9IcSdp1K8H6x8fbOy06t2VsZHhMHf-1x7Y/edit?usp=sharing"",""แผน!EC49"")"),24)</f>
        <v>24</v>
      </c>
      <c r="J276" s="495">
        <v>0</v>
      </c>
      <c r="K276" s="708">
        <f ca="1">IF(I276&gt;0,J276*100/I276,0)</f>
        <v>0</v>
      </c>
      <c r="L276" s="62"/>
      <c r="M276" s="55"/>
      <c r="N276" s="55"/>
      <c r="O276" s="55"/>
      <c r="P276" s="55"/>
      <c r="Q276" s="55"/>
      <c r="R276" s="55"/>
      <c r="S276" s="55"/>
      <c r="T276" s="55"/>
      <c r="U276" s="55"/>
    </row>
    <row r="277" spans="1:21" ht="18.75" hidden="1">
      <c r="A277" s="281"/>
      <c r="B277" s="282"/>
      <c r="C277" s="282"/>
      <c r="D277" s="647" t="s">
        <v>116</v>
      </c>
      <c r="E277" s="2"/>
      <c r="F277" s="2"/>
      <c r="G277" s="284"/>
      <c r="H277" s="646" t="s">
        <v>35</v>
      </c>
      <c r="I277" s="486">
        <v>0</v>
      </c>
      <c r="J277" s="486">
        <v>0</v>
      </c>
      <c r="K277" s="645">
        <v>0</v>
      </c>
      <c r="L277" s="287"/>
      <c r="M277" s="286"/>
      <c r="N277" s="286"/>
      <c r="O277" s="286"/>
      <c r="P277" s="286"/>
      <c r="Q277" s="286"/>
      <c r="R277" s="286"/>
      <c r="S277" s="286"/>
      <c r="T277" s="286"/>
      <c r="U277" s="286"/>
    </row>
    <row r="278" spans="1:21" ht="19.5" hidden="1">
      <c r="A278" s="288" t="s">
        <v>117</v>
      </c>
      <c r="B278" s="289"/>
      <c r="C278" s="289"/>
      <c r="D278" s="289"/>
      <c r="E278" s="290"/>
      <c r="F278" s="290"/>
      <c r="G278" s="290"/>
      <c r="H278" s="290"/>
      <c r="I278" s="291"/>
      <c r="J278" s="291"/>
      <c r="K278" s="292"/>
      <c r="L278" s="292"/>
      <c r="M278" s="292"/>
      <c r="N278" s="292"/>
      <c r="O278" s="292"/>
      <c r="P278" s="293"/>
      <c r="Q278" s="292"/>
      <c r="R278" s="292"/>
      <c r="S278" s="292"/>
      <c r="T278" s="292"/>
      <c r="U278" s="293"/>
    </row>
    <row r="279" spans="1:21" ht="19.5" hidden="1">
      <c r="A279" s="294" t="s">
        <v>118</v>
      </c>
      <c r="B279" s="295"/>
      <c r="C279" s="296"/>
      <c r="D279" s="295"/>
      <c r="E279" s="295"/>
      <c r="F279" s="295"/>
      <c r="G279" s="295"/>
      <c r="H279" s="295"/>
      <c r="I279" s="297"/>
      <c r="J279" s="298"/>
      <c r="K279" s="299"/>
      <c r="L279" s="300"/>
      <c r="M279" s="299"/>
      <c r="N279" s="299"/>
      <c r="O279" s="299"/>
      <c r="P279" s="299"/>
      <c r="Q279" s="299"/>
      <c r="R279" s="299"/>
      <c r="S279" s="299"/>
      <c r="T279" s="299"/>
      <c r="U279" s="299"/>
    </row>
    <row r="280" spans="1:21" ht="19.5" hidden="1">
      <c r="A280" s="301"/>
      <c r="B280" s="302" t="s">
        <v>119</v>
      </c>
      <c r="C280" s="303"/>
      <c r="D280" s="304"/>
      <c r="E280" s="303"/>
      <c r="F280" s="303"/>
      <c r="G280" s="305"/>
      <c r="H280" s="306" t="s">
        <v>35</v>
      </c>
      <c r="I280" s="644">
        <f ca="1">I293</f>
        <v>0</v>
      </c>
      <c r="J280" s="644">
        <f>J293</f>
        <v>0</v>
      </c>
      <c r="K280" s="643">
        <f ca="1">IF(I280&gt;0,J280*100/I280,0)</f>
        <v>0</v>
      </c>
      <c r="L280" s="310"/>
      <c r="M280" s="309"/>
      <c r="N280" s="309"/>
      <c r="O280" s="309"/>
      <c r="P280" s="309"/>
      <c r="Q280" s="309"/>
      <c r="R280" s="309"/>
      <c r="S280" s="309"/>
      <c r="T280" s="309"/>
      <c r="U280" s="309"/>
    </row>
    <row r="281" spans="1:21" ht="19.5" hidden="1">
      <c r="A281" s="301"/>
      <c r="B281" s="303"/>
      <c r="C281" s="303"/>
      <c r="D281" s="304"/>
      <c r="E281" s="303"/>
      <c r="F281" s="303"/>
      <c r="G281" s="305"/>
      <c r="H281" s="306" t="s">
        <v>46</v>
      </c>
      <c r="I281" s="644">
        <f ca="1">I292</f>
        <v>0</v>
      </c>
      <c r="J281" s="644">
        <f>J292</f>
        <v>0</v>
      </c>
      <c r="K281" s="643">
        <f ca="1">IF(I281&gt;0,J281*100/I281,0)</f>
        <v>0</v>
      </c>
      <c r="L281" s="310"/>
      <c r="M281" s="309"/>
      <c r="N281" s="309"/>
      <c r="O281" s="309"/>
      <c r="P281" s="309"/>
      <c r="Q281" s="309"/>
      <c r="R281" s="309"/>
      <c r="S281" s="309"/>
      <c r="T281" s="309"/>
      <c r="U281" s="309"/>
    </row>
    <row r="282" spans="1:21" ht="19.5" hidden="1">
      <c r="A282" s="155"/>
      <c r="B282" s="50"/>
      <c r="C282" s="156" t="s">
        <v>18</v>
      </c>
      <c r="D282" s="575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541">
        <f ca="1">L283+L284</f>
        <v>0</v>
      </c>
      <c r="M282" s="540">
        <f ca="1">M283+M284</f>
        <v>0</v>
      </c>
      <c r="N282" s="540">
        <f ca="1">N283+N284</f>
        <v>0</v>
      </c>
      <c r="O282" s="540">
        <f ca="1">IF(L282&gt;0,N282*100/L282,0)</f>
        <v>0</v>
      </c>
      <c r="P282" s="540">
        <f ca="1">IF(M282&gt;0,N282*100/M282,0)</f>
        <v>0</v>
      </c>
      <c r="Q282" s="540">
        <f>Q283+Q284</f>
        <v>0</v>
      </c>
      <c r="R282" s="540">
        <f>R283+R284</f>
        <v>0</v>
      </c>
      <c r="S282" s="540">
        <f>S283+S284</f>
        <v>0</v>
      </c>
      <c r="T282" s="540">
        <f>IF(Q282&gt;0,S282*100/Q282,0)</f>
        <v>0</v>
      </c>
      <c r="U282" s="540">
        <f>IF(R282&gt;0,S282*100/R282,0)</f>
        <v>0</v>
      </c>
    </row>
    <row r="283" spans="1:21" ht="18.75" hidden="1">
      <c r="A283" s="155"/>
      <c r="B283" s="50"/>
      <c r="C283" s="50"/>
      <c r="D283" s="50"/>
      <c r="E283" s="186" t="s">
        <v>20</v>
      </c>
      <c r="F283" s="50"/>
      <c r="G283" s="52"/>
      <c r="H283" s="187" t="s">
        <v>14</v>
      </c>
      <c r="I283" s="54"/>
      <c r="J283" s="54"/>
      <c r="K283" s="55"/>
      <c r="L283" s="103">
        <f>L286+L289</f>
        <v>0</v>
      </c>
      <c r="M283" s="102">
        <f>M286+M289</f>
        <v>0</v>
      </c>
      <c r="N283" s="102">
        <f>N286+N289</f>
        <v>0</v>
      </c>
      <c r="O283" s="102">
        <f>IF(L283&gt;0,N283*100/L283,0)</f>
        <v>0</v>
      </c>
      <c r="P283" s="102">
        <f>IF(M283&gt;0,N283*100/M283,0)</f>
        <v>0</v>
      </c>
      <c r="Q283" s="102">
        <f>Q286+Q289</f>
        <v>0</v>
      </c>
      <c r="R283" s="102">
        <f>R286+R289</f>
        <v>0</v>
      </c>
      <c r="S283" s="102">
        <f>S286+S289</f>
        <v>0</v>
      </c>
      <c r="T283" s="102">
        <f>IF(Q283&gt;0,S283*100/Q283,0)</f>
        <v>0</v>
      </c>
      <c r="U283" s="102">
        <f>IF(R283&gt;0,S283*100/R283,0)</f>
        <v>0</v>
      </c>
    </row>
    <row r="284" spans="1:21" ht="18.75" hidden="1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256">
        <f ca="1">L287+L290</f>
        <v>0</v>
      </c>
      <c r="M284" s="255">
        <f ca="1">M287+M290</f>
        <v>0</v>
      </c>
      <c r="N284" s="255">
        <f ca="1">N287+N290</f>
        <v>0</v>
      </c>
      <c r="O284" s="255">
        <f ca="1">IF(L284&gt;0,N284*100/L284,0)</f>
        <v>0</v>
      </c>
      <c r="P284" s="255">
        <f ca="1">IF(M284&gt;0,N284*100/M284,0)</f>
        <v>0</v>
      </c>
      <c r="Q284" s="255">
        <f>Q287+Q290</f>
        <v>0</v>
      </c>
      <c r="R284" s="255">
        <f>R287+R290</f>
        <v>0</v>
      </c>
      <c r="S284" s="255">
        <f>S287+S290</f>
        <v>0</v>
      </c>
      <c r="T284" s="255">
        <f>IF(Q284&gt;0,S284*100/Q284,0)</f>
        <v>0</v>
      </c>
      <c r="U284" s="255">
        <f>IF(R284&gt;0,S284*100/R284,0)</f>
        <v>0</v>
      </c>
    </row>
    <row r="285" spans="1:21" ht="18.75" hidden="1">
      <c r="A285" s="155"/>
      <c r="B285" s="50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256">
        <f ca="1">L286+L287</f>
        <v>0</v>
      </c>
      <c r="M285" s="255">
        <f ca="1">M286+M287</f>
        <v>0</v>
      </c>
      <c r="N285" s="255">
        <f ca="1">N286+N287</f>
        <v>0</v>
      </c>
      <c r="O285" s="255">
        <f ca="1">IF(L285&gt;0,N285*100/L285,0)</f>
        <v>0</v>
      </c>
      <c r="P285" s="255">
        <f ca="1">IF(M285&gt;0,N285*100/M285,0)</f>
        <v>0</v>
      </c>
      <c r="Q285" s="255">
        <f>Q286+Q287</f>
        <v>0</v>
      </c>
      <c r="R285" s="255">
        <f>R286+R287</f>
        <v>0</v>
      </c>
      <c r="S285" s="255">
        <f>S286+S287</f>
        <v>0</v>
      </c>
      <c r="T285" s="255">
        <f>IF(Q285&gt;0,S285*100/Q285,0)</f>
        <v>0</v>
      </c>
      <c r="U285" s="255">
        <f>IF(R285&gt;0,S285*100/R285,0)</f>
        <v>0</v>
      </c>
    </row>
    <row r="286" spans="1:21" ht="18.75" hidden="1">
      <c r="A286" s="155"/>
      <c r="B286" s="50"/>
      <c r="C286" s="50"/>
      <c r="D286" s="50"/>
      <c r="E286" s="186" t="s">
        <v>36</v>
      </c>
      <c r="F286" s="50"/>
      <c r="G286" s="52"/>
      <c r="H286" s="189" t="s">
        <v>14</v>
      </c>
      <c r="I286" s="163"/>
      <c r="J286" s="163"/>
      <c r="K286" s="164"/>
      <c r="L286" s="103">
        <v>0</v>
      </c>
      <c r="M286" s="102">
        <v>0</v>
      </c>
      <c r="N286" s="102">
        <v>0</v>
      </c>
      <c r="O286" s="102">
        <f>IF(L286&gt;0,N286*100/L286,0)</f>
        <v>0</v>
      </c>
      <c r="P286" s="102">
        <f>IF(M286&gt;0,N286*100/M286,0)</f>
        <v>0</v>
      </c>
      <c r="Q286" s="102">
        <v>0</v>
      </c>
      <c r="R286" s="102">
        <v>0</v>
      </c>
      <c r="S286" s="102">
        <v>0</v>
      </c>
      <c r="T286" s="102">
        <f>IF(Q286&gt;0,S286*100/Q286,0)</f>
        <v>0</v>
      </c>
      <c r="U286" s="102">
        <f>IF(R286&gt;0,S286*100/R286,0)</f>
        <v>0</v>
      </c>
    </row>
    <row r="287" spans="1:21" ht="18.75" hidden="1">
      <c r="A287" s="155"/>
      <c r="B287" s="50"/>
      <c r="C287" s="50"/>
      <c r="D287" s="50"/>
      <c r="E287" s="58" t="s">
        <v>37</v>
      </c>
      <c r="F287" s="50"/>
      <c r="G287" s="52"/>
      <c r="H287" s="162" t="s">
        <v>14</v>
      </c>
      <c r="I287" s="163"/>
      <c r="J287" s="163"/>
      <c r="K287" s="164"/>
      <c r="L287" s="256">
        <f ca="1">IFERROR(__xludf.DUMMYFUNCTION("IMPORTRANGE(""https://docs.google.com/spreadsheets/d/1-uDff_7J0KD5mKrp0Vvzr7lt3OU09vwQwhkpOPPYv2Y/edit?usp=sharing"",""งบพรบ!DO49"")"),0)</f>
        <v>0</v>
      </c>
      <c r="M287" s="255">
        <f ca="1">IFERROR(__xludf.DUMMYFUNCTION("IMPORTRANGE(""https://docs.google.com/spreadsheets/d/1-uDff_7J0KD5mKrp0Vvzr7lt3OU09vwQwhkpOPPYv2Y/edit?usp=sharing"",""งบพรบ!DT49"")"),0)</f>
        <v>0</v>
      </c>
      <c r="N287" s="255">
        <f ca="1">IFERROR(__xludf.DUMMYFUNCTION("IMPORTRANGE(""https://docs.google.com/spreadsheets/d/1-uDff_7J0KD5mKrp0Vvzr7lt3OU09vwQwhkpOPPYv2Y/edit?usp=sharing"",""งบพรบ!DV49"")"),0)</f>
        <v>0</v>
      </c>
      <c r="O287" s="255">
        <f ca="1">IF(L287&gt;0,N287*100/L287,0)</f>
        <v>0</v>
      </c>
      <c r="P287" s="255">
        <f ca="1">IF(M287&gt;0,N287*100/M287,0)</f>
        <v>0</v>
      </c>
      <c r="Q287" s="255">
        <v>0</v>
      </c>
      <c r="R287" s="255">
        <v>0</v>
      </c>
      <c r="S287" s="255">
        <v>0</v>
      </c>
      <c r="T287" s="102">
        <f>IF(Q287&gt;0,S287*100/Q287,0)</f>
        <v>0</v>
      </c>
      <c r="U287" s="102">
        <f>IF(R287&gt;0,S287*100/R287,0)</f>
        <v>0</v>
      </c>
    </row>
    <row r="288" spans="1:21" ht="18.75" hidden="1">
      <c r="A288" s="155"/>
      <c r="B288" s="50"/>
      <c r="C288" s="50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256">
        <f ca="1">L289+L290</f>
        <v>0</v>
      </c>
      <c r="M288" s="255">
        <f ca="1">M289+M290</f>
        <v>0</v>
      </c>
      <c r="N288" s="255">
        <f ca="1">N289+N290</f>
        <v>0</v>
      </c>
      <c r="O288" s="255">
        <f ca="1">IF(L288&gt;0,N288*100/L288,0)</f>
        <v>0</v>
      </c>
      <c r="P288" s="255">
        <f ca="1">IF(M288&gt;0,N288*100/M288,0)</f>
        <v>0</v>
      </c>
      <c r="Q288" s="255">
        <f>Q289+Q290</f>
        <v>0</v>
      </c>
      <c r="R288" s="255">
        <f>R289+R290</f>
        <v>0</v>
      </c>
      <c r="S288" s="255">
        <f>S289+S290</f>
        <v>0</v>
      </c>
      <c r="T288" s="255">
        <f>IF(Q288&gt;0,S288*100/Q288,0)</f>
        <v>0</v>
      </c>
      <c r="U288" s="255">
        <f>IF(R288&gt;0,S288*100/R288,0)</f>
        <v>0</v>
      </c>
    </row>
    <row r="289" spans="1:21" ht="18.75" hidden="1">
      <c r="A289" s="155"/>
      <c r="B289" s="50"/>
      <c r="C289" s="50"/>
      <c r="D289" s="50"/>
      <c r="E289" s="186" t="s">
        <v>20</v>
      </c>
      <c r="F289" s="50"/>
      <c r="G289" s="52"/>
      <c r="H289" s="189" t="s">
        <v>14</v>
      </c>
      <c r="I289" s="163"/>
      <c r="J289" s="163"/>
      <c r="K289" s="164"/>
      <c r="L289" s="103">
        <v>0</v>
      </c>
      <c r="M289" s="102">
        <v>0</v>
      </c>
      <c r="N289" s="102">
        <v>0</v>
      </c>
      <c r="O289" s="102">
        <f>IF(L289&gt;0,N289*100/L289,0)</f>
        <v>0</v>
      </c>
      <c r="P289" s="102">
        <f>IF(M289&gt;0,N289*100/M289,0)</f>
        <v>0</v>
      </c>
      <c r="Q289" s="102">
        <v>0</v>
      </c>
      <c r="R289" s="102">
        <v>0</v>
      </c>
      <c r="S289" s="102">
        <v>0</v>
      </c>
      <c r="T289" s="102">
        <f>IF(Q289&gt;0,S289*100/Q289,0)</f>
        <v>0</v>
      </c>
      <c r="U289" s="102">
        <f>IF(R289&gt;0,S289*100/R289,0)</f>
        <v>0</v>
      </c>
    </row>
    <row r="290" spans="1:21" ht="18.75" hidden="1">
      <c r="A290" s="155"/>
      <c r="B290" s="50"/>
      <c r="C290" s="50"/>
      <c r="D290" s="50"/>
      <c r="E290" s="58" t="s">
        <v>21</v>
      </c>
      <c r="F290" s="50"/>
      <c r="G290" s="52"/>
      <c r="H290" s="165" t="s">
        <v>14</v>
      </c>
      <c r="I290" s="163"/>
      <c r="J290" s="163"/>
      <c r="K290" s="164"/>
      <c r="L290" s="256">
        <f ca="1">IFERROR(__xludf.DUMMYFUNCTION("IMPORTRANGE(""https://docs.google.com/spreadsheets/d/1-uDff_7J0KD5mKrp0Vvzr7lt3OU09vwQwhkpOPPYv2Y/edit?usp=sharing"",""งบพรบ!DR49"")"),0)</f>
        <v>0</v>
      </c>
      <c r="M290" s="255">
        <f ca="1">IFERROR(__xludf.DUMMYFUNCTION("IMPORTRANGE(""https://docs.google.com/spreadsheets/d/1-uDff_7J0KD5mKrp0Vvzr7lt3OU09vwQwhkpOPPYv2Y/edit?usp=sharing"",""งบพรบ!DU49"")"),0)</f>
        <v>0</v>
      </c>
      <c r="N290" s="255">
        <f ca="1">IFERROR(__xludf.DUMMYFUNCTION("IMPORTRANGE(""https://docs.google.com/spreadsheets/d/1-uDff_7J0KD5mKrp0Vvzr7lt3OU09vwQwhkpOPPYv2Y/edit?usp=sharing"",""งบพรบ!DW49"")"),0)</f>
        <v>0</v>
      </c>
      <c r="O290" s="255">
        <f ca="1">IF(L290&gt;0,N290*100/L290,0)</f>
        <v>0</v>
      </c>
      <c r="P290" s="255">
        <f ca="1">IF(M290&gt;0,N290*100/M290,0)</f>
        <v>0</v>
      </c>
      <c r="Q290" s="255">
        <v>0</v>
      </c>
      <c r="R290" s="255">
        <v>0</v>
      </c>
      <c r="S290" s="255">
        <v>0</v>
      </c>
      <c r="T290" s="255">
        <f>IF(Q290&gt;0,S290*100/Q290,0)</f>
        <v>0</v>
      </c>
      <c r="U290" s="255">
        <f>IF(R290&gt;0,S290*100/R290,0)</f>
        <v>0</v>
      </c>
    </row>
    <row r="291" spans="1:21" ht="19.5" hidden="1">
      <c r="A291" s="166"/>
      <c r="B291" s="167"/>
      <c r="C291" s="156" t="s">
        <v>18</v>
      </c>
      <c r="D291" s="566" t="s">
        <v>38</v>
      </c>
      <c r="E291" s="169"/>
      <c r="F291" s="169"/>
      <c r="G291" s="170"/>
      <c r="H291" s="171"/>
      <c r="I291" s="163"/>
      <c r="J291" s="163"/>
      <c r="K291" s="164"/>
      <c r="L291" s="172"/>
      <c r="M291" s="164"/>
      <c r="N291" s="164"/>
      <c r="O291" s="164"/>
      <c r="P291" s="164"/>
      <c r="Q291" s="164"/>
      <c r="R291" s="164"/>
      <c r="S291" s="164"/>
      <c r="T291" s="164"/>
      <c r="U291" s="164"/>
    </row>
    <row r="292" spans="1:21" ht="18.75" hidden="1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212">
        <f ca="1">IFERROR(__xludf.DUMMYFUNCTION("IMPORTRANGE(""https://docs.google.com/spreadsheets/d/1eHaY18a8A9IcSdp1K8H6x8fbOy06t2VsZHhMHf-1x7Y/edit?usp=sharing"",""แผน!EE49"")"),0)</f>
        <v>0</v>
      </c>
      <c r="J292" s="467">
        <v>0</v>
      </c>
      <c r="K292" s="565">
        <f ca="1">IF(I292&gt;0,J292*100/I292,0)</f>
        <v>0</v>
      </c>
      <c r="L292" s="172"/>
      <c r="M292" s="164"/>
      <c r="N292" s="164"/>
      <c r="O292" s="164"/>
      <c r="P292" s="164"/>
      <c r="Q292" s="164"/>
      <c r="R292" s="164"/>
      <c r="S292" s="164"/>
      <c r="T292" s="164"/>
      <c r="U292" s="164"/>
    </row>
    <row r="293" spans="1:21" ht="19.5" hidden="1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373">
        <f ca="1">IFERROR(__xludf.DUMMYFUNCTION("IMPORTRANGE(""https://docs.google.com/spreadsheets/d/1eHaY18a8A9IcSdp1K8H6x8fbOy06t2VsZHhMHf-1x7Y/edit?usp=sharing"",""แผน!ED49"")"),0)</f>
        <v>0</v>
      </c>
      <c r="J293" s="373">
        <f>J296</f>
        <v>0</v>
      </c>
      <c r="K293" s="642">
        <f ca="1">IF(I293&gt;0,J293*100/I293,0)</f>
        <v>0</v>
      </c>
      <c r="L293" s="172"/>
      <c r="M293" s="164"/>
      <c r="N293" s="164"/>
      <c r="O293" s="164"/>
      <c r="P293" s="164"/>
      <c r="Q293" s="164"/>
      <c r="R293" s="164"/>
      <c r="S293" s="164"/>
      <c r="T293" s="164"/>
      <c r="U293" s="164"/>
    </row>
    <row r="294" spans="1:21" ht="19.5" hidden="1">
      <c r="A294" s="166"/>
      <c r="B294" s="167"/>
      <c r="C294" s="167"/>
      <c r="D294" s="174"/>
      <c r="E294" s="194" t="s">
        <v>122</v>
      </c>
      <c r="F294" s="174"/>
      <c r="G294" s="171"/>
      <c r="H294" s="171"/>
      <c r="I294" s="163"/>
      <c r="J294" s="54"/>
      <c r="K294" s="164"/>
      <c r="L294" s="172"/>
      <c r="M294" s="164"/>
      <c r="N294" s="164"/>
      <c r="O294" s="164"/>
      <c r="P294" s="164"/>
      <c r="Q294" s="164"/>
      <c r="R294" s="164"/>
      <c r="S294" s="164"/>
      <c r="T294" s="164"/>
      <c r="U294" s="164"/>
    </row>
    <row r="295" spans="1:21" ht="19.5" hidden="1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641">
        <f ca="1">IFERROR(__xludf.DUMMYFUNCTION("IMPORTRANGE(""https://docs.google.com/spreadsheets/d/1eHaY18a8A9IcSdp1K8H6x8fbOy06t2VsZHhMHf-1x7Y/edit?usp=sharing"",""แผน!ED49"")"),0)</f>
        <v>0</v>
      </c>
      <c r="J295" s="467">
        <v>0</v>
      </c>
      <c r="K295" s="565">
        <f ca="1">IF(I295&gt;0,J295*100/I295,0)</f>
        <v>0</v>
      </c>
      <c r="L295" s="172"/>
      <c r="M295" s="164"/>
      <c r="N295" s="164"/>
      <c r="O295" s="164"/>
      <c r="P295" s="164"/>
      <c r="Q295" s="164"/>
      <c r="R295" s="164"/>
      <c r="S295" s="164"/>
      <c r="T295" s="164"/>
      <c r="U295" s="164"/>
    </row>
    <row r="296" spans="1:21" ht="19.5" hidden="1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641">
        <f ca="1">IFERROR(__xludf.DUMMYFUNCTION("IMPORTRANGE(""https://docs.google.com/spreadsheets/d/1eHaY18a8A9IcSdp1K8H6x8fbOy06t2VsZHhMHf-1x7Y/edit?usp=sharing"",""แผน!ED49"")"),0)</f>
        <v>0</v>
      </c>
      <c r="J296" s="467">
        <v>0</v>
      </c>
      <c r="K296" s="565">
        <f ca="1">IF(I296&gt;0,J296*100/I296,0)</f>
        <v>0</v>
      </c>
      <c r="L296" s="172"/>
      <c r="M296" s="164"/>
      <c r="N296" s="164"/>
      <c r="O296" s="164"/>
      <c r="P296" s="164"/>
      <c r="Q296" s="164"/>
      <c r="R296" s="164"/>
      <c r="S296" s="164"/>
      <c r="T296" s="164"/>
      <c r="U296" s="164"/>
    </row>
    <row r="297" spans="1:21" ht="12.75" hidden="1">
      <c r="A297" s="192"/>
      <c r="B297" s="193"/>
      <c r="C297" s="193"/>
      <c r="D297" s="22"/>
      <c r="E297" s="22"/>
      <c r="F297" s="22"/>
      <c r="G297" s="23"/>
      <c r="H297" s="23"/>
      <c r="I297" s="24"/>
      <c r="J297" s="24"/>
      <c r="K297" s="25"/>
      <c r="L297" s="26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2.75" hidden="1">
      <c r="A298" s="192"/>
      <c r="B298" s="193"/>
      <c r="C298" s="193"/>
      <c r="D298" s="22"/>
      <c r="E298" s="22"/>
      <c r="F298" s="22"/>
      <c r="G298" s="23"/>
      <c r="H298" s="23"/>
      <c r="I298" s="24"/>
      <c r="J298" s="24"/>
      <c r="K298" s="25"/>
      <c r="L298" s="26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2.75" hidden="1">
      <c r="A299" s="311"/>
      <c r="B299" s="312"/>
      <c r="C299" s="312"/>
      <c r="D299" s="27"/>
      <c r="E299" s="27"/>
      <c r="F299" s="27"/>
      <c r="G299" s="17"/>
      <c r="H299" s="17"/>
      <c r="I299" s="18"/>
      <c r="J299" s="18"/>
      <c r="K299" s="19"/>
      <c r="L299" s="28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>
      <c r="A300" s="313" t="s">
        <v>125</v>
      </c>
      <c r="B300" s="314"/>
      <c r="C300" s="314"/>
      <c r="D300" s="314"/>
      <c r="E300" s="315"/>
      <c r="F300" s="315"/>
      <c r="G300" s="315"/>
      <c r="H300" s="315"/>
      <c r="I300" s="316"/>
      <c r="J300" s="316"/>
      <c r="K300" s="317"/>
      <c r="L300" s="317"/>
      <c r="M300" s="317"/>
      <c r="N300" s="317"/>
      <c r="O300" s="317"/>
      <c r="P300" s="318"/>
      <c r="Q300" s="317"/>
      <c r="R300" s="317"/>
      <c r="S300" s="317"/>
      <c r="T300" s="317"/>
      <c r="U300" s="318"/>
    </row>
    <row r="301" spans="1:21" ht="19.5">
      <c r="A301" s="319" t="s">
        <v>126</v>
      </c>
      <c r="B301" s="320"/>
      <c r="C301" s="320"/>
      <c r="D301" s="321"/>
      <c r="E301" s="321"/>
      <c r="F301" s="321"/>
      <c r="G301" s="322"/>
      <c r="H301" s="322"/>
      <c r="I301" s="323"/>
      <c r="J301" s="323"/>
      <c r="K301" s="324"/>
      <c r="L301" s="325"/>
      <c r="M301" s="324"/>
      <c r="N301" s="324"/>
      <c r="O301" s="324"/>
      <c r="P301" s="324"/>
      <c r="Q301" s="324"/>
      <c r="R301" s="324"/>
      <c r="S301" s="324"/>
      <c r="T301" s="324"/>
      <c r="U301" s="324"/>
    </row>
    <row r="302" spans="1:21" ht="19.5">
      <c r="A302" s="326"/>
      <c r="B302" s="327" t="s">
        <v>127</v>
      </c>
      <c r="C302" s="328"/>
      <c r="D302" s="328"/>
      <c r="E302" s="328"/>
      <c r="F302" s="328"/>
      <c r="G302" s="329"/>
      <c r="H302" s="330" t="s">
        <v>35</v>
      </c>
      <c r="I302" s="605">
        <f ca="1">I314</f>
        <v>30</v>
      </c>
      <c r="J302" s="605">
        <f>J314</f>
        <v>0</v>
      </c>
      <c r="K302" s="604">
        <f ca="1">IF(I302&gt;0,J302*100/I302,0)</f>
        <v>0</v>
      </c>
      <c r="L302" s="334"/>
      <c r="M302" s="333"/>
      <c r="N302" s="333"/>
      <c r="O302" s="333"/>
      <c r="P302" s="333"/>
      <c r="Q302" s="333"/>
      <c r="R302" s="333"/>
      <c r="S302" s="333"/>
      <c r="T302" s="333"/>
      <c r="U302" s="333"/>
    </row>
    <row r="303" spans="1:21" ht="19.5">
      <c r="A303" s="155"/>
      <c r="B303" s="50"/>
      <c r="C303" s="156" t="s">
        <v>18</v>
      </c>
      <c r="D303" s="575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541">
        <f ca="1">L304+L305</f>
        <v>0</v>
      </c>
      <c r="M303" s="540">
        <f ca="1">M304+M305</f>
        <v>0</v>
      </c>
      <c r="N303" s="540">
        <f ca="1">N304+N305</f>
        <v>0</v>
      </c>
      <c r="O303" s="540">
        <f ca="1">IF(L303&gt;0,N303*100/L303,0)</f>
        <v>0</v>
      </c>
      <c r="P303" s="540">
        <f ca="1">IF(M303&gt;0,N303*100/M303,0)</f>
        <v>0</v>
      </c>
      <c r="Q303" s="540">
        <f ca="1">Q304+Q305</f>
        <v>260958.39</v>
      </c>
      <c r="R303" s="540">
        <f ca="1">R304+R305</f>
        <v>260958</v>
      </c>
      <c r="S303" s="540">
        <f ca="1">S304+S305</f>
        <v>43690</v>
      </c>
      <c r="T303" s="540">
        <f ca="1">IF(Q303&gt;0,S303*100/Q303,0)</f>
        <v>16.742132720852545</v>
      </c>
      <c r="U303" s="540">
        <f ca="1">IF(R303&gt;0,S303*100/R303,0)</f>
        <v>16.742157741858843</v>
      </c>
    </row>
    <row r="304" spans="1:21" ht="18.75" hidden="1">
      <c r="A304" s="155"/>
      <c r="B304" s="50"/>
      <c r="C304" s="50"/>
      <c r="D304" s="50"/>
      <c r="E304" s="186" t="s">
        <v>20</v>
      </c>
      <c r="F304" s="50"/>
      <c r="G304" s="52"/>
      <c r="H304" s="187" t="s">
        <v>14</v>
      </c>
      <c r="I304" s="54"/>
      <c r="J304" s="54"/>
      <c r="K304" s="55"/>
      <c r="L304" s="103">
        <f>L307+L310</f>
        <v>0</v>
      </c>
      <c r="M304" s="102">
        <f>M307+M310</f>
        <v>0</v>
      </c>
      <c r="N304" s="102">
        <f>N307+N310</f>
        <v>0</v>
      </c>
      <c r="O304" s="102">
        <f>IF(L304&gt;0,N304*100/L304,0)</f>
        <v>0</v>
      </c>
      <c r="P304" s="102">
        <f>IF(M304&gt;0,N304*100/M304,0)</f>
        <v>0</v>
      </c>
      <c r="Q304" s="102">
        <f>Q307+Q310</f>
        <v>0</v>
      </c>
      <c r="R304" s="102">
        <f>R307+R310</f>
        <v>0</v>
      </c>
      <c r="S304" s="102">
        <f>S307+S310</f>
        <v>0</v>
      </c>
      <c r="T304" s="102">
        <f>IF(Q304&gt;0,S304*100/Q304,0)</f>
        <v>0</v>
      </c>
      <c r="U304" s="102">
        <f>IF(R304&gt;0,S304*100/R304,0)</f>
        <v>0</v>
      </c>
    </row>
    <row r="305" spans="1:21" ht="18.75" hidden="1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256">
        <f ca="1">L308+L311</f>
        <v>0</v>
      </c>
      <c r="M305" s="255">
        <f ca="1">M308+M311</f>
        <v>0</v>
      </c>
      <c r="N305" s="255">
        <f ca="1">N308+N311</f>
        <v>0</v>
      </c>
      <c r="O305" s="255">
        <f ca="1">IF(L305&gt;0,N305*100/L305,0)</f>
        <v>0</v>
      </c>
      <c r="P305" s="255">
        <f ca="1">IF(M305&gt;0,N305*100/M305,0)</f>
        <v>0</v>
      </c>
      <c r="Q305" s="255">
        <f ca="1">Q308+Q311</f>
        <v>260958.39</v>
      </c>
      <c r="R305" s="255">
        <f ca="1">R308+R311</f>
        <v>260958</v>
      </c>
      <c r="S305" s="255">
        <f ca="1">S308+S311</f>
        <v>43690</v>
      </c>
      <c r="T305" s="255">
        <f ca="1">IF(Q305&gt;0,S305*100/Q305,0)</f>
        <v>16.742132720852545</v>
      </c>
      <c r="U305" s="255">
        <f ca="1">IF(R305&gt;0,S305*100/R305,0)</f>
        <v>16.742157741858843</v>
      </c>
    </row>
    <row r="306" spans="1:21" ht="18.75">
      <c r="A306" s="155"/>
      <c r="B306" s="50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256">
        <f ca="1">L307+L308</f>
        <v>0</v>
      </c>
      <c r="M306" s="255">
        <f ca="1">M307+M308</f>
        <v>0</v>
      </c>
      <c r="N306" s="255">
        <f ca="1">N307+N308</f>
        <v>0</v>
      </c>
      <c r="O306" s="255">
        <f ca="1">IF(L306&gt;0,N306*100/L306,0)</f>
        <v>0</v>
      </c>
      <c r="P306" s="255">
        <f ca="1">IF(M306&gt;0,N306*100/M306,0)</f>
        <v>0</v>
      </c>
      <c r="Q306" s="255">
        <f ca="1">Q307+Q308</f>
        <v>260958.39</v>
      </c>
      <c r="R306" s="255">
        <f ca="1">R307+R308</f>
        <v>260958</v>
      </c>
      <c r="S306" s="255">
        <f ca="1">S307+S308</f>
        <v>43690</v>
      </c>
      <c r="T306" s="255">
        <f ca="1">IF(Q306&gt;0,S306*100/Q306,0)</f>
        <v>16.742132720852545</v>
      </c>
      <c r="U306" s="255">
        <f ca="1">IF(R306&gt;0,S306*100/R306,0)</f>
        <v>16.742157741858843</v>
      </c>
    </row>
    <row r="307" spans="1:21" ht="18.75" hidden="1">
      <c r="A307" s="155"/>
      <c r="B307" s="50"/>
      <c r="C307" s="50"/>
      <c r="D307" s="50"/>
      <c r="E307" s="186" t="s">
        <v>36</v>
      </c>
      <c r="F307" s="50"/>
      <c r="G307" s="52"/>
      <c r="H307" s="189" t="s">
        <v>14</v>
      </c>
      <c r="I307" s="163"/>
      <c r="J307" s="163"/>
      <c r="K307" s="164"/>
      <c r="L307" s="103">
        <v>0</v>
      </c>
      <c r="M307" s="102">
        <v>0</v>
      </c>
      <c r="N307" s="102">
        <v>0</v>
      </c>
      <c r="O307" s="102">
        <f>IF(L307&gt;0,N307*100/L307,0)</f>
        <v>0</v>
      </c>
      <c r="P307" s="102">
        <f>IF(M307&gt;0,N307*100/M307,0)</f>
        <v>0</v>
      </c>
      <c r="Q307" s="102">
        <v>0</v>
      </c>
      <c r="R307" s="102">
        <v>0</v>
      </c>
      <c r="S307" s="102">
        <v>0</v>
      </c>
      <c r="T307" s="102">
        <f>IF(Q307&gt;0,S307*100/Q307,0)</f>
        <v>0</v>
      </c>
      <c r="U307" s="102">
        <f>IF(R307&gt;0,S307*100/R307,0)</f>
        <v>0</v>
      </c>
    </row>
    <row r="308" spans="1:21" ht="18.75" hidden="1">
      <c r="A308" s="155"/>
      <c r="B308" s="50"/>
      <c r="C308" s="50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256">
        <f ca="1">IFERROR(__xludf.DUMMYFUNCTION("IMPORTRANGE(""https://docs.google.com/spreadsheets/d/1-uDff_7J0KD5mKrp0Vvzr7lt3OU09vwQwhkpOPPYv2Y/edit?usp=sharing"",""งบพรบ!DY49"")"),0)</f>
        <v>0</v>
      </c>
      <c r="M308" s="255">
        <f ca="1">IFERROR(__xludf.DUMMYFUNCTION("IMPORTRANGE(""https://docs.google.com/spreadsheets/d/1-uDff_7J0KD5mKrp0Vvzr7lt3OU09vwQwhkpOPPYv2Y/edit?usp=sharing"",""งบพรบ!ED49"")"),0)</f>
        <v>0</v>
      </c>
      <c r="N308" s="255">
        <f ca="1">IFERROR(__xludf.DUMMYFUNCTION("IMPORTRANGE(""https://docs.google.com/spreadsheets/d/1-uDff_7J0KD5mKrp0Vvzr7lt3OU09vwQwhkpOPPYv2Y/edit?usp=sharing"",""งบพรบ!EF49"")"),0)</f>
        <v>0</v>
      </c>
      <c r="O308" s="255">
        <f ca="1">IF(L308&gt;0,N308*100/L308,0)</f>
        <v>0</v>
      </c>
      <c r="P308" s="255">
        <f ca="1">IF(M308&gt;0,N308*100/M308,0)</f>
        <v>0</v>
      </c>
      <c r="Q308" s="255">
        <f ca="1">IFERROR(__xludf.DUMMYFUNCTION("IMPORTRANGE(""https://docs.google.com/spreadsheets/d/1ItG2mGa2ceCfYo0BwxsXqNm01IGEUdYcSSLTEv9YCik/edit?usp=sharing"",""เบิกจ่ายกองทุน!AP49"")"),260958.39)</f>
        <v>260958.39</v>
      </c>
      <c r="R308" s="255">
        <f ca="1">IFERROR(__xludf.DUMMYFUNCTION("IMPORTRANGE(""https://docs.google.com/spreadsheets/d/1ItG2mGa2ceCfYo0BwxsXqNm01IGEUdYcSSLTEv9YCik/edit?usp=sharing"",""เบิกจ่ายกองทุน!AQ49"")"),260958)</f>
        <v>260958</v>
      </c>
      <c r="S308" s="255">
        <f ca="1">IFERROR(__xludf.DUMMYFUNCTION("IMPORTRANGE(""https://docs.google.com/spreadsheets/d/1ItG2mGa2ceCfYo0BwxsXqNm01IGEUdYcSSLTEv9YCik/edit?usp=sharing"",""เบิกจ่ายกองทุน!AR49"")"),43690)</f>
        <v>43690</v>
      </c>
      <c r="T308" s="255">
        <f ca="1">IF(Q308&gt;0,S308*100/Q308,0)</f>
        <v>16.742132720852545</v>
      </c>
      <c r="U308" s="255">
        <f ca="1">IF(R308&gt;0,S308*100/R308,0)</f>
        <v>16.742157741858843</v>
      </c>
    </row>
    <row r="309" spans="1:21" ht="18.75">
      <c r="A309" s="155"/>
      <c r="B309" s="50"/>
      <c r="C309" s="50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256">
        <f ca="1">L310+L311</f>
        <v>0</v>
      </c>
      <c r="M309" s="255">
        <f ca="1">M310+M311</f>
        <v>0</v>
      </c>
      <c r="N309" s="255">
        <f ca="1">N310+N311</f>
        <v>0</v>
      </c>
      <c r="O309" s="255">
        <f ca="1">IF(L309&gt;0,N309*100/L309,0)</f>
        <v>0</v>
      </c>
      <c r="P309" s="255">
        <f ca="1">IF(M309&gt;0,N309*100/M309,0)</f>
        <v>0</v>
      </c>
      <c r="Q309" s="255">
        <f>Q310+Q311</f>
        <v>0</v>
      </c>
      <c r="R309" s="255">
        <f>R310+R311</f>
        <v>0</v>
      </c>
      <c r="S309" s="255">
        <f>S310+S311</f>
        <v>0</v>
      </c>
      <c r="T309" s="255">
        <f>IF(Q309&gt;0,S309*100/Q309,0)</f>
        <v>0</v>
      </c>
      <c r="U309" s="255">
        <f>IF(R309&gt;0,S309*100/R309,0)</f>
        <v>0</v>
      </c>
    </row>
    <row r="310" spans="1:21" ht="18.75" hidden="1">
      <c r="A310" s="155"/>
      <c r="B310" s="50"/>
      <c r="C310" s="50"/>
      <c r="D310" s="50"/>
      <c r="E310" s="186" t="s">
        <v>20</v>
      </c>
      <c r="F310" s="50"/>
      <c r="G310" s="52"/>
      <c r="H310" s="189" t="s">
        <v>14</v>
      </c>
      <c r="I310" s="163"/>
      <c r="J310" s="163"/>
      <c r="K310" s="164"/>
      <c r="L310" s="103">
        <v>0</v>
      </c>
      <c r="M310" s="102">
        <v>0</v>
      </c>
      <c r="N310" s="102">
        <v>0</v>
      </c>
      <c r="O310" s="102">
        <f>IF(L310&gt;0,N310*100/L310,0)</f>
        <v>0</v>
      </c>
      <c r="P310" s="102">
        <f>IF(M310&gt;0,N310*100/M310,0)</f>
        <v>0</v>
      </c>
      <c r="Q310" s="102">
        <v>0</v>
      </c>
      <c r="R310" s="102">
        <v>0</v>
      </c>
      <c r="S310" s="102">
        <v>0</v>
      </c>
      <c r="T310" s="102">
        <f>IF(Q310&gt;0,S310*100/Q310,0)</f>
        <v>0</v>
      </c>
      <c r="U310" s="102">
        <f>IF(R310&gt;0,S310*100/R310,0)</f>
        <v>0</v>
      </c>
    </row>
    <row r="311" spans="1:21" ht="18.75" hidden="1">
      <c r="A311" s="155"/>
      <c r="B311" s="50"/>
      <c r="C311" s="50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256">
        <f ca="1">IFERROR(__xludf.DUMMYFUNCTION("IMPORTRANGE(""https://docs.google.com/spreadsheets/d/1-uDff_7J0KD5mKrp0Vvzr7lt3OU09vwQwhkpOPPYv2Y/edit?usp=sharing"",""งบพรบ!EB49"")"),0)</f>
        <v>0</v>
      </c>
      <c r="M311" s="255">
        <f ca="1">IFERROR(__xludf.DUMMYFUNCTION("IMPORTRANGE(""https://docs.google.com/spreadsheets/d/1-uDff_7J0KD5mKrp0Vvzr7lt3OU09vwQwhkpOPPYv2Y/edit?usp=sharing"",""งบพรบ!EE49"")"),0)</f>
        <v>0</v>
      </c>
      <c r="N311" s="255">
        <f ca="1">IFERROR(__xludf.DUMMYFUNCTION("IMPORTRANGE(""https://docs.google.com/spreadsheets/d/1-uDff_7J0KD5mKrp0Vvzr7lt3OU09vwQwhkpOPPYv2Y/edit?usp=sharing"",""งบพรบ!EG49"")"),0)</f>
        <v>0</v>
      </c>
      <c r="O311" s="255">
        <f ca="1">IF(L311&gt;0,N311*100/L311,0)</f>
        <v>0</v>
      </c>
      <c r="P311" s="255">
        <f ca="1">IF(M311&gt;0,N311*100/M311,0)</f>
        <v>0</v>
      </c>
      <c r="Q311" s="255">
        <v>0</v>
      </c>
      <c r="R311" s="255">
        <v>0</v>
      </c>
      <c r="S311" s="255">
        <v>0</v>
      </c>
      <c r="T311" s="255">
        <f>IF(Q311&gt;0,S311*100/Q311,0)</f>
        <v>0</v>
      </c>
      <c r="U311" s="255">
        <f>IF(R311&gt;0,S311*100/R311,0)</f>
        <v>0</v>
      </c>
    </row>
    <row r="312" spans="1:21" ht="19.5">
      <c r="A312" s="166"/>
      <c r="B312" s="167"/>
      <c r="C312" s="156" t="s">
        <v>18</v>
      </c>
      <c r="D312" s="566" t="s">
        <v>38</v>
      </c>
      <c r="E312" s="169"/>
      <c r="F312" s="169"/>
      <c r="G312" s="170"/>
      <c r="H312" s="171"/>
      <c r="I312" s="54"/>
      <c r="J312" s="54"/>
      <c r="K312" s="55"/>
      <c r="L312" s="62"/>
      <c r="M312" s="55"/>
      <c r="N312" s="55"/>
      <c r="O312" s="55"/>
      <c r="P312" s="55"/>
      <c r="Q312" s="55"/>
      <c r="R312" s="55"/>
      <c r="S312" s="55"/>
      <c r="T312" s="55"/>
      <c r="U312" s="55"/>
    </row>
    <row r="313" spans="1:21" ht="18.75" hidden="1">
      <c r="A313" s="192"/>
      <c r="B313" s="193"/>
      <c r="C313" s="193"/>
      <c r="D313" s="640"/>
      <c r="E313" s="22"/>
      <c r="F313" s="22"/>
      <c r="G313" s="23"/>
      <c r="H313" s="23"/>
      <c r="I313" s="24"/>
      <c r="J313" s="638"/>
      <c r="K313" s="25"/>
      <c r="L313" s="26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8.75">
      <c r="A314" s="166"/>
      <c r="B314" s="167"/>
      <c r="C314" s="167"/>
      <c r="D314" s="178" t="s">
        <v>121</v>
      </c>
      <c r="E314" s="174"/>
      <c r="F314" s="174"/>
      <c r="G314" s="171"/>
      <c r="H314" s="179" t="s">
        <v>35</v>
      </c>
      <c r="I314" s="212">
        <f ca="1">IFERROR(__xludf.DUMMYFUNCTION("IMPORTRANGE(""https://docs.google.com/spreadsheets/d/1eHaY18a8A9IcSdp1K8H6x8fbOy06t2VsZHhMHf-1x7Y/edit?usp=sharing"",""แผน!EF49"")"),30)</f>
        <v>30</v>
      </c>
      <c r="J314" s="467">
        <v>0</v>
      </c>
      <c r="K314" s="255">
        <f ca="1">IF(I314&gt;0,J314*100/I314,0)</f>
        <v>0</v>
      </c>
      <c r="L314" s="62"/>
      <c r="M314" s="55"/>
      <c r="N314" s="55"/>
      <c r="O314" s="55"/>
      <c r="P314" s="55"/>
      <c r="Q314" s="55"/>
      <c r="R314" s="55"/>
      <c r="S314" s="55"/>
      <c r="T314" s="55"/>
      <c r="U314" s="55"/>
    </row>
    <row r="315" spans="1:21" ht="18.75" hidden="1">
      <c r="A315" s="192"/>
      <c r="B315" s="193"/>
      <c r="C315" s="193"/>
      <c r="D315" s="640"/>
      <c r="E315" s="22"/>
      <c r="F315" s="22"/>
      <c r="G315" s="23"/>
      <c r="H315" s="639"/>
      <c r="I315" s="638"/>
      <c r="J315" s="638"/>
      <c r="K315" s="637"/>
      <c r="L315" s="26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8.75" hidden="1">
      <c r="A316" s="192"/>
      <c r="B316" s="193"/>
      <c r="C316" s="193"/>
      <c r="D316" s="640"/>
      <c r="E316" s="22"/>
      <c r="F316" s="22"/>
      <c r="G316" s="23"/>
      <c r="H316" s="639"/>
      <c r="I316" s="638"/>
      <c r="J316" s="638"/>
      <c r="K316" s="637"/>
      <c r="L316" s="26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8.75" hidden="1">
      <c r="A317" s="192"/>
      <c r="B317" s="193"/>
      <c r="C317" s="193"/>
      <c r="D317" s="636"/>
      <c r="E317" s="22"/>
      <c r="F317" s="22"/>
      <c r="G317" s="23"/>
      <c r="H317" s="635"/>
      <c r="I317" s="634"/>
      <c r="J317" s="634"/>
      <c r="K317" s="633"/>
      <c r="L317" s="26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9.5" hidden="1">
      <c r="A318" s="319" t="s">
        <v>131</v>
      </c>
      <c r="B318" s="320"/>
      <c r="C318" s="320"/>
      <c r="D318" s="321"/>
      <c r="E318" s="320"/>
      <c r="F318" s="320"/>
      <c r="G318" s="320"/>
      <c r="H318" s="321"/>
      <c r="I318" s="323"/>
      <c r="J318" s="323"/>
      <c r="K318" s="324"/>
      <c r="L318" s="325"/>
      <c r="M318" s="324"/>
      <c r="N318" s="324"/>
      <c r="O318" s="324"/>
      <c r="P318" s="324"/>
      <c r="Q318" s="324"/>
      <c r="R318" s="324"/>
      <c r="S318" s="324"/>
      <c r="T318" s="324"/>
      <c r="U318" s="324"/>
    </row>
    <row r="319" spans="1:21" ht="19.5" hidden="1">
      <c r="A319" s="335"/>
      <c r="B319" s="327" t="s">
        <v>132</v>
      </c>
      <c r="C319" s="336"/>
      <c r="D319" s="337"/>
      <c r="E319" s="328"/>
      <c r="F319" s="328"/>
      <c r="G319" s="329"/>
      <c r="H319" s="330" t="s">
        <v>133</v>
      </c>
      <c r="I319" s="605">
        <f ca="1">I330</f>
        <v>0</v>
      </c>
      <c r="J319" s="605">
        <f>J330</f>
        <v>0</v>
      </c>
      <c r="K319" s="604">
        <f ca="1">IF(I319&gt;0,J319*100/I319,0)</f>
        <v>0</v>
      </c>
      <c r="L319" s="334"/>
      <c r="M319" s="333"/>
      <c r="N319" s="333"/>
      <c r="O319" s="333"/>
      <c r="P319" s="333"/>
      <c r="Q319" s="333"/>
      <c r="R319" s="333"/>
      <c r="S319" s="333"/>
      <c r="T319" s="333"/>
      <c r="U319" s="333"/>
    </row>
    <row r="320" spans="1:21" ht="19.5" hidden="1">
      <c r="A320" s="155"/>
      <c r="B320" s="50"/>
      <c r="C320" s="156" t="s">
        <v>18</v>
      </c>
      <c r="D320" s="575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541">
        <f ca="1">L321+L322</f>
        <v>0</v>
      </c>
      <c r="M320" s="540">
        <f ca="1">M321+M322</f>
        <v>0</v>
      </c>
      <c r="N320" s="540">
        <f ca="1">N321+N322</f>
        <v>0</v>
      </c>
      <c r="O320" s="540">
        <f ca="1">IF(L320&gt;0,N320*100/L320,0)</f>
        <v>0</v>
      </c>
      <c r="P320" s="540">
        <f ca="1">IF(M320&gt;0,N320*100/M320,0)</f>
        <v>0</v>
      </c>
      <c r="Q320" s="540">
        <f>Q321+Q322</f>
        <v>0</v>
      </c>
      <c r="R320" s="540">
        <f>R321+R322</f>
        <v>0</v>
      </c>
      <c r="S320" s="540">
        <f>S321+S322</f>
        <v>0</v>
      </c>
      <c r="T320" s="540">
        <f>IF(Q320&gt;0,S320*100/Q320,0)</f>
        <v>0</v>
      </c>
      <c r="U320" s="540">
        <f>IF(R320&gt;0,S320*100/R320,0)</f>
        <v>0</v>
      </c>
    </row>
    <row r="321" spans="1:21" ht="18.75" hidden="1">
      <c r="A321" s="155"/>
      <c r="B321" s="50"/>
      <c r="C321" s="50"/>
      <c r="D321" s="50"/>
      <c r="E321" s="186" t="s">
        <v>20</v>
      </c>
      <c r="F321" s="50"/>
      <c r="G321" s="52"/>
      <c r="H321" s="187" t="s">
        <v>14</v>
      </c>
      <c r="I321" s="54"/>
      <c r="J321" s="54"/>
      <c r="K321" s="55"/>
      <c r="L321" s="103">
        <f>L324+L327</f>
        <v>0</v>
      </c>
      <c r="M321" s="102">
        <f>M324+M327</f>
        <v>0</v>
      </c>
      <c r="N321" s="102">
        <f>N324+N327</f>
        <v>0</v>
      </c>
      <c r="O321" s="102">
        <f>IF(L321&gt;0,N321*100/L321,0)</f>
        <v>0</v>
      </c>
      <c r="P321" s="102">
        <f>IF(M321&gt;0,N321*100/M321,0)</f>
        <v>0</v>
      </c>
      <c r="Q321" s="102">
        <f>Q324+Q327</f>
        <v>0</v>
      </c>
      <c r="R321" s="102">
        <f>R324+R327</f>
        <v>0</v>
      </c>
      <c r="S321" s="102">
        <f>S324+S327</f>
        <v>0</v>
      </c>
      <c r="T321" s="102">
        <f>IF(Q321&gt;0,S321*100/Q321,0)</f>
        <v>0</v>
      </c>
      <c r="U321" s="102">
        <f>IF(R321&gt;0,S321*100/R321,0)</f>
        <v>0</v>
      </c>
    </row>
    <row r="322" spans="1:21" ht="18.75" hidden="1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256">
        <f ca="1">L325+L328</f>
        <v>0</v>
      </c>
      <c r="M322" s="255">
        <f ca="1">M325+M328</f>
        <v>0</v>
      </c>
      <c r="N322" s="255">
        <f ca="1">N325+N328</f>
        <v>0</v>
      </c>
      <c r="O322" s="255">
        <f ca="1">IF(L322&gt;0,N322*100/L322,0)</f>
        <v>0</v>
      </c>
      <c r="P322" s="255">
        <f ca="1">IF(M322&gt;0,N322*100/M322,0)</f>
        <v>0</v>
      </c>
      <c r="Q322" s="255">
        <f>Q325+Q328</f>
        <v>0</v>
      </c>
      <c r="R322" s="255">
        <f>R325+R328</f>
        <v>0</v>
      </c>
      <c r="S322" s="255">
        <f>S325+S328</f>
        <v>0</v>
      </c>
      <c r="T322" s="255">
        <f>IF(Q322&gt;0,S322*100/Q322,0)</f>
        <v>0</v>
      </c>
      <c r="U322" s="255">
        <f>IF(R322&gt;0,S322*100/R322,0)</f>
        <v>0</v>
      </c>
    </row>
    <row r="323" spans="1:21" ht="18.75" hidden="1">
      <c r="A323" s="155"/>
      <c r="B323" s="50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256">
        <f ca="1">L324+L325</f>
        <v>0</v>
      </c>
      <c r="M323" s="255">
        <f ca="1">M324+M325</f>
        <v>0</v>
      </c>
      <c r="N323" s="255">
        <f ca="1">N324+N325</f>
        <v>0</v>
      </c>
      <c r="O323" s="255">
        <f ca="1">IF(L323&gt;0,N323*100/L323,0)</f>
        <v>0</v>
      </c>
      <c r="P323" s="255">
        <f ca="1">IF(M323&gt;0,N323*100/M323,0)</f>
        <v>0</v>
      </c>
      <c r="Q323" s="255">
        <f>Q324+Q325</f>
        <v>0</v>
      </c>
      <c r="R323" s="255">
        <f>R324+R325</f>
        <v>0</v>
      </c>
      <c r="S323" s="255">
        <f>S324+S325</f>
        <v>0</v>
      </c>
      <c r="T323" s="255">
        <f>IF(Q323&gt;0,S323*100/Q323,0)</f>
        <v>0</v>
      </c>
      <c r="U323" s="255">
        <f>IF(R323&gt;0,S323*100/R323,0)</f>
        <v>0</v>
      </c>
    </row>
    <row r="324" spans="1:21" ht="18.75" hidden="1">
      <c r="A324" s="155"/>
      <c r="B324" s="50"/>
      <c r="C324" s="50"/>
      <c r="D324" s="50"/>
      <c r="E324" s="186" t="s">
        <v>36</v>
      </c>
      <c r="F324" s="50"/>
      <c r="G324" s="52"/>
      <c r="H324" s="189" t="s">
        <v>14</v>
      </c>
      <c r="I324" s="163"/>
      <c r="J324" s="163"/>
      <c r="K324" s="164"/>
      <c r="L324" s="103">
        <v>0</v>
      </c>
      <c r="M324" s="102">
        <v>0</v>
      </c>
      <c r="N324" s="102">
        <v>0</v>
      </c>
      <c r="O324" s="102">
        <f>IF(L324&gt;0,N324*100/L324,0)</f>
        <v>0</v>
      </c>
      <c r="P324" s="102">
        <f>IF(M324&gt;0,N324*100/M324,0)</f>
        <v>0</v>
      </c>
      <c r="Q324" s="102">
        <v>0</v>
      </c>
      <c r="R324" s="102">
        <v>0</v>
      </c>
      <c r="S324" s="102">
        <v>0</v>
      </c>
      <c r="T324" s="102">
        <f>IF(Q324&gt;0,S324*100/Q324,0)</f>
        <v>0</v>
      </c>
      <c r="U324" s="102">
        <f>IF(R324&gt;0,S324*100/R324,0)</f>
        <v>0</v>
      </c>
    </row>
    <row r="325" spans="1:21" ht="18.75" hidden="1">
      <c r="A325" s="155"/>
      <c r="B325" s="50"/>
      <c r="C325" s="50"/>
      <c r="D325" s="50"/>
      <c r="E325" s="58" t="s">
        <v>37</v>
      </c>
      <c r="F325" s="50"/>
      <c r="G325" s="52"/>
      <c r="H325" s="162" t="s">
        <v>14</v>
      </c>
      <c r="I325" s="163"/>
      <c r="J325" s="163"/>
      <c r="K325" s="164"/>
      <c r="L325" s="256">
        <f ca="1">IFERROR(__xludf.DUMMYFUNCTION("IMPORTRANGE(""https://docs.google.com/spreadsheets/d/1-uDff_7J0KD5mKrp0Vvzr7lt3OU09vwQwhkpOPPYv2Y/edit?usp=sharing"",""งบพรบ!EI49"")"),0)</f>
        <v>0</v>
      </c>
      <c r="M325" s="255">
        <f ca="1">IFERROR(__xludf.DUMMYFUNCTION("IMPORTRANGE(""https://docs.google.com/spreadsheets/d/1-uDff_7J0KD5mKrp0Vvzr7lt3OU09vwQwhkpOPPYv2Y/edit?usp=sharing"",""งบพรบ!EN49"")"),0)</f>
        <v>0</v>
      </c>
      <c r="N325" s="255">
        <f ca="1">IFERROR(__xludf.DUMMYFUNCTION("IMPORTRANGE(""https://docs.google.com/spreadsheets/d/1-uDff_7J0KD5mKrp0Vvzr7lt3OU09vwQwhkpOPPYv2Y/edit?usp=sharing"",""งบพรบ!EP49"")"),0)</f>
        <v>0</v>
      </c>
      <c r="O325" s="255">
        <f ca="1">IF(L325&gt;0,N325*100/L325,0)</f>
        <v>0</v>
      </c>
      <c r="P325" s="255">
        <f ca="1">IF(M325&gt;0,N325*100/M325,0)</f>
        <v>0</v>
      </c>
      <c r="Q325" s="255">
        <v>0</v>
      </c>
      <c r="R325" s="255">
        <v>0</v>
      </c>
      <c r="S325" s="255">
        <v>0</v>
      </c>
      <c r="T325" s="255">
        <f>IF(Q325&gt;0,S325*100/Q325,0)</f>
        <v>0</v>
      </c>
      <c r="U325" s="255">
        <f>IF(R325&gt;0,S325*100/R325,0)</f>
        <v>0</v>
      </c>
    </row>
    <row r="326" spans="1:21" ht="18.75" hidden="1">
      <c r="A326" s="155"/>
      <c r="B326" s="50"/>
      <c r="C326" s="50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256">
        <f ca="1">L327+L328</f>
        <v>0</v>
      </c>
      <c r="M326" s="255">
        <f ca="1">M327+M328</f>
        <v>0</v>
      </c>
      <c r="N326" s="255">
        <f ca="1">N327+N328</f>
        <v>0</v>
      </c>
      <c r="O326" s="255">
        <f ca="1">IF(L326&gt;0,N326*100/L326,0)</f>
        <v>0</v>
      </c>
      <c r="P326" s="255">
        <f ca="1">IF(M326&gt;0,N326*100/M326,0)</f>
        <v>0</v>
      </c>
      <c r="Q326" s="255">
        <f>Q327+Q328</f>
        <v>0</v>
      </c>
      <c r="R326" s="255">
        <f>R327+R328</f>
        <v>0</v>
      </c>
      <c r="S326" s="255">
        <f>S327+S328</f>
        <v>0</v>
      </c>
      <c r="T326" s="255">
        <f>IF(Q326&gt;0,S326*100/Q326,0)</f>
        <v>0</v>
      </c>
      <c r="U326" s="255">
        <f>IF(R326&gt;0,S326*100/R326,0)</f>
        <v>0</v>
      </c>
    </row>
    <row r="327" spans="1:21" ht="18.75" hidden="1">
      <c r="A327" s="155"/>
      <c r="B327" s="50"/>
      <c r="C327" s="50"/>
      <c r="D327" s="50"/>
      <c r="E327" s="186" t="s">
        <v>20</v>
      </c>
      <c r="F327" s="50"/>
      <c r="G327" s="52"/>
      <c r="H327" s="189" t="s">
        <v>14</v>
      </c>
      <c r="I327" s="163"/>
      <c r="J327" s="163"/>
      <c r="K327" s="164"/>
      <c r="L327" s="103">
        <v>0</v>
      </c>
      <c r="M327" s="102">
        <v>0</v>
      </c>
      <c r="N327" s="102">
        <v>0</v>
      </c>
      <c r="O327" s="102">
        <f>IF(L327&gt;0,N327*100/L327,0)</f>
        <v>0</v>
      </c>
      <c r="P327" s="102">
        <f>IF(M327&gt;0,N327*100/M327,0)</f>
        <v>0</v>
      </c>
      <c r="Q327" s="102">
        <v>0</v>
      </c>
      <c r="R327" s="102">
        <v>0</v>
      </c>
      <c r="S327" s="102">
        <v>0</v>
      </c>
      <c r="T327" s="102">
        <f>IF(Q327&gt;0,S327*100/Q327,0)</f>
        <v>0</v>
      </c>
      <c r="U327" s="102">
        <f>IF(R327&gt;0,S327*100/R327,0)</f>
        <v>0</v>
      </c>
    </row>
    <row r="328" spans="1:21" ht="18.75" hidden="1">
      <c r="A328" s="155"/>
      <c r="B328" s="50"/>
      <c r="C328" s="50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256">
        <f ca="1">IFERROR(__xludf.DUMMYFUNCTION("IMPORTRANGE(""https://docs.google.com/spreadsheets/d/1-uDff_7J0KD5mKrp0Vvzr7lt3OU09vwQwhkpOPPYv2Y/edit?usp=sharing"",""งบพรบ!EL49"")"),0)</f>
        <v>0</v>
      </c>
      <c r="M328" s="255">
        <f ca="1">IFERROR(__xludf.DUMMYFUNCTION("IMPORTRANGE(""https://docs.google.com/spreadsheets/d/1-uDff_7J0KD5mKrp0Vvzr7lt3OU09vwQwhkpOPPYv2Y/edit?usp=sharing"",""งบพรบ!EO49"")"),0)</f>
        <v>0</v>
      </c>
      <c r="N328" s="255">
        <f ca="1">IFERROR(__xludf.DUMMYFUNCTION("IMPORTRANGE(""https://docs.google.com/spreadsheets/d/1-uDff_7J0KD5mKrp0Vvzr7lt3OU09vwQwhkpOPPYv2Y/edit?usp=sharing"",""งบพรบ!EQ49"")"),0)</f>
        <v>0</v>
      </c>
      <c r="O328" s="255">
        <f ca="1">IF(L328&gt;0,N328*100/L328,0)</f>
        <v>0</v>
      </c>
      <c r="P328" s="255">
        <f ca="1">IF(M328&gt;0,N328*100/M328,0)</f>
        <v>0</v>
      </c>
      <c r="Q328" s="255">
        <v>0</v>
      </c>
      <c r="R328" s="255">
        <v>0</v>
      </c>
      <c r="S328" s="255">
        <v>0</v>
      </c>
      <c r="T328" s="255">
        <f>IF(Q328&gt;0,S328*100/Q328,0)</f>
        <v>0</v>
      </c>
      <c r="U328" s="255">
        <f>IF(R328&gt;0,S328*100/R328,0)</f>
        <v>0</v>
      </c>
    </row>
    <row r="329" spans="1:21" ht="19.5" hidden="1">
      <c r="A329" s="166"/>
      <c r="B329" s="167"/>
      <c r="C329" s="156" t="s">
        <v>18</v>
      </c>
      <c r="D329" s="566" t="s">
        <v>38</v>
      </c>
      <c r="E329" s="169"/>
      <c r="F329" s="169"/>
      <c r="G329" s="170"/>
      <c r="H329" s="171"/>
      <c r="I329" s="163"/>
      <c r="J329" s="54"/>
      <c r="K329" s="55"/>
      <c r="L329" s="62"/>
      <c r="M329" s="55"/>
      <c r="N329" s="55"/>
      <c r="O329" s="164"/>
      <c r="P329" s="164"/>
      <c r="Q329" s="55"/>
      <c r="R329" s="55"/>
      <c r="S329" s="55"/>
      <c r="T329" s="164"/>
      <c r="U329" s="164"/>
    </row>
    <row r="330" spans="1:21" ht="18.75" hidden="1">
      <c r="A330" s="166"/>
      <c r="B330" s="167"/>
      <c r="C330" s="167"/>
      <c r="D330" s="173" t="s">
        <v>134</v>
      </c>
      <c r="E330" s="174"/>
      <c r="F330" s="174"/>
      <c r="G330" s="171"/>
      <c r="H330" s="53" t="s">
        <v>133</v>
      </c>
      <c r="I330" s="212">
        <f ca="1">IFERROR(__xludf.DUMMYFUNCTION("IMPORTRANGE(""https://docs.google.com/spreadsheets/d/1eHaY18a8A9IcSdp1K8H6x8fbOy06t2VsZHhMHf-1x7Y/edit?usp=sharing"",""แผน!EJ49"")"),0)</f>
        <v>0</v>
      </c>
      <c r="J330" s="467">
        <v>0</v>
      </c>
      <c r="K330" s="255">
        <f ca="1">IF(I330&gt;0,J330*100/I330,0)</f>
        <v>0</v>
      </c>
      <c r="L330" s="62"/>
      <c r="M330" s="55"/>
      <c r="N330" s="55"/>
      <c r="O330" s="164"/>
      <c r="P330" s="164"/>
      <c r="Q330" s="55"/>
      <c r="R330" s="55"/>
      <c r="S330" s="55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1"/>
      <c r="I331" s="323"/>
      <c r="J331" s="323"/>
      <c r="K331" s="324"/>
      <c r="L331" s="325"/>
      <c r="M331" s="324"/>
      <c r="N331" s="324"/>
      <c r="O331" s="324"/>
      <c r="P331" s="324"/>
      <c r="Q331" s="324"/>
      <c r="R331" s="324"/>
      <c r="S331" s="324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30" t="s">
        <v>35</v>
      </c>
      <c r="I332" s="632">
        <f ca="1">I344</f>
        <v>1260</v>
      </c>
      <c r="J332" s="631">
        <f ca="1">J344+J347+J348+J349+J353</f>
        <v>8043</v>
      </c>
      <c r="K332" s="630">
        <f ca="1">IF(I332&gt;0,J332*100/I332,0)</f>
        <v>638.33333333333337</v>
      </c>
      <c r="L332" s="334"/>
      <c r="M332" s="333"/>
      <c r="N332" s="333"/>
      <c r="O332" s="333"/>
      <c r="P332" s="333"/>
      <c r="Q332" s="333"/>
      <c r="R332" s="333"/>
      <c r="S332" s="333"/>
      <c r="T332" s="333"/>
      <c r="U332" s="333"/>
    </row>
    <row r="333" spans="1:21" ht="19.5">
      <c r="A333" s="155"/>
      <c r="B333" s="50"/>
      <c r="C333" s="156" t="s">
        <v>18</v>
      </c>
      <c r="D333" s="575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541">
        <f ca="1">L334+L335</f>
        <v>106000</v>
      </c>
      <c r="M333" s="540">
        <f ca="1">M334+M335</f>
        <v>111000</v>
      </c>
      <c r="N333" s="540">
        <f ca="1">N334+N335</f>
        <v>56840</v>
      </c>
      <c r="O333" s="540">
        <f ca="1">IF(L333&gt;0,N333*100/L333,0)</f>
        <v>53.622641509433961</v>
      </c>
      <c r="P333" s="540">
        <f ca="1">IF(M333&gt;0,N333*100/M333,0)</f>
        <v>51.207207207207205</v>
      </c>
      <c r="Q333" s="540">
        <f>Q334+Q335</f>
        <v>0</v>
      </c>
      <c r="R333" s="540">
        <f>R334+R335</f>
        <v>0</v>
      </c>
      <c r="S333" s="540">
        <f>S334+S335</f>
        <v>0</v>
      </c>
      <c r="T333" s="540">
        <f>IF(Q333&gt;0,S333*100/Q333,0)</f>
        <v>0</v>
      </c>
      <c r="U333" s="540">
        <f>IF(R333&gt;0,S333*100/R333,0)</f>
        <v>0</v>
      </c>
    </row>
    <row r="334" spans="1:21" ht="18.75" hidden="1">
      <c r="A334" s="155"/>
      <c r="B334" s="50"/>
      <c r="C334" s="50"/>
      <c r="D334" s="50"/>
      <c r="E334" s="186" t="s">
        <v>20</v>
      </c>
      <c r="F334" s="50"/>
      <c r="G334" s="52"/>
      <c r="H334" s="187" t="s">
        <v>14</v>
      </c>
      <c r="I334" s="54"/>
      <c r="J334" s="54"/>
      <c r="K334" s="55"/>
      <c r="L334" s="103">
        <f>L337+L340</f>
        <v>0</v>
      </c>
      <c r="M334" s="102">
        <f>M337+M340</f>
        <v>0</v>
      </c>
      <c r="N334" s="102">
        <f>N337+N340</f>
        <v>0</v>
      </c>
      <c r="O334" s="102">
        <f>IF(L334&gt;0,N334*100/L334,0)</f>
        <v>0</v>
      </c>
      <c r="P334" s="102">
        <f>IF(M334&gt;0,N334*100/M334,0)</f>
        <v>0</v>
      </c>
      <c r="Q334" s="102">
        <f>Q337+Q340</f>
        <v>0</v>
      </c>
      <c r="R334" s="102">
        <f>R337+R340</f>
        <v>0</v>
      </c>
      <c r="S334" s="102">
        <f>S337+S340</f>
        <v>0</v>
      </c>
      <c r="T334" s="102">
        <f>IF(Q334&gt;0,S334*100/Q334,0)</f>
        <v>0</v>
      </c>
      <c r="U334" s="102">
        <f>IF(R334&gt;0,S334*100/R334,0)</f>
        <v>0</v>
      </c>
    </row>
    <row r="335" spans="1:21" ht="18.75" hidden="1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256">
        <f ca="1">L338+L341</f>
        <v>106000</v>
      </c>
      <c r="M335" s="255">
        <f ca="1">M338+M341</f>
        <v>111000</v>
      </c>
      <c r="N335" s="255">
        <f ca="1">N338+N341</f>
        <v>56840</v>
      </c>
      <c r="O335" s="255">
        <f ca="1">IF(L335&gt;0,N335*100/L335,0)</f>
        <v>53.622641509433961</v>
      </c>
      <c r="P335" s="255">
        <f ca="1">IF(M335&gt;0,N335*100/M335,0)</f>
        <v>51.207207207207205</v>
      </c>
      <c r="Q335" s="255">
        <f>Q338+Q341</f>
        <v>0</v>
      </c>
      <c r="R335" s="255">
        <f>R338+R341</f>
        <v>0</v>
      </c>
      <c r="S335" s="255">
        <f>S338+S341</f>
        <v>0</v>
      </c>
      <c r="T335" s="255">
        <f>IF(Q335&gt;0,S335*100/Q335,0)</f>
        <v>0</v>
      </c>
      <c r="U335" s="255">
        <f>IF(R335&gt;0,S335*100/R335,0)</f>
        <v>0</v>
      </c>
    </row>
    <row r="336" spans="1:21" ht="18.75">
      <c r="A336" s="155"/>
      <c r="B336" s="50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256">
        <f ca="1">L337+L338</f>
        <v>106000</v>
      </c>
      <c r="M336" s="255">
        <f ca="1">M337+M338</f>
        <v>111000</v>
      </c>
      <c r="N336" s="255">
        <f ca="1">N337+N338</f>
        <v>56840</v>
      </c>
      <c r="O336" s="255">
        <f ca="1">IF(L336&gt;0,N336*100/L336,0)</f>
        <v>53.622641509433961</v>
      </c>
      <c r="P336" s="255">
        <f ca="1">IF(M336&gt;0,N336*100/M336,0)</f>
        <v>51.207207207207205</v>
      </c>
      <c r="Q336" s="255">
        <f>Q337+Q338</f>
        <v>0</v>
      </c>
      <c r="R336" s="255">
        <f>R337+R338</f>
        <v>0</v>
      </c>
      <c r="S336" s="255">
        <f>S337+S338</f>
        <v>0</v>
      </c>
      <c r="T336" s="255">
        <f>IF(Q336&gt;0,S336*100/Q336,0)</f>
        <v>0</v>
      </c>
      <c r="U336" s="255">
        <f>IF(R336&gt;0,S336*100/R336,0)</f>
        <v>0</v>
      </c>
    </row>
    <row r="337" spans="1:21" ht="18.75" hidden="1">
      <c r="A337" s="155"/>
      <c r="B337" s="50"/>
      <c r="C337" s="50"/>
      <c r="D337" s="50"/>
      <c r="E337" s="186" t="s">
        <v>36</v>
      </c>
      <c r="F337" s="50"/>
      <c r="G337" s="52"/>
      <c r="H337" s="189" t="s">
        <v>14</v>
      </c>
      <c r="I337" s="163"/>
      <c r="J337" s="163"/>
      <c r="K337" s="164"/>
      <c r="L337" s="103">
        <v>0</v>
      </c>
      <c r="M337" s="102">
        <v>0</v>
      </c>
      <c r="N337" s="102">
        <v>0</v>
      </c>
      <c r="O337" s="102">
        <f>IF(L337&gt;0,N337*100/L337,0)</f>
        <v>0</v>
      </c>
      <c r="P337" s="102">
        <f>IF(M337&gt;0,N337*100/M337,0)</f>
        <v>0</v>
      </c>
      <c r="Q337" s="102">
        <v>0</v>
      </c>
      <c r="R337" s="102">
        <v>0</v>
      </c>
      <c r="S337" s="102">
        <v>0</v>
      </c>
      <c r="T337" s="102">
        <f>IF(Q337&gt;0,S337*100/Q337,0)</f>
        <v>0</v>
      </c>
      <c r="U337" s="102">
        <f>IF(R337&gt;0,S337*100/R337,0)</f>
        <v>0</v>
      </c>
    </row>
    <row r="338" spans="1:21" ht="18.75" hidden="1">
      <c r="A338" s="155"/>
      <c r="B338" s="50"/>
      <c r="C338" s="50"/>
      <c r="D338" s="50"/>
      <c r="E338" s="58" t="s">
        <v>37</v>
      </c>
      <c r="F338" s="50"/>
      <c r="G338" s="52"/>
      <c r="H338" s="162" t="s">
        <v>14</v>
      </c>
      <c r="I338" s="163"/>
      <c r="J338" s="163"/>
      <c r="K338" s="164"/>
      <c r="L338" s="256">
        <f ca="1">IFERROR(__xludf.DUMMYFUNCTION("IMPORTRANGE(""https://docs.google.com/spreadsheets/d/1-uDff_7J0KD5mKrp0Vvzr7lt3OU09vwQwhkpOPPYv2Y/edit?usp=sharing"",""งบพรบ!ES49"")"),106000)</f>
        <v>106000</v>
      </c>
      <c r="M338" s="255">
        <f ca="1">IFERROR(__xludf.DUMMYFUNCTION("IMPORTRANGE(""https://docs.google.com/spreadsheets/d/1-uDff_7J0KD5mKrp0Vvzr7lt3OU09vwQwhkpOPPYv2Y/edit?usp=sharing"",""งบพรบ!EX49"")"),111000)</f>
        <v>111000</v>
      </c>
      <c r="N338" s="255">
        <f ca="1">IFERROR(__xludf.DUMMYFUNCTION("IMPORTRANGE(""https://docs.google.com/spreadsheets/d/1-uDff_7J0KD5mKrp0Vvzr7lt3OU09vwQwhkpOPPYv2Y/edit?usp=sharing"",""งบพรบ!EZ49"")"),56840)</f>
        <v>56840</v>
      </c>
      <c r="O338" s="255">
        <f ca="1">IF(L338&gt;0,N338*100/L338,0)</f>
        <v>53.622641509433961</v>
      </c>
      <c r="P338" s="255">
        <f ca="1">IF(M338&gt;0,N338*100/M338,0)</f>
        <v>51.207207207207205</v>
      </c>
      <c r="Q338" s="255">
        <v>0</v>
      </c>
      <c r="R338" s="255">
        <v>0</v>
      </c>
      <c r="S338" s="255">
        <v>0</v>
      </c>
      <c r="T338" s="255">
        <f>IF(Q338&gt;0,S338*100/Q338,0)</f>
        <v>0</v>
      </c>
      <c r="U338" s="255">
        <f>IF(R338&gt;0,S338*100/R338,0)</f>
        <v>0</v>
      </c>
    </row>
    <row r="339" spans="1:21" ht="18.75">
      <c r="A339" s="155"/>
      <c r="B339" s="50"/>
      <c r="C339" s="50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256">
        <f ca="1">L340+L341</f>
        <v>0</v>
      </c>
      <c r="M339" s="255">
        <f ca="1">M340+M341</f>
        <v>0</v>
      </c>
      <c r="N339" s="255">
        <f ca="1">N340+N341</f>
        <v>0</v>
      </c>
      <c r="O339" s="255">
        <f ca="1">IF(L339&gt;0,N339*100/L339,0)</f>
        <v>0</v>
      </c>
      <c r="P339" s="255">
        <f ca="1">IF(M339&gt;0,N339*100/M339,0)</f>
        <v>0</v>
      </c>
      <c r="Q339" s="255">
        <f>Q340+Q341</f>
        <v>0</v>
      </c>
      <c r="R339" s="255">
        <f>R340+R341</f>
        <v>0</v>
      </c>
      <c r="S339" s="255">
        <f>S340+S341</f>
        <v>0</v>
      </c>
      <c r="T339" s="255">
        <f>IF(Q339&gt;0,S339*100/Q339,0)</f>
        <v>0</v>
      </c>
      <c r="U339" s="255">
        <f>IF(R339&gt;0,S339*100/R339,0)</f>
        <v>0</v>
      </c>
    </row>
    <row r="340" spans="1:21" ht="18.75" hidden="1">
      <c r="A340" s="155"/>
      <c r="B340" s="50"/>
      <c r="C340" s="50"/>
      <c r="D340" s="50"/>
      <c r="E340" s="186" t="s">
        <v>20</v>
      </c>
      <c r="F340" s="50"/>
      <c r="G340" s="52"/>
      <c r="H340" s="189" t="s">
        <v>14</v>
      </c>
      <c r="I340" s="163"/>
      <c r="J340" s="163"/>
      <c r="K340" s="164"/>
      <c r="L340" s="103">
        <v>0</v>
      </c>
      <c r="M340" s="102">
        <v>0</v>
      </c>
      <c r="N340" s="102">
        <v>0</v>
      </c>
      <c r="O340" s="102">
        <f>IF(L340&gt;0,N340*100/L340,0)</f>
        <v>0</v>
      </c>
      <c r="P340" s="102">
        <f>IF(M340&gt;0,N340*100/M340,0)</f>
        <v>0</v>
      </c>
      <c r="Q340" s="102">
        <v>0</v>
      </c>
      <c r="R340" s="102">
        <v>0</v>
      </c>
      <c r="S340" s="102">
        <v>0</v>
      </c>
      <c r="T340" s="102">
        <f>IF(Q340&gt;0,S340*100/Q340,0)</f>
        <v>0</v>
      </c>
      <c r="U340" s="102">
        <f>IF(R340&gt;0,S340*100/R340,0)</f>
        <v>0</v>
      </c>
    </row>
    <row r="341" spans="1:21" ht="18.75" hidden="1">
      <c r="A341" s="155"/>
      <c r="B341" s="50"/>
      <c r="C341" s="50"/>
      <c r="D341" s="50"/>
      <c r="E341" s="58" t="s">
        <v>21</v>
      </c>
      <c r="F341" s="50"/>
      <c r="G341" s="52"/>
      <c r="H341" s="165" t="s">
        <v>14</v>
      </c>
      <c r="I341" s="163"/>
      <c r="J341" s="163"/>
      <c r="K341" s="164"/>
      <c r="L341" s="256">
        <f ca="1">IFERROR(__xludf.DUMMYFUNCTION("IMPORTRANGE(""https://docs.google.com/spreadsheets/d/1-uDff_7J0KD5mKrp0Vvzr7lt3OU09vwQwhkpOPPYv2Y/edit?usp=sharing"",""งบพรบ!EV49"")"),0)</f>
        <v>0</v>
      </c>
      <c r="M341" s="255">
        <f ca="1">IFERROR(__xludf.DUMMYFUNCTION("IMPORTRANGE(""https://docs.google.com/spreadsheets/d/1-uDff_7J0KD5mKrp0Vvzr7lt3OU09vwQwhkpOPPYv2Y/edit?usp=sharing"",""งบพรบ!EY49"")"),0)</f>
        <v>0</v>
      </c>
      <c r="N341" s="255">
        <f ca="1">IFERROR(__xludf.DUMMYFUNCTION("IMPORTRANGE(""https://docs.google.com/spreadsheets/d/1-uDff_7J0KD5mKrp0Vvzr7lt3OU09vwQwhkpOPPYv2Y/edit?usp=sharing"",""งบพรบ!FA49"")"),0)</f>
        <v>0</v>
      </c>
      <c r="O341" s="255">
        <f ca="1">IF(L341&gt;0,N341*100/L341,0)</f>
        <v>0</v>
      </c>
      <c r="P341" s="255">
        <f ca="1">IF(M341&gt;0,N341*100/M341,0)</f>
        <v>0</v>
      </c>
      <c r="Q341" s="255">
        <v>0</v>
      </c>
      <c r="R341" s="255">
        <v>0</v>
      </c>
      <c r="S341" s="255">
        <v>0</v>
      </c>
      <c r="T341" s="255">
        <f>IF(Q341&gt;0,S341*100/Q341,0)</f>
        <v>0</v>
      </c>
      <c r="U341" s="255">
        <f>IF(R341&gt;0,S341*100/R341,0)</f>
        <v>0</v>
      </c>
    </row>
    <row r="342" spans="1:21" ht="19.5">
      <c r="A342" s="166"/>
      <c r="B342" s="167"/>
      <c r="C342" s="156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62"/>
      <c r="M342" s="55"/>
      <c r="N342" s="55"/>
      <c r="O342" s="164"/>
      <c r="P342" s="164"/>
      <c r="Q342" s="55"/>
      <c r="R342" s="55"/>
      <c r="S342" s="55"/>
      <c r="T342" s="164"/>
      <c r="U342" s="164"/>
    </row>
    <row r="343" spans="1:21" ht="19.5">
      <c r="A343" s="629"/>
      <c r="B343" s="626"/>
      <c r="C343" s="628"/>
      <c r="D343" s="626"/>
      <c r="E343" s="627" t="s">
        <v>137</v>
      </c>
      <c r="F343" s="626"/>
      <c r="G343" s="625"/>
      <c r="H343" s="624" t="s">
        <v>35</v>
      </c>
      <c r="I343" s="623">
        <v>0</v>
      </c>
      <c r="J343" s="623">
        <f ca="1">J344+J347+J348+J349</f>
        <v>2491</v>
      </c>
      <c r="K343" s="622">
        <v>0</v>
      </c>
      <c r="L343" s="250"/>
      <c r="M343" s="249"/>
      <c r="N343" s="249"/>
      <c r="O343" s="249"/>
      <c r="P343" s="249"/>
      <c r="Q343" s="249"/>
      <c r="R343" s="249"/>
      <c r="S343" s="249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40" t="s">
        <v>35</v>
      </c>
      <c r="I344" s="212">
        <f ca="1">IFERROR(__xludf.DUMMYFUNCTION("IMPORTRANGE(""https://docs.google.com/spreadsheets/d/1eHaY18a8A9IcSdp1K8H6x8fbOy06t2VsZHhMHf-1x7Y/edit?usp=sharing"",""แผน!EK49"")"),1260)</f>
        <v>1260</v>
      </c>
      <c r="J344" s="212">
        <f ca="1">IFERROR(__xludf.DUMMYFUNCTION("IMPORTRANGE(""https://docs.google.com/spreadsheets/d/1awYsYK3VOup2i3Pq_Yjnu8DRu_mYwSBnCR2QPthd0rU/edit?usp=sharing"",""ศูนย์ยกเว้นโฉนด!D49"")"),2210)</f>
        <v>2210</v>
      </c>
      <c r="K344" s="255">
        <f ca="1">IF(I344&gt;0,J344*100/I344,0)</f>
        <v>175.39682539682539</v>
      </c>
      <c r="L344" s="62"/>
      <c r="M344" s="55"/>
      <c r="N344" s="55"/>
      <c r="O344" s="55"/>
      <c r="P344" s="55"/>
      <c r="Q344" s="55"/>
      <c r="R344" s="55"/>
      <c r="S344" s="55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62"/>
      <c r="M345" s="55"/>
      <c r="N345" s="55"/>
      <c r="O345" s="55"/>
      <c r="P345" s="55"/>
      <c r="Q345" s="55"/>
      <c r="R345" s="55"/>
      <c r="S345" s="55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212">
        <f ca="1">IFERROR(__xludf.DUMMYFUNCTION("IMPORTRANGE(""https://docs.google.com/spreadsheets/d/1eHaY18a8A9IcSdp1K8H6x8fbOy06t2VsZHhMHf-1x7Y/edit?usp=sharing"",""แผน!EL49"")"),3)</f>
        <v>3</v>
      </c>
      <c r="J346" s="212">
        <f ca="1">IFERROR(__xludf.DUMMYFUNCTION("IMPORTRANGE(""https://docs.google.com/spreadsheets/d/1awYsYK3VOup2i3Pq_Yjnu8DRu_mYwSBnCR2QPthd0rU/edit?usp=sharing"",""ศูนย์รวม!E49"")"),6)</f>
        <v>6</v>
      </c>
      <c r="K346" s="255">
        <f ca="1">IF(I346&gt;0,J346*100/I346,0)</f>
        <v>200</v>
      </c>
      <c r="L346" s="62"/>
      <c r="M346" s="55"/>
      <c r="N346" s="55"/>
      <c r="O346" s="55"/>
      <c r="P346" s="55"/>
      <c r="Q346" s="55"/>
      <c r="R346" s="55"/>
      <c r="S346" s="55"/>
      <c r="T346" s="55"/>
      <c r="U346" s="55"/>
    </row>
    <row r="347" spans="1:21" ht="18.75">
      <c r="A347" s="238"/>
      <c r="B347" s="50"/>
      <c r="C347" s="188"/>
      <c r="D347" s="174"/>
      <c r="E347" s="174"/>
      <c r="F347" s="178" t="s">
        <v>142</v>
      </c>
      <c r="G347" s="52"/>
      <c r="H347" s="203" t="s">
        <v>35</v>
      </c>
      <c r="I347" s="54"/>
      <c r="J347" s="212">
        <f ca="1">IFERROR(__xludf.DUMMYFUNCTION("IMPORTRANGE(""https://docs.google.com/spreadsheets/d/1awYsYK3VOup2i3Pq_Yjnu8DRu_mYwSBnCR2QPthd0rU/edit?usp=sharing"",""ศูนย์ยกเว้นโฉนด!F49"")"),217)</f>
        <v>217</v>
      </c>
      <c r="K347" s="55"/>
      <c r="L347" s="62"/>
      <c r="M347" s="55"/>
      <c r="N347" s="55"/>
      <c r="O347" s="55"/>
      <c r="P347" s="55"/>
      <c r="Q347" s="55"/>
      <c r="R347" s="55"/>
      <c r="S347" s="55"/>
      <c r="T347" s="55"/>
      <c r="U347" s="55"/>
    </row>
    <row r="348" spans="1:21" ht="18.75">
      <c r="A348" s="238"/>
      <c r="B348" s="50"/>
      <c r="C348" s="188"/>
      <c r="D348" s="174"/>
      <c r="E348" s="178" t="s">
        <v>143</v>
      </c>
      <c r="F348" s="174"/>
      <c r="G348" s="52"/>
      <c r="H348" s="203" t="s">
        <v>35</v>
      </c>
      <c r="I348" s="54"/>
      <c r="J348" s="212">
        <f ca="1">IFERROR(__xludf.DUMMYFUNCTION("IMPORTRANGE(""https://docs.google.com/spreadsheets/d/1awYsYK3VOup2i3Pq_Yjnu8DRu_mYwSBnCR2QPthd0rU/edit?usp=sharing"",""ศูนย์ยกเว้นโฉนด!G49"")"),64)</f>
        <v>64</v>
      </c>
      <c r="K348" s="55"/>
      <c r="L348" s="62"/>
      <c r="M348" s="55"/>
      <c r="N348" s="55"/>
      <c r="O348" s="55"/>
      <c r="P348" s="55"/>
      <c r="Q348" s="55"/>
      <c r="R348" s="55"/>
      <c r="S348" s="55"/>
      <c r="T348" s="55"/>
      <c r="U348" s="55"/>
    </row>
    <row r="349" spans="1:21" ht="18.75">
      <c r="A349" s="238"/>
      <c r="B349" s="50"/>
      <c r="C349" s="188"/>
      <c r="D349" s="167"/>
      <c r="E349" s="178" t="s">
        <v>144</v>
      </c>
      <c r="F349" s="174"/>
      <c r="G349" s="52"/>
      <c r="H349" s="203" t="s">
        <v>35</v>
      </c>
      <c r="I349" s="54"/>
      <c r="J349" s="212">
        <f ca="1">IFERROR(__xludf.DUMMYFUNCTION("IMPORTRANGE(""https://docs.google.com/spreadsheets/d/1awYsYK3VOup2i3Pq_Yjnu8DRu_mYwSBnCR2QPthd0rU/edit?usp=sharing"",""ศูนย์ยกเว้นโฉนด!H49"")"),0)</f>
        <v>0</v>
      </c>
      <c r="K349" s="55"/>
      <c r="L349" s="62"/>
      <c r="M349" s="55"/>
      <c r="N349" s="55"/>
      <c r="O349" s="55"/>
      <c r="P349" s="55"/>
      <c r="Q349" s="55"/>
      <c r="R349" s="55"/>
      <c r="S349" s="55"/>
      <c r="T349" s="55"/>
      <c r="U349" s="55"/>
    </row>
    <row r="350" spans="1:21" ht="16.5">
      <c r="A350" s="18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0" s="50"/>
      <c r="F350" s="50"/>
      <c r="G350" s="52"/>
      <c r="H350" s="208"/>
      <c r="I350" s="54"/>
      <c r="J350" s="54"/>
      <c r="K350" s="55"/>
      <c r="L350" s="62"/>
      <c r="M350" s="55"/>
      <c r="N350" s="55"/>
      <c r="O350" s="55"/>
      <c r="P350" s="55"/>
      <c r="Q350" s="55"/>
      <c r="R350" s="55"/>
      <c r="S350" s="55"/>
      <c r="T350" s="55"/>
      <c r="U350" s="55"/>
    </row>
    <row r="351" spans="1:21" ht="19.5">
      <c r="A351" s="241"/>
      <c r="B351" s="244"/>
      <c r="C351" s="242"/>
      <c r="D351" s="244"/>
      <c r="E351" s="621" t="s">
        <v>145</v>
      </c>
      <c r="F351" s="244"/>
      <c r="G351" s="245"/>
      <c r="H351" s="246" t="s">
        <v>35</v>
      </c>
      <c r="I351" s="339">
        <v>0</v>
      </c>
      <c r="J351" s="339">
        <f ca="1">J352+J353</f>
        <v>5569</v>
      </c>
      <c r="K351" s="340">
        <v>0</v>
      </c>
      <c r="L351" s="250"/>
      <c r="M351" s="249"/>
      <c r="N351" s="249"/>
      <c r="O351" s="249"/>
      <c r="P351" s="249"/>
      <c r="Q351" s="249"/>
      <c r="R351" s="249"/>
      <c r="S351" s="249"/>
      <c r="T351" s="249"/>
      <c r="U351" s="249"/>
    </row>
    <row r="352" spans="1:21" ht="18.75">
      <c r="A352" s="188"/>
      <c r="B352" s="50"/>
      <c r="C352" s="188"/>
      <c r="D352" s="174"/>
      <c r="E352" s="178" t="s">
        <v>146</v>
      </c>
      <c r="F352" s="50"/>
      <c r="G352" s="52"/>
      <c r="H352" s="161" t="s">
        <v>35</v>
      </c>
      <c r="I352" s="54"/>
      <c r="J352" s="212">
        <f ca="1">IFERROR(__xludf.DUMMYFUNCTION("IMPORTRANGE(""https://docs.google.com/spreadsheets/d/1awYsYK3VOup2i3Pq_Yjnu8DRu_mYwSBnCR2QPthd0rU/edit?usp=sharing"",""โฉนดM3!G49"")"),17)</f>
        <v>17</v>
      </c>
      <c r="K352" s="55"/>
      <c r="L352" s="62"/>
      <c r="M352" s="55"/>
      <c r="N352" s="55"/>
      <c r="O352" s="55"/>
      <c r="P352" s="55"/>
      <c r="Q352" s="55"/>
      <c r="R352" s="55"/>
      <c r="S352" s="55"/>
      <c r="T352" s="55"/>
      <c r="U352" s="55"/>
    </row>
    <row r="353" spans="1:21" ht="18.75">
      <c r="A353" s="18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212">
        <f ca="1">IFERROR(__xludf.DUMMYFUNCTION("IMPORTRANGE(""https://docs.google.com/spreadsheets/d/1awYsYK3VOup2i3Pq_Yjnu8DRu_mYwSBnCR2QPthd0rU/edit?usp=sharing"",""โฉนดM3!H49"")"),5552)</f>
        <v>5552</v>
      </c>
      <c r="K353" s="55"/>
      <c r="L353" s="62"/>
      <c r="M353" s="55"/>
      <c r="N353" s="55"/>
      <c r="O353" s="55"/>
      <c r="P353" s="55"/>
      <c r="Q353" s="55"/>
      <c r="R353" s="55"/>
      <c r="S353" s="55"/>
      <c r="T353" s="55"/>
      <c r="U353" s="55"/>
    </row>
    <row r="354" spans="1:21" ht="16.5">
      <c r="A354" s="188"/>
      <c r="B354" s="50"/>
      <c r="C354" s="188"/>
      <c r="D354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4" s="50"/>
      <c r="F354" s="50"/>
      <c r="G354" s="52"/>
      <c r="H354" s="208"/>
      <c r="I354" s="54"/>
      <c r="J354" s="54"/>
      <c r="K354" s="55"/>
      <c r="L354" s="62"/>
      <c r="M354" s="55"/>
      <c r="N354" s="55"/>
      <c r="O354" s="55"/>
      <c r="P354" s="55"/>
      <c r="Q354" s="55"/>
      <c r="R354" s="55"/>
      <c r="S354" s="55"/>
      <c r="T354" s="55"/>
      <c r="U354" s="55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29"/>
      <c r="I355" s="351"/>
      <c r="J355" s="351"/>
      <c r="K355" s="333"/>
      <c r="L355" s="334"/>
      <c r="M355" s="333"/>
      <c r="N355" s="333"/>
      <c r="O355" s="333"/>
      <c r="P355" s="333"/>
      <c r="Q355" s="333"/>
      <c r="R355" s="333"/>
      <c r="S355" s="333"/>
      <c r="T355" s="333"/>
      <c r="U355" s="333"/>
    </row>
    <row r="356" spans="1:21" ht="19.5">
      <c r="A356" s="155"/>
      <c r="B356" s="50"/>
      <c r="C356" s="156" t="s">
        <v>18</v>
      </c>
      <c r="D356" s="575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541">
        <f ca="1">L357+L358</f>
        <v>577005</v>
      </c>
      <c r="M356" s="540">
        <f ca="1">M357+M358</f>
        <v>599605</v>
      </c>
      <c r="N356" s="540">
        <f ca="1">N357+N358</f>
        <v>391407</v>
      </c>
      <c r="O356" s="540">
        <f ca="1">IF(L356&gt;0,N356*100/L356,0)</f>
        <v>67.834247536849773</v>
      </c>
      <c r="P356" s="540">
        <f ca="1">IF(M356&gt;0,N356*100/M356,0)</f>
        <v>65.277474337272039</v>
      </c>
      <c r="Q356" s="540">
        <f>Q357+Q358</f>
        <v>0</v>
      </c>
      <c r="R356" s="540">
        <f>R357+R358</f>
        <v>0</v>
      </c>
      <c r="S356" s="540">
        <f>S357+S358</f>
        <v>0</v>
      </c>
      <c r="T356" s="540">
        <f>IF(Q356&gt;0,S356*100/Q356,0)</f>
        <v>0</v>
      </c>
      <c r="U356" s="540">
        <f>IF(R356&gt;0,S356*100/R356,0)</f>
        <v>0</v>
      </c>
    </row>
    <row r="357" spans="1:21" ht="18.75" hidden="1">
      <c r="A357" s="155"/>
      <c r="B357" s="50"/>
      <c r="C357" s="50"/>
      <c r="D357" s="50"/>
      <c r="E357" s="186" t="s">
        <v>20</v>
      </c>
      <c r="F357" s="50"/>
      <c r="G357" s="52"/>
      <c r="H357" s="187" t="s">
        <v>14</v>
      </c>
      <c r="I357" s="54"/>
      <c r="J357" s="54"/>
      <c r="K357" s="55"/>
      <c r="L357" s="103">
        <f>L360+L363</f>
        <v>0</v>
      </c>
      <c r="M357" s="102">
        <f>M360+M363</f>
        <v>0</v>
      </c>
      <c r="N357" s="102">
        <f>N360+N363</f>
        <v>0</v>
      </c>
      <c r="O357" s="102">
        <f>IF(L357&gt;0,N357*100/L357,0)</f>
        <v>0</v>
      </c>
      <c r="P357" s="102">
        <f>IF(M357&gt;0,N357*100/M357,0)</f>
        <v>0</v>
      </c>
      <c r="Q357" s="102">
        <f>Q360+Q363</f>
        <v>0</v>
      </c>
      <c r="R357" s="102">
        <f>R360+R363</f>
        <v>0</v>
      </c>
      <c r="S357" s="102">
        <f>S360+S363</f>
        <v>0</v>
      </c>
      <c r="T357" s="102">
        <f>IF(Q357&gt;0,S357*100/Q357,0)</f>
        <v>0</v>
      </c>
      <c r="U357" s="102">
        <f>IF(R357&gt;0,S357*100/R357,0)</f>
        <v>0</v>
      </c>
    </row>
    <row r="358" spans="1:21" ht="18.75" hidden="1">
      <c r="A358" s="155"/>
      <c r="B358" s="50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256">
        <f ca="1">L361+L364</f>
        <v>577005</v>
      </c>
      <c r="M358" s="255">
        <f ca="1">M361+M364</f>
        <v>599605</v>
      </c>
      <c r="N358" s="255">
        <f ca="1">N361+N364</f>
        <v>391407</v>
      </c>
      <c r="O358" s="255">
        <f ca="1">IF(L358&gt;0,N358*100/L358,0)</f>
        <v>67.834247536849773</v>
      </c>
      <c r="P358" s="255">
        <f ca="1">IF(M358&gt;0,N358*100/M358,0)</f>
        <v>65.277474337272039</v>
      </c>
      <c r="Q358" s="255">
        <f>Q361+Q364</f>
        <v>0</v>
      </c>
      <c r="R358" s="255">
        <f>R361+R364</f>
        <v>0</v>
      </c>
      <c r="S358" s="255">
        <f>S361+S364</f>
        <v>0</v>
      </c>
      <c r="T358" s="255">
        <f>IF(Q358&gt;0,S358*100/Q358,0)</f>
        <v>0</v>
      </c>
      <c r="U358" s="255">
        <f>IF(R358&gt;0,S358*100/R358,0)</f>
        <v>0</v>
      </c>
    </row>
    <row r="359" spans="1:21" ht="18.75">
      <c r="A359" s="155"/>
      <c r="B359" s="50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256">
        <f ca="1">L360+L361</f>
        <v>577005</v>
      </c>
      <c r="M359" s="255">
        <f ca="1">M360+M361</f>
        <v>599605</v>
      </c>
      <c r="N359" s="255">
        <f ca="1">N360+N361</f>
        <v>391407</v>
      </c>
      <c r="O359" s="255">
        <f ca="1">IF(L359&gt;0,N359*100/L359,0)</f>
        <v>67.834247536849773</v>
      </c>
      <c r="P359" s="255">
        <f ca="1">IF(M359&gt;0,N359*100/M359,0)</f>
        <v>65.277474337272039</v>
      </c>
      <c r="Q359" s="255">
        <f>Q360+Q361</f>
        <v>0</v>
      </c>
      <c r="R359" s="255">
        <f>R360+R361</f>
        <v>0</v>
      </c>
      <c r="S359" s="255">
        <f>S360+S361</f>
        <v>0</v>
      </c>
      <c r="T359" s="255">
        <f>IF(Q359&gt;0,S359*100/Q359,0)</f>
        <v>0</v>
      </c>
      <c r="U359" s="255">
        <f>IF(R359&gt;0,S359*100/R359,0)</f>
        <v>0</v>
      </c>
    </row>
    <row r="360" spans="1:21" ht="18.75" hidden="1">
      <c r="A360" s="155"/>
      <c r="B360" s="50"/>
      <c r="C360" s="50"/>
      <c r="D360" s="50"/>
      <c r="E360" s="186" t="s">
        <v>36</v>
      </c>
      <c r="F360" s="50"/>
      <c r="G360" s="52"/>
      <c r="H360" s="189" t="s">
        <v>14</v>
      </c>
      <c r="I360" s="163"/>
      <c r="J360" s="163"/>
      <c r="K360" s="164"/>
      <c r="L360" s="103">
        <v>0</v>
      </c>
      <c r="M360" s="102">
        <v>0</v>
      </c>
      <c r="N360" s="102">
        <v>0</v>
      </c>
      <c r="O360" s="102">
        <f>IF(L360&gt;0,N360*100/L360,0)</f>
        <v>0</v>
      </c>
      <c r="P360" s="102">
        <f>IF(M360&gt;0,N360*100/M360,0)</f>
        <v>0</v>
      </c>
      <c r="Q360" s="102">
        <v>0</v>
      </c>
      <c r="R360" s="102">
        <v>0</v>
      </c>
      <c r="S360" s="102">
        <v>0</v>
      </c>
      <c r="T360" s="102">
        <f>IF(Q360&gt;0,S360*100/Q360,0)</f>
        <v>0</v>
      </c>
      <c r="U360" s="102">
        <f>IF(R360&gt;0,S360*100/R360,0)</f>
        <v>0</v>
      </c>
    </row>
    <row r="361" spans="1:21" ht="18.75" hidden="1">
      <c r="A361" s="155"/>
      <c r="B361" s="50"/>
      <c r="C361" s="50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256">
        <f ca="1">IFERROR(__xludf.DUMMYFUNCTION("IMPORTRANGE(""https://docs.google.com/spreadsheets/d/1-uDff_7J0KD5mKrp0Vvzr7lt3OU09vwQwhkpOPPYv2Y/edit?usp=sharing"",""งบพรบ!FC49"")"),577005)</f>
        <v>577005</v>
      </c>
      <c r="M361" s="255">
        <f ca="1">IFERROR(__xludf.DUMMYFUNCTION("IMPORTRANGE(""https://docs.google.com/spreadsheets/d/1-uDff_7J0KD5mKrp0Vvzr7lt3OU09vwQwhkpOPPYv2Y/edit?usp=sharing"",""งบพรบ!FH49"")"),599605)</f>
        <v>599605</v>
      </c>
      <c r="N361" s="255">
        <f ca="1">IFERROR(__xludf.DUMMYFUNCTION("IMPORTRANGE(""https://docs.google.com/spreadsheets/d/1-uDff_7J0KD5mKrp0Vvzr7lt3OU09vwQwhkpOPPYv2Y/edit?usp=sharing"",""งบพรบ!FJ49"")"),391407)</f>
        <v>391407</v>
      </c>
      <c r="O361" s="255">
        <f ca="1">IF(L361&gt;0,N361*100/L361,0)</f>
        <v>67.834247536849773</v>
      </c>
      <c r="P361" s="255">
        <f ca="1">IF(M361&gt;0,N361*100/M361,0)</f>
        <v>65.277474337272039</v>
      </c>
      <c r="Q361" s="255">
        <v>0</v>
      </c>
      <c r="R361" s="255">
        <v>0</v>
      </c>
      <c r="S361" s="255">
        <v>0</v>
      </c>
      <c r="T361" s="255">
        <f>IF(Q361&gt;0,S361*100/Q361,0)</f>
        <v>0</v>
      </c>
      <c r="U361" s="255">
        <f>IF(R361&gt;0,S361*100/R361,0)</f>
        <v>0</v>
      </c>
    </row>
    <row r="362" spans="1:21" ht="18.75">
      <c r="A362" s="155"/>
      <c r="B362" s="50"/>
      <c r="C362" s="50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256">
        <f ca="1">L363+L364</f>
        <v>0</v>
      </c>
      <c r="M362" s="255">
        <f ca="1">M363+M364</f>
        <v>0</v>
      </c>
      <c r="N362" s="255">
        <f ca="1">N363+N364</f>
        <v>0</v>
      </c>
      <c r="O362" s="255">
        <f ca="1">IF(L362&gt;0,N362*100/L362,0)</f>
        <v>0</v>
      </c>
      <c r="P362" s="255">
        <f ca="1">IF(M362&gt;0,N362*100/M362,0)</f>
        <v>0</v>
      </c>
      <c r="Q362" s="255">
        <f>Q363+Q364</f>
        <v>0</v>
      </c>
      <c r="R362" s="255">
        <f>R363+R364</f>
        <v>0</v>
      </c>
      <c r="S362" s="255">
        <f>S363+S364</f>
        <v>0</v>
      </c>
      <c r="T362" s="255">
        <f>IF(Q362&gt;0,S362*100/Q362,0)</f>
        <v>0</v>
      </c>
      <c r="U362" s="255">
        <f>IF(R362&gt;0,S362*100/R362,0)</f>
        <v>0</v>
      </c>
    </row>
    <row r="363" spans="1:21" ht="18.75" hidden="1">
      <c r="A363" s="155"/>
      <c r="B363" s="50"/>
      <c r="C363" s="50"/>
      <c r="D363" s="50"/>
      <c r="E363" s="186" t="s">
        <v>20</v>
      </c>
      <c r="F363" s="50"/>
      <c r="G363" s="52"/>
      <c r="H363" s="189" t="s">
        <v>14</v>
      </c>
      <c r="I363" s="163"/>
      <c r="J363" s="163"/>
      <c r="K363" s="164"/>
      <c r="L363" s="103">
        <v>0</v>
      </c>
      <c r="M363" s="102">
        <v>0</v>
      </c>
      <c r="N363" s="102">
        <v>0</v>
      </c>
      <c r="O363" s="102">
        <f>IF(L363&gt;0,N363*100/L363,0)</f>
        <v>0</v>
      </c>
      <c r="P363" s="102">
        <f>IF(M363&gt;0,N363*100/M363,0)</f>
        <v>0</v>
      </c>
      <c r="Q363" s="102">
        <v>0</v>
      </c>
      <c r="R363" s="102">
        <v>0</v>
      </c>
      <c r="S363" s="102">
        <v>0</v>
      </c>
      <c r="T363" s="102">
        <f>IF(Q363&gt;0,S363*100/Q363,0)</f>
        <v>0</v>
      </c>
      <c r="U363" s="102">
        <f>IF(R363&gt;0,S363*100/R363,0)</f>
        <v>0</v>
      </c>
    </row>
    <row r="364" spans="1:21" ht="18.75" hidden="1">
      <c r="A364" s="155"/>
      <c r="B364" s="50"/>
      <c r="C364" s="50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256">
        <f ca="1">IFERROR(__xludf.DUMMYFUNCTION("IMPORTRANGE(""https://docs.google.com/spreadsheets/d/1-uDff_7J0KD5mKrp0Vvzr7lt3OU09vwQwhkpOPPYv2Y/edit?usp=sharing"",""งบพรบ!FF49"")"),0)</f>
        <v>0</v>
      </c>
      <c r="M364" s="255">
        <f ca="1">IFERROR(__xludf.DUMMYFUNCTION("IMPORTRANGE(""https://docs.google.com/spreadsheets/d/1-uDff_7J0KD5mKrp0Vvzr7lt3OU09vwQwhkpOPPYv2Y/edit?usp=sharing"",""งบพรบ!FI49"")"),0)</f>
        <v>0</v>
      </c>
      <c r="N364" s="255">
        <f ca="1">IFERROR(__xludf.DUMMYFUNCTION("IMPORTRANGE(""https://docs.google.com/spreadsheets/d/1-uDff_7J0KD5mKrp0Vvzr7lt3OU09vwQwhkpOPPYv2Y/edit?usp=sharing"",""งบพรบ!FK49"")"),0)</f>
        <v>0</v>
      </c>
      <c r="O364" s="255">
        <f ca="1">IF(L364&gt;0,N364*100/L364,0)</f>
        <v>0</v>
      </c>
      <c r="P364" s="255">
        <f ca="1">IF(M364&gt;0,N364*100/M364,0)</f>
        <v>0</v>
      </c>
      <c r="Q364" s="255">
        <v>0</v>
      </c>
      <c r="R364" s="255">
        <v>0</v>
      </c>
      <c r="S364" s="255">
        <v>0</v>
      </c>
      <c r="T364" s="255">
        <f>IF(Q364&gt;0,S364*100/Q364,0)</f>
        <v>0</v>
      </c>
      <c r="U364" s="255">
        <f>IF(R364&gt;0,S364*100/R364,0)</f>
        <v>0</v>
      </c>
    </row>
    <row r="365" spans="1:21" ht="19.5">
      <c r="A365" s="241"/>
      <c r="B365" s="242"/>
      <c r="C365" s="244"/>
      <c r="D365" s="621" t="s">
        <v>150</v>
      </c>
      <c r="E365" s="244"/>
      <c r="F365" s="244"/>
      <c r="G365" s="245"/>
      <c r="H365" s="254" t="s">
        <v>35</v>
      </c>
      <c r="I365" s="339">
        <f ca="1">I371</f>
        <v>292</v>
      </c>
      <c r="J365" s="339">
        <f ca="1">J371</f>
        <v>190</v>
      </c>
      <c r="K365" s="340">
        <f ca="1">IF(I365&gt;0,J365*100/I365,0)</f>
        <v>65.06849315068493</v>
      </c>
      <c r="L365" s="250"/>
      <c r="M365" s="249"/>
      <c r="N365" s="249"/>
      <c r="O365" s="249"/>
      <c r="P365" s="249"/>
      <c r="Q365" s="249"/>
      <c r="R365" s="249"/>
      <c r="S365" s="249"/>
      <c r="T365" s="249"/>
      <c r="U365" s="249"/>
    </row>
    <row r="366" spans="1:21" ht="19.5">
      <c r="A366" s="166"/>
      <c r="B366" s="167"/>
      <c r="C366" s="156" t="s">
        <v>18</v>
      </c>
      <c r="D366" s="566" t="s">
        <v>38</v>
      </c>
      <c r="E366" s="169"/>
      <c r="F366" s="169"/>
      <c r="G366" s="170"/>
      <c r="H366" s="171"/>
      <c r="I366" s="54"/>
      <c r="J366" s="54"/>
      <c r="K366" s="55"/>
      <c r="L366" s="172"/>
      <c r="M366" s="164"/>
      <c r="N366" s="164"/>
      <c r="O366" s="164"/>
      <c r="P366" s="164"/>
      <c r="Q366" s="164"/>
      <c r="R366" s="164"/>
      <c r="S366" s="164"/>
      <c r="T366" s="164"/>
      <c r="U366" s="164"/>
    </row>
    <row r="367" spans="1:21" ht="18.75">
      <c r="A367" s="166"/>
      <c r="B367" s="174"/>
      <c r="C367" s="167"/>
      <c r="D367" s="174"/>
      <c r="E367" s="173" t="s">
        <v>151</v>
      </c>
      <c r="F367" s="174"/>
      <c r="G367" s="171"/>
      <c r="H367" s="183" t="s">
        <v>35</v>
      </c>
      <c r="I367" s="212">
        <v>0</v>
      </c>
      <c r="J367" s="212">
        <f ca="1">IFERROR(__xludf.DUMMYFUNCTION("IMPORTRANGE(""https://docs.google.com/spreadsheets/d/1tdoBKaGub7dwA3U6UFTqxio9LNnvDCQjHKmttSEBsFQ/edit?usp=sharing"",""จัดที่ดิน!AB49"")"),157)</f>
        <v>157</v>
      </c>
      <c r="K367" s="255">
        <f>IF(I367&gt;0,J367*100/I367,0)</f>
        <v>0</v>
      </c>
      <c r="L367" s="172"/>
      <c r="M367" s="164"/>
      <c r="N367" s="164"/>
      <c r="O367" s="164"/>
      <c r="P367" s="164"/>
      <c r="Q367" s="164"/>
      <c r="R367" s="164"/>
      <c r="S367" s="164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212">
        <f ca="1">IFERROR(__xludf.DUMMYFUNCTION("IMPORTRANGE(""https://docs.google.com/spreadsheets/d/1eHaY18a8A9IcSdp1K8H6x8fbOy06t2VsZHhMHf-1x7Y/edit?usp=sharing"",""แผน!EW49"")"),880)</f>
        <v>880</v>
      </c>
      <c r="J368" s="620">
        <f ca="1">IFERROR(__xludf.DUMMYFUNCTION("IMPORTRANGE(""https://docs.google.com/spreadsheets/d/1tdoBKaGub7dwA3U6UFTqxio9LNnvDCQjHKmttSEBsFQ/edit?usp=sharing"",""จัดที่ดิน!AC49"")"),1378.94)</f>
        <v>1378.94</v>
      </c>
      <c r="K368" s="255">
        <f ca="1">IF(I368&gt;0,J368*100/I368,0)</f>
        <v>156.69772727272726</v>
      </c>
      <c r="L368" s="172"/>
      <c r="M368" s="164"/>
      <c r="N368" s="164"/>
      <c r="O368" s="164"/>
      <c r="P368" s="164"/>
      <c r="Q368" s="164"/>
      <c r="R368" s="164"/>
      <c r="S368" s="164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79" t="s">
        <v>35</v>
      </c>
      <c r="I369" s="212">
        <f ca="1">IFERROR(__xludf.DUMMYFUNCTION("IMPORTRANGE(""https://docs.google.com/spreadsheets/d/1eHaY18a8A9IcSdp1K8H6x8fbOy06t2VsZHhMHf-1x7Y/edit?usp=sharing"",""แผน!EX49"")"),292)</f>
        <v>292</v>
      </c>
      <c r="J369" s="212">
        <f ca="1">IFERROR(__xludf.DUMMYFUNCTION("IMPORTRANGE(""https://docs.google.com/spreadsheets/d/1tdoBKaGub7dwA3U6UFTqxio9LNnvDCQjHKmttSEBsFQ/edit?usp=sharing"",""จัดที่ดิน!AD49"")"),313)</f>
        <v>313</v>
      </c>
      <c r="K369" s="255">
        <f ca="1">IF(I369&gt;0,J369*100/I369,0)</f>
        <v>107.1917808219178</v>
      </c>
      <c r="L369" s="172"/>
      <c r="M369" s="164"/>
      <c r="N369" s="164"/>
      <c r="O369" s="164"/>
      <c r="P369" s="164"/>
      <c r="Q369" s="164"/>
      <c r="R369" s="164"/>
      <c r="S369" s="164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79" t="s">
        <v>46</v>
      </c>
      <c r="I370" s="212">
        <v>0</v>
      </c>
      <c r="J370" s="620">
        <f ca="1">IFERROR(__xludf.DUMMYFUNCTION("IMPORTRANGE(""https://docs.google.com/spreadsheets/d/1tdoBKaGub7dwA3U6UFTqxio9LNnvDCQjHKmttSEBsFQ/edit?usp=sharing"",""จัดที่ดิน!AE49"")"),2624.1)</f>
        <v>2624.1</v>
      </c>
      <c r="K370" s="255">
        <f>IF(I370&gt;0,J370*100/I370,0)</f>
        <v>0</v>
      </c>
      <c r="L370" s="172"/>
      <c r="M370" s="164"/>
      <c r="N370" s="164"/>
      <c r="O370" s="164"/>
      <c r="P370" s="164"/>
      <c r="Q370" s="164"/>
      <c r="R370" s="164"/>
      <c r="S370" s="164"/>
      <c r="T370" s="164"/>
      <c r="U370" s="164"/>
    </row>
    <row r="371" spans="1:21" ht="18.75">
      <c r="A371" s="166"/>
      <c r="B371" s="174"/>
      <c r="C371" s="167"/>
      <c r="D371" s="174"/>
      <c r="E371" s="352" t="s">
        <v>153</v>
      </c>
      <c r="F371" s="174"/>
      <c r="G371" s="171"/>
      <c r="H371" s="179" t="s">
        <v>35</v>
      </c>
      <c r="I371" s="212">
        <f ca="1">IFERROR(__xludf.DUMMYFUNCTION("IMPORTRANGE(""https://docs.google.com/spreadsheets/d/1eHaY18a8A9IcSdp1K8H6x8fbOy06t2VsZHhMHf-1x7Y/edit?usp=sharing"",""แผน!EY49"")"),292)</f>
        <v>292</v>
      </c>
      <c r="J371" s="212">
        <f ca="1">IFERROR(__xludf.DUMMYFUNCTION("IMPORTRANGE(""https://docs.google.com/spreadsheets/d/1tdoBKaGub7dwA3U6UFTqxio9LNnvDCQjHKmttSEBsFQ/edit?usp=sharing"",""จัดที่ดิน!AF49"")"),190)</f>
        <v>190</v>
      </c>
      <c r="K371" s="255">
        <f ca="1">IF(I371&gt;0,J371*100/I371,0)</f>
        <v>65.06849315068493</v>
      </c>
      <c r="L371" s="172"/>
      <c r="M371" s="164"/>
      <c r="N371" s="164"/>
      <c r="O371" s="164"/>
      <c r="P371" s="164"/>
      <c r="Q371" s="164"/>
      <c r="R371" s="164"/>
      <c r="S371" s="164"/>
      <c r="T371" s="164"/>
      <c r="U371" s="164"/>
    </row>
    <row r="372" spans="1:21" ht="18.75">
      <c r="A372" s="166"/>
      <c r="B372" s="174"/>
      <c r="C372" s="167"/>
      <c r="D372" s="174"/>
      <c r="E372" s="174"/>
      <c r="F372" s="174"/>
      <c r="G372" s="171"/>
      <c r="H372" s="179" t="s">
        <v>46</v>
      </c>
      <c r="I372" s="212">
        <v>0</v>
      </c>
      <c r="J372" s="620">
        <f ca="1">IFERROR(__xludf.DUMMYFUNCTION("IMPORTRANGE(""https://docs.google.com/spreadsheets/d/1tdoBKaGub7dwA3U6UFTqxio9LNnvDCQjHKmttSEBsFQ/edit?usp=sharing"",""จัดที่ดิน!AG49"")"),1599.58)</f>
        <v>1599.58</v>
      </c>
      <c r="K372" s="255">
        <f>IF(I372&gt;0,J372*100/I372,0)</f>
        <v>0</v>
      </c>
      <c r="L372" s="172"/>
      <c r="M372" s="164"/>
      <c r="N372" s="164"/>
      <c r="O372" s="164"/>
      <c r="P372" s="164"/>
      <c r="Q372" s="164"/>
      <c r="R372" s="164"/>
      <c r="S372" s="164"/>
      <c r="T372" s="164"/>
      <c r="U372" s="164"/>
    </row>
    <row r="373" spans="1:21" ht="16.5">
      <c r="A373" s="5"/>
      <c r="B373" s="4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พ.ค. 67 เวลา 07.29 น.]")</f>
        <v xml:space="preserve"> [ข้อมูลจาก ระบบ ALRO Land Online ข้อมูล ณ 1 พ.ค. 67 เวลา 07.29 น.]</v>
      </c>
      <c r="E373" s="4"/>
      <c r="F373" s="4"/>
      <c r="G373" s="65"/>
      <c r="H373" s="65"/>
      <c r="I373" s="67"/>
      <c r="J373" s="67"/>
      <c r="K373" s="6"/>
      <c r="L373" s="68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>
      <c r="A374" s="619"/>
      <c r="B374" s="618" t="s">
        <v>154</v>
      </c>
      <c r="C374" s="617"/>
      <c r="D374" s="616"/>
      <c r="E374" s="615"/>
      <c r="F374" s="615"/>
      <c r="G374" s="614"/>
      <c r="H374" s="613" t="s">
        <v>46</v>
      </c>
      <c r="I374" s="612">
        <f ca="1">I386+I388</f>
        <v>1000</v>
      </c>
      <c r="J374" s="612">
        <f ca="1">J386+J388</f>
        <v>0</v>
      </c>
      <c r="K374" s="611">
        <f ca="1">IF(I374&gt;0,J374*100/I374,0)</f>
        <v>0</v>
      </c>
      <c r="L374" s="334"/>
      <c r="M374" s="333"/>
      <c r="N374" s="333"/>
      <c r="O374" s="333"/>
      <c r="P374" s="333"/>
      <c r="Q374" s="333"/>
      <c r="R374" s="333"/>
      <c r="S374" s="333"/>
      <c r="T374" s="333"/>
      <c r="U374" s="333"/>
    </row>
    <row r="375" spans="1:21" ht="19.5">
      <c r="A375" s="155"/>
      <c r="B375" s="188"/>
      <c r="C375" s="191" t="s">
        <v>18</v>
      </c>
      <c r="D375" s="608" t="s">
        <v>19</v>
      </c>
      <c r="E375" s="50"/>
      <c r="F375" s="50"/>
      <c r="G375" s="52"/>
      <c r="H375" s="158" t="s">
        <v>14</v>
      </c>
      <c r="I375" s="54"/>
      <c r="J375" s="54"/>
      <c r="K375" s="55"/>
      <c r="L375" s="541">
        <f>L376+L377</f>
        <v>0</v>
      </c>
      <c r="M375" s="540">
        <f>M376+M377</f>
        <v>0</v>
      </c>
      <c r="N375" s="540">
        <f>N376+N377</f>
        <v>0</v>
      </c>
      <c r="O375" s="540">
        <f>IF(L375&gt;0,N375*100/L375,0)</f>
        <v>0</v>
      </c>
      <c r="P375" s="540">
        <f>IF(M375&gt;0,N375*100/M375,0)</f>
        <v>0</v>
      </c>
      <c r="Q375" s="540">
        <f ca="1">Q376+Q377</f>
        <v>62500</v>
      </c>
      <c r="R375" s="540">
        <f ca="1">R376+R377</f>
        <v>0</v>
      </c>
      <c r="S375" s="540">
        <f ca="1">S376+S377</f>
        <v>0</v>
      </c>
      <c r="T375" s="540">
        <f ca="1">IF(Q375&gt;0,S375*100/Q375,0)</f>
        <v>0</v>
      </c>
      <c r="U375" s="540">
        <f ca="1">IF(R375&gt;0,S375*100/R375,0)</f>
        <v>0</v>
      </c>
    </row>
    <row r="376" spans="1:21" ht="18.75" hidden="1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103">
        <f>L379+L382</f>
        <v>0</v>
      </c>
      <c r="M376" s="102">
        <f>M379+M382</f>
        <v>0</v>
      </c>
      <c r="N376" s="102">
        <f>N379+N382</f>
        <v>0</v>
      </c>
      <c r="O376" s="102">
        <f>IF(L376&gt;0,N376*100/L376,0)</f>
        <v>0</v>
      </c>
      <c r="P376" s="102">
        <f>IF(M376&gt;0,N376*100/M376,0)</f>
        <v>0</v>
      </c>
      <c r="Q376" s="102">
        <f>Q379+Q382</f>
        <v>0</v>
      </c>
      <c r="R376" s="102">
        <f>R379+R382</f>
        <v>0</v>
      </c>
      <c r="S376" s="102">
        <f>S379+S382</f>
        <v>0</v>
      </c>
      <c r="T376" s="102">
        <f>IF(Q376&gt;0,S376*100/Q376,0)</f>
        <v>0</v>
      </c>
      <c r="U376" s="102">
        <f>IF(R376&gt;0,S376*100/R376,0)</f>
        <v>0</v>
      </c>
    </row>
    <row r="377" spans="1:21" ht="18.75" hidden="1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256">
        <f>L380+L383</f>
        <v>0</v>
      </c>
      <c r="M377" s="255">
        <f>M380+M383</f>
        <v>0</v>
      </c>
      <c r="N377" s="255">
        <f>N380+N383</f>
        <v>0</v>
      </c>
      <c r="O377" s="255">
        <f>IF(L377&gt;0,N377*100/L377,0)</f>
        <v>0</v>
      </c>
      <c r="P377" s="255">
        <f>IF(M377&gt;0,N377*100/M377,0)</f>
        <v>0</v>
      </c>
      <c r="Q377" s="255">
        <f ca="1">Q380+Q383</f>
        <v>62500</v>
      </c>
      <c r="R377" s="255">
        <f ca="1">R380+R383</f>
        <v>0</v>
      </c>
      <c r="S377" s="255">
        <f ca="1">S380+S383</f>
        <v>0</v>
      </c>
      <c r="T377" s="255">
        <f ca="1">IF(Q377&gt;0,S377*100/Q377,0)</f>
        <v>0</v>
      </c>
      <c r="U377" s="255">
        <f ca="1">IF(R377&gt;0,S377*100/R377,0)</f>
        <v>0</v>
      </c>
    </row>
    <row r="378" spans="1:21" ht="18.75">
      <c r="A378" s="155"/>
      <c r="B378" s="188"/>
      <c r="C378" s="188"/>
      <c r="D378" s="602" t="s">
        <v>22</v>
      </c>
      <c r="E378" s="50"/>
      <c r="F378" s="50"/>
      <c r="G378" s="52"/>
      <c r="H378" s="162" t="s">
        <v>14</v>
      </c>
      <c r="I378" s="163"/>
      <c r="J378" s="163"/>
      <c r="K378" s="164"/>
      <c r="L378" s="256">
        <f>L379+L380</f>
        <v>0</v>
      </c>
      <c r="M378" s="255">
        <f>M379+M380</f>
        <v>0</v>
      </c>
      <c r="N378" s="255">
        <f>N379+N380</f>
        <v>0</v>
      </c>
      <c r="O378" s="255">
        <f>IF(L378&gt;0,N378*100/L378,0)</f>
        <v>0</v>
      </c>
      <c r="P378" s="255">
        <f>IF(M378&gt;0,N378*100/M378,0)</f>
        <v>0</v>
      </c>
      <c r="Q378" s="255">
        <f ca="1">Q379+Q380</f>
        <v>62500</v>
      </c>
      <c r="R378" s="255">
        <f ca="1">R379+R380</f>
        <v>0</v>
      </c>
      <c r="S378" s="255">
        <f ca="1">S379+S380</f>
        <v>0</v>
      </c>
      <c r="T378" s="255">
        <f ca="1">IF(Q378&gt;0,S378*100/Q378,0)</f>
        <v>0</v>
      </c>
      <c r="U378" s="255">
        <f ca="1">IF(R378&gt;0,S378*100/R378,0)</f>
        <v>0</v>
      </c>
    </row>
    <row r="379" spans="1:21" ht="18.75" hidden="1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103">
        <v>0</v>
      </c>
      <c r="M379" s="102">
        <v>0</v>
      </c>
      <c r="N379" s="102">
        <v>0</v>
      </c>
      <c r="O379" s="102">
        <f>IF(L379&gt;0,N379*100/L379,0)</f>
        <v>0</v>
      </c>
      <c r="P379" s="102">
        <f>IF(M379&gt;0,N379*100/M379,0)</f>
        <v>0</v>
      </c>
      <c r="Q379" s="102">
        <v>0</v>
      </c>
      <c r="R379" s="102">
        <v>0</v>
      </c>
      <c r="S379" s="102">
        <v>0</v>
      </c>
      <c r="T379" s="102">
        <f>IF(Q379&gt;0,S379*100/Q379,0)</f>
        <v>0</v>
      </c>
      <c r="U379" s="102">
        <f>IF(R379&gt;0,S379*100/R379,0)</f>
        <v>0</v>
      </c>
    </row>
    <row r="380" spans="1:21" ht="18.75" hidden="1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256">
        <v>0</v>
      </c>
      <c r="M380" s="255">
        <v>0</v>
      </c>
      <c r="N380" s="255">
        <v>0</v>
      </c>
      <c r="O380" s="255">
        <f>IF(L380&gt;0,N380*100/L380,0)</f>
        <v>0</v>
      </c>
      <c r="P380" s="255">
        <f>IF(M380&gt;0,N380*100/M380,0)</f>
        <v>0</v>
      </c>
      <c r="Q380" s="255">
        <f ca="1">IFERROR(__xludf.DUMMYFUNCTION("IMPORTRANGE(""https://docs.google.com/spreadsheets/d/1ItG2mGa2ceCfYo0BwxsXqNm01IGEUdYcSSLTEv9YCik/edit?usp=sharing"",""เบิกจ่ายกองทุน!AY49"")"),62500)</f>
        <v>62500</v>
      </c>
      <c r="R380" s="255">
        <f ca="1">IFERROR(__xludf.DUMMYFUNCTION("IMPORTRANGE(""https://docs.google.com/spreadsheets/d/1ItG2mGa2ceCfYo0BwxsXqNm01IGEUdYcSSLTEv9YCik/edit?usp=sharing"",""เบิกจ่ายกองทุน!AZ49"")"),0)</f>
        <v>0</v>
      </c>
      <c r="S380" s="255">
        <f ca="1">IFERROR(__xludf.DUMMYFUNCTION("IMPORTRANGE(""https://docs.google.com/spreadsheets/d/1ItG2mGa2ceCfYo0BwxsXqNm01IGEUdYcSSLTEv9YCik/edit?usp=sharing"",""เบิกจ่ายกองทุน!BA49"")"),0)</f>
        <v>0</v>
      </c>
      <c r="T380" s="255">
        <f ca="1">IF(Q380&gt;0,S380*100/Q380,0)</f>
        <v>0</v>
      </c>
      <c r="U380" s="255">
        <f ca="1">IF(R380&gt;0,S380*100/R380,0)</f>
        <v>0</v>
      </c>
    </row>
    <row r="381" spans="1:21" ht="18.75">
      <c r="A381" s="155"/>
      <c r="B381" s="188"/>
      <c r="C381" s="188"/>
      <c r="D381" s="602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256">
        <f>L382+L383</f>
        <v>0</v>
      </c>
      <c r="M381" s="255">
        <f>M382+M383</f>
        <v>0</v>
      </c>
      <c r="N381" s="255">
        <f>N382+N383</f>
        <v>0</v>
      </c>
      <c r="O381" s="255">
        <f>IF(L381&gt;0,N381*100/L381,0)</f>
        <v>0</v>
      </c>
      <c r="P381" s="255">
        <f>IF(M381&gt;0,N381*100/M381,0)</f>
        <v>0</v>
      </c>
      <c r="Q381" s="255">
        <f>Q382+Q383</f>
        <v>0</v>
      </c>
      <c r="R381" s="255">
        <f>R382+R383</f>
        <v>0</v>
      </c>
      <c r="S381" s="255">
        <f>S382+S383</f>
        <v>0</v>
      </c>
      <c r="T381" s="255">
        <f>IF(Q381&gt;0,S381*100/Q381,0)</f>
        <v>0</v>
      </c>
      <c r="U381" s="255">
        <f>IF(R381&gt;0,S381*100/R381,0)</f>
        <v>0</v>
      </c>
    </row>
    <row r="382" spans="1:21" ht="18.75" hidden="1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103">
        <v>0</v>
      </c>
      <c r="M382" s="102">
        <v>0</v>
      </c>
      <c r="N382" s="102">
        <v>0</v>
      </c>
      <c r="O382" s="102">
        <f>IF(L382&gt;0,N382*100/L382,0)</f>
        <v>0</v>
      </c>
      <c r="P382" s="102">
        <f>IF(M382&gt;0,N382*100/M382,0)</f>
        <v>0</v>
      </c>
      <c r="Q382" s="102">
        <v>0</v>
      </c>
      <c r="R382" s="102">
        <v>0</v>
      </c>
      <c r="S382" s="102">
        <v>0</v>
      </c>
      <c r="T382" s="102">
        <f>IF(Q382&gt;0,S382*100/Q382,0)</f>
        <v>0</v>
      </c>
      <c r="U382" s="102">
        <f>IF(R382&gt;0,S382*100/R382,0)</f>
        <v>0</v>
      </c>
    </row>
    <row r="383" spans="1:21" ht="18.75" hidden="1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256">
        <v>0</v>
      </c>
      <c r="M383" s="255">
        <v>0</v>
      </c>
      <c r="N383" s="255">
        <v>0</v>
      </c>
      <c r="O383" s="255">
        <f>IF(L383&gt;0,N383*100/L383,0)</f>
        <v>0</v>
      </c>
      <c r="P383" s="255">
        <f>IF(M383&gt;0,N383*100/M383,0)</f>
        <v>0</v>
      </c>
      <c r="Q383" s="255">
        <v>0</v>
      </c>
      <c r="R383" s="255">
        <v>0</v>
      </c>
      <c r="S383" s="255">
        <v>0</v>
      </c>
      <c r="T383" s="255">
        <f>IF(Q383&gt;0,S383*100/Q383,0)</f>
        <v>0</v>
      </c>
      <c r="U383" s="255">
        <f>IF(R383&gt;0,S383*100/R383,0)</f>
        <v>0</v>
      </c>
    </row>
    <row r="384" spans="1:21" ht="19.5">
      <c r="A384" s="166"/>
      <c r="B384" s="167"/>
      <c r="C384" s="191" t="s">
        <v>18</v>
      </c>
      <c r="D384" s="560" t="s">
        <v>38</v>
      </c>
      <c r="E384" s="169"/>
      <c r="F384" s="169"/>
      <c r="G384" s="170"/>
      <c r="H384" s="206"/>
      <c r="I384" s="163"/>
      <c r="J384" s="54"/>
      <c r="K384" s="55"/>
      <c r="L384" s="62"/>
      <c r="M384" s="55"/>
      <c r="N384" s="55"/>
      <c r="O384" s="164"/>
      <c r="P384" s="164"/>
      <c r="Q384" s="55"/>
      <c r="R384" s="55"/>
      <c r="S384" s="55"/>
      <c r="T384" s="164"/>
      <c r="U384" s="164"/>
    </row>
    <row r="385" spans="1:21" ht="18.75">
      <c r="A385" s="238"/>
      <c r="B385" s="188"/>
      <c r="C385" s="188"/>
      <c r="D385" s="188"/>
      <c r="E385" s="58" t="s">
        <v>155</v>
      </c>
      <c r="F385" s="50"/>
      <c r="G385" s="52"/>
      <c r="H385" s="161" t="s">
        <v>34</v>
      </c>
      <c r="I385" s="212">
        <v>0</v>
      </c>
      <c r="J385" s="212">
        <f ca="1">IFERROR(__xludf.DUMMYFUNCTION("IMPORTRANGE(""https://docs.google.com/spreadsheets/d/1w5rwWK1o49a35cNtocGL0gxDwhFSTZUQu90BiH9_zqM/edit?usp=sharing"",""RTK!H49"")"),0)</f>
        <v>0</v>
      </c>
      <c r="K385" s="255">
        <f>IF(I385&gt;0,J385*100/I385,0)</f>
        <v>0</v>
      </c>
      <c r="L385" s="62"/>
      <c r="M385" s="55"/>
      <c r="N385" s="55"/>
      <c r="O385" s="55"/>
      <c r="P385" s="55"/>
      <c r="Q385" s="55"/>
      <c r="R385" s="55"/>
      <c r="S385" s="55"/>
      <c r="T385" s="55"/>
      <c r="U385" s="55"/>
    </row>
    <row r="386" spans="1:21" ht="18.75">
      <c r="A386" s="188"/>
      <c r="B386" s="188"/>
      <c r="C386" s="188"/>
      <c r="D386" s="188"/>
      <c r="E386" s="188"/>
      <c r="F386" s="188"/>
      <c r="G386" s="208"/>
      <c r="H386" s="161" t="s">
        <v>46</v>
      </c>
      <c r="I386" s="212">
        <f ca="1">IFERROR(__xludf.DUMMYFUNCTION("IMPORTRANGE(""https://docs.google.com/spreadsheets/d/1w5rwWK1o49a35cNtocGL0gxDwhFSTZUQu90BiH9_zqM/edit?usp=sharing"",""RTK!G49"")"),1000)</f>
        <v>1000</v>
      </c>
      <c r="J386" s="212">
        <f ca="1">IFERROR(__xludf.DUMMYFUNCTION("IMPORTRANGE(""https://docs.google.com/spreadsheets/d/1w5rwWK1o49a35cNtocGL0gxDwhFSTZUQu90BiH9_zqM/edit?usp=sharing"",""RTK!I49"")"),0)</f>
        <v>0</v>
      </c>
      <c r="K386" s="255">
        <f ca="1">IF(I386&gt;0,J386*100/I386,0)</f>
        <v>0</v>
      </c>
      <c r="L386" s="62"/>
      <c r="M386" s="55"/>
      <c r="N386" s="55"/>
      <c r="O386" s="55"/>
      <c r="P386" s="55"/>
      <c r="Q386" s="55"/>
      <c r="R386" s="55"/>
      <c r="S386" s="55"/>
      <c r="T386" s="55"/>
      <c r="U386" s="55"/>
    </row>
    <row r="387" spans="1:21" ht="18.75">
      <c r="A387" s="609"/>
      <c r="B387" s="609"/>
      <c r="C387" s="609"/>
      <c r="D387" s="609"/>
      <c r="E387" s="610" t="s">
        <v>156</v>
      </c>
      <c r="F387" s="609"/>
      <c r="G387" s="557"/>
      <c r="H387" s="549" t="s">
        <v>34</v>
      </c>
      <c r="I387" s="556">
        <v>0</v>
      </c>
      <c r="J387" s="556">
        <f ca="1">IFERROR(__xludf.DUMMYFUNCTION("IMPORTRANGE(""https://docs.google.com/spreadsheets/d/1w5rwWK1o49a35cNtocGL0gxDwhFSTZUQu90BiH9_zqM/edit?usp=sharing"",""RTK!L49"")"),0)</f>
        <v>0</v>
      </c>
      <c r="K387" s="555">
        <f>IF(I387&gt;0,J387*100/I387,0)</f>
        <v>0</v>
      </c>
      <c r="L387" s="546"/>
      <c r="M387" s="545"/>
      <c r="N387" s="545"/>
      <c r="O387" s="545"/>
      <c r="P387" s="545"/>
      <c r="Q387" s="545"/>
      <c r="R387" s="545"/>
      <c r="S387" s="545"/>
      <c r="T387" s="545"/>
      <c r="U387" s="545"/>
    </row>
    <row r="388" spans="1:21" ht="18.75">
      <c r="A388" s="609"/>
      <c r="B388" s="609"/>
      <c r="C388" s="609"/>
      <c r="D388" s="609"/>
      <c r="E388" s="609"/>
      <c r="F388" s="609"/>
      <c r="G388" s="557"/>
      <c r="H388" s="549" t="s">
        <v>46</v>
      </c>
      <c r="I388" s="556">
        <f ca="1">IFERROR(__xludf.DUMMYFUNCTION("IMPORTRANGE(""https://docs.google.com/spreadsheets/d/1w5rwWK1o49a35cNtocGL0gxDwhFSTZUQu90BiH9_zqM/edit?usp=sharing"",""RTK!K49"")"),0)</f>
        <v>0</v>
      </c>
      <c r="J388" s="556">
        <f ca="1">IFERROR(__xludf.DUMMYFUNCTION("IMPORTRANGE(""https://docs.google.com/spreadsheets/d/1w5rwWK1o49a35cNtocGL0gxDwhFSTZUQu90BiH9_zqM/edit?usp=sharing"",""RTK!M49"")"),0)</f>
        <v>0</v>
      </c>
      <c r="K388" s="555">
        <f ca="1">IF(I388&gt;0,J388*100/I388,0)</f>
        <v>0</v>
      </c>
      <c r="L388" s="546"/>
      <c r="M388" s="545"/>
      <c r="N388" s="545"/>
      <c r="O388" s="545"/>
      <c r="P388" s="545"/>
      <c r="Q388" s="545"/>
      <c r="R388" s="545"/>
      <c r="S388" s="545"/>
      <c r="T388" s="545"/>
      <c r="U388" s="545"/>
    </row>
    <row r="389" spans="1:21" ht="12.75" hidden="1">
      <c r="A389" s="259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5"/>
      <c r="M389" s="264"/>
      <c r="N389" s="264"/>
      <c r="O389" s="264"/>
      <c r="P389" s="264"/>
      <c r="Q389" s="264"/>
      <c r="R389" s="264"/>
      <c r="S389" s="264"/>
      <c r="T389" s="264"/>
      <c r="U389" s="264"/>
    </row>
    <row r="390" spans="1:21" ht="12.75" hidden="1">
      <c r="A390" s="360"/>
      <c r="B390" s="360"/>
      <c r="C390" s="360"/>
      <c r="D390" s="360"/>
      <c r="E390" s="360"/>
      <c r="F390" s="360"/>
      <c r="G390" s="361"/>
      <c r="H390" s="361"/>
      <c r="I390" s="362"/>
      <c r="J390" s="362"/>
      <c r="K390" s="363"/>
      <c r="L390" s="364"/>
      <c r="M390" s="363"/>
      <c r="N390" s="363"/>
      <c r="O390" s="363"/>
      <c r="P390" s="363"/>
      <c r="Q390" s="363"/>
      <c r="R390" s="363"/>
      <c r="S390" s="363"/>
      <c r="T390" s="363"/>
      <c r="U390" s="363"/>
    </row>
    <row r="391" spans="1:21" ht="19.5" hidden="1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51">
        <f>I402</f>
        <v>0</v>
      </c>
      <c r="J391" s="351">
        <f>J402</f>
        <v>0</v>
      </c>
      <c r="K391" s="604">
        <f>IF(I391&gt;0,J391*100/I391,0)</f>
        <v>0</v>
      </c>
      <c r="L391" s="334"/>
      <c r="M391" s="333"/>
      <c r="N391" s="333"/>
      <c r="O391" s="333"/>
      <c r="P391" s="333"/>
      <c r="Q391" s="333"/>
      <c r="R391" s="333"/>
      <c r="S391" s="333"/>
      <c r="T391" s="333"/>
      <c r="U391" s="333"/>
    </row>
    <row r="392" spans="1:21" ht="19.5" hidden="1">
      <c r="A392" s="155"/>
      <c r="B392" s="188"/>
      <c r="C392" s="191" t="s">
        <v>18</v>
      </c>
      <c r="D392" s="608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541">
        <f>L393+L394</f>
        <v>0</v>
      </c>
      <c r="M392" s="540">
        <f>M393+M394</f>
        <v>0</v>
      </c>
      <c r="N392" s="540">
        <f>N393+N394</f>
        <v>0</v>
      </c>
      <c r="O392" s="540">
        <f>IF(L392&gt;0,N392*100/L392,0)</f>
        <v>0</v>
      </c>
      <c r="P392" s="540">
        <f>IF(M392&gt;0,N392*100/M392,0)</f>
        <v>0</v>
      </c>
      <c r="Q392" s="540">
        <f>Q393+Q394</f>
        <v>0</v>
      </c>
      <c r="R392" s="540">
        <f>R393+R394</f>
        <v>0</v>
      </c>
      <c r="S392" s="540">
        <f>S393+S394</f>
        <v>0</v>
      </c>
      <c r="T392" s="540">
        <f>IF(Q392&gt;0,S392*100/Q392,0)</f>
        <v>0</v>
      </c>
      <c r="U392" s="540">
        <f>IF(R392&gt;0,S392*100/R392,0)</f>
        <v>0</v>
      </c>
    </row>
    <row r="393" spans="1:21" ht="18.75" hidden="1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103">
        <f>L396+L399</f>
        <v>0</v>
      </c>
      <c r="M393" s="102">
        <f>M396+M399</f>
        <v>0</v>
      </c>
      <c r="N393" s="102">
        <f>N396+N399</f>
        <v>0</v>
      </c>
      <c r="O393" s="102">
        <f>IF(L393&gt;0,N393*100/L393,0)</f>
        <v>0</v>
      </c>
      <c r="P393" s="102">
        <f>IF(M393&gt;0,N393*100/M393,0)</f>
        <v>0</v>
      </c>
      <c r="Q393" s="102">
        <f>Q396+Q399</f>
        <v>0</v>
      </c>
      <c r="R393" s="102">
        <f>R396+R399</f>
        <v>0</v>
      </c>
      <c r="S393" s="102">
        <f>S396+S399</f>
        <v>0</v>
      </c>
      <c r="T393" s="102">
        <f>IF(Q393&gt;0,S393*100/Q393,0)</f>
        <v>0</v>
      </c>
      <c r="U393" s="102">
        <f>IF(R393&gt;0,S393*100/R393,0)</f>
        <v>0</v>
      </c>
    </row>
    <row r="394" spans="1:21" ht="18.75" hidden="1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256">
        <f>L397+L400</f>
        <v>0</v>
      </c>
      <c r="M394" s="255">
        <f>M397+M400</f>
        <v>0</v>
      </c>
      <c r="N394" s="255">
        <f>N397+N400</f>
        <v>0</v>
      </c>
      <c r="O394" s="255">
        <f>IF(L394&gt;0,N394*100/L394,0)</f>
        <v>0</v>
      </c>
      <c r="P394" s="255">
        <f>IF(M394&gt;0,N394*100/M394,0)</f>
        <v>0</v>
      </c>
      <c r="Q394" s="255">
        <f>Q397+Q400</f>
        <v>0</v>
      </c>
      <c r="R394" s="255">
        <f>R397+R400</f>
        <v>0</v>
      </c>
      <c r="S394" s="255">
        <f>S397+S400</f>
        <v>0</v>
      </c>
      <c r="T394" s="255">
        <f>IF(Q394&gt;0,S394*100/Q394,0)</f>
        <v>0</v>
      </c>
      <c r="U394" s="255">
        <f>IF(R394&gt;0,S394*100/R394,0)</f>
        <v>0</v>
      </c>
    </row>
    <row r="395" spans="1:21" ht="18.75" hidden="1">
      <c r="A395" s="155"/>
      <c r="B395" s="188"/>
      <c r="C395" s="188"/>
      <c r="D395" s="602" t="s">
        <v>22</v>
      </c>
      <c r="E395" s="50"/>
      <c r="F395" s="50"/>
      <c r="G395" s="52"/>
      <c r="H395" s="162" t="s">
        <v>14</v>
      </c>
      <c r="I395" s="163"/>
      <c r="J395" s="163"/>
      <c r="K395" s="164"/>
      <c r="L395" s="256">
        <f>L396+L397</f>
        <v>0</v>
      </c>
      <c r="M395" s="255">
        <f>M396+M397</f>
        <v>0</v>
      </c>
      <c r="N395" s="255">
        <f>N396+N397</f>
        <v>0</v>
      </c>
      <c r="O395" s="255">
        <f>IF(L395&gt;0,N395*100/L395,0)</f>
        <v>0</v>
      </c>
      <c r="P395" s="255">
        <f>IF(M395&gt;0,N395*100/M395,0)</f>
        <v>0</v>
      </c>
      <c r="Q395" s="255">
        <f>Q396+Q397</f>
        <v>0</v>
      </c>
      <c r="R395" s="255">
        <f>R396+R397</f>
        <v>0</v>
      </c>
      <c r="S395" s="255">
        <f>S396+S397</f>
        <v>0</v>
      </c>
      <c r="T395" s="255">
        <f>IF(Q395&gt;0,S395*100/Q395,0)</f>
        <v>0</v>
      </c>
      <c r="U395" s="255">
        <f>IF(R395&gt;0,S395*100/R395,0)</f>
        <v>0</v>
      </c>
    </row>
    <row r="396" spans="1:21" ht="18.75" hidden="1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103">
        <v>0</v>
      </c>
      <c r="M396" s="102">
        <v>0</v>
      </c>
      <c r="N396" s="102">
        <v>0</v>
      </c>
      <c r="O396" s="102">
        <f>IF(L396&gt;0,N396*100/L396,0)</f>
        <v>0</v>
      </c>
      <c r="P396" s="102">
        <f>IF(M396&gt;0,N396*100/M396,0)</f>
        <v>0</v>
      </c>
      <c r="Q396" s="102">
        <v>0</v>
      </c>
      <c r="R396" s="102">
        <v>0</v>
      </c>
      <c r="S396" s="102">
        <v>0</v>
      </c>
      <c r="T396" s="102">
        <f>IF(Q396&gt;0,S396*100/Q396,0)</f>
        <v>0</v>
      </c>
      <c r="U396" s="102">
        <f>IF(R396&gt;0,S396*100/R396,0)</f>
        <v>0</v>
      </c>
    </row>
    <row r="397" spans="1:21" ht="18.75" hidden="1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256">
        <v>0</v>
      </c>
      <c r="M397" s="255">
        <v>0</v>
      </c>
      <c r="N397" s="255">
        <v>0</v>
      </c>
      <c r="O397" s="255">
        <f>IF(L397&gt;0,N397*100/L397,0)</f>
        <v>0</v>
      </c>
      <c r="P397" s="255">
        <f>IF(M397&gt;0,N397*100/M397,0)</f>
        <v>0</v>
      </c>
      <c r="Q397" s="255">
        <v>0</v>
      </c>
      <c r="R397" s="255">
        <v>0</v>
      </c>
      <c r="S397" s="255">
        <v>0</v>
      </c>
      <c r="T397" s="255">
        <f>IF(Q397&gt;0,S397*100/Q397,0)</f>
        <v>0</v>
      </c>
      <c r="U397" s="255">
        <f>IF(R397&gt;0,S397*100/R397,0)</f>
        <v>0</v>
      </c>
    </row>
    <row r="398" spans="1:21" ht="18.75" hidden="1">
      <c r="A398" s="155"/>
      <c r="B398" s="188"/>
      <c r="C398" s="188"/>
      <c r="D398" s="602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256">
        <f>L399+L400</f>
        <v>0</v>
      </c>
      <c r="M398" s="255">
        <f>M399+M400</f>
        <v>0</v>
      </c>
      <c r="N398" s="255">
        <f>N399+N400</f>
        <v>0</v>
      </c>
      <c r="O398" s="255">
        <f>IF(L398&gt;0,N398*100/L398,0)</f>
        <v>0</v>
      </c>
      <c r="P398" s="255">
        <f>IF(M398&gt;0,N398*100/M398,0)</f>
        <v>0</v>
      </c>
      <c r="Q398" s="255">
        <f>Q399+Q400</f>
        <v>0</v>
      </c>
      <c r="R398" s="255">
        <f>R399+R400</f>
        <v>0</v>
      </c>
      <c r="S398" s="255">
        <f>S399+S400</f>
        <v>0</v>
      </c>
      <c r="T398" s="255">
        <f>IF(Q398&gt;0,S398*100/Q398,0)</f>
        <v>0</v>
      </c>
      <c r="U398" s="255">
        <f>IF(R398&gt;0,S398*100/R398,0)</f>
        <v>0</v>
      </c>
    </row>
    <row r="399" spans="1:21" ht="18.75" hidden="1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103">
        <v>0</v>
      </c>
      <c r="M399" s="102">
        <v>0</v>
      </c>
      <c r="N399" s="102">
        <v>0</v>
      </c>
      <c r="O399" s="102">
        <f>IF(L399&gt;0,N399*100/L399,0)</f>
        <v>0</v>
      </c>
      <c r="P399" s="102">
        <f>IF(M399&gt;0,N399*100/M399,0)</f>
        <v>0</v>
      </c>
      <c r="Q399" s="102">
        <v>0</v>
      </c>
      <c r="R399" s="102">
        <v>0</v>
      </c>
      <c r="S399" s="102">
        <v>0</v>
      </c>
      <c r="T399" s="102">
        <f>IF(Q399&gt;0,S399*100/Q399,0)</f>
        <v>0</v>
      </c>
      <c r="U399" s="102">
        <f>IF(R399&gt;0,S399*100/R399,0)</f>
        <v>0</v>
      </c>
    </row>
    <row r="400" spans="1:21" ht="18.75" hidden="1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256">
        <v>0</v>
      </c>
      <c r="M400" s="255">
        <v>0</v>
      </c>
      <c r="N400" s="255">
        <v>0</v>
      </c>
      <c r="O400" s="255">
        <f>IF(L400&gt;0,N400*100/L400,0)</f>
        <v>0</v>
      </c>
      <c r="P400" s="255">
        <f>IF(M400&gt;0,N400*100/M400,0)</f>
        <v>0</v>
      </c>
      <c r="Q400" s="255">
        <v>0</v>
      </c>
      <c r="R400" s="255">
        <v>0</v>
      </c>
      <c r="S400" s="255">
        <v>0</v>
      </c>
      <c r="T400" s="255">
        <f>IF(Q400&gt;0,S400*100/Q400,0)</f>
        <v>0</v>
      </c>
      <c r="U400" s="255">
        <f>IF(R400&gt;0,S400*100/R400,0)</f>
        <v>0</v>
      </c>
    </row>
    <row r="401" spans="1:21" ht="19.5" hidden="1">
      <c r="A401" s="166"/>
      <c r="B401" s="167"/>
      <c r="C401" s="191" t="s">
        <v>18</v>
      </c>
      <c r="D401" s="560" t="s">
        <v>38</v>
      </c>
      <c r="E401" s="169"/>
      <c r="F401" s="169"/>
      <c r="G401" s="170"/>
      <c r="H401" s="206"/>
      <c r="I401" s="163"/>
      <c r="J401" s="54"/>
      <c r="K401" s="55"/>
      <c r="L401" s="62"/>
      <c r="M401" s="55"/>
      <c r="N401" s="55"/>
      <c r="O401" s="164"/>
      <c r="P401" s="164"/>
      <c r="Q401" s="55"/>
      <c r="R401" s="55"/>
      <c r="S401" s="55"/>
      <c r="T401" s="164"/>
      <c r="U401" s="164"/>
    </row>
    <row r="402" spans="1:21" ht="12.75" hidden="1">
      <c r="A402" s="258"/>
      <c r="B402" s="259"/>
      <c r="C402" s="259"/>
      <c r="D402" s="259"/>
      <c r="E402" s="260"/>
      <c r="F402" s="260"/>
      <c r="G402" s="261"/>
      <c r="H402" s="262"/>
      <c r="I402" s="263"/>
      <c r="J402" s="263"/>
      <c r="K402" s="264"/>
      <c r="L402" s="265"/>
      <c r="M402" s="264"/>
      <c r="N402" s="264"/>
      <c r="O402" s="264"/>
      <c r="P402" s="264"/>
      <c r="Q402" s="264"/>
      <c r="R402" s="264"/>
      <c r="S402" s="264"/>
      <c r="T402" s="264"/>
      <c r="U402" s="264"/>
    </row>
    <row r="403" spans="1:21" ht="12.75" hidden="1">
      <c r="A403" s="259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5"/>
      <c r="M403" s="264"/>
      <c r="N403" s="264"/>
      <c r="O403" s="264"/>
      <c r="P403" s="264"/>
      <c r="Q403" s="264"/>
      <c r="R403" s="264"/>
      <c r="S403" s="264"/>
      <c r="T403" s="264"/>
      <c r="U403" s="264"/>
    </row>
    <row r="404" spans="1:21" ht="12.75" hidden="1">
      <c r="A404" s="259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5"/>
      <c r="M404" s="264"/>
      <c r="N404" s="264"/>
      <c r="O404" s="264"/>
      <c r="P404" s="264"/>
      <c r="Q404" s="264"/>
      <c r="R404" s="264"/>
      <c r="S404" s="264"/>
      <c r="T404" s="264"/>
      <c r="U404" s="264"/>
    </row>
    <row r="405" spans="1:21" ht="12.75" hidden="1">
      <c r="A405" s="259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5"/>
      <c r="M405" s="264"/>
      <c r="N405" s="264"/>
      <c r="O405" s="264"/>
      <c r="P405" s="264"/>
      <c r="Q405" s="264"/>
      <c r="R405" s="264"/>
      <c r="S405" s="264"/>
      <c r="T405" s="264"/>
      <c r="U405" s="264"/>
    </row>
    <row r="406" spans="1:21" ht="12.75" hidden="1">
      <c r="A406" s="259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5"/>
      <c r="M406" s="264"/>
      <c r="N406" s="264"/>
      <c r="O406" s="264"/>
      <c r="P406" s="264"/>
      <c r="Q406" s="264"/>
      <c r="R406" s="264"/>
      <c r="S406" s="264"/>
      <c r="T406" s="264"/>
      <c r="U406" s="264"/>
    </row>
    <row r="407" spans="1:21" ht="12.75" hidden="1">
      <c r="A407" s="259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5"/>
      <c r="M407" s="264"/>
      <c r="N407" s="264"/>
      <c r="O407" s="264"/>
      <c r="P407" s="264"/>
      <c r="Q407" s="264"/>
      <c r="R407" s="264"/>
      <c r="S407" s="264"/>
      <c r="T407" s="264"/>
      <c r="U407" s="264"/>
    </row>
    <row r="408" spans="1:21" ht="12.75" hidden="1">
      <c r="A408" s="259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5"/>
      <c r="M408" s="264"/>
      <c r="N408" s="264"/>
      <c r="O408" s="264"/>
      <c r="P408" s="264"/>
      <c r="Q408" s="264"/>
      <c r="R408" s="264"/>
      <c r="S408" s="264"/>
      <c r="T408" s="264"/>
      <c r="U408" s="264"/>
    </row>
    <row r="409" spans="1:21" ht="12.75" hidden="1">
      <c r="A409" s="259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5"/>
      <c r="M409" s="264"/>
      <c r="N409" s="264"/>
      <c r="O409" s="264"/>
      <c r="P409" s="264"/>
      <c r="Q409" s="264"/>
      <c r="R409" s="264"/>
      <c r="S409" s="264"/>
      <c r="T409" s="264"/>
      <c r="U409" s="264"/>
    </row>
    <row r="410" spans="1:21" ht="12.75" hidden="1">
      <c r="A410" s="259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5"/>
      <c r="M410" s="264"/>
      <c r="N410" s="264"/>
      <c r="O410" s="264"/>
      <c r="P410" s="264"/>
      <c r="Q410" s="264"/>
      <c r="R410" s="264"/>
      <c r="S410" s="264"/>
      <c r="T410" s="264"/>
      <c r="U410" s="264"/>
    </row>
    <row r="411" spans="1:21" ht="12.75" hidden="1">
      <c r="A411" s="360"/>
      <c r="B411" s="360"/>
      <c r="C411" s="360"/>
      <c r="D411" s="360"/>
      <c r="E411" s="360"/>
      <c r="F411" s="360"/>
      <c r="G411" s="361"/>
      <c r="H411" s="361"/>
      <c r="I411" s="362"/>
      <c r="J411" s="362"/>
      <c r="K411" s="363"/>
      <c r="L411" s="364"/>
      <c r="M411" s="363"/>
      <c r="N411" s="363"/>
      <c r="O411" s="363"/>
      <c r="P411" s="363"/>
      <c r="Q411" s="363"/>
      <c r="R411" s="363"/>
      <c r="S411" s="363"/>
      <c r="T411" s="363"/>
      <c r="U411" s="363"/>
    </row>
    <row r="412" spans="1:21" ht="19.5" hidden="1">
      <c r="A412" s="337"/>
      <c r="B412" s="354" t="s">
        <v>158</v>
      </c>
      <c r="C412" s="337"/>
      <c r="D412" s="337"/>
      <c r="E412" s="337"/>
      <c r="F412" s="337"/>
      <c r="G412" s="365"/>
      <c r="H412" s="366" t="s">
        <v>46</v>
      </c>
      <c r="I412" s="605">
        <f ca="1">I423</f>
        <v>0</v>
      </c>
      <c r="J412" s="605">
        <f>J423</f>
        <v>0</v>
      </c>
      <c r="K412" s="604">
        <f ca="1">IF(I412&gt;0,J412*100/I412,0)</f>
        <v>0</v>
      </c>
      <c r="L412" s="334"/>
      <c r="M412" s="333"/>
      <c r="N412" s="333"/>
      <c r="O412" s="333"/>
      <c r="P412" s="333"/>
      <c r="Q412" s="333"/>
      <c r="R412" s="333"/>
      <c r="S412" s="333"/>
      <c r="T412" s="333"/>
      <c r="U412" s="333"/>
    </row>
    <row r="413" spans="1:21" ht="19.5" hidden="1">
      <c r="A413" s="155"/>
      <c r="B413" s="188"/>
      <c r="C413" s="367" t="s">
        <v>18</v>
      </c>
      <c r="D413" s="603" t="s">
        <v>19</v>
      </c>
      <c r="E413" s="514"/>
      <c r="F413" s="514"/>
      <c r="G413" s="512"/>
      <c r="H413" s="368" t="s">
        <v>14</v>
      </c>
      <c r="I413" s="54"/>
      <c r="J413" s="54"/>
      <c r="K413" s="55"/>
      <c r="L413" s="541">
        <f>L414+L415</f>
        <v>0</v>
      </c>
      <c r="M413" s="540">
        <f>M414+M415</f>
        <v>0</v>
      </c>
      <c r="N413" s="540">
        <f>N414+N415</f>
        <v>0</v>
      </c>
      <c r="O413" s="540">
        <f>IF(L413&gt;0,N413*100/L413,0)</f>
        <v>0</v>
      </c>
      <c r="P413" s="540">
        <f>IF(M413&gt;0,N413*100/M413,0)</f>
        <v>0</v>
      </c>
      <c r="Q413" s="540">
        <f ca="1">Q414+Q415</f>
        <v>0</v>
      </c>
      <c r="R413" s="540">
        <f ca="1">R414+R415</f>
        <v>0</v>
      </c>
      <c r="S413" s="540">
        <f ca="1">S414+S415</f>
        <v>0</v>
      </c>
      <c r="T413" s="540">
        <f ca="1">IF(Q413&gt;0,S413*100/Q413,0)</f>
        <v>0</v>
      </c>
      <c r="U413" s="540">
        <f ca="1">IF(R413&gt;0,S413*100/R413,0)</f>
        <v>0</v>
      </c>
    </row>
    <row r="414" spans="1:21" ht="18.75" hidden="1">
      <c r="A414" s="155"/>
      <c r="B414" s="188"/>
      <c r="C414" s="188"/>
      <c r="D414" s="188"/>
      <c r="E414" s="358" t="s">
        <v>159</v>
      </c>
      <c r="F414" s="188"/>
      <c r="G414" s="208"/>
      <c r="H414" s="204" t="s">
        <v>14</v>
      </c>
      <c r="I414" s="54"/>
      <c r="J414" s="54"/>
      <c r="K414" s="55"/>
      <c r="L414" s="103">
        <f>L417+L420</f>
        <v>0</v>
      </c>
      <c r="M414" s="102">
        <f>M417+M420</f>
        <v>0</v>
      </c>
      <c r="N414" s="102">
        <f>N417+N420</f>
        <v>0</v>
      </c>
      <c r="O414" s="102">
        <f>IF(L414&gt;0,N414*100/L414,0)</f>
        <v>0</v>
      </c>
      <c r="P414" s="102">
        <f>IF(M414&gt;0,N414*100/M414,0)</f>
        <v>0</v>
      </c>
      <c r="Q414" s="102">
        <f>Q417+Q420</f>
        <v>0</v>
      </c>
      <c r="R414" s="102">
        <f>R417+R420</f>
        <v>0</v>
      </c>
      <c r="S414" s="102">
        <f>S417+S420</f>
        <v>0</v>
      </c>
      <c r="T414" s="102">
        <f>IF(Q414&gt;0,S414*100/Q414,0)</f>
        <v>0</v>
      </c>
      <c r="U414" s="102">
        <f>IF(R414&gt;0,S414*100/R414,0)</f>
        <v>0</v>
      </c>
    </row>
    <row r="415" spans="1:21" ht="18.75" hidden="1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256">
        <f>L418+L421</f>
        <v>0</v>
      </c>
      <c r="M415" s="255">
        <f>M418+M421</f>
        <v>0</v>
      </c>
      <c r="N415" s="255">
        <f>N418+N421</f>
        <v>0</v>
      </c>
      <c r="O415" s="255">
        <f>IF(L415&gt;0,N415*100/L415,0)</f>
        <v>0</v>
      </c>
      <c r="P415" s="255">
        <f>IF(M415&gt;0,N415*100/M415,0)</f>
        <v>0</v>
      </c>
      <c r="Q415" s="255">
        <f ca="1">Q418+Q421</f>
        <v>0</v>
      </c>
      <c r="R415" s="255">
        <f ca="1">R418+R421</f>
        <v>0</v>
      </c>
      <c r="S415" s="255">
        <f ca="1">S418+S421</f>
        <v>0</v>
      </c>
      <c r="T415" s="255">
        <f ca="1">IF(Q415&gt;0,S415*100/Q415,0)</f>
        <v>0</v>
      </c>
      <c r="U415" s="255">
        <f ca="1">IF(R415&gt;0,S415*100/R415,0)</f>
        <v>0</v>
      </c>
    </row>
    <row r="416" spans="1:21" ht="19.5" hidden="1">
      <c r="A416" s="155"/>
      <c r="B416" s="188"/>
      <c r="C416" s="188"/>
      <c r="D416" s="608" t="s">
        <v>22</v>
      </c>
      <c r="E416" s="188"/>
      <c r="F416" s="188"/>
      <c r="G416" s="208"/>
      <c r="H416" s="368" t="s">
        <v>14</v>
      </c>
      <c r="I416" s="54"/>
      <c r="J416" s="54"/>
      <c r="K416" s="55"/>
      <c r="L416" s="256">
        <f>L417+L418</f>
        <v>0</v>
      </c>
      <c r="M416" s="255">
        <f>M417+M418</f>
        <v>0</v>
      </c>
      <c r="N416" s="255">
        <f>N417+N418</f>
        <v>0</v>
      </c>
      <c r="O416" s="255">
        <f>IF(L416&gt;0,N416*100/L416,0)</f>
        <v>0</v>
      </c>
      <c r="P416" s="255">
        <f>IF(M416&gt;0,N416*100/M416,0)</f>
        <v>0</v>
      </c>
      <c r="Q416" s="255">
        <f ca="1">Q417+Q418</f>
        <v>0</v>
      </c>
      <c r="R416" s="255">
        <f ca="1">R417+R418</f>
        <v>0</v>
      </c>
      <c r="S416" s="255">
        <f ca="1">S417+S418</f>
        <v>0</v>
      </c>
      <c r="T416" s="255">
        <f ca="1">IF(Q416&gt;0,S416*100/Q416,0)</f>
        <v>0</v>
      </c>
      <c r="U416" s="255">
        <f ca="1">IF(R416&gt;0,S416*100/R416,0)</f>
        <v>0</v>
      </c>
    </row>
    <row r="417" spans="1:21" ht="18.75" hidden="1">
      <c r="A417" s="155"/>
      <c r="B417" s="188"/>
      <c r="C417" s="188"/>
      <c r="D417" s="188"/>
      <c r="E417" s="358" t="s">
        <v>159</v>
      </c>
      <c r="F417" s="188"/>
      <c r="G417" s="208"/>
      <c r="H417" s="204" t="s">
        <v>14</v>
      </c>
      <c r="I417" s="54"/>
      <c r="J417" s="54"/>
      <c r="K417" s="55"/>
      <c r="L417" s="103">
        <v>0</v>
      </c>
      <c r="M417" s="102">
        <v>0</v>
      </c>
      <c r="N417" s="102">
        <v>0</v>
      </c>
      <c r="O417" s="102">
        <f>IF(L417&gt;0,N417*100/L417,0)</f>
        <v>0</v>
      </c>
      <c r="P417" s="102">
        <f>IF(M417&gt;0,N417*100/M417,0)</f>
        <v>0</v>
      </c>
      <c r="Q417" s="102">
        <v>0</v>
      </c>
      <c r="R417" s="102">
        <v>0</v>
      </c>
      <c r="S417" s="102">
        <v>0</v>
      </c>
      <c r="T417" s="102">
        <f>IF(Q417&gt;0,S417*100/Q417,0)</f>
        <v>0</v>
      </c>
      <c r="U417" s="102">
        <f>IF(R417&gt;0,S417*100/R417,0)</f>
        <v>0</v>
      </c>
    </row>
    <row r="418" spans="1:21" ht="18.75" hidden="1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256">
        <v>0</v>
      </c>
      <c r="M418" s="255">
        <v>0</v>
      </c>
      <c r="N418" s="255">
        <v>0</v>
      </c>
      <c r="O418" s="255">
        <f>IF(L418&gt;0,N418*100/L418,0)</f>
        <v>0</v>
      </c>
      <c r="P418" s="255">
        <f>IF(M418&gt;0,N418*100/M418,0)</f>
        <v>0</v>
      </c>
      <c r="Q418" s="255">
        <f ca="1">IFERROR(__xludf.DUMMYFUNCTION("IMPORTRANGE(""https://docs.google.com/spreadsheets/d/1ItG2mGa2ceCfYo0BwxsXqNm01IGEUdYcSSLTEv9YCik/edit?usp=sharing"",""เบิกจ่ายกองทุน!BH49"")"),0)</f>
        <v>0</v>
      </c>
      <c r="R418" s="255">
        <f ca="1">IFERROR(__xludf.DUMMYFUNCTION("IMPORTRANGE(""https://docs.google.com/spreadsheets/d/1ItG2mGa2ceCfYo0BwxsXqNm01IGEUdYcSSLTEv9YCik/edit?usp=sharing"",""เบิกจ่ายกองทุน!BI49"")"),0)</f>
        <v>0</v>
      </c>
      <c r="S418" s="255">
        <f ca="1">IFERROR(__xludf.DUMMYFUNCTION("IMPORTRANGE(""https://docs.google.com/spreadsheets/d/1ItG2mGa2ceCfYo0BwxsXqNm01IGEUdYcSSLTEv9YCik/edit?usp=sharing"",""เบิกจ่ายกองทุน!BJ49"")"),0)</f>
        <v>0</v>
      </c>
      <c r="T418" s="255">
        <f ca="1">IF(Q418&gt;0,S418*100/Q418,0)</f>
        <v>0</v>
      </c>
      <c r="U418" s="255">
        <f ca="1">IF(R418&gt;0,S418*100/R418,0)</f>
        <v>0</v>
      </c>
    </row>
    <row r="419" spans="1:21" ht="19.5" hidden="1">
      <c r="A419" s="155"/>
      <c r="B419" s="188"/>
      <c r="C419" s="188"/>
      <c r="D419" s="608" t="s">
        <v>23</v>
      </c>
      <c r="E419" s="188"/>
      <c r="F419" s="188"/>
      <c r="G419" s="208"/>
      <c r="H419" s="158" t="s">
        <v>14</v>
      </c>
      <c r="I419" s="54"/>
      <c r="J419" s="54"/>
      <c r="K419" s="55"/>
      <c r="L419" s="256">
        <f>L420+L421</f>
        <v>0</v>
      </c>
      <c r="M419" s="255">
        <f>M420+M421</f>
        <v>0</v>
      </c>
      <c r="N419" s="255">
        <f>N420+N421</f>
        <v>0</v>
      </c>
      <c r="O419" s="255">
        <f>IF(L419&gt;0,N419*100/L419,0)</f>
        <v>0</v>
      </c>
      <c r="P419" s="255">
        <f>IF(M419&gt;0,N419*100/M419,0)</f>
        <v>0</v>
      </c>
      <c r="Q419" s="255">
        <f>Q420+Q421</f>
        <v>0</v>
      </c>
      <c r="R419" s="255">
        <f>R420+R421</f>
        <v>0</v>
      </c>
      <c r="S419" s="255">
        <f>S420+S421</f>
        <v>0</v>
      </c>
      <c r="T419" s="255">
        <f>IF(Q419&gt;0,S419*100/Q419,0)</f>
        <v>0</v>
      </c>
      <c r="U419" s="255">
        <f>IF(R419&gt;0,S419*100/R419,0)</f>
        <v>0</v>
      </c>
    </row>
    <row r="420" spans="1:21" ht="18.75" hidden="1">
      <c r="A420" s="155"/>
      <c r="B420" s="188"/>
      <c r="C420" s="188"/>
      <c r="D420" s="188"/>
      <c r="E420" s="358" t="s">
        <v>20</v>
      </c>
      <c r="F420" s="188"/>
      <c r="G420" s="208"/>
      <c r="H420" s="204" t="s">
        <v>14</v>
      </c>
      <c r="I420" s="54"/>
      <c r="J420" s="54"/>
      <c r="K420" s="55"/>
      <c r="L420" s="103">
        <v>0</v>
      </c>
      <c r="M420" s="102">
        <v>0</v>
      </c>
      <c r="N420" s="102">
        <v>0</v>
      </c>
      <c r="O420" s="102">
        <f>IF(L420&gt;0,N420*100/L420,0)</f>
        <v>0</v>
      </c>
      <c r="P420" s="102">
        <f>IF(M420&gt;0,N420*100/M420,0)</f>
        <v>0</v>
      </c>
      <c r="Q420" s="102">
        <v>0</v>
      </c>
      <c r="R420" s="102">
        <v>0</v>
      </c>
      <c r="S420" s="102">
        <v>0</v>
      </c>
      <c r="T420" s="102">
        <f>IF(Q420&gt;0,S420*100/Q420,0)</f>
        <v>0</v>
      </c>
      <c r="U420" s="102">
        <f>IF(R420&gt;0,S420*100/R420,0)</f>
        <v>0</v>
      </c>
    </row>
    <row r="421" spans="1:21" ht="18.75" hidden="1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256">
        <v>0</v>
      </c>
      <c r="M421" s="255">
        <v>0</v>
      </c>
      <c r="N421" s="255">
        <v>0</v>
      </c>
      <c r="O421" s="255">
        <f>IF(L421&gt;0,N421*100/L421,0)</f>
        <v>0</v>
      </c>
      <c r="P421" s="255">
        <f>IF(M421&gt;0,N421*100/M421,0)</f>
        <v>0</v>
      </c>
      <c r="Q421" s="255">
        <v>0</v>
      </c>
      <c r="R421" s="255">
        <v>0</v>
      </c>
      <c r="S421" s="255">
        <v>0</v>
      </c>
      <c r="T421" s="255">
        <f>IF(Q421&gt;0,S421*100/Q421,0)</f>
        <v>0</v>
      </c>
      <c r="U421" s="255">
        <f>IF(R421&gt;0,S421*100/R421,0)</f>
        <v>0</v>
      </c>
    </row>
    <row r="422" spans="1:21" ht="19.5" hidden="1">
      <c r="A422" s="238"/>
      <c r="B422" s="188"/>
      <c r="C422" s="367" t="s">
        <v>18</v>
      </c>
      <c r="D422" s="607" t="s">
        <v>38</v>
      </c>
      <c r="E422" s="188"/>
      <c r="F422" s="188"/>
      <c r="G422" s="208"/>
      <c r="H422" s="208"/>
      <c r="I422" s="54"/>
      <c r="J422" s="54"/>
      <c r="K422" s="55"/>
      <c r="L422" s="62"/>
      <c r="M422" s="55"/>
      <c r="N422" s="55"/>
      <c r="O422" s="55"/>
      <c r="P422" s="55"/>
      <c r="Q422" s="55"/>
      <c r="R422" s="55"/>
      <c r="S422" s="55"/>
      <c r="T422" s="55"/>
      <c r="U422" s="55"/>
    </row>
    <row r="423" spans="1:21" ht="19.5" hidden="1">
      <c r="A423" s="238"/>
      <c r="B423" s="191" t="s">
        <v>161</v>
      </c>
      <c r="C423" s="188"/>
      <c r="D423" s="188"/>
      <c r="E423" s="188"/>
      <c r="F423" s="188"/>
      <c r="G423" s="208"/>
      <c r="H423" s="368" t="s">
        <v>46</v>
      </c>
      <c r="I423" s="373">
        <f ca="1">I440</f>
        <v>0</v>
      </c>
      <c r="J423" s="373">
        <f>J440</f>
        <v>0</v>
      </c>
      <c r="K423" s="540">
        <f ca="1">IF(I423&gt;0,J423*100/I423,0)</f>
        <v>0</v>
      </c>
      <c r="L423" s="62"/>
      <c r="M423" s="55"/>
      <c r="N423" s="55"/>
      <c r="O423" s="55"/>
      <c r="P423" s="55"/>
      <c r="Q423" s="55"/>
      <c r="R423" s="55"/>
      <c r="S423" s="55"/>
      <c r="T423" s="55"/>
      <c r="U423" s="55"/>
    </row>
    <row r="424" spans="1:21" ht="19.5" hidden="1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373">
        <f ca="1">IFERROR(__xludf.DUMMYFUNCTION("IMPORTRANGE(""https://docs.google.com/spreadsheets/d/1eHaY18a8A9IcSdp1K8H6x8fbOy06t2VsZHhMHf-1x7Y/edit?usp=sharing"",""แผน!HJ49"")"),0)</f>
        <v>0</v>
      </c>
      <c r="J424" s="373">
        <f>J426+J428+J430</f>
        <v>0</v>
      </c>
      <c r="K424" s="540">
        <f ca="1">IF(I424&gt;0,J424*100/I424,0)</f>
        <v>0</v>
      </c>
      <c r="L424" s="62"/>
      <c r="M424" s="55"/>
      <c r="N424" s="55"/>
      <c r="O424" s="55"/>
      <c r="P424" s="55"/>
      <c r="Q424" s="55"/>
      <c r="R424" s="55"/>
      <c r="S424" s="55"/>
      <c r="T424" s="55"/>
      <c r="U424" s="55"/>
    </row>
    <row r="425" spans="1:21" ht="19.5" hidden="1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373">
        <f ca="1">IFERROR(__xludf.DUMMYFUNCTION("IMPORTRANGE(""https://docs.google.com/spreadsheets/d/1eHaY18a8A9IcSdp1K8H6x8fbOy06t2VsZHhMHf-1x7Y/edit?usp=sharing"",""แผน!HK49"")"),0)</f>
        <v>0</v>
      </c>
      <c r="J425" s="373">
        <f>J427+J429+J431</f>
        <v>0</v>
      </c>
      <c r="K425" s="540">
        <f ca="1">IF(I425&gt;0,J425*100/I425,0)</f>
        <v>0</v>
      </c>
      <c r="L425" s="62"/>
      <c r="M425" s="55"/>
      <c r="N425" s="55"/>
      <c r="O425" s="55"/>
      <c r="P425" s="55"/>
      <c r="Q425" s="55"/>
      <c r="R425" s="55"/>
      <c r="S425" s="55"/>
      <c r="T425" s="55"/>
      <c r="U425" s="55"/>
    </row>
    <row r="426" spans="1:21" ht="18.75" hidden="1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54"/>
      <c r="K426" s="55"/>
      <c r="L426" s="62"/>
      <c r="M426" s="55"/>
      <c r="N426" s="55"/>
      <c r="O426" s="55"/>
      <c r="P426" s="55"/>
      <c r="Q426" s="55"/>
      <c r="R426" s="55"/>
      <c r="S426" s="55"/>
      <c r="T426" s="55"/>
      <c r="U426" s="55"/>
    </row>
    <row r="427" spans="1:21" ht="18.75" hidden="1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54"/>
      <c r="K427" s="55"/>
      <c r="L427" s="62"/>
      <c r="M427" s="55"/>
      <c r="N427" s="55"/>
      <c r="O427" s="55"/>
      <c r="P427" s="55"/>
      <c r="Q427" s="55"/>
      <c r="R427" s="55"/>
      <c r="S427" s="55"/>
      <c r="T427" s="55"/>
      <c r="U427" s="55"/>
    </row>
    <row r="428" spans="1:21" ht="18.75" hidden="1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54"/>
      <c r="K428" s="55"/>
      <c r="L428" s="62"/>
      <c r="M428" s="55"/>
      <c r="N428" s="55"/>
      <c r="O428" s="55"/>
      <c r="P428" s="55"/>
      <c r="Q428" s="55"/>
      <c r="R428" s="55"/>
      <c r="S428" s="55"/>
      <c r="T428" s="55"/>
      <c r="U428" s="55"/>
    </row>
    <row r="429" spans="1:21" ht="18.75" hidden="1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54"/>
      <c r="K429" s="55"/>
      <c r="L429" s="62"/>
      <c r="M429" s="55"/>
      <c r="N429" s="55"/>
      <c r="O429" s="55"/>
      <c r="P429" s="55"/>
      <c r="Q429" s="55"/>
      <c r="R429" s="55"/>
      <c r="S429" s="55"/>
      <c r="T429" s="55"/>
      <c r="U429" s="55"/>
    </row>
    <row r="430" spans="1:21" ht="18.75" hidden="1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54"/>
      <c r="K430" s="55"/>
      <c r="L430" s="62"/>
      <c r="M430" s="55"/>
      <c r="N430" s="55"/>
      <c r="O430" s="55"/>
      <c r="P430" s="55"/>
      <c r="Q430" s="55"/>
      <c r="R430" s="55"/>
      <c r="S430" s="55"/>
      <c r="T430" s="55"/>
      <c r="U430" s="55"/>
    </row>
    <row r="431" spans="1:21" ht="18.75" hidden="1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54"/>
      <c r="K431" s="55"/>
      <c r="L431" s="62"/>
      <c r="M431" s="55"/>
      <c r="N431" s="55"/>
      <c r="O431" s="55"/>
      <c r="P431" s="55"/>
      <c r="Q431" s="55"/>
      <c r="R431" s="55"/>
      <c r="S431" s="55"/>
      <c r="T431" s="55"/>
      <c r="U431" s="55"/>
    </row>
    <row r="432" spans="1:21" ht="19.5" hidden="1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373">
        <f ca="1">IFERROR(__xludf.DUMMYFUNCTION("IMPORTRANGE(""https://docs.google.com/spreadsheets/d/1eHaY18a8A9IcSdp1K8H6x8fbOy06t2VsZHhMHf-1x7Y/edit?usp=sharing"",""แผน!HJ49"")"),0)</f>
        <v>0</v>
      </c>
      <c r="J432" s="373">
        <f>J434+J436+J438</f>
        <v>0</v>
      </c>
      <c r="K432" s="540">
        <f ca="1">IF(I432&gt;0,J432*100/I432,0)</f>
        <v>0</v>
      </c>
      <c r="L432" s="62"/>
      <c r="M432" s="55"/>
      <c r="N432" s="55"/>
      <c r="O432" s="55"/>
      <c r="P432" s="55"/>
      <c r="Q432" s="55"/>
      <c r="R432" s="55"/>
      <c r="S432" s="55"/>
      <c r="T432" s="55"/>
      <c r="U432" s="55"/>
    </row>
    <row r="433" spans="1:21" ht="19.5" hidden="1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373">
        <f ca="1">IFERROR(__xludf.DUMMYFUNCTION("IMPORTRANGE(""https://docs.google.com/spreadsheets/d/1eHaY18a8A9IcSdp1K8H6x8fbOy06t2VsZHhMHf-1x7Y/edit?usp=sharing"",""แผน!HK49"")"),0)</f>
        <v>0</v>
      </c>
      <c r="J433" s="373">
        <f>J435+J437+J439</f>
        <v>0</v>
      </c>
      <c r="K433" s="540">
        <f ca="1">IF(I433&gt;0,J433*100/I433,0)</f>
        <v>0</v>
      </c>
      <c r="L433" s="62"/>
      <c r="M433" s="55"/>
      <c r="N433" s="55"/>
      <c r="O433" s="55"/>
      <c r="P433" s="55"/>
      <c r="Q433" s="55"/>
      <c r="R433" s="55"/>
      <c r="S433" s="55"/>
      <c r="T433" s="55"/>
      <c r="U433" s="55"/>
    </row>
    <row r="434" spans="1:21" ht="18.75" hidden="1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54"/>
      <c r="K434" s="55"/>
      <c r="L434" s="62"/>
      <c r="M434" s="55"/>
      <c r="N434" s="55"/>
      <c r="O434" s="55"/>
      <c r="P434" s="55"/>
      <c r="Q434" s="55"/>
      <c r="R434" s="55"/>
      <c r="S434" s="55"/>
      <c r="T434" s="55"/>
      <c r="U434" s="55"/>
    </row>
    <row r="435" spans="1:21" ht="18.75" hidden="1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54"/>
      <c r="K435" s="55"/>
      <c r="L435" s="62"/>
      <c r="M435" s="55"/>
      <c r="N435" s="55"/>
      <c r="O435" s="55"/>
      <c r="P435" s="55"/>
      <c r="Q435" s="55"/>
      <c r="R435" s="55"/>
      <c r="S435" s="55"/>
      <c r="T435" s="55"/>
      <c r="U435" s="55"/>
    </row>
    <row r="436" spans="1:21" ht="18.75" hidden="1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54"/>
      <c r="K436" s="55"/>
      <c r="L436" s="62"/>
      <c r="M436" s="55"/>
      <c r="N436" s="55"/>
      <c r="O436" s="55"/>
      <c r="P436" s="55"/>
      <c r="Q436" s="55"/>
      <c r="R436" s="55"/>
      <c r="S436" s="55"/>
      <c r="T436" s="55"/>
      <c r="U436" s="55"/>
    </row>
    <row r="437" spans="1:21" ht="18.75" hidden="1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54"/>
      <c r="K437" s="55"/>
      <c r="L437" s="62"/>
      <c r="M437" s="55"/>
      <c r="N437" s="55"/>
      <c r="O437" s="55"/>
      <c r="P437" s="55"/>
      <c r="Q437" s="55"/>
      <c r="R437" s="55"/>
      <c r="S437" s="55"/>
      <c r="T437" s="55"/>
      <c r="U437" s="55"/>
    </row>
    <row r="438" spans="1:21" ht="18.75" hidden="1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54"/>
      <c r="K438" s="55"/>
      <c r="L438" s="62"/>
      <c r="M438" s="55"/>
      <c r="N438" s="55"/>
      <c r="O438" s="55"/>
      <c r="P438" s="55"/>
      <c r="Q438" s="55"/>
      <c r="R438" s="55"/>
      <c r="S438" s="55"/>
      <c r="T438" s="55"/>
      <c r="U438" s="55"/>
    </row>
    <row r="439" spans="1:21" ht="18.75" hidden="1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54"/>
      <c r="K439" s="55"/>
      <c r="L439" s="62"/>
      <c r="M439" s="55"/>
      <c r="N439" s="55"/>
      <c r="O439" s="55"/>
      <c r="P439" s="55"/>
      <c r="Q439" s="55"/>
      <c r="R439" s="55"/>
      <c r="S439" s="55"/>
      <c r="T439" s="55"/>
      <c r="U439" s="55"/>
    </row>
    <row r="440" spans="1:21" ht="19.5" hidden="1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373">
        <f ca="1">IFERROR(__xludf.DUMMYFUNCTION("IMPORTRANGE(""https://docs.google.com/spreadsheets/d/1eHaY18a8A9IcSdp1K8H6x8fbOy06t2VsZHhMHf-1x7Y/edit?usp=sharing"",""แผน!HJ49"")"),0)</f>
        <v>0</v>
      </c>
      <c r="J440" s="373">
        <f>J442+J444+J446+J452+J454</f>
        <v>0</v>
      </c>
      <c r="K440" s="540">
        <f ca="1">IF(I440&gt;0,J440*100/I440,0)</f>
        <v>0</v>
      </c>
      <c r="L440" s="62"/>
      <c r="M440" s="55"/>
      <c r="N440" s="55"/>
      <c r="O440" s="55"/>
      <c r="P440" s="55"/>
      <c r="Q440" s="55"/>
      <c r="R440" s="55"/>
      <c r="S440" s="55"/>
      <c r="T440" s="55"/>
      <c r="U440" s="55"/>
    </row>
    <row r="441" spans="1:21" ht="19.5" hidden="1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373">
        <f ca="1">IFERROR(__xludf.DUMMYFUNCTION("IMPORTRANGE(""https://docs.google.com/spreadsheets/d/1eHaY18a8A9IcSdp1K8H6x8fbOy06t2VsZHhMHf-1x7Y/edit?usp=sharing"",""แผน!HK49"")"),0)</f>
        <v>0</v>
      </c>
      <c r="J441" s="373">
        <f>J443+J445+J447+J453+J455</f>
        <v>0</v>
      </c>
      <c r="K441" s="540">
        <f ca="1">IF(I441&gt;0,J441*100/I441,0)</f>
        <v>0</v>
      </c>
      <c r="L441" s="62"/>
      <c r="M441" s="55"/>
      <c r="N441" s="55"/>
      <c r="O441" s="55"/>
      <c r="P441" s="55"/>
      <c r="Q441" s="55"/>
      <c r="R441" s="55"/>
      <c r="S441" s="55"/>
      <c r="T441" s="55"/>
      <c r="U441" s="55"/>
    </row>
    <row r="442" spans="1:21" ht="18.75" hidden="1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54"/>
      <c r="K442" s="55"/>
      <c r="L442" s="62"/>
      <c r="M442" s="55"/>
      <c r="N442" s="55"/>
      <c r="O442" s="55"/>
      <c r="P442" s="55"/>
      <c r="Q442" s="55"/>
      <c r="R442" s="55"/>
      <c r="S442" s="55"/>
      <c r="T442" s="55"/>
      <c r="U442" s="55"/>
    </row>
    <row r="443" spans="1:21" ht="18.75" hidden="1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54"/>
      <c r="K443" s="55"/>
      <c r="L443" s="62"/>
      <c r="M443" s="55"/>
      <c r="N443" s="55"/>
      <c r="O443" s="55"/>
      <c r="P443" s="55"/>
      <c r="Q443" s="55"/>
      <c r="R443" s="55"/>
      <c r="S443" s="55"/>
      <c r="T443" s="55"/>
      <c r="U443" s="55"/>
    </row>
    <row r="444" spans="1:21" ht="18.75" hidden="1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54"/>
      <c r="K444" s="55"/>
      <c r="L444" s="62"/>
      <c r="M444" s="55"/>
      <c r="N444" s="55"/>
      <c r="O444" s="55"/>
      <c r="P444" s="55"/>
      <c r="Q444" s="55"/>
      <c r="R444" s="55"/>
      <c r="S444" s="55"/>
      <c r="T444" s="55"/>
      <c r="U444" s="55"/>
    </row>
    <row r="445" spans="1:21" ht="18.75" hidden="1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54"/>
      <c r="K445" s="55"/>
      <c r="L445" s="62"/>
      <c r="M445" s="55"/>
      <c r="N445" s="55"/>
      <c r="O445" s="55"/>
      <c r="P445" s="55"/>
      <c r="Q445" s="55"/>
      <c r="R445" s="55"/>
      <c r="S445" s="55"/>
      <c r="T445" s="55"/>
      <c r="U445" s="55"/>
    </row>
    <row r="446" spans="1:21" ht="19.5" hidden="1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373">
        <f>J448+J450</f>
        <v>0</v>
      </c>
      <c r="K446" s="55"/>
      <c r="L446" s="62"/>
      <c r="M446" s="55"/>
      <c r="N446" s="55"/>
      <c r="O446" s="55"/>
      <c r="P446" s="55"/>
      <c r="Q446" s="55"/>
      <c r="R446" s="55"/>
      <c r="S446" s="55"/>
      <c r="T446" s="55"/>
      <c r="U446" s="55"/>
    </row>
    <row r="447" spans="1:21" ht="19.5" hidden="1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373">
        <f>J449+J451</f>
        <v>0</v>
      </c>
      <c r="K447" s="55"/>
      <c r="L447" s="62"/>
      <c r="M447" s="55"/>
      <c r="N447" s="55"/>
      <c r="O447" s="55"/>
      <c r="P447" s="55"/>
      <c r="Q447" s="55"/>
      <c r="R447" s="55"/>
      <c r="S447" s="55"/>
      <c r="T447" s="55"/>
      <c r="U447" s="55"/>
    </row>
    <row r="448" spans="1:21" ht="18.75" hidden="1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54"/>
      <c r="K448" s="55"/>
      <c r="L448" s="62"/>
      <c r="M448" s="55"/>
      <c r="N448" s="55"/>
      <c r="O448" s="55"/>
      <c r="P448" s="55"/>
      <c r="Q448" s="55"/>
      <c r="R448" s="55"/>
      <c r="S448" s="55"/>
      <c r="T448" s="55"/>
      <c r="U448" s="55"/>
    </row>
    <row r="449" spans="1:21" ht="18.75" hidden="1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54"/>
      <c r="K449" s="55"/>
      <c r="L449" s="62"/>
      <c r="M449" s="55"/>
      <c r="N449" s="55"/>
      <c r="O449" s="55"/>
      <c r="P449" s="55"/>
      <c r="Q449" s="55"/>
      <c r="R449" s="55"/>
      <c r="S449" s="55"/>
      <c r="T449" s="55"/>
      <c r="U449" s="55"/>
    </row>
    <row r="450" spans="1:21" ht="18.75" hidden="1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54"/>
      <c r="K450" s="55"/>
      <c r="L450" s="62"/>
      <c r="M450" s="55"/>
      <c r="N450" s="55"/>
      <c r="O450" s="55"/>
      <c r="P450" s="55"/>
      <c r="Q450" s="55"/>
      <c r="R450" s="55"/>
      <c r="S450" s="55"/>
      <c r="T450" s="55"/>
      <c r="U450" s="55"/>
    </row>
    <row r="451" spans="1:21" ht="18.75" hidden="1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54"/>
      <c r="K451" s="55"/>
      <c r="L451" s="62"/>
      <c r="M451" s="55"/>
      <c r="N451" s="55"/>
      <c r="O451" s="55"/>
      <c r="P451" s="55"/>
      <c r="Q451" s="55"/>
      <c r="R451" s="55"/>
      <c r="S451" s="55"/>
      <c r="T451" s="55"/>
      <c r="U451" s="55"/>
    </row>
    <row r="452" spans="1:21" ht="18.75" hidden="1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54"/>
      <c r="K452" s="55"/>
      <c r="L452" s="62"/>
      <c r="M452" s="55"/>
      <c r="N452" s="55"/>
      <c r="O452" s="55"/>
      <c r="P452" s="55"/>
      <c r="Q452" s="55"/>
      <c r="R452" s="55"/>
      <c r="S452" s="55"/>
      <c r="T452" s="55"/>
      <c r="U452" s="55"/>
    </row>
    <row r="453" spans="1:21" ht="18.75" hidden="1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54"/>
      <c r="K453" s="55"/>
      <c r="L453" s="62"/>
      <c r="M453" s="55"/>
      <c r="N453" s="55"/>
      <c r="O453" s="55"/>
      <c r="P453" s="55"/>
      <c r="Q453" s="55"/>
      <c r="R453" s="55"/>
      <c r="S453" s="55"/>
      <c r="T453" s="55"/>
      <c r="U453" s="55"/>
    </row>
    <row r="454" spans="1:21" ht="18.75" hidden="1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606"/>
      <c r="K454" s="55"/>
      <c r="L454" s="62"/>
      <c r="M454" s="55"/>
      <c r="N454" s="55"/>
      <c r="O454" s="55"/>
      <c r="P454" s="55"/>
      <c r="Q454" s="55"/>
      <c r="R454" s="55"/>
      <c r="S454" s="55"/>
      <c r="T454" s="55"/>
      <c r="U454" s="55"/>
    </row>
    <row r="455" spans="1:21" ht="18.75" hidden="1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54"/>
      <c r="K455" s="55"/>
      <c r="L455" s="62"/>
      <c r="M455" s="55"/>
      <c r="N455" s="55"/>
      <c r="O455" s="55"/>
      <c r="P455" s="55"/>
      <c r="Q455" s="55"/>
      <c r="R455" s="55"/>
      <c r="S455" s="55"/>
      <c r="T455" s="55"/>
      <c r="U455" s="55"/>
    </row>
    <row r="456" spans="1:21" ht="19.5" hidden="1">
      <c r="A456" s="238"/>
      <c r="B456" s="191" t="s">
        <v>178</v>
      </c>
      <c r="C456" s="188"/>
      <c r="D456" s="188"/>
      <c r="E456" s="188"/>
      <c r="F456" s="188"/>
      <c r="G456" s="208"/>
      <c r="H456" s="368" t="s">
        <v>46</v>
      </c>
      <c r="I456" s="373">
        <f ca="1">I457</f>
        <v>0</v>
      </c>
      <c r="J456" s="373">
        <f>J457</f>
        <v>0</v>
      </c>
      <c r="K456" s="540">
        <f ca="1">IF(I456&gt;0,J456*100/I456,0)</f>
        <v>0</v>
      </c>
      <c r="L456" s="62"/>
      <c r="M456" s="55"/>
      <c r="N456" s="55"/>
      <c r="O456" s="55"/>
      <c r="P456" s="55"/>
      <c r="Q456" s="55"/>
      <c r="R456" s="55"/>
      <c r="S456" s="55"/>
      <c r="T456" s="55"/>
      <c r="U456" s="55"/>
    </row>
    <row r="457" spans="1:21" ht="19.5" hidden="1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373">
        <f ca="1">IFERROR(__xludf.DUMMYFUNCTION("IMPORTRANGE(""https://docs.google.com/spreadsheets/d/1eHaY18a8A9IcSdp1K8H6x8fbOy06t2VsZHhMHf-1x7Y/edit?usp=sharing"",""แผน!HL49"")"),0)</f>
        <v>0</v>
      </c>
      <c r="J457" s="373">
        <f>J459+J467+J473</f>
        <v>0</v>
      </c>
      <c r="K457" s="540">
        <f ca="1">IF(I457&gt;0,J457*100/I457,0)</f>
        <v>0</v>
      </c>
      <c r="L457" s="62"/>
      <c r="M457" s="55"/>
      <c r="N457" s="55"/>
      <c r="O457" s="55"/>
      <c r="P457" s="55"/>
      <c r="Q457" s="55"/>
      <c r="R457" s="55"/>
      <c r="S457" s="55"/>
      <c r="T457" s="55"/>
      <c r="U457" s="55"/>
    </row>
    <row r="458" spans="1:21" ht="19.5" hidden="1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373">
        <f ca="1">IFERROR(__xludf.DUMMYFUNCTION("IMPORTRANGE(""https://docs.google.com/spreadsheets/d/1eHaY18a8A9IcSdp1K8H6x8fbOy06t2VsZHhMHf-1x7Y/edit?usp=sharing"",""แผน!HM49"")"),0)</f>
        <v>0</v>
      </c>
      <c r="J458" s="373">
        <f>J460+J468+J474</f>
        <v>0</v>
      </c>
      <c r="K458" s="540">
        <f ca="1">IF(I458&gt;0,J458*100/I458,0)</f>
        <v>0</v>
      </c>
      <c r="L458" s="62"/>
      <c r="M458" s="55"/>
      <c r="N458" s="55"/>
      <c r="O458" s="55"/>
      <c r="P458" s="55"/>
      <c r="Q458" s="55"/>
      <c r="R458" s="55"/>
      <c r="S458" s="55"/>
      <c r="T458" s="55"/>
      <c r="U458" s="55"/>
    </row>
    <row r="459" spans="1:21" ht="18.75" hidden="1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212">
        <f>J461+J463</f>
        <v>0</v>
      </c>
      <c r="K459" s="55"/>
      <c r="L459" s="62"/>
      <c r="M459" s="55"/>
      <c r="N459" s="55"/>
      <c r="O459" s="55"/>
      <c r="P459" s="55"/>
      <c r="Q459" s="55"/>
      <c r="R459" s="55"/>
      <c r="S459" s="55"/>
      <c r="T459" s="55"/>
      <c r="U459" s="55"/>
    </row>
    <row r="460" spans="1:21" ht="18.75" hidden="1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212">
        <f>J462+J464</f>
        <v>0</v>
      </c>
      <c r="K460" s="55"/>
      <c r="L460" s="62"/>
      <c r="M460" s="55"/>
      <c r="N460" s="55"/>
      <c r="O460" s="55"/>
      <c r="P460" s="55"/>
      <c r="Q460" s="55"/>
      <c r="R460" s="55"/>
      <c r="S460" s="55"/>
      <c r="T460" s="55"/>
      <c r="U460" s="55"/>
    </row>
    <row r="461" spans="1:21" ht="18.75" hidden="1">
      <c r="A461" s="238"/>
      <c r="B461" s="188"/>
      <c r="C461" s="188"/>
      <c r="D461" s="371" t="s">
        <v>181</v>
      </c>
      <c r="E461" s="188"/>
      <c r="F461" s="188"/>
      <c r="G461" s="208"/>
      <c r="H461" s="161" t="s">
        <v>46</v>
      </c>
      <c r="I461" s="54"/>
      <c r="J461" s="54"/>
      <c r="K461" s="55"/>
      <c r="L461" s="62"/>
      <c r="M461" s="55"/>
      <c r="N461" s="55"/>
      <c r="O461" s="55"/>
      <c r="P461" s="55"/>
      <c r="Q461" s="55"/>
      <c r="R461" s="55"/>
      <c r="S461" s="55"/>
      <c r="T461" s="55"/>
      <c r="U461" s="55"/>
    </row>
    <row r="462" spans="1:21" ht="18.75" hidden="1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54"/>
      <c r="K462" s="55"/>
      <c r="L462" s="62"/>
      <c r="M462" s="55"/>
      <c r="N462" s="55"/>
      <c r="O462" s="55"/>
      <c r="P462" s="55"/>
      <c r="Q462" s="55"/>
      <c r="R462" s="55"/>
      <c r="S462" s="55"/>
      <c r="T462" s="55"/>
      <c r="U462" s="55"/>
    </row>
    <row r="463" spans="1:21" ht="18.75" hidden="1">
      <c r="A463" s="238"/>
      <c r="B463" s="188"/>
      <c r="C463" s="188"/>
      <c r="D463" s="371" t="s">
        <v>182</v>
      </c>
      <c r="E463" s="188"/>
      <c r="F463" s="188"/>
      <c r="G463" s="208"/>
      <c r="H463" s="161" t="s">
        <v>46</v>
      </c>
      <c r="I463" s="54"/>
      <c r="J463" s="54"/>
      <c r="K463" s="55"/>
      <c r="L463" s="62"/>
      <c r="M463" s="55"/>
      <c r="N463" s="55"/>
      <c r="O463" s="55"/>
      <c r="P463" s="55"/>
      <c r="Q463" s="55"/>
      <c r="R463" s="55"/>
      <c r="S463" s="55"/>
      <c r="T463" s="55"/>
      <c r="U463" s="55"/>
    </row>
    <row r="464" spans="1:21" ht="18.75" hidden="1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54"/>
      <c r="K464" s="55"/>
      <c r="L464" s="62"/>
      <c r="M464" s="55"/>
      <c r="N464" s="55"/>
      <c r="O464" s="55"/>
      <c r="P464" s="55"/>
      <c r="Q464" s="55"/>
      <c r="R464" s="55"/>
      <c r="S464" s="55"/>
      <c r="T464" s="55"/>
      <c r="U464" s="55"/>
    </row>
    <row r="465" spans="1:21" ht="18.75" hidden="1">
      <c r="A465" s="238"/>
      <c r="B465" s="188"/>
      <c r="C465" s="188"/>
      <c r="D465" s="371" t="s">
        <v>183</v>
      </c>
      <c r="E465" s="188"/>
      <c r="F465" s="188"/>
      <c r="G465" s="208"/>
      <c r="H465" s="161" t="s">
        <v>46</v>
      </c>
      <c r="I465" s="54"/>
      <c r="J465" s="54"/>
      <c r="K465" s="55"/>
      <c r="L465" s="62"/>
      <c r="M465" s="55"/>
      <c r="N465" s="55"/>
      <c r="O465" s="55"/>
      <c r="P465" s="55"/>
      <c r="Q465" s="55"/>
      <c r="R465" s="55"/>
      <c r="S465" s="55"/>
      <c r="T465" s="55"/>
      <c r="U465" s="55"/>
    </row>
    <row r="466" spans="1:21" ht="18.75" hidden="1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54"/>
      <c r="K466" s="55"/>
      <c r="L466" s="62"/>
      <c r="M466" s="55"/>
      <c r="N466" s="55"/>
      <c r="O466" s="55"/>
      <c r="P466" s="55"/>
      <c r="Q466" s="55"/>
      <c r="R466" s="55"/>
      <c r="S466" s="55"/>
      <c r="T466" s="55"/>
      <c r="U466" s="55"/>
    </row>
    <row r="467" spans="1:21" ht="18.75" hidden="1">
      <c r="A467" s="238"/>
      <c r="B467" s="188"/>
      <c r="C467" s="371" t="s">
        <v>184</v>
      </c>
      <c r="D467" s="188"/>
      <c r="E467" s="188"/>
      <c r="F467" s="188"/>
      <c r="G467" s="208"/>
      <c r="H467" s="161" t="s">
        <v>46</v>
      </c>
      <c r="I467" s="54"/>
      <c r="J467" s="212">
        <f>J469+J471</f>
        <v>0</v>
      </c>
      <c r="K467" s="55"/>
      <c r="L467" s="62"/>
      <c r="M467" s="55"/>
      <c r="N467" s="55"/>
      <c r="O467" s="55"/>
      <c r="P467" s="55"/>
      <c r="Q467" s="55"/>
      <c r="R467" s="55"/>
      <c r="S467" s="55"/>
      <c r="T467" s="55"/>
      <c r="U467" s="55"/>
    </row>
    <row r="468" spans="1:21" ht="18.75" hidden="1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212">
        <f>J470+J472</f>
        <v>0</v>
      </c>
      <c r="K468" s="55"/>
      <c r="L468" s="62"/>
      <c r="M468" s="55"/>
      <c r="N468" s="55"/>
      <c r="O468" s="55"/>
      <c r="P468" s="55"/>
      <c r="Q468" s="55"/>
      <c r="R468" s="55"/>
      <c r="S468" s="55"/>
      <c r="T468" s="55"/>
      <c r="U468" s="55"/>
    </row>
    <row r="469" spans="1:21" ht="18.75" hidden="1">
      <c r="A469" s="238"/>
      <c r="B469" s="188"/>
      <c r="C469" s="188"/>
      <c r="D469" s="371" t="s">
        <v>185</v>
      </c>
      <c r="E469" s="188"/>
      <c r="F469" s="188"/>
      <c r="G469" s="208"/>
      <c r="H469" s="161" t="s">
        <v>46</v>
      </c>
      <c r="I469" s="54"/>
      <c r="J469" s="54"/>
      <c r="K469" s="55"/>
      <c r="L469" s="62"/>
      <c r="M469" s="55"/>
      <c r="N469" s="55"/>
      <c r="O469" s="55"/>
      <c r="P469" s="55"/>
      <c r="Q469" s="55"/>
      <c r="R469" s="55"/>
      <c r="S469" s="55"/>
      <c r="T469" s="55"/>
      <c r="U469" s="55"/>
    </row>
    <row r="470" spans="1:21" ht="18.75" hidden="1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54"/>
      <c r="K470" s="55"/>
      <c r="L470" s="62"/>
      <c r="M470" s="55"/>
      <c r="N470" s="55"/>
      <c r="O470" s="55"/>
      <c r="P470" s="55"/>
      <c r="Q470" s="55"/>
      <c r="R470" s="55"/>
      <c r="S470" s="55"/>
      <c r="T470" s="55"/>
      <c r="U470" s="55"/>
    </row>
    <row r="471" spans="1:21" ht="18.75" hidden="1">
      <c r="A471" s="238"/>
      <c r="B471" s="188"/>
      <c r="C471" s="188"/>
      <c r="D471" s="371" t="s">
        <v>186</v>
      </c>
      <c r="E471" s="188"/>
      <c r="F471" s="188"/>
      <c r="G471" s="208"/>
      <c r="H471" s="161" t="s">
        <v>46</v>
      </c>
      <c r="I471" s="54"/>
      <c r="J471" s="54"/>
      <c r="K471" s="55"/>
      <c r="L471" s="62"/>
      <c r="M471" s="55"/>
      <c r="N471" s="55"/>
      <c r="O471" s="55"/>
      <c r="P471" s="55"/>
      <c r="Q471" s="55"/>
      <c r="R471" s="55"/>
      <c r="S471" s="55"/>
      <c r="T471" s="55"/>
      <c r="U471" s="55"/>
    </row>
    <row r="472" spans="1:21" ht="18.75" hidden="1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54"/>
      <c r="K472" s="55"/>
      <c r="L472" s="62"/>
      <c r="M472" s="55"/>
      <c r="N472" s="55"/>
      <c r="O472" s="55"/>
      <c r="P472" s="55"/>
      <c r="Q472" s="55"/>
      <c r="R472" s="55"/>
      <c r="S472" s="55"/>
      <c r="T472" s="55"/>
      <c r="U472" s="55"/>
    </row>
    <row r="473" spans="1:21" ht="18.75" hidden="1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54"/>
      <c r="K473" s="55"/>
      <c r="L473" s="62"/>
      <c r="M473" s="55"/>
      <c r="N473" s="55"/>
      <c r="O473" s="55"/>
      <c r="P473" s="55"/>
      <c r="Q473" s="55"/>
      <c r="R473" s="55"/>
      <c r="S473" s="55"/>
      <c r="T473" s="55"/>
      <c r="U473" s="55"/>
    </row>
    <row r="474" spans="1:21" ht="18.75" hidden="1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54"/>
      <c r="K474" s="55"/>
      <c r="L474" s="62"/>
      <c r="M474" s="55"/>
      <c r="N474" s="55"/>
      <c r="O474" s="55"/>
      <c r="P474" s="55"/>
      <c r="Q474" s="55"/>
      <c r="R474" s="55"/>
      <c r="S474" s="55"/>
      <c r="T474" s="55"/>
      <c r="U474" s="55"/>
    </row>
    <row r="475" spans="1:21" ht="19.5" hidden="1">
      <c r="A475" s="238"/>
      <c r="B475" s="372" t="s">
        <v>188</v>
      </c>
      <c r="C475" s="188"/>
      <c r="D475" s="188"/>
      <c r="E475" s="188"/>
      <c r="F475" s="188"/>
      <c r="G475" s="208"/>
      <c r="H475" s="158" t="s">
        <v>46</v>
      </c>
      <c r="I475" s="373">
        <v>0</v>
      </c>
      <c r="J475" s="373">
        <f>J478+J480</f>
        <v>0</v>
      </c>
      <c r="K475" s="540">
        <f>IF(I475&gt;0,J475*100/I475,0)</f>
        <v>0</v>
      </c>
      <c r="L475" s="62"/>
      <c r="M475" s="55"/>
      <c r="N475" s="55"/>
      <c r="O475" s="55"/>
      <c r="P475" s="55"/>
      <c r="Q475" s="55"/>
      <c r="R475" s="55"/>
      <c r="S475" s="55"/>
      <c r="T475" s="55"/>
      <c r="U475" s="55"/>
    </row>
    <row r="476" spans="1:21" ht="19.5" hidden="1">
      <c r="A476" s="238"/>
      <c r="B476" s="188"/>
      <c r="C476" s="191" t="s">
        <v>189</v>
      </c>
      <c r="D476" s="188"/>
      <c r="E476" s="188"/>
      <c r="F476" s="188"/>
      <c r="G476" s="208"/>
      <c r="H476" s="158" t="s">
        <v>46</v>
      </c>
      <c r="I476" s="373">
        <v>0</v>
      </c>
      <c r="J476" s="373">
        <f>J478+J480</f>
        <v>0</v>
      </c>
      <c r="K476" s="540">
        <f>IF(I476&gt;0,J476*100/I476,0)</f>
        <v>0</v>
      </c>
      <c r="L476" s="62"/>
      <c r="M476" s="55"/>
      <c r="N476" s="55"/>
      <c r="O476" s="55"/>
      <c r="P476" s="55"/>
      <c r="Q476" s="55"/>
      <c r="R476" s="55"/>
      <c r="S476" s="55"/>
      <c r="T476" s="55"/>
      <c r="U476" s="55"/>
    </row>
    <row r="477" spans="1:21" ht="19.5" hidden="1">
      <c r="A477" s="238"/>
      <c r="B477" s="188"/>
      <c r="C477" s="239" t="s">
        <v>190</v>
      </c>
      <c r="D477" s="188"/>
      <c r="E477" s="188"/>
      <c r="F477" s="188"/>
      <c r="G477" s="208"/>
      <c r="H477" s="158" t="s">
        <v>34</v>
      </c>
      <c r="I477" s="373">
        <v>0</v>
      </c>
      <c r="J477" s="373">
        <f>J479+J481</f>
        <v>0</v>
      </c>
      <c r="K477" s="540">
        <f>IF(I477&gt;0,J477*100/I477,0)</f>
        <v>0</v>
      </c>
      <c r="L477" s="62"/>
      <c r="M477" s="55"/>
      <c r="N477" s="55"/>
      <c r="O477" s="55"/>
      <c r="P477" s="55"/>
      <c r="Q477" s="55"/>
      <c r="R477" s="55"/>
      <c r="S477" s="55"/>
      <c r="T477" s="55"/>
      <c r="U477" s="55"/>
    </row>
    <row r="478" spans="1:21" ht="18.75" hidden="1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54"/>
      <c r="K478" s="55"/>
      <c r="L478" s="62"/>
      <c r="M478" s="55"/>
      <c r="N478" s="55"/>
      <c r="O478" s="55"/>
      <c r="P478" s="55"/>
      <c r="Q478" s="55"/>
      <c r="R478" s="55"/>
      <c r="S478" s="55"/>
      <c r="T478" s="55"/>
      <c r="U478" s="55"/>
    </row>
    <row r="479" spans="1:21" ht="18.75" hidden="1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54"/>
      <c r="K479" s="55"/>
      <c r="L479" s="62"/>
      <c r="M479" s="55"/>
      <c r="N479" s="55"/>
      <c r="O479" s="55"/>
      <c r="P479" s="55"/>
      <c r="Q479" s="55"/>
      <c r="R479" s="55"/>
      <c r="S479" s="55"/>
      <c r="T479" s="55"/>
      <c r="U479" s="55"/>
    </row>
    <row r="480" spans="1:21" ht="18.75" hidden="1">
      <c r="A480" s="238"/>
      <c r="B480" s="188"/>
      <c r="C480" s="188"/>
      <c r="D480" s="371" t="s">
        <v>192</v>
      </c>
      <c r="E480" s="188"/>
      <c r="F480" s="188"/>
      <c r="G480" s="208"/>
      <c r="H480" s="161" t="s">
        <v>46</v>
      </c>
      <c r="I480" s="54"/>
      <c r="J480" s="54"/>
      <c r="K480" s="55"/>
      <c r="L480" s="62"/>
      <c r="M480" s="55"/>
      <c r="N480" s="55"/>
      <c r="O480" s="55"/>
      <c r="P480" s="55"/>
      <c r="Q480" s="55"/>
      <c r="R480" s="55"/>
      <c r="S480" s="55"/>
      <c r="T480" s="55"/>
      <c r="U480" s="55"/>
    </row>
    <row r="481" spans="1:21" ht="18.75" hidden="1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54"/>
      <c r="K481" s="55"/>
      <c r="L481" s="62"/>
      <c r="M481" s="55"/>
      <c r="N481" s="55"/>
      <c r="O481" s="55"/>
      <c r="P481" s="55"/>
      <c r="Q481" s="55"/>
      <c r="R481" s="55"/>
      <c r="S481" s="55"/>
      <c r="T481" s="55"/>
      <c r="U481" s="55"/>
    </row>
    <row r="482" spans="1:21" ht="18.75" hidden="1">
      <c r="A482" s="238"/>
      <c r="B482" s="188"/>
      <c r="C482" s="188"/>
      <c r="D482" s="371" t="s">
        <v>193</v>
      </c>
      <c r="E482" s="188"/>
      <c r="F482" s="188"/>
      <c r="G482" s="208"/>
      <c r="H482" s="161" t="s">
        <v>46</v>
      </c>
      <c r="I482" s="54"/>
      <c r="J482" s="212">
        <f ca="1">IFERROR(__xludf.DUMMYFUNCTION("IMPORTRANGE(""https://docs.google.com/spreadsheets/d/1eHaY18a8A9IcSdp1K8H6x8fbOy06t2VsZHhMHf-1x7Y/edit?usp=sharing"",""แผน!HN49"")"),0)</f>
        <v>0</v>
      </c>
      <c r="K482" s="55"/>
      <c r="L482" s="62"/>
      <c r="M482" s="55"/>
      <c r="N482" s="55"/>
      <c r="O482" s="55"/>
      <c r="P482" s="55"/>
      <c r="Q482" s="55"/>
      <c r="R482" s="55"/>
      <c r="S482" s="55"/>
      <c r="T482" s="55"/>
      <c r="U482" s="55"/>
    </row>
    <row r="483" spans="1:21" ht="18.75" hidden="1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212">
        <f ca="1">IFERROR(__xludf.DUMMYFUNCTION("IMPORTRANGE(""https://docs.google.com/spreadsheets/d/1eHaY18a8A9IcSdp1K8H6x8fbOy06t2VsZHhMHf-1x7Y/edit?usp=sharing"",""แผน!HO49"")"),0)</f>
        <v>0</v>
      </c>
      <c r="K483" s="55"/>
      <c r="L483" s="62"/>
      <c r="M483" s="55"/>
      <c r="N483" s="55"/>
      <c r="O483" s="55"/>
      <c r="P483" s="55"/>
      <c r="Q483" s="55"/>
      <c r="R483" s="55"/>
      <c r="S483" s="55"/>
      <c r="T483" s="55"/>
      <c r="U483" s="55"/>
    </row>
    <row r="484" spans="1:21" ht="19.5" hidden="1">
      <c r="A484" s="238"/>
      <c r="B484" s="188"/>
      <c r="C484" s="191" t="s">
        <v>194</v>
      </c>
      <c r="D484" s="188"/>
      <c r="E484" s="188"/>
      <c r="F484" s="188"/>
      <c r="G484" s="208"/>
      <c r="H484" s="158" t="s">
        <v>46</v>
      </c>
      <c r="I484" s="54">
        <f>J480</f>
        <v>0</v>
      </c>
      <c r="J484" s="373">
        <f>J486+J488+J490</f>
        <v>0</v>
      </c>
      <c r="K484" s="540">
        <f>IF(I484&gt;0,J484*100/I484,0)</f>
        <v>0</v>
      </c>
      <c r="L484" s="62"/>
      <c r="M484" s="55"/>
      <c r="N484" s="55"/>
      <c r="O484" s="55"/>
      <c r="P484" s="55"/>
      <c r="Q484" s="55"/>
      <c r="R484" s="55"/>
      <c r="S484" s="55"/>
      <c r="T484" s="55"/>
      <c r="U484" s="55"/>
    </row>
    <row r="485" spans="1:21" ht="19.5" hidden="1">
      <c r="A485" s="238"/>
      <c r="B485" s="188"/>
      <c r="C485" s="239" t="s">
        <v>195</v>
      </c>
      <c r="D485" s="188"/>
      <c r="E485" s="188"/>
      <c r="F485" s="188"/>
      <c r="G485" s="208"/>
      <c r="H485" s="158" t="s">
        <v>34</v>
      </c>
      <c r="I485" s="54">
        <f>J481</f>
        <v>0</v>
      </c>
      <c r="J485" s="373">
        <f>J487+J489+J491</f>
        <v>0</v>
      </c>
      <c r="K485" s="540">
        <f>IF(I485&gt;0,J485*100/I485,0)</f>
        <v>0</v>
      </c>
      <c r="L485" s="62"/>
      <c r="M485" s="55"/>
      <c r="N485" s="55"/>
      <c r="O485" s="55"/>
      <c r="P485" s="55"/>
      <c r="Q485" s="55"/>
      <c r="R485" s="55"/>
      <c r="S485" s="55"/>
      <c r="T485" s="55"/>
      <c r="U485" s="55"/>
    </row>
    <row r="486" spans="1:21" ht="18.75" hidden="1">
      <c r="A486" s="238"/>
      <c r="B486" s="188"/>
      <c r="C486" s="188"/>
      <c r="D486" s="371" t="s">
        <v>196</v>
      </c>
      <c r="E486" s="188"/>
      <c r="F486" s="188"/>
      <c r="G486" s="208"/>
      <c r="H486" s="161" t="s">
        <v>46</v>
      </c>
      <c r="I486" s="54"/>
      <c r="J486" s="54"/>
      <c r="K486" s="55"/>
      <c r="L486" s="62"/>
      <c r="M486" s="55"/>
      <c r="N486" s="55"/>
      <c r="O486" s="55"/>
      <c r="P486" s="55"/>
      <c r="Q486" s="55"/>
      <c r="R486" s="55"/>
      <c r="S486" s="55"/>
      <c r="T486" s="55"/>
      <c r="U486" s="55"/>
    </row>
    <row r="487" spans="1:21" ht="18.75" hidden="1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54"/>
      <c r="K487" s="55"/>
      <c r="L487" s="62"/>
      <c r="M487" s="55"/>
      <c r="N487" s="55"/>
      <c r="O487" s="55"/>
      <c r="P487" s="55"/>
      <c r="Q487" s="55"/>
      <c r="R487" s="55"/>
      <c r="S487" s="55"/>
      <c r="T487" s="55"/>
      <c r="U487" s="55"/>
    </row>
    <row r="488" spans="1:21" ht="18.75" hidden="1">
      <c r="A488" s="238"/>
      <c r="B488" s="188"/>
      <c r="C488" s="188"/>
      <c r="D488" s="371" t="s">
        <v>197</v>
      </c>
      <c r="E488" s="188"/>
      <c r="F488" s="188"/>
      <c r="G488" s="208"/>
      <c r="H488" s="161" t="s">
        <v>46</v>
      </c>
      <c r="I488" s="54"/>
      <c r="J488" s="54"/>
      <c r="K488" s="55"/>
      <c r="L488" s="62"/>
      <c r="M488" s="55"/>
      <c r="N488" s="55"/>
      <c r="O488" s="55"/>
      <c r="P488" s="55"/>
      <c r="Q488" s="55"/>
      <c r="R488" s="55"/>
      <c r="S488" s="55"/>
      <c r="T488" s="55"/>
      <c r="U488" s="55"/>
    </row>
    <row r="489" spans="1:21" ht="18.75" hidden="1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54"/>
      <c r="K489" s="55"/>
      <c r="L489" s="62"/>
      <c r="M489" s="55"/>
      <c r="N489" s="55"/>
      <c r="O489" s="55"/>
      <c r="P489" s="55"/>
      <c r="Q489" s="55"/>
      <c r="R489" s="55"/>
      <c r="S489" s="55"/>
      <c r="T489" s="55"/>
      <c r="U489" s="55"/>
    </row>
    <row r="490" spans="1:21" ht="18.75" hidden="1">
      <c r="A490" s="238"/>
      <c r="B490" s="188"/>
      <c r="C490" s="188"/>
      <c r="D490" s="371" t="s">
        <v>198</v>
      </c>
      <c r="E490" s="188"/>
      <c r="F490" s="188"/>
      <c r="G490" s="208"/>
      <c r="H490" s="161" t="s">
        <v>46</v>
      </c>
      <c r="I490" s="54"/>
      <c r="J490" s="54"/>
      <c r="K490" s="55"/>
      <c r="L490" s="62"/>
      <c r="M490" s="55"/>
      <c r="N490" s="55"/>
      <c r="O490" s="55"/>
      <c r="P490" s="55"/>
      <c r="Q490" s="55"/>
      <c r="R490" s="55"/>
      <c r="S490" s="55"/>
      <c r="T490" s="55"/>
      <c r="U490" s="55"/>
    </row>
    <row r="491" spans="1:21" ht="18.75" hidden="1">
      <c r="A491" s="374"/>
      <c r="B491" s="5"/>
      <c r="C491" s="5"/>
      <c r="D491" s="5"/>
      <c r="E491" s="5"/>
      <c r="F491" s="5"/>
      <c r="G491" s="375"/>
      <c r="H491" s="376" t="s">
        <v>34</v>
      </c>
      <c r="I491" s="67"/>
      <c r="J491" s="67"/>
      <c r="K491" s="6"/>
      <c r="L491" s="68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 hidden="1">
      <c r="A492" s="335"/>
      <c r="B492" s="354" t="s">
        <v>199</v>
      </c>
      <c r="C492" s="337"/>
      <c r="D492" s="337"/>
      <c r="E492" s="328"/>
      <c r="F492" s="328"/>
      <c r="G492" s="329"/>
      <c r="H492" s="366" t="s">
        <v>35</v>
      </c>
      <c r="I492" s="605">
        <f ca="1">I503</f>
        <v>0</v>
      </c>
      <c r="J492" s="605">
        <f ca="1">J503</f>
        <v>0</v>
      </c>
      <c r="K492" s="604">
        <f ca="1">IF(I492&gt;0,J492*100/I492,0)</f>
        <v>0</v>
      </c>
      <c r="L492" s="334"/>
      <c r="M492" s="333"/>
      <c r="N492" s="333"/>
      <c r="O492" s="333"/>
      <c r="P492" s="333"/>
      <c r="Q492" s="333"/>
      <c r="R492" s="333"/>
      <c r="S492" s="333"/>
      <c r="T492" s="333"/>
      <c r="U492" s="333"/>
    </row>
    <row r="493" spans="1:21" ht="19.5" hidden="1">
      <c r="A493" s="155"/>
      <c r="B493" s="188"/>
      <c r="C493" s="205" t="s">
        <v>18</v>
      </c>
      <c r="D493" s="603" t="s">
        <v>19</v>
      </c>
      <c r="E493" s="514"/>
      <c r="F493" s="514"/>
      <c r="G493" s="52"/>
      <c r="H493" s="252" t="s">
        <v>14</v>
      </c>
      <c r="I493" s="54"/>
      <c r="J493" s="54"/>
      <c r="K493" s="55"/>
      <c r="L493" s="541">
        <f>L494+L495</f>
        <v>0</v>
      </c>
      <c r="M493" s="540">
        <f>M494+M495</f>
        <v>0</v>
      </c>
      <c r="N493" s="540">
        <f>N494+N495</f>
        <v>0</v>
      </c>
      <c r="O493" s="540">
        <f>IF(L493&gt;0,N493*100/L493,0)</f>
        <v>0</v>
      </c>
      <c r="P493" s="540">
        <f>IF(M493&gt;0,N493*100/M493,0)</f>
        <v>0</v>
      </c>
      <c r="Q493" s="540">
        <f ca="1">Q494+Q495</f>
        <v>0</v>
      </c>
      <c r="R493" s="540">
        <f ca="1">R494+R495</f>
        <v>0</v>
      </c>
      <c r="S493" s="540">
        <f ca="1">S494+S495</f>
        <v>0</v>
      </c>
      <c r="T493" s="540">
        <f ca="1">IF(Q493&gt;0,S493*100/Q493,0)</f>
        <v>0</v>
      </c>
      <c r="U493" s="540">
        <f ca="1">IF(R493&gt;0,S493*100/R493,0)</f>
        <v>0</v>
      </c>
    </row>
    <row r="494" spans="1:21" ht="18.75" hidden="1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103">
        <f>L497+L500</f>
        <v>0</v>
      </c>
      <c r="M494" s="102">
        <f>M497+M500</f>
        <v>0</v>
      </c>
      <c r="N494" s="102">
        <f>N497+N500</f>
        <v>0</v>
      </c>
      <c r="O494" s="102">
        <f>IF(L494&gt;0,N494*100/L494,0)</f>
        <v>0</v>
      </c>
      <c r="P494" s="102">
        <f>IF(M494&gt;0,N494*100/M494,0)</f>
        <v>0</v>
      </c>
      <c r="Q494" s="102">
        <f>Q497+Q500</f>
        <v>0</v>
      </c>
      <c r="R494" s="102">
        <f>R497+R500</f>
        <v>0</v>
      </c>
      <c r="S494" s="102">
        <f>S497+S500</f>
        <v>0</v>
      </c>
      <c r="T494" s="102">
        <f>IF(Q494&gt;0,S494*100/Q494,0)</f>
        <v>0</v>
      </c>
      <c r="U494" s="102">
        <f>IF(R494&gt;0,S494*100/R494,0)</f>
        <v>0</v>
      </c>
    </row>
    <row r="495" spans="1:21" ht="18.75" hidden="1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256">
        <f>L498+L501</f>
        <v>0</v>
      </c>
      <c r="M495" s="255">
        <f>M498+M501</f>
        <v>0</v>
      </c>
      <c r="N495" s="255">
        <f>N498+N501</f>
        <v>0</v>
      </c>
      <c r="O495" s="255">
        <f>IF(L495&gt;0,N495*100/L495,0)</f>
        <v>0</v>
      </c>
      <c r="P495" s="255">
        <f>IF(M495&gt;0,N495*100/M495,0)</f>
        <v>0</v>
      </c>
      <c r="Q495" s="255">
        <f ca="1">Q498+Q501</f>
        <v>0</v>
      </c>
      <c r="R495" s="255">
        <f ca="1">R498+R501</f>
        <v>0</v>
      </c>
      <c r="S495" s="255">
        <f ca="1">S498+S501</f>
        <v>0</v>
      </c>
      <c r="T495" s="255">
        <f ca="1">IF(Q495&gt;0,S495*100/Q495,0)</f>
        <v>0</v>
      </c>
      <c r="U495" s="255">
        <f ca="1">IF(R495&gt;0,S495*100/R495,0)</f>
        <v>0</v>
      </c>
    </row>
    <row r="496" spans="1:21" ht="18.75" hidden="1">
      <c r="A496" s="155"/>
      <c r="B496" s="188"/>
      <c r="C496" s="188"/>
      <c r="D496" s="602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256">
        <f>L497+L498</f>
        <v>0</v>
      </c>
      <c r="M496" s="255">
        <f>M497+M498</f>
        <v>0</v>
      </c>
      <c r="N496" s="255">
        <f>N497+N498</f>
        <v>0</v>
      </c>
      <c r="O496" s="255">
        <f>IF(L496&gt;0,N496*100/L496,0)</f>
        <v>0</v>
      </c>
      <c r="P496" s="255">
        <f>IF(M496&gt;0,N496*100/M496,0)</f>
        <v>0</v>
      </c>
      <c r="Q496" s="255">
        <f ca="1">Q497+Q498</f>
        <v>0</v>
      </c>
      <c r="R496" s="255">
        <f ca="1">R497+R498</f>
        <v>0</v>
      </c>
      <c r="S496" s="255">
        <f ca="1">S497+S498</f>
        <v>0</v>
      </c>
      <c r="T496" s="255">
        <f ca="1">IF(Q496&gt;0,S496*100/Q496,0)</f>
        <v>0</v>
      </c>
      <c r="U496" s="255">
        <f ca="1">IF(R496&gt;0,S496*100/R496,0)</f>
        <v>0</v>
      </c>
    </row>
    <row r="497" spans="1:21" ht="18.75" hidden="1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103">
        <v>0</v>
      </c>
      <c r="M497" s="102">
        <v>0</v>
      </c>
      <c r="N497" s="102">
        <v>0</v>
      </c>
      <c r="O497" s="102">
        <f>IF(L497&gt;0,N497*100/L497,0)</f>
        <v>0</v>
      </c>
      <c r="P497" s="102">
        <f>IF(M497&gt;0,N497*100/M497,0)</f>
        <v>0</v>
      </c>
      <c r="Q497" s="102">
        <v>0</v>
      </c>
      <c r="R497" s="102">
        <v>0</v>
      </c>
      <c r="S497" s="102">
        <v>0</v>
      </c>
      <c r="T497" s="102">
        <f>IF(Q497&gt;0,S497*100/Q497,0)</f>
        <v>0</v>
      </c>
      <c r="U497" s="102">
        <f>IF(R497&gt;0,S497*100/R497,0)</f>
        <v>0</v>
      </c>
    </row>
    <row r="498" spans="1:21" ht="18.75" hidden="1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256">
        <v>0</v>
      </c>
      <c r="M498" s="255">
        <v>0</v>
      </c>
      <c r="N498" s="255">
        <v>0</v>
      </c>
      <c r="O498" s="255">
        <f>IF(L498&gt;0,N498*100/L498,0)</f>
        <v>0</v>
      </c>
      <c r="P498" s="255">
        <f>IF(M498&gt;0,N498*100/M498,0)</f>
        <v>0</v>
      </c>
      <c r="Q498" s="255">
        <f ca="1">IFERROR(__xludf.DUMMYFUNCTION("IMPORTRANGE(""https://docs.google.com/spreadsheets/d/1ItG2mGa2ceCfYo0BwxsXqNm01IGEUdYcSSLTEv9YCik/edit?usp=sharing"",""เบิกจ่ายกองทุน!X49"")"),0)</f>
        <v>0</v>
      </c>
      <c r="R498" s="255">
        <f ca="1">IFERROR(__xludf.DUMMYFUNCTION("IMPORTRANGE(""https://docs.google.com/spreadsheets/d/1ItG2mGa2ceCfYo0BwxsXqNm01IGEUdYcSSLTEv9YCik/edit?usp=sharing"",""เบิกจ่ายกองทุน!Y49"")"),0)</f>
        <v>0</v>
      </c>
      <c r="S498" s="255">
        <f ca="1">IFERROR(__xludf.DUMMYFUNCTION("IMPORTRANGE(""https://docs.google.com/spreadsheets/d/1ItG2mGa2ceCfYo0BwxsXqNm01IGEUdYcSSLTEv9YCik/edit?usp=sharing"",""เบิกจ่ายกองทุน!Z49"")"),0)</f>
        <v>0</v>
      </c>
      <c r="T498" s="255">
        <f ca="1">IF(Q498&gt;0,S498*100/Q498,0)</f>
        <v>0</v>
      </c>
      <c r="U498" s="255">
        <f ca="1">IF(R498&gt;0,S498*100/R498,0)</f>
        <v>0</v>
      </c>
    </row>
    <row r="499" spans="1:21" ht="18.75" hidden="1">
      <c r="A499" s="155"/>
      <c r="B499" s="188"/>
      <c r="C499" s="188"/>
      <c r="D499" s="602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256">
        <f>L500+L501</f>
        <v>0</v>
      </c>
      <c r="M499" s="255">
        <f>M500+M501</f>
        <v>0</v>
      </c>
      <c r="N499" s="255">
        <f>N500+N501</f>
        <v>0</v>
      </c>
      <c r="O499" s="255">
        <f>IF(L499&gt;0,N499*100/L499,0)</f>
        <v>0</v>
      </c>
      <c r="P499" s="255">
        <f>IF(M499&gt;0,N499*100/M499,0)</f>
        <v>0</v>
      </c>
      <c r="Q499" s="255">
        <f>Q500+Q501</f>
        <v>0</v>
      </c>
      <c r="R499" s="255">
        <f>R500+R501</f>
        <v>0</v>
      </c>
      <c r="S499" s="255">
        <f>S500+S501</f>
        <v>0</v>
      </c>
      <c r="T499" s="255">
        <f>IF(Q499&gt;0,S499*100/Q499,0)</f>
        <v>0</v>
      </c>
      <c r="U499" s="255">
        <f>IF(R499&gt;0,S499*100/R499,0)</f>
        <v>0</v>
      </c>
    </row>
    <row r="500" spans="1:21" ht="18.75" hidden="1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103">
        <v>0</v>
      </c>
      <c r="M500" s="102">
        <v>0</v>
      </c>
      <c r="N500" s="102">
        <v>0</v>
      </c>
      <c r="O500" s="102">
        <f>IF(L500&gt;0,N500*100/L500,0)</f>
        <v>0</v>
      </c>
      <c r="P500" s="102">
        <f>IF(M500&gt;0,N500*100/M500,0)</f>
        <v>0</v>
      </c>
      <c r="Q500" s="102">
        <v>0</v>
      </c>
      <c r="R500" s="102">
        <v>0</v>
      </c>
      <c r="S500" s="102">
        <v>0</v>
      </c>
      <c r="T500" s="102">
        <f>IF(Q500&gt;0,S500*100/Q500,0)</f>
        <v>0</v>
      </c>
      <c r="U500" s="102">
        <f>IF(R500&gt;0,S500*100/R500,0)</f>
        <v>0</v>
      </c>
    </row>
    <row r="501" spans="1:21" ht="18.75" hidden="1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256">
        <v>0</v>
      </c>
      <c r="M501" s="255">
        <v>0</v>
      </c>
      <c r="N501" s="255">
        <v>0</v>
      </c>
      <c r="O501" s="255">
        <f>IF(L501&gt;0,N501*100/L501,0)</f>
        <v>0</v>
      </c>
      <c r="P501" s="255">
        <f>IF(M501&gt;0,N501*100/M501,0)</f>
        <v>0</v>
      </c>
      <c r="Q501" s="255">
        <v>0</v>
      </c>
      <c r="R501" s="255">
        <v>0</v>
      </c>
      <c r="S501" s="255">
        <v>0</v>
      </c>
      <c r="T501" s="255">
        <f>IF(Q501&gt;0,S501*100/Q501,0)</f>
        <v>0</v>
      </c>
      <c r="U501" s="255">
        <f>IF(R501&gt;0,S501*100/R501,0)</f>
        <v>0</v>
      </c>
    </row>
    <row r="502" spans="1:21" ht="19.5" hidden="1">
      <c r="A502" s="166"/>
      <c r="B502" s="167"/>
      <c r="C502" s="205" t="s">
        <v>18</v>
      </c>
      <c r="D502" s="560" t="s">
        <v>38</v>
      </c>
      <c r="E502" s="169"/>
      <c r="F502" s="169"/>
      <c r="G502" s="170"/>
      <c r="H502" s="206"/>
      <c r="I502" s="163"/>
      <c r="J502" s="163"/>
      <c r="K502" s="164"/>
      <c r="L502" s="172"/>
      <c r="M502" s="164"/>
      <c r="N502" s="164"/>
      <c r="O502" s="164"/>
      <c r="P502" s="164"/>
      <c r="Q502" s="164"/>
      <c r="R502" s="164"/>
      <c r="S502" s="164"/>
      <c r="T502" s="164"/>
      <c r="U502" s="164"/>
    </row>
    <row r="503" spans="1:21" ht="19.5" hidden="1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373">
        <f ca="1">IFERROR(__xludf.DUMMYFUNCTION("IMPORTRANGE(""https://docs.google.com/spreadsheets/d/1eHaY18a8A9IcSdp1K8H6x8fbOy06t2VsZHhMHf-1x7Y/edit?usp=sharing"",""แผน!GX49"")"),0)</f>
        <v>0</v>
      </c>
      <c r="J503" s="373">
        <f ca="1">IF(AND(J504=I504,J505=I505,J506=I506,J507=I507),I503,0)</f>
        <v>0</v>
      </c>
      <c r="K503" s="540">
        <f ca="1">IF(I503&gt;0,J503*100/I503,0)</f>
        <v>0</v>
      </c>
      <c r="L503" s="62"/>
      <c r="M503" s="55"/>
      <c r="N503" s="55"/>
      <c r="O503" s="55"/>
      <c r="P503" s="55"/>
      <c r="Q503" s="55"/>
      <c r="R503" s="55"/>
      <c r="S503" s="55"/>
      <c r="T503" s="55"/>
      <c r="U503" s="55"/>
    </row>
    <row r="504" spans="1:21" ht="18.75" hidden="1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212">
        <f ca="1">IFERROR(__xludf.DUMMYFUNCTION("IMPORTRANGE(""https://docs.google.com/spreadsheets/d/1eHaY18a8A9IcSdp1K8H6x8fbOy06t2VsZHhMHf-1x7Y/edit?usp=sharing"",""แผน!GY49"")"),0)</f>
        <v>0</v>
      </c>
      <c r="J504" s="467">
        <v>0</v>
      </c>
      <c r="K504" s="255">
        <f ca="1">IF(I504&gt;0,J504*100/I504,0)</f>
        <v>0</v>
      </c>
      <c r="L504" s="62"/>
      <c r="M504" s="55"/>
      <c r="N504" s="55"/>
      <c r="O504" s="55"/>
      <c r="P504" s="55"/>
      <c r="Q504" s="55"/>
      <c r="R504" s="55"/>
      <c r="S504" s="55"/>
      <c r="T504" s="55"/>
      <c r="U504" s="55"/>
    </row>
    <row r="505" spans="1:21" ht="18.75" hidden="1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212">
        <f ca="1">IFERROR(__xludf.DUMMYFUNCTION("IMPORTRANGE(""https://docs.google.com/spreadsheets/d/1eHaY18a8A9IcSdp1K8H6x8fbOy06t2VsZHhMHf-1x7Y/edit?usp=sharing"",""แผน!GZ49"")"),0)</f>
        <v>0</v>
      </c>
      <c r="J505" s="467">
        <v>0</v>
      </c>
      <c r="K505" s="255">
        <f ca="1">IF(I505&gt;0,J505*100/I505,0)</f>
        <v>0</v>
      </c>
      <c r="L505" s="62"/>
      <c r="M505" s="55"/>
      <c r="N505" s="55"/>
      <c r="O505" s="55"/>
      <c r="P505" s="55"/>
      <c r="Q505" s="55"/>
      <c r="R505" s="55"/>
      <c r="S505" s="55"/>
      <c r="T505" s="55"/>
      <c r="U505" s="55"/>
    </row>
    <row r="506" spans="1:21" ht="18.75" hidden="1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212">
        <f ca="1">IFERROR(__xludf.DUMMYFUNCTION("IMPORTRANGE(""https://docs.google.com/spreadsheets/d/1eHaY18a8A9IcSdp1K8H6x8fbOy06t2VsZHhMHf-1x7Y/edit?usp=sharing"",""แผน!HA49"")"),0)</f>
        <v>0</v>
      </c>
      <c r="J506" s="467">
        <v>0</v>
      </c>
      <c r="K506" s="255">
        <f ca="1">IF(I506&gt;0,J506*100/I506,0)</f>
        <v>0</v>
      </c>
      <c r="L506" s="62"/>
      <c r="M506" s="55"/>
      <c r="N506" s="55"/>
      <c r="O506" s="55"/>
      <c r="P506" s="55"/>
      <c r="Q506" s="55"/>
      <c r="R506" s="55"/>
      <c r="S506" s="55"/>
      <c r="T506" s="55"/>
      <c r="U506" s="55"/>
    </row>
    <row r="507" spans="1:21" ht="18.75" hidden="1">
      <c r="A507" s="238"/>
      <c r="B507" s="188"/>
      <c r="C507" s="188"/>
      <c r="D507" s="188"/>
      <c r="E507" s="377" t="s">
        <v>204</v>
      </c>
      <c r="F507" s="50"/>
      <c r="G507" s="52"/>
      <c r="H507" s="161" t="s">
        <v>35</v>
      </c>
      <c r="I507" s="212">
        <f ca="1">IFERROR(__xludf.DUMMYFUNCTION("IMPORTRANGE(""https://docs.google.com/spreadsheets/d/1eHaY18a8A9IcSdp1K8H6x8fbOy06t2VsZHhMHf-1x7Y/edit?usp=sharing"",""แผน!HB49"")"),0)</f>
        <v>0</v>
      </c>
      <c r="J507" s="467">
        <v>0</v>
      </c>
      <c r="K507" s="255">
        <f ca="1">IF(I507&gt;0,J507*100/I507,0)</f>
        <v>0</v>
      </c>
      <c r="L507" s="62"/>
      <c r="M507" s="55"/>
      <c r="N507" s="55"/>
      <c r="O507" s="55"/>
      <c r="P507" s="55"/>
      <c r="Q507" s="55"/>
      <c r="R507" s="55"/>
      <c r="S507" s="55"/>
      <c r="T507" s="55"/>
      <c r="U507" s="55"/>
    </row>
    <row r="508" spans="1:21" ht="18.75" hidden="1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255">
        <f>IF(I508&gt;0,J508*100/I508,0)</f>
        <v>0</v>
      </c>
      <c r="L508" s="62"/>
      <c r="M508" s="55"/>
      <c r="N508" s="55"/>
      <c r="O508" s="55"/>
      <c r="P508" s="55"/>
      <c r="Q508" s="55"/>
      <c r="R508" s="55"/>
      <c r="S508" s="55"/>
      <c r="T508" s="55"/>
      <c r="U508" s="55"/>
    </row>
    <row r="509" spans="1:21" ht="19.5" hidden="1">
      <c r="A509" s="374"/>
      <c r="B509" s="5"/>
      <c r="C509" s="5"/>
      <c r="D509" s="378" t="s">
        <v>50</v>
      </c>
      <c r="E509" s="4"/>
      <c r="F509" s="4"/>
      <c r="G509" s="65"/>
      <c r="H509" s="376" t="s">
        <v>35</v>
      </c>
      <c r="I509" s="216">
        <f ca="1">IFERROR(__xludf.DUMMYFUNCTION("IMPORTRANGE(""https://docs.google.com/spreadsheets/d/1eHaY18a8A9IcSdp1K8H6x8fbOy06t2VsZHhMHf-1x7Y/edit?usp=sharing"",""แผน!HC49"")"),0)</f>
        <v>0</v>
      </c>
      <c r="J509" s="538">
        <v>0</v>
      </c>
      <c r="K509" s="506">
        <f ca="1">IF(I509&gt;0,J509*100/I509,0)</f>
        <v>0</v>
      </c>
      <c r="L509" s="68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 hidden="1">
      <c r="A510" s="601" t="s">
        <v>206</v>
      </c>
      <c r="B510" s="381"/>
      <c r="C510" s="381"/>
      <c r="D510" s="381"/>
      <c r="E510" s="382"/>
      <c r="F510" s="382"/>
      <c r="G510" s="382"/>
      <c r="H510" s="382"/>
      <c r="I510" s="383"/>
      <c r="J510" s="383"/>
      <c r="K510" s="384"/>
      <c r="L510" s="600"/>
      <c r="M510" s="386"/>
      <c r="N510" s="386"/>
      <c r="O510" s="386"/>
      <c r="P510" s="386"/>
      <c r="Q510" s="386"/>
      <c r="R510" s="386"/>
      <c r="S510" s="386"/>
      <c r="T510" s="386"/>
      <c r="U510" s="386"/>
    </row>
    <row r="511" spans="1:21" ht="19.5" hidden="1">
      <c r="A511" s="599" t="s">
        <v>207</v>
      </c>
      <c r="B511" s="388"/>
      <c r="C511" s="388"/>
      <c r="D511" s="389"/>
      <c r="E511" s="388"/>
      <c r="F511" s="388"/>
      <c r="G511" s="388"/>
      <c r="H511" s="390"/>
      <c r="I511" s="391"/>
      <c r="J511" s="391"/>
      <c r="K511" s="392"/>
      <c r="L511" s="598"/>
      <c r="M511" s="394"/>
      <c r="N511" s="394"/>
      <c r="O511" s="394"/>
      <c r="P511" s="394"/>
      <c r="Q511" s="394"/>
      <c r="R511" s="394"/>
      <c r="S511" s="394"/>
      <c r="T511" s="394"/>
      <c r="U511" s="394"/>
    </row>
    <row r="512" spans="1:21" ht="19.5" hidden="1">
      <c r="A512" s="395"/>
      <c r="B512" s="597" t="s">
        <v>208</v>
      </c>
      <c r="C512" s="397"/>
      <c r="D512" s="398"/>
      <c r="E512" s="398"/>
      <c r="F512" s="398"/>
      <c r="G512" s="399"/>
      <c r="H512" s="596" t="s">
        <v>61</v>
      </c>
      <c r="I512" s="595">
        <f>I524</f>
        <v>0</v>
      </c>
      <c r="J512" s="595">
        <f>J524</f>
        <v>0</v>
      </c>
      <c r="K512" s="594">
        <f>IF(I512&gt;0,J512*100/I512,0)</f>
        <v>0</v>
      </c>
      <c r="L512" s="404"/>
      <c r="M512" s="403"/>
      <c r="N512" s="403"/>
      <c r="O512" s="403"/>
      <c r="P512" s="403"/>
      <c r="Q512" s="403"/>
      <c r="R512" s="403"/>
      <c r="S512" s="403"/>
      <c r="T512" s="403"/>
      <c r="U512" s="403"/>
    </row>
    <row r="513" spans="1:21" ht="19.5" hidden="1">
      <c r="A513" s="155"/>
      <c r="B513" s="50"/>
      <c r="C513" s="591" t="s">
        <v>18</v>
      </c>
      <c r="D513" s="562" t="s">
        <v>19</v>
      </c>
      <c r="E513" s="50"/>
      <c r="F513" s="50"/>
      <c r="G513" s="52"/>
      <c r="H513" s="593" t="s">
        <v>14</v>
      </c>
      <c r="I513" s="54"/>
      <c r="J513" s="54"/>
      <c r="K513" s="55"/>
      <c r="L513" s="541">
        <f ca="1">L514+L515</f>
        <v>0</v>
      </c>
      <c r="M513" s="540">
        <f ca="1">M514+M515</f>
        <v>0</v>
      </c>
      <c r="N513" s="540">
        <f ca="1">N514+N515</f>
        <v>0</v>
      </c>
      <c r="O513" s="540">
        <f ca="1">IF(L513&gt;0,N513*100/L513,0)</f>
        <v>0</v>
      </c>
      <c r="P513" s="540">
        <f ca="1">IF(M513&gt;0,N513*100/M513,0)</f>
        <v>0</v>
      </c>
      <c r="Q513" s="540">
        <f>Q514+Q515</f>
        <v>0</v>
      </c>
      <c r="R513" s="540">
        <f>R514+R515</f>
        <v>0</v>
      </c>
      <c r="S513" s="540">
        <f>S514+S515</f>
        <v>0</v>
      </c>
      <c r="T513" s="540">
        <f>IF(Q513&gt;0,S513*100/Q513,0)</f>
        <v>0</v>
      </c>
      <c r="U513" s="540">
        <f>IF(R513&gt;0,S513*100/R513,0)</f>
        <v>0</v>
      </c>
    </row>
    <row r="514" spans="1:21" ht="18.75" hidden="1">
      <c r="A514" s="155"/>
      <c r="B514" s="50"/>
      <c r="C514" s="50"/>
      <c r="D514" s="50"/>
      <c r="E514" s="186" t="s">
        <v>20</v>
      </c>
      <c r="F514" s="50"/>
      <c r="G514" s="52"/>
      <c r="H514" s="187" t="s">
        <v>14</v>
      </c>
      <c r="I514" s="54"/>
      <c r="J514" s="54"/>
      <c r="K514" s="55"/>
      <c r="L514" s="103">
        <f>L517+L520</f>
        <v>0</v>
      </c>
      <c r="M514" s="102">
        <f>M517+M520</f>
        <v>0</v>
      </c>
      <c r="N514" s="102">
        <f>N517+N520</f>
        <v>0</v>
      </c>
      <c r="O514" s="102">
        <f>IF(L514&gt;0,N514*100/L514,0)</f>
        <v>0</v>
      </c>
      <c r="P514" s="102">
        <f>IF(M514&gt;0,N514*100/M514,0)</f>
        <v>0</v>
      </c>
      <c r="Q514" s="102">
        <f>Q517+Q520</f>
        <v>0</v>
      </c>
      <c r="R514" s="102">
        <f>R517+R520</f>
        <v>0</v>
      </c>
      <c r="S514" s="102">
        <f>S517+S520</f>
        <v>0</v>
      </c>
      <c r="T514" s="102">
        <f>IF(Q514&gt;0,S514*100/Q514,0)</f>
        <v>0</v>
      </c>
      <c r="U514" s="102">
        <f>IF(R514&gt;0,S514*100/R514,0)</f>
        <v>0</v>
      </c>
    </row>
    <row r="515" spans="1:21" ht="18.75" hidden="1">
      <c r="A515" s="155"/>
      <c r="B515" s="50"/>
      <c r="C515" s="50"/>
      <c r="D515" s="50"/>
      <c r="E515" s="186" t="s">
        <v>21</v>
      </c>
      <c r="F515" s="50"/>
      <c r="G515" s="52"/>
      <c r="H515" s="187" t="s">
        <v>14</v>
      </c>
      <c r="I515" s="54"/>
      <c r="J515" s="54"/>
      <c r="K515" s="55"/>
      <c r="L515" s="256">
        <f ca="1">L518+L521</f>
        <v>0</v>
      </c>
      <c r="M515" s="255">
        <f ca="1">M518+M521</f>
        <v>0</v>
      </c>
      <c r="N515" s="255">
        <f ca="1">N518+N521</f>
        <v>0</v>
      </c>
      <c r="O515" s="255">
        <f ca="1">IF(L515&gt;0,N515*100/L515,0)</f>
        <v>0</v>
      </c>
      <c r="P515" s="255">
        <f ca="1">IF(M515&gt;0,N515*100/M515,0)</f>
        <v>0</v>
      </c>
      <c r="Q515" s="255">
        <f>Q518+Q521</f>
        <v>0</v>
      </c>
      <c r="R515" s="255">
        <f>R518+R521</f>
        <v>0</v>
      </c>
      <c r="S515" s="255">
        <f>S518+S521</f>
        <v>0</v>
      </c>
      <c r="T515" s="255">
        <f>IF(Q515&gt;0,S515*100/Q515,0)</f>
        <v>0</v>
      </c>
      <c r="U515" s="255">
        <f>IF(R515&gt;0,S515*100/R515,0)</f>
        <v>0</v>
      </c>
    </row>
    <row r="516" spans="1:21" ht="18.75" hidden="1">
      <c r="A516" s="155"/>
      <c r="B516" s="50"/>
      <c r="C516" s="50"/>
      <c r="D516" s="592" t="s">
        <v>22</v>
      </c>
      <c r="E516" s="50"/>
      <c r="F516" s="50"/>
      <c r="G516" s="52"/>
      <c r="H516" s="189" t="s">
        <v>14</v>
      </c>
      <c r="I516" s="163"/>
      <c r="J516" s="163"/>
      <c r="K516" s="164"/>
      <c r="L516" s="256">
        <f ca="1">L517+L518</f>
        <v>0</v>
      </c>
      <c r="M516" s="255">
        <f ca="1">M517+M518</f>
        <v>0</v>
      </c>
      <c r="N516" s="255">
        <f ca="1">N517+N518</f>
        <v>0</v>
      </c>
      <c r="O516" s="255">
        <f ca="1">IF(L516&gt;0,N516*100/L516,0)</f>
        <v>0</v>
      </c>
      <c r="P516" s="255">
        <f ca="1">IF(M516&gt;0,N516*100/M516,0)</f>
        <v>0</v>
      </c>
      <c r="Q516" s="255">
        <f>Q517+Q518</f>
        <v>0</v>
      </c>
      <c r="R516" s="255">
        <f>R517+R518</f>
        <v>0</v>
      </c>
      <c r="S516" s="255">
        <f>S517+S518</f>
        <v>0</v>
      </c>
      <c r="T516" s="255">
        <f>IF(Q516&gt;0,S516*100/Q516,0)</f>
        <v>0</v>
      </c>
      <c r="U516" s="255">
        <f>IF(R516&gt;0,S516*100/R516,0)</f>
        <v>0</v>
      </c>
    </row>
    <row r="517" spans="1:21" ht="18.75" hidden="1">
      <c r="A517" s="155"/>
      <c r="B517" s="50"/>
      <c r="C517" s="50"/>
      <c r="D517" s="50"/>
      <c r="E517" s="186" t="s">
        <v>36</v>
      </c>
      <c r="F517" s="50"/>
      <c r="G517" s="52"/>
      <c r="H517" s="189" t="s">
        <v>14</v>
      </c>
      <c r="I517" s="163"/>
      <c r="J517" s="163"/>
      <c r="K517" s="164"/>
      <c r="L517" s="103">
        <v>0</v>
      </c>
      <c r="M517" s="102">
        <v>0</v>
      </c>
      <c r="N517" s="102">
        <v>0</v>
      </c>
      <c r="O517" s="102">
        <f>IF(L517&gt;0,N517*100/L517,0)</f>
        <v>0</v>
      </c>
      <c r="P517" s="102">
        <f>IF(M517&gt;0,N517*100/M517,0)</f>
        <v>0</v>
      </c>
      <c r="Q517" s="102">
        <v>0</v>
      </c>
      <c r="R517" s="102">
        <v>0</v>
      </c>
      <c r="S517" s="102">
        <v>0</v>
      </c>
      <c r="T517" s="102">
        <f>IF(Q517&gt;0,S517*100/Q517,0)</f>
        <v>0</v>
      </c>
      <c r="U517" s="102">
        <f>IF(R517&gt;0,S517*100/R517,0)</f>
        <v>0</v>
      </c>
    </row>
    <row r="518" spans="1:21" ht="18.75" hidden="1">
      <c r="A518" s="155"/>
      <c r="B518" s="50"/>
      <c r="C518" s="50"/>
      <c r="D518" s="50"/>
      <c r="E518" s="186" t="s">
        <v>37</v>
      </c>
      <c r="F518" s="50"/>
      <c r="G518" s="52"/>
      <c r="H518" s="189" t="s">
        <v>14</v>
      </c>
      <c r="I518" s="163"/>
      <c r="J518" s="163"/>
      <c r="K518" s="164"/>
      <c r="L518" s="256">
        <f ca="1">IFERROR(__xludf.DUMMYFUNCTION("IMPORTRANGE(""https://docs.google.com/spreadsheets/d/1-uDff_7J0KD5mKrp0Vvzr7lt3OU09vwQwhkpOPPYv2Y/edit?usp=sharing"",""งบพรบ!FM49"")"),0)</f>
        <v>0</v>
      </c>
      <c r="M518" s="255">
        <f ca="1">IFERROR(__xludf.DUMMYFUNCTION("IMPORTRANGE(""https://docs.google.com/spreadsheets/d/1-uDff_7J0KD5mKrp0Vvzr7lt3OU09vwQwhkpOPPYv2Y/edit?usp=sharing"",""งบพรบ!FR49"")"),0)</f>
        <v>0</v>
      </c>
      <c r="N518" s="255">
        <f ca="1">IFERROR(__xludf.DUMMYFUNCTION("IMPORTRANGE(""https://docs.google.com/spreadsheets/d/1-uDff_7J0KD5mKrp0Vvzr7lt3OU09vwQwhkpOPPYv2Y/edit?usp=sharing"",""งบพรบ!FT49"")"),0)</f>
        <v>0</v>
      </c>
      <c r="O518" s="255">
        <f ca="1">IF(L518&gt;0,N518*100/L518,0)</f>
        <v>0</v>
      </c>
      <c r="P518" s="255">
        <f ca="1">IF(M518&gt;0,N518*100/M518,0)</f>
        <v>0</v>
      </c>
      <c r="Q518" s="255">
        <v>0</v>
      </c>
      <c r="R518" s="255">
        <v>0</v>
      </c>
      <c r="S518" s="255">
        <v>0</v>
      </c>
      <c r="T518" s="255">
        <f>IF(Q518&gt;0,S518*100/Q518,0)</f>
        <v>0</v>
      </c>
      <c r="U518" s="255">
        <f>IF(R518&gt;0,S518*100/R518,0)</f>
        <v>0</v>
      </c>
    </row>
    <row r="519" spans="1:21" ht="18.75" hidden="1">
      <c r="A519" s="155"/>
      <c r="B519" s="50"/>
      <c r="C519" s="50"/>
      <c r="D519" s="592" t="s">
        <v>23</v>
      </c>
      <c r="E519" s="50"/>
      <c r="F519" s="50"/>
      <c r="G519" s="52"/>
      <c r="H519" s="421" t="s">
        <v>14</v>
      </c>
      <c r="I519" s="163"/>
      <c r="J519" s="163"/>
      <c r="K519" s="164"/>
      <c r="L519" s="256">
        <f ca="1">L520+L521</f>
        <v>0</v>
      </c>
      <c r="M519" s="255">
        <f ca="1">M520+M521</f>
        <v>0</v>
      </c>
      <c r="N519" s="255">
        <f ca="1">N520+N521</f>
        <v>0</v>
      </c>
      <c r="O519" s="255">
        <f ca="1">IF(L519&gt;0,N519*100/L519,0)</f>
        <v>0</v>
      </c>
      <c r="P519" s="255">
        <f ca="1">IF(M519&gt;0,N519*100/M519,0)</f>
        <v>0</v>
      </c>
      <c r="Q519" s="255">
        <f>Q520+Q521</f>
        <v>0</v>
      </c>
      <c r="R519" s="255">
        <f>R520+R521</f>
        <v>0</v>
      </c>
      <c r="S519" s="255">
        <f>S520+S521</f>
        <v>0</v>
      </c>
      <c r="T519" s="255">
        <f>IF(Q519&gt;0,S519*100/Q519,0)</f>
        <v>0</v>
      </c>
      <c r="U519" s="255">
        <f>IF(R519&gt;0,S519*100/R519,0)</f>
        <v>0</v>
      </c>
    </row>
    <row r="520" spans="1:21" ht="18.75" hidden="1">
      <c r="A520" s="155"/>
      <c r="B520" s="50"/>
      <c r="C520" s="50"/>
      <c r="D520" s="50"/>
      <c r="E520" s="186" t="s">
        <v>20</v>
      </c>
      <c r="F520" s="50"/>
      <c r="G520" s="52"/>
      <c r="H520" s="189" t="s">
        <v>14</v>
      </c>
      <c r="I520" s="163"/>
      <c r="J520" s="163"/>
      <c r="K520" s="164"/>
      <c r="L520" s="103">
        <v>0</v>
      </c>
      <c r="M520" s="102">
        <v>0</v>
      </c>
      <c r="N520" s="102">
        <v>0</v>
      </c>
      <c r="O520" s="102">
        <f>IF(L520&gt;0,N520*100/L520,0)</f>
        <v>0</v>
      </c>
      <c r="P520" s="102">
        <f>IF(M520&gt;0,N520*100/M520,0)</f>
        <v>0</v>
      </c>
      <c r="Q520" s="102">
        <v>0</v>
      </c>
      <c r="R520" s="102">
        <v>0</v>
      </c>
      <c r="S520" s="102">
        <v>0</v>
      </c>
      <c r="T520" s="102">
        <f>IF(Q520&gt;0,S520*100/Q520,0)</f>
        <v>0</v>
      </c>
      <c r="U520" s="102">
        <f>IF(R520&gt;0,S520*100/R520,0)</f>
        <v>0</v>
      </c>
    </row>
    <row r="521" spans="1:21" ht="18.75" hidden="1">
      <c r="A521" s="155"/>
      <c r="B521" s="50"/>
      <c r="C521" s="50"/>
      <c r="D521" s="50"/>
      <c r="E521" s="186" t="s">
        <v>21</v>
      </c>
      <c r="F521" s="50"/>
      <c r="G521" s="52"/>
      <c r="H521" s="421" t="s">
        <v>14</v>
      </c>
      <c r="I521" s="163"/>
      <c r="J521" s="163"/>
      <c r="K521" s="164"/>
      <c r="L521" s="256">
        <f ca="1">IFERROR(__xludf.DUMMYFUNCTION("IMPORTRANGE(""https://docs.google.com/spreadsheets/d/1-uDff_7J0KD5mKrp0Vvzr7lt3OU09vwQwhkpOPPYv2Y/edit?usp=sharing"",""งบพรบ!FP49"")"),0)</f>
        <v>0</v>
      </c>
      <c r="M521" s="255">
        <f ca="1">IFERROR(__xludf.DUMMYFUNCTION("IMPORTRANGE(""https://docs.google.com/spreadsheets/d/1-uDff_7J0KD5mKrp0Vvzr7lt3OU09vwQwhkpOPPYv2Y/edit?usp=sharing"",""งบพรบ!FS49"")"),0)</f>
        <v>0</v>
      </c>
      <c r="N521" s="255">
        <f ca="1">IFERROR(__xludf.DUMMYFUNCTION("IMPORTRANGE(""https://docs.google.com/spreadsheets/d/1-uDff_7J0KD5mKrp0Vvzr7lt3OU09vwQwhkpOPPYv2Y/edit?usp=sharing"",""งบพรบ!FU49"")"),0)</f>
        <v>0</v>
      </c>
      <c r="O521" s="255">
        <f ca="1">IF(L521&gt;0,N521*100/L521,0)</f>
        <v>0</v>
      </c>
      <c r="P521" s="255">
        <f ca="1">IF(M521&gt;0,N521*100/M521,0)</f>
        <v>0</v>
      </c>
      <c r="Q521" s="255">
        <v>0</v>
      </c>
      <c r="R521" s="255">
        <v>0</v>
      </c>
      <c r="S521" s="255">
        <v>0</v>
      </c>
      <c r="T521" s="255">
        <f>IF(Q521&gt;0,S521*100/Q521,0)</f>
        <v>0</v>
      </c>
      <c r="U521" s="255">
        <f>IF(R521&gt;0,S521*100/R521,0)</f>
        <v>0</v>
      </c>
    </row>
    <row r="522" spans="1:21" ht="19.5" hidden="1">
      <c r="A522" s="166"/>
      <c r="B522" s="167"/>
      <c r="C522" s="591" t="s">
        <v>18</v>
      </c>
      <c r="D522" s="574" t="s">
        <v>38</v>
      </c>
      <c r="E522" s="169"/>
      <c r="F522" s="169"/>
      <c r="G522" s="170"/>
      <c r="H522" s="171"/>
      <c r="I522" s="163"/>
      <c r="J522" s="54"/>
      <c r="K522" s="55"/>
      <c r="L522" s="62"/>
      <c r="M522" s="55"/>
      <c r="N522" s="55"/>
      <c r="O522" s="164"/>
      <c r="P522" s="164"/>
      <c r="Q522" s="55"/>
      <c r="R522" s="55"/>
      <c r="S522" s="55"/>
      <c r="T522" s="164"/>
      <c r="U522" s="164"/>
    </row>
    <row r="523" spans="1:21" ht="18.75" hidden="1">
      <c r="A523" s="238"/>
      <c r="B523" s="50"/>
      <c r="C523" s="188"/>
      <c r="D523" s="207" t="s">
        <v>209</v>
      </c>
      <c r="E523" s="167"/>
      <c r="F523" s="50"/>
      <c r="G523" s="52"/>
      <c r="H523" s="590" t="s">
        <v>11</v>
      </c>
      <c r="I523" s="483">
        <v>0</v>
      </c>
      <c r="J523" s="589">
        <v>0</v>
      </c>
      <c r="K523" s="102">
        <f>IF(I523&gt;0,J523*100/I523,0)</f>
        <v>0</v>
      </c>
      <c r="L523" s="62"/>
      <c r="M523" s="55"/>
      <c r="N523" s="55"/>
      <c r="O523" s="55"/>
      <c r="P523" s="55"/>
      <c r="Q523" s="55"/>
      <c r="R523" s="55"/>
      <c r="S523" s="55"/>
      <c r="T523" s="55"/>
      <c r="U523" s="55"/>
    </row>
    <row r="524" spans="1:21" ht="18.75" hidden="1">
      <c r="A524" s="374"/>
      <c r="B524" s="4"/>
      <c r="C524" s="5"/>
      <c r="D524" s="588" t="s">
        <v>210</v>
      </c>
      <c r="E524" s="282"/>
      <c r="F524" s="4"/>
      <c r="G524" s="65"/>
      <c r="H524" s="587" t="s">
        <v>61</v>
      </c>
      <c r="I524" s="486">
        <v>0</v>
      </c>
      <c r="J524" s="586">
        <v>0</v>
      </c>
      <c r="K524" s="585">
        <f>IF(I524&gt;0,J524*100/I524,0)</f>
        <v>0</v>
      </c>
      <c r="L524" s="62"/>
      <c r="M524" s="55"/>
      <c r="N524" s="55"/>
      <c r="O524" s="55"/>
      <c r="P524" s="55"/>
      <c r="Q524" s="55"/>
      <c r="R524" s="55"/>
      <c r="S524" s="55"/>
      <c r="T524" s="55"/>
      <c r="U524" s="55"/>
    </row>
    <row r="525" spans="1:21" ht="12.75" hidden="1">
      <c r="A525" s="584"/>
      <c r="B525" s="583"/>
      <c r="C525" s="583"/>
      <c r="D525" s="582"/>
      <c r="E525" s="582"/>
      <c r="F525" s="582"/>
      <c r="G525" s="581"/>
      <c r="H525" s="580"/>
      <c r="I525" s="579"/>
      <c r="J525" s="579"/>
      <c r="K525" s="578"/>
      <c r="L525" s="265"/>
      <c r="M525" s="264"/>
      <c r="N525" s="264"/>
      <c r="O525" s="264"/>
      <c r="P525" s="264"/>
      <c r="Q525" s="264"/>
      <c r="R525" s="264"/>
      <c r="S525" s="264"/>
      <c r="T525" s="264"/>
      <c r="U525" s="264"/>
    </row>
    <row r="526" spans="1:21" ht="12.75" hidden="1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5"/>
      <c r="M526" s="264"/>
      <c r="N526" s="264"/>
      <c r="O526" s="264"/>
      <c r="P526" s="264"/>
      <c r="Q526" s="264"/>
      <c r="R526" s="264"/>
      <c r="S526" s="264"/>
      <c r="T526" s="264"/>
      <c r="U526" s="264"/>
    </row>
    <row r="527" spans="1:21" ht="12.75" hidden="1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5"/>
      <c r="M527" s="264"/>
      <c r="N527" s="264"/>
      <c r="O527" s="264"/>
      <c r="P527" s="264"/>
      <c r="Q527" s="264"/>
      <c r="R527" s="264"/>
      <c r="S527" s="264"/>
      <c r="T527" s="264"/>
      <c r="U527" s="264"/>
    </row>
    <row r="528" spans="1:21" ht="12.75" hidden="1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5"/>
      <c r="M528" s="264"/>
      <c r="N528" s="264"/>
      <c r="O528" s="264"/>
      <c r="P528" s="264"/>
      <c r="Q528" s="264"/>
      <c r="R528" s="264"/>
      <c r="S528" s="264"/>
      <c r="T528" s="264"/>
      <c r="U528" s="264"/>
    </row>
    <row r="529" spans="1:21" ht="12.75" hidden="1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5"/>
      <c r="M529" s="264"/>
      <c r="N529" s="264"/>
      <c r="O529" s="264"/>
      <c r="P529" s="264"/>
      <c r="Q529" s="264"/>
      <c r="R529" s="264"/>
      <c r="S529" s="264"/>
      <c r="T529" s="264"/>
      <c r="U529" s="264"/>
    </row>
    <row r="530" spans="1:21" ht="12.75" hidden="1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5"/>
      <c r="M530" s="264"/>
      <c r="N530" s="264"/>
      <c r="O530" s="264"/>
      <c r="P530" s="264"/>
      <c r="Q530" s="264"/>
      <c r="R530" s="264"/>
      <c r="S530" s="264"/>
      <c r="T530" s="264"/>
      <c r="U530" s="264"/>
    </row>
    <row r="531" spans="1:21" ht="12.75" hidden="1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5"/>
      <c r="M531" s="264"/>
      <c r="N531" s="264"/>
      <c r="O531" s="264"/>
      <c r="P531" s="264"/>
      <c r="Q531" s="264"/>
      <c r="R531" s="264"/>
      <c r="S531" s="264"/>
      <c r="T531" s="264"/>
      <c r="U531" s="264"/>
    </row>
    <row r="532" spans="1:21" ht="12.75" hidden="1">
      <c r="A532" s="407"/>
      <c r="B532" s="360"/>
      <c r="C532" s="360"/>
      <c r="D532" s="408"/>
      <c r="E532" s="408"/>
      <c r="F532" s="408"/>
      <c r="G532" s="409"/>
      <c r="H532" s="361"/>
      <c r="I532" s="362"/>
      <c r="J532" s="362"/>
      <c r="K532" s="363"/>
      <c r="L532" s="364"/>
      <c r="M532" s="363"/>
      <c r="N532" s="363"/>
      <c r="O532" s="363"/>
      <c r="P532" s="363"/>
      <c r="Q532" s="363"/>
      <c r="R532" s="363"/>
      <c r="S532" s="363"/>
      <c r="T532" s="363"/>
      <c r="U532" s="363"/>
    </row>
    <row r="533" spans="1:21" ht="19.5" hidden="1">
      <c r="A533" s="395"/>
      <c r="B533" s="396" t="s">
        <v>211</v>
      </c>
      <c r="C533" s="397"/>
      <c r="D533" s="398"/>
      <c r="E533" s="398"/>
      <c r="F533" s="398"/>
      <c r="G533" s="399"/>
      <c r="H533" s="410" t="s">
        <v>61</v>
      </c>
      <c r="I533" s="577">
        <f>I545</f>
        <v>0</v>
      </c>
      <c r="J533" s="577">
        <f>J545</f>
        <v>0</v>
      </c>
      <c r="K533" s="576">
        <f>IF(I533&gt;0,J533*100/I533,0)</f>
        <v>0</v>
      </c>
      <c r="L533" s="404"/>
      <c r="M533" s="403"/>
      <c r="N533" s="403"/>
      <c r="O533" s="403"/>
      <c r="P533" s="403"/>
      <c r="Q533" s="403"/>
      <c r="R533" s="403"/>
      <c r="S533" s="403"/>
      <c r="T533" s="403"/>
      <c r="U533" s="403"/>
    </row>
    <row r="534" spans="1:21" ht="19.5" hidden="1">
      <c r="A534" s="155"/>
      <c r="B534" s="50"/>
      <c r="C534" s="156" t="s">
        <v>18</v>
      </c>
      <c r="D534" s="575" t="s">
        <v>19</v>
      </c>
      <c r="E534" s="50"/>
      <c r="F534" s="50"/>
      <c r="G534" s="52"/>
      <c r="H534" s="158" t="s">
        <v>14</v>
      </c>
      <c r="I534" s="54"/>
      <c r="J534" s="54"/>
      <c r="K534" s="55"/>
      <c r="L534" s="541">
        <f>L535+L536</f>
        <v>0</v>
      </c>
      <c r="M534" s="540">
        <f>M535+M536</f>
        <v>0</v>
      </c>
      <c r="N534" s="540">
        <f>N535+N536</f>
        <v>0</v>
      </c>
      <c r="O534" s="540">
        <f>IF(L534&gt;0,N534*100/L534,0)</f>
        <v>0</v>
      </c>
      <c r="P534" s="540">
        <f>IF(M534&gt;0,N534*100/M534,0)</f>
        <v>0</v>
      </c>
      <c r="Q534" s="540">
        <f>Q535+Q536</f>
        <v>0</v>
      </c>
      <c r="R534" s="540">
        <f>R535+R536</f>
        <v>0</v>
      </c>
      <c r="S534" s="540">
        <f>S535+S536</f>
        <v>0</v>
      </c>
      <c r="T534" s="540">
        <f>IF(Q534&gt;0,S534*100/Q534,0)</f>
        <v>0</v>
      </c>
      <c r="U534" s="540">
        <f>IF(R534&gt;0,S534*100/R534,0)</f>
        <v>0</v>
      </c>
    </row>
    <row r="535" spans="1:21" ht="18.75" hidden="1">
      <c r="A535" s="155"/>
      <c r="B535" s="188"/>
      <c r="C535" s="50"/>
      <c r="D535" s="50"/>
      <c r="E535" s="186" t="s">
        <v>20</v>
      </c>
      <c r="F535" s="50"/>
      <c r="G535" s="52"/>
      <c r="H535" s="187" t="s">
        <v>14</v>
      </c>
      <c r="I535" s="54"/>
      <c r="J535" s="54"/>
      <c r="K535" s="55"/>
      <c r="L535" s="103">
        <f>L538+L541</f>
        <v>0</v>
      </c>
      <c r="M535" s="102">
        <f>M538+M541</f>
        <v>0</v>
      </c>
      <c r="N535" s="102">
        <f>N538+N541</f>
        <v>0</v>
      </c>
      <c r="O535" s="102">
        <f>IF(L535&gt;0,N535*100/L535,0)</f>
        <v>0</v>
      </c>
      <c r="P535" s="102">
        <f>IF(M535&gt;0,N535*100/M535,0)</f>
        <v>0</v>
      </c>
      <c r="Q535" s="102">
        <f>Q538+Q541</f>
        <v>0</v>
      </c>
      <c r="R535" s="102">
        <f>R538+R541</f>
        <v>0</v>
      </c>
      <c r="S535" s="102">
        <f>S538+S541</f>
        <v>0</v>
      </c>
      <c r="T535" s="102">
        <f>IF(Q535&gt;0,S535*100/Q535,0)</f>
        <v>0</v>
      </c>
      <c r="U535" s="102">
        <f>IF(R535&gt;0,S535*100/R535,0)</f>
        <v>0</v>
      </c>
    </row>
    <row r="536" spans="1:21" ht="18.75" hidden="1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256">
        <f>L539+L542</f>
        <v>0</v>
      </c>
      <c r="M536" s="255">
        <f>M539+M542</f>
        <v>0</v>
      </c>
      <c r="N536" s="255">
        <f>N539+N542</f>
        <v>0</v>
      </c>
      <c r="O536" s="255">
        <f>IF(L536&gt;0,N536*100/L536,0)</f>
        <v>0</v>
      </c>
      <c r="P536" s="255">
        <f>IF(M536&gt;0,N536*100/M536,0)</f>
        <v>0</v>
      </c>
      <c r="Q536" s="255">
        <f>Q539+Q542</f>
        <v>0</v>
      </c>
      <c r="R536" s="255">
        <f>R539+R542</f>
        <v>0</v>
      </c>
      <c r="S536" s="255">
        <f>S539+S542</f>
        <v>0</v>
      </c>
      <c r="T536" s="255">
        <f>IF(Q536&gt;0,S536*100/Q536,0)</f>
        <v>0</v>
      </c>
      <c r="U536" s="255">
        <f>IF(R536&gt;0,S536*100/R536,0)</f>
        <v>0</v>
      </c>
    </row>
    <row r="537" spans="1:21" ht="18.75" hidden="1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256">
        <f>L538+L539</f>
        <v>0</v>
      </c>
      <c r="M537" s="255">
        <f>M538+M539</f>
        <v>0</v>
      </c>
      <c r="N537" s="255">
        <f>N538+N539</f>
        <v>0</v>
      </c>
      <c r="O537" s="255">
        <f>IF(L537&gt;0,N537*100/L537,0)</f>
        <v>0</v>
      </c>
      <c r="P537" s="255">
        <f>IF(M537&gt;0,N537*100/M537,0)</f>
        <v>0</v>
      </c>
      <c r="Q537" s="255">
        <f>Q538+Q539</f>
        <v>0</v>
      </c>
      <c r="R537" s="255">
        <f>R538+R539</f>
        <v>0</v>
      </c>
      <c r="S537" s="255">
        <f>S538+S539</f>
        <v>0</v>
      </c>
      <c r="T537" s="255">
        <f>IF(Q537&gt;0,S537*100/Q537,0)</f>
        <v>0</v>
      </c>
      <c r="U537" s="255">
        <f>IF(R537&gt;0,S537*100/R537,0)</f>
        <v>0</v>
      </c>
    </row>
    <row r="538" spans="1:21" ht="18.75" hidden="1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103">
        <v>0</v>
      </c>
      <c r="M538" s="102">
        <v>0</v>
      </c>
      <c r="N538" s="102">
        <v>0</v>
      </c>
      <c r="O538" s="102">
        <f>IF(L538&gt;0,N538*100/L538,0)</f>
        <v>0</v>
      </c>
      <c r="P538" s="102">
        <f>IF(M538&gt;0,N538*100/M538,0)</f>
        <v>0</v>
      </c>
      <c r="Q538" s="102">
        <v>0</v>
      </c>
      <c r="R538" s="102">
        <v>0</v>
      </c>
      <c r="S538" s="102">
        <v>0</v>
      </c>
      <c r="T538" s="102">
        <f>IF(Q538&gt;0,S538*100/Q538,0)</f>
        <v>0</v>
      </c>
      <c r="U538" s="102">
        <f>IF(R538&gt;0,S538*100/R538,0)</f>
        <v>0</v>
      </c>
    </row>
    <row r="539" spans="1:21" ht="18.75" hidden="1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256">
        <v>0</v>
      </c>
      <c r="M539" s="255">
        <v>0</v>
      </c>
      <c r="N539" s="255">
        <v>0</v>
      </c>
      <c r="O539" s="255">
        <f>IF(L539&gt;0,N539*100/L539,0)</f>
        <v>0</v>
      </c>
      <c r="P539" s="255">
        <f>IF(M539&gt;0,N539*100/M539,0)</f>
        <v>0</v>
      </c>
      <c r="Q539" s="255">
        <v>0</v>
      </c>
      <c r="R539" s="255">
        <v>0</v>
      </c>
      <c r="S539" s="255">
        <v>0</v>
      </c>
      <c r="T539" s="255">
        <f>IF(Q539&gt;0,S539*100/Q539,0)</f>
        <v>0</v>
      </c>
      <c r="U539" s="255">
        <f>IF(R539&gt;0,S539*100/R539,0)</f>
        <v>0</v>
      </c>
    </row>
    <row r="540" spans="1:21" ht="18.75" hidden="1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256">
        <f>L541+L542</f>
        <v>0</v>
      </c>
      <c r="M540" s="255">
        <f>M541+M542</f>
        <v>0</v>
      </c>
      <c r="N540" s="255">
        <f>N541+N542</f>
        <v>0</v>
      </c>
      <c r="O540" s="255">
        <f>IF(L540&gt;0,N540*100/L540,0)</f>
        <v>0</v>
      </c>
      <c r="P540" s="255">
        <f>IF(M540&gt;0,N540*100/M540,0)</f>
        <v>0</v>
      </c>
      <c r="Q540" s="255">
        <f>Q541+Q542</f>
        <v>0</v>
      </c>
      <c r="R540" s="255">
        <f>R541+R542</f>
        <v>0</v>
      </c>
      <c r="S540" s="255">
        <f>S541+S542</f>
        <v>0</v>
      </c>
      <c r="T540" s="255">
        <f>IF(Q540&gt;0,S540*100/Q540,0)</f>
        <v>0</v>
      </c>
      <c r="U540" s="255">
        <f>IF(R540&gt;0,S540*100/R540,0)</f>
        <v>0</v>
      </c>
    </row>
    <row r="541" spans="1:21" ht="18.75" hidden="1">
      <c r="A541" s="155"/>
      <c r="B541" s="50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103">
        <v>0</v>
      </c>
      <c r="M541" s="102">
        <v>0</v>
      </c>
      <c r="N541" s="102">
        <v>0</v>
      </c>
      <c r="O541" s="102">
        <f>IF(L541&gt;0,N541*100/L541,0)</f>
        <v>0</v>
      </c>
      <c r="P541" s="102">
        <f>IF(M541&gt;0,N541*100/M541,0)</f>
        <v>0</v>
      </c>
      <c r="Q541" s="102">
        <v>0</v>
      </c>
      <c r="R541" s="102">
        <v>0</v>
      </c>
      <c r="S541" s="102">
        <v>0</v>
      </c>
      <c r="T541" s="102">
        <f>IF(Q541&gt;0,S541*100/Q541,0)</f>
        <v>0</v>
      </c>
      <c r="U541" s="102">
        <f>IF(R541&gt;0,S541*100/R541,0)</f>
        <v>0</v>
      </c>
    </row>
    <row r="542" spans="1:21" ht="18.75" hidden="1">
      <c r="A542" s="155"/>
      <c r="B542" s="50"/>
      <c r="C542" s="50"/>
      <c r="D542" s="50"/>
      <c r="E542" s="58" t="s">
        <v>21</v>
      </c>
      <c r="F542" s="50"/>
      <c r="G542" s="52"/>
      <c r="H542" s="165" t="s">
        <v>14</v>
      </c>
      <c r="I542" s="163"/>
      <c r="J542" s="163"/>
      <c r="K542" s="164"/>
      <c r="L542" s="256">
        <v>0</v>
      </c>
      <c r="M542" s="255">
        <v>0</v>
      </c>
      <c r="N542" s="255">
        <v>0</v>
      </c>
      <c r="O542" s="255">
        <f>IF(L542&gt;0,N542*100/L542,0)</f>
        <v>0</v>
      </c>
      <c r="P542" s="255">
        <f>IF(M542&gt;0,N542*100/M542,0)</f>
        <v>0</v>
      </c>
      <c r="Q542" s="255">
        <v>0</v>
      </c>
      <c r="R542" s="255">
        <v>0</v>
      </c>
      <c r="S542" s="255">
        <v>0</v>
      </c>
      <c r="T542" s="255">
        <f>IF(Q542&gt;0,S542*100/Q542,0)</f>
        <v>0</v>
      </c>
      <c r="U542" s="255">
        <f>IF(R542&gt;0,S542*100/R542,0)</f>
        <v>0</v>
      </c>
    </row>
    <row r="543" spans="1:21" ht="19.5" hidden="1">
      <c r="A543" s="166"/>
      <c r="B543" s="167"/>
      <c r="C543" s="411" t="s">
        <v>18</v>
      </c>
      <c r="D543" s="566" t="s">
        <v>38</v>
      </c>
      <c r="E543" s="169"/>
      <c r="F543" s="169"/>
      <c r="G543" s="170"/>
      <c r="H543" s="171"/>
      <c r="I543" s="163"/>
      <c r="J543" s="54"/>
      <c r="K543" s="55"/>
      <c r="L543" s="62"/>
      <c r="M543" s="55"/>
      <c r="N543" s="55"/>
      <c r="O543" s="164"/>
      <c r="P543" s="164"/>
      <c r="Q543" s="55"/>
      <c r="R543" s="55"/>
      <c r="S543" s="55"/>
      <c r="T543" s="164"/>
      <c r="U543" s="164"/>
    </row>
    <row r="544" spans="1:21" ht="12.75" hidden="1">
      <c r="A544" s="258"/>
      <c r="B544" s="260"/>
      <c r="C544" s="259"/>
      <c r="D544" s="260"/>
      <c r="E544" s="259"/>
      <c r="F544" s="260"/>
      <c r="G544" s="261"/>
      <c r="H544" s="261"/>
      <c r="I544" s="263"/>
      <c r="J544" s="263"/>
      <c r="K544" s="264"/>
      <c r="L544" s="265"/>
      <c r="M544" s="264"/>
      <c r="N544" s="264"/>
      <c r="O544" s="264"/>
      <c r="P544" s="264"/>
      <c r="Q544" s="264"/>
      <c r="R544" s="264"/>
      <c r="S544" s="264"/>
      <c r="T544" s="264"/>
      <c r="U544" s="264"/>
    </row>
    <row r="545" spans="1:21" ht="12.75" hidden="1">
      <c r="A545" s="258"/>
      <c r="B545" s="260"/>
      <c r="C545" s="259"/>
      <c r="D545" s="260"/>
      <c r="E545" s="259"/>
      <c r="F545" s="260"/>
      <c r="G545" s="261"/>
      <c r="H545" s="261"/>
      <c r="I545" s="263"/>
      <c r="J545" s="263"/>
      <c r="K545" s="264"/>
      <c r="L545" s="265"/>
      <c r="M545" s="264"/>
      <c r="N545" s="264"/>
      <c r="O545" s="264"/>
      <c r="P545" s="264"/>
      <c r="Q545" s="264"/>
      <c r="R545" s="264"/>
      <c r="S545" s="264"/>
      <c r="T545" s="264"/>
      <c r="U545" s="264"/>
    </row>
    <row r="546" spans="1:21" ht="12.75" hidden="1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5"/>
      <c r="M546" s="264"/>
      <c r="N546" s="264"/>
      <c r="O546" s="264"/>
      <c r="P546" s="264"/>
      <c r="Q546" s="264"/>
      <c r="R546" s="264"/>
      <c r="S546" s="264"/>
      <c r="T546" s="264"/>
      <c r="U546" s="264"/>
    </row>
    <row r="547" spans="1:21" ht="12.75" hidden="1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5"/>
      <c r="M547" s="264"/>
      <c r="N547" s="264"/>
      <c r="O547" s="264"/>
      <c r="P547" s="264"/>
      <c r="Q547" s="264"/>
      <c r="R547" s="264"/>
      <c r="S547" s="264"/>
      <c r="T547" s="264"/>
      <c r="U547" s="264"/>
    </row>
    <row r="548" spans="1:21" ht="12.75" hidden="1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5"/>
      <c r="M548" s="264"/>
      <c r="N548" s="264"/>
      <c r="O548" s="264"/>
      <c r="P548" s="264"/>
      <c r="Q548" s="264"/>
      <c r="R548" s="264"/>
      <c r="S548" s="264"/>
      <c r="T548" s="264"/>
      <c r="U548" s="264"/>
    </row>
    <row r="549" spans="1:21" ht="12.75" hidden="1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5"/>
      <c r="M549" s="264"/>
      <c r="N549" s="264"/>
      <c r="O549" s="264"/>
      <c r="P549" s="264"/>
      <c r="Q549" s="264"/>
      <c r="R549" s="264"/>
      <c r="S549" s="264"/>
      <c r="T549" s="264"/>
      <c r="U549" s="264"/>
    </row>
    <row r="550" spans="1:21" ht="12.75" hidden="1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5"/>
      <c r="M550" s="264"/>
      <c r="N550" s="264"/>
      <c r="O550" s="264"/>
      <c r="P550" s="264"/>
      <c r="Q550" s="264"/>
      <c r="R550" s="264"/>
      <c r="S550" s="264"/>
      <c r="T550" s="264"/>
      <c r="U550" s="264"/>
    </row>
    <row r="551" spans="1:21" ht="12.75" hidden="1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5"/>
      <c r="M551" s="264"/>
      <c r="N551" s="264"/>
      <c r="O551" s="264"/>
      <c r="P551" s="264"/>
      <c r="Q551" s="264"/>
      <c r="R551" s="264"/>
      <c r="S551" s="264"/>
      <c r="T551" s="264"/>
      <c r="U551" s="264"/>
    </row>
    <row r="552" spans="1:21" ht="12.75" hidden="1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5"/>
      <c r="M552" s="264"/>
      <c r="N552" s="264"/>
      <c r="O552" s="264"/>
      <c r="P552" s="264"/>
      <c r="Q552" s="264"/>
      <c r="R552" s="264"/>
      <c r="S552" s="264"/>
      <c r="T552" s="264"/>
      <c r="U552" s="264"/>
    </row>
    <row r="553" spans="1:21" ht="12.75" hidden="1">
      <c r="A553" s="407"/>
      <c r="B553" s="360"/>
      <c r="C553" s="360"/>
      <c r="D553" s="408"/>
      <c r="E553" s="408"/>
      <c r="F553" s="408"/>
      <c r="G553" s="409"/>
      <c r="H553" s="361"/>
      <c r="I553" s="362"/>
      <c r="J553" s="362"/>
      <c r="K553" s="363"/>
      <c r="L553" s="364"/>
      <c r="M553" s="363"/>
      <c r="N553" s="363"/>
      <c r="O553" s="363"/>
      <c r="P553" s="363"/>
      <c r="Q553" s="363"/>
      <c r="R553" s="363"/>
      <c r="S553" s="363"/>
      <c r="T553" s="363"/>
      <c r="U553" s="363"/>
    </row>
    <row r="554" spans="1:21" ht="19.5" hidden="1">
      <c r="A554" s="395"/>
      <c r="B554" s="396" t="s">
        <v>212</v>
      </c>
      <c r="C554" s="397"/>
      <c r="D554" s="398"/>
      <c r="E554" s="398"/>
      <c r="F554" s="398"/>
      <c r="G554" s="399"/>
      <c r="H554" s="410" t="s">
        <v>61</v>
      </c>
      <c r="I554" s="577">
        <f>I566</f>
        <v>0</v>
      </c>
      <c r="J554" s="577">
        <f>J566</f>
        <v>0</v>
      </c>
      <c r="K554" s="576">
        <f>IF(I554&gt;0,J554*100/I554,0)</f>
        <v>0</v>
      </c>
      <c r="L554" s="404"/>
      <c r="M554" s="403"/>
      <c r="N554" s="403"/>
      <c r="O554" s="403"/>
      <c r="P554" s="403"/>
      <c r="Q554" s="403"/>
      <c r="R554" s="403"/>
      <c r="S554" s="403"/>
      <c r="T554" s="403"/>
      <c r="U554" s="403"/>
    </row>
    <row r="555" spans="1:21" ht="19.5" hidden="1">
      <c r="A555" s="155"/>
      <c r="B555" s="50"/>
      <c r="C555" s="156" t="s">
        <v>18</v>
      </c>
      <c r="D555" s="575" t="s">
        <v>19</v>
      </c>
      <c r="E555" s="50"/>
      <c r="F555" s="50"/>
      <c r="G555" s="52"/>
      <c r="H555" s="158" t="s">
        <v>14</v>
      </c>
      <c r="I555" s="54"/>
      <c r="J555" s="54"/>
      <c r="K555" s="55"/>
      <c r="L555" s="541">
        <f>L556+L557</f>
        <v>0</v>
      </c>
      <c r="M555" s="540">
        <f>M556+M557</f>
        <v>0</v>
      </c>
      <c r="N555" s="540">
        <f>N556+N557</f>
        <v>0</v>
      </c>
      <c r="O555" s="540">
        <f>IF(L555&gt;0,N555*100/L555,0)</f>
        <v>0</v>
      </c>
      <c r="P555" s="540">
        <f>IF(M555&gt;0,N555*100/M555,0)</f>
        <v>0</v>
      </c>
      <c r="Q555" s="540">
        <f>Q556+Q557</f>
        <v>0</v>
      </c>
      <c r="R555" s="540">
        <f>R556+R557</f>
        <v>0</v>
      </c>
      <c r="S555" s="540">
        <f>S556+S557</f>
        <v>0</v>
      </c>
      <c r="T555" s="540">
        <f>IF(Q555&gt;0,S555*100/Q555,0)</f>
        <v>0</v>
      </c>
      <c r="U555" s="540">
        <f>IF(R555&gt;0,S555*100/R555,0)</f>
        <v>0</v>
      </c>
    </row>
    <row r="556" spans="1:21" ht="18.75" hidden="1">
      <c r="A556" s="155"/>
      <c r="B556" s="188"/>
      <c r="C556" s="50"/>
      <c r="D556" s="50"/>
      <c r="E556" s="186" t="s">
        <v>20</v>
      </c>
      <c r="F556" s="50"/>
      <c r="G556" s="52"/>
      <c r="H556" s="187" t="s">
        <v>14</v>
      </c>
      <c r="I556" s="54"/>
      <c r="J556" s="54"/>
      <c r="K556" s="55"/>
      <c r="L556" s="103">
        <f>L559+L562</f>
        <v>0</v>
      </c>
      <c r="M556" s="102">
        <f>M559+M562</f>
        <v>0</v>
      </c>
      <c r="N556" s="102">
        <f>N559+N562</f>
        <v>0</v>
      </c>
      <c r="O556" s="102">
        <f>IF(L556&gt;0,N556*100/L556,0)</f>
        <v>0</v>
      </c>
      <c r="P556" s="102">
        <f>IF(M556&gt;0,N556*100/M556,0)</f>
        <v>0</v>
      </c>
      <c r="Q556" s="102">
        <f>Q559+Q562</f>
        <v>0</v>
      </c>
      <c r="R556" s="102">
        <f>R559+R562</f>
        <v>0</v>
      </c>
      <c r="S556" s="102">
        <f>S559+S562</f>
        <v>0</v>
      </c>
      <c r="T556" s="102">
        <f>IF(Q556&gt;0,S556*100/Q556,0)</f>
        <v>0</v>
      </c>
      <c r="U556" s="102">
        <f>IF(R556&gt;0,S556*100/R556,0)</f>
        <v>0</v>
      </c>
    </row>
    <row r="557" spans="1:21" ht="18.75" hidden="1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256">
        <f>L560+L563</f>
        <v>0</v>
      </c>
      <c r="M557" s="255">
        <f>M560+M563</f>
        <v>0</v>
      </c>
      <c r="N557" s="255">
        <f>N560+N563</f>
        <v>0</v>
      </c>
      <c r="O557" s="255">
        <f>IF(L557&gt;0,N557*100/L557,0)</f>
        <v>0</v>
      </c>
      <c r="P557" s="255">
        <f>IF(M557&gt;0,N557*100/M557,0)</f>
        <v>0</v>
      </c>
      <c r="Q557" s="255">
        <f>Q560+Q563</f>
        <v>0</v>
      </c>
      <c r="R557" s="255">
        <f>R560+R563</f>
        <v>0</v>
      </c>
      <c r="S557" s="255">
        <f>S560+S563</f>
        <v>0</v>
      </c>
      <c r="T557" s="255">
        <f>IF(Q557&gt;0,S557*100/Q557,0)</f>
        <v>0</v>
      </c>
      <c r="U557" s="255">
        <f>IF(R557&gt;0,S557*100/R557,0)</f>
        <v>0</v>
      </c>
    </row>
    <row r="558" spans="1:21" ht="18.75" hidden="1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256">
        <f>L559+L560</f>
        <v>0</v>
      </c>
      <c r="M558" s="255">
        <f>M559+M560</f>
        <v>0</v>
      </c>
      <c r="N558" s="255">
        <f>N559+N560</f>
        <v>0</v>
      </c>
      <c r="O558" s="255">
        <f>IF(L558&gt;0,N558*100/L558,0)</f>
        <v>0</v>
      </c>
      <c r="P558" s="255">
        <f>IF(M558&gt;0,N558*100/M558,0)</f>
        <v>0</v>
      </c>
      <c r="Q558" s="255">
        <f>Q559+Q560</f>
        <v>0</v>
      </c>
      <c r="R558" s="255">
        <f>R559+R560</f>
        <v>0</v>
      </c>
      <c r="S558" s="255">
        <f>S559+S560</f>
        <v>0</v>
      </c>
      <c r="T558" s="255">
        <f>IF(Q558&gt;0,S558*100/Q558,0)</f>
        <v>0</v>
      </c>
      <c r="U558" s="255">
        <f>IF(R558&gt;0,S558*100/R558,0)</f>
        <v>0</v>
      </c>
    </row>
    <row r="559" spans="1:21" ht="18.75" hidden="1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103">
        <v>0</v>
      </c>
      <c r="M559" s="102">
        <v>0</v>
      </c>
      <c r="N559" s="102">
        <v>0</v>
      </c>
      <c r="O559" s="102">
        <f>IF(L559&gt;0,N559*100/L559,0)</f>
        <v>0</v>
      </c>
      <c r="P559" s="102">
        <f>IF(M559&gt;0,N559*100/M559,0)</f>
        <v>0</v>
      </c>
      <c r="Q559" s="102">
        <v>0</v>
      </c>
      <c r="R559" s="102">
        <v>0</v>
      </c>
      <c r="S559" s="102">
        <v>0</v>
      </c>
      <c r="T559" s="102">
        <f>IF(Q559&gt;0,S559*100/Q559,0)</f>
        <v>0</v>
      </c>
      <c r="U559" s="102">
        <f>IF(R559&gt;0,S559*100/R559,0)</f>
        <v>0</v>
      </c>
    </row>
    <row r="560" spans="1:21" ht="18.75" hidden="1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256">
        <v>0</v>
      </c>
      <c r="M560" s="255">
        <v>0</v>
      </c>
      <c r="N560" s="255">
        <v>0</v>
      </c>
      <c r="O560" s="255">
        <f>IF(L560&gt;0,N560*100/L560,0)</f>
        <v>0</v>
      </c>
      <c r="P560" s="255">
        <f>IF(M560&gt;0,N560*100/M560,0)</f>
        <v>0</v>
      </c>
      <c r="Q560" s="255">
        <v>0</v>
      </c>
      <c r="R560" s="255">
        <v>0</v>
      </c>
      <c r="S560" s="255">
        <v>0</v>
      </c>
      <c r="T560" s="255">
        <f>IF(Q560&gt;0,S560*100/Q560,0)</f>
        <v>0</v>
      </c>
      <c r="U560" s="255">
        <f>IF(R560&gt;0,S560*100/R560,0)</f>
        <v>0</v>
      </c>
    </row>
    <row r="561" spans="1:21" ht="18.75" hidden="1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256">
        <f>L562+L563</f>
        <v>0</v>
      </c>
      <c r="M561" s="255">
        <f>M562+M563</f>
        <v>0</v>
      </c>
      <c r="N561" s="255">
        <f>N562+N563</f>
        <v>0</v>
      </c>
      <c r="O561" s="255">
        <f>IF(L561&gt;0,N561*100/L561,0)</f>
        <v>0</v>
      </c>
      <c r="P561" s="255">
        <f>IF(M561&gt;0,N561*100/M561,0)</f>
        <v>0</v>
      </c>
      <c r="Q561" s="255">
        <f>Q562+Q563</f>
        <v>0</v>
      </c>
      <c r="R561" s="255">
        <f>R562+R563</f>
        <v>0</v>
      </c>
      <c r="S561" s="255">
        <f>S562+S563</f>
        <v>0</v>
      </c>
      <c r="T561" s="255">
        <f>IF(Q561&gt;0,S561*100/Q561,0)</f>
        <v>0</v>
      </c>
      <c r="U561" s="255">
        <f>IF(R561&gt;0,S561*100/R561,0)</f>
        <v>0</v>
      </c>
    </row>
    <row r="562" spans="1:21" ht="18.75" hidden="1">
      <c r="A562" s="155"/>
      <c r="B562" s="50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103">
        <v>0</v>
      </c>
      <c r="M562" s="102">
        <v>0</v>
      </c>
      <c r="N562" s="102">
        <v>0</v>
      </c>
      <c r="O562" s="102">
        <f>IF(L562&gt;0,N562*100/L562,0)</f>
        <v>0</v>
      </c>
      <c r="P562" s="102">
        <f>IF(M562&gt;0,N562*100/M562,0)</f>
        <v>0</v>
      </c>
      <c r="Q562" s="102">
        <v>0</v>
      </c>
      <c r="R562" s="102">
        <v>0</v>
      </c>
      <c r="S562" s="102">
        <v>0</v>
      </c>
      <c r="T562" s="102">
        <f>IF(Q562&gt;0,S562*100/Q562,0)</f>
        <v>0</v>
      </c>
      <c r="U562" s="102">
        <f>IF(R562&gt;0,S562*100/R562,0)</f>
        <v>0</v>
      </c>
    </row>
    <row r="563" spans="1:21" ht="18.75" hidden="1">
      <c r="A563" s="155"/>
      <c r="B563" s="50"/>
      <c r="C563" s="50"/>
      <c r="D563" s="50"/>
      <c r="E563" s="58" t="s">
        <v>21</v>
      </c>
      <c r="F563" s="50"/>
      <c r="G563" s="52"/>
      <c r="H563" s="165" t="s">
        <v>14</v>
      </c>
      <c r="I563" s="163"/>
      <c r="J563" s="163"/>
      <c r="K563" s="164"/>
      <c r="L563" s="256">
        <v>0</v>
      </c>
      <c r="M563" s="255">
        <v>0</v>
      </c>
      <c r="N563" s="255">
        <v>0</v>
      </c>
      <c r="O563" s="255">
        <f>IF(L563&gt;0,N563*100/L563,0)</f>
        <v>0</v>
      </c>
      <c r="P563" s="255">
        <f>IF(M563&gt;0,N563*100/M563,0)</f>
        <v>0</v>
      </c>
      <c r="Q563" s="255">
        <v>0</v>
      </c>
      <c r="R563" s="255">
        <v>0</v>
      </c>
      <c r="S563" s="255">
        <v>0</v>
      </c>
      <c r="T563" s="255">
        <f>IF(Q563&gt;0,S563*100/Q563,0)</f>
        <v>0</v>
      </c>
      <c r="U563" s="255">
        <f>IF(R563&gt;0,S563*100/R563,0)</f>
        <v>0</v>
      </c>
    </row>
    <row r="564" spans="1:21" ht="19.5" hidden="1">
      <c r="A564" s="166"/>
      <c r="B564" s="167"/>
      <c r="C564" s="411" t="s">
        <v>18</v>
      </c>
      <c r="D564" s="566" t="s">
        <v>38</v>
      </c>
      <c r="E564" s="169"/>
      <c r="F564" s="169"/>
      <c r="G564" s="170"/>
      <c r="H564" s="171"/>
      <c r="I564" s="163"/>
      <c r="J564" s="54"/>
      <c r="K564" s="55"/>
      <c r="L564" s="62"/>
      <c r="M564" s="55"/>
      <c r="N564" s="55"/>
      <c r="O564" s="164"/>
      <c r="P564" s="164"/>
      <c r="Q564" s="55"/>
      <c r="R564" s="55"/>
      <c r="S564" s="55"/>
      <c r="T564" s="164"/>
      <c r="U564" s="164"/>
    </row>
    <row r="565" spans="1:21" ht="12.75" hidden="1">
      <c r="A565" s="258"/>
      <c r="B565" s="260"/>
      <c r="C565" s="259"/>
      <c r="D565" s="260"/>
      <c r="E565" s="259"/>
      <c r="F565" s="260"/>
      <c r="G565" s="261"/>
      <c r="H565" s="261"/>
      <c r="I565" s="263"/>
      <c r="J565" s="263"/>
      <c r="K565" s="264"/>
      <c r="L565" s="265"/>
      <c r="M565" s="264"/>
      <c r="N565" s="264"/>
      <c r="O565" s="264"/>
      <c r="P565" s="264"/>
      <c r="Q565" s="264"/>
      <c r="R565" s="264"/>
      <c r="S565" s="264"/>
      <c r="T565" s="264"/>
      <c r="U565" s="264"/>
    </row>
    <row r="566" spans="1:21" ht="12.75" hidden="1">
      <c r="A566" s="258"/>
      <c r="B566" s="260"/>
      <c r="C566" s="259"/>
      <c r="D566" s="260"/>
      <c r="E566" s="259"/>
      <c r="F566" s="260"/>
      <c r="G566" s="261"/>
      <c r="H566" s="261"/>
      <c r="I566" s="263"/>
      <c r="J566" s="263"/>
      <c r="K566" s="264"/>
      <c r="L566" s="265"/>
      <c r="M566" s="264"/>
      <c r="N566" s="264"/>
      <c r="O566" s="264"/>
      <c r="P566" s="264"/>
      <c r="Q566" s="264"/>
      <c r="R566" s="264"/>
      <c r="S566" s="264"/>
      <c r="T566" s="264"/>
      <c r="U566" s="264"/>
    </row>
    <row r="567" spans="1:21" ht="12.75" hidden="1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5"/>
      <c r="M567" s="264"/>
      <c r="N567" s="264"/>
      <c r="O567" s="264"/>
      <c r="P567" s="264"/>
      <c r="Q567" s="264"/>
      <c r="R567" s="264"/>
      <c r="S567" s="264"/>
      <c r="T567" s="264"/>
      <c r="U567" s="264"/>
    </row>
    <row r="568" spans="1:21" ht="12.75" hidden="1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5"/>
      <c r="M568" s="264"/>
      <c r="N568" s="264"/>
      <c r="O568" s="264"/>
      <c r="P568" s="264"/>
      <c r="Q568" s="264"/>
      <c r="R568" s="264"/>
      <c r="S568" s="264"/>
      <c r="T568" s="264"/>
      <c r="U568" s="264"/>
    </row>
    <row r="569" spans="1:21" ht="12.75" hidden="1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5"/>
      <c r="M569" s="264"/>
      <c r="N569" s="264"/>
      <c r="O569" s="264"/>
      <c r="P569" s="264"/>
      <c r="Q569" s="264"/>
      <c r="R569" s="264"/>
      <c r="S569" s="264"/>
      <c r="T569" s="264"/>
      <c r="U569" s="264"/>
    </row>
    <row r="570" spans="1:21" ht="12.75" hidden="1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5"/>
      <c r="M570" s="264"/>
      <c r="N570" s="264"/>
      <c r="O570" s="264"/>
      <c r="P570" s="264"/>
      <c r="Q570" s="264"/>
      <c r="R570" s="264"/>
      <c r="S570" s="264"/>
      <c r="T570" s="264"/>
      <c r="U570" s="264"/>
    </row>
    <row r="571" spans="1:21" ht="12.75" hidden="1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5"/>
      <c r="M571" s="264"/>
      <c r="N571" s="264"/>
      <c r="O571" s="264"/>
      <c r="P571" s="264"/>
      <c r="Q571" s="264"/>
      <c r="R571" s="264"/>
      <c r="S571" s="264"/>
      <c r="T571" s="264"/>
      <c r="U571" s="264"/>
    </row>
    <row r="572" spans="1:21" ht="12.75" hidden="1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5"/>
      <c r="M572" s="264"/>
      <c r="N572" s="264"/>
      <c r="O572" s="264"/>
      <c r="P572" s="264"/>
      <c r="Q572" s="264"/>
      <c r="R572" s="264"/>
      <c r="S572" s="264"/>
      <c r="T572" s="264"/>
      <c r="U572" s="264"/>
    </row>
    <row r="573" spans="1:21" ht="12.75" hidden="1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5"/>
      <c r="M573" s="264"/>
      <c r="N573" s="264"/>
      <c r="O573" s="264"/>
      <c r="P573" s="264"/>
      <c r="Q573" s="264"/>
      <c r="R573" s="264"/>
      <c r="S573" s="264"/>
      <c r="T573" s="264"/>
      <c r="U573" s="264"/>
    </row>
    <row r="574" spans="1:21" ht="12.75" hidden="1">
      <c r="A574" s="407"/>
      <c r="B574" s="360"/>
      <c r="C574" s="360"/>
      <c r="D574" s="408"/>
      <c r="E574" s="408"/>
      <c r="F574" s="408"/>
      <c r="G574" s="409"/>
      <c r="H574" s="361"/>
      <c r="I574" s="362"/>
      <c r="J574" s="362"/>
      <c r="K574" s="363"/>
      <c r="L574" s="364"/>
      <c r="M574" s="363"/>
      <c r="N574" s="363"/>
      <c r="O574" s="363"/>
      <c r="P574" s="363"/>
      <c r="Q574" s="363"/>
      <c r="R574" s="363"/>
      <c r="S574" s="363"/>
      <c r="T574" s="363"/>
      <c r="U574" s="363"/>
    </row>
    <row r="575" spans="1:21" ht="19.5" hidden="1">
      <c r="A575" s="395"/>
      <c r="B575" s="396" t="s">
        <v>213</v>
      </c>
      <c r="C575" s="397"/>
      <c r="D575" s="398"/>
      <c r="E575" s="398"/>
      <c r="F575" s="398"/>
      <c r="G575" s="399"/>
      <c r="H575" s="410" t="s">
        <v>61</v>
      </c>
      <c r="I575" s="577">
        <f>I587</f>
        <v>0</v>
      </c>
      <c r="J575" s="577">
        <f>J587</f>
        <v>0</v>
      </c>
      <c r="K575" s="576">
        <f>IF(I575&gt;0,J575*100/I575,0)</f>
        <v>0</v>
      </c>
      <c r="L575" s="404"/>
      <c r="M575" s="403"/>
      <c r="N575" s="403"/>
      <c r="O575" s="403"/>
      <c r="P575" s="403"/>
      <c r="Q575" s="403"/>
      <c r="R575" s="403"/>
      <c r="S575" s="403"/>
      <c r="T575" s="403"/>
      <c r="U575" s="403"/>
    </row>
    <row r="576" spans="1:21" ht="19.5" hidden="1">
      <c r="A576" s="155"/>
      <c r="B576" s="50"/>
      <c r="C576" s="156" t="s">
        <v>18</v>
      </c>
      <c r="D576" s="575" t="s">
        <v>19</v>
      </c>
      <c r="E576" s="50"/>
      <c r="F576" s="50"/>
      <c r="G576" s="52"/>
      <c r="H576" s="158" t="s">
        <v>14</v>
      </c>
      <c r="I576" s="54"/>
      <c r="J576" s="54"/>
      <c r="K576" s="55"/>
      <c r="L576" s="541">
        <f>L577+L578</f>
        <v>0</v>
      </c>
      <c r="M576" s="540">
        <f>M577+M578</f>
        <v>0</v>
      </c>
      <c r="N576" s="540">
        <f>N577+N578</f>
        <v>0</v>
      </c>
      <c r="O576" s="540">
        <f>IF(L576&gt;0,N576*100/L576,0)</f>
        <v>0</v>
      </c>
      <c r="P576" s="540">
        <f>IF(M576&gt;0,N576*100/M576,0)</f>
        <v>0</v>
      </c>
      <c r="Q576" s="540">
        <f>Q577+Q578</f>
        <v>0</v>
      </c>
      <c r="R576" s="540">
        <f>R577+R578</f>
        <v>0</v>
      </c>
      <c r="S576" s="540">
        <f>S577+S578</f>
        <v>0</v>
      </c>
      <c r="T576" s="540">
        <f>IF(Q576&gt;0,S576*100/Q576,0)</f>
        <v>0</v>
      </c>
      <c r="U576" s="540">
        <f>IF(R576&gt;0,S576*100/R576,0)</f>
        <v>0</v>
      </c>
    </row>
    <row r="577" spans="1:21" ht="18.75" hidden="1">
      <c r="A577" s="155"/>
      <c r="B577" s="188"/>
      <c r="C577" s="50"/>
      <c r="D577" s="50"/>
      <c r="E577" s="186" t="s">
        <v>20</v>
      </c>
      <c r="F577" s="50"/>
      <c r="G577" s="52"/>
      <c r="H577" s="187" t="s">
        <v>14</v>
      </c>
      <c r="I577" s="54"/>
      <c r="J577" s="54"/>
      <c r="K577" s="55"/>
      <c r="L577" s="103">
        <f>L580+L583</f>
        <v>0</v>
      </c>
      <c r="M577" s="102">
        <f>M580+M583</f>
        <v>0</v>
      </c>
      <c r="N577" s="102">
        <f>N580+N583</f>
        <v>0</v>
      </c>
      <c r="O577" s="102">
        <f>IF(L577&gt;0,N577*100/L577,0)</f>
        <v>0</v>
      </c>
      <c r="P577" s="102">
        <f>IF(M577&gt;0,N577*100/M577,0)</f>
        <v>0</v>
      </c>
      <c r="Q577" s="102">
        <f>Q580+Q583</f>
        <v>0</v>
      </c>
      <c r="R577" s="102">
        <f>R580+R583</f>
        <v>0</v>
      </c>
      <c r="S577" s="102">
        <f>S580+S583</f>
        <v>0</v>
      </c>
      <c r="T577" s="102">
        <f>IF(Q577&gt;0,S577*100/Q577,0)</f>
        <v>0</v>
      </c>
      <c r="U577" s="102">
        <f>IF(R577&gt;0,S577*100/R577,0)</f>
        <v>0</v>
      </c>
    </row>
    <row r="578" spans="1:21" ht="18.75" hidden="1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256">
        <f>L581+L584</f>
        <v>0</v>
      </c>
      <c r="M578" s="255">
        <f>M581+M584</f>
        <v>0</v>
      </c>
      <c r="N578" s="255">
        <f>N581+N584</f>
        <v>0</v>
      </c>
      <c r="O578" s="255">
        <f>IF(L578&gt;0,N578*100/L578,0)</f>
        <v>0</v>
      </c>
      <c r="P578" s="255">
        <f>IF(M578&gt;0,N578*100/M578,0)</f>
        <v>0</v>
      </c>
      <c r="Q578" s="255">
        <f>Q581+Q584</f>
        <v>0</v>
      </c>
      <c r="R578" s="255">
        <f>R581+R584</f>
        <v>0</v>
      </c>
      <c r="S578" s="255">
        <f>S581+S584</f>
        <v>0</v>
      </c>
      <c r="T578" s="255">
        <f>IF(Q578&gt;0,S578*100/Q578,0)</f>
        <v>0</v>
      </c>
      <c r="U578" s="255">
        <f>IF(R578&gt;0,S578*100/R578,0)</f>
        <v>0</v>
      </c>
    </row>
    <row r="579" spans="1:21" ht="18.75" hidden="1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256">
        <f>L580+L581</f>
        <v>0</v>
      </c>
      <c r="M579" s="255">
        <f>M580+M581</f>
        <v>0</v>
      </c>
      <c r="N579" s="255">
        <f>N580+N581</f>
        <v>0</v>
      </c>
      <c r="O579" s="255">
        <f>IF(L579&gt;0,N579*100/L579,0)</f>
        <v>0</v>
      </c>
      <c r="P579" s="255">
        <f>IF(M579&gt;0,N579*100/M579,0)</f>
        <v>0</v>
      </c>
      <c r="Q579" s="255">
        <f>Q580+Q581</f>
        <v>0</v>
      </c>
      <c r="R579" s="255">
        <f>R580+R581</f>
        <v>0</v>
      </c>
      <c r="S579" s="255">
        <f>S580+S581</f>
        <v>0</v>
      </c>
      <c r="T579" s="255">
        <f>IF(Q579&gt;0,S579*100/Q579,0)</f>
        <v>0</v>
      </c>
      <c r="U579" s="255">
        <f>IF(R579&gt;0,S579*100/R579,0)</f>
        <v>0</v>
      </c>
    </row>
    <row r="580" spans="1:21" ht="18.75" hidden="1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103">
        <v>0</v>
      </c>
      <c r="M580" s="102">
        <v>0</v>
      </c>
      <c r="N580" s="102">
        <v>0</v>
      </c>
      <c r="O580" s="102">
        <f>IF(L580&gt;0,N580*100/L580,0)</f>
        <v>0</v>
      </c>
      <c r="P580" s="102">
        <f>IF(M580&gt;0,N580*100/M580,0)</f>
        <v>0</v>
      </c>
      <c r="Q580" s="102">
        <v>0</v>
      </c>
      <c r="R580" s="102">
        <v>0</v>
      </c>
      <c r="S580" s="102">
        <v>0</v>
      </c>
      <c r="T580" s="102">
        <f>IF(Q580&gt;0,S580*100/Q580,0)</f>
        <v>0</v>
      </c>
      <c r="U580" s="102">
        <f>IF(R580&gt;0,S580*100/R580,0)</f>
        <v>0</v>
      </c>
    </row>
    <row r="581" spans="1:21" ht="18.75" hidden="1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256">
        <v>0</v>
      </c>
      <c r="M581" s="255">
        <v>0</v>
      </c>
      <c r="N581" s="255">
        <v>0</v>
      </c>
      <c r="O581" s="255">
        <f>IF(L581&gt;0,N581*100/L581,0)</f>
        <v>0</v>
      </c>
      <c r="P581" s="255">
        <f>IF(M581&gt;0,N581*100/M581,0)</f>
        <v>0</v>
      </c>
      <c r="Q581" s="255">
        <v>0</v>
      </c>
      <c r="R581" s="255">
        <v>0</v>
      </c>
      <c r="S581" s="255">
        <v>0</v>
      </c>
      <c r="T581" s="255">
        <f>IF(Q581&gt;0,S581*100/Q581,0)</f>
        <v>0</v>
      </c>
      <c r="U581" s="255">
        <f>IF(R581&gt;0,S581*100/R581,0)</f>
        <v>0</v>
      </c>
    </row>
    <row r="582" spans="1:21" ht="18.75" hidden="1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256">
        <f>L583+L584</f>
        <v>0</v>
      </c>
      <c r="M582" s="255">
        <f>M583+M584</f>
        <v>0</v>
      </c>
      <c r="N582" s="255">
        <f>N583+N584</f>
        <v>0</v>
      </c>
      <c r="O582" s="255">
        <f>IF(L582&gt;0,N582*100/L582,0)</f>
        <v>0</v>
      </c>
      <c r="P582" s="255">
        <f>IF(M582&gt;0,N582*100/M582,0)</f>
        <v>0</v>
      </c>
      <c r="Q582" s="255">
        <f>Q583+Q584</f>
        <v>0</v>
      </c>
      <c r="R582" s="255">
        <f>R583+R584</f>
        <v>0</v>
      </c>
      <c r="S582" s="255">
        <f>S583+S584</f>
        <v>0</v>
      </c>
      <c r="T582" s="255">
        <f>IF(Q582&gt;0,S582*100/Q582,0)</f>
        <v>0</v>
      </c>
      <c r="U582" s="255">
        <f>IF(R582&gt;0,S582*100/R582,0)</f>
        <v>0</v>
      </c>
    </row>
    <row r="583" spans="1:21" ht="18.75" hidden="1">
      <c r="A583" s="155"/>
      <c r="B583" s="50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103">
        <v>0</v>
      </c>
      <c r="M583" s="102">
        <v>0</v>
      </c>
      <c r="N583" s="102">
        <v>0</v>
      </c>
      <c r="O583" s="102">
        <f>IF(L583&gt;0,N583*100/L583,0)</f>
        <v>0</v>
      </c>
      <c r="P583" s="102">
        <f>IF(M583&gt;0,N583*100/M583,0)</f>
        <v>0</v>
      </c>
      <c r="Q583" s="102">
        <v>0</v>
      </c>
      <c r="R583" s="102">
        <v>0</v>
      </c>
      <c r="S583" s="102">
        <v>0</v>
      </c>
      <c r="T583" s="102">
        <f>IF(Q583&gt;0,S583*100/Q583,0)</f>
        <v>0</v>
      </c>
      <c r="U583" s="102">
        <f>IF(R583&gt;0,S583*100/R583,0)</f>
        <v>0</v>
      </c>
    </row>
    <row r="584" spans="1:21" ht="18.75" hidden="1">
      <c r="A584" s="155"/>
      <c r="B584" s="50"/>
      <c r="C584" s="50"/>
      <c r="D584" s="50"/>
      <c r="E584" s="58" t="s">
        <v>21</v>
      </c>
      <c r="F584" s="50"/>
      <c r="G584" s="52"/>
      <c r="H584" s="165" t="s">
        <v>14</v>
      </c>
      <c r="I584" s="163"/>
      <c r="J584" s="163"/>
      <c r="K584" s="164"/>
      <c r="L584" s="256">
        <v>0</v>
      </c>
      <c r="M584" s="255">
        <v>0</v>
      </c>
      <c r="N584" s="255">
        <v>0</v>
      </c>
      <c r="O584" s="255">
        <f>IF(L584&gt;0,N584*100/L584,0)</f>
        <v>0</v>
      </c>
      <c r="P584" s="255">
        <f>IF(M584&gt;0,N584*100/M584,0)</f>
        <v>0</v>
      </c>
      <c r="Q584" s="255">
        <v>0</v>
      </c>
      <c r="R584" s="255">
        <v>0</v>
      </c>
      <c r="S584" s="255">
        <v>0</v>
      </c>
      <c r="T584" s="255">
        <f>IF(Q584&gt;0,S584*100/Q584,0)</f>
        <v>0</v>
      </c>
      <c r="U584" s="255">
        <f>IF(R584&gt;0,S584*100/R584,0)</f>
        <v>0</v>
      </c>
    </row>
    <row r="585" spans="1:21" ht="19.5" hidden="1">
      <c r="A585" s="166"/>
      <c r="B585" s="167"/>
      <c r="C585" s="411" t="s">
        <v>18</v>
      </c>
      <c r="D585" s="566" t="s">
        <v>38</v>
      </c>
      <c r="E585" s="169"/>
      <c r="F585" s="169"/>
      <c r="G585" s="170"/>
      <c r="H585" s="171"/>
      <c r="I585" s="163"/>
      <c r="J585" s="54"/>
      <c r="K585" s="55"/>
      <c r="L585" s="62"/>
      <c r="M585" s="55"/>
      <c r="N585" s="55"/>
      <c r="O585" s="164"/>
      <c r="P585" s="164"/>
      <c r="Q585" s="55"/>
      <c r="R585" s="55"/>
      <c r="S585" s="55"/>
      <c r="T585" s="164"/>
      <c r="U585" s="164"/>
    </row>
    <row r="586" spans="1:21" ht="12.75" hidden="1">
      <c r="A586" s="258"/>
      <c r="B586" s="260"/>
      <c r="C586" s="259"/>
      <c r="D586" s="260"/>
      <c r="E586" s="259"/>
      <c r="F586" s="260"/>
      <c r="G586" s="261"/>
      <c r="H586" s="261"/>
      <c r="I586" s="263"/>
      <c r="J586" s="263"/>
      <c r="K586" s="264"/>
      <c r="L586" s="265"/>
      <c r="M586" s="264"/>
      <c r="N586" s="264"/>
      <c r="O586" s="264"/>
      <c r="P586" s="264"/>
      <c r="Q586" s="264"/>
      <c r="R586" s="264"/>
      <c r="S586" s="264"/>
      <c r="T586" s="264"/>
      <c r="U586" s="264"/>
    </row>
    <row r="587" spans="1:21" ht="12.75" hidden="1">
      <c r="A587" s="258"/>
      <c r="B587" s="260"/>
      <c r="C587" s="259"/>
      <c r="D587" s="260"/>
      <c r="E587" s="259"/>
      <c r="F587" s="260"/>
      <c r="G587" s="261"/>
      <c r="H587" s="261"/>
      <c r="I587" s="263"/>
      <c r="J587" s="263"/>
      <c r="K587" s="264"/>
      <c r="L587" s="265"/>
      <c r="M587" s="264"/>
      <c r="N587" s="264"/>
      <c r="O587" s="264"/>
      <c r="P587" s="264"/>
      <c r="Q587" s="264"/>
      <c r="R587" s="264"/>
      <c r="S587" s="264"/>
      <c r="T587" s="264"/>
      <c r="U587" s="264"/>
    </row>
    <row r="588" spans="1:21" ht="12.75" hidden="1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5"/>
      <c r="M588" s="264"/>
      <c r="N588" s="264"/>
      <c r="O588" s="264"/>
      <c r="P588" s="264"/>
      <c r="Q588" s="264"/>
      <c r="R588" s="264"/>
      <c r="S588" s="264"/>
      <c r="T588" s="264"/>
      <c r="U588" s="264"/>
    </row>
    <row r="589" spans="1:21" ht="12.75" hidden="1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5"/>
      <c r="M589" s="264"/>
      <c r="N589" s="264"/>
      <c r="O589" s="264"/>
      <c r="P589" s="264"/>
      <c r="Q589" s="264"/>
      <c r="R589" s="264"/>
      <c r="S589" s="264"/>
      <c r="T589" s="264"/>
      <c r="U589" s="264"/>
    </row>
    <row r="590" spans="1:21" ht="12.75" hidden="1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5"/>
      <c r="M590" s="264"/>
      <c r="N590" s="264"/>
      <c r="O590" s="264"/>
      <c r="P590" s="264"/>
      <c r="Q590" s="264"/>
      <c r="R590" s="264"/>
      <c r="S590" s="264"/>
      <c r="T590" s="264"/>
      <c r="U590" s="264"/>
    </row>
    <row r="591" spans="1:21" ht="12.75" hidden="1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5"/>
      <c r="M591" s="264"/>
      <c r="N591" s="264"/>
      <c r="O591" s="264"/>
      <c r="P591" s="264"/>
      <c r="Q591" s="264"/>
      <c r="R591" s="264"/>
      <c r="S591" s="264"/>
      <c r="T591" s="264"/>
      <c r="U591" s="264"/>
    </row>
    <row r="592" spans="1:21" ht="12.75" hidden="1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5"/>
      <c r="M592" s="264"/>
      <c r="N592" s="264"/>
      <c r="O592" s="264"/>
      <c r="P592" s="264"/>
      <c r="Q592" s="264"/>
      <c r="R592" s="264"/>
      <c r="S592" s="264"/>
      <c r="T592" s="264"/>
      <c r="U592" s="264"/>
    </row>
    <row r="593" spans="1:21" ht="12.75" hidden="1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5"/>
      <c r="M593" s="264"/>
      <c r="N593" s="264"/>
      <c r="O593" s="264"/>
      <c r="P593" s="264"/>
      <c r="Q593" s="264"/>
      <c r="R593" s="264"/>
      <c r="S593" s="264"/>
      <c r="T593" s="264"/>
      <c r="U593" s="264"/>
    </row>
    <row r="594" spans="1:21" ht="12.75" hidden="1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5"/>
      <c r="M594" s="264"/>
      <c r="N594" s="264"/>
      <c r="O594" s="264"/>
      <c r="P594" s="264"/>
      <c r="Q594" s="264"/>
      <c r="R594" s="264"/>
      <c r="S594" s="264"/>
      <c r="T594" s="264"/>
      <c r="U594" s="264"/>
    </row>
    <row r="595" spans="1:21" ht="12.75" hidden="1">
      <c r="A595" s="407"/>
      <c r="B595" s="360"/>
      <c r="C595" s="360"/>
      <c r="D595" s="408"/>
      <c r="E595" s="408"/>
      <c r="F595" s="408"/>
      <c r="G595" s="409"/>
      <c r="H595" s="361"/>
      <c r="I595" s="362"/>
      <c r="J595" s="362"/>
      <c r="K595" s="363"/>
      <c r="L595" s="364"/>
      <c r="M595" s="363"/>
      <c r="N595" s="363"/>
      <c r="O595" s="363"/>
      <c r="P595" s="363"/>
      <c r="Q595" s="363"/>
      <c r="R595" s="363"/>
      <c r="S595" s="363"/>
      <c r="T595" s="363"/>
      <c r="U595" s="363"/>
    </row>
    <row r="596" spans="1:21" ht="19.5" hidden="1">
      <c r="A596" s="412" t="s">
        <v>214</v>
      </c>
      <c r="B596" s="144"/>
      <c r="C596" s="196"/>
      <c r="D596" s="144"/>
      <c r="E596" s="144"/>
      <c r="F596" s="144"/>
      <c r="G596" s="144"/>
      <c r="H596" s="145"/>
      <c r="I596" s="197"/>
      <c r="J596" s="197"/>
      <c r="K596" s="19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8"/>
    </row>
    <row r="597" spans="1:21" ht="19.5" hidden="1">
      <c r="A597" s="150"/>
      <c r="B597" s="413" t="s">
        <v>215</v>
      </c>
      <c r="C597" s="200"/>
      <c r="D597" s="151"/>
      <c r="E597" s="34"/>
      <c r="F597" s="34"/>
      <c r="G597" s="34"/>
      <c r="H597" s="414" t="s">
        <v>99</v>
      </c>
      <c r="I597" s="210"/>
      <c r="J597" s="39"/>
      <c r="K597" s="40"/>
      <c r="L597" s="154"/>
      <c r="M597" s="40"/>
      <c r="N597" s="40"/>
      <c r="O597" s="40"/>
      <c r="P597" s="40"/>
      <c r="Q597" s="40"/>
      <c r="R597" s="40"/>
      <c r="S597" s="40"/>
      <c r="T597" s="40"/>
      <c r="U597" s="40"/>
    </row>
    <row r="598" spans="1:21" ht="19.5" hidden="1">
      <c r="A598" s="415"/>
      <c r="B598" s="416" t="s">
        <v>216</v>
      </c>
      <c r="C598" s="151"/>
      <c r="D598" s="34"/>
      <c r="E598" s="34"/>
      <c r="F598" s="34"/>
      <c r="G598" s="37"/>
      <c r="H598" s="417" t="s">
        <v>35</v>
      </c>
      <c r="I598" s="39"/>
      <c r="J598" s="39"/>
      <c r="K598" s="40"/>
      <c r="L598" s="154"/>
      <c r="M598" s="40"/>
      <c r="N598" s="40"/>
      <c r="O598" s="40"/>
      <c r="P598" s="40"/>
      <c r="Q598" s="40"/>
      <c r="R598" s="40"/>
      <c r="S598" s="40"/>
      <c r="T598" s="40"/>
      <c r="U598" s="40"/>
    </row>
    <row r="599" spans="1:21" ht="19.5" hidden="1">
      <c r="A599" s="155"/>
      <c r="B599" s="188"/>
      <c r="C599" s="205" t="s">
        <v>18</v>
      </c>
      <c r="D599" s="563" t="s">
        <v>19</v>
      </c>
      <c r="E599" s="529"/>
      <c r="F599" s="529"/>
      <c r="G599" s="530"/>
      <c r="H599" s="418" t="s">
        <v>14</v>
      </c>
      <c r="I599" s="54"/>
      <c r="J599" s="54"/>
      <c r="K599" s="55"/>
      <c r="L599" s="541">
        <f>L600+L601</f>
        <v>0</v>
      </c>
      <c r="M599" s="540">
        <f>M600+M601</f>
        <v>0</v>
      </c>
      <c r="N599" s="540">
        <f>N600+N601</f>
        <v>0</v>
      </c>
      <c r="O599" s="540">
        <f>IF(L599&gt;0,N599*100/L599,0)</f>
        <v>0</v>
      </c>
      <c r="P599" s="540">
        <f>IF(M599&gt;0,N599*100/M599,0)</f>
        <v>0</v>
      </c>
      <c r="Q599" s="540">
        <f>Q600+Q601</f>
        <v>0</v>
      </c>
      <c r="R599" s="540">
        <f>R600+R601</f>
        <v>0</v>
      </c>
      <c r="S599" s="540">
        <f>S600+S601</f>
        <v>0</v>
      </c>
      <c r="T599" s="540">
        <f>IF(Q599&gt;0,S599*100/Q599,0)</f>
        <v>0</v>
      </c>
      <c r="U599" s="540">
        <f>IF(R599&gt;0,S599*100/R599,0)</f>
        <v>0</v>
      </c>
    </row>
    <row r="600" spans="1:21" ht="18.75" hidden="1">
      <c r="A600" s="155"/>
      <c r="B600" s="188"/>
      <c r="C600" s="188"/>
      <c r="D600" s="174"/>
      <c r="E600" s="186" t="s">
        <v>159</v>
      </c>
      <c r="F600" s="50"/>
      <c r="G600" s="52"/>
      <c r="H600" s="189" t="s">
        <v>14</v>
      </c>
      <c r="I600" s="54"/>
      <c r="J600" s="54"/>
      <c r="K600" s="55"/>
      <c r="L600" s="103">
        <f>L603+L606</f>
        <v>0</v>
      </c>
      <c r="M600" s="102">
        <f>M603+M606</f>
        <v>0</v>
      </c>
      <c r="N600" s="102">
        <f>N603+N606</f>
        <v>0</v>
      </c>
      <c r="O600" s="102">
        <f>IF(L600&gt;0,N600*100/L600,0)</f>
        <v>0</v>
      </c>
      <c r="P600" s="102">
        <f>IF(M600&gt;0,N600*100/M600,0)</f>
        <v>0</v>
      </c>
      <c r="Q600" s="102">
        <f>Q603+Q606</f>
        <v>0</v>
      </c>
      <c r="R600" s="102">
        <f>R603+R606</f>
        <v>0</v>
      </c>
      <c r="S600" s="102">
        <f>S603+S606</f>
        <v>0</v>
      </c>
      <c r="T600" s="102">
        <f>IF(Q600&gt;0,S600*100/Q600,0)</f>
        <v>0</v>
      </c>
      <c r="U600" s="102">
        <f>IF(R600&gt;0,S600*100/R600,0)</f>
        <v>0</v>
      </c>
    </row>
    <row r="601" spans="1:21" ht="18.75" hidden="1">
      <c r="A601" s="155"/>
      <c r="B601" s="188"/>
      <c r="C601" s="188"/>
      <c r="D601" s="174"/>
      <c r="E601" s="186" t="s">
        <v>160</v>
      </c>
      <c r="F601" s="50"/>
      <c r="G601" s="52"/>
      <c r="H601" s="189" t="s">
        <v>14</v>
      </c>
      <c r="I601" s="54"/>
      <c r="J601" s="54"/>
      <c r="K601" s="55"/>
      <c r="L601" s="256">
        <f>L604+L607</f>
        <v>0</v>
      </c>
      <c r="M601" s="255">
        <f>M604+M607</f>
        <v>0</v>
      </c>
      <c r="N601" s="255">
        <f>N604+N607</f>
        <v>0</v>
      </c>
      <c r="O601" s="255">
        <f>IF(L601&gt;0,N601*100/L601,0)</f>
        <v>0</v>
      </c>
      <c r="P601" s="255">
        <f>IF(M601&gt;0,N601*100/M601,0)</f>
        <v>0</v>
      </c>
      <c r="Q601" s="255">
        <f>Q604+Q607</f>
        <v>0</v>
      </c>
      <c r="R601" s="255">
        <f>R604+R607</f>
        <v>0</v>
      </c>
      <c r="S601" s="255">
        <f>S604+S607</f>
        <v>0</v>
      </c>
      <c r="T601" s="255">
        <f>IF(Q601&gt;0,S601*100/Q601,0)</f>
        <v>0</v>
      </c>
      <c r="U601" s="255">
        <f>IF(R601&gt;0,S601*100/R601,0)</f>
        <v>0</v>
      </c>
    </row>
    <row r="602" spans="1:21" ht="19.5" hidden="1">
      <c r="A602" s="155"/>
      <c r="B602" s="188"/>
      <c r="C602" s="188"/>
      <c r="D602" s="562" t="s">
        <v>22</v>
      </c>
      <c r="E602" s="50"/>
      <c r="F602" s="50"/>
      <c r="G602" s="52"/>
      <c r="H602" s="418" t="s">
        <v>14</v>
      </c>
      <c r="I602" s="163"/>
      <c r="J602" s="163"/>
      <c r="K602" s="164"/>
      <c r="L602" s="256">
        <f>L603+L604</f>
        <v>0</v>
      </c>
      <c r="M602" s="255">
        <f>M603+M604</f>
        <v>0</v>
      </c>
      <c r="N602" s="255">
        <f>N603+N604</f>
        <v>0</v>
      </c>
      <c r="O602" s="255">
        <f>IF(L602&gt;0,N602*100/L602,0)</f>
        <v>0</v>
      </c>
      <c r="P602" s="255">
        <f>IF(M602&gt;0,N602*100/M602,0)</f>
        <v>0</v>
      </c>
      <c r="Q602" s="255">
        <f>Q603+Q604</f>
        <v>0</v>
      </c>
      <c r="R602" s="255">
        <f>R603+R604</f>
        <v>0</v>
      </c>
      <c r="S602" s="255">
        <f>S603+S604</f>
        <v>0</v>
      </c>
      <c r="T602" s="255">
        <f>IF(Q602&gt;0,S602*100/Q602,0)</f>
        <v>0</v>
      </c>
      <c r="U602" s="255">
        <f>IF(R602&gt;0,S602*100/R602,0)</f>
        <v>0</v>
      </c>
    </row>
    <row r="603" spans="1:21" ht="18.75" hidden="1">
      <c r="A603" s="155"/>
      <c r="B603" s="188"/>
      <c r="C603" s="188"/>
      <c r="D603" s="174"/>
      <c r="E603" s="186" t="s">
        <v>159</v>
      </c>
      <c r="F603" s="50"/>
      <c r="G603" s="52"/>
      <c r="H603" s="189" t="s">
        <v>14</v>
      </c>
      <c r="I603" s="54"/>
      <c r="J603" s="54"/>
      <c r="K603" s="55"/>
      <c r="L603" s="103">
        <v>0</v>
      </c>
      <c r="M603" s="102">
        <v>0</v>
      </c>
      <c r="N603" s="102">
        <v>0</v>
      </c>
      <c r="O603" s="102">
        <f>IF(L603&gt;0,N603*100/L603,0)</f>
        <v>0</v>
      </c>
      <c r="P603" s="102">
        <f>IF(M603&gt;0,N603*100/M603,0)</f>
        <v>0</v>
      </c>
      <c r="Q603" s="102">
        <v>0</v>
      </c>
      <c r="R603" s="102">
        <v>0</v>
      </c>
      <c r="S603" s="102">
        <v>0</v>
      </c>
      <c r="T603" s="102">
        <f>IF(Q603&gt;0,S603*100/Q603,0)</f>
        <v>0</v>
      </c>
      <c r="U603" s="102">
        <f>IF(R603&gt;0,S603*100/R603,0)</f>
        <v>0</v>
      </c>
    </row>
    <row r="604" spans="1:21" ht="18.75" hidden="1">
      <c r="A604" s="155"/>
      <c r="B604" s="188"/>
      <c r="C604" s="188"/>
      <c r="D604" s="174"/>
      <c r="E604" s="186" t="s">
        <v>160</v>
      </c>
      <c r="F604" s="50"/>
      <c r="G604" s="52"/>
      <c r="H604" s="189" t="s">
        <v>14</v>
      </c>
      <c r="I604" s="54"/>
      <c r="J604" s="54"/>
      <c r="K604" s="55"/>
      <c r="L604" s="256">
        <v>0</v>
      </c>
      <c r="M604" s="255">
        <v>0</v>
      </c>
      <c r="N604" s="255">
        <v>0</v>
      </c>
      <c r="O604" s="255">
        <f>IF(L604&gt;0,N604*100/L604,0)</f>
        <v>0</v>
      </c>
      <c r="P604" s="255">
        <f>IF(M604&gt;0,N604*100/M604,0)</f>
        <v>0</v>
      </c>
      <c r="Q604" s="255">
        <v>0</v>
      </c>
      <c r="R604" s="255">
        <v>0</v>
      </c>
      <c r="S604" s="255">
        <v>0</v>
      </c>
      <c r="T604" s="255">
        <f>IF(Q604&gt;0,S604*100/Q604,0)</f>
        <v>0</v>
      </c>
      <c r="U604" s="255">
        <f>IF(R604&gt;0,S604*100/R604,0)</f>
        <v>0</v>
      </c>
    </row>
    <row r="605" spans="1:21" ht="19.5" hidden="1">
      <c r="A605" s="155"/>
      <c r="B605" s="188"/>
      <c r="C605" s="188"/>
      <c r="D605" s="562" t="s">
        <v>23</v>
      </c>
      <c r="E605" s="188"/>
      <c r="F605" s="50"/>
      <c r="G605" s="52"/>
      <c r="H605" s="420" t="s">
        <v>14</v>
      </c>
      <c r="I605" s="163"/>
      <c r="J605" s="163"/>
      <c r="K605" s="164"/>
      <c r="L605" s="256">
        <f>L606+L607</f>
        <v>0</v>
      </c>
      <c r="M605" s="255">
        <f>M606+M607</f>
        <v>0</v>
      </c>
      <c r="N605" s="255">
        <f>N606+N607</f>
        <v>0</v>
      </c>
      <c r="O605" s="255">
        <f>IF(L605&gt;0,N605*100/L605,0)</f>
        <v>0</v>
      </c>
      <c r="P605" s="255">
        <f>IF(M605&gt;0,N605*100/M605,0)</f>
        <v>0</v>
      </c>
      <c r="Q605" s="255">
        <f>Q606+Q607</f>
        <v>0</v>
      </c>
      <c r="R605" s="255">
        <f>R606+R607</f>
        <v>0</v>
      </c>
      <c r="S605" s="255">
        <f>S606+S607</f>
        <v>0</v>
      </c>
      <c r="T605" s="255">
        <f>IF(Q605&gt;0,S605*100/Q605,0)</f>
        <v>0</v>
      </c>
      <c r="U605" s="255">
        <f>IF(R605&gt;0,S605*100/R605,0)</f>
        <v>0</v>
      </c>
    </row>
    <row r="606" spans="1:21" ht="18.75" hidden="1">
      <c r="A606" s="155"/>
      <c r="B606" s="188"/>
      <c r="C606" s="188"/>
      <c r="D606" s="188"/>
      <c r="E606" s="358" t="s">
        <v>20</v>
      </c>
      <c r="F606" s="50"/>
      <c r="G606" s="52"/>
      <c r="H606" s="189" t="s">
        <v>14</v>
      </c>
      <c r="I606" s="163"/>
      <c r="J606" s="163"/>
      <c r="K606" s="164"/>
      <c r="L606" s="103">
        <v>0</v>
      </c>
      <c r="M606" s="102">
        <v>0</v>
      </c>
      <c r="N606" s="102">
        <v>0</v>
      </c>
      <c r="O606" s="102">
        <f>IF(L606&gt;0,N606*100/L606,0)</f>
        <v>0</v>
      </c>
      <c r="P606" s="102">
        <f>IF(M606&gt;0,N606*100/M606,0)</f>
        <v>0</v>
      </c>
      <c r="Q606" s="102">
        <v>0</v>
      </c>
      <c r="R606" s="102">
        <v>0</v>
      </c>
      <c r="S606" s="102">
        <v>0</v>
      </c>
      <c r="T606" s="102">
        <f>IF(Q606&gt;0,S606*100/Q606,0)</f>
        <v>0</v>
      </c>
      <c r="U606" s="102">
        <f>IF(R606&gt;0,S606*100/R606,0)</f>
        <v>0</v>
      </c>
    </row>
    <row r="607" spans="1:21" ht="18.75" hidden="1">
      <c r="A607" s="155"/>
      <c r="B607" s="188"/>
      <c r="C607" s="188"/>
      <c r="D607" s="50"/>
      <c r="E607" s="358" t="s">
        <v>21</v>
      </c>
      <c r="F607" s="50"/>
      <c r="G607" s="52"/>
      <c r="H607" s="421" t="s">
        <v>14</v>
      </c>
      <c r="I607" s="163"/>
      <c r="J607" s="163"/>
      <c r="K607" s="164"/>
      <c r="L607" s="256">
        <v>0</v>
      </c>
      <c r="M607" s="255">
        <v>0</v>
      </c>
      <c r="N607" s="255">
        <v>0</v>
      </c>
      <c r="O607" s="255">
        <f>IF(L607&gt;0,N607*100/L607,0)</f>
        <v>0</v>
      </c>
      <c r="P607" s="255">
        <f>IF(M607&gt;0,N607*100/M607,0)</f>
        <v>0</v>
      </c>
      <c r="Q607" s="255">
        <v>0</v>
      </c>
      <c r="R607" s="255">
        <v>0</v>
      </c>
      <c r="S607" s="255">
        <v>0</v>
      </c>
      <c r="T607" s="255">
        <f>IF(Q607&gt;0,S607*100/Q607,0)</f>
        <v>0</v>
      </c>
      <c r="U607" s="255">
        <f>IF(R607&gt;0,S607*100/R607,0)</f>
        <v>0</v>
      </c>
    </row>
    <row r="608" spans="1:21" ht="19.5" hidden="1">
      <c r="A608" s="166"/>
      <c r="B608" s="167"/>
      <c r="C608" s="205" t="s">
        <v>18</v>
      </c>
      <c r="D608" s="574" t="s">
        <v>38</v>
      </c>
      <c r="E608" s="169"/>
      <c r="F608" s="169"/>
      <c r="G608" s="170"/>
      <c r="H608" s="206"/>
      <c r="I608" s="163"/>
      <c r="J608" s="163"/>
      <c r="K608" s="164"/>
      <c r="L608" s="62"/>
      <c r="M608" s="55"/>
      <c r="N608" s="55"/>
      <c r="O608" s="55"/>
      <c r="P608" s="55"/>
      <c r="Q608" s="55"/>
      <c r="R608" s="55"/>
      <c r="S608" s="55"/>
      <c r="T608" s="55"/>
      <c r="U608" s="55"/>
    </row>
    <row r="609" spans="1:21" ht="18.75" hidden="1">
      <c r="A609" s="166"/>
      <c r="B609" s="167"/>
      <c r="C609" s="167"/>
      <c r="D609" s="423" t="s">
        <v>217</v>
      </c>
      <c r="E609" s="174"/>
      <c r="F609" s="174"/>
      <c r="G609" s="171"/>
      <c r="H609" s="189" t="s">
        <v>99</v>
      </c>
      <c r="I609" s="54"/>
      <c r="J609" s="54"/>
      <c r="K609" s="164"/>
      <c r="L609" s="62"/>
      <c r="M609" s="55"/>
      <c r="N609" s="55"/>
      <c r="O609" s="55"/>
      <c r="P609" s="55"/>
      <c r="Q609" s="55"/>
      <c r="R609" s="55"/>
      <c r="S609" s="55"/>
      <c r="T609" s="55"/>
      <c r="U609" s="55"/>
    </row>
    <row r="610" spans="1:21" ht="19.5" hidden="1">
      <c r="A610" s="166"/>
      <c r="B610" s="167"/>
      <c r="C610" s="167"/>
      <c r="D610" s="423" t="s">
        <v>218</v>
      </c>
      <c r="E610" s="174"/>
      <c r="F610" s="174"/>
      <c r="G610" s="171"/>
      <c r="H610" s="418" t="s">
        <v>35</v>
      </c>
      <c r="I610" s="54"/>
      <c r="J610" s="54"/>
      <c r="K610" s="164"/>
      <c r="L610" s="62"/>
      <c r="M610" s="55"/>
      <c r="N610" s="55"/>
      <c r="O610" s="55"/>
      <c r="P610" s="55"/>
      <c r="Q610" s="55"/>
      <c r="R610" s="55"/>
      <c r="S610" s="55"/>
      <c r="T610" s="55"/>
      <c r="U610" s="55"/>
    </row>
    <row r="611" spans="1:21" ht="18.75" hidden="1">
      <c r="A611" s="166"/>
      <c r="B611" s="167"/>
      <c r="C611" s="167"/>
      <c r="D611" s="167"/>
      <c r="E611" s="423" t="s">
        <v>219</v>
      </c>
      <c r="F611" s="174"/>
      <c r="G611" s="171"/>
      <c r="H611" s="421" t="s">
        <v>35</v>
      </c>
      <c r="I611" s="54"/>
      <c r="J611" s="54"/>
      <c r="K611" s="164"/>
      <c r="L611" s="62"/>
      <c r="M611" s="55"/>
      <c r="N611" s="55"/>
      <c r="O611" s="55"/>
      <c r="P611" s="55"/>
      <c r="Q611" s="55"/>
      <c r="R611" s="55"/>
      <c r="S611" s="55"/>
      <c r="T611" s="55"/>
      <c r="U611" s="55"/>
    </row>
    <row r="612" spans="1:21" ht="19.5" hidden="1" thickBot="1">
      <c r="A612" s="424"/>
      <c r="B612" s="425"/>
      <c r="C612" s="425"/>
      <c r="D612" s="425"/>
      <c r="E612" s="426" t="s">
        <v>220</v>
      </c>
      <c r="F612" s="427"/>
      <c r="G612" s="428"/>
      <c r="H612" s="429" t="s">
        <v>35</v>
      </c>
      <c r="I612" s="430"/>
      <c r="J612" s="430"/>
      <c r="K612" s="431"/>
      <c r="L612" s="433"/>
      <c r="M612" s="432"/>
      <c r="N612" s="432"/>
      <c r="O612" s="432"/>
      <c r="P612" s="432"/>
      <c r="Q612" s="432"/>
      <c r="R612" s="432"/>
      <c r="S612" s="432"/>
      <c r="T612" s="432"/>
      <c r="U612" s="432"/>
    </row>
    <row r="613" spans="1:21" ht="19.5" hidden="1">
      <c r="A613" s="434" t="s">
        <v>221</v>
      </c>
      <c r="B613" s="435"/>
      <c r="C613" s="435"/>
      <c r="D613" s="436"/>
      <c r="E613" s="436"/>
      <c r="F613" s="436"/>
      <c r="G613" s="437"/>
      <c r="H613" s="438"/>
      <c r="I613" s="439"/>
      <c r="J613" s="439"/>
      <c r="K613" s="440"/>
      <c r="L613" s="441"/>
      <c r="M613" s="440"/>
      <c r="N613" s="440"/>
      <c r="O613" s="440"/>
      <c r="P613" s="440"/>
      <c r="Q613" s="440"/>
      <c r="R613" s="440"/>
      <c r="S613" s="440"/>
      <c r="T613" s="440"/>
      <c r="U613" s="440"/>
    </row>
    <row r="614" spans="1:21" ht="19.5">
      <c r="A614" s="442"/>
      <c r="B614" s="443" t="s">
        <v>222</v>
      </c>
      <c r="C614" s="442"/>
      <c r="D614" s="444"/>
      <c r="E614" s="444"/>
      <c r="F614" s="444"/>
      <c r="G614" s="445"/>
      <c r="H614" s="446"/>
      <c r="I614" s="447"/>
      <c r="J614" s="447"/>
      <c r="K614" s="448"/>
      <c r="L614" s="449"/>
      <c r="M614" s="448"/>
      <c r="N614" s="448"/>
      <c r="O614" s="448"/>
      <c r="P614" s="448"/>
      <c r="Q614" s="448"/>
      <c r="R614" s="448"/>
      <c r="S614" s="448"/>
      <c r="T614" s="448"/>
      <c r="U614" s="448"/>
    </row>
    <row r="615" spans="1:21" ht="19.5">
      <c r="A615" s="450"/>
      <c r="B615" s="451" t="s">
        <v>223</v>
      </c>
      <c r="C615" s="450"/>
      <c r="D615" s="452"/>
      <c r="E615" s="452"/>
      <c r="F615" s="452"/>
      <c r="G615" s="453"/>
      <c r="H615" s="454" t="s">
        <v>46</v>
      </c>
      <c r="I615" s="573">
        <f ca="1">I626</f>
        <v>50</v>
      </c>
      <c r="J615" s="573">
        <f>J626</f>
        <v>0</v>
      </c>
      <c r="K615" s="572">
        <f ca="1">IF(I615&gt;0,J615*100/I615,0)</f>
        <v>0</v>
      </c>
      <c r="L615" s="458"/>
      <c r="M615" s="457"/>
      <c r="N615" s="457"/>
      <c r="O615" s="457"/>
      <c r="P615" s="457"/>
      <c r="Q615" s="457"/>
      <c r="R615" s="457"/>
      <c r="S615" s="457"/>
      <c r="T615" s="457"/>
      <c r="U615" s="457"/>
    </row>
    <row r="616" spans="1:21" ht="19.5">
      <c r="A616" s="155"/>
      <c r="B616" s="188"/>
      <c r="C616" s="205" t="s">
        <v>18</v>
      </c>
      <c r="D616" s="542" t="s">
        <v>19</v>
      </c>
      <c r="E616" s="529"/>
      <c r="F616" s="529"/>
      <c r="G616" s="530"/>
      <c r="H616" s="252" t="s">
        <v>14</v>
      </c>
      <c r="I616" s="54"/>
      <c r="J616" s="54"/>
      <c r="K616" s="55"/>
      <c r="L616" s="541">
        <f>L617+L618</f>
        <v>0</v>
      </c>
      <c r="M616" s="540">
        <f>M617+M618</f>
        <v>0</v>
      </c>
      <c r="N616" s="540">
        <f>N617+N618</f>
        <v>0</v>
      </c>
      <c r="O616" s="540">
        <f>IF(L616&gt;0,N616*100/L616,0)</f>
        <v>0</v>
      </c>
      <c r="P616" s="540">
        <f>IF(M616&gt;0,N616*100/M616,0)</f>
        <v>0</v>
      </c>
      <c r="Q616" s="540">
        <f ca="1">Q617+Q618</f>
        <v>6675</v>
      </c>
      <c r="R616" s="540">
        <f ca="1">R617+R618</f>
        <v>6675</v>
      </c>
      <c r="S616" s="540">
        <f ca="1">S617+S618</f>
        <v>1000</v>
      </c>
      <c r="T616" s="540">
        <f ca="1">IF(Q616&gt;0,S616*100/Q616,0)</f>
        <v>14.9812734082397</v>
      </c>
      <c r="U616" s="540">
        <f ca="1">IF(R616&gt;0,S616*100/R616,0)</f>
        <v>14.9812734082397</v>
      </c>
    </row>
    <row r="617" spans="1:21" ht="18.75" hidden="1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103">
        <f>L620+L623</f>
        <v>0</v>
      </c>
      <c r="M617" s="102">
        <f>M620+M623</f>
        <v>0</v>
      </c>
      <c r="N617" s="102">
        <f>N620+N623</f>
        <v>0</v>
      </c>
      <c r="O617" s="102">
        <f>IF(L617&gt;0,N617*100/L617,0)</f>
        <v>0</v>
      </c>
      <c r="P617" s="102">
        <f>IF(M617&gt;0,N617*100/M617,0)</f>
        <v>0</v>
      </c>
      <c r="Q617" s="102">
        <f>Q620+Q623</f>
        <v>0</v>
      </c>
      <c r="R617" s="102">
        <f>R620+R623</f>
        <v>0</v>
      </c>
      <c r="S617" s="102">
        <f>S620+S623</f>
        <v>0</v>
      </c>
      <c r="T617" s="102">
        <f>IF(Q617&gt;0,S617*100/Q617,0)</f>
        <v>0</v>
      </c>
      <c r="U617" s="102">
        <f>IF(R617&gt;0,S617*100/R617,0)</f>
        <v>0</v>
      </c>
    </row>
    <row r="618" spans="1:21" ht="18.75" hidden="1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256">
        <f>L621+L624</f>
        <v>0</v>
      </c>
      <c r="M618" s="255">
        <f>M621+M624</f>
        <v>0</v>
      </c>
      <c r="N618" s="255">
        <f>N621+N624</f>
        <v>0</v>
      </c>
      <c r="O618" s="255">
        <f>IF(L618&gt;0,N618*100/L618,0)</f>
        <v>0</v>
      </c>
      <c r="P618" s="255">
        <f>IF(M618&gt;0,N618*100/M618,0)</f>
        <v>0</v>
      </c>
      <c r="Q618" s="255">
        <f ca="1">Q621+Q624</f>
        <v>6675</v>
      </c>
      <c r="R618" s="255">
        <f ca="1">R621+R624</f>
        <v>6675</v>
      </c>
      <c r="S618" s="255">
        <f ca="1">S621+S624</f>
        <v>1000</v>
      </c>
      <c r="T618" s="255">
        <f ca="1">IF(Q618&gt;0,S618*100/Q618,0)</f>
        <v>14.9812734082397</v>
      </c>
      <c r="U618" s="255">
        <f ca="1">IF(R618&gt;0,S618*100/R618,0)</f>
        <v>14.9812734082397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256">
        <f>L620+L621</f>
        <v>0</v>
      </c>
      <c r="M619" s="255">
        <f>M620+M621</f>
        <v>0</v>
      </c>
      <c r="N619" s="255">
        <f>N620+N621</f>
        <v>0</v>
      </c>
      <c r="O619" s="255">
        <f>IF(L619&gt;0,N619*100/L619,0)</f>
        <v>0</v>
      </c>
      <c r="P619" s="255">
        <f>IF(M619&gt;0,N619*100/M619,0)</f>
        <v>0</v>
      </c>
      <c r="Q619" s="255">
        <f ca="1">Q620+Q621</f>
        <v>6675</v>
      </c>
      <c r="R619" s="255">
        <f ca="1">R620+R621</f>
        <v>6675</v>
      </c>
      <c r="S619" s="255">
        <f ca="1">S620+S621</f>
        <v>1000</v>
      </c>
      <c r="T619" s="255">
        <f ca="1">IF(Q619&gt;0,S619*100/Q619,0)</f>
        <v>14.9812734082397</v>
      </c>
      <c r="U619" s="255">
        <f ca="1">IF(R619&gt;0,S619*100/R619,0)</f>
        <v>14.9812734082397</v>
      </c>
    </row>
    <row r="620" spans="1:21" ht="18.75" hidden="1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103">
        <v>0</v>
      </c>
      <c r="M620" s="102">
        <v>0</v>
      </c>
      <c r="N620" s="102">
        <v>0</v>
      </c>
      <c r="O620" s="102">
        <f>IF(L620&gt;0,N620*100/L620,0)</f>
        <v>0</v>
      </c>
      <c r="P620" s="102">
        <f>IF(M620&gt;0,N620*100/M620,0)</f>
        <v>0</v>
      </c>
      <c r="Q620" s="102">
        <v>0</v>
      </c>
      <c r="R620" s="102">
        <v>0</v>
      </c>
      <c r="S620" s="102">
        <v>0</v>
      </c>
      <c r="T620" s="102">
        <f>IF(Q620&gt;0,S620*100/Q620,0)</f>
        <v>0</v>
      </c>
      <c r="U620" s="102">
        <f>IF(R620&gt;0,S620*100/R620,0)</f>
        <v>0</v>
      </c>
    </row>
    <row r="621" spans="1:21" ht="18.75" hidden="1">
      <c r="A621" s="155"/>
      <c r="B621" s="188"/>
      <c r="C621" s="188"/>
      <c r="D621" s="174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256">
        <v>0</v>
      </c>
      <c r="M621" s="255">
        <v>0</v>
      </c>
      <c r="N621" s="255">
        <v>0</v>
      </c>
      <c r="O621" s="255">
        <f>IF(L621&gt;0,N621*100/L621,0)</f>
        <v>0</v>
      </c>
      <c r="P621" s="255">
        <f>IF(M621&gt;0,N621*100/M621,0)</f>
        <v>0</v>
      </c>
      <c r="Q621" s="255">
        <f ca="1">IFERROR(__xludf.DUMMYFUNCTION("IMPORTRANGE(""https://docs.google.com/spreadsheets/d/1ItG2mGa2ceCfYo0BwxsXqNm01IGEUdYcSSLTEv9YCik/edit?usp=sharing"",""เบิกจ่ายกองทุน!F49"")"),6675)</f>
        <v>6675</v>
      </c>
      <c r="R621" s="255">
        <f ca="1">IFERROR(__xludf.DUMMYFUNCTION("IMPORTRANGE(""https://docs.google.com/spreadsheets/d/1ItG2mGa2ceCfYo0BwxsXqNm01IGEUdYcSSLTEv9YCik/edit?usp=sharing"",""เบิกจ่ายกองทุน!G49"")"),6675)</f>
        <v>6675</v>
      </c>
      <c r="S621" s="255">
        <f ca="1">IFERROR(__xludf.DUMMYFUNCTION("IMPORTRANGE(""https://docs.google.com/spreadsheets/d/1ItG2mGa2ceCfYo0BwxsXqNm01IGEUdYcSSLTEv9YCik/edit?usp=sharing"",""เบิกจ่ายกองทุน!H49"")"),1000)</f>
        <v>1000</v>
      </c>
      <c r="T621" s="255">
        <f ca="1">IF(Q621&gt;0,S621*100/Q621,0)</f>
        <v>14.9812734082397</v>
      </c>
      <c r="U621" s="255">
        <f ca="1">IF(R621&gt;0,S621*100/R621,0)</f>
        <v>14.9812734082397</v>
      </c>
    </row>
    <row r="622" spans="1:21" ht="18.75">
      <c r="A622" s="155"/>
      <c r="B622" s="188"/>
      <c r="C622" s="188"/>
      <c r="D622" s="51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256">
        <f>L623+L624</f>
        <v>0</v>
      </c>
      <c r="M622" s="255">
        <f>M623+M624</f>
        <v>0</v>
      </c>
      <c r="N622" s="255">
        <f>N623+N624</f>
        <v>0</v>
      </c>
      <c r="O622" s="255">
        <f>IF(L622&gt;0,N622*100/L622,0)</f>
        <v>0</v>
      </c>
      <c r="P622" s="255">
        <f>IF(M622&gt;0,N622*100/M622,0)</f>
        <v>0</v>
      </c>
      <c r="Q622" s="255">
        <f>Q623+Q624</f>
        <v>0</v>
      </c>
      <c r="R622" s="255">
        <f>R623+R624</f>
        <v>0</v>
      </c>
      <c r="S622" s="255">
        <f>S623+S624</f>
        <v>0</v>
      </c>
      <c r="T622" s="255">
        <f>IF(Q622&gt;0,S622*100/Q622,0)</f>
        <v>0</v>
      </c>
      <c r="U622" s="255">
        <f>IF(R622&gt;0,S622*100/R622,0)</f>
        <v>0</v>
      </c>
    </row>
    <row r="623" spans="1:21" ht="18.75" hidden="1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103">
        <v>0</v>
      </c>
      <c r="M623" s="102">
        <v>0</v>
      </c>
      <c r="N623" s="102">
        <v>0</v>
      </c>
      <c r="O623" s="102">
        <f>IF(L623&gt;0,N623*100/L623,0)</f>
        <v>0</v>
      </c>
      <c r="P623" s="102">
        <f>IF(M623&gt;0,N623*100/M623,0)</f>
        <v>0</v>
      </c>
      <c r="Q623" s="102">
        <v>0</v>
      </c>
      <c r="R623" s="102">
        <v>0</v>
      </c>
      <c r="S623" s="102">
        <v>0</v>
      </c>
      <c r="T623" s="102">
        <f>IF(Q623&gt;0,S623*100/Q623,0)</f>
        <v>0</v>
      </c>
      <c r="U623" s="102">
        <f>IF(R623&gt;0,S623*100/R623,0)</f>
        <v>0</v>
      </c>
    </row>
    <row r="624" spans="1:21" ht="18.75" hidden="1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256">
        <v>0</v>
      </c>
      <c r="M624" s="255">
        <v>0</v>
      </c>
      <c r="N624" s="255">
        <v>0</v>
      </c>
      <c r="O624" s="255">
        <f>IF(L624&gt;0,N624*100/L624,0)</f>
        <v>0</v>
      </c>
      <c r="P624" s="255">
        <f>IF(M624&gt;0,N624*100/M624,0)</f>
        <v>0</v>
      </c>
      <c r="Q624" s="255">
        <v>0</v>
      </c>
      <c r="R624" s="255">
        <v>0</v>
      </c>
      <c r="S624" s="255">
        <v>0</v>
      </c>
      <c r="T624" s="255">
        <f>IF(Q624&gt;0,S624*100/Q624,0)</f>
        <v>0</v>
      </c>
      <c r="U624" s="255">
        <f>IF(R624&gt;0,S624*100/R624,0)</f>
        <v>0</v>
      </c>
    </row>
    <row r="625" spans="1:21" ht="19.5">
      <c r="A625" s="166"/>
      <c r="B625" s="167"/>
      <c r="C625" s="205" t="s">
        <v>18</v>
      </c>
      <c r="D625" s="539" t="s">
        <v>38</v>
      </c>
      <c r="E625" s="169"/>
      <c r="F625" s="169"/>
      <c r="G625" s="170"/>
      <c r="H625" s="206"/>
      <c r="I625" s="163"/>
      <c r="J625" s="163"/>
      <c r="K625" s="164"/>
      <c r="L625" s="172"/>
      <c r="M625" s="164"/>
      <c r="N625" s="164"/>
      <c r="O625" s="164"/>
      <c r="P625" s="164"/>
      <c r="Q625" s="164"/>
      <c r="R625" s="164"/>
      <c r="S625" s="164"/>
      <c r="T625" s="164"/>
      <c r="U625" s="164"/>
    </row>
    <row r="626" spans="1:21" ht="19.5">
      <c r="A626" s="166"/>
      <c r="B626" s="167"/>
      <c r="C626" s="167"/>
      <c r="D626" s="460" t="s">
        <v>224</v>
      </c>
      <c r="E626" s="174"/>
      <c r="F626" s="174"/>
      <c r="G626" s="171"/>
      <c r="H626" s="461" t="s">
        <v>46</v>
      </c>
      <c r="I626" s="373">
        <f ca="1">IFERROR(__xludf.DUMMYFUNCTION("IMPORTRANGE(""https://docs.google.com/spreadsheets/d/1eHaY18a8A9IcSdp1K8H6x8fbOy06t2VsZHhMHf-1x7Y/edit?usp=sharing"",""แผน!ID49"")"),50)</f>
        <v>50</v>
      </c>
      <c r="J626" s="373">
        <f>J632</f>
        <v>0</v>
      </c>
      <c r="K626" s="540">
        <f ca="1">IF(I626&gt;0,J626*100/I626,0)</f>
        <v>0</v>
      </c>
      <c r="L626" s="172"/>
      <c r="M626" s="164"/>
      <c r="N626" s="164"/>
      <c r="O626" s="164"/>
      <c r="P626" s="164"/>
      <c r="Q626" s="164"/>
      <c r="R626" s="164"/>
      <c r="S626" s="164"/>
      <c r="T626" s="164"/>
      <c r="U626" s="164"/>
    </row>
    <row r="627" spans="1:21" ht="18.75">
      <c r="A627" s="166"/>
      <c r="B627" s="167"/>
      <c r="C627" s="167"/>
      <c r="D627" s="167"/>
      <c r="E627" s="178" t="s">
        <v>225</v>
      </c>
      <c r="F627" s="174"/>
      <c r="G627" s="171"/>
      <c r="H627" s="165" t="s">
        <v>61</v>
      </c>
      <c r="I627" s="212">
        <f ca="1">IFERROR(__xludf.DUMMYFUNCTION("IMPORTRANGE(""https://docs.google.com/spreadsheets/d/1eHaY18a8A9IcSdp1K8H6x8fbOy06t2VsZHhMHf-1x7Y/edit?usp=sharing"",""แผน!IC49"")"),0)</f>
        <v>0</v>
      </c>
      <c r="J627" s="467">
        <v>0</v>
      </c>
      <c r="K627" s="255">
        <f ca="1">IF(I627&gt;0,(J627*100)/I627,0)</f>
        <v>0</v>
      </c>
      <c r="L627" s="172"/>
      <c r="M627" s="164"/>
      <c r="N627" s="164"/>
      <c r="O627" s="164"/>
      <c r="P627" s="164"/>
      <c r="Q627" s="164"/>
      <c r="R627" s="164"/>
      <c r="S627" s="164"/>
      <c r="T627" s="164"/>
      <c r="U627" s="164"/>
    </row>
    <row r="628" spans="1:21" ht="18.75">
      <c r="A628" s="166"/>
      <c r="B628" s="167"/>
      <c r="C628" s="167"/>
      <c r="D628" s="167"/>
      <c r="E628" s="178" t="s">
        <v>226</v>
      </c>
      <c r="F628" s="174"/>
      <c r="G628" s="171"/>
      <c r="H628" s="165" t="s">
        <v>61</v>
      </c>
      <c r="I628" s="212">
        <f ca="1">IFERROR(__xludf.DUMMYFUNCTION("IMPORTRANGE(""https://docs.google.com/spreadsheets/d/1eHaY18a8A9IcSdp1K8H6x8fbOy06t2VsZHhMHf-1x7Y/edit?usp=sharing"",""แผน!IC49"")"),0)</f>
        <v>0</v>
      </c>
      <c r="J628" s="467">
        <v>0</v>
      </c>
      <c r="K628" s="255">
        <f ca="1">IF(I628&gt;0,(J628*100)/I628,0)</f>
        <v>0</v>
      </c>
      <c r="L628" s="172"/>
      <c r="M628" s="164"/>
      <c r="N628" s="164"/>
      <c r="O628" s="164"/>
      <c r="P628" s="164"/>
      <c r="Q628" s="164"/>
      <c r="R628" s="164"/>
      <c r="S628" s="164"/>
      <c r="T628" s="164"/>
      <c r="U628" s="164"/>
    </row>
    <row r="629" spans="1:21" ht="18.75">
      <c r="A629" s="166"/>
      <c r="B629" s="167"/>
      <c r="C629" s="167"/>
      <c r="D629" s="167"/>
      <c r="E629" s="178" t="s">
        <v>227</v>
      </c>
      <c r="F629" s="174"/>
      <c r="G629" s="171"/>
      <c r="H629" s="165" t="s">
        <v>46</v>
      </c>
      <c r="I629" s="54"/>
      <c r="J629" s="467">
        <v>0</v>
      </c>
      <c r="K629" s="255">
        <f ca="1">IF(I$626&gt;0,J629*100/I$626,0)</f>
        <v>0</v>
      </c>
      <c r="L629" s="172"/>
      <c r="M629" s="164"/>
      <c r="N629" s="164"/>
      <c r="O629" s="164"/>
      <c r="P629" s="164"/>
      <c r="Q629" s="164"/>
      <c r="R629" s="164"/>
      <c r="S629" s="164"/>
      <c r="T629" s="164"/>
      <c r="U629" s="164"/>
    </row>
    <row r="630" spans="1:21" ht="18.75">
      <c r="A630" s="166"/>
      <c r="B630" s="167"/>
      <c r="C630" s="167"/>
      <c r="D630" s="167"/>
      <c r="E630" s="178" t="s">
        <v>228</v>
      </c>
      <c r="F630" s="174"/>
      <c r="G630" s="171"/>
      <c r="H630" s="165" t="s">
        <v>46</v>
      </c>
      <c r="I630" s="54"/>
      <c r="J630" s="467">
        <v>0</v>
      </c>
      <c r="K630" s="255">
        <f ca="1">IF(I$626&gt;0,J630*100/I$626,0)</f>
        <v>0</v>
      </c>
      <c r="L630" s="172"/>
      <c r="M630" s="164"/>
      <c r="N630" s="164"/>
      <c r="O630" s="164"/>
      <c r="P630" s="164"/>
      <c r="Q630" s="164"/>
      <c r="R630" s="164"/>
      <c r="S630" s="164"/>
      <c r="T630" s="164"/>
      <c r="U630" s="164"/>
    </row>
    <row r="631" spans="1:21" ht="18.75">
      <c r="A631" s="166"/>
      <c r="B631" s="167"/>
      <c r="C631" s="167"/>
      <c r="D631" s="167"/>
      <c r="E631" s="178" t="s">
        <v>229</v>
      </c>
      <c r="F631" s="174"/>
      <c r="G631" s="171"/>
      <c r="H631" s="165" t="s">
        <v>46</v>
      </c>
      <c r="I631" s="54"/>
      <c r="J631" s="467">
        <v>0</v>
      </c>
      <c r="K631" s="255">
        <f ca="1">IF(I$626&gt;0,J631*100/I$626,0)</f>
        <v>0</v>
      </c>
      <c r="L631" s="172"/>
      <c r="M631" s="164"/>
      <c r="N631" s="164"/>
      <c r="O631" s="164"/>
      <c r="P631" s="164"/>
      <c r="Q631" s="164"/>
      <c r="R631" s="164"/>
      <c r="S631" s="164"/>
      <c r="T631" s="164"/>
      <c r="U631" s="164"/>
    </row>
    <row r="632" spans="1:21" ht="19.5">
      <c r="A632" s="166"/>
      <c r="B632" s="167"/>
      <c r="C632" s="167"/>
      <c r="D632" s="167"/>
      <c r="E632" s="178" t="s">
        <v>230</v>
      </c>
      <c r="F632" s="174"/>
      <c r="G632" s="171"/>
      <c r="H632" s="165" t="s">
        <v>46</v>
      </c>
      <c r="I632" s="54"/>
      <c r="J632" s="373">
        <f>J633+J634</f>
        <v>0</v>
      </c>
      <c r="K632" s="540">
        <f ca="1">IF(I626&gt;0,J632*100/I626,0)</f>
        <v>0</v>
      </c>
      <c r="L632" s="172"/>
      <c r="M632" s="164"/>
      <c r="N632" s="164"/>
      <c r="O632" s="164"/>
      <c r="P632" s="164"/>
      <c r="Q632" s="164"/>
      <c r="R632" s="164"/>
      <c r="S632" s="164"/>
      <c r="T632" s="164"/>
      <c r="U632" s="164"/>
    </row>
    <row r="633" spans="1:21" ht="18.75">
      <c r="A633" s="166"/>
      <c r="B633" s="167"/>
      <c r="C633" s="167"/>
      <c r="D633" s="167"/>
      <c r="E633" s="174"/>
      <c r="F633" s="178" t="s">
        <v>231</v>
      </c>
      <c r="G633" s="171"/>
      <c r="H633" s="165" t="s">
        <v>46</v>
      </c>
      <c r="I633" s="54"/>
      <c r="J633" s="467">
        <v>0</v>
      </c>
      <c r="K633" s="55"/>
      <c r="L633" s="172"/>
      <c r="M633" s="164"/>
      <c r="N633" s="164"/>
      <c r="O633" s="164"/>
      <c r="P633" s="164"/>
      <c r="Q633" s="164"/>
      <c r="R633" s="164"/>
      <c r="S633" s="164"/>
      <c r="T633" s="164"/>
      <c r="U633" s="164"/>
    </row>
    <row r="634" spans="1:21" ht="18.75">
      <c r="A634" s="166"/>
      <c r="B634" s="167"/>
      <c r="C634" s="167"/>
      <c r="D634" s="167"/>
      <c r="E634" s="174"/>
      <c r="F634" s="178" t="s">
        <v>232</v>
      </c>
      <c r="G634" s="171"/>
      <c r="H634" s="165" t="s">
        <v>46</v>
      </c>
      <c r="I634" s="54"/>
      <c r="J634" s="467">
        <v>0</v>
      </c>
      <c r="K634" s="55"/>
      <c r="L634" s="172"/>
      <c r="M634" s="164"/>
      <c r="N634" s="164"/>
      <c r="O634" s="164"/>
      <c r="P634" s="164"/>
      <c r="Q634" s="164"/>
      <c r="R634" s="164"/>
      <c r="S634" s="164"/>
      <c r="T634" s="164"/>
      <c r="U634" s="164"/>
    </row>
    <row r="635" spans="1:21" ht="19.5">
      <c r="A635" s="166"/>
      <c r="B635" s="167"/>
      <c r="C635" s="167"/>
      <c r="D635" s="460" t="s">
        <v>233</v>
      </c>
      <c r="E635" s="174"/>
      <c r="F635" s="174"/>
      <c r="G635" s="171"/>
      <c r="H635" s="165" t="s">
        <v>46</v>
      </c>
      <c r="I635" s="373">
        <f ca="1">IFERROR(__xludf.DUMMYFUNCTION("IMPORTRANGE(""https://docs.google.com/spreadsheets/d/1eHaY18a8A9IcSdp1K8H6x8fbOy06t2VsZHhMHf-1x7Y/edit?usp=sharing"",""แผน!IE49"")"),0)</f>
        <v>0</v>
      </c>
      <c r="J635" s="373">
        <f>J636</f>
        <v>0</v>
      </c>
      <c r="K635" s="540">
        <f ca="1">IF(I635&gt;0,J635*100/I635,0)</f>
        <v>0</v>
      </c>
      <c r="L635" s="172"/>
      <c r="M635" s="164"/>
      <c r="N635" s="164"/>
      <c r="O635" s="164"/>
      <c r="P635" s="164"/>
      <c r="Q635" s="164"/>
      <c r="R635" s="164"/>
      <c r="S635" s="164"/>
      <c r="T635" s="164"/>
      <c r="U635" s="164"/>
    </row>
    <row r="636" spans="1:21" ht="18.75">
      <c r="A636" s="166"/>
      <c r="B636" s="167"/>
      <c r="C636" s="167"/>
      <c r="D636" s="167"/>
      <c r="E636" s="178" t="s">
        <v>234</v>
      </c>
      <c r="F636" s="174"/>
      <c r="G636" s="171"/>
      <c r="H636" s="165" t="s">
        <v>46</v>
      </c>
      <c r="I636" s="54"/>
      <c r="J636" s="212">
        <f>J637+J638</f>
        <v>0</v>
      </c>
      <c r="K636" s="55"/>
      <c r="L636" s="172"/>
      <c r="M636" s="164"/>
      <c r="N636" s="164"/>
      <c r="O636" s="164"/>
      <c r="P636" s="164"/>
      <c r="Q636" s="164"/>
      <c r="R636" s="164"/>
      <c r="S636" s="164"/>
      <c r="T636" s="164"/>
      <c r="U636" s="164"/>
    </row>
    <row r="637" spans="1:21" ht="18.75">
      <c r="A637" s="166"/>
      <c r="B637" s="167"/>
      <c r="C637" s="167"/>
      <c r="D637" s="167"/>
      <c r="E637" s="174"/>
      <c r="F637" s="178" t="s">
        <v>231</v>
      </c>
      <c r="G637" s="171"/>
      <c r="H637" s="165" t="s">
        <v>46</v>
      </c>
      <c r="I637" s="54"/>
      <c r="J637" s="467">
        <v>0</v>
      </c>
      <c r="K637" s="55"/>
      <c r="L637" s="172"/>
      <c r="M637" s="164"/>
      <c r="N637" s="164"/>
      <c r="O637" s="164"/>
      <c r="P637" s="164"/>
      <c r="Q637" s="164"/>
      <c r="R637" s="164"/>
      <c r="S637" s="164"/>
      <c r="T637" s="164"/>
      <c r="U637" s="164"/>
    </row>
    <row r="638" spans="1:21" ht="18.75">
      <c r="A638" s="166"/>
      <c r="B638" s="167"/>
      <c r="C638" s="167"/>
      <c r="D638" s="167"/>
      <c r="E638" s="174"/>
      <c r="F638" s="178" t="s">
        <v>232</v>
      </c>
      <c r="G638" s="171"/>
      <c r="H638" s="165" t="s">
        <v>46</v>
      </c>
      <c r="I638" s="54"/>
      <c r="J638" s="467">
        <v>0</v>
      </c>
      <c r="K638" s="55"/>
      <c r="L638" s="172"/>
      <c r="M638" s="164"/>
      <c r="N638" s="164"/>
      <c r="O638" s="164"/>
      <c r="P638" s="164"/>
      <c r="Q638" s="164"/>
      <c r="R638" s="164"/>
      <c r="S638" s="164"/>
      <c r="T638" s="164"/>
      <c r="U638" s="164"/>
    </row>
    <row r="639" spans="1:21" ht="18.75">
      <c r="A639" s="166"/>
      <c r="B639" s="167"/>
      <c r="C639" s="167"/>
      <c r="D639" s="167"/>
      <c r="E639" s="178" t="s">
        <v>235</v>
      </c>
      <c r="F639" s="174"/>
      <c r="G639" s="171"/>
      <c r="H639" s="165" t="s">
        <v>46</v>
      </c>
      <c r="I639" s="54"/>
      <c r="J639" s="467">
        <v>0</v>
      </c>
      <c r="K639" s="55"/>
      <c r="L639" s="172"/>
      <c r="M639" s="164"/>
      <c r="N639" s="164"/>
      <c r="O639" s="164"/>
      <c r="P639" s="164"/>
      <c r="Q639" s="164"/>
      <c r="R639" s="164"/>
      <c r="S639" s="164"/>
      <c r="T639" s="164"/>
      <c r="U639" s="164"/>
    </row>
    <row r="640" spans="1:21" ht="18.75">
      <c r="A640" s="166"/>
      <c r="B640" s="167"/>
      <c r="C640" s="167"/>
      <c r="D640" s="167"/>
      <c r="E640" s="174"/>
      <c r="F640" s="178" t="s">
        <v>236</v>
      </c>
      <c r="G640" s="171"/>
      <c r="H640" s="165" t="s">
        <v>46</v>
      </c>
      <c r="I640" s="54"/>
      <c r="J640" s="467">
        <v>0</v>
      </c>
      <c r="K640" s="55"/>
      <c r="L640" s="172"/>
      <c r="M640" s="164"/>
      <c r="N640" s="164"/>
      <c r="O640" s="164"/>
      <c r="P640" s="164"/>
      <c r="Q640" s="164"/>
      <c r="R640" s="164"/>
      <c r="S640" s="164"/>
      <c r="T640" s="164"/>
      <c r="U640" s="164"/>
    </row>
    <row r="641" spans="1:21" ht="19.5" hidden="1">
      <c r="A641" s="450"/>
      <c r="B641" s="451" t="s">
        <v>237</v>
      </c>
      <c r="C641" s="450"/>
      <c r="D641" s="452"/>
      <c r="E641" s="452"/>
      <c r="F641" s="452"/>
      <c r="G641" s="453"/>
      <c r="H641" s="462"/>
      <c r="I641" s="463"/>
      <c r="J641" s="463"/>
      <c r="K641" s="457"/>
      <c r="L641" s="458"/>
      <c r="M641" s="457"/>
      <c r="N641" s="457"/>
      <c r="O641" s="457"/>
      <c r="P641" s="457"/>
      <c r="Q641" s="457"/>
      <c r="R641" s="457"/>
      <c r="S641" s="457"/>
      <c r="T641" s="457"/>
      <c r="U641" s="457"/>
    </row>
    <row r="642" spans="1:21" ht="19.5" hidden="1">
      <c r="A642" s="155"/>
      <c r="B642" s="188"/>
      <c r="C642" s="239" t="s">
        <v>18</v>
      </c>
      <c r="D642" s="542" t="s">
        <v>19</v>
      </c>
      <c r="E642" s="529"/>
      <c r="F642" s="529"/>
      <c r="G642" s="530"/>
      <c r="H642" s="252" t="s">
        <v>14</v>
      </c>
      <c r="I642" s="54"/>
      <c r="J642" s="54"/>
      <c r="K642" s="55"/>
      <c r="L642" s="541">
        <f>L643+L644</f>
        <v>0</v>
      </c>
      <c r="M642" s="540">
        <f>M643+M644</f>
        <v>0</v>
      </c>
      <c r="N642" s="540">
        <f>N643+N644</f>
        <v>0</v>
      </c>
      <c r="O642" s="540">
        <f>IF(L642&gt;0,N642*100/L642,0)</f>
        <v>0</v>
      </c>
      <c r="P642" s="540">
        <f>IF(M642&gt;0,N642*100/M642,0)</f>
        <v>0</v>
      </c>
      <c r="Q642" s="540">
        <f ca="1">Q643+Q644</f>
        <v>0</v>
      </c>
      <c r="R642" s="540">
        <f ca="1">R643+R644</f>
        <v>0</v>
      </c>
      <c r="S642" s="540">
        <f ca="1">S643+S644</f>
        <v>0</v>
      </c>
      <c r="T642" s="540">
        <f ca="1">IF(Q642&gt;0,S642*100/Q642,0)</f>
        <v>0</v>
      </c>
      <c r="U642" s="540">
        <f ca="1">IF(R642&gt;0,S642*100/R642,0)</f>
        <v>0</v>
      </c>
    </row>
    <row r="643" spans="1:21" ht="18.75" hidden="1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103">
        <f>L646+L649</f>
        <v>0</v>
      </c>
      <c r="M643" s="102">
        <f>M646+M649</f>
        <v>0</v>
      </c>
      <c r="N643" s="102">
        <f>N646+N649</f>
        <v>0</v>
      </c>
      <c r="O643" s="102">
        <f>IF(L643&gt;0,N643*100/L643,0)</f>
        <v>0</v>
      </c>
      <c r="P643" s="102">
        <f>IF(M643&gt;0,N643*100/M643,0)</f>
        <v>0</v>
      </c>
      <c r="Q643" s="102">
        <f>Q646+Q649</f>
        <v>0</v>
      </c>
      <c r="R643" s="102">
        <f>R646+R649</f>
        <v>0</v>
      </c>
      <c r="S643" s="102">
        <f>S646+S649</f>
        <v>0</v>
      </c>
      <c r="T643" s="102">
        <f>IF(Q643&gt;0,S643*100/Q643,0)</f>
        <v>0</v>
      </c>
      <c r="U643" s="102">
        <f>IF(R643&gt;0,S643*100/R643,0)</f>
        <v>0</v>
      </c>
    </row>
    <row r="644" spans="1:21" ht="18.75" hidden="1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256">
        <f>L647+L650</f>
        <v>0</v>
      </c>
      <c r="M644" s="255">
        <f>M647+M650</f>
        <v>0</v>
      </c>
      <c r="N644" s="255">
        <f>N647+N650</f>
        <v>0</v>
      </c>
      <c r="O644" s="255">
        <f>IF(L644&gt;0,N644*100/L644,0)</f>
        <v>0</v>
      </c>
      <c r="P644" s="255">
        <f>IF(M644&gt;0,N644*100/M644,0)</f>
        <v>0</v>
      </c>
      <c r="Q644" s="255">
        <f ca="1">Q647+Q650</f>
        <v>0</v>
      </c>
      <c r="R644" s="255">
        <f ca="1">R647+R650</f>
        <v>0</v>
      </c>
      <c r="S644" s="255">
        <f ca="1">S647+S650</f>
        <v>0</v>
      </c>
      <c r="T644" s="255">
        <f ca="1">IF(Q644&gt;0,S644*100/Q644,0)</f>
        <v>0</v>
      </c>
      <c r="U644" s="255">
        <f ca="1">IF(R644&gt;0,S644*100/R644,0)</f>
        <v>0</v>
      </c>
    </row>
    <row r="645" spans="1:21" ht="18.75" hidden="1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256">
        <f>L646+L647</f>
        <v>0</v>
      </c>
      <c r="M645" s="255">
        <f>M646+M647</f>
        <v>0</v>
      </c>
      <c r="N645" s="255">
        <f>N646+N647</f>
        <v>0</v>
      </c>
      <c r="O645" s="255">
        <f>IF(L645&gt;0,N645*100/L645,0)</f>
        <v>0</v>
      </c>
      <c r="P645" s="255">
        <f>IF(M645&gt;0,N645*100/M645,0)</f>
        <v>0</v>
      </c>
      <c r="Q645" s="255">
        <f ca="1">Q646+Q647</f>
        <v>0</v>
      </c>
      <c r="R645" s="255">
        <f ca="1">R646+R647</f>
        <v>0</v>
      </c>
      <c r="S645" s="255">
        <f ca="1">S646+S647</f>
        <v>0</v>
      </c>
      <c r="T645" s="255">
        <f ca="1">IF(Q645&gt;0,S645*100/Q645,0)</f>
        <v>0</v>
      </c>
      <c r="U645" s="255">
        <f ca="1">IF(R645&gt;0,S645*100/R645,0)</f>
        <v>0</v>
      </c>
    </row>
    <row r="646" spans="1:21" ht="18.75" hidden="1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103">
        <v>0</v>
      </c>
      <c r="M646" s="102">
        <v>0</v>
      </c>
      <c r="N646" s="102">
        <v>0</v>
      </c>
      <c r="O646" s="102">
        <f>IF(L646&gt;0,N646*100/L646,0)</f>
        <v>0</v>
      </c>
      <c r="P646" s="102">
        <f>IF(M646&gt;0,N646*100/M646,0)</f>
        <v>0</v>
      </c>
      <c r="Q646" s="102">
        <v>0</v>
      </c>
      <c r="R646" s="102">
        <v>0</v>
      </c>
      <c r="S646" s="102">
        <v>0</v>
      </c>
      <c r="T646" s="102">
        <f>IF(Q646&gt;0,S646*100/Q646,0)</f>
        <v>0</v>
      </c>
      <c r="U646" s="102">
        <f>IF(R646&gt;0,S646*100/R646,0)</f>
        <v>0</v>
      </c>
    </row>
    <row r="647" spans="1:21" ht="18.75" hidden="1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256">
        <v>0</v>
      </c>
      <c r="M647" s="255">
        <v>0</v>
      </c>
      <c r="N647" s="255">
        <v>0</v>
      </c>
      <c r="O647" s="255">
        <f>IF(L647&gt;0,N647*100/L647,0)</f>
        <v>0</v>
      </c>
      <c r="P647" s="255">
        <f>IF(M647&gt;0,N647*100/M647,0)</f>
        <v>0</v>
      </c>
      <c r="Q647" s="255">
        <f ca="1">IFERROR(__xludf.DUMMYFUNCTION("IMPORTRANGE(""https://docs.google.com/spreadsheets/d/1ItG2mGa2ceCfYo0BwxsXqNm01IGEUdYcSSLTEv9YCik/edit?usp=sharing"",""เบิกจ่ายกองทุน!I49"")"),0)</f>
        <v>0</v>
      </c>
      <c r="R647" s="255">
        <f ca="1">IFERROR(__xludf.DUMMYFUNCTION("IMPORTRANGE(""https://docs.google.com/spreadsheets/d/1ItG2mGa2ceCfYo0BwxsXqNm01IGEUdYcSSLTEv9YCik/edit?usp=sharing"",""เบิกจ่ายกองทุน!J49"")"),0)</f>
        <v>0</v>
      </c>
      <c r="S647" s="255">
        <f ca="1">IFERROR(__xludf.DUMMYFUNCTION("IMPORTRANGE(""https://docs.google.com/spreadsheets/d/1ItG2mGa2ceCfYo0BwxsXqNm01IGEUdYcSSLTEv9YCik/edit?usp=sharing"",""เบิกจ่ายกองทุน!K49"")"),0)</f>
        <v>0</v>
      </c>
      <c r="T647" s="255">
        <f ca="1">IF(Q647&gt;0,S647*100/Q647,0)</f>
        <v>0</v>
      </c>
      <c r="U647" s="255">
        <f ca="1">IF(R647&gt;0,S647*100/R647,0)</f>
        <v>0</v>
      </c>
    </row>
    <row r="648" spans="1:21" ht="18.75" hidden="1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256">
        <f>L649+L650</f>
        <v>0</v>
      </c>
      <c r="M648" s="255">
        <f>M649+M650</f>
        <v>0</v>
      </c>
      <c r="N648" s="255">
        <f>N649+N650</f>
        <v>0</v>
      </c>
      <c r="O648" s="255">
        <f>IF(L648&gt;0,N648*100/L648,0)</f>
        <v>0</v>
      </c>
      <c r="P648" s="255">
        <f>IF(M648&gt;0,N648*100/M648,0)</f>
        <v>0</v>
      </c>
      <c r="Q648" s="255">
        <f>Q649+Q650</f>
        <v>0</v>
      </c>
      <c r="R648" s="255">
        <f>R649+R650</f>
        <v>0</v>
      </c>
      <c r="S648" s="255">
        <f>S649+S650</f>
        <v>0</v>
      </c>
      <c r="T648" s="255">
        <f>IF(Q648&gt;0,S648*100/Q648,0)</f>
        <v>0</v>
      </c>
      <c r="U648" s="255">
        <f>IF(R648&gt;0,S648*100/R648,0)</f>
        <v>0</v>
      </c>
    </row>
    <row r="649" spans="1:21" ht="18.75" hidden="1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103">
        <v>0</v>
      </c>
      <c r="M649" s="102">
        <v>0</v>
      </c>
      <c r="N649" s="102">
        <v>0</v>
      </c>
      <c r="O649" s="102">
        <f>IF(L649&gt;0,N649*100/L649,0)</f>
        <v>0</v>
      </c>
      <c r="P649" s="102">
        <f>IF(M649&gt;0,N649*100/M649,0)</f>
        <v>0</v>
      </c>
      <c r="Q649" s="102">
        <v>0</v>
      </c>
      <c r="R649" s="102">
        <v>0</v>
      </c>
      <c r="S649" s="102">
        <v>0</v>
      </c>
      <c r="T649" s="102">
        <f>IF(Q649&gt;0,S649*100/Q649,0)</f>
        <v>0</v>
      </c>
      <c r="U649" s="102">
        <f>IF(R649&gt;0,S649*100/R649,0)</f>
        <v>0</v>
      </c>
    </row>
    <row r="650" spans="1:21" ht="18.75" hidden="1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256">
        <v>0</v>
      </c>
      <c r="M650" s="255">
        <v>0</v>
      </c>
      <c r="N650" s="255">
        <v>0</v>
      </c>
      <c r="O650" s="255">
        <f>IF(L650&gt;0,N650*100/L650,0)</f>
        <v>0</v>
      </c>
      <c r="P650" s="255">
        <f>IF(M650&gt;0,N650*100/M650,0)</f>
        <v>0</v>
      </c>
      <c r="Q650" s="255">
        <v>0</v>
      </c>
      <c r="R650" s="255">
        <v>0</v>
      </c>
      <c r="S650" s="255">
        <v>0</v>
      </c>
      <c r="T650" s="255">
        <f>IF(Q650&gt;0,S650*100/Q650,0)</f>
        <v>0</v>
      </c>
      <c r="U650" s="255">
        <f>IF(R650&gt;0,S650*100/R650,0)</f>
        <v>0</v>
      </c>
    </row>
    <row r="651" spans="1:21" ht="19.5" hidden="1">
      <c r="A651" s="166"/>
      <c r="B651" s="167"/>
      <c r="C651" s="239" t="s">
        <v>18</v>
      </c>
      <c r="D651" s="571" t="s">
        <v>38</v>
      </c>
      <c r="E651" s="169"/>
      <c r="F651" s="169"/>
      <c r="G651" s="170"/>
      <c r="H651" s="206"/>
      <c r="I651" s="163"/>
      <c r="J651" s="163"/>
      <c r="K651" s="164"/>
      <c r="L651" s="172"/>
      <c r="M651" s="164"/>
      <c r="N651" s="164"/>
      <c r="O651" s="164"/>
      <c r="P651" s="164"/>
      <c r="Q651" s="55"/>
      <c r="R651" s="55"/>
      <c r="S651" s="55"/>
      <c r="T651" s="164"/>
      <c r="U651" s="164"/>
    </row>
    <row r="652" spans="1:21" ht="18.75" hidden="1">
      <c r="A652" s="238"/>
      <c r="B652" s="188"/>
      <c r="C652" s="188"/>
      <c r="D652" s="58" t="s">
        <v>238</v>
      </c>
      <c r="E652" s="50"/>
      <c r="F652" s="50"/>
      <c r="G652" s="52"/>
      <c r="H652" s="165" t="s">
        <v>46</v>
      </c>
      <c r="I652" s="570">
        <f ca="1">IFERROR(__xludf.DUMMYFUNCTION("IMPORTRANGE(""https://docs.google.com/spreadsheets/d/1eHaY18a8A9IcSdp1K8H6x8fbOy06t2VsZHhMHf-1x7Y/edit?usp=sharing"",""แผน!IF49"")"),0)</f>
        <v>0</v>
      </c>
      <c r="J652" s="212">
        <f ca="1">IFERROR(__xludf.DUMMYFUNCTION("IMPORTRANGE(""https://docs.google.com/spreadsheets/d/1tdoBKaGub7dwA3U6UFTqxio9LNnvDCQjHKmttSEBsFQ/edit?usp=sharing"",""จัดที่ดิน!AU49"")"),0)</f>
        <v>0</v>
      </c>
      <c r="K652" s="255">
        <f ca="1">IF(I652&gt;0,J652*100/I652,0)</f>
        <v>0</v>
      </c>
      <c r="L652" s="62"/>
      <c r="M652" s="55"/>
      <c r="N652" s="468"/>
      <c r="O652" s="55"/>
      <c r="P652" s="55"/>
      <c r="Q652" s="55"/>
      <c r="R652" s="55"/>
      <c r="S652" s="468"/>
      <c r="T652" s="55"/>
      <c r="U652" s="55"/>
    </row>
    <row r="653" spans="1:21" ht="18.75" hidden="1">
      <c r="A653" s="238"/>
      <c r="B653" s="188"/>
      <c r="C653" s="188"/>
      <c r="D653" s="58" t="s">
        <v>239</v>
      </c>
      <c r="E653" s="50"/>
      <c r="F653" s="50"/>
      <c r="G653" s="52"/>
      <c r="H653" s="165" t="s">
        <v>35</v>
      </c>
      <c r="I653" s="570">
        <f ca="1">IFERROR(__xludf.DUMMYFUNCTION("IMPORTRANGE(""https://docs.google.com/spreadsheets/d/1eHaY18a8A9IcSdp1K8H6x8fbOy06t2VsZHhMHf-1x7Y/edit?usp=sharing"",""แผน!IG49"")"),0)</f>
        <v>0</v>
      </c>
      <c r="J653" s="212">
        <f ca="1">IFERROR(__xludf.DUMMYFUNCTION("IMPORTRANGE(""https://docs.google.com/spreadsheets/d/1tdoBKaGub7dwA3U6UFTqxio9LNnvDCQjHKmttSEBsFQ/edit?usp=sharing"",""จัดที่ดิน!AW49"")"),0)</f>
        <v>0</v>
      </c>
      <c r="K653" s="255">
        <f ca="1">IF(I653&gt;0,J653*100/I653,0)</f>
        <v>0</v>
      </c>
      <c r="L653" s="62"/>
      <c r="M653" s="55"/>
      <c r="N653" s="468"/>
      <c r="O653" s="55"/>
      <c r="P653" s="55"/>
      <c r="Q653" s="55"/>
      <c r="R653" s="55"/>
      <c r="S653" s="468"/>
      <c r="T653" s="55"/>
      <c r="U653" s="55"/>
    </row>
    <row r="654" spans="1:21" ht="19.5" hidden="1">
      <c r="A654" s="238"/>
      <c r="B654" s="188"/>
      <c r="C654" s="188"/>
      <c r="D654" s="58" t="s">
        <v>240</v>
      </c>
      <c r="E654" s="50"/>
      <c r="F654" s="50"/>
      <c r="G654" s="52"/>
      <c r="H654" s="461" t="s">
        <v>46</v>
      </c>
      <c r="I654" s="569">
        <f ca="1">IFERROR(__xludf.DUMMYFUNCTION("IMPORTRANGE(""https://docs.google.com/spreadsheets/d/1eHaY18a8A9IcSdp1K8H6x8fbOy06t2VsZHhMHf-1x7Y/edit?usp=sharing"",""แผน!IH49"")"),0)</f>
        <v>0</v>
      </c>
      <c r="J654" s="373">
        <f>J657+J660</f>
        <v>0</v>
      </c>
      <c r="K654" s="540">
        <f ca="1">IF(I654&gt;0,J654*100/I654,0)</f>
        <v>0</v>
      </c>
      <c r="L654" s="62"/>
      <c r="M654" s="55"/>
      <c r="N654" s="468"/>
      <c r="O654" s="55"/>
      <c r="P654" s="55"/>
      <c r="Q654" s="55"/>
      <c r="R654" s="55"/>
      <c r="S654" s="468"/>
      <c r="T654" s="55"/>
      <c r="U654" s="55"/>
    </row>
    <row r="655" spans="1:21" ht="18.75" hidden="1">
      <c r="A655" s="238"/>
      <c r="B655" s="188"/>
      <c r="C655" s="188"/>
      <c r="D655" s="50"/>
      <c r="E655" s="58" t="s">
        <v>241</v>
      </c>
      <c r="F655" s="50"/>
      <c r="G655" s="52"/>
      <c r="H655" s="165" t="s">
        <v>35</v>
      </c>
      <c r="I655" s="208"/>
      <c r="J655" s="467">
        <v>0</v>
      </c>
      <c r="K655" s="55"/>
      <c r="L655" s="62"/>
      <c r="M655" s="55"/>
      <c r="N655" s="468"/>
      <c r="O655" s="55"/>
      <c r="P655" s="55"/>
      <c r="Q655" s="55"/>
      <c r="R655" s="55"/>
      <c r="S655" s="468"/>
      <c r="T655" s="55"/>
      <c r="U655" s="55"/>
    </row>
    <row r="656" spans="1:21" ht="18.75" hidden="1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67">
        <v>0</v>
      </c>
      <c r="K656" s="55"/>
      <c r="L656" s="62"/>
      <c r="M656" s="55"/>
      <c r="N656" s="468"/>
      <c r="O656" s="55"/>
      <c r="P656" s="55"/>
      <c r="Q656" s="55"/>
      <c r="R656" s="55"/>
      <c r="S656" s="468"/>
      <c r="T656" s="55"/>
      <c r="U656" s="55"/>
    </row>
    <row r="657" spans="1:21" ht="18.75" hidden="1">
      <c r="A657" s="238"/>
      <c r="B657" s="188"/>
      <c r="C657" s="188"/>
      <c r="D657" s="50"/>
      <c r="E657" s="50"/>
      <c r="F657" s="50"/>
      <c r="G657" s="52"/>
      <c r="H657" s="165" t="s">
        <v>46</v>
      </c>
      <c r="I657" s="570">
        <f ca="1">IFERROR(__xludf.DUMMYFUNCTION("IMPORTRANGE(""https://docs.google.com/spreadsheets/d/1eHaY18a8A9IcSdp1K8H6x8fbOy06t2VsZHhMHf-1x7Y/edit?usp=sharing"",""แผน!II49"")"),0)</f>
        <v>0</v>
      </c>
      <c r="J657" s="467">
        <v>0</v>
      </c>
      <c r="K657" s="55"/>
      <c r="L657" s="62"/>
      <c r="M657" s="55"/>
      <c r="N657" s="468"/>
      <c r="O657" s="55"/>
      <c r="P657" s="55"/>
      <c r="Q657" s="55"/>
      <c r="R657" s="55"/>
      <c r="S657" s="468"/>
      <c r="T657" s="55"/>
      <c r="U657" s="55"/>
    </row>
    <row r="658" spans="1:21" ht="18.75" hidden="1">
      <c r="A658" s="238"/>
      <c r="B658" s="188"/>
      <c r="C658" s="188"/>
      <c r="D658" s="50"/>
      <c r="E658" s="58" t="s">
        <v>242</v>
      </c>
      <c r="F658" s="50"/>
      <c r="G658" s="52"/>
      <c r="H658" s="165" t="s">
        <v>35</v>
      </c>
      <c r="I658" s="208"/>
      <c r="J658" s="467">
        <v>0</v>
      </c>
      <c r="K658" s="55"/>
      <c r="L658" s="62"/>
      <c r="M658" s="55"/>
      <c r="N658" s="468"/>
      <c r="O658" s="55"/>
      <c r="P658" s="55"/>
      <c r="Q658" s="55"/>
      <c r="R658" s="55"/>
      <c r="S658" s="468"/>
      <c r="T658" s="55"/>
      <c r="U658" s="55"/>
    </row>
    <row r="659" spans="1:21" ht="18.75" hidden="1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67">
        <v>0</v>
      </c>
      <c r="K659" s="55"/>
      <c r="L659" s="62"/>
      <c r="M659" s="55"/>
      <c r="N659" s="468"/>
      <c r="O659" s="55"/>
      <c r="P659" s="55"/>
      <c r="Q659" s="55"/>
      <c r="R659" s="55"/>
      <c r="S659" s="468"/>
      <c r="T659" s="55"/>
      <c r="U659" s="55"/>
    </row>
    <row r="660" spans="1:21" ht="18.75" hidden="1">
      <c r="A660" s="238"/>
      <c r="B660" s="188"/>
      <c r="C660" s="188"/>
      <c r="D660" s="50"/>
      <c r="E660" s="50"/>
      <c r="F660" s="50"/>
      <c r="G660" s="52"/>
      <c r="H660" s="165" t="s">
        <v>46</v>
      </c>
      <c r="I660" s="570">
        <f ca="1">IFERROR(__xludf.DUMMYFUNCTION("IMPORTRANGE(""https://docs.google.com/spreadsheets/d/1eHaY18a8A9IcSdp1K8H6x8fbOy06t2VsZHhMHf-1x7Y/edit?usp=sharing"",""แผน!IJ49"")"),0)</f>
        <v>0</v>
      </c>
      <c r="J660" s="467">
        <v>0</v>
      </c>
      <c r="K660" s="55"/>
      <c r="L660" s="62"/>
      <c r="M660" s="55"/>
      <c r="N660" s="468"/>
      <c r="O660" s="55"/>
      <c r="P660" s="55"/>
      <c r="Q660" s="55"/>
      <c r="R660" s="55"/>
      <c r="S660" s="468"/>
      <c r="T660" s="55"/>
      <c r="U660" s="55"/>
    </row>
    <row r="661" spans="1:21" ht="19.5" hidden="1">
      <c r="A661" s="238"/>
      <c r="B661" s="188"/>
      <c r="C661" s="188"/>
      <c r="D661" s="377" t="s">
        <v>243</v>
      </c>
      <c r="E661" s="50"/>
      <c r="F661" s="50"/>
      <c r="G661" s="52"/>
      <c r="H661" s="461" t="s">
        <v>46</v>
      </c>
      <c r="I661" s="569">
        <f ca="1">IFERROR(__xludf.DUMMYFUNCTION("IMPORTRANGE(""https://docs.google.com/spreadsheets/d/1eHaY18a8A9IcSdp1K8H6x8fbOy06t2VsZHhMHf-1x7Y/edit?usp=sharing"",""แผน!IK49"")"),0)</f>
        <v>0</v>
      </c>
      <c r="J661" s="373">
        <f>J667+J670</f>
        <v>0</v>
      </c>
      <c r="K661" s="540">
        <f ca="1">IF(I661&gt;0,J661*100/I661,0)</f>
        <v>0</v>
      </c>
      <c r="L661" s="62"/>
      <c r="M661" s="55"/>
      <c r="N661" s="468"/>
      <c r="O661" s="55"/>
      <c r="P661" s="55"/>
      <c r="Q661" s="55"/>
      <c r="R661" s="55"/>
      <c r="S661" s="468"/>
      <c r="T661" s="55"/>
      <c r="U661" s="55"/>
    </row>
    <row r="662" spans="1:21" ht="18.75" hidden="1">
      <c r="A662" s="238"/>
      <c r="B662" s="188"/>
      <c r="C662" s="188"/>
      <c r="D662" s="50"/>
      <c r="E662" s="58" t="s">
        <v>244</v>
      </c>
      <c r="F662" s="50"/>
      <c r="G662" s="52"/>
      <c r="H662" s="165" t="s">
        <v>34</v>
      </c>
      <c r="I662" s="208"/>
      <c r="J662" s="467">
        <v>0</v>
      </c>
      <c r="K662" s="55"/>
      <c r="L662" s="469"/>
      <c r="M662" s="55"/>
      <c r="N662" s="468"/>
      <c r="O662" s="55"/>
      <c r="P662" s="55"/>
      <c r="Q662" s="468"/>
      <c r="R662" s="55"/>
      <c r="S662" s="468"/>
      <c r="T662" s="55"/>
      <c r="U662" s="55"/>
    </row>
    <row r="663" spans="1:21" ht="18.75" hidden="1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67">
        <v>0</v>
      </c>
      <c r="K663" s="55"/>
      <c r="L663" s="469"/>
      <c r="M663" s="55"/>
      <c r="N663" s="468"/>
      <c r="O663" s="55"/>
      <c r="P663" s="55"/>
      <c r="Q663" s="468"/>
      <c r="R663" s="55"/>
      <c r="S663" s="468"/>
      <c r="T663" s="55"/>
      <c r="U663" s="55"/>
    </row>
    <row r="664" spans="1:21" ht="18.75" hidden="1">
      <c r="A664" s="238"/>
      <c r="B664" s="188"/>
      <c r="C664" s="188"/>
      <c r="D664" s="50"/>
      <c r="E664" s="58" t="s">
        <v>245</v>
      </c>
      <c r="F664" s="50"/>
      <c r="G664" s="52"/>
      <c r="H664" s="206"/>
      <c r="I664" s="208"/>
      <c r="J664" s="54"/>
      <c r="K664" s="55"/>
      <c r="L664" s="469"/>
      <c r="M664" s="55"/>
      <c r="N664" s="468"/>
      <c r="O664" s="55"/>
      <c r="P664" s="55"/>
      <c r="Q664" s="468"/>
      <c r="R664" s="55"/>
      <c r="S664" s="468"/>
      <c r="T664" s="55"/>
      <c r="U664" s="55"/>
    </row>
    <row r="665" spans="1:21" ht="18.75" hidden="1">
      <c r="A665" s="238"/>
      <c r="B665" s="188"/>
      <c r="C665" s="188"/>
      <c r="D665" s="50"/>
      <c r="E665" s="50"/>
      <c r="F665" s="58" t="s">
        <v>246</v>
      </c>
      <c r="G665" s="52"/>
      <c r="H665" s="165" t="s">
        <v>35</v>
      </c>
      <c r="I665" s="208"/>
      <c r="J665" s="467">
        <v>0</v>
      </c>
      <c r="K665" s="55"/>
      <c r="L665" s="469"/>
      <c r="M665" s="55"/>
      <c r="N665" s="468"/>
      <c r="O665" s="55"/>
      <c r="P665" s="55"/>
      <c r="Q665" s="468"/>
      <c r="R665" s="55"/>
      <c r="S665" s="468"/>
      <c r="T665" s="55"/>
      <c r="U665" s="55"/>
    </row>
    <row r="666" spans="1:21" ht="18.75" hidden="1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67">
        <v>0</v>
      </c>
      <c r="K666" s="55"/>
      <c r="L666" s="469"/>
      <c r="M666" s="55"/>
      <c r="N666" s="468"/>
      <c r="O666" s="55"/>
      <c r="P666" s="55"/>
      <c r="Q666" s="468"/>
      <c r="R666" s="55"/>
      <c r="S666" s="468"/>
      <c r="T666" s="55"/>
      <c r="U666" s="55"/>
    </row>
    <row r="667" spans="1:21" ht="18.75" hidden="1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67">
        <v>0</v>
      </c>
      <c r="K667" s="55"/>
      <c r="L667" s="469"/>
      <c r="M667" s="55"/>
      <c r="N667" s="468"/>
      <c r="O667" s="55"/>
      <c r="P667" s="55"/>
      <c r="Q667" s="468"/>
      <c r="R667" s="55"/>
      <c r="S667" s="468"/>
      <c r="T667" s="55"/>
      <c r="U667" s="55"/>
    </row>
    <row r="668" spans="1:21" ht="18.75" hidden="1">
      <c r="A668" s="238"/>
      <c r="B668" s="188"/>
      <c r="C668" s="188"/>
      <c r="D668" s="50"/>
      <c r="E668" s="50"/>
      <c r="F668" s="58" t="s">
        <v>247</v>
      </c>
      <c r="G668" s="52"/>
      <c r="H668" s="165" t="s">
        <v>35</v>
      </c>
      <c r="I668" s="208"/>
      <c r="J668" s="467">
        <v>0</v>
      </c>
      <c r="K668" s="55"/>
      <c r="L668" s="469"/>
      <c r="M668" s="55"/>
      <c r="N668" s="468"/>
      <c r="O668" s="55"/>
      <c r="P668" s="55"/>
      <c r="Q668" s="468"/>
      <c r="R668" s="55"/>
      <c r="S668" s="468"/>
      <c r="T668" s="55"/>
      <c r="U668" s="55"/>
    </row>
    <row r="669" spans="1:21" ht="18.75" hidden="1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67">
        <v>0</v>
      </c>
      <c r="K669" s="55"/>
      <c r="L669" s="469"/>
      <c r="M669" s="55"/>
      <c r="N669" s="468"/>
      <c r="O669" s="55"/>
      <c r="P669" s="55"/>
      <c r="Q669" s="468"/>
      <c r="R669" s="55"/>
      <c r="S669" s="468"/>
      <c r="T669" s="55"/>
      <c r="U669" s="55"/>
    </row>
    <row r="670" spans="1:21" ht="18.75" hidden="1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67">
        <v>0</v>
      </c>
      <c r="K670" s="55"/>
      <c r="L670" s="469"/>
      <c r="M670" s="55"/>
      <c r="N670" s="468"/>
      <c r="O670" s="55"/>
      <c r="P670" s="55"/>
      <c r="Q670" s="468"/>
      <c r="R670" s="55"/>
      <c r="S670" s="468"/>
      <c r="T670" s="55"/>
      <c r="U670" s="55"/>
    </row>
    <row r="671" spans="1:21" ht="18.75" hidden="1">
      <c r="A671" s="238"/>
      <c r="B671" s="188"/>
      <c r="C671" s="188"/>
      <c r="D671" s="58" t="s">
        <v>248</v>
      </c>
      <c r="E671" s="50"/>
      <c r="F671" s="50"/>
      <c r="G671" s="52"/>
      <c r="H671" s="165" t="s">
        <v>35</v>
      </c>
      <c r="I671" s="208"/>
      <c r="J671" s="212">
        <f ca="1">IFERROR(__xludf.DUMMYFUNCTION("IMPORTRANGE(""https://docs.google.com/spreadsheets/d/1tdoBKaGub7dwA3U6UFTqxio9LNnvDCQjHKmttSEBsFQ/edit?usp=sharing"",""จัดที่ดิน!AY49"")"),0)</f>
        <v>0</v>
      </c>
      <c r="K671" s="55"/>
      <c r="L671" s="62"/>
      <c r="M671" s="55"/>
      <c r="N671" s="468"/>
      <c r="O671" s="55"/>
      <c r="P671" s="55"/>
      <c r="Q671" s="55"/>
      <c r="R671" s="55"/>
      <c r="S671" s="468"/>
      <c r="T671" s="55"/>
      <c r="U671" s="55"/>
    </row>
    <row r="672" spans="1:21" ht="18.75" hidden="1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212">
        <f ca="1">IFERROR(__xludf.DUMMYFUNCTION("IMPORTRANGE(""https://docs.google.com/spreadsheets/d/1tdoBKaGub7dwA3U6UFTqxio9LNnvDCQjHKmttSEBsFQ/edit?usp=sharing"",""จัดที่ดิน!AZ49"")"),0)</f>
        <v>0</v>
      </c>
      <c r="K672" s="55"/>
      <c r="L672" s="469"/>
      <c r="M672" s="55"/>
      <c r="N672" s="468"/>
      <c r="O672" s="55"/>
      <c r="P672" s="55"/>
      <c r="Q672" s="468"/>
      <c r="R672" s="55"/>
      <c r="S672" s="468"/>
      <c r="T672" s="55"/>
      <c r="U672" s="55"/>
    </row>
    <row r="673" spans="1:21" ht="18.75" hidden="1">
      <c r="A673" s="238"/>
      <c r="B673" s="188"/>
      <c r="C673" s="188"/>
      <c r="D673" s="50"/>
      <c r="E673" s="50"/>
      <c r="F673" s="50"/>
      <c r="G673" s="52"/>
      <c r="H673" s="165" t="s">
        <v>46</v>
      </c>
      <c r="I673" s="570">
        <f ca="1">IFERROR(__xludf.DUMMYFUNCTION("IMPORTRANGE(""https://docs.google.com/spreadsheets/d/1eHaY18a8A9IcSdp1K8H6x8fbOy06t2VsZHhMHf-1x7Y/edit?usp=sharing"",""แผน!IL49"")"),0)</f>
        <v>0</v>
      </c>
      <c r="J673" s="212">
        <f ca="1">IFERROR(__xludf.DUMMYFUNCTION("IMPORTRANGE(""https://docs.google.com/spreadsheets/d/1tdoBKaGub7dwA3U6UFTqxio9LNnvDCQjHKmttSEBsFQ/edit?usp=sharing"",""จัดที่ดิน!BA49"")"),0)</f>
        <v>0</v>
      </c>
      <c r="K673" s="255">
        <f ca="1">IF(I673&gt;0,J673*100/I673,0)</f>
        <v>0</v>
      </c>
      <c r="L673" s="469"/>
      <c r="M673" s="55"/>
      <c r="N673" s="468"/>
      <c r="O673" s="55"/>
      <c r="P673" s="55"/>
      <c r="Q673" s="468"/>
      <c r="R673" s="55"/>
      <c r="S673" s="468"/>
      <c r="T673" s="55"/>
      <c r="U673" s="55"/>
    </row>
    <row r="674" spans="1:21" ht="19.5" hidden="1">
      <c r="A674" s="238"/>
      <c r="B674" s="188"/>
      <c r="C674" s="188"/>
      <c r="D674" s="58" t="s">
        <v>249</v>
      </c>
      <c r="E674" s="50"/>
      <c r="F674" s="50"/>
      <c r="G674" s="52"/>
      <c r="H674" s="461" t="s">
        <v>35</v>
      </c>
      <c r="I674" s="569">
        <f ca="1">IFERROR(__xludf.DUMMYFUNCTION("IMPORTRANGE(""https://docs.google.com/spreadsheets/d/1eHaY18a8A9IcSdp1K8H6x8fbOy06t2VsZHhMHf-1x7Y/edit?usp=sharing"",""แผน!IM49"")"),0)</f>
        <v>0</v>
      </c>
      <c r="J674" s="373">
        <f ca="1">J676+J679</f>
        <v>0</v>
      </c>
      <c r="K674" s="540">
        <f ca="1">IF(I674&gt;0,J674*100/I674,0)</f>
        <v>0</v>
      </c>
      <c r="L674" s="469"/>
      <c r="M674" s="55"/>
      <c r="N674" s="468"/>
      <c r="O674" s="55"/>
      <c r="P674" s="55"/>
      <c r="Q674" s="468"/>
      <c r="R674" s="55"/>
      <c r="S674" s="468"/>
      <c r="T674" s="55"/>
      <c r="U674" s="55"/>
    </row>
    <row r="675" spans="1:21" ht="19.5" hidden="1">
      <c r="A675" s="238"/>
      <c r="B675" s="188"/>
      <c r="C675" s="188"/>
      <c r="D675" s="50"/>
      <c r="E675" s="50"/>
      <c r="F675" s="50"/>
      <c r="G675" s="52"/>
      <c r="H675" s="461" t="s">
        <v>46</v>
      </c>
      <c r="I675" s="569">
        <f ca="1">IFERROR(__xludf.DUMMYFUNCTION("IMPORTRANGE(""https://docs.google.com/spreadsheets/d/1eHaY18a8A9IcSdp1K8H6x8fbOy06t2VsZHhMHf-1x7Y/edit?usp=sharing"",""แผน!IN49"")"),0)</f>
        <v>0</v>
      </c>
      <c r="J675" s="373">
        <f ca="1">J678+J681</f>
        <v>0</v>
      </c>
      <c r="K675" s="540">
        <f ca="1">IF(I675&gt;0,J675*100/I675,0)</f>
        <v>0</v>
      </c>
      <c r="L675" s="62"/>
      <c r="M675" s="55"/>
      <c r="N675" s="468"/>
      <c r="O675" s="55"/>
      <c r="P675" s="55"/>
      <c r="Q675" s="55"/>
      <c r="R675" s="55"/>
      <c r="S675" s="468"/>
      <c r="T675" s="55"/>
      <c r="U675" s="55"/>
    </row>
    <row r="676" spans="1:21" ht="18.75" hidden="1">
      <c r="A676" s="238"/>
      <c r="B676" s="188"/>
      <c r="C676" s="188"/>
      <c r="D676" s="50"/>
      <c r="E676" s="58" t="s">
        <v>250</v>
      </c>
      <c r="F676" s="50"/>
      <c r="G676" s="52"/>
      <c r="H676" s="165" t="s">
        <v>35</v>
      </c>
      <c r="I676" s="570">
        <f ca="1">IFERROR(__xludf.DUMMYFUNCTION("IMPORTRANGE(""https://docs.google.com/spreadsheets/d/1eHaY18a8A9IcSdp1K8H6x8fbOy06t2VsZHhMHf-1x7Y/edit?usp=sharing"",""แผน!IO49"")"),0)</f>
        <v>0</v>
      </c>
      <c r="J676" s="212">
        <f ca="1">IFERROR(__xludf.DUMMYFUNCTION("IMPORTRANGE(""https://docs.google.com/spreadsheets/d/1tdoBKaGub7dwA3U6UFTqxio9LNnvDCQjHKmttSEBsFQ/edit?usp=sharing"",""จัดที่ดิน!BF49"")"),0)</f>
        <v>0</v>
      </c>
      <c r="K676" s="255">
        <f ca="1">IF(I676&gt;0,J676*100/I676,0)</f>
        <v>0</v>
      </c>
      <c r="L676" s="62"/>
      <c r="M676" s="55"/>
      <c r="N676" s="468"/>
      <c r="O676" s="55"/>
      <c r="P676" s="55"/>
      <c r="Q676" s="55"/>
      <c r="R676" s="55"/>
      <c r="S676" s="468"/>
      <c r="T676" s="55"/>
      <c r="U676" s="55"/>
    </row>
    <row r="677" spans="1:21" ht="18.75" hidden="1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212">
        <f ca="1">IFERROR(__xludf.DUMMYFUNCTION("IMPORTRANGE(""https://docs.google.com/spreadsheets/d/1tdoBKaGub7dwA3U6UFTqxio9LNnvDCQjHKmttSEBsFQ/edit?usp=sharing"",""จัดที่ดิน!BG49"")"),0)</f>
        <v>0</v>
      </c>
      <c r="K677" s="55"/>
      <c r="L677" s="469"/>
      <c r="M677" s="55"/>
      <c r="N677" s="468"/>
      <c r="O677" s="55"/>
      <c r="P677" s="55"/>
      <c r="Q677" s="468"/>
      <c r="R677" s="55"/>
      <c r="S677" s="468"/>
      <c r="T677" s="55"/>
      <c r="U677" s="55"/>
    </row>
    <row r="678" spans="1:21" ht="18.75" hidden="1">
      <c r="A678" s="238"/>
      <c r="B678" s="188"/>
      <c r="C678" s="188"/>
      <c r="D678" s="50"/>
      <c r="E678" s="50"/>
      <c r="F678" s="50"/>
      <c r="G678" s="52"/>
      <c r="H678" s="165" t="s">
        <v>46</v>
      </c>
      <c r="I678" s="570">
        <f ca="1">IFERROR(__xludf.DUMMYFUNCTION("IMPORTRANGE(""https://docs.google.com/spreadsheets/d/1eHaY18a8A9IcSdp1K8H6x8fbOy06t2VsZHhMHf-1x7Y/edit?usp=sharing"",""แผน!IP49"")"),0)</f>
        <v>0</v>
      </c>
      <c r="J678" s="212">
        <f ca="1">IFERROR(__xludf.DUMMYFUNCTION("IMPORTRANGE(""https://docs.google.com/spreadsheets/d/1tdoBKaGub7dwA3U6UFTqxio9LNnvDCQjHKmttSEBsFQ/edit?usp=sharing"",""จัดที่ดิน!BH49"")"),0)</f>
        <v>0</v>
      </c>
      <c r="K678" s="255">
        <f ca="1">IF(I678&gt;0,J678*100/I678,0)</f>
        <v>0</v>
      </c>
      <c r="L678" s="469"/>
      <c r="M678" s="55"/>
      <c r="N678" s="468"/>
      <c r="O678" s="55"/>
      <c r="P678" s="55"/>
      <c r="Q678" s="468"/>
      <c r="R678" s="55"/>
      <c r="S678" s="468"/>
      <c r="T678" s="55"/>
      <c r="U678" s="55"/>
    </row>
    <row r="679" spans="1:21" ht="18.75" hidden="1">
      <c r="A679" s="238"/>
      <c r="B679" s="188"/>
      <c r="C679" s="188"/>
      <c r="D679" s="50"/>
      <c r="E679" s="58" t="s">
        <v>251</v>
      </c>
      <c r="F679" s="50"/>
      <c r="G679" s="52"/>
      <c r="H679" s="165" t="s">
        <v>35</v>
      </c>
      <c r="I679" s="570">
        <f ca="1">IFERROR(__xludf.DUMMYFUNCTION("IMPORTRANGE(""https://docs.google.com/spreadsheets/d/1eHaY18a8A9IcSdp1K8H6x8fbOy06t2VsZHhMHf-1x7Y/edit?usp=sharing"",""แผน!IQ49"")"),0)</f>
        <v>0</v>
      </c>
      <c r="J679" s="212">
        <f ca="1">IFERROR(__xludf.DUMMYFUNCTION("IMPORTRANGE(""https://docs.google.com/spreadsheets/d/1tdoBKaGub7dwA3U6UFTqxio9LNnvDCQjHKmttSEBsFQ/edit?usp=sharing"",""จัดที่ดิน!BK49"")"),0)</f>
        <v>0</v>
      </c>
      <c r="K679" s="255">
        <f ca="1">IF(I679&gt;0,J679*100/I679,0)</f>
        <v>0</v>
      </c>
      <c r="L679" s="62"/>
      <c r="M679" s="55"/>
      <c r="N679" s="468"/>
      <c r="O679" s="55"/>
      <c r="P679" s="55"/>
      <c r="Q679" s="55"/>
      <c r="R679" s="55"/>
      <c r="S679" s="468"/>
      <c r="T679" s="55"/>
      <c r="U679" s="55"/>
    </row>
    <row r="680" spans="1:21" ht="18.75" hidden="1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212">
        <f ca="1">IFERROR(__xludf.DUMMYFUNCTION("IMPORTRANGE(""https://docs.google.com/spreadsheets/d/1tdoBKaGub7dwA3U6UFTqxio9LNnvDCQjHKmttSEBsFQ/edit?usp=sharing"",""จัดที่ดิน!BL49"")"),0)</f>
        <v>0</v>
      </c>
      <c r="K680" s="55"/>
      <c r="L680" s="469"/>
      <c r="M680" s="55"/>
      <c r="N680" s="468"/>
      <c r="O680" s="55"/>
      <c r="P680" s="55"/>
      <c r="Q680" s="468"/>
      <c r="R680" s="55"/>
      <c r="S680" s="468"/>
      <c r="T680" s="55"/>
      <c r="U680" s="55"/>
    </row>
    <row r="681" spans="1:21" ht="18.75" hidden="1">
      <c r="A681" s="238"/>
      <c r="B681" s="188"/>
      <c r="C681" s="188"/>
      <c r="D681" s="50"/>
      <c r="E681" s="50"/>
      <c r="F681" s="50"/>
      <c r="G681" s="52"/>
      <c r="H681" s="165" t="s">
        <v>46</v>
      </c>
      <c r="I681" s="570">
        <f ca="1">IFERROR(__xludf.DUMMYFUNCTION("IMPORTRANGE(""https://docs.google.com/spreadsheets/d/1eHaY18a8A9IcSdp1K8H6x8fbOy06t2VsZHhMHf-1x7Y/edit?usp=sharing"",""แผน!IR49"")"),0)</f>
        <v>0</v>
      </c>
      <c r="J681" s="212">
        <f ca="1">IFERROR(__xludf.DUMMYFUNCTION("IMPORTRANGE(""https://docs.google.com/spreadsheets/d/1tdoBKaGub7dwA3U6UFTqxio9LNnvDCQjHKmttSEBsFQ/edit?usp=sharing"",""จัดที่ดิน!BM49"")"),0)</f>
        <v>0</v>
      </c>
      <c r="K681" s="255">
        <f ca="1">IF(I681&gt;0,J681*100/I681,0)</f>
        <v>0</v>
      </c>
      <c r="L681" s="469"/>
      <c r="M681" s="55"/>
      <c r="N681" s="468"/>
      <c r="O681" s="55"/>
      <c r="P681" s="55"/>
      <c r="Q681" s="468"/>
      <c r="R681" s="55"/>
      <c r="S681" s="468"/>
      <c r="T681" s="55"/>
      <c r="U681" s="55"/>
    </row>
    <row r="682" spans="1:21" ht="19.5" hidden="1">
      <c r="A682" s="238"/>
      <c r="B682" s="188"/>
      <c r="C682" s="188"/>
      <c r="D682" s="58" t="s">
        <v>252</v>
      </c>
      <c r="E682" s="50"/>
      <c r="F682" s="50"/>
      <c r="G682" s="52"/>
      <c r="H682" s="461" t="s">
        <v>46</v>
      </c>
      <c r="I682" s="569">
        <f ca="1">IFERROR(__xludf.DUMMYFUNCTION("IMPORTRANGE(""https://docs.google.com/spreadsheets/d/1eHaY18a8A9IcSdp1K8H6x8fbOy06t2VsZHhMHf-1x7Y/edit?usp=sharing"",""แผน!IS49"")"),0)</f>
        <v>0</v>
      </c>
      <c r="J682" s="373">
        <f>J685+J688</f>
        <v>0</v>
      </c>
      <c r="K682" s="540">
        <f ca="1">IF(I682&gt;0,J682*100/I682,0)</f>
        <v>0</v>
      </c>
      <c r="L682" s="62"/>
      <c r="M682" s="55"/>
      <c r="N682" s="468"/>
      <c r="O682" s="55"/>
      <c r="P682" s="55"/>
      <c r="Q682" s="55"/>
      <c r="R682" s="55"/>
      <c r="S682" s="468"/>
      <c r="T682" s="55"/>
      <c r="U682" s="55"/>
    </row>
    <row r="683" spans="1:21" ht="18.75" hidden="1">
      <c r="A683" s="238"/>
      <c r="B683" s="188"/>
      <c r="C683" s="188"/>
      <c r="D683" s="50"/>
      <c r="E683" s="58" t="s">
        <v>253</v>
      </c>
      <c r="F683" s="50"/>
      <c r="G683" s="52"/>
      <c r="H683" s="165" t="s">
        <v>35</v>
      </c>
      <c r="I683" s="208"/>
      <c r="J683" s="467">
        <v>0</v>
      </c>
      <c r="K683" s="55"/>
      <c r="L683" s="469"/>
      <c r="M683" s="55"/>
      <c r="N683" s="468"/>
      <c r="O683" s="55"/>
      <c r="P683" s="55"/>
      <c r="Q683" s="468"/>
      <c r="R683" s="55"/>
      <c r="S683" s="468"/>
      <c r="T683" s="55"/>
      <c r="U683" s="55"/>
    </row>
    <row r="684" spans="1:21" ht="18.75" hidden="1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467">
        <v>0</v>
      </c>
      <c r="K684" s="55"/>
      <c r="L684" s="469"/>
      <c r="M684" s="55"/>
      <c r="N684" s="468"/>
      <c r="O684" s="55"/>
      <c r="P684" s="55"/>
      <c r="Q684" s="468"/>
      <c r="R684" s="55"/>
      <c r="S684" s="468"/>
      <c r="T684" s="55"/>
      <c r="U684" s="55"/>
    </row>
    <row r="685" spans="1:21" ht="18.75" hidden="1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467">
        <v>0</v>
      </c>
      <c r="K685" s="55"/>
      <c r="L685" s="469"/>
      <c r="M685" s="55"/>
      <c r="N685" s="468"/>
      <c r="O685" s="55"/>
      <c r="P685" s="55"/>
      <c r="Q685" s="468"/>
      <c r="R685" s="55"/>
      <c r="S685" s="468"/>
      <c r="T685" s="55"/>
      <c r="U685" s="55"/>
    </row>
    <row r="686" spans="1:21" ht="18.75" hidden="1">
      <c r="A686" s="238"/>
      <c r="B686" s="188"/>
      <c r="C686" s="188"/>
      <c r="D686" s="50"/>
      <c r="E686" s="58" t="s">
        <v>254</v>
      </c>
      <c r="F686" s="50"/>
      <c r="G686" s="52"/>
      <c r="H686" s="165" t="s">
        <v>35</v>
      </c>
      <c r="I686" s="208"/>
      <c r="J686" s="467">
        <v>0</v>
      </c>
      <c r="K686" s="55"/>
      <c r="L686" s="469"/>
      <c r="M686" s="55"/>
      <c r="N686" s="468"/>
      <c r="O686" s="55"/>
      <c r="P686" s="55"/>
      <c r="Q686" s="468"/>
      <c r="R686" s="55"/>
      <c r="S686" s="468"/>
      <c r="T686" s="55"/>
      <c r="U686" s="55"/>
    </row>
    <row r="687" spans="1:21" ht="18.75" hidden="1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467">
        <v>0</v>
      </c>
      <c r="K687" s="55"/>
      <c r="L687" s="469"/>
      <c r="M687" s="55"/>
      <c r="N687" s="468"/>
      <c r="O687" s="55"/>
      <c r="P687" s="55"/>
      <c r="Q687" s="468"/>
      <c r="R687" s="55"/>
      <c r="S687" s="468"/>
      <c r="T687" s="55"/>
      <c r="U687" s="55"/>
    </row>
    <row r="688" spans="1:21" ht="19.5" hidden="1">
      <c r="A688" s="281"/>
      <c r="B688" s="470" t="s">
        <v>255</v>
      </c>
      <c r="C688" s="282"/>
      <c r="D688" s="2"/>
      <c r="E688" s="2"/>
      <c r="F688" s="2"/>
      <c r="G688" s="284"/>
      <c r="H688" s="214" t="s">
        <v>46</v>
      </c>
      <c r="I688" s="375"/>
      <c r="J688" s="538">
        <v>0</v>
      </c>
      <c r="K688" s="6"/>
      <c r="L688" s="472"/>
      <c r="M688" s="6"/>
      <c r="N688" s="471"/>
      <c r="O688" s="6"/>
      <c r="P688" s="6"/>
      <c r="Q688" s="471"/>
      <c r="R688" s="6"/>
      <c r="S688" s="471"/>
      <c r="T688" s="6"/>
      <c r="U688" s="6"/>
    </row>
    <row r="689" spans="1:21" ht="19.5">
      <c r="A689" s="442"/>
      <c r="B689" s="443" t="s">
        <v>256</v>
      </c>
      <c r="C689" s="442"/>
      <c r="D689" s="444"/>
      <c r="E689" s="444"/>
      <c r="F689" s="444"/>
      <c r="G689" s="445"/>
      <c r="H689" s="568" t="s">
        <v>35</v>
      </c>
      <c r="I689" s="567">
        <f ca="1">I707</f>
        <v>165</v>
      </c>
      <c r="J689" s="567">
        <f ca="1">J707</f>
        <v>33</v>
      </c>
      <c r="K689" s="543">
        <f ca="1">IF(I689&gt;0,J689*100/I689,0)</f>
        <v>20</v>
      </c>
      <c r="L689" s="449"/>
      <c r="M689" s="448"/>
      <c r="N689" s="448"/>
      <c r="O689" s="448"/>
      <c r="P689" s="448"/>
      <c r="Q689" s="448"/>
      <c r="R689" s="448"/>
      <c r="S689" s="448"/>
      <c r="T689" s="448"/>
      <c r="U689" s="448"/>
    </row>
    <row r="690" spans="1:21" ht="19.5">
      <c r="A690" s="155"/>
      <c r="B690" s="188"/>
      <c r="C690" s="205" t="s">
        <v>18</v>
      </c>
      <c r="D690" s="542" t="s">
        <v>19</v>
      </c>
      <c r="E690" s="529"/>
      <c r="F690" s="529"/>
      <c r="G690" s="530"/>
      <c r="H690" s="252" t="s">
        <v>14</v>
      </c>
      <c r="I690" s="54"/>
      <c r="J690" s="54"/>
      <c r="K690" s="55"/>
      <c r="L690" s="541">
        <f>L691+L692</f>
        <v>0</v>
      </c>
      <c r="M690" s="540">
        <f>M691+M692</f>
        <v>0</v>
      </c>
      <c r="N690" s="540">
        <f>N691+N692</f>
        <v>0</v>
      </c>
      <c r="O690" s="540">
        <f>IF(L690&gt;0,N690*100/L690,0)</f>
        <v>0</v>
      </c>
      <c r="P690" s="540">
        <f>IF(M690&gt;0,N690*100/M690,0)</f>
        <v>0</v>
      </c>
      <c r="Q690" s="540">
        <f ca="1">Q691+Q692</f>
        <v>272770</v>
      </c>
      <c r="R690" s="540">
        <f ca="1">R691+R692</f>
        <v>272770</v>
      </c>
      <c r="S690" s="540">
        <f ca="1">S691+S692</f>
        <v>115800</v>
      </c>
      <c r="T690" s="540">
        <f ca="1">IF(Q690&gt;0,S690*100/Q690,0)</f>
        <v>42.453348975327202</v>
      </c>
      <c r="U690" s="540">
        <f ca="1">IF(R690&gt;0,S690*100/R690,0)</f>
        <v>42.453348975327202</v>
      </c>
    </row>
    <row r="691" spans="1:21" ht="18.75" hidden="1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103">
        <f>L694+L697</f>
        <v>0</v>
      </c>
      <c r="M691" s="102">
        <f>M694+M697</f>
        <v>0</v>
      </c>
      <c r="N691" s="102">
        <f>N694+N697</f>
        <v>0</v>
      </c>
      <c r="O691" s="102">
        <f>IF(L691&gt;0,N691*100/L691,0)</f>
        <v>0</v>
      </c>
      <c r="P691" s="102">
        <f>IF(M691&gt;0,N691*100/M691,0)</f>
        <v>0</v>
      </c>
      <c r="Q691" s="102">
        <f>Q694+Q697</f>
        <v>0</v>
      </c>
      <c r="R691" s="102">
        <f>R694+R697</f>
        <v>0</v>
      </c>
      <c r="S691" s="102">
        <f>S694+S697</f>
        <v>0</v>
      </c>
      <c r="T691" s="102">
        <f>IF(Q691&gt;0,S691*100/Q691,0)</f>
        <v>0</v>
      </c>
      <c r="U691" s="102">
        <f>IF(R691&gt;0,S691*100/R691,0)</f>
        <v>0</v>
      </c>
    </row>
    <row r="692" spans="1:21" ht="18.75" hidden="1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256">
        <f>L695+L698</f>
        <v>0</v>
      </c>
      <c r="M692" s="255">
        <f>M695+M698</f>
        <v>0</v>
      </c>
      <c r="N692" s="255">
        <f>N695+N698</f>
        <v>0</v>
      </c>
      <c r="O692" s="255">
        <f>IF(L692&gt;0,N692*100/L692,0)</f>
        <v>0</v>
      </c>
      <c r="P692" s="255">
        <f>IF(M692&gt;0,N692*100/M692,0)</f>
        <v>0</v>
      </c>
      <c r="Q692" s="255">
        <f ca="1">Q695+Q698</f>
        <v>272770</v>
      </c>
      <c r="R692" s="255">
        <f ca="1">R695+R698</f>
        <v>272770</v>
      </c>
      <c r="S692" s="255">
        <f ca="1">S695+S698</f>
        <v>115800</v>
      </c>
      <c r="T692" s="255">
        <f ca="1">IF(Q692&gt;0,S692*100/Q692,0)</f>
        <v>42.453348975327202</v>
      </c>
      <c r="U692" s="255">
        <f ca="1">IF(R692&gt;0,S692*100/R692,0)</f>
        <v>42.453348975327202</v>
      </c>
    </row>
    <row r="693" spans="1:21" ht="18.75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256">
        <f>L694+L695</f>
        <v>0</v>
      </c>
      <c r="M693" s="255">
        <f>M694+M695</f>
        <v>0</v>
      </c>
      <c r="N693" s="255">
        <f>N694+N695</f>
        <v>0</v>
      </c>
      <c r="O693" s="255">
        <f>IF(L693&gt;0,N693*100/L693,0)</f>
        <v>0</v>
      </c>
      <c r="P693" s="255">
        <f>IF(M693&gt;0,N693*100/M693,0)</f>
        <v>0</v>
      </c>
      <c r="Q693" s="255">
        <f ca="1">Q694+Q695</f>
        <v>272770</v>
      </c>
      <c r="R693" s="255">
        <f ca="1">R694+R695</f>
        <v>272770</v>
      </c>
      <c r="S693" s="255">
        <f ca="1">S694+S695</f>
        <v>115800</v>
      </c>
      <c r="T693" s="255">
        <f ca="1">IF(Q693&gt;0,S693*100/Q693,0)</f>
        <v>42.453348975327202</v>
      </c>
      <c r="U693" s="255">
        <f ca="1">IF(R693&gt;0,S693*100/R693,0)</f>
        <v>42.453348975327202</v>
      </c>
    </row>
    <row r="694" spans="1:21" ht="18.75" hidden="1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103">
        <v>0</v>
      </c>
      <c r="M694" s="102">
        <v>0</v>
      </c>
      <c r="N694" s="102">
        <v>0</v>
      </c>
      <c r="O694" s="102">
        <f>IF(L694&gt;0,N694*100/L694,0)</f>
        <v>0</v>
      </c>
      <c r="P694" s="102">
        <f>IF(M694&gt;0,N694*100/M694,0)</f>
        <v>0</v>
      </c>
      <c r="Q694" s="102">
        <v>0</v>
      </c>
      <c r="R694" s="102">
        <v>0</v>
      </c>
      <c r="S694" s="102">
        <v>0</v>
      </c>
      <c r="T694" s="102">
        <f>IF(Q694&gt;0,S694*100/Q694,0)</f>
        <v>0</v>
      </c>
      <c r="U694" s="102">
        <f>IF(R694&gt;0,S694*100/R694,0)</f>
        <v>0</v>
      </c>
    </row>
    <row r="695" spans="1:21" ht="18.75" hidden="1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256">
        <v>0</v>
      </c>
      <c r="M695" s="255">
        <v>0</v>
      </c>
      <c r="N695" s="255">
        <v>0</v>
      </c>
      <c r="O695" s="255">
        <f>IF(L695&gt;0,N695*100/L695,0)</f>
        <v>0</v>
      </c>
      <c r="P695" s="255">
        <f>IF(M695&gt;0,N695*100/M695,0)</f>
        <v>0</v>
      </c>
      <c r="Q695" s="255">
        <f ca="1">IFERROR(__xludf.DUMMYFUNCTION("IMPORTRANGE(""https://docs.google.com/spreadsheets/d/1ItG2mGa2ceCfYo0BwxsXqNm01IGEUdYcSSLTEv9YCik/edit?usp=sharing"",""เบิกจ่ายกองทุน!L49"")"),272770)</f>
        <v>272770</v>
      </c>
      <c r="R695" s="255">
        <f ca="1">IFERROR(__xludf.DUMMYFUNCTION("IMPORTRANGE(""https://docs.google.com/spreadsheets/d/1ItG2mGa2ceCfYo0BwxsXqNm01IGEUdYcSSLTEv9YCik/edit?usp=sharing"",""เบิกจ่ายกองทุน!M49"")"),272770)</f>
        <v>272770</v>
      </c>
      <c r="S695" s="255">
        <f ca="1">IFERROR(__xludf.DUMMYFUNCTION("IMPORTRANGE(""https://docs.google.com/spreadsheets/d/1ItG2mGa2ceCfYo0BwxsXqNm01IGEUdYcSSLTEv9YCik/edit?usp=sharing"",""เบิกจ่ายกองทุน!N49"")"),115800)</f>
        <v>115800</v>
      </c>
      <c r="T695" s="255">
        <f ca="1">IF(Q695&gt;0,S695*100/Q695,0)</f>
        <v>42.453348975327202</v>
      </c>
      <c r="U695" s="255">
        <f ca="1">IF(R695&gt;0,S695*100/R695,0)</f>
        <v>42.453348975327202</v>
      </c>
    </row>
    <row r="696" spans="1:21" ht="18.75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256">
        <f>L697+L698</f>
        <v>0</v>
      </c>
      <c r="M696" s="255">
        <f>M697+M698</f>
        <v>0</v>
      </c>
      <c r="N696" s="255">
        <f>N697+N698</f>
        <v>0</v>
      </c>
      <c r="O696" s="255">
        <f>IF(L696&gt;0,N696*100/L696,0)</f>
        <v>0</v>
      </c>
      <c r="P696" s="255">
        <f>IF(M696&gt;0,N696*100/M696,0)</f>
        <v>0</v>
      </c>
      <c r="Q696" s="255">
        <f>Q697+Q698</f>
        <v>0</v>
      </c>
      <c r="R696" s="255">
        <f>R697+R698</f>
        <v>0</v>
      </c>
      <c r="S696" s="255">
        <f>S697+S698</f>
        <v>0</v>
      </c>
      <c r="T696" s="255">
        <f>IF(Q696&gt;0,S696*100/Q696,0)</f>
        <v>0</v>
      </c>
      <c r="U696" s="255">
        <f>IF(R696&gt;0,S696*100/R696,0)</f>
        <v>0</v>
      </c>
    </row>
    <row r="697" spans="1:21" ht="18.75" hidden="1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103">
        <v>0</v>
      </c>
      <c r="M697" s="102">
        <v>0</v>
      </c>
      <c r="N697" s="102">
        <v>0</v>
      </c>
      <c r="O697" s="102">
        <f>IF(L697&gt;0,N697*100/L697,0)</f>
        <v>0</v>
      </c>
      <c r="P697" s="102">
        <f>IF(M697&gt;0,N697*100/M697,0)</f>
        <v>0</v>
      </c>
      <c r="Q697" s="102">
        <v>0</v>
      </c>
      <c r="R697" s="102">
        <v>0</v>
      </c>
      <c r="S697" s="102">
        <v>0</v>
      </c>
      <c r="T697" s="102">
        <f>IF(Q697&gt;0,S697*100/Q697,0)</f>
        <v>0</v>
      </c>
      <c r="U697" s="102">
        <f>IF(R697&gt;0,S697*100/R697,0)</f>
        <v>0</v>
      </c>
    </row>
    <row r="698" spans="1:21" ht="18.75" hidden="1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256">
        <v>0</v>
      </c>
      <c r="M698" s="255">
        <v>0</v>
      </c>
      <c r="N698" s="255">
        <v>0</v>
      </c>
      <c r="O698" s="255">
        <f>IF(L698&gt;0,N698*100/L698,0)</f>
        <v>0</v>
      </c>
      <c r="P698" s="255">
        <f>IF(M698&gt;0,N698*100/M698,0)</f>
        <v>0</v>
      </c>
      <c r="Q698" s="255">
        <v>0</v>
      </c>
      <c r="R698" s="255">
        <v>0</v>
      </c>
      <c r="S698" s="255">
        <v>0</v>
      </c>
      <c r="T698" s="255">
        <f>IF(Q698&gt;0,S698*100/Q698,0)</f>
        <v>0</v>
      </c>
      <c r="U698" s="255">
        <f>IF(R698&gt;0,S698*100/R698,0)</f>
        <v>0</v>
      </c>
    </row>
    <row r="699" spans="1:21" ht="19.5">
      <c r="A699" s="166"/>
      <c r="B699" s="167"/>
      <c r="C699" s="205" t="s">
        <v>18</v>
      </c>
      <c r="D699" s="566" t="s">
        <v>38</v>
      </c>
      <c r="E699" s="169"/>
      <c r="F699" s="169"/>
      <c r="G699" s="169"/>
      <c r="H699" s="206"/>
      <c r="I699" s="163"/>
      <c r="J699" s="163"/>
      <c r="K699" s="164"/>
      <c r="L699" s="62"/>
      <c r="M699" s="55"/>
      <c r="N699" s="55"/>
      <c r="O699" s="55"/>
      <c r="P699" s="55"/>
      <c r="Q699" s="55"/>
      <c r="R699" s="55"/>
      <c r="S699" s="55"/>
      <c r="T699" s="55"/>
      <c r="U699" s="55"/>
    </row>
    <row r="700" spans="1:21" ht="18.75">
      <c r="A700" s="238"/>
      <c r="B700" s="188"/>
      <c r="C700" s="188"/>
      <c r="D700" s="174"/>
      <c r="E700" s="173" t="s">
        <v>257</v>
      </c>
      <c r="F700" s="174"/>
      <c r="G700" s="171"/>
      <c r="H700" s="165" t="s">
        <v>258</v>
      </c>
      <c r="I700" s="212">
        <f ca="1">IFERROR(__xludf.DUMMYFUNCTION("IMPORTRANGE(""https://docs.google.com/spreadsheets/d/1eHaY18a8A9IcSdp1K8H6x8fbOy06t2VsZHhMHf-1x7Y/edit?usp=sharing"",""แผน!LC49"")"),0)</f>
        <v>0</v>
      </c>
      <c r="J700" s="467">
        <v>0</v>
      </c>
      <c r="K700" s="565">
        <f ca="1">IF(I700&gt;0,J700*100/I700,0)</f>
        <v>0</v>
      </c>
      <c r="L700" s="172"/>
      <c r="M700" s="164"/>
      <c r="N700" s="55"/>
      <c r="O700" s="164"/>
      <c r="P700" s="164"/>
      <c r="Q700" s="164"/>
      <c r="R700" s="164"/>
      <c r="S700" s="55"/>
      <c r="T700" s="164"/>
      <c r="U700" s="164"/>
    </row>
    <row r="701" spans="1:21" ht="19.5">
      <c r="A701" s="238"/>
      <c r="B701" s="188"/>
      <c r="C701" s="188"/>
      <c r="D701" s="174"/>
      <c r="E701" s="476" t="s">
        <v>259</v>
      </c>
      <c r="F701" s="174"/>
      <c r="G701" s="171"/>
      <c r="H701" s="158" t="s">
        <v>35</v>
      </c>
      <c r="I701" s="373">
        <f ca="1">I703+I705</f>
        <v>168</v>
      </c>
      <c r="J701" s="373">
        <f ca="1">J703+J705</f>
        <v>35</v>
      </c>
      <c r="K701" s="540">
        <f ca="1">IF(I701&gt;0,J701*100/I701,0)</f>
        <v>20.833333333333332</v>
      </c>
      <c r="L701" s="172"/>
      <c r="M701" s="164"/>
      <c r="N701" s="164"/>
      <c r="O701" s="164"/>
      <c r="P701" s="164"/>
      <c r="Q701" s="164"/>
      <c r="R701" s="164"/>
      <c r="S701" s="164"/>
      <c r="T701" s="164"/>
      <c r="U701" s="164"/>
    </row>
    <row r="702" spans="1:21" ht="19.5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73">
        <v>0</v>
      </c>
      <c r="J702" s="373">
        <f ca="1">J704+J706</f>
        <v>12.26</v>
      </c>
      <c r="K702" s="540">
        <f>IF(I702&gt;0,J702*100/I702,0)</f>
        <v>0</v>
      </c>
      <c r="L702" s="172"/>
      <c r="M702" s="164"/>
      <c r="N702" s="164"/>
      <c r="O702" s="164"/>
      <c r="P702" s="164"/>
      <c r="Q702" s="164"/>
      <c r="R702" s="164"/>
      <c r="S702" s="164"/>
      <c r="T702" s="164"/>
      <c r="U702" s="164"/>
    </row>
    <row r="703" spans="1:21" ht="18.75">
      <c r="A703" s="238"/>
      <c r="B703" s="188"/>
      <c r="C703" s="188"/>
      <c r="D703" s="174"/>
      <c r="E703" s="174"/>
      <c r="F703" s="173" t="s">
        <v>260</v>
      </c>
      <c r="G703" s="171"/>
      <c r="H703" s="165" t="s">
        <v>35</v>
      </c>
      <c r="I703" s="212">
        <f ca="1">IFERROR(__xludf.DUMMYFUNCTION("IMPORTRANGE(""https://docs.google.com/spreadsheets/d/1eHaY18a8A9IcSdp1K8H6x8fbOy06t2VsZHhMHf-1x7Y/edit?usp=sharing"",""แผน!LJ49"")"),165)</f>
        <v>165</v>
      </c>
      <c r="J703" s="212">
        <f ca="1">IFERROR(__xludf.DUMMYFUNCTION("IMPORTRANGE(""https://docs.google.com/spreadsheets/d/1tdoBKaGub7dwA3U6UFTqxio9LNnvDCQjHKmttSEBsFQ/edit?usp=sharing"",""จัดที่ดิน!AP49"")"),35)</f>
        <v>35</v>
      </c>
      <c r="K703" s="255">
        <f ca="1">IF(I703&gt;0,J703*100/I703,0)</f>
        <v>21.212121212121211</v>
      </c>
      <c r="L703" s="172"/>
      <c r="M703" s="164"/>
      <c r="N703" s="164"/>
      <c r="O703" s="164"/>
      <c r="P703" s="164"/>
      <c r="Q703" s="164"/>
      <c r="R703" s="164"/>
      <c r="S703" s="164"/>
      <c r="T703" s="164"/>
      <c r="U703" s="164"/>
    </row>
    <row r="704" spans="1:21" ht="18.75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212">
        <f ca="1">IFERROR(__xludf.DUMMYFUNCTION("IMPORTRANGE(""https://docs.google.com/spreadsheets/d/1tdoBKaGub7dwA3U6UFTqxio9LNnvDCQjHKmttSEBsFQ/edit?usp=sharing"",""จัดที่ดิน!AQ49"")"),12.26)</f>
        <v>12.26</v>
      </c>
      <c r="K704" s="255">
        <f>IF(I704&gt;0,J704*100/I704,0)</f>
        <v>0</v>
      </c>
      <c r="L704" s="172"/>
      <c r="M704" s="164"/>
      <c r="N704" s="164"/>
      <c r="O704" s="164"/>
      <c r="P704" s="164"/>
      <c r="Q704" s="164"/>
      <c r="R704" s="164"/>
      <c r="S704" s="164"/>
      <c r="T704" s="164"/>
      <c r="U704" s="164"/>
    </row>
    <row r="705" spans="1:21" ht="18.75">
      <c r="A705" s="238"/>
      <c r="B705" s="188"/>
      <c r="C705" s="188"/>
      <c r="D705" s="174"/>
      <c r="E705" s="174"/>
      <c r="F705" s="173" t="s">
        <v>261</v>
      </c>
      <c r="G705" s="171"/>
      <c r="H705" s="165" t="s">
        <v>35</v>
      </c>
      <c r="I705" s="212">
        <f ca="1">IFERROR(__xludf.DUMMYFUNCTION("IMPORTRANGE(""https://docs.google.com/spreadsheets/d/1eHaY18a8A9IcSdp1K8H6x8fbOy06t2VsZHhMHf-1x7Y/edit?usp=sharing"",""แผน!LK49"")"),3)</f>
        <v>3</v>
      </c>
      <c r="J705" s="212">
        <f ca="1">IFERROR(__xludf.DUMMYFUNCTION("IMPORTRANGE(""https://docs.google.com/spreadsheets/d/1tdoBKaGub7dwA3U6UFTqxio9LNnvDCQjHKmttSEBsFQ/edit?usp=sharing"",""จัดที่ดิน!AR49"")"),0)</f>
        <v>0</v>
      </c>
      <c r="K705" s="565">
        <f ca="1">IF(I705&gt;0,J705*100/I705,0)</f>
        <v>0</v>
      </c>
      <c r="L705" s="172"/>
      <c r="M705" s="164"/>
      <c r="N705" s="164"/>
      <c r="O705" s="164"/>
      <c r="P705" s="164"/>
      <c r="Q705" s="164"/>
      <c r="R705" s="164"/>
      <c r="S705" s="164"/>
      <c r="T705" s="164"/>
      <c r="U705" s="164"/>
    </row>
    <row r="706" spans="1:21" ht="18.75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212">
        <f ca="1">IFERROR(__xludf.DUMMYFUNCTION("IMPORTRANGE(""https://docs.google.com/spreadsheets/d/1tdoBKaGub7dwA3U6UFTqxio9LNnvDCQjHKmttSEBsFQ/edit?usp=sharing"",""จัดที่ดิน!AS49"")"),0)</f>
        <v>0</v>
      </c>
      <c r="K706" s="255">
        <f>IF(I706&gt;0,J706*100/I706,0)</f>
        <v>0</v>
      </c>
      <c r="L706" s="172"/>
      <c r="M706" s="164"/>
      <c r="N706" s="164"/>
      <c r="O706" s="164"/>
      <c r="P706" s="164"/>
      <c r="Q706" s="164"/>
      <c r="R706" s="164"/>
      <c r="S706" s="164"/>
      <c r="T706" s="164"/>
      <c r="U706" s="164"/>
    </row>
    <row r="707" spans="1:21" ht="18.75">
      <c r="A707" s="238"/>
      <c r="B707" s="188"/>
      <c r="C707" s="188"/>
      <c r="D707" s="174"/>
      <c r="E707" s="173" t="s">
        <v>262</v>
      </c>
      <c r="F707" s="174"/>
      <c r="G707" s="171"/>
      <c r="H707" s="162" t="s">
        <v>35</v>
      </c>
      <c r="I707" s="212">
        <f ca="1">IFERROR(__xludf.DUMMYFUNCTION("IMPORTRANGE(""https://docs.google.com/spreadsheets/d/1eHaY18a8A9IcSdp1K8H6x8fbOy06t2VsZHhMHf-1x7Y/edit?usp=sharing"",""แผน!LJ49"")"),165)</f>
        <v>165</v>
      </c>
      <c r="J707" s="212">
        <f ca="1">IFERROR(__xludf.DUMMYFUNCTION("IMPORTRANGE(""https://docs.google.com/spreadsheets/d/1tdoBKaGub7dwA3U6UFTqxio9LNnvDCQjHKmttSEBsFQ/edit?usp=sharing"",""จัดที่ดิน!BN49"")"),33)</f>
        <v>33</v>
      </c>
      <c r="K707" s="255">
        <f ca="1">IF(I707&gt;0,J707*100/I707,0)</f>
        <v>20</v>
      </c>
      <c r="L707" s="172"/>
      <c r="M707" s="164"/>
      <c r="N707" s="164"/>
      <c r="O707" s="164"/>
      <c r="P707" s="164"/>
      <c r="Q707" s="164"/>
      <c r="R707" s="164"/>
      <c r="S707" s="164"/>
      <c r="T707" s="164"/>
      <c r="U707" s="164"/>
    </row>
    <row r="708" spans="1:21" ht="18.75">
      <c r="A708" s="238"/>
      <c r="B708" s="188"/>
      <c r="C708" s="188"/>
      <c r="D708" s="174"/>
      <c r="E708" s="477" t="s">
        <v>263</v>
      </c>
      <c r="F708" s="174"/>
      <c r="G708" s="171"/>
      <c r="H708" s="162" t="s">
        <v>46</v>
      </c>
      <c r="I708" s="212">
        <v>0</v>
      </c>
      <c r="J708" s="212">
        <f ca="1">IFERROR(__xludf.DUMMYFUNCTION("IMPORTRANGE(""https://docs.google.com/spreadsheets/d/1tdoBKaGub7dwA3U6UFTqxio9LNnvDCQjHKmttSEBsFQ/edit?usp=sharing"",""จัดที่ดิน!BO49"")"),12)</f>
        <v>12</v>
      </c>
      <c r="K708" s="255">
        <f>IF(I708&gt;0,J708*100/I708,0)</f>
        <v>0</v>
      </c>
      <c r="L708" s="172"/>
      <c r="M708" s="164"/>
      <c r="N708" s="164"/>
      <c r="O708" s="164"/>
      <c r="P708" s="164"/>
      <c r="Q708" s="164"/>
      <c r="R708" s="164"/>
      <c r="S708" s="164"/>
      <c r="T708" s="164"/>
      <c r="U708" s="164"/>
    </row>
    <row r="709" spans="1:21" ht="18.75">
      <c r="A709" s="238"/>
      <c r="B709" s="188"/>
      <c r="C709" s="188"/>
      <c r="D709" s="50"/>
      <c r="E709" s="58" t="s">
        <v>264</v>
      </c>
      <c r="F709" s="50"/>
      <c r="G709" s="52"/>
      <c r="H709" s="203" t="s">
        <v>35</v>
      </c>
      <c r="I709" s="212">
        <f ca="1">IFERROR(__xludf.DUMMYFUNCTION("IMPORTRANGE(""https://docs.google.com/spreadsheets/d/1eHaY18a8A9IcSdp1K8H6x8fbOy06t2VsZHhMHf-1x7Y/edit?usp=sharing"",""แผน!LK49"")"),3)</f>
        <v>3</v>
      </c>
      <c r="J709" s="212">
        <f ca="1">IFERROR(__xludf.DUMMYFUNCTION("IMPORTRANGE(""https://docs.google.com/spreadsheets/d/1tdoBKaGub7dwA3U6UFTqxio9LNnvDCQjHKmttSEBsFQ/edit?usp=sharing"",""จัดที่ดิน!BP49"")"),0)</f>
        <v>0</v>
      </c>
      <c r="K709" s="255">
        <f ca="1">IF(I709&gt;0,J709*100/I709,0)</f>
        <v>0</v>
      </c>
      <c r="L709" s="62"/>
      <c r="M709" s="55"/>
      <c r="N709" s="55"/>
      <c r="O709" s="55"/>
      <c r="P709" s="55"/>
      <c r="Q709" s="55"/>
      <c r="R709" s="55"/>
      <c r="S709" s="55"/>
      <c r="T709" s="55"/>
      <c r="U709" s="55"/>
    </row>
    <row r="710" spans="1:21" ht="18.75">
      <c r="A710" s="238"/>
      <c r="B710" s="188"/>
      <c r="C710" s="188"/>
      <c r="D710" s="50"/>
      <c r="E710" s="477" t="s">
        <v>265</v>
      </c>
      <c r="F710" s="50"/>
      <c r="G710" s="52"/>
      <c r="H710" s="203" t="s">
        <v>46</v>
      </c>
      <c r="I710" s="212">
        <v>0</v>
      </c>
      <c r="J710" s="212">
        <f ca="1">IFERROR(__xludf.DUMMYFUNCTION("IMPORTRANGE(""https://docs.google.com/spreadsheets/d/1tdoBKaGub7dwA3U6UFTqxio9LNnvDCQjHKmttSEBsFQ/edit?usp=sharing"",""จัดที่ดิน!BQ49"")"),0)</f>
        <v>0</v>
      </c>
      <c r="K710" s="255">
        <f>IF(I710&gt;0,J710*100/I710,0)</f>
        <v>0</v>
      </c>
      <c r="L710" s="62"/>
      <c r="M710" s="55"/>
      <c r="N710" s="55"/>
      <c r="O710" s="55"/>
      <c r="P710" s="55"/>
      <c r="Q710" s="55"/>
      <c r="R710" s="55"/>
      <c r="S710" s="55"/>
      <c r="T710" s="55"/>
      <c r="U710" s="55"/>
    </row>
    <row r="711" spans="1:21" ht="12.75" hidden="1">
      <c r="A711" s="407"/>
      <c r="B711" s="360"/>
      <c r="C711" s="360"/>
      <c r="D711" s="408"/>
      <c r="E711" s="408"/>
      <c r="F711" s="408"/>
      <c r="G711" s="409"/>
      <c r="H711" s="361"/>
      <c r="I711" s="362"/>
      <c r="J711" s="362"/>
      <c r="K711" s="363"/>
      <c r="L711" s="364"/>
      <c r="M711" s="363"/>
      <c r="N711" s="363"/>
      <c r="O711" s="363"/>
      <c r="P711" s="363"/>
      <c r="Q711" s="363"/>
      <c r="R711" s="363"/>
      <c r="S711" s="363"/>
      <c r="T711" s="363"/>
      <c r="U711" s="363"/>
    </row>
    <row r="712" spans="1:21" ht="19.5" hidden="1">
      <c r="A712" s="442"/>
      <c r="B712" s="478" t="s">
        <v>266</v>
      </c>
      <c r="C712" s="442"/>
      <c r="D712" s="444"/>
      <c r="E712" s="444"/>
      <c r="F712" s="444"/>
      <c r="G712" s="445"/>
      <c r="H712" s="479" t="s">
        <v>46</v>
      </c>
      <c r="I712" s="447"/>
      <c r="J712" s="447">
        <f>J724</f>
        <v>0</v>
      </c>
      <c r="K712" s="564">
        <f>IF(I712&gt;0,J712*100/I712,0)</f>
        <v>0</v>
      </c>
      <c r="L712" s="449"/>
      <c r="M712" s="448"/>
      <c r="N712" s="448"/>
      <c r="O712" s="448"/>
      <c r="P712" s="448"/>
      <c r="Q712" s="448"/>
      <c r="R712" s="448"/>
      <c r="S712" s="448"/>
      <c r="T712" s="448"/>
      <c r="U712" s="448"/>
    </row>
    <row r="713" spans="1:21" ht="19.5" hidden="1">
      <c r="A713" s="442"/>
      <c r="B713" s="478" t="s">
        <v>267</v>
      </c>
      <c r="C713" s="442"/>
      <c r="D713" s="444"/>
      <c r="E713" s="444"/>
      <c r="F713" s="444"/>
      <c r="G713" s="445"/>
      <c r="H713" s="446"/>
      <c r="I713" s="447"/>
      <c r="J713" s="447"/>
      <c r="K713" s="448"/>
      <c r="L713" s="449"/>
      <c r="M713" s="448"/>
      <c r="N713" s="448"/>
      <c r="O713" s="448"/>
      <c r="P713" s="448"/>
      <c r="Q713" s="448"/>
      <c r="R713" s="448"/>
      <c r="S713" s="448"/>
      <c r="T713" s="448"/>
      <c r="U713" s="448"/>
    </row>
    <row r="714" spans="1:21" ht="19.5" hidden="1">
      <c r="A714" s="155"/>
      <c r="B714" s="188"/>
      <c r="C714" s="358" t="s">
        <v>18</v>
      </c>
      <c r="D714" s="563" t="s">
        <v>19</v>
      </c>
      <c r="E714" s="529"/>
      <c r="F714" s="529"/>
      <c r="G714" s="530"/>
      <c r="H714" s="418" t="s">
        <v>14</v>
      </c>
      <c r="I714" s="54"/>
      <c r="J714" s="54"/>
      <c r="K714" s="55"/>
      <c r="L714" s="541">
        <f>L715+L716</f>
        <v>0</v>
      </c>
      <c r="M714" s="540">
        <f>M715+M716</f>
        <v>0</v>
      </c>
      <c r="N714" s="540">
        <f>N715+N716</f>
        <v>0</v>
      </c>
      <c r="O714" s="540">
        <f>IF(L714&gt;0,N714*100/L714,0)</f>
        <v>0</v>
      </c>
      <c r="P714" s="540">
        <f>IF(M714&gt;0,N714*100/M714,0)</f>
        <v>0</v>
      </c>
      <c r="Q714" s="540">
        <f>Q715+Q716</f>
        <v>0</v>
      </c>
      <c r="R714" s="540">
        <f>R715+R716</f>
        <v>0</v>
      </c>
      <c r="S714" s="540">
        <f>S715+S716</f>
        <v>0</v>
      </c>
      <c r="T714" s="540">
        <f>IF(Q714&gt;0,S714*100/Q714,0)</f>
        <v>0</v>
      </c>
      <c r="U714" s="540">
        <f>IF(R714&gt;0,S714*100/R714,0)</f>
        <v>0</v>
      </c>
    </row>
    <row r="715" spans="1:21" ht="18.75" hidden="1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103">
        <f>L718+L721</f>
        <v>0</v>
      </c>
      <c r="M715" s="102">
        <f>M718+M721</f>
        <v>0</v>
      </c>
      <c r="N715" s="102">
        <f>N718+N721</f>
        <v>0</v>
      </c>
      <c r="O715" s="102">
        <f>IF(L715&gt;0,N715*100/L715,0)</f>
        <v>0</v>
      </c>
      <c r="P715" s="102">
        <f>IF(M715&gt;0,N715*100/M715,0)</f>
        <v>0</v>
      </c>
      <c r="Q715" s="102">
        <f>Q718+Q721</f>
        <v>0</v>
      </c>
      <c r="R715" s="102">
        <f>R718+R721</f>
        <v>0</v>
      </c>
      <c r="S715" s="102">
        <f>S718+S721</f>
        <v>0</v>
      </c>
      <c r="T715" s="102">
        <f>IF(Q715&gt;0,S715*100/Q715,0)</f>
        <v>0</v>
      </c>
      <c r="U715" s="102">
        <f>IF(R715&gt;0,S715*100/R715,0)</f>
        <v>0</v>
      </c>
    </row>
    <row r="716" spans="1:21" ht="18.75" hidden="1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256">
        <f>L719+L722</f>
        <v>0</v>
      </c>
      <c r="M716" s="255">
        <f>M719+M722</f>
        <v>0</v>
      </c>
      <c r="N716" s="255">
        <f>N719+N722</f>
        <v>0</v>
      </c>
      <c r="O716" s="255">
        <f>IF(L716&gt;0,N716*100/L716,0)</f>
        <v>0</v>
      </c>
      <c r="P716" s="255">
        <f>IF(M716&gt;0,N716*100/M716,0)</f>
        <v>0</v>
      </c>
      <c r="Q716" s="255">
        <f>Q719+Q722</f>
        <v>0</v>
      </c>
      <c r="R716" s="255">
        <f>R719+R722</f>
        <v>0</v>
      </c>
      <c r="S716" s="255">
        <f>S719+S722</f>
        <v>0</v>
      </c>
      <c r="T716" s="255">
        <f>IF(Q716&gt;0,S716*100/Q716,0)</f>
        <v>0</v>
      </c>
      <c r="U716" s="255">
        <f>IF(R716&gt;0,S716*100/R716,0)</f>
        <v>0</v>
      </c>
    </row>
    <row r="717" spans="1:21" ht="19.5" hidden="1">
      <c r="A717" s="155"/>
      <c r="B717" s="188"/>
      <c r="C717" s="188"/>
      <c r="D717" s="562" t="s">
        <v>22</v>
      </c>
      <c r="E717" s="50"/>
      <c r="F717" s="50"/>
      <c r="G717" s="52"/>
      <c r="H717" s="418" t="s">
        <v>14</v>
      </c>
      <c r="I717" s="163"/>
      <c r="J717" s="163"/>
      <c r="K717" s="164"/>
      <c r="L717" s="256">
        <f>L718+L719</f>
        <v>0</v>
      </c>
      <c r="M717" s="255">
        <f>M718+M719</f>
        <v>0</v>
      </c>
      <c r="N717" s="255">
        <f>N718+N719</f>
        <v>0</v>
      </c>
      <c r="O717" s="255">
        <f>IF(L717&gt;0,N717*100/L717,0)</f>
        <v>0</v>
      </c>
      <c r="P717" s="255">
        <f>IF(M717&gt;0,N717*100/M717,0)</f>
        <v>0</v>
      </c>
      <c r="Q717" s="255">
        <f>Q718+Q719</f>
        <v>0</v>
      </c>
      <c r="R717" s="255">
        <f>R718+R719</f>
        <v>0</v>
      </c>
      <c r="S717" s="255">
        <f>S718+S719</f>
        <v>0</v>
      </c>
      <c r="T717" s="255">
        <f>IF(Q717&gt;0,S717*100/Q717,0)</f>
        <v>0</v>
      </c>
      <c r="U717" s="255">
        <f>IF(R717&gt;0,S717*100/R717,0)</f>
        <v>0</v>
      </c>
    </row>
    <row r="718" spans="1:21" ht="18.75" hidden="1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103">
        <v>0</v>
      </c>
      <c r="M718" s="102">
        <v>0</v>
      </c>
      <c r="N718" s="102">
        <v>0</v>
      </c>
      <c r="O718" s="102">
        <f>IF(L718&gt;0,N718*100/L718,0)</f>
        <v>0</v>
      </c>
      <c r="P718" s="102">
        <f>IF(M718&gt;0,N718*100/M718,0)</f>
        <v>0</v>
      </c>
      <c r="Q718" s="102">
        <v>0</v>
      </c>
      <c r="R718" s="102">
        <v>0</v>
      </c>
      <c r="S718" s="102">
        <v>0</v>
      </c>
      <c r="T718" s="102">
        <f>IF(Q718&gt;0,S718*100/Q718,0)</f>
        <v>0</v>
      </c>
      <c r="U718" s="102">
        <f>IF(R718&gt;0,S718*100/R718,0)</f>
        <v>0</v>
      </c>
    </row>
    <row r="719" spans="1:21" ht="18.75" hidden="1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256">
        <v>0</v>
      </c>
      <c r="M719" s="255">
        <v>0</v>
      </c>
      <c r="N719" s="255">
        <v>0</v>
      </c>
      <c r="O719" s="255">
        <f>IF(L719&gt;0,N719*100/L719,0)</f>
        <v>0</v>
      </c>
      <c r="P719" s="255">
        <f>IF(M719&gt;0,N719*100/M719,0)</f>
        <v>0</v>
      </c>
      <c r="Q719" s="255">
        <v>0</v>
      </c>
      <c r="R719" s="255">
        <v>0</v>
      </c>
      <c r="S719" s="255">
        <v>0</v>
      </c>
      <c r="T719" s="255">
        <f>IF(Q719&gt;0,S719*100/Q719,0)</f>
        <v>0</v>
      </c>
      <c r="U719" s="255">
        <f>IF(R719&gt;0,S719*100/R719,0)</f>
        <v>0</v>
      </c>
    </row>
    <row r="720" spans="1:21" ht="19.5" hidden="1">
      <c r="A720" s="155"/>
      <c r="B720" s="188"/>
      <c r="C720" s="188"/>
      <c r="D720" s="562" t="s">
        <v>23</v>
      </c>
      <c r="E720" s="50"/>
      <c r="F720" s="50"/>
      <c r="G720" s="52"/>
      <c r="H720" s="420" t="s">
        <v>14</v>
      </c>
      <c r="I720" s="163"/>
      <c r="J720" s="163"/>
      <c r="K720" s="164"/>
      <c r="L720" s="256">
        <f>L721+L722</f>
        <v>0</v>
      </c>
      <c r="M720" s="255">
        <f>M721+M722</f>
        <v>0</v>
      </c>
      <c r="N720" s="255">
        <f>N721+N722</f>
        <v>0</v>
      </c>
      <c r="O720" s="255">
        <f>IF(L720&gt;0,N720*100/L720,0)</f>
        <v>0</v>
      </c>
      <c r="P720" s="255">
        <f>IF(M720&gt;0,N720*100/M720,0)</f>
        <v>0</v>
      </c>
      <c r="Q720" s="255">
        <f>Q721+Q722</f>
        <v>0</v>
      </c>
      <c r="R720" s="255">
        <f>R721+R722</f>
        <v>0</v>
      </c>
      <c r="S720" s="255">
        <f>S721+S722</f>
        <v>0</v>
      </c>
      <c r="T720" s="255">
        <f>IF(Q720&gt;0,S720*100/Q720,0)</f>
        <v>0</v>
      </c>
      <c r="U720" s="255">
        <f>IF(R720&gt;0,S720*100/R720,0)</f>
        <v>0</v>
      </c>
    </row>
    <row r="721" spans="1:21" ht="18.75" hidden="1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103">
        <v>0</v>
      </c>
      <c r="M721" s="102">
        <v>0</v>
      </c>
      <c r="N721" s="102">
        <v>0</v>
      </c>
      <c r="O721" s="102">
        <f>IF(L721&gt;0,N721*100/L721,0)</f>
        <v>0</v>
      </c>
      <c r="P721" s="102">
        <f>IF(M721&gt;0,N721*100/M721,0)</f>
        <v>0</v>
      </c>
      <c r="Q721" s="102">
        <v>0</v>
      </c>
      <c r="R721" s="102">
        <v>0</v>
      </c>
      <c r="S721" s="102">
        <v>0</v>
      </c>
      <c r="T721" s="102">
        <f>IF(Q721&gt;0,S721*100/Q721,0)</f>
        <v>0</v>
      </c>
      <c r="U721" s="102">
        <f>IF(R721&gt;0,S721*100/R721,0)</f>
        <v>0</v>
      </c>
    </row>
    <row r="722" spans="1:21" ht="18.75" hidden="1">
      <c r="A722" s="155"/>
      <c r="B722" s="188"/>
      <c r="C722" s="188"/>
      <c r="D722" s="50"/>
      <c r="E722" s="186" t="s">
        <v>21</v>
      </c>
      <c r="F722" s="50"/>
      <c r="G722" s="52"/>
      <c r="H722" s="421" t="s">
        <v>14</v>
      </c>
      <c r="I722" s="163"/>
      <c r="J722" s="163"/>
      <c r="K722" s="164"/>
      <c r="L722" s="256">
        <v>0</v>
      </c>
      <c r="M722" s="255">
        <v>0</v>
      </c>
      <c r="N722" s="255">
        <v>0</v>
      </c>
      <c r="O722" s="255">
        <f>IF(L722&gt;0,N722*100/L722,0)</f>
        <v>0</v>
      </c>
      <c r="P722" s="255">
        <f>IF(M722&gt;0,N722*100/M722,0)</f>
        <v>0</v>
      </c>
      <c r="Q722" s="255">
        <v>0</v>
      </c>
      <c r="R722" s="255">
        <v>0</v>
      </c>
      <c r="S722" s="255">
        <v>0</v>
      </c>
      <c r="T722" s="255">
        <f>IF(Q722&gt;0,S722*100/Q722,0)</f>
        <v>0</v>
      </c>
      <c r="U722" s="255">
        <f>IF(R722&gt;0,S722*100/R722,0)</f>
        <v>0</v>
      </c>
    </row>
    <row r="723" spans="1:21" ht="19.5" hidden="1">
      <c r="A723" s="166"/>
      <c r="B723" s="167"/>
      <c r="C723" s="358" t="s">
        <v>18</v>
      </c>
      <c r="D723" s="561" t="s">
        <v>38</v>
      </c>
      <c r="E723" s="169"/>
      <c r="F723" s="169"/>
      <c r="G723" s="170"/>
      <c r="H723" s="206"/>
      <c r="I723" s="163"/>
      <c r="J723" s="163"/>
      <c r="K723" s="164"/>
      <c r="L723" s="172"/>
      <c r="M723" s="164"/>
      <c r="N723" s="164"/>
      <c r="O723" s="164"/>
      <c r="P723" s="164"/>
      <c r="Q723" s="164"/>
      <c r="R723" s="164"/>
      <c r="S723" s="164"/>
      <c r="T723" s="164"/>
      <c r="U723" s="164"/>
    </row>
    <row r="724" spans="1:21" ht="18.75" hidden="1">
      <c r="A724" s="238"/>
      <c r="B724" s="188"/>
      <c r="C724" s="188"/>
      <c r="D724" s="50"/>
      <c r="E724" s="186" t="s">
        <v>268</v>
      </c>
      <c r="F724" s="50"/>
      <c r="G724" s="52"/>
      <c r="H724" s="189" t="s">
        <v>46</v>
      </c>
      <c r="I724" s="483">
        <v>0</v>
      </c>
      <c r="J724" s="54"/>
      <c r="K724" s="55"/>
      <c r="L724" s="62"/>
      <c r="M724" s="55"/>
      <c r="N724" s="55"/>
      <c r="O724" s="55"/>
      <c r="P724" s="55"/>
      <c r="Q724" s="55"/>
      <c r="R724" s="55"/>
      <c r="S724" s="55"/>
      <c r="T724" s="55"/>
      <c r="U724" s="55"/>
    </row>
    <row r="725" spans="1:21" ht="18.75" hidden="1">
      <c r="A725" s="374"/>
      <c r="B725" s="5"/>
      <c r="C725" s="5"/>
      <c r="D725" s="4"/>
      <c r="E725" s="484" t="s">
        <v>269</v>
      </c>
      <c r="F725" s="4"/>
      <c r="G725" s="65"/>
      <c r="H725" s="485" t="s">
        <v>46</v>
      </c>
      <c r="I725" s="486">
        <v>0</v>
      </c>
      <c r="J725" s="67"/>
      <c r="K725" s="6"/>
      <c r="L725" s="68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>
      <c r="A726" s="442"/>
      <c r="B726" s="443" t="s">
        <v>270</v>
      </c>
      <c r="C726" s="442"/>
      <c r="D726" s="444"/>
      <c r="E726" s="444"/>
      <c r="F726" s="444"/>
      <c r="G726" s="445"/>
      <c r="H726" s="473" t="s">
        <v>35</v>
      </c>
      <c r="I726" s="544">
        <f ca="1">IFERROR(__xludf.DUMMYFUNCTION("IMPORTRANGE(""https://docs.google.com/spreadsheets/d/1eHaY18a8A9IcSdp1K8H6x8fbOy06t2VsZHhMHf-1x7Y/edit?usp=sharing"",""แผน!GA49"")"),31)</f>
        <v>31</v>
      </c>
      <c r="J726" s="544">
        <f>J742+J746+J749</f>
        <v>0</v>
      </c>
      <c r="K726" s="543">
        <f ca="1">IF(I726&gt;0,J726*100/I726,0)</f>
        <v>0</v>
      </c>
      <c r="L726" s="449"/>
      <c r="M726" s="448"/>
      <c r="N726" s="448"/>
      <c r="O726" s="448"/>
      <c r="P726" s="448"/>
      <c r="Q726" s="448"/>
      <c r="R726" s="448"/>
      <c r="S726" s="448"/>
      <c r="T726" s="448"/>
      <c r="U726" s="448"/>
    </row>
    <row r="727" spans="1:21" ht="19.5">
      <c r="A727" s="487"/>
      <c r="B727" s="442"/>
      <c r="C727" s="442"/>
      <c r="D727" s="444"/>
      <c r="E727" s="444"/>
      <c r="F727" s="444"/>
      <c r="G727" s="445"/>
      <c r="H727" s="473" t="s">
        <v>46</v>
      </c>
      <c r="I727" s="544">
        <f ca="1">IFERROR(__xludf.DUMMYFUNCTION("IMPORTRANGE(""https://docs.google.com/spreadsheets/d/1eHaY18a8A9IcSdp1K8H6x8fbOy06t2VsZHhMHf-1x7Y/edit?usp=sharing"",""แผน!FZ49"")"),300)</f>
        <v>300</v>
      </c>
      <c r="J727" s="544">
        <f>J752+J755</f>
        <v>0</v>
      </c>
      <c r="K727" s="543">
        <f ca="1">IF(I727&gt;0,J727*100/I727,0)</f>
        <v>0</v>
      </c>
      <c r="L727" s="449"/>
      <c r="M727" s="448"/>
      <c r="N727" s="448"/>
      <c r="O727" s="448"/>
      <c r="P727" s="448"/>
      <c r="Q727" s="448"/>
      <c r="R727" s="448"/>
      <c r="S727" s="448"/>
      <c r="T727" s="448"/>
      <c r="U727" s="448"/>
    </row>
    <row r="728" spans="1:21" ht="19.5">
      <c r="A728" s="155"/>
      <c r="B728" s="188"/>
      <c r="C728" s="205" t="s">
        <v>18</v>
      </c>
      <c r="D728" s="542" t="s">
        <v>19</v>
      </c>
      <c r="E728" s="529"/>
      <c r="F728" s="529"/>
      <c r="G728" s="530"/>
      <c r="H728" s="252" t="s">
        <v>14</v>
      </c>
      <c r="I728" s="54"/>
      <c r="J728" s="54"/>
      <c r="K728" s="55"/>
      <c r="L728" s="541">
        <f>L729+L730</f>
        <v>0</v>
      </c>
      <c r="M728" s="540">
        <f>M729+M730</f>
        <v>0</v>
      </c>
      <c r="N728" s="540">
        <f>N729+N730</f>
        <v>0</v>
      </c>
      <c r="O728" s="540">
        <f>IF(L728&gt;0,N728*100/L728,0)</f>
        <v>0</v>
      </c>
      <c r="P728" s="540">
        <f>IF(M728&gt;0,N728*100/M728,0)</f>
        <v>0</v>
      </c>
      <c r="Q728" s="540">
        <f ca="1">Q729+Q730</f>
        <v>242546</v>
      </c>
      <c r="R728" s="540">
        <f ca="1">R729+R730</f>
        <v>242546</v>
      </c>
      <c r="S728" s="540">
        <f ca="1">S729+S730</f>
        <v>59866</v>
      </c>
      <c r="T728" s="540">
        <f ca="1">IF(Q728&gt;0,S728*100/Q728,0)</f>
        <v>24.682328300611019</v>
      </c>
      <c r="U728" s="540">
        <f ca="1">IF(R728&gt;0,S728*100/R728,0)</f>
        <v>24.682328300611019</v>
      </c>
    </row>
    <row r="729" spans="1:21" ht="18.75" hidden="1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103">
        <f>L732+L735</f>
        <v>0</v>
      </c>
      <c r="M729" s="102">
        <f>M732+M735</f>
        <v>0</v>
      </c>
      <c r="N729" s="102">
        <f>N732+N735</f>
        <v>0</v>
      </c>
      <c r="O729" s="102">
        <f>IF(L729&gt;0,N729*100/L729,0)</f>
        <v>0</v>
      </c>
      <c r="P729" s="102">
        <f>IF(M729&gt;0,N729*100/M729,0)</f>
        <v>0</v>
      </c>
      <c r="Q729" s="102">
        <f>Q732+Q735</f>
        <v>0</v>
      </c>
      <c r="R729" s="102">
        <f>R732+R735</f>
        <v>0</v>
      </c>
      <c r="S729" s="102">
        <f>S732+S735</f>
        <v>0</v>
      </c>
      <c r="T729" s="102">
        <f>IF(Q729&gt;0,S729*100/Q729,0)</f>
        <v>0</v>
      </c>
      <c r="U729" s="102">
        <f>IF(R729&gt;0,S729*100/R729,0)</f>
        <v>0</v>
      </c>
    </row>
    <row r="730" spans="1:21" ht="18.75" hidden="1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256">
        <f>L733+L736</f>
        <v>0</v>
      </c>
      <c r="M730" s="255">
        <f>M733+M736</f>
        <v>0</v>
      </c>
      <c r="N730" s="255">
        <f>N733+N736</f>
        <v>0</v>
      </c>
      <c r="O730" s="255">
        <f>IF(L730&gt;0,N730*100/L730,0)</f>
        <v>0</v>
      </c>
      <c r="P730" s="255">
        <f>IF(M730&gt;0,N730*100/M730,0)</f>
        <v>0</v>
      </c>
      <c r="Q730" s="255">
        <f ca="1">Q733+Q736</f>
        <v>242546</v>
      </c>
      <c r="R730" s="255">
        <f ca="1">R733+R736</f>
        <v>242546</v>
      </c>
      <c r="S730" s="255">
        <f ca="1">S733+S736</f>
        <v>59866</v>
      </c>
      <c r="T730" s="255">
        <f ca="1">IF(Q730&gt;0,S730*100/Q730,0)</f>
        <v>24.682328300611019</v>
      </c>
      <c r="U730" s="255">
        <f ca="1">IF(R730&gt;0,S730*100/R730,0)</f>
        <v>24.682328300611019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256">
        <f>L732+L733</f>
        <v>0</v>
      </c>
      <c r="M731" s="255">
        <f>M732+M733</f>
        <v>0</v>
      </c>
      <c r="N731" s="255">
        <f>N732+N733</f>
        <v>0</v>
      </c>
      <c r="O731" s="255">
        <f>IF(L731&gt;0,N731*100/L731,0)</f>
        <v>0</v>
      </c>
      <c r="P731" s="255">
        <f>IF(M731&gt;0,N731*100/M731,0)</f>
        <v>0</v>
      </c>
      <c r="Q731" s="255">
        <f ca="1">Q732+Q733</f>
        <v>242546</v>
      </c>
      <c r="R731" s="255">
        <f ca="1">R732+R733</f>
        <v>242546</v>
      </c>
      <c r="S731" s="255">
        <f ca="1">S732+S733</f>
        <v>59866</v>
      </c>
      <c r="T731" s="255">
        <f ca="1">IF(Q731&gt;0,S731*100/Q731,0)</f>
        <v>24.682328300611019</v>
      </c>
      <c r="U731" s="255">
        <f ca="1">IF(R731&gt;0,S731*100/R731,0)</f>
        <v>24.682328300611019</v>
      </c>
    </row>
    <row r="732" spans="1:21" ht="18.75" hidden="1">
      <c r="A732" s="155"/>
      <c r="B732" s="188"/>
      <c r="C732" s="188"/>
      <c r="D732" s="174"/>
      <c r="E732" s="186" t="s">
        <v>159</v>
      </c>
      <c r="F732" s="50"/>
      <c r="G732" s="52"/>
      <c r="H732" s="189" t="s">
        <v>14</v>
      </c>
      <c r="I732" s="54"/>
      <c r="J732" s="54"/>
      <c r="K732" s="55"/>
      <c r="L732" s="103">
        <v>0</v>
      </c>
      <c r="M732" s="102">
        <v>0</v>
      </c>
      <c r="N732" s="102">
        <v>0</v>
      </c>
      <c r="O732" s="102">
        <f>IF(L732&gt;0,N732*100/L732,0)</f>
        <v>0</v>
      </c>
      <c r="P732" s="102">
        <f>IF(M732&gt;0,N732*100/M732,0)</f>
        <v>0</v>
      </c>
      <c r="Q732" s="102">
        <v>0</v>
      </c>
      <c r="R732" s="102">
        <v>0</v>
      </c>
      <c r="S732" s="102">
        <v>0</v>
      </c>
      <c r="T732" s="102">
        <f>IF(Q732&gt;0,S732*100/Q732,0)</f>
        <v>0</v>
      </c>
      <c r="U732" s="102">
        <f>IF(R732&gt;0,S732*100/R732,0)</f>
        <v>0</v>
      </c>
    </row>
    <row r="733" spans="1:21" ht="18.75" hidden="1">
      <c r="A733" s="155"/>
      <c r="B733" s="188"/>
      <c r="C733" s="188"/>
      <c r="D733" s="174"/>
      <c r="E733" s="58" t="s">
        <v>160</v>
      </c>
      <c r="F733" s="50"/>
      <c r="G733" s="52"/>
      <c r="H733" s="162" t="s">
        <v>14</v>
      </c>
      <c r="I733" s="54"/>
      <c r="J733" s="54"/>
      <c r="K733" s="55"/>
      <c r="L733" s="256">
        <v>0</v>
      </c>
      <c r="M733" s="255">
        <v>0</v>
      </c>
      <c r="N733" s="255">
        <v>0</v>
      </c>
      <c r="O733" s="255">
        <f>IF(L733&gt;0,N733*100/L733,0)</f>
        <v>0</v>
      </c>
      <c r="P733" s="255">
        <f>IF(M733&gt;0,N733*100/M733,0)</f>
        <v>0</v>
      </c>
      <c r="Q733" s="255">
        <f ca="1">IFERROR(__xludf.DUMMYFUNCTION("IMPORTRANGE(""https://docs.google.com/spreadsheets/d/1ItG2mGa2ceCfYo0BwxsXqNm01IGEUdYcSSLTEv9YCik/edit?usp=sharing"",""เบิกจ่ายกองทุน!O49"")"),242546)</f>
        <v>242546</v>
      </c>
      <c r="R733" s="255">
        <f ca="1">IFERROR(__xludf.DUMMYFUNCTION("IMPORTRANGE(""https://docs.google.com/spreadsheets/d/1ItG2mGa2ceCfYo0BwxsXqNm01IGEUdYcSSLTEv9YCik/edit?usp=sharing"",""เบิกจ่ายกองทุน!P49"")"),242546)</f>
        <v>242546</v>
      </c>
      <c r="S733" s="255">
        <f ca="1">IFERROR(__xludf.DUMMYFUNCTION("IMPORTRANGE(""https://docs.google.com/spreadsheets/d/1ItG2mGa2ceCfYo0BwxsXqNm01IGEUdYcSSLTEv9YCik/edit?usp=sharing"",""เบิกจ่ายกองทุน!Q49"")"),59866)</f>
        <v>59866</v>
      </c>
      <c r="T733" s="255">
        <f ca="1">IF(Q733&gt;0,S733*100/Q733,0)</f>
        <v>24.682328300611019</v>
      </c>
      <c r="U733" s="255">
        <f ca="1">IF(R733&gt;0,S733*100/R733,0)</f>
        <v>24.682328300611019</v>
      </c>
    </row>
    <row r="734" spans="1:21" ht="18.75">
      <c r="A734" s="155"/>
      <c r="B734" s="188"/>
      <c r="C734" s="188"/>
      <c r="D734" s="51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256">
        <f>L735+L736</f>
        <v>0</v>
      </c>
      <c r="M734" s="255">
        <f>M735+M736</f>
        <v>0</v>
      </c>
      <c r="N734" s="255">
        <f>N735+N736</f>
        <v>0</v>
      </c>
      <c r="O734" s="255">
        <f>IF(L734&gt;0,N734*100/L734,0)</f>
        <v>0</v>
      </c>
      <c r="P734" s="255">
        <f>IF(M734&gt;0,N734*100/M734,0)</f>
        <v>0</v>
      </c>
      <c r="Q734" s="255">
        <f>Q735+Q736</f>
        <v>0</v>
      </c>
      <c r="R734" s="255">
        <f>R735+R736</f>
        <v>0</v>
      </c>
      <c r="S734" s="255">
        <f>S735+S736</f>
        <v>0</v>
      </c>
      <c r="T734" s="255">
        <f>IF(Q734&gt;0,S734*100/Q734,0)</f>
        <v>0</v>
      </c>
      <c r="U734" s="255">
        <f>IF(R734&gt;0,S734*100/R734,0)</f>
        <v>0</v>
      </c>
    </row>
    <row r="735" spans="1:21" ht="18.75" hidden="1">
      <c r="A735" s="155"/>
      <c r="B735" s="188"/>
      <c r="C735" s="188"/>
      <c r="D735" s="188"/>
      <c r="E735" s="358" t="s">
        <v>20</v>
      </c>
      <c r="F735" s="188"/>
      <c r="G735" s="52"/>
      <c r="H735" s="189" t="s">
        <v>14</v>
      </c>
      <c r="I735" s="163"/>
      <c r="J735" s="163"/>
      <c r="K735" s="164"/>
      <c r="L735" s="103">
        <v>0</v>
      </c>
      <c r="M735" s="102">
        <v>0</v>
      </c>
      <c r="N735" s="102">
        <v>0</v>
      </c>
      <c r="O735" s="102">
        <f>IF(L735&gt;0,N735*100/L735,0)</f>
        <v>0</v>
      </c>
      <c r="P735" s="102">
        <f>IF(M735&gt;0,N735*100/M735,0)</f>
        <v>0</v>
      </c>
      <c r="Q735" s="102">
        <v>0</v>
      </c>
      <c r="R735" s="102">
        <v>0</v>
      </c>
      <c r="S735" s="102">
        <v>0</v>
      </c>
      <c r="T735" s="102">
        <f>IF(Q735&gt;0,S735*100/Q735,0)</f>
        <v>0</v>
      </c>
      <c r="U735" s="102">
        <f>IF(R735&gt;0,S735*100/R735,0)</f>
        <v>0</v>
      </c>
    </row>
    <row r="736" spans="1:21" ht="18.75" hidden="1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256">
        <v>0</v>
      </c>
      <c r="M736" s="255">
        <v>0</v>
      </c>
      <c r="N736" s="255">
        <v>0</v>
      </c>
      <c r="O736" s="255">
        <f>IF(L736&gt;0,N736*100/L736,0)</f>
        <v>0</v>
      </c>
      <c r="P736" s="255">
        <f>IF(M736&gt;0,N736*100/M736,0)</f>
        <v>0</v>
      </c>
      <c r="Q736" s="255">
        <v>0</v>
      </c>
      <c r="R736" s="255">
        <v>0</v>
      </c>
      <c r="S736" s="255">
        <v>0</v>
      </c>
      <c r="T736" s="255">
        <f>IF(Q736&gt;0,S736*100/Q736,0)</f>
        <v>0</v>
      </c>
      <c r="U736" s="255">
        <f>IF(R736&gt;0,S736*100/R736,0)</f>
        <v>0</v>
      </c>
    </row>
    <row r="737" spans="1:21" ht="19.5">
      <c r="A737" s="166"/>
      <c r="B737" s="167"/>
      <c r="C737" s="205" t="s">
        <v>18</v>
      </c>
      <c r="D737" s="560" t="s">
        <v>38</v>
      </c>
      <c r="E737" s="232"/>
      <c r="F737" s="169"/>
      <c r="G737" s="170"/>
      <c r="H737" s="206"/>
      <c r="I737" s="54"/>
      <c r="J737" s="54"/>
      <c r="K737" s="55"/>
      <c r="L737" s="62"/>
      <c r="M737" s="55"/>
      <c r="N737" s="55"/>
      <c r="O737" s="55"/>
      <c r="P737" s="55"/>
      <c r="Q737" s="55"/>
      <c r="R737" s="55"/>
      <c r="S737" s="55"/>
      <c r="T737" s="55"/>
      <c r="U737" s="55"/>
    </row>
    <row r="738" spans="1:21" ht="19.5">
      <c r="A738" s="166"/>
      <c r="B738" s="167"/>
      <c r="C738" s="167"/>
      <c r="D738" s="488" t="s">
        <v>121</v>
      </c>
      <c r="E738" s="167"/>
      <c r="F738" s="167"/>
      <c r="G738" s="171"/>
      <c r="H738" s="208"/>
      <c r="I738" s="54"/>
      <c r="J738" s="54"/>
      <c r="K738" s="55"/>
      <c r="L738" s="62"/>
      <c r="M738" s="55"/>
      <c r="N738" s="55"/>
      <c r="O738" s="55"/>
      <c r="P738" s="55"/>
      <c r="Q738" s="55"/>
      <c r="R738" s="55"/>
      <c r="S738" s="55"/>
      <c r="T738" s="55"/>
      <c r="U738" s="55"/>
    </row>
    <row r="739" spans="1:21" ht="18.75">
      <c r="A739" s="166"/>
      <c r="B739" s="167"/>
      <c r="C739" s="167"/>
      <c r="D739" s="167"/>
      <c r="E739" s="460" t="s">
        <v>271</v>
      </c>
      <c r="F739" s="167"/>
      <c r="G739" s="171"/>
      <c r="H739" s="208"/>
      <c r="I739" s="54"/>
      <c r="J739" s="54"/>
      <c r="K739" s="55"/>
      <c r="L739" s="62"/>
      <c r="M739" s="55"/>
      <c r="N739" s="55"/>
      <c r="O739" s="55"/>
      <c r="P739" s="55"/>
      <c r="Q739" s="55"/>
      <c r="R739" s="55"/>
      <c r="S739" s="55"/>
      <c r="T739" s="55"/>
      <c r="U739" s="55"/>
    </row>
    <row r="740" spans="1:21" ht="18.75">
      <c r="A740" s="554"/>
      <c r="B740" s="553"/>
      <c r="C740" s="553"/>
      <c r="D740" s="553"/>
      <c r="E740" s="553"/>
      <c r="F740" s="558" t="s">
        <v>272</v>
      </c>
      <c r="G740" s="550"/>
      <c r="H740" s="549" t="s">
        <v>46</v>
      </c>
      <c r="I740" s="556">
        <f ca="1">IFERROR(__xludf.DUMMYFUNCTION("IMPORTRANGE(""https://docs.google.com/spreadsheets/d/1eHaY18a8A9IcSdp1K8H6x8fbOy06t2VsZHhMHf-1x7Y/edit?usp=sharing"",""แผน!GB49"")"),240)</f>
        <v>240</v>
      </c>
      <c r="J740" s="547">
        <v>0</v>
      </c>
      <c r="K740" s="555">
        <f ca="1">IF(I740&gt;0,J740*100/I740,0)</f>
        <v>0</v>
      </c>
      <c r="L740" s="546"/>
      <c r="M740" s="545"/>
      <c r="N740" s="545"/>
      <c r="O740" s="545"/>
      <c r="P740" s="545"/>
      <c r="Q740" s="545"/>
      <c r="R740" s="545"/>
      <c r="S740" s="545"/>
      <c r="T740" s="545"/>
      <c r="U740" s="545"/>
    </row>
    <row r="741" spans="1:21" ht="18.75">
      <c r="A741" s="554"/>
      <c r="B741" s="553"/>
      <c r="C741" s="553"/>
      <c r="D741" s="553"/>
      <c r="E741" s="553"/>
      <c r="F741" s="558" t="s">
        <v>307</v>
      </c>
      <c r="G741" s="550"/>
      <c r="H741" s="549" t="s">
        <v>35</v>
      </c>
      <c r="I741" s="548"/>
      <c r="J741" s="547">
        <v>0</v>
      </c>
      <c r="K741" s="545"/>
      <c r="L741" s="546"/>
      <c r="M741" s="545"/>
      <c r="N741" s="545"/>
      <c r="O741" s="545"/>
      <c r="P741" s="545"/>
      <c r="Q741" s="545"/>
      <c r="R741" s="545"/>
      <c r="S741" s="545"/>
      <c r="T741" s="545"/>
      <c r="U741" s="545"/>
    </row>
    <row r="742" spans="1:21" ht="18.75">
      <c r="A742" s="554"/>
      <c r="B742" s="553"/>
      <c r="C742" s="553"/>
      <c r="D742" s="553"/>
      <c r="E742" s="553"/>
      <c r="F742" s="558" t="s">
        <v>306</v>
      </c>
      <c r="G742" s="550"/>
      <c r="H742" s="549" t="s">
        <v>35</v>
      </c>
      <c r="I742" s="556">
        <f ca="1">IFERROR(__xludf.DUMMYFUNCTION("IMPORTRANGE(""https://docs.google.com/spreadsheets/d/1eHaY18a8A9IcSdp1K8H6x8fbOy06t2VsZHhMHf-1x7Y/edit?usp=sharing"",""แผน!GC49"")"),24)</f>
        <v>24</v>
      </c>
      <c r="J742" s="547">
        <v>0</v>
      </c>
      <c r="K742" s="555">
        <f ca="1">IF(I742&gt;0,J742*100/I742,0)</f>
        <v>0</v>
      </c>
      <c r="L742" s="546"/>
      <c r="M742" s="545"/>
      <c r="N742" s="545"/>
      <c r="O742" s="545"/>
      <c r="P742" s="545"/>
      <c r="Q742" s="545"/>
      <c r="R742" s="545"/>
      <c r="S742" s="545"/>
      <c r="T742" s="545"/>
      <c r="U742" s="545"/>
    </row>
    <row r="743" spans="1:21" ht="18.75">
      <c r="A743" s="554"/>
      <c r="B743" s="553"/>
      <c r="C743" s="553"/>
      <c r="D743" s="553"/>
      <c r="E743" s="558" t="s">
        <v>275</v>
      </c>
      <c r="F743" s="553"/>
      <c r="G743" s="550"/>
      <c r="H743" s="557"/>
      <c r="I743" s="548"/>
      <c r="J743" s="548"/>
      <c r="K743" s="545"/>
      <c r="L743" s="546"/>
      <c r="M743" s="545"/>
      <c r="N743" s="545"/>
      <c r="O743" s="545"/>
      <c r="P743" s="545"/>
      <c r="Q743" s="545"/>
      <c r="R743" s="545"/>
      <c r="S743" s="545"/>
      <c r="T743" s="545"/>
      <c r="U743" s="545"/>
    </row>
    <row r="744" spans="1:21" ht="18.75">
      <c r="A744" s="554"/>
      <c r="B744" s="553"/>
      <c r="C744" s="553"/>
      <c r="D744" s="553"/>
      <c r="E744" s="553"/>
      <c r="F744" s="558" t="s">
        <v>272</v>
      </c>
      <c r="G744" s="550"/>
      <c r="H744" s="549" t="s">
        <v>46</v>
      </c>
      <c r="I744" s="556">
        <f ca="1">IFERROR(__xludf.DUMMYFUNCTION("IMPORTRANGE(""https://docs.google.com/spreadsheets/d/1eHaY18a8A9IcSdp1K8H6x8fbOy06t2VsZHhMHf-1x7Y/edit?usp=sharing"",""แผน!GD49"")"),60)</f>
        <v>60</v>
      </c>
      <c r="J744" s="547">
        <v>0</v>
      </c>
      <c r="K744" s="555">
        <f ca="1">IF(I744&gt;0,J744*100/I744,0)</f>
        <v>0</v>
      </c>
      <c r="L744" s="546"/>
      <c r="M744" s="545"/>
      <c r="N744" s="545"/>
      <c r="O744" s="545"/>
      <c r="P744" s="545"/>
      <c r="Q744" s="545"/>
      <c r="R744" s="545"/>
      <c r="S744" s="545"/>
      <c r="T744" s="545"/>
      <c r="U744" s="545"/>
    </row>
    <row r="745" spans="1:21" ht="18.75">
      <c r="A745" s="554"/>
      <c r="B745" s="553"/>
      <c r="C745" s="553"/>
      <c r="D745" s="553"/>
      <c r="E745" s="553"/>
      <c r="F745" s="558" t="s">
        <v>305</v>
      </c>
      <c r="G745" s="550"/>
      <c r="H745" s="549" t="s">
        <v>35</v>
      </c>
      <c r="I745" s="548"/>
      <c r="J745" s="547">
        <v>0</v>
      </c>
      <c r="K745" s="545"/>
      <c r="L745" s="546"/>
      <c r="M745" s="545"/>
      <c r="N745" s="545"/>
      <c r="O745" s="545"/>
      <c r="P745" s="545"/>
      <c r="Q745" s="545"/>
      <c r="R745" s="545"/>
      <c r="S745" s="545"/>
      <c r="T745" s="545"/>
      <c r="U745" s="545"/>
    </row>
    <row r="746" spans="1:21" ht="18.75">
      <c r="A746" s="554"/>
      <c r="B746" s="553"/>
      <c r="C746" s="553"/>
      <c r="D746" s="553"/>
      <c r="E746" s="553"/>
      <c r="F746" s="558" t="s">
        <v>304</v>
      </c>
      <c r="G746" s="550"/>
      <c r="H746" s="549" t="s">
        <v>35</v>
      </c>
      <c r="I746" s="556">
        <f ca="1">IFERROR(__xludf.DUMMYFUNCTION("IMPORTRANGE(""https://docs.google.com/spreadsheets/d/1eHaY18a8A9IcSdp1K8H6x8fbOy06t2VsZHhMHf-1x7Y/edit?usp=sharing"",""แผน!GE49"")"),6)</f>
        <v>6</v>
      </c>
      <c r="J746" s="547">
        <v>0</v>
      </c>
      <c r="K746" s="555">
        <f ca="1">IF(I746&gt;0,J746*100/I746,0)</f>
        <v>0</v>
      </c>
      <c r="L746" s="546"/>
      <c r="M746" s="545"/>
      <c r="N746" s="545"/>
      <c r="O746" s="545"/>
      <c r="P746" s="545"/>
      <c r="Q746" s="545"/>
      <c r="R746" s="545"/>
      <c r="S746" s="545"/>
      <c r="T746" s="545"/>
      <c r="U746" s="545"/>
    </row>
    <row r="747" spans="1:21" ht="18.75">
      <c r="A747" s="554"/>
      <c r="B747" s="553"/>
      <c r="C747" s="553"/>
      <c r="D747" s="553"/>
      <c r="E747" s="558" t="s">
        <v>278</v>
      </c>
      <c r="F747" s="552"/>
      <c r="G747" s="550"/>
      <c r="H747" s="557"/>
      <c r="I747" s="548"/>
      <c r="J747" s="548"/>
      <c r="K747" s="545"/>
      <c r="L747" s="546"/>
      <c r="M747" s="545"/>
      <c r="N747" s="545"/>
      <c r="O747" s="545"/>
      <c r="P747" s="545"/>
      <c r="Q747" s="545"/>
      <c r="R747" s="545"/>
      <c r="S747" s="545"/>
      <c r="T747" s="545"/>
      <c r="U747" s="545"/>
    </row>
    <row r="748" spans="1:21" ht="18.75">
      <c r="A748" s="554"/>
      <c r="B748" s="553"/>
      <c r="C748" s="553"/>
      <c r="D748" s="553"/>
      <c r="E748" s="553"/>
      <c r="F748" s="558" t="s">
        <v>303</v>
      </c>
      <c r="G748" s="550"/>
      <c r="H748" s="549" t="s">
        <v>35</v>
      </c>
      <c r="I748" s="548"/>
      <c r="J748" s="547">
        <v>0</v>
      </c>
      <c r="K748" s="545"/>
      <c r="L748" s="546"/>
      <c r="M748" s="545"/>
      <c r="N748" s="545"/>
      <c r="O748" s="545"/>
      <c r="P748" s="545"/>
      <c r="Q748" s="545"/>
      <c r="R748" s="545"/>
      <c r="S748" s="545"/>
      <c r="T748" s="545"/>
      <c r="U748" s="545"/>
    </row>
    <row r="749" spans="1:21" ht="18.75">
      <c r="A749" s="554"/>
      <c r="B749" s="553"/>
      <c r="C749" s="553"/>
      <c r="D749" s="553"/>
      <c r="E749" s="553"/>
      <c r="F749" s="558" t="s">
        <v>302</v>
      </c>
      <c r="G749" s="550"/>
      <c r="H749" s="549" t="s">
        <v>35</v>
      </c>
      <c r="I749" s="556">
        <f ca="1">IFERROR(__xludf.DUMMYFUNCTION("IMPORTRANGE(""https://docs.google.com/spreadsheets/d/1eHaY18a8A9IcSdp1K8H6x8fbOy06t2VsZHhMHf-1x7Y/edit?usp=sharing"",""แผน!GF49"")"),1)</f>
        <v>1</v>
      </c>
      <c r="J749" s="547">
        <v>0</v>
      </c>
      <c r="K749" s="555">
        <f ca="1">IF(I749&gt;0,J749*100/I749,0)</f>
        <v>0</v>
      </c>
      <c r="L749" s="546"/>
      <c r="M749" s="545"/>
      <c r="N749" s="545"/>
      <c r="O749" s="545"/>
      <c r="P749" s="545"/>
      <c r="Q749" s="545"/>
      <c r="R749" s="545"/>
      <c r="S749" s="545"/>
      <c r="T749" s="545"/>
      <c r="U749" s="545"/>
    </row>
    <row r="750" spans="1:21" ht="19.5">
      <c r="A750" s="554"/>
      <c r="B750" s="553"/>
      <c r="C750" s="553"/>
      <c r="D750" s="559" t="s">
        <v>50</v>
      </c>
      <c r="E750" s="553"/>
      <c r="F750" s="552"/>
      <c r="G750" s="550"/>
      <c r="H750" s="557"/>
      <c r="I750" s="548"/>
      <c r="J750" s="548"/>
      <c r="K750" s="545"/>
      <c r="L750" s="546"/>
      <c r="M750" s="545"/>
      <c r="N750" s="545"/>
      <c r="O750" s="545"/>
      <c r="P750" s="545"/>
      <c r="Q750" s="545"/>
      <c r="R750" s="545"/>
      <c r="S750" s="545"/>
      <c r="T750" s="545"/>
      <c r="U750" s="545"/>
    </row>
    <row r="751" spans="1:21" ht="18.75">
      <c r="A751" s="554"/>
      <c r="B751" s="553"/>
      <c r="C751" s="553"/>
      <c r="D751" s="553"/>
      <c r="E751" s="558" t="s">
        <v>271</v>
      </c>
      <c r="F751" s="552"/>
      <c r="G751" s="550"/>
      <c r="H751" s="557"/>
      <c r="I751" s="548"/>
      <c r="J751" s="548"/>
      <c r="K751" s="545"/>
      <c r="L751" s="546"/>
      <c r="M751" s="545"/>
      <c r="N751" s="545"/>
      <c r="O751" s="545"/>
      <c r="P751" s="545"/>
      <c r="Q751" s="545"/>
      <c r="R751" s="545"/>
      <c r="S751" s="545"/>
      <c r="T751" s="545"/>
      <c r="U751" s="545"/>
    </row>
    <row r="752" spans="1:21" ht="18.75">
      <c r="A752" s="554"/>
      <c r="B752" s="553"/>
      <c r="C752" s="553"/>
      <c r="D752" s="553"/>
      <c r="E752" s="553"/>
      <c r="F752" s="551" t="s">
        <v>301</v>
      </c>
      <c r="G752" s="550"/>
      <c r="H752" s="549" t="s">
        <v>46</v>
      </c>
      <c r="I752" s="556">
        <f ca="1">IFERROR(__xludf.DUMMYFUNCTION("IMPORTRANGE(""https://docs.google.com/spreadsheets/d/1eHaY18a8A9IcSdp1K8H6x8fbOy06t2VsZHhMHf-1x7Y/edit?usp=sharing"",""แผน!GB49"")"),240)</f>
        <v>240</v>
      </c>
      <c r="J752" s="547">
        <v>0</v>
      </c>
      <c r="K752" s="555">
        <f ca="1">IF(I752&gt;0,J752*100/I752,0)</f>
        <v>0</v>
      </c>
      <c r="L752" s="546"/>
      <c r="M752" s="545"/>
      <c r="N752" s="545"/>
      <c r="O752" s="545"/>
      <c r="P752" s="545"/>
      <c r="Q752" s="545"/>
      <c r="R752" s="545"/>
      <c r="S752" s="545"/>
      <c r="T752" s="545"/>
      <c r="U752" s="545"/>
    </row>
    <row r="753" spans="1:21" ht="18.75">
      <c r="A753" s="554"/>
      <c r="B753" s="553"/>
      <c r="C753" s="553"/>
      <c r="D753" s="553"/>
      <c r="E753" s="553"/>
      <c r="F753" s="551" t="s">
        <v>300</v>
      </c>
      <c r="G753" s="550"/>
      <c r="H753" s="549" t="s">
        <v>46</v>
      </c>
      <c r="I753" s="548"/>
      <c r="J753" s="547">
        <v>0</v>
      </c>
      <c r="K753" s="545"/>
      <c r="L753" s="546"/>
      <c r="M753" s="545"/>
      <c r="N753" s="545"/>
      <c r="O753" s="545"/>
      <c r="P753" s="545"/>
      <c r="Q753" s="545"/>
      <c r="R753" s="545"/>
      <c r="S753" s="545"/>
      <c r="T753" s="545"/>
      <c r="U753" s="545"/>
    </row>
    <row r="754" spans="1:21" ht="18.75">
      <c r="A754" s="554"/>
      <c r="B754" s="553"/>
      <c r="C754" s="553"/>
      <c r="D754" s="553"/>
      <c r="E754" s="558" t="s">
        <v>275</v>
      </c>
      <c r="F754" s="552"/>
      <c r="G754" s="550"/>
      <c r="H754" s="557"/>
      <c r="I754" s="548"/>
      <c r="J754" s="548"/>
      <c r="K754" s="545"/>
      <c r="L754" s="546"/>
      <c r="M754" s="545"/>
      <c r="N754" s="545"/>
      <c r="O754" s="545"/>
      <c r="P754" s="545"/>
      <c r="Q754" s="545"/>
      <c r="R754" s="545"/>
      <c r="S754" s="545"/>
      <c r="T754" s="545"/>
      <c r="U754" s="545"/>
    </row>
    <row r="755" spans="1:21" ht="18.75">
      <c r="A755" s="554"/>
      <c r="B755" s="553"/>
      <c r="C755" s="553"/>
      <c r="D755" s="553"/>
      <c r="E755" s="552"/>
      <c r="F755" s="551" t="s">
        <v>299</v>
      </c>
      <c r="G755" s="550"/>
      <c r="H755" s="549" t="s">
        <v>46</v>
      </c>
      <c r="I755" s="556">
        <f ca="1">IFERROR(__xludf.DUMMYFUNCTION("IMPORTRANGE(""https://docs.google.com/spreadsheets/d/1eHaY18a8A9IcSdp1K8H6x8fbOy06t2VsZHhMHf-1x7Y/edit?usp=sharing"",""แผน!GD49"")"),60)</f>
        <v>60</v>
      </c>
      <c r="J755" s="547">
        <v>0</v>
      </c>
      <c r="K755" s="555">
        <f ca="1">IF(I755&gt;0,J755*100/I755,0)</f>
        <v>0</v>
      </c>
      <c r="L755" s="546"/>
      <c r="M755" s="545"/>
      <c r="N755" s="545"/>
      <c r="O755" s="545"/>
      <c r="P755" s="545"/>
      <c r="Q755" s="545"/>
      <c r="R755" s="545"/>
      <c r="S755" s="545"/>
      <c r="T755" s="545"/>
      <c r="U755" s="545"/>
    </row>
    <row r="756" spans="1:21" ht="18.75">
      <c r="A756" s="554"/>
      <c r="B756" s="553"/>
      <c r="C756" s="553"/>
      <c r="D756" s="553"/>
      <c r="E756" s="552"/>
      <c r="F756" s="551" t="s">
        <v>298</v>
      </c>
      <c r="G756" s="550"/>
      <c r="H756" s="549" t="s">
        <v>46</v>
      </c>
      <c r="I756" s="548"/>
      <c r="J756" s="547">
        <v>0</v>
      </c>
      <c r="K756" s="545"/>
      <c r="L756" s="546"/>
      <c r="M756" s="545"/>
      <c r="N756" s="545"/>
      <c r="O756" s="545"/>
      <c r="P756" s="545"/>
      <c r="Q756" s="545"/>
      <c r="R756" s="545"/>
      <c r="S756" s="545"/>
      <c r="T756" s="545"/>
      <c r="U756" s="545"/>
    </row>
    <row r="757" spans="1:21" ht="18.75">
      <c r="A757" s="489"/>
      <c r="B757" s="489"/>
      <c r="C757" s="489"/>
      <c r="D757" s="489"/>
      <c r="E757" s="490" t="s">
        <v>285</v>
      </c>
      <c r="F757" s="491"/>
      <c r="G757" s="492"/>
      <c r="H757" s="493" t="s">
        <v>35</v>
      </c>
      <c r="I757" s="494"/>
      <c r="J757" s="495">
        <v>0</v>
      </c>
      <c r="K757" s="496"/>
      <c r="L757" s="496"/>
      <c r="M757" s="496"/>
      <c r="N757" s="496"/>
      <c r="O757" s="496"/>
      <c r="P757" s="496"/>
      <c r="Q757" s="496"/>
      <c r="R757" s="496"/>
      <c r="S757" s="496"/>
      <c r="T757" s="496"/>
      <c r="U757" s="496"/>
    </row>
    <row r="758" spans="1:21" ht="19.5">
      <c r="A758" s="442"/>
      <c r="B758" s="443" t="s">
        <v>286</v>
      </c>
      <c r="C758" s="442"/>
      <c r="D758" s="444"/>
      <c r="E758" s="444"/>
      <c r="F758" s="444"/>
      <c r="G758" s="445"/>
      <c r="H758" s="473" t="s">
        <v>35</v>
      </c>
      <c r="I758" s="544">
        <f ca="1">I772</f>
        <v>55</v>
      </c>
      <c r="J758" s="544">
        <f>J772</f>
        <v>0</v>
      </c>
      <c r="K758" s="543">
        <f ca="1">IF(I758&gt;0,J758*100/I758,0)</f>
        <v>0</v>
      </c>
      <c r="L758" s="449"/>
      <c r="M758" s="448"/>
      <c r="N758" s="448"/>
      <c r="O758" s="448"/>
      <c r="P758" s="448"/>
      <c r="Q758" s="448"/>
      <c r="R758" s="448"/>
      <c r="S758" s="448"/>
      <c r="T758" s="448"/>
      <c r="U758" s="448"/>
    </row>
    <row r="759" spans="1:21" ht="19.5">
      <c r="A759" s="487"/>
      <c r="B759" s="442"/>
      <c r="C759" s="442"/>
      <c r="D759" s="444"/>
      <c r="E759" s="444"/>
      <c r="F759" s="444"/>
      <c r="G759" s="445"/>
      <c r="H759" s="473" t="s">
        <v>46</v>
      </c>
      <c r="I759" s="544">
        <f ca="1">I774</f>
        <v>185</v>
      </c>
      <c r="J759" s="544">
        <f>J774</f>
        <v>0</v>
      </c>
      <c r="K759" s="543">
        <f ca="1">IF(I759&gt;0,J759*100/I759,0)</f>
        <v>0</v>
      </c>
      <c r="L759" s="449"/>
      <c r="M759" s="448"/>
      <c r="N759" s="448"/>
      <c r="O759" s="448"/>
      <c r="P759" s="448"/>
      <c r="Q759" s="448"/>
      <c r="R759" s="448"/>
      <c r="S759" s="448"/>
      <c r="T759" s="448"/>
      <c r="U759" s="448"/>
    </row>
    <row r="760" spans="1:21" ht="19.5">
      <c r="A760" s="155"/>
      <c r="B760" s="188"/>
      <c r="C760" s="205" t="s">
        <v>18</v>
      </c>
      <c r="D760" s="542" t="s">
        <v>19</v>
      </c>
      <c r="E760" s="529"/>
      <c r="F760" s="529"/>
      <c r="G760" s="530"/>
      <c r="H760" s="252" t="s">
        <v>14</v>
      </c>
      <c r="I760" s="54"/>
      <c r="J760" s="54"/>
      <c r="K760" s="55"/>
      <c r="L760" s="541">
        <f>L761+L762</f>
        <v>0</v>
      </c>
      <c r="M760" s="540">
        <f>M761+M762</f>
        <v>0</v>
      </c>
      <c r="N760" s="540">
        <f>N761+N762</f>
        <v>0</v>
      </c>
      <c r="O760" s="540">
        <f>IF(L760&gt;0,N760*100/L760,0)</f>
        <v>0</v>
      </c>
      <c r="P760" s="540">
        <f>IF(M760&gt;0,N760*100/M760,0)</f>
        <v>0</v>
      </c>
      <c r="Q760" s="540">
        <f ca="1">Q761+Q762</f>
        <v>503950</v>
      </c>
      <c r="R760" s="540">
        <f ca="1">R761+R762</f>
        <v>503950</v>
      </c>
      <c r="S760" s="540">
        <f ca="1">S761+S762</f>
        <v>55420</v>
      </c>
      <c r="T760" s="540">
        <f ca="1">IF(Q760&gt;0,S760*100/Q760,0)</f>
        <v>10.997122730429606</v>
      </c>
      <c r="U760" s="540">
        <f ca="1">IF(R760&gt;0,S760*100/R760,0)</f>
        <v>10.997122730429606</v>
      </c>
    </row>
    <row r="761" spans="1:21" ht="18.75" hidden="1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103">
        <f>L764+L767</f>
        <v>0</v>
      </c>
      <c r="M761" s="102">
        <f>M764+M767</f>
        <v>0</v>
      </c>
      <c r="N761" s="102">
        <f>N764+N767</f>
        <v>0</v>
      </c>
      <c r="O761" s="102">
        <f>IF(L761&gt;0,N761*100/L761,0)</f>
        <v>0</v>
      </c>
      <c r="P761" s="102">
        <f>IF(M761&gt;0,N761*100/M761,0)</f>
        <v>0</v>
      </c>
      <c r="Q761" s="102">
        <f>Q764+Q767</f>
        <v>0</v>
      </c>
      <c r="R761" s="102">
        <f>R764+R767</f>
        <v>0</v>
      </c>
      <c r="S761" s="102">
        <f>S764+S767</f>
        <v>0</v>
      </c>
      <c r="T761" s="102">
        <f>IF(Q761&gt;0,S761*100/Q761,0)</f>
        <v>0</v>
      </c>
      <c r="U761" s="102">
        <f>IF(R761&gt;0,S761*100/R761,0)</f>
        <v>0</v>
      </c>
    </row>
    <row r="762" spans="1:21" ht="18.75" hidden="1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256">
        <f>L765+L768</f>
        <v>0</v>
      </c>
      <c r="M762" s="255">
        <f>M765+M768</f>
        <v>0</v>
      </c>
      <c r="N762" s="255">
        <f>N765+N768</f>
        <v>0</v>
      </c>
      <c r="O762" s="255">
        <f>IF(L762&gt;0,N762*100/L762,0)</f>
        <v>0</v>
      </c>
      <c r="P762" s="255">
        <f>IF(M762&gt;0,N762*100/M762,0)</f>
        <v>0</v>
      </c>
      <c r="Q762" s="255">
        <f ca="1">Q765+Q768</f>
        <v>503950</v>
      </c>
      <c r="R762" s="255">
        <f ca="1">R765+R768</f>
        <v>503950</v>
      </c>
      <c r="S762" s="255">
        <f ca="1">S765+S768</f>
        <v>55420</v>
      </c>
      <c r="T762" s="255">
        <f ca="1">IF(Q762&gt;0,S762*100/Q762,0)</f>
        <v>10.997122730429606</v>
      </c>
      <c r="U762" s="255">
        <f ca="1">IF(R762&gt;0,S762*100/R762,0)</f>
        <v>10.997122730429606</v>
      </c>
    </row>
    <row r="763" spans="1:21" ht="18.75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256">
        <f>L764+L765</f>
        <v>0</v>
      </c>
      <c r="M763" s="255">
        <f>M764+M765</f>
        <v>0</v>
      </c>
      <c r="N763" s="255">
        <f>N764+N765</f>
        <v>0</v>
      </c>
      <c r="O763" s="255">
        <f>IF(L763&gt;0,N763*100/L763,0)</f>
        <v>0</v>
      </c>
      <c r="P763" s="255">
        <f>IF(M763&gt;0,N763*100/M763,0)</f>
        <v>0</v>
      </c>
      <c r="Q763" s="255">
        <f ca="1">Q764+Q765</f>
        <v>503950</v>
      </c>
      <c r="R763" s="255">
        <f ca="1">R764+R765</f>
        <v>503950</v>
      </c>
      <c r="S763" s="255">
        <f ca="1">S764+S765</f>
        <v>55420</v>
      </c>
      <c r="T763" s="255">
        <f ca="1">IF(Q763&gt;0,S763*100/Q763,0)</f>
        <v>10.997122730429606</v>
      </c>
      <c r="U763" s="255">
        <f ca="1">IF(R763&gt;0,S763*100/R763,0)</f>
        <v>10.997122730429606</v>
      </c>
    </row>
    <row r="764" spans="1:21" ht="18.75" hidden="1">
      <c r="A764" s="155"/>
      <c r="B764" s="188"/>
      <c r="C764" s="202"/>
      <c r="D764" s="174"/>
      <c r="E764" s="186" t="s">
        <v>159</v>
      </c>
      <c r="F764" s="50"/>
      <c r="G764" s="52"/>
      <c r="H764" s="189" t="s">
        <v>14</v>
      </c>
      <c r="I764" s="54"/>
      <c r="J764" s="54"/>
      <c r="K764" s="55"/>
      <c r="L764" s="103">
        <v>0</v>
      </c>
      <c r="M764" s="102">
        <v>0</v>
      </c>
      <c r="N764" s="102">
        <v>0</v>
      </c>
      <c r="O764" s="102">
        <f>IF(L764&gt;0,N764*100/L764,0)</f>
        <v>0</v>
      </c>
      <c r="P764" s="102">
        <f>IF(M764&gt;0,N764*100/M764,0)</f>
        <v>0</v>
      </c>
      <c r="Q764" s="102">
        <v>0</v>
      </c>
      <c r="R764" s="102">
        <v>0</v>
      </c>
      <c r="S764" s="102">
        <v>0</v>
      </c>
      <c r="T764" s="102">
        <f>IF(Q764&gt;0,S764*100/Q764,0)</f>
        <v>0</v>
      </c>
      <c r="U764" s="102">
        <f>IF(R764&gt;0,S764*100/R764,0)</f>
        <v>0</v>
      </c>
    </row>
    <row r="765" spans="1:21" ht="18.75" hidden="1">
      <c r="A765" s="155"/>
      <c r="B765" s="188"/>
      <c r="C765" s="202"/>
      <c r="D765" s="174"/>
      <c r="E765" s="58" t="s">
        <v>160</v>
      </c>
      <c r="F765" s="50"/>
      <c r="G765" s="52"/>
      <c r="H765" s="162" t="s">
        <v>14</v>
      </c>
      <c r="I765" s="54"/>
      <c r="J765" s="54"/>
      <c r="K765" s="55"/>
      <c r="L765" s="256">
        <v>0</v>
      </c>
      <c r="M765" s="255">
        <v>0</v>
      </c>
      <c r="N765" s="255">
        <v>0</v>
      </c>
      <c r="O765" s="255">
        <f>IF(L765&gt;0,N765*100/L765,0)</f>
        <v>0</v>
      </c>
      <c r="P765" s="255">
        <f>IF(M765&gt;0,N765*100/M765,0)</f>
        <v>0</v>
      </c>
      <c r="Q765" s="255">
        <f ca="1">IFERROR(__xludf.DUMMYFUNCTION("IMPORTRANGE(""https://docs.google.com/spreadsheets/d/1ItG2mGa2ceCfYo0BwxsXqNm01IGEUdYcSSLTEv9YCik/edit?usp=sharing"",""เบิกจ่ายกองทุน!U49"")"),503950)</f>
        <v>503950</v>
      </c>
      <c r="R765" s="255">
        <f ca="1">IFERROR(__xludf.DUMMYFUNCTION("IMPORTRANGE(""https://docs.google.com/spreadsheets/d/1ItG2mGa2ceCfYo0BwxsXqNm01IGEUdYcSSLTEv9YCik/edit?usp=sharing"",""เบิกจ่ายกองทุน!V49"")"),503950)</f>
        <v>503950</v>
      </c>
      <c r="S765" s="255">
        <f ca="1">IFERROR(__xludf.DUMMYFUNCTION("IMPORTRANGE(""https://docs.google.com/spreadsheets/d/1ItG2mGa2ceCfYo0BwxsXqNm01IGEUdYcSSLTEv9YCik/edit?usp=sharing"",""เบิกจ่ายกองทุน!W49"")"),55420)</f>
        <v>55420</v>
      </c>
      <c r="T765" s="255">
        <f ca="1">IF(Q765&gt;0,S765*100/Q765,0)</f>
        <v>10.997122730429606</v>
      </c>
      <c r="U765" s="255">
        <f ca="1">IF(R765&gt;0,S765*100/R765,0)</f>
        <v>10.997122730429606</v>
      </c>
    </row>
    <row r="766" spans="1:21" ht="18.75">
      <c r="A766" s="155"/>
      <c r="B766" s="188"/>
      <c r="C766" s="188"/>
      <c r="D766" s="51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256">
        <f>L767+L768</f>
        <v>0</v>
      </c>
      <c r="M766" s="255">
        <f>M767+M768</f>
        <v>0</v>
      </c>
      <c r="N766" s="255">
        <f>N767+N768</f>
        <v>0</v>
      </c>
      <c r="O766" s="255">
        <f>IF(L766&gt;0,N766*100/L766,0)</f>
        <v>0</v>
      </c>
      <c r="P766" s="255">
        <f>IF(M766&gt;0,N766*100/M766,0)</f>
        <v>0</v>
      </c>
      <c r="Q766" s="255">
        <f>Q767+Q768</f>
        <v>0</v>
      </c>
      <c r="R766" s="255">
        <f>R767+R768</f>
        <v>0</v>
      </c>
      <c r="S766" s="255">
        <f>S767+S768</f>
        <v>0</v>
      </c>
      <c r="T766" s="255">
        <f>IF(Q766&gt;0,S766*100/Q766,0)</f>
        <v>0</v>
      </c>
      <c r="U766" s="255">
        <f>IF(R766&gt;0,S766*100/R766,0)</f>
        <v>0</v>
      </c>
    </row>
    <row r="767" spans="1:21" ht="18.75" hidden="1">
      <c r="A767" s="155"/>
      <c r="B767" s="188"/>
      <c r="C767" s="188"/>
      <c r="D767" s="188"/>
      <c r="E767" s="358" t="s">
        <v>20</v>
      </c>
      <c r="F767" s="50"/>
      <c r="G767" s="52"/>
      <c r="H767" s="189" t="s">
        <v>14</v>
      </c>
      <c r="I767" s="163"/>
      <c r="J767" s="163"/>
      <c r="K767" s="164"/>
      <c r="L767" s="103">
        <v>0</v>
      </c>
      <c r="M767" s="102">
        <v>0</v>
      </c>
      <c r="N767" s="102">
        <v>0</v>
      </c>
      <c r="O767" s="102">
        <f>IF(L767&gt;0,N767*100/L767,0)</f>
        <v>0</v>
      </c>
      <c r="P767" s="102">
        <f>IF(M767&gt;0,N767*100/M767,0)</f>
        <v>0</v>
      </c>
      <c r="Q767" s="102">
        <v>0</v>
      </c>
      <c r="R767" s="102">
        <v>0</v>
      </c>
      <c r="S767" s="102">
        <v>0</v>
      </c>
      <c r="T767" s="102">
        <f>IF(Q767&gt;0,S767*100/Q767,0)</f>
        <v>0</v>
      </c>
      <c r="U767" s="102">
        <f>IF(R767&gt;0,S767*100/R767,0)</f>
        <v>0</v>
      </c>
    </row>
    <row r="768" spans="1:21" ht="18.75" hidden="1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256">
        <v>0</v>
      </c>
      <c r="M768" s="255">
        <v>0</v>
      </c>
      <c r="N768" s="255">
        <v>0</v>
      </c>
      <c r="O768" s="255">
        <f>IF(L768&gt;0,N768*100/L768,0)</f>
        <v>0</v>
      </c>
      <c r="P768" s="255">
        <f>IF(M768&gt;0,N768*100/M768,0)</f>
        <v>0</v>
      </c>
      <c r="Q768" s="255">
        <v>0</v>
      </c>
      <c r="R768" s="255">
        <v>0</v>
      </c>
      <c r="S768" s="255">
        <v>0</v>
      </c>
      <c r="T768" s="255">
        <f>IF(Q768&gt;0,S768*100/Q768,0)</f>
        <v>0</v>
      </c>
      <c r="U768" s="255">
        <f>IF(R768&gt;0,S768*100/R768,0)</f>
        <v>0</v>
      </c>
    </row>
    <row r="769" spans="1:21" ht="19.5">
      <c r="A769" s="166"/>
      <c r="B769" s="167"/>
      <c r="C769" s="497" t="s">
        <v>18</v>
      </c>
      <c r="D769" s="539" t="s">
        <v>38</v>
      </c>
      <c r="E769" s="232"/>
      <c r="F769" s="169"/>
      <c r="G769" s="170"/>
      <c r="H769" s="206"/>
      <c r="I769" s="54"/>
      <c r="J769" s="54"/>
      <c r="K769" s="55"/>
      <c r="L769" s="62"/>
      <c r="M769" s="55"/>
      <c r="N769" s="55"/>
      <c r="O769" s="55"/>
      <c r="P769" s="55"/>
      <c r="Q769" s="55"/>
      <c r="R769" s="55"/>
      <c r="S769" s="55"/>
      <c r="T769" s="55"/>
      <c r="U769" s="55"/>
    </row>
    <row r="770" spans="1:21" ht="18.75" hidden="1">
      <c r="A770" s="166"/>
      <c r="B770" s="167"/>
      <c r="C770" s="167"/>
      <c r="D770" s="423" t="s">
        <v>287</v>
      </c>
      <c r="E770" s="167"/>
      <c r="F770" s="174"/>
      <c r="G770" s="171"/>
      <c r="H770" s="421" t="s">
        <v>35</v>
      </c>
      <c r="I770" s="483">
        <f ca="1">IFERROR(__xludf.DUMMYFUNCTION("IMPORTRANGE(""https://docs.google.com/spreadsheets/d/1eHaY18a8A9IcSdp1K8H6x8fbOy06t2VsZHhMHf-1x7Y/edit?usp=sharing"",""แผน!FI49"")"),0)</f>
        <v>0</v>
      </c>
      <c r="J770" s="483">
        <v>0</v>
      </c>
      <c r="K770" s="102">
        <f ca="1">IF(I770&gt;0,J770*100/I770,0)</f>
        <v>0</v>
      </c>
      <c r="L770" s="62"/>
      <c r="M770" s="55"/>
      <c r="N770" s="55"/>
      <c r="O770" s="55"/>
      <c r="P770" s="55"/>
      <c r="Q770" s="55"/>
      <c r="R770" s="55"/>
      <c r="S770" s="55"/>
      <c r="T770" s="55"/>
      <c r="U770" s="55"/>
    </row>
    <row r="771" spans="1:21" ht="18.75" hidden="1">
      <c r="A771" s="166"/>
      <c r="B771" s="167"/>
      <c r="C771" s="167"/>
      <c r="D771" s="423" t="s">
        <v>288</v>
      </c>
      <c r="E771" s="167"/>
      <c r="F771" s="174"/>
      <c r="G771" s="171"/>
      <c r="H771" s="206"/>
      <c r="I771" s="54"/>
      <c r="J771" s="54"/>
      <c r="K771" s="55"/>
      <c r="L771" s="62"/>
      <c r="M771" s="55"/>
      <c r="N771" s="55"/>
      <c r="O771" s="55"/>
      <c r="P771" s="55"/>
      <c r="Q771" s="55"/>
      <c r="R771" s="55"/>
      <c r="S771" s="55"/>
      <c r="T771" s="55"/>
      <c r="U771" s="55"/>
    </row>
    <row r="772" spans="1:21" ht="18.75">
      <c r="A772" s="166"/>
      <c r="B772" s="167"/>
      <c r="C772" s="167"/>
      <c r="D772" s="460" t="s">
        <v>289</v>
      </c>
      <c r="E772" s="167"/>
      <c r="F772" s="174"/>
      <c r="G772" s="171"/>
      <c r="H772" s="165" t="s">
        <v>35</v>
      </c>
      <c r="I772" s="212">
        <f ca="1">IFERROR(__xludf.DUMMYFUNCTION("IMPORTRANGE(""https://docs.google.com/spreadsheets/d/1eHaY18a8A9IcSdp1K8H6x8fbOy06t2VsZHhMHf-1x7Y/edit?usp=sharing"",""แผน!FQ49"")"),55)</f>
        <v>55</v>
      </c>
      <c r="J772" s="467">
        <v>0</v>
      </c>
      <c r="K772" s="255">
        <f ca="1">IF(I772&gt;0,J772*100/I772,0)</f>
        <v>0</v>
      </c>
      <c r="L772" s="62"/>
      <c r="M772" s="55"/>
      <c r="N772" s="55"/>
      <c r="O772" s="55"/>
      <c r="P772" s="55"/>
      <c r="Q772" s="55"/>
      <c r="R772" s="55"/>
      <c r="S772" s="55"/>
      <c r="T772" s="55"/>
      <c r="U772" s="55"/>
    </row>
    <row r="773" spans="1:21" ht="18.75">
      <c r="A773" s="166"/>
      <c r="B773" s="167"/>
      <c r="C773" s="167"/>
      <c r="D773" s="460" t="s">
        <v>290</v>
      </c>
      <c r="E773" s="167"/>
      <c r="F773" s="174"/>
      <c r="G773" s="171"/>
      <c r="H773" s="206"/>
      <c r="I773" s="54"/>
      <c r="J773" s="54"/>
      <c r="K773" s="55"/>
      <c r="L773" s="62"/>
      <c r="M773" s="55"/>
      <c r="N773" s="55"/>
      <c r="O773" s="55"/>
      <c r="P773" s="55"/>
      <c r="Q773" s="55"/>
      <c r="R773" s="55"/>
      <c r="S773" s="55"/>
      <c r="T773" s="55"/>
      <c r="U773" s="55"/>
    </row>
    <row r="774" spans="1:21" ht="18.75">
      <c r="A774" s="166"/>
      <c r="B774" s="167"/>
      <c r="C774" s="167"/>
      <c r="D774" s="460" t="s">
        <v>291</v>
      </c>
      <c r="E774" s="167"/>
      <c r="F774" s="174"/>
      <c r="G774" s="171"/>
      <c r="H774" s="165" t="s">
        <v>46</v>
      </c>
      <c r="I774" s="212">
        <f ca="1">IFERROR(__xludf.DUMMYFUNCTION("IMPORTRANGE(""https://docs.google.com/spreadsheets/d/1eHaY18a8A9IcSdp1K8H6x8fbOy06t2VsZHhMHf-1x7Y/edit?usp=sharing"",""แผน!FR49"")"),185)</f>
        <v>185</v>
      </c>
      <c r="J774" s="467">
        <v>0</v>
      </c>
      <c r="K774" s="255">
        <f ca="1">IF(I774&gt;0,J774*100/I774,0)</f>
        <v>0</v>
      </c>
      <c r="L774" s="62"/>
      <c r="M774" s="55"/>
      <c r="N774" s="55"/>
      <c r="O774" s="55"/>
      <c r="P774" s="55"/>
      <c r="Q774" s="55"/>
      <c r="R774" s="55"/>
      <c r="S774" s="55"/>
      <c r="T774" s="55"/>
      <c r="U774" s="55"/>
    </row>
    <row r="775" spans="1:21" ht="18.75">
      <c r="A775" s="166"/>
      <c r="B775" s="167"/>
      <c r="C775" s="167"/>
      <c r="D775" s="460" t="s">
        <v>50</v>
      </c>
      <c r="E775" s="174"/>
      <c r="F775" s="50"/>
      <c r="G775" s="52"/>
      <c r="H775" s="165" t="s">
        <v>46</v>
      </c>
      <c r="I775" s="212">
        <f ca="1">IFERROR(__xludf.DUMMYFUNCTION("IMPORTRANGE(""https://docs.google.com/spreadsheets/d/1eHaY18a8A9IcSdp1K8H6x8fbOy06t2VsZHhMHf-1x7Y/edit?usp=sharing"",""แผน!FS49"")"),185)</f>
        <v>185</v>
      </c>
      <c r="J775" s="467">
        <v>0</v>
      </c>
      <c r="K775" s="55"/>
      <c r="L775" s="62"/>
      <c r="M775" s="55"/>
      <c r="N775" s="55"/>
      <c r="O775" s="55"/>
      <c r="P775" s="55"/>
      <c r="Q775" s="55"/>
      <c r="R775" s="55"/>
      <c r="S775" s="55"/>
      <c r="T775" s="55"/>
      <c r="U775" s="55"/>
    </row>
    <row r="776" spans="1:21" ht="18.75">
      <c r="A776" s="281"/>
      <c r="B776" s="282"/>
      <c r="C776" s="282"/>
      <c r="D776" s="282"/>
      <c r="E776" s="2"/>
      <c r="F776" s="2"/>
      <c r="G776" s="65"/>
      <c r="H776" s="214" t="s">
        <v>35</v>
      </c>
      <c r="I776" s="216">
        <f ca="1">IFERROR(__xludf.DUMMYFUNCTION("IMPORTRANGE(""https://docs.google.com/spreadsheets/d/1eHaY18a8A9IcSdp1K8H6x8fbOy06t2VsZHhMHf-1x7Y/edit?usp=sharing"",""แผน!FT49"")"),55)</f>
        <v>55</v>
      </c>
      <c r="J776" s="538">
        <v>0</v>
      </c>
      <c r="K776" s="6"/>
      <c r="L776" s="68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>
      <c r="A777" s="537" t="s">
        <v>292</v>
      </c>
      <c r="B777" s="500"/>
      <c r="C777" s="500"/>
      <c r="D777" s="499"/>
      <c r="E777" s="500"/>
      <c r="F777" s="500"/>
      <c r="G777" s="501"/>
      <c r="H777" s="536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503"/>
      <c r="J777" s="504"/>
      <c r="K777" s="505"/>
      <c r="L777" s="505"/>
      <c r="M777" s="505"/>
      <c r="N777" s="505"/>
      <c r="O777" s="505"/>
      <c r="P777" s="505"/>
      <c r="Q777" s="505"/>
      <c r="R777" s="505"/>
      <c r="S777" s="505"/>
      <c r="T777" s="505"/>
      <c r="U777" s="505"/>
    </row>
    <row r="778" spans="1:21" ht="18.75">
      <c r="A778" s="49"/>
      <c r="B778" s="58" t="s">
        <v>293</v>
      </c>
      <c r="C778" s="50"/>
      <c r="D778" s="188"/>
      <c r="E778" s="50"/>
      <c r="F778" s="50"/>
      <c r="G778" s="52"/>
      <c r="H778" s="53" t="s">
        <v>14</v>
      </c>
      <c r="I778" s="212">
        <f ca="1">IFERROR(__xludf.DUMMYFUNCTION("IMPORTRANGE(""https://docs.google.com/spreadsheets/d/10OvvATaaLtwErnr3qtWFcTmtbfpFEt5Bsqel9sXx0uE/edit?usp=sharing"",""งานกองทุน!D49"")"),4371717.56)</f>
        <v>4371717.5599999996</v>
      </c>
      <c r="J778" s="212">
        <f ca="1">IFERROR(__xludf.DUMMYFUNCTION("IMPORTRANGE(""https://docs.google.com/spreadsheets/d/10OvvATaaLtwErnr3qtWFcTmtbfpFEt5Bsqel9sXx0uE/edit?usp=sharing"",""งานกองทุน!F49"")"),3537220.3)</f>
        <v>3537220.3</v>
      </c>
      <c r="K778" s="255">
        <f ca="1">IF(I778&gt;0,J778*100/I778,0)</f>
        <v>80.91145531368683</v>
      </c>
      <c r="L778" s="55"/>
      <c r="M778" s="55"/>
      <c r="N778" s="55"/>
      <c r="O778" s="55"/>
      <c r="P778" s="55"/>
      <c r="Q778" s="55"/>
      <c r="R778" s="55"/>
      <c r="S778" s="55"/>
      <c r="T778" s="55"/>
      <c r="U778" s="55"/>
    </row>
    <row r="779" spans="1:21" ht="18.75">
      <c r="A779" s="49"/>
      <c r="B779" s="50"/>
      <c r="C779" s="50"/>
      <c r="D779" s="188"/>
      <c r="E779" s="50"/>
      <c r="F779" s="50"/>
      <c r="G779" s="52"/>
      <c r="H779" s="53" t="s">
        <v>35</v>
      </c>
      <c r="I779" s="212">
        <f ca="1">IFERROR(__xludf.DUMMYFUNCTION("IMPORTRANGE(""https://docs.google.com/spreadsheets/d/10OvvATaaLtwErnr3qtWFcTmtbfpFEt5Bsqel9sXx0uE/edit?usp=sharing"",""งานกองทุน!C49"")"),402)</f>
        <v>402</v>
      </c>
      <c r="J779" s="212">
        <f ca="1">IFERROR(__xludf.DUMMYFUNCTION("IMPORTRANGE(""https://docs.google.com/spreadsheets/d/10OvvATaaLtwErnr3qtWFcTmtbfpFEt5Bsqel9sXx0uE/edit?usp=sharing"",""งานกองทุน!E49"")"),325)</f>
        <v>325</v>
      </c>
      <c r="K779" s="255">
        <f ca="1">IF(I779&gt;0,J779*100/I779,0)</f>
        <v>80.845771144278601</v>
      </c>
      <c r="L779" s="55"/>
      <c r="M779" s="55"/>
      <c r="N779" s="55"/>
      <c r="O779" s="55"/>
      <c r="P779" s="55"/>
      <c r="Q779" s="55"/>
      <c r="R779" s="55"/>
      <c r="S779" s="55"/>
      <c r="T779" s="55"/>
      <c r="U779" s="55"/>
    </row>
    <row r="780" spans="1:21" ht="18.75">
      <c r="A780" s="49"/>
      <c r="B780" s="58" t="s">
        <v>294</v>
      </c>
      <c r="C780" s="50"/>
      <c r="D780" s="188"/>
      <c r="E780" s="50"/>
      <c r="F780" s="50"/>
      <c r="G780" s="52"/>
      <c r="H780" s="53" t="s">
        <v>14</v>
      </c>
      <c r="I780" s="212">
        <f ca="1">IFERROR(__xludf.DUMMYFUNCTION("IMPORTRANGE(""https://docs.google.com/spreadsheets/d/10OvvATaaLtwErnr3qtWFcTmtbfpFEt5Bsqel9sXx0uE/edit?usp=sharing"",""งานกองทุน!I49"")"),3835590.9)</f>
        <v>3835590.9</v>
      </c>
      <c r="J780" s="212">
        <f ca="1">IFERROR(__xludf.DUMMYFUNCTION("IMPORTRANGE(""https://docs.google.com/spreadsheets/d/10OvvATaaLtwErnr3qtWFcTmtbfpFEt5Bsqel9sXx0uE/edit?usp=sharing"",""งานกองทุน!K49"")"),242846.07)</f>
        <v>242846.07</v>
      </c>
      <c r="K780" s="255">
        <f ca="1">IF(I780&gt;0,J780*100/I780,0)</f>
        <v>6.3313861235826794</v>
      </c>
      <c r="L780" s="55"/>
      <c r="M780" s="55"/>
      <c r="N780" s="55"/>
      <c r="O780" s="55"/>
      <c r="P780" s="55"/>
      <c r="Q780" s="55"/>
      <c r="R780" s="55"/>
      <c r="S780" s="55"/>
      <c r="T780" s="55"/>
      <c r="U780" s="55"/>
    </row>
    <row r="781" spans="1:21" ht="18.75">
      <c r="A781" s="49"/>
      <c r="B781" s="50"/>
      <c r="C781" s="50"/>
      <c r="D781" s="188"/>
      <c r="E781" s="50"/>
      <c r="F781" s="50"/>
      <c r="G781" s="52"/>
      <c r="H781" s="53" t="s">
        <v>35</v>
      </c>
      <c r="I781" s="212">
        <f ca="1">IFERROR(__xludf.DUMMYFUNCTION("IMPORTRANGE(""https://docs.google.com/spreadsheets/d/10OvvATaaLtwErnr3qtWFcTmtbfpFEt5Bsqel9sXx0uE/edit?usp=sharing"",""งานกองทุน!H49"")"),206)</f>
        <v>206</v>
      </c>
      <c r="J781" s="212">
        <f ca="1">IFERROR(__xludf.DUMMYFUNCTION("IMPORTRANGE(""https://docs.google.com/spreadsheets/d/10OvvATaaLtwErnr3qtWFcTmtbfpFEt5Bsqel9sXx0uE/edit?usp=sharing"",""งานกองทุน!J49"")"),45)</f>
        <v>45</v>
      </c>
      <c r="K781" s="255">
        <f ca="1">IF(I781&gt;0,J781*100/I781,0)</f>
        <v>21.844660194174757</v>
      </c>
      <c r="L781" s="55"/>
      <c r="M781" s="55"/>
      <c r="N781" s="55"/>
      <c r="O781" s="55"/>
      <c r="P781" s="55"/>
      <c r="Q781" s="55"/>
      <c r="R781" s="55"/>
      <c r="S781" s="55"/>
      <c r="T781" s="55"/>
      <c r="U781" s="55"/>
    </row>
    <row r="782" spans="1:21" ht="18.75">
      <c r="A782" s="49"/>
      <c r="B782" s="58" t="s">
        <v>295</v>
      </c>
      <c r="C782" s="50"/>
      <c r="D782" s="188"/>
      <c r="E782" s="50"/>
      <c r="F782" s="50"/>
      <c r="G782" s="52"/>
      <c r="H782" s="53" t="s">
        <v>14</v>
      </c>
      <c r="I782" s="212">
        <f ca="1">IFERROR(__xludf.DUMMYFUNCTION("IMPORTRANGE(""https://docs.google.com/spreadsheets/d/10OvvATaaLtwErnr3qtWFcTmtbfpFEt5Bsqel9sXx0uE/edit?usp=sharing"",""งานกองทุน!N49"")"),0)</f>
        <v>0</v>
      </c>
      <c r="J782" s="212">
        <f ca="1">IFERROR(__xludf.DUMMYFUNCTION("IMPORTRANGE(""https://docs.google.com/spreadsheets/d/10OvvATaaLtwErnr3qtWFcTmtbfpFEt5Bsqel9sXx0uE/edit?usp=sharing"",""งานกองทุน!P49"")"),18566.4)</f>
        <v>18566.400000000001</v>
      </c>
      <c r="K782" s="255">
        <f ca="1">IF(I782&gt;0,J782*100/I782,0)</f>
        <v>0</v>
      </c>
      <c r="L782" s="55"/>
      <c r="M782" s="55"/>
      <c r="N782" s="55"/>
      <c r="O782" s="55"/>
      <c r="P782" s="55"/>
      <c r="Q782" s="55"/>
      <c r="R782" s="55"/>
      <c r="S782" s="55"/>
      <c r="T782" s="55"/>
      <c r="U782" s="55"/>
    </row>
    <row r="783" spans="1:21" ht="18.75">
      <c r="A783" s="49"/>
      <c r="B783" s="50"/>
      <c r="C783" s="50"/>
      <c r="D783" s="188"/>
      <c r="E783" s="50"/>
      <c r="F783" s="50"/>
      <c r="G783" s="52"/>
      <c r="H783" s="53" t="s">
        <v>35</v>
      </c>
      <c r="I783" s="212">
        <f ca="1">IFERROR(__xludf.DUMMYFUNCTION("IMPORTRANGE(""https://docs.google.com/spreadsheets/d/10OvvATaaLtwErnr3qtWFcTmtbfpFEt5Bsqel9sXx0uE/edit?usp=sharing"",""งานกองทุน!M49"")"),0)</f>
        <v>0</v>
      </c>
      <c r="J783" s="212">
        <f ca="1">IFERROR(__xludf.DUMMYFUNCTION("IMPORTRANGE(""https://docs.google.com/spreadsheets/d/10OvvATaaLtwErnr3qtWFcTmtbfpFEt5Bsqel9sXx0uE/edit?usp=sharing"",""งานกองทุน!O49"")"),3)</f>
        <v>3</v>
      </c>
      <c r="K783" s="255">
        <f ca="1">IF(I783&gt;0,J783*100/I783,0)</f>
        <v>0</v>
      </c>
      <c r="L783" s="55"/>
      <c r="M783" s="55"/>
      <c r="N783" s="55"/>
      <c r="O783" s="55"/>
      <c r="P783" s="55"/>
      <c r="Q783" s="55"/>
      <c r="R783" s="55"/>
      <c r="S783" s="55"/>
      <c r="T783" s="55"/>
      <c r="U783" s="55"/>
    </row>
    <row r="784" spans="1:21" ht="18.75">
      <c r="A784" s="49"/>
      <c r="B784" s="58" t="s">
        <v>296</v>
      </c>
      <c r="C784" s="50"/>
      <c r="D784" s="188"/>
      <c r="E784" s="50"/>
      <c r="F784" s="50"/>
      <c r="G784" s="52"/>
      <c r="H784" s="53" t="s">
        <v>14</v>
      </c>
      <c r="I784" s="212">
        <f ca="1">IFERROR(__xludf.DUMMYFUNCTION("IMPORTRANGE(""https://docs.google.com/spreadsheets/d/10OvvATaaLtwErnr3qtWFcTmtbfpFEt5Bsqel9sXx0uE/edit?usp=sharing"",""งานกองทุน!S49"")"),6048000)</f>
        <v>6048000</v>
      </c>
      <c r="J784" s="212">
        <f ca="1">IFERROR(__xludf.DUMMYFUNCTION("IMPORTRANGE(""https://docs.google.com/spreadsheets/d/10OvvATaaLtwErnr3qtWFcTmtbfpFEt5Bsqel9sXx0uE/edit?usp=sharing"",""งานกองทุน!U49"")"),0)</f>
        <v>0</v>
      </c>
      <c r="K784" s="255">
        <f ca="1">IF(I784&gt;0,J784*100/I784,0)</f>
        <v>0</v>
      </c>
      <c r="L784" s="55"/>
      <c r="M784" s="55"/>
      <c r="N784" s="55"/>
      <c r="O784" s="55"/>
      <c r="P784" s="55"/>
      <c r="Q784" s="55"/>
      <c r="R784" s="55"/>
      <c r="S784" s="55"/>
      <c r="T784" s="55"/>
      <c r="U784" s="55"/>
    </row>
    <row r="785" spans="1:21" ht="18.75">
      <c r="A785" s="63"/>
      <c r="B785" s="4"/>
      <c r="C785" s="4"/>
      <c r="D785" s="5"/>
      <c r="E785" s="4"/>
      <c r="F785" s="4"/>
      <c r="G785" s="65"/>
      <c r="H785" s="66" t="s">
        <v>35</v>
      </c>
      <c r="I785" s="216">
        <f ca="1">IFERROR(__xludf.DUMMYFUNCTION("IMPORTRANGE(""https://docs.google.com/spreadsheets/d/10OvvATaaLtwErnr3qtWFcTmtbfpFEt5Bsqel9sXx0uE/edit?usp=sharing"",""งานกองทุน!R49"")"),216)</f>
        <v>216</v>
      </c>
      <c r="J785" s="216">
        <f ca="1">IFERROR(__xludf.DUMMYFUNCTION("IMPORTRANGE(""https://docs.google.com/spreadsheets/d/10OvvATaaLtwErnr3qtWFcTmtbfpFEt5Bsqel9sXx0uE/edit?usp=sharing"",""งานกองทุน!T49"")"),0)</f>
        <v>0</v>
      </c>
      <c r="K785" s="506">
        <f ca="1">IF(I785&gt;0,J785*100/I785,0)</f>
        <v>0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6.5">
      <c r="A787" s="535" t="s">
        <v>297</v>
      </c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6.5">
      <c r="A788" s="535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</v>
      </c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6.5">
      <c r="A789" s="535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</v>
      </c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</sheetData>
  <mergeCells count="26">
    <mergeCell ref="A1:U1"/>
    <mergeCell ref="A2:U2"/>
    <mergeCell ref="A3:U3"/>
    <mergeCell ref="L4:P4"/>
    <mergeCell ref="Q4:U4"/>
    <mergeCell ref="A5:G6"/>
    <mergeCell ref="H5:H6"/>
    <mergeCell ref="I5:K5"/>
    <mergeCell ref="L5:M5"/>
    <mergeCell ref="N5:P5"/>
    <mergeCell ref="D616:G616"/>
    <mergeCell ref="D642:G642"/>
    <mergeCell ref="D690:G690"/>
    <mergeCell ref="D714:G714"/>
    <mergeCell ref="Q5:R5"/>
    <mergeCell ref="S5:U5"/>
    <mergeCell ref="D728:G728"/>
    <mergeCell ref="D760:G760"/>
    <mergeCell ref="A7:G7"/>
    <mergeCell ref="A17:G17"/>
    <mergeCell ref="A30:G30"/>
    <mergeCell ref="A56:G56"/>
    <mergeCell ref="B57:G57"/>
    <mergeCell ref="D413:G413"/>
    <mergeCell ref="D493:F493"/>
    <mergeCell ref="D599:G599"/>
  </mergeCells>
  <printOptions horizontalCentered="1"/>
  <pageMargins left="0.23622047244094491" right="0.23622047244094491" top="0.55118110236220474" bottom="0.55118110236220474" header="0" footer="0"/>
  <pageSetup paperSize="9" scale="29" fitToHeight="0" pageOrder="overThenDown" orientation="portrait" cellComments="atEnd" horizontalDpi="4294967293" verticalDpi="4294967293" r:id="rId1"/>
  <headerFooter>
    <oddFooter>&amp;Cหน้า 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681BC7-F8E0-419D-8454-6ADD272DFD26}">
  <sheetPr>
    <outlinePr summaryBelow="0" summaryRight="0"/>
    <pageSetUpPr fitToPage="1"/>
  </sheetPr>
  <dimension ref="A1:U789"/>
  <sheetViews>
    <sheetView view="pageBreakPreview" zoomScale="60" zoomScaleNormal="60" workbookViewId="0">
      <pane xSplit="8" ySplit="17" topLeftCell="I18" activePane="bottomRight" state="frozen"/>
      <selection activeCell="T32" sqref="T32"/>
      <selection pane="topRight" activeCell="T32" sqref="T32"/>
      <selection pane="bottomLeft" activeCell="T32" sqref="T32"/>
      <selection pane="bottomRight" activeCell="T32" sqref="T32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bestFit="1" customWidth="1"/>
    <col min="12" max="14" width="21.28515625" bestFit="1" customWidth="1"/>
    <col min="15" max="15" width="20.140625" bestFit="1" customWidth="1"/>
    <col min="16" max="16" width="22" bestFit="1" customWidth="1"/>
    <col min="17" max="18" width="21.28515625" bestFit="1" customWidth="1"/>
    <col min="19" max="19" width="18.7109375" bestFit="1" customWidth="1"/>
    <col min="20" max="20" width="20.140625" bestFit="1" customWidth="1"/>
    <col min="21" max="21" width="22" bestFit="1" customWidth="1"/>
  </cols>
  <sheetData>
    <row r="1" spans="1:21" ht="19.5">
      <c r="A1" s="894" t="s">
        <v>0</v>
      </c>
      <c r="B1" s="894"/>
      <c r="C1" s="894"/>
      <c r="D1" s="894"/>
      <c r="E1" s="894"/>
      <c r="F1" s="894"/>
      <c r="G1" s="894"/>
      <c r="H1" s="894"/>
      <c r="I1" s="894"/>
      <c r="J1" s="894"/>
      <c r="K1" s="894"/>
      <c r="L1" s="894"/>
      <c r="M1" s="894"/>
      <c r="N1" s="894"/>
      <c r="O1" s="894"/>
      <c r="P1" s="894"/>
      <c r="Q1" s="894"/>
      <c r="R1" s="894"/>
      <c r="S1" s="894"/>
      <c r="T1" s="894"/>
      <c r="U1" s="894"/>
    </row>
    <row r="2" spans="1:21" ht="19.5">
      <c r="A2" s="894" t="s">
        <v>312</v>
      </c>
      <c r="B2" s="894"/>
      <c r="C2" s="894"/>
      <c r="D2" s="894"/>
      <c r="E2" s="894"/>
      <c r="F2" s="894"/>
      <c r="G2" s="894"/>
      <c r="H2" s="894"/>
      <c r="I2" s="894"/>
      <c r="J2" s="894"/>
      <c r="K2" s="894"/>
      <c r="L2" s="894"/>
      <c r="M2" s="894"/>
      <c r="N2" s="894"/>
      <c r="O2" s="894"/>
      <c r="P2" s="894"/>
      <c r="Q2" s="894"/>
      <c r="R2" s="894"/>
      <c r="S2" s="894"/>
      <c r="T2" s="894"/>
      <c r="U2" s="894"/>
    </row>
    <row r="3" spans="1:21" ht="19.5">
      <c r="A3" s="894" t="s">
        <v>339</v>
      </c>
      <c r="B3" s="894"/>
      <c r="C3" s="894"/>
      <c r="D3" s="894"/>
      <c r="E3" s="894"/>
      <c r="F3" s="894"/>
      <c r="G3" s="894"/>
      <c r="H3" s="894"/>
      <c r="I3" s="894"/>
      <c r="J3" s="894"/>
      <c r="K3" s="894"/>
      <c r="L3" s="894"/>
      <c r="M3" s="894"/>
      <c r="N3" s="894"/>
      <c r="O3" s="894"/>
      <c r="P3" s="894"/>
      <c r="Q3" s="894"/>
      <c r="R3" s="894"/>
      <c r="S3" s="894"/>
      <c r="T3" s="894"/>
      <c r="U3" s="894"/>
    </row>
    <row r="4" spans="1:21" ht="19.5">
      <c r="A4" s="4"/>
      <c r="B4" s="4"/>
      <c r="C4" s="4"/>
      <c r="D4" s="4"/>
      <c r="E4" s="4"/>
      <c r="F4" s="4"/>
      <c r="G4" s="4"/>
      <c r="H4" s="4"/>
      <c r="I4" s="4"/>
      <c r="J4" s="5"/>
      <c r="K4" s="766"/>
      <c r="L4" s="765" t="s">
        <v>2</v>
      </c>
      <c r="M4" s="514"/>
      <c r="N4" s="514"/>
      <c r="O4" s="514"/>
      <c r="P4" s="512"/>
      <c r="Q4" s="518" t="s">
        <v>3</v>
      </c>
      <c r="R4" s="514"/>
      <c r="S4" s="514"/>
      <c r="T4" s="514"/>
      <c r="U4" s="512"/>
    </row>
    <row r="5" spans="1:21" ht="19.5">
      <c r="A5" s="764" t="s">
        <v>4</v>
      </c>
      <c r="B5" s="516"/>
      <c r="C5" s="516"/>
      <c r="D5" s="516"/>
      <c r="E5" s="516"/>
      <c r="F5" s="516"/>
      <c r="G5" s="763"/>
      <c r="H5" s="762" t="s">
        <v>5</v>
      </c>
      <c r="I5" s="761" t="s">
        <v>6</v>
      </c>
      <c r="J5" s="514"/>
      <c r="K5" s="512"/>
      <c r="L5" s="760" t="s">
        <v>7</v>
      </c>
      <c r="M5" s="512"/>
      <c r="N5" s="513" t="s">
        <v>8</v>
      </c>
      <c r="O5" s="514"/>
      <c r="P5" s="512"/>
      <c r="Q5" s="511" t="s">
        <v>7</v>
      </c>
      <c r="R5" s="512"/>
      <c r="S5" s="513" t="s">
        <v>8</v>
      </c>
      <c r="T5" s="514"/>
      <c r="U5" s="512"/>
    </row>
    <row r="6" spans="1:21" ht="19.5">
      <c r="A6" s="522"/>
      <c r="B6" s="514"/>
      <c r="C6" s="514"/>
      <c r="D6" s="514"/>
      <c r="E6" s="514"/>
      <c r="F6" s="514"/>
      <c r="G6" s="512"/>
      <c r="H6" s="759"/>
      <c r="I6" s="9" t="s">
        <v>9</v>
      </c>
      <c r="J6" s="10" t="s">
        <v>10</v>
      </c>
      <c r="K6" s="9" t="s">
        <v>11</v>
      </c>
      <c r="L6" s="758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 hidden="1">
      <c r="A7" s="750"/>
      <c r="B7" s="514"/>
      <c r="C7" s="514"/>
      <c r="D7" s="514"/>
      <c r="E7" s="514"/>
      <c r="F7" s="514"/>
      <c r="G7" s="512"/>
      <c r="H7" s="17"/>
      <c r="I7" s="18"/>
      <c r="J7" s="18"/>
      <c r="K7" s="19"/>
      <c r="L7" s="28"/>
      <c r="M7" s="19"/>
      <c r="N7" s="19"/>
      <c r="O7" s="19"/>
      <c r="P7" s="19"/>
      <c r="Q7" s="19"/>
      <c r="R7" s="19"/>
      <c r="S7" s="19"/>
      <c r="T7" s="19"/>
      <c r="U7" s="19"/>
    </row>
    <row r="8" spans="1:21" ht="12.75" hidden="1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6"/>
      <c r="M8" s="25"/>
      <c r="N8" s="25"/>
      <c r="O8" s="25"/>
      <c r="P8" s="25"/>
      <c r="Q8" s="25"/>
      <c r="R8" s="25"/>
      <c r="S8" s="25"/>
      <c r="T8" s="25"/>
      <c r="U8" s="25"/>
    </row>
    <row r="9" spans="1:21" ht="12.75" hidden="1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6"/>
      <c r="M9" s="25"/>
      <c r="N9" s="25"/>
      <c r="O9" s="25"/>
      <c r="P9" s="25"/>
      <c r="Q9" s="25"/>
      <c r="R9" s="25"/>
      <c r="S9" s="25"/>
      <c r="T9" s="25"/>
      <c r="U9" s="25"/>
    </row>
    <row r="10" spans="1:21" ht="12.75" hidden="1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6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2.75" hidden="1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6"/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2.75" hidden="1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6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2.75" hidden="1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6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2.75" hidden="1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2.75" hidden="1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6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2.75" hidden="1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28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9.5">
      <c r="A17" s="532" t="s">
        <v>311</v>
      </c>
      <c r="B17" s="514"/>
      <c r="C17" s="514"/>
      <c r="D17" s="514"/>
      <c r="E17" s="514"/>
      <c r="F17" s="514"/>
      <c r="G17" s="512"/>
      <c r="H17" s="29"/>
      <c r="I17" s="30"/>
      <c r="J17" s="30"/>
      <c r="K17" s="31"/>
      <c r="L17" s="32"/>
      <c r="M17" s="31"/>
      <c r="N17" s="31"/>
      <c r="O17" s="31"/>
      <c r="P17" s="31"/>
      <c r="Q17" s="31"/>
      <c r="R17" s="31"/>
      <c r="S17" s="31"/>
      <c r="T17" s="31"/>
      <c r="U17" s="31"/>
    </row>
    <row r="18" spans="1:21" ht="19.5">
      <c r="A18" s="33"/>
      <c r="B18" s="34"/>
      <c r="C18" s="35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757">
        <f ca="1">L19+L20</f>
        <v>2186265</v>
      </c>
      <c r="M18" s="720">
        <f ca="1">M19+M20</f>
        <v>2215856.84</v>
      </c>
      <c r="N18" s="720">
        <f ca="1">N19+N20</f>
        <v>1756764.01</v>
      </c>
      <c r="O18" s="720">
        <f ca="1">IF(L18&gt;0,N18*100/L18,0)</f>
        <v>80.354577784486324</v>
      </c>
      <c r="P18" s="720">
        <f ca="1">IF(M18&gt;0,N18*100/M18,0)</f>
        <v>79.28147605420213</v>
      </c>
      <c r="Q18" s="720">
        <f ca="1">Q19+Q20</f>
        <v>2591585</v>
      </c>
      <c r="R18" s="720">
        <f ca="1">R19+R20</f>
        <v>2529085</v>
      </c>
      <c r="S18" s="720">
        <f ca="1">S19+S20</f>
        <v>666529.35</v>
      </c>
      <c r="T18" s="720">
        <f ca="1">IF(Q18&gt;0,S18*100/Q18,0)</f>
        <v>25.718984713987773</v>
      </c>
      <c r="U18" s="720">
        <f ca="1">IF(R18&gt;0,S18*100/R18,0)</f>
        <v>26.354564990895916</v>
      </c>
    </row>
    <row r="19" spans="1:21" ht="18.75" hidden="1">
      <c r="A19" s="33"/>
      <c r="B19" s="34"/>
      <c r="C19" s="34"/>
      <c r="D19" s="34"/>
      <c r="E19" s="756" t="s">
        <v>20</v>
      </c>
      <c r="F19" s="34"/>
      <c r="G19" s="37"/>
      <c r="H19" s="755" t="s">
        <v>14</v>
      </c>
      <c r="I19" s="39"/>
      <c r="J19" s="39"/>
      <c r="K19" s="40"/>
      <c r="L19" s="754">
        <f>L22+L25</f>
        <v>0</v>
      </c>
      <c r="M19" s="753">
        <f>M22+M25</f>
        <v>0</v>
      </c>
      <c r="N19" s="753">
        <f>N22+N25</f>
        <v>0</v>
      </c>
      <c r="O19" s="753">
        <f>IF(L19&gt;0,N19*100/L19,0)</f>
        <v>0</v>
      </c>
      <c r="P19" s="753">
        <f>IF(M19&gt;0,N19*100/M19,0)</f>
        <v>0</v>
      </c>
      <c r="Q19" s="753">
        <f>Q22+Q25</f>
        <v>0</v>
      </c>
      <c r="R19" s="753">
        <f>R22+R25</f>
        <v>0</v>
      </c>
      <c r="S19" s="753">
        <f>S22+S25</f>
        <v>0</v>
      </c>
      <c r="T19" s="753">
        <f>IF(Q19&gt;0,S19*100/Q19,0)</f>
        <v>0</v>
      </c>
      <c r="U19" s="753">
        <f>IF(R19&gt;0,S19*100/R19,0)</f>
        <v>0</v>
      </c>
    </row>
    <row r="20" spans="1:21" ht="18.75" hidden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752">
        <f ca="1">L23+L26</f>
        <v>2186265</v>
      </c>
      <c r="M20" s="751">
        <f ca="1">M23+M26</f>
        <v>2215856.84</v>
      </c>
      <c r="N20" s="751">
        <f ca="1">N23+N26</f>
        <v>1756764.01</v>
      </c>
      <c r="O20" s="751">
        <f ca="1">IF(L20&gt;0,N20*100/L20,0)</f>
        <v>80.354577784486324</v>
      </c>
      <c r="P20" s="751">
        <f ca="1">IF(M20&gt;0,N20*100/M20,0)</f>
        <v>79.28147605420213</v>
      </c>
      <c r="Q20" s="751">
        <f ca="1">Q23+Q26</f>
        <v>2591585</v>
      </c>
      <c r="R20" s="751">
        <f ca="1">R23+R26</f>
        <v>2529085</v>
      </c>
      <c r="S20" s="751">
        <f ca="1">S23+S26</f>
        <v>666529.35</v>
      </c>
      <c r="T20" s="751">
        <f ca="1">IF(Q20&gt;0,S20*100/Q20,0)</f>
        <v>25.718984713987773</v>
      </c>
      <c r="U20" s="751">
        <f ca="1">IF(R20&gt;0,S20*100/R20,0)</f>
        <v>26.354564990895916</v>
      </c>
    </row>
    <row r="21" spans="1:21" ht="18.75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256">
        <f ca="1">L22+L23</f>
        <v>2186265</v>
      </c>
      <c r="M21" s="255">
        <f ca="1">M22+M23</f>
        <v>2215856.84</v>
      </c>
      <c r="N21" s="255">
        <f ca="1">N22+N23</f>
        <v>1756764.01</v>
      </c>
      <c r="O21" s="255">
        <f ca="1">IF(L21&gt;0,N21*100/L21,0)</f>
        <v>80.354577784486324</v>
      </c>
      <c r="P21" s="255">
        <f ca="1">IF(M21&gt;0,N21*100/M21,0)</f>
        <v>79.28147605420213</v>
      </c>
      <c r="Q21" s="255">
        <f ca="1">Q22+Q23</f>
        <v>2591585</v>
      </c>
      <c r="R21" s="255">
        <f ca="1">R22+R23</f>
        <v>2529085</v>
      </c>
      <c r="S21" s="255">
        <f ca="1">S22+S23</f>
        <v>666529.35</v>
      </c>
      <c r="T21" s="255">
        <f ca="1">IF(Q21&gt;0,S21*100/Q21,0)</f>
        <v>25.718984713987773</v>
      </c>
      <c r="U21" s="255">
        <f ca="1">IF(R21&gt;0,S21*100/R21,0)</f>
        <v>26.354564990895916</v>
      </c>
    </row>
    <row r="22" spans="1:21" ht="18.75" hidden="1">
      <c r="A22" s="49"/>
      <c r="B22" s="50"/>
      <c r="C22" s="50"/>
      <c r="D22" s="50"/>
      <c r="E22" s="186" t="s">
        <v>20</v>
      </c>
      <c r="F22" s="50"/>
      <c r="G22" s="52"/>
      <c r="H22" s="729" t="s">
        <v>14</v>
      </c>
      <c r="I22" s="54"/>
      <c r="J22" s="54"/>
      <c r="K22" s="55"/>
      <c r="L22" s="103">
        <f>L48+L63+L76+L98+L129+L143+L161+L190+L177+L270+L286+L307+L324+L337+L360+L517</f>
        <v>0</v>
      </c>
      <c r="M22" s="102">
        <f>M48+M63+M76+M98+M129+M143+M161+M190+M177+M270+M286+M307+M324+M337+M360+M517</f>
        <v>0</v>
      </c>
      <c r="N22" s="102">
        <f>N48+N63+N76+N98+N129+N143+N161+N190+N177+N270+N286+N307+N324+N337+N360+N517</f>
        <v>0</v>
      </c>
      <c r="O22" s="102">
        <f>IF(L22&gt;0,N22*100/L22,0)</f>
        <v>0</v>
      </c>
      <c r="P22" s="102">
        <f>IF(M22&gt;0,N22*100/M22,0)</f>
        <v>0</v>
      </c>
      <c r="Q22" s="102">
        <f>Q76+Q98+Q121+Q143+Q161+Q177+Q190+Q270+Q286+Q307+Q337+Q379+Q396+Q417+Q497+Q603+Q620+Q646+Q694+Q718+Q732+Q764</f>
        <v>0</v>
      </c>
      <c r="R22" s="102">
        <f>R76+R98+R121+R143+R161+R177+R190+R270+R286+R307+R337+R379+R396+R417+R497+R603+R620+R646+R694+R718+R732+R764</f>
        <v>0</v>
      </c>
      <c r="S22" s="102">
        <f>S76+S98+S121+S143+S161+S177+S190+S270+S286+S307+S337+S379+S396+S417+S497+S603+S620+S646+S694+S718+S732+S764</f>
        <v>0</v>
      </c>
      <c r="T22" s="102">
        <f>IF(Q22&gt;0,S22*100/Q22,0)</f>
        <v>0</v>
      </c>
      <c r="U22" s="102">
        <f>IF(R22&gt;0,S22*100/R22,0)</f>
        <v>0</v>
      </c>
    </row>
    <row r="23" spans="1:21" ht="18.75" hidden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256">
        <f ca="1">L49+L64+L77+L99+L130+L144+L162+L191+L178+L271+L287+L308+L325+L338+L361+L518</f>
        <v>2186265</v>
      </c>
      <c r="M23" s="255">
        <f ca="1">M49+M64+M77+M99+M130+M144+M162+M191+M178+M271+M287+M308+M325+M338+M361+M518</f>
        <v>2215856.84</v>
      </c>
      <c r="N23" s="255">
        <f ca="1">N49+N64+N77+N99+N130+N144+N162+N191+N178+N271+N287+N308+N325+N338+N361+N518</f>
        <v>1756764.01</v>
      </c>
      <c r="O23" s="255">
        <f ca="1">IF(L23&gt;0,N23*100/L23,0)</f>
        <v>80.354577784486324</v>
      </c>
      <c r="P23" s="255">
        <f ca="1">IF(M23&gt;0,N23*100/M23,0)</f>
        <v>79.28147605420213</v>
      </c>
      <c r="Q23" s="255">
        <f ca="1">Q77+Q99+Q122+Q144+Q162+Q178+Q191+Q271+Q287+Q308+Q338+Q380+Q397+Q418+Q498+Q604+Q621+Q647+Q695+Q719+Q733+Q765</f>
        <v>2591585</v>
      </c>
      <c r="R23" s="255">
        <f ca="1">R77+R99+R122+R144+R162+R178+R191+R271+R287+R308+R338+R380+R397+R418+R498+R604+R621+R647+R695+R719+R733+R765</f>
        <v>2529085</v>
      </c>
      <c r="S23" s="255">
        <f ca="1">S77+S99+S122+S144+S162+S178+S191+S271+S287+S308+S338+S380+S397+S418+S498+S604+S621+S647+S695+S719+S733+S765</f>
        <v>666529.35</v>
      </c>
      <c r="T23" s="255">
        <f ca="1">IF(Q23&gt;0,S23*100/Q23,0)</f>
        <v>25.718984713987773</v>
      </c>
      <c r="U23" s="255">
        <f ca="1">IF(R23&gt;0,S23*100/R23,0)</f>
        <v>26.354564990895916</v>
      </c>
    </row>
    <row r="24" spans="1:21" ht="18.75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256">
        <f ca="1">L25+L26</f>
        <v>0</v>
      </c>
      <c r="M24" s="255">
        <f ca="1">M25+M26</f>
        <v>0</v>
      </c>
      <c r="N24" s="255">
        <f ca="1">N25+N26</f>
        <v>0</v>
      </c>
      <c r="O24" s="255">
        <f ca="1">IF(L24&gt;0,N24*100/L24,0)</f>
        <v>0</v>
      </c>
      <c r="P24" s="255">
        <f ca="1">IF(M24&gt;0,N24*100/M24,0)</f>
        <v>0</v>
      </c>
      <c r="Q24" s="255">
        <f>Q25+Q26</f>
        <v>0</v>
      </c>
      <c r="R24" s="255">
        <f>R25+R26</f>
        <v>0</v>
      </c>
      <c r="S24" s="255">
        <f>S25+S26</f>
        <v>0</v>
      </c>
      <c r="T24" s="255">
        <f>IF(Q24&gt;0,S24*100/Q24,0)</f>
        <v>0</v>
      </c>
      <c r="U24" s="255">
        <f>IF(R24&gt;0,S24*100/R24,0)</f>
        <v>0</v>
      </c>
    </row>
    <row r="25" spans="1:21" ht="18.75" hidden="1">
      <c r="A25" s="49"/>
      <c r="B25" s="50"/>
      <c r="C25" s="50"/>
      <c r="D25" s="50"/>
      <c r="E25" s="186" t="s">
        <v>20</v>
      </c>
      <c r="F25" s="50"/>
      <c r="G25" s="52"/>
      <c r="H25" s="729" t="s">
        <v>14</v>
      </c>
      <c r="I25" s="54"/>
      <c r="J25" s="54"/>
      <c r="K25" s="55"/>
      <c r="L25" s="103">
        <f>L51+L66+L79+L101+L132+L146+L164+L193+L180+L273+L289+L310+L327+L340+L363+L520</f>
        <v>0</v>
      </c>
      <c r="M25" s="102">
        <f>M51+M66+M79+M101+M132+M146+M164+M193+M180+M273+M289+M310+M327+M340+M363+M520</f>
        <v>0</v>
      </c>
      <c r="N25" s="102">
        <f>N51+N66+N79+N101+N132+N146+N164+N193+N180+N273+N289+N310+N327+N340+N363+N520</f>
        <v>0</v>
      </c>
      <c r="O25" s="102">
        <f>IF(L25&gt;0,N25*100/L25,0)</f>
        <v>0</v>
      </c>
      <c r="P25" s="102">
        <f>IF(M25&gt;0,N25*100/M25,0)</f>
        <v>0</v>
      </c>
      <c r="Q25" s="102">
        <f>Q79+Q101+Q124+Q146+Q164+Q180+Q193+Q273+Q289+Q310+Q340+Q382+Q399+Q420+Q500+Q606+Q623+Q649+Q697+Q721+Q735+Q767</f>
        <v>0</v>
      </c>
      <c r="R25" s="102">
        <f>R79+R101+R124+R146+R164+R180+R193+R273+R289+R310+R340+R382+R399+R420+R500+R606+R623+R649+R697+R721+R735+R767</f>
        <v>0</v>
      </c>
      <c r="S25" s="102">
        <f>S79+S101+S124+S146+S164+S180+S193+S273+S289+S310+S340+S382+S399+S420+S500+S606+S623+S649+S697+S721+S735+S767</f>
        <v>0</v>
      </c>
      <c r="T25" s="102">
        <f>IF(Q25&gt;0,S25*100/Q25,0)</f>
        <v>0</v>
      </c>
      <c r="U25" s="102">
        <f>IF(R25&gt;0,S25*100/R25,0)</f>
        <v>0</v>
      </c>
    </row>
    <row r="26" spans="1:21" ht="18.75" hidden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256">
        <f ca="1">L52+L67+L80+L102+L133+L147+L165+L194+L181+L274+L290+L311+L328+L341+L364+L521</f>
        <v>0</v>
      </c>
      <c r="M26" s="255">
        <f ca="1">M52+M67+M80+M102+M133+M147+M165+M194+M181+M274+M290+M311+M328+M341+M364+M521</f>
        <v>0</v>
      </c>
      <c r="N26" s="255">
        <f ca="1">N52+N67+N80+N102+N133+N147+N165+N194+N181+N274+N290+N311+N328+N341+N364+N521</f>
        <v>0</v>
      </c>
      <c r="O26" s="255">
        <f ca="1">IF(L26&gt;0,N26*100/L26,0)</f>
        <v>0</v>
      </c>
      <c r="P26" s="255">
        <f ca="1">IF(M26&gt;0,N26*100/M26,0)</f>
        <v>0</v>
      </c>
      <c r="Q26" s="102">
        <f>Q80+Q102+Q125+Q147+Q165+Q181+Q194+Q274+Q290+Q311+Q341+Q383+Q400+Q421+Q501+Q607+Q624+Q650+Q698+Q722+Q736+Q768</f>
        <v>0</v>
      </c>
      <c r="R26" s="102">
        <f>R80+R102+R125+R147+R165+R181+R194+R274+R290+R311+R341+R383+R400+R421+R501+R607+R624+R650+R698+R722+R736+R768</f>
        <v>0</v>
      </c>
      <c r="S26" s="102">
        <f>S80+S102+S125+S147+S165+S181+S194+S274+S290+S311+S341+S383+S400+S421+S501+S607+S624+S650+S698+S722+S736+S768</f>
        <v>0</v>
      </c>
      <c r="T26" s="255">
        <f>IF(Q26&gt;0,S26*100/Q26,0)</f>
        <v>0</v>
      </c>
      <c r="U26" s="255">
        <f>IF(R26&gt;0,S26*100/R26,0)</f>
        <v>0</v>
      </c>
    </row>
    <row r="27" spans="1:21" ht="18.75">
      <c r="A27" s="49"/>
      <c r="B27" s="50"/>
      <c r="C27" s="50"/>
      <c r="D27" s="51" t="s">
        <v>24</v>
      </c>
      <c r="E27" s="50"/>
      <c r="F27" s="50"/>
      <c r="G27" s="52"/>
      <c r="H27" s="53" t="s">
        <v>14</v>
      </c>
      <c r="I27" s="54"/>
      <c r="J27" s="54"/>
      <c r="K27" s="55"/>
      <c r="L27" s="62"/>
      <c r="M27" s="55"/>
      <c r="N27" s="55"/>
      <c r="O27" s="55"/>
      <c r="P27" s="55"/>
      <c r="Q27" s="55"/>
      <c r="R27" s="55"/>
      <c r="S27" s="55"/>
      <c r="T27" s="55"/>
      <c r="U27" s="55"/>
    </row>
    <row r="28" spans="1:21" ht="18.75" hidden="1">
      <c r="A28" s="49"/>
      <c r="B28" s="50"/>
      <c r="C28" s="50"/>
      <c r="D28" s="50"/>
      <c r="E28" s="186" t="s">
        <v>20</v>
      </c>
      <c r="F28" s="50"/>
      <c r="G28" s="52"/>
      <c r="H28" s="729" t="s">
        <v>14</v>
      </c>
      <c r="I28" s="54"/>
      <c r="J28" s="54"/>
      <c r="K28" s="55"/>
      <c r="L28" s="62"/>
      <c r="M28" s="55"/>
      <c r="N28" s="55"/>
      <c r="O28" s="55"/>
      <c r="P28" s="55"/>
      <c r="Q28" s="55"/>
      <c r="R28" s="55"/>
      <c r="S28" s="55"/>
      <c r="T28" s="55"/>
      <c r="U28" s="55"/>
    </row>
    <row r="29" spans="1:21" ht="18.75" hidden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8"/>
      <c r="M29" s="6"/>
      <c r="N29" s="6"/>
      <c r="O29" s="6"/>
      <c r="P29" s="6"/>
      <c r="Q29" s="6"/>
      <c r="R29" s="6"/>
      <c r="S29" s="6"/>
      <c r="T29" s="6"/>
      <c r="U29" s="6"/>
    </row>
    <row r="30" spans="1:21" ht="12.75" hidden="1">
      <c r="A30" s="750"/>
      <c r="B30" s="514"/>
      <c r="C30" s="514"/>
      <c r="D30" s="514"/>
      <c r="E30" s="514"/>
      <c r="F30" s="514"/>
      <c r="G30" s="512"/>
      <c r="H30" s="17"/>
      <c r="I30" s="18"/>
      <c r="J30" s="18"/>
      <c r="K30" s="19"/>
      <c r="L30" s="28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 hidden="1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6"/>
      <c r="M31" s="25"/>
      <c r="N31" s="25"/>
      <c r="O31" s="25"/>
      <c r="P31" s="25"/>
      <c r="Q31" s="25"/>
      <c r="R31" s="25"/>
      <c r="S31" s="25"/>
      <c r="T31" s="25"/>
      <c r="U31" s="25"/>
    </row>
    <row r="32" spans="1:21" ht="12.75" hidden="1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6"/>
      <c r="M32" s="25"/>
      <c r="N32" s="25"/>
      <c r="O32" s="25"/>
      <c r="P32" s="25"/>
      <c r="Q32" s="25"/>
      <c r="R32" s="25"/>
      <c r="S32" s="25"/>
      <c r="T32" s="25"/>
      <c r="U32" s="25"/>
    </row>
    <row r="33" spans="1:21" ht="12.75" hidden="1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6"/>
      <c r="M33" s="25"/>
      <c r="N33" s="25"/>
      <c r="O33" s="25"/>
      <c r="P33" s="25"/>
      <c r="Q33" s="25"/>
      <c r="R33" s="25"/>
      <c r="S33" s="25"/>
      <c r="T33" s="25"/>
      <c r="U33" s="25"/>
    </row>
    <row r="34" spans="1:21" ht="12.75" hidden="1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6"/>
      <c r="M34" s="25"/>
      <c r="N34" s="25"/>
      <c r="O34" s="25"/>
      <c r="P34" s="25"/>
      <c r="Q34" s="25"/>
      <c r="R34" s="25"/>
      <c r="S34" s="25"/>
      <c r="T34" s="25"/>
      <c r="U34" s="25"/>
    </row>
    <row r="35" spans="1:21" ht="12.75" hidden="1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6"/>
      <c r="M35" s="25"/>
      <c r="N35" s="25"/>
      <c r="O35" s="25"/>
      <c r="P35" s="25"/>
      <c r="Q35" s="25"/>
      <c r="R35" s="25"/>
      <c r="S35" s="25"/>
      <c r="T35" s="25"/>
      <c r="U35" s="25"/>
    </row>
    <row r="36" spans="1:21" ht="12.75" hidden="1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6"/>
      <c r="M36" s="25"/>
      <c r="N36" s="25"/>
      <c r="O36" s="25"/>
      <c r="P36" s="25"/>
      <c r="Q36" s="25"/>
      <c r="R36" s="25"/>
      <c r="S36" s="25"/>
      <c r="T36" s="25"/>
      <c r="U36" s="25"/>
    </row>
    <row r="37" spans="1:21" ht="12.75" hidden="1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6"/>
      <c r="M37" s="25"/>
      <c r="N37" s="25"/>
      <c r="O37" s="25"/>
      <c r="P37" s="25"/>
      <c r="Q37" s="25"/>
      <c r="R37" s="25"/>
      <c r="S37" s="25"/>
      <c r="T37" s="25"/>
      <c r="U37" s="25"/>
    </row>
    <row r="38" spans="1:21" ht="12.75" hidden="1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6"/>
      <c r="M38" s="25"/>
      <c r="N38" s="25"/>
      <c r="O38" s="25"/>
      <c r="P38" s="25"/>
      <c r="Q38" s="25"/>
      <c r="R38" s="25"/>
      <c r="S38" s="25"/>
      <c r="T38" s="25"/>
      <c r="U38" s="25"/>
    </row>
    <row r="39" spans="1:21" ht="12.75" hidden="1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28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9.5" hidden="1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749">
        <f ca="1">L44+L59+L72+L94+L125+L139+L157+L173+L186+L266+L282+L303+L320+L333+L356</f>
        <v>2186265</v>
      </c>
      <c r="M40" s="748">
        <f ca="1">M44+M59+M72+M94+M125+M139+M157+M173+M186+M266+M282+M303+M320+M333+M356</f>
        <v>2215856.84</v>
      </c>
      <c r="N40" s="748">
        <f ca="1">N44+N59+N72+N94+N125+N139+N157+N173+N186+N266+N282+N303+N320+N333+N356</f>
        <v>1756764.01</v>
      </c>
      <c r="O40" s="748">
        <f ca="1">IF(L40&gt;0,N40*100/L40,0)</f>
        <v>80.354577784486324</v>
      </c>
      <c r="P40" s="748">
        <f ca="1">IF(M40&gt;0,N40*100/M40,0)</f>
        <v>79.28147605420213</v>
      </c>
      <c r="Q40" s="73"/>
      <c r="R40" s="73"/>
      <c r="S40" s="73"/>
      <c r="T40" s="73"/>
      <c r="U40" s="73"/>
    </row>
    <row r="41" spans="1:21" ht="19.5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78"/>
      <c r="R41" s="78"/>
      <c r="S41" s="78"/>
      <c r="T41" s="78"/>
      <c r="U41" s="79"/>
    </row>
    <row r="42" spans="1:21" ht="19.5">
      <c r="A42" s="80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5"/>
      <c r="M42" s="84"/>
      <c r="N42" s="84"/>
      <c r="O42" s="84"/>
      <c r="P42" s="84"/>
      <c r="Q42" s="84"/>
      <c r="R42" s="84"/>
      <c r="S42" s="84"/>
      <c r="T42" s="84"/>
      <c r="U42" s="84"/>
    </row>
    <row r="43" spans="1:21" ht="12.75" hidden="1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6"/>
      <c r="M43" s="25"/>
      <c r="N43" s="25"/>
      <c r="O43" s="25"/>
      <c r="P43" s="25"/>
      <c r="Q43" s="25"/>
      <c r="R43" s="25"/>
      <c r="S43" s="25"/>
      <c r="T43" s="25"/>
      <c r="U43" s="25"/>
    </row>
    <row r="44" spans="1:21" ht="19.5">
      <c r="A44" s="86"/>
      <c r="B44" s="87"/>
      <c r="C44" s="88" t="s">
        <v>18</v>
      </c>
      <c r="D44" s="747" t="s">
        <v>19</v>
      </c>
      <c r="E44" s="87"/>
      <c r="F44" s="87"/>
      <c r="G44" s="90"/>
      <c r="H44" s="91" t="s">
        <v>14</v>
      </c>
      <c r="I44" s="92"/>
      <c r="J44" s="92"/>
      <c r="K44" s="93"/>
      <c r="L44" s="746">
        <f ca="1">L45+L46</f>
        <v>501570</v>
      </c>
      <c r="M44" s="745">
        <f ca="1">M45+M46</f>
        <v>514031.84</v>
      </c>
      <c r="N44" s="745">
        <f ca="1">N45+N46</f>
        <v>487886.05</v>
      </c>
      <c r="O44" s="745">
        <f ca="1">IF(L44&gt;0,N44*100/L44,0)</f>
        <v>97.271776621408776</v>
      </c>
      <c r="P44" s="745">
        <f ca="1">IF(M44&gt;0,N44*100/M44,0)</f>
        <v>94.913585508633076</v>
      </c>
      <c r="Q44" s="745">
        <f>Q45+Q46</f>
        <v>0</v>
      </c>
      <c r="R44" s="745">
        <f>R45+R46</f>
        <v>0</v>
      </c>
      <c r="S44" s="745">
        <f>S45+S46</f>
        <v>0</v>
      </c>
      <c r="T44" s="745">
        <f>IF(Q44&gt;0,S44*100/Q44,0)</f>
        <v>0</v>
      </c>
      <c r="U44" s="745">
        <f>IF(R44&gt;0,S44*100/R44,0)</f>
        <v>0</v>
      </c>
    </row>
    <row r="45" spans="1:21" ht="18.75" hidden="1">
      <c r="A45" s="86"/>
      <c r="B45" s="87"/>
      <c r="C45" s="87"/>
      <c r="D45" s="87"/>
      <c r="E45" s="744" t="s">
        <v>20</v>
      </c>
      <c r="F45" s="87"/>
      <c r="G45" s="90"/>
      <c r="H45" s="743" t="s">
        <v>14</v>
      </c>
      <c r="I45" s="92"/>
      <c r="J45" s="92"/>
      <c r="K45" s="93"/>
      <c r="L45" s="742">
        <f>L48+L51</f>
        <v>0</v>
      </c>
      <c r="M45" s="741">
        <f>M48+M51</f>
        <v>0</v>
      </c>
      <c r="N45" s="741">
        <f>N48+N51</f>
        <v>0</v>
      </c>
      <c r="O45" s="741">
        <f>IF(L45&gt;0,N45*100/L45,0)</f>
        <v>0</v>
      </c>
      <c r="P45" s="741">
        <f>IF(M45&gt;0,N45*100/M45,0)</f>
        <v>0</v>
      </c>
      <c r="Q45" s="741">
        <f>Q48+Q51</f>
        <v>0</v>
      </c>
      <c r="R45" s="741">
        <f>R48+R51</f>
        <v>0</v>
      </c>
      <c r="S45" s="741">
        <f>S48+S51</f>
        <v>0</v>
      </c>
      <c r="T45" s="741">
        <f>IF(Q45&gt;0,S45*100/Q45,0)</f>
        <v>0</v>
      </c>
      <c r="U45" s="741">
        <f>IF(R45&gt;0,S45*100/R45,0)</f>
        <v>0</v>
      </c>
    </row>
    <row r="46" spans="1:21" ht="18.75" hidden="1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740">
        <f ca="1">L49+L52</f>
        <v>501570</v>
      </c>
      <c r="M46" s="739">
        <f ca="1">M49+M52</f>
        <v>514031.84</v>
      </c>
      <c r="N46" s="739">
        <f ca="1">N49+N52</f>
        <v>487886.05</v>
      </c>
      <c r="O46" s="739">
        <f ca="1">IF(L46&gt;0,N46*100/L46,0)</f>
        <v>97.271776621408776</v>
      </c>
      <c r="P46" s="739">
        <f ca="1">IF(M46&gt;0,N46*100/M46,0)</f>
        <v>94.913585508633076</v>
      </c>
      <c r="Q46" s="739">
        <f>Q49+Q52</f>
        <v>0</v>
      </c>
      <c r="R46" s="739">
        <f>R49+R52</f>
        <v>0</v>
      </c>
      <c r="S46" s="739">
        <f>S49+S52</f>
        <v>0</v>
      </c>
      <c r="T46" s="739">
        <f>IF(Q46&gt;0,S46*100/Q46,0)</f>
        <v>0</v>
      </c>
      <c r="U46" s="739">
        <f>IF(R46&gt;0,S46*100/R46,0)</f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256">
        <f ca="1">L48+L49</f>
        <v>501570</v>
      </c>
      <c r="M47" s="255">
        <f ca="1">M48+M49</f>
        <v>514031.84</v>
      </c>
      <c r="N47" s="255">
        <f ca="1">N48+N49</f>
        <v>487886.05</v>
      </c>
      <c r="O47" s="255">
        <f ca="1">IF(L47&gt;0,N47*100/L47,0)</f>
        <v>97.271776621408776</v>
      </c>
      <c r="P47" s="255">
        <f ca="1">IF(M47&gt;0,N47*100/M47,0)</f>
        <v>94.913585508633076</v>
      </c>
      <c r="Q47" s="255">
        <f>Q48+Q49</f>
        <v>0</v>
      </c>
      <c r="R47" s="255">
        <f>R48+R49</f>
        <v>0</v>
      </c>
      <c r="S47" s="255">
        <f>S48+S49</f>
        <v>0</v>
      </c>
      <c r="T47" s="255">
        <f>IF(Q47&gt;0,S47*100/Q47,0)</f>
        <v>0</v>
      </c>
      <c r="U47" s="255">
        <f>IF(R47&gt;0,S47*100/R47,0)</f>
        <v>0</v>
      </c>
    </row>
    <row r="48" spans="1:21" ht="18.75" hidden="1">
      <c r="A48" s="49"/>
      <c r="B48" s="50"/>
      <c r="C48" s="50"/>
      <c r="D48" s="50"/>
      <c r="E48" s="186" t="s">
        <v>20</v>
      </c>
      <c r="F48" s="50"/>
      <c r="G48" s="52"/>
      <c r="H48" s="729" t="s">
        <v>14</v>
      </c>
      <c r="I48" s="54"/>
      <c r="J48" s="54"/>
      <c r="K48" s="55"/>
      <c r="L48" s="103">
        <v>0</v>
      </c>
      <c r="M48" s="102">
        <v>0</v>
      </c>
      <c r="N48" s="102">
        <v>0</v>
      </c>
      <c r="O48" s="102">
        <f>IF(L48&gt;0,N48*100/L48,0)</f>
        <v>0</v>
      </c>
      <c r="P48" s="102">
        <f>IF(M48&gt;0,N48*100/M48,0)</f>
        <v>0</v>
      </c>
      <c r="Q48" s="102">
        <v>0</v>
      </c>
      <c r="R48" s="102">
        <v>0</v>
      </c>
      <c r="S48" s="102">
        <v>0</v>
      </c>
      <c r="T48" s="102">
        <f>IF(Q48&gt;0,S48*100/Q48,0)</f>
        <v>0</v>
      </c>
      <c r="U48" s="102">
        <f>IF(R48&gt;0,S48*100/R48,0)</f>
        <v>0</v>
      </c>
    </row>
    <row r="49" spans="1:21" ht="18.75" hidden="1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256">
        <f ca="1">IFERROR(__xludf.DUMMYFUNCTION("IMPORTRANGE(""https://docs.google.com/spreadsheets/d/1-uDff_7J0KD5mKrp0Vvzr7lt3OU09vwQwhkpOPPYv2Y/edit?usp=sharing"",""งบพรบ!P32"")"),501570)</f>
        <v>501570</v>
      </c>
      <c r="M49" s="255">
        <f ca="1">IFERROR(__xludf.DUMMYFUNCTION("IMPORTRANGE(""https://docs.google.com/spreadsheets/d/1-uDff_7J0KD5mKrp0Vvzr7lt3OU09vwQwhkpOPPYv2Y/edit?usp=sharing"",""งบพรบ!V32"")"),514031.84)</f>
        <v>514031.84</v>
      </c>
      <c r="N49" s="255">
        <f ca="1">IFERROR(__xludf.DUMMYFUNCTION("IMPORTRANGE(""https://docs.google.com/spreadsheets/d/1-uDff_7J0KD5mKrp0Vvzr7lt3OU09vwQwhkpOPPYv2Y/edit?usp=sharing"",""งบพรบ!Y32"")"),487886.05)</f>
        <v>487886.05</v>
      </c>
      <c r="O49" s="255">
        <f ca="1">IF(L49&gt;0,N49*100/L49,0)</f>
        <v>97.271776621408776</v>
      </c>
      <c r="P49" s="255">
        <f ca="1">IF(M49&gt;0,N49*100/M49,0)</f>
        <v>94.913585508633076</v>
      </c>
      <c r="Q49" s="255">
        <v>0</v>
      </c>
      <c r="R49" s="255">
        <v>0</v>
      </c>
      <c r="S49" s="255">
        <v>0</v>
      </c>
      <c r="T49" s="255">
        <f>IF(Q49&gt;0,S49*100/Q49,0)</f>
        <v>0</v>
      </c>
      <c r="U49" s="255">
        <f>IF(R49&gt;0,S49*100/R49,0)</f>
        <v>0</v>
      </c>
    </row>
    <row r="50" spans="1:21" ht="18.75">
      <c r="A50" s="49"/>
      <c r="B50" s="50"/>
      <c r="C50" s="50"/>
      <c r="D50" s="51" t="s">
        <v>23</v>
      </c>
      <c r="E50" s="50"/>
      <c r="F50" s="50"/>
      <c r="G50" s="52"/>
      <c r="H50" s="53" t="s">
        <v>14</v>
      </c>
      <c r="I50" s="54"/>
      <c r="J50" s="54"/>
      <c r="K50" s="55"/>
      <c r="L50" s="256">
        <f ca="1">L51+L52</f>
        <v>0</v>
      </c>
      <c r="M50" s="255">
        <f ca="1">M51+M52</f>
        <v>0</v>
      </c>
      <c r="N50" s="255">
        <f ca="1">N51+N52</f>
        <v>0</v>
      </c>
      <c r="O50" s="255">
        <f ca="1">IF(L50&gt;0,N50*100/L50,0)</f>
        <v>0</v>
      </c>
      <c r="P50" s="255">
        <f ca="1">IF(M50&gt;0,N50*100/M50,0)</f>
        <v>0</v>
      </c>
      <c r="Q50" s="255">
        <f>Q51+Q52</f>
        <v>0</v>
      </c>
      <c r="R50" s="255">
        <f>R51+R52</f>
        <v>0</v>
      </c>
      <c r="S50" s="255">
        <f>S51+S52</f>
        <v>0</v>
      </c>
      <c r="T50" s="255">
        <f>IF(Q50&gt;0,S50*100/Q50,0)</f>
        <v>0</v>
      </c>
      <c r="U50" s="255">
        <f>IF(R50&gt;0,S50*100/R50,0)</f>
        <v>0</v>
      </c>
    </row>
    <row r="51" spans="1:21" ht="18.75" hidden="1">
      <c r="A51" s="49"/>
      <c r="B51" s="50"/>
      <c r="C51" s="50"/>
      <c r="D51" s="50"/>
      <c r="E51" s="186" t="s">
        <v>20</v>
      </c>
      <c r="F51" s="50"/>
      <c r="G51" s="52"/>
      <c r="H51" s="729" t="s">
        <v>14</v>
      </c>
      <c r="I51" s="54"/>
      <c r="J51" s="54"/>
      <c r="K51" s="55"/>
      <c r="L51" s="103">
        <v>0</v>
      </c>
      <c r="M51" s="102">
        <v>0</v>
      </c>
      <c r="N51" s="102">
        <v>0</v>
      </c>
      <c r="O51" s="102">
        <f>IF(L51&gt;0,N51*100/L51,0)</f>
        <v>0</v>
      </c>
      <c r="P51" s="102">
        <f>IF(M51&gt;0,N51*100/M51,0)</f>
        <v>0</v>
      </c>
      <c r="Q51" s="102">
        <v>0</v>
      </c>
      <c r="R51" s="102">
        <v>0</v>
      </c>
      <c r="S51" s="102">
        <v>0</v>
      </c>
      <c r="T51" s="102">
        <f>IF(Q51&gt;0,S51*100/Q51,0)</f>
        <v>0</v>
      </c>
      <c r="U51" s="102">
        <f>IF(R51&gt;0,S51*100/R51,0)</f>
        <v>0</v>
      </c>
    </row>
    <row r="52" spans="1:21" ht="18.75" hidden="1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256">
        <f ca="1">IFERROR(__xludf.DUMMYFUNCTION("IMPORTRANGE(""https://docs.google.com/spreadsheets/d/1-uDff_7J0KD5mKrp0Vvzr7lt3OU09vwQwhkpOPPYv2Y/edit?usp=sharing"",""งบพรบ!S32"")"),0)</f>
        <v>0</v>
      </c>
      <c r="M52" s="255">
        <f ca="1">IFERROR(__xludf.DUMMYFUNCTION("IMPORTRANGE(""https://docs.google.com/spreadsheets/d/1-uDff_7J0KD5mKrp0Vvzr7lt3OU09vwQwhkpOPPYv2Y/edit?usp=sharing"",""งบพรบ!W32"")"),0)</f>
        <v>0</v>
      </c>
      <c r="N52" s="255">
        <f ca="1">IFERROR(__xludf.DUMMYFUNCTION("IMPORTRANGE(""https://docs.google.com/spreadsheets/d/1-uDff_7J0KD5mKrp0Vvzr7lt3OU09vwQwhkpOPPYv2Y/edit?usp=sharing"",""งบพรบ!Z32"")"),0)</f>
        <v>0</v>
      </c>
      <c r="O52" s="255">
        <f ca="1">IF(L52&gt;0,N52*100/L52,0)</f>
        <v>0</v>
      </c>
      <c r="P52" s="255">
        <f ca="1">IF(M52&gt;0,N52*100/M52,0)</f>
        <v>0</v>
      </c>
      <c r="Q52" s="255">
        <v>0</v>
      </c>
      <c r="R52" s="255">
        <v>0</v>
      </c>
      <c r="S52" s="255">
        <v>0</v>
      </c>
      <c r="T52" s="255">
        <f>IF(Q52&gt;0,S52*100/Q52,0)</f>
        <v>0</v>
      </c>
      <c r="U52" s="255">
        <f>IF(R52&gt;0,S52*100/R52,0)</f>
        <v>0</v>
      </c>
    </row>
    <row r="53" spans="1:21" ht="18.75">
      <c r="A53" s="49"/>
      <c r="B53" s="50"/>
      <c r="C53" s="50"/>
      <c r="D53" s="51" t="s">
        <v>24</v>
      </c>
      <c r="E53" s="50"/>
      <c r="F53" s="50"/>
      <c r="G53" s="52"/>
      <c r="H53" s="53" t="s">
        <v>14</v>
      </c>
      <c r="I53" s="54"/>
      <c r="J53" s="54"/>
      <c r="K53" s="55"/>
      <c r="L53" s="62"/>
      <c r="M53" s="55"/>
      <c r="N53" s="55"/>
      <c r="O53" s="55"/>
      <c r="P53" s="55"/>
      <c r="Q53" s="55"/>
      <c r="R53" s="55"/>
      <c r="S53" s="55"/>
      <c r="T53" s="55"/>
      <c r="U53" s="55"/>
    </row>
    <row r="54" spans="1:21" ht="18.75" hidden="1">
      <c r="A54" s="49"/>
      <c r="B54" s="50"/>
      <c r="C54" s="50"/>
      <c r="D54" s="50"/>
      <c r="E54" s="186" t="s">
        <v>20</v>
      </c>
      <c r="F54" s="50"/>
      <c r="G54" s="52"/>
      <c r="H54" s="729" t="s">
        <v>14</v>
      </c>
      <c r="I54" s="54"/>
      <c r="J54" s="54"/>
      <c r="K54" s="55"/>
      <c r="L54" s="62"/>
      <c r="M54" s="55"/>
      <c r="N54" s="55"/>
      <c r="O54" s="55"/>
      <c r="P54" s="55"/>
      <c r="Q54" s="55"/>
      <c r="R54" s="55"/>
      <c r="S54" s="55"/>
      <c r="T54" s="55"/>
      <c r="U54" s="55"/>
    </row>
    <row r="55" spans="1:21" ht="18.75" hidden="1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8"/>
      <c r="M55" s="6"/>
      <c r="N55" s="6"/>
      <c r="O55" s="6"/>
      <c r="P55" s="6"/>
      <c r="Q55" s="6"/>
      <c r="R55" s="6"/>
      <c r="S55" s="6"/>
      <c r="T55" s="6"/>
      <c r="U55" s="6"/>
    </row>
    <row r="56" spans="1:21" ht="19.5">
      <c r="A56" s="533" t="s">
        <v>28</v>
      </c>
      <c r="B56" s="514"/>
      <c r="C56" s="514"/>
      <c r="D56" s="514"/>
      <c r="E56" s="514"/>
      <c r="F56" s="514"/>
      <c r="G56" s="512"/>
      <c r="H56" s="104"/>
      <c r="I56" s="105"/>
      <c r="J56" s="105"/>
      <c r="K56" s="106"/>
      <c r="L56" s="106"/>
      <c r="M56" s="106"/>
      <c r="N56" s="106"/>
      <c r="O56" s="106"/>
      <c r="P56" s="107"/>
      <c r="Q56" s="106"/>
      <c r="R56" s="106"/>
      <c r="S56" s="106"/>
      <c r="T56" s="106"/>
      <c r="U56" s="107"/>
    </row>
    <row r="57" spans="1:21" ht="19.5">
      <c r="A57" s="108"/>
      <c r="B57" s="534" t="s">
        <v>29</v>
      </c>
      <c r="C57" s="529"/>
      <c r="D57" s="529"/>
      <c r="E57" s="529"/>
      <c r="F57" s="529"/>
      <c r="G57" s="530"/>
      <c r="H57" s="109"/>
      <c r="I57" s="110"/>
      <c r="J57" s="110"/>
      <c r="K57" s="111"/>
      <c r="L57" s="112"/>
      <c r="M57" s="111"/>
      <c r="N57" s="111"/>
      <c r="O57" s="111"/>
      <c r="P57" s="111"/>
      <c r="Q57" s="111"/>
      <c r="R57" s="111"/>
      <c r="S57" s="111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9"/>
      <c r="M58" s="118"/>
      <c r="N58" s="118"/>
      <c r="O58" s="118"/>
      <c r="P58" s="118"/>
      <c r="Q58" s="118"/>
      <c r="R58" s="118"/>
      <c r="S58" s="118"/>
      <c r="T58" s="118"/>
      <c r="U58" s="118"/>
    </row>
    <row r="59" spans="1:21" ht="19.5">
      <c r="A59" s="120"/>
      <c r="B59" s="121"/>
      <c r="C59" s="122" t="s">
        <v>18</v>
      </c>
      <c r="D59" s="738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737">
        <f ca="1">L60+L61</f>
        <v>515000</v>
      </c>
      <c r="M59" s="736">
        <f ca="1">M60+M61</f>
        <v>515000</v>
      </c>
      <c r="N59" s="736">
        <f ca="1">N60+N61</f>
        <v>463580.46</v>
      </c>
      <c r="O59" s="736">
        <f ca="1">IF(L59&gt;0,N59*100/L59,0)</f>
        <v>90.015623300970873</v>
      </c>
      <c r="P59" s="736">
        <f ca="1">IF(M59&gt;0,N59*100/M59,0)</f>
        <v>90.015623300970873</v>
      </c>
      <c r="Q59" s="736">
        <f>Q60+Q61</f>
        <v>0</v>
      </c>
      <c r="R59" s="736">
        <f>R60+R61</f>
        <v>0</v>
      </c>
      <c r="S59" s="736">
        <f>S60+S61</f>
        <v>0</v>
      </c>
      <c r="T59" s="736">
        <f>IF(Q59&gt;0,S59*100/Q59,0)</f>
        <v>0</v>
      </c>
      <c r="U59" s="736">
        <f>IF(R59&gt;0,S59*100/R59,0)</f>
        <v>0</v>
      </c>
    </row>
    <row r="60" spans="1:21" ht="18.75" hidden="1">
      <c r="A60" s="120"/>
      <c r="B60" s="121"/>
      <c r="C60" s="121"/>
      <c r="D60" s="121"/>
      <c r="E60" s="735" t="s">
        <v>20</v>
      </c>
      <c r="F60" s="121"/>
      <c r="G60" s="124"/>
      <c r="H60" s="734" t="s">
        <v>14</v>
      </c>
      <c r="I60" s="126"/>
      <c r="J60" s="126"/>
      <c r="K60" s="127"/>
      <c r="L60" s="733">
        <f>L63+L66</f>
        <v>0</v>
      </c>
      <c r="M60" s="732">
        <f>M63+M66</f>
        <v>0</v>
      </c>
      <c r="N60" s="732">
        <f>N63+N66</f>
        <v>0</v>
      </c>
      <c r="O60" s="732">
        <f>IF(L60&gt;0,N60*100/L60,0)</f>
        <v>0</v>
      </c>
      <c r="P60" s="732">
        <f>IF(M60&gt;0,N60*100/M60,0)</f>
        <v>0</v>
      </c>
      <c r="Q60" s="732">
        <f>Q63+Q66</f>
        <v>0</v>
      </c>
      <c r="R60" s="732">
        <f>R63+R66</f>
        <v>0</v>
      </c>
      <c r="S60" s="732">
        <f>S63+S66</f>
        <v>0</v>
      </c>
      <c r="T60" s="732">
        <f>IF(Q60&gt;0,S60*100/Q60,0)</f>
        <v>0</v>
      </c>
      <c r="U60" s="732">
        <f>IF(R60&gt;0,S60*100/R60,0)</f>
        <v>0</v>
      </c>
    </row>
    <row r="61" spans="1:21" ht="18.75" hidden="1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731">
        <f ca="1">L64+L67</f>
        <v>515000</v>
      </c>
      <c r="M61" s="730">
        <f ca="1">M64+M67</f>
        <v>515000</v>
      </c>
      <c r="N61" s="730">
        <f ca="1">N64+N67</f>
        <v>463580.46</v>
      </c>
      <c r="O61" s="730">
        <f ca="1">IF(L61&gt;0,N61*100/L61,0)</f>
        <v>90.015623300970873</v>
      </c>
      <c r="P61" s="730">
        <f ca="1">IF(M61&gt;0,N61*100/M61,0)</f>
        <v>90.015623300970873</v>
      </c>
      <c r="Q61" s="730">
        <f>Q64+Q67</f>
        <v>0</v>
      </c>
      <c r="R61" s="730">
        <f>R64+R67</f>
        <v>0</v>
      </c>
      <c r="S61" s="730">
        <f>S64+S67</f>
        <v>0</v>
      </c>
      <c r="T61" s="730">
        <f>IF(Q61&gt;0,S61*100/Q61,0)</f>
        <v>0</v>
      </c>
      <c r="U61" s="730">
        <f>IF(R61&gt;0,S61*100/R61,0)</f>
        <v>0</v>
      </c>
    </row>
    <row r="62" spans="1:21" ht="18.75">
      <c r="A62" s="49"/>
      <c r="B62" s="50"/>
      <c r="C62" s="50"/>
      <c r="D62" s="51" t="s">
        <v>22</v>
      </c>
      <c r="E62" s="50"/>
      <c r="F62" s="50"/>
      <c r="G62" s="52"/>
      <c r="H62" s="53" t="s">
        <v>14</v>
      </c>
      <c r="I62" s="54"/>
      <c r="J62" s="54"/>
      <c r="K62" s="55"/>
      <c r="L62" s="256">
        <f ca="1">L63+L64</f>
        <v>515000</v>
      </c>
      <c r="M62" s="255">
        <f ca="1">M63+M64</f>
        <v>515000</v>
      </c>
      <c r="N62" s="255">
        <f ca="1">N63+N64</f>
        <v>463580.46</v>
      </c>
      <c r="O62" s="255">
        <f ca="1">IF(L62&gt;0,N62*100/L62,0)</f>
        <v>90.015623300970873</v>
      </c>
      <c r="P62" s="255">
        <f ca="1">IF(M62&gt;0,N62*100/M62,0)</f>
        <v>90.015623300970873</v>
      </c>
      <c r="Q62" s="255">
        <f>Q63+Q64</f>
        <v>0</v>
      </c>
      <c r="R62" s="255">
        <f>R63+R64</f>
        <v>0</v>
      </c>
      <c r="S62" s="255">
        <f>S63+S64</f>
        <v>0</v>
      </c>
      <c r="T62" s="255">
        <f>IF(Q62&gt;0,S62*100/Q62,0)</f>
        <v>0</v>
      </c>
      <c r="U62" s="255">
        <f>IF(R62&gt;0,S62*100/R62,0)</f>
        <v>0</v>
      </c>
    </row>
    <row r="63" spans="1:21" ht="18.75" hidden="1">
      <c r="A63" s="49"/>
      <c r="B63" s="50"/>
      <c r="C63" s="50"/>
      <c r="D63" s="50"/>
      <c r="E63" s="186" t="s">
        <v>20</v>
      </c>
      <c r="F63" s="50"/>
      <c r="G63" s="52"/>
      <c r="H63" s="729" t="s">
        <v>14</v>
      </c>
      <c r="I63" s="54"/>
      <c r="J63" s="54"/>
      <c r="K63" s="55"/>
      <c r="L63" s="103">
        <v>0</v>
      </c>
      <c r="M63" s="102">
        <v>0</v>
      </c>
      <c r="N63" s="102">
        <v>0</v>
      </c>
      <c r="O63" s="102">
        <f>IF(L63&gt;0,N63*100/L63,0)</f>
        <v>0</v>
      </c>
      <c r="P63" s="102">
        <f>IF(M63&gt;0,N63*100/M63,0)</f>
        <v>0</v>
      </c>
      <c r="Q63" s="102">
        <v>0</v>
      </c>
      <c r="R63" s="102">
        <v>0</v>
      </c>
      <c r="S63" s="102">
        <v>0</v>
      </c>
      <c r="T63" s="102">
        <f>IF(Q63&gt;0,S63*100/Q63,0)</f>
        <v>0</v>
      </c>
      <c r="U63" s="102">
        <f>IF(R63&gt;0,S63*100/R63,0)</f>
        <v>0</v>
      </c>
    </row>
    <row r="64" spans="1:21" ht="18.75" hidden="1">
      <c r="A64" s="49"/>
      <c r="B64" s="50"/>
      <c r="C64" s="50"/>
      <c r="D64" s="50"/>
      <c r="E64" s="58" t="s">
        <v>21</v>
      </c>
      <c r="F64" s="50"/>
      <c r="G64" s="52"/>
      <c r="H64" s="53" t="s">
        <v>14</v>
      </c>
      <c r="I64" s="54"/>
      <c r="J64" s="54"/>
      <c r="K64" s="55"/>
      <c r="L64" s="256">
        <f ca="1">IFERROR(__xludf.DUMMYFUNCTION("IMPORTRANGE(""https://docs.google.com/spreadsheets/d/1-uDff_7J0KD5mKrp0Vvzr7lt3OU09vwQwhkpOPPYv2Y/edit?usp=sharing"",""งบพรบ!AC32"")"),515000)</f>
        <v>515000</v>
      </c>
      <c r="M64" s="255">
        <f ca="1">IFERROR(__xludf.DUMMYFUNCTION("IMPORTRANGE(""https://docs.google.com/spreadsheets/d/1-uDff_7J0KD5mKrp0Vvzr7lt3OU09vwQwhkpOPPYv2Y/edit?usp=sharing"",""งบพรบ!AH32"")"),515000)</f>
        <v>515000</v>
      </c>
      <c r="N64" s="255">
        <f ca="1">IFERROR(__xludf.DUMMYFUNCTION("IMPORTRANGE(""https://docs.google.com/spreadsheets/d/1-uDff_7J0KD5mKrp0Vvzr7lt3OU09vwQwhkpOPPYv2Y/edit?usp=sharing"",""งบพรบ!AJ32"")"),463580.46)</f>
        <v>463580.46</v>
      </c>
      <c r="O64" s="255">
        <f ca="1">IF(L64&gt;0,N64*100/L64,0)</f>
        <v>90.015623300970873</v>
      </c>
      <c r="P64" s="255">
        <f ca="1">IF(M64&gt;0,N64*100/M64,0)</f>
        <v>90.015623300970873</v>
      </c>
      <c r="Q64" s="255">
        <v>0</v>
      </c>
      <c r="R64" s="255">
        <v>0</v>
      </c>
      <c r="S64" s="255">
        <v>0</v>
      </c>
      <c r="T64" s="255">
        <f>IF(Q64&gt;0,S64*100/Q64,0)</f>
        <v>0</v>
      </c>
      <c r="U64" s="255">
        <f>IF(R64&gt;0,S64*100/R64,0)</f>
        <v>0</v>
      </c>
    </row>
    <row r="65" spans="1:21" ht="18.75">
      <c r="A65" s="49"/>
      <c r="B65" s="50"/>
      <c r="C65" s="50"/>
      <c r="D65" s="51" t="s">
        <v>23</v>
      </c>
      <c r="E65" s="50"/>
      <c r="F65" s="50"/>
      <c r="G65" s="52"/>
      <c r="H65" s="53" t="s">
        <v>14</v>
      </c>
      <c r="I65" s="54"/>
      <c r="J65" s="54"/>
      <c r="K65" s="55"/>
      <c r="L65" s="256">
        <f ca="1">L66+L67</f>
        <v>0</v>
      </c>
      <c r="M65" s="255">
        <f ca="1">M66+M67</f>
        <v>0</v>
      </c>
      <c r="N65" s="255">
        <f ca="1">N66+N67</f>
        <v>0</v>
      </c>
      <c r="O65" s="255">
        <f ca="1">IF(L65&gt;0,N65*100/L65,0)</f>
        <v>0</v>
      </c>
      <c r="P65" s="255">
        <f ca="1">IF(M65&gt;0,N65*100/M65,0)</f>
        <v>0</v>
      </c>
      <c r="Q65" s="255">
        <f>Q66+Q67</f>
        <v>0</v>
      </c>
      <c r="R65" s="255">
        <f>R66+R67</f>
        <v>0</v>
      </c>
      <c r="S65" s="255">
        <f>S66+S67</f>
        <v>0</v>
      </c>
      <c r="T65" s="255">
        <f>IF(Q65&gt;0,S65*100/Q65,0)</f>
        <v>0</v>
      </c>
      <c r="U65" s="255">
        <f>IF(R65&gt;0,S65*100/R65,0)</f>
        <v>0</v>
      </c>
    </row>
    <row r="66" spans="1:21" ht="18.75" hidden="1">
      <c r="A66" s="49"/>
      <c r="B66" s="50"/>
      <c r="C66" s="50"/>
      <c r="D66" s="50"/>
      <c r="E66" s="186" t="s">
        <v>20</v>
      </c>
      <c r="F66" s="50"/>
      <c r="G66" s="52"/>
      <c r="H66" s="729" t="s">
        <v>14</v>
      </c>
      <c r="I66" s="54"/>
      <c r="J66" s="54"/>
      <c r="K66" s="55"/>
      <c r="L66" s="103">
        <v>0</v>
      </c>
      <c r="M66" s="102">
        <v>0</v>
      </c>
      <c r="N66" s="102">
        <v>0</v>
      </c>
      <c r="O66" s="102">
        <f>IF(L66&gt;0,N66*100/L66,0)</f>
        <v>0</v>
      </c>
      <c r="P66" s="102">
        <f>IF(M66&gt;0,N66*100/M66,0)</f>
        <v>0</v>
      </c>
      <c r="Q66" s="102">
        <v>0</v>
      </c>
      <c r="R66" s="102">
        <v>0</v>
      </c>
      <c r="S66" s="102">
        <v>0</v>
      </c>
      <c r="T66" s="102">
        <f>IF(Q66&gt;0,S66*100/Q66,0)</f>
        <v>0</v>
      </c>
      <c r="U66" s="102">
        <f>IF(R66&gt;0,S66*100/R66,0)</f>
        <v>0</v>
      </c>
    </row>
    <row r="67" spans="1:21" ht="18.75" hidden="1">
      <c r="A67" s="63"/>
      <c r="B67" s="4"/>
      <c r="C67" s="4"/>
      <c r="D67" s="4"/>
      <c r="E67" s="64" t="s">
        <v>21</v>
      </c>
      <c r="F67" s="4"/>
      <c r="G67" s="65"/>
      <c r="H67" s="66" t="s">
        <v>14</v>
      </c>
      <c r="I67" s="67"/>
      <c r="J67" s="67"/>
      <c r="K67" s="6"/>
      <c r="L67" s="728">
        <f ca="1">IFERROR(__xludf.DUMMYFUNCTION("IMPORTRANGE(""https://docs.google.com/spreadsheets/d/1-uDff_7J0KD5mKrp0Vvzr7lt3OU09vwQwhkpOPPYv2Y/edit?usp=sharing"",""งบพรบ!AF32"")"),0)</f>
        <v>0</v>
      </c>
      <c r="M67" s="506">
        <f ca="1">IFERROR(__xludf.DUMMYFUNCTION("IMPORTRANGE(""https://docs.google.com/spreadsheets/d/1-uDff_7J0KD5mKrp0Vvzr7lt3OU09vwQwhkpOPPYv2Y/edit?usp=sharing"",""งบพรบ!AI32"")"),0)</f>
        <v>0</v>
      </c>
      <c r="N67" s="506">
        <f ca="1">IFERROR(__xludf.DUMMYFUNCTION("IMPORTRANGE(""https://docs.google.com/spreadsheets/d/1-uDff_7J0KD5mKrp0Vvzr7lt3OU09vwQwhkpOPPYv2Y/edit?usp=sharing"",""งบพรบ!AK32"")"),0)</f>
        <v>0</v>
      </c>
      <c r="O67" s="506">
        <f ca="1">IF(L67&gt;0,N67*100/L67,0)</f>
        <v>0</v>
      </c>
      <c r="P67" s="506">
        <f ca="1">IF(M67&gt;0,N67*100/M67,0)</f>
        <v>0</v>
      </c>
      <c r="Q67" s="506">
        <v>0</v>
      </c>
      <c r="R67" s="506">
        <v>0</v>
      </c>
      <c r="S67" s="506">
        <v>0</v>
      </c>
      <c r="T67" s="506">
        <f>IF(Q67&gt;0,S67*100/Q67,0)</f>
        <v>0</v>
      </c>
      <c r="U67" s="506">
        <f>IF(R67&gt;0,S67*100/R67,0)</f>
        <v>0</v>
      </c>
    </row>
    <row r="68" spans="1:21" ht="19.5">
      <c r="A68" s="137" t="s">
        <v>31</v>
      </c>
      <c r="B68" s="138"/>
      <c r="C68" s="138"/>
      <c r="D68" s="138"/>
      <c r="E68" s="139"/>
      <c r="F68" s="139"/>
      <c r="G68" s="139"/>
      <c r="H68" s="139"/>
      <c r="I68" s="140"/>
      <c r="J68" s="140"/>
      <c r="K68" s="141"/>
      <c r="L68" s="141"/>
      <c r="M68" s="141"/>
      <c r="N68" s="141"/>
      <c r="O68" s="141"/>
      <c r="P68" s="142"/>
      <c r="Q68" s="141"/>
      <c r="R68" s="141"/>
      <c r="S68" s="141"/>
      <c r="T68" s="141"/>
      <c r="U68" s="142"/>
    </row>
    <row r="69" spans="1:21" ht="19.5" hidden="1">
      <c r="A69" s="143" t="s">
        <v>32</v>
      </c>
      <c r="B69" s="144"/>
      <c r="C69" s="145"/>
      <c r="D69" s="144"/>
      <c r="E69" s="144"/>
      <c r="F69" s="144"/>
      <c r="G69" s="146"/>
      <c r="H69" s="146"/>
      <c r="I69" s="147"/>
      <c r="J69" s="147"/>
      <c r="K69" s="148"/>
      <c r="L69" s="149"/>
      <c r="M69" s="148"/>
      <c r="N69" s="148"/>
      <c r="O69" s="148"/>
      <c r="P69" s="148"/>
      <c r="Q69" s="148"/>
      <c r="R69" s="148"/>
      <c r="S69" s="148"/>
      <c r="T69" s="148"/>
      <c r="U69" s="148"/>
    </row>
    <row r="70" spans="1:21" ht="19.5" hidden="1">
      <c r="A70" s="150"/>
      <c r="B70" s="35" t="s">
        <v>33</v>
      </c>
      <c r="C70" s="34"/>
      <c r="D70" s="151"/>
      <c r="E70" s="34"/>
      <c r="F70" s="34"/>
      <c r="G70" s="37"/>
      <c r="H70" s="152" t="s">
        <v>34</v>
      </c>
      <c r="I70" s="721">
        <f ca="1">I82</f>
        <v>0</v>
      </c>
      <c r="J70" s="721">
        <f>J82</f>
        <v>0</v>
      </c>
      <c r="K70" s="720">
        <f ca="1">IF(I70&gt;0,J70*100/I70,0)</f>
        <v>0</v>
      </c>
      <c r="L70" s="154"/>
      <c r="M70" s="40"/>
      <c r="N70" s="40"/>
      <c r="O70" s="40"/>
      <c r="P70" s="40"/>
      <c r="Q70" s="40"/>
      <c r="R70" s="40"/>
      <c r="S70" s="40"/>
      <c r="T70" s="40"/>
      <c r="U70" s="40"/>
    </row>
    <row r="71" spans="1:21" ht="19.5" hidden="1">
      <c r="A71" s="150"/>
      <c r="B71" s="34"/>
      <c r="C71" s="34"/>
      <c r="D71" s="151"/>
      <c r="E71" s="34"/>
      <c r="F71" s="34"/>
      <c r="G71" s="37"/>
      <c r="H71" s="152" t="s">
        <v>35</v>
      </c>
      <c r="I71" s="721">
        <f ca="1">I83</f>
        <v>0</v>
      </c>
      <c r="J71" s="721">
        <f>J83</f>
        <v>0</v>
      </c>
      <c r="K71" s="720">
        <f ca="1">IF(I71&gt;0,J71*100/I71,0)</f>
        <v>0</v>
      </c>
      <c r="L71" s="154"/>
      <c r="M71" s="40"/>
      <c r="N71" s="40"/>
      <c r="O71" s="40"/>
      <c r="P71" s="40"/>
      <c r="Q71" s="40"/>
      <c r="R71" s="40"/>
      <c r="S71" s="40"/>
      <c r="T71" s="40"/>
      <c r="U71" s="40"/>
    </row>
    <row r="72" spans="1:21" ht="19.5" hidden="1">
      <c r="A72" s="155"/>
      <c r="B72" s="50"/>
      <c r="C72" s="156" t="s">
        <v>18</v>
      </c>
      <c r="D72" s="575" t="s">
        <v>19</v>
      </c>
      <c r="E72" s="50"/>
      <c r="F72" s="50"/>
      <c r="G72" s="52"/>
      <c r="H72" s="158" t="s">
        <v>14</v>
      </c>
      <c r="I72" s="54"/>
      <c r="J72" s="54"/>
      <c r="K72" s="55"/>
      <c r="L72" s="541">
        <f ca="1">L73+L74</f>
        <v>0</v>
      </c>
      <c r="M72" s="540">
        <f ca="1">M73+M74</f>
        <v>0</v>
      </c>
      <c r="N72" s="540">
        <f ca="1">N73+N74</f>
        <v>0</v>
      </c>
      <c r="O72" s="540">
        <f ca="1">IF(L72&gt;0,N72*100/L72,0)</f>
        <v>0</v>
      </c>
      <c r="P72" s="540">
        <f ca="1">IF(M72&gt;0,N72*100/M72,0)</f>
        <v>0</v>
      </c>
      <c r="Q72" s="540">
        <f ca="1">Q73+Q74</f>
        <v>0</v>
      </c>
      <c r="R72" s="540">
        <f ca="1">R73+R74</f>
        <v>0</v>
      </c>
      <c r="S72" s="540">
        <f ca="1">S73+S74</f>
        <v>0</v>
      </c>
      <c r="T72" s="540">
        <f ca="1">IF(Q72&gt;0,S72*100/Q72,0)</f>
        <v>0</v>
      </c>
      <c r="U72" s="540">
        <f ca="1">IF(R72&gt;0,S72*100/R72,0)</f>
        <v>0</v>
      </c>
    </row>
    <row r="73" spans="1:21" ht="18.75" hidden="1">
      <c r="A73" s="155"/>
      <c r="B73" s="50"/>
      <c r="C73" s="50"/>
      <c r="D73" s="50"/>
      <c r="E73" s="186" t="s">
        <v>20</v>
      </c>
      <c r="F73" s="50"/>
      <c r="G73" s="52"/>
      <c r="H73" s="187" t="s">
        <v>14</v>
      </c>
      <c r="I73" s="54"/>
      <c r="J73" s="54"/>
      <c r="K73" s="55"/>
      <c r="L73" s="103">
        <f>L76+L79</f>
        <v>0</v>
      </c>
      <c r="M73" s="102">
        <f>M76+M79</f>
        <v>0</v>
      </c>
      <c r="N73" s="102">
        <f>N76+N79</f>
        <v>0</v>
      </c>
      <c r="O73" s="102">
        <f>IF(L73&gt;0,N73*100/L73,0)</f>
        <v>0</v>
      </c>
      <c r="P73" s="102">
        <f>IF(M73&gt;0,N73*100/M73,0)</f>
        <v>0</v>
      </c>
      <c r="Q73" s="102">
        <f>Q76+Q79</f>
        <v>0</v>
      </c>
      <c r="R73" s="102">
        <f>R76+R79</f>
        <v>0</v>
      </c>
      <c r="S73" s="102">
        <f>S76+S79</f>
        <v>0</v>
      </c>
      <c r="T73" s="102">
        <f>IF(Q73&gt;0,S73*100/Q73,0)</f>
        <v>0</v>
      </c>
      <c r="U73" s="102">
        <f>IF(R73&gt;0,S73*100/R73,0)</f>
        <v>0</v>
      </c>
    </row>
    <row r="74" spans="1:21" ht="18.75" hidden="1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256">
        <f ca="1">L77+L80</f>
        <v>0</v>
      </c>
      <c r="M74" s="255">
        <f ca="1">M77+M80</f>
        <v>0</v>
      </c>
      <c r="N74" s="255">
        <f ca="1">N77+N80</f>
        <v>0</v>
      </c>
      <c r="O74" s="255">
        <f ca="1">IF(L74&gt;0,N74*100/L74,0)</f>
        <v>0</v>
      </c>
      <c r="P74" s="255">
        <f ca="1">IF(M74&gt;0,N74*100/M74,0)</f>
        <v>0</v>
      </c>
      <c r="Q74" s="255">
        <f ca="1">Q77+Q80</f>
        <v>0</v>
      </c>
      <c r="R74" s="255">
        <f ca="1">R77+R80</f>
        <v>0</v>
      </c>
      <c r="S74" s="255">
        <f ca="1">S77+S80</f>
        <v>0</v>
      </c>
      <c r="T74" s="255">
        <f ca="1">IF(Q74&gt;0,S74*100/Q74,0)</f>
        <v>0</v>
      </c>
      <c r="U74" s="255">
        <f ca="1">IF(R74&gt;0,S74*100/R74,0)</f>
        <v>0</v>
      </c>
    </row>
    <row r="75" spans="1:21" ht="18.75" hidden="1">
      <c r="A75" s="155"/>
      <c r="B75" s="50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256">
        <f ca="1">L76+L77</f>
        <v>0</v>
      </c>
      <c r="M75" s="255">
        <f ca="1">M76+M77</f>
        <v>0</v>
      </c>
      <c r="N75" s="255">
        <f ca="1">N76+N77</f>
        <v>0</v>
      </c>
      <c r="O75" s="255">
        <f ca="1">IF(L75&gt;0,N75*100/L75,0)</f>
        <v>0</v>
      </c>
      <c r="P75" s="255">
        <f ca="1">IF(M75&gt;0,N75*100/M75,0)</f>
        <v>0</v>
      </c>
      <c r="Q75" s="255">
        <f ca="1">Q76+Q77</f>
        <v>0</v>
      </c>
      <c r="R75" s="255">
        <f ca="1">R76+R77</f>
        <v>0</v>
      </c>
      <c r="S75" s="255">
        <f ca="1">S76+S77</f>
        <v>0</v>
      </c>
      <c r="T75" s="255">
        <f ca="1">IF(Q75&gt;0,S75*100/Q75,0)</f>
        <v>0</v>
      </c>
      <c r="U75" s="255">
        <f ca="1">IF(R75&gt;0,S75*100/R75,0)</f>
        <v>0</v>
      </c>
    </row>
    <row r="76" spans="1:21" ht="18.75" hidden="1">
      <c r="A76" s="155"/>
      <c r="B76" s="50"/>
      <c r="C76" s="50"/>
      <c r="D76" s="50"/>
      <c r="E76" s="186" t="s">
        <v>36</v>
      </c>
      <c r="F76" s="50"/>
      <c r="G76" s="52"/>
      <c r="H76" s="189" t="s">
        <v>14</v>
      </c>
      <c r="I76" s="163"/>
      <c r="J76" s="163"/>
      <c r="K76" s="164"/>
      <c r="L76" s="103">
        <v>0</v>
      </c>
      <c r="M76" s="102">
        <v>0</v>
      </c>
      <c r="N76" s="102">
        <v>0</v>
      </c>
      <c r="O76" s="102">
        <f>IF(L76&gt;0,N76*100/L76,0)</f>
        <v>0</v>
      </c>
      <c r="P76" s="102">
        <f>IF(M76&gt;0,N76*100/M76,0)</f>
        <v>0</v>
      </c>
      <c r="Q76" s="102">
        <v>0</v>
      </c>
      <c r="R76" s="102">
        <v>0</v>
      </c>
      <c r="S76" s="102">
        <v>0</v>
      </c>
      <c r="T76" s="102">
        <f>IF(Q76&gt;0,S76*100/Q76,0)</f>
        <v>0</v>
      </c>
      <c r="U76" s="102">
        <f>IF(R76&gt;0,S76*100/R76,0)</f>
        <v>0</v>
      </c>
    </row>
    <row r="77" spans="1:21" ht="18.75" hidden="1">
      <c r="A77" s="155"/>
      <c r="B77" s="50"/>
      <c r="C77" s="50"/>
      <c r="D77" s="50"/>
      <c r="E77" s="58" t="s">
        <v>37</v>
      </c>
      <c r="F77" s="50"/>
      <c r="G77" s="52"/>
      <c r="H77" s="162" t="s">
        <v>14</v>
      </c>
      <c r="I77" s="163"/>
      <c r="J77" s="163"/>
      <c r="K77" s="164"/>
      <c r="L77" s="256">
        <f ca="1">IFERROR(__xludf.DUMMYFUNCTION("IMPORTRANGE(""https://docs.google.com/spreadsheets/d/1-uDff_7J0KD5mKrp0Vvzr7lt3OU09vwQwhkpOPPYv2Y/edit?usp=sharing"",""งบพรบ!AM32"")"),0)</f>
        <v>0</v>
      </c>
      <c r="M77" s="255">
        <f ca="1">IFERROR(__xludf.DUMMYFUNCTION("IMPORTRANGE(""https://docs.google.com/spreadsheets/d/1-uDff_7J0KD5mKrp0Vvzr7lt3OU09vwQwhkpOPPYv2Y/edit?usp=sharing"",""งบพรบ!AR32"")"),0)</f>
        <v>0</v>
      </c>
      <c r="N77" s="255">
        <f ca="1">IFERROR(__xludf.DUMMYFUNCTION("IMPORTRANGE(""https://docs.google.com/spreadsheets/d/1-uDff_7J0KD5mKrp0Vvzr7lt3OU09vwQwhkpOPPYv2Y/edit?usp=sharing"",""งบพรบ!AT32"")"),0)</f>
        <v>0</v>
      </c>
      <c r="O77" s="255">
        <f ca="1">IF(L77&gt;0,N77*100/L77,0)</f>
        <v>0</v>
      </c>
      <c r="P77" s="255">
        <f ca="1">IF(M77&gt;0,N77*100/M77,0)</f>
        <v>0</v>
      </c>
      <c r="Q77" s="255">
        <f ca="1">IFERROR(__xludf.DUMMYFUNCTION("IMPORTRANGE(""https://docs.google.com/spreadsheets/d/1ItG2mGa2ceCfYo0BwxsXqNm01IGEUdYcSSLTEv9YCik/edit?usp=sharing"",""เบิกจ่ายกองทุน!AS32"")"),0)</f>
        <v>0</v>
      </c>
      <c r="R77" s="255">
        <f ca="1">IFERROR(__xludf.DUMMYFUNCTION("IMPORTRANGE(""https://docs.google.com/spreadsheets/d/1ItG2mGa2ceCfYo0BwxsXqNm01IGEUdYcSSLTEv9YCik/edit?usp=sharing"",""เบิกจ่ายกองทุน!AT32"")"),0)</f>
        <v>0</v>
      </c>
      <c r="S77" s="255">
        <f ca="1">IFERROR(__xludf.DUMMYFUNCTION("IMPORTRANGE(""https://docs.google.com/spreadsheets/d/1ItG2mGa2ceCfYo0BwxsXqNm01IGEUdYcSSLTEv9YCik/edit?usp=sharing"",""เบิกจ่ายกองทุน!AU32"")"),0)</f>
        <v>0</v>
      </c>
      <c r="T77" s="255">
        <f ca="1">IF(Q77&gt;0,S77*100/Q77,0)</f>
        <v>0</v>
      </c>
      <c r="U77" s="255">
        <f ca="1">IF(R77&gt;0,S77*100/R77,0)</f>
        <v>0</v>
      </c>
    </row>
    <row r="78" spans="1:21" ht="18.75" hidden="1">
      <c r="A78" s="155"/>
      <c r="B78" s="50"/>
      <c r="C78" s="50"/>
      <c r="D78" s="51" t="s">
        <v>23</v>
      </c>
      <c r="E78" s="50"/>
      <c r="F78" s="50"/>
      <c r="G78" s="52"/>
      <c r="H78" s="165" t="s">
        <v>14</v>
      </c>
      <c r="I78" s="163"/>
      <c r="J78" s="163"/>
      <c r="K78" s="164"/>
      <c r="L78" s="256">
        <f ca="1">L79+L80</f>
        <v>0</v>
      </c>
      <c r="M78" s="255">
        <f ca="1">M79+M80</f>
        <v>0</v>
      </c>
      <c r="N78" s="255">
        <f ca="1">N79+N80</f>
        <v>0</v>
      </c>
      <c r="O78" s="255">
        <f ca="1">IF(L78&gt;0,N78*100/L78,0)</f>
        <v>0</v>
      </c>
      <c r="P78" s="255">
        <f ca="1">IF(M78&gt;0,N78*100/M78,0)</f>
        <v>0</v>
      </c>
      <c r="Q78" s="255">
        <f>Q79+Q80</f>
        <v>0</v>
      </c>
      <c r="R78" s="255">
        <f>R79+R80</f>
        <v>0</v>
      </c>
      <c r="S78" s="255">
        <f>S79+S80</f>
        <v>0</v>
      </c>
      <c r="T78" s="255">
        <f>IF(Q78&gt;0,S78*100/Q78,0)</f>
        <v>0</v>
      </c>
      <c r="U78" s="255">
        <f>IF(R78&gt;0,S78*100/R78,0)</f>
        <v>0</v>
      </c>
    </row>
    <row r="79" spans="1:21" ht="18.75" hidden="1">
      <c r="A79" s="155"/>
      <c r="B79" s="50"/>
      <c r="C79" s="50"/>
      <c r="D79" s="50"/>
      <c r="E79" s="186" t="s">
        <v>20</v>
      </c>
      <c r="F79" s="50"/>
      <c r="G79" s="52"/>
      <c r="H79" s="189" t="s">
        <v>14</v>
      </c>
      <c r="I79" s="163"/>
      <c r="J79" s="163"/>
      <c r="K79" s="164"/>
      <c r="L79" s="103">
        <v>0</v>
      </c>
      <c r="M79" s="255">
        <v>0</v>
      </c>
      <c r="N79" s="255">
        <v>0</v>
      </c>
      <c r="O79" s="102">
        <f>IF(L79&gt;0,N79*100/L79,0)</f>
        <v>0</v>
      </c>
      <c r="P79" s="102">
        <f>IF(M79&gt;0,N79*100/M79,0)</f>
        <v>0</v>
      </c>
      <c r="Q79" s="102">
        <v>0</v>
      </c>
      <c r="R79" s="255">
        <v>0</v>
      </c>
      <c r="S79" s="255">
        <v>0</v>
      </c>
      <c r="T79" s="102">
        <f>IF(Q79&gt;0,S79*100/Q79,0)</f>
        <v>0</v>
      </c>
      <c r="U79" s="102">
        <f>IF(R79&gt;0,S79*100/R79,0)</f>
        <v>0</v>
      </c>
    </row>
    <row r="80" spans="1:21" ht="18.75" hidden="1">
      <c r="A80" s="155"/>
      <c r="B80" s="50"/>
      <c r="C80" s="50"/>
      <c r="D80" s="50"/>
      <c r="E80" s="58" t="s">
        <v>21</v>
      </c>
      <c r="F80" s="50"/>
      <c r="G80" s="52"/>
      <c r="H80" s="165" t="s">
        <v>14</v>
      </c>
      <c r="I80" s="163"/>
      <c r="J80" s="163"/>
      <c r="K80" s="164"/>
      <c r="L80" s="256">
        <f ca="1">IFERROR(__xludf.DUMMYFUNCTION("IMPORTRANGE(""https://docs.google.com/spreadsheets/d/1-uDff_7J0KD5mKrp0Vvzr7lt3OU09vwQwhkpOPPYv2Y/edit?usp=sharing"",""งบพรบ!AP32"")"),0)</f>
        <v>0</v>
      </c>
      <c r="M80" s="255">
        <f ca="1">IFERROR(__xludf.DUMMYFUNCTION("IMPORTRANGE(""https://docs.google.com/spreadsheets/d/1-uDff_7J0KD5mKrp0Vvzr7lt3OU09vwQwhkpOPPYv2Y/edit?usp=sharing"",""งบพรบ!AS32"")"),0)</f>
        <v>0</v>
      </c>
      <c r="N80" s="255">
        <f ca="1">IFERROR(__xludf.DUMMYFUNCTION("IMPORTRANGE(""https://docs.google.com/spreadsheets/d/1-uDff_7J0KD5mKrp0Vvzr7lt3OU09vwQwhkpOPPYv2Y/edit?usp=sharing"",""งบพรบ!AU32"")"),0)</f>
        <v>0</v>
      </c>
      <c r="O80" s="255">
        <f ca="1">IF(L80&gt;0,N80*100/L80,0)</f>
        <v>0</v>
      </c>
      <c r="P80" s="255">
        <f ca="1">IF(M80&gt;0,N80*100/M80,0)</f>
        <v>0</v>
      </c>
      <c r="Q80" s="255">
        <v>0</v>
      </c>
      <c r="R80" s="255">
        <v>0</v>
      </c>
      <c r="S80" s="255">
        <v>0</v>
      </c>
      <c r="T80" s="255">
        <f>IF(Q80&gt;0,S80*100/Q80,0)</f>
        <v>0</v>
      </c>
      <c r="U80" s="255">
        <f>IF(R80&gt;0,S80*100/R80,0)</f>
        <v>0</v>
      </c>
    </row>
    <row r="81" spans="1:21" ht="19.5" hidden="1">
      <c r="A81" s="166"/>
      <c r="B81" s="167"/>
      <c r="C81" s="156" t="s">
        <v>18</v>
      </c>
      <c r="D81" s="566" t="s">
        <v>38</v>
      </c>
      <c r="E81" s="169"/>
      <c r="F81" s="169"/>
      <c r="G81" s="170"/>
      <c r="H81" s="171"/>
      <c r="I81" s="163"/>
      <c r="J81" s="163"/>
      <c r="K81" s="164"/>
      <c r="L81" s="172"/>
      <c r="M81" s="164"/>
      <c r="N81" s="164"/>
      <c r="O81" s="164"/>
      <c r="P81" s="164"/>
      <c r="Q81" s="164"/>
      <c r="R81" s="164"/>
      <c r="S81" s="164"/>
      <c r="T81" s="164"/>
      <c r="U81" s="164"/>
    </row>
    <row r="82" spans="1:21" ht="19.5" hidden="1">
      <c r="A82" s="166"/>
      <c r="B82" s="167"/>
      <c r="C82" s="167"/>
      <c r="D82" s="173" t="s">
        <v>39</v>
      </c>
      <c r="E82" s="174"/>
      <c r="F82" s="174"/>
      <c r="G82" s="171"/>
      <c r="H82" s="175" t="s">
        <v>34</v>
      </c>
      <c r="I82" s="373">
        <f ca="1">I84+I86+I88</f>
        <v>0</v>
      </c>
      <c r="J82" s="373">
        <f>J84+J86+J88</f>
        <v>0</v>
      </c>
      <c r="K82" s="642">
        <f ca="1">IF(I82&gt;0,J82*100/I82,0)</f>
        <v>0</v>
      </c>
      <c r="L82" s="172"/>
      <c r="M82" s="164"/>
      <c r="N82" s="164"/>
      <c r="O82" s="164"/>
      <c r="P82" s="164"/>
      <c r="Q82" s="164"/>
      <c r="R82" s="164"/>
      <c r="S82" s="164"/>
      <c r="T82" s="164"/>
      <c r="U82" s="164"/>
    </row>
    <row r="83" spans="1:21" ht="19.5" hidden="1">
      <c r="A83" s="166"/>
      <c r="B83" s="167"/>
      <c r="C83" s="167"/>
      <c r="D83" s="167"/>
      <c r="E83" s="174"/>
      <c r="F83" s="174"/>
      <c r="G83" s="171"/>
      <c r="H83" s="175" t="s">
        <v>35</v>
      </c>
      <c r="I83" s="373">
        <f ca="1">I85+I87+I89</f>
        <v>0</v>
      </c>
      <c r="J83" s="373">
        <f>J85+J87+J89</f>
        <v>0</v>
      </c>
      <c r="K83" s="642">
        <f ca="1">IF(I83&gt;0,J83*100/I83,0)</f>
        <v>0</v>
      </c>
      <c r="L83" s="172"/>
      <c r="M83" s="164"/>
      <c r="N83" s="164"/>
      <c r="O83" s="164"/>
      <c r="P83" s="164"/>
      <c r="Q83" s="164"/>
      <c r="R83" s="164"/>
      <c r="S83" s="164"/>
      <c r="T83" s="164"/>
      <c r="U83" s="164"/>
    </row>
    <row r="84" spans="1:21" ht="18.75" hidden="1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641">
        <f ca="1">IFERROR(__xludf.DUMMYFUNCTION("IMPORTRANGE(""https://docs.google.com/spreadsheets/d/1eHaY18a8A9IcSdp1K8H6x8fbOy06t2VsZHhMHf-1x7Y/edit?usp=sharing"",""แผน!H32"")"),0)</f>
        <v>0</v>
      </c>
      <c r="J84" s="467">
        <v>0</v>
      </c>
      <c r="K84" s="565">
        <f ca="1">IF(I84&gt;0,J84*100/I84,0)</f>
        <v>0</v>
      </c>
      <c r="L84" s="172"/>
      <c r="M84" s="164"/>
      <c r="N84" s="164"/>
      <c r="O84" s="164"/>
      <c r="P84" s="164"/>
      <c r="Q84" s="164"/>
      <c r="R84" s="164"/>
      <c r="S84" s="164"/>
      <c r="T84" s="164"/>
      <c r="U84" s="164"/>
    </row>
    <row r="85" spans="1:21" ht="18.75" hidden="1">
      <c r="A85" s="166"/>
      <c r="B85" s="167"/>
      <c r="C85" s="167"/>
      <c r="D85" s="167"/>
      <c r="E85" s="174"/>
      <c r="F85" s="174"/>
      <c r="G85" s="171"/>
      <c r="H85" s="179" t="s">
        <v>35</v>
      </c>
      <c r="I85" s="641">
        <f ca="1">IFERROR(__xludf.DUMMYFUNCTION("IMPORTRANGE(""https://docs.google.com/spreadsheets/d/1eHaY18a8A9IcSdp1K8H6x8fbOy06t2VsZHhMHf-1x7Y/edit?usp=sharing"",""แผน!I32"")"),0)</f>
        <v>0</v>
      </c>
      <c r="J85" s="467">
        <v>0</v>
      </c>
      <c r="K85" s="565">
        <f ca="1">IF(I85&gt;0,J85*100/I85,0)</f>
        <v>0</v>
      </c>
      <c r="L85" s="172"/>
      <c r="M85" s="164"/>
      <c r="N85" s="164"/>
      <c r="O85" s="164"/>
      <c r="P85" s="164"/>
      <c r="Q85" s="164"/>
      <c r="R85" s="164"/>
      <c r="S85" s="164"/>
      <c r="T85" s="164"/>
      <c r="U85" s="164"/>
    </row>
    <row r="86" spans="1:21" ht="18.75" hidden="1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641">
        <f ca="1">IFERROR(__xludf.DUMMYFUNCTION("IMPORTRANGE(""https://docs.google.com/spreadsheets/d/1eHaY18a8A9IcSdp1K8H6x8fbOy06t2VsZHhMHf-1x7Y/edit?usp=sharing"",""แผน!F32"")"),0)</f>
        <v>0</v>
      </c>
      <c r="J86" s="467">
        <v>0</v>
      </c>
      <c r="K86" s="565">
        <f ca="1">IF(I86&gt;0,J86*100/I86,0)</f>
        <v>0</v>
      </c>
      <c r="L86" s="172"/>
      <c r="M86" s="164"/>
      <c r="N86" s="164"/>
      <c r="O86" s="164"/>
      <c r="P86" s="164"/>
      <c r="Q86" s="164"/>
      <c r="R86" s="164"/>
      <c r="S86" s="164"/>
      <c r="T86" s="164"/>
      <c r="U86" s="164"/>
    </row>
    <row r="87" spans="1:21" ht="18.75" hidden="1">
      <c r="A87" s="166"/>
      <c r="B87" s="167"/>
      <c r="C87" s="167"/>
      <c r="D87" s="167"/>
      <c r="E87" s="174"/>
      <c r="F87" s="174"/>
      <c r="G87" s="171"/>
      <c r="H87" s="179" t="s">
        <v>35</v>
      </c>
      <c r="I87" s="641">
        <f ca="1">IFERROR(__xludf.DUMMYFUNCTION("IMPORTRANGE(""https://docs.google.com/spreadsheets/d/1eHaY18a8A9IcSdp1K8H6x8fbOy06t2VsZHhMHf-1x7Y/edit?usp=sharing"",""แผน!G32"")"),0)</f>
        <v>0</v>
      </c>
      <c r="J87" s="467">
        <v>0</v>
      </c>
      <c r="K87" s="565">
        <f ca="1">IF(I87&gt;0,J87*100/I87,0)</f>
        <v>0</v>
      </c>
      <c r="L87" s="172"/>
      <c r="M87" s="164"/>
      <c r="N87" s="164"/>
      <c r="O87" s="164"/>
      <c r="P87" s="164"/>
      <c r="Q87" s="164"/>
      <c r="R87" s="164"/>
      <c r="S87" s="164"/>
      <c r="T87" s="164"/>
      <c r="U87" s="164"/>
    </row>
    <row r="88" spans="1:21" ht="18.75" hidden="1">
      <c r="A88" s="166"/>
      <c r="B88" s="167"/>
      <c r="C88" s="167"/>
      <c r="D88" s="167"/>
      <c r="E88" s="178" t="s">
        <v>42</v>
      </c>
      <c r="F88" s="174"/>
      <c r="G88" s="171"/>
      <c r="H88" s="179" t="s">
        <v>34</v>
      </c>
      <c r="I88" s="641">
        <f ca="1">IFERROR(__xludf.DUMMYFUNCTION("IMPORTRANGE(""https://docs.google.com/spreadsheets/d/1eHaY18a8A9IcSdp1K8H6x8fbOy06t2VsZHhMHf-1x7Y/edit?usp=sharing"",""แผน!D32"")"),0)</f>
        <v>0</v>
      </c>
      <c r="J88" s="467">
        <v>0</v>
      </c>
      <c r="K88" s="565">
        <f ca="1">IF(I88&gt;0,J88*100/I88,0)</f>
        <v>0</v>
      </c>
      <c r="L88" s="172"/>
      <c r="M88" s="164"/>
      <c r="N88" s="164"/>
      <c r="O88" s="164"/>
      <c r="P88" s="164"/>
      <c r="Q88" s="164"/>
      <c r="R88" s="164"/>
      <c r="S88" s="164"/>
      <c r="T88" s="164"/>
      <c r="U88" s="164"/>
    </row>
    <row r="89" spans="1:21" ht="18.75" hidden="1">
      <c r="A89" s="166"/>
      <c r="B89" s="167"/>
      <c r="C89" s="167"/>
      <c r="D89" s="167"/>
      <c r="E89" s="174"/>
      <c r="F89" s="174"/>
      <c r="G89" s="171"/>
      <c r="H89" s="179" t="s">
        <v>35</v>
      </c>
      <c r="I89" s="641">
        <f ca="1">IFERROR(__xludf.DUMMYFUNCTION("IMPORTRANGE(""https://docs.google.com/spreadsheets/d/1eHaY18a8A9IcSdp1K8H6x8fbOy06t2VsZHhMHf-1x7Y/edit?usp=sharing"",""แผน!E32"")"),0)</f>
        <v>0</v>
      </c>
      <c r="J89" s="467">
        <v>0</v>
      </c>
      <c r="K89" s="565">
        <f ca="1">IF(I89&gt;0,J89*100/I89,0)</f>
        <v>0</v>
      </c>
      <c r="L89" s="172"/>
      <c r="M89" s="164"/>
      <c r="N89" s="164"/>
      <c r="O89" s="164"/>
      <c r="P89" s="164"/>
      <c r="Q89" s="164"/>
      <c r="R89" s="164"/>
      <c r="S89" s="164"/>
      <c r="T89" s="164"/>
      <c r="U89" s="164"/>
    </row>
    <row r="90" spans="1:21" ht="18.75" hidden="1">
      <c r="A90" s="166"/>
      <c r="B90" s="167"/>
      <c r="C90" s="167"/>
      <c r="D90" s="173" t="s">
        <v>43</v>
      </c>
      <c r="E90" s="174"/>
      <c r="F90" s="174"/>
      <c r="G90" s="171"/>
      <c r="H90" s="183" t="s">
        <v>34</v>
      </c>
      <c r="I90" s="641">
        <f ca="1">IFERROR(__xludf.DUMMYFUNCTION("IMPORTRANGE(""https://docs.google.com/spreadsheets/d/1eHaY18a8A9IcSdp1K8H6x8fbOy06t2VsZHhMHf-1x7Y/edit?usp=sharing"",""แผน!J32"")"),0)</f>
        <v>0</v>
      </c>
      <c r="J90" s="467">
        <v>0</v>
      </c>
      <c r="K90" s="565">
        <f ca="1">IF(I90&gt;0,J90*100/I90,0)</f>
        <v>0</v>
      </c>
      <c r="L90" s="172"/>
      <c r="M90" s="164"/>
      <c r="N90" s="164"/>
      <c r="O90" s="164"/>
      <c r="P90" s="164"/>
      <c r="Q90" s="164"/>
      <c r="R90" s="164"/>
      <c r="S90" s="164"/>
      <c r="T90" s="164"/>
      <c r="U90" s="164"/>
    </row>
    <row r="91" spans="1:21" ht="19.5" hidden="1">
      <c r="A91" s="143" t="s">
        <v>44</v>
      </c>
      <c r="B91" s="144"/>
      <c r="C91" s="145"/>
      <c r="D91" s="144"/>
      <c r="E91" s="144"/>
      <c r="F91" s="144"/>
      <c r="G91" s="146"/>
      <c r="H91" s="146"/>
      <c r="I91" s="147"/>
      <c r="J91" s="147"/>
      <c r="K91" s="148"/>
      <c r="L91" s="149"/>
      <c r="M91" s="148"/>
      <c r="N91" s="148"/>
      <c r="O91" s="148"/>
      <c r="P91" s="148"/>
      <c r="Q91" s="148"/>
      <c r="R91" s="148"/>
      <c r="S91" s="148"/>
      <c r="T91" s="148"/>
      <c r="U91" s="148"/>
    </row>
    <row r="92" spans="1:21" ht="19.5" hidden="1">
      <c r="A92" s="150"/>
      <c r="B92" s="35" t="s">
        <v>45</v>
      </c>
      <c r="C92" s="34"/>
      <c r="D92" s="151"/>
      <c r="E92" s="34"/>
      <c r="F92" s="34"/>
      <c r="G92" s="37"/>
      <c r="H92" s="152" t="s">
        <v>46</v>
      </c>
      <c r="I92" s="721">
        <f ca="1">I108</f>
        <v>0</v>
      </c>
      <c r="J92" s="721">
        <f>J108</f>
        <v>0</v>
      </c>
      <c r="K92" s="720">
        <f ca="1">IF(I92&gt;0,J92*100/I92,0)</f>
        <v>0</v>
      </c>
      <c r="L92" s="154"/>
      <c r="M92" s="40"/>
      <c r="N92" s="40"/>
      <c r="O92" s="40"/>
      <c r="P92" s="40"/>
      <c r="Q92" s="40"/>
      <c r="R92" s="40"/>
      <c r="S92" s="40"/>
      <c r="T92" s="40"/>
      <c r="U92" s="40"/>
    </row>
    <row r="93" spans="1:21" ht="19.5" hidden="1">
      <c r="A93" s="150"/>
      <c r="B93" s="34"/>
      <c r="C93" s="34"/>
      <c r="D93" s="151"/>
      <c r="E93" s="34"/>
      <c r="F93" s="34"/>
      <c r="G93" s="37"/>
      <c r="H93" s="152" t="s">
        <v>35</v>
      </c>
      <c r="I93" s="721">
        <f ca="1">I109</f>
        <v>0</v>
      </c>
      <c r="J93" s="721">
        <f>J109</f>
        <v>0</v>
      </c>
      <c r="K93" s="720">
        <f ca="1">IF(I93&gt;0,J93*100/I93,0)</f>
        <v>0</v>
      </c>
      <c r="L93" s="154"/>
      <c r="M93" s="40"/>
      <c r="N93" s="40"/>
      <c r="O93" s="40"/>
      <c r="P93" s="40"/>
      <c r="Q93" s="40"/>
      <c r="R93" s="40"/>
      <c r="S93" s="40"/>
      <c r="T93" s="40"/>
      <c r="U93" s="40"/>
    </row>
    <row r="94" spans="1:21" ht="19.5" hidden="1">
      <c r="A94" s="155"/>
      <c r="B94" s="50"/>
      <c r="C94" s="156" t="s">
        <v>18</v>
      </c>
      <c r="D94" s="575" t="s">
        <v>19</v>
      </c>
      <c r="E94" s="50"/>
      <c r="F94" s="50"/>
      <c r="G94" s="52"/>
      <c r="H94" s="158" t="s">
        <v>14</v>
      </c>
      <c r="I94" s="54"/>
      <c r="J94" s="54"/>
      <c r="K94" s="55"/>
      <c r="L94" s="541">
        <f ca="1">L95+L96</f>
        <v>0</v>
      </c>
      <c r="M94" s="540">
        <f ca="1">M95+M96</f>
        <v>0</v>
      </c>
      <c r="N94" s="540">
        <f ca="1">N95+N96</f>
        <v>0</v>
      </c>
      <c r="O94" s="540">
        <f ca="1">IF(L94&gt;0,N94*100/L94,0)</f>
        <v>0</v>
      </c>
      <c r="P94" s="540">
        <f ca="1">IF(M94&gt;0,N94*100/M94,0)</f>
        <v>0</v>
      </c>
      <c r="Q94" s="540">
        <f ca="1">Q95+Q96</f>
        <v>0</v>
      </c>
      <c r="R94" s="540">
        <f ca="1">R95+R96</f>
        <v>0</v>
      </c>
      <c r="S94" s="540">
        <f ca="1">S95+S96</f>
        <v>0</v>
      </c>
      <c r="T94" s="540">
        <f ca="1">IF(Q94&gt;0,S94*100/Q94,0)</f>
        <v>0</v>
      </c>
      <c r="U94" s="540">
        <f ca="1">IF(R94&gt;0,S94*100/R94,0)</f>
        <v>0</v>
      </c>
    </row>
    <row r="95" spans="1:21" ht="18.75" hidden="1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103">
        <f>L98+L101</f>
        <v>0</v>
      </c>
      <c r="M95" s="102">
        <f>M98+M101</f>
        <v>0</v>
      </c>
      <c r="N95" s="102">
        <f>N98+N101</f>
        <v>0</v>
      </c>
      <c r="O95" s="102">
        <f>IF(L95&gt;0,N95*100/L95,0)</f>
        <v>0</v>
      </c>
      <c r="P95" s="102">
        <f>IF(M95&gt;0,N95*100/M95,0)</f>
        <v>0</v>
      </c>
      <c r="Q95" s="102">
        <f>Q98+Q101</f>
        <v>0</v>
      </c>
      <c r="R95" s="102">
        <f>R98+R101</f>
        <v>0</v>
      </c>
      <c r="S95" s="102">
        <f>S98+S101</f>
        <v>0</v>
      </c>
      <c r="T95" s="102">
        <f>IF(Q95&gt;0,S95*100/Q95,0)</f>
        <v>0</v>
      </c>
      <c r="U95" s="102">
        <f>IF(R95&gt;0,S95*100/R95,0)</f>
        <v>0</v>
      </c>
    </row>
    <row r="96" spans="1:21" ht="18.75" hidden="1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256">
        <f ca="1">L99+L102</f>
        <v>0</v>
      </c>
      <c r="M96" s="255">
        <f ca="1">M99+M102</f>
        <v>0</v>
      </c>
      <c r="N96" s="255">
        <f ca="1">N99+N102</f>
        <v>0</v>
      </c>
      <c r="O96" s="255">
        <f ca="1">IF(L96&gt;0,N96*100/L96,0)</f>
        <v>0</v>
      </c>
      <c r="P96" s="255">
        <f ca="1">IF(M96&gt;0,N96*100/M96,0)</f>
        <v>0</v>
      </c>
      <c r="Q96" s="255">
        <f ca="1">Q99+Q102</f>
        <v>0</v>
      </c>
      <c r="R96" s="255">
        <f ca="1">R99+R102</f>
        <v>0</v>
      </c>
      <c r="S96" s="255">
        <f ca="1">S99+S102</f>
        <v>0</v>
      </c>
      <c r="T96" s="255">
        <f ca="1">IF(Q96&gt;0,S96*100/Q96,0)</f>
        <v>0</v>
      </c>
      <c r="U96" s="255">
        <f ca="1">IF(R96&gt;0,S96*100/R96,0)</f>
        <v>0</v>
      </c>
    </row>
    <row r="97" spans="1:21" ht="18.75" hidden="1">
      <c r="A97" s="155"/>
      <c r="B97" s="50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256">
        <f ca="1">L98+L99</f>
        <v>0</v>
      </c>
      <c r="M97" s="255">
        <f ca="1">M98+M99</f>
        <v>0</v>
      </c>
      <c r="N97" s="255">
        <f ca="1">N98+N99</f>
        <v>0</v>
      </c>
      <c r="O97" s="255">
        <f ca="1">IF(L97&gt;0,N97*100/L97,0)</f>
        <v>0</v>
      </c>
      <c r="P97" s="255">
        <f ca="1">IF(M97&gt;0,N97*100/M97,0)</f>
        <v>0</v>
      </c>
      <c r="Q97" s="255">
        <f ca="1">Q98+Q99</f>
        <v>0</v>
      </c>
      <c r="R97" s="255">
        <f ca="1">R98+R99</f>
        <v>0</v>
      </c>
      <c r="S97" s="255">
        <f ca="1">S98+S99</f>
        <v>0</v>
      </c>
      <c r="T97" s="255">
        <f ca="1">IF(Q97&gt;0,S97*100/Q97,0)</f>
        <v>0</v>
      </c>
      <c r="U97" s="255">
        <f ca="1">IF(R97&gt;0,S97*100/R97,0)</f>
        <v>0</v>
      </c>
    </row>
    <row r="98" spans="1:21" ht="18.75" hidden="1">
      <c r="A98" s="155"/>
      <c r="B98" s="50"/>
      <c r="C98" s="50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103">
        <v>0</v>
      </c>
      <c r="M98" s="102">
        <v>0</v>
      </c>
      <c r="N98" s="102">
        <v>0</v>
      </c>
      <c r="O98" s="102">
        <f>IF(L98&gt;0,N98*100/L98,0)</f>
        <v>0</v>
      </c>
      <c r="P98" s="102">
        <f>IF(M98&gt;0,N98*100/M98,0)</f>
        <v>0</v>
      </c>
      <c r="Q98" s="102">
        <v>0</v>
      </c>
      <c r="R98" s="102">
        <v>0</v>
      </c>
      <c r="S98" s="102">
        <v>0</v>
      </c>
      <c r="T98" s="102">
        <f>IF(Q98&gt;0,S98*100/Q98,0)</f>
        <v>0</v>
      </c>
      <c r="U98" s="102">
        <f>IF(R98&gt;0,S98*100/R98,0)</f>
        <v>0</v>
      </c>
    </row>
    <row r="99" spans="1:21" ht="18.75" hidden="1">
      <c r="A99" s="155"/>
      <c r="B99" s="50"/>
      <c r="C99" s="50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256">
        <f ca="1">IFERROR(__xludf.DUMMYFUNCTION("IMPORTRANGE(""https://docs.google.com/spreadsheets/d/1-uDff_7J0KD5mKrp0Vvzr7lt3OU09vwQwhkpOPPYv2Y/edit?usp=sharing"",""งบพรบ!AW32"")"),0)</f>
        <v>0</v>
      </c>
      <c r="M99" s="255">
        <f ca="1">IFERROR(__xludf.DUMMYFUNCTION("IMPORTRANGE(""https://docs.google.com/spreadsheets/d/1-uDff_7J0KD5mKrp0Vvzr7lt3OU09vwQwhkpOPPYv2Y/edit?usp=sharing"",""งบพรบ!BB32"")"),0)</f>
        <v>0</v>
      </c>
      <c r="N99" s="255">
        <f ca="1">IFERROR(__xludf.DUMMYFUNCTION("IMPORTRANGE(""https://docs.google.com/spreadsheets/d/1-uDff_7J0KD5mKrp0Vvzr7lt3OU09vwQwhkpOPPYv2Y/edit?usp=sharing"",""งบพรบ!BD32"")"),0)</f>
        <v>0</v>
      </c>
      <c r="O99" s="255">
        <f ca="1">IF(L99&gt;0,N99*100/L99,0)</f>
        <v>0</v>
      </c>
      <c r="P99" s="255">
        <f ca="1">IF(M99&gt;0,N99*100/M99,0)</f>
        <v>0</v>
      </c>
      <c r="Q99" s="255">
        <f ca="1">IFERROR(__xludf.DUMMYFUNCTION("IMPORTRANGE(""https://docs.google.com/spreadsheets/d/1ItG2mGa2ceCfYo0BwxsXqNm01IGEUdYcSSLTEv9YCik/edit?usp=sharing"",""เบิกจ่ายกองทุน!AD32"")"),0)</f>
        <v>0</v>
      </c>
      <c r="R99" s="255">
        <f ca="1">IFERROR(__xludf.DUMMYFUNCTION("IMPORTRANGE(""https://docs.google.com/spreadsheets/d/1ItG2mGa2ceCfYo0BwxsXqNm01IGEUdYcSSLTEv9YCik/edit?usp=sharing"",""เบิกจ่ายกองทุน!AE32"")"),0)</f>
        <v>0</v>
      </c>
      <c r="S99" s="255">
        <f ca="1">IFERROR(__xludf.DUMMYFUNCTION("IMPORTRANGE(""https://docs.google.com/spreadsheets/d/1ItG2mGa2ceCfYo0BwxsXqNm01IGEUdYcSSLTEv9YCik/edit?usp=sharing"",""เบิกจ่ายกองทุน!AF32"")"),0)</f>
        <v>0</v>
      </c>
      <c r="T99" s="255">
        <f ca="1">IF(Q99&gt;0,S99*100/Q99,0)</f>
        <v>0</v>
      </c>
      <c r="U99" s="255">
        <f ca="1">IF(R99&gt;0,S99*100/R99,0)</f>
        <v>0</v>
      </c>
    </row>
    <row r="100" spans="1:21" ht="18.75" hidden="1">
      <c r="A100" s="155"/>
      <c r="B100" s="50"/>
      <c r="C100" s="50"/>
      <c r="D100" s="51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256">
        <f ca="1">L101+L102</f>
        <v>0</v>
      </c>
      <c r="M100" s="255">
        <f ca="1">M101+M102</f>
        <v>0</v>
      </c>
      <c r="N100" s="255">
        <f ca="1">N101+N102</f>
        <v>0</v>
      </c>
      <c r="O100" s="255">
        <f ca="1">IF(L100&gt;0,N100*100/L100,0)</f>
        <v>0</v>
      </c>
      <c r="P100" s="255">
        <f ca="1">IF(M100&gt;0,N100*100/M100,0)</f>
        <v>0</v>
      </c>
      <c r="Q100" s="255">
        <f>Q101+Q102</f>
        <v>0</v>
      </c>
      <c r="R100" s="255">
        <f>R101+R102</f>
        <v>0</v>
      </c>
      <c r="S100" s="255">
        <f>S101+S102</f>
        <v>0</v>
      </c>
      <c r="T100" s="255">
        <f>IF(Q100&gt;0,S100*100/Q100,0)</f>
        <v>0</v>
      </c>
      <c r="U100" s="255">
        <f>IF(R100&gt;0,S100*100/R100,0)</f>
        <v>0</v>
      </c>
    </row>
    <row r="101" spans="1:21" ht="18.75" hidden="1">
      <c r="A101" s="155"/>
      <c r="B101" s="50"/>
      <c r="C101" s="50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103">
        <v>0</v>
      </c>
      <c r="M101" s="102">
        <v>0</v>
      </c>
      <c r="N101" s="102">
        <v>0</v>
      </c>
      <c r="O101" s="102">
        <f>IF(L101&gt;0,N101*100/L101,0)</f>
        <v>0</v>
      </c>
      <c r="P101" s="102">
        <f>IF(M101&gt;0,N101*100/M101,0)</f>
        <v>0</v>
      </c>
      <c r="Q101" s="102">
        <v>0</v>
      </c>
      <c r="R101" s="102">
        <v>0</v>
      </c>
      <c r="S101" s="102">
        <v>0</v>
      </c>
      <c r="T101" s="102">
        <f>IF(Q101&gt;0,S101*100/Q101,0)</f>
        <v>0</v>
      </c>
      <c r="U101" s="102">
        <f>IF(R101&gt;0,S101*100/R101,0)</f>
        <v>0</v>
      </c>
    </row>
    <row r="102" spans="1:21" ht="18.75" hidden="1">
      <c r="A102" s="155"/>
      <c r="B102" s="50"/>
      <c r="C102" s="50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256">
        <f ca="1">IFERROR(__xludf.DUMMYFUNCTION("IMPORTRANGE(""https://docs.google.com/spreadsheets/d/1-uDff_7J0KD5mKrp0Vvzr7lt3OU09vwQwhkpOPPYv2Y/edit?usp=sharing"",""งบพรบ!AZ32"")"),0)</f>
        <v>0</v>
      </c>
      <c r="M102" s="255">
        <f ca="1">IFERROR(__xludf.DUMMYFUNCTION("IMPORTRANGE(""https://docs.google.com/spreadsheets/d/1-uDff_7J0KD5mKrp0Vvzr7lt3OU09vwQwhkpOPPYv2Y/edit?usp=sharing"",""งบพรบ!BC32"")"),0)</f>
        <v>0</v>
      </c>
      <c r="N102" s="255">
        <f ca="1">IFERROR(__xludf.DUMMYFUNCTION("IMPORTRANGE(""https://docs.google.com/spreadsheets/d/1-uDff_7J0KD5mKrp0Vvzr7lt3OU09vwQwhkpOPPYv2Y/edit?usp=sharing"",""งบพรบ!BE32"")"),0)</f>
        <v>0</v>
      </c>
      <c r="O102" s="255">
        <f ca="1">IF(L102&gt;0,N102*100/L102,0)</f>
        <v>0</v>
      </c>
      <c r="P102" s="255">
        <f ca="1">IF(M102&gt;0,N102*100/M102,0)</f>
        <v>0</v>
      </c>
      <c r="Q102" s="255">
        <v>0</v>
      </c>
      <c r="R102" s="255">
        <v>0</v>
      </c>
      <c r="S102" s="255">
        <v>0</v>
      </c>
      <c r="T102" s="255">
        <f>IF(Q102&gt;0,S102*100/Q102,0)</f>
        <v>0</v>
      </c>
      <c r="U102" s="255">
        <f>IF(R102&gt;0,S102*100/R102,0)</f>
        <v>0</v>
      </c>
    </row>
    <row r="103" spans="1:21" ht="19.5" hidden="1">
      <c r="A103" s="166"/>
      <c r="B103" s="167"/>
      <c r="C103" s="156" t="s">
        <v>18</v>
      </c>
      <c r="D103" s="566" t="s">
        <v>38</v>
      </c>
      <c r="E103" s="169"/>
      <c r="F103" s="169"/>
      <c r="G103" s="170"/>
      <c r="H103" s="171"/>
      <c r="I103" s="163"/>
      <c r="J103" s="54"/>
      <c r="K103" s="55"/>
      <c r="L103" s="62"/>
      <c r="M103" s="55"/>
      <c r="N103" s="55"/>
      <c r="O103" s="164"/>
      <c r="P103" s="164"/>
      <c r="Q103" s="55"/>
      <c r="R103" s="55"/>
      <c r="S103" s="55"/>
      <c r="T103" s="164"/>
      <c r="U103" s="164"/>
    </row>
    <row r="104" spans="1:21" ht="12.75" hidden="1">
      <c r="A104" s="192"/>
      <c r="B104" s="193"/>
      <c r="C104" s="193"/>
      <c r="D104" s="22"/>
      <c r="E104" s="22"/>
      <c r="F104" s="22"/>
      <c r="G104" s="23"/>
      <c r="H104" s="23"/>
      <c r="I104" s="24"/>
      <c r="J104" s="24"/>
      <c r="K104" s="25"/>
      <c r="L104" s="26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2.75" hidden="1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6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2.75" hidden="1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9.5" hidden="1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62"/>
      <c r="M107" s="55"/>
      <c r="N107" s="55"/>
      <c r="O107" s="164"/>
      <c r="P107" s="164"/>
      <c r="Q107" s="55"/>
      <c r="R107" s="55"/>
      <c r="S107" s="55"/>
      <c r="T107" s="164"/>
      <c r="U107" s="164"/>
    </row>
    <row r="108" spans="1:21" ht="18.75" hidden="1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212">
        <f ca="1">IFERROR(__xludf.DUMMYFUNCTION("IMPORTRANGE(""https://docs.google.com/spreadsheets/d/1eHaY18a8A9IcSdp1K8H6x8fbOy06t2VsZHhMHf-1x7Y/edit?usp=sharing"",""แผน!N32"")"),0)</f>
        <v>0</v>
      </c>
      <c r="J108" s="467">
        <v>0</v>
      </c>
      <c r="K108" s="255">
        <f ca="1">IF(I108&gt;0,J108*100/I108,0)</f>
        <v>0</v>
      </c>
      <c r="L108" s="62"/>
      <c r="M108" s="55"/>
      <c r="N108" s="55"/>
      <c r="O108" s="164"/>
      <c r="P108" s="164"/>
      <c r="Q108" s="55"/>
      <c r="R108" s="55"/>
      <c r="S108" s="55"/>
      <c r="T108" s="164"/>
      <c r="U108" s="164"/>
    </row>
    <row r="109" spans="1:21" ht="18.75" hidden="1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212">
        <f ca="1">IFERROR(__xludf.DUMMYFUNCTION("IMPORTRANGE(""https://docs.google.com/spreadsheets/d/1eHaY18a8A9IcSdp1K8H6x8fbOy06t2VsZHhMHf-1x7Y/edit?usp=sharing"",""แผน!O32"")"),0)</f>
        <v>0</v>
      </c>
      <c r="J109" s="467">
        <v>0</v>
      </c>
      <c r="K109" s="255">
        <f ca="1">IF(I109&gt;0,J109*100/I109,0)</f>
        <v>0</v>
      </c>
      <c r="L109" s="62"/>
      <c r="M109" s="55"/>
      <c r="N109" s="55"/>
      <c r="O109" s="164"/>
      <c r="P109" s="164"/>
      <c r="Q109" s="55"/>
      <c r="R109" s="55"/>
      <c r="S109" s="55"/>
      <c r="T109" s="164"/>
      <c r="U109" s="164"/>
    </row>
    <row r="110" spans="1:21" ht="12.75" hidden="1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6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2.75" hidden="1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6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2.75" hidden="1">
      <c r="A112" s="192"/>
      <c r="B112" s="193"/>
      <c r="C112" s="193"/>
      <c r="D112" s="22"/>
      <c r="E112" s="22"/>
      <c r="F112" s="22"/>
      <c r="G112" s="23"/>
      <c r="H112" s="23"/>
      <c r="I112" s="24"/>
      <c r="J112" s="24"/>
      <c r="K112" s="25"/>
      <c r="L112" s="26"/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2.75" hidden="1">
      <c r="A113" s="192"/>
      <c r="B113" s="193"/>
      <c r="C113" s="193"/>
      <c r="D113" s="22"/>
      <c r="E113" s="22"/>
      <c r="F113" s="22"/>
      <c r="G113" s="23"/>
      <c r="H113" s="23"/>
      <c r="I113" s="24">
        <v>0</v>
      </c>
      <c r="J113" s="24">
        <v>0</v>
      </c>
      <c r="K113" s="25"/>
      <c r="L113" s="26"/>
      <c r="M113" s="25"/>
      <c r="N113" s="25"/>
      <c r="O113" s="25"/>
      <c r="P113" s="25"/>
      <c r="Q113" s="25"/>
      <c r="R113" s="25"/>
      <c r="S113" s="25"/>
      <c r="T113" s="25"/>
      <c r="U113" s="25"/>
    </row>
    <row r="114" spans="1:21" ht="18.75" hidden="1">
      <c r="A114" s="166"/>
      <c r="B114" s="167"/>
      <c r="C114" s="167"/>
      <c r="D114" s="178" t="s">
        <v>50</v>
      </c>
      <c r="E114" s="174"/>
      <c r="F114" s="174"/>
      <c r="G114" s="171"/>
      <c r="H114" s="179" t="s">
        <v>35</v>
      </c>
      <c r="I114" s="641">
        <f ca="1">IFERROR(__xludf.DUMMYFUNCTION("IMPORTRANGE(""https://docs.google.com/spreadsheets/d/1eHaY18a8A9IcSdp1K8H6x8fbOy06t2VsZHhMHf-1x7Y/edit?usp=sharing"",""แผน!R32"")"),0)</f>
        <v>0</v>
      </c>
      <c r="J114" s="467">
        <v>0</v>
      </c>
      <c r="K114" s="255">
        <f ca="1">IF(I114&gt;0,J114*100/I114,0)</f>
        <v>0</v>
      </c>
      <c r="L114" s="62"/>
      <c r="M114" s="55"/>
      <c r="N114" s="55"/>
      <c r="O114" s="164"/>
      <c r="P114" s="164"/>
      <c r="Q114" s="55"/>
      <c r="R114" s="55"/>
      <c r="S114" s="55"/>
      <c r="T114" s="164"/>
      <c r="U114" s="164"/>
    </row>
    <row r="115" spans="1:21" ht="19.5">
      <c r="A115" s="727" t="s">
        <v>51</v>
      </c>
      <c r="B115" s="724"/>
      <c r="C115" s="726"/>
      <c r="D115" s="725"/>
      <c r="E115" s="725"/>
      <c r="F115" s="725"/>
      <c r="G115" s="725"/>
      <c r="H115" s="724"/>
      <c r="I115" s="723"/>
      <c r="J115" s="723"/>
      <c r="K115" s="722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721">
        <f ca="1">I127</f>
        <v>20</v>
      </c>
      <c r="J116" s="721">
        <f>J127</f>
        <v>20</v>
      </c>
      <c r="K116" s="720">
        <f ca="1">IF(I116&gt;0,J116*100/I116,0)</f>
        <v>100</v>
      </c>
      <c r="L116" s="154"/>
      <c r="M116" s="40"/>
      <c r="N116" s="40"/>
      <c r="O116" s="40"/>
      <c r="P116" s="40"/>
      <c r="Q116" s="40"/>
      <c r="R116" s="40"/>
      <c r="S116" s="40"/>
      <c r="T116" s="40"/>
      <c r="U116" s="40"/>
    </row>
    <row r="117" spans="1:21" ht="19.5">
      <c r="A117" s="155"/>
      <c r="B117" s="188"/>
      <c r="C117" s="191" t="s">
        <v>18</v>
      </c>
      <c r="D117" s="575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541">
        <f ca="1">L118+L119</f>
        <v>0</v>
      </c>
      <c r="M117" s="540">
        <f ca="1">M118+M119</f>
        <v>0</v>
      </c>
      <c r="N117" s="540">
        <f ca="1">N118+N119</f>
        <v>0</v>
      </c>
      <c r="O117" s="540">
        <f ca="1">IF(L117&gt;0,N117*100/L117,0)</f>
        <v>0</v>
      </c>
      <c r="P117" s="540">
        <f ca="1">IF(M117&gt;0,N117*100/M117,0)</f>
        <v>0</v>
      </c>
      <c r="Q117" s="540">
        <f ca="1">Q118+Q119</f>
        <v>209360</v>
      </c>
      <c r="R117" s="540">
        <f ca="1">R118+R119</f>
        <v>209360</v>
      </c>
      <c r="S117" s="540">
        <f ca="1">S118+S119</f>
        <v>75763.399999999994</v>
      </c>
      <c r="T117" s="540">
        <f ca="1">IF(Q117&gt;0,S117*100/Q117,0)</f>
        <v>36.18809705769965</v>
      </c>
      <c r="U117" s="540">
        <f ca="1">IF(R117&gt;0,S117*100/R117,0)</f>
        <v>36.18809705769965</v>
      </c>
    </row>
    <row r="118" spans="1:21" ht="18.75" hidden="1">
      <c r="A118" s="155"/>
      <c r="B118" s="188"/>
      <c r="C118" s="188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103">
        <f>L121+L124</f>
        <v>0</v>
      </c>
      <c r="M118" s="102">
        <f>M121+M124</f>
        <v>0</v>
      </c>
      <c r="N118" s="102">
        <f>N121+N124</f>
        <v>0</v>
      </c>
      <c r="O118" s="102">
        <f>IF(L118&gt;0,N118*100/L118,0)</f>
        <v>0</v>
      </c>
      <c r="P118" s="102">
        <f>IF(M118&gt;0,N118*100/M118,0)</f>
        <v>0</v>
      </c>
      <c r="Q118" s="102">
        <f>Q121+Q124</f>
        <v>0</v>
      </c>
      <c r="R118" s="102">
        <f>R121+R124</f>
        <v>0</v>
      </c>
      <c r="S118" s="102">
        <f>S121+S124</f>
        <v>0</v>
      </c>
      <c r="T118" s="102">
        <f>IF(Q118&gt;0,S118*100/Q118,0)</f>
        <v>0</v>
      </c>
      <c r="U118" s="102">
        <f>IF(R118&gt;0,S118*100/R118,0)</f>
        <v>0</v>
      </c>
    </row>
    <row r="119" spans="1:21" ht="18.75" hidden="1">
      <c r="A119" s="155"/>
      <c r="B119" s="188"/>
      <c r="C119" s="188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256">
        <f ca="1">L122+L125</f>
        <v>0</v>
      </c>
      <c r="M119" s="255">
        <f ca="1">M122+M125</f>
        <v>0</v>
      </c>
      <c r="N119" s="255">
        <f ca="1">N122+N125</f>
        <v>0</v>
      </c>
      <c r="O119" s="255">
        <f ca="1">IF(L119&gt;0,N119*100/L119,0)</f>
        <v>0</v>
      </c>
      <c r="P119" s="255">
        <f ca="1">IF(M119&gt;0,N119*100/M119,0)</f>
        <v>0</v>
      </c>
      <c r="Q119" s="255">
        <f ca="1">Q122+Q125</f>
        <v>209360</v>
      </c>
      <c r="R119" s="255">
        <f ca="1">R122+R125</f>
        <v>209360</v>
      </c>
      <c r="S119" s="255">
        <f ca="1">S122+S125</f>
        <v>75763.399999999994</v>
      </c>
      <c r="T119" s="255">
        <f ca="1">IF(Q119&gt;0,S119*100/Q119,0)</f>
        <v>36.18809705769965</v>
      </c>
      <c r="U119" s="255">
        <f ca="1">IF(R119&gt;0,S119*100/R119,0)</f>
        <v>36.18809705769965</v>
      </c>
    </row>
    <row r="120" spans="1:21" ht="18.75">
      <c r="A120" s="155"/>
      <c r="B120" s="188"/>
      <c r="C120" s="202"/>
      <c r="D120" s="602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256">
        <f ca="1">L121+L122</f>
        <v>0</v>
      </c>
      <c r="M120" s="255">
        <f ca="1">M121+M122</f>
        <v>0</v>
      </c>
      <c r="N120" s="255">
        <f ca="1">N121+N122</f>
        <v>0</v>
      </c>
      <c r="O120" s="255">
        <f ca="1">IF(L120&gt;0,N120*100/L120,0)</f>
        <v>0</v>
      </c>
      <c r="P120" s="255">
        <f ca="1">IF(M120&gt;0,N120*100/M120,0)</f>
        <v>0</v>
      </c>
      <c r="Q120" s="255">
        <f ca="1">Q121+Q122</f>
        <v>209360</v>
      </c>
      <c r="R120" s="255">
        <f ca="1">R121+R122</f>
        <v>209360</v>
      </c>
      <c r="S120" s="255">
        <f ca="1">S121+S122</f>
        <v>75763.399999999994</v>
      </c>
      <c r="T120" s="255">
        <f ca="1">IF(Q120&gt;0,S120*100/Q120,0)</f>
        <v>36.18809705769965</v>
      </c>
      <c r="U120" s="255">
        <f ca="1">IF(R120&gt;0,S120*100/R120,0)</f>
        <v>36.18809705769965</v>
      </c>
    </row>
    <row r="121" spans="1:21" ht="18.75" hidden="1">
      <c r="A121" s="155"/>
      <c r="B121" s="188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103">
        <v>0</v>
      </c>
      <c r="M121" s="102">
        <v>0</v>
      </c>
      <c r="N121" s="102">
        <v>0</v>
      </c>
      <c r="O121" s="102">
        <f>IF(L121&gt;0,N121*100/L121,0)</f>
        <v>0</v>
      </c>
      <c r="P121" s="102">
        <f>IF(M121&gt;0,N121*100/M121,0)</f>
        <v>0</v>
      </c>
      <c r="Q121" s="102">
        <v>0</v>
      </c>
      <c r="R121" s="102">
        <v>0</v>
      </c>
      <c r="S121" s="102">
        <v>0</v>
      </c>
      <c r="T121" s="102">
        <f>IF(Q121&gt;0,S121*100/Q121,0)</f>
        <v>0</v>
      </c>
      <c r="U121" s="102">
        <f>IF(R121&gt;0,S121*100/R121,0)</f>
        <v>0</v>
      </c>
    </row>
    <row r="122" spans="1:21" ht="18.75" hidden="1">
      <c r="A122" s="155"/>
      <c r="B122" s="188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256">
        <f ca="1">IFERROR(__xludf.DUMMYFUNCTION("IMPORTRANGE(""https://docs.google.com/spreadsheets/d/1-uDff_7J0KD5mKrp0Vvzr7lt3OU09vwQwhkpOPPYv2Y/edit?usp=sharing"",""งบพรบ!BG32"")"),0)</f>
        <v>0</v>
      </c>
      <c r="M122" s="255">
        <f ca="1">IFERROR(__xludf.DUMMYFUNCTION("IMPORTRANGE(""https://docs.google.com/spreadsheets/d/1-uDff_7J0KD5mKrp0Vvzr7lt3OU09vwQwhkpOPPYv2Y/edit?usp=sharing"",""งบพรบ!BL32"")"),0)</f>
        <v>0</v>
      </c>
      <c r="N122" s="255">
        <f ca="1">IFERROR(__xludf.DUMMYFUNCTION("IMPORTRANGE(""https://docs.google.com/spreadsheets/d/1-uDff_7J0KD5mKrp0Vvzr7lt3OU09vwQwhkpOPPYv2Y/edit?usp=sharing"",""งบพรบ!BN32"")"),0)</f>
        <v>0</v>
      </c>
      <c r="O122" s="255">
        <f ca="1">IF(L122&gt;0,N122*100/L122,0)</f>
        <v>0</v>
      </c>
      <c r="P122" s="255">
        <f ca="1">IF(M122&gt;0,N122*100/M122,0)</f>
        <v>0</v>
      </c>
      <c r="Q122" s="255">
        <f ca="1">IFERROR(__xludf.DUMMYFUNCTION("IMPORTRANGE(""https://docs.google.com/spreadsheets/d/1ItG2mGa2ceCfYo0BwxsXqNm01IGEUdYcSSLTEv9YCik/edit?usp=sharing"",""เบิกจ่ายกองทุน!R32"")"),209360)</f>
        <v>209360</v>
      </c>
      <c r="R122" s="255">
        <f ca="1">IFERROR(__xludf.DUMMYFUNCTION("IMPORTRANGE(""https://docs.google.com/spreadsheets/d/1ItG2mGa2ceCfYo0BwxsXqNm01IGEUdYcSSLTEv9YCik/edit?usp=sharing"",""เบิกจ่ายกองทุน!S32"")"),209360)</f>
        <v>209360</v>
      </c>
      <c r="S122" s="255">
        <f ca="1">IFERROR(__xludf.DUMMYFUNCTION("IMPORTRANGE(""https://docs.google.com/spreadsheets/d/1ItG2mGa2ceCfYo0BwxsXqNm01IGEUdYcSSLTEv9YCik/edit?usp=sharing"",""เบิกจ่ายกองทุน!T32"")"),75763.4)</f>
        <v>75763.399999999994</v>
      </c>
      <c r="T122" s="255">
        <f ca="1">IF(Q122&gt;0,S122*100/Q122,0)</f>
        <v>36.18809705769965</v>
      </c>
      <c r="U122" s="255">
        <f ca="1">IF(R122&gt;0,S122*100/R122,0)</f>
        <v>36.18809705769965</v>
      </c>
    </row>
    <row r="123" spans="1:21" ht="18.75">
      <c r="A123" s="155"/>
      <c r="B123" s="50"/>
      <c r="C123" s="202"/>
      <c r="D123" s="602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256">
        <f ca="1">L124+L125</f>
        <v>0</v>
      </c>
      <c r="M123" s="255">
        <f ca="1">M124+M125</f>
        <v>0</v>
      </c>
      <c r="N123" s="255">
        <f ca="1">N124+N125</f>
        <v>0</v>
      </c>
      <c r="O123" s="255">
        <f ca="1">IF(L123&gt;0,N123*100/L123,0)</f>
        <v>0</v>
      </c>
      <c r="P123" s="255">
        <f ca="1">IF(M123&gt;0,N123*100/M123,0)</f>
        <v>0</v>
      </c>
      <c r="Q123" s="255">
        <f>Q124+Q125</f>
        <v>0</v>
      </c>
      <c r="R123" s="255">
        <f>R124+R125</f>
        <v>0</v>
      </c>
      <c r="S123" s="255">
        <f>S124+S125</f>
        <v>0</v>
      </c>
      <c r="T123" s="255">
        <f>IF(Q123&gt;0,S123*100/Q123,0)</f>
        <v>0</v>
      </c>
      <c r="U123" s="255">
        <f>IF(R123&gt;0,S123*100/R123,0)</f>
        <v>0</v>
      </c>
    </row>
    <row r="124" spans="1:21" ht="18.75" hidden="1">
      <c r="A124" s="155"/>
      <c r="B124" s="50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103">
        <v>0</v>
      </c>
      <c r="M124" s="102">
        <v>0</v>
      </c>
      <c r="N124" s="102">
        <v>0</v>
      </c>
      <c r="O124" s="102">
        <f>IF(L124&gt;0,N124*100/L124,0)</f>
        <v>0</v>
      </c>
      <c r="P124" s="102">
        <f>IF(M124&gt;0,N124*100/M124,0)</f>
        <v>0</v>
      </c>
      <c r="Q124" s="102">
        <v>0</v>
      </c>
      <c r="R124" s="102">
        <v>0</v>
      </c>
      <c r="S124" s="102">
        <v>0</v>
      </c>
      <c r="T124" s="102">
        <f>IF(Q124&gt;0,S124*100/Q124,0)</f>
        <v>0</v>
      </c>
      <c r="U124" s="102">
        <f>IF(R124&gt;0,S124*100/R124,0)</f>
        <v>0</v>
      </c>
    </row>
    <row r="125" spans="1:21" ht="18.75" hidden="1">
      <c r="A125" s="155"/>
      <c r="B125" s="50"/>
      <c r="C125" s="50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256">
        <f ca="1">IFERROR(__xludf.DUMMYFUNCTION("IMPORTRANGE(""https://docs.google.com/spreadsheets/d/1-uDff_7J0KD5mKrp0Vvzr7lt3OU09vwQwhkpOPPYv2Y/edit?usp=sharing"",""งบพรบ!BJ32"")"),0)</f>
        <v>0</v>
      </c>
      <c r="M125" s="255">
        <f ca="1">IFERROR(__xludf.DUMMYFUNCTION("IMPORTRANGE(""https://docs.google.com/spreadsheets/d/1-uDff_7J0KD5mKrp0Vvzr7lt3OU09vwQwhkpOPPYv2Y/edit?usp=sharing"",""งบพรบ!BM32"")"),0)</f>
        <v>0</v>
      </c>
      <c r="N125" s="255">
        <f ca="1">IFERROR(__xludf.DUMMYFUNCTION("IMPORTRANGE(""https://docs.google.com/spreadsheets/d/1-uDff_7J0KD5mKrp0Vvzr7lt3OU09vwQwhkpOPPYv2Y/edit?usp=sharing"",""งบพรบ!BO32"")"),0)</f>
        <v>0</v>
      </c>
      <c r="O125" s="255">
        <f ca="1">IF(L125&gt;0,N125*100/L125,0)</f>
        <v>0</v>
      </c>
      <c r="P125" s="255">
        <f ca="1">IF(M125&gt;0,N125*100/M125,0)</f>
        <v>0</v>
      </c>
      <c r="Q125" s="255">
        <v>0</v>
      </c>
      <c r="R125" s="255">
        <v>0</v>
      </c>
      <c r="S125" s="255">
        <v>0</v>
      </c>
      <c r="T125" s="255">
        <f>IF(Q125&gt;0,S125*100/Q125,0)</f>
        <v>0</v>
      </c>
      <c r="U125" s="255">
        <f>IF(R125&gt;0,S125*100/R125,0)</f>
        <v>0</v>
      </c>
    </row>
    <row r="126" spans="1:21" ht="19.5">
      <c r="A126" s="166"/>
      <c r="B126" s="167"/>
      <c r="C126" s="205" t="s">
        <v>18</v>
      </c>
      <c r="D126" s="566" t="s">
        <v>38</v>
      </c>
      <c r="E126" s="169"/>
      <c r="F126" s="169"/>
      <c r="G126" s="170"/>
      <c r="H126" s="206"/>
      <c r="I126" s="54"/>
      <c r="J126" s="54"/>
      <c r="K126" s="55"/>
      <c r="L126" s="62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212">
        <f ca="1">IFERROR(__xludf.DUMMYFUNCTION("IMPORTRANGE(""https://docs.google.com/spreadsheets/d/1eHaY18a8A9IcSdp1K8H6x8fbOy06t2VsZHhMHf-1x7Y/edit?usp=sharing"",""แผน!FF32"")"),20)</f>
        <v>20</v>
      </c>
      <c r="J127" s="467">
        <v>20</v>
      </c>
      <c r="K127" s="255">
        <f ca="1">IF(I127&gt;0,J127*100/I127,0)</f>
        <v>100</v>
      </c>
      <c r="L127" s="62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212">
        <f ca="1">IFERROR(__xludf.DUMMYFUNCTION("IMPORTRANGE(""https://docs.google.com/spreadsheets/d/1eHaY18a8A9IcSdp1K8H6x8fbOy06t2VsZHhMHf-1x7Y/edit?usp=sharing"",""แผน!FG32"")"),0)</f>
        <v>0</v>
      </c>
      <c r="J128" s="467">
        <v>0</v>
      </c>
      <c r="K128" s="255">
        <f ca="1">IF(I128&gt;0,J128*100/I128,0)</f>
        <v>0</v>
      </c>
      <c r="L128" s="62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212">
        <f ca="1">IFERROR(__xludf.DUMMYFUNCTION("IMPORTRANGE(""https://docs.google.com/spreadsheets/d/1eHaY18a8A9IcSdp1K8H6x8fbOy06t2VsZHhMHf-1x7Y/edit?usp=sharing"",""แผน!FH32"")"),20)</f>
        <v>20</v>
      </c>
      <c r="J129" s="467">
        <v>0</v>
      </c>
      <c r="K129" s="255">
        <f ca="1">IF(I129&gt;0,J129*100/I129,0)</f>
        <v>0</v>
      </c>
      <c r="L129" s="62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212">
        <f ca="1">IFERROR(__xludf.DUMMYFUNCTION("IMPORTRANGE(""https://docs.google.com/spreadsheets/d/1eHaY18a8A9IcSdp1K8H6x8fbOy06t2VsZHhMHf-1x7Y/edit?usp=sharing"",""แผน!FI32"")"),0)</f>
        <v>0</v>
      </c>
      <c r="J130" s="467">
        <v>0</v>
      </c>
      <c r="K130" s="255">
        <f ca="1">IF(I130&gt;0,J130*100/I130,0)</f>
        <v>0</v>
      </c>
      <c r="L130" s="62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8.75" hidden="1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62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8.75" hidden="1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62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2.75" hidden="1">
      <c r="A133" s="192"/>
      <c r="B133" s="193"/>
      <c r="C133" s="193"/>
      <c r="D133" s="22"/>
      <c r="E133" s="22"/>
      <c r="F133" s="22"/>
      <c r="G133" s="23"/>
      <c r="H133" s="209"/>
      <c r="I133" s="24"/>
      <c r="J133" s="24"/>
      <c r="K133" s="25"/>
      <c r="L133" s="26"/>
      <c r="M133" s="25"/>
      <c r="N133" s="25"/>
      <c r="O133" s="25"/>
      <c r="P133" s="25"/>
      <c r="Q133" s="25"/>
      <c r="R133" s="25"/>
      <c r="S133" s="25"/>
      <c r="T133" s="25"/>
      <c r="U133" s="25"/>
    </row>
    <row r="134" spans="1:21" ht="19.5" hidden="1">
      <c r="A134" s="143" t="s">
        <v>58</v>
      </c>
      <c r="B134" s="144"/>
      <c r="C134" s="196"/>
      <c r="D134" s="144"/>
      <c r="E134" s="144"/>
      <c r="F134" s="144"/>
      <c r="G134" s="144"/>
      <c r="H134" s="144"/>
      <c r="I134" s="197"/>
      <c r="J134" s="197"/>
      <c r="K134" s="19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</row>
    <row r="135" spans="1:21" ht="19.5" hidden="1">
      <c r="A135" s="150"/>
      <c r="B135" s="35" t="s">
        <v>59</v>
      </c>
      <c r="C135" s="200"/>
      <c r="D135" s="151"/>
      <c r="E135" s="34"/>
      <c r="F135" s="34"/>
      <c r="G135" s="34"/>
      <c r="H135" s="34"/>
      <c r="I135" s="210"/>
      <c r="J135" s="39"/>
      <c r="K135" s="40"/>
      <c r="L135" s="154"/>
      <c r="M135" s="40"/>
      <c r="N135" s="40"/>
      <c r="O135" s="40"/>
      <c r="P135" s="40"/>
      <c r="Q135" s="40"/>
      <c r="R135" s="40"/>
      <c r="S135" s="40"/>
      <c r="T135" s="40"/>
      <c r="U135" s="40"/>
    </row>
    <row r="136" spans="1:21" ht="19.5" hidden="1">
      <c r="A136" s="150"/>
      <c r="B136" s="34"/>
      <c r="C136" s="211" t="s">
        <v>60</v>
      </c>
      <c r="D136" s="151"/>
      <c r="E136" s="34"/>
      <c r="F136" s="34"/>
      <c r="G136" s="37"/>
      <c r="H136" s="152" t="s">
        <v>61</v>
      </c>
      <c r="I136" s="721">
        <f ca="1">I154</f>
        <v>0</v>
      </c>
      <c r="J136" s="721">
        <f>J154</f>
        <v>0</v>
      </c>
      <c r="K136" s="720">
        <f ca="1">IF(I136&gt;0,J136*100/I136,0)</f>
        <v>0</v>
      </c>
      <c r="L136" s="154"/>
      <c r="M136" s="40"/>
      <c r="N136" s="40"/>
      <c r="O136" s="40"/>
      <c r="P136" s="40"/>
      <c r="Q136" s="40"/>
      <c r="R136" s="40"/>
      <c r="S136" s="40"/>
      <c r="T136" s="40"/>
      <c r="U136" s="40"/>
    </row>
    <row r="137" spans="1:21" ht="19.5" hidden="1">
      <c r="A137" s="150"/>
      <c r="B137" s="34"/>
      <c r="C137" s="211" t="s">
        <v>62</v>
      </c>
      <c r="D137" s="151"/>
      <c r="E137" s="34"/>
      <c r="F137" s="34"/>
      <c r="G137" s="37"/>
      <c r="H137" s="152" t="s">
        <v>35</v>
      </c>
      <c r="I137" s="721">
        <f ca="1">I152</f>
        <v>0</v>
      </c>
      <c r="J137" s="721">
        <f>J152</f>
        <v>0</v>
      </c>
      <c r="K137" s="720">
        <f ca="1">IF(I137&gt;0,J137*100/I137,0)</f>
        <v>0</v>
      </c>
      <c r="L137" s="154"/>
      <c r="M137" s="40"/>
      <c r="N137" s="40"/>
      <c r="O137" s="40"/>
      <c r="P137" s="40"/>
      <c r="Q137" s="40"/>
      <c r="R137" s="40"/>
      <c r="S137" s="40"/>
      <c r="T137" s="40"/>
      <c r="U137" s="40"/>
    </row>
    <row r="138" spans="1:21" ht="19.5" hidden="1">
      <c r="A138" s="150"/>
      <c r="B138" s="34"/>
      <c r="C138" s="200"/>
      <c r="D138" s="151"/>
      <c r="E138" s="34"/>
      <c r="F138" s="34"/>
      <c r="G138" s="37"/>
      <c r="H138" s="152" t="s">
        <v>54</v>
      </c>
      <c r="I138" s="721">
        <f ca="1">I153</f>
        <v>0</v>
      </c>
      <c r="J138" s="721">
        <f>J153</f>
        <v>0</v>
      </c>
      <c r="K138" s="720">
        <f ca="1">IF(I138&gt;0,J138*100/I138,0)</f>
        <v>0</v>
      </c>
      <c r="L138" s="154"/>
      <c r="M138" s="40"/>
      <c r="N138" s="40"/>
      <c r="O138" s="40"/>
      <c r="P138" s="40"/>
      <c r="Q138" s="40"/>
      <c r="R138" s="40"/>
      <c r="S138" s="40"/>
      <c r="T138" s="40"/>
      <c r="U138" s="40"/>
    </row>
    <row r="139" spans="1:21" ht="19.5" hidden="1">
      <c r="A139" s="155"/>
      <c r="B139" s="50"/>
      <c r="C139" s="156" t="s">
        <v>18</v>
      </c>
      <c r="D139" s="575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541">
        <f ca="1">L140+L141</f>
        <v>0</v>
      </c>
      <c r="M139" s="540">
        <f ca="1">M140+M141</f>
        <v>0</v>
      </c>
      <c r="N139" s="540">
        <f ca="1">N140+N141</f>
        <v>0</v>
      </c>
      <c r="O139" s="540">
        <f ca="1">IF(L139&gt;0,N139*100/L139,0)</f>
        <v>0</v>
      </c>
      <c r="P139" s="540">
        <f ca="1">IF(M139&gt;0,N139*100/M139,0)</f>
        <v>0</v>
      </c>
      <c r="Q139" s="540">
        <f ca="1">Q140+Q141</f>
        <v>0</v>
      </c>
      <c r="R139" s="540">
        <f ca="1">R140+R141</f>
        <v>0</v>
      </c>
      <c r="S139" s="540">
        <f ca="1">S140+S141</f>
        <v>0</v>
      </c>
      <c r="T139" s="540">
        <f ca="1">IF(Q139&gt;0,S139*100/Q139,0)</f>
        <v>0</v>
      </c>
      <c r="U139" s="540">
        <f ca="1">IF(R139&gt;0,S139*100/R139,0)</f>
        <v>0</v>
      </c>
    </row>
    <row r="140" spans="1:21" ht="18.75" hidden="1">
      <c r="A140" s="155"/>
      <c r="B140" s="50"/>
      <c r="C140" s="50"/>
      <c r="D140" s="50"/>
      <c r="E140" s="186" t="s">
        <v>20</v>
      </c>
      <c r="F140" s="50"/>
      <c r="G140" s="52"/>
      <c r="H140" s="187" t="s">
        <v>14</v>
      </c>
      <c r="I140" s="54"/>
      <c r="J140" s="54"/>
      <c r="K140" s="55"/>
      <c r="L140" s="103">
        <f>L143+L146</f>
        <v>0</v>
      </c>
      <c r="M140" s="102">
        <f>M143+M146</f>
        <v>0</v>
      </c>
      <c r="N140" s="102">
        <f>N143+N146</f>
        <v>0</v>
      </c>
      <c r="O140" s="102">
        <f>IF(L140&gt;0,N140*100/L140,0)</f>
        <v>0</v>
      </c>
      <c r="P140" s="102">
        <f>IF(M140&gt;0,N140*100/M140,0)</f>
        <v>0</v>
      </c>
      <c r="Q140" s="102">
        <f>Q143+Q146</f>
        <v>0</v>
      </c>
      <c r="R140" s="102">
        <f>R143+R146</f>
        <v>0</v>
      </c>
      <c r="S140" s="102">
        <f>S143+S146</f>
        <v>0</v>
      </c>
      <c r="T140" s="102">
        <f>IF(Q140&gt;0,S140*100/Q140,0)</f>
        <v>0</v>
      </c>
      <c r="U140" s="102">
        <f>IF(R140&gt;0,S140*100/R140,0)</f>
        <v>0</v>
      </c>
    </row>
    <row r="141" spans="1:21" ht="18.75" hidden="1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256">
        <f ca="1">L144+L147</f>
        <v>0</v>
      </c>
      <c r="M141" s="255">
        <f ca="1">M144+M147</f>
        <v>0</v>
      </c>
      <c r="N141" s="255">
        <f ca="1">N144+N147</f>
        <v>0</v>
      </c>
      <c r="O141" s="255">
        <f ca="1">IF(L141&gt;0,N141*100/L141,0)</f>
        <v>0</v>
      </c>
      <c r="P141" s="255">
        <f ca="1">IF(M141&gt;0,N141*100/M141,0)</f>
        <v>0</v>
      </c>
      <c r="Q141" s="255">
        <f ca="1">Q144+Q147</f>
        <v>0</v>
      </c>
      <c r="R141" s="255">
        <f ca="1">R144+R147</f>
        <v>0</v>
      </c>
      <c r="S141" s="255">
        <f ca="1">S144+S147</f>
        <v>0</v>
      </c>
      <c r="T141" s="255">
        <f ca="1">IF(Q141&gt;0,S141*100/Q141,0)</f>
        <v>0</v>
      </c>
      <c r="U141" s="255">
        <f ca="1">IF(R141&gt;0,S141*100/R141,0)</f>
        <v>0</v>
      </c>
    </row>
    <row r="142" spans="1:21" ht="18.75" hidden="1">
      <c r="A142" s="155"/>
      <c r="B142" s="50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256">
        <f ca="1">L143+L144</f>
        <v>0</v>
      </c>
      <c r="M142" s="255">
        <f ca="1">M143+M144</f>
        <v>0</v>
      </c>
      <c r="N142" s="255">
        <f ca="1">N143+N144</f>
        <v>0</v>
      </c>
      <c r="O142" s="255">
        <f ca="1">IF(L142&gt;0,N142*100/L142,0)</f>
        <v>0</v>
      </c>
      <c r="P142" s="255">
        <f ca="1">IF(M142&gt;0,N142*100/M142,0)</f>
        <v>0</v>
      </c>
      <c r="Q142" s="255">
        <f ca="1">Q143+Q144</f>
        <v>0</v>
      </c>
      <c r="R142" s="255">
        <f ca="1">R143+R144</f>
        <v>0</v>
      </c>
      <c r="S142" s="255">
        <f ca="1">S143+S144</f>
        <v>0</v>
      </c>
      <c r="T142" s="255">
        <f ca="1">IF(Q142&gt;0,S142*100/Q142,0)</f>
        <v>0</v>
      </c>
      <c r="U142" s="255">
        <f ca="1">IF(R142&gt;0,S142*100/R142,0)</f>
        <v>0</v>
      </c>
    </row>
    <row r="143" spans="1:21" ht="18.75" hidden="1">
      <c r="A143" s="155"/>
      <c r="B143" s="50"/>
      <c r="C143" s="50"/>
      <c r="D143" s="50"/>
      <c r="E143" s="186" t="s">
        <v>36</v>
      </c>
      <c r="F143" s="50"/>
      <c r="G143" s="52"/>
      <c r="H143" s="189" t="s">
        <v>14</v>
      </c>
      <c r="I143" s="163"/>
      <c r="J143" s="163"/>
      <c r="K143" s="164"/>
      <c r="L143" s="103">
        <v>0</v>
      </c>
      <c r="M143" s="102">
        <v>0</v>
      </c>
      <c r="N143" s="102">
        <v>0</v>
      </c>
      <c r="O143" s="102">
        <f>IF(L143&gt;0,N143*100/L143,0)</f>
        <v>0</v>
      </c>
      <c r="P143" s="102">
        <f>IF(M143&gt;0,N143*100/M143,0)</f>
        <v>0</v>
      </c>
      <c r="Q143" s="102">
        <v>0</v>
      </c>
      <c r="R143" s="102">
        <v>0</v>
      </c>
      <c r="S143" s="102">
        <v>0</v>
      </c>
      <c r="T143" s="102">
        <f>IF(Q143&gt;0,S143*100/Q143,0)</f>
        <v>0</v>
      </c>
      <c r="U143" s="102">
        <f>IF(R143&gt;0,S143*100/R143,0)</f>
        <v>0</v>
      </c>
    </row>
    <row r="144" spans="1:21" ht="18.75" hidden="1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256">
        <f ca="1">IFERROR(__xludf.DUMMYFUNCTION("IMPORTRANGE(""https://docs.google.com/spreadsheets/d/1-uDff_7J0KD5mKrp0Vvzr7lt3OU09vwQwhkpOPPYv2Y/edit?usp=sharing"",""งบพรบ!BQ32"")"),0)</f>
        <v>0</v>
      </c>
      <c r="M144" s="255">
        <f ca="1">IFERROR(__xludf.DUMMYFUNCTION("IMPORTRANGE(""https://docs.google.com/spreadsheets/d/1-uDff_7J0KD5mKrp0Vvzr7lt3OU09vwQwhkpOPPYv2Y/edit?usp=sharing"",""งบพรบ!BV32"")"),0)</f>
        <v>0</v>
      </c>
      <c r="N144" s="255">
        <f ca="1">IFERROR(__xludf.DUMMYFUNCTION("IMPORTRANGE(""https://docs.google.com/spreadsheets/d/1-uDff_7J0KD5mKrp0Vvzr7lt3OU09vwQwhkpOPPYv2Y/edit?usp=sharing"",""งบพรบ!BX32"")"),0)</f>
        <v>0</v>
      </c>
      <c r="O144" s="255">
        <f ca="1">IF(L144&gt;0,N144*100/L144,0)</f>
        <v>0</v>
      </c>
      <c r="P144" s="255">
        <f ca="1">IF(M144&gt;0,N144*100/M144,0)</f>
        <v>0</v>
      </c>
      <c r="Q144" s="255">
        <f ca="1">IFERROR(__xludf.DUMMYFUNCTION("IMPORTRANGE(""https://docs.google.com/spreadsheets/d/1ItG2mGa2ceCfYo0BwxsXqNm01IGEUdYcSSLTEv9YCik/edit?usp=sharing"",""เบิกจ่ายกองทุน!BB32"")"),0)</f>
        <v>0</v>
      </c>
      <c r="R144" s="255">
        <f ca="1">IFERROR(__xludf.DUMMYFUNCTION("IMPORTRANGE(""https://docs.google.com/spreadsheets/d/1ItG2mGa2ceCfYo0BwxsXqNm01IGEUdYcSSLTEv9YCik/edit?usp=sharing"",""เบิกจ่ายกองทุน!BC32"")"),0)</f>
        <v>0</v>
      </c>
      <c r="S144" s="255">
        <f ca="1">IFERROR(__xludf.DUMMYFUNCTION("IMPORTRANGE(""https://docs.google.com/spreadsheets/d/1ItG2mGa2ceCfYo0BwxsXqNm01IGEUdYcSSLTEv9YCik/edit?usp=sharing"",""เบิกจ่ายกองทุน!BD32"")"),0)</f>
        <v>0</v>
      </c>
      <c r="T144" s="255">
        <f ca="1">IF(Q144&gt;0,S144*100/Q144,0)</f>
        <v>0</v>
      </c>
      <c r="U144" s="255">
        <f ca="1">IF(R144&gt;0,S144*100/R144,0)</f>
        <v>0</v>
      </c>
    </row>
    <row r="145" spans="1:21" ht="18.75" hidden="1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256">
        <f ca="1">L146+L147</f>
        <v>0</v>
      </c>
      <c r="M145" s="255">
        <f ca="1">M146+M147</f>
        <v>0</v>
      </c>
      <c r="N145" s="255">
        <f ca="1">N146+N147</f>
        <v>0</v>
      </c>
      <c r="O145" s="255">
        <f ca="1">IF(L145&gt;0,N145*100/L145,0)</f>
        <v>0</v>
      </c>
      <c r="P145" s="255">
        <f ca="1">IF(M145&gt;0,N145*100/M145,0)</f>
        <v>0</v>
      </c>
      <c r="Q145" s="255">
        <f>Q146+Q147</f>
        <v>0</v>
      </c>
      <c r="R145" s="255">
        <f>R146+R147</f>
        <v>0</v>
      </c>
      <c r="S145" s="255">
        <f>S146+S147</f>
        <v>0</v>
      </c>
      <c r="T145" s="255">
        <f>IF(Q145&gt;0,S145*100/Q145,0)</f>
        <v>0</v>
      </c>
      <c r="U145" s="255">
        <f>IF(R145&gt;0,S145*100/R145,0)</f>
        <v>0</v>
      </c>
    </row>
    <row r="146" spans="1:21" ht="18.75" hidden="1">
      <c r="A146" s="155"/>
      <c r="B146" s="50"/>
      <c r="C146" s="50"/>
      <c r="D146" s="50"/>
      <c r="E146" s="186" t="s">
        <v>20</v>
      </c>
      <c r="F146" s="50"/>
      <c r="G146" s="52"/>
      <c r="H146" s="189" t="s">
        <v>14</v>
      </c>
      <c r="I146" s="163"/>
      <c r="J146" s="163"/>
      <c r="K146" s="164"/>
      <c r="L146" s="103">
        <v>0</v>
      </c>
      <c r="M146" s="102">
        <v>0</v>
      </c>
      <c r="N146" s="102">
        <v>0</v>
      </c>
      <c r="O146" s="102">
        <f>IF(L146&gt;0,N146*100/L146,0)</f>
        <v>0</v>
      </c>
      <c r="P146" s="102">
        <f>IF(M146&gt;0,N146*100/M146,0)</f>
        <v>0</v>
      </c>
      <c r="Q146" s="102">
        <v>0</v>
      </c>
      <c r="R146" s="102">
        <v>0</v>
      </c>
      <c r="S146" s="102">
        <v>0</v>
      </c>
      <c r="T146" s="102">
        <f>IF(Q146&gt;0,S146*100/Q146,0)</f>
        <v>0</v>
      </c>
      <c r="U146" s="102">
        <f>IF(R146&gt;0,S146*100/R146,0)</f>
        <v>0</v>
      </c>
    </row>
    <row r="147" spans="1:21" ht="18.75" hidden="1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256">
        <f ca="1">IFERROR(__xludf.DUMMYFUNCTION("IMPORTRANGE(""https://docs.google.com/spreadsheets/d/1-uDff_7J0KD5mKrp0Vvzr7lt3OU09vwQwhkpOPPYv2Y/edit?usp=sharing"",""งบพรบ!BT32"")"),0)</f>
        <v>0</v>
      </c>
      <c r="M147" s="255">
        <f ca="1">IFERROR(__xludf.DUMMYFUNCTION("IMPORTRANGE(""https://docs.google.com/spreadsheets/d/1-uDff_7J0KD5mKrp0Vvzr7lt3OU09vwQwhkpOPPYv2Y/edit?usp=sharing"",""งบพรบ!BW32"")"),0)</f>
        <v>0</v>
      </c>
      <c r="N147" s="255">
        <f ca="1">IFERROR(__xludf.DUMMYFUNCTION("IMPORTRANGE(""https://docs.google.com/spreadsheets/d/1-uDff_7J0KD5mKrp0Vvzr7lt3OU09vwQwhkpOPPYv2Y/edit?usp=sharing"",""งบพรบ!BY32"")"),0)</f>
        <v>0</v>
      </c>
      <c r="O147" s="255">
        <f ca="1">IF(L147&gt;0,N147*100/L147,0)</f>
        <v>0</v>
      </c>
      <c r="P147" s="255">
        <f ca="1">IF(M147&gt;0,N147*100/M147,0)</f>
        <v>0</v>
      </c>
      <c r="Q147" s="255">
        <v>0</v>
      </c>
      <c r="R147" s="255">
        <v>0</v>
      </c>
      <c r="S147" s="255">
        <v>0</v>
      </c>
      <c r="T147" s="255">
        <f>IF(Q147&gt;0,S147*100/Q147,0)</f>
        <v>0</v>
      </c>
      <c r="U147" s="255">
        <f>IF(R147&gt;0,S147*100/R147,0)</f>
        <v>0</v>
      </c>
    </row>
    <row r="148" spans="1:21" ht="19.5" hidden="1">
      <c r="A148" s="166"/>
      <c r="B148" s="167"/>
      <c r="C148" s="156" t="s">
        <v>18</v>
      </c>
      <c r="D148" s="566" t="s">
        <v>38</v>
      </c>
      <c r="E148" s="169"/>
      <c r="F148" s="169"/>
      <c r="G148" s="170"/>
      <c r="H148" s="206"/>
      <c r="I148" s="54"/>
      <c r="J148" s="54"/>
      <c r="K148" s="55"/>
      <c r="L148" s="62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8.75" hidden="1">
      <c r="A149" s="155"/>
      <c r="B149" s="50"/>
      <c r="C149" s="50"/>
      <c r="D149" s="58" t="s">
        <v>63</v>
      </c>
      <c r="E149" s="50"/>
      <c r="F149" s="50"/>
      <c r="G149" s="52"/>
      <c r="H149" s="206"/>
      <c r="I149" s="54"/>
      <c r="J149" s="467">
        <v>0</v>
      </c>
      <c r="K149" s="55"/>
      <c r="L149" s="62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9.5" hidden="1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212">
        <f ca="1">IFERROR(__xludf.DUMMYFUNCTION("IMPORTRANGE(""https://docs.google.com/spreadsheets/d/1eHaY18a8A9IcSdp1K8H6x8fbOy06t2VsZHhMHf-1x7Y/edit?usp=sharing"",""แผน!U32"")"),0)</f>
        <v>0</v>
      </c>
      <c r="J150" s="467">
        <v>0</v>
      </c>
      <c r="K150" s="255">
        <f ca="1">IF(I150&gt;0,J150*100/I150,0)</f>
        <v>0</v>
      </c>
      <c r="L150" s="62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8.75" hidden="1">
      <c r="A151" s="155"/>
      <c r="B151" s="50"/>
      <c r="C151" s="50"/>
      <c r="D151" s="174"/>
      <c r="E151" s="50"/>
      <c r="F151" s="50"/>
      <c r="G151" s="52"/>
      <c r="H151" s="165" t="s">
        <v>54</v>
      </c>
      <c r="I151" s="212">
        <f ca="1">IFERROR(__xludf.DUMMYFUNCTION("IMPORTRANGE(""https://docs.google.com/spreadsheets/d/1eHaY18a8A9IcSdp1K8H6x8fbOy06t2VsZHhMHf-1x7Y/edit?usp=sharing"",""แผน!V32"")"),0)</f>
        <v>0</v>
      </c>
      <c r="J151" s="467">
        <v>0</v>
      </c>
      <c r="K151" s="255">
        <f ca="1">IF(I151&gt;0,J151*100/I151,0)</f>
        <v>0</v>
      </c>
      <c r="L151" s="62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9.5" hidden="1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212">
        <f ca="1">IFERROR(__xludf.DUMMYFUNCTION("IMPORTRANGE(""https://docs.google.com/spreadsheets/d/1eHaY18a8A9IcSdp1K8H6x8fbOy06t2VsZHhMHf-1x7Y/edit?usp=sharing"",""แผน!W32"")"),0)</f>
        <v>0</v>
      </c>
      <c r="J152" s="467">
        <v>0</v>
      </c>
      <c r="K152" s="255">
        <f ca="1">IF(I152&gt;0,J152*100/I152,0)</f>
        <v>0</v>
      </c>
      <c r="L152" s="62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8.75" hidden="1">
      <c r="A153" s="155"/>
      <c r="B153" s="50"/>
      <c r="C153" s="50"/>
      <c r="D153" s="50"/>
      <c r="E153" s="50"/>
      <c r="F153" s="50"/>
      <c r="G153" s="52"/>
      <c r="H153" s="165" t="s">
        <v>54</v>
      </c>
      <c r="I153" s="212">
        <f ca="1">IFERROR(__xludf.DUMMYFUNCTION("IMPORTRANGE(""https://docs.google.com/spreadsheets/d/1eHaY18a8A9IcSdp1K8H6x8fbOy06t2VsZHhMHf-1x7Y/edit?usp=sharing"",""แผน!X32"")"),0)</f>
        <v>0</v>
      </c>
      <c r="J153" s="467">
        <v>0</v>
      </c>
      <c r="K153" s="255">
        <f ca="1">IF(I153&gt;0,J153*100/I153,0)</f>
        <v>0</v>
      </c>
      <c r="L153" s="62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8.75" hidden="1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212">
        <f ca="1">IFERROR(__xludf.DUMMYFUNCTION("IMPORTRANGE(""https://docs.google.com/spreadsheets/d/1eHaY18a8A9IcSdp1K8H6x8fbOy06t2VsZHhMHf-1x7Y/edit?usp=sharing"",""แผน!Y32"")"),0)</f>
        <v>0</v>
      </c>
      <c r="J154" s="467">
        <v>0</v>
      </c>
      <c r="K154" s="255">
        <f ca="1">IF(I154&gt;0,J154*100/I154,0)</f>
        <v>0</v>
      </c>
      <c r="L154" s="62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9.5">
      <c r="A155" s="143" t="s">
        <v>67</v>
      </c>
      <c r="B155" s="144"/>
      <c r="C155" s="196"/>
      <c r="D155" s="144"/>
      <c r="E155" s="144"/>
      <c r="F155" s="144"/>
      <c r="G155" s="144"/>
      <c r="H155" s="144"/>
      <c r="I155" s="197"/>
      <c r="J155" s="197"/>
      <c r="K155" s="19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</row>
    <row r="156" spans="1:21" ht="19.5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721">
        <f ca="1">I167</f>
        <v>15</v>
      </c>
      <c r="J156" s="721">
        <f>J167</f>
        <v>15</v>
      </c>
      <c r="K156" s="720">
        <f ca="1">IF(I156&gt;0,J156*100/I156,0)</f>
        <v>100</v>
      </c>
      <c r="L156" s="154"/>
      <c r="M156" s="40"/>
      <c r="N156" s="40"/>
      <c r="O156" s="40"/>
      <c r="P156" s="40"/>
      <c r="Q156" s="40"/>
      <c r="R156" s="40"/>
      <c r="S156" s="40"/>
      <c r="T156" s="40"/>
      <c r="U156" s="40"/>
    </row>
    <row r="157" spans="1:21" ht="19.5">
      <c r="A157" s="155"/>
      <c r="B157" s="50"/>
      <c r="C157" s="156" t="s">
        <v>18</v>
      </c>
      <c r="D157" s="575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541">
        <f ca="1">L158+L159</f>
        <v>3000</v>
      </c>
      <c r="M157" s="540">
        <f ca="1">M158+M159</f>
        <v>10890</v>
      </c>
      <c r="N157" s="540">
        <f ca="1">N158+N159</f>
        <v>6108</v>
      </c>
      <c r="O157" s="540">
        <f ca="1">IF(L157&gt;0,N157*100/L157,0)</f>
        <v>203.6</v>
      </c>
      <c r="P157" s="540">
        <f ca="1">IF(M157&gt;0,N157*100/M157,0)</f>
        <v>56.088154269972449</v>
      </c>
      <c r="Q157" s="540">
        <f ca="1">Q158+Q159</f>
        <v>0</v>
      </c>
      <c r="R157" s="540">
        <f ca="1">R158+R159</f>
        <v>0</v>
      </c>
      <c r="S157" s="540">
        <f ca="1">S158+S159</f>
        <v>0</v>
      </c>
      <c r="T157" s="540">
        <f ca="1">IF(Q157&gt;0,S157*100/Q157,0)</f>
        <v>0</v>
      </c>
      <c r="U157" s="540">
        <f ca="1">IF(R157&gt;0,S157*100/R157,0)</f>
        <v>0</v>
      </c>
    </row>
    <row r="158" spans="1:21" ht="18.75" hidden="1">
      <c r="A158" s="155"/>
      <c r="B158" s="50"/>
      <c r="C158" s="50"/>
      <c r="D158" s="50"/>
      <c r="E158" s="186" t="s">
        <v>20</v>
      </c>
      <c r="F158" s="50"/>
      <c r="G158" s="52"/>
      <c r="H158" s="187" t="s">
        <v>14</v>
      </c>
      <c r="I158" s="54"/>
      <c r="J158" s="54"/>
      <c r="K158" s="55"/>
      <c r="L158" s="103">
        <f>L161+L164</f>
        <v>0</v>
      </c>
      <c r="M158" s="102">
        <f>M161+M164</f>
        <v>0</v>
      </c>
      <c r="N158" s="102">
        <f>N161+N164</f>
        <v>0</v>
      </c>
      <c r="O158" s="102">
        <f>IF(L158&gt;0,N158*100/L158,0)</f>
        <v>0</v>
      </c>
      <c r="P158" s="102">
        <f>IF(M158&gt;0,N158*100/M158,0)</f>
        <v>0</v>
      </c>
      <c r="Q158" s="102">
        <f>Q161+Q164</f>
        <v>0</v>
      </c>
      <c r="R158" s="102">
        <f>R161+R164</f>
        <v>0</v>
      </c>
      <c r="S158" s="102">
        <f>S161+S164</f>
        <v>0</v>
      </c>
      <c r="T158" s="102">
        <f>IF(Q158&gt;0,S158*100/Q158,0)</f>
        <v>0</v>
      </c>
      <c r="U158" s="102">
        <f>IF(R158&gt;0,S158*100/R158,0)</f>
        <v>0</v>
      </c>
    </row>
    <row r="159" spans="1:21" ht="18.75" hidden="1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256">
        <f ca="1">L162+L165</f>
        <v>3000</v>
      </c>
      <c r="M159" s="255">
        <f ca="1">M162+M165</f>
        <v>10890</v>
      </c>
      <c r="N159" s="255">
        <f ca="1">N162+N165</f>
        <v>6108</v>
      </c>
      <c r="O159" s="255">
        <f ca="1">IF(L159&gt;0,N159*100/L159,0)</f>
        <v>203.6</v>
      </c>
      <c r="P159" s="255">
        <f ca="1">IF(M159&gt;0,N159*100/M159,0)</f>
        <v>56.088154269972449</v>
      </c>
      <c r="Q159" s="255">
        <f ca="1">Q162+Q165</f>
        <v>0</v>
      </c>
      <c r="R159" s="255">
        <f ca="1">R162+R165</f>
        <v>0</v>
      </c>
      <c r="S159" s="255">
        <f ca="1">S162+S165</f>
        <v>0</v>
      </c>
      <c r="T159" s="255">
        <f ca="1">IF(Q159&gt;0,S159*100/Q159,0)</f>
        <v>0</v>
      </c>
      <c r="U159" s="255">
        <f ca="1">IF(R159&gt;0,S159*100/R159,0)</f>
        <v>0</v>
      </c>
    </row>
    <row r="160" spans="1:21" ht="18.75">
      <c r="A160" s="155"/>
      <c r="B160" s="50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256">
        <f ca="1">L161+L162</f>
        <v>3000</v>
      </c>
      <c r="M160" s="255">
        <f ca="1">M161+M162</f>
        <v>10890</v>
      </c>
      <c r="N160" s="255">
        <f ca="1">N161+N162</f>
        <v>6108</v>
      </c>
      <c r="O160" s="255">
        <f ca="1">IF(L160&gt;0,N160*100/L160,0)</f>
        <v>203.6</v>
      </c>
      <c r="P160" s="255">
        <f ca="1">IF(M160&gt;0,N160*100/M160,0)</f>
        <v>56.088154269972449</v>
      </c>
      <c r="Q160" s="255">
        <f ca="1">Q161+Q162</f>
        <v>0</v>
      </c>
      <c r="R160" s="255">
        <f ca="1">R161+R162</f>
        <v>0</v>
      </c>
      <c r="S160" s="255">
        <f ca="1">S161+S162</f>
        <v>0</v>
      </c>
      <c r="T160" s="255">
        <f ca="1">IF(Q160&gt;0,S160*100/Q160,0)</f>
        <v>0</v>
      </c>
      <c r="U160" s="255">
        <f ca="1">IF(R160&gt;0,S160*100/R160,0)</f>
        <v>0</v>
      </c>
    </row>
    <row r="161" spans="1:21" ht="18.75" hidden="1">
      <c r="A161" s="155"/>
      <c r="B161" s="50"/>
      <c r="C161" s="50"/>
      <c r="D161" s="50"/>
      <c r="E161" s="186" t="s">
        <v>36</v>
      </c>
      <c r="F161" s="50"/>
      <c r="G161" s="52"/>
      <c r="H161" s="189" t="s">
        <v>14</v>
      </c>
      <c r="I161" s="163"/>
      <c r="J161" s="163"/>
      <c r="K161" s="164"/>
      <c r="L161" s="103">
        <v>0</v>
      </c>
      <c r="M161" s="102">
        <v>0</v>
      </c>
      <c r="N161" s="102">
        <v>0</v>
      </c>
      <c r="O161" s="102">
        <f>IF(L161&gt;0,N161*100/L161,0)</f>
        <v>0</v>
      </c>
      <c r="P161" s="102">
        <f>IF(M161&gt;0,N161*100/M161,0)</f>
        <v>0</v>
      </c>
      <c r="Q161" s="102">
        <v>0</v>
      </c>
      <c r="R161" s="102">
        <v>0</v>
      </c>
      <c r="S161" s="102">
        <v>0</v>
      </c>
      <c r="T161" s="102">
        <f>IF(Q161&gt;0,S161*100/Q161,0)</f>
        <v>0</v>
      </c>
      <c r="U161" s="102">
        <f>IF(R161&gt;0,S161*100/R161,0)</f>
        <v>0</v>
      </c>
    </row>
    <row r="162" spans="1:21" ht="18.75" hidden="1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256">
        <f ca="1">IFERROR(__xludf.DUMMYFUNCTION("IMPORTRANGE(""https://docs.google.com/spreadsheets/d/1-uDff_7J0KD5mKrp0Vvzr7lt3OU09vwQwhkpOPPYv2Y/edit?usp=sharing"",""งบพรบ!CA32"")"),3000)</f>
        <v>3000</v>
      </c>
      <c r="M162" s="255">
        <f ca="1">IFERROR(__xludf.DUMMYFUNCTION("IMPORTRANGE(""https://docs.google.com/spreadsheets/d/1-uDff_7J0KD5mKrp0Vvzr7lt3OU09vwQwhkpOPPYv2Y/edit?usp=sharing"",""งบพรบ!CF32"")"),10890)</f>
        <v>10890</v>
      </c>
      <c r="N162" s="255">
        <f ca="1">IFERROR(__xludf.DUMMYFUNCTION("IMPORTRANGE(""https://docs.google.com/spreadsheets/d/1-uDff_7J0KD5mKrp0Vvzr7lt3OU09vwQwhkpOPPYv2Y/edit?usp=sharing"",""งบพรบ!CH32"")"),6108)</f>
        <v>6108</v>
      </c>
      <c r="O162" s="255">
        <f ca="1">IF(L162&gt;0,N162*100/L162,0)</f>
        <v>203.6</v>
      </c>
      <c r="P162" s="255">
        <f ca="1">IF(M162&gt;0,N162*100/M162,0)</f>
        <v>56.088154269972449</v>
      </c>
      <c r="Q162" s="255">
        <f ca="1">IFERROR(__xludf.DUMMYFUNCTION("IMPORTRANGE(""https://docs.google.com/spreadsheets/d/1ItG2mGa2ceCfYo0BwxsXqNm01IGEUdYcSSLTEv9YCik/edit?usp=sharing"",""เบิกจ่ายกองทุน!AG32"")"),0)</f>
        <v>0</v>
      </c>
      <c r="R162" s="255">
        <f ca="1">IFERROR(__xludf.DUMMYFUNCTION("IMPORTRANGE(""https://docs.google.com/spreadsheets/d/1ItG2mGa2ceCfYo0BwxsXqNm01IGEUdYcSSLTEv9YCik/edit?usp=sharing"",""เบิกจ่ายกองทุน!AH32"")"),0)</f>
        <v>0</v>
      </c>
      <c r="S162" s="255">
        <f ca="1">IFERROR(__xludf.DUMMYFUNCTION("IMPORTRANGE(""https://docs.google.com/spreadsheets/d/1ItG2mGa2ceCfYo0BwxsXqNm01IGEUdYcSSLTEv9YCik/edit?usp=sharing"",""เบิกจ่ายกองทุน!AI32"")"),0)</f>
        <v>0</v>
      </c>
      <c r="T162" s="255">
        <f ca="1">IF(Q162&gt;0,S162*100/Q162,0)</f>
        <v>0</v>
      </c>
      <c r="U162" s="255">
        <f ca="1">IF(R162&gt;0,S162*100/R162,0)</f>
        <v>0</v>
      </c>
    </row>
    <row r="163" spans="1:21" ht="18.75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256">
        <f ca="1">L164+L165</f>
        <v>0</v>
      </c>
      <c r="M163" s="255">
        <f ca="1">M164+M165</f>
        <v>0</v>
      </c>
      <c r="N163" s="255">
        <f ca="1">N164+N165</f>
        <v>0</v>
      </c>
      <c r="O163" s="255">
        <f ca="1">IF(L163&gt;0,N163*100/L163,0)</f>
        <v>0</v>
      </c>
      <c r="P163" s="255">
        <f ca="1">IF(M163&gt;0,N163*100/M163,0)</f>
        <v>0</v>
      </c>
      <c r="Q163" s="255">
        <f>Q164+Q165</f>
        <v>0</v>
      </c>
      <c r="R163" s="255">
        <f>R164+R165</f>
        <v>0</v>
      </c>
      <c r="S163" s="255">
        <f>S164+S165</f>
        <v>0</v>
      </c>
      <c r="T163" s="255">
        <f>IF(Q163&gt;0,S163*100/Q163,0)</f>
        <v>0</v>
      </c>
      <c r="U163" s="255">
        <f>IF(R163&gt;0,S163*100/R163,0)</f>
        <v>0</v>
      </c>
    </row>
    <row r="164" spans="1:21" ht="18.75" hidden="1">
      <c r="A164" s="155"/>
      <c r="B164" s="50"/>
      <c r="C164" s="50"/>
      <c r="D164" s="50"/>
      <c r="E164" s="186" t="s">
        <v>20</v>
      </c>
      <c r="F164" s="50"/>
      <c r="G164" s="52"/>
      <c r="H164" s="189" t="s">
        <v>14</v>
      </c>
      <c r="I164" s="163"/>
      <c r="J164" s="163"/>
      <c r="K164" s="164"/>
      <c r="L164" s="103">
        <v>0</v>
      </c>
      <c r="M164" s="102">
        <v>0</v>
      </c>
      <c r="N164" s="102">
        <v>0</v>
      </c>
      <c r="O164" s="102">
        <f>IF(L164&gt;0,N164*100/L164,0)</f>
        <v>0</v>
      </c>
      <c r="P164" s="102">
        <f>IF(M164&gt;0,N164*100/M164,0)</f>
        <v>0</v>
      </c>
      <c r="Q164" s="102">
        <v>0</v>
      </c>
      <c r="R164" s="102">
        <v>0</v>
      </c>
      <c r="S164" s="102">
        <v>0</v>
      </c>
      <c r="T164" s="102">
        <f>IF(Q164&gt;0,S164*100/Q164,0)</f>
        <v>0</v>
      </c>
      <c r="U164" s="102">
        <f>IF(R164&gt;0,S164*100/R164,0)</f>
        <v>0</v>
      </c>
    </row>
    <row r="165" spans="1:21" ht="18.75" hidden="1">
      <c r="A165" s="155"/>
      <c r="B165" s="50"/>
      <c r="C165" s="50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256">
        <f ca="1">IFERROR(__xludf.DUMMYFUNCTION("IMPORTRANGE(""https://docs.google.com/spreadsheets/d/1-uDff_7J0KD5mKrp0Vvzr7lt3OU09vwQwhkpOPPYv2Y/edit?usp=sharing"",""งบพรบ!CD32"")"),0)</f>
        <v>0</v>
      </c>
      <c r="M165" s="255">
        <f ca="1">IFERROR(__xludf.DUMMYFUNCTION("IMPORTRANGE(""https://docs.google.com/spreadsheets/d/1-uDff_7J0KD5mKrp0Vvzr7lt3OU09vwQwhkpOPPYv2Y/edit?usp=sharing"",""งบพรบ!CG32"")"),0)</f>
        <v>0</v>
      </c>
      <c r="N165" s="255">
        <f ca="1">IFERROR(__xludf.DUMMYFUNCTION("IMPORTRANGE(""https://docs.google.com/spreadsheets/d/1-uDff_7J0KD5mKrp0Vvzr7lt3OU09vwQwhkpOPPYv2Y/edit?usp=sharing"",""งบพรบ!CI32"")"),0)</f>
        <v>0</v>
      </c>
      <c r="O165" s="255">
        <f ca="1">IF(L165&gt;0,N165*100/L165,0)</f>
        <v>0</v>
      </c>
      <c r="P165" s="255">
        <f ca="1">IF(M165&gt;0,N165*100/M165,0)</f>
        <v>0</v>
      </c>
      <c r="Q165" s="255">
        <v>0</v>
      </c>
      <c r="R165" s="255">
        <v>0</v>
      </c>
      <c r="S165" s="255">
        <v>0</v>
      </c>
      <c r="T165" s="255">
        <f>IF(Q165&gt;0,S165*100/Q165,0)</f>
        <v>0</v>
      </c>
      <c r="U165" s="255">
        <f>IF(R165&gt;0,S165*100/R165,0)</f>
        <v>0</v>
      </c>
    </row>
    <row r="166" spans="1:21" ht="19.5">
      <c r="A166" s="166"/>
      <c r="B166" s="167"/>
      <c r="C166" s="156" t="s">
        <v>18</v>
      </c>
      <c r="D166" s="566" t="s">
        <v>38</v>
      </c>
      <c r="E166" s="169"/>
      <c r="F166" s="169"/>
      <c r="G166" s="170"/>
      <c r="H166" s="206"/>
      <c r="I166" s="54"/>
      <c r="J166" s="54"/>
      <c r="K166" s="55"/>
      <c r="L166" s="62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8.75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212">
        <f ca="1">IFERROR(__xludf.DUMMYFUNCTION("IMPORTRANGE(""https://docs.google.com/spreadsheets/d/1eHaY18a8A9IcSdp1K8H6x8fbOy06t2VsZHhMHf-1x7Y/edit?usp=sharing"",""แผน!Z32"")"),15)</f>
        <v>15</v>
      </c>
      <c r="J167" s="467">
        <v>15</v>
      </c>
      <c r="K167" s="255">
        <f ca="1">IF(I167&gt;0,J167*100/I167,0)</f>
        <v>100</v>
      </c>
      <c r="L167" s="62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8.75" hidden="1">
      <c r="A168" s="155"/>
      <c r="B168" s="50"/>
      <c r="C168" s="50"/>
      <c r="D168" s="186" t="s">
        <v>70</v>
      </c>
      <c r="E168" s="50"/>
      <c r="F168" s="50"/>
      <c r="G168" s="52"/>
      <c r="H168" s="421" t="s">
        <v>35</v>
      </c>
      <c r="I168" s="483">
        <f ca="1">I167</f>
        <v>15</v>
      </c>
      <c r="J168" s="589">
        <v>0</v>
      </c>
      <c r="K168" s="102">
        <f ca="1">IF(I168&gt;0,J168*100/I168,0)</f>
        <v>0</v>
      </c>
      <c r="L168" s="62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8.75" hidden="1">
      <c r="A169" s="213"/>
      <c r="B169" s="4"/>
      <c r="C169" s="4"/>
      <c r="D169" s="484" t="s">
        <v>71</v>
      </c>
      <c r="E169" s="4"/>
      <c r="F169" s="4"/>
      <c r="G169" s="65"/>
      <c r="H169" s="719" t="s">
        <v>35</v>
      </c>
      <c r="I169" s="486">
        <f ca="1">I167</f>
        <v>15</v>
      </c>
      <c r="J169" s="586">
        <v>0</v>
      </c>
      <c r="K169" s="585">
        <f ca="1">IF(I169&gt;0,J169*100/I169,0)</f>
        <v>0</v>
      </c>
      <c r="L169" s="68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9"/>
      <c r="I170" s="220"/>
      <c r="J170" s="220"/>
      <c r="K170" s="221"/>
      <c r="L170" s="221"/>
      <c r="M170" s="221"/>
      <c r="N170" s="221"/>
      <c r="O170" s="221"/>
      <c r="P170" s="222"/>
      <c r="Q170" s="221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226"/>
      <c r="I171" s="227"/>
      <c r="J171" s="227"/>
      <c r="K171" s="228"/>
      <c r="L171" s="229"/>
      <c r="M171" s="228"/>
      <c r="N171" s="228"/>
      <c r="O171" s="228"/>
      <c r="P171" s="228"/>
      <c r="Q171" s="228"/>
      <c r="R171" s="228"/>
      <c r="S171" s="228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233" t="s">
        <v>35</v>
      </c>
      <c r="I172" s="718">
        <f ca="1">I183+I184</f>
        <v>7</v>
      </c>
      <c r="J172" s="718">
        <f>J183+J184</f>
        <v>7</v>
      </c>
      <c r="K172" s="717">
        <f ca="1">IF(I172&gt;0,J172*100/I172,0)</f>
        <v>100</v>
      </c>
      <c r="L172" s="237"/>
      <c r="M172" s="236"/>
      <c r="N172" s="236"/>
      <c r="O172" s="236"/>
      <c r="P172" s="236"/>
      <c r="Q172" s="236"/>
      <c r="R172" s="236"/>
      <c r="S172" s="236"/>
      <c r="T172" s="236"/>
      <c r="U172" s="236"/>
    </row>
    <row r="173" spans="1:21" ht="19.5">
      <c r="A173" s="155"/>
      <c r="B173" s="50"/>
      <c r="C173" s="156" t="s">
        <v>18</v>
      </c>
      <c r="D173" s="575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541">
        <f ca="1">L174+L175</f>
        <v>19590</v>
      </c>
      <c r="M173" s="540">
        <f ca="1">M174+M175</f>
        <v>34830</v>
      </c>
      <c r="N173" s="540">
        <f ca="1">N174+N175</f>
        <v>34650</v>
      </c>
      <c r="O173" s="540">
        <f ca="1">IF(L173&gt;0,N173*100/L173,0)</f>
        <v>176.8759571209801</v>
      </c>
      <c r="P173" s="540">
        <f ca="1">IF(M173&gt;0,N173*100/M173,0)</f>
        <v>99.483204134366929</v>
      </c>
      <c r="Q173" s="540">
        <f ca="1">Q174+Q175</f>
        <v>0</v>
      </c>
      <c r="R173" s="540">
        <f ca="1">R174+R175</f>
        <v>0</v>
      </c>
      <c r="S173" s="540">
        <f ca="1">S174+S175</f>
        <v>0</v>
      </c>
      <c r="T173" s="540">
        <f ca="1">IF(Q173&gt;0,S173*100/Q173,0)</f>
        <v>0</v>
      </c>
      <c r="U173" s="540">
        <f ca="1">IF(R173&gt;0,S173*100/R173,0)</f>
        <v>0</v>
      </c>
    </row>
    <row r="174" spans="1:21" ht="18.75" hidden="1">
      <c r="A174" s="155"/>
      <c r="B174" s="50"/>
      <c r="C174" s="50"/>
      <c r="D174" s="50"/>
      <c r="E174" s="186" t="s">
        <v>20</v>
      </c>
      <c r="F174" s="50"/>
      <c r="G174" s="52"/>
      <c r="H174" s="187" t="s">
        <v>14</v>
      </c>
      <c r="I174" s="54"/>
      <c r="J174" s="54"/>
      <c r="K174" s="55"/>
      <c r="L174" s="103">
        <f>L177+L180</f>
        <v>0</v>
      </c>
      <c r="M174" s="102">
        <f>M177+M180</f>
        <v>0</v>
      </c>
      <c r="N174" s="102">
        <f>N177+N180</f>
        <v>0</v>
      </c>
      <c r="O174" s="102">
        <f>IF(L174&gt;0,N174*100/L174,0)</f>
        <v>0</v>
      </c>
      <c r="P174" s="102">
        <f>IF(M174&gt;0,N174*100/M174,0)</f>
        <v>0</v>
      </c>
      <c r="Q174" s="102">
        <f>Q177+Q180</f>
        <v>0</v>
      </c>
      <c r="R174" s="102">
        <f>R177+R180</f>
        <v>0</v>
      </c>
      <c r="S174" s="102">
        <f>S177+S180</f>
        <v>0</v>
      </c>
      <c r="T174" s="102">
        <f>IF(Q174&gt;0,S174*100/Q174,0)</f>
        <v>0</v>
      </c>
      <c r="U174" s="102">
        <f>IF(R174&gt;0,S174*100/R174,0)</f>
        <v>0</v>
      </c>
    </row>
    <row r="175" spans="1:21" ht="18.75" hidden="1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256">
        <f ca="1">L178+L181</f>
        <v>19590</v>
      </c>
      <c r="M175" s="255">
        <f ca="1">M178+M181</f>
        <v>34830</v>
      </c>
      <c r="N175" s="255">
        <f ca="1">N178+N181</f>
        <v>34650</v>
      </c>
      <c r="O175" s="255">
        <f ca="1">IF(L175&gt;0,N175*100/L175,0)</f>
        <v>176.8759571209801</v>
      </c>
      <c r="P175" s="255">
        <f ca="1">IF(M175&gt;0,N175*100/M175,0)</f>
        <v>99.483204134366929</v>
      </c>
      <c r="Q175" s="255">
        <f ca="1">Q178+Q181</f>
        <v>0</v>
      </c>
      <c r="R175" s="255">
        <f ca="1">R178+R181</f>
        <v>0</v>
      </c>
      <c r="S175" s="255">
        <f ca="1">S178+S181</f>
        <v>0</v>
      </c>
      <c r="T175" s="255">
        <f ca="1">IF(Q175&gt;0,S175*100/Q175,0)</f>
        <v>0</v>
      </c>
      <c r="U175" s="255">
        <f ca="1">IF(R175&gt;0,S175*100/R175,0)</f>
        <v>0</v>
      </c>
    </row>
    <row r="176" spans="1:21" ht="18.75">
      <c r="A176" s="155"/>
      <c r="B176" s="50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256">
        <f ca="1">L177+L178</f>
        <v>19590</v>
      </c>
      <c r="M176" s="255">
        <f ca="1">M177+M178</f>
        <v>34830</v>
      </c>
      <c r="N176" s="255">
        <f ca="1">N177+N178</f>
        <v>34650</v>
      </c>
      <c r="O176" s="255">
        <f ca="1">IF(L176&gt;0,N176*100/L176,0)</f>
        <v>176.8759571209801</v>
      </c>
      <c r="P176" s="255">
        <f ca="1">IF(M176&gt;0,N176*100/M176,0)</f>
        <v>99.483204134366929</v>
      </c>
      <c r="Q176" s="255">
        <f ca="1">Q177+Q178</f>
        <v>0</v>
      </c>
      <c r="R176" s="255">
        <f ca="1">R177+R178</f>
        <v>0</v>
      </c>
      <c r="S176" s="255">
        <f ca="1">S177+S178</f>
        <v>0</v>
      </c>
      <c r="T176" s="255">
        <f ca="1">IF(Q176&gt;0,S176*100/Q176,0)</f>
        <v>0</v>
      </c>
      <c r="U176" s="255">
        <f ca="1">IF(R176&gt;0,S176*100/R176,0)</f>
        <v>0</v>
      </c>
    </row>
    <row r="177" spans="1:21" ht="18.75" hidden="1">
      <c r="A177" s="155"/>
      <c r="B177" s="50"/>
      <c r="C177" s="50"/>
      <c r="D177" s="50"/>
      <c r="E177" s="186" t="s">
        <v>36</v>
      </c>
      <c r="F177" s="50"/>
      <c r="G177" s="52"/>
      <c r="H177" s="189" t="s">
        <v>14</v>
      </c>
      <c r="I177" s="163"/>
      <c r="J177" s="163"/>
      <c r="K177" s="164"/>
      <c r="L177" s="103">
        <v>0</v>
      </c>
      <c r="M177" s="102">
        <v>0</v>
      </c>
      <c r="N177" s="102">
        <v>0</v>
      </c>
      <c r="O177" s="102">
        <f>IF(L177&gt;0,N177*100/L177,0)</f>
        <v>0</v>
      </c>
      <c r="P177" s="102">
        <f>IF(M177&gt;0,N177*100/M177,0)</f>
        <v>0</v>
      </c>
      <c r="Q177" s="102">
        <v>0</v>
      </c>
      <c r="R177" s="102">
        <v>0</v>
      </c>
      <c r="S177" s="102">
        <v>0</v>
      </c>
      <c r="T177" s="102">
        <f>IF(Q177&gt;0,S177*100/Q177,0)</f>
        <v>0</v>
      </c>
      <c r="U177" s="102">
        <f>IF(R177&gt;0,S177*100/R177,0)</f>
        <v>0</v>
      </c>
    </row>
    <row r="178" spans="1:21" ht="18.75" hidden="1">
      <c r="A178" s="155"/>
      <c r="B178" s="50"/>
      <c r="C178" s="50"/>
      <c r="D178" s="50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256">
        <f ca="1">IFERROR(__xludf.DUMMYFUNCTION("IMPORTRANGE(""https://docs.google.com/spreadsheets/d/1-uDff_7J0KD5mKrp0Vvzr7lt3OU09vwQwhkpOPPYv2Y/edit?usp=sharing"",""งบพรบ!CK32"")"),19590)</f>
        <v>19590</v>
      </c>
      <c r="M178" s="255">
        <f ca="1">IFERROR(__xludf.DUMMYFUNCTION("IMPORTRANGE(""https://docs.google.com/spreadsheets/d/1-uDff_7J0KD5mKrp0Vvzr7lt3OU09vwQwhkpOPPYv2Y/edit?usp=sharing"",""งบพรบ!CP32"")"),34830)</f>
        <v>34830</v>
      </c>
      <c r="N178" s="255">
        <f ca="1">IFERROR(__xludf.DUMMYFUNCTION("IMPORTRANGE(""https://docs.google.com/spreadsheets/d/1-uDff_7J0KD5mKrp0Vvzr7lt3OU09vwQwhkpOPPYv2Y/edit?usp=sharing"",""งบพรบ!CR32"")"),34650)</f>
        <v>34650</v>
      </c>
      <c r="O178" s="255">
        <f ca="1">IF(L178&gt;0,N178*100/L178,0)</f>
        <v>176.8759571209801</v>
      </c>
      <c r="P178" s="255">
        <f ca="1">IF(M178&gt;0,N178*100/M178,0)</f>
        <v>99.483204134366929</v>
      </c>
      <c r="Q178" s="255">
        <f ca="1">IFERROR(__xludf.DUMMYFUNCTION("IMPORTRANGE(""https://docs.google.com/spreadsheets/d/1ItG2mGa2ceCfYo0BwxsXqNm01IGEUdYcSSLTEv9YCik/edit?usp=sharing"",""เบิกจ่ายกองทุน!BE32"")"),0)</f>
        <v>0</v>
      </c>
      <c r="R178" s="255">
        <f ca="1">IFERROR(__xludf.DUMMYFUNCTION("IMPORTRANGE(""https://docs.google.com/spreadsheets/d/1ItG2mGa2ceCfYo0BwxsXqNm01IGEUdYcSSLTEv9YCik/edit?usp=sharing"",""เบิกจ่ายกองทุน!BF32"")"),0)</f>
        <v>0</v>
      </c>
      <c r="S178" s="255">
        <f ca="1">IFERROR(__xludf.DUMMYFUNCTION("IMPORTRANGE(""https://docs.google.com/spreadsheets/d/1ItG2mGa2ceCfYo0BwxsXqNm01IGEUdYcSSLTEv9YCik/edit?usp=sharing"",""เบิกจ่ายกองทุน!BG32"")"),0)</f>
        <v>0</v>
      </c>
      <c r="T178" s="255">
        <f ca="1">IF(Q178&gt;0,S178*100/Q178,0)</f>
        <v>0</v>
      </c>
      <c r="U178" s="255">
        <f ca="1">IF(R178&gt;0,S178*100/R178,0)</f>
        <v>0</v>
      </c>
    </row>
    <row r="179" spans="1:21" ht="18.75">
      <c r="A179" s="155"/>
      <c r="B179" s="50"/>
      <c r="C179" s="50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256">
        <f ca="1">L180+L181</f>
        <v>0</v>
      </c>
      <c r="M179" s="255">
        <f ca="1">M180+M181</f>
        <v>0</v>
      </c>
      <c r="N179" s="255">
        <f ca="1">N180+N181</f>
        <v>0</v>
      </c>
      <c r="O179" s="255">
        <f ca="1">IF(L179&gt;0,N179*100/L179,0)</f>
        <v>0</v>
      </c>
      <c r="P179" s="255">
        <f ca="1">IF(M179&gt;0,N179*100/M179,0)</f>
        <v>0</v>
      </c>
      <c r="Q179" s="255">
        <f>Q180+Q181</f>
        <v>0</v>
      </c>
      <c r="R179" s="255">
        <f>R180+R181</f>
        <v>0</v>
      </c>
      <c r="S179" s="255">
        <f>S180+S181</f>
        <v>0</v>
      </c>
      <c r="T179" s="255">
        <f>IF(Q179&gt;0,S179*100/Q179,0)</f>
        <v>0</v>
      </c>
      <c r="U179" s="255">
        <f>IF(R179&gt;0,S179*100/R179,0)</f>
        <v>0</v>
      </c>
    </row>
    <row r="180" spans="1:21" ht="18.75" hidden="1">
      <c r="A180" s="155"/>
      <c r="B180" s="50"/>
      <c r="C180" s="50"/>
      <c r="D180" s="50"/>
      <c r="E180" s="186" t="s">
        <v>20</v>
      </c>
      <c r="F180" s="50"/>
      <c r="G180" s="52"/>
      <c r="H180" s="189" t="s">
        <v>14</v>
      </c>
      <c r="I180" s="163"/>
      <c r="J180" s="163"/>
      <c r="K180" s="164"/>
      <c r="L180" s="103">
        <v>0</v>
      </c>
      <c r="M180" s="102">
        <v>0</v>
      </c>
      <c r="N180" s="102">
        <v>0</v>
      </c>
      <c r="O180" s="102">
        <f>IF(L180&gt;0,N180*100/L180,0)</f>
        <v>0</v>
      </c>
      <c r="P180" s="102">
        <f>IF(M180&gt;0,N180*100/M180,0)</f>
        <v>0</v>
      </c>
      <c r="Q180" s="102">
        <v>0</v>
      </c>
      <c r="R180" s="102">
        <v>0</v>
      </c>
      <c r="S180" s="102">
        <v>0</v>
      </c>
      <c r="T180" s="102">
        <f>IF(Q180&gt;0,S180*100/Q180,0)</f>
        <v>0</v>
      </c>
      <c r="U180" s="102">
        <f>IF(R180&gt;0,S180*100/R180,0)</f>
        <v>0</v>
      </c>
    </row>
    <row r="181" spans="1:21" ht="18.75" hidden="1">
      <c r="A181" s="155"/>
      <c r="B181" s="50"/>
      <c r="C181" s="50"/>
      <c r="D181" s="50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256">
        <f ca="1">IFERROR(__xludf.DUMMYFUNCTION("IMPORTRANGE(""https://docs.google.com/spreadsheets/d/1-uDff_7J0KD5mKrp0Vvzr7lt3OU09vwQwhkpOPPYv2Y/edit?usp=sharing"",""งบพรบ!CN32"")"),0)</f>
        <v>0</v>
      </c>
      <c r="M181" s="255">
        <f ca="1">IFERROR(__xludf.DUMMYFUNCTION("IMPORTRANGE(""https://docs.google.com/spreadsheets/d/1-uDff_7J0KD5mKrp0Vvzr7lt3OU09vwQwhkpOPPYv2Y/edit?usp=sharing"",""งบพรบ!CQ32"")"),0)</f>
        <v>0</v>
      </c>
      <c r="N181" s="255">
        <f ca="1">IFERROR(__xludf.DUMMYFUNCTION("IMPORTRANGE(""https://docs.google.com/spreadsheets/d/1-uDff_7J0KD5mKrp0Vvzr7lt3OU09vwQwhkpOPPYv2Y/edit?usp=sharing"",""งบพรบ!CS32"")"),0)</f>
        <v>0</v>
      </c>
      <c r="O181" s="255">
        <f ca="1">IF(L181&gt;0,N181*100/L181,0)</f>
        <v>0</v>
      </c>
      <c r="P181" s="255">
        <f ca="1">IF(M181&gt;0,N181*100/M181,0)</f>
        <v>0</v>
      </c>
      <c r="Q181" s="255">
        <v>0</v>
      </c>
      <c r="R181" s="255">
        <v>0</v>
      </c>
      <c r="S181" s="255">
        <v>0</v>
      </c>
      <c r="T181" s="255">
        <f>IF(Q181&gt;0,S181*100/Q181,0)</f>
        <v>0</v>
      </c>
      <c r="U181" s="255">
        <f>IF(R181&gt;0,S181*100/R181,0)</f>
        <v>0</v>
      </c>
    </row>
    <row r="182" spans="1:21" ht="19.5">
      <c r="A182" s="166"/>
      <c r="B182" s="167"/>
      <c r="C182" s="156" t="s">
        <v>18</v>
      </c>
      <c r="D182" s="566" t="s">
        <v>38</v>
      </c>
      <c r="E182" s="169"/>
      <c r="F182" s="169"/>
      <c r="G182" s="170"/>
      <c r="H182" s="206"/>
      <c r="I182" s="54"/>
      <c r="J182" s="54"/>
      <c r="K182" s="55"/>
      <c r="L182" s="62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40" t="s">
        <v>35</v>
      </c>
      <c r="I183" s="212">
        <f ca="1">IFERROR(__xludf.DUMMYFUNCTION("IMPORTRANGE(""https://docs.google.com/spreadsheets/d/1eHaY18a8A9IcSdp1K8H6x8fbOy06t2VsZHhMHf-1x7Y/edit?usp=sharing"",""แผน!AA32"")"),7)</f>
        <v>7</v>
      </c>
      <c r="J183" s="467">
        <v>7</v>
      </c>
      <c r="K183" s="255">
        <f ca="1">IF(I183&gt;0,J183*100/I183,0)</f>
        <v>100</v>
      </c>
      <c r="L183" s="62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8.75" hidden="1">
      <c r="A184" s="238"/>
      <c r="B184" s="188"/>
      <c r="C184" s="188"/>
      <c r="D184" s="358" t="s">
        <v>76</v>
      </c>
      <c r="E184" s="50"/>
      <c r="F184" s="50"/>
      <c r="G184" s="52"/>
      <c r="H184" s="590" t="s">
        <v>35</v>
      </c>
      <c r="I184" s="483">
        <v>0</v>
      </c>
      <c r="J184" s="483">
        <v>0</v>
      </c>
      <c r="K184" s="102">
        <f>IF(I184&gt;0,J184*100/I184,0)</f>
        <v>0</v>
      </c>
      <c r="L184" s="62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233" t="s">
        <v>35</v>
      </c>
      <c r="I185" s="718">
        <f ca="1">I230+I231</f>
        <v>0</v>
      </c>
      <c r="J185" s="718">
        <f>J230+J231</f>
        <v>0</v>
      </c>
      <c r="K185" s="717">
        <f ca="1">IF(I185&gt;0,J185*100/I185,0)</f>
        <v>0</v>
      </c>
      <c r="L185" s="237"/>
      <c r="M185" s="236"/>
      <c r="N185" s="236"/>
      <c r="O185" s="236"/>
      <c r="P185" s="236"/>
      <c r="Q185" s="236"/>
      <c r="R185" s="236"/>
      <c r="S185" s="236"/>
      <c r="T185" s="236"/>
      <c r="U185" s="236"/>
    </row>
    <row r="186" spans="1:21" ht="19.5">
      <c r="A186" s="155"/>
      <c r="B186" s="50"/>
      <c r="C186" s="156" t="s">
        <v>18</v>
      </c>
      <c r="D186" s="575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541">
        <f ca="1">L187+L188</f>
        <v>228500</v>
      </c>
      <c r="M186" s="540">
        <f ca="1">M187+M188</f>
        <v>212500</v>
      </c>
      <c r="N186" s="540">
        <f ca="1">N187+N188</f>
        <v>130000</v>
      </c>
      <c r="O186" s="540">
        <f ca="1">IF(L186&gt;0,N186*100/L186,0)</f>
        <v>56.892778993435449</v>
      </c>
      <c r="P186" s="540">
        <f ca="1">IF(M186&gt;0,N186*100/M186,0)</f>
        <v>61.176470588235297</v>
      </c>
      <c r="Q186" s="540">
        <f ca="1">Q187+Q188</f>
        <v>42000</v>
      </c>
      <c r="R186" s="540">
        <f ca="1">R187+R188</f>
        <v>42000</v>
      </c>
      <c r="S186" s="540">
        <f ca="1">S187+S188</f>
        <v>0</v>
      </c>
      <c r="T186" s="540">
        <f ca="1">IF(Q186&gt;0,S186*100/Q186,0)</f>
        <v>0</v>
      </c>
      <c r="U186" s="540">
        <f ca="1">IF(R186&gt;0,S186*100/R186,0)</f>
        <v>0</v>
      </c>
    </row>
    <row r="187" spans="1:21" ht="18.75" hidden="1">
      <c r="A187" s="155"/>
      <c r="B187" s="50"/>
      <c r="C187" s="50"/>
      <c r="D187" s="50"/>
      <c r="E187" s="186" t="s">
        <v>20</v>
      </c>
      <c r="F187" s="50"/>
      <c r="G187" s="52"/>
      <c r="H187" s="187" t="s">
        <v>14</v>
      </c>
      <c r="I187" s="54"/>
      <c r="J187" s="54"/>
      <c r="K187" s="55"/>
      <c r="L187" s="103">
        <f>L190+L193</f>
        <v>0</v>
      </c>
      <c r="M187" s="102">
        <f>M190+M193</f>
        <v>0</v>
      </c>
      <c r="N187" s="102">
        <f>N190+N193</f>
        <v>0</v>
      </c>
      <c r="O187" s="102">
        <f>IF(L187&gt;0,N187*100/L187,0)</f>
        <v>0</v>
      </c>
      <c r="P187" s="102">
        <f>IF(M187&gt;0,N187*100/M187,0)</f>
        <v>0</v>
      </c>
      <c r="Q187" s="102">
        <f>Q190+Q193</f>
        <v>0</v>
      </c>
      <c r="R187" s="102">
        <f>R190+R193</f>
        <v>0</v>
      </c>
      <c r="S187" s="102">
        <f>S190+S193</f>
        <v>0</v>
      </c>
      <c r="T187" s="102">
        <f>IF(Q187&gt;0,S187*100/Q187,0)</f>
        <v>0</v>
      </c>
      <c r="U187" s="102">
        <f>IF(R187&gt;0,S187*100/R187,0)</f>
        <v>0</v>
      </c>
    </row>
    <row r="188" spans="1:21" ht="18.75" hidden="1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256">
        <f ca="1">L191+L194</f>
        <v>228500</v>
      </c>
      <c r="M188" s="255">
        <f ca="1">M191+M194</f>
        <v>212500</v>
      </c>
      <c r="N188" s="255">
        <f ca="1">N191+N194</f>
        <v>130000</v>
      </c>
      <c r="O188" s="255">
        <f ca="1">IF(L188&gt;0,N188*100/L188,0)</f>
        <v>56.892778993435449</v>
      </c>
      <c r="P188" s="255">
        <f ca="1">IF(M188&gt;0,N188*100/M188,0)</f>
        <v>61.176470588235297</v>
      </c>
      <c r="Q188" s="255">
        <f ca="1">Q191+Q194</f>
        <v>42000</v>
      </c>
      <c r="R188" s="255">
        <f ca="1">R191+R194</f>
        <v>42000</v>
      </c>
      <c r="S188" s="255">
        <f ca="1">S191+S194</f>
        <v>0</v>
      </c>
      <c r="T188" s="255">
        <f ca="1">IF(Q188&gt;0,S188*100/Q188,0)</f>
        <v>0</v>
      </c>
      <c r="U188" s="255">
        <f ca="1">IF(R188&gt;0,S188*100/R188,0)</f>
        <v>0</v>
      </c>
    </row>
    <row r="189" spans="1:21" ht="18.75">
      <c r="A189" s="155"/>
      <c r="B189" s="50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256">
        <f ca="1">L190+L191</f>
        <v>228500</v>
      </c>
      <c r="M189" s="255">
        <f ca="1">M190+M191</f>
        <v>212500</v>
      </c>
      <c r="N189" s="255">
        <f ca="1">N190+N191</f>
        <v>130000</v>
      </c>
      <c r="O189" s="255">
        <f ca="1">IF(L189&gt;0,N189*100/L189,0)</f>
        <v>56.892778993435449</v>
      </c>
      <c r="P189" s="255">
        <f ca="1">IF(M189&gt;0,N189*100/M189,0)</f>
        <v>61.176470588235297</v>
      </c>
      <c r="Q189" s="255">
        <f ca="1">Q190+Q191</f>
        <v>42000</v>
      </c>
      <c r="R189" s="255">
        <f ca="1">R190+R191</f>
        <v>42000</v>
      </c>
      <c r="S189" s="255">
        <f ca="1">S190+S191</f>
        <v>0</v>
      </c>
      <c r="T189" s="255">
        <f ca="1">IF(Q189&gt;0,S189*100/Q189,0)</f>
        <v>0</v>
      </c>
      <c r="U189" s="255">
        <f ca="1">IF(R189&gt;0,S189*100/R189,0)</f>
        <v>0</v>
      </c>
    </row>
    <row r="190" spans="1:21" ht="18.75" hidden="1">
      <c r="A190" s="155"/>
      <c r="B190" s="50"/>
      <c r="C190" s="50"/>
      <c r="D190" s="50"/>
      <c r="E190" s="186" t="s">
        <v>36</v>
      </c>
      <c r="F190" s="50"/>
      <c r="G190" s="52"/>
      <c r="H190" s="189" t="s">
        <v>14</v>
      </c>
      <c r="I190" s="163"/>
      <c r="J190" s="163"/>
      <c r="K190" s="164"/>
      <c r="L190" s="103">
        <v>0</v>
      </c>
      <c r="M190" s="102">
        <v>0</v>
      </c>
      <c r="N190" s="102">
        <v>0</v>
      </c>
      <c r="O190" s="102">
        <f>IF(L190&gt;0,N190*100/L190,0)</f>
        <v>0</v>
      </c>
      <c r="P190" s="102">
        <f>IF(M190&gt;0,N190*100/M190,0)</f>
        <v>0</v>
      </c>
      <c r="Q190" s="102">
        <v>0</v>
      </c>
      <c r="R190" s="102">
        <v>0</v>
      </c>
      <c r="S190" s="102">
        <v>0</v>
      </c>
      <c r="T190" s="102">
        <f>IF(Q190&gt;0,S190*100/Q190,0)</f>
        <v>0</v>
      </c>
      <c r="U190" s="102">
        <f>IF(R190&gt;0,S190*100/R190,0)</f>
        <v>0</v>
      </c>
    </row>
    <row r="191" spans="1:21" ht="18.75" hidden="1">
      <c r="A191" s="155"/>
      <c r="B191" s="50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256">
        <f ca="1">IFERROR(__xludf.DUMMYFUNCTION("IMPORTRANGE(""https://docs.google.com/spreadsheets/d/1-uDff_7J0KD5mKrp0Vvzr7lt3OU09vwQwhkpOPPYv2Y/edit?usp=sharing"",""งบพรบ!CU32"")"),228500)</f>
        <v>228500</v>
      </c>
      <c r="M191" s="255">
        <f ca="1">IFERROR(__xludf.DUMMYFUNCTION("IMPORTRANGE(""https://docs.google.com/spreadsheets/d/1-uDff_7J0KD5mKrp0Vvzr7lt3OU09vwQwhkpOPPYv2Y/edit?usp=sharing"",""งบพรบ!CZ32"")"),212500)</f>
        <v>212500</v>
      </c>
      <c r="N191" s="255">
        <f ca="1">IFERROR(__xludf.DUMMYFUNCTION("IMPORTRANGE(""https://docs.google.com/spreadsheets/d/1-uDff_7J0KD5mKrp0Vvzr7lt3OU09vwQwhkpOPPYv2Y/edit?usp=sharing"",""งบพรบ!DB32"")"),130000)</f>
        <v>130000</v>
      </c>
      <c r="O191" s="255">
        <f ca="1">IF(L191&gt;0,N191*100/L191,0)</f>
        <v>56.892778993435449</v>
      </c>
      <c r="P191" s="255">
        <f ca="1">IF(M191&gt;0,N191*100/M191,0)</f>
        <v>61.176470588235297</v>
      </c>
      <c r="Q191" s="255">
        <f ca="1">IFERROR(__xludf.DUMMYFUNCTION("IMPORTRANGE(""https://docs.google.com/spreadsheets/d/1ItG2mGa2ceCfYo0BwxsXqNm01IGEUdYcSSLTEv9YCik/edit?usp=sharing"",""เบิกจ่ายกองทุน!AV32"")"),42000)</f>
        <v>42000</v>
      </c>
      <c r="R191" s="255">
        <f ca="1">IFERROR(__xludf.DUMMYFUNCTION("IMPORTRANGE(""https://docs.google.com/spreadsheets/d/1ItG2mGa2ceCfYo0BwxsXqNm01IGEUdYcSSLTEv9YCik/edit?usp=sharing"",""เบิกจ่ายกองทุน!AW32"")"),42000)</f>
        <v>42000</v>
      </c>
      <c r="S191" s="255">
        <f ca="1">IFERROR(__xludf.DUMMYFUNCTION("IMPORTRANGE(""https://docs.google.com/spreadsheets/d/1ItG2mGa2ceCfYo0BwxsXqNm01IGEUdYcSSLTEv9YCik/edit?usp=sharing"",""เบิกจ่ายกองทุน!AX32"")"),0)</f>
        <v>0</v>
      </c>
      <c r="T191" s="255">
        <f ca="1">IF(Q191&gt;0,S191*100/Q191,0)</f>
        <v>0</v>
      </c>
      <c r="U191" s="255">
        <f ca="1">IF(R191&gt;0,S191*100/R191,0)</f>
        <v>0</v>
      </c>
    </row>
    <row r="192" spans="1:21" ht="18.75">
      <c r="A192" s="155"/>
      <c r="B192" s="50"/>
      <c r="C192" s="50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256">
        <f ca="1">L193+L194</f>
        <v>0</v>
      </c>
      <c r="M192" s="255">
        <f ca="1">M193+M194</f>
        <v>0</v>
      </c>
      <c r="N192" s="255">
        <f ca="1">N193+N194</f>
        <v>0</v>
      </c>
      <c r="O192" s="255">
        <f ca="1">IF(L192&gt;0,N192*100/L192,0)</f>
        <v>0</v>
      </c>
      <c r="P192" s="255">
        <f ca="1">IF(M192&gt;0,N192*100/M192,0)</f>
        <v>0</v>
      </c>
      <c r="Q192" s="255">
        <f>Q193+Q194</f>
        <v>0</v>
      </c>
      <c r="R192" s="255">
        <f>R193+R194</f>
        <v>0</v>
      </c>
      <c r="S192" s="255">
        <f>S193+S194</f>
        <v>0</v>
      </c>
      <c r="T192" s="255">
        <f>IF(Q192&gt;0,S192*100/Q192,0)</f>
        <v>0</v>
      </c>
      <c r="U192" s="255">
        <f>IF(R192&gt;0,S192*100/R192,0)</f>
        <v>0</v>
      </c>
    </row>
    <row r="193" spans="1:21" ht="18.75" hidden="1">
      <c r="A193" s="155"/>
      <c r="B193" s="50"/>
      <c r="C193" s="50"/>
      <c r="D193" s="50"/>
      <c r="E193" s="186" t="s">
        <v>20</v>
      </c>
      <c r="F193" s="50"/>
      <c r="G193" s="52"/>
      <c r="H193" s="189" t="s">
        <v>14</v>
      </c>
      <c r="I193" s="163"/>
      <c r="J193" s="163"/>
      <c r="K193" s="164"/>
      <c r="L193" s="103">
        <v>0</v>
      </c>
      <c r="M193" s="102">
        <v>0</v>
      </c>
      <c r="N193" s="102">
        <v>0</v>
      </c>
      <c r="O193" s="102">
        <f>IF(L193&gt;0,N193*100/L193,0)</f>
        <v>0</v>
      </c>
      <c r="P193" s="102">
        <f>IF(M193&gt;0,N193*100/M193,0)</f>
        <v>0</v>
      </c>
      <c r="Q193" s="102">
        <v>0</v>
      </c>
      <c r="R193" s="102">
        <v>0</v>
      </c>
      <c r="S193" s="102">
        <v>0</v>
      </c>
      <c r="T193" s="102">
        <f>IF(Q193&gt;0,S193*100/Q193,0)</f>
        <v>0</v>
      </c>
      <c r="U193" s="102">
        <f>IF(R193&gt;0,S193*100/R193,0)</f>
        <v>0</v>
      </c>
    </row>
    <row r="194" spans="1:21" ht="18.75" hidden="1">
      <c r="A194" s="155"/>
      <c r="B194" s="50"/>
      <c r="C194" s="50"/>
      <c r="D194" s="50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256">
        <f ca="1">IFERROR(__xludf.DUMMYFUNCTION("IMPORTRANGE(""https://docs.google.com/spreadsheets/d/1-uDff_7J0KD5mKrp0Vvzr7lt3OU09vwQwhkpOPPYv2Y/edit?usp=sharing"",""งบพรบ!CX32"")"),0)</f>
        <v>0</v>
      </c>
      <c r="M194" s="255">
        <f ca="1">IFERROR(__xludf.DUMMYFUNCTION("IMPORTRANGE(""https://docs.google.com/spreadsheets/d/1-uDff_7J0KD5mKrp0Vvzr7lt3OU09vwQwhkpOPPYv2Y/edit?usp=sharing"",""งบพรบ!DA32"")"),0)</f>
        <v>0</v>
      </c>
      <c r="N194" s="255">
        <f ca="1">IFERROR(__xludf.DUMMYFUNCTION("IMPORTRANGE(""https://docs.google.com/spreadsheets/d/1-uDff_7J0KD5mKrp0Vvzr7lt3OU09vwQwhkpOPPYv2Y/edit?usp=sharing"",""งบพรบ!DC32"")"),0)</f>
        <v>0</v>
      </c>
      <c r="O194" s="255">
        <f ca="1">IF(L194&gt;0,N194*100/L194,0)</f>
        <v>0</v>
      </c>
      <c r="P194" s="255">
        <f ca="1">IF(M194&gt;0,N194*100/M194,0)</f>
        <v>0</v>
      </c>
      <c r="Q194" s="255">
        <v>0</v>
      </c>
      <c r="R194" s="255">
        <v>0</v>
      </c>
      <c r="S194" s="255">
        <v>0</v>
      </c>
      <c r="T194" s="255">
        <f>IF(Q194&gt;0,S194*100/Q194,0)</f>
        <v>0</v>
      </c>
      <c r="U194" s="255">
        <f>IF(R194&gt;0,S194*100/R194,0)</f>
        <v>0</v>
      </c>
    </row>
    <row r="195" spans="1:21" ht="19.5">
      <c r="A195" s="241"/>
      <c r="B195" s="242"/>
      <c r="C195" s="243" t="s">
        <v>78</v>
      </c>
      <c r="D195" s="244"/>
      <c r="E195" s="244"/>
      <c r="F195" s="244"/>
      <c r="G195" s="245"/>
      <c r="H195" s="246" t="s">
        <v>79</v>
      </c>
      <c r="I195" s="339">
        <f ca="1">I198</f>
        <v>4</v>
      </c>
      <c r="J195" s="339">
        <f>J198</f>
        <v>2</v>
      </c>
      <c r="K195" s="340">
        <f ca="1">IF(I195&gt;0,J195*100/I195,0)</f>
        <v>50</v>
      </c>
      <c r="L195" s="250"/>
      <c r="M195" s="249"/>
      <c r="N195" s="249"/>
      <c r="O195" s="249"/>
      <c r="P195" s="249"/>
      <c r="Q195" s="249"/>
      <c r="R195" s="249"/>
      <c r="S195" s="249"/>
      <c r="T195" s="249"/>
      <c r="U195" s="249"/>
    </row>
    <row r="196" spans="1:21" ht="19.5">
      <c r="A196" s="155"/>
      <c r="B196" s="50"/>
      <c r="C196" s="156" t="s">
        <v>18</v>
      </c>
      <c r="D196" s="713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541">
        <f ca="1">IFERROR(__xludf.DUMMYFUNCTION("IMPORTRANGE(""https://docs.google.com/spreadsheets/d/1eHaY18a8A9IcSdp1K8H6x8fbOy06t2VsZHhMHf-1x7Y/edit?usp=sharing"",""แผน!AB32"")"),6000)</f>
        <v>6000</v>
      </c>
      <c r="M196" s="55"/>
      <c r="N196" s="716">
        <v>0</v>
      </c>
      <c r="O196" s="540">
        <f ca="1">IF(L196&gt;0,N196*100/L196,0)</f>
        <v>0</v>
      </c>
      <c r="P196" s="540">
        <f>IF(M196&gt;0,N196*100/M196,0)</f>
        <v>0</v>
      </c>
      <c r="Q196" s="55"/>
      <c r="R196" s="55"/>
      <c r="S196" s="55"/>
      <c r="T196" s="55"/>
      <c r="U196" s="55"/>
    </row>
    <row r="197" spans="1:21" ht="19.5">
      <c r="A197" s="166"/>
      <c r="B197" s="167"/>
      <c r="C197" s="156" t="s">
        <v>18</v>
      </c>
      <c r="D197" s="566" t="s">
        <v>38</v>
      </c>
      <c r="E197" s="169"/>
      <c r="F197" s="169"/>
      <c r="G197" s="170"/>
      <c r="H197" s="171"/>
      <c r="I197" s="54"/>
      <c r="J197" s="54"/>
      <c r="K197" s="55"/>
      <c r="L197" s="62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8.75">
      <c r="A198" s="166"/>
      <c r="B198" s="167"/>
      <c r="C198" s="167"/>
      <c r="D198" s="178" t="s">
        <v>80</v>
      </c>
      <c r="E198" s="174"/>
      <c r="F198" s="174"/>
      <c r="G198" s="171"/>
      <c r="H198" s="179" t="s">
        <v>79</v>
      </c>
      <c r="I198" s="212">
        <f ca="1">IFERROR(__xludf.DUMMYFUNCTION("IMPORTRANGE(""https://docs.google.com/spreadsheets/d/1eHaY18a8A9IcSdp1K8H6x8fbOy06t2VsZHhMHf-1x7Y/edit?usp=sharing"",""แผน!AE32"")"),4)</f>
        <v>4</v>
      </c>
      <c r="J198" s="467">
        <v>2</v>
      </c>
      <c r="K198" s="255">
        <f ca="1">IF(I198&gt;0,J198*100/I198,0)</f>
        <v>50</v>
      </c>
      <c r="L198" s="62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8.75">
      <c r="A199" s="166"/>
      <c r="B199" s="167"/>
      <c r="C199" s="167"/>
      <c r="D199" s="178" t="s">
        <v>81</v>
      </c>
      <c r="E199" s="174"/>
      <c r="F199" s="174"/>
      <c r="G199" s="171"/>
      <c r="H199" s="240" t="s">
        <v>35</v>
      </c>
      <c r="I199" s="54"/>
      <c r="J199" s="212">
        <f>J200+J201</f>
        <v>4</v>
      </c>
      <c r="K199" s="55"/>
      <c r="L199" s="62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467">
        <v>4</v>
      </c>
      <c r="K200" s="55"/>
      <c r="L200" s="62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40" t="s">
        <v>35</v>
      </c>
      <c r="I201" s="54"/>
      <c r="J201" s="467">
        <v>0</v>
      </c>
      <c r="K201" s="55"/>
      <c r="L201" s="62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254" t="s">
        <v>85</v>
      </c>
      <c r="I202" s="339">
        <f ca="1">I209</f>
        <v>3</v>
      </c>
      <c r="J202" s="339">
        <f>J209</f>
        <v>0</v>
      </c>
      <c r="K202" s="340">
        <f ca="1">IF(I202&gt;0,J202*100/I202,0)</f>
        <v>0</v>
      </c>
      <c r="L202" s="250"/>
      <c r="M202" s="249"/>
      <c r="N202" s="249"/>
      <c r="O202" s="249"/>
      <c r="P202" s="249"/>
      <c r="Q202" s="249"/>
      <c r="R202" s="249"/>
      <c r="S202" s="249"/>
      <c r="T202" s="249"/>
      <c r="U202" s="249"/>
    </row>
    <row r="203" spans="1:21" ht="19.5">
      <c r="A203" s="155"/>
      <c r="B203" s="50"/>
      <c r="C203" s="156" t="s">
        <v>18</v>
      </c>
      <c r="D203" s="713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541">
        <f ca="1">L204+L205+L206+L207</f>
        <v>10000</v>
      </c>
      <c r="M203" s="55"/>
      <c r="N203" s="540">
        <f>N204+N205+N206+N207</f>
        <v>0</v>
      </c>
      <c r="O203" s="540">
        <f ca="1">IF(L203&gt;0,N203*100/L203,0)</f>
        <v>0</v>
      </c>
      <c r="P203" s="540">
        <f>IF(M203&gt;0,N203*100/M203,0)</f>
        <v>0</v>
      </c>
      <c r="Q203" s="715">
        <f ca="1">Q204+Q205+Q206+Q207</f>
        <v>42000</v>
      </c>
      <c r="R203" s="350"/>
      <c r="S203" s="714">
        <f>S204+S205+S206+S207</f>
        <v>0</v>
      </c>
      <c r="T203" s="714">
        <f ca="1">IF(Q203&gt;0,S203*100/Q203,0)</f>
        <v>0</v>
      </c>
      <c r="U203" s="714">
        <f>IF(R203&gt;0,S203*100/R203,0)</f>
        <v>0</v>
      </c>
    </row>
    <row r="204" spans="1:21" ht="18.75">
      <c r="A204" s="155"/>
      <c r="B204" s="188"/>
      <c r="C204" s="50"/>
      <c r="D204" s="712" t="s">
        <v>310</v>
      </c>
      <c r="E204" s="50"/>
      <c r="F204" s="50"/>
      <c r="G204" s="52"/>
      <c r="H204" s="162" t="s">
        <v>14</v>
      </c>
      <c r="I204" s="163"/>
      <c r="J204" s="163"/>
      <c r="K204" s="164"/>
      <c r="L204" s="256">
        <f ca="1">IFERROR(__xludf.DUMMYFUNCTION("IMPORTRANGE(""https://docs.google.com/spreadsheets/d/1eHaY18a8A9IcSdp1K8H6x8fbOy06t2VsZHhMHf-1x7Y/edit?usp=sharing"",""แผน!AG32"")"),2000)</f>
        <v>2000</v>
      </c>
      <c r="M204" s="55"/>
      <c r="N204" s="702">
        <v>0</v>
      </c>
      <c r="O204" s="164"/>
      <c r="P204" s="55"/>
      <c r="Q204" s="256">
        <v>0</v>
      </c>
      <c r="R204" s="55"/>
      <c r="S204" s="255">
        <v>0</v>
      </c>
      <c r="T204" s="164"/>
      <c r="U204" s="55"/>
    </row>
    <row r="205" spans="1:21" ht="18.75">
      <c r="A205" s="238"/>
      <c r="B205" s="188"/>
      <c r="C205" s="50"/>
      <c r="D205" s="58" t="s">
        <v>308</v>
      </c>
      <c r="E205" s="50"/>
      <c r="F205" s="50"/>
      <c r="G205" s="52"/>
      <c r="H205" s="53" t="s">
        <v>14</v>
      </c>
      <c r="I205" s="54"/>
      <c r="J205" s="54"/>
      <c r="K205" s="55"/>
      <c r="L205" s="256">
        <f ca="1">IFERROR(__xludf.DUMMYFUNCTION("IMPORTRANGE(""https://docs.google.com/spreadsheets/d/1eHaY18a8A9IcSdp1K8H6x8fbOy06t2VsZHhMHf-1x7Y/edit?usp=sharing"",""แผน!AH32"")"),0)</f>
        <v>0</v>
      </c>
      <c r="M205" s="55"/>
      <c r="N205" s="702">
        <v>0</v>
      </c>
      <c r="O205" s="164"/>
      <c r="P205" s="55"/>
      <c r="Q205" s="256">
        <v>0</v>
      </c>
      <c r="R205" s="55"/>
      <c r="S205" s="255">
        <v>0</v>
      </c>
      <c r="T205" s="164"/>
      <c r="U205" s="55"/>
    </row>
    <row r="206" spans="1:21" ht="18.75">
      <c r="A206" s="238"/>
      <c r="B206" s="188"/>
      <c r="C206" s="50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256">
        <f ca="1">IFERROR(__xludf.DUMMYFUNCTION("IMPORTRANGE(""https://docs.google.com/spreadsheets/d/1eHaY18a8A9IcSdp1K8H6x8fbOy06t2VsZHhMHf-1x7Y/edit?usp=sharing"",""แผน!AI32"")"),0)</f>
        <v>0</v>
      </c>
      <c r="M206" s="55"/>
      <c r="N206" s="702">
        <v>0</v>
      </c>
      <c r="O206" s="164"/>
      <c r="P206" s="55"/>
      <c r="Q206" s="256">
        <f ca="1">IFERROR(__xludf.DUMMYFUNCTION("IMPORTRANGE(""https://docs.google.com/spreadsheets/d/1eHaY18a8A9IcSdp1K8H6x8fbOy06t2VsZHhMHf-1x7Y/edit?usp=sharing"",""แผน!LV32"")"),42000)</f>
        <v>42000</v>
      </c>
      <c r="R206" s="55"/>
      <c r="S206" s="702">
        <v>0</v>
      </c>
      <c r="T206" s="164"/>
      <c r="U206" s="55"/>
    </row>
    <row r="207" spans="1:21" ht="18.75">
      <c r="A207" s="238"/>
      <c r="B207" s="188"/>
      <c r="C207" s="50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256">
        <f ca="1">IFERROR(__xludf.DUMMYFUNCTION("IMPORTRANGE(""https://docs.google.com/spreadsheets/d/1eHaY18a8A9IcSdp1K8H6x8fbOy06t2VsZHhMHf-1x7Y/edit?usp=sharing"",""แผน!AJ32"")"),8000)</f>
        <v>8000</v>
      </c>
      <c r="M207" s="55"/>
      <c r="N207" s="702">
        <v>0</v>
      </c>
      <c r="O207" s="164"/>
      <c r="P207" s="55"/>
      <c r="Q207" s="256">
        <v>0</v>
      </c>
      <c r="R207" s="55"/>
      <c r="S207" s="255">
        <v>0</v>
      </c>
      <c r="T207" s="164"/>
      <c r="U207" s="55"/>
    </row>
    <row r="208" spans="1:21" ht="19.5">
      <c r="A208" s="166"/>
      <c r="B208" s="167"/>
      <c r="C208" s="156" t="s">
        <v>18</v>
      </c>
      <c r="D208" s="566" t="s">
        <v>38</v>
      </c>
      <c r="E208" s="169"/>
      <c r="F208" s="169"/>
      <c r="G208" s="170"/>
      <c r="H208" s="171"/>
      <c r="I208" s="163"/>
      <c r="J208" s="163"/>
      <c r="K208" s="164"/>
      <c r="L208" s="172"/>
      <c r="M208" s="164"/>
      <c r="N208" s="164"/>
      <c r="O208" s="164"/>
      <c r="P208" s="164"/>
      <c r="Q208" s="172"/>
      <c r="R208" s="164"/>
      <c r="S208" s="164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257" t="s">
        <v>85</v>
      </c>
      <c r="I209" s="212">
        <f ca="1">IFERROR(__xludf.DUMMYFUNCTION("IMPORTRANGE(""https://docs.google.com/spreadsheets/d/1eHaY18a8A9IcSdp1K8H6x8fbOy06t2VsZHhMHf-1x7Y/edit?usp=sharing"",""แผน!AK32"")"),3)</f>
        <v>3</v>
      </c>
      <c r="J209" s="467">
        <v>0</v>
      </c>
      <c r="K209" s="565">
        <f ca="1">IF(I209&gt;0,J209*100/I209,0)</f>
        <v>0</v>
      </c>
      <c r="L209" s="62"/>
      <c r="M209" s="55"/>
      <c r="N209" s="55"/>
      <c r="O209" s="55"/>
      <c r="P209" s="55"/>
      <c r="Q209" s="62"/>
      <c r="R209" s="55"/>
      <c r="S209" s="55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171"/>
      <c r="I210" s="54"/>
      <c r="J210" s="54"/>
      <c r="K210" s="164"/>
      <c r="L210" s="62"/>
      <c r="M210" s="55"/>
      <c r="N210" s="55"/>
      <c r="O210" s="55"/>
      <c r="P210" s="55"/>
      <c r="Q210" s="62"/>
      <c r="R210" s="55"/>
      <c r="S210" s="55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257" t="s">
        <v>85</v>
      </c>
      <c r="I211" s="212">
        <f ca="1">IFERROR(__xludf.DUMMYFUNCTION("IMPORTRANGE(""https://docs.google.com/spreadsheets/d/1eHaY18a8A9IcSdp1K8H6x8fbOy06t2VsZHhMHf-1x7Y/edit?usp=sharing"",""แผน!JX32"")"),2)</f>
        <v>2</v>
      </c>
      <c r="J211" s="467">
        <v>0</v>
      </c>
      <c r="K211" s="565">
        <f ca="1">IF(I211&gt;0,J211*100/I211,0)</f>
        <v>0</v>
      </c>
      <c r="L211" s="62"/>
      <c r="M211" s="55"/>
      <c r="N211" s="55"/>
      <c r="O211" s="55"/>
      <c r="P211" s="55"/>
      <c r="Q211" s="62"/>
      <c r="R211" s="55"/>
      <c r="S211" s="55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79" t="s">
        <v>93</v>
      </c>
      <c r="I212" s="212">
        <f ca="1">IFERROR(__xludf.DUMMYFUNCTION("IMPORTRANGE(""https://docs.google.com/spreadsheets/d/1eHaY18a8A9IcSdp1K8H6x8fbOy06t2VsZHhMHf-1x7Y/edit?usp=sharing"",""แผน!JY32"")"),0)</f>
        <v>0</v>
      </c>
      <c r="J212" s="467">
        <v>0</v>
      </c>
      <c r="K212" s="565">
        <f ca="1">IF(I212&gt;0,J212*100/I212,0)</f>
        <v>0</v>
      </c>
      <c r="L212" s="62"/>
      <c r="M212" s="55"/>
      <c r="N212" s="55"/>
      <c r="O212" s="55"/>
      <c r="P212" s="55"/>
      <c r="Q212" s="62"/>
      <c r="R212" s="55"/>
      <c r="S212" s="55"/>
      <c r="T212" s="55"/>
      <c r="U212" s="55"/>
    </row>
    <row r="213" spans="1:21" ht="19.5" hidden="1">
      <c r="A213" s="241"/>
      <c r="B213" s="242"/>
      <c r="C213" s="243" t="s">
        <v>94</v>
      </c>
      <c r="D213" s="244"/>
      <c r="E213" s="244"/>
      <c r="F213" s="244"/>
      <c r="G213" s="245"/>
      <c r="H213" s="254" t="s">
        <v>85</v>
      </c>
      <c r="I213" s="339">
        <f ca="1">I220</f>
        <v>0</v>
      </c>
      <c r="J213" s="339">
        <f>J220</f>
        <v>0</v>
      </c>
      <c r="K213" s="340">
        <f ca="1">IF(I213&gt;0,J213*100/I213,0)</f>
        <v>0</v>
      </c>
      <c r="L213" s="250"/>
      <c r="M213" s="249"/>
      <c r="N213" s="249"/>
      <c r="O213" s="249"/>
      <c r="P213" s="249"/>
      <c r="Q213" s="250"/>
      <c r="R213" s="249"/>
      <c r="S213" s="249"/>
      <c r="T213" s="249"/>
      <c r="U213" s="249"/>
    </row>
    <row r="214" spans="1:21" ht="19.5" hidden="1">
      <c r="A214" s="155"/>
      <c r="B214" s="50"/>
      <c r="C214" s="156" t="s">
        <v>18</v>
      </c>
      <c r="D214" s="713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541">
        <f ca="1">L215+L216+L217</f>
        <v>0</v>
      </c>
      <c r="M214" s="55"/>
      <c r="N214" s="540">
        <f>N215+N216+N217</f>
        <v>0</v>
      </c>
      <c r="O214" s="540">
        <f ca="1">IF(L214&gt;0,N214*100/L214,0)</f>
        <v>0</v>
      </c>
      <c r="P214" s="540">
        <f>IF(M214&gt;0,N214*100/M214,0)</f>
        <v>0</v>
      </c>
      <c r="Q214" s="541">
        <f ca="1">Q215+Q216+Q217</f>
        <v>0</v>
      </c>
      <c r="R214" s="55"/>
      <c r="S214" s="540">
        <f>S215+S216+S217</f>
        <v>0</v>
      </c>
      <c r="T214" s="540">
        <f ca="1">IF(Q214&gt;0,S214*100/Q214,0)</f>
        <v>0</v>
      </c>
      <c r="U214" s="540">
        <f>IF(R214&gt;0,S214*100/R214,0)</f>
        <v>0</v>
      </c>
    </row>
    <row r="215" spans="1:21" ht="18.75" hidden="1">
      <c r="A215" s="155"/>
      <c r="B215" s="188"/>
      <c r="C215" s="50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256">
        <f ca="1">IFERROR(__xludf.DUMMYFUNCTION("IMPORTRANGE(""https://docs.google.com/spreadsheets/d/1eHaY18a8A9IcSdp1K8H6x8fbOy06t2VsZHhMHf-1x7Y/edit?usp=sharing"",""แผน!AM32"")"),0)</f>
        <v>0</v>
      </c>
      <c r="M215" s="55"/>
      <c r="N215" s="702">
        <v>0</v>
      </c>
      <c r="O215" s="164"/>
      <c r="P215" s="55"/>
      <c r="Q215" s="256">
        <v>0</v>
      </c>
      <c r="R215" s="55"/>
      <c r="S215" s="255">
        <v>0</v>
      </c>
      <c r="T215" s="164"/>
      <c r="U215" s="55"/>
    </row>
    <row r="216" spans="1:21" ht="18.75" hidden="1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256">
        <f ca="1">IFERROR(__xludf.DUMMYFUNCTION("IMPORTRANGE(""https://docs.google.com/spreadsheets/d/1eHaY18a8A9IcSdp1K8H6x8fbOy06t2VsZHhMHf-1x7Y/edit?usp=sharing"",""แผน!AN32"")"),0)</f>
        <v>0</v>
      </c>
      <c r="M216" s="55"/>
      <c r="N216" s="702">
        <v>0</v>
      </c>
      <c r="O216" s="164"/>
      <c r="P216" s="55"/>
      <c r="Q216" s="256">
        <v>0</v>
      </c>
      <c r="R216" s="55"/>
      <c r="S216" s="255">
        <v>0</v>
      </c>
      <c r="T216" s="164"/>
      <c r="U216" s="55"/>
    </row>
    <row r="217" spans="1:21" ht="18.75" hidden="1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256">
        <f ca="1">IFERROR(__xludf.DUMMYFUNCTION("IMPORTRANGE(""https://docs.google.com/spreadsheets/d/1eHaY18a8A9IcSdp1K8H6x8fbOy06t2VsZHhMHf-1x7Y/edit?usp=sharing"",""แผน!AO32"")"),0)</f>
        <v>0</v>
      </c>
      <c r="M217" s="55"/>
      <c r="N217" s="702">
        <v>0</v>
      </c>
      <c r="O217" s="164"/>
      <c r="P217" s="55"/>
      <c r="Q217" s="256">
        <f ca="1">IFERROR(__xludf.DUMMYFUNCTION("IMPORTRANGE(""https://docs.google.com/spreadsheets/d/1eHaY18a8A9IcSdp1K8H6x8fbOy06t2VsZHhMHf-1x7Y/edit?usp=sharing"",""แผน!LY32"")"),0)</f>
        <v>0</v>
      </c>
      <c r="R217" s="55"/>
      <c r="S217" s="702">
        <v>0</v>
      </c>
      <c r="T217" s="164"/>
      <c r="U217" s="55"/>
    </row>
    <row r="218" spans="1:21" ht="19.5" hidden="1">
      <c r="A218" s="166"/>
      <c r="B218" s="167"/>
      <c r="C218" s="191" t="s">
        <v>18</v>
      </c>
      <c r="D218" s="566" t="s">
        <v>38</v>
      </c>
      <c r="E218" s="169"/>
      <c r="F218" s="169"/>
      <c r="G218" s="170"/>
      <c r="H218" s="171"/>
      <c r="I218" s="163"/>
      <c r="J218" s="54"/>
      <c r="K218" s="55"/>
      <c r="L218" s="62"/>
      <c r="M218" s="55"/>
      <c r="N218" s="55"/>
      <c r="O218" s="164"/>
      <c r="P218" s="164"/>
      <c r="Q218" s="62"/>
      <c r="R218" s="55"/>
      <c r="S218" s="55"/>
      <c r="T218" s="164"/>
      <c r="U218" s="164"/>
    </row>
    <row r="219" spans="1:21" ht="18.75" hidden="1">
      <c r="A219" s="166"/>
      <c r="B219" s="167"/>
      <c r="C219" s="167"/>
      <c r="D219" s="173" t="s">
        <v>96</v>
      </c>
      <c r="E219" s="174"/>
      <c r="F219" s="174"/>
      <c r="G219" s="171"/>
      <c r="H219" s="257" t="s">
        <v>85</v>
      </c>
      <c r="I219" s="212">
        <f ca="1">IFERROR(__xludf.DUMMYFUNCTION("IMPORTRANGE(""https://docs.google.com/spreadsheets/d/1eHaY18a8A9IcSdp1K8H6x8fbOy06t2VsZHhMHf-1x7Y/edit?usp=sharing"",""แผน!AP32"")"),0)</f>
        <v>0</v>
      </c>
      <c r="J219" s="467">
        <v>0</v>
      </c>
      <c r="K219" s="255">
        <f ca="1">IF(I219&gt;0,J219*100/I219,0)</f>
        <v>0</v>
      </c>
      <c r="L219" s="62"/>
      <c r="M219" s="55"/>
      <c r="N219" s="55"/>
      <c r="O219" s="55"/>
      <c r="P219" s="55"/>
      <c r="Q219" s="62"/>
      <c r="R219" s="55"/>
      <c r="S219" s="55"/>
      <c r="T219" s="55"/>
      <c r="U219" s="55"/>
    </row>
    <row r="220" spans="1:21" ht="18.75" hidden="1">
      <c r="A220" s="166"/>
      <c r="B220" s="167"/>
      <c r="C220" s="167"/>
      <c r="D220" s="173" t="s">
        <v>97</v>
      </c>
      <c r="E220" s="174"/>
      <c r="F220" s="174"/>
      <c r="G220" s="171"/>
      <c r="H220" s="257" t="s">
        <v>85</v>
      </c>
      <c r="I220" s="212">
        <f ca="1">IFERROR(__xludf.DUMMYFUNCTION("IMPORTRANGE(""https://docs.google.com/spreadsheets/d/1eHaY18a8A9IcSdp1K8H6x8fbOy06t2VsZHhMHf-1x7Y/edit?usp=sharing"",""แผน!AP32"")"),0)</f>
        <v>0</v>
      </c>
      <c r="J220" s="467">
        <v>0</v>
      </c>
      <c r="K220" s="255">
        <f ca="1">IF(I220&gt;0,J220*100/I220,0)</f>
        <v>0</v>
      </c>
      <c r="L220" s="62"/>
      <c r="M220" s="55"/>
      <c r="N220" s="55"/>
      <c r="O220" s="55"/>
      <c r="P220" s="55"/>
      <c r="Q220" s="62"/>
      <c r="R220" s="55"/>
      <c r="S220" s="55"/>
      <c r="T220" s="55"/>
      <c r="U220" s="55"/>
    </row>
    <row r="221" spans="1:21" ht="19.5">
      <c r="A221" s="241"/>
      <c r="B221" s="242"/>
      <c r="C221" s="243" t="s">
        <v>98</v>
      </c>
      <c r="D221" s="244"/>
      <c r="E221" s="244"/>
      <c r="F221" s="244"/>
      <c r="G221" s="245"/>
      <c r="H221" s="246" t="s">
        <v>99</v>
      </c>
      <c r="I221" s="339">
        <f ca="1">I229</f>
        <v>123000</v>
      </c>
      <c r="J221" s="339">
        <f>J229</f>
        <v>0</v>
      </c>
      <c r="K221" s="340">
        <f ca="1">IF(I221&gt;0,J221*100/I221,0)</f>
        <v>0</v>
      </c>
      <c r="L221" s="250"/>
      <c r="M221" s="249"/>
      <c r="N221" s="249"/>
      <c r="O221" s="249"/>
      <c r="P221" s="249"/>
      <c r="Q221" s="249"/>
      <c r="R221" s="249"/>
      <c r="S221" s="249"/>
      <c r="T221" s="249"/>
      <c r="U221" s="249"/>
    </row>
    <row r="222" spans="1:21" ht="19.5">
      <c r="A222" s="155"/>
      <c r="B222" s="50"/>
      <c r="C222" s="156" t="s">
        <v>18</v>
      </c>
      <c r="D222" s="713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541">
        <f ca="1">L223+L224+L225</f>
        <v>14500</v>
      </c>
      <c r="M222" s="55"/>
      <c r="N222" s="540">
        <f>N223+N224+N225</f>
        <v>0</v>
      </c>
      <c r="O222" s="540">
        <f ca="1">IF(L222&gt;0,N222*100/L222,0)</f>
        <v>0</v>
      </c>
      <c r="P222" s="540">
        <f>IF(M222&gt;0,N222*100/M222,0)</f>
        <v>0</v>
      </c>
      <c r="Q222" s="55"/>
      <c r="R222" s="55"/>
      <c r="S222" s="55"/>
      <c r="T222" s="55"/>
      <c r="U222" s="55"/>
    </row>
    <row r="223" spans="1:21" ht="18.75">
      <c r="A223" s="155"/>
      <c r="B223" s="188"/>
      <c r="C223" s="50"/>
      <c r="D223" s="712" t="s">
        <v>309</v>
      </c>
      <c r="E223" s="50"/>
      <c r="F223" s="50"/>
      <c r="G223" s="52"/>
      <c r="H223" s="162" t="s">
        <v>14</v>
      </c>
      <c r="I223" s="163"/>
      <c r="J223" s="163"/>
      <c r="K223" s="164"/>
      <c r="L223" s="256">
        <f ca="1">IFERROR(__xludf.DUMMYFUNCTION("IMPORTRANGE(""https://docs.google.com/spreadsheets/d/1eHaY18a8A9IcSdp1K8H6x8fbOy06t2VsZHhMHf-1x7Y/edit?usp=sharing"",""แผน!AR32"")"),2500)</f>
        <v>2500</v>
      </c>
      <c r="M223" s="55"/>
      <c r="N223" s="702">
        <v>0</v>
      </c>
      <c r="O223" s="164"/>
      <c r="P223" s="55"/>
      <c r="Q223" s="55"/>
      <c r="R223" s="55"/>
      <c r="S223" s="55"/>
      <c r="T223" s="164"/>
      <c r="U223" s="55"/>
    </row>
    <row r="224" spans="1:21" ht="18.75">
      <c r="A224" s="238"/>
      <c r="B224" s="188"/>
      <c r="C224" s="188"/>
      <c r="D224" s="58" t="s">
        <v>308</v>
      </c>
      <c r="E224" s="50"/>
      <c r="F224" s="50"/>
      <c r="G224" s="52"/>
      <c r="H224" s="162" t="s">
        <v>14</v>
      </c>
      <c r="I224" s="54"/>
      <c r="J224" s="54"/>
      <c r="K224" s="55"/>
      <c r="L224" s="256">
        <f ca="1">IFERROR(__xludf.DUMMYFUNCTION("IMPORTRANGE(""https://docs.google.com/spreadsheets/d/1eHaY18a8A9IcSdp1K8H6x8fbOy06t2VsZHhMHf-1x7Y/edit?usp=sharing"",""แผน!AS32"")"),12000)</f>
        <v>12000</v>
      </c>
      <c r="M224" s="55"/>
      <c r="N224" s="702">
        <v>0</v>
      </c>
      <c r="O224" s="164"/>
      <c r="P224" s="55"/>
      <c r="Q224" s="55"/>
      <c r="R224" s="55"/>
      <c r="S224" s="55"/>
      <c r="T224" s="164"/>
      <c r="U224" s="55"/>
    </row>
    <row r="225" spans="1:21" ht="18.75">
      <c r="A225" s="238"/>
      <c r="B225" s="188"/>
      <c r="C225" s="188"/>
      <c r="D225" s="58" t="s">
        <v>88</v>
      </c>
      <c r="E225" s="50"/>
      <c r="F225" s="50"/>
      <c r="G225" s="52"/>
      <c r="H225" s="162" t="s">
        <v>14</v>
      </c>
      <c r="I225" s="54"/>
      <c r="J225" s="54"/>
      <c r="K225" s="55"/>
      <c r="L225" s="256">
        <f ca="1">IFERROR(__xludf.DUMMYFUNCTION("IMPORTRANGE(""https://docs.google.com/spreadsheets/d/1eHaY18a8A9IcSdp1K8H6x8fbOy06t2VsZHhMHf-1x7Y/edit?usp=sharing"",""แผน!AT32"")"),0)</f>
        <v>0</v>
      </c>
      <c r="M225" s="55"/>
      <c r="N225" s="702">
        <v>0</v>
      </c>
      <c r="O225" s="164"/>
      <c r="P225" s="55"/>
      <c r="Q225" s="55"/>
      <c r="R225" s="55"/>
      <c r="S225" s="55"/>
      <c r="T225" s="164"/>
      <c r="U225" s="55"/>
    </row>
    <row r="226" spans="1:21" ht="19.5">
      <c r="A226" s="166"/>
      <c r="B226" s="167"/>
      <c r="C226" s="191" t="s">
        <v>18</v>
      </c>
      <c r="D226" s="566" t="s">
        <v>38</v>
      </c>
      <c r="E226" s="169"/>
      <c r="F226" s="169"/>
      <c r="G226" s="170"/>
      <c r="H226" s="171"/>
      <c r="I226" s="163"/>
      <c r="J226" s="163"/>
      <c r="K226" s="164"/>
      <c r="L226" s="172"/>
      <c r="M226" s="164"/>
      <c r="N226" s="164"/>
      <c r="O226" s="164"/>
      <c r="P226" s="164"/>
      <c r="Q226" s="164"/>
      <c r="R226" s="164"/>
      <c r="S226" s="164"/>
      <c r="T226" s="164"/>
      <c r="U226" s="164"/>
    </row>
    <row r="227" spans="1:21" ht="18.75">
      <c r="A227" s="166"/>
      <c r="B227" s="167"/>
      <c r="C227" s="167"/>
      <c r="D227" s="58" t="s">
        <v>101</v>
      </c>
      <c r="E227" s="174"/>
      <c r="F227" s="174"/>
      <c r="G227" s="171"/>
      <c r="H227" s="171"/>
      <c r="I227" s="54"/>
      <c r="J227" s="54"/>
      <c r="K227" s="164"/>
      <c r="L227" s="172"/>
      <c r="M227" s="164"/>
      <c r="N227" s="164"/>
      <c r="O227" s="164"/>
      <c r="P227" s="164"/>
      <c r="Q227" s="164"/>
      <c r="R227" s="164"/>
      <c r="S227" s="164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79" t="s">
        <v>99</v>
      </c>
      <c r="I228" s="212">
        <f ca="1">IFERROR(__xludf.DUMMYFUNCTION("IMPORTRANGE(""https://docs.google.com/spreadsheets/d/1eHaY18a8A9IcSdp1K8H6x8fbOy06t2VsZHhMHf-1x7Y/edit?usp=sharing"",""แผน!AV32"")"),123000)</f>
        <v>123000</v>
      </c>
      <c r="J228" s="467">
        <v>123000</v>
      </c>
      <c r="K228" s="565">
        <f ca="1">IF(I228&gt;0,J228*100/I228,0)</f>
        <v>100</v>
      </c>
      <c r="L228" s="172"/>
      <c r="M228" s="164"/>
      <c r="N228" s="164"/>
      <c r="O228" s="164"/>
      <c r="P228" s="164"/>
      <c r="Q228" s="164"/>
      <c r="R228" s="164"/>
      <c r="S228" s="164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79" t="s">
        <v>99</v>
      </c>
      <c r="I229" s="212">
        <f ca="1">IFERROR(__xludf.DUMMYFUNCTION("IMPORTRANGE(""https://docs.google.com/spreadsheets/d/1eHaY18a8A9IcSdp1K8H6x8fbOy06t2VsZHhMHf-1x7Y/edit?usp=sharing"",""แผน!AV32"")"),123000)</f>
        <v>123000</v>
      </c>
      <c r="J229" s="467">
        <v>0</v>
      </c>
      <c r="K229" s="565">
        <f ca="1">IF(I229&gt;0,J229*100/I229,0)</f>
        <v>0</v>
      </c>
      <c r="L229" s="62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79" t="s">
        <v>35</v>
      </c>
      <c r="I230" s="212">
        <f ca="1">IFERROR(__xludf.DUMMYFUNCTION("IMPORTRANGE(""https://docs.google.com/spreadsheets/d/1eHaY18a8A9IcSdp1K8H6x8fbOy06t2VsZHhMHf-1x7Y/edit?usp=sharing"",""แผน!AU32"")"),0)</f>
        <v>0</v>
      </c>
      <c r="J230" s="467">
        <v>0</v>
      </c>
      <c r="K230" s="565">
        <f ca="1">IF(I230&gt;0,J230*100/I230,0)</f>
        <v>0</v>
      </c>
      <c r="L230" s="62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9.5" hidden="1">
      <c r="A231" s="241"/>
      <c r="B231" s="242"/>
      <c r="C231" s="243" t="s">
        <v>105</v>
      </c>
      <c r="D231" s="244"/>
      <c r="E231" s="244"/>
      <c r="F231" s="244"/>
      <c r="G231" s="245"/>
      <c r="H231" s="246" t="s">
        <v>35</v>
      </c>
      <c r="I231" s="339">
        <f ca="1">I242+I253</f>
        <v>0</v>
      </c>
      <c r="J231" s="339">
        <f>J242+J253</f>
        <v>0</v>
      </c>
      <c r="K231" s="340">
        <f ca="1">IF(I231&gt;0,J231*100/I231,0)</f>
        <v>0</v>
      </c>
      <c r="L231" s="250"/>
      <c r="M231" s="249"/>
      <c r="N231" s="249"/>
      <c r="O231" s="249"/>
      <c r="P231" s="249"/>
      <c r="Q231" s="249"/>
      <c r="R231" s="249"/>
      <c r="S231" s="249"/>
      <c r="T231" s="249"/>
      <c r="U231" s="249"/>
    </row>
    <row r="232" spans="1:21" ht="19.5" hidden="1">
      <c r="A232" s="155"/>
      <c r="B232" s="50"/>
      <c r="C232" s="156" t="s">
        <v>18</v>
      </c>
      <c r="D232" s="575" t="s">
        <v>19</v>
      </c>
      <c r="E232" s="50"/>
      <c r="F232" s="50"/>
      <c r="G232" s="52"/>
      <c r="H232" s="252" t="s">
        <v>14</v>
      </c>
      <c r="I232" s="163"/>
      <c r="J232" s="163"/>
      <c r="K232" s="164"/>
      <c r="L232" s="711">
        <f ca="1">L243+L254</f>
        <v>0</v>
      </c>
      <c r="M232" s="55"/>
      <c r="N232" s="710">
        <f>N243+N254</f>
        <v>0</v>
      </c>
      <c r="O232" s="55"/>
      <c r="P232" s="55"/>
      <c r="Q232" s="55"/>
      <c r="R232" s="55"/>
      <c r="S232" s="55"/>
      <c r="T232" s="55"/>
      <c r="U232" s="55"/>
    </row>
    <row r="233" spans="1:21" ht="18.75" hidden="1">
      <c r="A233" s="155"/>
      <c r="B233" s="188"/>
      <c r="C233" s="50"/>
      <c r="D233" s="58" t="s">
        <v>86</v>
      </c>
      <c r="E233" s="50"/>
      <c r="F233" s="50"/>
      <c r="G233" s="52"/>
      <c r="H233" s="162" t="s">
        <v>14</v>
      </c>
      <c r="I233" s="163"/>
      <c r="J233" s="163"/>
      <c r="K233" s="164"/>
      <c r="L233" s="103">
        <f ca="1">L244+L255</f>
        <v>0</v>
      </c>
      <c r="M233" s="55"/>
      <c r="N233" s="102">
        <f>N244+N255</f>
        <v>0</v>
      </c>
      <c r="O233" s="55"/>
      <c r="P233" s="55"/>
      <c r="Q233" s="709">
        <v>0</v>
      </c>
      <c r="R233" s="708">
        <v>0</v>
      </c>
      <c r="S233" s="708">
        <v>0</v>
      </c>
      <c r="T233" s="55"/>
      <c r="U233" s="55"/>
    </row>
    <row r="234" spans="1:21" ht="18.75" hidden="1">
      <c r="A234" s="238"/>
      <c r="B234" s="188"/>
      <c r="C234" s="188"/>
      <c r="D234" s="58" t="s">
        <v>88</v>
      </c>
      <c r="E234" s="50"/>
      <c r="F234" s="50"/>
      <c r="G234" s="52"/>
      <c r="H234" s="162" t="s">
        <v>14</v>
      </c>
      <c r="I234" s="54"/>
      <c r="J234" s="54"/>
      <c r="K234" s="55"/>
      <c r="L234" s="103">
        <f ca="1">L245+L256</f>
        <v>0</v>
      </c>
      <c r="M234" s="55"/>
      <c r="N234" s="102">
        <f>N245+N256</f>
        <v>0</v>
      </c>
      <c r="O234" s="55"/>
      <c r="P234" s="55"/>
      <c r="Q234" s="256">
        <v>0</v>
      </c>
      <c r="R234" s="255">
        <v>0</v>
      </c>
      <c r="S234" s="255">
        <v>0</v>
      </c>
      <c r="T234" s="55"/>
      <c r="U234" s="55"/>
    </row>
    <row r="235" spans="1:21" ht="18.75" hidden="1">
      <c r="A235" s="238"/>
      <c r="B235" s="188"/>
      <c r="C235" s="188"/>
      <c r="D235" s="58" t="s">
        <v>106</v>
      </c>
      <c r="E235" s="50"/>
      <c r="F235" s="50"/>
      <c r="G235" s="52"/>
      <c r="H235" s="162" t="s">
        <v>14</v>
      </c>
      <c r="I235" s="54"/>
      <c r="J235" s="54"/>
      <c r="K235" s="55"/>
      <c r="L235" s="103">
        <f ca="1">L246+L257</f>
        <v>0</v>
      </c>
      <c r="M235" s="55"/>
      <c r="N235" s="102">
        <f>N246+N257</f>
        <v>0</v>
      </c>
      <c r="O235" s="55"/>
      <c r="P235" s="55"/>
      <c r="Q235" s="256">
        <v>0</v>
      </c>
      <c r="R235" s="255">
        <v>0</v>
      </c>
      <c r="S235" s="255">
        <v>0</v>
      </c>
      <c r="T235" s="55"/>
      <c r="U235" s="55"/>
    </row>
    <row r="236" spans="1:21" ht="18.75" hidden="1">
      <c r="A236" s="238"/>
      <c r="B236" s="188"/>
      <c r="C236" s="188"/>
      <c r="D236" s="58" t="s">
        <v>107</v>
      </c>
      <c r="E236" s="50"/>
      <c r="F236" s="50"/>
      <c r="G236" s="52"/>
      <c r="H236" s="162" t="s">
        <v>14</v>
      </c>
      <c r="I236" s="54"/>
      <c r="J236" s="54"/>
      <c r="K236" s="55"/>
      <c r="L236" s="103">
        <f ca="1">L247+L258</f>
        <v>0</v>
      </c>
      <c r="M236" s="55"/>
      <c r="N236" s="102">
        <f>N247+N258</f>
        <v>0</v>
      </c>
      <c r="O236" s="55"/>
      <c r="P236" s="55"/>
      <c r="Q236" s="256">
        <v>0</v>
      </c>
      <c r="R236" s="255">
        <v>0</v>
      </c>
      <c r="S236" s="255">
        <v>0</v>
      </c>
      <c r="T236" s="55"/>
      <c r="U236" s="55"/>
    </row>
    <row r="237" spans="1:21" ht="19.5" hidden="1">
      <c r="A237" s="166"/>
      <c r="B237" s="167"/>
      <c r="C237" s="191" t="s">
        <v>18</v>
      </c>
      <c r="D237" s="566" t="s">
        <v>38</v>
      </c>
      <c r="E237" s="169"/>
      <c r="F237" s="169"/>
      <c r="G237" s="170"/>
      <c r="H237" s="171"/>
      <c r="I237" s="163"/>
      <c r="J237" s="54"/>
      <c r="K237" s="55"/>
      <c r="L237" s="62"/>
      <c r="M237" s="55"/>
      <c r="N237" s="55"/>
      <c r="O237" s="164"/>
      <c r="P237" s="164"/>
      <c r="Q237" s="55"/>
      <c r="R237" s="55"/>
      <c r="S237" s="55"/>
      <c r="T237" s="164"/>
      <c r="U237" s="164"/>
    </row>
    <row r="238" spans="1:21" ht="18.75" hidden="1">
      <c r="A238" s="166"/>
      <c r="B238" s="167"/>
      <c r="C238" s="167"/>
      <c r="D238" s="178" t="s">
        <v>108</v>
      </c>
      <c r="E238" s="174"/>
      <c r="F238" s="174"/>
      <c r="G238" s="171"/>
      <c r="H238" s="179" t="s">
        <v>35</v>
      </c>
      <c r="I238" s="212">
        <f ca="1">I249+I260</f>
        <v>0</v>
      </c>
      <c r="J238" s="212">
        <f>J249+J260</f>
        <v>0</v>
      </c>
      <c r="K238" s="255">
        <f ca="1">IF(I238&gt;0,J238*100/I238,0)</f>
        <v>0</v>
      </c>
      <c r="L238" s="62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ht="18.75" hidden="1">
      <c r="A239" s="166"/>
      <c r="B239" s="167"/>
      <c r="C239" s="167"/>
      <c r="D239" s="266" t="s">
        <v>43</v>
      </c>
      <c r="E239" s="174"/>
      <c r="F239" s="174"/>
      <c r="G239" s="171"/>
      <c r="H239" s="171"/>
      <c r="I239" s="54"/>
      <c r="J239" s="54"/>
      <c r="K239" s="55"/>
      <c r="L239" s="62"/>
      <c r="M239" s="55"/>
      <c r="N239" s="55"/>
      <c r="O239" s="164"/>
      <c r="P239" s="164"/>
      <c r="Q239" s="55"/>
      <c r="R239" s="55"/>
      <c r="S239" s="55"/>
      <c r="T239" s="164"/>
      <c r="U239" s="164"/>
    </row>
    <row r="240" spans="1:21" ht="18.75" hidden="1">
      <c r="A240" s="166"/>
      <c r="B240" s="167"/>
      <c r="C240" s="167"/>
      <c r="D240" s="167"/>
      <c r="E240" s="173" t="s">
        <v>109</v>
      </c>
      <c r="F240" s="174"/>
      <c r="G240" s="171"/>
      <c r="H240" s="179" t="s">
        <v>35</v>
      </c>
      <c r="I240" s="212">
        <f>I251+I262</f>
        <v>0</v>
      </c>
      <c r="J240" s="212">
        <f>J251+J262</f>
        <v>0</v>
      </c>
      <c r="K240" s="255">
        <f>IF(I240&gt;0,J240*100/I240,0)</f>
        <v>0</v>
      </c>
      <c r="L240" s="62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ht="18.75" hidden="1">
      <c r="A241" s="166"/>
      <c r="B241" s="167"/>
      <c r="C241" s="167"/>
      <c r="D241" s="167"/>
      <c r="E241" s="173" t="s">
        <v>110</v>
      </c>
      <c r="F241" s="174"/>
      <c r="G241" s="171"/>
      <c r="H241" s="179" t="s">
        <v>61</v>
      </c>
      <c r="I241" s="212">
        <f>I252+I263</f>
        <v>0</v>
      </c>
      <c r="J241" s="212">
        <f>J252+J263</f>
        <v>0</v>
      </c>
      <c r="K241" s="255">
        <f>IF(I241&gt;0,J241*100/I241,0)</f>
        <v>0</v>
      </c>
      <c r="L241" s="62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ht="19.5" hidden="1">
      <c r="A242" s="241"/>
      <c r="B242" s="242"/>
      <c r="C242" s="707" t="s">
        <v>111</v>
      </c>
      <c r="D242" s="244"/>
      <c r="E242" s="244"/>
      <c r="F242" s="244"/>
      <c r="G242" s="245"/>
      <c r="H242" s="706" t="s">
        <v>35</v>
      </c>
      <c r="I242" s="705">
        <f ca="1">I249</f>
        <v>0</v>
      </c>
      <c r="J242" s="705">
        <f>J249</f>
        <v>0</v>
      </c>
      <c r="K242" s="704">
        <f ca="1">IF(I242&gt;0,J242*100/I242,0)</f>
        <v>0</v>
      </c>
      <c r="L242" s="250"/>
      <c r="M242" s="249"/>
      <c r="N242" s="249"/>
      <c r="O242" s="249"/>
      <c r="P242" s="249"/>
      <c r="Q242" s="249"/>
      <c r="R242" s="249"/>
      <c r="S242" s="249"/>
      <c r="T242" s="249"/>
      <c r="U242" s="249"/>
    </row>
    <row r="243" spans="1:21" ht="19.5" hidden="1">
      <c r="A243" s="155"/>
      <c r="B243" s="50"/>
      <c r="C243" s="591" t="s">
        <v>18</v>
      </c>
      <c r="D243" s="562" t="s">
        <v>19</v>
      </c>
      <c r="E243" s="50"/>
      <c r="F243" s="50"/>
      <c r="G243" s="52"/>
      <c r="H243" s="418" t="s">
        <v>14</v>
      </c>
      <c r="I243" s="163"/>
      <c r="J243" s="163"/>
      <c r="K243" s="164"/>
      <c r="L243" s="541">
        <f ca="1">L244+L245+L246+L247</f>
        <v>0</v>
      </c>
      <c r="M243" s="55"/>
      <c r="N243" s="540">
        <f>N244+N245+N246+N247</f>
        <v>0</v>
      </c>
      <c r="O243" s="540">
        <f ca="1">IF(L243&gt;0,N243*100/L243,0)</f>
        <v>0</v>
      </c>
      <c r="P243" s="540">
        <f>IF(M243&gt;0,N243*100/M243,0)</f>
        <v>0</v>
      </c>
      <c r="Q243" s="55"/>
      <c r="R243" s="55"/>
      <c r="S243" s="55"/>
      <c r="T243" s="55"/>
      <c r="U243" s="55"/>
    </row>
    <row r="244" spans="1:21" ht="18.75" hidden="1">
      <c r="A244" s="155"/>
      <c r="B244" s="188"/>
      <c r="C244" s="50"/>
      <c r="D244" s="186" t="s">
        <v>86</v>
      </c>
      <c r="E244" s="50"/>
      <c r="F244" s="50"/>
      <c r="G244" s="52"/>
      <c r="H244" s="189" t="s">
        <v>14</v>
      </c>
      <c r="I244" s="163"/>
      <c r="J244" s="163"/>
      <c r="K244" s="164"/>
      <c r="L244" s="256">
        <f ca="1">IFERROR(__xludf.DUMMYFUNCTION("IMPORTRANGE(""https://docs.google.com/spreadsheets/d/1eHaY18a8A9IcSdp1K8H6x8fbOy06t2VsZHhMHf-1x7Y/edit?usp=sharing"",""แผน!AX32"")"),0)</f>
        <v>0</v>
      </c>
      <c r="M244" s="55"/>
      <c r="N244" s="702">
        <v>0</v>
      </c>
      <c r="O244" s="55"/>
      <c r="P244" s="55"/>
      <c r="Q244" s="55"/>
      <c r="R244" s="55"/>
      <c r="S244" s="55"/>
      <c r="T244" s="55"/>
      <c r="U244" s="55"/>
    </row>
    <row r="245" spans="1:21" ht="18.75" hidden="1">
      <c r="A245" s="238"/>
      <c r="B245" s="188"/>
      <c r="C245" s="188"/>
      <c r="D245" s="186" t="s">
        <v>88</v>
      </c>
      <c r="E245" s="50"/>
      <c r="F245" s="50"/>
      <c r="G245" s="52"/>
      <c r="H245" s="189" t="s">
        <v>14</v>
      </c>
      <c r="I245" s="54"/>
      <c r="J245" s="54"/>
      <c r="K245" s="55"/>
      <c r="L245" s="256">
        <f ca="1">IFERROR(__xludf.DUMMYFUNCTION("IMPORTRANGE(""https://docs.google.com/spreadsheets/d/1eHaY18a8A9IcSdp1K8H6x8fbOy06t2VsZHhMHf-1x7Y/edit?usp=sharing"",""แผน!AY32"")"),0)</f>
        <v>0</v>
      </c>
      <c r="M245" s="55"/>
      <c r="N245" s="702">
        <v>0</v>
      </c>
      <c r="O245" s="55"/>
      <c r="P245" s="55"/>
      <c r="Q245" s="55"/>
      <c r="R245" s="55"/>
      <c r="S245" s="55"/>
      <c r="T245" s="55"/>
      <c r="U245" s="55"/>
    </row>
    <row r="246" spans="1:21" ht="18.75" hidden="1">
      <c r="A246" s="238"/>
      <c r="B246" s="188"/>
      <c r="C246" s="188"/>
      <c r="D246" s="186" t="s">
        <v>106</v>
      </c>
      <c r="E246" s="50"/>
      <c r="F246" s="50"/>
      <c r="G246" s="52"/>
      <c r="H246" s="189" t="s">
        <v>14</v>
      </c>
      <c r="I246" s="54"/>
      <c r="J246" s="54"/>
      <c r="K246" s="55"/>
      <c r="L246" s="256">
        <f ca="1">IFERROR(__xludf.DUMMYFUNCTION("IMPORTRANGE(""https://docs.google.com/spreadsheets/d/1eHaY18a8A9IcSdp1K8H6x8fbOy06t2VsZHhMHf-1x7Y/edit?usp=sharing"",""แผน!AZ32"")"),0)</f>
        <v>0</v>
      </c>
      <c r="M246" s="55"/>
      <c r="N246" s="702">
        <v>0</v>
      </c>
      <c r="O246" s="55"/>
      <c r="P246" s="55"/>
      <c r="Q246" s="55"/>
      <c r="R246" s="55"/>
      <c r="S246" s="55"/>
      <c r="T246" s="55"/>
      <c r="U246" s="55"/>
    </row>
    <row r="247" spans="1:21" ht="18.75" hidden="1">
      <c r="A247" s="238"/>
      <c r="B247" s="188"/>
      <c r="C247" s="188"/>
      <c r="D247" s="186" t="s">
        <v>107</v>
      </c>
      <c r="E247" s="50"/>
      <c r="F247" s="50"/>
      <c r="G247" s="52"/>
      <c r="H247" s="189" t="s">
        <v>14</v>
      </c>
      <c r="I247" s="54"/>
      <c r="J247" s="54"/>
      <c r="K247" s="55"/>
      <c r="L247" s="256">
        <f ca="1">IFERROR(__xludf.DUMMYFUNCTION("IMPORTRANGE(""https://docs.google.com/spreadsheets/d/1eHaY18a8A9IcSdp1K8H6x8fbOy06t2VsZHhMHf-1x7Y/edit?usp=sharing"",""แผน!BA32"")"),0)</f>
        <v>0</v>
      </c>
      <c r="M247" s="55"/>
      <c r="N247" s="702">
        <v>0</v>
      </c>
      <c r="O247" s="55"/>
      <c r="P247" s="55"/>
      <c r="Q247" s="55"/>
      <c r="R247" s="55"/>
      <c r="S247" s="55"/>
      <c r="T247" s="55"/>
      <c r="U247" s="55"/>
    </row>
    <row r="248" spans="1:21" ht="19.5" hidden="1">
      <c r="A248" s="166"/>
      <c r="B248" s="167"/>
      <c r="C248" s="701" t="s">
        <v>18</v>
      </c>
      <c r="D248" s="574" t="s">
        <v>38</v>
      </c>
      <c r="E248" s="169"/>
      <c r="F248" s="169"/>
      <c r="G248" s="170"/>
      <c r="H248" s="171"/>
      <c r="I248" s="163"/>
      <c r="J248" s="54"/>
      <c r="K248" s="55"/>
      <c r="L248" s="62"/>
      <c r="M248" s="55"/>
      <c r="N248" s="55"/>
      <c r="O248" s="164"/>
      <c r="P248" s="164"/>
      <c r="Q248" s="55"/>
      <c r="R248" s="55"/>
      <c r="S248" s="55"/>
      <c r="T248" s="164"/>
      <c r="U248" s="164"/>
    </row>
    <row r="249" spans="1:21" ht="18.75" hidden="1">
      <c r="A249" s="166"/>
      <c r="B249" s="167"/>
      <c r="C249" s="167"/>
      <c r="D249" s="207" t="s">
        <v>108</v>
      </c>
      <c r="E249" s="174"/>
      <c r="F249" s="174"/>
      <c r="G249" s="171"/>
      <c r="H249" s="698" t="s">
        <v>35</v>
      </c>
      <c r="I249" s="483">
        <f ca="1">IFERROR(__xludf.DUMMYFUNCTION("IMPORTRANGE(""https://docs.google.com/spreadsheets/d/1eHaY18a8A9IcSdp1K8H6x8fbOy06t2VsZHhMHf-1x7Y/edit?usp=sharing"",""แผน!BG32"")"),0)</f>
        <v>0</v>
      </c>
      <c r="J249" s="589">
        <v>0</v>
      </c>
      <c r="K249" s="102">
        <f ca="1">IF(I249&gt;0,J249*100/I249,0)</f>
        <v>0</v>
      </c>
      <c r="L249" s="62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8.75" hidden="1">
      <c r="A250" s="166"/>
      <c r="B250" s="167"/>
      <c r="C250" s="167"/>
      <c r="D250" s="700" t="s">
        <v>43</v>
      </c>
      <c r="E250" s="174"/>
      <c r="F250" s="174"/>
      <c r="G250" s="171"/>
      <c r="H250" s="171"/>
      <c r="I250" s="54"/>
      <c r="J250" s="54"/>
      <c r="K250" s="55"/>
      <c r="L250" s="62"/>
      <c r="M250" s="55"/>
      <c r="N250" s="55"/>
      <c r="O250" s="164"/>
      <c r="P250" s="164"/>
      <c r="Q250" s="55"/>
      <c r="R250" s="55"/>
      <c r="S250" s="55"/>
      <c r="T250" s="164"/>
      <c r="U250" s="164"/>
    </row>
    <row r="251" spans="1:21" ht="18.75" hidden="1">
      <c r="A251" s="166"/>
      <c r="B251" s="167"/>
      <c r="C251" s="167"/>
      <c r="D251" s="167"/>
      <c r="E251" s="699" t="s">
        <v>109</v>
      </c>
      <c r="F251" s="174"/>
      <c r="G251" s="171"/>
      <c r="H251" s="698" t="s">
        <v>35</v>
      </c>
      <c r="I251" s="483">
        <v>0</v>
      </c>
      <c r="J251" s="589">
        <v>0</v>
      </c>
      <c r="K251" s="102">
        <f>IF(I251&gt;0,J251*100/I251,0)</f>
        <v>0</v>
      </c>
      <c r="L251" s="62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8.75" hidden="1">
      <c r="A252" s="166"/>
      <c r="B252" s="167"/>
      <c r="C252" s="167"/>
      <c r="D252" s="167"/>
      <c r="E252" s="699" t="s">
        <v>110</v>
      </c>
      <c r="F252" s="174"/>
      <c r="G252" s="171"/>
      <c r="H252" s="698" t="s">
        <v>61</v>
      </c>
      <c r="I252" s="483">
        <v>0</v>
      </c>
      <c r="J252" s="589">
        <v>0</v>
      </c>
      <c r="K252" s="102">
        <f>IF(I252&gt;0,J252*100/I252,0)</f>
        <v>0</v>
      </c>
      <c r="L252" s="62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9.5" hidden="1">
      <c r="A253" s="241"/>
      <c r="B253" s="242"/>
      <c r="C253" s="707" t="s">
        <v>112</v>
      </c>
      <c r="D253" s="244"/>
      <c r="E253" s="244"/>
      <c r="F253" s="244"/>
      <c r="G253" s="245"/>
      <c r="H253" s="706" t="s">
        <v>35</v>
      </c>
      <c r="I253" s="705">
        <f ca="1">I260</f>
        <v>0</v>
      </c>
      <c r="J253" s="705">
        <f>J260</f>
        <v>0</v>
      </c>
      <c r="K253" s="704">
        <f ca="1">IF(I253&gt;0,J253*100/I253,0)</f>
        <v>0</v>
      </c>
      <c r="L253" s="250"/>
      <c r="M253" s="249"/>
      <c r="N253" s="249"/>
      <c r="O253" s="249"/>
      <c r="P253" s="249"/>
      <c r="Q253" s="249"/>
      <c r="R253" s="249"/>
      <c r="S253" s="249"/>
      <c r="T253" s="249"/>
      <c r="U253" s="249"/>
    </row>
    <row r="254" spans="1:21" ht="19.5" hidden="1">
      <c r="A254" s="155"/>
      <c r="B254" s="50"/>
      <c r="C254" s="591" t="s">
        <v>18</v>
      </c>
      <c r="D254" s="703" t="s">
        <v>19</v>
      </c>
      <c r="E254" s="50"/>
      <c r="F254" s="50"/>
      <c r="G254" s="52"/>
      <c r="H254" s="418" t="s">
        <v>14</v>
      </c>
      <c r="I254" s="163"/>
      <c r="J254" s="163"/>
      <c r="K254" s="164"/>
      <c r="L254" s="541">
        <f ca="1">L255+L256+L257+L258</f>
        <v>0</v>
      </c>
      <c r="M254" s="55"/>
      <c r="N254" s="540">
        <f>N255+N256+N257+N258</f>
        <v>0</v>
      </c>
      <c r="O254" s="540">
        <f ca="1">IF(L254&gt;0,N254*100/L254,0)</f>
        <v>0</v>
      </c>
      <c r="P254" s="540">
        <f>IF(M254&gt;0,N254*100/M254,0)</f>
        <v>0</v>
      </c>
      <c r="Q254" s="55"/>
      <c r="R254" s="55"/>
      <c r="S254" s="55"/>
      <c r="T254" s="55"/>
      <c r="U254" s="55"/>
    </row>
    <row r="255" spans="1:21" ht="18.75" hidden="1">
      <c r="A255" s="155"/>
      <c r="B255" s="188"/>
      <c r="C255" s="50"/>
      <c r="D255" s="186" t="s">
        <v>86</v>
      </c>
      <c r="E255" s="50"/>
      <c r="F255" s="50"/>
      <c r="G255" s="52"/>
      <c r="H255" s="189" t="s">
        <v>14</v>
      </c>
      <c r="I255" s="163"/>
      <c r="J255" s="163"/>
      <c r="K255" s="164"/>
      <c r="L255" s="256">
        <f ca="1">IFERROR(__xludf.DUMMYFUNCTION("IMPORTRANGE(""https://docs.google.com/spreadsheets/d/1eHaY18a8A9IcSdp1K8H6x8fbOy06t2VsZHhMHf-1x7Y/edit?usp=sharing"",""แผน!BB32"")"),0)</f>
        <v>0</v>
      </c>
      <c r="M255" s="55"/>
      <c r="N255" s="702">
        <v>0</v>
      </c>
      <c r="O255" s="55"/>
      <c r="P255" s="55"/>
      <c r="Q255" s="55"/>
      <c r="R255" s="55"/>
      <c r="S255" s="55"/>
      <c r="T255" s="55"/>
      <c r="U255" s="55"/>
    </row>
    <row r="256" spans="1:21" ht="18.75" hidden="1">
      <c r="A256" s="238"/>
      <c r="B256" s="188"/>
      <c r="C256" s="188"/>
      <c r="D256" s="186" t="s">
        <v>88</v>
      </c>
      <c r="E256" s="50"/>
      <c r="F256" s="50"/>
      <c r="G256" s="52"/>
      <c r="H256" s="189" t="s">
        <v>14</v>
      </c>
      <c r="I256" s="54"/>
      <c r="J256" s="54"/>
      <c r="K256" s="55"/>
      <c r="L256" s="256">
        <f ca="1">IFERROR(__xludf.DUMMYFUNCTION("IMPORTRANGE(""https://docs.google.com/spreadsheets/d/1eHaY18a8A9IcSdp1K8H6x8fbOy06t2VsZHhMHf-1x7Y/edit?usp=sharing"",""แผน!BC32"")"),0)</f>
        <v>0</v>
      </c>
      <c r="M256" s="55"/>
      <c r="N256" s="702">
        <v>0</v>
      </c>
      <c r="O256" s="55"/>
      <c r="P256" s="55"/>
      <c r="Q256" s="55"/>
      <c r="R256" s="55"/>
      <c r="S256" s="55"/>
      <c r="T256" s="55"/>
      <c r="U256" s="55"/>
    </row>
    <row r="257" spans="1:21" ht="18.75" hidden="1">
      <c r="A257" s="238"/>
      <c r="B257" s="188"/>
      <c r="C257" s="188"/>
      <c r="D257" s="186" t="s">
        <v>106</v>
      </c>
      <c r="E257" s="50"/>
      <c r="F257" s="50"/>
      <c r="G257" s="52"/>
      <c r="H257" s="189" t="s">
        <v>14</v>
      </c>
      <c r="I257" s="54"/>
      <c r="J257" s="54"/>
      <c r="K257" s="55"/>
      <c r="L257" s="256">
        <f ca="1">IFERROR(__xludf.DUMMYFUNCTION("IMPORTRANGE(""https://docs.google.com/spreadsheets/d/1eHaY18a8A9IcSdp1K8H6x8fbOy06t2VsZHhMHf-1x7Y/edit?usp=sharing"",""แผน!BD32"")"),0)</f>
        <v>0</v>
      </c>
      <c r="M257" s="55"/>
      <c r="N257" s="702">
        <v>0</v>
      </c>
      <c r="O257" s="55"/>
      <c r="P257" s="55"/>
      <c r="Q257" s="55"/>
      <c r="R257" s="55"/>
      <c r="S257" s="55"/>
      <c r="T257" s="55"/>
      <c r="U257" s="55"/>
    </row>
    <row r="258" spans="1:21" ht="18.75" hidden="1">
      <c r="A258" s="238"/>
      <c r="B258" s="188"/>
      <c r="C258" s="188"/>
      <c r="D258" s="186" t="s">
        <v>107</v>
      </c>
      <c r="E258" s="50"/>
      <c r="F258" s="50"/>
      <c r="G258" s="52"/>
      <c r="H258" s="189" t="s">
        <v>14</v>
      </c>
      <c r="I258" s="54"/>
      <c r="J258" s="54"/>
      <c r="K258" s="55"/>
      <c r="L258" s="256">
        <f ca="1">IFERROR(__xludf.DUMMYFUNCTION("IMPORTRANGE(""https://docs.google.com/spreadsheets/d/1eHaY18a8A9IcSdp1K8H6x8fbOy06t2VsZHhMHf-1x7Y/edit?usp=sharing"",""แผน!BE32"")"),0)</f>
        <v>0</v>
      </c>
      <c r="M258" s="55"/>
      <c r="N258" s="702">
        <v>0</v>
      </c>
      <c r="O258" s="55"/>
      <c r="P258" s="55"/>
      <c r="Q258" s="55"/>
      <c r="R258" s="55"/>
      <c r="S258" s="55"/>
      <c r="T258" s="55"/>
      <c r="U258" s="55"/>
    </row>
    <row r="259" spans="1:21" ht="19.5" hidden="1">
      <c r="A259" s="166"/>
      <c r="B259" s="167"/>
      <c r="C259" s="701" t="s">
        <v>18</v>
      </c>
      <c r="D259" s="574" t="s">
        <v>38</v>
      </c>
      <c r="E259" s="169"/>
      <c r="F259" s="169"/>
      <c r="G259" s="170"/>
      <c r="H259" s="171"/>
      <c r="I259" s="163"/>
      <c r="J259" s="54"/>
      <c r="K259" s="55"/>
      <c r="L259" s="62"/>
      <c r="M259" s="55"/>
      <c r="N259" s="55"/>
      <c r="O259" s="164"/>
      <c r="P259" s="164"/>
      <c r="Q259" s="55"/>
      <c r="R259" s="55"/>
      <c r="S259" s="55"/>
      <c r="T259" s="164"/>
      <c r="U259" s="164"/>
    </row>
    <row r="260" spans="1:21" ht="18.75" hidden="1">
      <c r="A260" s="166"/>
      <c r="B260" s="167"/>
      <c r="C260" s="167"/>
      <c r="D260" s="207" t="s">
        <v>108</v>
      </c>
      <c r="E260" s="174"/>
      <c r="F260" s="174"/>
      <c r="G260" s="171"/>
      <c r="H260" s="698" t="s">
        <v>35</v>
      </c>
      <c r="I260" s="483">
        <f ca="1">IFERROR(__xludf.DUMMYFUNCTION("IMPORTRANGE(""https://docs.google.com/spreadsheets/d/1eHaY18a8A9IcSdp1K8H6x8fbOy06t2VsZHhMHf-1x7Y/edit?usp=sharing"",""แผน!BH32"")"),0)</f>
        <v>0</v>
      </c>
      <c r="J260" s="589">
        <v>0</v>
      </c>
      <c r="K260" s="102">
        <f ca="1">IF(I260&gt;0,J260*100/I260,0)</f>
        <v>0</v>
      </c>
      <c r="L260" s="62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8.75" hidden="1">
      <c r="A261" s="166"/>
      <c r="B261" s="167"/>
      <c r="C261" s="167"/>
      <c r="D261" s="700" t="s">
        <v>43</v>
      </c>
      <c r="E261" s="174"/>
      <c r="F261" s="174"/>
      <c r="G261" s="171"/>
      <c r="H261" s="171"/>
      <c r="I261" s="54"/>
      <c r="J261" s="54"/>
      <c r="K261" s="55"/>
      <c r="L261" s="62"/>
      <c r="M261" s="55"/>
      <c r="N261" s="55"/>
      <c r="O261" s="164"/>
      <c r="P261" s="164"/>
      <c r="Q261" s="55"/>
      <c r="R261" s="55"/>
      <c r="S261" s="55"/>
      <c r="T261" s="164"/>
      <c r="U261" s="164"/>
    </row>
    <row r="262" spans="1:21" ht="18.75" hidden="1">
      <c r="A262" s="166"/>
      <c r="B262" s="167"/>
      <c r="C262" s="167"/>
      <c r="D262" s="167"/>
      <c r="E262" s="699" t="s">
        <v>109</v>
      </c>
      <c r="F262" s="174"/>
      <c r="G262" s="171"/>
      <c r="H262" s="698" t="s">
        <v>35</v>
      </c>
      <c r="I262" s="54"/>
      <c r="J262" s="589">
        <v>0</v>
      </c>
      <c r="K262" s="102">
        <f>IF(I262&gt;0,J262*100/I262,0)</f>
        <v>0</v>
      </c>
      <c r="L262" s="62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8.75" hidden="1">
      <c r="A263" s="166"/>
      <c r="B263" s="167"/>
      <c r="C263" s="167"/>
      <c r="D263" s="167"/>
      <c r="E263" s="699" t="s">
        <v>110</v>
      </c>
      <c r="F263" s="174"/>
      <c r="G263" s="171"/>
      <c r="H263" s="698" t="s">
        <v>61</v>
      </c>
      <c r="I263" s="54"/>
      <c r="J263" s="589">
        <v>0</v>
      </c>
      <c r="K263" s="102">
        <f>IF(I263&gt;0,J263*100/I263,0)</f>
        <v>0</v>
      </c>
      <c r="L263" s="62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9.5">
      <c r="A264" s="697" t="s">
        <v>113</v>
      </c>
      <c r="B264" s="696"/>
      <c r="C264" s="696"/>
      <c r="D264" s="695"/>
      <c r="E264" s="695"/>
      <c r="F264" s="695"/>
      <c r="G264" s="694"/>
      <c r="H264" s="694"/>
      <c r="I264" s="693"/>
      <c r="J264" s="693"/>
      <c r="K264" s="691"/>
      <c r="L264" s="692"/>
      <c r="M264" s="691"/>
      <c r="N264" s="691"/>
      <c r="O264" s="691"/>
      <c r="P264" s="691"/>
      <c r="Q264" s="691"/>
      <c r="R264" s="691"/>
      <c r="S264" s="691"/>
      <c r="T264" s="691"/>
      <c r="U264" s="691"/>
    </row>
    <row r="265" spans="1:21" ht="19.5">
      <c r="A265" s="690"/>
      <c r="B265" s="689" t="s">
        <v>114</v>
      </c>
      <c r="C265" s="688"/>
      <c r="D265" s="661"/>
      <c r="E265" s="661"/>
      <c r="F265" s="661"/>
      <c r="G265" s="660"/>
      <c r="H265" s="687" t="s">
        <v>35</v>
      </c>
      <c r="I265" s="686">
        <f ca="1">I276</f>
        <v>24</v>
      </c>
      <c r="J265" s="686">
        <f>J276</f>
        <v>24</v>
      </c>
      <c r="K265" s="685">
        <f ca="1">IF(I265&gt;0,J265*100/I265,0)</f>
        <v>100</v>
      </c>
      <c r="L265" s="684"/>
      <c r="M265" s="683"/>
      <c r="N265" s="683"/>
      <c r="O265" s="683"/>
      <c r="P265" s="683"/>
      <c r="Q265" s="683"/>
      <c r="R265" s="683"/>
      <c r="S265" s="683"/>
      <c r="T265" s="683"/>
      <c r="U265" s="683"/>
    </row>
    <row r="266" spans="1:21" ht="19.5">
      <c r="A266" s="668"/>
      <c r="B266" s="667"/>
      <c r="C266" s="682" t="s">
        <v>18</v>
      </c>
      <c r="D266" s="681" t="s">
        <v>19</v>
      </c>
      <c r="E266" s="667"/>
      <c r="F266" s="667"/>
      <c r="G266" s="666"/>
      <c r="H266" s="680" t="s">
        <v>14</v>
      </c>
      <c r="I266" s="548"/>
      <c r="J266" s="548"/>
      <c r="K266" s="545"/>
      <c r="L266" s="679">
        <f ca="1">L267+L268</f>
        <v>0</v>
      </c>
      <c r="M266" s="678">
        <f ca="1">M267+M268</f>
        <v>5000</v>
      </c>
      <c r="N266" s="678">
        <f ca="1">N267+N268</f>
        <v>1240</v>
      </c>
      <c r="O266" s="678">
        <f ca="1">IF(L266&gt;0,N266*100/L266,0)</f>
        <v>0</v>
      </c>
      <c r="P266" s="678">
        <f ca="1">IF(M266&gt;0,N266*100/M266,0)</f>
        <v>24.8</v>
      </c>
      <c r="Q266" s="678">
        <f ca="1">Q267+Q268</f>
        <v>53440</v>
      </c>
      <c r="R266" s="678">
        <f ca="1">R267+R268</f>
        <v>53440</v>
      </c>
      <c r="S266" s="678">
        <f ca="1">S267+S268</f>
        <v>0</v>
      </c>
      <c r="T266" s="678">
        <f ca="1">IF(Q266&gt;0,S266*100/Q266,0)</f>
        <v>0</v>
      </c>
      <c r="U266" s="678">
        <f ca="1">IF(R266&gt;0,S266*100/R266,0)</f>
        <v>0</v>
      </c>
    </row>
    <row r="267" spans="1:21" ht="18.75" hidden="1">
      <c r="A267" s="673"/>
      <c r="B267" s="672"/>
      <c r="C267" s="672"/>
      <c r="D267" s="672"/>
      <c r="E267" s="186" t="s">
        <v>20</v>
      </c>
      <c r="F267" s="672"/>
      <c r="G267" s="671"/>
      <c r="H267" s="187" t="s">
        <v>14</v>
      </c>
      <c r="I267" s="677"/>
      <c r="J267" s="677"/>
      <c r="K267" s="676"/>
      <c r="L267" s="103">
        <f>L270+L273</f>
        <v>0</v>
      </c>
      <c r="M267" s="102">
        <f>M270+M273</f>
        <v>0</v>
      </c>
      <c r="N267" s="102">
        <f>N270+N273</f>
        <v>0</v>
      </c>
      <c r="O267" s="102">
        <f>IF(L267&gt;0,N267*100/L267,0)</f>
        <v>0</v>
      </c>
      <c r="P267" s="102">
        <f>IF(M267&gt;0,N267*100/M267,0)</f>
        <v>0</v>
      </c>
      <c r="Q267" s="102">
        <f>Q270+Q273</f>
        <v>0</v>
      </c>
      <c r="R267" s="102">
        <f>R270+R273</f>
        <v>0</v>
      </c>
      <c r="S267" s="102">
        <f>S270+S273</f>
        <v>0</v>
      </c>
      <c r="T267" s="102">
        <f>IF(Q267&gt;0,S267*100/Q267,0)</f>
        <v>0</v>
      </c>
      <c r="U267" s="102">
        <f>IF(R267&gt;0,S267*100/R267,0)</f>
        <v>0</v>
      </c>
    </row>
    <row r="268" spans="1:21" ht="18.75" hidden="1">
      <c r="A268" s="668"/>
      <c r="B268" s="667"/>
      <c r="C268" s="667"/>
      <c r="D268" s="667"/>
      <c r="E268" s="663" t="s">
        <v>21</v>
      </c>
      <c r="F268" s="667"/>
      <c r="G268" s="666"/>
      <c r="H268" s="549" t="s">
        <v>14</v>
      </c>
      <c r="I268" s="548"/>
      <c r="J268" s="548"/>
      <c r="K268" s="545"/>
      <c r="L268" s="664">
        <f ca="1">L271+L274</f>
        <v>0</v>
      </c>
      <c r="M268" s="555">
        <f ca="1">M271+M274</f>
        <v>5000</v>
      </c>
      <c r="N268" s="555">
        <f ca="1">N271+N274</f>
        <v>1240</v>
      </c>
      <c r="O268" s="555">
        <f ca="1">IF(L268&gt;0,N268*100/L268,0)</f>
        <v>0</v>
      </c>
      <c r="P268" s="555">
        <f ca="1">IF(M268&gt;0,N268*100/M268,0)</f>
        <v>24.8</v>
      </c>
      <c r="Q268" s="555">
        <f ca="1">Q271+Q274</f>
        <v>53440</v>
      </c>
      <c r="R268" s="555">
        <f ca="1">R271+R274</f>
        <v>53440</v>
      </c>
      <c r="S268" s="555">
        <f ca="1">S271+S274</f>
        <v>0</v>
      </c>
      <c r="T268" s="555">
        <f ca="1">IF(Q268&gt;0,S268*100/Q268,0)</f>
        <v>0</v>
      </c>
      <c r="U268" s="555">
        <f ca="1">IF(R268&gt;0,S268*100/R268,0)</f>
        <v>0</v>
      </c>
    </row>
    <row r="269" spans="1:21" ht="18.75">
      <c r="A269" s="668"/>
      <c r="B269" s="667"/>
      <c r="C269" s="667"/>
      <c r="D269" s="674" t="s">
        <v>22</v>
      </c>
      <c r="E269" s="667"/>
      <c r="F269" s="667"/>
      <c r="G269" s="666"/>
      <c r="H269" s="675" t="s">
        <v>14</v>
      </c>
      <c r="I269" s="659"/>
      <c r="J269" s="659"/>
      <c r="K269" s="657"/>
      <c r="L269" s="664">
        <f ca="1">L270+L271</f>
        <v>0</v>
      </c>
      <c r="M269" s="555">
        <f ca="1">M270+M271</f>
        <v>5000</v>
      </c>
      <c r="N269" s="555">
        <f ca="1">N270+N271</f>
        <v>1240</v>
      </c>
      <c r="O269" s="555">
        <f ca="1">IF(L269&gt;0,N269*100/L269,0)</f>
        <v>0</v>
      </c>
      <c r="P269" s="555">
        <f ca="1">IF(M269&gt;0,N269*100/M269,0)</f>
        <v>24.8</v>
      </c>
      <c r="Q269" s="555">
        <f ca="1">Q270+Q271</f>
        <v>53440</v>
      </c>
      <c r="R269" s="555">
        <f ca="1">R270+R271</f>
        <v>53440</v>
      </c>
      <c r="S269" s="555">
        <f ca="1">S270+S271</f>
        <v>0</v>
      </c>
      <c r="T269" s="555">
        <f ca="1">IF(Q269&gt;0,S269*100/Q269,0)</f>
        <v>0</v>
      </c>
      <c r="U269" s="555">
        <f ca="1">IF(R269&gt;0,S269*100/R269,0)</f>
        <v>0</v>
      </c>
    </row>
    <row r="270" spans="1:21" ht="18.75" hidden="1">
      <c r="A270" s="673"/>
      <c r="B270" s="672"/>
      <c r="C270" s="672"/>
      <c r="D270" s="672"/>
      <c r="E270" s="186" t="s">
        <v>36</v>
      </c>
      <c r="F270" s="672"/>
      <c r="G270" s="671"/>
      <c r="H270" s="189" t="s">
        <v>14</v>
      </c>
      <c r="I270" s="670"/>
      <c r="J270" s="670"/>
      <c r="K270" s="669"/>
      <c r="L270" s="103">
        <v>0</v>
      </c>
      <c r="M270" s="102">
        <v>0</v>
      </c>
      <c r="N270" s="102">
        <v>0</v>
      </c>
      <c r="O270" s="102">
        <f>IF(L270&gt;0,N270*100/L270,0)</f>
        <v>0</v>
      </c>
      <c r="P270" s="102">
        <f>IF(M270&gt;0,N270*100/M270,0)</f>
        <v>0</v>
      </c>
      <c r="Q270" s="102">
        <v>0</v>
      </c>
      <c r="R270" s="102">
        <v>0</v>
      </c>
      <c r="S270" s="102">
        <v>0</v>
      </c>
      <c r="T270" s="102">
        <f>IF(Q270&gt;0,S270*100/Q270,0)</f>
        <v>0</v>
      </c>
      <c r="U270" s="102">
        <f>IF(R270&gt;0,S270*100/R270,0)</f>
        <v>0</v>
      </c>
    </row>
    <row r="271" spans="1:21" ht="18.75" hidden="1">
      <c r="A271" s="668"/>
      <c r="B271" s="667"/>
      <c r="C271" s="667"/>
      <c r="D271" s="667"/>
      <c r="E271" s="663" t="s">
        <v>37</v>
      </c>
      <c r="F271" s="667"/>
      <c r="G271" s="666"/>
      <c r="H271" s="675" t="s">
        <v>14</v>
      </c>
      <c r="I271" s="659"/>
      <c r="J271" s="659"/>
      <c r="K271" s="657"/>
      <c r="L271" s="664">
        <f ca="1">IFERROR(__xludf.DUMMYFUNCTION("IMPORTRANGE(""https://docs.google.com/spreadsheets/d/1-uDff_7J0KD5mKrp0Vvzr7lt3OU09vwQwhkpOPPYv2Y/edit?usp=sharing"",""งบพรบ!DE32"")"),0)</f>
        <v>0</v>
      </c>
      <c r="M271" s="555">
        <f ca="1">IFERROR(__xludf.DUMMYFUNCTION("IMPORTRANGE(""https://docs.google.com/spreadsheets/d/1-uDff_7J0KD5mKrp0Vvzr7lt3OU09vwQwhkpOPPYv2Y/edit?usp=sharing"",""งบพรบ!DJ32"")"),5000)</f>
        <v>5000</v>
      </c>
      <c r="N271" s="555">
        <f ca="1">IFERROR(__xludf.DUMMYFUNCTION("IMPORTRANGE(""https://docs.google.com/spreadsheets/d/1-uDff_7J0KD5mKrp0Vvzr7lt3OU09vwQwhkpOPPYv2Y/edit?usp=sharing"",""งบพรบ!DL32"")"),1240)</f>
        <v>1240</v>
      </c>
      <c r="O271" s="555">
        <f ca="1">IF(L271&gt;0,N271*100/L271,0)</f>
        <v>0</v>
      </c>
      <c r="P271" s="555">
        <f ca="1">IF(M271&gt;0,N271*100/M271,0)</f>
        <v>24.8</v>
      </c>
      <c r="Q271" s="555">
        <f ca="1">IFERROR(__xludf.DUMMYFUNCTION("IMPORTRANGE(""https://docs.google.com/spreadsheets/d/1ItG2mGa2ceCfYo0BwxsXqNm01IGEUdYcSSLTEv9YCik/edit?usp=sharing"",""เบิกจ่ายกองทุน!AJ32"")"),53440)</f>
        <v>53440</v>
      </c>
      <c r="R271" s="555">
        <f ca="1">IFERROR(__xludf.DUMMYFUNCTION("IMPORTRANGE(""https://docs.google.com/spreadsheets/d/1ItG2mGa2ceCfYo0BwxsXqNm01IGEUdYcSSLTEv9YCik/edit?usp=sharing"",""เบิกจ่ายกองทุน!AK32"")"),53440)</f>
        <v>53440</v>
      </c>
      <c r="S271" s="555">
        <f ca="1">IFERROR(__xludf.DUMMYFUNCTION("IMPORTRANGE(""https://docs.google.com/spreadsheets/d/1ItG2mGa2ceCfYo0BwxsXqNm01IGEUdYcSSLTEv9YCik/edit?usp=sharing"",""เบิกจ่ายกองทุน!AL32"")"),0)</f>
        <v>0</v>
      </c>
      <c r="T271" s="555">
        <f ca="1">IF(Q271&gt;0,S271*100/Q271,0)</f>
        <v>0</v>
      </c>
      <c r="U271" s="555">
        <f ca="1">IF(R271&gt;0,S271*100/R271,0)</f>
        <v>0</v>
      </c>
    </row>
    <row r="272" spans="1:21" ht="18.75">
      <c r="A272" s="668"/>
      <c r="B272" s="667"/>
      <c r="C272" s="667"/>
      <c r="D272" s="674" t="s">
        <v>23</v>
      </c>
      <c r="E272" s="667"/>
      <c r="F272" s="667"/>
      <c r="G272" s="666"/>
      <c r="H272" s="665" t="s">
        <v>14</v>
      </c>
      <c r="I272" s="659"/>
      <c r="J272" s="659"/>
      <c r="K272" s="657"/>
      <c r="L272" s="664">
        <f ca="1">L273+L274</f>
        <v>0</v>
      </c>
      <c r="M272" s="555">
        <f ca="1">M273+M274</f>
        <v>0</v>
      </c>
      <c r="N272" s="555">
        <f ca="1">N273+N274</f>
        <v>0</v>
      </c>
      <c r="O272" s="555">
        <f ca="1">IF(L272&gt;0,N272*100/L272,0)</f>
        <v>0</v>
      </c>
      <c r="P272" s="555">
        <f ca="1">IF(M272&gt;0,N272*100/M272,0)</f>
        <v>0</v>
      </c>
      <c r="Q272" s="555">
        <f>Q273+Q274</f>
        <v>0</v>
      </c>
      <c r="R272" s="555">
        <f>R273+R274</f>
        <v>0</v>
      </c>
      <c r="S272" s="555">
        <f>S273+S274</f>
        <v>0</v>
      </c>
      <c r="T272" s="555">
        <f>IF(Q272&gt;0,S272*100/Q272,0)</f>
        <v>0</v>
      </c>
      <c r="U272" s="555">
        <f>IF(R272&gt;0,S272*100/R272,0)</f>
        <v>0</v>
      </c>
    </row>
    <row r="273" spans="1:21" ht="18.75" hidden="1">
      <c r="A273" s="673"/>
      <c r="B273" s="672"/>
      <c r="C273" s="672"/>
      <c r="D273" s="672"/>
      <c r="E273" s="186" t="s">
        <v>20</v>
      </c>
      <c r="F273" s="672"/>
      <c r="G273" s="671"/>
      <c r="H273" s="189" t="s">
        <v>14</v>
      </c>
      <c r="I273" s="670"/>
      <c r="J273" s="670"/>
      <c r="K273" s="669"/>
      <c r="L273" s="103">
        <v>0</v>
      </c>
      <c r="M273" s="102">
        <v>0</v>
      </c>
      <c r="N273" s="102">
        <v>0</v>
      </c>
      <c r="O273" s="102">
        <f>IF(L273&gt;0,N273*100/L273,0)</f>
        <v>0</v>
      </c>
      <c r="P273" s="102">
        <f>IF(M273&gt;0,N273*100/M273,0)</f>
        <v>0</v>
      </c>
      <c r="Q273" s="102">
        <v>0</v>
      </c>
      <c r="R273" s="102">
        <v>0</v>
      </c>
      <c r="S273" s="102">
        <v>0</v>
      </c>
      <c r="T273" s="102">
        <f>IF(Q273&gt;0,S273*100/Q273,0)</f>
        <v>0</v>
      </c>
      <c r="U273" s="102">
        <f>IF(R273&gt;0,S273*100/R273,0)</f>
        <v>0</v>
      </c>
    </row>
    <row r="274" spans="1:21" ht="18.75" hidden="1">
      <c r="A274" s="668"/>
      <c r="B274" s="667"/>
      <c r="C274" s="667"/>
      <c r="D274" s="667"/>
      <c r="E274" s="663" t="s">
        <v>21</v>
      </c>
      <c r="F274" s="667"/>
      <c r="G274" s="666"/>
      <c r="H274" s="665" t="s">
        <v>14</v>
      </c>
      <c r="I274" s="659"/>
      <c r="J274" s="659"/>
      <c r="K274" s="657"/>
      <c r="L274" s="664">
        <f ca="1">IFERROR(__xludf.DUMMYFUNCTION("IMPORTRANGE(""https://docs.google.com/spreadsheets/d/1-uDff_7J0KD5mKrp0Vvzr7lt3OU09vwQwhkpOPPYv2Y/edit?usp=sharing"",""งบพรบ!DH32"")"),0)</f>
        <v>0</v>
      </c>
      <c r="M274" s="555">
        <f ca="1">IFERROR(__xludf.DUMMYFUNCTION("IMPORTRANGE(""https://docs.google.com/spreadsheets/d/1-uDff_7J0KD5mKrp0Vvzr7lt3OU09vwQwhkpOPPYv2Y/edit?usp=sharing"",""งบพรบ!DK32"")"),0)</f>
        <v>0</v>
      </c>
      <c r="N274" s="555">
        <f ca="1">IFERROR(__xludf.DUMMYFUNCTION("IMPORTRANGE(""https://docs.google.com/spreadsheets/d/1-uDff_7J0KD5mKrp0Vvzr7lt3OU09vwQwhkpOPPYv2Y/edit?usp=sharing"",""งบพรบ!DM32"")"),0)</f>
        <v>0</v>
      </c>
      <c r="O274" s="555">
        <f ca="1">IF(L274&gt;0,N274*100/L274,0)</f>
        <v>0</v>
      </c>
      <c r="P274" s="555">
        <f ca="1">IF(M274&gt;0,N274*100/M274,0)</f>
        <v>0</v>
      </c>
      <c r="Q274" s="555">
        <v>0</v>
      </c>
      <c r="R274" s="555">
        <v>0</v>
      </c>
      <c r="S274" s="555">
        <v>0</v>
      </c>
      <c r="T274" s="555">
        <f>IF(Q274&gt;0,S274*100/Q274,0)</f>
        <v>0</v>
      </c>
      <c r="U274" s="555">
        <f>IF(R274&gt;0,S274*100/R274,0)</f>
        <v>0</v>
      </c>
    </row>
    <row r="275" spans="1:21" ht="19.5">
      <c r="A275" s="554"/>
      <c r="B275" s="553"/>
      <c r="C275" s="663" t="s">
        <v>18</v>
      </c>
      <c r="D275" s="662" t="s">
        <v>38</v>
      </c>
      <c r="E275" s="661"/>
      <c r="F275" s="661"/>
      <c r="G275" s="660"/>
      <c r="H275" s="550"/>
      <c r="I275" s="659"/>
      <c r="J275" s="659"/>
      <c r="K275" s="657"/>
      <c r="L275" s="658"/>
      <c r="M275" s="657"/>
      <c r="N275" s="657"/>
      <c r="O275" s="657"/>
      <c r="P275" s="657"/>
      <c r="Q275" s="657"/>
      <c r="R275" s="657"/>
      <c r="S275" s="657"/>
      <c r="T275" s="657"/>
      <c r="U275" s="657"/>
    </row>
    <row r="276" spans="1:21" ht="18.75">
      <c r="A276" s="656"/>
      <c r="B276" s="655"/>
      <c r="C276" s="655"/>
      <c r="D276" s="654" t="s">
        <v>115</v>
      </c>
      <c r="E276" s="653"/>
      <c r="F276" s="653"/>
      <c r="G276" s="652"/>
      <c r="H276" s="651" t="s">
        <v>35</v>
      </c>
      <c r="I276" s="650">
        <f ca="1">IFERROR(__xludf.DUMMYFUNCTION("IMPORTRANGE(""https://docs.google.com/spreadsheets/d/1eHaY18a8A9IcSdp1K8H6x8fbOy06t2VsZHhMHf-1x7Y/edit?usp=sharing"",""แผน!EC32"")"),24)</f>
        <v>24</v>
      </c>
      <c r="J276" s="649">
        <v>24</v>
      </c>
      <c r="K276" s="648">
        <f ca="1">IF(I276&gt;0,J276*100/I276,0)</f>
        <v>100</v>
      </c>
      <c r="L276" s="546"/>
      <c r="M276" s="545"/>
      <c r="N276" s="545"/>
      <c r="O276" s="545"/>
      <c r="P276" s="545"/>
      <c r="Q276" s="545"/>
      <c r="R276" s="545"/>
      <c r="S276" s="545"/>
      <c r="T276" s="545"/>
      <c r="U276" s="545"/>
    </row>
    <row r="277" spans="1:21" ht="18.75" hidden="1">
      <c r="A277" s="281"/>
      <c r="B277" s="282"/>
      <c r="C277" s="282"/>
      <c r="D277" s="647" t="s">
        <v>116</v>
      </c>
      <c r="E277" s="2"/>
      <c r="F277" s="2"/>
      <c r="G277" s="284"/>
      <c r="H277" s="646" t="s">
        <v>35</v>
      </c>
      <c r="I277" s="486">
        <v>0</v>
      </c>
      <c r="J277" s="486">
        <v>0</v>
      </c>
      <c r="K277" s="645">
        <v>0</v>
      </c>
      <c r="L277" s="287"/>
      <c r="M277" s="286"/>
      <c r="N277" s="286"/>
      <c r="O277" s="286"/>
      <c r="P277" s="286"/>
      <c r="Q277" s="286"/>
      <c r="R277" s="286"/>
      <c r="S277" s="286"/>
      <c r="T277" s="286"/>
      <c r="U277" s="286"/>
    </row>
    <row r="278" spans="1:21" ht="19.5">
      <c r="A278" s="288" t="s">
        <v>117</v>
      </c>
      <c r="B278" s="289"/>
      <c r="C278" s="289"/>
      <c r="D278" s="289"/>
      <c r="E278" s="290"/>
      <c r="F278" s="290"/>
      <c r="G278" s="290"/>
      <c r="H278" s="290"/>
      <c r="I278" s="291"/>
      <c r="J278" s="291"/>
      <c r="K278" s="292"/>
      <c r="L278" s="292"/>
      <c r="M278" s="292"/>
      <c r="N278" s="292"/>
      <c r="O278" s="292"/>
      <c r="P278" s="293"/>
      <c r="Q278" s="292"/>
      <c r="R278" s="292"/>
      <c r="S278" s="292"/>
      <c r="T278" s="292"/>
      <c r="U278" s="293"/>
    </row>
    <row r="279" spans="1:21" ht="19.5">
      <c r="A279" s="294" t="s">
        <v>118</v>
      </c>
      <c r="B279" s="295"/>
      <c r="C279" s="296"/>
      <c r="D279" s="295"/>
      <c r="E279" s="295"/>
      <c r="F279" s="295"/>
      <c r="G279" s="295"/>
      <c r="H279" s="295"/>
      <c r="I279" s="297"/>
      <c r="J279" s="298"/>
      <c r="K279" s="299"/>
      <c r="L279" s="300"/>
      <c r="M279" s="299"/>
      <c r="N279" s="299"/>
      <c r="O279" s="299"/>
      <c r="P279" s="299"/>
      <c r="Q279" s="299"/>
      <c r="R279" s="299"/>
      <c r="S279" s="299"/>
      <c r="T279" s="299"/>
      <c r="U279" s="299"/>
    </row>
    <row r="280" spans="1:21" ht="19.5">
      <c r="A280" s="301"/>
      <c r="B280" s="302" t="s">
        <v>119</v>
      </c>
      <c r="C280" s="303"/>
      <c r="D280" s="304"/>
      <c r="E280" s="303"/>
      <c r="F280" s="303"/>
      <c r="G280" s="305"/>
      <c r="H280" s="306" t="s">
        <v>35</v>
      </c>
      <c r="I280" s="644">
        <f ca="1">I293</f>
        <v>20</v>
      </c>
      <c r="J280" s="644">
        <f>J293</f>
        <v>20</v>
      </c>
      <c r="K280" s="643">
        <f ca="1">IF(I280&gt;0,J280*100/I280,0)</f>
        <v>100</v>
      </c>
      <c r="L280" s="310"/>
      <c r="M280" s="309"/>
      <c r="N280" s="309"/>
      <c r="O280" s="309"/>
      <c r="P280" s="309"/>
      <c r="Q280" s="309"/>
      <c r="R280" s="309"/>
      <c r="S280" s="309"/>
      <c r="T280" s="309"/>
      <c r="U280" s="309"/>
    </row>
    <row r="281" spans="1:21" ht="19.5">
      <c r="A281" s="301"/>
      <c r="B281" s="303"/>
      <c r="C281" s="303"/>
      <c r="D281" s="304"/>
      <c r="E281" s="303"/>
      <c r="F281" s="303"/>
      <c r="G281" s="305"/>
      <c r="H281" s="306" t="s">
        <v>46</v>
      </c>
      <c r="I281" s="644">
        <f ca="1">I292</f>
        <v>200</v>
      </c>
      <c r="J281" s="644">
        <f>J292</f>
        <v>200</v>
      </c>
      <c r="K281" s="643">
        <f ca="1">IF(I281&gt;0,J281*100/I281,0)</f>
        <v>100</v>
      </c>
      <c r="L281" s="310"/>
      <c r="M281" s="309"/>
      <c r="N281" s="309"/>
      <c r="O281" s="309"/>
      <c r="P281" s="309"/>
      <c r="Q281" s="309"/>
      <c r="R281" s="309"/>
      <c r="S281" s="309"/>
      <c r="T281" s="309"/>
      <c r="U281" s="309"/>
    </row>
    <row r="282" spans="1:21" ht="19.5">
      <c r="A282" s="155"/>
      <c r="B282" s="50"/>
      <c r="C282" s="156" t="s">
        <v>18</v>
      </c>
      <c r="D282" s="575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541">
        <f ca="1">L283+L284</f>
        <v>156420</v>
      </c>
      <c r="M282" s="540">
        <f ca="1">M283+M284</f>
        <v>156420</v>
      </c>
      <c r="N282" s="540">
        <f ca="1">N283+N284</f>
        <v>144303.70000000001</v>
      </c>
      <c r="O282" s="540">
        <f ca="1">IF(L282&gt;0,N282*100/L282,0)</f>
        <v>92.253995652729841</v>
      </c>
      <c r="P282" s="540">
        <f ca="1">IF(M282&gt;0,N282*100/M282,0)</f>
        <v>92.253995652729841</v>
      </c>
      <c r="Q282" s="540">
        <f>Q283+Q284</f>
        <v>0</v>
      </c>
      <c r="R282" s="540">
        <f>R283+R284</f>
        <v>0</v>
      </c>
      <c r="S282" s="540">
        <f>S283+S284</f>
        <v>0</v>
      </c>
      <c r="T282" s="540">
        <f>IF(Q282&gt;0,S282*100/Q282,0)</f>
        <v>0</v>
      </c>
      <c r="U282" s="540">
        <f>IF(R282&gt;0,S282*100/R282,0)</f>
        <v>0</v>
      </c>
    </row>
    <row r="283" spans="1:21" ht="18.75" hidden="1">
      <c r="A283" s="155"/>
      <c r="B283" s="50"/>
      <c r="C283" s="50"/>
      <c r="D283" s="50"/>
      <c r="E283" s="186" t="s">
        <v>20</v>
      </c>
      <c r="F283" s="50"/>
      <c r="G283" s="52"/>
      <c r="H283" s="187" t="s">
        <v>14</v>
      </c>
      <c r="I283" s="54"/>
      <c r="J283" s="54"/>
      <c r="K283" s="55"/>
      <c r="L283" s="103">
        <f>L286+L289</f>
        <v>0</v>
      </c>
      <c r="M283" s="102">
        <f>M286+M289</f>
        <v>0</v>
      </c>
      <c r="N283" s="102">
        <f>N286+N289</f>
        <v>0</v>
      </c>
      <c r="O283" s="102">
        <f>IF(L283&gt;0,N283*100/L283,0)</f>
        <v>0</v>
      </c>
      <c r="P283" s="102">
        <f>IF(M283&gt;0,N283*100/M283,0)</f>
        <v>0</v>
      </c>
      <c r="Q283" s="102">
        <f>Q286+Q289</f>
        <v>0</v>
      </c>
      <c r="R283" s="102">
        <f>R286+R289</f>
        <v>0</v>
      </c>
      <c r="S283" s="102">
        <f>S286+S289</f>
        <v>0</v>
      </c>
      <c r="T283" s="102">
        <f>IF(Q283&gt;0,S283*100/Q283,0)</f>
        <v>0</v>
      </c>
      <c r="U283" s="102">
        <f>IF(R283&gt;0,S283*100/R283,0)</f>
        <v>0</v>
      </c>
    </row>
    <row r="284" spans="1:21" ht="18.75" hidden="1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256">
        <f ca="1">L287+L290</f>
        <v>156420</v>
      </c>
      <c r="M284" s="255">
        <f ca="1">M287+M290</f>
        <v>156420</v>
      </c>
      <c r="N284" s="255">
        <f ca="1">N287+N290</f>
        <v>144303.70000000001</v>
      </c>
      <c r="O284" s="255">
        <f ca="1">IF(L284&gt;0,N284*100/L284,0)</f>
        <v>92.253995652729841</v>
      </c>
      <c r="P284" s="255">
        <f ca="1">IF(M284&gt;0,N284*100/M284,0)</f>
        <v>92.253995652729841</v>
      </c>
      <c r="Q284" s="255">
        <f>Q287+Q290</f>
        <v>0</v>
      </c>
      <c r="R284" s="255">
        <f>R287+R290</f>
        <v>0</v>
      </c>
      <c r="S284" s="255">
        <f>S287+S290</f>
        <v>0</v>
      </c>
      <c r="T284" s="255">
        <f>IF(Q284&gt;0,S284*100/Q284,0)</f>
        <v>0</v>
      </c>
      <c r="U284" s="255">
        <f>IF(R284&gt;0,S284*100/R284,0)</f>
        <v>0</v>
      </c>
    </row>
    <row r="285" spans="1:21" ht="18.75">
      <c r="A285" s="155"/>
      <c r="B285" s="50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256">
        <f ca="1">L286+L287</f>
        <v>156420</v>
      </c>
      <c r="M285" s="255">
        <f ca="1">M286+M287</f>
        <v>156420</v>
      </c>
      <c r="N285" s="255">
        <f ca="1">N286+N287</f>
        <v>144303.70000000001</v>
      </c>
      <c r="O285" s="255">
        <f ca="1">IF(L285&gt;0,N285*100/L285,0)</f>
        <v>92.253995652729841</v>
      </c>
      <c r="P285" s="255">
        <f ca="1">IF(M285&gt;0,N285*100/M285,0)</f>
        <v>92.253995652729841</v>
      </c>
      <c r="Q285" s="255">
        <f>Q286+Q287</f>
        <v>0</v>
      </c>
      <c r="R285" s="255">
        <f>R286+R287</f>
        <v>0</v>
      </c>
      <c r="S285" s="255">
        <f>S286+S287</f>
        <v>0</v>
      </c>
      <c r="T285" s="255">
        <f>IF(Q285&gt;0,S285*100/Q285,0)</f>
        <v>0</v>
      </c>
      <c r="U285" s="255">
        <f>IF(R285&gt;0,S285*100/R285,0)</f>
        <v>0</v>
      </c>
    </row>
    <row r="286" spans="1:21" ht="18.75" hidden="1">
      <c r="A286" s="155"/>
      <c r="B286" s="50"/>
      <c r="C286" s="50"/>
      <c r="D286" s="50"/>
      <c r="E286" s="186" t="s">
        <v>36</v>
      </c>
      <c r="F286" s="50"/>
      <c r="G286" s="52"/>
      <c r="H286" s="189" t="s">
        <v>14</v>
      </c>
      <c r="I286" s="163"/>
      <c r="J286" s="163"/>
      <c r="K286" s="164"/>
      <c r="L286" s="103">
        <v>0</v>
      </c>
      <c r="M286" s="102">
        <v>0</v>
      </c>
      <c r="N286" s="102">
        <v>0</v>
      </c>
      <c r="O286" s="102">
        <f>IF(L286&gt;0,N286*100/L286,0)</f>
        <v>0</v>
      </c>
      <c r="P286" s="102">
        <f>IF(M286&gt;0,N286*100/M286,0)</f>
        <v>0</v>
      </c>
      <c r="Q286" s="102">
        <v>0</v>
      </c>
      <c r="R286" s="102">
        <v>0</v>
      </c>
      <c r="S286" s="102">
        <v>0</v>
      </c>
      <c r="T286" s="102">
        <f>IF(Q286&gt;0,S286*100/Q286,0)</f>
        <v>0</v>
      </c>
      <c r="U286" s="102">
        <f>IF(R286&gt;0,S286*100/R286,0)</f>
        <v>0</v>
      </c>
    </row>
    <row r="287" spans="1:21" ht="18.75" hidden="1">
      <c r="A287" s="155"/>
      <c r="B287" s="50"/>
      <c r="C287" s="50"/>
      <c r="D287" s="50"/>
      <c r="E287" s="58" t="s">
        <v>37</v>
      </c>
      <c r="F287" s="50"/>
      <c r="G287" s="52"/>
      <c r="H287" s="162" t="s">
        <v>14</v>
      </c>
      <c r="I287" s="163"/>
      <c r="J287" s="163"/>
      <c r="K287" s="164"/>
      <c r="L287" s="256">
        <f ca="1">IFERROR(__xludf.DUMMYFUNCTION("IMPORTRANGE(""https://docs.google.com/spreadsheets/d/1-uDff_7J0KD5mKrp0Vvzr7lt3OU09vwQwhkpOPPYv2Y/edit?usp=sharing"",""งบพรบ!DO32"")"),156420)</f>
        <v>156420</v>
      </c>
      <c r="M287" s="255">
        <f ca="1">IFERROR(__xludf.DUMMYFUNCTION("IMPORTRANGE(""https://docs.google.com/spreadsheets/d/1-uDff_7J0KD5mKrp0Vvzr7lt3OU09vwQwhkpOPPYv2Y/edit?usp=sharing"",""งบพรบ!DT32"")"),156420)</f>
        <v>156420</v>
      </c>
      <c r="N287" s="255">
        <f ca="1">IFERROR(__xludf.DUMMYFUNCTION("IMPORTRANGE(""https://docs.google.com/spreadsheets/d/1-uDff_7J0KD5mKrp0Vvzr7lt3OU09vwQwhkpOPPYv2Y/edit?usp=sharing"",""งบพรบ!DV32"")"),144303.7)</f>
        <v>144303.70000000001</v>
      </c>
      <c r="O287" s="255">
        <f ca="1">IF(L287&gt;0,N287*100/L287,0)</f>
        <v>92.253995652729841</v>
      </c>
      <c r="P287" s="255">
        <f ca="1">IF(M287&gt;0,N287*100/M287,0)</f>
        <v>92.253995652729841</v>
      </c>
      <c r="Q287" s="255">
        <v>0</v>
      </c>
      <c r="R287" s="255">
        <v>0</v>
      </c>
      <c r="S287" s="255">
        <v>0</v>
      </c>
      <c r="T287" s="102">
        <f>IF(Q287&gt;0,S287*100/Q287,0)</f>
        <v>0</v>
      </c>
      <c r="U287" s="102">
        <f>IF(R287&gt;0,S287*100/R287,0)</f>
        <v>0</v>
      </c>
    </row>
    <row r="288" spans="1:21" ht="18.75">
      <c r="A288" s="155"/>
      <c r="B288" s="50"/>
      <c r="C288" s="50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256">
        <f ca="1">L289+L290</f>
        <v>0</v>
      </c>
      <c r="M288" s="255">
        <f ca="1">M289+M290</f>
        <v>0</v>
      </c>
      <c r="N288" s="255">
        <f ca="1">N289+N290</f>
        <v>0</v>
      </c>
      <c r="O288" s="255">
        <f ca="1">IF(L288&gt;0,N288*100/L288,0)</f>
        <v>0</v>
      </c>
      <c r="P288" s="255">
        <f ca="1">IF(M288&gt;0,N288*100/M288,0)</f>
        <v>0</v>
      </c>
      <c r="Q288" s="255">
        <f>Q289+Q290</f>
        <v>0</v>
      </c>
      <c r="R288" s="255">
        <f>R289+R290</f>
        <v>0</v>
      </c>
      <c r="S288" s="255">
        <f>S289+S290</f>
        <v>0</v>
      </c>
      <c r="T288" s="255">
        <f>IF(Q288&gt;0,S288*100/Q288,0)</f>
        <v>0</v>
      </c>
      <c r="U288" s="255">
        <f>IF(R288&gt;0,S288*100/R288,0)</f>
        <v>0</v>
      </c>
    </row>
    <row r="289" spans="1:21" ht="18.75" hidden="1">
      <c r="A289" s="155"/>
      <c r="B289" s="50"/>
      <c r="C289" s="50"/>
      <c r="D289" s="50"/>
      <c r="E289" s="186" t="s">
        <v>20</v>
      </c>
      <c r="F289" s="50"/>
      <c r="G289" s="52"/>
      <c r="H289" s="189" t="s">
        <v>14</v>
      </c>
      <c r="I289" s="163"/>
      <c r="J289" s="163"/>
      <c r="K289" s="164"/>
      <c r="L289" s="103">
        <v>0</v>
      </c>
      <c r="M289" s="102">
        <v>0</v>
      </c>
      <c r="N289" s="102">
        <v>0</v>
      </c>
      <c r="O289" s="102">
        <f>IF(L289&gt;0,N289*100/L289,0)</f>
        <v>0</v>
      </c>
      <c r="P289" s="102">
        <f>IF(M289&gt;0,N289*100/M289,0)</f>
        <v>0</v>
      </c>
      <c r="Q289" s="102">
        <v>0</v>
      </c>
      <c r="R289" s="102">
        <v>0</v>
      </c>
      <c r="S289" s="102">
        <v>0</v>
      </c>
      <c r="T289" s="102">
        <f>IF(Q289&gt;0,S289*100/Q289,0)</f>
        <v>0</v>
      </c>
      <c r="U289" s="102">
        <f>IF(R289&gt;0,S289*100/R289,0)</f>
        <v>0</v>
      </c>
    </row>
    <row r="290" spans="1:21" ht="18.75" hidden="1">
      <c r="A290" s="155"/>
      <c r="B290" s="50"/>
      <c r="C290" s="50"/>
      <c r="D290" s="50"/>
      <c r="E290" s="58" t="s">
        <v>21</v>
      </c>
      <c r="F290" s="50"/>
      <c r="G290" s="52"/>
      <c r="H290" s="165" t="s">
        <v>14</v>
      </c>
      <c r="I290" s="163"/>
      <c r="J290" s="163"/>
      <c r="K290" s="164"/>
      <c r="L290" s="256">
        <f ca="1">IFERROR(__xludf.DUMMYFUNCTION("IMPORTRANGE(""https://docs.google.com/spreadsheets/d/1-uDff_7J0KD5mKrp0Vvzr7lt3OU09vwQwhkpOPPYv2Y/edit?usp=sharing"",""งบพรบ!DR32"")"),0)</f>
        <v>0</v>
      </c>
      <c r="M290" s="255">
        <f ca="1">IFERROR(__xludf.DUMMYFUNCTION("IMPORTRANGE(""https://docs.google.com/spreadsheets/d/1-uDff_7J0KD5mKrp0Vvzr7lt3OU09vwQwhkpOPPYv2Y/edit?usp=sharing"",""งบพรบ!DU32"")"),0)</f>
        <v>0</v>
      </c>
      <c r="N290" s="255">
        <f ca="1">IFERROR(__xludf.DUMMYFUNCTION("IMPORTRANGE(""https://docs.google.com/spreadsheets/d/1-uDff_7J0KD5mKrp0Vvzr7lt3OU09vwQwhkpOPPYv2Y/edit?usp=sharing"",""งบพรบ!DW32"")"),0)</f>
        <v>0</v>
      </c>
      <c r="O290" s="255">
        <f ca="1">IF(L290&gt;0,N290*100/L290,0)</f>
        <v>0</v>
      </c>
      <c r="P290" s="255">
        <f ca="1">IF(M290&gt;0,N290*100/M290,0)</f>
        <v>0</v>
      </c>
      <c r="Q290" s="255">
        <v>0</v>
      </c>
      <c r="R290" s="255">
        <v>0</v>
      </c>
      <c r="S290" s="255">
        <v>0</v>
      </c>
      <c r="T290" s="255">
        <f>IF(Q290&gt;0,S290*100/Q290,0)</f>
        <v>0</v>
      </c>
      <c r="U290" s="255">
        <f>IF(R290&gt;0,S290*100/R290,0)</f>
        <v>0</v>
      </c>
    </row>
    <row r="291" spans="1:21" ht="19.5">
      <c r="A291" s="166"/>
      <c r="B291" s="167"/>
      <c r="C291" s="156" t="s">
        <v>18</v>
      </c>
      <c r="D291" s="566" t="s">
        <v>38</v>
      </c>
      <c r="E291" s="169"/>
      <c r="F291" s="169"/>
      <c r="G291" s="170"/>
      <c r="H291" s="171"/>
      <c r="I291" s="163"/>
      <c r="J291" s="163"/>
      <c r="K291" s="164"/>
      <c r="L291" s="172"/>
      <c r="M291" s="164"/>
      <c r="N291" s="164"/>
      <c r="O291" s="164"/>
      <c r="P291" s="164"/>
      <c r="Q291" s="164"/>
      <c r="R291" s="164"/>
      <c r="S291" s="164"/>
      <c r="T291" s="164"/>
      <c r="U291" s="164"/>
    </row>
    <row r="292" spans="1:21" ht="18.75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212">
        <f ca="1">IFERROR(__xludf.DUMMYFUNCTION("IMPORTRANGE(""https://docs.google.com/spreadsheets/d/1eHaY18a8A9IcSdp1K8H6x8fbOy06t2VsZHhMHf-1x7Y/edit?usp=sharing"",""แผน!EE32"")"),200)</f>
        <v>200</v>
      </c>
      <c r="J292" s="467">
        <v>200</v>
      </c>
      <c r="K292" s="565">
        <f ca="1">IF(I292&gt;0,J292*100/I292,0)</f>
        <v>100</v>
      </c>
      <c r="L292" s="172"/>
      <c r="M292" s="164"/>
      <c r="N292" s="164"/>
      <c r="O292" s="164"/>
      <c r="P292" s="164"/>
      <c r="Q292" s="164"/>
      <c r="R292" s="164"/>
      <c r="S292" s="164"/>
      <c r="T292" s="164"/>
      <c r="U292" s="164"/>
    </row>
    <row r="293" spans="1:21" ht="19.5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373">
        <f ca="1">IFERROR(__xludf.DUMMYFUNCTION("IMPORTRANGE(""https://docs.google.com/spreadsheets/d/1eHaY18a8A9IcSdp1K8H6x8fbOy06t2VsZHhMHf-1x7Y/edit?usp=sharing"",""แผน!ED32"")"),20)</f>
        <v>20</v>
      </c>
      <c r="J293" s="373">
        <f>J296</f>
        <v>20</v>
      </c>
      <c r="K293" s="642">
        <f ca="1">IF(I293&gt;0,J293*100/I293,0)</f>
        <v>100</v>
      </c>
      <c r="L293" s="172"/>
      <c r="M293" s="164"/>
      <c r="N293" s="164"/>
      <c r="O293" s="164"/>
      <c r="P293" s="164"/>
      <c r="Q293" s="164"/>
      <c r="R293" s="164"/>
      <c r="S293" s="164"/>
      <c r="T293" s="164"/>
      <c r="U293" s="164"/>
    </row>
    <row r="294" spans="1:21" ht="19.5">
      <c r="A294" s="166"/>
      <c r="B294" s="167"/>
      <c r="C294" s="167"/>
      <c r="D294" s="174"/>
      <c r="E294" s="194" t="s">
        <v>122</v>
      </c>
      <c r="F294" s="174"/>
      <c r="G294" s="171"/>
      <c r="H294" s="171"/>
      <c r="I294" s="163"/>
      <c r="J294" s="54"/>
      <c r="K294" s="164"/>
      <c r="L294" s="172"/>
      <c r="M294" s="164"/>
      <c r="N294" s="164"/>
      <c r="O294" s="164"/>
      <c r="P294" s="164"/>
      <c r="Q294" s="164"/>
      <c r="R294" s="164"/>
      <c r="S294" s="164"/>
      <c r="T294" s="164"/>
      <c r="U294" s="164"/>
    </row>
    <row r="295" spans="1:21" ht="19.5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641">
        <f ca="1">IFERROR(__xludf.DUMMYFUNCTION("IMPORTRANGE(""https://docs.google.com/spreadsheets/d/1eHaY18a8A9IcSdp1K8H6x8fbOy06t2VsZHhMHf-1x7Y/edit?usp=sharing"",""แผน!ED32"")"),20)</f>
        <v>20</v>
      </c>
      <c r="J295" s="467">
        <v>20</v>
      </c>
      <c r="K295" s="565">
        <f ca="1">IF(I295&gt;0,J295*100/I295,0)</f>
        <v>100</v>
      </c>
      <c r="L295" s="172"/>
      <c r="M295" s="164"/>
      <c r="N295" s="164"/>
      <c r="O295" s="164"/>
      <c r="P295" s="164"/>
      <c r="Q295" s="164"/>
      <c r="R295" s="164"/>
      <c r="S295" s="164"/>
      <c r="T295" s="164"/>
      <c r="U295" s="164"/>
    </row>
    <row r="296" spans="1:21" ht="19.5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641">
        <f ca="1">IFERROR(__xludf.DUMMYFUNCTION("IMPORTRANGE(""https://docs.google.com/spreadsheets/d/1eHaY18a8A9IcSdp1K8H6x8fbOy06t2VsZHhMHf-1x7Y/edit?usp=sharing"",""แผน!ED32"")"),20)</f>
        <v>20</v>
      </c>
      <c r="J296" s="467">
        <v>20</v>
      </c>
      <c r="K296" s="565">
        <f ca="1">IF(I296&gt;0,J296*100/I296,0)</f>
        <v>100</v>
      </c>
      <c r="L296" s="172"/>
      <c r="M296" s="164"/>
      <c r="N296" s="164"/>
      <c r="O296" s="164"/>
      <c r="P296" s="164"/>
      <c r="Q296" s="164"/>
      <c r="R296" s="164"/>
      <c r="S296" s="164"/>
      <c r="T296" s="164"/>
      <c r="U296" s="164"/>
    </row>
    <row r="297" spans="1:21" ht="12.75" hidden="1">
      <c r="A297" s="192"/>
      <c r="B297" s="193"/>
      <c r="C297" s="193"/>
      <c r="D297" s="22"/>
      <c r="E297" s="22"/>
      <c r="F297" s="22"/>
      <c r="G297" s="23"/>
      <c r="H297" s="23"/>
      <c r="I297" s="24"/>
      <c r="J297" s="24"/>
      <c r="K297" s="25"/>
      <c r="L297" s="26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2.75" hidden="1">
      <c r="A298" s="192"/>
      <c r="B298" s="193"/>
      <c r="C298" s="193"/>
      <c r="D298" s="22"/>
      <c r="E298" s="22"/>
      <c r="F298" s="22"/>
      <c r="G298" s="23"/>
      <c r="H298" s="23"/>
      <c r="I298" s="24"/>
      <c r="J298" s="24"/>
      <c r="K298" s="25"/>
      <c r="L298" s="26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2.75" hidden="1">
      <c r="A299" s="311"/>
      <c r="B299" s="312"/>
      <c r="C299" s="312"/>
      <c r="D299" s="27"/>
      <c r="E299" s="27"/>
      <c r="F299" s="27"/>
      <c r="G299" s="17"/>
      <c r="H299" s="17"/>
      <c r="I299" s="18"/>
      <c r="J299" s="18"/>
      <c r="K299" s="19"/>
      <c r="L299" s="28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>
      <c r="A300" s="313" t="s">
        <v>125</v>
      </c>
      <c r="B300" s="314"/>
      <c r="C300" s="314"/>
      <c r="D300" s="314"/>
      <c r="E300" s="315"/>
      <c r="F300" s="315"/>
      <c r="G300" s="315"/>
      <c r="H300" s="315"/>
      <c r="I300" s="316"/>
      <c r="J300" s="316"/>
      <c r="K300" s="317"/>
      <c r="L300" s="317"/>
      <c r="M300" s="317"/>
      <c r="N300" s="317"/>
      <c r="O300" s="317"/>
      <c r="P300" s="318"/>
      <c r="Q300" s="317"/>
      <c r="R300" s="317"/>
      <c r="S300" s="317"/>
      <c r="T300" s="317"/>
      <c r="U300" s="318"/>
    </row>
    <row r="301" spans="1:21" ht="19.5" hidden="1">
      <c r="A301" s="319" t="s">
        <v>126</v>
      </c>
      <c r="B301" s="320"/>
      <c r="C301" s="320"/>
      <c r="D301" s="321"/>
      <c r="E301" s="321"/>
      <c r="F301" s="321"/>
      <c r="G301" s="322"/>
      <c r="H301" s="322"/>
      <c r="I301" s="323"/>
      <c r="J301" s="323"/>
      <c r="K301" s="324"/>
      <c r="L301" s="325"/>
      <c r="M301" s="324"/>
      <c r="N301" s="324"/>
      <c r="O301" s="324"/>
      <c r="P301" s="324"/>
      <c r="Q301" s="324"/>
      <c r="R301" s="324"/>
      <c r="S301" s="324"/>
      <c r="T301" s="324"/>
      <c r="U301" s="324"/>
    </row>
    <row r="302" spans="1:21" ht="19.5" hidden="1">
      <c r="A302" s="326"/>
      <c r="B302" s="327" t="s">
        <v>127</v>
      </c>
      <c r="C302" s="328"/>
      <c r="D302" s="328"/>
      <c r="E302" s="328"/>
      <c r="F302" s="328"/>
      <c r="G302" s="329"/>
      <c r="H302" s="330" t="s">
        <v>35</v>
      </c>
      <c r="I302" s="605">
        <f ca="1">I314</f>
        <v>0</v>
      </c>
      <c r="J302" s="605">
        <f>J314</f>
        <v>0</v>
      </c>
      <c r="K302" s="604">
        <f ca="1">IF(I302&gt;0,J302*100/I302,0)</f>
        <v>0</v>
      </c>
      <c r="L302" s="334"/>
      <c r="M302" s="333"/>
      <c r="N302" s="333"/>
      <c r="O302" s="333"/>
      <c r="P302" s="333"/>
      <c r="Q302" s="333"/>
      <c r="R302" s="333"/>
      <c r="S302" s="333"/>
      <c r="T302" s="333"/>
      <c r="U302" s="333"/>
    </row>
    <row r="303" spans="1:21" ht="19.5" hidden="1">
      <c r="A303" s="155"/>
      <c r="B303" s="50"/>
      <c r="C303" s="156" t="s">
        <v>18</v>
      </c>
      <c r="D303" s="575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541">
        <f ca="1">L304+L305</f>
        <v>0</v>
      </c>
      <c r="M303" s="540">
        <f ca="1">M304+M305</f>
        <v>0</v>
      </c>
      <c r="N303" s="540">
        <f ca="1">N304+N305</f>
        <v>0</v>
      </c>
      <c r="O303" s="540">
        <f ca="1">IF(L303&gt;0,N303*100/L303,0)</f>
        <v>0</v>
      </c>
      <c r="P303" s="540">
        <f ca="1">IF(M303&gt;0,N303*100/M303,0)</f>
        <v>0</v>
      </c>
      <c r="Q303" s="540">
        <f ca="1">Q304+Q305</f>
        <v>0</v>
      </c>
      <c r="R303" s="540">
        <f ca="1">R304+R305</f>
        <v>0</v>
      </c>
      <c r="S303" s="540">
        <f ca="1">S304+S305</f>
        <v>0</v>
      </c>
      <c r="T303" s="540">
        <f ca="1">IF(Q303&gt;0,S303*100/Q303,0)</f>
        <v>0</v>
      </c>
      <c r="U303" s="540">
        <f ca="1">IF(R303&gt;0,S303*100/R303,0)</f>
        <v>0</v>
      </c>
    </row>
    <row r="304" spans="1:21" ht="18.75" hidden="1">
      <c r="A304" s="155"/>
      <c r="B304" s="50"/>
      <c r="C304" s="50"/>
      <c r="D304" s="50"/>
      <c r="E304" s="186" t="s">
        <v>20</v>
      </c>
      <c r="F304" s="50"/>
      <c r="G304" s="52"/>
      <c r="H304" s="187" t="s">
        <v>14</v>
      </c>
      <c r="I304" s="54"/>
      <c r="J304" s="54"/>
      <c r="K304" s="55"/>
      <c r="L304" s="103">
        <f>L307+L310</f>
        <v>0</v>
      </c>
      <c r="M304" s="102">
        <f>M307+M310</f>
        <v>0</v>
      </c>
      <c r="N304" s="102">
        <f>N307+N310</f>
        <v>0</v>
      </c>
      <c r="O304" s="102">
        <f>IF(L304&gt;0,N304*100/L304,0)</f>
        <v>0</v>
      </c>
      <c r="P304" s="102">
        <f>IF(M304&gt;0,N304*100/M304,0)</f>
        <v>0</v>
      </c>
      <c r="Q304" s="102">
        <f>Q307+Q310</f>
        <v>0</v>
      </c>
      <c r="R304" s="102">
        <f>R307+R310</f>
        <v>0</v>
      </c>
      <c r="S304" s="102">
        <f>S307+S310</f>
        <v>0</v>
      </c>
      <c r="T304" s="102">
        <f>IF(Q304&gt;0,S304*100/Q304,0)</f>
        <v>0</v>
      </c>
      <c r="U304" s="102">
        <f>IF(R304&gt;0,S304*100/R304,0)</f>
        <v>0</v>
      </c>
    </row>
    <row r="305" spans="1:21" ht="18.75" hidden="1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256">
        <f ca="1">L308+L311</f>
        <v>0</v>
      </c>
      <c r="M305" s="255">
        <f ca="1">M308+M311</f>
        <v>0</v>
      </c>
      <c r="N305" s="255">
        <f ca="1">N308+N311</f>
        <v>0</v>
      </c>
      <c r="O305" s="255">
        <f ca="1">IF(L305&gt;0,N305*100/L305,0)</f>
        <v>0</v>
      </c>
      <c r="P305" s="255">
        <f ca="1">IF(M305&gt;0,N305*100/M305,0)</f>
        <v>0</v>
      </c>
      <c r="Q305" s="255">
        <f ca="1">Q308+Q311</f>
        <v>0</v>
      </c>
      <c r="R305" s="255">
        <f ca="1">R308+R311</f>
        <v>0</v>
      </c>
      <c r="S305" s="255">
        <f ca="1">S308+S311</f>
        <v>0</v>
      </c>
      <c r="T305" s="255">
        <f ca="1">IF(Q305&gt;0,S305*100/Q305,0)</f>
        <v>0</v>
      </c>
      <c r="U305" s="255">
        <f ca="1">IF(R305&gt;0,S305*100/R305,0)</f>
        <v>0</v>
      </c>
    </row>
    <row r="306" spans="1:21" ht="18.75" hidden="1">
      <c r="A306" s="155"/>
      <c r="B306" s="50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256">
        <f ca="1">L307+L308</f>
        <v>0</v>
      </c>
      <c r="M306" s="255">
        <f ca="1">M307+M308</f>
        <v>0</v>
      </c>
      <c r="N306" s="255">
        <f ca="1">N307+N308</f>
        <v>0</v>
      </c>
      <c r="O306" s="255">
        <f ca="1">IF(L306&gt;0,N306*100/L306,0)</f>
        <v>0</v>
      </c>
      <c r="P306" s="255">
        <f ca="1">IF(M306&gt;0,N306*100/M306,0)</f>
        <v>0</v>
      </c>
      <c r="Q306" s="255">
        <f ca="1">Q307+Q308</f>
        <v>0</v>
      </c>
      <c r="R306" s="255">
        <f ca="1">R307+R308</f>
        <v>0</v>
      </c>
      <c r="S306" s="255">
        <f ca="1">S307+S308</f>
        <v>0</v>
      </c>
      <c r="T306" s="255">
        <f ca="1">IF(Q306&gt;0,S306*100/Q306,0)</f>
        <v>0</v>
      </c>
      <c r="U306" s="255">
        <f ca="1">IF(R306&gt;0,S306*100/R306,0)</f>
        <v>0</v>
      </c>
    </row>
    <row r="307" spans="1:21" ht="18.75" hidden="1">
      <c r="A307" s="155"/>
      <c r="B307" s="50"/>
      <c r="C307" s="50"/>
      <c r="D307" s="50"/>
      <c r="E307" s="186" t="s">
        <v>36</v>
      </c>
      <c r="F307" s="50"/>
      <c r="G307" s="52"/>
      <c r="H307" s="189" t="s">
        <v>14</v>
      </c>
      <c r="I307" s="163"/>
      <c r="J307" s="163"/>
      <c r="K307" s="164"/>
      <c r="L307" s="103">
        <v>0</v>
      </c>
      <c r="M307" s="102">
        <v>0</v>
      </c>
      <c r="N307" s="102">
        <v>0</v>
      </c>
      <c r="O307" s="102">
        <f>IF(L307&gt;0,N307*100/L307,0)</f>
        <v>0</v>
      </c>
      <c r="P307" s="102">
        <f>IF(M307&gt;0,N307*100/M307,0)</f>
        <v>0</v>
      </c>
      <c r="Q307" s="102">
        <v>0</v>
      </c>
      <c r="R307" s="102">
        <v>0</v>
      </c>
      <c r="S307" s="102">
        <v>0</v>
      </c>
      <c r="T307" s="102">
        <f>IF(Q307&gt;0,S307*100/Q307,0)</f>
        <v>0</v>
      </c>
      <c r="U307" s="102">
        <f>IF(R307&gt;0,S307*100/R307,0)</f>
        <v>0</v>
      </c>
    </row>
    <row r="308" spans="1:21" ht="18.75" hidden="1">
      <c r="A308" s="155"/>
      <c r="B308" s="50"/>
      <c r="C308" s="50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256">
        <f ca="1">IFERROR(__xludf.DUMMYFUNCTION("IMPORTRANGE(""https://docs.google.com/spreadsheets/d/1-uDff_7J0KD5mKrp0Vvzr7lt3OU09vwQwhkpOPPYv2Y/edit?usp=sharing"",""งบพรบ!DY32"")"),0)</f>
        <v>0</v>
      </c>
      <c r="M308" s="255">
        <f ca="1">IFERROR(__xludf.DUMMYFUNCTION("IMPORTRANGE(""https://docs.google.com/spreadsheets/d/1-uDff_7J0KD5mKrp0Vvzr7lt3OU09vwQwhkpOPPYv2Y/edit?usp=sharing"",""งบพรบ!ED32"")"),0)</f>
        <v>0</v>
      </c>
      <c r="N308" s="255">
        <f ca="1">IFERROR(__xludf.DUMMYFUNCTION("IMPORTRANGE(""https://docs.google.com/spreadsheets/d/1-uDff_7J0KD5mKrp0Vvzr7lt3OU09vwQwhkpOPPYv2Y/edit?usp=sharing"",""งบพรบ!EF32"")"),0)</f>
        <v>0</v>
      </c>
      <c r="O308" s="255">
        <f ca="1">IF(L308&gt;0,N308*100/L308,0)</f>
        <v>0</v>
      </c>
      <c r="P308" s="255">
        <f ca="1">IF(M308&gt;0,N308*100/M308,0)</f>
        <v>0</v>
      </c>
      <c r="Q308" s="255">
        <f ca="1">IFERROR(__xludf.DUMMYFUNCTION("IMPORTRANGE(""https://docs.google.com/spreadsheets/d/1ItG2mGa2ceCfYo0BwxsXqNm01IGEUdYcSSLTEv9YCik/edit?usp=sharing"",""เบิกจ่ายกองทุน!AP32"")"),0)</f>
        <v>0</v>
      </c>
      <c r="R308" s="255">
        <f ca="1">IFERROR(__xludf.DUMMYFUNCTION("IMPORTRANGE(""https://docs.google.com/spreadsheets/d/1ItG2mGa2ceCfYo0BwxsXqNm01IGEUdYcSSLTEv9YCik/edit?usp=sharing"",""เบิกจ่ายกองทุน!AQ32"")"),0)</f>
        <v>0</v>
      </c>
      <c r="S308" s="255">
        <f ca="1">IFERROR(__xludf.DUMMYFUNCTION("IMPORTRANGE(""https://docs.google.com/spreadsheets/d/1ItG2mGa2ceCfYo0BwxsXqNm01IGEUdYcSSLTEv9YCik/edit?usp=sharing"",""เบิกจ่ายกองทุน!AR32"")"),0)</f>
        <v>0</v>
      </c>
      <c r="T308" s="255">
        <f ca="1">IF(Q308&gt;0,S308*100/Q308,0)</f>
        <v>0</v>
      </c>
      <c r="U308" s="255">
        <f ca="1">IF(R308&gt;0,S308*100/R308,0)</f>
        <v>0</v>
      </c>
    </row>
    <row r="309" spans="1:21" ht="18.75" hidden="1">
      <c r="A309" s="155"/>
      <c r="B309" s="50"/>
      <c r="C309" s="50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256">
        <f ca="1">L310+L311</f>
        <v>0</v>
      </c>
      <c r="M309" s="255">
        <f ca="1">M310+M311</f>
        <v>0</v>
      </c>
      <c r="N309" s="255">
        <f ca="1">N310+N311</f>
        <v>0</v>
      </c>
      <c r="O309" s="255">
        <f ca="1">IF(L309&gt;0,N309*100/L309,0)</f>
        <v>0</v>
      </c>
      <c r="P309" s="255">
        <f ca="1">IF(M309&gt;0,N309*100/M309,0)</f>
        <v>0</v>
      </c>
      <c r="Q309" s="255">
        <f>Q310+Q311</f>
        <v>0</v>
      </c>
      <c r="R309" s="255">
        <f>R310+R311</f>
        <v>0</v>
      </c>
      <c r="S309" s="255">
        <f>S310+S311</f>
        <v>0</v>
      </c>
      <c r="T309" s="255">
        <f>IF(Q309&gt;0,S309*100/Q309,0)</f>
        <v>0</v>
      </c>
      <c r="U309" s="255">
        <f>IF(R309&gt;0,S309*100/R309,0)</f>
        <v>0</v>
      </c>
    </row>
    <row r="310" spans="1:21" ht="18.75" hidden="1">
      <c r="A310" s="155"/>
      <c r="B310" s="50"/>
      <c r="C310" s="50"/>
      <c r="D310" s="50"/>
      <c r="E310" s="186" t="s">
        <v>20</v>
      </c>
      <c r="F310" s="50"/>
      <c r="G310" s="52"/>
      <c r="H310" s="189" t="s">
        <v>14</v>
      </c>
      <c r="I310" s="163"/>
      <c r="J310" s="163"/>
      <c r="K310" s="164"/>
      <c r="L310" s="103">
        <v>0</v>
      </c>
      <c r="M310" s="102">
        <v>0</v>
      </c>
      <c r="N310" s="102">
        <v>0</v>
      </c>
      <c r="O310" s="102">
        <f>IF(L310&gt;0,N310*100/L310,0)</f>
        <v>0</v>
      </c>
      <c r="P310" s="102">
        <f>IF(M310&gt;0,N310*100/M310,0)</f>
        <v>0</v>
      </c>
      <c r="Q310" s="102">
        <v>0</v>
      </c>
      <c r="R310" s="102">
        <v>0</v>
      </c>
      <c r="S310" s="102">
        <v>0</v>
      </c>
      <c r="T310" s="102">
        <f>IF(Q310&gt;0,S310*100/Q310,0)</f>
        <v>0</v>
      </c>
      <c r="U310" s="102">
        <f>IF(R310&gt;0,S310*100/R310,0)</f>
        <v>0</v>
      </c>
    </row>
    <row r="311" spans="1:21" ht="18.75" hidden="1">
      <c r="A311" s="155"/>
      <c r="B311" s="50"/>
      <c r="C311" s="50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256">
        <f ca="1">IFERROR(__xludf.DUMMYFUNCTION("IMPORTRANGE(""https://docs.google.com/spreadsheets/d/1-uDff_7J0KD5mKrp0Vvzr7lt3OU09vwQwhkpOPPYv2Y/edit?usp=sharing"",""งบพรบ!EB32"")"),0)</f>
        <v>0</v>
      </c>
      <c r="M311" s="255">
        <f ca="1">IFERROR(__xludf.DUMMYFUNCTION("IMPORTRANGE(""https://docs.google.com/spreadsheets/d/1-uDff_7J0KD5mKrp0Vvzr7lt3OU09vwQwhkpOPPYv2Y/edit?usp=sharing"",""งบพรบ!EE32"")"),0)</f>
        <v>0</v>
      </c>
      <c r="N311" s="255">
        <f ca="1">IFERROR(__xludf.DUMMYFUNCTION("IMPORTRANGE(""https://docs.google.com/spreadsheets/d/1-uDff_7J0KD5mKrp0Vvzr7lt3OU09vwQwhkpOPPYv2Y/edit?usp=sharing"",""งบพรบ!EG32"")"),0)</f>
        <v>0</v>
      </c>
      <c r="O311" s="255">
        <f ca="1">IF(L311&gt;0,N311*100/L311,0)</f>
        <v>0</v>
      </c>
      <c r="P311" s="255">
        <f ca="1">IF(M311&gt;0,N311*100/M311,0)</f>
        <v>0</v>
      </c>
      <c r="Q311" s="255">
        <v>0</v>
      </c>
      <c r="R311" s="255">
        <v>0</v>
      </c>
      <c r="S311" s="255">
        <v>0</v>
      </c>
      <c r="T311" s="255">
        <f>IF(Q311&gt;0,S311*100/Q311,0)</f>
        <v>0</v>
      </c>
      <c r="U311" s="255">
        <f>IF(R311&gt;0,S311*100/R311,0)</f>
        <v>0</v>
      </c>
    </row>
    <row r="312" spans="1:21" ht="19.5" hidden="1">
      <c r="A312" s="166"/>
      <c r="B312" s="167"/>
      <c r="C312" s="156" t="s">
        <v>18</v>
      </c>
      <c r="D312" s="566" t="s">
        <v>38</v>
      </c>
      <c r="E312" s="169"/>
      <c r="F312" s="169"/>
      <c r="G312" s="170"/>
      <c r="H312" s="171"/>
      <c r="I312" s="54"/>
      <c r="J312" s="54"/>
      <c r="K312" s="55"/>
      <c r="L312" s="62"/>
      <c r="M312" s="55"/>
      <c r="N312" s="55"/>
      <c r="O312" s="55"/>
      <c r="P312" s="55"/>
      <c r="Q312" s="55"/>
      <c r="R312" s="55"/>
      <c r="S312" s="55"/>
      <c r="T312" s="55"/>
      <c r="U312" s="55"/>
    </row>
    <row r="313" spans="1:21" ht="18.75" hidden="1">
      <c r="A313" s="192"/>
      <c r="B313" s="193"/>
      <c r="C313" s="193"/>
      <c r="D313" s="640"/>
      <c r="E313" s="22"/>
      <c r="F313" s="22"/>
      <c r="G313" s="23"/>
      <c r="H313" s="23"/>
      <c r="I313" s="24"/>
      <c r="J313" s="638"/>
      <c r="K313" s="25"/>
      <c r="L313" s="26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8.75" hidden="1">
      <c r="A314" s="166"/>
      <c r="B314" s="167"/>
      <c r="C314" s="167"/>
      <c r="D314" s="178" t="s">
        <v>121</v>
      </c>
      <c r="E314" s="174"/>
      <c r="F314" s="174"/>
      <c r="G314" s="171"/>
      <c r="H314" s="179" t="s">
        <v>35</v>
      </c>
      <c r="I314" s="212">
        <f ca="1">IFERROR(__xludf.DUMMYFUNCTION("IMPORTRANGE(""https://docs.google.com/spreadsheets/d/1eHaY18a8A9IcSdp1K8H6x8fbOy06t2VsZHhMHf-1x7Y/edit?usp=sharing"",""แผน!EF32"")"),0)</f>
        <v>0</v>
      </c>
      <c r="J314" s="467">
        <v>0</v>
      </c>
      <c r="K314" s="255">
        <f ca="1">IF(I314&gt;0,J314*100/I314,0)</f>
        <v>0</v>
      </c>
      <c r="L314" s="62"/>
      <c r="M314" s="55"/>
      <c r="N314" s="55"/>
      <c r="O314" s="55"/>
      <c r="P314" s="55"/>
      <c r="Q314" s="55"/>
      <c r="R314" s="55"/>
      <c r="S314" s="55"/>
      <c r="T314" s="55"/>
      <c r="U314" s="55"/>
    </row>
    <row r="315" spans="1:21" ht="18.75" hidden="1">
      <c r="A315" s="192"/>
      <c r="B315" s="193"/>
      <c r="C315" s="193"/>
      <c r="D315" s="640"/>
      <c r="E315" s="22"/>
      <c r="F315" s="22"/>
      <c r="G315" s="23"/>
      <c r="H315" s="639"/>
      <c r="I315" s="638"/>
      <c r="J315" s="638"/>
      <c r="K315" s="637"/>
      <c r="L315" s="26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8.75" hidden="1">
      <c r="A316" s="192"/>
      <c r="B316" s="193"/>
      <c r="C316" s="193"/>
      <c r="D316" s="640"/>
      <c r="E316" s="22"/>
      <c r="F316" s="22"/>
      <c r="G316" s="23"/>
      <c r="H316" s="639"/>
      <c r="I316" s="638"/>
      <c r="J316" s="638"/>
      <c r="K316" s="637"/>
      <c r="L316" s="26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8.75" hidden="1">
      <c r="A317" s="192"/>
      <c r="B317" s="193"/>
      <c r="C317" s="193"/>
      <c r="D317" s="636"/>
      <c r="E317" s="22"/>
      <c r="F317" s="22"/>
      <c r="G317" s="23"/>
      <c r="H317" s="635"/>
      <c r="I317" s="634"/>
      <c r="J317" s="634"/>
      <c r="K317" s="633"/>
      <c r="L317" s="26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9.5">
      <c r="A318" s="319" t="s">
        <v>131</v>
      </c>
      <c r="B318" s="320"/>
      <c r="C318" s="320"/>
      <c r="D318" s="321"/>
      <c r="E318" s="320"/>
      <c r="F318" s="320"/>
      <c r="G318" s="320"/>
      <c r="H318" s="321"/>
      <c r="I318" s="323"/>
      <c r="J318" s="323"/>
      <c r="K318" s="324"/>
      <c r="L318" s="325"/>
      <c r="M318" s="324"/>
      <c r="N318" s="324"/>
      <c r="O318" s="324"/>
      <c r="P318" s="324"/>
      <c r="Q318" s="324"/>
      <c r="R318" s="324"/>
      <c r="S318" s="324"/>
      <c r="T318" s="324"/>
      <c r="U318" s="324"/>
    </row>
    <row r="319" spans="1:21" ht="19.5">
      <c r="A319" s="335"/>
      <c r="B319" s="327" t="s">
        <v>132</v>
      </c>
      <c r="C319" s="336"/>
      <c r="D319" s="337"/>
      <c r="E319" s="328"/>
      <c r="F319" s="328"/>
      <c r="G319" s="329"/>
      <c r="H319" s="330" t="s">
        <v>133</v>
      </c>
      <c r="I319" s="605">
        <f ca="1">I330</f>
        <v>1</v>
      </c>
      <c r="J319" s="605">
        <f>J330</f>
        <v>1</v>
      </c>
      <c r="K319" s="604">
        <f ca="1">IF(I319&gt;0,J319*100/I319,0)</f>
        <v>100</v>
      </c>
      <c r="L319" s="334"/>
      <c r="M319" s="333"/>
      <c r="N319" s="333"/>
      <c r="O319" s="333"/>
      <c r="P319" s="333"/>
      <c r="Q319" s="333"/>
      <c r="R319" s="333"/>
      <c r="S319" s="333"/>
      <c r="T319" s="333"/>
      <c r="U319" s="333"/>
    </row>
    <row r="320" spans="1:21" ht="19.5">
      <c r="A320" s="155"/>
      <c r="B320" s="50"/>
      <c r="C320" s="156" t="s">
        <v>18</v>
      </c>
      <c r="D320" s="575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541">
        <f ca="1">L321+L322</f>
        <v>20000</v>
      </c>
      <c r="M320" s="540">
        <f ca="1">M321+M322</f>
        <v>20000</v>
      </c>
      <c r="N320" s="540">
        <f ca="1">N321+N322</f>
        <v>2300</v>
      </c>
      <c r="O320" s="540">
        <f ca="1">IF(L320&gt;0,N320*100/L320,0)</f>
        <v>11.5</v>
      </c>
      <c r="P320" s="540">
        <f ca="1">IF(M320&gt;0,N320*100/M320,0)</f>
        <v>11.5</v>
      </c>
      <c r="Q320" s="540">
        <f>Q321+Q322</f>
        <v>0</v>
      </c>
      <c r="R320" s="540">
        <f>R321+R322</f>
        <v>0</v>
      </c>
      <c r="S320" s="540">
        <f>S321+S322</f>
        <v>0</v>
      </c>
      <c r="T320" s="540">
        <f>IF(Q320&gt;0,S320*100/Q320,0)</f>
        <v>0</v>
      </c>
      <c r="U320" s="540">
        <f>IF(R320&gt;0,S320*100/R320,0)</f>
        <v>0</v>
      </c>
    </row>
    <row r="321" spans="1:21" ht="18.75" hidden="1">
      <c r="A321" s="155"/>
      <c r="B321" s="50"/>
      <c r="C321" s="50"/>
      <c r="D321" s="50"/>
      <c r="E321" s="186" t="s">
        <v>20</v>
      </c>
      <c r="F321" s="50"/>
      <c r="G321" s="52"/>
      <c r="H321" s="187" t="s">
        <v>14</v>
      </c>
      <c r="I321" s="54"/>
      <c r="J321" s="54"/>
      <c r="K321" s="55"/>
      <c r="L321" s="103">
        <f>L324+L327</f>
        <v>0</v>
      </c>
      <c r="M321" s="102">
        <f>M324+M327</f>
        <v>0</v>
      </c>
      <c r="N321" s="102">
        <f>N324+N327</f>
        <v>0</v>
      </c>
      <c r="O321" s="102">
        <f>IF(L321&gt;0,N321*100/L321,0)</f>
        <v>0</v>
      </c>
      <c r="P321" s="102">
        <f>IF(M321&gt;0,N321*100/M321,0)</f>
        <v>0</v>
      </c>
      <c r="Q321" s="102">
        <f>Q324+Q327</f>
        <v>0</v>
      </c>
      <c r="R321" s="102">
        <f>R324+R327</f>
        <v>0</v>
      </c>
      <c r="S321" s="102">
        <f>S324+S327</f>
        <v>0</v>
      </c>
      <c r="T321" s="102">
        <f>IF(Q321&gt;0,S321*100/Q321,0)</f>
        <v>0</v>
      </c>
      <c r="U321" s="102">
        <f>IF(R321&gt;0,S321*100/R321,0)</f>
        <v>0</v>
      </c>
    </row>
    <row r="322" spans="1:21" ht="18.75" hidden="1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256">
        <f ca="1">L325+L328</f>
        <v>20000</v>
      </c>
      <c r="M322" s="255">
        <f ca="1">M325+M328</f>
        <v>20000</v>
      </c>
      <c r="N322" s="255">
        <f ca="1">N325+N328</f>
        <v>2300</v>
      </c>
      <c r="O322" s="255">
        <f ca="1">IF(L322&gt;0,N322*100/L322,0)</f>
        <v>11.5</v>
      </c>
      <c r="P322" s="255">
        <f ca="1">IF(M322&gt;0,N322*100/M322,0)</f>
        <v>11.5</v>
      </c>
      <c r="Q322" s="255">
        <f>Q325+Q328</f>
        <v>0</v>
      </c>
      <c r="R322" s="255">
        <f>R325+R328</f>
        <v>0</v>
      </c>
      <c r="S322" s="255">
        <f>S325+S328</f>
        <v>0</v>
      </c>
      <c r="T322" s="255">
        <f>IF(Q322&gt;0,S322*100/Q322,0)</f>
        <v>0</v>
      </c>
      <c r="U322" s="255">
        <f>IF(R322&gt;0,S322*100/R322,0)</f>
        <v>0</v>
      </c>
    </row>
    <row r="323" spans="1:21" ht="18.75">
      <c r="A323" s="155"/>
      <c r="B323" s="50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256">
        <f ca="1">L324+L325</f>
        <v>20000</v>
      </c>
      <c r="M323" s="255">
        <f ca="1">M324+M325</f>
        <v>20000</v>
      </c>
      <c r="N323" s="255">
        <f ca="1">N324+N325</f>
        <v>2300</v>
      </c>
      <c r="O323" s="255">
        <f ca="1">IF(L323&gt;0,N323*100/L323,0)</f>
        <v>11.5</v>
      </c>
      <c r="P323" s="255">
        <f ca="1">IF(M323&gt;0,N323*100/M323,0)</f>
        <v>11.5</v>
      </c>
      <c r="Q323" s="255">
        <f>Q324+Q325</f>
        <v>0</v>
      </c>
      <c r="R323" s="255">
        <f>R324+R325</f>
        <v>0</v>
      </c>
      <c r="S323" s="255">
        <f>S324+S325</f>
        <v>0</v>
      </c>
      <c r="T323" s="255">
        <f>IF(Q323&gt;0,S323*100/Q323,0)</f>
        <v>0</v>
      </c>
      <c r="U323" s="255">
        <f>IF(R323&gt;0,S323*100/R323,0)</f>
        <v>0</v>
      </c>
    </row>
    <row r="324" spans="1:21" ht="18.75" hidden="1">
      <c r="A324" s="155"/>
      <c r="B324" s="50"/>
      <c r="C324" s="50"/>
      <c r="D324" s="50"/>
      <c r="E324" s="186" t="s">
        <v>36</v>
      </c>
      <c r="F324" s="50"/>
      <c r="G324" s="52"/>
      <c r="H324" s="189" t="s">
        <v>14</v>
      </c>
      <c r="I324" s="163"/>
      <c r="J324" s="163"/>
      <c r="K324" s="164"/>
      <c r="L324" s="103">
        <v>0</v>
      </c>
      <c r="M324" s="102">
        <v>0</v>
      </c>
      <c r="N324" s="102">
        <v>0</v>
      </c>
      <c r="O324" s="102">
        <f>IF(L324&gt;0,N324*100/L324,0)</f>
        <v>0</v>
      </c>
      <c r="P324" s="102">
        <f>IF(M324&gt;0,N324*100/M324,0)</f>
        <v>0</v>
      </c>
      <c r="Q324" s="102">
        <v>0</v>
      </c>
      <c r="R324" s="102">
        <v>0</v>
      </c>
      <c r="S324" s="102">
        <v>0</v>
      </c>
      <c r="T324" s="102">
        <f>IF(Q324&gt;0,S324*100/Q324,0)</f>
        <v>0</v>
      </c>
      <c r="U324" s="102">
        <f>IF(R324&gt;0,S324*100/R324,0)</f>
        <v>0</v>
      </c>
    </row>
    <row r="325" spans="1:21" ht="18.75" hidden="1">
      <c r="A325" s="155"/>
      <c r="B325" s="50"/>
      <c r="C325" s="50"/>
      <c r="D325" s="50"/>
      <c r="E325" s="58" t="s">
        <v>37</v>
      </c>
      <c r="F325" s="50"/>
      <c r="G325" s="52"/>
      <c r="H325" s="162" t="s">
        <v>14</v>
      </c>
      <c r="I325" s="163"/>
      <c r="J325" s="163"/>
      <c r="K325" s="164"/>
      <c r="L325" s="256">
        <f ca="1">IFERROR(__xludf.DUMMYFUNCTION("IMPORTRANGE(""https://docs.google.com/spreadsheets/d/1-uDff_7J0KD5mKrp0Vvzr7lt3OU09vwQwhkpOPPYv2Y/edit?usp=sharing"",""งบพรบ!EI32"")"),20000)</f>
        <v>20000</v>
      </c>
      <c r="M325" s="255">
        <f ca="1">IFERROR(__xludf.DUMMYFUNCTION("IMPORTRANGE(""https://docs.google.com/spreadsheets/d/1-uDff_7J0KD5mKrp0Vvzr7lt3OU09vwQwhkpOPPYv2Y/edit?usp=sharing"",""งบพรบ!EN32"")"),20000)</f>
        <v>20000</v>
      </c>
      <c r="N325" s="255">
        <f ca="1">IFERROR(__xludf.DUMMYFUNCTION("IMPORTRANGE(""https://docs.google.com/spreadsheets/d/1-uDff_7J0KD5mKrp0Vvzr7lt3OU09vwQwhkpOPPYv2Y/edit?usp=sharing"",""งบพรบ!EP32"")"),2300)</f>
        <v>2300</v>
      </c>
      <c r="O325" s="255">
        <f ca="1">IF(L325&gt;0,N325*100/L325,0)</f>
        <v>11.5</v>
      </c>
      <c r="P325" s="255">
        <f ca="1">IF(M325&gt;0,N325*100/M325,0)</f>
        <v>11.5</v>
      </c>
      <c r="Q325" s="255">
        <v>0</v>
      </c>
      <c r="R325" s="255">
        <v>0</v>
      </c>
      <c r="S325" s="255">
        <v>0</v>
      </c>
      <c r="T325" s="255">
        <f>IF(Q325&gt;0,S325*100/Q325,0)</f>
        <v>0</v>
      </c>
      <c r="U325" s="255">
        <f>IF(R325&gt;0,S325*100/R325,0)</f>
        <v>0</v>
      </c>
    </row>
    <row r="326" spans="1:21" ht="18.75">
      <c r="A326" s="155"/>
      <c r="B326" s="50"/>
      <c r="C326" s="50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256">
        <f ca="1">L327+L328</f>
        <v>0</v>
      </c>
      <c r="M326" s="255">
        <f ca="1">M327+M328</f>
        <v>0</v>
      </c>
      <c r="N326" s="255">
        <f ca="1">N327+N328</f>
        <v>0</v>
      </c>
      <c r="O326" s="255">
        <f ca="1">IF(L326&gt;0,N326*100/L326,0)</f>
        <v>0</v>
      </c>
      <c r="P326" s="255">
        <f ca="1">IF(M326&gt;0,N326*100/M326,0)</f>
        <v>0</v>
      </c>
      <c r="Q326" s="255">
        <f>Q327+Q328</f>
        <v>0</v>
      </c>
      <c r="R326" s="255">
        <f>R327+R328</f>
        <v>0</v>
      </c>
      <c r="S326" s="255">
        <f>S327+S328</f>
        <v>0</v>
      </c>
      <c r="T326" s="255">
        <f>IF(Q326&gt;0,S326*100/Q326,0)</f>
        <v>0</v>
      </c>
      <c r="U326" s="255">
        <f>IF(R326&gt;0,S326*100/R326,0)</f>
        <v>0</v>
      </c>
    </row>
    <row r="327" spans="1:21" ht="18.75" hidden="1">
      <c r="A327" s="155"/>
      <c r="B327" s="50"/>
      <c r="C327" s="50"/>
      <c r="D327" s="50"/>
      <c r="E327" s="186" t="s">
        <v>20</v>
      </c>
      <c r="F327" s="50"/>
      <c r="G327" s="52"/>
      <c r="H327" s="189" t="s">
        <v>14</v>
      </c>
      <c r="I327" s="163"/>
      <c r="J327" s="163"/>
      <c r="K327" s="164"/>
      <c r="L327" s="103">
        <v>0</v>
      </c>
      <c r="M327" s="102">
        <v>0</v>
      </c>
      <c r="N327" s="102">
        <v>0</v>
      </c>
      <c r="O327" s="102">
        <f>IF(L327&gt;0,N327*100/L327,0)</f>
        <v>0</v>
      </c>
      <c r="P327" s="102">
        <f>IF(M327&gt;0,N327*100/M327,0)</f>
        <v>0</v>
      </c>
      <c r="Q327" s="102">
        <v>0</v>
      </c>
      <c r="R327" s="102">
        <v>0</v>
      </c>
      <c r="S327" s="102">
        <v>0</v>
      </c>
      <c r="T327" s="102">
        <f>IF(Q327&gt;0,S327*100/Q327,0)</f>
        <v>0</v>
      </c>
      <c r="U327" s="102">
        <f>IF(R327&gt;0,S327*100/R327,0)</f>
        <v>0</v>
      </c>
    </row>
    <row r="328" spans="1:21" ht="18.75" hidden="1">
      <c r="A328" s="155"/>
      <c r="B328" s="50"/>
      <c r="C328" s="50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256">
        <f ca="1">IFERROR(__xludf.DUMMYFUNCTION("IMPORTRANGE(""https://docs.google.com/spreadsheets/d/1-uDff_7J0KD5mKrp0Vvzr7lt3OU09vwQwhkpOPPYv2Y/edit?usp=sharing"",""งบพรบ!EL32"")"),0)</f>
        <v>0</v>
      </c>
      <c r="M328" s="255">
        <f ca="1">IFERROR(__xludf.DUMMYFUNCTION("IMPORTRANGE(""https://docs.google.com/spreadsheets/d/1-uDff_7J0KD5mKrp0Vvzr7lt3OU09vwQwhkpOPPYv2Y/edit?usp=sharing"",""งบพรบ!EO32"")"),0)</f>
        <v>0</v>
      </c>
      <c r="N328" s="255">
        <f ca="1">IFERROR(__xludf.DUMMYFUNCTION("IMPORTRANGE(""https://docs.google.com/spreadsheets/d/1-uDff_7J0KD5mKrp0Vvzr7lt3OU09vwQwhkpOPPYv2Y/edit?usp=sharing"",""งบพรบ!EQ32"")"),0)</f>
        <v>0</v>
      </c>
      <c r="O328" s="255">
        <f ca="1">IF(L328&gt;0,N328*100/L328,0)</f>
        <v>0</v>
      </c>
      <c r="P328" s="255">
        <f ca="1">IF(M328&gt;0,N328*100/M328,0)</f>
        <v>0</v>
      </c>
      <c r="Q328" s="255">
        <v>0</v>
      </c>
      <c r="R328" s="255">
        <v>0</v>
      </c>
      <c r="S328" s="255">
        <v>0</v>
      </c>
      <c r="T328" s="255">
        <f>IF(Q328&gt;0,S328*100/Q328,0)</f>
        <v>0</v>
      </c>
      <c r="U328" s="255">
        <f>IF(R328&gt;0,S328*100/R328,0)</f>
        <v>0</v>
      </c>
    </row>
    <row r="329" spans="1:21" ht="19.5">
      <c r="A329" s="166"/>
      <c r="B329" s="167"/>
      <c r="C329" s="156" t="s">
        <v>18</v>
      </c>
      <c r="D329" s="566" t="s">
        <v>38</v>
      </c>
      <c r="E329" s="169"/>
      <c r="F329" s="169"/>
      <c r="G329" s="170"/>
      <c r="H329" s="171"/>
      <c r="I329" s="163"/>
      <c r="J329" s="54"/>
      <c r="K329" s="55"/>
      <c r="L329" s="62"/>
      <c r="M329" s="55"/>
      <c r="N329" s="55"/>
      <c r="O329" s="164"/>
      <c r="P329" s="164"/>
      <c r="Q329" s="55"/>
      <c r="R329" s="55"/>
      <c r="S329" s="55"/>
      <c r="T329" s="164"/>
      <c r="U329" s="164"/>
    </row>
    <row r="330" spans="1:21" ht="18.75">
      <c r="A330" s="166"/>
      <c r="B330" s="167"/>
      <c r="C330" s="167"/>
      <c r="D330" s="173" t="s">
        <v>134</v>
      </c>
      <c r="E330" s="174"/>
      <c r="F330" s="174"/>
      <c r="G330" s="171"/>
      <c r="H330" s="53" t="s">
        <v>133</v>
      </c>
      <c r="I330" s="212">
        <f ca="1">IFERROR(__xludf.DUMMYFUNCTION("IMPORTRANGE(""https://docs.google.com/spreadsheets/d/1eHaY18a8A9IcSdp1K8H6x8fbOy06t2VsZHhMHf-1x7Y/edit?usp=sharing"",""แผน!EJ32"")"),1)</f>
        <v>1</v>
      </c>
      <c r="J330" s="467">
        <v>1</v>
      </c>
      <c r="K330" s="255">
        <f ca="1">IF(I330&gt;0,J330*100/I330,0)</f>
        <v>100</v>
      </c>
      <c r="L330" s="62"/>
      <c r="M330" s="55"/>
      <c r="N330" s="55"/>
      <c r="O330" s="164"/>
      <c r="P330" s="164"/>
      <c r="Q330" s="55"/>
      <c r="R330" s="55"/>
      <c r="S330" s="55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1"/>
      <c r="I331" s="323"/>
      <c r="J331" s="323"/>
      <c r="K331" s="324"/>
      <c r="L331" s="325"/>
      <c r="M331" s="324"/>
      <c r="N331" s="324"/>
      <c r="O331" s="324"/>
      <c r="P331" s="324"/>
      <c r="Q331" s="324"/>
      <c r="R331" s="324"/>
      <c r="S331" s="324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30" t="s">
        <v>35</v>
      </c>
      <c r="I332" s="632">
        <f ca="1">I344</f>
        <v>1200</v>
      </c>
      <c r="J332" s="631">
        <f ca="1">J344+J347+J348+J349+J353+J354</f>
        <v>1304</v>
      </c>
      <c r="K332" s="630">
        <f ca="1">IF(I332&gt;0,J332*100/I332,0)</f>
        <v>108.66666666666667</v>
      </c>
      <c r="L332" s="334"/>
      <c r="M332" s="333"/>
      <c r="N332" s="333"/>
      <c r="O332" s="333"/>
      <c r="P332" s="333"/>
      <c r="Q332" s="333"/>
      <c r="R332" s="333"/>
      <c r="S332" s="333"/>
      <c r="T332" s="333"/>
      <c r="U332" s="333"/>
    </row>
    <row r="333" spans="1:21" ht="19.5">
      <c r="A333" s="155"/>
      <c r="B333" s="50"/>
      <c r="C333" s="156" t="s">
        <v>18</v>
      </c>
      <c r="D333" s="575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541">
        <f ca="1">L334+L335</f>
        <v>110000</v>
      </c>
      <c r="M333" s="540">
        <f ca="1">M334+M335</f>
        <v>115000</v>
      </c>
      <c r="N333" s="540">
        <f ca="1">N334+N335</f>
        <v>76550</v>
      </c>
      <c r="O333" s="540">
        <f ca="1">IF(L333&gt;0,N333*100/L333,0)</f>
        <v>69.590909090909093</v>
      </c>
      <c r="P333" s="540">
        <f ca="1">IF(M333&gt;0,N333*100/M333,0)</f>
        <v>66.565217391304344</v>
      </c>
      <c r="Q333" s="540">
        <f>Q334+Q335</f>
        <v>0</v>
      </c>
      <c r="R333" s="540">
        <f>R334+R335</f>
        <v>0</v>
      </c>
      <c r="S333" s="540">
        <f>S334+S335</f>
        <v>0</v>
      </c>
      <c r="T333" s="540">
        <f>IF(Q333&gt;0,S333*100/Q333,0)</f>
        <v>0</v>
      </c>
      <c r="U333" s="540">
        <f>IF(R333&gt;0,S333*100/R333,0)</f>
        <v>0</v>
      </c>
    </row>
    <row r="334" spans="1:21" ht="18.75" hidden="1">
      <c r="A334" s="155"/>
      <c r="B334" s="50"/>
      <c r="C334" s="50"/>
      <c r="D334" s="50"/>
      <c r="E334" s="186" t="s">
        <v>20</v>
      </c>
      <c r="F334" s="50"/>
      <c r="G334" s="52"/>
      <c r="H334" s="187" t="s">
        <v>14</v>
      </c>
      <c r="I334" s="54"/>
      <c r="J334" s="54"/>
      <c r="K334" s="55"/>
      <c r="L334" s="103">
        <f>L337+L340</f>
        <v>0</v>
      </c>
      <c r="M334" s="102">
        <f>M337+M340</f>
        <v>0</v>
      </c>
      <c r="N334" s="102">
        <f>N337+N340</f>
        <v>0</v>
      </c>
      <c r="O334" s="102">
        <f>IF(L334&gt;0,N334*100/L334,0)</f>
        <v>0</v>
      </c>
      <c r="P334" s="102">
        <f>IF(M334&gt;0,N334*100/M334,0)</f>
        <v>0</v>
      </c>
      <c r="Q334" s="102">
        <f>Q337+Q340</f>
        <v>0</v>
      </c>
      <c r="R334" s="102">
        <f>R337+R340</f>
        <v>0</v>
      </c>
      <c r="S334" s="102">
        <f>S337+S340</f>
        <v>0</v>
      </c>
      <c r="T334" s="102">
        <f>IF(Q334&gt;0,S334*100/Q334,0)</f>
        <v>0</v>
      </c>
      <c r="U334" s="102">
        <f>IF(R334&gt;0,S334*100/R334,0)</f>
        <v>0</v>
      </c>
    </row>
    <row r="335" spans="1:21" ht="18.75" hidden="1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256">
        <f ca="1">L338+L341</f>
        <v>110000</v>
      </c>
      <c r="M335" s="255">
        <f ca="1">M338+M341</f>
        <v>115000</v>
      </c>
      <c r="N335" s="255">
        <f ca="1">N338+N341</f>
        <v>76550</v>
      </c>
      <c r="O335" s="255">
        <f ca="1">IF(L335&gt;0,N335*100/L335,0)</f>
        <v>69.590909090909093</v>
      </c>
      <c r="P335" s="255">
        <f ca="1">IF(M335&gt;0,N335*100/M335,0)</f>
        <v>66.565217391304344</v>
      </c>
      <c r="Q335" s="255">
        <f>Q338+Q341</f>
        <v>0</v>
      </c>
      <c r="R335" s="255">
        <f>R338+R341</f>
        <v>0</v>
      </c>
      <c r="S335" s="255">
        <f>S338+S341</f>
        <v>0</v>
      </c>
      <c r="T335" s="255">
        <f>IF(Q335&gt;0,S335*100/Q335,0)</f>
        <v>0</v>
      </c>
      <c r="U335" s="255">
        <f>IF(R335&gt;0,S335*100/R335,0)</f>
        <v>0</v>
      </c>
    </row>
    <row r="336" spans="1:21" ht="18.75">
      <c r="A336" s="155"/>
      <c r="B336" s="50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256">
        <f ca="1">L337+L338</f>
        <v>110000</v>
      </c>
      <c r="M336" s="255">
        <f ca="1">M337+M338</f>
        <v>115000</v>
      </c>
      <c r="N336" s="255">
        <f ca="1">N337+N338</f>
        <v>76550</v>
      </c>
      <c r="O336" s="255">
        <f ca="1">IF(L336&gt;0,N336*100/L336,0)</f>
        <v>69.590909090909093</v>
      </c>
      <c r="P336" s="255">
        <f ca="1">IF(M336&gt;0,N336*100/M336,0)</f>
        <v>66.565217391304344</v>
      </c>
      <c r="Q336" s="255">
        <f>Q337+Q338</f>
        <v>0</v>
      </c>
      <c r="R336" s="255">
        <f>R337+R338</f>
        <v>0</v>
      </c>
      <c r="S336" s="255">
        <f>S337+S338</f>
        <v>0</v>
      </c>
      <c r="T336" s="255">
        <f>IF(Q336&gt;0,S336*100/Q336,0)</f>
        <v>0</v>
      </c>
      <c r="U336" s="255">
        <f>IF(R336&gt;0,S336*100/R336,0)</f>
        <v>0</v>
      </c>
    </row>
    <row r="337" spans="1:21" ht="18.75" hidden="1">
      <c r="A337" s="155"/>
      <c r="B337" s="50"/>
      <c r="C337" s="50"/>
      <c r="D337" s="50"/>
      <c r="E337" s="186" t="s">
        <v>36</v>
      </c>
      <c r="F337" s="50"/>
      <c r="G337" s="52"/>
      <c r="H337" s="189" t="s">
        <v>14</v>
      </c>
      <c r="I337" s="163"/>
      <c r="J337" s="163"/>
      <c r="K337" s="164"/>
      <c r="L337" s="103">
        <v>0</v>
      </c>
      <c r="M337" s="102">
        <v>0</v>
      </c>
      <c r="N337" s="102">
        <v>0</v>
      </c>
      <c r="O337" s="102">
        <f>IF(L337&gt;0,N337*100/L337,0)</f>
        <v>0</v>
      </c>
      <c r="P337" s="102">
        <f>IF(M337&gt;0,N337*100/M337,0)</f>
        <v>0</v>
      </c>
      <c r="Q337" s="102">
        <v>0</v>
      </c>
      <c r="R337" s="102">
        <v>0</v>
      </c>
      <c r="S337" s="102">
        <v>0</v>
      </c>
      <c r="T337" s="102">
        <f>IF(Q337&gt;0,S337*100/Q337,0)</f>
        <v>0</v>
      </c>
      <c r="U337" s="102">
        <f>IF(R337&gt;0,S337*100/R337,0)</f>
        <v>0</v>
      </c>
    </row>
    <row r="338" spans="1:21" ht="18.75" hidden="1">
      <c r="A338" s="155"/>
      <c r="B338" s="50"/>
      <c r="C338" s="50"/>
      <c r="D338" s="50"/>
      <c r="E338" s="58" t="s">
        <v>37</v>
      </c>
      <c r="F338" s="50"/>
      <c r="G338" s="52"/>
      <c r="H338" s="162" t="s">
        <v>14</v>
      </c>
      <c r="I338" s="163"/>
      <c r="J338" s="163"/>
      <c r="K338" s="164"/>
      <c r="L338" s="256">
        <f ca="1">IFERROR(__xludf.DUMMYFUNCTION("IMPORTRANGE(""https://docs.google.com/spreadsheets/d/1-uDff_7J0KD5mKrp0Vvzr7lt3OU09vwQwhkpOPPYv2Y/edit?usp=sharing"",""งบพรบ!ES32"")"),110000)</f>
        <v>110000</v>
      </c>
      <c r="M338" s="255">
        <f ca="1">IFERROR(__xludf.DUMMYFUNCTION("IMPORTRANGE(""https://docs.google.com/spreadsheets/d/1-uDff_7J0KD5mKrp0Vvzr7lt3OU09vwQwhkpOPPYv2Y/edit?usp=sharing"",""งบพรบ!EX32"")"),115000)</f>
        <v>115000</v>
      </c>
      <c r="N338" s="255">
        <f ca="1">IFERROR(__xludf.DUMMYFUNCTION("IMPORTRANGE(""https://docs.google.com/spreadsheets/d/1-uDff_7J0KD5mKrp0Vvzr7lt3OU09vwQwhkpOPPYv2Y/edit?usp=sharing"",""งบพรบ!EZ32"")"),76550)</f>
        <v>76550</v>
      </c>
      <c r="O338" s="255">
        <f ca="1">IF(L338&gt;0,N338*100/L338,0)</f>
        <v>69.590909090909093</v>
      </c>
      <c r="P338" s="255">
        <f ca="1">IF(M338&gt;0,N338*100/M338,0)</f>
        <v>66.565217391304344</v>
      </c>
      <c r="Q338" s="255">
        <v>0</v>
      </c>
      <c r="R338" s="255">
        <v>0</v>
      </c>
      <c r="S338" s="255">
        <v>0</v>
      </c>
      <c r="T338" s="255">
        <f>IF(Q338&gt;0,S338*100/Q338,0)</f>
        <v>0</v>
      </c>
      <c r="U338" s="255">
        <f>IF(R338&gt;0,S338*100/R338,0)</f>
        <v>0</v>
      </c>
    </row>
    <row r="339" spans="1:21" ht="18.75">
      <c r="A339" s="155"/>
      <c r="B339" s="50"/>
      <c r="C339" s="50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256">
        <f ca="1">L340+L341</f>
        <v>0</v>
      </c>
      <c r="M339" s="255">
        <f ca="1">M340+M341</f>
        <v>0</v>
      </c>
      <c r="N339" s="255">
        <f ca="1">N340+N341</f>
        <v>0</v>
      </c>
      <c r="O339" s="255">
        <f ca="1">IF(L339&gt;0,N339*100/L339,0)</f>
        <v>0</v>
      </c>
      <c r="P339" s="255">
        <f ca="1">IF(M339&gt;0,N339*100/M339,0)</f>
        <v>0</v>
      </c>
      <c r="Q339" s="255">
        <f>Q340+Q341</f>
        <v>0</v>
      </c>
      <c r="R339" s="255">
        <f>R340+R341</f>
        <v>0</v>
      </c>
      <c r="S339" s="255">
        <f>S340+S341</f>
        <v>0</v>
      </c>
      <c r="T339" s="255">
        <f>IF(Q339&gt;0,S339*100/Q339,0)</f>
        <v>0</v>
      </c>
      <c r="U339" s="255">
        <f>IF(R339&gt;0,S339*100/R339,0)</f>
        <v>0</v>
      </c>
    </row>
    <row r="340" spans="1:21" ht="18.75" hidden="1">
      <c r="A340" s="155"/>
      <c r="B340" s="50"/>
      <c r="C340" s="50"/>
      <c r="D340" s="50"/>
      <c r="E340" s="186" t="s">
        <v>20</v>
      </c>
      <c r="F340" s="50"/>
      <c r="G340" s="52"/>
      <c r="H340" s="189" t="s">
        <v>14</v>
      </c>
      <c r="I340" s="163"/>
      <c r="J340" s="163"/>
      <c r="K340" s="164"/>
      <c r="L340" s="103">
        <v>0</v>
      </c>
      <c r="M340" s="102">
        <v>0</v>
      </c>
      <c r="N340" s="102">
        <v>0</v>
      </c>
      <c r="O340" s="102">
        <f>IF(L340&gt;0,N340*100/L340,0)</f>
        <v>0</v>
      </c>
      <c r="P340" s="102">
        <f>IF(M340&gt;0,N340*100/M340,0)</f>
        <v>0</v>
      </c>
      <c r="Q340" s="102">
        <v>0</v>
      </c>
      <c r="R340" s="102">
        <v>0</v>
      </c>
      <c r="S340" s="102">
        <v>0</v>
      </c>
      <c r="T340" s="102">
        <f>IF(Q340&gt;0,S340*100/Q340,0)</f>
        <v>0</v>
      </c>
      <c r="U340" s="102">
        <f>IF(R340&gt;0,S340*100/R340,0)</f>
        <v>0</v>
      </c>
    </row>
    <row r="341" spans="1:21" ht="18.75" hidden="1">
      <c r="A341" s="155"/>
      <c r="B341" s="50"/>
      <c r="C341" s="50"/>
      <c r="D341" s="50"/>
      <c r="E341" s="58" t="s">
        <v>21</v>
      </c>
      <c r="F341" s="50"/>
      <c r="G341" s="52"/>
      <c r="H341" s="165" t="s">
        <v>14</v>
      </c>
      <c r="I341" s="163"/>
      <c r="J341" s="163"/>
      <c r="K341" s="164"/>
      <c r="L341" s="256">
        <f ca="1">IFERROR(__xludf.DUMMYFUNCTION("IMPORTRANGE(""https://docs.google.com/spreadsheets/d/1-uDff_7J0KD5mKrp0Vvzr7lt3OU09vwQwhkpOPPYv2Y/edit?usp=sharing"",""งบพรบ!EV32"")"),0)</f>
        <v>0</v>
      </c>
      <c r="M341" s="255">
        <f ca="1">IFERROR(__xludf.DUMMYFUNCTION("IMPORTRANGE(""https://docs.google.com/spreadsheets/d/1-uDff_7J0KD5mKrp0Vvzr7lt3OU09vwQwhkpOPPYv2Y/edit?usp=sharing"",""งบพรบ!EY32"")"),0)</f>
        <v>0</v>
      </c>
      <c r="N341" s="255">
        <f ca="1">IFERROR(__xludf.DUMMYFUNCTION("IMPORTRANGE(""https://docs.google.com/spreadsheets/d/1-uDff_7J0KD5mKrp0Vvzr7lt3OU09vwQwhkpOPPYv2Y/edit?usp=sharing"",""งบพรบ!FA32"")"),0)</f>
        <v>0</v>
      </c>
      <c r="O341" s="255">
        <f ca="1">IF(L341&gt;0,N341*100/L341,0)</f>
        <v>0</v>
      </c>
      <c r="P341" s="255">
        <f ca="1">IF(M341&gt;0,N341*100/M341,0)</f>
        <v>0</v>
      </c>
      <c r="Q341" s="255">
        <v>0</v>
      </c>
      <c r="R341" s="255">
        <v>0</v>
      </c>
      <c r="S341" s="255">
        <v>0</v>
      </c>
      <c r="T341" s="255">
        <f>IF(Q341&gt;0,S341*100/Q341,0)</f>
        <v>0</v>
      </c>
      <c r="U341" s="255">
        <f>IF(R341&gt;0,S341*100/R341,0)</f>
        <v>0</v>
      </c>
    </row>
    <row r="342" spans="1:21" ht="19.5">
      <c r="A342" s="166"/>
      <c r="B342" s="167"/>
      <c r="C342" s="156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62"/>
      <c r="M342" s="55"/>
      <c r="N342" s="55"/>
      <c r="O342" s="164"/>
      <c r="P342" s="164"/>
      <c r="Q342" s="55"/>
      <c r="R342" s="55"/>
      <c r="S342" s="55"/>
      <c r="T342" s="164"/>
      <c r="U342" s="164"/>
    </row>
    <row r="343" spans="1:21" ht="19.5">
      <c r="A343" s="629"/>
      <c r="B343" s="626"/>
      <c r="C343" s="628"/>
      <c r="D343" s="626"/>
      <c r="E343" s="627" t="s">
        <v>137</v>
      </c>
      <c r="F343" s="626"/>
      <c r="G343" s="625"/>
      <c r="H343" s="624" t="s">
        <v>35</v>
      </c>
      <c r="I343" s="623">
        <v>0</v>
      </c>
      <c r="J343" s="623">
        <f ca="1">J344+J347+J348+J349</f>
        <v>722</v>
      </c>
      <c r="K343" s="622">
        <v>0</v>
      </c>
      <c r="L343" s="250"/>
      <c r="M343" s="249"/>
      <c r="N343" s="249"/>
      <c r="O343" s="249"/>
      <c r="P343" s="249"/>
      <c r="Q343" s="249"/>
      <c r="R343" s="249"/>
      <c r="S343" s="249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40" t="s">
        <v>35</v>
      </c>
      <c r="I344" s="212">
        <f ca="1">IFERROR(__xludf.DUMMYFUNCTION("IMPORTRANGE(""https://docs.google.com/spreadsheets/d/1eHaY18a8A9IcSdp1K8H6x8fbOy06t2VsZHhMHf-1x7Y/edit?usp=sharing"",""แผน!EK32"")"),1200)</f>
        <v>1200</v>
      </c>
      <c r="J344" s="212">
        <f ca="1">IFERROR(__xludf.DUMMYFUNCTION("IMPORTRANGE(""https://docs.google.com/spreadsheets/d/1awYsYK3VOup2i3Pq_Yjnu8DRu_mYwSBnCR2QPthd0rU/edit?usp=sharing"",""ศูนย์ยกเว้นโฉนด!D32"")"),722)</f>
        <v>722</v>
      </c>
      <c r="K344" s="255">
        <f ca="1">IF(I344&gt;0,J344*100/I344,0)</f>
        <v>60.166666666666664</v>
      </c>
      <c r="L344" s="62"/>
      <c r="M344" s="55"/>
      <c r="N344" s="55"/>
      <c r="O344" s="55"/>
      <c r="P344" s="55"/>
      <c r="Q344" s="55"/>
      <c r="R344" s="55"/>
      <c r="S344" s="55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62"/>
      <c r="M345" s="55"/>
      <c r="N345" s="55"/>
      <c r="O345" s="55"/>
      <c r="P345" s="55"/>
      <c r="Q345" s="55"/>
      <c r="R345" s="55"/>
      <c r="S345" s="55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212">
        <f ca="1">IFERROR(__xludf.DUMMYFUNCTION("IMPORTRANGE(""https://docs.google.com/spreadsheets/d/1eHaY18a8A9IcSdp1K8H6x8fbOy06t2VsZHhMHf-1x7Y/edit?usp=sharing"",""แผน!EL32"")"),5)</f>
        <v>5</v>
      </c>
      <c r="J346" s="212">
        <f ca="1">IFERROR(__xludf.DUMMYFUNCTION("IMPORTRANGE(""https://docs.google.com/spreadsheets/d/1awYsYK3VOup2i3Pq_Yjnu8DRu_mYwSBnCR2QPthd0rU/edit?usp=sharing"",""ศูนย์รวม!E32"")"),4)</f>
        <v>4</v>
      </c>
      <c r="K346" s="255">
        <f ca="1">IF(I346&gt;0,J346*100/I346,0)</f>
        <v>80</v>
      </c>
      <c r="L346" s="62"/>
      <c r="M346" s="55"/>
      <c r="N346" s="55"/>
      <c r="O346" s="55"/>
      <c r="P346" s="55"/>
      <c r="Q346" s="55"/>
      <c r="R346" s="55"/>
      <c r="S346" s="55"/>
      <c r="T346" s="55"/>
      <c r="U346" s="55"/>
    </row>
    <row r="347" spans="1:21" ht="18.75">
      <c r="A347" s="238"/>
      <c r="B347" s="50"/>
      <c r="C347" s="188"/>
      <c r="D347" s="174"/>
      <c r="E347" s="174"/>
      <c r="F347" s="178" t="s">
        <v>142</v>
      </c>
      <c r="G347" s="52"/>
      <c r="H347" s="203" t="s">
        <v>35</v>
      </c>
      <c r="I347" s="54"/>
      <c r="J347" s="212">
        <f ca="1">IFERROR(__xludf.DUMMYFUNCTION("IMPORTRANGE(""https://docs.google.com/spreadsheets/d/1awYsYK3VOup2i3Pq_Yjnu8DRu_mYwSBnCR2QPthd0rU/edit?usp=sharing"",""ศูนย์ยกเว้นโฉนด!F32"")"),0)</f>
        <v>0</v>
      </c>
      <c r="K347" s="55"/>
      <c r="L347" s="62"/>
      <c r="M347" s="55"/>
      <c r="N347" s="55"/>
      <c r="O347" s="55"/>
      <c r="P347" s="55"/>
      <c r="Q347" s="55"/>
      <c r="R347" s="55"/>
      <c r="S347" s="55"/>
      <c r="T347" s="55"/>
      <c r="U347" s="55"/>
    </row>
    <row r="348" spans="1:21" ht="18.75">
      <c r="A348" s="238"/>
      <c r="B348" s="50"/>
      <c r="C348" s="188"/>
      <c r="D348" s="174"/>
      <c r="E348" s="178" t="s">
        <v>143</v>
      </c>
      <c r="F348" s="174"/>
      <c r="G348" s="52"/>
      <c r="H348" s="203" t="s">
        <v>35</v>
      </c>
      <c r="I348" s="54"/>
      <c r="J348" s="212">
        <f ca="1">IFERROR(__xludf.DUMMYFUNCTION("IMPORTRANGE(""https://docs.google.com/spreadsheets/d/1awYsYK3VOup2i3Pq_Yjnu8DRu_mYwSBnCR2QPthd0rU/edit?usp=sharing"",""ศูนย์ยกเว้นโฉนด!G32"")"),0)</f>
        <v>0</v>
      </c>
      <c r="K348" s="55"/>
      <c r="L348" s="62"/>
      <c r="M348" s="55"/>
      <c r="N348" s="55"/>
      <c r="O348" s="55"/>
      <c r="P348" s="55"/>
      <c r="Q348" s="55"/>
      <c r="R348" s="55"/>
      <c r="S348" s="55"/>
      <c r="T348" s="55"/>
      <c r="U348" s="55"/>
    </row>
    <row r="349" spans="1:21" ht="18.75">
      <c r="A349" s="238"/>
      <c r="B349" s="50"/>
      <c r="C349" s="188"/>
      <c r="D349" s="167"/>
      <c r="E349" s="178" t="s">
        <v>144</v>
      </c>
      <c r="F349" s="174"/>
      <c r="G349" s="52"/>
      <c r="H349" s="203" t="s">
        <v>35</v>
      </c>
      <c r="I349" s="54"/>
      <c r="J349" s="212">
        <f ca="1">IFERROR(__xludf.DUMMYFUNCTION("IMPORTRANGE(""https://docs.google.com/spreadsheets/d/1awYsYK3VOup2i3Pq_Yjnu8DRu_mYwSBnCR2QPthd0rU/edit?usp=sharing"",""ศูนย์ยกเว้นโฉนด!H32"")"),0)</f>
        <v>0</v>
      </c>
      <c r="K349" s="55"/>
      <c r="L349" s="62"/>
      <c r="M349" s="55"/>
      <c r="N349" s="55"/>
      <c r="O349" s="55"/>
      <c r="P349" s="55"/>
      <c r="Q349" s="55"/>
      <c r="R349" s="55"/>
      <c r="S349" s="55"/>
      <c r="T349" s="55"/>
      <c r="U349" s="55"/>
    </row>
    <row r="350" spans="1:21" ht="16.5">
      <c r="A350" s="18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0" s="50"/>
      <c r="F350" s="50"/>
      <c r="G350" s="52"/>
      <c r="H350" s="208"/>
      <c r="I350" s="54"/>
      <c r="J350" s="54"/>
      <c r="K350" s="55"/>
      <c r="L350" s="62"/>
      <c r="M350" s="55"/>
      <c r="N350" s="55"/>
      <c r="O350" s="55"/>
      <c r="P350" s="55"/>
      <c r="Q350" s="55"/>
      <c r="R350" s="55"/>
      <c r="S350" s="55"/>
      <c r="T350" s="55"/>
      <c r="U350" s="55"/>
    </row>
    <row r="351" spans="1:21" ht="19.5">
      <c r="A351" s="241"/>
      <c r="B351" s="244"/>
      <c r="C351" s="242"/>
      <c r="D351" s="244"/>
      <c r="E351" s="621" t="s">
        <v>145</v>
      </c>
      <c r="F351" s="244"/>
      <c r="G351" s="245"/>
      <c r="H351" s="246" t="s">
        <v>35</v>
      </c>
      <c r="I351" s="339">
        <v>0</v>
      </c>
      <c r="J351" s="339">
        <f ca="1">J352+J353+J354</f>
        <v>2170</v>
      </c>
      <c r="K351" s="340">
        <v>0</v>
      </c>
      <c r="L351" s="250"/>
      <c r="M351" s="249"/>
      <c r="N351" s="249"/>
      <c r="O351" s="249"/>
      <c r="P351" s="249"/>
      <c r="Q351" s="249"/>
      <c r="R351" s="249"/>
      <c r="S351" s="249"/>
      <c r="T351" s="249"/>
      <c r="U351" s="249"/>
    </row>
    <row r="352" spans="1:21" ht="18.75">
      <c r="A352" s="188"/>
      <c r="B352" s="50"/>
      <c r="C352" s="188"/>
      <c r="D352" s="174"/>
      <c r="E352" s="178" t="s">
        <v>146</v>
      </c>
      <c r="F352" s="50"/>
      <c r="G352" s="52"/>
      <c r="H352" s="161" t="s">
        <v>35</v>
      </c>
      <c r="I352" s="54"/>
      <c r="J352" s="212">
        <f ca="1">IFERROR(__xludf.DUMMYFUNCTION("IMPORTRANGE(""https://docs.google.com/spreadsheets/d/1awYsYK3VOup2i3Pq_Yjnu8DRu_mYwSBnCR2QPthd0rU/edit?usp=sharing"",""โฉนดM3!G32"")"),1588)</f>
        <v>1588</v>
      </c>
      <c r="K352" s="55"/>
      <c r="L352" s="62"/>
      <c r="M352" s="55"/>
      <c r="N352" s="55"/>
      <c r="O352" s="55"/>
      <c r="P352" s="55"/>
      <c r="Q352" s="55"/>
      <c r="R352" s="55"/>
      <c r="S352" s="55"/>
      <c r="T352" s="55"/>
      <c r="U352" s="55"/>
    </row>
    <row r="353" spans="1:21" ht="18.75">
      <c r="A353" s="18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212">
        <f ca="1">IFERROR(__xludf.DUMMYFUNCTION("IMPORTRANGE(""https://docs.google.com/spreadsheets/d/1awYsYK3VOup2i3Pq_Yjnu8DRu_mYwSBnCR2QPthd0rU/edit?usp=sharing"",""โฉนดM3!H32"")"),582)</f>
        <v>582</v>
      </c>
      <c r="K353" s="55"/>
      <c r="L353" s="62"/>
      <c r="M353" s="55"/>
      <c r="N353" s="55"/>
      <c r="O353" s="55"/>
      <c r="P353" s="55"/>
      <c r="Q353" s="55"/>
      <c r="R353" s="55"/>
      <c r="S353" s="55"/>
      <c r="T353" s="55"/>
      <c r="U353" s="55"/>
    </row>
    <row r="354" spans="1:21" ht="18.75">
      <c r="A354" s="343"/>
      <c r="B354" s="344"/>
      <c r="C354" s="343"/>
      <c r="D354" s="343"/>
      <c r="E354" s="345" t="s">
        <v>148</v>
      </c>
      <c r="F354" s="344"/>
      <c r="G354" s="346"/>
      <c r="H354" s="347" t="s">
        <v>35</v>
      </c>
      <c r="I354" s="348"/>
      <c r="J354" s="349">
        <f ca="1">IFERROR(__xludf.DUMMYFUNCTION("IMPORTRANGE(""https://docs.google.com/spreadsheets/d/1awYsYK3VOup2i3Pq_Yjnu8DRu_mYwSBnCR2QPthd0rU/edit?usp=sharing"",""โฉนดM3!I32"")"),0)</f>
        <v>0</v>
      </c>
      <c r="K354" s="350"/>
      <c r="L354" s="350"/>
      <c r="M354" s="350"/>
      <c r="N354" s="350"/>
      <c r="O354" s="350"/>
      <c r="P354" s="350"/>
      <c r="Q354" s="350"/>
      <c r="R354" s="350"/>
      <c r="S354" s="350"/>
      <c r="T354" s="350"/>
      <c r="U354" s="350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29"/>
      <c r="I355" s="351"/>
      <c r="J355" s="351"/>
      <c r="K355" s="333"/>
      <c r="L355" s="334"/>
      <c r="M355" s="333"/>
      <c r="N355" s="333"/>
      <c r="O355" s="333"/>
      <c r="P355" s="333"/>
      <c r="Q355" s="333"/>
      <c r="R355" s="333"/>
      <c r="S355" s="333"/>
      <c r="T355" s="333"/>
      <c r="U355" s="333"/>
    </row>
    <row r="356" spans="1:21" ht="19.5">
      <c r="A356" s="155"/>
      <c r="B356" s="50"/>
      <c r="C356" s="156" t="s">
        <v>18</v>
      </c>
      <c r="D356" s="575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541">
        <f ca="1">L357+L358</f>
        <v>632185</v>
      </c>
      <c r="M356" s="540">
        <f ca="1">M357+M358</f>
        <v>632185</v>
      </c>
      <c r="N356" s="540">
        <f ca="1">N357+N358</f>
        <v>410145.8</v>
      </c>
      <c r="O356" s="540">
        <f ca="1">IF(L356&gt;0,N356*100/L356,0)</f>
        <v>64.877496302506387</v>
      </c>
      <c r="P356" s="540">
        <f ca="1">IF(M356&gt;0,N356*100/M356,0)</f>
        <v>64.877496302506387</v>
      </c>
      <c r="Q356" s="540">
        <f>Q357+Q358</f>
        <v>0</v>
      </c>
      <c r="R356" s="540">
        <f>R357+R358</f>
        <v>0</v>
      </c>
      <c r="S356" s="540">
        <f>S357+S358</f>
        <v>0</v>
      </c>
      <c r="T356" s="540">
        <f>IF(Q356&gt;0,S356*100/Q356,0)</f>
        <v>0</v>
      </c>
      <c r="U356" s="540">
        <f>IF(R356&gt;0,S356*100/R356,0)</f>
        <v>0</v>
      </c>
    </row>
    <row r="357" spans="1:21" ht="18.75" hidden="1">
      <c r="A357" s="155"/>
      <c r="B357" s="50"/>
      <c r="C357" s="50"/>
      <c r="D357" s="50"/>
      <c r="E357" s="186" t="s">
        <v>20</v>
      </c>
      <c r="F357" s="50"/>
      <c r="G357" s="52"/>
      <c r="H357" s="187" t="s">
        <v>14</v>
      </c>
      <c r="I357" s="54"/>
      <c r="J357" s="54"/>
      <c r="K357" s="55"/>
      <c r="L357" s="103">
        <f>L360+L363</f>
        <v>0</v>
      </c>
      <c r="M357" s="102">
        <f>M360+M363</f>
        <v>0</v>
      </c>
      <c r="N357" s="102">
        <f>N360+N363</f>
        <v>0</v>
      </c>
      <c r="O357" s="102">
        <f>IF(L357&gt;0,N357*100/L357,0)</f>
        <v>0</v>
      </c>
      <c r="P357" s="102">
        <f>IF(M357&gt;0,N357*100/M357,0)</f>
        <v>0</v>
      </c>
      <c r="Q357" s="102">
        <f>Q360+Q363</f>
        <v>0</v>
      </c>
      <c r="R357" s="102">
        <f>R360+R363</f>
        <v>0</v>
      </c>
      <c r="S357" s="102">
        <f>S360+S363</f>
        <v>0</v>
      </c>
      <c r="T357" s="102">
        <f>IF(Q357&gt;0,S357*100/Q357,0)</f>
        <v>0</v>
      </c>
      <c r="U357" s="102">
        <f>IF(R357&gt;0,S357*100/R357,0)</f>
        <v>0</v>
      </c>
    </row>
    <row r="358" spans="1:21" ht="18.75" hidden="1">
      <c r="A358" s="155"/>
      <c r="B358" s="50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256">
        <f ca="1">L361+L364</f>
        <v>632185</v>
      </c>
      <c r="M358" s="255">
        <f ca="1">M361+M364</f>
        <v>632185</v>
      </c>
      <c r="N358" s="255">
        <f ca="1">N361+N364</f>
        <v>410145.8</v>
      </c>
      <c r="O358" s="255">
        <f ca="1">IF(L358&gt;0,N358*100/L358,0)</f>
        <v>64.877496302506387</v>
      </c>
      <c r="P358" s="255">
        <f ca="1">IF(M358&gt;0,N358*100/M358,0)</f>
        <v>64.877496302506387</v>
      </c>
      <c r="Q358" s="255">
        <f>Q361+Q364</f>
        <v>0</v>
      </c>
      <c r="R358" s="255">
        <f>R361+R364</f>
        <v>0</v>
      </c>
      <c r="S358" s="255">
        <f>S361+S364</f>
        <v>0</v>
      </c>
      <c r="T358" s="255">
        <f>IF(Q358&gt;0,S358*100/Q358,0)</f>
        <v>0</v>
      </c>
      <c r="U358" s="255">
        <f>IF(R358&gt;0,S358*100/R358,0)</f>
        <v>0</v>
      </c>
    </row>
    <row r="359" spans="1:21" ht="18.75">
      <c r="A359" s="155"/>
      <c r="B359" s="50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256">
        <f ca="1">L360+L361</f>
        <v>632185</v>
      </c>
      <c r="M359" s="255">
        <f ca="1">M360+M361</f>
        <v>632185</v>
      </c>
      <c r="N359" s="255">
        <f ca="1">N360+N361</f>
        <v>410145.8</v>
      </c>
      <c r="O359" s="255">
        <f ca="1">IF(L359&gt;0,N359*100/L359,0)</f>
        <v>64.877496302506387</v>
      </c>
      <c r="P359" s="255">
        <f ca="1">IF(M359&gt;0,N359*100/M359,0)</f>
        <v>64.877496302506387</v>
      </c>
      <c r="Q359" s="255">
        <f>Q360+Q361</f>
        <v>0</v>
      </c>
      <c r="R359" s="255">
        <f>R360+R361</f>
        <v>0</v>
      </c>
      <c r="S359" s="255">
        <f>S360+S361</f>
        <v>0</v>
      </c>
      <c r="T359" s="255">
        <f>IF(Q359&gt;0,S359*100/Q359,0)</f>
        <v>0</v>
      </c>
      <c r="U359" s="255">
        <f>IF(R359&gt;0,S359*100/R359,0)</f>
        <v>0</v>
      </c>
    </row>
    <row r="360" spans="1:21" ht="18.75" hidden="1">
      <c r="A360" s="155"/>
      <c r="B360" s="50"/>
      <c r="C360" s="50"/>
      <c r="D360" s="50"/>
      <c r="E360" s="186" t="s">
        <v>36</v>
      </c>
      <c r="F360" s="50"/>
      <c r="G360" s="52"/>
      <c r="H360" s="189" t="s">
        <v>14</v>
      </c>
      <c r="I360" s="163"/>
      <c r="J360" s="163"/>
      <c r="K360" s="164"/>
      <c r="L360" s="103">
        <v>0</v>
      </c>
      <c r="M360" s="102">
        <v>0</v>
      </c>
      <c r="N360" s="102">
        <v>0</v>
      </c>
      <c r="O360" s="102">
        <f>IF(L360&gt;0,N360*100/L360,0)</f>
        <v>0</v>
      </c>
      <c r="P360" s="102">
        <f>IF(M360&gt;0,N360*100/M360,0)</f>
        <v>0</v>
      </c>
      <c r="Q360" s="102">
        <v>0</v>
      </c>
      <c r="R360" s="102">
        <v>0</v>
      </c>
      <c r="S360" s="102">
        <v>0</v>
      </c>
      <c r="T360" s="102">
        <f>IF(Q360&gt;0,S360*100/Q360,0)</f>
        <v>0</v>
      </c>
      <c r="U360" s="102">
        <f>IF(R360&gt;0,S360*100/R360,0)</f>
        <v>0</v>
      </c>
    </row>
    <row r="361" spans="1:21" ht="18.75" hidden="1">
      <c r="A361" s="155"/>
      <c r="B361" s="50"/>
      <c r="C361" s="50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256">
        <f ca="1">IFERROR(__xludf.DUMMYFUNCTION("IMPORTRANGE(""https://docs.google.com/spreadsheets/d/1-uDff_7J0KD5mKrp0Vvzr7lt3OU09vwQwhkpOPPYv2Y/edit?usp=sharing"",""งบพรบ!FC32"")"),632185)</f>
        <v>632185</v>
      </c>
      <c r="M361" s="255">
        <f ca="1">IFERROR(__xludf.DUMMYFUNCTION("IMPORTRANGE(""https://docs.google.com/spreadsheets/d/1-uDff_7J0KD5mKrp0Vvzr7lt3OU09vwQwhkpOPPYv2Y/edit?usp=sharing"",""งบพรบ!FH32"")"),632185)</f>
        <v>632185</v>
      </c>
      <c r="N361" s="255">
        <f ca="1">IFERROR(__xludf.DUMMYFUNCTION("IMPORTRANGE(""https://docs.google.com/spreadsheets/d/1-uDff_7J0KD5mKrp0Vvzr7lt3OU09vwQwhkpOPPYv2Y/edit?usp=sharing"",""งบพรบ!FJ32"")"),410145.8)</f>
        <v>410145.8</v>
      </c>
      <c r="O361" s="255">
        <f ca="1">IF(L361&gt;0,N361*100/L361,0)</f>
        <v>64.877496302506387</v>
      </c>
      <c r="P361" s="255">
        <f ca="1">IF(M361&gt;0,N361*100/M361,0)</f>
        <v>64.877496302506387</v>
      </c>
      <c r="Q361" s="255">
        <v>0</v>
      </c>
      <c r="R361" s="255">
        <v>0</v>
      </c>
      <c r="S361" s="255">
        <v>0</v>
      </c>
      <c r="T361" s="255">
        <f>IF(Q361&gt;0,S361*100/Q361,0)</f>
        <v>0</v>
      </c>
      <c r="U361" s="255">
        <f>IF(R361&gt;0,S361*100/R361,0)</f>
        <v>0</v>
      </c>
    </row>
    <row r="362" spans="1:21" ht="18.75">
      <c r="A362" s="155"/>
      <c r="B362" s="50"/>
      <c r="C362" s="50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256">
        <f ca="1">L363+L364</f>
        <v>0</v>
      </c>
      <c r="M362" s="255">
        <f ca="1">M363+M364</f>
        <v>0</v>
      </c>
      <c r="N362" s="255">
        <f ca="1">N363+N364</f>
        <v>0</v>
      </c>
      <c r="O362" s="255">
        <f ca="1">IF(L362&gt;0,N362*100/L362,0)</f>
        <v>0</v>
      </c>
      <c r="P362" s="255">
        <f ca="1">IF(M362&gt;0,N362*100/M362,0)</f>
        <v>0</v>
      </c>
      <c r="Q362" s="255">
        <f>Q363+Q364</f>
        <v>0</v>
      </c>
      <c r="R362" s="255">
        <f>R363+R364</f>
        <v>0</v>
      </c>
      <c r="S362" s="255">
        <f>S363+S364</f>
        <v>0</v>
      </c>
      <c r="T362" s="255">
        <f>IF(Q362&gt;0,S362*100/Q362,0)</f>
        <v>0</v>
      </c>
      <c r="U362" s="255">
        <f>IF(R362&gt;0,S362*100/R362,0)</f>
        <v>0</v>
      </c>
    </row>
    <row r="363" spans="1:21" ht="18.75" hidden="1">
      <c r="A363" s="155"/>
      <c r="B363" s="50"/>
      <c r="C363" s="50"/>
      <c r="D363" s="50"/>
      <c r="E363" s="186" t="s">
        <v>20</v>
      </c>
      <c r="F363" s="50"/>
      <c r="G363" s="52"/>
      <c r="H363" s="189" t="s">
        <v>14</v>
      </c>
      <c r="I363" s="163"/>
      <c r="J363" s="163"/>
      <c r="K363" s="164"/>
      <c r="L363" s="103">
        <v>0</v>
      </c>
      <c r="M363" s="102">
        <v>0</v>
      </c>
      <c r="N363" s="102">
        <v>0</v>
      </c>
      <c r="O363" s="102">
        <f>IF(L363&gt;0,N363*100/L363,0)</f>
        <v>0</v>
      </c>
      <c r="P363" s="102">
        <f>IF(M363&gt;0,N363*100/M363,0)</f>
        <v>0</v>
      </c>
      <c r="Q363" s="102">
        <v>0</v>
      </c>
      <c r="R363" s="102">
        <v>0</v>
      </c>
      <c r="S363" s="102">
        <v>0</v>
      </c>
      <c r="T363" s="102">
        <f>IF(Q363&gt;0,S363*100/Q363,0)</f>
        <v>0</v>
      </c>
      <c r="U363" s="102">
        <f>IF(R363&gt;0,S363*100/R363,0)</f>
        <v>0</v>
      </c>
    </row>
    <row r="364" spans="1:21" ht="18.75" hidden="1">
      <c r="A364" s="155"/>
      <c r="B364" s="50"/>
      <c r="C364" s="50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256">
        <f ca="1">IFERROR(__xludf.DUMMYFUNCTION("IMPORTRANGE(""https://docs.google.com/spreadsheets/d/1-uDff_7J0KD5mKrp0Vvzr7lt3OU09vwQwhkpOPPYv2Y/edit?usp=sharing"",""งบพรบ!FF32"")"),0)</f>
        <v>0</v>
      </c>
      <c r="M364" s="255">
        <f ca="1">IFERROR(__xludf.DUMMYFUNCTION("IMPORTRANGE(""https://docs.google.com/spreadsheets/d/1-uDff_7J0KD5mKrp0Vvzr7lt3OU09vwQwhkpOPPYv2Y/edit?usp=sharing"",""งบพรบ!FI32"")"),0)</f>
        <v>0</v>
      </c>
      <c r="N364" s="255">
        <f ca="1">IFERROR(__xludf.DUMMYFUNCTION("IMPORTRANGE(""https://docs.google.com/spreadsheets/d/1-uDff_7J0KD5mKrp0Vvzr7lt3OU09vwQwhkpOPPYv2Y/edit?usp=sharing"",""งบพรบ!FK32"")"),0)</f>
        <v>0</v>
      </c>
      <c r="O364" s="255">
        <f ca="1">IF(L364&gt;0,N364*100/L364,0)</f>
        <v>0</v>
      </c>
      <c r="P364" s="255">
        <f ca="1">IF(M364&gt;0,N364*100/M364,0)</f>
        <v>0</v>
      </c>
      <c r="Q364" s="255">
        <v>0</v>
      </c>
      <c r="R364" s="255">
        <v>0</v>
      </c>
      <c r="S364" s="255">
        <v>0</v>
      </c>
      <c r="T364" s="255">
        <f>IF(Q364&gt;0,S364*100/Q364,0)</f>
        <v>0</v>
      </c>
      <c r="U364" s="255">
        <f>IF(R364&gt;0,S364*100/R364,0)</f>
        <v>0</v>
      </c>
    </row>
    <row r="365" spans="1:21" ht="19.5">
      <c r="A365" s="241"/>
      <c r="B365" s="242"/>
      <c r="C365" s="244"/>
      <c r="D365" s="621" t="s">
        <v>150</v>
      </c>
      <c r="E365" s="244"/>
      <c r="F365" s="244"/>
      <c r="G365" s="245"/>
      <c r="H365" s="254" t="s">
        <v>35</v>
      </c>
      <c r="I365" s="339">
        <f ca="1">I371</f>
        <v>457</v>
      </c>
      <c r="J365" s="339">
        <f ca="1">J371</f>
        <v>156</v>
      </c>
      <c r="K365" s="340">
        <f ca="1">IF(I365&gt;0,J365*100/I365,0)</f>
        <v>34.135667396061272</v>
      </c>
      <c r="L365" s="250"/>
      <c r="M365" s="249"/>
      <c r="N365" s="249"/>
      <c r="O365" s="249"/>
      <c r="P365" s="249"/>
      <c r="Q365" s="249"/>
      <c r="R365" s="249"/>
      <c r="S365" s="249"/>
      <c r="T365" s="249"/>
      <c r="U365" s="249"/>
    </row>
    <row r="366" spans="1:21" ht="19.5">
      <c r="A366" s="166"/>
      <c r="B366" s="167"/>
      <c r="C366" s="156" t="s">
        <v>18</v>
      </c>
      <c r="D366" s="566" t="s">
        <v>38</v>
      </c>
      <c r="E366" s="169"/>
      <c r="F366" s="169"/>
      <c r="G366" s="170"/>
      <c r="H366" s="171"/>
      <c r="I366" s="54"/>
      <c r="J366" s="54"/>
      <c r="K366" s="55"/>
      <c r="L366" s="172"/>
      <c r="M366" s="164"/>
      <c r="N366" s="164"/>
      <c r="O366" s="164"/>
      <c r="P366" s="164"/>
      <c r="Q366" s="164"/>
      <c r="R366" s="164"/>
      <c r="S366" s="164"/>
      <c r="T366" s="164"/>
      <c r="U366" s="164"/>
    </row>
    <row r="367" spans="1:21" ht="18.75">
      <c r="A367" s="166"/>
      <c r="B367" s="174"/>
      <c r="C367" s="167"/>
      <c r="D367" s="174"/>
      <c r="E367" s="173" t="s">
        <v>151</v>
      </c>
      <c r="F367" s="174"/>
      <c r="G367" s="171"/>
      <c r="H367" s="183" t="s">
        <v>35</v>
      </c>
      <c r="I367" s="212">
        <v>0</v>
      </c>
      <c r="J367" s="212">
        <f ca="1">IFERROR(__xludf.DUMMYFUNCTION("IMPORTRANGE(""https://docs.google.com/spreadsheets/d/1tdoBKaGub7dwA3U6UFTqxio9LNnvDCQjHKmttSEBsFQ/edit?usp=sharing"",""จัดที่ดิน!AB32"")"),288)</f>
        <v>288</v>
      </c>
      <c r="K367" s="255">
        <f>IF(I367&gt;0,J367*100/I367,0)</f>
        <v>0</v>
      </c>
      <c r="L367" s="172"/>
      <c r="M367" s="164"/>
      <c r="N367" s="164"/>
      <c r="O367" s="164"/>
      <c r="P367" s="164"/>
      <c r="Q367" s="164"/>
      <c r="R367" s="164"/>
      <c r="S367" s="164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212">
        <f ca="1">IFERROR(__xludf.DUMMYFUNCTION("IMPORTRANGE(""https://docs.google.com/spreadsheets/d/1eHaY18a8A9IcSdp1K8H6x8fbOy06t2VsZHhMHf-1x7Y/edit?usp=sharing"",""แผน!EW32"")"),1035)</f>
        <v>1035</v>
      </c>
      <c r="J368" s="620">
        <f ca="1">IFERROR(__xludf.DUMMYFUNCTION("IMPORTRANGE(""https://docs.google.com/spreadsheets/d/1tdoBKaGub7dwA3U6UFTqxio9LNnvDCQjHKmttSEBsFQ/edit?usp=sharing"",""จัดที่ดิน!AC32"")"),2338.75999999999)</f>
        <v>2338.7599999999902</v>
      </c>
      <c r="K368" s="255">
        <f ca="1">IF(I368&gt;0,J368*100/I368,0)</f>
        <v>225.96714975845316</v>
      </c>
      <c r="L368" s="172"/>
      <c r="M368" s="164"/>
      <c r="N368" s="164"/>
      <c r="O368" s="164"/>
      <c r="P368" s="164"/>
      <c r="Q368" s="164"/>
      <c r="R368" s="164"/>
      <c r="S368" s="164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79" t="s">
        <v>35</v>
      </c>
      <c r="I369" s="212">
        <f ca="1">IFERROR(__xludf.DUMMYFUNCTION("IMPORTRANGE(""https://docs.google.com/spreadsheets/d/1eHaY18a8A9IcSdp1K8H6x8fbOy06t2VsZHhMHf-1x7Y/edit?usp=sharing"",""แผน!EX32"")"),457)</f>
        <v>457</v>
      </c>
      <c r="J369" s="212">
        <f ca="1">IFERROR(__xludf.DUMMYFUNCTION("IMPORTRANGE(""https://docs.google.com/spreadsheets/d/1tdoBKaGub7dwA3U6UFTqxio9LNnvDCQjHKmttSEBsFQ/edit?usp=sharing"",""จัดที่ดิน!AD32"")"),427)</f>
        <v>427</v>
      </c>
      <c r="K369" s="255">
        <f ca="1">IF(I369&gt;0,J369*100/I369,0)</f>
        <v>93.435448577680532</v>
      </c>
      <c r="L369" s="172"/>
      <c r="M369" s="164"/>
      <c r="N369" s="164"/>
      <c r="O369" s="164"/>
      <c r="P369" s="164"/>
      <c r="Q369" s="164"/>
      <c r="R369" s="164"/>
      <c r="S369" s="164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79" t="s">
        <v>46</v>
      </c>
      <c r="I370" s="212">
        <v>0</v>
      </c>
      <c r="J370" s="620">
        <f ca="1">IFERROR(__xludf.DUMMYFUNCTION("IMPORTRANGE(""https://docs.google.com/spreadsheets/d/1tdoBKaGub7dwA3U6UFTqxio9LNnvDCQjHKmttSEBsFQ/edit?usp=sharing"",""จัดที่ดิน!AE32"")"),3998.48)</f>
        <v>3998.48</v>
      </c>
      <c r="K370" s="255">
        <f>IF(I370&gt;0,J370*100/I370,0)</f>
        <v>0</v>
      </c>
      <c r="L370" s="172"/>
      <c r="M370" s="164"/>
      <c r="N370" s="164"/>
      <c r="O370" s="164"/>
      <c r="P370" s="164"/>
      <c r="Q370" s="164"/>
      <c r="R370" s="164"/>
      <c r="S370" s="164"/>
      <c r="T370" s="164"/>
      <c r="U370" s="164"/>
    </row>
    <row r="371" spans="1:21" ht="18.75">
      <c r="A371" s="166"/>
      <c r="B371" s="174"/>
      <c r="C371" s="167"/>
      <c r="D371" s="174"/>
      <c r="E371" s="352" t="s">
        <v>153</v>
      </c>
      <c r="F371" s="174"/>
      <c r="G371" s="171"/>
      <c r="H371" s="179" t="s">
        <v>35</v>
      </c>
      <c r="I371" s="212">
        <f ca="1">IFERROR(__xludf.DUMMYFUNCTION("IMPORTRANGE(""https://docs.google.com/spreadsheets/d/1eHaY18a8A9IcSdp1K8H6x8fbOy06t2VsZHhMHf-1x7Y/edit?usp=sharing"",""แผน!EY32"")"),457)</f>
        <v>457</v>
      </c>
      <c r="J371" s="212">
        <f ca="1">IFERROR(__xludf.DUMMYFUNCTION("IMPORTRANGE(""https://docs.google.com/spreadsheets/d/1tdoBKaGub7dwA3U6UFTqxio9LNnvDCQjHKmttSEBsFQ/edit?usp=sharing"",""จัดที่ดิน!AF32"")"),156)</f>
        <v>156</v>
      </c>
      <c r="K371" s="255">
        <f ca="1">IF(I371&gt;0,J371*100/I371,0)</f>
        <v>34.135667396061272</v>
      </c>
      <c r="L371" s="172"/>
      <c r="M371" s="164"/>
      <c r="N371" s="164"/>
      <c r="O371" s="164"/>
      <c r="P371" s="164"/>
      <c r="Q371" s="164"/>
      <c r="R371" s="164"/>
      <c r="S371" s="164"/>
      <c r="T371" s="164"/>
      <c r="U371" s="164"/>
    </row>
    <row r="372" spans="1:21" ht="18.75">
      <c r="A372" s="166"/>
      <c r="B372" s="174"/>
      <c r="C372" s="167"/>
      <c r="D372" s="174"/>
      <c r="E372" s="174"/>
      <c r="F372" s="174"/>
      <c r="G372" s="171"/>
      <c r="H372" s="179" t="s">
        <v>46</v>
      </c>
      <c r="I372" s="212">
        <v>0</v>
      </c>
      <c r="J372" s="620">
        <f ca="1">IFERROR(__xludf.DUMMYFUNCTION("IMPORTRANGE(""https://docs.google.com/spreadsheets/d/1tdoBKaGub7dwA3U6UFTqxio9LNnvDCQjHKmttSEBsFQ/edit?usp=sharing"",""จัดที่ดิน!AG32"")"),1871.93)</f>
        <v>1871.93</v>
      </c>
      <c r="K372" s="255">
        <f>IF(I372&gt;0,J372*100/I372,0)</f>
        <v>0</v>
      </c>
      <c r="L372" s="172"/>
      <c r="M372" s="164"/>
      <c r="N372" s="164"/>
      <c r="O372" s="164"/>
      <c r="P372" s="164"/>
      <c r="Q372" s="164"/>
      <c r="R372" s="164"/>
      <c r="S372" s="164"/>
      <c r="T372" s="164"/>
      <c r="U372" s="164"/>
    </row>
    <row r="373" spans="1:21" ht="16.5">
      <c r="A373" s="5"/>
      <c r="B373" s="4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พ.ค. 67 เวลา 07.29 น.]")</f>
        <v xml:space="preserve"> [ข้อมูลจาก ระบบ ALRO Land Online ข้อมูล ณ 1 พ.ค. 67 เวลา 07.29 น.]</v>
      </c>
      <c r="E373" s="4"/>
      <c r="F373" s="4"/>
      <c r="G373" s="65"/>
      <c r="H373" s="65"/>
      <c r="I373" s="67"/>
      <c r="J373" s="67"/>
      <c r="K373" s="6"/>
      <c r="L373" s="68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>
      <c r="A374" s="619"/>
      <c r="B374" s="618" t="s">
        <v>154</v>
      </c>
      <c r="C374" s="617"/>
      <c r="D374" s="616"/>
      <c r="E374" s="615"/>
      <c r="F374" s="615"/>
      <c r="G374" s="614"/>
      <c r="H374" s="613" t="s">
        <v>46</v>
      </c>
      <c r="I374" s="612">
        <f ca="1">I386+I388</f>
        <v>1000</v>
      </c>
      <c r="J374" s="612">
        <f ca="1">J386+J388</f>
        <v>0</v>
      </c>
      <c r="K374" s="611">
        <f ca="1">IF(I374&gt;0,J374*100/I374,0)</f>
        <v>0</v>
      </c>
      <c r="L374" s="334"/>
      <c r="M374" s="333"/>
      <c r="N374" s="333"/>
      <c r="O374" s="333"/>
      <c r="P374" s="333"/>
      <c r="Q374" s="333"/>
      <c r="R374" s="333"/>
      <c r="S374" s="333"/>
      <c r="T374" s="333"/>
      <c r="U374" s="333"/>
    </row>
    <row r="375" spans="1:21" ht="19.5">
      <c r="A375" s="155"/>
      <c r="B375" s="188"/>
      <c r="C375" s="191" t="s">
        <v>18</v>
      </c>
      <c r="D375" s="608" t="s">
        <v>19</v>
      </c>
      <c r="E375" s="50"/>
      <c r="F375" s="50"/>
      <c r="G375" s="52"/>
      <c r="H375" s="158" t="s">
        <v>14</v>
      </c>
      <c r="I375" s="54"/>
      <c r="J375" s="54"/>
      <c r="K375" s="55"/>
      <c r="L375" s="541">
        <f>L376+L377</f>
        <v>0</v>
      </c>
      <c r="M375" s="540">
        <f>M376+M377</f>
        <v>0</v>
      </c>
      <c r="N375" s="540">
        <f>N376+N377</f>
        <v>0</v>
      </c>
      <c r="O375" s="540">
        <f>IF(L375&gt;0,N375*100/L375,0)</f>
        <v>0</v>
      </c>
      <c r="P375" s="540">
        <f>IF(M375&gt;0,N375*100/M375,0)</f>
        <v>0</v>
      </c>
      <c r="Q375" s="540">
        <f ca="1">Q376+Q377</f>
        <v>62500</v>
      </c>
      <c r="R375" s="540">
        <f ca="1">R376+R377</f>
        <v>0</v>
      </c>
      <c r="S375" s="540">
        <f ca="1">S376+S377</f>
        <v>0</v>
      </c>
      <c r="T375" s="540">
        <f ca="1">IF(Q375&gt;0,S375*100/Q375,0)</f>
        <v>0</v>
      </c>
      <c r="U375" s="540">
        <f ca="1">IF(R375&gt;0,S375*100/R375,0)</f>
        <v>0</v>
      </c>
    </row>
    <row r="376" spans="1:21" ht="18.75" hidden="1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103">
        <f>L379+L382</f>
        <v>0</v>
      </c>
      <c r="M376" s="102">
        <f>M379+M382</f>
        <v>0</v>
      </c>
      <c r="N376" s="102">
        <f>N379+N382</f>
        <v>0</v>
      </c>
      <c r="O376" s="102">
        <f>IF(L376&gt;0,N376*100/L376,0)</f>
        <v>0</v>
      </c>
      <c r="P376" s="102">
        <f>IF(M376&gt;0,N376*100/M376,0)</f>
        <v>0</v>
      </c>
      <c r="Q376" s="102">
        <f>Q379+Q382</f>
        <v>0</v>
      </c>
      <c r="R376" s="102">
        <f>R379+R382</f>
        <v>0</v>
      </c>
      <c r="S376" s="102">
        <f>S379+S382</f>
        <v>0</v>
      </c>
      <c r="T376" s="102">
        <f>IF(Q376&gt;0,S376*100/Q376,0)</f>
        <v>0</v>
      </c>
      <c r="U376" s="102">
        <f>IF(R376&gt;0,S376*100/R376,0)</f>
        <v>0</v>
      </c>
    </row>
    <row r="377" spans="1:21" ht="18.75" hidden="1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256">
        <f>L380+L383</f>
        <v>0</v>
      </c>
      <c r="M377" s="255">
        <f>M380+M383</f>
        <v>0</v>
      </c>
      <c r="N377" s="255">
        <f>N380+N383</f>
        <v>0</v>
      </c>
      <c r="O377" s="255">
        <f>IF(L377&gt;0,N377*100/L377,0)</f>
        <v>0</v>
      </c>
      <c r="P377" s="255">
        <f>IF(M377&gt;0,N377*100/M377,0)</f>
        <v>0</v>
      </c>
      <c r="Q377" s="255">
        <f ca="1">Q380+Q383</f>
        <v>62500</v>
      </c>
      <c r="R377" s="255">
        <f ca="1">R380+R383</f>
        <v>0</v>
      </c>
      <c r="S377" s="255">
        <f ca="1">S380+S383</f>
        <v>0</v>
      </c>
      <c r="T377" s="255">
        <f ca="1">IF(Q377&gt;0,S377*100/Q377,0)</f>
        <v>0</v>
      </c>
      <c r="U377" s="255">
        <f ca="1">IF(R377&gt;0,S377*100/R377,0)</f>
        <v>0</v>
      </c>
    </row>
    <row r="378" spans="1:21" ht="18.75">
      <c r="A378" s="155"/>
      <c r="B378" s="188"/>
      <c r="C378" s="188"/>
      <c r="D378" s="602" t="s">
        <v>22</v>
      </c>
      <c r="E378" s="50"/>
      <c r="F378" s="50"/>
      <c r="G378" s="52"/>
      <c r="H378" s="162" t="s">
        <v>14</v>
      </c>
      <c r="I378" s="163"/>
      <c r="J378" s="163"/>
      <c r="K378" s="164"/>
      <c r="L378" s="256">
        <f>L379+L380</f>
        <v>0</v>
      </c>
      <c r="M378" s="255">
        <f>M379+M380</f>
        <v>0</v>
      </c>
      <c r="N378" s="255">
        <f>N379+N380</f>
        <v>0</v>
      </c>
      <c r="O378" s="255">
        <f>IF(L378&gt;0,N378*100/L378,0)</f>
        <v>0</v>
      </c>
      <c r="P378" s="255">
        <f>IF(M378&gt;0,N378*100/M378,0)</f>
        <v>0</v>
      </c>
      <c r="Q378" s="255">
        <f ca="1">Q379+Q380</f>
        <v>62500</v>
      </c>
      <c r="R378" s="255">
        <f ca="1">R379+R380</f>
        <v>0</v>
      </c>
      <c r="S378" s="255">
        <f ca="1">S379+S380</f>
        <v>0</v>
      </c>
      <c r="T378" s="255">
        <f ca="1">IF(Q378&gt;0,S378*100/Q378,0)</f>
        <v>0</v>
      </c>
      <c r="U378" s="255">
        <f ca="1">IF(R378&gt;0,S378*100/R378,0)</f>
        <v>0</v>
      </c>
    </row>
    <row r="379" spans="1:21" ht="18.75" hidden="1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103">
        <v>0</v>
      </c>
      <c r="M379" s="102">
        <v>0</v>
      </c>
      <c r="N379" s="102">
        <v>0</v>
      </c>
      <c r="O379" s="102">
        <f>IF(L379&gt;0,N379*100/L379,0)</f>
        <v>0</v>
      </c>
      <c r="P379" s="102">
        <f>IF(M379&gt;0,N379*100/M379,0)</f>
        <v>0</v>
      </c>
      <c r="Q379" s="102">
        <v>0</v>
      </c>
      <c r="R379" s="102">
        <v>0</v>
      </c>
      <c r="S379" s="102">
        <v>0</v>
      </c>
      <c r="T379" s="102">
        <f>IF(Q379&gt;0,S379*100/Q379,0)</f>
        <v>0</v>
      </c>
      <c r="U379" s="102">
        <f>IF(R379&gt;0,S379*100/R379,0)</f>
        <v>0</v>
      </c>
    </row>
    <row r="380" spans="1:21" ht="18.75" hidden="1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256">
        <v>0</v>
      </c>
      <c r="M380" s="255">
        <v>0</v>
      </c>
      <c r="N380" s="255">
        <v>0</v>
      </c>
      <c r="O380" s="255">
        <f>IF(L380&gt;0,N380*100/L380,0)</f>
        <v>0</v>
      </c>
      <c r="P380" s="255">
        <f>IF(M380&gt;0,N380*100/M380,0)</f>
        <v>0</v>
      </c>
      <c r="Q380" s="255">
        <f ca="1">IFERROR(__xludf.DUMMYFUNCTION("IMPORTRANGE(""https://docs.google.com/spreadsheets/d/1ItG2mGa2ceCfYo0BwxsXqNm01IGEUdYcSSLTEv9YCik/edit?usp=sharing"",""เบิกจ่ายกองทุน!AY32"")"),62500)</f>
        <v>62500</v>
      </c>
      <c r="R380" s="255">
        <f ca="1">IFERROR(__xludf.DUMMYFUNCTION("IMPORTRANGE(""https://docs.google.com/spreadsheets/d/1ItG2mGa2ceCfYo0BwxsXqNm01IGEUdYcSSLTEv9YCik/edit?usp=sharing"",""เบิกจ่ายกองทุน!AZ32"")"),0)</f>
        <v>0</v>
      </c>
      <c r="S380" s="255">
        <f ca="1">IFERROR(__xludf.DUMMYFUNCTION("IMPORTRANGE(""https://docs.google.com/spreadsheets/d/1ItG2mGa2ceCfYo0BwxsXqNm01IGEUdYcSSLTEv9YCik/edit?usp=sharing"",""เบิกจ่ายกองทุน!BA32"")"),0)</f>
        <v>0</v>
      </c>
      <c r="T380" s="255">
        <f ca="1">IF(Q380&gt;0,S380*100/Q380,0)</f>
        <v>0</v>
      </c>
      <c r="U380" s="255">
        <f ca="1">IF(R380&gt;0,S380*100/R380,0)</f>
        <v>0</v>
      </c>
    </row>
    <row r="381" spans="1:21" ht="18.75">
      <c r="A381" s="155"/>
      <c r="B381" s="188"/>
      <c r="C381" s="188"/>
      <c r="D381" s="602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256">
        <f>L382+L383</f>
        <v>0</v>
      </c>
      <c r="M381" s="255">
        <f>M382+M383</f>
        <v>0</v>
      </c>
      <c r="N381" s="255">
        <f>N382+N383</f>
        <v>0</v>
      </c>
      <c r="O381" s="255">
        <f>IF(L381&gt;0,N381*100/L381,0)</f>
        <v>0</v>
      </c>
      <c r="P381" s="255">
        <f>IF(M381&gt;0,N381*100/M381,0)</f>
        <v>0</v>
      </c>
      <c r="Q381" s="255">
        <f>Q382+Q383</f>
        <v>0</v>
      </c>
      <c r="R381" s="255">
        <f>R382+R383</f>
        <v>0</v>
      </c>
      <c r="S381" s="255">
        <f>S382+S383</f>
        <v>0</v>
      </c>
      <c r="T381" s="255">
        <f>IF(Q381&gt;0,S381*100/Q381,0)</f>
        <v>0</v>
      </c>
      <c r="U381" s="255">
        <f>IF(R381&gt;0,S381*100/R381,0)</f>
        <v>0</v>
      </c>
    </row>
    <row r="382" spans="1:21" ht="18.75" hidden="1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103">
        <v>0</v>
      </c>
      <c r="M382" s="102">
        <v>0</v>
      </c>
      <c r="N382" s="102">
        <v>0</v>
      </c>
      <c r="O382" s="102">
        <f>IF(L382&gt;0,N382*100/L382,0)</f>
        <v>0</v>
      </c>
      <c r="P382" s="102">
        <f>IF(M382&gt;0,N382*100/M382,0)</f>
        <v>0</v>
      </c>
      <c r="Q382" s="102">
        <v>0</v>
      </c>
      <c r="R382" s="102">
        <v>0</v>
      </c>
      <c r="S382" s="102">
        <v>0</v>
      </c>
      <c r="T382" s="102">
        <f>IF(Q382&gt;0,S382*100/Q382,0)</f>
        <v>0</v>
      </c>
      <c r="U382" s="102">
        <f>IF(R382&gt;0,S382*100/R382,0)</f>
        <v>0</v>
      </c>
    </row>
    <row r="383" spans="1:21" ht="18.75" hidden="1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256">
        <v>0</v>
      </c>
      <c r="M383" s="255">
        <v>0</v>
      </c>
      <c r="N383" s="255">
        <v>0</v>
      </c>
      <c r="O383" s="255">
        <f>IF(L383&gt;0,N383*100/L383,0)</f>
        <v>0</v>
      </c>
      <c r="P383" s="255">
        <f>IF(M383&gt;0,N383*100/M383,0)</f>
        <v>0</v>
      </c>
      <c r="Q383" s="255">
        <v>0</v>
      </c>
      <c r="R383" s="255">
        <v>0</v>
      </c>
      <c r="S383" s="255">
        <v>0</v>
      </c>
      <c r="T383" s="255">
        <f>IF(Q383&gt;0,S383*100/Q383,0)</f>
        <v>0</v>
      </c>
      <c r="U383" s="255">
        <f>IF(R383&gt;0,S383*100/R383,0)</f>
        <v>0</v>
      </c>
    </row>
    <row r="384" spans="1:21" ht="19.5">
      <c r="A384" s="166"/>
      <c r="B384" s="167"/>
      <c r="C384" s="191" t="s">
        <v>18</v>
      </c>
      <c r="D384" s="560" t="s">
        <v>38</v>
      </c>
      <c r="E384" s="169"/>
      <c r="F384" s="169"/>
      <c r="G384" s="170"/>
      <c r="H384" s="206"/>
      <c r="I384" s="163"/>
      <c r="J384" s="54"/>
      <c r="K384" s="55"/>
      <c r="L384" s="62"/>
      <c r="M384" s="55"/>
      <c r="N384" s="55"/>
      <c r="O384" s="164"/>
      <c r="P384" s="164"/>
      <c r="Q384" s="55"/>
      <c r="R384" s="55"/>
      <c r="S384" s="55"/>
      <c r="T384" s="164"/>
      <c r="U384" s="164"/>
    </row>
    <row r="385" spans="1:21" ht="18.75">
      <c r="A385" s="238"/>
      <c r="B385" s="188"/>
      <c r="C385" s="188"/>
      <c r="D385" s="188"/>
      <c r="E385" s="58" t="s">
        <v>155</v>
      </c>
      <c r="F385" s="50"/>
      <c r="G385" s="52"/>
      <c r="H385" s="161" t="s">
        <v>34</v>
      </c>
      <c r="I385" s="212">
        <v>0</v>
      </c>
      <c r="J385" s="212">
        <f ca="1">IFERROR(__xludf.DUMMYFUNCTION("IMPORTRANGE(""https://docs.google.com/spreadsheets/d/1w5rwWK1o49a35cNtocGL0gxDwhFSTZUQu90BiH9_zqM/edit?usp=sharing"",""RTK!H32"")"),0)</f>
        <v>0</v>
      </c>
      <c r="K385" s="255">
        <f>IF(I385&gt;0,J385*100/I385,0)</f>
        <v>0</v>
      </c>
      <c r="L385" s="62"/>
      <c r="M385" s="55"/>
      <c r="N385" s="55"/>
      <c r="O385" s="55"/>
      <c r="P385" s="55"/>
      <c r="Q385" s="55"/>
      <c r="R385" s="55"/>
      <c r="S385" s="55"/>
      <c r="T385" s="55"/>
      <c r="U385" s="55"/>
    </row>
    <row r="386" spans="1:21" ht="18.75">
      <c r="A386" s="188"/>
      <c r="B386" s="188"/>
      <c r="C386" s="188"/>
      <c r="D386" s="188"/>
      <c r="E386" s="188"/>
      <c r="F386" s="188"/>
      <c r="G386" s="208"/>
      <c r="H386" s="161" t="s">
        <v>46</v>
      </c>
      <c r="I386" s="212">
        <f ca="1">IFERROR(__xludf.DUMMYFUNCTION("IMPORTRANGE(""https://docs.google.com/spreadsheets/d/1w5rwWK1o49a35cNtocGL0gxDwhFSTZUQu90BiH9_zqM/edit?usp=sharing"",""RTK!G32"")"),1000)</f>
        <v>1000</v>
      </c>
      <c r="J386" s="212">
        <f ca="1">IFERROR(__xludf.DUMMYFUNCTION("IMPORTRANGE(""https://docs.google.com/spreadsheets/d/1w5rwWK1o49a35cNtocGL0gxDwhFSTZUQu90BiH9_zqM/edit?usp=sharing"",""RTK!I32"")"),0)</f>
        <v>0</v>
      </c>
      <c r="K386" s="255">
        <f ca="1">IF(I386&gt;0,J386*100/I386,0)</f>
        <v>0</v>
      </c>
      <c r="L386" s="62"/>
      <c r="M386" s="55"/>
      <c r="N386" s="55"/>
      <c r="O386" s="55"/>
      <c r="P386" s="55"/>
      <c r="Q386" s="55"/>
      <c r="R386" s="55"/>
      <c r="S386" s="55"/>
      <c r="T386" s="55"/>
      <c r="U386" s="55"/>
    </row>
    <row r="387" spans="1:21" ht="18.75">
      <c r="A387" s="609"/>
      <c r="B387" s="609"/>
      <c r="C387" s="609"/>
      <c r="D387" s="609"/>
      <c r="E387" s="610" t="s">
        <v>156</v>
      </c>
      <c r="F387" s="609"/>
      <c r="G387" s="557"/>
      <c r="H387" s="549" t="s">
        <v>34</v>
      </c>
      <c r="I387" s="556">
        <v>0</v>
      </c>
      <c r="J387" s="556">
        <f ca="1">IFERROR(__xludf.DUMMYFUNCTION("IMPORTRANGE(""https://docs.google.com/spreadsheets/d/1w5rwWK1o49a35cNtocGL0gxDwhFSTZUQu90BiH9_zqM/edit?usp=sharing"",""RTK!L32"")"),0)</f>
        <v>0</v>
      </c>
      <c r="K387" s="555">
        <f>IF(I387&gt;0,J387*100/I387,0)</f>
        <v>0</v>
      </c>
      <c r="L387" s="546"/>
      <c r="M387" s="545"/>
      <c r="N387" s="545"/>
      <c r="O387" s="545"/>
      <c r="P387" s="545"/>
      <c r="Q387" s="545"/>
      <c r="R387" s="545"/>
      <c r="S387" s="545"/>
      <c r="T387" s="545"/>
      <c r="U387" s="545"/>
    </row>
    <row r="388" spans="1:21" ht="18.75">
      <c r="A388" s="609"/>
      <c r="B388" s="609"/>
      <c r="C388" s="609"/>
      <c r="D388" s="609"/>
      <c r="E388" s="609"/>
      <c r="F388" s="609"/>
      <c r="G388" s="557"/>
      <c r="H388" s="549" t="s">
        <v>46</v>
      </c>
      <c r="I388" s="556">
        <f ca="1">IFERROR(__xludf.DUMMYFUNCTION("IMPORTRANGE(""https://docs.google.com/spreadsheets/d/1w5rwWK1o49a35cNtocGL0gxDwhFSTZUQu90BiH9_zqM/edit?usp=sharing"",""RTK!K32"")"),0)</f>
        <v>0</v>
      </c>
      <c r="J388" s="556">
        <f ca="1">IFERROR(__xludf.DUMMYFUNCTION("IMPORTRANGE(""https://docs.google.com/spreadsheets/d/1w5rwWK1o49a35cNtocGL0gxDwhFSTZUQu90BiH9_zqM/edit?usp=sharing"",""RTK!M32"")"),0)</f>
        <v>0</v>
      </c>
      <c r="K388" s="555">
        <f ca="1">IF(I388&gt;0,J388*100/I388,0)</f>
        <v>0</v>
      </c>
      <c r="L388" s="546"/>
      <c r="M388" s="545"/>
      <c r="N388" s="545"/>
      <c r="O388" s="545"/>
      <c r="P388" s="545"/>
      <c r="Q388" s="545"/>
      <c r="R388" s="545"/>
      <c r="S388" s="545"/>
      <c r="T388" s="545"/>
      <c r="U388" s="545"/>
    </row>
    <row r="389" spans="1:21" ht="12.75" hidden="1">
      <c r="A389" s="259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5"/>
      <c r="M389" s="264"/>
      <c r="N389" s="264"/>
      <c r="O389" s="264"/>
      <c r="P389" s="264"/>
      <c r="Q389" s="264"/>
      <c r="R389" s="264"/>
      <c r="S389" s="264"/>
      <c r="T389" s="264"/>
      <c r="U389" s="264"/>
    </row>
    <row r="390" spans="1:21" ht="12.75" hidden="1">
      <c r="A390" s="360"/>
      <c r="B390" s="360"/>
      <c r="C390" s="360"/>
      <c r="D390" s="360"/>
      <c r="E390" s="360"/>
      <c r="F390" s="360"/>
      <c r="G390" s="361"/>
      <c r="H390" s="361"/>
      <c r="I390" s="362"/>
      <c r="J390" s="362"/>
      <c r="K390" s="363"/>
      <c r="L390" s="364"/>
      <c r="M390" s="363"/>
      <c r="N390" s="363"/>
      <c r="O390" s="363"/>
      <c r="P390" s="363"/>
      <c r="Q390" s="363"/>
      <c r="R390" s="363"/>
      <c r="S390" s="363"/>
      <c r="T390" s="363"/>
      <c r="U390" s="363"/>
    </row>
    <row r="391" spans="1:21" ht="19.5" hidden="1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51">
        <f>I402</f>
        <v>0</v>
      </c>
      <c r="J391" s="351">
        <f>J402</f>
        <v>0</v>
      </c>
      <c r="K391" s="604">
        <f>IF(I391&gt;0,J391*100/I391,0)</f>
        <v>0</v>
      </c>
      <c r="L391" s="334"/>
      <c r="M391" s="333"/>
      <c r="N391" s="333"/>
      <c r="O391" s="333"/>
      <c r="P391" s="333"/>
      <c r="Q391" s="333"/>
      <c r="R391" s="333"/>
      <c r="S391" s="333"/>
      <c r="T391" s="333"/>
      <c r="U391" s="333"/>
    </row>
    <row r="392" spans="1:21" ht="19.5" hidden="1">
      <c r="A392" s="155"/>
      <c r="B392" s="188"/>
      <c r="C392" s="191" t="s">
        <v>18</v>
      </c>
      <c r="D392" s="608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541">
        <f>L393+L394</f>
        <v>0</v>
      </c>
      <c r="M392" s="540">
        <f>M393+M394</f>
        <v>0</v>
      </c>
      <c r="N392" s="540">
        <f>N393+N394</f>
        <v>0</v>
      </c>
      <c r="O392" s="540">
        <f>IF(L392&gt;0,N392*100/L392,0)</f>
        <v>0</v>
      </c>
      <c r="P392" s="540">
        <f>IF(M392&gt;0,N392*100/M392,0)</f>
        <v>0</v>
      </c>
      <c r="Q392" s="540">
        <f>Q393+Q394</f>
        <v>0</v>
      </c>
      <c r="R392" s="540">
        <f>R393+R394</f>
        <v>0</v>
      </c>
      <c r="S392" s="540">
        <f>S393+S394</f>
        <v>0</v>
      </c>
      <c r="T392" s="540">
        <f>IF(Q392&gt;0,S392*100/Q392,0)</f>
        <v>0</v>
      </c>
      <c r="U392" s="540">
        <f>IF(R392&gt;0,S392*100/R392,0)</f>
        <v>0</v>
      </c>
    </row>
    <row r="393" spans="1:21" ht="18.75" hidden="1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103">
        <f>L396+L399</f>
        <v>0</v>
      </c>
      <c r="M393" s="102">
        <f>M396+M399</f>
        <v>0</v>
      </c>
      <c r="N393" s="102">
        <f>N396+N399</f>
        <v>0</v>
      </c>
      <c r="O393" s="102">
        <f>IF(L393&gt;0,N393*100/L393,0)</f>
        <v>0</v>
      </c>
      <c r="P393" s="102">
        <f>IF(M393&gt;0,N393*100/M393,0)</f>
        <v>0</v>
      </c>
      <c r="Q393" s="102">
        <f>Q396+Q399</f>
        <v>0</v>
      </c>
      <c r="R393" s="102">
        <f>R396+R399</f>
        <v>0</v>
      </c>
      <c r="S393" s="102">
        <f>S396+S399</f>
        <v>0</v>
      </c>
      <c r="T393" s="102">
        <f>IF(Q393&gt;0,S393*100/Q393,0)</f>
        <v>0</v>
      </c>
      <c r="U393" s="102">
        <f>IF(R393&gt;0,S393*100/R393,0)</f>
        <v>0</v>
      </c>
    </row>
    <row r="394" spans="1:21" ht="18.75" hidden="1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256">
        <f>L397+L400</f>
        <v>0</v>
      </c>
      <c r="M394" s="255">
        <f>M397+M400</f>
        <v>0</v>
      </c>
      <c r="N394" s="255">
        <f>N397+N400</f>
        <v>0</v>
      </c>
      <c r="O394" s="255">
        <f>IF(L394&gt;0,N394*100/L394,0)</f>
        <v>0</v>
      </c>
      <c r="P394" s="255">
        <f>IF(M394&gt;0,N394*100/M394,0)</f>
        <v>0</v>
      </c>
      <c r="Q394" s="255">
        <f>Q397+Q400</f>
        <v>0</v>
      </c>
      <c r="R394" s="255">
        <f>R397+R400</f>
        <v>0</v>
      </c>
      <c r="S394" s="255">
        <f>S397+S400</f>
        <v>0</v>
      </c>
      <c r="T394" s="255">
        <f>IF(Q394&gt;0,S394*100/Q394,0)</f>
        <v>0</v>
      </c>
      <c r="U394" s="255">
        <f>IF(R394&gt;0,S394*100/R394,0)</f>
        <v>0</v>
      </c>
    </row>
    <row r="395" spans="1:21" ht="18.75" hidden="1">
      <c r="A395" s="155"/>
      <c r="B395" s="188"/>
      <c r="C395" s="188"/>
      <c r="D395" s="602" t="s">
        <v>22</v>
      </c>
      <c r="E395" s="50"/>
      <c r="F395" s="50"/>
      <c r="G395" s="52"/>
      <c r="H395" s="162" t="s">
        <v>14</v>
      </c>
      <c r="I395" s="163"/>
      <c r="J395" s="163"/>
      <c r="K395" s="164"/>
      <c r="L395" s="256">
        <f>L396+L397</f>
        <v>0</v>
      </c>
      <c r="M395" s="255">
        <f>M396+M397</f>
        <v>0</v>
      </c>
      <c r="N395" s="255">
        <f>N396+N397</f>
        <v>0</v>
      </c>
      <c r="O395" s="255">
        <f>IF(L395&gt;0,N395*100/L395,0)</f>
        <v>0</v>
      </c>
      <c r="P395" s="255">
        <f>IF(M395&gt;0,N395*100/M395,0)</f>
        <v>0</v>
      </c>
      <c r="Q395" s="255">
        <f>Q396+Q397</f>
        <v>0</v>
      </c>
      <c r="R395" s="255">
        <f>R396+R397</f>
        <v>0</v>
      </c>
      <c r="S395" s="255">
        <f>S396+S397</f>
        <v>0</v>
      </c>
      <c r="T395" s="255">
        <f>IF(Q395&gt;0,S395*100/Q395,0)</f>
        <v>0</v>
      </c>
      <c r="U395" s="255">
        <f>IF(R395&gt;0,S395*100/R395,0)</f>
        <v>0</v>
      </c>
    </row>
    <row r="396" spans="1:21" ht="18.75" hidden="1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103">
        <v>0</v>
      </c>
      <c r="M396" s="102">
        <v>0</v>
      </c>
      <c r="N396" s="102">
        <v>0</v>
      </c>
      <c r="O396" s="102">
        <f>IF(L396&gt;0,N396*100/L396,0)</f>
        <v>0</v>
      </c>
      <c r="P396" s="102">
        <f>IF(M396&gt;0,N396*100/M396,0)</f>
        <v>0</v>
      </c>
      <c r="Q396" s="102">
        <v>0</v>
      </c>
      <c r="R396" s="102">
        <v>0</v>
      </c>
      <c r="S396" s="102">
        <v>0</v>
      </c>
      <c r="T396" s="102">
        <f>IF(Q396&gt;0,S396*100/Q396,0)</f>
        <v>0</v>
      </c>
      <c r="U396" s="102">
        <f>IF(R396&gt;0,S396*100/R396,0)</f>
        <v>0</v>
      </c>
    </row>
    <row r="397" spans="1:21" ht="18.75" hidden="1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256">
        <v>0</v>
      </c>
      <c r="M397" s="255">
        <v>0</v>
      </c>
      <c r="N397" s="255">
        <v>0</v>
      </c>
      <c r="O397" s="255">
        <f>IF(L397&gt;0,N397*100/L397,0)</f>
        <v>0</v>
      </c>
      <c r="P397" s="255">
        <f>IF(M397&gt;0,N397*100/M397,0)</f>
        <v>0</v>
      </c>
      <c r="Q397" s="255">
        <v>0</v>
      </c>
      <c r="R397" s="255">
        <v>0</v>
      </c>
      <c r="S397" s="255">
        <v>0</v>
      </c>
      <c r="T397" s="255">
        <f>IF(Q397&gt;0,S397*100/Q397,0)</f>
        <v>0</v>
      </c>
      <c r="U397" s="255">
        <f>IF(R397&gt;0,S397*100/R397,0)</f>
        <v>0</v>
      </c>
    </row>
    <row r="398" spans="1:21" ht="18.75" hidden="1">
      <c r="A398" s="155"/>
      <c r="B398" s="188"/>
      <c r="C398" s="188"/>
      <c r="D398" s="602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256">
        <f>L399+L400</f>
        <v>0</v>
      </c>
      <c r="M398" s="255">
        <f>M399+M400</f>
        <v>0</v>
      </c>
      <c r="N398" s="255">
        <f>N399+N400</f>
        <v>0</v>
      </c>
      <c r="O398" s="255">
        <f>IF(L398&gt;0,N398*100/L398,0)</f>
        <v>0</v>
      </c>
      <c r="P398" s="255">
        <f>IF(M398&gt;0,N398*100/M398,0)</f>
        <v>0</v>
      </c>
      <c r="Q398" s="255">
        <f>Q399+Q400</f>
        <v>0</v>
      </c>
      <c r="R398" s="255">
        <f>R399+R400</f>
        <v>0</v>
      </c>
      <c r="S398" s="255">
        <f>S399+S400</f>
        <v>0</v>
      </c>
      <c r="T398" s="255">
        <f>IF(Q398&gt;0,S398*100/Q398,0)</f>
        <v>0</v>
      </c>
      <c r="U398" s="255">
        <f>IF(R398&gt;0,S398*100/R398,0)</f>
        <v>0</v>
      </c>
    </row>
    <row r="399" spans="1:21" ht="18.75" hidden="1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103">
        <v>0</v>
      </c>
      <c r="M399" s="102">
        <v>0</v>
      </c>
      <c r="N399" s="102">
        <v>0</v>
      </c>
      <c r="O399" s="102">
        <f>IF(L399&gt;0,N399*100/L399,0)</f>
        <v>0</v>
      </c>
      <c r="P399" s="102">
        <f>IF(M399&gt;0,N399*100/M399,0)</f>
        <v>0</v>
      </c>
      <c r="Q399" s="102">
        <v>0</v>
      </c>
      <c r="R399" s="102">
        <v>0</v>
      </c>
      <c r="S399" s="102">
        <v>0</v>
      </c>
      <c r="T399" s="102">
        <f>IF(Q399&gt;0,S399*100/Q399,0)</f>
        <v>0</v>
      </c>
      <c r="U399" s="102">
        <f>IF(R399&gt;0,S399*100/R399,0)</f>
        <v>0</v>
      </c>
    </row>
    <row r="400" spans="1:21" ht="18.75" hidden="1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256">
        <v>0</v>
      </c>
      <c r="M400" s="255">
        <v>0</v>
      </c>
      <c r="N400" s="255">
        <v>0</v>
      </c>
      <c r="O400" s="255">
        <f>IF(L400&gt;0,N400*100/L400,0)</f>
        <v>0</v>
      </c>
      <c r="P400" s="255">
        <f>IF(M400&gt;0,N400*100/M400,0)</f>
        <v>0</v>
      </c>
      <c r="Q400" s="255">
        <v>0</v>
      </c>
      <c r="R400" s="255">
        <v>0</v>
      </c>
      <c r="S400" s="255">
        <v>0</v>
      </c>
      <c r="T400" s="255">
        <f>IF(Q400&gt;0,S400*100/Q400,0)</f>
        <v>0</v>
      </c>
      <c r="U400" s="255">
        <f>IF(R400&gt;0,S400*100/R400,0)</f>
        <v>0</v>
      </c>
    </row>
    <row r="401" spans="1:21" ht="19.5" hidden="1">
      <c r="A401" s="166"/>
      <c r="B401" s="167"/>
      <c r="C401" s="191" t="s">
        <v>18</v>
      </c>
      <c r="D401" s="560" t="s">
        <v>38</v>
      </c>
      <c r="E401" s="169"/>
      <c r="F401" s="169"/>
      <c r="G401" s="170"/>
      <c r="H401" s="206"/>
      <c r="I401" s="163"/>
      <c r="J401" s="54"/>
      <c r="K401" s="55"/>
      <c r="L401" s="62"/>
      <c r="M401" s="55"/>
      <c r="N401" s="55"/>
      <c r="O401" s="164"/>
      <c r="P401" s="164"/>
      <c r="Q401" s="55"/>
      <c r="R401" s="55"/>
      <c r="S401" s="55"/>
      <c r="T401" s="164"/>
      <c r="U401" s="164"/>
    </row>
    <row r="402" spans="1:21" ht="12.75" hidden="1">
      <c r="A402" s="258"/>
      <c r="B402" s="259"/>
      <c r="C402" s="259"/>
      <c r="D402" s="259"/>
      <c r="E402" s="260"/>
      <c r="F402" s="260"/>
      <c r="G402" s="261"/>
      <c r="H402" s="262"/>
      <c r="I402" s="263"/>
      <c r="J402" s="263"/>
      <c r="K402" s="264"/>
      <c r="L402" s="265"/>
      <c r="M402" s="264"/>
      <c r="N402" s="264"/>
      <c r="O402" s="264"/>
      <c r="P402" s="264"/>
      <c r="Q402" s="264"/>
      <c r="R402" s="264"/>
      <c r="S402" s="264"/>
      <c r="T402" s="264"/>
      <c r="U402" s="264"/>
    </row>
    <row r="403" spans="1:21" ht="12.75" hidden="1">
      <c r="A403" s="259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5"/>
      <c r="M403" s="264"/>
      <c r="N403" s="264"/>
      <c r="O403" s="264"/>
      <c r="P403" s="264"/>
      <c r="Q403" s="264"/>
      <c r="R403" s="264"/>
      <c r="S403" s="264"/>
      <c r="T403" s="264"/>
      <c r="U403" s="264"/>
    </row>
    <row r="404" spans="1:21" ht="12.75" hidden="1">
      <c r="A404" s="259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5"/>
      <c r="M404" s="264"/>
      <c r="N404" s="264"/>
      <c r="O404" s="264"/>
      <c r="P404" s="264"/>
      <c r="Q404" s="264"/>
      <c r="R404" s="264"/>
      <c r="S404" s="264"/>
      <c r="T404" s="264"/>
      <c r="U404" s="264"/>
    </row>
    <row r="405" spans="1:21" ht="12.75" hidden="1">
      <c r="A405" s="259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5"/>
      <c r="M405" s="264"/>
      <c r="N405" s="264"/>
      <c r="O405" s="264"/>
      <c r="P405" s="264"/>
      <c r="Q405" s="264"/>
      <c r="R405" s="264"/>
      <c r="S405" s="264"/>
      <c r="T405" s="264"/>
      <c r="U405" s="264"/>
    </row>
    <row r="406" spans="1:21" ht="12.75" hidden="1">
      <c r="A406" s="259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5"/>
      <c r="M406" s="264"/>
      <c r="N406" s="264"/>
      <c r="O406" s="264"/>
      <c r="P406" s="264"/>
      <c r="Q406" s="264"/>
      <c r="R406" s="264"/>
      <c r="S406" s="264"/>
      <c r="T406" s="264"/>
      <c r="U406" s="264"/>
    </row>
    <row r="407" spans="1:21" ht="12.75" hidden="1">
      <c r="A407" s="259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5"/>
      <c r="M407" s="264"/>
      <c r="N407" s="264"/>
      <c r="O407" s="264"/>
      <c r="P407" s="264"/>
      <c r="Q407" s="264"/>
      <c r="R407" s="264"/>
      <c r="S407" s="264"/>
      <c r="T407" s="264"/>
      <c r="U407" s="264"/>
    </row>
    <row r="408" spans="1:21" ht="12.75" hidden="1">
      <c r="A408" s="259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5"/>
      <c r="M408" s="264"/>
      <c r="N408" s="264"/>
      <c r="O408" s="264"/>
      <c r="P408" s="264"/>
      <c r="Q408" s="264"/>
      <c r="R408" s="264"/>
      <c r="S408" s="264"/>
      <c r="T408" s="264"/>
      <c r="U408" s="264"/>
    </row>
    <row r="409" spans="1:21" ht="12.75" hidden="1">
      <c r="A409" s="259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5"/>
      <c r="M409" s="264"/>
      <c r="N409" s="264"/>
      <c r="O409" s="264"/>
      <c r="P409" s="264"/>
      <c r="Q409" s="264"/>
      <c r="R409" s="264"/>
      <c r="S409" s="264"/>
      <c r="T409" s="264"/>
      <c r="U409" s="264"/>
    </row>
    <row r="410" spans="1:21" ht="12.75" hidden="1">
      <c r="A410" s="259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5"/>
      <c r="M410" s="264"/>
      <c r="N410" s="264"/>
      <c r="O410" s="264"/>
      <c r="P410" s="264"/>
      <c r="Q410" s="264"/>
      <c r="R410" s="264"/>
      <c r="S410" s="264"/>
      <c r="T410" s="264"/>
      <c r="U410" s="264"/>
    </row>
    <row r="411" spans="1:21" ht="12.75" hidden="1">
      <c r="A411" s="360"/>
      <c r="B411" s="360"/>
      <c r="C411" s="360"/>
      <c r="D411" s="360"/>
      <c r="E411" s="360"/>
      <c r="F411" s="360"/>
      <c r="G411" s="361"/>
      <c r="H411" s="361"/>
      <c r="I411" s="362"/>
      <c r="J411" s="362"/>
      <c r="K411" s="363"/>
      <c r="L411" s="364"/>
      <c r="M411" s="363"/>
      <c r="N411" s="363"/>
      <c r="O411" s="363"/>
      <c r="P411" s="363"/>
      <c r="Q411" s="363"/>
      <c r="R411" s="363"/>
      <c r="S411" s="363"/>
      <c r="T411" s="363"/>
      <c r="U411" s="363"/>
    </row>
    <row r="412" spans="1:21" ht="19.5" hidden="1">
      <c r="A412" s="337"/>
      <c r="B412" s="354" t="s">
        <v>158</v>
      </c>
      <c r="C412" s="337"/>
      <c r="D412" s="337"/>
      <c r="E412" s="337"/>
      <c r="F412" s="337"/>
      <c r="G412" s="365"/>
      <c r="H412" s="366" t="s">
        <v>46</v>
      </c>
      <c r="I412" s="605">
        <f ca="1">I423</f>
        <v>0</v>
      </c>
      <c r="J412" s="605">
        <f>J423</f>
        <v>0</v>
      </c>
      <c r="K412" s="604">
        <f ca="1">IF(I412&gt;0,J412*100/I412,0)</f>
        <v>0</v>
      </c>
      <c r="L412" s="334"/>
      <c r="M412" s="333"/>
      <c r="N412" s="333"/>
      <c r="O412" s="333"/>
      <c r="P412" s="333"/>
      <c r="Q412" s="333"/>
      <c r="R412" s="333"/>
      <c r="S412" s="333"/>
      <c r="T412" s="333"/>
      <c r="U412" s="333"/>
    </row>
    <row r="413" spans="1:21" ht="19.5" hidden="1">
      <c r="A413" s="155"/>
      <c r="B413" s="188"/>
      <c r="C413" s="367" t="s">
        <v>18</v>
      </c>
      <c r="D413" s="603" t="s">
        <v>19</v>
      </c>
      <c r="E413" s="514"/>
      <c r="F413" s="514"/>
      <c r="G413" s="512"/>
      <c r="H413" s="368" t="s">
        <v>14</v>
      </c>
      <c r="I413" s="54"/>
      <c r="J413" s="54"/>
      <c r="K413" s="55"/>
      <c r="L413" s="541">
        <f>L414+L415</f>
        <v>0</v>
      </c>
      <c r="M413" s="540">
        <f>M414+M415</f>
        <v>0</v>
      </c>
      <c r="N413" s="540">
        <f>N414+N415</f>
        <v>0</v>
      </c>
      <c r="O413" s="540">
        <f>IF(L413&gt;0,N413*100/L413,0)</f>
        <v>0</v>
      </c>
      <c r="P413" s="540">
        <f>IF(M413&gt;0,N413*100/M413,0)</f>
        <v>0</v>
      </c>
      <c r="Q413" s="540">
        <f ca="1">Q414+Q415</f>
        <v>0</v>
      </c>
      <c r="R413" s="540">
        <f ca="1">R414+R415</f>
        <v>0</v>
      </c>
      <c r="S413" s="540">
        <f ca="1">S414+S415</f>
        <v>0</v>
      </c>
      <c r="T413" s="540">
        <f ca="1">IF(Q413&gt;0,S413*100/Q413,0)</f>
        <v>0</v>
      </c>
      <c r="U413" s="540">
        <f ca="1">IF(R413&gt;0,S413*100/R413,0)</f>
        <v>0</v>
      </c>
    </row>
    <row r="414" spans="1:21" ht="18.75" hidden="1">
      <c r="A414" s="155"/>
      <c r="B414" s="188"/>
      <c r="C414" s="188"/>
      <c r="D414" s="188"/>
      <c r="E414" s="358" t="s">
        <v>159</v>
      </c>
      <c r="F414" s="188"/>
      <c r="G414" s="208"/>
      <c r="H414" s="204" t="s">
        <v>14</v>
      </c>
      <c r="I414" s="54"/>
      <c r="J414" s="54"/>
      <c r="K414" s="55"/>
      <c r="L414" s="103">
        <f>L417+L420</f>
        <v>0</v>
      </c>
      <c r="M414" s="102">
        <f>M417+M420</f>
        <v>0</v>
      </c>
      <c r="N414" s="102">
        <f>N417+N420</f>
        <v>0</v>
      </c>
      <c r="O414" s="102">
        <f>IF(L414&gt;0,N414*100/L414,0)</f>
        <v>0</v>
      </c>
      <c r="P414" s="102">
        <f>IF(M414&gt;0,N414*100/M414,0)</f>
        <v>0</v>
      </c>
      <c r="Q414" s="102">
        <f>Q417+Q420</f>
        <v>0</v>
      </c>
      <c r="R414" s="102">
        <f>R417+R420</f>
        <v>0</v>
      </c>
      <c r="S414" s="102">
        <f>S417+S420</f>
        <v>0</v>
      </c>
      <c r="T414" s="102">
        <f>IF(Q414&gt;0,S414*100/Q414,0)</f>
        <v>0</v>
      </c>
      <c r="U414" s="102">
        <f>IF(R414&gt;0,S414*100/R414,0)</f>
        <v>0</v>
      </c>
    </row>
    <row r="415" spans="1:21" ht="18.75" hidden="1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256">
        <f>L418+L421</f>
        <v>0</v>
      </c>
      <c r="M415" s="255">
        <f>M418+M421</f>
        <v>0</v>
      </c>
      <c r="N415" s="255">
        <f>N418+N421</f>
        <v>0</v>
      </c>
      <c r="O415" s="255">
        <f>IF(L415&gt;0,N415*100/L415,0)</f>
        <v>0</v>
      </c>
      <c r="P415" s="255">
        <f>IF(M415&gt;0,N415*100/M415,0)</f>
        <v>0</v>
      </c>
      <c r="Q415" s="255">
        <f ca="1">Q418+Q421</f>
        <v>0</v>
      </c>
      <c r="R415" s="255">
        <f ca="1">R418+R421</f>
        <v>0</v>
      </c>
      <c r="S415" s="255">
        <f ca="1">S418+S421</f>
        <v>0</v>
      </c>
      <c r="T415" s="255">
        <f ca="1">IF(Q415&gt;0,S415*100/Q415,0)</f>
        <v>0</v>
      </c>
      <c r="U415" s="255">
        <f ca="1">IF(R415&gt;0,S415*100/R415,0)</f>
        <v>0</v>
      </c>
    </row>
    <row r="416" spans="1:21" ht="19.5" hidden="1">
      <c r="A416" s="155"/>
      <c r="B416" s="188"/>
      <c r="C416" s="188"/>
      <c r="D416" s="608" t="s">
        <v>22</v>
      </c>
      <c r="E416" s="188"/>
      <c r="F416" s="188"/>
      <c r="G416" s="208"/>
      <c r="H416" s="368" t="s">
        <v>14</v>
      </c>
      <c r="I416" s="54"/>
      <c r="J416" s="54"/>
      <c r="K416" s="55"/>
      <c r="L416" s="256">
        <f>L417+L418</f>
        <v>0</v>
      </c>
      <c r="M416" s="255">
        <f>M417+M418</f>
        <v>0</v>
      </c>
      <c r="N416" s="255">
        <f>N417+N418</f>
        <v>0</v>
      </c>
      <c r="O416" s="255">
        <f>IF(L416&gt;0,N416*100/L416,0)</f>
        <v>0</v>
      </c>
      <c r="P416" s="255">
        <f>IF(M416&gt;0,N416*100/M416,0)</f>
        <v>0</v>
      </c>
      <c r="Q416" s="255">
        <f ca="1">Q417+Q418</f>
        <v>0</v>
      </c>
      <c r="R416" s="255">
        <f ca="1">R417+R418</f>
        <v>0</v>
      </c>
      <c r="S416" s="255">
        <f ca="1">S417+S418</f>
        <v>0</v>
      </c>
      <c r="T416" s="255">
        <f ca="1">IF(Q416&gt;0,S416*100/Q416,0)</f>
        <v>0</v>
      </c>
      <c r="U416" s="255">
        <f ca="1">IF(R416&gt;0,S416*100/R416,0)</f>
        <v>0</v>
      </c>
    </row>
    <row r="417" spans="1:21" ht="18.75" hidden="1">
      <c r="A417" s="155"/>
      <c r="B417" s="188"/>
      <c r="C417" s="188"/>
      <c r="D417" s="188"/>
      <c r="E417" s="358" t="s">
        <v>159</v>
      </c>
      <c r="F417" s="188"/>
      <c r="G417" s="208"/>
      <c r="H417" s="204" t="s">
        <v>14</v>
      </c>
      <c r="I417" s="54"/>
      <c r="J417" s="54"/>
      <c r="K417" s="55"/>
      <c r="L417" s="103">
        <v>0</v>
      </c>
      <c r="M417" s="102">
        <v>0</v>
      </c>
      <c r="N417" s="102">
        <v>0</v>
      </c>
      <c r="O417" s="102">
        <f>IF(L417&gt;0,N417*100/L417,0)</f>
        <v>0</v>
      </c>
      <c r="P417" s="102">
        <f>IF(M417&gt;0,N417*100/M417,0)</f>
        <v>0</v>
      </c>
      <c r="Q417" s="102">
        <v>0</v>
      </c>
      <c r="R417" s="102">
        <v>0</v>
      </c>
      <c r="S417" s="102">
        <v>0</v>
      </c>
      <c r="T417" s="102">
        <f>IF(Q417&gt;0,S417*100/Q417,0)</f>
        <v>0</v>
      </c>
      <c r="U417" s="102">
        <f>IF(R417&gt;0,S417*100/R417,0)</f>
        <v>0</v>
      </c>
    </row>
    <row r="418" spans="1:21" ht="18.75" hidden="1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256">
        <v>0</v>
      </c>
      <c r="M418" s="255">
        <v>0</v>
      </c>
      <c r="N418" s="255">
        <v>0</v>
      </c>
      <c r="O418" s="255">
        <f>IF(L418&gt;0,N418*100/L418,0)</f>
        <v>0</v>
      </c>
      <c r="P418" s="255">
        <f>IF(M418&gt;0,N418*100/M418,0)</f>
        <v>0</v>
      </c>
      <c r="Q418" s="255">
        <f ca="1">IFERROR(__xludf.DUMMYFUNCTION("IMPORTRANGE(""https://docs.google.com/spreadsheets/d/1ItG2mGa2ceCfYo0BwxsXqNm01IGEUdYcSSLTEv9YCik/edit?usp=sharing"",""เบิกจ่ายกองทุน!BH32"")"),0)</f>
        <v>0</v>
      </c>
      <c r="R418" s="255">
        <f ca="1">IFERROR(__xludf.DUMMYFUNCTION("IMPORTRANGE(""https://docs.google.com/spreadsheets/d/1ItG2mGa2ceCfYo0BwxsXqNm01IGEUdYcSSLTEv9YCik/edit?usp=sharing"",""เบิกจ่ายกองทุน!BI32"")"),0)</f>
        <v>0</v>
      </c>
      <c r="S418" s="255">
        <f ca="1">IFERROR(__xludf.DUMMYFUNCTION("IMPORTRANGE(""https://docs.google.com/spreadsheets/d/1ItG2mGa2ceCfYo0BwxsXqNm01IGEUdYcSSLTEv9YCik/edit?usp=sharing"",""เบิกจ่ายกองทุน!BJ32"")"),0)</f>
        <v>0</v>
      </c>
      <c r="T418" s="255">
        <f ca="1">IF(Q418&gt;0,S418*100/Q418,0)</f>
        <v>0</v>
      </c>
      <c r="U418" s="255">
        <f ca="1">IF(R418&gt;0,S418*100/R418,0)</f>
        <v>0</v>
      </c>
    </row>
    <row r="419" spans="1:21" ht="19.5" hidden="1">
      <c r="A419" s="155"/>
      <c r="B419" s="188"/>
      <c r="C419" s="188"/>
      <c r="D419" s="608" t="s">
        <v>23</v>
      </c>
      <c r="E419" s="188"/>
      <c r="F419" s="188"/>
      <c r="G419" s="208"/>
      <c r="H419" s="158" t="s">
        <v>14</v>
      </c>
      <c r="I419" s="54"/>
      <c r="J419" s="54"/>
      <c r="K419" s="55"/>
      <c r="L419" s="256">
        <f>L420+L421</f>
        <v>0</v>
      </c>
      <c r="M419" s="255">
        <f>M420+M421</f>
        <v>0</v>
      </c>
      <c r="N419" s="255">
        <f>N420+N421</f>
        <v>0</v>
      </c>
      <c r="O419" s="255">
        <f>IF(L419&gt;0,N419*100/L419,0)</f>
        <v>0</v>
      </c>
      <c r="P419" s="255">
        <f>IF(M419&gt;0,N419*100/M419,0)</f>
        <v>0</v>
      </c>
      <c r="Q419" s="255">
        <f>Q420+Q421</f>
        <v>0</v>
      </c>
      <c r="R419" s="255">
        <f>R420+R421</f>
        <v>0</v>
      </c>
      <c r="S419" s="255">
        <f>S420+S421</f>
        <v>0</v>
      </c>
      <c r="T419" s="255">
        <f>IF(Q419&gt;0,S419*100/Q419,0)</f>
        <v>0</v>
      </c>
      <c r="U419" s="255">
        <f>IF(R419&gt;0,S419*100/R419,0)</f>
        <v>0</v>
      </c>
    </row>
    <row r="420" spans="1:21" ht="18.75" hidden="1">
      <c r="A420" s="155"/>
      <c r="B420" s="188"/>
      <c r="C420" s="188"/>
      <c r="D420" s="188"/>
      <c r="E420" s="358" t="s">
        <v>20</v>
      </c>
      <c r="F420" s="188"/>
      <c r="G420" s="208"/>
      <c r="H420" s="204" t="s">
        <v>14</v>
      </c>
      <c r="I420" s="54"/>
      <c r="J420" s="54"/>
      <c r="K420" s="55"/>
      <c r="L420" s="103">
        <v>0</v>
      </c>
      <c r="M420" s="102">
        <v>0</v>
      </c>
      <c r="N420" s="102">
        <v>0</v>
      </c>
      <c r="O420" s="102">
        <f>IF(L420&gt;0,N420*100/L420,0)</f>
        <v>0</v>
      </c>
      <c r="P420" s="102">
        <f>IF(M420&gt;0,N420*100/M420,0)</f>
        <v>0</v>
      </c>
      <c r="Q420" s="102">
        <v>0</v>
      </c>
      <c r="R420" s="102">
        <v>0</v>
      </c>
      <c r="S420" s="102">
        <v>0</v>
      </c>
      <c r="T420" s="102">
        <f>IF(Q420&gt;0,S420*100/Q420,0)</f>
        <v>0</v>
      </c>
      <c r="U420" s="102">
        <f>IF(R420&gt;0,S420*100/R420,0)</f>
        <v>0</v>
      </c>
    </row>
    <row r="421" spans="1:21" ht="18.75" hidden="1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256">
        <v>0</v>
      </c>
      <c r="M421" s="255">
        <v>0</v>
      </c>
      <c r="N421" s="255">
        <v>0</v>
      </c>
      <c r="O421" s="255">
        <f>IF(L421&gt;0,N421*100/L421,0)</f>
        <v>0</v>
      </c>
      <c r="P421" s="255">
        <f>IF(M421&gt;0,N421*100/M421,0)</f>
        <v>0</v>
      </c>
      <c r="Q421" s="255">
        <v>0</v>
      </c>
      <c r="R421" s="255">
        <v>0</v>
      </c>
      <c r="S421" s="255">
        <v>0</v>
      </c>
      <c r="T421" s="255">
        <f>IF(Q421&gt;0,S421*100/Q421,0)</f>
        <v>0</v>
      </c>
      <c r="U421" s="255">
        <f>IF(R421&gt;0,S421*100/R421,0)</f>
        <v>0</v>
      </c>
    </row>
    <row r="422" spans="1:21" ht="19.5" hidden="1">
      <c r="A422" s="238"/>
      <c r="B422" s="188"/>
      <c r="C422" s="367" t="s">
        <v>18</v>
      </c>
      <c r="D422" s="607" t="s">
        <v>38</v>
      </c>
      <c r="E422" s="188"/>
      <c r="F422" s="188"/>
      <c r="G422" s="208"/>
      <c r="H422" s="208"/>
      <c r="I422" s="54"/>
      <c r="J422" s="54"/>
      <c r="K422" s="55"/>
      <c r="L422" s="62"/>
      <c r="M422" s="55"/>
      <c r="N422" s="55"/>
      <c r="O422" s="55"/>
      <c r="P422" s="55"/>
      <c r="Q422" s="55"/>
      <c r="R422" s="55"/>
      <c r="S422" s="55"/>
      <c r="T422" s="55"/>
      <c r="U422" s="55"/>
    </row>
    <row r="423" spans="1:21" ht="19.5" hidden="1">
      <c r="A423" s="238"/>
      <c r="B423" s="191" t="s">
        <v>161</v>
      </c>
      <c r="C423" s="188"/>
      <c r="D423" s="188"/>
      <c r="E423" s="188"/>
      <c r="F423" s="188"/>
      <c r="G423" s="208"/>
      <c r="H423" s="368" t="s">
        <v>46</v>
      </c>
      <c r="I423" s="373">
        <f ca="1">I440</f>
        <v>0</v>
      </c>
      <c r="J423" s="373">
        <f>J440</f>
        <v>0</v>
      </c>
      <c r="K423" s="540">
        <f ca="1">IF(I423&gt;0,J423*100/I423,0)</f>
        <v>0</v>
      </c>
      <c r="L423" s="62"/>
      <c r="M423" s="55"/>
      <c r="N423" s="55"/>
      <c r="O423" s="55"/>
      <c r="P423" s="55"/>
      <c r="Q423" s="55"/>
      <c r="R423" s="55"/>
      <c r="S423" s="55"/>
      <c r="T423" s="55"/>
      <c r="U423" s="55"/>
    </row>
    <row r="424" spans="1:21" ht="19.5" hidden="1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373">
        <f ca="1">IFERROR(__xludf.DUMMYFUNCTION("IMPORTRANGE(""https://docs.google.com/spreadsheets/d/1eHaY18a8A9IcSdp1K8H6x8fbOy06t2VsZHhMHf-1x7Y/edit?usp=sharing"",""แผน!HJ32"")"),0)</f>
        <v>0</v>
      </c>
      <c r="J424" s="373">
        <f>J426+J428+J430</f>
        <v>0</v>
      </c>
      <c r="K424" s="540">
        <f ca="1">IF(I424&gt;0,J424*100/I424,0)</f>
        <v>0</v>
      </c>
      <c r="L424" s="62"/>
      <c r="M424" s="55"/>
      <c r="N424" s="55"/>
      <c r="O424" s="55"/>
      <c r="P424" s="55"/>
      <c r="Q424" s="55"/>
      <c r="R424" s="55"/>
      <c r="S424" s="55"/>
      <c r="T424" s="55"/>
      <c r="U424" s="55"/>
    </row>
    <row r="425" spans="1:21" ht="19.5" hidden="1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373">
        <f ca="1">IFERROR(__xludf.DUMMYFUNCTION("IMPORTRANGE(""https://docs.google.com/spreadsheets/d/1eHaY18a8A9IcSdp1K8H6x8fbOy06t2VsZHhMHf-1x7Y/edit?usp=sharing"",""แผน!HK32"")"),0)</f>
        <v>0</v>
      </c>
      <c r="J425" s="373">
        <f>J427+J429+J431</f>
        <v>0</v>
      </c>
      <c r="K425" s="540">
        <f ca="1">IF(I425&gt;0,J425*100/I425,0)</f>
        <v>0</v>
      </c>
      <c r="L425" s="62"/>
      <c r="M425" s="55"/>
      <c r="N425" s="55"/>
      <c r="O425" s="55"/>
      <c r="P425" s="55"/>
      <c r="Q425" s="55"/>
      <c r="R425" s="55"/>
      <c r="S425" s="55"/>
      <c r="T425" s="55"/>
      <c r="U425" s="55"/>
    </row>
    <row r="426" spans="1:21" ht="18.75" hidden="1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54"/>
      <c r="K426" s="55"/>
      <c r="L426" s="62"/>
      <c r="M426" s="55"/>
      <c r="N426" s="55"/>
      <c r="O426" s="55"/>
      <c r="P426" s="55"/>
      <c r="Q426" s="55"/>
      <c r="R426" s="55"/>
      <c r="S426" s="55"/>
      <c r="T426" s="55"/>
      <c r="U426" s="55"/>
    </row>
    <row r="427" spans="1:21" ht="18.75" hidden="1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54"/>
      <c r="K427" s="55"/>
      <c r="L427" s="62"/>
      <c r="M427" s="55"/>
      <c r="N427" s="55"/>
      <c r="O427" s="55"/>
      <c r="P427" s="55"/>
      <c r="Q427" s="55"/>
      <c r="R427" s="55"/>
      <c r="S427" s="55"/>
      <c r="T427" s="55"/>
      <c r="U427" s="55"/>
    </row>
    <row r="428" spans="1:21" ht="18.75" hidden="1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54"/>
      <c r="K428" s="55"/>
      <c r="L428" s="62"/>
      <c r="M428" s="55"/>
      <c r="N428" s="55"/>
      <c r="O428" s="55"/>
      <c r="P428" s="55"/>
      <c r="Q428" s="55"/>
      <c r="R428" s="55"/>
      <c r="S428" s="55"/>
      <c r="T428" s="55"/>
      <c r="U428" s="55"/>
    </row>
    <row r="429" spans="1:21" ht="18.75" hidden="1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54"/>
      <c r="K429" s="55"/>
      <c r="L429" s="62"/>
      <c r="M429" s="55"/>
      <c r="N429" s="55"/>
      <c r="O429" s="55"/>
      <c r="P429" s="55"/>
      <c r="Q429" s="55"/>
      <c r="R429" s="55"/>
      <c r="S429" s="55"/>
      <c r="T429" s="55"/>
      <c r="U429" s="55"/>
    </row>
    <row r="430" spans="1:21" ht="18.75" hidden="1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54"/>
      <c r="K430" s="55"/>
      <c r="L430" s="62"/>
      <c r="M430" s="55"/>
      <c r="N430" s="55"/>
      <c r="O430" s="55"/>
      <c r="P430" s="55"/>
      <c r="Q430" s="55"/>
      <c r="R430" s="55"/>
      <c r="S430" s="55"/>
      <c r="T430" s="55"/>
      <c r="U430" s="55"/>
    </row>
    <row r="431" spans="1:21" ht="18.75" hidden="1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54"/>
      <c r="K431" s="55"/>
      <c r="L431" s="62"/>
      <c r="M431" s="55"/>
      <c r="N431" s="55"/>
      <c r="O431" s="55"/>
      <c r="P431" s="55"/>
      <c r="Q431" s="55"/>
      <c r="R431" s="55"/>
      <c r="S431" s="55"/>
      <c r="T431" s="55"/>
      <c r="U431" s="55"/>
    </row>
    <row r="432" spans="1:21" ht="19.5" hidden="1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373">
        <f ca="1">IFERROR(__xludf.DUMMYFUNCTION("IMPORTRANGE(""https://docs.google.com/spreadsheets/d/1eHaY18a8A9IcSdp1K8H6x8fbOy06t2VsZHhMHf-1x7Y/edit?usp=sharing"",""แผน!HJ32"")"),0)</f>
        <v>0</v>
      </c>
      <c r="J432" s="373">
        <f>J434+J436+J438</f>
        <v>0</v>
      </c>
      <c r="K432" s="540">
        <f ca="1">IF(I432&gt;0,J432*100/I432,0)</f>
        <v>0</v>
      </c>
      <c r="L432" s="62"/>
      <c r="M432" s="55"/>
      <c r="N432" s="55"/>
      <c r="O432" s="55"/>
      <c r="P432" s="55"/>
      <c r="Q432" s="55"/>
      <c r="R432" s="55"/>
      <c r="S432" s="55"/>
      <c r="T432" s="55"/>
      <c r="U432" s="55"/>
    </row>
    <row r="433" spans="1:21" ht="19.5" hidden="1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373">
        <f ca="1">IFERROR(__xludf.DUMMYFUNCTION("IMPORTRANGE(""https://docs.google.com/spreadsheets/d/1eHaY18a8A9IcSdp1K8H6x8fbOy06t2VsZHhMHf-1x7Y/edit?usp=sharing"",""แผน!HK32"")"),0)</f>
        <v>0</v>
      </c>
      <c r="J433" s="373">
        <f>J435+J437+J439</f>
        <v>0</v>
      </c>
      <c r="K433" s="540">
        <f ca="1">IF(I433&gt;0,J433*100/I433,0)</f>
        <v>0</v>
      </c>
      <c r="L433" s="62"/>
      <c r="M433" s="55"/>
      <c r="N433" s="55"/>
      <c r="O433" s="55"/>
      <c r="P433" s="55"/>
      <c r="Q433" s="55"/>
      <c r="R433" s="55"/>
      <c r="S433" s="55"/>
      <c r="T433" s="55"/>
      <c r="U433" s="55"/>
    </row>
    <row r="434" spans="1:21" ht="18.75" hidden="1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54"/>
      <c r="K434" s="55"/>
      <c r="L434" s="62"/>
      <c r="M434" s="55"/>
      <c r="N434" s="55"/>
      <c r="O434" s="55"/>
      <c r="P434" s="55"/>
      <c r="Q434" s="55"/>
      <c r="R434" s="55"/>
      <c r="S434" s="55"/>
      <c r="T434" s="55"/>
      <c r="U434" s="55"/>
    </row>
    <row r="435" spans="1:21" ht="18.75" hidden="1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54"/>
      <c r="K435" s="55"/>
      <c r="L435" s="62"/>
      <c r="M435" s="55"/>
      <c r="N435" s="55"/>
      <c r="O435" s="55"/>
      <c r="P435" s="55"/>
      <c r="Q435" s="55"/>
      <c r="R435" s="55"/>
      <c r="S435" s="55"/>
      <c r="T435" s="55"/>
      <c r="U435" s="55"/>
    </row>
    <row r="436" spans="1:21" ht="18.75" hidden="1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54"/>
      <c r="K436" s="55"/>
      <c r="L436" s="62"/>
      <c r="M436" s="55"/>
      <c r="N436" s="55"/>
      <c r="O436" s="55"/>
      <c r="P436" s="55"/>
      <c r="Q436" s="55"/>
      <c r="R436" s="55"/>
      <c r="S436" s="55"/>
      <c r="T436" s="55"/>
      <c r="U436" s="55"/>
    </row>
    <row r="437" spans="1:21" ht="18.75" hidden="1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54"/>
      <c r="K437" s="55"/>
      <c r="L437" s="62"/>
      <c r="M437" s="55"/>
      <c r="N437" s="55"/>
      <c r="O437" s="55"/>
      <c r="P437" s="55"/>
      <c r="Q437" s="55"/>
      <c r="R437" s="55"/>
      <c r="S437" s="55"/>
      <c r="T437" s="55"/>
      <c r="U437" s="55"/>
    </row>
    <row r="438" spans="1:21" ht="18.75" hidden="1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54"/>
      <c r="K438" s="55"/>
      <c r="L438" s="62"/>
      <c r="M438" s="55"/>
      <c r="N438" s="55"/>
      <c r="O438" s="55"/>
      <c r="P438" s="55"/>
      <c r="Q438" s="55"/>
      <c r="R438" s="55"/>
      <c r="S438" s="55"/>
      <c r="T438" s="55"/>
      <c r="U438" s="55"/>
    </row>
    <row r="439" spans="1:21" ht="18.75" hidden="1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54"/>
      <c r="K439" s="55"/>
      <c r="L439" s="62"/>
      <c r="M439" s="55"/>
      <c r="N439" s="55"/>
      <c r="O439" s="55"/>
      <c r="P439" s="55"/>
      <c r="Q439" s="55"/>
      <c r="R439" s="55"/>
      <c r="S439" s="55"/>
      <c r="T439" s="55"/>
      <c r="U439" s="55"/>
    </row>
    <row r="440" spans="1:21" ht="19.5" hidden="1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373">
        <f ca="1">IFERROR(__xludf.DUMMYFUNCTION("IMPORTRANGE(""https://docs.google.com/spreadsheets/d/1eHaY18a8A9IcSdp1K8H6x8fbOy06t2VsZHhMHf-1x7Y/edit?usp=sharing"",""แผน!HJ32"")"),0)</f>
        <v>0</v>
      </c>
      <c r="J440" s="373">
        <f>J442+J444+J446+J452+J454</f>
        <v>0</v>
      </c>
      <c r="K440" s="540">
        <f ca="1">IF(I440&gt;0,J440*100/I440,0)</f>
        <v>0</v>
      </c>
      <c r="L440" s="62"/>
      <c r="M440" s="55"/>
      <c r="N440" s="55"/>
      <c r="O440" s="55"/>
      <c r="P440" s="55"/>
      <c r="Q440" s="55"/>
      <c r="R440" s="55"/>
      <c r="S440" s="55"/>
      <c r="T440" s="55"/>
      <c r="U440" s="55"/>
    </row>
    <row r="441" spans="1:21" ht="19.5" hidden="1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373">
        <f ca="1">IFERROR(__xludf.DUMMYFUNCTION("IMPORTRANGE(""https://docs.google.com/spreadsheets/d/1eHaY18a8A9IcSdp1K8H6x8fbOy06t2VsZHhMHf-1x7Y/edit?usp=sharing"",""แผน!HK32"")"),0)</f>
        <v>0</v>
      </c>
      <c r="J441" s="373">
        <f>J443+J445+J447+J453+J455</f>
        <v>0</v>
      </c>
      <c r="K441" s="540">
        <f ca="1">IF(I441&gt;0,J441*100/I441,0)</f>
        <v>0</v>
      </c>
      <c r="L441" s="62"/>
      <c r="M441" s="55"/>
      <c r="N441" s="55"/>
      <c r="O441" s="55"/>
      <c r="P441" s="55"/>
      <c r="Q441" s="55"/>
      <c r="R441" s="55"/>
      <c r="S441" s="55"/>
      <c r="T441" s="55"/>
      <c r="U441" s="55"/>
    </row>
    <row r="442" spans="1:21" ht="18.75" hidden="1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54"/>
      <c r="K442" s="55"/>
      <c r="L442" s="62"/>
      <c r="M442" s="55"/>
      <c r="N442" s="55"/>
      <c r="O442" s="55"/>
      <c r="P442" s="55"/>
      <c r="Q442" s="55"/>
      <c r="R442" s="55"/>
      <c r="S442" s="55"/>
      <c r="T442" s="55"/>
      <c r="U442" s="55"/>
    </row>
    <row r="443" spans="1:21" ht="18.75" hidden="1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54"/>
      <c r="K443" s="55"/>
      <c r="L443" s="62"/>
      <c r="M443" s="55"/>
      <c r="N443" s="55"/>
      <c r="O443" s="55"/>
      <c r="P443" s="55"/>
      <c r="Q443" s="55"/>
      <c r="R443" s="55"/>
      <c r="S443" s="55"/>
      <c r="T443" s="55"/>
      <c r="U443" s="55"/>
    </row>
    <row r="444" spans="1:21" ht="18.75" hidden="1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54"/>
      <c r="K444" s="55"/>
      <c r="L444" s="62"/>
      <c r="M444" s="55"/>
      <c r="N444" s="55"/>
      <c r="O444" s="55"/>
      <c r="P444" s="55"/>
      <c r="Q444" s="55"/>
      <c r="R444" s="55"/>
      <c r="S444" s="55"/>
      <c r="T444" s="55"/>
      <c r="U444" s="55"/>
    </row>
    <row r="445" spans="1:21" ht="18.75" hidden="1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54"/>
      <c r="K445" s="55"/>
      <c r="L445" s="62"/>
      <c r="M445" s="55"/>
      <c r="N445" s="55"/>
      <c r="O445" s="55"/>
      <c r="P445" s="55"/>
      <c r="Q445" s="55"/>
      <c r="R445" s="55"/>
      <c r="S445" s="55"/>
      <c r="T445" s="55"/>
      <c r="U445" s="55"/>
    </row>
    <row r="446" spans="1:21" ht="19.5" hidden="1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373">
        <f>J448+J450</f>
        <v>0</v>
      </c>
      <c r="K446" s="55"/>
      <c r="L446" s="62"/>
      <c r="M446" s="55"/>
      <c r="N446" s="55"/>
      <c r="O446" s="55"/>
      <c r="P446" s="55"/>
      <c r="Q446" s="55"/>
      <c r="R446" s="55"/>
      <c r="S446" s="55"/>
      <c r="T446" s="55"/>
      <c r="U446" s="55"/>
    </row>
    <row r="447" spans="1:21" ht="19.5" hidden="1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373">
        <f>J449+J451</f>
        <v>0</v>
      </c>
      <c r="K447" s="55"/>
      <c r="L447" s="62"/>
      <c r="M447" s="55"/>
      <c r="N447" s="55"/>
      <c r="O447" s="55"/>
      <c r="P447" s="55"/>
      <c r="Q447" s="55"/>
      <c r="R447" s="55"/>
      <c r="S447" s="55"/>
      <c r="T447" s="55"/>
      <c r="U447" s="55"/>
    </row>
    <row r="448" spans="1:21" ht="18.75" hidden="1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54"/>
      <c r="K448" s="55"/>
      <c r="L448" s="62"/>
      <c r="M448" s="55"/>
      <c r="N448" s="55"/>
      <c r="O448" s="55"/>
      <c r="P448" s="55"/>
      <c r="Q448" s="55"/>
      <c r="R448" s="55"/>
      <c r="S448" s="55"/>
      <c r="T448" s="55"/>
      <c r="U448" s="55"/>
    </row>
    <row r="449" spans="1:21" ht="18.75" hidden="1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54"/>
      <c r="K449" s="55"/>
      <c r="L449" s="62"/>
      <c r="M449" s="55"/>
      <c r="N449" s="55"/>
      <c r="O449" s="55"/>
      <c r="P449" s="55"/>
      <c r="Q449" s="55"/>
      <c r="R449" s="55"/>
      <c r="S449" s="55"/>
      <c r="T449" s="55"/>
      <c r="U449" s="55"/>
    </row>
    <row r="450" spans="1:21" ht="18.75" hidden="1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54"/>
      <c r="K450" s="55"/>
      <c r="L450" s="62"/>
      <c r="M450" s="55"/>
      <c r="N450" s="55"/>
      <c r="O450" s="55"/>
      <c r="P450" s="55"/>
      <c r="Q450" s="55"/>
      <c r="R450" s="55"/>
      <c r="S450" s="55"/>
      <c r="T450" s="55"/>
      <c r="U450" s="55"/>
    </row>
    <row r="451" spans="1:21" ht="18.75" hidden="1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54"/>
      <c r="K451" s="55"/>
      <c r="L451" s="62"/>
      <c r="M451" s="55"/>
      <c r="N451" s="55"/>
      <c r="O451" s="55"/>
      <c r="P451" s="55"/>
      <c r="Q451" s="55"/>
      <c r="R451" s="55"/>
      <c r="S451" s="55"/>
      <c r="T451" s="55"/>
      <c r="U451" s="55"/>
    </row>
    <row r="452" spans="1:21" ht="18.75" hidden="1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54"/>
      <c r="K452" s="55"/>
      <c r="L452" s="62"/>
      <c r="M452" s="55"/>
      <c r="N452" s="55"/>
      <c r="O452" s="55"/>
      <c r="P452" s="55"/>
      <c r="Q452" s="55"/>
      <c r="R452" s="55"/>
      <c r="S452" s="55"/>
      <c r="T452" s="55"/>
      <c r="U452" s="55"/>
    </row>
    <row r="453" spans="1:21" ht="18.75" hidden="1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54"/>
      <c r="K453" s="55"/>
      <c r="L453" s="62"/>
      <c r="M453" s="55"/>
      <c r="N453" s="55"/>
      <c r="O453" s="55"/>
      <c r="P453" s="55"/>
      <c r="Q453" s="55"/>
      <c r="R453" s="55"/>
      <c r="S453" s="55"/>
      <c r="T453" s="55"/>
      <c r="U453" s="55"/>
    </row>
    <row r="454" spans="1:21" ht="18.75" hidden="1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606"/>
      <c r="K454" s="55"/>
      <c r="L454" s="62"/>
      <c r="M454" s="55"/>
      <c r="N454" s="55"/>
      <c r="O454" s="55"/>
      <c r="P454" s="55"/>
      <c r="Q454" s="55"/>
      <c r="R454" s="55"/>
      <c r="S454" s="55"/>
      <c r="T454" s="55"/>
      <c r="U454" s="55"/>
    </row>
    <row r="455" spans="1:21" ht="18.75" hidden="1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54"/>
      <c r="K455" s="55"/>
      <c r="L455" s="62"/>
      <c r="M455" s="55"/>
      <c r="N455" s="55"/>
      <c r="O455" s="55"/>
      <c r="P455" s="55"/>
      <c r="Q455" s="55"/>
      <c r="R455" s="55"/>
      <c r="S455" s="55"/>
      <c r="T455" s="55"/>
      <c r="U455" s="55"/>
    </row>
    <row r="456" spans="1:21" ht="19.5" hidden="1">
      <c r="A456" s="238"/>
      <c r="B456" s="191" t="s">
        <v>178</v>
      </c>
      <c r="C456" s="188"/>
      <c r="D456" s="188"/>
      <c r="E456" s="188"/>
      <c r="F456" s="188"/>
      <c r="G456" s="208"/>
      <c r="H456" s="368" t="s">
        <v>46</v>
      </c>
      <c r="I456" s="373">
        <f ca="1">I457</f>
        <v>0</v>
      </c>
      <c r="J456" s="373">
        <f>J457</f>
        <v>0</v>
      </c>
      <c r="K456" s="540">
        <f ca="1">IF(I456&gt;0,J456*100/I456,0)</f>
        <v>0</v>
      </c>
      <c r="L456" s="62"/>
      <c r="M456" s="55"/>
      <c r="N456" s="55"/>
      <c r="O456" s="55"/>
      <c r="P456" s="55"/>
      <c r="Q456" s="55"/>
      <c r="R456" s="55"/>
      <c r="S456" s="55"/>
      <c r="T456" s="55"/>
      <c r="U456" s="55"/>
    </row>
    <row r="457" spans="1:21" ht="19.5" hidden="1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373">
        <f ca="1">IFERROR(__xludf.DUMMYFUNCTION("IMPORTRANGE(""https://docs.google.com/spreadsheets/d/1eHaY18a8A9IcSdp1K8H6x8fbOy06t2VsZHhMHf-1x7Y/edit?usp=sharing"",""แผน!HL32"")"),0)</f>
        <v>0</v>
      </c>
      <c r="J457" s="373">
        <f>J459+J467+J473</f>
        <v>0</v>
      </c>
      <c r="K457" s="540">
        <f ca="1">IF(I457&gt;0,J457*100/I457,0)</f>
        <v>0</v>
      </c>
      <c r="L457" s="62"/>
      <c r="M457" s="55"/>
      <c r="N457" s="55"/>
      <c r="O457" s="55"/>
      <c r="P457" s="55"/>
      <c r="Q457" s="55"/>
      <c r="R457" s="55"/>
      <c r="S457" s="55"/>
      <c r="T457" s="55"/>
      <c r="U457" s="55"/>
    </row>
    <row r="458" spans="1:21" ht="19.5" hidden="1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373">
        <f ca="1">IFERROR(__xludf.DUMMYFUNCTION("IMPORTRANGE(""https://docs.google.com/spreadsheets/d/1eHaY18a8A9IcSdp1K8H6x8fbOy06t2VsZHhMHf-1x7Y/edit?usp=sharing"",""แผน!HM32"")"),0)</f>
        <v>0</v>
      </c>
      <c r="J458" s="373">
        <f>J460+J468+J474</f>
        <v>0</v>
      </c>
      <c r="K458" s="540">
        <f ca="1">IF(I458&gt;0,J458*100/I458,0)</f>
        <v>0</v>
      </c>
      <c r="L458" s="62"/>
      <c r="M458" s="55"/>
      <c r="N458" s="55"/>
      <c r="O458" s="55"/>
      <c r="P458" s="55"/>
      <c r="Q458" s="55"/>
      <c r="R458" s="55"/>
      <c r="S458" s="55"/>
      <c r="T458" s="55"/>
      <c r="U458" s="55"/>
    </row>
    <row r="459" spans="1:21" ht="18.75" hidden="1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212">
        <f>J461+J463</f>
        <v>0</v>
      </c>
      <c r="K459" s="55"/>
      <c r="L459" s="62"/>
      <c r="M459" s="55"/>
      <c r="N459" s="55"/>
      <c r="O459" s="55"/>
      <c r="P459" s="55"/>
      <c r="Q459" s="55"/>
      <c r="R459" s="55"/>
      <c r="S459" s="55"/>
      <c r="T459" s="55"/>
      <c r="U459" s="55"/>
    </row>
    <row r="460" spans="1:21" ht="18.75" hidden="1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212">
        <f>J462+J464</f>
        <v>0</v>
      </c>
      <c r="K460" s="55"/>
      <c r="L460" s="62"/>
      <c r="M460" s="55"/>
      <c r="N460" s="55"/>
      <c r="O460" s="55"/>
      <c r="P460" s="55"/>
      <c r="Q460" s="55"/>
      <c r="R460" s="55"/>
      <c r="S460" s="55"/>
      <c r="T460" s="55"/>
      <c r="U460" s="55"/>
    </row>
    <row r="461" spans="1:21" ht="18.75" hidden="1">
      <c r="A461" s="238"/>
      <c r="B461" s="188"/>
      <c r="C461" s="188"/>
      <c r="D461" s="371" t="s">
        <v>181</v>
      </c>
      <c r="E461" s="188"/>
      <c r="F461" s="188"/>
      <c r="G461" s="208"/>
      <c r="H461" s="161" t="s">
        <v>46</v>
      </c>
      <c r="I461" s="54"/>
      <c r="J461" s="54"/>
      <c r="K461" s="55"/>
      <c r="L461" s="62"/>
      <c r="M461" s="55"/>
      <c r="N461" s="55"/>
      <c r="O461" s="55"/>
      <c r="P461" s="55"/>
      <c r="Q461" s="55"/>
      <c r="R461" s="55"/>
      <c r="S461" s="55"/>
      <c r="T461" s="55"/>
      <c r="U461" s="55"/>
    </row>
    <row r="462" spans="1:21" ht="18.75" hidden="1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54"/>
      <c r="K462" s="55"/>
      <c r="L462" s="62"/>
      <c r="M462" s="55"/>
      <c r="N462" s="55"/>
      <c r="O462" s="55"/>
      <c r="P462" s="55"/>
      <c r="Q462" s="55"/>
      <c r="R462" s="55"/>
      <c r="S462" s="55"/>
      <c r="T462" s="55"/>
      <c r="U462" s="55"/>
    </row>
    <row r="463" spans="1:21" ht="18.75" hidden="1">
      <c r="A463" s="238"/>
      <c r="B463" s="188"/>
      <c r="C463" s="188"/>
      <c r="D463" s="371" t="s">
        <v>182</v>
      </c>
      <c r="E463" s="188"/>
      <c r="F463" s="188"/>
      <c r="G463" s="208"/>
      <c r="H463" s="161" t="s">
        <v>46</v>
      </c>
      <c r="I463" s="54"/>
      <c r="J463" s="54"/>
      <c r="K463" s="55"/>
      <c r="L463" s="62"/>
      <c r="M463" s="55"/>
      <c r="N463" s="55"/>
      <c r="O463" s="55"/>
      <c r="P463" s="55"/>
      <c r="Q463" s="55"/>
      <c r="R463" s="55"/>
      <c r="S463" s="55"/>
      <c r="T463" s="55"/>
      <c r="U463" s="55"/>
    </row>
    <row r="464" spans="1:21" ht="18.75" hidden="1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54"/>
      <c r="K464" s="55"/>
      <c r="L464" s="62"/>
      <c r="M464" s="55"/>
      <c r="N464" s="55"/>
      <c r="O464" s="55"/>
      <c r="P464" s="55"/>
      <c r="Q464" s="55"/>
      <c r="R464" s="55"/>
      <c r="S464" s="55"/>
      <c r="T464" s="55"/>
      <c r="U464" s="55"/>
    </row>
    <row r="465" spans="1:21" ht="18.75" hidden="1">
      <c r="A465" s="238"/>
      <c r="B465" s="188"/>
      <c r="C465" s="188"/>
      <c r="D465" s="371" t="s">
        <v>183</v>
      </c>
      <c r="E465" s="188"/>
      <c r="F465" s="188"/>
      <c r="G465" s="208"/>
      <c r="H465" s="161" t="s">
        <v>46</v>
      </c>
      <c r="I465" s="54"/>
      <c r="J465" s="54"/>
      <c r="K465" s="55"/>
      <c r="L465" s="62"/>
      <c r="M465" s="55"/>
      <c r="N465" s="55"/>
      <c r="O465" s="55"/>
      <c r="P465" s="55"/>
      <c r="Q465" s="55"/>
      <c r="R465" s="55"/>
      <c r="S465" s="55"/>
      <c r="T465" s="55"/>
      <c r="U465" s="55"/>
    </row>
    <row r="466" spans="1:21" ht="18.75" hidden="1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54"/>
      <c r="K466" s="55"/>
      <c r="L466" s="62"/>
      <c r="M466" s="55"/>
      <c r="N466" s="55"/>
      <c r="O466" s="55"/>
      <c r="P466" s="55"/>
      <c r="Q466" s="55"/>
      <c r="R466" s="55"/>
      <c r="S466" s="55"/>
      <c r="T466" s="55"/>
      <c r="U466" s="55"/>
    </row>
    <row r="467" spans="1:21" ht="18.75" hidden="1">
      <c r="A467" s="238"/>
      <c r="B467" s="188"/>
      <c r="C467" s="371" t="s">
        <v>184</v>
      </c>
      <c r="D467" s="188"/>
      <c r="E467" s="188"/>
      <c r="F467" s="188"/>
      <c r="G467" s="208"/>
      <c r="H467" s="161" t="s">
        <v>46</v>
      </c>
      <c r="I467" s="54"/>
      <c r="J467" s="212">
        <f>J469+J471</f>
        <v>0</v>
      </c>
      <c r="K467" s="55"/>
      <c r="L467" s="62"/>
      <c r="M467" s="55"/>
      <c r="N467" s="55"/>
      <c r="O467" s="55"/>
      <c r="P467" s="55"/>
      <c r="Q467" s="55"/>
      <c r="R467" s="55"/>
      <c r="S467" s="55"/>
      <c r="T467" s="55"/>
      <c r="U467" s="55"/>
    </row>
    <row r="468" spans="1:21" ht="18.75" hidden="1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212">
        <f>J470+J472</f>
        <v>0</v>
      </c>
      <c r="K468" s="55"/>
      <c r="L468" s="62"/>
      <c r="M468" s="55"/>
      <c r="N468" s="55"/>
      <c r="O468" s="55"/>
      <c r="P468" s="55"/>
      <c r="Q468" s="55"/>
      <c r="R468" s="55"/>
      <c r="S468" s="55"/>
      <c r="T468" s="55"/>
      <c r="U468" s="55"/>
    </row>
    <row r="469" spans="1:21" ht="18.75" hidden="1">
      <c r="A469" s="238"/>
      <c r="B469" s="188"/>
      <c r="C469" s="188"/>
      <c r="D469" s="371" t="s">
        <v>185</v>
      </c>
      <c r="E469" s="188"/>
      <c r="F469" s="188"/>
      <c r="G469" s="208"/>
      <c r="H469" s="161" t="s">
        <v>46</v>
      </c>
      <c r="I469" s="54"/>
      <c r="J469" s="54"/>
      <c r="K469" s="55"/>
      <c r="L469" s="62"/>
      <c r="M469" s="55"/>
      <c r="N469" s="55"/>
      <c r="O469" s="55"/>
      <c r="P469" s="55"/>
      <c r="Q469" s="55"/>
      <c r="R469" s="55"/>
      <c r="S469" s="55"/>
      <c r="T469" s="55"/>
      <c r="U469" s="55"/>
    </row>
    <row r="470" spans="1:21" ht="18.75" hidden="1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54"/>
      <c r="K470" s="55"/>
      <c r="L470" s="62"/>
      <c r="M470" s="55"/>
      <c r="N470" s="55"/>
      <c r="O470" s="55"/>
      <c r="P470" s="55"/>
      <c r="Q470" s="55"/>
      <c r="R470" s="55"/>
      <c r="S470" s="55"/>
      <c r="T470" s="55"/>
      <c r="U470" s="55"/>
    </row>
    <row r="471" spans="1:21" ht="18.75" hidden="1">
      <c r="A471" s="238"/>
      <c r="B471" s="188"/>
      <c r="C471" s="188"/>
      <c r="D471" s="371" t="s">
        <v>186</v>
      </c>
      <c r="E471" s="188"/>
      <c r="F471" s="188"/>
      <c r="G471" s="208"/>
      <c r="H471" s="161" t="s">
        <v>46</v>
      </c>
      <c r="I471" s="54"/>
      <c r="J471" s="54"/>
      <c r="K471" s="55"/>
      <c r="L471" s="62"/>
      <c r="M471" s="55"/>
      <c r="N471" s="55"/>
      <c r="O471" s="55"/>
      <c r="P471" s="55"/>
      <c r="Q471" s="55"/>
      <c r="R471" s="55"/>
      <c r="S471" s="55"/>
      <c r="T471" s="55"/>
      <c r="U471" s="55"/>
    </row>
    <row r="472" spans="1:21" ht="18.75" hidden="1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54"/>
      <c r="K472" s="55"/>
      <c r="L472" s="62"/>
      <c r="M472" s="55"/>
      <c r="N472" s="55"/>
      <c r="O472" s="55"/>
      <c r="P472" s="55"/>
      <c r="Q472" s="55"/>
      <c r="R472" s="55"/>
      <c r="S472" s="55"/>
      <c r="T472" s="55"/>
      <c r="U472" s="55"/>
    </row>
    <row r="473" spans="1:21" ht="18.75" hidden="1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54"/>
      <c r="K473" s="55"/>
      <c r="L473" s="62"/>
      <c r="M473" s="55"/>
      <c r="N473" s="55"/>
      <c r="O473" s="55"/>
      <c r="P473" s="55"/>
      <c r="Q473" s="55"/>
      <c r="R473" s="55"/>
      <c r="S473" s="55"/>
      <c r="T473" s="55"/>
      <c r="U473" s="55"/>
    </row>
    <row r="474" spans="1:21" ht="18.75" hidden="1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54"/>
      <c r="K474" s="55"/>
      <c r="L474" s="62"/>
      <c r="M474" s="55"/>
      <c r="N474" s="55"/>
      <c r="O474" s="55"/>
      <c r="P474" s="55"/>
      <c r="Q474" s="55"/>
      <c r="R474" s="55"/>
      <c r="S474" s="55"/>
      <c r="T474" s="55"/>
      <c r="U474" s="55"/>
    </row>
    <row r="475" spans="1:21" ht="19.5" hidden="1">
      <c r="A475" s="238"/>
      <c r="B475" s="372" t="s">
        <v>188</v>
      </c>
      <c r="C475" s="188"/>
      <c r="D475" s="188"/>
      <c r="E475" s="188"/>
      <c r="F475" s="188"/>
      <c r="G475" s="208"/>
      <c r="H475" s="158" t="s">
        <v>46</v>
      </c>
      <c r="I475" s="373">
        <v>0</v>
      </c>
      <c r="J475" s="373">
        <f>J478+J480</f>
        <v>0</v>
      </c>
      <c r="K475" s="540">
        <f>IF(I475&gt;0,J475*100/I475,0)</f>
        <v>0</v>
      </c>
      <c r="L475" s="62"/>
      <c r="M475" s="55"/>
      <c r="N475" s="55"/>
      <c r="O475" s="55"/>
      <c r="P475" s="55"/>
      <c r="Q475" s="55"/>
      <c r="R475" s="55"/>
      <c r="S475" s="55"/>
      <c r="T475" s="55"/>
      <c r="U475" s="55"/>
    </row>
    <row r="476" spans="1:21" ht="19.5" hidden="1">
      <c r="A476" s="238"/>
      <c r="B476" s="188"/>
      <c r="C476" s="191" t="s">
        <v>189</v>
      </c>
      <c r="D476" s="188"/>
      <c r="E476" s="188"/>
      <c r="F476" s="188"/>
      <c r="G476" s="208"/>
      <c r="H476" s="158" t="s">
        <v>46</v>
      </c>
      <c r="I476" s="373">
        <v>0</v>
      </c>
      <c r="J476" s="373">
        <f>J478+J480</f>
        <v>0</v>
      </c>
      <c r="K476" s="540">
        <f>IF(I476&gt;0,J476*100/I476,0)</f>
        <v>0</v>
      </c>
      <c r="L476" s="62"/>
      <c r="M476" s="55"/>
      <c r="N476" s="55"/>
      <c r="O476" s="55"/>
      <c r="P476" s="55"/>
      <c r="Q476" s="55"/>
      <c r="R476" s="55"/>
      <c r="S476" s="55"/>
      <c r="T476" s="55"/>
      <c r="U476" s="55"/>
    </row>
    <row r="477" spans="1:21" ht="19.5" hidden="1">
      <c r="A477" s="238"/>
      <c r="B477" s="188"/>
      <c r="C477" s="239" t="s">
        <v>190</v>
      </c>
      <c r="D477" s="188"/>
      <c r="E477" s="188"/>
      <c r="F477" s="188"/>
      <c r="G477" s="208"/>
      <c r="H477" s="158" t="s">
        <v>34</v>
      </c>
      <c r="I477" s="373">
        <v>0</v>
      </c>
      <c r="J477" s="373">
        <f>J479+J481</f>
        <v>0</v>
      </c>
      <c r="K477" s="540">
        <f>IF(I477&gt;0,J477*100/I477,0)</f>
        <v>0</v>
      </c>
      <c r="L477" s="62"/>
      <c r="M477" s="55"/>
      <c r="N477" s="55"/>
      <c r="O477" s="55"/>
      <c r="P477" s="55"/>
      <c r="Q477" s="55"/>
      <c r="R477" s="55"/>
      <c r="S477" s="55"/>
      <c r="T477" s="55"/>
      <c r="U477" s="55"/>
    </row>
    <row r="478" spans="1:21" ht="18.75" hidden="1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54"/>
      <c r="K478" s="55"/>
      <c r="L478" s="62"/>
      <c r="M478" s="55"/>
      <c r="N478" s="55"/>
      <c r="O478" s="55"/>
      <c r="P478" s="55"/>
      <c r="Q478" s="55"/>
      <c r="R478" s="55"/>
      <c r="S478" s="55"/>
      <c r="T478" s="55"/>
      <c r="U478" s="55"/>
    </row>
    <row r="479" spans="1:21" ht="18.75" hidden="1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54"/>
      <c r="K479" s="55"/>
      <c r="L479" s="62"/>
      <c r="M479" s="55"/>
      <c r="N479" s="55"/>
      <c r="O479" s="55"/>
      <c r="P479" s="55"/>
      <c r="Q479" s="55"/>
      <c r="R479" s="55"/>
      <c r="S479" s="55"/>
      <c r="T479" s="55"/>
      <c r="U479" s="55"/>
    </row>
    <row r="480" spans="1:21" ht="18.75" hidden="1">
      <c r="A480" s="238"/>
      <c r="B480" s="188"/>
      <c r="C480" s="188"/>
      <c r="D480" s="371" t="s">
        <v>192</v>
      </c>
      <c r="E480" s="188"/>
      <c r="F480" s="188"/>
      <c r="G480" s="208"/>
      <c r="H480" s="161" t="s">
        <v>46</v>
      </c>
      <c r="I480" s="54"/>
      <c r="J480" s="54"/>
      <c r="K480" s="55"/>
      <c r="L480" s="62"/>
      <c r="M480" s="55"/>
      <c r="N480" s="55"/>
      <c r="O480" s="55"/>
      <c r="P480" s="55"/>
      <c r="Q480" s="55"/>
      <c r="R480" s="55"/>
      <c r="S480" s="55"/>
      <c r="T480" s="55"/>
      <c r="U480" s="55"/>
    </row>
    <row r="481" spans="1:21" ht="18.75" hidden="1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54"/>
      <c r="K481" s="55"/>
      <c r="L481" s="62"/>
      <c r="M481" s="55"/>
      <c r="N481" s="55"/>
      <c r="O481" s="55"/>
      <c r="P481" s="55"/>
      <c r="Q481" s="55"/>
      <c r="R481" s="55"/>
      <c r="S481" s="55"/>
      <c r="T481" s="55"/>
      <c r="U481" s="55"/>
    </row>
    <row r="482" spans="1:21" ht="18.75" hidden="1">
      <c r="A482" s="238"/>
      <c r="B482" s="188"/>
      <c r="C482" s="188"/>
      <c r="D482" s="371" t="s">
        <v>193</v>
      </c>
      <c r="E482" s="188"/>
      <c r="F482" s="188"/>
      <c r="G482" s="208"/>
      <c r="H482" s="161" t="s">
        <v>46</v>
      </c>
      <c r="I482" s="54"/>
      <c r="J482" s="212">
        <f ca="1">IFERROR(__xludf.DUMMYFUNCTION("IMPORTRANGE(""https://docs.google.com/spreadsheets/d/1eHaY18a8A9IcSdp1K8H6x8fbOy06t2VsZHhMHf-1x7Y/edit?usp=sharing"",""แผน!HN32"")"),0)</f>
        <v>0</v>
      </c>
      <c r="K482" s="55"/>
      <c r="L482" s="62"/>
      <c r="M482" s="55"/>
      <c r="N482" s="55"/>
      <c r="O482" s="55"/>
      <c r="P482" s="55"/>
      <c r="Q482" s="55"/>
      <c r="R482" s="55"/>
      <c r="S482" s="55"/>
      <c r="T482" s="55"/>
      <c r="U482" s="55"/>
    </row>
    <row r="483" spans="1:21" ht="18.75" hidden="1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212">
        <f ca="1">IFERROR(__xludf.DUMMYFUNCTION("IMPORTRANGE(""https://docs.google.com/spreadsheets/d/1eHaY18a8A9IcSdp1K8H6x8fbOy06t2VsZHhMHf-1x7Y/edit?usp=sharing"",""แผน!HO32"")"),0)</f>
        <v>0</v>
      </c>
      <c r="K483" s="55"/>
      <c r="L483" s="62"/>
      <c r="M483" s="55"/>
      <c r="N483" s="55"/>
      <c r="O483" s="55"/>
      <c r="P483" s="55"/>
      <c r="Q483" s="55"/>
      <c r="R483" s="55"/>
      <c r="S483" s="55"/>
      <c r="T483" s="55"/>
      <c r="U483" s="55"/>
    </row>
    <row r="484" spans="1:21" ht="19.5" hidden="1">
      <c r="A484" s="238"/>
      <c r="B484" s="188"/>
      <c r="C484" s="191" t="s">
        <v>194</v>
      </c>
      <c r="D484" s="188"/>
      <c r="E484" s="188"/>
      <c r="F484" s="188"/>
      <c r="G484" s="208"/>
      <c r="H484" s="158" t="s">
        <v>46</v>
      </c>
      <c r="I484" s="54">
        <f>J480</f>
        <v>0</v>
      </c>
      <c r="J484" s="373">
        <f>J486+J488+J490</f>
        <v>0</v>
      </c>
      <c r="K484" s="540">
        <f>IF(I484&gt;0,J484*100/I484,0)</f>
        <v>0</v>
      </c>
      <c r="L484" s="62"/>
      <c r="M484" s="55"/>
      <c r="N484" s="55"/>
      <c r="O484" s="55"/>
      <c r="P484" s="55"/>
      <c r="Q484" s="55"/>
      <c r="R484" s="55"/>
      <c r="S484" s="55"/>
      <c r="T484" s="55"/>
      <c r="U484" s="55"/>
    </row>
    <row r="485" spans="1:21" ht="19.5" hidden="1">
      <c r="A485" s="238"/>
      <c r="B485" s="188"/>
      <c r="C485" s="239" t="s">
        <v>195</v>
      </c>
      <c r="D485" s="188"/>
      <c r="E485" s="188"/>
      <c r="F485" s="188"/>
      <c r="G485" s="208"/>
      <c r="H485" s="158" t="s">
        <v>34</v>
      </c>
      <c r="I485" s="54">
        <f>J481</f>
        <v>0</v>
      </c>
      <c r="J485" s="373">
        <f>J487+J489+J491</f>
        <v>0</v>
      </c>
      <c r="K485" s="540">
        <f>IF(I485&gt;0,J485*100/I485,0)</f>
        <v>0</v>
      </c>
      <c r="L485" s="62"/>
      <c r="M485" s="55"/>
      <c r="N485" s="55"/>
      <c r="O485" s="55"/>
      <c r="P485" s="55"/>
      <c r="Q485" s="55"/>
      <c r="R485" s="55"/>
      <c r="S485" s="55"/>
      <c r="T485" s="55"/>
      <c r="U485" s="55"/>
    </row>
    <row r="486" spans="1:21" ht="18.75" hidden="1">
      <c r="A486" s="238"/>
      <c r="B486" s="188"/>
      <c r="C486" s="188"/>
      <c r="D486" s="371" t="s">
        <v>196</v>
      </c>
      <c r="E486" s="188"/>
      <c r="F486" s="188"/>
      <c r="G486" s="208"/>
      <c r="H486" s="161" t="s">
        <v>46</v>
      </c>
      <c r="I486" s="54"/>
      <c r="J486" s="54"/>
      <c r="K486" s="55"/>
      <c r="L486" s="62"/>
      <c r="M486" s="55"/>
      <c r="N486" s="55"/>
      <c r="O486" s="55"/>
      <c r="P486" s="55"/>
      <c r="Q486" s="55"/>
      <c r="R486" s="55"/>
      <c r="S486" s="55"/>
      <c r="T486" s="55"/>
      <c r="U486" s="55"/>
    </row>
    <row r="487" spans="1:21" ht="18.75" hidden="1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54"/>
      <c r="K487" s="55"/>
      <c r="L487" s="62"/>
      <c r="M487" s="55"/>
      <c r="N487" s="55"/>
      <c r="O487" s="55"/>
      <c r="P487" s="55"/>
      <c r="Q487" s="55"/>
      <c r="R487" s="55"/>
      <c r="S487" s="55"/>
      <c r="T487" s="55"/>
      <c r="U487" s="55"/>
    </row>
    <row r="488" spans="1:21" ht="18.75" hidden="1">
      <c r="A488" s="238"/>
      <c r="B488" s="188"/>
      <c r="C488" s="188"/>
      <c r="D488" s="371" t="s">
        <v>197</v>
      </c>
      <c r="E488" s="188"/>
      <c r="F488" s="188"/>
      <c r="G488" s="208"/>
      <c r="H488" s="161" t="s">
        <v>46</v>
      </c>
      <c r="I488" s="54"/>
      <c r="J488" s="54"/>
      <c r="K488" s="55"/>
      <c r="L488" s="62"/>
      <c r="M488" s="55"/>
      <c r="N488" s="55"/>
      <c r="O488" s="55"/>
      <c r="P488" s="55"/>
      <c r="Q488" s="55"/>
      <c r="R488" s="55"/>
      <c r="S488" s="55"/>
      <c r="T488" s="55"/>
      <c r="U488" s="55"/>
    </row>
    <row r="489" spans="1:21" ht="18.75" hidden="1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54"/>
      <c r="K489" s="55"/>
      <c r="L489" s="62"/>
      <c r="M489" s="55"/>
      <c r="N489" s="55"/>
      <c r="O489" s="55"/>
      <c r="P489" s="55"/>
      <c r="Q489" s="55"/>
      <c r="R489" s="55"/>
      <c r="S489" s="55"/>
      <c r="T489" s="55"/>
      <c r="U489" s="55"/>
    </row>
    <row r="490" spans="1:21" ht="18.75" hidden="1">
      <c r="A490" s="238"/>
      <c r="B490" s="188"/>
      <c r="C490" s="188"/>
      <c r="D490" s="371" t="s">
        <v>198</v>
      </c>
      <c r="E490" s="188"/>
      <c r="F490" s="188"/>
      <c r="G490" s="208"/>
      <c r="H490" s="161" t="s">
        <v>46</v>
      </c>
      <c r="I490" s="54"/>
      <c r="J490" s="54"/>
      <c r="K490" s="55"/>
      <c r="L490" s="62"/>
      <c r="M490" s="55"/>
      <c r="N490" s="55"/>
      <c r="O490" s="55"/>
      <c r="P490" s="55"/>
      <c r="Q490" s="55"/>
      <c r="R490" s="55"/>
      <c r="S490" s="55"/>
      <c r="T490" s="55"/>
      <c r="U490" s="55"/>
    </row>
    <row r="491" spans="1:21" ht="18.75" hidden="1">
      <c r="A491" s="374"/>
      <c r="B491" s="5"/>
      <c r="C491" s="5"/>
      <c r="D491" s="5"/>
      <c r="E491" s="5"/>
      <c r="F491" s="5"/>
      <c r="G491" s="375"/>
      <c r="H491" s="376" t="s">
        <v>34</v>
      </c>
      <c r="I491" s="67"/>
      <c r="J491" s="67"/>
      <c r="K491" s="6"/>
      <c r="L491" s="68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>
      <c r="A492" s="335"/>
      <c r="B492" s="354" t="s">
        <v>199</v>
      </c>
      <c r="C492" s="337"/>
      <c r="D492" s="337"/>
      <c r="E492" s="328"/>
      <c r="F492" s="328"/>
      <c r="G492" s="329"/>
      <c r="H492" s="366" t="s">
        <v>35</v>
      </c>
      <c r="I492" s="605">
        <f ca="1">I503</f>
        <v>30</v>
      </c>
      <c r="J492" s="605">
        <f ca="1">J503</f>
        <v>0</v>
      </c>
      <c r="K492" s="604">
        <f ca="1">IF(I492&gt;0,J492*100/I492,0)</f>
        <v>0</v>
      </c>
      <c r="L492" s="334"/>
      <c r="M492" s="333"/>
      <c r="N492" s="333"/>
      <c r="O492" s="333"/>
      <c r="P492" s="333"/>
      <c r="Q492" s="333"/>
      <c r="R492" s="333"/>
      <c r="S492" s="333"/>
      <c r="T492" s="333"/>
      <c r="U492" s="333"/>
    </row>
    <row r="493" spans="1:21" ht="19.5">
      <c r="A493" s="155"/>
      <c r="B493" s="188"/>
      <c r="C493" s="205" t="s">
        <v>18</v>
      </c>
      <c r="D493" s="603" t="s">
        <v>19</v>
      </c>
      <c r="E493" s="514"/>
      <c r="F493" s="514"/>
      <c r="G493" s="52"/>
      <c r="H493" s="252" t="s">
        <v>14</v>
      </c>
      <c r="I493" s="54"/>
      <c r="J493" s="54"/>
      <c r="K493" s="55"/>
      <c r="L493" s="541">
        <f>L494+L495</f>
        <v>0</v>
      </c>
      <c r="M493" s="540">
        <f>M494+M495</f>
        <v>0</v>
      </c>
      <c r="N493" s="540">
        <f>N494+N495</f>
        <v>0</v>
      </c>
      <c r="O493" s="540">
        <f>IF(L493&gt;0,N493*100/L493,0)</f>
        <v>0</v>
      </c>
      <c r="P493" s="540">
        <f>IF(M493&gt;0,N493*100/M493,0)</f>
        <v>0</v>
      </c>
      <c r="Q493" s="540">
        <f ca="1">Q494+Q495</f>
        <v>460185</v>
      </c>
      <c r="R493" s="540">
        <f ca="1">R494+R495</f>
        <v>460185</v>
      </c>
      <c r="S493" s="540">
        <f ca="1">S494+S495</f>
        <v>83947.01</v>
      </c>
      <c r="T493" s="540">
        <f ca="1">IF(Q493&gt;0,S493*100/Q493,0)</f>
        <v>18.242013538033618</v>
      </c>
      <c r="U493" s="540">
        <f ca="1">IF(R493&gt;0,S493*100/R493,0)</f>
        <v>18.242013538033618</v>
      </c>
    </row>
    <row r="494" spans="1:21" ht="18.75" hidden="1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103">
        <f>L497+L500</f>
        <v>0</v>
      </c>
      <c r="M494" s="102">
        <f>M497+M500</f>
        <v>0</v>
      </c>
      <c r="N494" s="102">
        <f>N497+N500</f>
        <v>0</v>
      </c>
      <c r="O494" s="102">
        <f>IF(L494&gt;0,N494*100/L494,0)</f>
        <v>0</v>
      </c>
      <c r="P494" s="102">
        <f>IF(M494&gt;0,N494*100/M494,0)</f>
        <v>0</v>
      </c>
      <c r="Q494" s="102">
        <f>Q497+Q500</f>
        <v>0</v>
      </c>
      <c r="R494" s="102">
        <f>R497+R500</f>
        <v>0</v>
      </c>
      <c r="S494" s="102">
        <f>S497+S500</f>
        <v>0</v>
      </c>
      <c r="T494" s="102">
        <f>IF(Q494&gt;0,S494*100/Q494,0)</f>
        <v>0</v>
      </c>
      <c r="U494" s="102">
        <f>IF(R494&gt;0,S494*100/R494,0)</f>
        <v>0</v>
      </c>
    </row>
    <row r="495" spans="1:21" ht="18.75" hidden="1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256">
        <f>L498+L501</f>
        <v>0</v>
      </c>
      <c r="M495" s="255">
        <f>M498+M501</f>
        <v>0</v>
      </c>
      <c r="N495" s="255">
        <f>N498+N501</f>
        <v>0</v>
      </c>
      <c r="O495" s="255">
        <f>IF(L495&gt;0,N495*100/L495,0)</f>
        <v>0</v>
      </c>
      <c r="P495" s="255">
        <f>IF(M495&gt;0,N495*100/M495,0)</f>
        <v>0</v>
      </c>
      <c r="Q495" s="255">
        <f ca="1">Q498+Q501</f>
        <v>460185</v>
      </c>
      <c r="R495" s="255">
        <f ca="1">R498+R501</f>
        <v>460185</v>
      </c>
      <c r="S495" s="255">
        <f ca="1">S498+S501</f>
        <v>83947.01</v>
      </c>
      <c r="T495" s="255">
        <f ca="1">IF(Q495&gt;0,S495*100/Q495,0)</f>
        <v>18.242013538033618</v>
      </c>
      <c r="U495" s="255">
        <f ca="1">IF(R495&gt;0,S495*100/R495,0)</f>
        <v>18.242013538033618</v>
      </c>
    </row>
    <row r="496" spans="1:21" ht="18.75">
      <c r="A496" s="155"/>
      <c r="B496" s="188"/>
      <c r="C496" s="188"/>
      <c r="D496" s="602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256">
        <f>L497+L498</f>
        <v>0</v>
      </c>
      <c r="M496" s="255">
        <f>M497+M498</f>
        <v>0</v>
      </c>
      <c r="N496" s="255">
        <f>N497+N498</f>
        <v>0</v>
      </c>
      <c r="O496" s="255">
        <f>IF(L496&gt;0,N496*100/L496,0)</f>
        <v>0</v>
      </c>
      <c r="P496" s="255">
        <f>IF(M496&gt;0,N496*100/M496,0)</f>
        <v>0</v>
      </c>
      <c r="Q496" s="255">
        <f ca="1">Q497+Q498</f>
        <v>460185</v>
      </c>
      <c r="R496" s="255">
        <f ca="1">R497+R498</f>
        <v>460185</v>
      </c>
      <c r="S496" s="255">
        <f ca="1">S497+S498</f>
        <v>83947.01</v>
      </c>
      <c r="T496" s="255">
        <f ca="1">IF(Q496&gt;0,S496*100/Q496,0)</f>
        <v>18.242013538033618</v>
      </c>
      <c r="U496" s="255">
        <f ca="1">IF(R496&gt;0,S496*100/R496,0)</f>
        <v>18.242013538033618</v>
      </c>
    </row>
    <row r="497" spans="1:21" ht="18.75" hidden="1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103">
        <v>0</v>
      </c>
      <c r="M497" s="102">
        <v>0</v>
      </c>
      <c r="N497" s="102">
        <v>0</v>
      </c>
      <c r="O497" s="102">
        <f>IF(L497&gt;0,N497*100/L497,0)</f>
        <v>0</v>
      </c>
      <c r="P497" s="102">
        <f>IF(M497&gt;0,N497*100/M497,0)</f>
        <v>0</v>
      </c>
      <c r="Q497" s="102">
        <v>0</v>
      </c>
      <c r="R497" s="102">
        <v>0</v>
      </c>
      <c r="S497" s="102">
        <v>0</v>
      </c>
      <c r="T497" s="102">
        <f>IF(Q497&gt;0,S497*100/Q497,0)</f>
        <v>0</v>
      </c>
      <c r="U497" s="102">
        <f>IF(R497&gt;0,S497*100/R497,0)</f>
        <v>0</v>
      </c>
    </row>
    <row r="498" spans="1:21" ht="18.75" hidden="1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256">
        <v>0</v>
      </c>
      <c r="M498" s="255">
        <v>0</v>
      </c>
      <c r="N498" s="255">
        <v>0</v>
      </c>
      <c r="O498" s="255">
        <f>IF(L498&gt;0,N498*100/L498,0)</f>
        <v>0</v>
      </c>
      <c r="P498" s="255">
        <f>IF(M498&gt;0,N498*100/M498,0)</f>
        <v>0</v>
      </c>
      <c r="Q498" s="255">
        <f ca="1">IFERROR(__xludf.DUMMYFUNCTION("IMPORTRANGE(""https://docs.google.com/spreadsheets/d/1ItG2mGa2ceCfYo0BwxsXqNm01IGEUdYcSSLTEv9YCik/edit?usp=sharing"",""เบิกจ่ายกองทุน!X32"")"),460185)</f>
        <v>460185</v>
      </c>
      <c r="R498" s="255">
        <f ca="1">IFERROR(__xludf.DUMMYFUNCTION("IMPORTRANGE(""https://docs.google.com/spreadsheets/d/1ItG2mGa2ceCfYo0BwxsXqNm01IGEUdYcSSLTEv9YCik/edit?usp=sharing"",""เบิกจ่ายกองทุน!Y32"")"),460185)</f>
        <v>460185</v>
      </c>
      <c r="S498" s="255">
        <f ca="1">IFERROR(__xludf.DUMMYFUNCTION("IMPORTRANGE(""https://docs.google.com/spreadsheets/d/1ItG2mGa2ceCfYo0BwxsXqNm01IGEUdYcSSLTEv9YCik/edit?usp=sharing"",""เบิกจ่ายกองทุน!Z32"")"),83947.01)</f>
        <v>83947.01</v>
      </c>
      <c r="T498" s="255">
        <f ca="1">IF(Q498&gt;0,S498*100/Q498,0)</f>
        <v>18.242013538033618</v>
      </c>
      <c r="U498" s="255">
        <f ca="1">IF(R498&gt;0,S498*100/R498,0)</f>
        <v>18.242013538033618</v>
      </c>
    </row>
    <row r="499" spans="1:21" ht="18.75">
      <c r="A499" s="155"/>
      <c r="B499" s="188"/>
      <c r="C499" s="188"/>
      <c r="D499" s="602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256">
        <f>L500+L501</f>
        <v>0</v>
      </c>
      <c r="M499" s="255">
        <f>M500+M501</f>
        <v>0</v>
      </c>
      <c r="N499" s="255">
        <f>N500+N501</f>
        <v>0</v>
      </c>
      <c r="O499" s="255">
        <f>IF(L499&gt;0,N499*100/L499,0)</f>
        <v>0</v>
      </c>
      <c r="P499" s="255">
        <f>IF(M499&gt;0,N499*100/M499,0)</f>
        <v>0</v>
      </c>
      <c r="Q499" s="255">
        <f>Q500+Q501</f>
        <v>0</v>
      </c>
      <c r="R499" s="255">
        <f>R500+R501</f>
        <v>0</v>
      </c>
      <c r="S499" s="255">
        <f>S500+S501</f>
        <v>0</v>
      </c>
      <c r="T499" s="255">
        <f>IF(Q499&gt;0,S499*100/Q499,0)</f>
        <v>0</v>
      </c>
      <c r="U499" s="255">
        <f>IF(R499&gt;0,S499*100/R499,0)</f>
        <v>0</v>
      </c>
    </row>
    <row r="500" spans="1:21" ht="18.75" hidden="1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103">
        <v>0</v>
      </c>
      <c r="M500" s="102">
        <v>0</v>
      </c>
      <c r="N500" s="102">
        <v>0</v>
      </c>
      <c r="O500" s="102">
        <f>IF(L500&gt;0,N500*100/L500,0)</f>
        <v>0</v>
      </c>
      <c r="P500" s="102">
        <f>IF(M500&gt;0,N500*100/M500,0)</f>
        <v>0</v>
      </c>
      <c r="Q500" s="102">
        <v>0</v>
      </c>
      <c r="R500" s="102">
        <v>0</v>
      </c>
      <c r="S500" s="102">
        <v>0</v>
      </c>
      <c r="T500" s="102">
        <f>IF(Q500&gt;0,S500*100/Q500,0)</f>
        <v>0</v>
      </c>
      <c r="U500" s="102">
        <f>IF(R500&gt;0,S500*100/R500,0)</f>
        <v>0</v>
      </c>
    </row>
    <row r="501" spans="1:21" ht="18.75" hidden="1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256">
        <v>0</v>
      </c>
      <c r="M501" s="255">
        <v>0</v>
      </c>
      <c r="N501" s="255">
        <v>0</v>
      </c>
      <c r="O501" s="255">
        <f>IF(L501&gt;0,N501*100/L501,0)</f>
        <v>0</v>
      </c>
      <c r="P501" s="255">
        <f>IF(M501&gt;0,N501*100/M501,0)</f>
        <v>0</v>
      </c>
      <c r="Q501" s="255">
        <v>0</v>
      </c>
      <c r="R501" s="255">
        <v>0</v>
      </c>
      <c r="S501" s="255">
        <v>0</v>
      </c>
      <c r="T501" s="255">
        <f>IF(Q501&gt;0,S501*100/Q501,0)</f>
        <v>0</v>
      </c>
      <c r="U501" s="255">
        <f>IF(R501&gt;0,S501*100/R501,0)</f>
        <v>0</v>
      </c>
    </row>
    <row r="502" spans="1:21" ht="19.5">
      <c r="A502" s="166"/>
      <c r="B502" s="167"/>
      <c r="C502" s="205" t="s">
        <v>18</v>
      </c>
      <c r="D502" s="560" t="s">
        <v>38</v>
      </c>
      <c r="E502" s="169"/>
      <c r="F502" s="169"/>
      <c r="G502" s="170"/>
      <c r="H502" s="206"/>
      <c r="I502" s="163"/>
      <c r="J502" s="163"/>
      <c r="K502" s="164"/>
      <c r="L502" s="172"/>
      <c r="M502" s="164"/>
      <c r="N502" s="164"/>
      <c r="O502" s="164"/>
      <c r="P502" s="164"/>
      <c r="Q502" s="164"/>
      <c r="R502" s="164"/>
      <c r="S502" s="164"/>
      <c r="T502" s="164"/>
      <c r="U502" s="164"/>
    </row>
    <row r="503" spans="1:21" ht="19.5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373">
        <f ca="1">IFERROR(__xludf.DUMMYFUNCTION("IMPORTRANGE(""https://docs.google.com/spreadsheets/d/1eHaY18a8A9IcSdp1K8H6x8fbOy06t2VsZHhMHf-1x7Y/edit?usp=sharing"",""แผน!GX32"")"),30)</f>
        <v>30</v>
      </c>
      <c r="J503" s="373">
        <f ca="1">IF(AND(J504=I503,J505=I503,J506=I503,J507=I503),I503,0)</f>
        <v>0</v>
      </c>
      <c r="K503" s="540">
        <f ca="1">IF(I503&gt;0,J503*100/I503,0)</f>
        <v>0</v>
      </c>
      <c r="L503" s="62"/>
      <c r="M503" s="55"/>
      <c r="N503" s="55"/>
      <c r="O503" s="55"/>
      <c r="P503" s="55"/>
      <c r="Q503" s="55"/>
      <c r="R503" s="55"/>
      <c r="S503" s="55"/>
      <c r="T503" s="55"/>
      <c r="U503" s="55"/>
    </row>
    <row r="504" spans="1:21" ht="18.75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212">
        <f ca="1">IFERROR(__xludf.DUMMYFUNCTION("IMPORTRANGE(""https://docs.google.com/spreadsheets/d/1eHaY18a8A9IcSdp1K8H6x8fbOy06t2VsZHhMHf-1x7Y/edit?usp=sharing"",""แผน!GY32"")"),0)</f>
        <v>0</v>
      </c>
      <c r="J504" s="467">
        <v>30</v>
      </c>
      <c r="K504" s="255">
        <f ca="1">IF(I504&gt;0,J504*100/I504,0)</f>
        <v>0</v>
      </c>
      <c r="L504" s="62"/>
      <c r="M504" s="55"/>
      <c r="N504" s="55"/>
      <c r="O504" s="55"/>
      <c r="P504" s="55"/>
      <c r="Q504" s="55"/>
      <c r="R504" s="55"/>
      <c r="S504" s="55"/>
      <c r="T504" s="55"/>
      <c r="U504" s="55"/>
    </row>
    <row r="505" spans="1:21" ht="18.75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212">
        <f ca="1">IFERROR(__xludf.DUMMYFUNCTION("IMPORTRANGE(""https://docs.google.com/spreadsheets/d/1eHaY18a8A9IcSdp1K8H6x8fbOy06t2VsZHhMHf-1x7Y/edit?usp=sharing"",""แผน!GZ32"")"),0)</f>
        <v>0</v>
      </c>
      <c r="J505" s="467">
        <v>30</v>
      </c>
      <c r="K505" s="255">
        <f ca="1">IF(I505&gt;0,J505*100/I505,0)</f>
        <v>0</v>
      </c>
      <c r="L505" s="62"/>
      <c r="M505" s="55"/>
      <c r="N505" s="55"/>
      <c r="O505" s="55"/>
      <c r="P505" s="55"/>
      <c r="Q505" s="55"/>
      <c r="R505" s="55"/>
      <c r="S505" s="55"/>
      <c r="T505" s="55"/>
      <c r="U505" s="55"/>
    </row>
    <row r="506" spans="1:21" ht="18.75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212">
        <f ca="1">IFERROR(__xludf.DUMMYFUNCTION("IMPORTRANGE(""https://docs.google.com/spreadsheets/d/1eHaY18a8A9IcSdp1K8H6x8fbOy06t2VsZHhMHf-1x7Y/edit?usp=sharing"",""แผน!HA32"")"),0)</f>
        <v>0</v>
      </c>
      <c r="J506" s="467">
        <v>0</v>
      </c>
      <c r="K506" s="255">
        <f ca="1">IF(I506&gt;0,J506*100/I506,0)</f>
        <v>0</v>
      </c>
      <c r="L506" s="62"/>
      <c r="M506" s="55"/>
      <c r="N506" s="55"/>
      <c r="O506" s="55"/>
      <c r="P506" s="55"/>
      <c r="Q506" s="55"/>
      <c r="R506" s="55"/>
      <c r="S506" s="55"/>
      <c r="T506" s="55"/>
      <c r="U506" s="55"/>
    </row>
    <row r="507" spans="1:21" ht="18.75">
      <c r="A507" s="238"/>
      <c r="B507" s="188"/>
      <c r="C507" s="188"/>
      <c r="D507" s="188"/>
      <c r="E507" s="377" t="s">
        <v>204</v>
      </c>
      <c r="F507" s="50"/>
      <c r="G507" s="52"/>
      <c r="H507" s="161" t="s">
        <v>35</v>
      </c>
      <c r="I507" s="212">
        <f ca="1">IFERROR(__xludf.DUMMYFUNCTION("IMPORTRANGE(""https://docs.google.com/spreadsheets/d/1eHaY18a8A9IcSdp1K8H6x8fbOy06t2VsZHhMHf-1x7Y/edit?usp=sharing"",""แผน!HB32"")"),0)</f>
        <v>0</v>
      </c>
      <c r="J507" s="467">
        <v>0</v>
      </c>
      <c r="K507" s="255">
        <f ca="1">IF(I507&gt;0,J507*100/I507,0)</f>
        <v>0</v>
      </c>
      <c r="L507" s="62"/>
      <c r="M507" s="55"/>
      <c r="N507" s="55"/>
      <c r="O507" s="55"/>
      <c r="P507" s="55"/>
      <c r="Q507" s="55"/>
      <c r="R507" s="55"/>
      <c r="S507" s="55"/>
      <c r="T507" s="55"/>
      <c r="U507" s="55"/>
    </row>
    <row r="508" spans="1:21" ht="18.75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255">
        <f>IF(I508&gt;0,J508*100/I508,0)</f>
        <v>0</v>
      </c>
      <c r="L508" s="62"/>
      <c r="M508" s="55"/>
      <c r="N508" s="55"/>
      <c r="O508" s="55"/>
      <c r="P508" s="55"/>
      <c r="Q508" s="55"/>
      <c r="R508" s="55"/>
      <c r="S508" s="55"/>
      <c r="T508" s="55"/>
      <c r="U508" s="55"/>
    </row>
    <row r="509" spans="1:21" ht="19.5">
      <c r="A509" s="374"/>
      <c r="B509" s="5"/>
      <c r="C509" s="5"/>
      <c r="D509" s="378" t="s">
        <v>50</v>
      </c>
      <c r="E509" s="4"/>
      <c r="F509" s="4"/>
      <c r="G509" s="65"/>
      <c r="H509" s="376" t="s">
        <v>35</v>
      </c>
      <c r="I509" s="216">
        <f ca="1">IFERROR(__xludf.DUMMYFUNCTION("IMPORTRANGE(""https://docs.google.com/spreadsheets/d/1eHaY18a8A9IcSdp1K8H6x8fbOy06t2VsZHhMHf-1x7Y/edit?usp=sharing"",""แผน!HC32"")"),0)</f>
        <v>0</v>
      </c>
      <c r="J509" s="538">
        <v>0</v>
      </c>
      <c r="K509" s="506">
        <f ca="1">IF(I509&gt;0,J509*100/I509,0)</f>
        <v>0</v>
      </c>
      <c r="L509" s="68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 hidden="1">
      <c r="A510" s="601" t="s">
        <v>206</v>
      </c>
      <c r="B510" s="381"/>
      <c r="C510" s="381"/>
      <c r="D510" s="381"/>
      <c r="E510" s="382"/>
      <c r="F510" s="382"/>
      <c r="G510" s="382"/>
      <c r="H510" s="382"/>
      <c r="I510" s="383"/>
      <c r="J510" s="383"/>
      <c r="K510" s="384"/>
      <c r="L510" s="600"/>
      <c r="M510" s="386"/>
      <c r="N510" s="386"/>
      <c r="O510" s="386"/>
      <c r="P510" s="386"/>
      <c r="Q510" s="386"/>
      <c r="R510" s="386"/>
      <c r="S510" s="386"/>
      <c r="T510" s="386"/>
      <c r="U510" s="386"/>
    </row>
    <row r="511" spans="1:21" ht="19.5" hidden="1">
      <c r="A511" s="599" t="s">
        <v>207</v>
      </c>
      <c r="B511" s="388"/>
      <c r="C511" s="388"/>
      <c r="D511" s="389"/>
      <c r="E511" s="388"/>
      <c r="F511" s="388"/>
      <c r="G511" s="388"/>
      <c r="H511" s="390"/>
      <c r="I511" s="391"/>
      <c r="J511" s="391"/>
      <c r="K511" s="392"/>
      <c r="L511" s="598"/>
      <c r="M511" s="394"/>
      <c r="N511" s="394"/>
      <c r="O511" s="394"/>
      <c r="P511" s="394"/>
      <c r="Q511" s="394"/>
      <c r="R511" s="394"/>
      <c r="S511" s="394"/>
      <c r="T511" s="394"/>
      <c r="U511" s="394"/>
    </row>
    <row r="512" spans="1:21" ht="19.5" hidden="1">
      <c r="A512" s="395"/>
      <c r="B512" s="597" t="s">
        <v>208</v>
      </c>
      <c r="C512" s="397"/>
      <c r="D512" s="398"/>
      <c r="E512" s="398"/>
      <c r="F512" s="398"/>
      <c r="G512" s="399"/>
      <c r="H512" s="596" t="s">
        <v>61</v>
      </c>
      <c r="I512" s="595">
        <f>I524</f>
        <v>0</v>
      </c>
      <c r="J512" s="595">
        <f>J524</f>
        <v>0</v>
      </c>
      <c r="K512" s="594">
        <f>IF(I512&gt;0,J512*100/I512,0)</f>
        <v>0</v>
      </c>
      <c r="L512" s="404"/>
      <c r="M512" s="403"/>
      <c r="N512" s="403"/>
      <c r="O512" s="403"/>
      <c r="P512" s="403"/>
      <c r="Q512" s="403"/>
      <c r="R512" s="403"/>
      <c r="S512" s="403"/>
      <c r="T512" s="403"/>
      <c r="U512" s="403"/>
    </row>
    <row r="513" spans="1:21" ht="19.5" hidden="1">
      <c r="A513" s="155"/>
      <c r="B513" s="50"/>
      <c r="C513" s="591" t="s">
        <v>18</v>
      </c>
      <c r="D513" s="562" t="s">
        <v>19</v>
      </c>
      <c r="E513" s="50"/>
      <c r="F513" s="50"/>
      <c r="G513" s="52"/>
      <c r="H513" s="593" t="s">
        <v>14</v>
      </c>
      <c r="I513" s="54"/>
      <c r="J513" s="54"/>
      <c r="K513" s="55"/>
      <c r="L513" s="541">
        <f ca="1">L514+L515</f>
        <v>0</v>
      </c>
      <c r="M513" s="540">
        <f ca="1">M514+M515</f>
        <v>0</v>
      </c>
      <c r="N513" s="540">
        <f ca="1">N514+N515</f>
        <v>0</v>
      </c>
      <c r="O513" s="540">
        <f ca="1">IF(L513&gt;0,N513*100/L513,0)</f>
        <v>0</v>
      </c>
      <c r="P513" s="540">
        <f ca="1">IF(M513&gt;0,N513*100/M513,0)</f>
        <v>0</v>
      </c>
      <c r="Q513" s="540">
        <f>Q514+Q515</f>
        <v>0</v>
      </c>
      <c r="R513" s="540">
        <f>R514+R515</f>
        <v>0</v>
      </c>
      <c r="S513" s="540">
        <f>S514+S515</f>
        <v>0</v>
      </c>
      <c r="T513" s="540">
        <f>IF(Q513&gt;0,S513*100/Q513,0)</f>
        <v>0</v>
      </c>
      <c r="U513" s="540">
        <f>IF(R513&gt;0,S513*100/R513,0)</f>
        <v>0</v>
      </c>
    </row>
    <row r="514" spans="1:21" ht="18.75" hidden="1">
      <c r="A514" s="155"/>
      <c r="B514" s="50"/>
      <c r="C514" s="50"/>
      <c r="D514" s="50"/>
      <c r="E514" s="186" t="s">
        <v>20</v>
      </c>
      <c r="F514" s="50"/>
      <c r="G514" s="52"/>
      <c r="H514" s="187" t="s">
        <v>14</v>
      </c>
      <c r="I514" s="54"/>
      <c r="J514" s="54"/>
      <c r="K514" s="55"/>
      <c r="L514" s="103">
        <f>L517+L520</f>
        <v>0</v>
      </c>
      <c r="M514" s="102">
        <f>M517+M520</f>
        <v>0</v>
      </c>
      <c r="N514" s="102">
        <f>N517+N520</f>
        <v>0</v>
      </c>
      <c r="O514" s="102">
        <f>IF(L514&gt;0,N514*100/L514,0)</f>
        <v>0</v>
      </c>
      <c r="P514" s="102">
        <f>IF(M514&gt;0,N514*100/M514,0)</f>
        <v>0</v>
      </c>
      <c r="Q514" s="102">
        <f>Q517+Q520</f>
        <v>0</v>
      </c>
      <c r="R514" s="102">
        <f>R517+R520</f>
        <v>0</v>
      </c>
      <c r="S514" s="102">
        <f>S517+S520</f>
        <v>0</v>
      </c>
      <c r="T514" s="102">
        <f>IF(Q514&gt;0,S514*100/Q514,0)</f>
        <v>0</v>
      </c>
      <c r="U514" s="102">
        <f>IF(R514&gt;0,S514*100/R514,0)</f>
        <v>0</v>
      </c>
    </row>
    <row r="515" spans="1:21" ht="18.75" hidden="1">
      <c r="A515" s="155"/>
      <c r="B515" s="50"/>
      <c r="C515" s="50"/>
      <c r="D515" s="50"/>
      <c r="E515" s="186" t="s">
        <v>21</v>
      </c>
      <c r="F515" s="50"/>
      <c r="G515" s="52"/>
      <c r="H515" s="187" t="s">
        <v>14</v>
      </c>
      <c r="I515" s="54"/>
      <c r="J515" s="54"/>
      <c r="K515" s="55"/>
      <c r="L515" s="256">
        <f ca="1">L518+L521</f>
        <v>0</v>
      </c>
      <c r="M515" s="255">
        <f ca="1">M518+M521</f>
        <v>0</v>
      </c>
      <c r="N515" s="255">
        <f ca="1">N518+N521</f>
        <v>0</v>
      </c>
      <c r="O515" s="255">
        <f ca="1">IF(L515&gt;0,N515*100/L515,0)</f>
        <v>0</v>
      </c>
      <c r="P515" s="255">
        <f ca="1">IF(M515&gt;0,N515*100/M515,0)</f>
        <v>0</v>
      </c>
      <c r="Q515" s="255">
        <f>Q518+Q521</f>
        <v>0</v>
      </c>
      <c r="R515" s="255">
        <f>R518+R521</f>
        <v>0</v>
      </c>
      <c r="S515" s="255">
        <f>S518+S521</f>
        <v>0</v>
      </c>
      <c r="T515" s="255">
        <f>IF(Q515&gt;0,S515*100/Q515,0)</f>
        <v>0</v>
      </c>
      <c r="U515" s="255">
        <f>IF(R515&gt;0,S515*100/R515,0)</f>
        <v>0</v>
      </c>
    </row>
    <row r="516" spans="1:21" ht="18.75" hidden="1">
      <c r="A516" s="155"/>
      <c r="B516" s="50"/>
      <c r="C516" s="50"/>
      <c r="D516" s="592" t="s">
        <v>22</v>
      </c>
      <c r="E516" s="50"/>
      <c r="F516" s="50"/>
      <c r="G516" s="52"/>
      <c r="H516" s="189" t="s">
        <v>14</v>
      </c>
      <c r="I516" s="163"/>
      <c r="J516" s="163"/>
      <c r="K516" s="164"/>
      <c r="L516" s="256">
        <f ca="1">L517+L518</f>
        <v>0</v>
      </c>
      <c r="M516" s="255">
        <f ca="1">M517+M518</f>
        <v>0</v>
      </c>
      <c r="N516" s="255">
        <f ca="1">N517+N518</f>
        <v>0</v>
      </c>
      <c r="O516" s="255">
        <f ca="1">IF(L516&gt;0,N516*100/L516,0)</f>
        <v>0</v>
      </c>
      <c r="P516" s="255">
        <f ca="1">IF(M516&gt;0,N516*100/M516,0)</f>
        <v>0</v>
      </c>
      <c r="Q516" s="255">
        <f>Q517+Q518</f>
        <v>0</v>
      </c>
      <c r="R516" s="255">
        <f>R517+R518</f>
        <v>0</v>
      </c>
      <c r="S516" s="255">
        <f>S517+S518</f>
        <v>0</v>
      </c>
      <c r="T516" s="255">
        <f>IF(Q516&gt;0,S516*100/Q516,0)</f>
        <v>0</v>
      </c>
      <c r="U516" s="255">
        <f>IF(R516&gt;0,S516*100/R516,0)</f>
        <v>0</v>
      </c>
    </row>
    <row r="517" spans="1:21" ht="18.75" hidden="1">
      <c r="A517" s="155"/>
      <c r="B517" s="50"/>
      <c r="C517" s="50"/>
      <c r="D517" s="50"/>
      <c r="E517" s="186" t="s">
        <v>36</v>
      </c>
      <c r="F517" s="50"/>
      <c r="G517" s="52"/>
      <c r="H517" s="189" t="s">
        <v>14</v>
      </c>
      <c r="I517" s="163"/>
      <c r="J517" s="163"/>
      <c r="K517" s="164"/>
      <c r="L517" s="103">
        <v>0</v>
      </c>
      <c r="M517" s="102">
        <v>0</v>
      </c>
      <c r="N517" s="102">
        <v>0</v>
      </c>
      <c r="O517" s="102">
        <f>IF(L517&gt;0,N517*100/L517,0)</f>
        <v>0</v>
      </c>
      <c r="P517" s="102">
        <f>IF(M517&gt;0,N517*100/M517,0)</f>
        <v>0</v>
      </c>
      <c r="Q517" s="102">
        <v>0</v>
      </c>
      <c r="R517" s="102">
        <v>0</v>
      </c>
      <c r="S517" s="102">
        <v>0</v>
      </c>
      <c r="T517" s="102">
        <f>IF(Q517&gt;0,S517*100/Q517,0)</f>
        <v>0</v>
      </c>
      <c r="U517" s="102">
        <f>IF(R517&gt;0,S517*100/R517,0)</f>
        <v>0</v>
      </c>
    </row>
    <row r="518" spans="1:21" ht="18.75" hidden="1">
      <c r="A518" s="155"/>
      <c r="B518" s="50"/>
      <c r="C518" s="50"/>
      <c r="D518" s="50"/>
      <c r="E518" s="186" t="s">
        <v>37</v>
      </c>
      <c r="F518" s="50"/>
      <c r="G518" s="52"/>
      <c r="H518" s="189" t="s">
        <v>14</v>
      </c>
      <c r="I518" s="163"/>
      <c r="J518" s="163"/>
      <c r="K518" s="164"/>
      <c r="L518" s="256">
        <f ca="1">IFERROR(__xludf.DUMMYFUNCTION("IMPORTRANGE(""https://docs.google.com/spreadsheets/d/1-uDff_7J0KD5mKrp0Vvzr7lt3OU09vwQwhkpOPPYv2Y/edit?usp=sharing"",""งบพรบ!FM32"")"),0)</f>
        <v>0</v>
      </c>
      <c r="M518" s="255">
        <f ca="1">IFERROR(__xludf.DUMMYFUNCTION("IMPORTRANGE(""https://docs.google.com/spreadsheets/d/1-uDff_7J0KD5mKrp0Vvzr7lt3OU09vwQwhkpOPPYv2Y/edit?usp=sharing"",""งบพรบ!FR32"")"),0)</f>
        <v>0</v>
      </c>
      <c r="N518" s="255">
        <f ca="1">IFERROR(__xludf.DUMMYFUNCTION("IMPORTRANGE(""https://docs.google.com/spreadsheets/d/1-uDff_7J0KD5mKrp0Vvzr7lt3OU09vwQwhkpOPPYv2Y/edit?usp=sharing"",""งบพรบ!FT32"")"),0)</f>
        <v>0</v>
      </c>
      <c r="O518" s="255">
        <f ca="1">IF(L518&gt;0,N518*100/L518,0)</f>
        <v>0</v>
      </c>
      <c r="P518" s="255">
        <f ca="1">IF(M518&gt;0,N518*100/M518,0)</f>
        <v>0</v>
      </c>
      <c r="Q518" s="255">
        <v>0</v>
      </c>
      <c r="R518" s="255">
        <v>0</v>
      </c>
      <c r="S518" s="255">
        <v>0</v>
      </c>
      <c r="T518" s="255">
        <f>IF(Q518&gt;0,S518*100/Q518,0)</f>
        <v>0</v>
      </c>
      <c r="U518" s="255">
        <f>IF(R518&gt;0,S518*100/R518,0)</f>
        <v>0</v>
      </c>
    </row>
    <row r="519" spans="1:21" ht="18.75" hidden="1">
      <c r="A519" s="155"/>
      <c r="B519" s="50"/>
      <c r="C519" s="50"/>
      <c r="D519" s="592" t="s">
        <v>23</v>
      </c>
      <c r="E519" s="50"/>
      <c r="F519" s="50"/>
      <c r="G519" s="52"/>
      <c r="H519" s="421" t="s">
        <v>14</v>
      </c>
      <c r="I519" s="163"/>
      <c r="J519" s="163"/>
      <c r="K519" s="164"/>
      <c r="L519" s="256">
        <f ca="1">L520+L521</f>
        <v>0</v>
      </c>
      <c r="M519" s="255">
        <f ca="1">M520+M521</f>
        <v>0</v>
      </c>
      <c r="N519" s="255">
        <f ca="1">N520+N521</f>
        <v>0</v>
      </c>
      <c r="O519" s="255">
        <f ca="1">IF(L519&gt;0,N519*100/L519,0)</f>
        <v>0</v>
      </c>
      <c r="P519" s="255">
        <f ca="1">IF(M519&gt;0,N519*100/M519,0)</f>
        <v>0</v>
      </c>
      <c r="Q519" s="255">
        <f>Q520+Q521</f>
        <v>0</v>
      </c>
      <c r="R519" s="255">
        <f>R520+R521</f>
        <v>0</v>
      </c>
      <c r="S519" s="255">
        <f>S520+S521</f>
        <v>0</v>
      </c>
      <c r="T519" s="255">
        <f>IF(Q519&gt;0,S519*100/Q519,0)</f>
        <v>0</v>
      </c>
      <c r="U519" s="255">
        <f>IF(R519&gt;0,S519*100/R519,0)</f>
        <v>0</v>
      </c>
    </row>
    <row r="520" spans="1:21" ht="18.75" hidden="1">
      <c r="A520" s="155"/>
      <c r="B520" s="50"/>
      <c r="C520" s="50"/>
      <c r="D520" s="50"/>
      <c r="E520" s="186" t="s">
        <v>20</v>
      </c>
      <c r="F520" s="50"/>
      <c r="G520" s="52"/>
      <c r="H520" s="189" t="s">
        <v>14</v>
      </c>
      <c r="I520" s="163"/>
      <c r="J520" s="163"/>
      <c r="K520" s="164"/>
      <c r="L520" s="103">
        <v>0</v>
      </c>
      <c r="M520" s="102">
        <v>0</v>
      </c>
      <c r="N520" s="102">
        <v>0</v>
      </c>
      <c r="O520" s="102">
        <f>IF(L520&gt;0,N520*100/L520,0)</f>
        <v>0</v>
      </c>
      <c r="P520" s="102">
        <f>IF(M520&gt;0,N520*100/M520,0)</f>
        <v>0</v>
      </c>
      <c r="Q520" s="102">
        <v>0</v>
      </c>
      <c r="R520" s="102">
        <v>0</v>
      </c>
      <c r="S520" s="102">
        <v>0</v>
      </c>
      <c r="T520" s="102">
        <f>IF(Q520&gt;0,S520*100/Q520,0)</f>
        <v>0</v>
      </c>
      <c r="U520" s="102">
        <f>IF(R520&gt;0,S520*100/R520,0)</f>
        <v>0</v>
      </c>
    </row>
    <row r="521" spans="1:21" ht="18.75" hidden="1">
      <c r="A521" s="155"/>
      <c r="B521" s="50"/>
      <c r="C521" s="50"/>
      <c r="D521" s="50"/>
      <c r="E521" s="186" t="s">
        <v>21</v>
      </c>
      <c r="F521" s="50"/>
      <c r="G521" s="52"/>
      <c r="H521" s="421" t="s">
        <v>14</v>
      </c>
      <c r="I521" s="163"/>
      <c r="J521" s="163"/>
      <c r="K521" s="164"/>
      <c r="L521" s="256">
        <f ca="1">IFERROR(__xludf.DUMMYFUNCTION("IMPORTRANGE(""https://docs.google.com/spreadsheets/d/1-uDff_7J0KD5mKrp0Vvzr7lt3OU09vwQwhkpOPPYv2Y/edit?usp=sharing"",""งบพรบ!FP32"")"),0)</f>
        <v>0</v>
      </c>
      <c r="M521" s="255">
        <f ca="1">IFERROR(__xludf.DUMMYFUNCTION("IMPORTRANGE(""https://docs.google.com/spreadsheets/d/1-uDff_7J0KD5mKrp0Vvzr7lt3OU09vwQwhkpOPPYv2Y/edit?usp=sharing"",""งบพรบ!FS32"")"),0)</f>
        <v>0</v>
      </c>
      <c r="N521" s="255">
        <f ca="1">IFERROR(__xludf.DUMMYFUNCTION("IMPORTRANGE(""https://docs.google.com/spreadsheets/d/1-uDff_7J0KD5mKrp0Vvzr7lt3OU09vwQwhkpOPPYv2Y/edit?usp=sharing"",""งบพรบ!FU32"")"),0)</f>
        <v>0</v>
      </c>
      <c r="O521" s="255">
        <f ca="1">IF(L521&gt;0,N521*100/L521,0)</f>
        <v>0</v>
      </c>
      <c r="P521" s="255">
        <f ca="1">IF(M521&gt;0,N521*100/M521,0)</f>
        <v>0</v>
      </c>
      <c r="Q521" s="255">
        <v>0</v>
      </c>
      <c r="R521" s="255">
        <v>0</v>
      </c>
      <c r="S521" s="255">
        <v>0</v>
      </c>
      <c r="T521" s="255">
        <f>IF(Q521&gt;0,S521*100/Q521,0)</f>
        <v>0</v>
      </c>
      <c r="U521" s="255">
        <f>IF(R521&gt;0,S521*100/R521,0)</f>
        <v>0</v>
      </c>
    </row>
    <row r="522" spans="1:21" ht="19.5" hidden="1">
      <c r="A522" s="166"/>
      <c r="B522" s="167"/>
      <c r="C522" s="591" t="s">
        <v>18</v>
      </c>
      <c r="D522" s="574" t="s">
        <v>38</v>
      </c>
      <c r="E522" s="169"/>
      <c r="F522" s="169"/>
      <c r="G522" s="170"/>
      <c r="H522" s="171"/>
      <c r="I522" s="163"/>
      <c r="J522" s="54"/>
      <c r="K522" s="55"/>
      <c r="L522" s="62"/>
      <c r="M522" s="55"/>
      <c r="N522" s="55"/>
      <c r="O522" s="164"/>
      <c r="P522" s="164"/>
      <c r="Q522" s="55"/>
      <c r="R522" s="55"/>
      <c r="S522" s="55"/>
      <c r="T522" s="164"/>
      <c r="U522" s="164"/>
    </row>
    <row r="523" spans="1:21" ht="18.75" hidden="1">
      <c r="A523" s="238"/>
      <c r="B523" s="50"/>
      <c r="C523" s="188"/>
      <c r="D523" s="207" t="s">
        <v>209</v>
      </c>
      <c r="E523" s="167"/>
      <c r="F523" s="50"/>
      <c r="G523" s="52"/>
      <c r="H523" s="590" t="s">
        <v>11</v>
      </c>
      <c r="I523" s="483">
        <v>0</v>
      </c>
      <c r="J523" s="589">
        <v>0</v>
      </c>
      <c r="K523" s="102">
        <f>IF(I523&gt;0,J523*100/I523,0)</f>
        <v>0</v>
      </c>
      <c r="L523" s="62"/>
      <c r="M523" s="55"/>
      <c r="N523" s="55"/>
      <c r="O523" s="55"/>
      <c r="P523" s="55"/>
      <c r="Q523" s="55"/>
      <c r="R523" s="55"/>
      <c r="S523" s="55"/>
      <c r="T523" s="55"/>
      <c r="U523" s="55"/>
    </row>
    <row r="524" spans="1:21" ht="18.75" hidden="1">
      <c r="A524" s="374"/>
      <c r="B524" s="4"/>
      <c r="C524" s="5"/>
      <c r="D524" s="588" t="s">
        <v>210</v>
      </c>
      <c r="E524" s="282"/>
      <c r="F524" s="4"/>
      <c r="G524" s="65"/>
      <c r="H524" s="587" t="s">
        <v>61</v>
      </c>
      <c r="I524" s="486">
        <v>0</v>
      </c>
      <c r="J524" s="586">
        <v>0</v>
      </c>
      <c r="K524" s="585">
        <f>IF(I524&gt;0,J524*100/I524,0)</f>
        <v>0</v>
      </c>
      <c r="L524" s="62"/>
      <c r="M524" s="55"/>
      <c r="N524" s="55"/>
      <c r="O524" s="55"/>
      <c r="P524" s="55"/>
      <c r="Q524" s="55"/>
      <c r="R524" s="55"/>
      <c r="S524" s="55"/>
      <c r="T524" s="55"/>
      <c r="U524" s="55"/>
    </row>
    <row r="525" spans="1:21" ht="12.75" hidden="1">
      <c r="A525" s="584"/>
      <c r="B525" s="583"/>
      <c r="C525" s="583"/>
      <c r="D525" s="582"/>
      <c r="E525" s="582"/>
      <c r="F525" s="582"/>
      <c r="G525" s="581"/>
      <c r="H525" s="580"/>
      <c r="I525" s="579"/>
      <c r="J525" s="579"/>
      <c r="K525" s="578"/>
      <c r="L525" s="265"/>
      <c r="M525" s="264"/>
      <c r="N525" s="264"/>
      <c r="O525" s="264"/>
      <c r="P525" s="264"/>
      <c r="Q525" s="264"/>
      <c r="R525" s="264"/>
      <c r="S525" s="264"/>
      <c r="T525" s="264"/>
      <c r="U525" s="264"/>
    </row>
    <row r="526" spans="1:21" ht="12.75" hidden="1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5"/>
      <c r="M526" s="264"/>
      <c r="N526" s="264"/>
      <c r="O526" s="264"/>
      <c r="P526" s="264"/>
      <c r="Q526" s="264"/>
      <c r="R526" s="264"/>
      <c r="S526" s="264"/>
      <c r="T526" s="264"/>
      <c r="U526" s="264"/>
    </row>
    <row r="527" spans="1:21" ht="12.75" hidden="1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5"/>
      <c r="M527" s="264"/>
      <c r="N527" s="264"/>
      <c r="O527" s="264"/>
      <c r="P527" s="264"/>
      <c r="Q527" s="264"/>
      <c r="R527" s="264"/>
      <c r="S527" s="264"/>
      <c r="T527" s="264"/>
      <c r="U527" s="264"/>
    </row>
    <row r="528" spans="1:21" ht="12.75" hidden="1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5"/>
      <c r="M528" s="264"/>
      <c r="N528" s="264"/>
      <c r="O528" s="264"/>
      <c r="P528" s="264"/>
      <c r="Q528" s="264"/>
      <c r="R528" s="264"/>
      <c r="S528" s="264"/>
      <c r="T528" s="264"/>
      <c r="U528" s="264"/>
    </row>
    <row r="529" spans="1:21" ht="12.75" hidden="1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5"/>
      <c r="M529" s="264"/>
      <c r="N529" s="264"/>
      <c r="O529" s="264"/>
      <c r="P529" s="264"/>
      <c r="Q529" s="264"/>
      <c r="R529" s="264"/>
      <c r="S529" s="264"/>
      <c r="T529" s="264"/>
      <c r="U529" s="264"/>
    </row>
    <row r="530" spans="1:21" ht="12.75" hidden="1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5"/>
      <c r="M530" s="264"/>
      <c r="N530" s="264"/>
      <c r="O530" s="264"/>
      <c r="P530" s="264"/>
      <c r="Q530" s="264"/>
      <c r="R530" s="264"/>
      <c r="S530" s="264"/>
      <c r="T530" s="264"/>
      <c r="U530" s="264"/>
    </row>
    <row r="531" spans="1:21" ht="12.75" hidden="1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5"/>
      <c r="M531" s="264"/>
      <c r="N531" s="264"/>
      <c r="O531" s="264"/>
      <c r="P531" s="264"/>
      <c r="Q531" s="264"/>
      <c r="R531" s="264"/>
      <c r="S531" s="264"/>
      <c r="T531" s="264"/>
      <c r="U531" s="264"/>
    </row>
    <row r="532" spans="1:21" ht="12.75" hidden="1">
      <c r="A532" s="407"/>
      <c r="B532" s="360"/>
      <c r="C532" s="360"/>
      <c r="D532" s="408"/>
      <c r="E532" s="408"/>
      <c r="F532" s="408"/>
      <c r="G532" s="409"/>
      <c r="H532" s="361"/>
      <c r="I532" s="362"/>
      <c r="J532" s="362"/>
      <c r="K532" s="363"/>
      <c r="L532" s="364"/>
      <c r="M532" s="363"/>
      <c r="N532" s="363"/>
      <c r="O532" s="363"/>
      <c r="P532" s="363"/>
      <c r="Q532" s="363"/>
      <c r="R532" s="363"/>
      <c r="S532" s="363"/>
      <c r="T532" s="363"/>
      <c r="U532" s="363"/>
    </row>
    <row r="533" spans="1:21" ht="19.5" hidden="1">
      <c r="A533" s="395"/>
      <c r="B533" s="396" t="s">
        <v>211</v>
      </c>
      <c r="C533" s="397"/>
      <c r="D533" s="398"/>
      <c r="E533" s="398"/>
      <c r="F533" s="398"/>
      <c r="G533" s="399"/>
      <c r="H533" s="410" t="s">
        <v>61</v>
      </c>
      <c r="I533" s="577">
        <f>I545</f>
        <v>0</v>
      </c>
      <c r="J533" s="577">
        <f>J545</f>
        <v>0</v>
      </c>
      <c r="K533" s="576">
        <f>IF(I533&gt;0,J533*100/I533,0)</f>
        <v>0</v>
      </c>
      <c r="L533" s="404"/>
      <c r="M533" s="403"/>
      <c r="N533" s="403"/>
      <c r="O533" s="403"/>
      <c r="P533" s="403"/>
      <c r="Q533" s="403"/>
      <c r="R533" s="403"/>
      <c r="S533" s="403"/>
      <c r="T533" s="403"/>
      <c r="U533" s="403"/>
    </row>
    <row r="534" spans="1:21" ht="19.5" hidden="1">
      <c r="A534" s="155"/>
      <c r="B534" s="50"/>
      <c r="C534" s="156" t="s">
        <v>18</v>
      </c>
      <c r="D534" s="575" t="s">
        <v>19</v>
      </c>
      <c r="E534" s="50"/>
      <c r="F534" s="50"/>
      <c r="G534" s="52"/>
      <c r="H534" s="158" t="s">
        <v>14</v>
      </c>
      <c r="I534" s="54"/>
      <c r="J534" s="54"/>
      <c r="K534" s="55"/>
      <c r="L534" s="541">
        <f>L535+L536</f>
        <v>0</v>
      </c>
      <c r="M534" s="540">
        <f>M535+M536</f>
        <v>0</v>
      </c>
      <c r="N534" s="540">
        <f>N535+N536</f>
        <v>0</v>
      </c>
      <c r="O534" s="540">
        <f>IF(L534&gt;0,N534*100/L534,0)</f>
        <v>0</v>
      </c>
      <c r="P534" s="540">
        <f>IF(M534&gt;0,N534*100/M534,0)</f>
        <v>0</v>
      </c>
      <c r="Q534" s="540">
        <f>Q535+Q536</f>
        <v>0</v>
      </c>
      <c r="R534" s="540">
        <f>R535+R536</f>
        <v>0</v>
      </c>
      <c r="S534" s="540">
        <f>S535+S536</f>
        <v>0</v>
      </c>
      <c r="T534" s="540">
        <f>IF(Q534&gt;0,S534*100/Q534,0)</f>
        <v>0</v>
      </c>
      <c r="U534" s="540">
        <f>IF(R534&gt;0,S534*100/R534,0)</f>
        <v>0</v>
      </c>
    </row>
    <row r="535" spans="1:21" ht="18.75" hidden="1">
      <c r="A535" s="155"/>
      <c r="B535" s="188"/>
      <c r="C535" s="50"/>
      <c r="D535" s="50"/>
      <c r="E535" s="186" t="s">
        <v>20</v>
      </c>
      <c r="F535" s="50"/>
      <c r="G535" s="52"/>
      <c r="H535" s="187" t="s">
        <v>14</v>
      </c>
      <c r="I535" s="54"/>
      <c r="J535" s="54"/>
      <c r="K535" s="55"/>
      <c r="L535" s="103">
        <f>L538+L541</f>
        <v>0</v>
      </c>
      <c r="M535" s="102">
        <f>M538+M541</f>
        <v>0</v>
      </c>
      <c r="N535" s="102">
        <f>N538+N541</f>
        <v>0</v>
      </c>
      <c r="O535" s="102">
        <f>IF(L535&gt;0,N535*100/L535,0)</f>
        <v>0</v>
      </c>
      <c r="P535" s="102">
        <f>IF(M535&gt;0,N535*100/M535,0)</f>
        <v>0</v>
      </c>
      <c r="Q535" s="102">
        <f>Q538+Q541</f>
        <v>0</v>
      </c>
      <c r="R535" s="102">
        <f>R538+R541</f>
        <v>0</v>
      </c>
      <c r="S535" s="102">
        <f>S538+S541</f>
        <v>0</v>
      </c>
      <c r="T535" s="102">
        <f>IF(Q535&gt;0,S535*100/Q535,0)</f>
        <v>0</v>
      </c>
      <c r="U535" s="102">
        <f>IF(R535&gt;0,S535*100/R535,0)</f>
        <v>0</v>
      </c>
    </row>
    <row r="536" spans="1:21" ht="18.75" hidden="1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256">
        <f>L539+L542</f>
        <v>0</v>
      </c>
      <c r="M536" s="255">
        <f>M539+M542</f>
        <v>0</v>
      </c>
      <c r="N536" s="255">
        <f>N539+N542</f>
        <v>0</v>
      </c>
      <c r="O536" s="255">
        <f>IF(L536&gt;0,N536*100/L536,0)</f>
        <v>0</v>
      </c>
      <c r="P536" s="255">
        <f>IF(M536&gt;0,N536*100/M536,0)</f>
        <v>0</v>
      </c>
      <c r="Q536" s="255">
        <f>Q539+Q542</f>
        <v>0</v>
      </c>
      <c r="R536" s="255">
        <f>R539+R542</f>
        <v>0</v>
      </c>
      <c r="S536" s="255">
        <f>S539+S542</f>
        <v>0</v>
      </c>
      <c r="T536" s="255">
        <f>IF(Q536&gt;0,S536*100/Q536,0)</f>
        <v>0</v>
      </c>
      <c r="U536" s="255">
        <f>IF(R536&gt;0,S536*100/R536,0)</f>
        <v>0</v>
      </c>
    </row>
    <row r="537" spans="1:21" ht="18.75" hidden="1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256">
        <f>L538+L539</f>
        <v>0</v>
      </c>
      <c r="M537" s="255">
        <f>M538+M539</f>
        <v>0</v>
      </c>
      <c r="N537" s="255">
        <f>N538+N539</f>
        <v>0</v>
      </c>
      <c r="O537" s="255">
        <f>IF(L537&gt;0,N537*100/L537,0)</f>
        <v>0</v>
      </c>
      <c r="P537" s="255">
        <f>IF(M537&gt;0,N537*100/M537,0)</f>
        <v>0</v>
      </c>
      <c r="Q537" s="255">
        <f>Q538+Q539</f>
        <v>0</v>
      </c>
      <c r="R537" s="255">
        <f>R538+R539</f>
        <v>0</v>
      </c>
      <c r="S537" s="255">
        <f>S538+S539</f>
        <v>0</v>
      </c>
      <c r="T537" s="255">
        <f>IF(Q537&gt;0,S537*100/Q537,0)</f>
        <v>0</v>
      </c>
      <c r="U537" s="255">
        <f>IF(R537&gt;0,S537*100/R537,0)</f>
        <v>0</v>
      </c>
    </row>
    <row r="538" spans="1:21" ht="18.75" hidden="1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103">
        <v>0</v>
      </c>
      <c r="M538" s="102">
        <v>0</v>
      </c>
      <c r="N538" s="102">
        <v>0</v>
      </c>
      <c r="O538" s="102">
        <f>IF(L538&gt;0,N538*100/L538,0)</f>
        <v>0</v>
      </c>
      <c r="P538" s="102">
        <f>IF(M538&gt;0,N538*100/M538,0)</f>
        <v>0</v>
      </c>
      <c r="Q538" s="102">
        <v>0</v>
      </c>
      <c r="R538" s="102">
        <v>0</v>
      </c>
      <c r="S538" s="102">
        <v>0</v>
      </c>
      <c r="T538" s="102">
        <f>IF(Q538&gt;0,S538*100/Q538,0)</f>
        <v>0</v>
      </c>
      <c r="U538" s="102">
        <f>IF(R538&gt;0,S538*100/R538,0)</f>
        <v>0</v>
      </c>
    </row>
    <row r="539" spans="1:21" ht="18.75" hidden="1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256">
        <v>0</v>
      </c>
      <c r="M539" s="255">
        <v>0</v>
      </c>
      <c r="N539" s="255">
        <v>0</v>
      </c>
      <c r="O539" s="255">
        <f>IF(L539&gt;0,N539*100/L539,0)</f>
        <v>0</v>
      </c>
      <c r="P539" s="255">
        <f>IF(M539&gt;0,N539*100/M539,0)</f>
        <v>0</v>
      </c>
      <c r="Q539" s="255">
        <v>0</v>
      </c>
      <c r="R539" s="255">
        <v>0</v>
      </c>
      <c r="S539" s="255">
        <v>0</v>
      </c>
      <c r="T539" s="255">
        <f>IF(Q539&gt;0,S539*100/Q539,0)</f>
        <v>0</v>
      </c>
      <c r="U539" s="255">
        <f>IF(R539&gt;0,S539*100/R539,0)</f>
        <v>0</v>
      </c>
    </row>
    <row r="540" spans="1:21" ht="18.75" hidden="1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256">
        <f>L541+L542</f>
        <v>0</v>
      </c>
      <c r="M540" s="255">
        <f>M541+M542</f>
        <v>0</v>
      </c>
      <c r="N540" s="255">
        <f>N541+N542</f>
        <v>0</v>
      </c>
      <c r="O540" s="255">
        <f>IF(L540&gt;0,N540*100/L540,0)</f>
        <v>0</v>
      </c>
      <c r="P540" s="255">
        <f>IF(M540&gt;0,N540*100/M540,0)</f>
        <v>0</v>
      </c>
      <c r="Q540" s="255">
        <f>Q541+Q542</f>
        <v>0</v>
      </c>
      <c r="R540" s="255">
        <f>R541+R542</f>
        <v>0</v>
      </c>
      <c r="S540" s="255">
        <f>S541+S542</f>
        <v>0</v>
      </c>
      <c r="T540" s="255">
        <f>IF(Q540&gt;0,S540*100/Q540,0)</f>
        <v>0</v>
      </c>
      <c r="U540" s="255">
        <f>IF(R540&gt;0,S540*100/R540,0)</f>
        <v>0</v>
      </c>
    </row>
    <row r="541" spans="1:21" ht="18.75" hidden="1">
      <c r="A541" s="155"/>
      <c r="B541" s="50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103">
        <v>0</v>
      </c>
      <c r="M541" s="102">
        <v>0</v>
      </c>
      <c r="N541" s="102">
        <v>0</v>
      </c>
      <c r="O541" s="102">
        <f>IF(L541&gt;0,N541*100/L541,0)</f>
        <v>0</v>
      </c>
      <c r="P541" s="102">
        <f>IF(M541&gt;0,N541*100/M541,0)</f>
        <v>0</v>
      </c>
      <c r="Q541" s="102">
        <v>0</v>
      </c>
      <c r="R541" s="102">
        <v>0</v>
      </c>
      <c r="S541" s="102">
        <v>0</v>
      </c>
      <c r="T541" s="102">
        <f>IF(Q541&gt;0,S541*100/Q541,0)</f>
        <v>0</v>
      </c>
      <c r="U541" s="102">
        <f>IF(R541&gt;0,S541*100/R541,0)</f>
        <v>0</v>
      </c>
    </row>
    <row r="542" spans="1:21" ht="18.75" hidden="1">
      <c r="A542" s="155"/>
      <c r="B542" s="50"/>
      <c r="C542" s="50"/>
      <c r="D542" s="50"/>
      <c r="E542" s="58" t="s">
        <v>21</v>
      </c>
      <c r="F542" s="50"/>
      <c r="G542" s="52"/>
      <c r="H542" s="165" t="s">
        <v>14</v>
      </c>
      <c r="I542" s="163"/>
      <c r="J542" s="163"/>
      <c r="K542" s="164"/>
      <c r="L542" s="256">
        <v>0</v>
      </c>
      <c r="M542" s="255">
        <v>0</v>
      </c>
      <c r="N542" s="255">
        <v>0</v>
      </c>
      <c r="O542" s="255">
        <f>IF(L542&gt;0,N542*100/L542,0)</f>
        <v>0</v>
      </c>
      <c r="P542" s="255">
        <f>IF(M542&gt;0,N542*100/M542,0)</f>
        <v>0</v>
      </c>
      <c r="Q542" s="255">
        <v>0</v>
      </c>
      <c r="R542" s="255">
        <v>0</v>
      </c>
      <c r="S542" s="255">
        <v>0</v>
      </c>
      <c r="T542" s="255">
        <f>IF(Q542&gt;0,S542*100/Q542,0)</f>
        <v>0</v>
      </c>
      <c r="U542" s="255">
        <f>IF(R542&gt;0,S542*100/R542,0)</f>
        <v>0</v>
      </c>
    </row>
    <row r="543" spans="1:21" ht="19.5" hidden="1">
      <c r="A543" s="166"/>
      <c r="B543" s="167"/>
      <c r="C543" s="411" t="s">
        <v>18</v>
      </c>
      <c r="D543" s="566" t="s">
        <v>38</v>
      </c>
      <c r="E543" s="169"/>
      <c r="F543" s="169"/>
      <c r="G543" s="170"/>
      <c r="H543" s="171"/>
      <c r="I543" s="163"/>
      <c r="J543" s="54"/>
      <c r="K543" s="55"/>
      <c r="L543" s="62"/>
      <c r="M543" s="55"/>
      <c r="N543" s="55"/>
      <c r="O543" s="164"/>
      <c r="P543" s="164"/>
      <c r="Q543" s="55"/>
      <c r="R543" s="55"/>
      <c r="S543" s="55"/>
      <c r="T543" s="164"/>
      <c r="U543" s="164"/>
    </row>
    <row r="544" spans="1:21" ht="12.75" hidden="1">
      <c r="A544" s="258"/>
      <c r="B544" s="260"/>
      <c r="C544" s="259"/>
      <c r="D544" s="260"/>
      <c r="E544" s="259"/>
      <c r="F544" s="260"/>
      <c r="G544" s="261"/>
      <c r="H544" s="261"/>
      <c r="I544" s="263"/>
      <c r="J544" s="263"/>
      <c r="K544" s="264"/>
      <c r="L544" s="265"/>
      <c r="M544" s="264"/>
      <c r="N544" s="264"/>
      <c r="O544" s="264"/>
      <c r="P544" s="264"/>
      <c r="Q544" s="264"/>
      <c r="R544" s="264"/>
      <c r="S544" s="264"/>
      <c r="T544" s="264"/>
      <c r="U544" s="264"/>
    </row>
    <row r="545" spans="1:21" ht="12.75" hidden="1">
      <c r="A545" s="258"/>
      <c r="B545" s="260"/>
      <c r="C545" s="259"/>
      <c r="D545" s="260"/>
      <c r="E545" s="259"/>
      <c r="F545" s="260"/>
      <c r="G545" s="261"/>
      <c r="H545" s="261"/>
      <c r="I545" s="263"/>
      <c r="J545" s="263"/>
      <c r="K545" s="264"/>
      <c r="L545" s="265"/>
      <c r="M545" s="264"/>
      <c r="N545" s="264"/>
      <c r="O545" s="264"/>
      <c r="P545" s="264"/>
      <c r="Q545" s="264"/>
      <c r="R545" s="264"/>
      <c r="S545" s="264"/>
      <c r="T545" s="264"/>
      <c r="U545" s="264"/>
    </row>
    <row r="546" spans="1:21" ht="12.75" hidden="1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5"/>
      <c r="M546" s="264"/>
      <c r="N546" s="264"/>
      <c r="O546" s="264"/>
      <c r="P546" s="264"/>
      <c r="Q546" s="264"/>
      <c r="R546" s="264"/>
      <c r="S546" s="264"/>
      <c r="T546" s="264"/>
      <c r="U546" s="264"/>
    </row>
    <row r="547" spans="1:21" ht="12.75" hidden="1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5"/>
      <c r="M547" s="264"/>
      <c r="N547" s="264"/>
      <c r="O547" s="264"/>
      <c r="P547" s="264"/>
      <c r="Q547" s="264"/>
      <c r="R547" s="264"/>
      <c r="S547" s="264"/>
      <c r="T547" s="264"/>
      <c r="U547" s="264"/>
    </row>
    <row r="548" spans="1:21" ht="12.75" hidden="1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5"/>
      <c r="M548" s="264"/>
      <c r="N548" s="264"/>
      <c r="O548" s="264"/>
      <c r="P548" s="264"/>
      <c r="Q548" s="264"/>
      <c r="R548" s="264"/>
      <c r="S548" s="264"/>
      <c r="T548" s="264"/>
      <c r="U548" s="264"/>
    </row>
    <row r="549" spans="1:21" ht="12.75" hidden="1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5"/>
      <c r="M549" s="264"/>
      <c r="N549" s="264"/>
      <c r="O549" s="264"/>
      <c r="P549" s="264"/>
      <c r="Q549" s="264"/>
      <c r="R549" s="264"/>
      <c r="S549" s="264"/>
      <c r="T549" s="264"/>
      <c r="U549" s="264"/>
    </row>
    <row r="550" spans="1:21" ht="12.75" hidden="1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5"/>
      <c r="M550" s="264"/>
      <c r="N550" s="264"/>
      <c r="O550" s="264"/>
      <c r="P550" s="264"/>
      <c r="Q550" s="264"/>
      <c r="R550" s="264"/>
      <c r="S550" s="264"/>
      <c r="T550" s="264"/>
      <c r="U550" s="264"/>
    </row>
    <row r="551" spans="1:21" ht="12.75" hidden="1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5"/>
      <c r="M551" s="264"/>
      <c r="N551" s="264"/>
      <c r="O551" s="264"/>
      <c r="P551" s="264"/>
      <c r="Q551" s="264"/>
      <c r="R551" s="264"/>
      <c r="S551" s="264"/>
      <c r="T551" s="264"/>
      <c r="U551" s="264"/>
    </row>
    <row r="552" spans="1:21" ht="12.75" hidden="1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5"/>
      <c r="M552" s="264"/>
      <c r="N552" s="264"/>
      <c r="O552" s="264"/>
      <c r="P552" s="264"/>
      <c r="Q552" s="264"/>
      <c r="R552" s="264"/>
      <c r="S552" s="264"/>
      <c r="T552" s="264"/>
      <c r="U552" s="264"/>
    </row>
    <row r="553" spans="1:21" ht="12.75" hidden="1">
      <c r="A553" s="407"/>
      <c r="B553" s="360"/>
      <c r="C553" s="360"/>
      <c r="D553" s="408"/>
      <c r="E553" s="408"/>
      <c r="F553" s="408"/>
      <c r="G553" s="409"/>
      <c r="H553" s="361"/>
      <c r="I553" s="362"/>
      <c r="J553" s="362"/>
      <c r="K553" s="363"/>
      <c r="L553" s="364"/>
      <c r="M553" s="363"/>
      <c r="N553" s="363"/>
      <c r="O553" s="363"/>
      <c r="P553" s="363"/>
      <c r="Q553" s="363"/>
      <c r="R553" s="363"/>
      <c r="S553" s="363"/>
      <c r="T553" s="363"/>
      <c r="U553" s="363"/>
    </row>
    <row r="554" spans="1:21" ht="19.5" hidden="1">
      <c r="A554" s="395"/>
      <c r="B554" s="396" t="s">
        <v>212</v>
      </c>
      <c r="C554" s="397"/>
      <c r="D554" s="398"/>
      <c r="E554" s="398"/>
      <c r="F554" s="398"/>
      <c r="G554" s="399"/>
      <c r="H554" s="410" t="s">
        <v>61</v>
      </c>
      <c r="I554" s="577">
        <f>I566</f>
        <v>0</v>
      </c>
      <c r="J554" s="577">
        <f>J566</f>
        <v>0</v>
      </c>
      <c r="K554" s="576">
        <f>IF(I554&gt;0,J554*100/I554,0)</f>
        <v>0</v>
      </c>
      <c r="L554" s="404"/>
      <c r="M554" s="403"/>
      <c r="N554" s="403"/>
      <c r="O554" s="403"/>
      <c r="P554" s="403"/>
      <c r="Q554" s="403"/>
      <c r="R554" s="403"/>
      <c r="S554" s="403"/>
      <c r="T554" s="403"/>
      <c r="U554" s="403"/>
    </row>
    <row r="555" spans="1:21" ht="19.5" hidden="1">
      <c r="A555" s="155"/>
      <c r="B555" s="50"/>
      <c r="C555" s="156" t="s">
        <v>18</v>
      </c>
      <c r="D555" s="575" t="s">
        <v>19</v>
      </c>
      <c r="E555" s="50"/>
      <c r="F555" s="50"/>
      <c r="G555" s="52"/>
      <c r="H555" s="158" t="s">
        <v>14</v>
      </c>
      <c r="I555" s="54"/>
      <c r="J555" s="54"/>
      <c r="K555" s="55"/>
      <c r="L555" s="541">
        <f>L556+L557</f>
        <v>0</v>
      </c>
      <c r="M555" s="540">
        <f>M556+M557</f>
        <v>0</v>
      </c>
      <c r="N555" s="540">
        <f>N556+N557</f>
        <v>0</v>
      </c>
      <c r="O555" s="540">
        <f>IF(L555&gt;0,N555*100/L555,0)</f>
        <v>0</v>
      </c>
      <c r="P555" s="540">
        <f>IF(M555&gt;0,N555*100/M555,0)</f>
        <v>0</v>
      </c>
      <c r="Q555" s="540">
        <f>Q556+Q557</f>
        <v>0</v>
      </c>
      <c r="R555" s="540">
        <f>R556+R557</f>
        <v>0</v>
      </c>
      <c r="S555" s="540">
        <f>S556+S557</f>
        <v>0</v>
      </c>
      <c r="T555" s="540">
        <f>IF(Q555&gt;0,S555*100/Q555,0)</f>
        <v>0</v>
      </c>
      <c r="U555" s="540">
        <f>IF(R555&gt;0,S555*100/R555,0)</f>
        <v>0</v>
      </c>
    </row>
    <row r="556" spans="1:21" ht="18.75" hidden="1">
      <c r="A556" s="155"/>
      <c r="B556" s="188"/>
      <c r="C556" s="50"/>
      <c r="D556" s="50"/>
      <c r="E556" s="186" t="s">
        <v>20</v>
      </c>
      <c r="F556" s="50"/>
      <c r="G556" s="52"/>
      <c r="H556" s="187" t="s">
        <v>14</v>
      </c>
      <c r="I556" s="54"/>
      <c r="J556" s="54"/>
      <c r="K556" s="55"/>
      <c r="L556" s="103">
        <f>L559+L562</f>
        <v>0</v>
      </c>
      <c r="M556" s="102">
        <f>M559+M562</f>
        <v>0</v>
      </c>
      <c r="N556" s="102">
        <f>N559+N562</f>
        <v>0</v>
      </c>
      <c r="O556" s="102">
        <f>IF(L556&gt;0,N556*100/L556,0)</f>
        <v>0</v>
      </c>
      <c r="P556" s="102">
        <f>IF(M556&gt;0,N556*100/M556,0)</f>
        <v>0</v>
      </c>
      <c r="Q556" s="102">
        <f>Q559+Q562</f>
        <v>0</v>
      </c>
      <c r="R556" s="102">
        <f>R559+R562</f>
        <v>0</v>
      </c>
      <c r="S556" s="102">
        <f>S559+S562</f>
        <v>0</v>
      </c>
      <c r="T556" s="102">
        <f>IF(Q556&gt;0,S556*100/Q556,0)</f>
        <v>0</v>
      </c>
      <c r="U556" s="102">
        <f>IF(R556&gt;0,S556*100/R556,0)</f>
        <v>0</v>
      </c>
    </row>
    <row r="557" spans="1:21" ht="18.75" hidden="1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256">
        <f>L560+L563</f>
        <v>0</v>
      </c>
      <c r="M557" s="255">
        <f>M560+M563</f>
        <v>0</v>
      </c>
      <c r="N557" s="255">
        <f>N560+N563</f>
        <v>0</v>
      </c>
      <c r="O557" s="255">
        <f>IF(L557&gt;0,N557*100/L557,0)</f>
        <v>0</v>
      </c>
      <c r="P557" s="255">
        <f>IF(M557&gt;0,N557*100/M557,0)</f>
        <v>0</v>
      </c>
      <c r="Q557" s="255">
        <f>Q560+Q563</f>
        <v>0</v>
      </c>
      <c r="R557" s="255">
        <f>R560+R563</f>
        <v>0</v>
      </c>
      <c r="S557" s="255">
        <f>S560+S563</f>
        <v>0</v>
      </c>
      <c r="T557" s="255">
        <f>IF(Q557&gt;0,S557*100/Q557,0)</f>
        <v>0</v>
      </c>
      <c r="U557" s="255">
        <f>IF(R557&gt;0,S557*100/R557,0)</f>
        <v>0</v>
      </c>
    </row>
    <row r="558" spans="1:21" ht="18.75" hidden="1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256">
        <f>L559+L560</f>
        <v>0</v>
      </c>
      <c r="M558" s="255">
        <f>M559+M560</f>
        <v>0</v>
      </c>
      <c r="N558" s="255">
        <f>N559+N560</f>
        <v>0</v>
      </c>
      <c r="O558" s="255">
        <f>IF(L558&gt;0,N558*100/L558,0)</f>
        <v>0</v>
      </c>
      <c r="P558" s="255">
        <f>IF(M558&gt;0,N558*100/M558,0)</f>
        <v>0</v>
      </c>
      <c r="Q558" s="255">
        <f>Q559+Q560</f>
        <v>0</v>
      </c>
      <c r="R558" s="255">
        <f>R559+R560</f>
        <v>0</v>
      </c>
      <c r="S558" s="255">
        <f>S559+S560</f>
        <v>0</v>
      </c>
      <c r="T558" s="255">
        <f>IF(Q558&gt;0,S558*100/Q558,0)</f>
        <v>0</v>
      </c>
      <c r="U558" s="255">
        <f>IF(R558&gt;0,S558*100/R558,0)</f>
        <v>0</v>
      </c>
    </row>
    <row r="559" spans="1:21" ht="18.75" hidden="1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103">
        <v>0</v>
      </c>
      <c r="M559" s="102">
        <v>0</v>
      </c>
      <c r="N559" s="102">
        <v>0</v>
      </c>
      <c r="O559" s="102">
        <f>IF(L559&gt;0,N559*100/L559,0)</f>
        <v>0</v>
      </c>
      <c r="P559" s="102">
        <f>IF(M559&gt;0,N559*100/M559,0)</f>
        <v>0</v>
      </c>
      <c r="Q559" s="102">
        <v>0</v>
      </c>
      <c r="R559" s="102">
        <v>0</v>
      </c>
      <c r="S559" s="102">
        <v>0</v>
      </c>
      <c r="T559" s="102">
        <f>IF(Q559&gt;0,S559*100/Q559,0)</f>
        <v>0</v>
      </c>
      <c r="U559" s="102">
        <f>IF(R559&gt;0,S559*100/R559,0)</f>
        <v>0</v>
      </c>
    </row>
    <row r="560" spans="1:21" ht="18.75" hidden="1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256">
        <v>0</v>
      </c>
      <c r="M560" s="255">
        <v>0</v>
      </c>
      <c r="N560" s="255">
        <v>0</v>
      </c>
      <c r="O560" s="255">
        <f>IF(L560&gt;0,N560*100/L560,0)</f>
        <v>0</v>
      </c>
      <c r="P560" s="255">
        <f>IF(M560&gt;0,N560*100/M560,0)</f>
        <v>0</v>
      </c>
      <c r="Q560" s="255">
        <v>0</v>
      </c>
      <c r="R560" s="255">
        <v>0</v>
      </c>
      <c r="S560" s="255">
        <v>0</v>
      </c>
      <c r="T560" s="255">
        <f>IF(Q560&gt;0,S560*100/Q560,0)</f>
        <v>0</v>
      </c>
      <c r="U560" s="255">
        <f>IF(R560&gt;0,S560*100/R560,0)</f>
        <v>0</v>
      </c>
    </row>
    <row r="561" spans="1:21" ht="18.75" hidden="1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256">
        <f>L562+L563</f>
        <v>0</v>
      </c>
      <c r="M561" s="255">
        <f>M562+M563</f>
        <v>0</v>
      </c>
      <c r="N561" s="255">
        <f>N562+N563</f>
        <v>0</v>
      </c>
      <c r="O561" s="255">
        <f>IF(L561&gt;0,N561*100/L561,0)</f>
        <v>0</v>
      </c>
      <c r="P561" s="255">
        <f>IF(M561&gt;0,N561*100/M561,0)</f>
        <v>0</v>
      </c>
      <c r="Q561" s="255">
        <f>Q562+Q563</f>
        <v>0</v>
      </c>
      <c r="R561" s="255">
        <f>R562+R563</f>
        <v>0</v>
      </c>
      <c r="S561" s="255">
        <f>S562+S563</f>
        <v>0</v>
      </c>
      <c r="T561" s="255">
        <f>IF(Q561&gt;0,S561*100/Q561,0)</f>
        <v>0</v>
      </c>
      <c r="U561" s="255">
        <f>IF(R561&gt;0,S561*100/R561,0)</f>
        <v>0</v>
      </c>
    </row>
    <row r="562" spans="1:21" ht="18.75" hidden="1">
      <c r="A562" s="155"/>
      <c r="B562" s="50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103">
        <v>0</v>
      </c>
      <c r="M562" s="102">
        <v>0</v>
      </c>
      <c r="N562" s="102">
        <v>0</v>
      </c>
      <c r="O562" s="102">
        <f>IF(L562&gt;0,N562*100/L562,0)</f>
        <v>0</v>
      </c>
      <c r="P562" s="102">
        <f>IF(M562&gt;0,N562*100/M562,0)</f>
        <v>0</v>
      </c>
      <c r="Q562" s="102">
        <v>0</v>
      </c>
      <c r="R562" s="102">
        <v>0</v>
      </c>
      <c r="S562" s="102">
        <v>0</v>
      </c>
      <c r="T562" s="102">
        <f>IF(Q562&gt;0,S562*100/Q562,0)</f>
        <v>0</v>
      </c>
      <c r="U562" s="102">
        <f>IF(R562&gt;0,S562*100/R562,0)</f>
        <v>0</v>
      </c>
    </row>
    <row r="563" spans="1:21" ht="18.75" hidden="1">
      <c r="A563" s="155"/>
      <c r="B563" s="50"/>
      <c r="C563" s="50"/>
      <c r="D563" s="50"/>
      <c r="E563" s="58" t="s">
        <v>21</v>
      </c>
      <c r="F563" s="50"/>
      <c r="G563" s="52"/>
      <c r="H563" s="165" t="s">
        <v>14</v>
      </c>
      <c r="I563" s="163"/>
      <c r="J563" s="163"/>
      <c r="K563" s="164"/>
      <c r="L563" s="256">
        <v>0</v>
      </c>
      <c r="M563" s="255">
        <v>0</v>
      </c>
      <c r="N563" s="255">
        <v>0</v>
      </c>
      <c r="O563" s="255">
        <f>IF(L563&gt;0,N563*100/L563,0)</f>
        <v>0</v>
      </c>
      <c r="P563" s="255">
        <f>IF(M563&gt;0,N563*100/M563,0)</f>
        <v>0</v>
      </c>
      <c r="Q563" s="255">
        <v>0</v>
      </c>
      <c r="R563" s="255">
        <v>0</v>
      </c>
      <c r="S563" s="255">
        <v>0</v>
      </c>
      <c r="T563" s="255">
        <f>IF(Q563&gt;0,S563*100/Q563,0)</f>
        <v>0</v>
      </c>
      <c r="U563" s="255">
        <f>IF(R563&gt;0,S563*100/R563,0)</f>
        <v>0</v>
      </c>
    </row>
    <row r="564" spans="1:21" ht="19.5" hidden="1">
      <c r="A564" s="166"/>
      <c r="B564" s="167"/>
      <c r="C564" s="411" t="s">
        <v>18</v>
      </c>
      <c r="D564" s="566" t="s">
        <v>38</v>
      </c>
      <c r="E564" s="169"/>
      <c r="F564" s="169"/>
      <c r="G564" s="170"/>
      <c r="H564" s="171"/>
      <c r="I564" s="163"/>
      <c r="J564" s="54"/>
      <c r="K564" s="55"/>
      <c r="L564" s="62"/>
      <c r="M564" s="55"/>
      <c r="N564" s="55"/>
      <c r="O564" s="164"/>
      <c r="P564" s="164"/>
      <c r="Q564" s="55"/>
      <c r="R564" s="55"/>
      <c r="S564" s="55"/>
      <c r="T564" s="164"/>
      <c r="U564" s="164"/>
    </row>
    <row r="565" spans="1:21" ht="12.75" hidden="1">
      <c r="A565" s="258"/>
      <c r="B565" s="260"/>
      <c r="C565" s="259"/>
      <c r="D565" s="260"/>
      <c r="E565" s="259"/>
      <c r="F565" s="260"/>
      <c r="G565" s="261"/>
      <c r="H565" s="261"/>
      <c r="I565" s="263"/>
      <c r="J565" s="263"/>
      <c r="K565" s="264"/>
      <c r="L565" s="265"/>
      <c r="M565" s="264"/>
      <c r="N565" s="264"/>
      <c r="O565" s="264"/>
      <c r="P565" s="264"/>
      <c r="Q565" s="264"/>
      <c r="R565" s="264"/>
      <c r="S565" s="264"/>
      <c r="T565" s="264"/>
      <c r="U565" s="264"/>
    </row>
    <row r="566" spans="1:21" ht="12.75" hidden="1">
      <c r="A566" s="258"/>
      <c r="B566" s="260"/>
      <c r="C566" s="259"/>
      <c r="D566" s="260"/>
      <c r="E566" s="259"/>
      <c r="F566" s="260"/>
      <c r="G566" s="261"/>
      <c r="H566" s="261"/>
      <c r="I566" s="263"/>
      <c r="J566" s="263"/>
      <c r="K566" s="264"/>
      <c r="L566" s="265"/>
      <c r="M566" s="264"/>
      <c r="N566" s="264"/>
      <c r="O566" s="264"/>
      <c r="P566" s="264"/>
      <c r="Q566" s="264"/>
      <c r="R566" s="264"/>
      <c r="S566" s="264"/>
      <c r="T566" s="264"/>
      <c r="U566" s="264"/>
    </row>
    <row r="567" spans="1:21" ht="12.75" hidden="1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5"/>
      <c r="M567" s="264"/>
      <c r="N567" s="264"/>
      <c r="O567" s="264"/>
      <c r="P567" s="264"/>
      <c r="Q567" s="264"/>
      <c r="R567" s="264"/>
      <c r="S567" s="264"/>
      <c r="T567" s="264"/>
      <c r="U567" s="264"/>
    </row>
    <row r="568" spans="1:21" ht="12.75" hidden="1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5"/>
      <c r="M568" s="264"/>
      <c r="N568" s="264"/>
      <c r="O568" s="264"/>
      <c r="P568" s="264"/>
      <c r="Q568" s="264"/>
      <c r="R568" s="264"/>
      <c r="S568" s="264"/>
      <c r="T568" s="264"/>
      <c r="U568" s="264"/>
    </row>
    <row r="569" spans="1:21" ht="12.75" hidden="1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5"/>
      <c r="M569" s="264"/>
      <c r="N569" s="264"/>
      <c r="O569" s="264"/>
      <c r="P569" s="264"/>
      <c r="Q569" s="264"/>
      <c r="R569" s="264"/>
      <c r="S569" s="264"/>
      <c r="T569" s="264"/>
      <c r="U569" s="264"/>
    </row>
    <row r="570" spans="1:21" ht="12.75" hidden="1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5"/>
      <c r="M570" s="264"/>
      <c r="N570" s="264"/>
      <c r="O570" s="264"/>
      <c r="P570" s="264"/>
      <c r="Q570" s="264"/>
      <c r="R570" s="264"/>
      <c r="S570" s="264"/>
      <c r="T570" s="264"/>
      <c r="U570" s="264"/>
    </row>
    <row r="571" spans="1:21" ht="12.75" hidden="1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5"/>
      <c r="M571" s="264"/>
      <c r="N571" s="264"/>
      <c r="O571" s="264"/>
      <c r="P571" s="264"/>
      <c r="Q571" s="264"/>
      <c r="R571" s="264"/>
      <c r="S571" s="264"/>
      <c r="T571" s="264"/>
      <c r="U571" s="264"/>
    </row>
    <row r="572" spans="1:21" ht="12.75" hidden="1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5"/>
      <c r="M572" s="264"/>
      <c r="N572" s="264"/>
      <c r="O572" s="264"/>
      <c r="P572" s="264"/>
      <c r="Q572" s="264"/>
      <c r="R572" s="264"/>
      <c r="S572" s="264"/>
      <c r="T572" s="264"/>
      <c r="U572" s="264"/>
    </row>
    <row r="573" spans="1:21" ht="12.75" hidden="1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5"/>
      <c r="M573" s="264"/>
      <c r="N573" s="264"/>
      <c r="O573" s="264"/>
      <c r="P573" s="264"/>
      <c r="Q573" s="264"/>
      <c r="R573" s="264"/>
      <c r="S573" s="264"/>
      <c r="T573" s="264"/>
      <c r="U573" s="264"/>
    </row>
    <row r="574" spans="1:21" ht="12.75" hidden="1">
      <c r="A574" s="407"/>
      <c r="B574" s="360"/>
      <c r="C574" s="360"/>
      <c r="D574" s="408"/>
      <c r="E574" s="408"/>
      <c r="F574" s="408"/>
      <c r="G574" s="409"/>
      <c r="H574" s="361"/>
      <c r="I574" s="362"/>
      <c r="J574" s="362"/>
      <c r="K574" s="363"/>
      <c r="L574" s="364"/>
      <c r="M574" s="363"/>
      <c r="N574" s="363"/>
      <c r="O574" s="363"/>
      <c r="P574" s="363"/>
      <c r="Q574" s="363"/>
      <c r="R574" s="363"/>
      <c r="S574" s="363"/>
      <c r="T574" s="363"/>
      <c r="U574" s="363"/>
    </row>
    <row r="575" spans="1:21" ht="19.5" hidden="1">
      <c r="A575" s="395"/>
      <c r="B575" s="396" t="s">
        <v>213</v>
      </c>
      <c r="C575" s="397"/>
      <c r="D575" s="398"/>
      <c r="E575" s="398"/>
      <c r="F575" s="398"/>
      <c r="G575" s="399"/>
      <c r="H575" s="410" t="s">
        <v>61</v>
      </c>
      <c r="I575" s="577">
        <f>I587</f>
        <v>0</v>
      </c>
      <c r="J575" s="577">
        <f>J587</f>
        <v>0</v>
      </c>
      <c r="K575" s="576">
        <f>IF(I575&gt;0,J575*100/I575,0)</f>
        <v>0</v>
      </c>
      <c r="L575" s="404"/>
      <c r="M575" s="403"/>
      <c r="N575" s="403"/>
      <c r="O575" s="403"/>
      <c r="P575" s="403"/>
      <c r="Q575" s="403"/>
      <c r="R575" s="403"/>
      <c r="S575" s="403"/>
      <c r="T575" s="403"/>
      <c r="U575" s="403"/>
    </row>
    <row r="576" spans="1:21" ht="19.5" hidden="1">
      <c r="A576" s="155"/>
      <c r="B576" s="50"/>
      <c r="C576" s="156" t="s">
        <v>18</v>
      </c>
      <c r="D576" s="575" t="s">
        <v>19</v>
      </c>
      <c r="E576" s="50"/>
      <c r="F576" s="50"/>
      <c r="G576" s="52"/>
      <c r="H576" s="158" t="s">
        <v>14</v>
      </c>
      <c r="I576" s="54"/>
      <c r="J576" s="54"/>
      <c r="K576" s="55"/>
      <c r="L576" s="541">
        <f>L577+L578</f>
        <v>0</v>
      </c>
      <c r="M576" s="540">
        <f>M577+M578</f>
        <v>0</v>
      </c>
      <c r="N576" s="540">
        <f>N577+N578</f>
        <v>0</v>
      </c>
      <c r="O576" s="540">
        <f>IF(L576&gt;0,N576*100/L576,0)</f>
        <v>0</v>
      </c>
      <c r="P576" s="540">
        <f>IF(M576&gt;0,N576*100/M576,0)</f>
        <v>0</v>
      </c>
      <c r="Q576" s="540">
        <f>Q577+Q578</f>
        <v>0</v>
      </c>
      <c r="R576" s="540">
        <f>R577+R578</f>
        <v>0</v>
      </c>
      <c r="S576" s="540">
        <f>S577+S578</f>
        <v>0</v>
      </c>
      <c r="T576" s="540">
        <f>IF(Q576&gt;0,S576*100/Q576,0)</f>
        <v>0</v>
      </c>
      <c r="U576" s="540">
        <f>IF(R576&gt;0,S576*100/R576,0)</f>
        <v>0</v>
      </c>
    </row>
    <row r="577" spans="1:21" ht="18.75" hidden="1">
      <c r="A577" s="155"/>
      <c r="B577" s="188"/>
      <c r="C577" s="50"/>
      <c r="D577" s="50"/>
      <c r="E577" s="186" t="s">
        <v>20</v>
      </c>
      <c r="F577" s="50"/>
      <c r="G577" s="52"/>
      <c r="H577" s="187" t="s">
        <v>14</v>
      </c>
      <c r="I577" s="54"/>
      <c r="J577" s="54"/>
      <c r="K577" s="55"/>
      <c r="L577" s="103">
        <f>L580+L583</f>
        <v>0</v>
      </c>
      <c r="M577" s="102">
        <f>M580+M583</f>
        <v>0</v>
      </c>
      <c r="N577" s="102">
        <f>N580+N583</f>
        <v>0</v>
      </c>
      <c r="O577" s="102">
        <f>IF(L577&gt;0,N577*100/L577,0)</f>
        <v>0</v>
      </c>
      <c r="P577" s="102">
        <f>IF(M577&gt;0,N577*100/M577,0)</f>
        <v>0</v>
      </c>
      <c r="Q577" s="102">
        <f>Q580+Q583</f>
        <v>0</v>
      </c>
      <c r="R577" s="102">
        <f>R580+R583</f>
        <v>0</v>
      </c>
      <c r="S577" s="102">
        <f>S580+S583</f>
        <v>0</v>
      </c>
      <c r="T577" s="102">
        <f>IF(Q577&gt;0,S577*100/Q577,0)</f>
        <v>0</v>
      </c>
      <c r="U577" s="102">
        <f>IF(R577&gt;0,S577*100/R577,0)</f>
        <v>0</v>
      </c>
    </row>
    <row r="578" spans="1:21" ht="18.75" hidden="1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256">
        <f>L581+L584</f>
        <v>0</v>
      </c>
      <c r="M578" s="255">
        <f>M581+M584</f>
        <v>0</v>
      </c>
      <c r="N578" s="255">
        <f>N581+N584</f>
        <v>0</v>
      </c>
      <c r="O578" s="255">
        <f>IF(L578&gt;0,N578*100/L578,0)</f>
        <v>0</v>
      </c>
      <c r="P578" s="255">
        <f>IF(M578&gt;0,N578*100/M578,0)</f>
        <v>0</v>
      </c>
      <c r="Q578" s="255">
        <f>Q581+Q584</f>
        <v>0</v>
      </c>
      <c r="R578" s="255">
        <f>R581+R584</f>
        <v>0</v>
      </c>
      <c r="S578" s="255">
        <f>S581+S584</f>
        <v>0</v>
      </c>
      <c r="T578" s="255">
        <f>IF(Q578&gt;0,S578*100/Q578,0)</f>
        <v>0</v>
      </c>
      <c r="U578" s="255">
        <f>IF(R578&gt;0,S578*100/R578,0)</f>
        <v>0</v>
      </c>
    </row>
    <row r="579" spans="1:21" ht="18.75" hidden="1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256">
        <f>L580+L581</f>
        <v>0</v>
      </c>
      <c r="M579" s="255">
        <f>M580+M581</f>
        <v>0</v>
      </c>
      <c r="N579" s="255">
        <f>N580+N581</f>
        <v>0</v>
      </c>
      <c r="O579" s="255">
        <f>IF(L579&gt;0,N579*100/L579,0)</f>
        <v>0</v>
      </c>
      <c r="P579" s="255">
        <f>IF(M579&gt;0,N579*100/M579,0)</f>
        <v>0</v>
      </c>
      <c r="Q579" s="255">
        <f>Q580+Q581</f>
        <v>0</v>
      </c>
      <c r="R579" s="255">
        <f>R580+R581</f>
        <v>0</v>
      </c>
      <c r="S579" s="255">
        <f>S580+S581</f>
        <v>0</v>
      </c>
      <c r="T579" s="255">
        <f>IF(Q579&gt;0,S579*100/Q579,0)</f>
        <v>0</v>
      </c>
      <c r="U579" s="255">
        <f>IF(R579&gt;0,S579*100/R579,0)</f>
        <v>0</v>
      </c>
    </row>
    <row r="580" spans="1:21" ht="18.75" hidden="1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103">
        <v>0</v>
      </c>
      <c r="M580" s="102">
        <v>0</v>
      </c>
      <c r="N580" s="102">
        <v>0</v>
      </c>
      <c r="O580" s="102">
        <f>IF(L580&gt;0,N580*100/L580,0)</f>
        <v>0</v>
      </c>
      <c r="P580" s="102">
        <f>IF(M580&gt;0,N580*100/M580,0)</f>
        <v>0</v>
      </c>
      <c r="Q580" s="102">
        <v>0</v>
      </c>
      <c r="R580" s="102">
        <v>0</v>
      </c>
      <c r="S580" s="102">
        <v>0</v>
      </c>
      <c r="T580" s="102">
        <f>IF(Q580&gt;0,S580*100/Q580,0)</f>
        <v>0</v>
      </c>
      <c r="U580" s="102">
        <f>IF(R580&gt;0,S580*100/R580,0)</f>
        <v>0</v>
      </c>
    </row>
    <row r="581" spans="1:21" ht="18.75" hidden="1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256">
        <v>0</v>
      </c>
      <c r="M581" s="255">
        <v>0</v>
      </c>
      <c r="N581" s="255">
        <v>0</v>
      </c>
      <c r="O581" s="255">
        <f>IF(L581&gt;0,N581*100/L581,0)</f>
        <v>0</v>
      </c>
      <c r="P581" s="255">
        <f>IF(M581&gt;0,N581*100/M581,0)</f>
        <v>0</v>
      </c>
      <c r="Q581" s="255">
        <v>0</v>
      </c>
      <c r="R581" s="255">
        <v>0</v>
      </c>
      <c r="S581" s="255">
        <v>0</v>
      </c>
      <c r="T581" s="255">
        <f>IF(Q581&gt;0,S581*100/Q581,0)</f>
        <v>0</v>
      </c>
      <c r="U581" s="255">
        <f>IF(R581&gt;0,S581*100/R581,0)</f>
        <v>0</v>
      </c>
    </row>
    <row r="582" spans="1:21" ht="18.75" hidden="1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256">
        <f>L583+L584</f>
        <v>0</v>
      </c>
      <c r="M582" s="255">
        <f>M583+M584</f>
        <v>0</v>
      </c>
      <c r="N582" s="255">
        <f>N583+N584</f>
        <v>0</v>
      </c>
      <c r="O582" s="255">
        <f>IF(L582&gt;0,N582*100/L582,0)</f>
        <v>0</v>
      </c>
      <c r="P582" s="255">
        <f>IF(M582&gt;0,N582*100/M582,0)</f>
        <v>0</v>
      </c>
      <c r="Q582" s="255">
        <f>Q583+Q584</f>
        <v>0</v>
      </c>
      <c r="R582" s="255">
        <f>R583+R584</f>
        <v>0</v>
      </c>
      <c r="S582" s="255">
        <f>S583+S584</f>
        <v>0</v>
      </c>
      <c r="T582" s="255">
        <f>IF(Q582&gt;0,S582*100/Q582,0)</f>
        <v>0</v>
      </c>
      <c r="U582" s="255">
        <f>IF(R582&gt;0,S582*100/R582,0)</f>
        <v>0</v>
      </c>
    </row>
    <row r="583" spans="1:21" ht="18.75" hidden="1">
      <c r="A583" s="155"/>
      <c r="B583" s="50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103">
        <v>0</v>
      </c>
      <c r="M583" s="102">
        <v>0</v>
      </c>
      <c r="N583" s="102">
        <v>0</v>
      </c>
      <c r="O583" s="102">
        <f>IF(L583&gt;0,N583*100/L583,0)</f>
        <v>0</v>
      </c>
      <c r="P583" s="102">
        <f>IF(M583&gt;0,N583*100/M583,0)</f>
        <v>0</v>
      </c>
      <c r="Q583" s="102">
        <v>0</v>
      </c>
      <c r="R583" s="102">
        <v>0</v>
      </c>
      <c r="S583" s="102">
        <v>0</v>
      </c>
      <c r="T583" s="102">
        <f>IF(Q583&gt;0,S583*100/Q583,0)</f>
        <v>0</v>
      </c>
      <c r="U583" s="102">
        <f>IF(R583&gt;0,S583*100/R583,0)</f>
        <v>0</v>
      </c>
    </row>
    <row r="584" spans="1:21" ht="18.75" hidden="1">
      <c r="A584" s="155"/>
      <c r="B584" s="50"/>
      <c r="C584" s="50"/>
      <c r="D584" s="50"/>
      <c r="E584" s="58" t="s">
        <v>21</v>
      </c>
      <c r="F584" s="50"/>
      <c r="G584" s="52"/>
      <c r="H584" s="165" t="s">
        <v>14</v>
      </c>
      <c r="I584" s="163"/>
      <c r="J584" s="163"/>
      <c r="K584" s="164"/>
      <c r="L584" s="256">
        <v>0</v>
      </c>
      <c r="M584" s="255">
        <v>0</v>
      </c>
      <c r="N584" s="255">
        <v>0</v>
      </c>
      <c r="O584" s="255">
        <f>IF(L584&gt;0,N584*100/L584,0)</f>
        <v>0</v>
      </c>
      <c r="P584" s="255">
        <f>IF(M584&gt;0,N584*100/M584,0)</f>
        <v>0</v>
      </c>
      <c r="Q584" s="255">
        <v>0</v>
      </c>
      <c r="R584" s="255">
        <v>0</v>
      </c>
      <c r="S584" s="255">
        <v>0</v>
      </c>
      <c r="T584" s="255">
        <f>IF(Q584&gt;0,S584*100/Q584,0)</f>
        <v>0</v>
      </c>
      <c r="U584" s="255">
        <f>IF(R584&gt;0,S584*100/R584,0)</f>
        <v>0</v>
      </c>
    </row>
    <row r="585" spans="1:21" ht="19.5" hidden="1">
      <c r="A585" s="166"/>
      <c r="B585" s="167"/>
      <c r="C585" s="411" t="s">
        <v>18</v>
      </c>
      <c r="D585" s="566" t="s">
        <v>38</v>
      </c>
      <c r="E585" s="169"/>
      <c r="F585" s="169"/>
      <c r="G585" s="170"/>
      <c r="H585" s="171"/>
      <c r="I585" s="163"/>
      <c r="J585" s="54"/>
      <c r="K585" s="55"/>
      <c r="L585" s="62"/>
      <c r="M585" s="55"/>
      <c r="N585" s="55"/>
      <c r="O585" s="164"/>
      <c r="P585" s="164"/>
      <c r="Q585" s="55"/>
      <c r="R585" s="55"/>
      <c r="S585" s="55"/>
      <c r="T585" s="164"/>
      <c r="U585" s="164"/>
    </row>
    <row r="586" spans="1:21" ht="12.75" hidden="1">
      <c r="A586" s="258"/>
      <c r="B586" s="260"/>
      <c r="C586" s="259"/>
      <c r="D586" s="260"/>
      <c r="E586" s="259"/>
      <c r="F586" s="260"/>
      <c r="G586" s="261"/>
      <c r="H586" s="261"/>
      <c r="I586" s="263"/>
      <c r="J586" s="263"/>
      <c r="K586" s="264"/>
      <c r="L586" s="265"/>
      <c r="M586" s="264"/>
      <c r="N586" s="264"/>
      <c r="O586" s="264"/>
      <c r="P586" s="264"/>
      <c r="Q586" s="264"/>
      <c r="R586" s="264"/>
      <c r="S586" s="264"/>
      <c r="T586" s="264"/>
      <c r="U586" s="264"/>
    </row>
    <row r="587" spans="1:21" ht="12.75" hidden="1">
      <c r="A587" s="258"/>
      <c r="B587" s="260"/>
      <c r="C587" s="259"/>
      <c r="D587" s="260"/>
      <c r="E587" s="259"/>
      <c r="F587" s="260"/>
      <c r="G587" s="261"/>
      <c r="H587" s="261"/>
      <c r="I587" s="263"/>
      <c r="J587" s="263"/>
      <c r="K587" s="264"/>
      <c r="L587" s="265"/>
      <c r="M587" s="264"/>
      <c r="N587" s="264"/>
      <c r="O587" s="264"/>
      <c r="P587" s="264"/>
      <c r="Q587" s="264"/>
      <c r="R587" s="264"/>
      <c r="S587" s="264"/>
      <c r="T587" s="264"/>
      <c r="U587" s="264"/>
    </row>
    <row r="588" spans="1:21" ht="12.75" hidden="1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5"/>
      <c r="M588" s="264"/>
      <c r="N588" s="264"/>
      <c r="O588" s="264"/>
      <c r="P588" s="264"/>
      <c r="Q588" s="264"/>
      <c r="R588" s="264"/>
      <c r="S588" s="264"/>
      <c r="T588" s="264"/>
      <c r="U588" s="264"/>
    </row>
    <row r="589" spans="1:21" ht="12.75" hidden="1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5"/>
      <c r="M589" s="264"/>
      <c r="N589" s="264"/>
      <c r="O589" s="264"/>
      <c r="P589" s="264"/>
      <c r="Q589" s="264"/>
      <c r="R589" s="264"/>
      <c r="S589" s="264"/>
      <c r="T589" s="264"/>
      <c r="U589" s="264"/>
    </row>
    <row r="590" spans="1:21" ht="12.75" hidden="1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5"/>
      <c r="M590" s="264"/>
      <c r="N590" s="264"/>
      <c r="O590" s="264"/>
      <c r="P590" s="264"/>
      <c r="Q590" s="264"/>
      <c r="R590" s="264"/>
      <c r="S590" s="264"/>
      <c r="T590" s="264"/>
      <c r="U590" s="264"/>
    </row>
    <row r="591" spans="1:21" ht="12.75" hidden="1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5"/>
      <c r="M591" s="264"/>
      <c r="N591" s="264"/>
      <c r="O591" s="264"/>
      <c r="P591" s="264"/>
      <c r="Q591" s="264"/>
      <c r="R591" s="264"/>
      <c r="S591" s="264"/>
      <c r="T591" s="264"/>
      <c r="U591" s="264"/>
    </row>
    <row r="592" spans="1:21" ht="12.75" hidden="1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5"/>
      <c r="M592" s="264"/>
      <c r="N592" s="264"/>
      <c r="O592" s="264"/>
      <c r="P592" s="264"/>
      <c r="Q592" s="264"/>
      <c r="R592" s="264"/>
      <c r="S592" s="264"/>
      <c r="T592" s="264"/>
      <c r="U592" s="264"/>
    </row>
    <row r="593" spans="1:21" ht="12.75" hidden="1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5"/>
      <c r="M593" s="264"/>
      <c r="N593" s="264"/>
      <c r="O593" s="264"/>
      <c r="P593" s="264"/>
      <c r="Q593" s="264"/>
      <c r="R593" s="264"/>
      <c r="S593" s="264"/>
      <c r="T593" s="264"/>
      <c r="U593" s="264"/>
    </row>
    <row r="594" spans="1:21" ht="12.75" hidden="1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5"/>
      <c r="M594" s="264"/>
      <c r="N594" s="264"/>
      <c r="O594" s="264"/>
      <c r="P594" s="264"/>
      <c r="Q594" s="264"/>
      <c r="R594" s="264"/>
      <c r="S594" s="264"/>
      <c r="T594" s="264"/>
      <c r="U594" s="264"/>
    </row>
    <row r="595" spans="1:21" ht="12.75" hidden="1">
      <c r="A595" s="407"/>
      <c r="B595" s="360"/>
      <c r="C595" s="360"/>
      <c r="D595" s="408"/>
      <c r="E595" s="408"/>
      <c r="F595" s="408"/>
      <c r="G595" s="409"/>
      <c r="H595" s="361"/>
      <c r="I595" s="362"/>
      <c r="J595" s="362"/>
      <c r="K595" s="363"/>
      <c r="L595" s="364"/>
      <c r="M595" s="363"/>
      <c r="N595" s="363"/>
      <c r="O595" s="363"/>
      <c r="P595" s="363"/>
      <c r="Q595" s="363"/>
      <c r="R595" s="363"/>
      <c r="S595" s="363"/>
      <c r="T595" s="363"/>
      <c r="U595" s="363"/>
    </row>
    <row r="596" spans="1:21" ht="19.5" hidden="1">
      <c r="A596" s="412" t="s">
        <v>214</v>
      </c>
      <c r="B596" s="144"/>
      <c r="C596" s="196"/>
      <c r="D596" s="144"/>
      <c r="E596" s="144"/>
      <c r="F596" s="144"/>
      <c r="G596" s="144"/>
      <c r="H596" s="145"/>
      <c r="I596" s="197"/>
      <c r="J596" s="197"/>
      <c r="K596" s="19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8"/>
    </row>
    <row r="597" spans="1:21" ht="19.5" hidden="1">
      <c r="A597" s="150"/>
      <c r="B597" s="413" t="s">
        <v>215</v>
      </c>
      <c r="C597" s="200"/>
      <c r="D597" s="151"/>
      <c r="E597" s="34"/>
      <c r="F597" s="34"/>
      <c r="G597" s="34"/>
      <c r="H597" s="414" t="s">
        <v>99</v>
      </c>
      <c r="I597" s="210"/>
      <c r="J597" s="39"/>
      <c r="K597" s="40"/>
      <c r="L597" s="154"/>
      <c r="M597" s="40"/>
      <c r="N597" s="40"/>
      <c r="O597" s="40"/>
      <c r="P597" s="40"/>
      <c r="Q597" s="40"/>
      <c r="R597" s="40"/>
      <c r="S597" s="40"/>
      <c r="T597" s="40"/>
      <c r="U597" s="40"/>
    </row>
    <row r="598" spans="1:21" ht="19.5" hidden="1">
      <c r="A598" s="415"/>
      <c r="B598" s="416" t="s">
        <v>216</v>
      </c>
      <c r="C598" s="151"/>
      <c r="D598" s="34"/>
      <c r="E598" s="34"/>
      <c r="F598" s="34"/>
      <c r="G598" s="37"/>
      <c r="H598" s="417" t="s">
        <v>35</v>
      </c>
      <c r="I598" s="39"/>
      <c r="J598" s="39"/>
      <c r="K598" s="40"/>
      <c r="L598" s="154"/>
      <c r="M598" s="40"/>
      <c r="N598" s="40"/>
      <c r="O598" s="40"/>
      <c r="P598" s="40"/>
      <c r="Q598" s="40"/>
      <c r="R598" s="40"/>
      <c r="S598" s="40"/>
      <c r="T598" s="40"/>
      <c r="U598" s="40"/>
    </row>
    <row r="599" spans="1:21" ht="19.5" hidden="1">
      <c r="A599" s="155"/>
      <c r="B599" s="188"/>
      <c r="C599" s="205" t="s">
        <v>18</v>
      </c>
      <c r="D599" s="563" t="s">
        <v>19</v>
      </c>
      <c r="E599" s="529"/>
      <c r="F599" s="529"/>
      <c r="G599" s="530"/>
      <c r="H599" s="418" t="s">
        <v>14</v>
      </c>
      <c r="I599" s="54"/>
      <c r="J599" s="54"/>
      <c r="K599" s="55"/>
      <c r="L599" s="541">
        <f>L600+L601</f>
        <v>0</v>
      </c>
      <c r="M599" s="540">
        <f>M600+M601</f>
        <v>0</v>
      </c>
      <c r="N599" s="540">
        <f>N600+N601</f>
        <v>0</v>
      </c>
      <c r="O599" s="540">
        <f>IF(L599&gt;0,N599*100/L599,0)</f>
        <v>0</v>
      </c>
      <c r="P599" s="540">
        <f>IF(M599&gt;0,N599*100/M599,0)</f>
        <v>0</v>
      </c>
      <c r="Q599" s="540">
        <f>Q600+Q601</f>
        <v>0</v>
      </c>
      <c r="R599" s="540">
        <f>R600+R601</f>
        <v>0</v>
      </c>
      <c r="S599" s="540">
        <f>S600+S601</f>
        <v>0</v>
      </c>
      <c r="T599" s="540">
        <f>IF(Q599&gt;0,S599*100/Q599,0)</f>
        <v>0</v>
      </c>
      <c r="U599" s="540">
        <f>IF(R599&gt;0,S599*100/R599,0)</f>
        <v>0</v>
      </c>
    </row>
    <row r="600" spans="1:21" ht="18.75" hidden="1">
      <c r="A600" s="155"/>
      <c r="B600" s="188"/>
      <c r="C600" s="188"/>
      <c r="D600" s="174"/>
      <c r="E600" s="186" t="s">
        <v>159</v>
      </c>
      <c r="F600" s="50"/>
      <c r="G600" s="52"/>
      <c r="H600" s="189" t="s">
        <v>14</v>
      </c>
      <c r="I600" s="54"/>
      <c r="J600" s="54"/>
      <c r="K600" s="55"/>
      <c r="L600" s="103">
        <f>L603+L606</f>
        <v>0</v>
      </c>
      <c r="M600" s="102">
        <f>M603+M606</f>
        <v>0</v>
      </c>
      <c r="N600" s="102">
        <f>N603+N606</f>
        <v>0</v>
      </c>
      <c r="O600" s="102">
        <f>IF(L600&gt;0,N600*100/L600,0)</f>
        <v>0</v>
      </c>
      <c r="P600" s="102">
        <f>IF(M600&gt;0,N600*100/M600,0)</f>
        <v>0</v>
      </c>
      <c r="Q600" s="102">
        <f>Q603+Q606</f>
        <v>0</v>
      </c>
      <c r="R600" s="102">
        <f>R603+R606</f>
        <v>0</v>
      </c>
      <c r="S600" s="102">
        <f>S603+S606</f>
        <v>0</v>
      </c>
      <c r="T600" s="102">
        <f>IF(Q600&gt;0,S600*100/Q600,0)</f>
        <v>0</v>
      </c>
      <c r="U600" s="102">
        <f>IF(R600&gt;0,S600*100/R600,0)</f>
        <v>0</v>
      </c>
    </row>
    <row r="601" spans="1:21" ht="18.75" hidden="1">
      <c r="A601" s="155"/>
      <c r="B601" s="188"/>
      <c r="C601" s="188"/>
      <c r="D601" s="174"/>
      <c r="E601" s="186" t="s">
        <v>160</v>
      </c>
      <c r="F601" s="50"/>
      <c r="G601" s="52"/>
      <c r="H601" s="189" t="s">
        <v>14</v>
      </c>
      <c r="I601" s="54"/>
      <c r="J601" s="54"/>
      <c r="K601" s="55"/>
      <c r="L601" s="256">
        <f>L604+L607</f>
        <v>0</v>
      </c>
      <c r="M601" s="255">
        <f>M604+M607</f>
        <v>0</v>
      </c>
      <c r="N601" s="255">
        <f>N604+N607</f>
        <v>0</v>
      </c>
      <c r="O601" s="255">
        <f>IF(L601&gt;0,N601*100/L601,0)</f>
        <v>0</v>
      </c>
      <c r="P601" s="255">
        <f>IF(M601&gt;0,N601*100/M601,0)</f>
        <v>0</v>
      </c>
      <c r="Q601" s="255">
        <f>Q604+Q607</f>
        <v>0</v>
      </c>
      <c r="R601" s="255">
        <f>R604+R607</f>
        <v>0</v>
      </c>
      <c r="S601" s="255">
        <f>S604+S607</f>
        <v>0</v>
      </c>
      <c r="T601" s="255">
        <f>IF(Q601&gt;0,S601*100/Q601,0)</f>
        <v>0</v>
      </c>
      <c r="U601" s="255">
        <f>IF(R601&gt;0,S601*100/R601,0)</f>
        <v>0</v>
      </c>
    </row>
    <row r="602" spans="1:21" ht="19.5" hidden="1">
      <c r="A602" s="155"/>
      <c r="B602" s="188"/>
      <c r="C602" s="188"/>
      <c r="D602" s="562" t="s">
        <v>22</v>
      </c>
      <c r="E602" s="50"/>
      <c r="F602" s="50"/>
      <c r="G602" s="52"/>
      <c r="H602" s="418" t="s">
        <v>14</v>
      </c>
      <c r="I602" s="163"/>
      <c r="J602" s="163"/>
      <c r="K602" s="164"/>
      <c r="L602" s="256">
        <f>L603+L604</f>
        <v>0</v>
      </c>
      <c r="M602" s="255">
        <f>M603+M604</f>
        <v>0</v>
      </c>
      <c r="N602" s="255">
        <f>N603+N604</f>
        <v>0</v>
      </c>
      <c r="O602" s="255">
        <f>IF(L602&gt;0,N602*100/L602,0)</f>
        <v>0</v>
      </c>
      <c r="P602" s="255">
        <f>IF(M602&gt;0,N602*100/M602,0)</f>
        <v>0</v>
      </c>
      <c r="Q602" s="255">
        <f>Q603+Q604</f>
        <v>0</v>
      </c>
      <c r="R602" s="255">
        <f>R603+R604</f>
        <v>0</v>
      </c>
      <c r="S602" s="255">
        <f>S603+S604</f>
        <v>0</v>
      </c>
      <c r="T602" s="255">
        <f>IF(Q602&gt;0,S602*100/Q602,0)</f>
        <v>0</v>
      </c>
      <c r="U602" s="255">
        <f>IF(R602&gt;0,S602*100/R602,0)</f>
        <v>0</v>
      </c>
    </row>
    <row r="603" spans="1:21" ht="18.75" hidden="1">
      <c r="A603" s="155"/>
      <c r="B603" s="188"/>
      <c r="C603" s="188"/>
      <c r="D603" s="174"/>
      <c r="E603" s="186" t="s">
        <v>159</v>
      </c>
      <c r="F603" s="50"/>
      <c r="G603" s="52"/>
      <c r="H603" s="189" t="s">
        <v>14</v>
      </c>
      <c r="I603" s="54"/>
      <c r="J603" s="54"/>
      <c r="K603" s="55"/>
      <c r="L603" s="103">
        <v>0</v>
      </c>
      <c r="M603" s="102">
        <v>0</v>
      </c>
      <c r="N603" s="102">
        <v>0</v>
      </c>
      <c r="O603" s="102">
        <f>IF(L603&gt;0,N603*100/L603,0)</f>
        <v>0</v>
      </c>
      <c r="P603" s="102">
        <f>IF(M603&gt;0,N603*100/M603,0)</f>
        <v>0</v>
      </c>
      <c r="Q603" s="102">
        <v>0</v>
      </c>
      <c r="R603" s="102">
        <v>0</v>
      </c>
      <c r="S603" s="102">
        <v>0</v>
      </c>
      <c r="T603" s="102">
        <f>IF(Q603&gt;0,S603*100/Q603,0)</f>
        <v>0</v>
      </c>
      <c r="U603" s="102">
        <f>IF(R603&gt;0,S603*100/R603,0)</f>
        <v>0</v>
      </c>
    </row>
    <row r="604" spans="1:21" ht="18.75" hidden="1">
      <c r="A604" s="155"/>
      <c r="B604" s="188"/>
      <c r="C604" s="188"/>
      <c r="D604" s="174"/>
      <c r="E604" s="186" t="s">
        <v>160</v>
      </c>
      <c r="F604" s="50"/>
      <c r="G604" s="52"/>
      <c r="H604" s="189" t="s">
        <v>14</v>
      </c>
      <c r="I604" s="54"/>
      <c r="J604" s="54"/>
      <c r="K604" s="55"/>
      <c r="L604" s="256">
        <v>0</v>
      </c>
      <c r="M604" s="255">
        <v>0</v>
      </c>
      <c r="N604" s="255">
        <v>0</v>
      </c>
      <c r="O604" s="255">
        <f>IF(L604&gt;0,N604*100/L604,0)</f>
        <v>0</v>
      </c>
      <c r="P604" s="255">
        <f>IF(M604&gt;0,N604*100/M604,0)</f>
        <v>0</v>
      </c>
      <c r="Q604" s="255">
        <v>0</v>
      </c>
      <c r="R604" s="255">
        <v>0</v>
      </c>
      <c r="S604" s="255">
        <v>0</v>
      </c>
      <c r="T604" s="255">
        <f>IF(Q604&gt;0,S604*100/Q604,0)</f>
        <v>0</v>
      </c>
      <c r="U604" s="255">
        <f>IF(R604&gt;0,S604*100/R604,0)</f>
        <v>0</v>
      </c>
    </row>
    <row r="605" spans="1:21" ht="19.5" hidden="1">
      <c r="A605" s="155"/>
      <c r="B605" s="188"/>
      <c r="C605" s="188"/>
      <c r="D605" s="562" t="s">
        <v>23</v>
      </c>
      <c r="E605" s="188"/>
      <c r="F605" s="50"/>
      <c r="G605" s="52"/>
      <c r="H605" s="420" t="s">
        <v>14</v>
      </c>
      <c r="I605" s="163"/>
      <c r="J605" s="163"/>
      <c r="K605" s="164"/>
      <c r="L605" s="256">
        <f>L606+L607</f>
        <v>0</v>
      </c>
      <c r="M605" s="255">
        <f>M606+M607</f>
        <v>0</v>
      </c>
      <c r="N605" s="255">
        <f>N606+N607</f>
        <v>0</v>
      </c>
      <c r="O605" s="255">
        <f>IF(L605&gt;0,N605*100/L605,0)</f>
        <v>0</v>
      </c>
      <c r="P605" s="255">
        <f>IF(M605&gt;0,N605*100/M605,0)</f>
        <v>0</v>
      </c>
      <c r="Q605" s="255">
        <f>Q606+Q607</f>
        <v>0</v>
      </c>
      <c r="R605" s="255">
        <f>R606+R607</f>
        <v>0</v>
      </c>
      <c r="S605" s="255">
        <f>S606+S607</f>
        <v>0</v>
      </c>
      <c r="T605" s="255">
        <f>IF(Q605&gt;0,S605*100/Q605,0)</f>
        <v>0</v>
      </c>
      <c r="U605" s="255">
        <f>IF(R605&gt;0,S605*100/R605,0)</f>
        <v>0</v>
      </c>
    </row>
    <row r="606" spans="1:21" ht="18.75" hidden="1">
      <c r="A606" s="155"/>
      <c r="B606" s="188"/>
      <c r="C606" s="188"/>
      <c r="D606" s="188"/>
      <c r="E606" s="358" t="s">
        <v>20</v>
      </c>
      <c r="F606" s="50"/>
      <c r="G606" s="52"/>
      <c r="H606" s="189" t="s">
        <v>14</v>
      </c>
      <c r="I606" s="163"/>
      <c r="J606" s="163"/>
      <c r="K606" s="164"/>
      <c r="L606" s="103">
        <v>0</v>
      </c>
      <c r="M606" s="102">
        <v>0</v>
      </c>
      <c r="N606" s="102">
        <v>0</v>
      </c>
      <c r="O606" s="102">
        <f>IF(L606&gt;0,N606*100/L606,0)</f>
        <v>0</v>
      </c>
      <c r="P606" s="102">
        <f>IF(M606&gt;0,N606*100/M606,0)</f>
        <v>0</v>
      </c>
      <c r="Q606" s="102">
        <v>0</v>
      </c>
      <c r="R606" s="102">
        <v>0</v>
      </c>
      <c r="S606" s="102">
        <v>0</v>
      </c>
      <c r="T606" s="102">
        <f>IF(Q606&gt;0,S606*100/Q606,0)</f>
        <v>0</v>
      </c>
      <c r="U606" s="102">
        <f>IF(R606&gt;0,S606*100/R606,0)</f>
        <v>0</v>
      </c>
    </row>
    <row r="607" spans="1:21" ht="18.75" hidden="1">
      <c r="A607" s="155"/>
      <c r="B607" s="188"/>
      <c r="C607" s="188"/>
      <c r="D607" s="50"/>
      <c r="E607" s="358" t="s">
        <v>21</v>
      </c>
      <c r="F607" s="50"/>
      <c r="G607" s="52"/>
      <c r="H607" s="421" t="s">
        <v>14</v>
      </c>
      <c r="I607" s="163"/>
      <c r="J607" s="163"/>
      <c r="K607" s="164"/>
      <c r="L607" s="256">
        <v>0</v>
      </c>
      <c r="M607" s="255">
        <v>0</v>
      </c>
      <c r="N607" s="255">
        <v>0</v>
      </c>
      <c r="O607" s="255">
        <f>IF(L607&gt;0,N607*100/L607,0)</f>
        <v>0</v>
      </c>
      <c r="P607" s="255">
        <f>IF(M607&gt;0,N607*100/M607,0)</f>
        <v>0</v>
      </c>
      <c r="Q607" s="255">
        <v>0</v>
      </c>
      <c r="R607" s="255">
        <v>0</v>
      </c>
      <c r="S607" s="255">
        <v>0</v>
      </c>
      <c r="T607" s="255">
        <f>IF(Q607&gt;0,S607*100/Q607,0)</f>
        <v>0</v>
      </c>
      <c r="U607" s="255">
        <f>IF(R607&gt;0,S607*100/R607,0)</f>
        <v>0</v>
      </c>
    </row>
    <row r="608" spans="1:21" ht="19.5" hidden="1">
      <c r="A608" s="166"/>
      <c r="B608" s="167"/>
      <c r="C608" s="205" t="s">
        <v>18</v>
      </c>
      <c r="D608" s="574" t="s">
        <v>38</v>
      </c>
      <c r="E608" s="169"/>
      <c r="F608" s="169"/>
      <c r="G608" s="170"/>
      <c r="H608" s="206"/>
      <c r="I608" s="163"/>
      <c r="J608" s="163"/>
      <c r="K608" s="164"/>
      <c r="L608" s="62"/>
      <c r="M608" s="55"/>
      <c r="N608" s="55"/>
      <c r="O608" s="55"/>
      <c r="P608" s="55"/>
      <c r="Q608" s="55"/>
      <c r="R608" s="55"/>
      <c r="S608" s="55"/>
      <c r="T608" s="55"/>
      <c r="U608" s="55"/>
    </row>
    <row r="609" spans="1:21" ht="18.75" hidden="1">
      <c r="A609" s="166"/>
      <c r="B609" s="167"/>
      <c r="C609" s="167"/>
      <c r="D609" s="423" t="s">
        <v>217</v>
      </c>
      <c r="E609" s="174"/>
      <c r="F609" s="174"/>
      <c r="G609" s="171"/>
      <c r="H609" s="189" t="s">
        <v>99</v>
      </c>
      <c r="I609" s="54"/>
      <c r="J609" s="54"/>
      <c r="K609" s="164"/>
      <c r="L609" s="62"/>
      <c r="M609" s="55"/>
      <c r="N609" s="55"/>
      <c r="O609" s="55"/>
      <c r="P609" s="55"/>
      <c r="Q609" s="55"/>
      <c r="R609" s="55"/>
      <c r="S609" s="55"/>
      <c r="T609" s="55"/>
      <c r="U609" s="55"/>
    </row>
    <row r="610" spans="1:21" ht="19.5" hidden="1">
      <c r="A610" s="166"/>
      <c r="B610" s="167"/>
      <c r="C610" s="167"/>
      <c r="D610" s="423" t="s">
        <v>218</v>
      </c>
      <c r="E610" s="174"/>
      <c r="F610" s="174"/>
      <c r="G610" s="171"/>
      <c r="H610" s="418" t="s">
        <v>35</v>
      </c>
      <c r="I610" s="54"/>
      <c r="J610" s="54"/>
      <c r="K610" s="164"/>
      <c r="L610" s="62"/>
      <c r="M610" s="55"/>
      <c r="N610" s="55"/>
      <c r="O610" s="55"/>
      <c r="P610" s="55"/>
      <c r="Q610" s="55"/>
      <c r="R610" s="55"/>
      <c r="S610" s="55"/>
      <c r="T610" s="55"/>
      <c r="U610" s="55"/>
    </row>
    <row r="611" spans="1:21" ht="18.75" hidden="1">
      <c r="A611" s="166"/>
      <c r="B611" s="167"/>
      <c r="C611" s="167"/>
      <c r="D611" s="167"/>
      <c r="E611" s="423" t="s">
        <v>219</v>
      </c>
      <c r="F611" s="174"/>
      <c r="G611" s="171"/>
      <c r="H611" s="421" t="s">
        <v>35</v>
      </c>
      <c r="I611" s="54"/>
      <c r="J611" s="54"/>
      <c r="K611" s="164"/>
      <c r="L611" s="62"/>
      <c r="M611" s="55"/>
      <c r="N611" s="55"/>
      <c r="O611" s="55"/>
      <c r="P611" s="55"/>
      <c r="Q611" s="55"/>
      <c r="R611" s="55"/>
      <c r="S611" s="55"/>
      <c r="T611" s="55"/>
      <c r="U611" s="55"/>
    </row>
    <row r="612" spans="1:21" ht="19.5" hidden="1" thickBot="1">
      <c r="A612" s="424"/>
      <c r="B612" s="425"/>
      <c r="C612" s="425"/>
      <c r="D612" s="425"/>
      <c r="E612" s="426" t="s">
        <v>220</v>
      </c>
      <c r="F612" s="427"/>
      <c r="G612" s="428"/>
      <c r="H612" s="429" t="s">
        <v>35</v>
      </c>
      <c r="I612" s="430"/>
      <c r="J612" s="430"/>
      <c r="K612" s="431"/>
      <c r="L612" s="433"/>
      <c r="M612" s="432"/>
      <c r="N612" s="432"/>
      <c r="O612" s="432"/>
      <c r="P612" s="432"/>
      <c r="Q612" s="432"/>
      <c r="R612" s="432"/>
      <c r="S612" s="432"/>
      <c r="T612" s="432"/>
      <c r="U612" s="432"/>
    </row>
    <row r="613" spans="1:21" ht="19.5" hidden="1">
      <c r="A613" s="434" t="s">
        <v>221</v>
      </c>
      <c r="B613" s="435"/>
      <c r="C613" s="435"/>
      <c r="D613" s="436"/>
      <c r="E613" s="436"/>
      <c r="F613" s="436"/>
      <c r="G613" s="437"/>
      <c r="H613" s="438"/>
      <c r="I613" s="439"/>
      <c r="J613" s="439"/>
      <c r="K613" s="440"/>
      <c r="L613" s="441"/>
      <c r="M613" s="440"/>
      <c r="N613" s="440"/>
      <c r="O613" s="440"/>
      <c r="P613" s="440"/>
      <c r="Q613" s="440"/>
      <c r="R613" s="440"/>
      <c r="S613" s="440"/>
      <c r="T613" s="440"/>
      <c r="U613" s="440"/>
    </row>
    <row r="614" spans="1:21" ht="19.5">
      <c r="A614" s="442"/>
      <c r="B614" s="443" t="s">
        <v>222</v>
      </c>
      <c r="C614" s="442"/>
      <c r="D614" s="444"/>
      <c r="E614" s="444"/>
      <c r="F614" s="444"/>
      <c r="G614" s="445"/>
      <c r="H614" s="446"/>
      <c r="I614" s="447"/>
      <c r="J614" s="447"/>
      <c r="K614" s="448"/>
      <c r="L614" s="449"/>
      <c r="M614" s="448"/>
      <c r="N614" s="448"/>
      <c r="O614" s="448"/>
      <c r="P614" s="448"/>
      <c r="Q614" s="448"/>
      <c r="R614" s="448"/>
      <c r="S614" s="448"/>
      <c r="T614" s="448"/>
      <c r="U614" s="448"/>
    </row>
    <row r="615" spans="1:21" ht="19.5">
      <c r="A615" s="450"/>
      <c r="B615" s="451" t="s">
        <v>223</v>
      </c>
      <c r="C615" s="450"/>
      <c r="D615" s="452"/>
      <c r="E615" s="452"/>
      <c r="F615" s="452"/>
      <c r="G615" s="453"/>
      <c r="H615" s="454" t="s">
        <v>46</v>
      </c>
      <c r="I615" s="573">
        <f ca="1">I626</f>
        <v>50</v>
      </c>
      <c r="J615" s="573">
        <f>J626</f>
        <v>0</v>
      </c>
      <c r="K615" s="572">
        <f ca="1">IF(I615&gt;0,J615*100/I615,0)</f>
        <v>0</v>
      </c>
      <c r="L615" s="458"/>
      <c r="M615" s="457"/>
      <c r="N615" s="457"/>
      <c r="O615" s="457"/>
      <c r="P615" s="457"/>
      <c r="Q615" s="457"/>
      <c r="R615" s="457"/>
      <c r="S615" s="457"/>
      <c r="T615" s="457"/>
      <c r="U615" s="457"/>
    </row>
    <row r="616" spans="1:21" ht="19.5">
      <c r="A616" s="155"/>
      <c r="B616" s="188"/>
      <c r="C616" s="205" t="s">
        <v>18</v>
      </c>
      <c r="D616" s="542" t="s">
        <v>19</v>
      </c>
      <c r="E616" s="529"/>
      <c r="F616" s="529"/>
      <c r="G616" s="530"/>
      <c r="H616" s="252" t="s">
        <v>14</v>
      </c>
      <c r="I616" s="54"/>
      <c r="J616" s="54"/>
      <c r="K616" s="55"/>
      <c r="L616" s="541">
        <f>L617+L618</f>
        <v>0</v>
      </c>
      <c r="M616" s="540">
        <f>M617+M618</f>
        <v>0</v>
      </c>
      <c r="N616" s="540">
        <f>N617+N618</f>
        <v>0</v>
      </c>
      <c r="O616" s="540">
        <f>IF(L616&gt;0,N616*100/L616,0)</f>
        <v>0</v>
      </c>
      <c r="P616" s="540">
        <f>IF(M616&gt;0,N616*100/M616,0)</f>
        <v>0</v>
      </c>
      <c r="Q616" s="540">
        <f ca="1">Q617+Q618</f>
        <v>6950</v>
      </c>
      <c r="R616" s="540">
        <f ca="1">R617+R618</f>
        <v>6950</v>
      </c>
      <c r="S616" s="540">
        <f ca="1">S617+S618</f>
        <v>2800</v>
      </c>
      <c r="T616" s="540">
        <f ca="1">IF(Q616&gt;0,S616*100/Q616,0)</f>
        <v>40.28776978417266</v>
      </c>
      <c r="U616" s="540">
        <f ca="1">IF(R616&gt;0,S616*100/R616,0)</f>
        <v>40.28776978417266</v>
      </c>
    </row>
    <row r="617" spans="1:21" ht="18.75" hidden="1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103">
        <f>L620+L623</f>
        <v>0</v>
      </c>
      <c r="M617" s="102">
        <f>M620+M623</f>
        <v>0</v>
      </c>
      <c r="N617" s="102">
        <f>N620+N623</f>
        <v>0</v>
      </c>
      <c r="O617" s="102">
        <f>IF(L617&gt;0,N617*100/L617,0)</f>
        <v>0</v>
      </c>
      <c r="P617" s="102">
        <f>IF(M617&gt;0,N617*100/M617,0)</f>
        <v>0</v>
      </c>
      <c r="Q617" s="102">
        <f>Q620+Q623</f>
        <v>0</v>
      </c>
      <c r="R617" s="102">
        <f>R620+R623</f>
        <v>0</v>
      </c>
      <c r="S617" s="102">
        <f>S620+S623</f>
        <v>0</v>
      </c>
      <c r="T617" s="102">
        <f>IF(Q617&gt;0,S617*100/Q617,0)</f>
        <v>0</v>
      </c>
      <c r="U617" s="102">
        <f>IF(R617&gt;0,S617*100/R617,0)</f>
        <v>0</v>
      </c>
    </row>
    <row r="618" spans="1:21" ht="18.75" hidden="1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256">
        <f>L621+L624</f>
        <v>0</v>
      </c>
      <c r="M618" s="255">
        <f>M621+M624</f>
        <v>0</v>
      </c>
      <c r="N618" s="255">
        <f>N621+N624</f>
        <v>0</v>
      </c>
      <c r="O618" s="255">
        <f>IF(L618&gt;0,N618*100/L618,0)</f>
        <v>0</v>
      </c>
      <c r="P618" s="255">
        <f>IF(M618&gt;0,N618*100/M618,0)</f>
        <v>0</v>
      </c>
      <c r="Q618" s="255">
        <f ca="1">Q621+Q624</f>
        <v>6950</v>
      </c>
      <c r="R618" s="255">
        <f ca="1">R621+R624</f>
        <v>6950</v>
      </c>
      <c r="S618" s="255">
        <f ca="1">S621+S624</f>
        <v>2800</v>
      </c>
      <c r="T618" s="255">
        <f ca="1">IF(Q618&gt;0,S618*100/Q618,0)</f>
        <v>40.28776978417266</v>
      </c>
      <c r="U618" s="255">
        <f ca="1">IF(R618&gt;0,S618*100/R618,0)</f>
        <v>40.28776978417266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256">
        <f>L620+L621</f>
        <v>0</v>
      </c>
      <c r="M619" s="255">
        <f>M620+M621</f>
        <v>0</v>
      </c>
      <c r="N619" s="255">
        <f>N620+N621</f>
        <v>0</v>
      </c>
      <c r="O619" s="255">
        <f>IF(L619&gt;0,N619*100/L619,0)</f>
        <v>0</v>
      </c>
      <c r="P619" s="255">
        <f>IF(M619&gt;0,N619*100/M619,0)</f>
        <v>0</v>
      </c>
      <c r="Q619" s="255">
        <f ca="1">Q620+Q621</f>
        <v>6950</v>
      </c>
      <c r="R619" s="255">
        <f ca="1">R620+R621</f>
        <v>6950</v>
      </c>
      <c r="S619" s="255">
        <f ca="1">S620+S621</f>
        <v>2800</v>
      </c>
      <c r="T619" s="255">
        <f ca="1">IF(Q619&gt;0,S619*100/Q619,0)</f>
        <v>40.28776978417266</v>
      </c>
      <c r="U619" s="255">
        <f ca="1">IF(R619&gt;0,S619*100/R619,0)</f>
        <v>40.28776978417266</v>
      </c>
    </row>
    <row r="620" spans="1:21" ht="18.75" hidden="1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103">
        <v>0</v>
      </c>
      <c r="M620" s="102">
        <v>0</v>
      </c>
      <c r="N620" s="102">
        <v>0</v>
      </c>
      <c r="O620" s="102">
        <f>IF(L620&gt;0,N620*100/L620,0)</f>
        <v>0</v>
      </c>
      <c r="P620" s="102">
        <f>IF(M620&gt;0,N620*100/M620,0)</f>
        <v>0</v>
      </c>
      <c r="Q620" s="102">
        <v>0</v>
      </c>
      <c r="R620" s="102">
        <v>0</v>
      </c>
      <c r="S620" s="102">
        <v>0</v>
      </c>
      <c r="T620" s="102">
        <f>IF(Q620&gt;0,S620*100/Q620,0)</f>
        <v>0</v>
      </c>
      <c r="U620" s="102">
        <f>IF(R620&gt;0,S620*100/R620,0)</f>
        <v>0</v>
      </c>
    </row>
    <row r="621" spans="1:21" ht="18.75" hidden="1">
      <c r="A621" s="155"/>
      <c r="B621" s="188"/>
      <c r="C621" s="188"/>
      <c r="D621" s="174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256">
        <v>0</v>
      </c>
      <c r="M621" s="255">
        <v>0</v>
      </c>
      <c r="N621" s="255">
        <v>0</v>
      </c>
      <c r="O621" s="255">
        <f>IF(L621&gt;0,N621*100/L621,0)</f>
        <v>0</v>
      </c>
      <c r="P621" s="255">
        <f>IF(M621&gt;0,N621*100/M621,0)</f>
        <v>0</v>
      </c>
      <c r="Q621" s="255">
        <f ca="1">IFERROR(__xludf.DUMMYFUNCTION("IMPORTRANGE(""https://docs.google.com/spreadsheets/d/1ItG2mGa2ceCfYo0BwxsXqNm01IGEUdYcSSLTEv9YCik/edit?usp=sharing"",""เบิกจ่ายกองทุน!F32"")"),6950)</f>
        <v>6950</v>
      </c>
      <c r="R621" s="255">
        <f ca="1">IFERROR(__xludf.DUMMYFUNCTION("IMPORTRANGE(""https://docs.google.com/spreadsheets/d/1ItG2mGa2ceCfYo0BwxsXqNm01IGEUdYcSSLTEv9YCik/edit?usp=sharing"",""เบิกจ่ายกองทุน!G32"")"),6950)</f>
        <v>6950</v>
      </c>
      <c r="S621" s="255">
        <f ca="1">IFERROR(__xludf.DUMMYFUNCTION("IMPORTRANGE(""https://docs.google.com/spreadsheets/d/1ItG2mGa2ceCfYo0BwxsXqNm01IGEUdYcSSLTEv9YCik/edit?usp=sharing"",""เบิกจ่ายกองทุน!H32"")"),2800)</f>
        <v>2800</v>
      </c>
      <c r="T621" s="255">
        <f ca="1">IF(Q621&gt;0,S621*100/Q621,0)</f>
        <v>40.28776978417266</v>
      </c>
      <c r="U621" s="255">
        <f ca="1">IF(R621&gt;0,S621*100/R621,0)</f>
        <v>40.28776978417266</v>
      </c>
    </row>
    <row r="622" spans="1:21" ht="18.75">
      <c r="A622" s="155"/>
      <c r="B622" s="188"/>
      <c r="C622" s="188"/>
      <c r="D622" s="51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256">
        <f>L623+L624</f>
        <v>0</v>
      </c>
      <c r="M622" s="255">
        <f>M623+M624</f>
        <v>0</v>
      </c>
      <c r="N622" s="255">
        <f>N623+N624</f>
        <v>0</v>
      </c>
      <c r="O622" s="255">
        <f>IF(L622&gt;0,N622*100/L622,0)</f>
        <v>0</v>
      </c>
      <c r="P622" s="255">
        <f>IF(M622&gt;0,N622*100/M622,0)</f>
        <v>0</v>
      </c>
      <c r="Q622" s="255">
        <f>Q623+Q624</f>
        <v>0</v>
      </c>
      <c r="R622" s="255">
        <f>R623+R624</f>
        <v>0</v>
      </c>
      <c r="S622" s="255">
        <f>S623+S624</f>
        <v>0</v>
      </c>
      <c r="T622" s="255">
        <f>IF(Q622&gt;0,S622*100/Q622,0)</f>
        <v>0</v>
      </c>
      <c r="U622" s="255">
        <f>IF(R622&gt;0,S622*100/R622,0)</f>
        <v>0</v>
      </c>
    </row>
    <row r="623" spans="1:21" ht="18.75" hidden="1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103">
        <v>0</v>
      </c>
      <c r="M623" s="102">
        <v>0</v>
      </c>
      <c r="N623" s="102">
        <v>0</v>
      </c>
      <c r="O623" s="102">
        <f>IF(L623&gt;0,N623*100/L623,0)</f>
        <v>0</v>
      </c>
      <c r="P623" s="102">
        <f>IF(M623&gt;0,N623*100/M623,0)</f>
        <v>0</v>
      </c>
      <c r="Q623" s="102">
        <v>0</v>
      </c>
      <c r="R623" s="102">
        <v>0</v>
      </c>
      <c r="S623" s="102">
        <v>0</v>
      </c>
      <c r="T623" s="102">
        <f>IF(Q623&gt;0,S623*100/Q623,0)</f>
        <v>0</v>
      </c>
      <c r="U623" s="102">
        <f>IF(R623&gt;0,S623*100/R623,0)</f>
        <v>0</v>
      </c>
    </row>
    <row r="624" spans="1:21" ht="18.75" hidden="1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256">
        <v>0</v>
      </c>
      <c r="M624" s="255">
        <v>0</v>
      </c>
      <c r="N624" s="255">
        <v>0</v>
      </c>
      <c r="O624" s="255">
        <f>IF(L624&gt;0,N624*100/L624,0)</f>
        <v>0</v>
      </c>
      <c r="P624" s="255">
        <f>IF(M624&gt;0,N624*100/M624,0)</f>
        <v>0</v>
      </c>
      <c r="Q624" s="255">
        <v>0</v>
      </c>
      <c r="R624" s="255">
        <v>0</v>
      </c>
      <c r="S624" s="255">
        <v>0</v>
      </c>
      <c r="T624" s="255">
        <f>IF(Q624&gt;0,S624*100/Q624,0)</f>
        <v>0</v>
      </c>
      <c r="U624" s="255">
        <f>IF(R624&gt;0,S624*100/R624,0)</f>
        <v>0</v>
      </c>
    </row>
    <row r="625" spans="1:21" ht="19.5">
      <c r="A625" s="166"/>
      <c r="B625" s="167"/>
      <c r="C625" s="205" t="s">
        <v>18</v>
      </c>
      <c r="D625" s="539" t="s">
        <v>38</v>
      </c>
      <c r="E625" s="169"/>
      <c r="F625" s="169"/>
      <c r="G625" s="170"/>
      <c r="H625" s="206"/>
      <c r="I625" s="163"/>
      <c r="J625" s="163"/>
      <c r="K625" s="164"/>
      <c r="L625" s="172"/>
      <c r="M625" s="164"/>
      <c r="N625" s="164"/>
      <c r="O625" s="164"/>
      <c r="P625" s="164"/>
      <c r="Q625" s="164"/>
      <c r="R625" s="164"/>
      <c r="S625" s="164"/>
      <c r="T625" s="164"/>
      <c r="U625" s="164"/>
    </row>
    <row r="626" spans="1:21" ht="19.5">
      <c r="A626" s="166"/>
      <c r="B626" s="167"/>
      <c r="C626" s="167"/>
      <c r="D626" s="460" t="s">
        <v>224</v>
      </c>
      <c r="E626" s="174"/>
      <c r="F626" s="174"/>
      <c r="G626" s="171"/>
      <c r="H626" s="461" t="s">
        <v>46</v>
      </c>
      <c r="I626" s="373">
        <f ca="1">IFERROR(__xludf.DUMMYFUNCTION("IMPORTRANGE(""https://docs.google.com/spreadsheets/d/1eHaY18a8A9IcSdp1K8H6x8fbOy06t2VsZHhMHf-1x7Y/edit?usp=sharing"",""แผน!ID32"")"),50)</f>
        <v>50</v>
      </c>
      <c r="J626" s="373">
        <f>J632</f>
        <v>0</v>
      </c>
      <c r="K626" s="540">
        <f ca="1">IF(I626&gt;0,J626*100/I626,0)</f>
        <v>0</v>
      </c>
      <c r="L626" s="172"/>
      <c r="M626" s="164"/>
      <c r="N626" s="164"/>
      <c r="O626" s="164"/>
      <c r="P626" s="164"/>
      <c r="Q626" s="164"/>
      <c r="R626" s="164"/>
      <c r="S626" s="164"/>
      <c r="T626" s="164"/>
      <c r="U626" s="164"/>
    </row>
    <row r="627" spans="1:21" ht="18.75">
      <c r="A627" s="166"/>
      <c r="B627" s="167"/>
      <c r="C627" s="167"/>
      <c r="D627" s="167"/>
      <c r="E627" s="178" t="s">
        <v>225</v>
      </c>
      <c r="F627" s="174"/>
      <c r="G627" s="171"/>
      <c r="H627" s="165" t="s">
        <v>61</v>
      </c>
      <c r="I627" s="212">
        <f ca="1">IFERROR(__xludf.DUMMYFUNCTION("IMPORTRANGE(""https://docs.google.com/spreadsheets/d/1eHaY18a8A9IcSdp1K8H6x8fbOy06t2VsZHhMHf-1x7Y/edit?usp=sharing"",""แผน!IC32"")"),0)</f>
        <v>0</v>
      </c>
      <c r="J627" s="467">
        <v>6</v>
      </c>
      <c r="K627" s="255">
        <f ca="1">IF(I627&gt;0,(J627*100)/I627,0)</f>
        <v>0</v>
      </c>
      <c r="L627" s="172"/>
      <c r="M627" s="164"/>
      <c r="N627" s="164"/>
      <c r="O627" s="164"/>
      <c r="P627" s="164"/>
      <c r="Q627" s="164"/>
      <c r="R627" s="164"/>
      <c r="S627" s="164"/>
      <c r="T627" s="164"/>
      <c r="U627" s="164"/>
    </row>
    <row r="628" spans="1:21" ht="18.75">
      <c r="A628" s="166"/>
      <c r="B628" s="167"/>
      <c r="C628" s="167"/>
      <c r="D628" s="167"/>
      <c r="E628" s="178" t="s">
        <v>226</v>
      </c>
      <c r="F628" s="174"/>
      <c r="G628" s="171"/>
      <c r="H628" s="165" t="s">
        <v>61</v>
      </c>
      <c r="I628" s="212">
        <f ca="1">IFERROR(__xludf.DUMMYFUNCTION("IMPORTRANGE(""https://docs.google.com/spreadsheets/d/1eHaY18a8A9IcSdp1K8H6x8fbOy06t2VsZHhMHf-1x7Y/edit?usp=sharing"",""แผน!IC32"")"),0)</f>
        <v>0</v>
      </c>
      <c r="J628" s="467">
        <v>6</v>
      </c>
      <c r="K628" s="255">
        <f ca="1">IF(I628&gt;0,(J628*100)/I628,0)</f>
        <v>0</v>
      </c>
      <c r="L628" s="172"/>
      <c r="M628" s="164"/>
      <c r="N628" s="164"/>
      <c r="O628" s="164"/>
      <c r="P628" s="164"/>
      <c r="Q628" s="164"/>
      <c r="R628" s="164"/>
      <c r="S628" s="164"/>
      <c r="T628" s="164"/>
      <c r="U628" s="164"/>
    </row>
    <row r="629" spans="1:21" ht="18.75">
      <c r="A629" s="166"/>
      <c r="B629" s="167"/>
      <c r="C629" s="167"/>
      <c r="D629" s="167"/>
      <c r="E629" s="178" t="s">
        <v>227</v>
      </c>
      <c r="F629" s="174"/>
      <c r="G629" s="171"/>
      <c r="H629" s="165" t="s">
        <v>46</v>
      </c>
      <c r="I629" s="54"/>
      <c r="J629" s="467">
        <v>0</v>
      </c>
      <c r="K629" s="255">
        <f ca="1">IF(I$626&gt;0,J629*100/I$626,0)</f>
        <v>0</v>
      </c>
      <c r="L629" s="172"/>
      <c r="M629" s="164"/>
      <c r="N629" s="164"/>
      <c r="O629" s="164"/>
      <c r="P629" s="164"/>
      <c r="Q629" s="164"/>
      <c r="R629" s="164"/>
      <c r="S629" s="164"/>
      <c r="T629" s="164"/>
      <c r="U629" s="164"/>
    </row>
    <row r="630" spans="1:21" ht="18.75">
      <c r="A630" s="166"/>
      <c r="B630" s="167"/>
      <c r="C630" s="167"/>
      <c r="D630" s="167"/>
      <c r="E630" s="178" t="s">
        <v>228</v>
      </c>
      <c r="F630" s="174"/>
      <c r="G630" s="171"/>
      <c r="H630" s="165" t="s">
        <v>46</v>
      </c>
      <c r="I630" s="54"/>
      <c r="J630" s="467">
        <v>0</v>
      </c>
      <c r="K630" s="255">
        <f ca="1">IF(I$626&gt;0,J630*100/I$626,0)</f>
        <v>0</v>
      </c>
      <c r="L630" s="172"/>
      <c r="M630" s="164"/>
      <c r="N630" s="164"/>
      <c r="O630" s="164"/>
      <c r="P630" s="164"/>
      <c r="Q630" s="164"/>
      <c r="R630" s="164"/>
      <c r="S630" s="164"/>
      <c r="T630" s="164"/>
      <c r="U630" s="164"/>
    </row>
    <row r="631" spans="1:21" ht="18.75">
      <c r="A631" s="166"/>
      <c r="B631" s="167"/>
      <c r="C631" s="167"/>
      <c r="D631" s="167"/>
      <c r="E631" s="178" t="s">
        <v>229</v>
      </c>
      <c r="F631" s="174"/>
      <c r="G631" s="171"/>
      <c r="H631" s="165" t="s">
        <v>46</v>
      </c>
      <c r="I631" s="54"/>
      <c r="J631" s="467">
        <v>0</v>
      </c>
      <c r="K631" s="255">
        <f ca="1">IF(I$626&gt;0,J631*100/I$626,0)</f>
        <v>0</v>
      </c>
      <c r="L631" s="172"/>
      <c r="M631" s="164"/>
      <c r="N631" s="164"/>
      <c r="O631" s="164"/>
      <c r="P631" s="164"/>
      <c r="Q631" s="164"/>
      <c r="R631" s="164"/>
      <c r="S631" s="164"/>
      <c r="T631" s="164"/>
      <c r="U631" s="164"/>
    </row>
    <row r="632" spans="1:21" ht="19.5">
      <c r="A632" s="166"/>
      <c r="B632" s="167"/>
      <c r="C632" s="167"/>
      <c r="D632" s="167"/>
      <c r="E632" s="178" t="s">
        <v>230</v>
      </c>
      <c r="F632" s="174"/>
      <c r="G632" s="171"/>
      <c r="H632" s="165" t="s">
        <v>46</v>
      </c>
      <c r="I632" s="54"/>
      <c r="J632" s="373">
        <f>J633+J634</f>
        <v>0</v>
      </c>
      <c r="K632" s="540">
        <f ca="1">IF(I626&gt;0,J632*100/I626,0)</f>
        <v>0</v>
      </c>
      <c r="L632" s="172"/>
      <c r="M632" s="164"/>
      <c r="N632" s="164"/>
      <c r="O632" s="164"/>
      <c r="P632" s="164"/>
      <c r="Q632" s="164"/>
      <c r="R632" s="164"/>
      <c r="S632" s="164"/>
      <c r="T632" s="164"/>
      <c r="U632" s="164"/>
    </row>
    <row r="633" spans="1:21" ht="18.75">
      <c r="A633" s="166"/>
      <c r="B633" s="167"/>
      <c r="C633" s="167"/>
      <c r="D633" s="167"/>
      <c r="E633" s="174"/>
      <c r="F633" s="178" t="s">
        <v>231</v>
      </c>
      <c r="G633" s="171"/>
      <c r="H633" s="165" t="s">
        <v>46</v>
      </c>
      <c r="I633" s="54"/>
      <c r="J633" s="467">
        <v>0</v>
      </c>
      <c r="K633" s="55"/>
      <c r="L633" s="172"/>
      <c r="M633" s="164"/>
      <c r="N633" s="164"/>
      <c r="O633" s="164"/>
      <c r="P633" s="164"/>
      <c r="Q633" s="164"/>
      <c r="R633" s="164"/>
      <c r="S633" s="164"/>
      <c r="T633" s="164"/>
      <c r="U633" s="164"/>
    </row>
    <row r="634" spans="1:21" ht="18.75">
      <c r="A634" s="166"/>
      <c r="B634" s="167"/>
      <c r="C634" s="167"/>
      <c r="D634" s="167"/>
      <c r="E634" s="174"/>
      <c r="F634" s="178" t="s">
        <v>232</v>
      </c>
      <c r="G634" s="171"/>
      <c r="H634" s="165" t="s">
        <v>46</v>
      </c>
      <c r="I634" s="54"/>
      <c r="J634" s="467">
        <v>0</v>
      </c>
      <c r="K634" s="55"/>
      <c r="L634" s="172"/>
      <c r="M634" s="164"/>
      <c r="N634" s="164"/>
      <c r="O634" s="164"/>
      <c r="P634" s="164"/>
      <c r="Q634" s="164"/>
      <c r="R634" s="164"/>
      <c r="S634" s="164"/>
      <c r="T634" s="164"/>
      <c r="U634" s="164"/>
    </row>
    <row r="635" spans="1:21" ht="19.5">
      <c r="A635" s="166"/>
      <c r="B635" s="167"/>
      <c r="C635" s="167"/>
      <c r="D635" s="460" t="s">
        <v>233</v>
      </c>
      <c r="E635" s="174"/>
      <c r="F635" s="174"/>
      <c r="G635" s="171"/>
      <c r="H635" s="165" t="s">
        <v>46</v>
      </c>
      <c r="I635" s="373">
        <f ca="1">IFERROR(__xludf.DUMMYFUNCTION("IMPORTRANGE(""https://docs.google.com/spreadsheets/d/1eHaY18a8A9IcSdp1K8H6x8fbOy06t2VsZHhMHf-1x7Y/edit?usp=sharing"",""แผน!IE32"")"),0)</f>
        <v>0</v>
      </c>
      <c r="J635" s="373">
        <f>J636</f>
        <v>0</v>
      </c>
      <c r="K635" s="540">
        <f ca="1">IF(I635&gt;0,J635*100/I635,0)</f>
        <v>0</v>
      </c>
      <c r="L635" s="172"/>
      <c r="M635" s="164"/>
      <c r="N635" s="164"/>
      <c r="O635" s="164"/>
      <c r="P635" s="164"/>
      <c r="Q635" s="164"/>
      <c r="R635" s="164"/>
      <c r="S635" s="164"/>
      <c r="T635" s="164"/>
      <c r="U635" s="164"/>
    </row>
    <row r="636" spans="1:21" ht="18.75">
      <c r="A636" s="166"/>
      <c r="B636" s="167"/>
      <c r="C636" s="167"/>
      <c r="D636" s="167"/>
      <c r="E636" s="178" t="s">
        <v>234</v>
      </c>
      <c r="F636" s="174"/>
      <c r="G636" s="171"/>
      <c r="H636" s="165" t="s">
        <v>46</v>
      </c>
      <c r="I636" s="54"/>
      <c r="J636" s="212">
        <f>J637+J638</f>
        <v>0</v>
      </c>
      <c r="K636" s="55"/>
      <c r="L636" s="172"/>
      <c r="M636" s="164"/>
      <c r="N636" s="164"/>
      <c r="O636" s="164"/>
      <c r="P636" s="164"/>
      <c r="Q636" s="164"/>
      <c r="R636" s="164"/>
      <c r="S636" s="164"/>
      <c r="T636" s="164"/>
      <c r="U636" s="164"/>
    </row>
    <row r="637" spans="1:21" ht="18.75">
      <c r="A637" s="166"/>
      <c r="B637" s="167"/>
      <c r="C637" s="167"/>
      <c r="D637" s="167"/>
      <c r="E637" s="174"/>
      <c r="F637" s="178" t="s">
        <v>231</v>
      </c>
      <c r="G637" s="171"/>
      <c r="H637" s="165" t="s">
        <v>46</v>
      </c>
      <c r="I637" s="54"/>
      <c r="J637" s="467">
        <v>0</v>
      </c>
      <c r="K637" s="55"/>
      <c r="L637" s="172"/>
      <c r="M637" s="164"/>
      <c r="N637" s="164"/>
      <c r="O637" s="164"/>
      <c r="P637" s="164"/>
      <c r="Q637" s="164"/>
      <c r="R637" s="164"/>
      <c r="S637" s="164"/>
      <c r="T637" s="164"/>
      <c r="U637" s="164"/>
    </row>
    <row r="638" spans="1:21" ht="18.75">
      <c r="A638" s="166"/>
      <c r="B638" s="167"/>
      <c r="C638" s="167"/>
      <c r="D638" s="167"/>
      <c r="E638" s="174"/>
      <c r="F638" s="178" t="s">
        <v>232</v>
      </c>
      <c r="G638" s="171"/>
      <c r="H638" s="165" t="s">
        <v>46</v>
      </c>
      <c r="I638" s="54"/>
      <c r="J638" s="467">
        <v>0</v>
      </c>
      <c r="K638" s="55"/>
      <c r="L638" s="172"/>
      <c r="M638" s="164"/>
      <c r="N638" s="164"/>
      <c r="O638" s="164"/>
      <c r="P638" s="164"/>
      <c r="Q638" s="164"/>
      <c r="R638" s="164"/>
      <c r="S638" s="164"/>
      <c r="T638" s="164"/>
      <c r="U638" s="164"/>
    </row>
    <row r="639" spans="1:21" ht="18.75">
      <c r="A639" s="166"/>
      <c r="B639" s="167"/>
      <c r="C639" s="167"/>
      <c r="D639" s="167"/>
      <c r="E639" s="178" t="s">
        <v>235</v>
      </c>
      <c r="F639" s="174"/>
      <c r="G639" s="171"/>
      <c r="H639" s="165" t="s">
        <v>46</v>
      </c>
      <c r="I639" s="54"/>
      <c r="J639" s="467">
        <v>0</v>
      </c>
      <c r="K639" s="55"/>
      <c r="L639" s="172"/>
      <c r="M639" s="164"/>
      <c r="N639" s="164"/>
      <c r="O639" s="164"/>
      <c r="P639" s="164"/>
      <c r="Q639" s="164"/>
      <c r="R639" s="164"/>
      <c r="S639" s="164"/>
      <c r="T639" s="164"/>
      <c r="U639" s="164"/>
    </row>
    <row r="640" spans="1:21" ht="18.75">
      <c r="A640" s="166"/>
      <c r="B640" s="167"/>
      <c r="C640" s="167"/>
      <c r="D640" s="167"/>
      <c r="E640" s="174"/>
      <c r="F640" s="178" t="s">
        <v>236</v>
      </c>
      <c r="G640" s="171"/>
      <c r="H640" s="165" t="s">
        <v>46</v>
      </c>
      <c r="I640" s="54"/>
      <c r="J640" s="467">
        <v>0</v>
      </c>
      <c r="K640" s="55"/>
      <c r="L640" s="172"/>
      <c r="M640" s="164"/>
      <c r="N640" s="164"/>
      <c r="O640" s="164"/>
      <c r="P640" s="164"/>
      <c r="Q640" s="164"/>
      <c r="R640" s="164"/>
      <c r="S640" s="164"/>
      <c r="T640" s="164"/>
      <c r="U640" s="164"/>
    </row>
    <row r="641" spans="1:21" ht="19.5">
      <c r="A641" s="450"/>
      <c r="B641" s="451" t="s">
        <v>237</v>
      </c>
      <c r="C641" s="450"/>
      <c r="D641" s="452"/>
      <c r="E641" s="452"/>
      <c r="F641" s="452"/>
      <c r="G641" s="453"/>
      <c r="H641" s="462"/>
      <c r="I641" s="463"/>
      <c r="J641" s="463"/>
      <c r="K641" s="457"/>
      <c r="L641" s="458"/>
      <c r="M641" s="457"/>
      <c r="N641" s="457"/>
      <c r="O641" s="457"/>
      <c r="P641" s="457"/>
      <c r="Q641" s="457"/>
      <c r="R641" s="457"/>
      <c r="S641" s="457"/>
      <c r="T641" s="457"/>
      <c r="U641" s="457"/>
    </row>
    <row r="642" spans="1:21" ht="19.5">
      <c r="A642" s="155"/>
      <c r="B642" s="188"/>
      <c r="C642" s="239" t="s">
        <v>18</v>
      </c>
      <c r="D642" s="542" t="s">
        <v>19</v>
      </c>
      <c r="E642" s="529"/>
      <c r="F642" s="529"/>
      <c r="G642" s="530"/>
      <c r="H642" s="252" t="s">
        <v>14</v>
      </c>
      <c r="I642" s="54"/>
      <c r="J642" s="54"/>
      <c r="K642" s="55"/>
      <c r="L642" s="541">
        <f>L643+L644</f>
        <v>0</v>
      </c>
      <c r="M642" s="540">
        <f>M643+M644</f>
        <v>0</v>
      </c>
      <c r="N642" s="540">
        <f>N643+N644</f>
        <v>0</v>
      </c>
      <c r="O642" s="540">
        <f>IF(L642&gt;0,N642*100/L642,0)</f>
        <v>0</v>
      </c>
      <c r="P642" s="540">
        <f>IF(M642&gt;0,N642*100/M642,0)</f>
        <v>0</v>
      </c>
      <c r="Q642" s="540">
        <f ca="1">Q643+Q644</f>
        <v>1920</v>
      </c>
      <c r="R642" s="540">
        <f ca="1">R643+R644</f>
        <v>1920</v>
      </c>
      <c r="S642" s="540">
        <f ca="1">S643+S644</f>
        <v>0</v>
      </c>
      <c r="T642" s="540">
        <f ca="1">IF(Q642&gt;0,S642*100/Q642,0)</f>
        <v>0</v>
      </c>
      <c r="U642" s="540">
        <f ca="1">IF(R642&gt;0,S642*100/R642,0)</f>
        <v>0</v>
      </c>
    </row>
    <row r="643" spans="1:21" ht="18.75" hidden="1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103">
        <f>L646+L649</f>
        <v>0</v>
      </c>
      <c r="M643" s="102">
        <f>M646+M649</f>
        <v>0</v>
      </c>
      <c r="N643" s="102">
        <f>N646+N649</f>
        <v>0</v>
      </c>
      <c r="O643" s="102">
        <f>IF(L643&gt;0,N643*100/L643,0)</f>
        <v>0</v>
      </c>
      <c r="P643" s="102">
        <f>IF(M643&gt;0,N643*100/M643,0)</f>
        <v>0</v>
      </c>
      <c r="Q643" s="102">
        <f>Q646+Q649</f>
        <v>0</v>
      </c>
      <c r="R643" s="102">
        <f>R646+R649</f>
        <v>0</v>
      </c>
      <c r="S643" s="102">
        <f>S646+S649</f>
        <v>0</v>
      </c>
      <c r="T643" s="102">
        <f>IF(Q643&gt;0,S643*100/Q643,0)</f>
        <v>0</v>
      </c>
      <c r="U643" s="102">
        <f>IF(R643&gt;0,S643*100/R643,0)</f>
        <v>0</v>
      </c>
    </row>
    <row r="644" spans="1:21" ht="18.75" hidden="1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256">
        <f>L647+L650</f>
        <v>0</v>
      </c>
      <c r="M644" s="255">
        <f>M647+M650</f>
        <v>0</v>
      </c>
      <c r="N644" s="255">
        <f>N647+N650</f>
        <v>0</v>
      </c>
      <c r="O644" s="255">
        <f>IF(L644&gt;0,N644*100/L644,0)</f>
        <v>0</v>
      </c>
      <c r="P644" s="255">
        <f>IF(M644&gt;0,N644*100/M644,0)</f>
        <v>0</v>
      </c>
      <c r="Q644" s="255">
        <f ca="1">Q647+Q650</f>
        <v>1920</v>
      </c>
      <c r="R644" s="255">
        <f ca="1">R647+R650</f>
        <v>1920</v>
      </c>
      <c r="S644" s="255">
        <f ca="1">S647+S650</f>
        <v>0</v>
      </c>
      <c r="T644" s="255">
        <f ca="1">IF(Q644&gt;0,S644*100/Q644,0)</f>
        <v>0</v>
      </c>
      <c r="U644" s="255">
        <f ca="1">IF(R644&gt;0,S644*100/R644,0)</f>
        <v>0</v>
      </c>
    </row>
    <row r="645" spans="1:21" ht="18.75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256">
        <f>L646+L647</f>
        <v>0</v>
      </c>
      <c r="M645" s="255">
        <f>M646+M647</f>
        <v>0</v>
      </c>
      <c r="N645" s="255">
        <f>N646+N647</f>
        <v>0</v>
      </c>
      <c r="O645" s="255">
        <f>IF(L645&gt;0,N645*100/L645,0)</f>
        <v>0</v>
      </c>
      <c r="P645" s="255">
        <f>IF(M645&gt;0,N645*100/M645,0)</f>
        <v>0</v>
      </c>
      <c r="Q645" s="255">
        <f ca="1">Q646+Q647</f>
        <v>1920</v>
      </c>
      <c r="R645" s="255">
        <f ca="1">R646+R647</f>
        <v>1920</v>
      </c>
      <c r="S645" s="255">
        <f ca="1">S646+S647</f>
        <v>0</v>
      </c>
      <c r="T645" s="255">
        <f ca="1">IF(Q645&gt;0,S645*100/Q645,0)</f>
        <v>0</v>
      </c>
      <c r="U645" s="255">
        <f ca="1">IF(R645&gt;0,S645*100/R645,0)</f>
        <v>0</v>
      </c>
    </row>
    <row r="646" spans="1:21" ht="18.75" hidden="1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103">
        <v>0</v>
      </c>
      <c r="M646" s="102">
        <v>0</v>
      </c>
      <c r="N646" s="102">
        <v>0</v>
      </c>
      <c r="O646" s="102">
        <f>IF(L646&gt;0,N646*100/L646,0)</f>
        <v>0</v>
      </c>
      <c r="P646" s="102">
        <f>IF(M646&gt;0,N646*100/M646,0)</f>
        <v>0</v>
      </c>
      <c r="Q646" s="102">
        <v>0</v>
      </c>
      <c r="R646" s="102">
        <v>0</v>
      </c>
      <c r="S646" s="102">
        <v>0</v>
      </c>
      <c r="T646" s="102">
        <f>IF(Q646&gt;0,S646*100/Q646,0)</f>
        <v>0</v>
      </c>
      <c r="U646" s="102">
        <f>IF(R646&gt;0,S646*100/R646,0)</f>
        <v>0</v>
      </c>
    </row>
    <row r="647" spans="1:21" ht="18.75" hidden="1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256">
        <v>0</v>
      </c>
      <c r="M647" s="255">
        <v>0</v>
      </c>
      <c r="N647" s="255">
        <v>0</v>
      </c>
      <c r="O647" s="255">
        <f>IF(L647&gt;0,N647*100/L647,0)</f>
        <v>0</v>
      </c>
      <c r="P647" s="255">
        <f>IF(M647&gt;0,N647*100/M647,0)</f>
        <v>0</v>
      </c>
      <c r="Q647" s="255">
        <f ca="1">IFERROR(__xludf.DUMMYFUNCTION("IMPORTRANGE(""https://docs.google.com/spreadsheets/d/1ItG2mGa2ceCfYo0BwxsXqNm01IGEUdYcSSLTEv9YCik/edit?usp=sharing"",""เบิกจ่ายกองทุน!I32"")"),1920)</f>
        <v>1920</v>
      </c>
      <c r="R647" s="255">
        <f ca="1">IFERROR(__xludf.DUMMYFUNCTION("IMPORTRANGE(""https://docs.google.com/spreadsheets/d/1ItG2mGa2ceCfYo0BwxsXqNm01IGEUdYcSSLTEv9YCik/edit?usp=sharing"",""เบิกจ่ายกองทุน!J32"")"),1920)</f>
        <v>1920</v>
      </c>
      <c r="S647" s="255">
        <f ca="1">IFERROR(__xludf.DUMMYFUNCTION("IMPORTRANGE(""https://docs.google.com/spreadsheets/d/1ItG2mGa2ceCfYo0BwxsXqNm01IGEUdYcSSLTEv9YCik/edit?usp=sharing"",""เบิกจ่ายกองทุน!K32"")"),0)</f>
        <v>0</v>
      </c>
      <c r="T647" s="255">
        <f ca="1">IF(Q647&gt;0,S647*100/Q647,0)</f>
        <v>0</v>
      </c>
      <c r="U647" s="255">
        <f ca="1">IF(R647&gt;0,S647*100/R647,0)</f>
        <v>0</v>
      </c>
    </row>
    <row r="648" spans="1:21" ht="18.75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256">
        <f>L649+L650</f>
        <v>0</v>
      </c>
      <c r="M648" s="255">
        <f>M649+M650</f>
        <v>0</v>
      </c>
      <c r="N648" s="255">
        <f>N649+N650</f>
        <v>0</v>
      </c>
      <c r="O648" s="255">
        <f>IF(L648&gt;0,N648*100/L648,0)</f>
        <v>0</v>
      </c>
      <c r="P648" s="255">
        <f>IF(M648&gt;0,N648*100/M648,0)</f>
        <v>0</v>
      </c>
      <c r="Q648" s="255">
        <f>Q649+Q650</f>
        <v>0</v>
      </c>
      <c r="R648" s="255">
        <f>R649+R650</f>
        <v>0</v>
      </c>
      <c r="S648" s="255">
        <f>S649+S650</f>
        <v>0</v>
      </c>
      <c r="T648" s="255">
        <f>IF(Q648&gt;0,S648*100/Q648,0)</f>
        <v>0</v>
      </c>
      <c r="U648" s="255">
        <f>IF(R648&gt;0,S648*100/R648,0)</f>
        <v>0</v>
      </c>
    </row>
    <row r="649" spans="1:21" ht="18.75" hidden="1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103">
        <v>0</v>
      </c>
      <c r="M649" s="102">
        <v>0</v>
      </c>
      <c r="N649" s="102">
        <v>0</v>
      </c>
      <c r="O649" s="102">
        <f>IF(L649&gt;0,N649*100/L649,0)</f>
        <v>0</v>
      </c>
      <c r="P649" s="102">
        <f>IF(M649&gt;0,N649*100/M649,0)</f>
        <v>0</v>
      </c>
      <c r="Q649" s="102">
        <v>0</v>
      </c>
      <c r="R649" s="102">
        <v>0</v>
      </c>
      <c r="S649" s="102">
        <v>0</v>
      </c>
      <c r="T649" s="102">
        <f>IF(Q649&gt;0,S649*100/Q649,0)</f>
        <v>0</v>
      </c>
      <c r="U649" s="102">
        <f>IF(R649&gt;0,S649*100/R649,0)</f>
        <v>0</v>
      </c>
    </row>
    <row r="650" spans="1:21" ht="18.75" hidden="1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256">
        <v>0</v>
      </c>
      <c r="M650" s="255">
        <v>0</v>
      </c>
      <c r="N650" s="255">
        <v>0</v>
      </c>
      <c r="O650" s="255">
        <f>IF(L650&gt;0,N650*100/L650,0)</f>
        <v>0</v>
      </c>
      <c r="P650" s="255">
        <f>IF(M650&gt;0,N650*100/M650,0)</f>
        <v>0</v>
      </c>
      <c r="Q650" s="255">
        <v>0</v>
      </c>
      <c r="R650" s="255">
        <v>0</v>
      </c>
      <c r="S650" s="255">
        <v>0</v>
      </c>
      <c r="T650" s="255">
        <f>IF(Q650&gt;0,S650*100/Q650,0)</f>
        <v>0</v>
      </c>
      <c r="U650" s="255">
        <f>IF(R650&gt;0,S650*100/R650,0)</f>
        <v>0</v>
      </c>
    </row>
    <row r="651" spans="1:21" ht="19.5">
      <c r="A651" s="166"/>
      <c r="B651" s="167"/>
      <c r="C651" s="239" t="s">
        <v>18</v>
      </c>
      <c r="D651" s="571" t="s">
        <v>38</v>
      </c>
      <c r="E651" s="169"/>
      <c r="F651" s="169"/>
      <c r="G651" s="170"/>
      <c r="H651" s="206"/>
      <c r="I651" s="163"/>
      <c r="J651" s="163"/>
      <c r="K651" s="164"/>
      <c r="L651" s="172"/>
      <c r="M651" s="164"/>
      <c r="N651" s="164"/>
      <c r="O651" s="164"/>
      <c r="P651" s="164"/>
      <c r="Q651" s="55"/>
      <c r="R651" s="55"/>
      <c r="S651" s="55"/>
      <c r="T651" s="164"/>
      <c r="U651" s="164"/>
    </row>
    <row r="652" spans="1:21" ht="18.75" hidden="1">
      <c r="A652" s="238"/>
      <c r="B652" s="188"/>
      <c r="C652" s="188"/>
      <c r="D652" s="58" t="s">
        <v>238</v>
      </c>
      <c r="E652" s="50"/>
      <c r="F652" s="50"/>
      <c r="G652" s="52"/>
      <c r="H652" s="165" t="s">
        <v>46</v>
      </c>
      <c r="I652" s="570">
        <f ca="1">IFERROR(__xludf.DUMMYFUNCTION("IMPORTRANGE(""https://docs.google.com/spreadsheets/d/1eHaY18a8A9IcSdp1K8H6x8fbOy06t2VsZHhMHf-1x7Y/edit?usp=sharing"",""แผน!IF32"")"),0)</f>
        <v>0</v>
      </c>
      <c r="J652" s="212">
        <f ca="1">IFERROR(__xludf.DUMMYFUNCTION("IMPORTRANGE(""https://docs.google.com/spreadsheets/d/1tdoBKaGub7dwA3U6UFTqxio9LNnvDCQjHKmttSEBsFQ/edit?usp=sharing"",""จัดที่ดิน!AU32"")"),0)</f>
        <v>0</v>
      </c>
      <c r="K652" s="255">
        <f ca="1">IF(I652&gt;0,J652*100/I652,0)</f>
        <v>0</v>
      </c>
      <c r="L652" s="62"/>
      <c r="M652" s="55"/>
      <c r="N652" s="468"/>
      <c r="O652" s="55"/>
      <c r="P652" s="55"/>
      <c r="Q652" s="55"/>
      <c r="R652" s="55"/>
      <c r="S652" s="468"/>
      <c r="T652" s="55"/>
      <c r="U652" s="55"/>
    </row>
    <row r="653" spans="1:21" ht="18.75">
      <c r="A653" s="238"/>
      <c r="B653" s="188"/>
      <c r="C653" s="188"/>
      <c r="D653" s="58" t="s">
        <v>239</v>
      </c>
      <c r="E653" s="50"/>
      <c r="F653" s="50"/>
      <c r="G653" s="52"/>
      <c r="H653" s="165" t="s">
        <v>35</v>
      </c>
      <c r="I653" s="570">
        <f ca="1">IFERROR(__xludf.DUMMYFUNCTION("IMPORTRANGE(""https://docs.google.com/spreadsheets/d/1eHaY18a8A9IcSdp1K8H6x8fbOy06t2VsZHhMHf-1x7Y/edit?usp=sharing"",""แผน!IG32"")"),3)</f>
        <v>3</v>
      </c>
      <c r="J653" s="212">
        <f ca="1">IFERROR(__xludf.DUMMYFUNCTION("IMPORTRANGE(""https://docs.google.com/spreadsheets/d/1tdoBKaGub7dwA3U6UFTqxio9LNnvDCQjHKmttSEBsFQ/edit?usp=sharing"",""จัดที่ดิน!AW32"")"),0)</f>
        <v>0</v>
      </c>
      <c r="K653" s="255">
        <f ca="1">IF(I653&gt;0,J653*100/I653,0)</f>
        <v>0</v>
      </c>
      <c r="L653" s="62"/>
      <c r="M653" s="55"/>
      <c r="N653" s="468"/>
      <c r="O653" s="55"/>
      <c r="P653" s="55"/>
      <c r="Q653" s="55"/>
      <c r="R653" s="55"/>
      <c r="S653" s="468"/>
      <c r="T653" s="55"/>
      <c r="U653" s="55"/>
    </row>
    <row r="654" spans="1:21" ht="19.5">
      <c r="A654" s="238"/>
      <c r="B654" s="188"/>
      <c r="C654" s="188"/>
      <c r="D654" s="58" t="s">
        <v>240</v>
      </c>
      <c r="E654" s="50"/>
      <c r="F654" s="50"/>
      <c r="G654" s="52"/>
      <c r="H654" s="461" t="s">
        <v>46</v>
      </c>
      <c r="I654" s="569">
        <f ca="1">IFERROR(__xludf.DUMMYFUNCTION("IMPORTRANGE(""https://docs.google.com/spreadsheets/d/1eHaY18a8A9IcSdp1K8H6x8fbOy06t2VsZHhMHf-1x7Y/edit?usp=sharing"",""แผน!IH32"")"),10)</f>
        <v>10</v>
      </c>
      <c r="J654" s="373">
        <f>J657+J660</f>
        <v>25.24</v>
      </c>
      <c r="K654" s="540">
        <f ca="1">IF(I654&gt;0,J654*100/I654,0)</f>
        <v>252.4</v>
      </c>
      <c r="L654" s="62"/>
      <c r="M654" s="55"/>
      <c r="N654" s="468"/>
      <c r="O654" s="55"/>
      <c r="P654" s="55"/>
      <c r="Q654" s="55"/>
      <c r="R654" s="55"/>
      <c r="S654" s="468"/>
      <c r="T654" s="55"/>
      <c r="U654" s="55"/>
    </row>
    <row r="655" spans="1:21" ht="18.75">
      <c r="A655" s="238"/>
      <c r="B655" s="188"/>
      <c r="C655" s="188"/>
      <c r="D655" s="50"/>
      <c r="E655" s="58" t="s">
        <v>241</v>
      </c>
      <c r="F655" s="50"/>
      <c r="G655" s="52"/>
      <c r="H655" s="165" t="s">
        <v>35</v>
      </c>
      <c r="I655" s="208"/>
      <c r="J655" s="467">
        <v>5</v>
      </c>
      <c r="K655" s="55"/>
      <c r="L655" s="62"/>
      <c r="M655" s="55"/>
      <c r="N655" s="468"/>
      <c r="O655" s="55"/>
      <c r="P655" s="55"/>
      <c r="Q655" s="55"/>
      <c r="R655" s="55"/>
      <c r="S655" s="468"/>
      <c r="T655" s="55"/>
      <c r="U655" s="55"/>
    </row>
    <row r="656" spans="1:21" ht="18.75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67">
        <v>5</v>
      </c>
      <c r="K656" s="55"/>
      <c r="L656" s="62"/>
      <c r="M656" s="55"/>
      <c r="N656" s="468"/>
      <c r="O656" s="55"/>
      <c r="P656" s="55"/>
      <c r="Q656" s="55"/>
      <c r="R656" s="55"/>
      <c r="S656" s="468"/>
      <c r="T656" s="55"/>
      <c r="U656" s="55"/>
    </row>
    <row r="657" spans="1:21" ht="18.75">
      <c r="A657" s="238"/>
      <c r="B657" s="188"/>
      <c r="C657" s="188"/>
      <c r="D657" s="50"/>
      <c r="E657" s="50"/>
      <c r="F657" s="50"/>
      <c r="G657" s="52"/>
      <c r="H657" s="165" t="s">
        <v>46</v>
      </c>
      <c r="I657" s="570">
        <f ca="1">IFERROR(__xludf.DUMMYFUNCTION("IMPORTRANGE(""https://docs.google.com/spreadsheets/d/1eHaY18a8A9IcSdp1K8H6x8fbOy06t2VsZHhMHf-1x7Y/edit?usp=sharing"",""แผน!II32"")"),10)</f>
        <v>10</v>
      </c>
      <c r="J657" s="467">
        <v>25.24</v>
      </c>
      <c r="K657" s="55"/>
      <c r="L657" s="62"/>
      <c r="M657" s="55"/>
      <c r="N657" s="468"/>
      <c r="O657" s="55"/>
      <c r="P657" s="55"/>
      <c r="Q657" s="55"/>
      <c r="R657" s="55"/>
      <c r="S657" s="468"/>
      <c r="T657" s="55"/>
      <c r="U657" s="55"/>
    </row>
    <row r="658" spans="1:21" ht="18.75">
      <c r="A658" s="238"/>
      <c r="B658" s="188"/>
      <c r="C658" s="188"/>
      <c r="D658" s="50"/>
      <c r="E658" s="58" t="s">
        <v>242</v>
      </c>
      <c r="F658" s="50"/>
      <c r="G658" s="52"/>
      <c r="H658" s="165" t="s">
        <v>35</v>
      </c>
      <c r="I658" s="208"/>
      <c r="J658" s="467">
        <v>0</v>
      </c>
      <c r="K658" s="55"/>
      <c r="L658" s="62"/>
      <c r="M658" s="55"/>
      <c r="N658" s="468"/>
      <c r="O658" s="55"/>
      <c r="P658" s="55"/>
      <c r="Q658" s="55"/>
      <c r="R658" s="55"/>
      <c r="S658" s="468"/>
      <c r="T658" s="55"/>
      <c r="U658" s="55"/>
    </row>
    <row r="659" spans="1:21" ht="18.75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67">
        <v>0</v>
      </c>
      <c r="K659" s="55"/>
      <c r="L659" s="62"/>
      <c r="M659" s="55"/>
      <c r="N659" s="468"/>
      <c r="O659" s="55"/>
      <c r="P659" s="55"/>
      <c r="Q659" s="55"/>
      <c r="R659" s="55"/>
      <c r="S659" s="468"/>
      <c r="T659" s="55"/>
      <c r="U659" s="55"/>
    </row>
    <row r="660" spans="1:21" ht="18.75">
      <c r="A660" s="238"/>
      <c r="B660" s="188"/>
      <c r="C660" s="188"/>
      <c r="D660" s="50"/>
      <c r="E660" s="50"/>
      <c r="F660" s="50"/>
      <c r="G660" s="52"/>
      <c r="H660" s="165" t="s">
        <v>46</v>
      </c>
      <c r="I660" s="570">
        <f ca="1">IFERROR(__xludf.DUMMYFUNCTION("IMPORTRANGE(""https://docs.google.com/spreadsheets/d/1eHaY18a8A9IcSdp1K8H6x8fbOy06t2VsZHhMHf-1x7Y/edit?usp=sharing"",""แผน!IJ32"")"),0)</f>
        <v>0</v>
      </c>
      <c r="J660" s="467">
        <v>0</v>
      </c>
      <c r="K660" s="55"/>
      <c r="L660" s="62"/>
      <c r="M660" s="55"/>
      <c r="N660" s="468"/>
      <c r="O660" s="55"/>
      <c r="P660" s="55"/>
      <c r="Q660" s="55"/>
      <c r="R660" s="55"/>
      <c r="S660" s="468"/>
      <c r="T660" s="55"/>
      <c r="U660" s="55"/>
    </row>
    <row r="661" spans="1:21" ht="19.5" hidden="1">
      <c r="A661" s="238"/>
      <c r="B661" s="188"/>
      <c r="C661" s="188"/>
      <c r="D661" s="377" t="s">
        <v>243</v>
      </c>
      <c r="E661" s="50"/>
      <c r="F661" s="50"/>
      <c r="G661" s="52"/>
      <c r="H661" s="461" t="s">
        <v>46</v>
      </c>
      <c r="I661" s="569">
        <f ca="1">IFERROR(__xludf.DUMMYFUNCTION("IMPORTRANGE(""https://docs.google.com/spreadsheets/d/1eHaY18a8A9IcSdp1K8H6x8fbOy06t2VsZHhMHf-1x7Y/edit?usp=sharing"",""แผน!IK32"")"),0)</f>
        <v>0</v>
      </c>
      <c r="J661" s="373">
        <f>J667+J670</f>
        <v>0</v>
      </c>
      <c r="K661" s="540">
        <f ca="1">IF(I661&gt;0,J661*100/I661,0)</f>
        <v>0</v>
      </c>
      <c r="L661" s="62"/>
      <c r="M661" s="55"/>
      <c r="N661" s="468"/>
      <c r="O661" s="55"/>
      <c r="P661" s="55"/>
      <c r="Q661" s="55"/>
      <c r="R661" s="55"/>
      <c r="S661" s="468"/>
      <c r="T661" s="55"/>
      <c r="U661" s="55"/>
    </row>
    <row r="662" spans="1:21" ht="18.75" hidden="1">
      <c r="A662" s="238"/>
      <c r="B662" s="188"/>
      <c r="C662" s="188"/>
      <c r="D662" s="50"/>
      <c r="E662" s="58" t="s">
        <v>244</v>
      </c>
      <c r="F662" s="50"/>
      <c r="G662" s="52"/>
      <c r="H662" s="165" t="s">
        <v>34</v>
      </c>
      <c r="I662" s="208"/>
      <c r="J662" s="467">
        <v>0</v>
      </c>
      <c r="K662" s="55"/>
      <c r="L662" s="469"/>
      <c r="M662" s="55"/>
      <c r="N662" s="468"/>
      <c r="O662" s="55"/>
      <c r="P662" s="55"/>
      <c r="Q662" s="468"/>
      <c r="R662" s="55"/>
      <c r="S662" s="468"/>
      <c r="T662" s="55"/>
      <c r="U662" s="55"/>
    </row>
    <row r="663" spans="1:21" ht="18.75" hidden="1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67">
        <v>0</v>
      </c>
      <c r="K663" s="55"/>
      <c r="L663" s="469"/>
      <c r="M663" s="55"/>
      <c r="N663" s="468"/>
      <c r="O663" s="55"/>
      <c r="P663" s="55"/>
      <c r="Q663" s="468"/>
      <c r="R663" s="55"/>
      <c r="S663" s="468"/>
      <c r="T663" s="55"/>
      <c r="U663" s="55"/>
    </row>
    <row r="664" spans="1:21" ht="18.75" hidden="1">
      <c r="A664" s="238"/>
      <c r="B664" s="188"/>
      <c r="C664" s="188"/>
      <c r="D664" s="50"/>
      <c r="E664" s="58" t="s">
        <v>245</v>
      </c>
      <c r="F664" s="50"/>
      <c r="G664" s="52"/>
      <c r="H664" s="206"/>
      <c r="I664" s="208"/>
      <c r="J664" s="54"/>
      <c r="K664" s="55"/>
      <c r="L664" s="469"/>
      <c r="M664" s="55"/>
      <c r="N664" s="468"/>
      <c r="O664" s="55"/>
      <c r="P664" s="55"/>
      <c r="Q664" s="468"/>
      <c r="R664" s="55"/>
      <c r="S664" s="468"/>
      <c r="T664" s="55"/>
      <c r="U664" s="55"/>
    </row>
    <row r="665" spans="1:21" ht="18.75" hidden="1">
      <c r="A665" s="238"/>
      <c r="B665" s="188"/>
      <c r="C665" s="188"/>
      <c r="D665" s="50"/>
      <c r="E665" s="50"/>
      <c r="F665" s="58" t="s">
        <v>246</v>
      </c>
      <c r="G665" s="52"/>
      <c r="H665" s="165" t="s">
        <v>35</v>
      </c>
      <c r="I665" s="208"/>
      <c r="J665" s="467">
        <v>0</v>
      </c>
      <c r="K665" s="55"/>
      <c r="L665" s="469"/>
      <c r="M665" s="55"/>
      <c r="N665" s="468"/>
      <c r="O665" s="55"/>
      <c r="P665" s="55"/>
      <c r="Q665" s="468"/>
      <c r="R665" s="55"/>
      <c r="S665" s="468"/>
      <c r="T665" s="55"/>
      <c r="U665" s="55"/>
    </row>
    <row r="666" spans="1:21" ht="18.75" hidden="1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67">
        <v>0</v>
      </c>
      <c r="K666" s="55"/>
      <c r="L666" s="469"/>
      <c r="M666" s="55"/>
      <c r="N666" s="468"/>
      <c r="O666" s="55"/>
      <c r="P666" s="55"/>
      <c r="Q666" s="468"/>
      <c r="R666" s="55"/>
      <c r="S666" s="468"/>
      <c r="T666" s="55"/>
      <c r="U666" s="55"/>
    </row>
    <row r="667" spans="1:21" ht="18.75" hidden="1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67">
        <v>0</v>
      </c>
      <c r="K667" s="55"/>
      <c r="L667" s="469"/>
      <c r="M667" s="55"/>
      <c r="N667" s="468"/>
      <c r="O667" s="55"/>
      <c r="P667" s="55"/>
      <c r="Q667" s="468"/>
      <c r="R667" s="55"/>
      <c r="S667" s="468"/>
      <c r="T667" s="55"/>
      <c r="U667" s="55"/>
    </row>
    <row r="668" spans="1:21" ht="18.75" hidden="1">
      <c r="A668" s="238"/>
      <c r="B668" s="188"/>
      <c r="C668" s="188"/>
      <c r="D668" s="50"/>
      <c r="E668" s="50"/>
      <c r="F668" s="58" t="s">
        <v>247</v>
      </c>
      <c r="G668" s="52"/>
      <c r="H668" s="165" t="s">
        <v>35</v>
      </c>
      <c r="I668" s="208"/>
      <c r="J668" s="467">
        <v>0</v>
      </c>
      <c r="K668" s="55"/>
      <c r="L668" s="469"/>
      <c r="M668" s="55"/>
      <c r="N668" s="468"/>
      <c r="O668" s="55"/>
      <c r="P668" s="55"/>
      <c r="Q668" s="468"/>
      <c r="R668" s="55"/>
      <c r="S668" s="468"/>
      <c r="T668" s="55"/>
      <c r="U668" s="55"/>
    </row>
    <row r="669" spans="1:21" ht="18.75" hidden="1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67">
        <v>0</v>
      </c>
      <c r="K669" s="55"/>
      <c r="L669" s="469"/>
      <c r="M669" s="55"/>
      <c r="N669" s="468"/>
      <c r="O669" s="55"/>
      <c r="P669" s="55"/>
      <c r="Q669" s="468"/>
      <c r="R669" s="55"/>
      <c r="S669" s="468"/>
      <c r="T669" s="55"/>
      <c r="U669" s="55"/>
    </row>
    <row r="670" spans="1:21" ht="18.75" hidden="1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67">
        <v>0</v>
      </c>
      <c r="K670" s="55"/>
      <c r="L670" s="469"/>
      <c r="M670" s="55"/>
      <c r="N670" s="468"/>
      <c r="O670" s="55"/>
      <c r="P670" s="55"/>
      <c r="Q670" s="468"/>
      <c r="R670" s="55"/>
      <c r="S670" s="468"/>
      <c r="T670" s="55"/>
      <c r="U670" s="55"/>
    </row>
    <row r="671" spans="1:21" ht="18.75" hidden="1">
      <c r="A671" s="238"/>
      <c r="B671" s="188"/>
      <c r="C671" s="188"/>
      <c r="D671" s="58" t="s">
        <v>248</v>
      </c>
      <c r="E671" s="50"/>
      <c r="F671" s="50"/>
      <c r="G671" s="52"/>
      <c r="H671" s="165" t="s">
        <v>35</v>
      </c>
      <c r="I671" s="208"/>
      <c r="J671" s="212">
        <f ca="1">IFERROR(__xludf.DUMMYFUNCTION("IMPORTRANGE(""https://docs.google.com/spreadsheets/d/1tdoBKaGub7dwA3U6UFTqxio9LNnvDCQjHKmttSEBsFQ/edit?usp=sharing"",""จัดที่ดิน!AY32"")"),0)</f>
        <v>0</v>
      </c>
      <c r="K671" s="55"/>
      <c r="L671" s="62"/>
      <c r="M671" s="55"/>
      <c r="N671" s="468"/>
      <c r="O671" s="55"/>
      <c r="P671" s="55"/>
      <c r="Q671" s="55"/>
      <c r="R671" s="55"/>
      <c r="S671" s="468"/>
      <c r="T671" s="55"/>
      <c r="U671" s="55"/>
    </row>
    <row r="672" spans="1:21" ht="18.75" hidden="1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212">
        <f ca="1">IFERROR(__xludf.DUMMYFUNCTION("IMPORTRANGE(""https://docs.google.com/spreadsheets/d/1tdoBKaGub7dwA3U6UFTqxio9LNnvDCQjHKmttSEBsFQ/edit?usp=sharing"",""จัดที่ดิน!AZ32"")"),0)</f>
        <v>0</v>
      </c>
      <c r="K672" s="55"/>
      <c r="L672" s="469"/>
      <c r="M672" s="55"/>
      <c r="N672" s="468"/>
      <c r="O672" s="55"/>
      <c r="P672" s="55"/>
      <c r="Q672" s="468"/>
      <c r="R672" s="55"/>
      <c r="S672" s="468"/>
      <c r="T672" s="55"/>
      <c r="U672" s="55"/>
    </row>
    <row r="673" spans="1:21" ht="18.75" hidden="1">
      <c r="A673" s="238"/>
      <c r="B673" s="188"/>
      <c r="C673" s="188"/>
      <c r="D673" s="50"/>
      <c r="E673" s="50"/>
      <c r="F673" s="50"/>
      <c r="G673" s="52"/>
      <c r="H673" s="165" t="s">
        <v>46</v>
      </c>
      <c r="I673" s="570">
        <f ca="1">IFERROR(__xludf.DUMMYFUNCTION("IMPORTRANGE(""https://docs.google.com/spreadsheets/d/1eHaY18a8A9IcSdp1K8H6x8fbOy06t2VsZHhMHf-1x7Y/edit?usp=sharing"",""แผน!IL32"")"),0)</f>
        <v>0</v>
      </c>
      <c r="J673" s="212">
        <f ca="1">IFERROR(__xludf.DUMMYFUNCTION("IMPORTRANGE(""https://docs.google.com/spreadsheets/d/1tdoBKaGub7dwA3U6UFTqxio9LNnvDCQjHKmttSEBsFQ/edit?usp=sharing"",""จัดที่ดิน!BA32"")"),0)</f>
        <v>0</v>
      </c>
      <c r="K673" s="255">
        <f ca="1">IF(I673&gt;0,J673*100/I673,0)</f>
        <v>0</v>
      </c>
      <c r="L673" s="469"/>
      <c r="M673" s="55"/>
      <c r="N673" s="468"/>
      <c r="O673" s="55"/>
      <c r="P673" s="55"/>
      <c r="Q673" s="468"/>
      <c r="R673" s="55"/>
      <c r="S673" s="468"/>
      <c r="T673" s="55"/>
      <c r="U673" s="55"/>
    </row>
    <row r="674" spans="1:21" ht="19.5">
      <c r="A674" s="238"/>
      <c r="B674" s="188"/>
      <c r="C674" s="188"/>
      <c r="D674" s="58" t="s">
        <v>249</v>
      </c>
      <c r="E674" s="50"/>
      <c r="F674" s="50"/>
      <c r="G674" s="52"/>
      <c r="H674" s="461" t="s">
        <v>35</v>
      </c>
      <c r="I674" s="569">
        <f ca="1">IFERROR(__xludf.DUMMYFUNCTION("IMPORTRANGE(""https://docs.google.com/spreadsheets/d/1eHaY18a8A9IcSdp1K8H6x8fbOy06t2VsZHhMHf-1x7Y/edit?usp=sharing"",""แผน!IM32"")"),3)</f>
        <v>3</v>
      </c>
      <c r="J674" s="373">
        <f ca="1">J676+J679</f>
        <v>0</v>
      </c>
      <c r="K674" s="540">
        <f ca="1">IF(I674&gt;0,J674*100/I674,0)</f>
        <v>0</v>
      </c>
      <c r="L674" s="469"/>
      <c r="M674" s="55"/>
      <c r="N674" s="468"/>
      <c r="O674" s="55"/>
      <c r="P674" s="55"/>
      <c r="Q674" s="468"/>
      <c r="R674" s="55"/>
      <c r="S674" s="468"/>
      <c r="T674" s="55"/>
      <c r="U674" s="55"/>
    </row>
    <row r="675" spans="1:21" ht="19.5">
      <c r="A675" s="238"/>
      <c r="B675" s="188"/>
      <c r="C675" s="188"/>
      <c r="D675" s="50"/>
      <c r="E675" s="50"/>
      <c r="F675" s="50"/>
      <c r="G675" s="52"/>
      <c r="H675" s="461" t="s">
        <v>46</v>
      </c>
      <c r="I675" s="569">
        <f ca="1">IFERROR(__xludf.DUMMYFUNCTION("IMPORTRANGE(""https://docs.google.com/spreadsheets/d/1eHaY18a8A9IcSdp1K8H6x8fbOy06t2VsZHhMHf-1x7Y/edit?usp=sharing"",""แผน!IN32"")"),6)</f>
        <v>6</v>
      </c>
      <c r="J675" s="373">
        <f ca="1">J678+J681</f>
        <v>0</v>
      </c>
      <c r="K675" s="540">
        <f ca="1">IF(I675&gt;0,J675*100/I675,0)</f>
        <v>0</v>
      </c>
      <c r="L675" s="62"/>
      <c r="M675" s="55"/>
      <c r="N675" s="468"/>
      <c r="O675" s="55"/>
      <c r="P675" s="55"/>
      <c r="Q675" s="55"/>
      <c r="R675" s="55"/>
      <c r="S675" s="468"/>
      <c r="T675" s="55"/>
      <c r="U675" s="55"/>
    </row>
    <row r="676" spans="1:21" ht="18.75">
      <c r="A676" s="238"/>
      <c r="B676" s="188"/>
      <c r="C676" s="188"/>
      <c r="D676" s="50"/>
      <c r="E676" s="58" t="s">
        <v>250</v>
      </c>
      <c r="F676" s="50"/>
      <c r="G676" s="52"/>
      <c r="H676" s="165" t="s">
        <v>35</v>
      </c>
      <c r="I676" s="570">
        <f ca="1">IFERROR(__xludf.DUMMYFUNCTION("IMPORTRANGE(""https://docs.google.com/spreadsheets/d/1eHaY18a8A9IcSdp1K8H6x8fbOy06t2VsZHhMHf-1x7Y/edit?usp=sharing"",""แผน!IO32"")"),3)</f>
        <v>3</v>
      </c>
      <c r="J676" s="212">
        <f ca="1">IFERROR(__xludf.DUMMYFUNCTION("IMPORTRANGE(""https://docs.google.com/spreadsheets/d/1tdoBKaGub7dwA3U6UFTqxio9LNnvDCQjHKmttSEBsFQ/edit?usp=sharing"",""จัดที่ดิน!BF32"")"),0)</f>
        <v>0</v>
      </c>
      <c r="K676" s="255">
        <f ca="1">IF(I676&gt;0,J676*100/I676,0)</f>
        <v>0</v>
      </c>
      <c r="L676" s="62"/>
      <c r="M676" s="55"/>
      <c r="N676" s="468"/>
      <c r="O676" s="55"/>
      <c r="P676" s="55"/>
      <c r="Q676" s="55"/>
      <c r="R676" s="55"/>
      <c r="S676" s="468"/>
      <c r="T676" s="55"/>
      <c r="U676" s="55"/>
    </row>
    <row r="677" spans="1:21" ht="18.75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212">
        <f ca="1">IFERROR(__xludf.DUMMYFUNCTION("IMPORTRANGE(""https://docs.google.com/spreadsheets/d/1tdoBKaGub7dwA3U6UFTqxio9LNnvDCQjHKmttSEBsFQ/edit?usp=sharing"",""จัดที่ดิน!BG32"")"),0)</f>
        <v>0</v>
      </c>
      <c r="K677" s="55"/>
      <c r="L677" s="469"/>
      <c r="M677" s="55"/>
      <c r="N677" s="468"/>
      <c r="O677" s="55"/>
      <c r="P677" s="55"/>
      <c r="Q677" s="468"/>
      <c r="R677" s="55"/>
      <c r="S677" s="468"/>
      <c r="T677" s="55"/>
      <c r="U677" s="55"/>
    </row>
    <row r="678" spans="1:21" ht="18.75">
      <c r="A678" s="238"/>
      <c r="B678" s="188"/>
      <c r="C678" s="188"/>
      <c r="D678" s="50"/>
      <c r="E678" s="50"/>
      <c r="F678" s="50"/>
      <c r="G678" s="52"/>
      <c r="H678" s="165" t="s">
        <v>46</v>
      </c>
      <c r="I678" s="570">
        <f ca="1">IFERROR(__xludf.DUMMYFUNCTION("IMPORTRANGE(""https://docs.google.com/spreadsheets/d/1eHaY18a8A9IcSdp1K8H6x8fbOy06t2VsZHhMHf-1x7Y/edit?usp=sharing"",""แผน!IP32"")"),6)</f>
        <v>6</v>
      </c>
      <c r="J678" s="212">
        <f ca="1">IFERROR(__xludf.DUMMYFUNCTION("IMPORTRANGE(""https://docs.google.com/spreadsheets/d/1tdoBKaGub7dwA3U6UFTqxio9LNnvDCQjHKmttSEBsFQ/edit?usp=sharing"",""จัดที่ดิน!BH32"")"),0)</f>
        <v>0</v>
      </c>
      <c r="K678" s="255">
        <f ca="1">IF(I678&gt;0,J678*100/I678,0)</f>
        <v>0</v>
      </c>
      <c r="L678" s="469"/>
      <c r="M678" s="55"/>
      <c r="N678" s="468"/>
      <c r="O678" s="55"/>
      <c r="P678" s="55"/>
      <c r="Q678" s="468"/>
      <c r="R678" s="55"/>
      <c r="S678" s="468"/>
      <c r="T678" s="55"/>
      <c r="U678" s="55"/>
    </row>
    <row r="679" spans="1:21" ht="18.75">
      <c r="A679" s="238"/>
      <c r="B679" s="188"/>
      <c r="C679" s="188"/>
      <c r="D679" s="50"/>
      <c r="E679" s="58" t="s">
        <v>251</v>
      </c>
      <c r="F679" s="50"/>
      <c r="G679" s="52"/>
      <c r="H679" s="165" t="s">
        <v>35</v>
      </c>
      <c r="I679" s="570">
        <f ca="1">IFERROR(__xludf.DUMMYFUNCTION("IMPORTRANGE(""https://docs.google.com/spreadsheets/d/1eHaY18a8A9IcSdp1K8H6x8fbOy06t2VsZHhMHf-1x7Y/edit?usp=sharing"",""แผน!IQ32"")"),0)</f>
        <v>0</v>
      </c>
      <c r="J679" s="212">
        <f ca="1">IFERROR(__xludf.DUMMYFUNCTION("IMPORTRANGE(""https://docs.google.com/spreadsheets/d/1tdoBKaGub7dwA3U6UFTqxio9LNnvDCQjHKmttSEBsFQ/edit?usp=sharing"",""จัดที่ดิน!BK32"")"),0)</f>
        <v>0</v>
      </c>
      <c r="K679" s="255">
        <f ca="1">IF(I679&gt;0,J679*100/I679,0)</f>
        <v>0</v>
      </c>
      <c r="L679" s="62"/>
      <c r="M679" s="55"/>
      <c r="N679" s="468"/>
      <c r="O679" s="55"/>
      <c r="P679" s="55"/>
      <c r="Q679" s="55"/>
      <c r="R679" s="55"/>
      <c r="S679" s="468"/>
      <c r="T679" s="55"/>
      <c r="U679" s="55"/>
    </row>
    <row r="680" spans="1:21" ht="18.75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212">
        <f ca="1">IFERROR(__xludf.DUMMYFUNCTION("IMPORTRANGE(""https://docs.google.com/spreadsheets/d/1tdoBKaGub7dwA3U6UFTqxio9LNnvDCQjHKmttSEBsFQ/edit?usp=sharing"",""จัดที่ดิน!BL32"")"),0)</f>
        <v>0</v>
      </c>
      <c r="K680" s="55"/>
      <c r="L680" s="469"/>
      <c r="M680" s="55"/>
      <c r="N680" s="468"/>
      <c r="O680" s="55"/>
      <c r="P680" s="55"/>
      <c r="Q680" s="468"/>
      <c r="R680" s="55"/>
      <c r="S680" s="468"/>
      <c r="T680" s="55"/>
      <c r="U680" s="55"/>
    </row>
    <row r="681" spans="1:21" ht="18.75">
      <c r="A681" s="238"/>
      <c r="B681" s="188"/>
      <c r="C681" s="188"/>
      <c r="D681" s="50"/>
      <c r="E681" s="50"/>
      <c r="F681" s="50"/>
      <c r="G681" s="52"/>
      <c r="H681" s="165" t="s">
        <v>46</v>
      </c>
      <c r="I681" s="570">
        <f ca="1">IFERROR(__xludf.DUMMYFUNCTION("IMPORTRANGE(""https://docs.google.com/spreadsheets/d/1eHaY18a8A9IcSdp1K8H6x8fbOy06t2VsZHhMHf-1x7Y/edit?usp=sharing"",""แผน!IR32"")"),0)</f>
        <v>0</v>
      </c>
      <c r="J681" s="212">
        <f ca="1">IFERROR(__xludf.DUMMYFUNCTION("IMPORTRANGE(""https://docs.google.com/spreadsheets/d/1tdoBKaGub7dwA3U6UFTqxio9LNnvDCQjHKmttSEBsFQ/edit?usp=sharing"",""จัดที่ดิน!BM32"")"),0)</f>
        <v>0</v>
      </c>
      <c r="K681" s="255">
        <f ca="1">IF(I681&gt;0,J681*100/I681,0)</f>
        <v>0</v>
      </c>
      <c r="L681" s="469"/>
      <c r="M681" s="55"/>
      <c r="N681" s="468"/>
      <c r="O681" s="55"/>
      <c r="P681" s="55"/>
      <c r="Q681" s="468"/>
      <c r="R681" s="55"/>
      <c r="S681" s="468"/>
      <c r="T681" s="55"/>
      <c r="U681" s="55"/>
    </row>
    <row r="682" spans="1:21" ht="19.5" hidden="1">
      <c r="A682" s="238"/>
      <c r="B682" s="188"/>
      <c r="C682" s="188"/>
      <c r="D682" s="58" t="s">
        <v>252</v>
      </c>
      <c r="E682" s="50"/>
      <c r="F682" s="50"/>
      <c r="G682" s="52"/>
      <c r="H682" s="461" t="s">
        <v>46</v>
      </c>
      <c r="I682" s="569">
        <f ca="1">IFERROR(__xludf.DUMMYFUNCTION("IMPORTRANGE(""https://docs.google.com/spreadsheets/d/1eHaY18a8A9IcSdp1K8H6x8fbOy06t2VsZHhMHf-1x7Y/edit?usp=sharing"",""แผน!IS32"")"),0)</f>
        <v>0</v>
      </c>
      <c r="J682" s="373">
        <f>J685+J688</f>
        <v>0</v>
      </c>
      <c r="K682" s="540">
        <f ca="1">IF(I682&gt;0,J682*100/I682,0)</f>
        <v>0</v>
      </c>
      <c r="L682" s="62"/>
      <c r="M682" s="55"/>
      <c r="N682" s="468"/>
      <c r="O682" s="55"/>
      <c r="P682" s="55"/>
      <c r="Q682" s="55"/>
      <c r="R682" s="55"/>
      <c r="S682" s="468"/>
      <c r="T682" s="55"/>
      <c r="U682" s="55"/>
    </row>
    <row r="683" spans="1:21" ht="18.75" hidden="1">
      <c r="A683" s="238"/>
      <c r="B683" s="188"/>
      <c r="C683" s="188"/>
      <c r="D683" s="50"/>
      <c r="E683" s="58" t="s">
        <v>253</v>
      </c>
      <c r="F683" s="50"/>
      <c r="G683" s="52"/>
      <c r="H683" s="165" t="s">
        <v>35</v>
      </c>
      <c r="I683" s="208"/>
      <c r="J683" s="467">
        <v>0</v>
      </c>
      <c r="K683" s="55"/>
      <c r="L683" s="469"/>
      <c r="M683" s="55"/>
      <c r="N683" s="468"/>
      <c r="O683" s="55"/>
      <c r="P683" s="55"/>
      <c r="Q683" s="468"/>
      <c r="R683" s="55"/>
      <c r="S683" s="468"/>
      <c r="T683" s="55"/>
      <c r="U683" s="55"/>
    </row>
    <row r="684" spans="1:21" ht="18.75" hidden="1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467">
        <v>0</v>
      </c>
      <c r="K684" s="55"/>
      <c r="L684" s="469"/>
      <c r="M684" s="55"/>
      <c r="N684" s="468"/>
      <c r="O684" s="55"/>
      <c r="P684" s="55"/>
      <c r="Q684" s="468"/>
      <c r="R684" s="55"/>
      <c r="S684" s="468"/>
      <c r="T684" s="55"/>
      <c r="U684" s="55"/>
    </row>
    <row r="685" spans="1:21" ht="18.75" hidden="1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467">
        <v>0</v>
      </c>
      <c r="K685" s="55"/>
      <c r="L685" s="469"/>
      <c r="M685" s="55"/>
      <c r="N685" s="468"/>
      <c r="O685" s="55"/>
      <c r="P685" s="55"/>
      <c r="Q685" s="468"/>
      <c r="R685" s="55"/>
      <c r="S685" s="468"/>
      <c r="T685" s="55"/>
      <c r="U685" s="55"/>
    </row>
    <row r="686" spans="1:21" ht="18.75" hidden="1">
      <c r="A686" s="238"/>
      <c r="B686" s="188"/>
      <c r="C686" s="188"/>
      <c r="D686" s="50"/>
      <c r="E686" s="58" t="s">
        <v>254</v>
      </c>
      <c r="F686" s="50"/>
      <c r="G686" s="52"/>
      <c r="H686" s="165" t="s">
        <v>35</v>
      </c>
      <c r="I686" s="208"/>
      <c r="J686" s="467">
        <v>0</v>
      </c>
      <c r="K686" s="55"/>
      <c r="L686" s="469"/>
      <c r="M686" s="55"/>
      <c r="N686" s="468"/>
      <c r="O686" s="55"/>
      <c r="P686" s="55"/>
      <c r="Q686" s="468"/>
      <c r="R686" s="55"/>
      <c r="S686" s="468"/>
      <c r="T686" s="55"/>
      <c r="U686" s="55"/>
    </row>
    <row r="687" spans="1:21" ht="18.75" hidden="1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467">
        <v>0</v>
      </c>
      <c r="K687" s="55"/>
      <c r="L687" s="469"/>
      <c r="M687" s="55"/>
      <c r="N687" s="468"/>
      <c r="O687" s="55"/>
      <c r="P687" s="55"/>
      <c r="Q687" s="468"/>
      <c r="R687" s="55"/>
      <c r="S687" s="468"/>
      <c r="T687" s="55"/>
      <c r="U687" s="55"/>
    </row>
    <row r="688" spans="1:21" ht="19.5" hidden="1">
      <c r="A688" s="281"/>
      <c r="B688" s="470" t="s">
        <v>255</v>
      </c>
      <c r="C688" s="282"/>
      <c r="D688" s="2"/>
      <c r="E688" s="2"/>
      <c r="F688" s="2"/>
      <c r="G688" s="284"/>
      <c r="H688" s="214" t="s">
        <v>46</v>
      </c>
      <c r="I688" s="375"/>
      <c r="J688" s="538">
        <v>0</v>
      </c>
      <c r="K688" s="6"/>
      <c r="L688" s="472"/>
      <c r="M688" s="6"/>
      <c r="N688" s="471"/>
      <c r="O688" s="6"/>
      <c r="P688" s="6"/>
      <c r="Q688" s="471"/>
      <c r="R688" s="6"/>
      <c r="S688" s="471"/>
      <c r="T688" s="6"/>
      <c r="U688" s="6"/>
    </row>
    <row r="689" spans="1:21" ht="19.5">
      <c r="A689" s="442"/>
      <c r="B689" s="443" t="s">
        <v>256</v>
      </c>
      <c r="C689" s="442"/>
      <c r="D689" s="444"/>
      <c r="E689" s="444"/>
      <c r="F689" s="444"/>
      <c r="G689" s="445"/>
      <c r="H689" s="568" t="s">
        <v>35</v>
      </c>
      <c r="I689" s="567">
        <f ca="1">I707</f>
        <v>40</v>
      </c>
      <c r="J689" s="567">
        <f ca="1">J707</f>
        <v>0</v>
      </c>
      <c r="K689" s="543">
        <f ca="1">IF(I689&gt;0,J689*100/I689,0)</f>
        <v>0</v>
      </c>
      <c r="L689" s="449"/>
      <c r="M689" s="448"/>
      <c r="N689" s="448"/>
      <c r="O689" s="448"/>
      <c r="P689" s="448"/>
      <c r="Q689" s="448"/>
      <c r="R689" s="448"/>
      <c r="S689" s="448"/>
      <c r="T689" s="448"/>
      <c r="U689" s="448"/>
    </row>
    <row r="690" spans="1:21" ht="19.5">
      <c r="A690" s="155"/>
      <c r="B690" s="188"/>
      <c r="C690" s="205" t="s">
        <v>18</v>
      </c>
      <c r="D690" s="542" t="s">
        <v>19</v>
      </c>
      <c r="E690" s="529"/>
      <c r="F690" s="529"/>
      <c r="G690" s="530"/>
      <c r="H690" s="252" t="s">
        <v>14</v>
      </c>
      <c r="I690" s="54"/>
      <c r="J690" s="54"/>
      <c r="K690" s="55"/>
      <c r="L690" s="541">
        <f>L691+L692</f>
        <v>0</v>
      </c>
      <c r="M690" s="540">
        <f>M691+M692</f>
        <v>0</v>
      </c>
      <c r="N690" s="540">
        <f>N691+N692</f>
        <v>0</v>
      </c>
      <c r="O690" s="540">
        <f>IF(L690&gt;0,N690*100/L690,0)</f>
        <v>0</v>
      </c>
      <c r="P690" s="540">
        <f>IF(M690&gt;0,N690*100/M690,0)</f>
        <v>0</v>
      </c>
      <c r="Q690" s="540">
        <f ca="1">Q691+Q692</f>
        <v>151660</v>
      </c>
      <c r="R690" s="540">
        <f ca="1">R691+R692</f>
        <v>151660</v>
      </c>
      <c r="S690" s="540">
        <f ca="1">S691+S692</f>
        <v>0</v>
      </c>
      <c r="T690" s="540">
        <f ca="1">IF(Q690&gt;0,S690*100/Q690,0)</f>
        <v>0</v>
      </c>
      <c r="U690" s="540">
        <f ca="1">IF(R690&gt;0,S690*100/R690,0)</f>
        <v>0</v>
      </c>
    </row>
    <row r="691" spans="1:21" ht="18.75" hidden="1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103">
        <f>L694+L697</f>
        <v>0</v>
      </c>
      <c r="M691" s="102">
        <f>M694+M697</f>
        <v>0</v>
      </c>
      <c r="N691" s="102">
        <f>N694+N697</f>
        <v>0</v>
      </c>
      <c r="O691" s="102">
        <f>IF(L691&gt;0,N691*100/L691,0)</f>
        <v>0</v>
      </c>
      <c r="P691" s="102">
        <f>IF(M691&gt;0,N691*100/M691,0)</f>
        <v>0</v>
      </c>
      <c r="Q691" s="102">
        <f>Q694+Q697</f>
        <v>0</v>
      </c>
      <c r="R691" s="102">
        <f>R694+R697</f>
        <v>0</v>
      </c>
      <c r="S691" s="102">
        <f>S694+S697</f>
        <v>0</v>
      </c>
      <c r="T691" s="102">
        <f>IF(Q691&gt;0,S691*100/Q691,0)</f>
        <v>0</v>
      </c>
      <c r="U691" s="102">
        <f>IF(R691&gt;0,S691*100/R691,0)</f>
        <v>0</v>
      </c>
    </row>
    <row r="692" spans="1:21" ht="18.75" hidden="1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256">
        <f>L695+L698</f>
        <v>0</v>
      </c>
      <c r="M692" s="255">
        <f>M695+M698</f>
        <v>0</v>
      </c>
      <c r="N692" s="255">
        <f>N695+N698</f>
        <v>0</v>
      </c>
      <c r="O692" s="255">
        <f>IF(L692&gt;0,N692*100/L692,0)</f>
        <v>0</v>
      </c>
      <c r="P692" s="255">
        <f>IF(M692&gt;0,N692*100/M692,0)</f>
        <v>0</v>
      </c>
      <c r="Q692" s="255">
        <f ca="1">Q695+Q698</f>
        <v>151660</v>
      </c>
      <c r="R692" s="255">
        <f ca="1">R695+R698</f>
        <v>151660</v>
      </c>
      <c r="S692" s="255">
        <f ca="1">S695+S698</f>
        <v>0</v>
      </c>
      <c r="T692" s="255">
        <f ca="1">IF(Q692&gt;0,S692*100/Q692,0)</f>
        <v>0</v>
      </c>
      <c r="U692" s="255">
        <f ca="1">IF(R692&gt;0,S692*100/R692,0)</f>
        <v>0</v>
      </c>
    </row>
    <row r="693" spans="1:21" ht="18.75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256">
        <f>L694+L695</f>
        <v>0</v>
      </c>
      <c r="M693" s="255">
        <f>M694+M695</f>
        <v>0</v>
      </c>
      <c r="N693" s="255">
        <f>N694+N695</f>
        <v>0</v>
      </c>
      <c r="O693" s="255">
        <f>IF(L693&gt;0,N693*100/L693,0)</f>
        <v>0</v>
      </c>
      <c r="P693" s="255">
        <f>IF(M693&gt;0,N693*100/M693,0)</f>
        <v>0</v>
      </c>
      <c r="Q693" s="255">
        <f ca="1">Q694+Q695</f>
        <v>151660</v>
      </c>
      <c r="R693" s="255">
        <f ca="1">R694+R695</f>
        <v>151660</v>
      </c>
      <c r="S693" s="255">
        <f ca="1">S694+S695</f>
        <v>0</v>
      </c>
      <c r="T693" s="255">
        <f ca="1">IF(Q693&gt;0,S693*100/Q693,0)</f>
        <v>0</v>
      </c>
      <c r="U693" s="255">
        <f ca="1">IF(R693&gt;0,S693*100/R693,0)</f>
        <v>0</v>
      </c>
    </row>
    <row r="694" spans="1:21" ht="18.75" hidden="1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103">
        <v>0</v>
      </c>
      <c r="M694" s="102">
        <v>0</v>
      </c>
      <c r="N694" s="102">
        <v>0</v>
      </c>
      <c r="O694" s="102">
        <f>IF(L694&gt;0,N694*100/L694,0)</f>
        <v>0</v>
      </c>
      <c r="P694" s="102">
        <f>IF(M694&gt;0,N694*100/M694,0)</f>
        <v>0</v>
      </c>
      <c r="Q694" s="102">
        <v>0</v>
      </c>
      <c r="R694" s="102">
        <v>0</v>
      </c>
      <c r="S694" s="102">
        <v>0</v>
      </c>
      <c r="T694" s="102">
        <f>IF(Q694&gt;0,S694*100/Q694,0)</f>
        <v>0</v>
      </c>
      <c r="U694" s="102">
        <f>IF(R694&gt;0,S694*100/R694,0)</f>
        <v>0</v>
      </c>
    </row>
    <row r="695" spans="1:21" ht="18.75" hidden="1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256">
        <v>0</v>
      </c>
      <c r="M695" s="255">
        <v>0</v>
      </c>
      <c r="N695" s="255">
        <v>0</v>
      </c>
      <c r="O695" s="255">
        <f>IF(L695&gt;0,N695*100/L695,0)</f>
        <v>0</v>
      </c>
      <c r="P695" s="255">
        <f>IF(M695&gt;0,N695*100/M695,0)</f>
        <v>0</v>
      </c>
      <c r="Q695" s="255">
        <f ca="1">IFERROR(__xludf.DUMMYFUNCTION("IMPORTRANGE(""https://docs.google.com/spreadsheets/d/1ItG2mGa2ceCfYo0BwxsXqNm01IGEUdYcSSLTEv9YCik/edit?usp=sharing"",""เบิกจ่ายกองทุน!L32"")"),151660)</f>
        <v>151660</v>
      </c>
      <c r="R695" s="255">
        <f ca="1">IFERROR(__xludf.DUMMYFUNCTION("IMPORTRANGE(""https://docs.google.com/spreadsheets/d/1ItG2mGa2ceCfYo0BwxsXqNm01IGEUdYcSSLTEv9YCik/edit?usp=sharing"",""เบิกจ่ายกองทุน!M32"")"),151660)</f>
        <v>151660</v>
      </c>
      <c r="S695" s="255">
        <f ca="1">IFERROR(__xludf.DUMMYFUNCTION("IMPORTRANGE(""https://docs.google.com/spreadsheets/d/1ItG2mGa2ceCfYo0BwxsXqNm01IGEUdYcSSLTEv9YCik/edit?usp=sharing"",""เบิกจ่ายกองทุน!N32"")"),0)</f>
        <v>0</v>
      </c>
      <c r="T695" s="255">
        <f ca="1">IF(Q695&gt;0,S695*100/Q695,0)</f>
        <v>0</v>
      </c>
      <c r="U695" s="255">
        <f ca="1">IF(R695&gt;0,S695*100/R695,0)</f>
        <v>0</v>
      </c>
    </row>
    <row r="696" spans="1:21" ht="18.75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256">
        <f>L697+L698</f>
        <v>0</v>
      </c>
      <c r="M696" s="255">
        <f>M697+M698</f>
        <v>0</v>
      </c>
      <c r="N696" s="255">
        <f>N697+N698</f>
        <v>0</v>
      </c>
      <c r="O696" s="255">
        <f>IF(L696&gt;0,N696*100/L696,0)</f>
        <v>0</v>
      </c>
      <c r="P696" s="255">
        <f>IF(M696&gt;0,N696*100/M696,0)</f>
        <v>0</v>
      </c>
      <c r="Q696" s="255">
        <f>Q697+Q698</f>
        <v>0</v>
      </c>
      <c r="R696" s="255">
        <f>R697+R698</f>
        <v>0</v>
      </c>
      <c r="S696" s="255">
        <f>S697+S698</f>
        <v>0</v>
      </c>
      <c r="T696" s="255">
        <f>IF(Q696&gt;0,S696*100/Q696,0)</f>
        <v>0</v>
      </c>
      <c r="U696" s="255">
        <f>IF(R696&gt;0,S696*100/R696,0)</f>
        <v>0</v>
      </c>
    </row>
    <row r="697" spans="1:21" ht="18.75" hidden="1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103">
        <v>0</v>
      </c>
      <c r="M697" s="102">
        <v>0</v>
      </c>
      <c r="N697" s="102">
        <v>0</v>
      </c>
      <c r="O697" s="102">
        <f>IF(L697&gt;0,N697*100/L697,0)</f>
        <v>0</v>
      </c>
      <c r="P697" s="102">
        <f>IF(M697&gt;0,N697*100/M697,0)</f>
        <v>0</v>
      </c>
      <c r="Q697" s="102">
        <v>0</v>
      </c>
      <c r="R697" s="102">
        <v>0</v>
      </c>
      <c r="S697" s="102">
        <v>0</v>
      </c>
      <c r="T697" s="102">
        <f>IF(Q697&gt;0,S697*100/Q697,0)</f>
        <v>0</v>
      </c>
      <c r="U697" s="102">
        <f>IF(R697&gt;0,S697*100/R697,0)</f>
        <v>0</v>
      </c>
    </row>
    <row r="698" spans="1:21" ht="18.75" hidden="1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256">
        <v>0</v>
      </c>
      <c r="M698" s="255">
        <v>0</v>
      </c>
      <c r="N698" s="255">
        <v>0</v>
      </c>
      <c r="O698" s="255">
        <f>IF(L698&gt;0,N698*100/L698,0)</f>
        <v>0</v>
      </c>
      <c r="P698" s="255">
        <f>IF(M698&gt;0,N698*100/M698,0)</f>
        <v>0</v>
      </c>
      <c r="Q698" s="255">
        <v>0</v>
      </c>
      <c r="R698" s="255">
        <v>0</v>
      </c>
      <c r="S698" s="255">
        <v>0</v>
      </c>
      <c r="T698" s="255">
        <f>IF(Q698&gt;0,S698*100/Q698,0)</f>
        <v>0</v>
      </c>
      <c r="U698" s="255">
        <f>IF(R698&gt;0,S698*100/R698,0)</f>
        <v>0</v>
      </c>
    </row>
    <row r="699" spans="1:21" ht="19.5">
      <c r="A699" s="166"/>
      <c r="B699" s="167"/>
      <c r="C699" s="205" t="s">
        <v>18</v>
      </c>
      <c r="D699" s="566" t="s">
        <v>38</v>
      </c>
      <c r="E699" s="169"/>
      <c r="F699" s="169"/>
      <c r="G699" s="169"/>
      <c r="H699" s="206"/>
      <c r="I699" s="163"/>
      <c r="J699" s="163"/>
      <c r="K699" s="164"/>
      <c r="L699" s="62"/>
      <c r="M699" s="55"/>
      <c r="N699" s="55"/>
      <c r="O699" s="55"/>
      <c r="P699" s="55"/>
      <c r="Q699" s="55"/>
      <c r="R699" s="55"/>
      <c r="S699" s="55"/>
      <c r="T699" s="55"/>
      <c r="U699" s="55"/>
    </row>
    <row r="700" spans="1:21" ht="18.75">
      <c r="A700" s="238"/>
      <c r="B700" s="188"/>
      <c r="C700" s="188"/>
      <c r="D700" s="174"/>
      <c r="E700" s="173" t="s">
        <v>257</v>
      </c>
      <c r="F700" s="174"/>
      <c r="G700" s="171"/>
      <c r="H700" s="165" t="s">
        <v>258</v>
      </c>
      <c r="I700" s="212">
        <f ca="1">IFERROR(__xludf.DUMMYFUNCTION("IMPORTRANGE(""https://docs.google.com/spreadsheets/d/1eHaY18a8A9IcSdp1K8H6x8fbOy06t2VsZHhMHf-1x7Y/edit?usp=sharing"",""แผน!LC32"")"),0)</f>
        <v>0</v>
      </c>
      <c r="J700" s="467">
        <v>0</v>
      </c>
      <c r="K700" s="565">
        <f ca="1">IF(I700&gt;0,J700*100/I700,0)</f>
        <v>0</v>
      </c>
      <c r="L700" s="172"/>
      <c r="M700" s="164"/>
      <c r="N700" s="55"/>
      <c r="O700" s="164"/>
      <c r="P700" s="164"/>
      <c r="Q700" s="164"/>
      <c r="R700" s="164"/>
      <c r="S700" s="55"/>
      <c r="T700" s="164"/>
      <c r="U700" s="164"/>
    </row>
    <row r="701" spans="1:21" ht="19.5">
      <c r="A701" s="238"/>
      <c r="B701" s="188"/>
      <c r="C701" s="188"/>
      <c r="D701" s="174"/>
      <c r="E701" s="476" t="s">
        <v>259</v>
      </c>
      <c r="F701" s="174"/>
      <c r="G701" s="171"/>
      <c r="H701" s="158" t="s">
        <v>35</v>
      </c>
      <c r="I701" s="373">
        <f ca="1">I703+I705</f>
        <v>44</v>
      </c>
      <c r="J701" s="373">
        <f ca="1">J703+J705</f>
        <v>0</v>
      </c>
      <c r="K701" s="540">
        <f ca="1">IF(I701&gt;0,J701*100/I701,0)</f>
        <v>0</v>
      </c>
      <c r="L701" s="172"/>
      <c r="M701" s="164"/>
      <c r="N701" s="164"/>
      <c r="O701" s="164"/>
      <c r="P701" s="164"/>
      <c r="Q701" s="164"/>
      <c r="R701" s="164"/>
      <c r="S701" s="164"/>
      <c r="T701" s="164"/>
      <c r="U701" s="164"/>
    </row>
    <row r="702" spans="1:21" ht="19.5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73">
        <v>0</v>
      </c>
      <c r="J702" s="373">
        <f ca="1">J704+J706</f>
        <v>0</v>
      </c>
      <c r="K702" s="540">
        <f>IF(I702&gt;0,J702*100/I702,0)</f>
        <v>0</v>
      </c>
      <c r="L702" s="172"/>
      <c r="M702" s="164"/>
      <c r="N702" s="164"/>
      <c r="O702" s="164"/>
      <c r="P702" s="164"/>
      <c r="Q702" s="164"/>
      <c r="R702" s="164"/>
      <c r="S702" s="164"/>
      <c r="T702" s="164"/>
      <c r="U702" s="164"/>
    </row>
    <row r="703" spans="1:21" ht="18.75">
      <c r="A703" s="238"/>
      <c r="B703" s="188"/>
      <c r="C703" s="188"/>
      <c r="D703" s="174"/>
      <c r="E703" s="174"/>
      <c r="F703" s="173" t="s">
        <v>260</v>
      </c>
      <c r="G703" s="171"/>
      <c r="H703" s="165" t="s">
        <v>35</v>
      </c>
      <c r="I703" s="212">
        <f ca="1">IFERROR(__xludf.DUMMYFUNCTION("IMPORTRANGE(""https://docs.google.com/spreadsheets/d/1eHaY18a8A9IcSdp1K8H6x8fbOy06t2VsZHhMHf-1x7Y/edit?usp=sharing"",""แผน!LJ32"")"),40)</f>
        <v>40</v>
      </c>
      <c r="J703" s="212">
        <f ca="1">IFERROR(__xludf.DUMMYFUNCTION("IMPORTRANGE(""https://docs.google.com/spreadsheets/d/1tdoBKaGub7dwA3U6UFTqxio9LNnvDCQjHKmttSEBsFQ/edit?usp=sharing"",""จัดที่ดิน!AP32"")"),0)</f>
        <v>0</v>
      </c>
      <c r="K703" s="255">
        <f ca="1">IF(I703&gt;0,J703*100/I703,0)</f>
        <v>0</v>
      </c>
      <c r="L703" s="172"/>
      <c r="M703" s="164"/>
      <c r="N703" s="164"/>
      <c r="O703" s="164"/>
      <c r="P703" s="164"/>
      <c r="Q703" s="164"/>
      <c r="R703" s="164"/>
      <c r="S703" s="164"/>
      <c r="T703" s="164"/>
      <c r="U703" s="164"/>
    </row>
    <row r="704" spans="1:21" ht="18.75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212">
        <f ca="1">IFERROR(__xludf.DUMMYFUNCTION("IMPORTRANGE(""https://docs.google.com/spreadsheets/d/1tdoBKaGub7dwA3U6UFTqxio9LNnvDCQjHKmttSEBsFQ/edit?usp=sharing"",""จัดที่ดิน!AQ32"")"),0)</f>
        <v>0</v>
      </c>
      <c r="K704" s="255">
        <f>IF(I704&gt;0,J704*100/I704,0)</f>
        <v>0</v>
      </c>
      <c r="L704" s="172"/>
      <c r="M704" s="164"/>
      <c r="N704" s="164"/>
      <c r="O704" s="164"/>
      <c r="P704" s="164"/>
      <c r="Q704" s="164"/>
      <c r="R704" s="164"/>
      <c r="S704" s="164"/>
      <c r="T704" s="164"/>
      <c r="U704" s="164"/>
    </row>
    <row r="705" spans="1:21" ht="18.75">
      <c r="A705" s="238"/>
      <c r="B705" s="188"/>
      <c r="C705" s="188"/>
      <c r="D705" s="174"/>
      <c r="E705" s="174"/>
      <c r="F705" s="173" t="s">
        <v>261</v>
      </c>
      <c r="G705" s="171"/>
      <c r="H705" s="165" t="s">
        <v>35</v>
      </c>
      <c r="I705" s="212">
        <f ca="1">IFERROR(__xludf.DUMMYFUNCTION("IMPORTRANGE(""https://docs.google.com/spreadsheets/d/1eHaY18a8A9IcSdp1K8H6x8fbOy06t2VsZHhMHf-1x7Y/edit?usp=sharing"",""แผน!LK32"")"),4)</f>
        <v>4</v>
      </c>
      <c r="J705" s="212">
        <f ca="1">IFERROR(__xludf.DUMMYFUNCTION("IMPORTRANGE(""https://docs.google.com/spreadsheets/d/1tdoBKaGub7dwA3U6UFTqxio9LNnvDCQjHKmttSEBsFQ/edit?usp=sharing"",""จัดที่ดิน!AR32"")"),0)</f>
        <v>0</v>
      </c>
      <c r="K705" s="565">
        <f ca="1">IF(I705&gt;0,J705*100/I705,0)</f>
        <v>0</v>
      </c>
      <c r="L705" s="172"/>
      <c r="M705" s="164"/>
      <c r="N705" s="164"/>
      <c r="O705" s="164"/>
      <c r="P705" s="164"/>
      <c r="Q705" s="164"/>
      <c r="R705" s="164"/>
      <c r="S705" s="164"/>
      <c r="T705" s="164"/>
      <c r="U705" s="164"/>
    </row>
    <row r="706" spans="1:21" ht="18.75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212">
        <f ca="1">IFERROR(__xludf.DUMMYFUNCTION("IMPORTRANGE(""https://docs.google.com/spreadsheets/d/1tdoBKaGub7dwA3U6UFTqxio9LNnvDCQjHKmttSEBsFQ/edit?usp=sharing"",""จัดที่ดิน!AS32"")"),0)</f>
        <v>0</v>
      </c>
      <c r="K706" s="255">
        <f>IF(I706&gt;0,J706*100/I706,0)</f>
        <v>0</v>
      </c>
      <c r="L706" s="172"/>
      <c r="M706" s="164"/>
      <c r="N706" s="164"/>
      <c r="O706" s="164"/>
      <c r="P706" s="164"/>
      <c r="Q706" s="164"/>
      <c r="R706" s="164"/>
      <c r="S706" s="164"/>
      <c r="T706" s="164"/>
      <c r="U706" s="164"/>
    </row>
    <row r="707" spans="1:21" ht="18.75">
      <c r="A707" s="238"/>
      <c r="B707" s="188"/>
      <c r="C707" s="188"/>
      <c r="D707" s="174"/>
      <c r="E707" s="173" t="s">
        <v>262</v>
      </c>
      <c r="F707" s="174"/>
      <c r="G707" s="171"/>
      <c r="H707" s="162" t="s">
        <v>35</v>
      </c>
      <c r="I707" s="212">
        <f ca="1">IFERROR(__xludf.DUMMYFUNCTION("IMPORTRANGE(""https://docs.google.com/spreadsheets/d/1eHaY18a8A9IcSdp1K8H6x8fbOy06t2VsZHhMHf-1x7Y/edit?usp=sharing"",""แผน!LJ32"")"),40)</f>
        <v>40</v>
      </c>
      <c r="J707" s="212">
        <f ca="1">IFERROR(__xludf.DUMMYFUNCTION("IMPORTRANGE(""https://docs.google.com/spreadsheets/d/1tdoBKaGub7dwA3U6UFTqxio9LNnvDCQjHKmttSEBsFQ/edit?usp=sharing"",""จัดที่ดิน!BN32"")"),0)</f>
        <v>0</v>
      </c>
      <c r="K707" s="255">
        <f ca="1">IF(I707&gt;0,J707*100/I707,0)</f>
        <v>0</v>
      </c>
      <c r="L707" s="172"/>
      <c r="M707" s="164"/>
      <c r="N707" s="164"/>
      <c r="O707" s="164"/>
      <c r="P707" s="164"/>
      <c r="Q707" s="164"/>
      <c r="R707" s="164"/>
      <c r="S707" s="164"/>
      <c r="T707" s="164"/>
      <c r="U707" s="164"/>
    </row>
    <row r="708" spans="1:21" ht="18.75">
      <c r="A708" s="238"/>
      <c r="B708" s="188"/>
      <c r="C708" s="188"/>
      <c r="D708" s="174"/>
      <c r="E708" s="477" t="s">
        <v>263</v>
      </c>
      <c r="F708" s="174"/>
      <c r="G708" s="171"/>
      <c r="H708" s="162" t="s">
        <v>46</v>
      </c>
      <c r="I708" s="212">
        <v>0</v>
      </c>
      <c r="J708" s="212">
        <f ca="1">IFERROR(__xludf.DUMMYFUNCTION("IMPORTRANGE(""https://docs.google.com/spreadsheets/d/1tdoBKaGub7dwA3U6UFTqxio9LNnvDCQjHKmttSEBsFQ/edit?usp=sharing"",""จัดที่ดิน!BO32"")"),0)</f>
        <v>0</v>
      </c>
      <c r="K708" s="255">
        <f>IF(I708&gt;0,J708*100/I708,0)</f>
        <v>0</v>
      </c>
      <c r="L708" s="172"/>
      <c r="M708" s="164"/>
      <c r="N708" s="164"/>
      <c r="O708" s="164"/>
      <c r="P708" s="164"/>
      <c r="Q708" s="164"/>
      <c r="R708" s="164"/>
      <c r="S708" s="164"/>
      <c r="T708" s="164"/>
      <c r="U708" s="164"/>
    </row>
    <row r="709" spans="1:21" ht="18.75">
      <c r="A709" s="238"/>
      <c r="B709" s="188"/>
      <c r="C709" s="188"/>
      <c r="D709" s="50"/>
      <c r="E709" s="58" t="s">
        <v>264</v>
      </c>
      <c r="F709" s="50"/>
      <c r="G709" s="52"/>
      <c r="H709" s="203" t="s">
        <v>35</v>
      </c>
      <c r="I709" s="212">
        <f ca="1">IFERROR(__xludf.DUMMYFUNCTION("IMPORTRANGE(""https://docs.google.com/spreadsheets/d/1eHaY18a8A9IcSdp1K8H6x8fbOy06t2VsZHhMHf-1x7Y/edit?usp=sharing"",""แผน!LK32"")"),4)</f>
        <v>4</v>
      </c>
      <c r="J709" s="212">
        <f ca="1">IFERROR(__xludf.DUMMYFUNCTION("IMPORTRANGE(""https://docs.google.com/spreadsheets/d/1tdoBKaGub7dwA3U6UFTqxio9LNnvDCQjHKmttSEBsFQ/edit?usp=sharing"",""จัดที่ดิน!BP32"")"),1)</f>
        <v>1</v>
      </c>
      <c r="K709" s="255">
        <f ca="1">IF(I709&gt;0,J709*100/I709,0)</f>
        <v>25</v>
      </c>
      <c r="L709" s="62"/>
      <c r="M709" s="55"/>
      <c r="N709" s="55"/>
      <c r="O709" s="55"/>
      <c r="P709" s="55"/>
      <c r="Q709" s="55"/>
      <c r="R709" s="55"/>
      <c r="S709" s="55"/>
      <c r="T709" s="55"/>
      <c r="U709" s="55"/>
    </row>
    <row r="710" spans="1:21" ht="18.75">
      <c r="A710" s="238"/>
      <c r="B710" s="188"/>
      <c r="C710" s="188"/>
      <c r="D710" s="50"/>
      <c r="E710" s="477" t="s">
        <v>265</v>
      </c>
      <c r="F710" s="50"/>
      <c r="G710" s="52"/>
      <c r="H710" s="203" t="s">
        <v>46</v>
      </c>
      <c r="I710" s="212">
        <v>0</v>
      </c>
      <c r="J710" s="212">
        <f ca="1">IFERROR(__xludf.DUMMYFUNCTION("IMPORTRANGE(""https://docs.google.com/spreadsheets/d/1tdoBKaGub7dwA3U6UFTqxio9LNnvDCQjHKmttSEBsFQ/edit?usp=sharing"",""จัดที่ดิน!BQ32"")"),0)</f>
        <v>0</v>
      </c>
      <c r="K710" s="255">
        <f>IF(I710&gt;0,J710*100/I710,0)</f>
        <v>0</v>
      </c>
      <c r="L710" s="62"/>
      <c r="M710" s="55"/>
      <c r="N710" s="55"/>
      <c r="O710" s="55"/>
      <c r="P710" s="55"/>
      <c r="Q710" s="55"/>
      <c r="R710" s="55"/>
      <c r="S710" s="55"/>
      <c r="T710" s="55"/>
      <c r="U710" s="55"/>
    </row>
    <row r="711" spans="1:21" ht="12.75" hidden="1">
      <c r="A711" s="407"/>
      <c r="B711" s="360"/>
      <c r="C711" s="360"/>
      <c r="D711" s="408"/>
      <c r="E711" s="408"/>
      <c r="F711" s="408"/>
      <c r="G711" s="409"/>
      <c r="H711" s="361"/>
      <c r="I711" s="362"/>
      <c r="J711" s="362"/>
      <c r="K711" s="363"/>
      <c r="L711" s="364"/>
      <c r="M711" s="363"/>
      <c r="N711" s="363"/>
      <c r="O711" s="363"/>
      <c r="P711" s="363"/>
      <c r="Q711" s="363"/>
      <c r="R711" s="363"/>
      <c r="S711" s="363"/>
      <c r="T711" s="363"/>
      <c r="U711" s="363"/>
    </row>
    <row r="712" spans="1:21" ht="19.5" hidden="1">
      <c r="A712" s="442"/>
      <c r="B712" s="478" t="s">
        <v>266</v>
      </c>
      <c r="C712" s="442"/>
      <c r="D712" s="444"/>
      <c r="E712" s="444"/>
      <c r="F712" s="444"/>
      <c r="G712" s="445"/>
      <c r="H712" s="479" t="s">
        <v>46</v>
      </c>
      <c r="I712" s="447"/>
      <c r="J712" s="447">
        <f>J724</f>
        <v>0</v>
      </c>
      <c r="K712" s="564">
        <f>IF(I712&gt;0,J712*100/I712,0)</f>
        <v>0</v>
      </c>
      <c r="L712" s="449"/>
      <c r="M712" s="448"/>
      <c r="N712" s="448"/>
      <c r="O712" s="448"/>
      <c r="P712" s="448"/>
      <c r="Q712" s="448"/>
      <c r="R712" s="448"/>
      <c r="S712" s="448"/>
      <c r="T712" s="448"/>
      <c r="U712" s="448"/>
    </row>
    <row r="713" spans="1:21" ht="19.5" hidden="1">
      <c r="A713" s="442"/>
      <c r="B713" s="478" t="s">
        <v>267</v>
      </c>
      <c r="C713" s="442"/>
      <c r="D713" s="444"/>
      <c r="E713" s="444"/>
      <c r="F713" s="444"/>
      <c r="G713" s="445"/>
      <c r="H713" s="446"/>
      <c r="I713" s="447"/>
      <c r="J713" s="447"/>
      <c r="K713" s="448"/>
      <c r="L713" s="449"/>
      <c r="M713" s="448"/>
      <c r="N713" s="448"/>
      <c r="O713" s="448"/>
      <c r="P713" s="448"/>
      <c r="Q713" s="448"/>
      <c r="R713" s="448"/>
      <c r="S713" s="448"/>
      <c r="T713" s="448"/>
      <c r="U713" s="448"/>
    </row>
    <row r="714" spans="1:21" ht="19.5" hidden="1">
      <c r="A714" s="155"/>
      <c r="B714" s="188"/>
      <c r="C714" s="358" t="s">
        <v>18</v>
      </c>
      <c r="D714" s="563" t="s">
        <v>19</v>
      </c>
      <c r="E714" s="529"/>
      <c r="F714" s="529"/>
      <c r="G714" s="530"/>
      <c r="H714" s="418" t="s">
        <v>14</v>
      </c>
      <c r="I714" s="54"/>
      <c r="J714" s="54"/>
      <c r="K714" s="55"/>
      <c r="L714" s="541">
        <f>L715+L716</f>
        <v>0</v>
      </c>
      <c r="M714" s="540">
        <f>M715+M716</f>
        <v>0</v>
      </c>
      <c r="N714" s="540">
        <f>N715+N716</f>
        <v>0</v>
      </c>
      <c r="O714" s="540">
        <f>IF(L714&gt;0,N714*100/L714,0)</f>
        <v>0</v>
      </c>
      <c r="P714" s="540">
        <f>IF(M714&gt;0,N714*100/M714,0)</f>
        <v>0</v>
      </c>
      <c r="Q714" s="540">
        <f>Q715+Q716</f>
        <v>0</v>
      </c>
      <c r="R714" s="540">
        <f>R715+R716</f>
        <v>0</v>
      </c>
      <c r="S714" s="540">
        <f>S715+S716</f>
        <v>0</v>
      </c>
      <c r="T714" s="540">
        <f>IF(Q714&gt;0,S714*100/Q714,0)</f>
        <v>0</v>
      </c>
      <c r="U714" s="540">
        <f>IF(R714&gt;0,S714*100/R714,0)</f>
        <v>0</v>
      </c>
    </row>
    <row r="715" spans="1:21" ht="18.75" hidden="1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103">
        <f>L718+L721</f>
        <v>0</v>
      </c>
      <c r="M715" s="102">
        <f>M718+M721</f>
        <v>0</v>
      </c>
      <c r="N715" s="102">
        <f>N718+N721</f>
        <v>0</v>
      </c>
      <c r="O715" s="102">
        <f>IF(L715&gt;0,N715*100/L715,0)</f>
        <v>0</v>
      </c>
      <c r="P715" s="102">
        <f>IF(M715&gt;0,N715*100/M715,0)</f>
        <v>0</v>
      </c>
      <c r="Q715" s="102">
        <f>Q718+Q721</f>
        <v>0</v>
      </c>
      <c r="R715" s="102">
        <f>R718+R721</f>
        <v>0</v>
      </c>
      <c r="S715" s="102">
        <f>S718+S721</f>
        <v>0</v>
      </c>
      <c r="T715" s="102">
        <f>IF(Q715&gt;0,S715*100/Q715,0)</f>
        <v>0</v>
      </c>
      <c r="U715" s="102">
        <f>IF(R715&gt;0,S715*100/R715,0)</f>
        <v>0</v>
      </c>
    </row>
    <row r="716" spans="1:21" ht="18.75" hidden="1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256">
        <f>L719+L722</f>
        <v>0</v>
      </c>
      <c r="M716" s="255">
        <f>M719+M722</f>
        <v>0</v>
      </c>
      <c r="N716" s="255">
        <f>N719+N722</f>
        <v>0</v>
      </c>
      <c r="O716" s="255">
        <f>IF(L716&gt;0,N716*100/L716,0)</f>
        <v>0</v>
      </c>
      <c r="P716" s="255">
        <f>IF(M716&gt;0,N716*100/M716,0)</f>
        <v>0</v>
      </c>
      <c r="Q716" s="255">
        <f>Q719+Q722</f>
        <v>0</v>
      </c>
      <c r="R716" s="255">
        <f>R719+R722</f>
        <v>0</v>
      </c>
      <c r="S716" s="255">
        <f>S719+S722</f>
        <v>0</v>
      </c>
      <c r="T716" s="255">
        <f>IF(Q716&gt;0,S716*100/Q716,0)</f>
        <v>0</v>
      </c>
      <c r="U716" s="255">
        <f>IF(R716&gt;0,S716*100/R716,0)</f>
        <v>0</v>
      </c>
    </row>
    <row r="717" spans="1:21" ht="19.5" hidden="1">
      <c r="A717" s="155"/>
      <c r="B717" s="188"/>
      <c r="C717" s="188"/>
      <c r="D717" s="562" t="s">
        <v>22</v>
      </c>
      <c r="E717" s="50"/>
      <c r="F717" s="50"/>
      <c r="G717" s="52"/>
      <c r="H717" s="418" t="s">
        <v>14</v>
      </c>
      <c r="I717" s="163"/>
      <c r="J717" s="163"/>
      <c r="K717" s="164"/>
      <c r="L717" s="256">
        <f>L718+L719</f>
        <v>0</v>
      </c>
      <c r="M717" s="255">
        <f>M718+M719</f>
        <v>0</v>
      </c>
      <c r="N717" s="255">
        <f>N718+N719</f>
        <v>0</v>
      </c>
      <c r="O717" s="255">
        <f>IF(L717&gt;0,N717*100/L717,0)</f>
        <v>0</v>
      </c>
      <c r="P717" s="255">
        <f>IF(M717&gt;0,N717*100/M717,0)</f>
        <v>0</v>
      </c>
      <c r="Q717" s="255">
        <f>Q718+Q719</f>
        <v>0</v>
      </c>
      <c r="R717" s="255">
        <f>R718+R719</f>
        <v>0</v>
      </c>
      <c r="S717" s="255">
        <f>S718+S719</f>
        <v>0</v>
      </c>
      <c r="T717" s="255">
        <f>IF(Q717&gt;0,S717*100/Q717,0)</f>
        <v>0</v>
      </c>
      <c r="U717" s="255">
        <f>IF(R717&gt;0,S717*100/R717,0)</f>
        <v>0</v>
      </c>
    </row>
    <row r="718" spans="1:21" ht="18.75" hidden="1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103">
        <v>0</v>
      </c>
      <c r="M718" s="102">
        <v>0</v>
      </c>
      <c r="N718" s="102">
        <v>0</v>
      </c>
      <c r="O718" s="102">
        <f>IF(L718&gt;0,N718*100/L718,0)</f>
        <v>0</v>
      </c>
      <c r="P718" s="102">
        <f>IF(M718&gt;0,N718*100/M718,0)</f>
        <v>0</v>
      </c>
      <c r="Q718" s="102">
        <v>0</v>
      </c>
      <c r="R718" s="102">
        <v>0</v>
      </c>
      <c r="S718" s="102">
        <v>0</v>
      </c>
      <c r="T718" s="102">
        <f>IF(Q718&gt;0,S718*100/Q718,0)</f>
        <v>0</v>
      </c>
      <c r="U718" s="102">
        <f>IF(R718&gt;0,S718*100/R718,0)</f>
        <v>0</v>
      </c>
    </row>
    <row r="719" spans="1:21" ht="18.75" hidden="1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256">
        <v>0</v>
      </c>
      <c r="M719" s="255">
        <v>0</v>
      </c>
      <c r="N719" s="255">
        <v>0</v>
      </c>
      <c r="O719" s="255">
        <f>IF(L719&gt;0,N719*100/L719,0)</f>
        <v>0</v>
      </c>
      <c r="P719" s="255">
        <f>IF(M719&gt;0,N719*100/M719,0)</f>
        <v>0</v>
      </c>
      <c r="Q719" s="255">
        <v>0</v>
      </c>
      <c r="R719" s="255">
        <v>0</v>
      </c>
      <c r="S719" s="255">
        <v>0</v>
      </c>
      <c r="T719" s="255">
        <f>IF(Q719&gt;0,S719*100/Q719,0)</f>
        <v>0</v>
      </c>
      <c r="U719" s="255">
        <f>IF(R719&gt;0,S719*100/R719,0)</f>
        <v>0</v>
      </c>
    </row>
    <row r="720" spans="1:21" ht="19.5" hidden="1">
      <c r="A720" s="155"/>
      <c r="B720" s="188"/>
      <c r="C720" s="188"/>
      <c r="D720" s="562" t="s">
        <v>23</v>
      </c>
      <c r="E720" s="50"/>
      <c r="F720" s="50"/>
      <c r="G720" s="52"/>
      <c r="H720" s="420" t="s">
        <v>14</v>
      </c>
      <c r="I720" s="163"/>
      <c r="J720" s="163"/>
      <c r="K720" s="164"/>
      <c r="L720" s="256">
        <f>L721+L722</f>
        <v>0</v>
      </c>
      <c r="M720" s="255">
        <f>M721+M722</f>
        <v>0</v>
      </c>
      <c r="N720" s="255">
        <f>N721+N722</f>
        <v>0</v>
      </c>
      <c r="O720" s="255">
        <f>IF(L720&gt;0,N720*100/L720,0)</f>
        <v>0</v>
      </c>
      <c r="P720" s="255">
        <f>IF(M720&gt;0,N720*100/M720,0)</f>
        <v>0</v>
      </c>
      <c r="Q720" s="255">
        <f>Q721+Q722</f>
        <v>0</v>
      </c>
      <c r="R720" s="255">
        <f>R721+R722</f>
        <v>0</v>
      </c>
      <c r="S720" s="255">
        <f>S721+S722</f>
        <v>0</v>
      </c>
      <c r="T720" s="255">
        <f>IF(Q720&gt;0,S720*100/Q720,0)</f>
        <v>0</v>
      </c>
      <c r="U720" s="255">
        <f>IF(R720&gt;0,S720*100/R720,0)</f>
        <v>0</v>
      </c>
    </row>
    <row r="721" spans="1:21" ht="18.75" hidden="1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103">
        <v>0</v>
      </c>
      <c r="M721" s="102">
        <v>0</v>
      </c>
      <c r="N721" s="102">
        <v>0</v>
      </c>
      <c r="O721" s="102">
        <f>IF(L721&gt;0,N721*100/L721,0)</f>
        <v>0</v>
      </c>
      <c r="P721" s="102">
        <f>IF(M721&gt;0,N721*100/M721,0)</f>
        <v>0</v>
      </c>
      <c r="Q721" s="102">
        <v>0</v>
      </c>
      <c r="R721" s="102">
        <v>0</v>
      </c>
      <c r="S721" s="102">
        <v>0</v>
      </c>
      <c r="T721" s="102">
        <f>IF(Q721&gt;0,S721*100/Q721,0)</f>
        <v>0</v>
      </c>
      <c r="U721" s="102">
        <f>IF(R721&gt;0,S721*100/R721,0)</f>
        <v>0</v>
      </c>
    </row>
    <row r="722" spans="1:21" ht="18.75" hidden="1">
      <c r="A722" s="155"/>
      <c r="B722" s="188"/>
      <c r="C722" s="188"/>
      <c r="D722" s="50"/>
      <c r="E722" s="186" t="s">
        <v>21</v>
      </c>
      <c r="F722" s="50"/>
      <c r="G722" s="52"/>
      <c r="H722" s="421" t="s">
        <v>14</v>
      </c>
      <c r="I722" s="163"/>
      <c r="J722" s="163"/>
      <c r="K722" s="164"/>
      <c r="L722" s="256">
        <v>0</v>
      </c>
      <c r="M722" s="255">
        <v>0</v>
      </c>
      <c r="N722" s="255">
        <v>0</v>
      </c>
      <c r="O722" s="255">
        <f>IF(L722&gt;0,N722*100/L722,0)</f>
        <v>0</v>
      </c>
      <c r="P722" s="255">
        <f>IF(M722&gt;0,N722*100/M722,0)</f>
        <v>0</v>
      </c>
      <c r="Q722" s="255">
        <v>0</v>
      </c>
      <c r="R722" s="255">
        <v>0</v>
      </c>
      <c r="S722" s="255">
        <v>0</v>
      </c>
      <c r="T722" s="255">
        <f>IF(Q722&gt;0,S722*100/Q722,0)</f>
        <v>0</v>
      </c>
      <c r="U722" s="255">
        <f>IF(R722&gt;0,S722*100/R722,0)</f>
        <v>0</v>
      </c>
    </row>
    <row r="723" spans="1:21" ht="19.5" hidden="1">
      <c r="A723" s="166"/>
      <c r="B723" s="167"/>
      <c r="C723" s="358" t="s">
        <v>18</v>
      </c>
      <c r="D723" s="561" t="s">
        <v>38</v>
      </c>
      <c r="E723" s="169"/>
      <c r="F723" s="169"/>
      <c r="G723" s="170"/>
      <c r="H723" s="206"/>
      <c r="I723" s="163"/>
      <c r="J723" s="163"/>
      <c r="K723" s="164"/>
      <c r="L723" s="172"/>
      <c r="M723" s="164"/>
      <c r="N723" s="164"/>
      <c r="O723" s="164"/>
      <c r="P723" s="164"/>
      <c r="Q723" s="164"/>
      <c r="R723" s="164"/>
      <c r="S723" s="164"/>
      <c r="T723" s="164"/>
      <c r="U723" s="164"/>
    </row>
    <row r="724" spans="1:21" ht="18.75" hidden="1">
      <c r="A724" s="238"/>
      <c r="B724" s="188"/>
      <c r="C724" s="188"/>
      <c r="D724" s="50"/>
      <c r="E724" s="186" t="s">
        <v>268</v>
      </c>
      <c r="F724" s="50"/>
      <c r="G724" s="52"/>
      <c r="H724" s="189" t="s">
        <v>46</v>
      </c>
      <c r="I724" s="483">
        <v>0</v>
      </c>
      <c r="J724" s="54"/>
      <c r="K724" s="55"/>
      <c r="L724" s="62"/>
      <c r="M724" s="55"/>
      <c r="N724" s="55"/>
      <c r="O724" s="55"/>
      <c r="P724" s="55"/>
      <c r="Q724" s="55"/>
      <c r="R724" s="55"/>
      <c r="S724" s="55"/>
      <c r="T724" s="55"/>
      <c r="U724" s="55"/>
    </row>
    <row r="725" spans="1:21" ht="18.75" hidden="1">
      <c r="A725" s="374"/>
      <c r="B725" s="5"/>
      <c r="C725" s="5"/>
      <c r="D725" s="4"/>
      <c r="E725" s="484" t="s">
        <v>269</v>
      </c>
      <c r="F725" s="4"/>
      <c r="G725" s="65"/>
      <c r="H725" s="485" t="s">
        <v>46</v>
      </c>
      <c r="I725" s="486">
        <v>0</v>
      </c>
      <c r="J725" s="67"/>
      <c r="K725" s="6"/>
      <c r="L725" s="68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>
      <c r="A726" s="442"/>
      <c r="B726" s="443" t="s">
        <v>270</v>
      </c>
      <c r="C726" s="442"/>
      <c r="D726" s="444"/>
      <c r="E726" s="444"/>
      <c r="F726" s="444"/>
      <c r="G726" s="445"/>
      <c r="H726" s="473" t="s">
        <v>35</v>
      </c>
      <c r="I726" s="544">
        <f ca="1">IFERROR(__xludf.DUMMYFUNCTION("IMPORTRANGE(""https://docs.google.com/spreadsheets/d/1eHaY18a8A9IcSdp1K8H6x8fbOy06t2VsZHhMHf-1x7Y/edit?usp=sharing"",""แผน!GA32"")"),128)</f>
        <v>128</v>
      </c>
      <c r="J726" s="544">
        <f>J742+J746+J749</f>
        <v>125</v>
      </c>
      <c r="K726" s="543">
        <f ca="1">IF(I726&gt;0,J726*100/I726,0)</f>
        <v>97.65625</v>
      </c>
      <c r="L726" s="449"/>
      <c r="M726" s="448"/>
      <c r="N726" s="448"/>
      <c r="O726" s="448"/>
      <c r="P726" s="448"/>
      <c r="Q726" s="448"/>
      <c r="R726" s="448"/>
      <c r="S726" s="448"/>
      <c r="T726" s="448"/>
      <c r="U726" s="448"/>
    </row>
    <row r="727" spans="1:21" ht="19.5">
      <c r="A727" s="487"/>
      <c r="B727" s="442"/>
      <c r="C727" s="442"/>
      <c r="D727" s="444"/>
      <c r="E727" s="444"/>
      <c r="F727" s="444"/>
      <c r="G727" s="445"/>
      <c r="H727" s="473" t="s">
        <v>46</v>
      </c>
      <c r="I727" s="544">
        <f ca="1">IFERROR(__xludf.DUMMYFUNCTION("IMPORTRANGE(""https://docs.google.com/spreadsheets/d/1eHaY18a8A9IcSdp1K8H6x8fbOy06t2VsZHhMHf-1x7Y/edit?usp=sharing"",""แผน!FZ32"")"),1250)</f>
        <v>1250</v>
      </c>
      <c r="J727" s="544">
        <f>J752+J755</f>
        <v>0</v>
      </c>
      <c r="K727" s="543">
        <f ca="1">IF(I727&gt;0,J727*100/I727,0)</f>
        <v>0</v>
      </c>
      <c r="L727" s="449"/>
      <c r="M727" s="448"/>
      <c r="N727" s="448"/>
      <c r="O727" s="448"/>
      <c r="P727" s="448"/>
      <c r="Q727" s="448"/>
      <c r="R727" s="448"/>
      <c r="S727" s="448"/>
      <c r="T727" s="448"/>
      <c r="U727" s="448"/>
    </row>
    <row r="728" spans="1:21" ht="19.5">
      <c r="A728" s="155"/>
      <c r="B728" s="188"/>
      <c r="C728" s="205" t="s">
        <v>18</v>
      </c>
      <c r="D728" s="542" t="s">
        <v>19</v>
      </c>
      <c r="E728" s="529"/>
      <c r="F728" s="529"/>
      <c r="G728" s="530"/>
      <c r="H728" s="252" t="s">
        <v>14</v>
      </c>
      <c r="I728" s="54"/>
      <c r="J728" s="54"/>
      <c r="K728" s="55"/>
      <c r="L728" s="541">
        <f>L729+L730</f>
        <v>0</v>
      </c>
      <c r="M728" s="540">
        <f>M729+M730</f>
        <v>0</v>
      </c>
      <c r="N728" s="540">
        <f>N729+N730</f>
        <v>0</v>
      </c>
      <c r="O728" s="540">
        <f>IF(L728&gt;0,N728*100/L728,0)</f>
        <v>0</v>
      </c>
      <c r="P728" s="540">
        <f>IF(M728&gt;0,N728*100/M728,0)</f>
        <v>0</v>
      </c>
      <c r="Q728" s="540">
        <f ca="1">Q729+Q730</f>
        <v>1008470</v>
      </c>
      <c r="R728" s="540">
        <f ca="1">R729+R730</f>
        <v>1008470</v>
      </c>
      <c r="S728" s="540">
        <f ca="1">S729+S730</f>
        <v>91735.15</v>
      </c>
      <c r="T728" s="540">
        <f ca="1">IF(Q728&gt;0,S728*100/Q728,0)</f>
        <v>9.0964679167451692</v>
      </c>
      <c r="U728" s="540">
        <f ca="1">IF(R728&gt;0,S728*100/R728,0)</f>
        <v>9.0964679167451692</v>
      </c>
    </row>
    <row r="729" spans="1:21" ht="18.75" hidden="1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103">
        <f>L732+L735</f>
        <v>0</v>
      </c>
      <c r="M729" s="102">
        <f>M732+M735</f>
        <v>0</v>
      </c>
      <c r="N729" s="102">
        <f>N732+N735</f>
        <v>0</v>
      </c>
      <c r="O729" s="102">
        <f>IF(L729&gt;0,N729*100/L729,0)</f>
        <v>0</v>
      </c>
      <c r="P729" s="102">
        <f>IF(M729&gt;0,N729*100/M729,0)</f>
        <v>0</v>
      </c>
      <c r="Q729" s="102">
        <f>Q732+Q735</f>
        <v>0</v>
      </c>
      <c r="R729" s="102">
        <f>R732+R735</f>
        <v>0</v>
      </c>
      <c r="S729" s="102">
        <f>S732+S735</f>
        <v>0</v>
      </c>
      <c r="T729" s="102">
        <f>IF(Q729&gt;0,S729*100/Q729,0)</f>
        <v>0</v>
      </c>
      <c r="U729" s="102">
        <f>IF(R729&gt;0,S729*100/R729,0)</f>
        <v>0</v>
      </c>
    </row>
    <row r="730" spans="1:21" ht="18.75" hidden="1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256">
        <f>L733+L736</f>
        <v>0</v>
      </c>
      <c r="M730" s="255">
        <f>M733+M736</f>
        <v>0</v>
      </c>
      <c r="N730" s="255">
        <f>N733+N736</f>
        <v>0</v>
      </c>
      <c r="O730" s="255">
        <f>IF(L730&gt;0,N730*100/L730,0)</f>
        <v>0</v>
      </c>
      <c r="P730" s="255">
        <f>IF(M730&gt;0,N730*100/M730,0)</f>
        <v>0</v>
      </c>
      <c r="Q730" s="255">
        <f ca="1">Q733+Q736</f>
        <v>1008470</v>
      </c>
      <c r="R730" s="255">
        <f ca="1">R733+R736</f>
        <v>1008470</v>
      </c>
      <c r="S730" s="255">
        <f ca="1">S733+S736</f>
        <v>91735.15</v>
      </c>
      <c r="T730" s="255">
        <f ca="1">IF(Q730&gt;0,S730*100/Q730,0)</f>
        <v>9.0964679167451692</v>
      </c>
      <c r="U730" s="255">
        <f ca="1">IF(R730&gt;0,S730*100/R730,0)</f>
        <v>9.0964679167451692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256">
        <f>L732+L733</f>
        <v>0</v>
      </c>
      <c r="M731" s="255">
        <f>M732+M733</f>
        <v>0</v>
      </c>
      <c r="N731" s="255">
        <f>N732+N733</f>
        <v>0</v>
      </c>
      <c r="O731" s="255">
        <f>IF(L731&gt;0,N731*100/L731,0)</f>
        <v>0</v>
      </c>
      <c r="P731" s="255">
        <f>IF(M731&gt;0,N731*100/M731,0)</f>
        <v>0</v>
      </c>
      <c r="Q731" s="255">
        <f ca="1">Q732+Q733</f>
        <v>1008470</v>
      </c>
      <c r="R731" s="255">
        <f ca="1">R732+R733</f>
        <v>1008470</v>
      </c>
      <c r="S731" s="255">
        <f ca="1">S732+S733</f>
        <v>91735.15</v>
      </c>
      <c r="T731" s="255">
        <f ca="1">IF(Q731&gt;0,S731*100/Q731,0)</f>
        <v>9.0964679167451692</v>
      </c>
      <c r="U731" s="255">
        <f ca="1">IF(R731&gt;0,S731*100/R731,0)</f>
        <v>9.0964679167451692</v>
      </c>
    </row>
    <row r="732" spans="1:21" ht="18.75" hidden="1">
      <c r="A732" s="155"/>
      <c r="B732" s="188"/>
      <c r="C732" s="188"/>
      <c r="D732" s="174"/>
      <c r="E732" s="186" t="s">
        <v>159</v>
      </c>
      <c r="F732" s="50"/>
      <c r="G732" s="52"/>
      <c r="H732" s="189" t="s">
        <v>14</v>
      </c>
      <c r="I732" s="54"/>
      <c r="J732" s="54"/>
      <c r="K732" s="55"/>
      <c r="L732" s="103">
        <v>0</v>
      </c>
      <c r="M732" s="102">
        <v>0</v>
      </c>
      <c r="N732" s="102">
        <v>0</v>
      </c>
      <c r="O732" s="102">
        <f>IF(L732&gt;0,N732*100/L732,0)</f>
        <v>0</v>
      </c>
      <c r="P732" s="102">
        <f>IF(M732&gt;0,N732*100/M732,0)</f>
        <v>0</v>
      </c>
      <c r="Q732" s="102">
        <v>0</v>
      </c>
      <c r="R732" s="102">
        <v>0</v>
      </c>
      <c r="S732" s="102">
        <v>0</v>
      </c>
      <c r="T732" s="102">
        <f>IF(Q732&gt;0,S732*100/Q732,0)</f>
        <v>0</v>
      </c>
      <c r="U732" s="102">
        <f>IF(R732&gt;0,S732*100/R732,0)</f>
        <v>0</v>
      </c>
    </row>
    <row r="733" spans="1:21" ht="18.75" hidden="1">
      <c r="A733" s="155"/>
      <c r="B733" s="188"/>
      <c r="C733" s="188"/>
      <c r="D733" s="174"/>
      <c r="E733" s="58" t="s">
        <v>160</v>
      </c>
      <c r="F733" s="50"/>
      <c r="G733" s="52"/>
      <c r="H733" s="162" t="s">
        <v>14</v>
      </c>
      <c r="I733" s="54"/>
      <c r="J733" s="54"/>
      <c r="K733" s="55"/>
      <c r="L733" s="256">
        <v>0</v>
      </c>
      <c r="M733" s="255">
        <v>0</v>
      </c>
      <c r="N733" s="255">
        <v>0</v>
      </c>
      <c r="O733" s="255">
        <f>IF(L733&gt;0,N733*100/L733,0)</f>
        <v>0</v>
      </c>
      <c r="P733" s="255">
        <f>IF(M733&gt;0,N733*100/M733,0)</f>
        <v>0</v>
      </c>
      <c r="Q733" s="255">
        <f ca="1">IFERROR(__xludf.DUMMYFUNCTION("IMPORTRANGE(""https://docs.google.com/spreadsheets/d/1ItG2mGa2ceCfYo0BwxsXqNm01IGEUdYcSSLTEv9YCik/edit?usp=sharing"",""เบิกจ่ายกองทุน!O32"")"),1008470)</f>
        <v>1008470</v>
      </c>
      <c r="R733" s="255">
        <f ca="1">IFERROR(__xludf.DUMMYFUNCTION("IMPORTRANGE(""https://docs.google.com/spreadsheets/d/1ItG2mGa2ceCfYo0BwxsXqNm01IGEUdYcSSLTEv9YCik/edit?usp=sharing"",""เบิกจ่ายกองทุน!P32"")"),1008470)</f>
        <v>1008470</v>
      </c>
      <c r="S733" s="255">
        <f ca="1">IFERROR(__xludf.DUMMYFUNCTION("IMPORTRANGE(""https://docs.google.com/spreadsheets/d/1ItG2mGa2ceCfYo0BwxsXqNm01IGEUdYcSSLTEv9YCik/edit?usp=sharing"",""เบิกจ่ายกองทุน!Q32"")"),91735.15)</f>
        <v>91735.15</v>
      </c>
      <c r="T733" s="255">
        <f ca="1">IF(Q733&gt;0,S733*100/Q733,0)</f>
        <v>9.0964679167451692</v>
      </c>
      <c r="U733" s="255">
        <f ca="1">IF(R733&gt;0,S733*100/R733,0)</f>
        <v>9.0964679167451692</v>
      </c>
    </row>
    <row r="734" spans="1:21" ht="18.75">
      <c r="A734" s="155"/>
      <c r="B734" s="188"/>
      <c r="C734" s="188"/>
      <c r="D734" s="51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256">
        <f>L735+L736</f>
        <v>0</v>
      </c>
      <c r="M734" s="255">
        <f>M735+M736</f>
        <v>0</v>
      </c>
      <c r="N734" s="255">
        <f>N735+N736</f>
        <v>0</v>
      </c>
      <c r="O734" s="255">
        <f>IF(L734&gt;0,N734*100/L734,0)</f>
        <v>0</v>
      </c>
      <c r="P734" s="255">
        <f>IF(M734&gt;0,N734*100/M734,0)</f>
        <v>0</v>
      </c>
      <c r="Q734" s="255">
        <f>Q735+Q736</f>
        <v>0</v>
      </c>
      <c r="R734" s="255">
        <f>R735+R736</f>
        <v>0</v>
      </c>
      <c r="S734" s="255">
        <f>S735+S736</f>
        <v>0</v>
      </c>
      <c r="T734" s="255">
        <f>IF(Q734&gt;0,S734*100/Q734,0)</f>
        <v>0</v>
      </c>
      <c r="U734" s="255">
        <f>IF(R734&gt;0,S734*100/R734,0)</f>
        <v>0</v>
      </c>
    </row>
    <row r="735" spans="1:21" ht="18.75" hidden="1">
      <c r="A735" s="155"/>
      <c r="B735" s="188"/>
      <c r="C735" s="188"/>
      <c r="D735" s="188"/>
      <c r="E735" s="358" t="s">
        <v>20</v>
      </c>
      <c r="F735" s="188"/>
      <c r="G735" s="52"/>
      <c r="H735" s="189" t="s">
        <v>14</v>
      </c>
      <c r="I735" s="163"/>
      <c r="J735" s="163"/>
      <c r="K735" s="164"/>
      <c r="L735" s="103">
        <v>0</v>
      </c>
      <c r="M735" s="102">
        <v>0</v>
      </c>
      <c r="N735" s="102">
        <v>0</v>
      </c>
      <c r="O735" s="102">
        <f>IF(L735&gt;0,N735*100/L735,0)</f>
        <v>0</v>
      </c>
      <c r="P735" s="102">
        <f>IF(M735&gt;0,N735*100/M735,0)</f>
        <v>0</v>
      </c>
      <c r="Q735" s="102">
        <v>0</v>
      </c>
      <c r="R735" s="102">
        <v>0</v>
      </c>
      <c r="S735" s="102">
        <v>0</v>
      </c>
      <c r="T735" s="102">
        <f>IF(Q735&gt;0,S735*100/Q735,0)</f>
        <v>0</v>
      </c>
      <c r="U735" s="102">
        <f>IF(R735&gt;0,S735*100/R735,0)</f>
        <v>0</v>
      </c>
    </row>
    <row r="736" spans="1:21" ht="18.75" hidden="1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256">
        <v>0</v>
      </c>
      <c r="M736" s="255">
        <v>0</v>
      </c>
      <c r="N736" s="255">
        <v>0</v>
      </c>
      <c r="O736" s="255">
        <f>IF(L736&gt;0,N736*100/L736,0)</f>
        <v>0</v>
      </c>
      <c r="P736" s="255">
        <f>IF(M736&gt;0,N736*100/M736,0)</f>
        <v>0</v>
      </c>
      <c r="Q736" s="255">
        <v>0</v>
      </c>
      <c r="R736" s="255">
        <v>0</v>
      </c>
      <c r="S736" s="255">
        <v>0</v>
      </c>
      <c r="T736" s="255">
        <f>IF(Q736&gt;0,S736*100/Q736,0)</f>
        <v>0</v>
      </c>
      <c r="U736" s="255">
        <f>IF(R736&gt;0,S736*100/R736,0)</f>
        <v>0</v>
      </c>
    </row>
    <row r="737" spans="1:21" ht="19.5">
      <c r="A737" s="166"/>
      <c r="B737" s="167"/>
      <c r="C737" s="205" t="s">
        <v>18</v>
      </c>
      <c r="D737" s="560" t="s">
        <v>38</v>
      </c>
      <c r="E737" s="232"/>
      <c r="F737" s="169"/>
      <c r="G737" s="170"/>
      <c r="H737" s="206"/>
      <c r="I737" s="54"/>
      <c r="J737" s="54"/>
      <c r="K737" s="55"/>
      <c r="L737" s="62"/>
      <c r="M737" s="55"/>
      <c r="N737" s="55"/>
      <c r="O737" s="55"/>
      <c r="P737" s="55"/>
      <c r="Q737" s="55"/>
      <c r="R737" s="55"/>
      <c r="S737" s="55"/>
      <c r="T737" s="55"/>
      <c r="U737" s="55"/>
    </row>
    <row r="738" spans="1:21" ht="19.5">
      <c r="A738" s="166"/>
      <c r="B738" s="167"/>
      <c r="C738" s="167"/>
      <c r="D738" s="488" t="s">
        <v>121</v>
      </c>
      <c r="E738" s="167"/>
      <c r="F738" s="167"/>
      <c r="G738" s="171"/>
      <c r="H738" s="208"/>
      <c r="I738" s="54"/>
      <c r="J738" s="54"/>
      <c r="K738" s="55"/>
      <c r="L738" s="62"/>
      <c r="M738" s="55"/>
      <c r="N738" s="55"/>
      <c r="O738" s="55"/>
      <c r="P738" s="55"/>
      <c r="Q738" s="55"/>
      <c r="R738" s="55"/>
      <c r="S738" s="55"/>
      <c r="T738" s="55"/>
      <c r="U738" s="55"/>
    </row>
    <row r="739" spans="1:21" ht="18.75">
      <c r="A739" s="166"/>
      <c r="B739" s="167"/>
      <c r="C739" s="167"/>
      <c r="D739" s="167"/>
      <c r="E739" s="460" t="s">
        <v>271</v>
      </c>
      <c r="F739" s="167"/>
      <c r="G739" s="171"/>
      <c r="H739" s="208"/>
      <c r="I739" s="54"/>
      <c r="J739" s="54"/>
      <c r="K739" s="55"/>
      <c r="L739" s="62"/>
      <c r="M739" s="55"/>
      <c r="N739" s="55"/>
      <c r="O739" s="55"/>
      <c r="P739" s="55"/>
      <c r="Q739" s="55"/>
      <c r="R739" s="55"/>
      <c r="S739" s="55"/>
      <c r="T739" s="55"/>
      <c r="U739" s="55"/>
    </row>
    <row r="740" spans="1:21" ht="18.75">
      <c r="A740" s="554"/>
      <c r="B740" s="553"/>
      <c r="C740" s="553"/>
      <c r="D740" s="553"/>
      <c r="E740" s="553"/>
      <c r="F740" s="558" t="s">
        <v>272</v>
      </c>
      <c r="G740" s="550"/>
      <c r="H740" s="549" t="s">
        <v>46</v>
      </c>
      <c r="I740" s="556">
        <f ca="1">IFERROR(__xludf.DUMMYFUNCTION("IMPORTRANGE(""https://docs.google.com/spreadsheets/d/1eHaY18a8A9IcSdp1K8H6x8fbOy06t2VsZHhMHf-1x7Y/edit?usp=sharing"",""แผน!GB32"")"),1000)</f>
        <v>1000</v>
      </c>
      <c r="J740" s="547">
        <v>1000</v>
      </c>
      <c r="K740" s="555">
        <f ca="1">IF(I740&gt;0,J740*100/I740,0)</f>
        <v>100</v>
      </c>
      <c r="L740" s="546"/>
      <c r="M740" s="545"/>
      <c r="N740" s="545"/>
      <c r="O740" s="545"/>
      <c r="P740" s="545"/>
      <c r="Q740" s="545"/>
      <c r="R740" s="545"/>
      <c r="S740" s="545"/>
      <c r="T740" s="545"/>
      <c r="U740" s="545"/>
    </row>
    <row r="741" spans="1:21" ht="18.75">
      <c r="A741" s="554"/>
      <c r="B741" s="553"/>
      <c r="C741" s="553"/>
      <c r="D741" s="553"/>
      <c r="E741" s="553"/>
      <c r="F741" s="558" t="s">
        <v>307</v>
      </c>
      <c r="G741" s="550"/>
      <c r="H741" s="549" t="s">
        <v>35</v>
      </c>
      <c r="I741" s="548"/>
      <c r="J741" s="547">
        <v>100</v>
      </c>
      <c r="K741" s="545"/>
      <c r="L741" s="546"/>
      <c r="M741" s="545"/>
      <c r="N741" s="545"/>
      <c r="O741" s="545"/>
      <c r="P741" s="545"/>
      <c r="Q741" s="545"/>
      <c r="R741" s="545"/>
      <c r="S741" s="545"/>
      <c r="T741" s="545"/>
      <c r="U741" s="545"/>
    </row>
    <row r="742" spans="1:21" ht="18.75">
      <c r="A742" s="554"/>
      <c r="B742" s="553"/>
      <c r="C742" s="553"/>
      <c r="D742" s="553"/>
      <c r="E742" s="553"/>
      <c r="F742" s="558" t="s">
        <v>306</v>
      </c>
      <c r="G742" s="550"/>
      <c r="H742" s="549" t="s">
        <v>35</v>
      </c>
      <c r="I742" s="556">
        <f ca="1">IFERROR(__xludf.DUMMYFUNCTION("IMPORTRANGE(""https://docs.google.com/spreadsheets/d/1eHaY18a8A9IcSdp1K8H6x8fbOy06t2VsZHhMHf-1x7Y/edit?usp=sharing"",""แผน!GC32"")"),100)</f>
        <v>100</v>
      </c>
      <c r="J742" s="547">
        <v>100</v>
      </c>
      <c r="K742" s="555">
        <f ca="1">IF(I742&gt;0,J742*100/I742,0)</f>
        <v>100</v>
      </c>
      <c r="L742" s="546"/>
      <c r="M742" s="545"/>
      <c r="N742" s="545"/>
      <c r="O742" s="545"/>
      <c r="P742" s="545"/>
      <c r="Q742" s="545"/>
      <c r="R742" s="545"/>
      <c r="S742" s="545"/>
      <c r="T742" s="545"/>
      <c r="U742" s="545"/>
    </row>
    <row r="743" spans="1:21" ht="18.75">
      <c r="A743" s="554"/>
      <c r="B743" s="553"/>
      <c r="C743" s="553"/>
      <c r="D743" s="553"/>
      <c r="E743" s="558" t="s">
        <v>275</v>
      </c>
      <c r="F743" s="553"/>
      <c r="G743" s="550"/>
      <c r="H743" s="557"/>
      <c r="I743" s="548"/>
      <c r="J743" s="548"/>
      <c r="K743" s="545"/>
      <c r="L743" s="546"/>
      <c r="M743" s="545"/>
      <c r="N743" s="545"/>
      <c r="O743" s="545"/>
      <c r="P743" s="545"/>
      <c r="Q743" s="545"/>
      <c r="R743" s="545"/>
      <c r="S743" s="545"/>
      <c r="T743" s="545"/>
      <c r="U743" s="545"/>
    </row>
    <row r="744" spans="1:21" ht="18.75">
      <c r="A744" s="554"/>
      <c r="B744" s="553"/>
      <c r="C744" s="553"/>
      <c r="D744" s="553"/>
      <c r="E744" s="553"/>
      <c r="F744" s="558" t="s">
        <v>272</v>
      </c>
      <c r="G744" s="550"/>
      <c r="H744" s="549" t="s">
        <v>46</v>
      </c>
      <c r="I744" s="556">
        <f ca="1">IFERROR(__xludf.DUMMYFUNCTION("IMPORTRANGE(""https://docs.google.com/spreadsheets/d/1eHaY18a8A9IcSdp1K8H6x8fbOy06t2VsZHhMHf-1x7Y/edit?usp=sharing"",""แผน!GD32"")"),250)</f>
        <v>250</v>
      </c>
      <c r="J744" s="547">
        <v>250</v>
      </c>
      <c r="K744" s="555">
        <f ca="1">IF(I744&gt;0,J744*100/I744,0)</f>
        <v>100</v>
      </c>
      <c r="L744" s="546"/>
      <c r="M744" s="545"/>
      <c r="N744" s="545"/>
      <c r="O744" s="545"/>
      <c r="P744" s="545"/>
      <c r="Q744" s="545"/>
      <c r="R744" s="545"/>
      <c r="S744" s="545"/>
      <c r="T744" s="545"/>
      <c r="U744" s="545"/>
    </row>
    <row r="745" spans="1:21" ht="18.75">
      <c r="A745" s="554"/>
      <c r="B745" s="553"/>
      <c r="C745" s="553"/>
      <c r="D745" s="553"/>
      <c r="E745" s="553"/>
      <c r="F745" s="558" t="s">
        <v>305</v>
      </c>
      <c r="G745" s="550"/>
      <c r="H745" s="549" t="s">
        <v>35</v>
      </c>
      <c r="I745" s="548"/>
      <c r="J745" s="547">
        <v>25</v>
      </c>
      <c r="K745" s="545"/>
      <c r="L745" s="546"/>
      <c r="M745" s="545"/>
      <c r="N745" s="545"/>
      <c r="O745" s="545"/>
      <c r="P745" s="545"/>
      <c r="Q745" s="545"/>
      <c r="R745" s="545"/>
      <c r="S745" s="545"/>
      <c r="T745" s="545"/>
      <c r="U745" s="545"/>
    </row>
    <row r="746" spans="1:21" ht="18.75">
      <c r="A746" s="554"/>
      <c r="B746" s="553"/>
      <c r="C746" s="553"/>
      <c r="D746" s="553"/>
      <c r="E746" s="553"/>
      <c r="F746" s="558" t="s">
        <v>304</v>
      </c>
      <c r="G746" s="550"/>
      <c r="H746" s="549" t="s">
        <v>35</v>
      </c>
      <c r="I746" s="556">
        <f ca="1">IFERROR(__xludf.DUMMYFUNCTION("IMPORTRANGE(""https://docs.google.com/spreadsheets/d/1eHaY18a8A9IcSdp1K8H6x8fbOy06t2VsZHhMHf-1x7Y/edit?usp=sharing"",""แผน!GE32"")"),25)</f>
        <v>25</v>
      </c>
      <c r="J746" s="547">
        <v>25</v>
      </c>
      <c r="K746" s="555">
        <f ca="1">IF(I746&gt;0,J746*100/I746,0)</f>
        <v>100</v>
      </c>
      <c r="L746" s="546"/>
      <c r="M746" s="545"/>
      <c r="N746" s="545"/>
      <c r="O746" s="545"/>
      <c r="P746" s="545"/>
      <c r="Q746" s="545"/>
      <c r="R746" s="545"/>
      <c r="S746" s="545"/>
      <c r="T746" s="545"/>
      <c r="U746" s="545"/>
    </row>
    <row r="747" spans="1:21" ht="18.75">
      <c r="A747" s="554"/>
      <c r="B747" s="553"/>
      <c r="C747" s="553"/>
      <c r="D747" s="553"/>
      <c r="E747" s="558" t="s">
        <v>278</v>
      </c>
      <c r="F747" s="552"/>
      <c r="G747" s="550"/>
      <c r="H747" s="557"/>
      <c r="I747" s="548"/>
      <c r="J747" s="548"/>
      <c r="K747" s="545"/>
      <c r="L747" s="546"/>
      <c r="M747" s="545"/>
      <c r="N747" s="545"/>
      <c r="O747" s="545"/>
      <c r="P747" s="545"/>
      <c r="Q747" s="545"/>
      <c r="R747" s="545"/>
      <c r="S747" s="545"/>
      <c r="T747" s="545"/>
      <c r="U747" s="545"/>
    </row>
    <row r="748" spans="1:21" ht="18.75">
      <c r="A748" s="554"/>
      <c r="B748" s="553"/>
      <c r="C748" s="553"/>
      <c r="D748" s="553"/>
      <c r="E748" s="553"/>
      <c r="F748" s="558" t="s">
        <v>303</v>
      </c>
      <c r="G748" s="550"/>
      <c r="H748" s="549" t="s">
        <v>35</v>
      </c>
      <c r="I748" s="548"/>
      <c r="J748" s="547">
        <v>0</v>
      </c>
      <c r="K748" s="545"/>
      <c r="L748" s="546"/>
      <c r="M748" s="545"/>
      <c r="N748" s="545"/>
      <c r="O748" s="545"/>
      <c r="P748" s="545"/>
      <c r="Q748" s="545"/>
      <c r="R748" s="545"/>
      <c r="S748" s="545"/>
      <c r="T748" s="545"/>
      <c r="U748" s="545"/>
    </row>
    <row r="749" spans="1:21" ht="18.75">
      <c r="A749" s="554"/>
      <c r="B749" s="553"/>
      <c r="C749" s="553"/>
      <c r="D749" s="553"/>
      <c r="E749" s="553"/>
      <c r="F749" s="558" t="s">
        <v>302</v>
      </c>
      <c r="G749" s="550"/>
      <c r="H749" s="549" t="s">
        <v>35</v>
      </c>
      <c r="I749" s="556">
        <f ca="1">IFERROR(__xludf.DUMMYFUNCTION("IMPORTRANGE(""https://docs.google.com/spreadsheets/d/1eHaY18a8A9IcSdp1K8H6x8fbOy06t2VsZHhMHf-1x7Y/edit?usp=sharing"",""แผน!GF32"")"),3)</f>
        <v>3</v>
      </c>
      <c r="J749" s="547">
        <v>0</v>
      </c>
      <c r="K749" s="555">
        <f ca="1">IF(I749&gt;0,J749*100/I749,0)</f>
        <v>0</v>
      </c>
      <c r="L749" s="546"/>
      <c r="M749" s="545"/>
      <c r="N749" s="545"/>
      <c r="O749" s="545"/>
      <c r="P749" s="545"/>
      <c r="Q749" s="545"/>
      <c r="R749" s="545"/>
      <c r="S749" s="545"/>
      <c r="T749" s="545"/>
      <c r="U749" s="545"/>
    </row>
    <row r="750" spans="1:21" ht="19.5">
      <c r="A750" s="554"/>
      <c r="B750" s="553"/>
      <c r="C750" s="553"/>
      <c r="D750" s="559" t="s">
        <v>50</v>
      </c>
      <c r="E750" s="553"/>
      <c r="F750" s="552"/>
      <c r="G750" s="550"/>
      <c r="H750" s="557"/>
      <c r="I750" s="548"/>
      <c r="J750" s="548"/>
      <c r="K750" s="545"/>
      <c r="L750" s="546"/>
      <c r="M750" s="545"/>
      <c r="N750" s="545"/>
      <c r="O750" s="545"/>
      <c r="P750" s="545"/>
      <c r="Q750" s="545"/>
      <c r="R750" s="545"/>
      <c r="S750" s="545"/>
      <c r="T750" s="545"/>
      <c r="U750" s="545"/>
    </row>
    <row r="751" spans="1:21" ht="18.75">
      <c r="A751" s="554"/>
      <c r="B751" s="553"/>
      <c r="C751" s="553"/>
      <c r="D751" s="553"/>
      <c r="E751" s="558" t="s">
        <v>271</v>
      </c>
      <c r="F751" s="552"/>
      <c r="G751" s="550"/>
      <c r="H751" s="557"/>
      <c r="I751" s="548"/>
      <c r="J751" s="548"/>
      <c r="K751" s="545"/>
      <c r="L751" s="546"/>
      <c r="M751" s="545"/>
      <c r="N751" s="545"/>
      <c r="O751" s="545"/>
      <c r="P751" s="545"/>
      <c r="Q751" s="545"/>
      <c r="R751" s="545"/>
      <c r="S751" s="545"/>
      <c r="T751" s="545"/>
      <c r="U751" s="545"/>
    </row>
    <row r="752" spans="1:21" ht="18.75">
      <c r="A752" s="554"/>
      <c r="B752" s="553"/>
      <c r="C752" s="553"/>
      <c r="D752" s="553"/>
      <c r="E752" s="553"/>
      <c r="F752" s="551" t="s">
        <v>301</v>
      </c>
      <c r="G752" s="550"/>
      <c r="H752" s="549" t="s">
        <v>46</v>
      </c>
      <c r="I752" s="556">
        <f ca="1">IFERROR(__xludf.DUMMYFUNCTION("IMPORTRANGE(""https://docs.google.com/spreadsheets/d/1eHaY18a8A9IcSdp1K8H6x8fbOy06t2VsZHhMHf-1x7Y/edit?usp=sharing"",""แผน!GB32"")"),1000)</f>
        <v>1000</v>
      </c>
      <c r="J752" s="547">
        <v>0</v>
      </c>
      <c r="K752" s="555">
        <f ca="1">IF(I752&gt;0,J752*100/I752,0)</f>
        <v>0</v>
      </c>
      <c r="L752" s="546"/>
      <c r="M752" s="545"/>
      <c r="N752" s="545"/>
      <c r="O752" s="545"/>
      <c r="P752" s="545"/>
      <c r="Q752" s="545"/>
      <c r="R752" s="545"/>
      <c r="S752" s="545"/>
      <c r="T752" s="545"/>
      <c r="U752" s="545"/>
    </row>
    <row r="753" spans="1:21" ht="18.75">
      <c r="A753" s="554"/>
      <c r="B753" s="553"/>
      <c r="C753" s="553"/>
      <c r="D753" s="553"/>
      <c r="E753" s="553"/>
      <c r="F753" s="551" t="s">
        <v>300</v>
      </c>
      <c r="G753" s="550"/>
      <c r="H753" s="549" t="s">
        <v>46</v>
      </c>
      <c r="I753" s="548"/>
      <c r="J753" s="547">
        <v>0</v>
      </c>
      <c r="K753" s="545"/>
      <c r="L753" s="546"/>
      <c r="M753" s="545"/>
      <c r="N753" s="545"/>
      <c r="O753" s="545"/>
      <c r="P753" s="545"/>
      <c r="Q753" s="545"/>
      <c r="R753" s="545"/>
      <c r="S753" s="545"/>
      <c r="T753" s="545"/>
      <c r="U753" s="545"/>
    </row>
    <row r="754" spans="1:21" ht="18.75">
      <c r="A754" s="554"/>
      <c r="B754" s="553"/>
      <c r="C754" s="553"/>
      <c r="D754" s="553"/>
      <c r="E754" s="558" t="s">
        <v>275</v>
      </c>
      <c r="F754" s="552"/>
      <c r="G754" s="550"/>
      <c r="H754" s="557"/>
      <c r="I754" s="548"/>
      <c r="J754" s="548"/>
      <c r="K754" s="545"/>
      <c r="L754" s="546"/>
      <c r="M754" s="545"/>
      <c r="N754" s="545"/>
      <c r="O754" s="545"/>
      <c r="P754" s="545"/>
      <c r="Q754" s="545"/>
      <c r="R754" s="545"/>
      <c r="S754" s="545"/>
      <c r="T754" s="545"/>
      <c r="U754" s="545"/>
    </row>
    <row r="755" spans="1:21" ht="18.75">
      <c r="A755" s="554"/>
      <c r="B755" s="553"/>
      <c r="C755" s="553"/>
      <c r="D755" s="553"/>
      <c r="E755" s="552"/>
      <c r="F755" s="551" t="s">
        <v>299</v>
      </c>
      <c r="G755" s="550"/>
      <c r="H755" s="549" t="s">
        <v>46</v>
      </c>
      <c r="I755" s="556">
        <f ca="1">IFERROR(__xludf.DUMMYFUNCTION("IMPORTRANGE(""https://docs.google.com/spreadsheets/d/1eHaY18a8A9IcSdp1K8H6x8fbOy06t2VsZHhMHf-1x7Y/edit?usp=sharing"",""แผน!GD32"")"),250)</f>
        <v>250</v>
      </c>
      <c r="J755" s="547">
        <v>0</v>
      </c>
      <c r="K755" s="555">
        <f ca="1">IF(I755&gt;0,J755*100/I755,0)</f>
        <v>0</v>
      </c>
      <c r="L755" s="546"/>
      <c r="M755" s="545"/>
      <c r="N755" s="545"/>
      <c r="O755" s="545"/>
      <c r="P755" s="545"/>
      <c r="Q755" s="545"/>
      <c r="R755" s="545"/>
      <c r="S755" s="545"/>
      <c r="T755" s="545"/>
      <c r="U755" s="545"/>
    </row>
    <row r="756" spans="1:21" ht="18.75">
      <c r="A756" s="554"/>
      <c r="B756" s="553"/>
      <c r="C756" s="553"/>
      <c r="D756" s="553"/>
      <c r="E756" s="552"/>
      <c r="F756" s="551" t="s">
        <v>298</v>
      </c>
      <c r="G756" s="550"/>
      <c r="H756" s="549" t="s">
        <v>46</v>
      </c>
      <c r="I756" s="548"/>
      <c r="J756" s="547">
        <v>0</v>
      </c>
      <c r="K756" s="545"/>
      <c r="L756" s="546"/>
      <c r="M756" s="545"/>
      <c r="N756" s="545"/>
      <c r="O756" s="545"/>
      <c r="P756" s="545"/>
      <c r="Q756" s="545"/>
      <c r="R756" s="545"/>
      <c r="S756" s="545"/>
      <c r="T756" s="545"/>
      <c r="U756" s="545"/>
    </row>
    <row r="757" spans="1:21" ht="18.75">
      <c r="A757" s="489"/>
      <c r="B757" s="489"/>
      <c r="C757" s="489"/>
      <c r="D757" s="491"/>
      <c r="E757" s="490" t="s">
        <v>285</v>
      </c>
      <c r="F757" s="491"/>
      <c r="G757" s="492"/>
      <c r="H757" s="493" t="s">
        <v>35</v>
      </c>
      <c r="I757" s="494"/>
      <c r="J757" s="495">
        <v>0</v>
      </c>
      <c r="K757" s="496"/>
      <c r="L757" s="496"/>
      <c r="M757" s="496"/>
      <c r="N757" s="496"/>
      <c r="O757" s="496"/>
      <c r="P757" s="496"/>
      <c r="Q757" s="496"/>
      <c r="R757" s="496"/>
      <c r="S757" s="496"/>
      <c r="T757" s="496"/>
      <c r="U757" s="496"/>
    </row>
    <row r="758" spans="1:21" ht="19.5">
      <c r="A758" s="442"/>
      <c r="B758" s="443" t="s">
        <v>286</v>
      </c>
      <c r="C758" s="442"/>
      <c r="D758" s="444"/>
      <c r="E758" s="444"/>
      <c r="F758" s="444"/>
      <c r="G758" s="445"/>
      <c r="H758" s="473" t="s">
        <v>35</v>
      </c>
      <c r="I758" s="544">
        <f ca="1">I772</f>
        <v>60</v>
      </c>
      <c r="J758" s="544">
        <f>J772</f>
        <v>60</v>
      </c>
      <c r="K758" s="543">
        <f ca="1">IF(I758&gt;0,J758*100/I758,0)</f>
        <v>100</v>
      </c>
      <c r="L758" s="449"/>
      <c r="M758" s="448"/>
      <c r="N758" s="448"/>
      <c r="O758" s="448"/>
      <c r="P758" s="448"/>
      <c r="Q758" s="448"/>
      <c r="R758" s="448"/>
      <c r="S758" s="448"/>
      <c r="T758" s="448"/>
      <c r="U758" s="448"/>
    </row>
    <row r="759" spans="1:21" ht="19.5">
      <c r="A759" s="487"/>
      <c r="B759" s="442"/>
      <c r="C759" s="442"/>
      <c r="D759" s="444"/>
      <c r="E759" s="444"/>
      <c r="F759" s="444"/>
      <c r="G759" s="445"/>
      <c r="H759" s="473" t="s">
        <v>46</v>
      </c>
      <c r="I759" s="544">
        <f ca="1">I774</f>
        <v>300</v>
      </c>
      <c r="J759" s="544">
        <f>J774</f>
        <v>300</v>
      </c>
      <c r="K759" s="543">
        <f ca="1">IF(I759&gt;0,J759*100/I759,0)</f>
        <v>100</v>
      </c>
      <c r="L759" s="449"/>
      <c r="M759" s="448"/>
      <c r="N759" s="448"/>
      <c r="O759" s="448"/>
      <c r="P759" s="448"/>
      <c r="Q759" s="448"/>
      <c r="R759" s="448"/>
      <c r="S759" s="448"/>
      <c r="T759" s="448"/>
      <c r="U759" s="448"/>
    </row>
    <row r="760" spans="1:21" ht="19.5">
      <c r="A760" s="155"/>
      <c r="B760" s="188"/>
      <c r="C760" s="205" t="s">
        <v>18</v>
      </c>
      <c r="D760" s="542" t="s">
        <v>19</v>
      </c>
      <c r="E760" s="529"/>
      <c r="F760" s="529"/>
      <c r="G760" s="530"/>
      <c r="H760" s="252" t="s">
        <v>14</v>
      </c>
      <c r="I760" s="54"/>
      <c r="J760" s="54"/>
      <c r="K760" s="55"/>
      <c r="L760" s="541">
        <f>L761+L762</f>
        <v>0</v>
      </c>
      <c r="M760" s="540">
        <f>M761+M762</f>
        <v>0</v>
      </c>
      <c r="N760" s="540">
        <f>N761+N762</f>
        <v>0</v>
      </c>
      <c r="O760" s="540">
        <f>IF(L760&gt;0,N760*100/L760,0)</f>
        <v>0</v>
      </c>
      <c r="P760" s="540">
        <f>IF(M760&gt;0,N760*100/M760,0)</f>
        <v>0</v>
      </c>
      <c r="Q760" s="540">
        <f ca="1">Q761+Q762</f>
        <v>595100</v>
      </c>
      <c r="R760" s="540">
        <f ca="1">R761+R762</f>
        <v>595100</v>
      </c>
      <c r="S760" s="540">
        <f ca="1">S761+S762</f>
        <v>412283.79</v>
      </c>
      <c r="T760" s="540">
        <f ca="1">IF(Q760&gt;0,S760*100/Q760,0)</f>
        <v>69.279749621912288</v>
      </c>
      <c r="U760" s="540">
        <f ca="1">IF(R760&gt;0,S760*100/R760,0)</f>
        <v>69.279749621912288</v>
      </c>
    </row>
    <row r="761" spans="1:21" ht="18.75" hidden="1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103">
        <f>L764+L767</f>
        <v>0</v>
      </c>
      <c r="M761" s="102">
        <f>M764+M767</f>
        <v>0</v>
      </c>
      <c r="N761" s="102">
        <f>N764+N767</f>
        <v>0</v>
      </c>
      <c r="O761" s="102">
        <f>IF(L761&gt;0,N761*100/L761,0)</f>
        <v>0</v>
      </c>
      <c r="P761" s="102">
        <f>IF(M761&gt;0,N761*100/M761,0)</f>
        <v>0</v>
      </c>
      <c r="Q761" s="102">
        <f>Q764+Q767</f>
        <v>0</v>
      </c>
      <c r="R761" s="102">
        <f>R764+R767</f>
        <v>0</v>
      </c>
      <c r="S761" s="102">
        <f>S764+S767</f>
        <v>0</v>
      </c>
      <c r="T761" s="102">
        <f>IF(Q761&gt;0,S761*100/Q761,0)</f>
        <v>0</v>
      </c>
      <c r="U761" s="102">
        <f>IF(R761&gt;0,S761*100/R761,0)</f>
        <v>0</v>
      </c>
    </row>
    <row r="762" spans="1:21" ht="18.75" hidden="1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256">
        <f>L765+L768</f>
        <v>0</v>
      </c>
      <c r="M762" s="255">
        <f>M765+M768</f>
        <v>0</v>
      </c>
      <c r="N762" s="255">
        <f>N765+N768</f>
        <v>0</v>
      </c>
      <c r="O762" s="255">
        <f>IF(L762&gt;0,N762*100/L762,0)</f>
        <v>0</v>
      </c>
      <c r="P762" s="255">
        <f>IF(M762&gt;0,N762*100/M762,0)</f>
        <v>0</v>
      </c>
      <c r="Q762" s="255">
        <f ca="1">Q765+Q768</f>
        <v>595100</v>
      </c>
      <c r="R762" s="255">
        <f ca="1">R765+R768</f>
        <v>595100</v>
      </c>
      <c r="S762" s="255">
        <f ca="1">S765+S768</f>
        <v>412283.79</v>
      </c>
      <c r="T762" s="255">
        <f ca="1">IF(Q762&gt;0,S762*100/Q762,0)</f>
        <v>69.279749621912288</v>
      </c>
      <c r="U762" s="255">
        <f ca="1">IF(R762&gt;0,S762*100/R762,0)</f>
        <v>69.279749621912288</v>
      </c>
    </row>
    <row r="763" spans="1:21" ht="18.75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256">
        <f>L764+L765</f>
        <v>0</v>
      </c>
      <c r="M763" s="255">
        <f>M764+M765</f>
        <v>0</v>
      </c>
      <c r="N763" s="255">
        <f>N764+N765</f>
        <v>0</v>
      </c>
      <c r="O763" s="255">
        <f>IF(L763&gt;0,N763*100/L763,0)</f>
        <v>0</v>
      </c>
      <c r="P763" s="255">
        <f>IF(M763&gt;0,N763*100/M763,0)</f>
        <v>0</v>
      </c>
      <c r="Q763" s="255">
        <f ca="1">Q764+Q765</f>
        <v>595100</v>
      </c>
      <c r="R763" s="255">
        <f ca="1">R764+R765</f>
        <v>595100</v>
      </c>
      <c r="S763" s="255">
        <f ca="1">S764+S765</f>
        <v>412283.79</v>
      </c>
      <c r="T763" s="255">
        <f ca="1">IF(Q763&gt;0,S763*100/Q763,0)</f>
        <v>69.279749621912288</v>
      </c>
      <c r="U763" s="255">
        <f ca="1">IF(R763&gt;0,S763*100/R763,0)</f>
        <v>69.279749621912288</v>
      </c>
    </row>
    <row r="764" spans="1:21" ht="18.75" hidden="1">
      <c r="A764" s="155"/>
      <c r="B764" s="188"/>
      <c r="C764" s="202"/>
      <c r="D764" s="174"/>
      <c r="E764" s="186" t="s">
        <v>159</v>
      </c>
      <c r="F764" s="50"/>
      <c r="G764" s="52"/>
      <c r="H764" s="189" t="s">
        <v>14</v>
      </c>
      <c r="I764" s="54"/>
      <c r="J764" s="54"/>
      <c r="K764" s="55"/>
      <c r="L764" s="103">
        <v>0</v>
      </c>
      <c r="M764" s="102">
        <v>0</v>
      </c>
      <c r="N764" s="102">
        <v>0</v>
      </c>
      <c r="O764" s="102">
        <f>IF(L764&gt;0,N764*100/L764,0)</f>
        <v>0</v>
      </c>
      <c r="P764" s="102">
        <f>IF(M764&gt;0,N764*100/M764,0)</f>
        <v>0</v>
      </c>
      <c r="Q764" s="102">
        <v>0</v>
      </c>
      <c r="R764" s="102">
        <v>0</v>
      </c>
      <c r="S764" s="102">
        <v>0</v>
      </c>
      <c r="T764" s="102">
        <f>IF(Q764&gt;0,S764*100/Q764,0)</f>
        <v>0</v>
      </c>
      <c r="U764" s="102">
        <f>IF(R764&gt;0,S764*100/R764,0)</f>
        <v>0</v>
      </c>
    </row>
    <row r="765" spans="1:21" ht="18.75" hidden="1">
      <c r="A765" s="155"/>
      <c r="B765" s="188"/>
      <c r="C765" s="202"/>
      <c r="D765" s="174"/>
      <c r="E765" s="58" t="s">
        <v>160</v>
      </c>
      <c r="F765" s="50"/>
      <c r="G765" s="52"/>
      <c r="H765" s="162" t="s">
        <v>14</v>
      </c>
      <c r="I765" s="54"/>
      <c r="J765" s="54"/>
      <c r="K765" s="55"/>
      <c r="L765" s="256">
        <v>0</v>
      </c>
      <c r="M765" s="255">
        <v>0</v>
      </c>
      <c r="N765" s="255">
        <v>0</v>
      </c>
      <c r="O765" s="255">
        <f>IF(L765&gt;0,N765*100/L765,0)</f>
        <v>0</v>
      </c>
      <c r="P765" s="255">
        <f>IF(M765&gt;0,N765*100/M765,0)</f>
        <v>0</v>
      </c>
      <c r="Q765" s="255">
        <f ca="1">IFERROR(__xludf.DUMMYFUNCTION("IMPORTRANGE(""https://docs.google.com/spreadsheets/d/1ItG2mGa2ceCfYo0BwxsXqNm01IGEUdYcSSLTEv9YCik/edit?usp=sharing"",""เบิกจ่ายกองทุน!U32"")"),595100)</f>
        <v>595100</v>
      </c>
      <c r="R765" s="255">
        <f ca="1">IFERROR(__xludf.DUMMYFUNCTION("IMPORTRANGE(""https://docs.google.com/spreadsheets/d/1ItG2mGa2ceCfYo0BwxsXqNm01IGEUdYcSSLTEv9YCik/edit?usp=sharing"",""เบิกจ่ายกองทุน!V32"")"),595100)</f>
        <v>595100</v>
      </c>
      <c r="S765" s="255">
        <f ca="1">IFERROR(__xludf.DUMMYFUNCTION("IMPORTRANGE(""https://docs.google.com/spreadsheets/d/1ItG2mGa2ceCfYo0BwxsXqNm01IGEUdYcSSLTEv9YCik/edit?usp=sharing"",""เบิกจ่ายกองทุน!W32"")"),412283.79)</f>
        <v>412283.79</v>
      </c>
      <c r="T765" s="255">
        <f ca="1">IF(Q765&gt;0,S765*100/Q765,0)</f>
        <v>69.279749621912288</v>
      </c>
      <c r="U765" s="255">
        <f ca="1">IF(R765&gt;0,S765*100/R765,0)</f>
        <v>69.279749621912288</v>
      </c>
    </row>
    <row r="766" spans="1:21" ht="18.75">
      <c r="A766" s="155"/>
      <c r="B766" s="188"/>
      <c r="C766" s="188"/>
      <c r="D766" s="51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256">
        <f>L767+L768</f>
        <v>0</v>
      </c>
      <c r="M766" s="255">
        <f>M767+M768</f>
        <v>0</v>
      </c>
      <c r="N766" s="255">
        <f>N767+N768</f>
        <v>0</v>
      </c>
      <c r="O766" s="255">
        <f>IF(L766&gt;0,N766*100/L766,0)</f>
        <v>0</v>
      </c>
      <c r="P766" s="255">
        <f>IF(M766&gt;0,N766*100/M766,0)</f>
        <v>0</v>
      </c>
      <c r="Q766" s="255">
        <f>Q767+Q768</f>
        <v>0</v>
      </c>
      <c r="R766" s="255">
        <f>R767+R768</f>
        <v>0</v>
      </c>
      <c r="S766" s="255">
        <f>S767+S768</f>
        <v>0</v>
      </c>
      <c r="T766" s="255">
        <f>IF(Q766&gt;0,S766*100/Q766,0)</f>
        <v>0</v>
      </c>
      <c r="U766" s="255">
        <f>IF(R766&gt;0,S766*100/R766,0)</f>
        <v>0</v>
      </c>
    </row>
    <row r="767" spans="1:21" ht="18.75" hidden="1">
      <c r="A767" s="155"/>
      <c r="B767" s="188"/>
      <c r="C767" s="188"/>
      <c r="D767" s="188"/>
      <c r="E767" s="358" t="s">
        <v>20</v>
      </c>
      <c r="F767" s="50"/>
      <c r="G767" s="52"/>
      <c r="H767" s="189" t="s">
        <v>14</v>
      </c>
      <c r="I767" s="163"/>
      <c r="J767" s="163"/>
      <c r="K767" s="164"/>
      <c r="L767" s="103">
        <v>0</v>
      </c>
      <c r="M767" s="102">
        <v>0</v>
      </c>
      <c r="N767" s="102">
        <v>0</v>
      </c>
      <c r="O767" s="102">
        <f>IF(L767&gt;0,N767*100/L767,0)</f>
        <v>0</v>
      </c>
      <c r="P767" s="102">
        <f>IF(M767&gt;0,N767*100/M767,0)</f>
        <v>0</v>
      </c>
      <c r="Q767" s="102">
        <v>0</v>
      </c>
      <c r="R767" s="102">
        <v>0</v>
      </c>
      <c r="S767" s="102">
        <v>0</v>
      </c>
      <c r="T767" s="102">
        <f>IF(Q767&gt;0,S767*100/Q767,0)</f>
        <v>0</v>
      </c>
      <c r="U767" s="102">
        <f>IF(R767&gt;0,S767*100/R767,0)</f>
        <v>0</v>
      </c>
    </row>
    <row r="768" spans="1:21" ht="18.75" hidden="1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256">
        <v>0</v>
      </c>
      <c r="M768" s="255">
        <v>0</v>
      </c>
      <c r="N768" s="255">
        <v>0</v>
      </c>
      <c r="O768" s="255">
        <f>IF(L768&gt;0,N768*100/L768,0)</f>
        <v>0</v>
      </c>
      <c r="P768" s="255">
        <f>IF(M768&gt;0,N768*100/M768,0)</f>
        <v>0</v>
      </c>
      <c r="Q768" s="255">
        <v>0</v>
      </c>
      <c r="R768" s="255">
        <v>0</v>
      </c>
      <c r="S768" s="255">
        <v>0</v>
      </c>
      <c r="T768" s="255">
        <f>IF(Q768&gt;0,S768*100/Q768,0)</f>
        <v>0</v>
      </c>
      <c r="U768" s="255">
        <f>IF(R768&gt;0,S768*100/R768,0)</f>
        <v>0</v>
      </c>
    </row>
    <row r="769" spans="1:21" ht="19.5">
      <c r="A769" s="166"/>
      <c r="B769" s="167"/>
      <c r="C769" s="497" t="s">
        <v>18</v>
      </c>
      <c r="D769" s="539" t="s">
        <v>38</v>
      </c>
      <c r="E769" s="232"/>
      <c r="F769" s="169"/>
      <c r="G769" s="170"/>
      <c r="H769" s="206"/>
      <c r="I769" s="54"/>
      <c r="J769" s="54"/>
      <c r="K769" s="55"/>
      <c r="L769" s="62"/>
      <c r="M769" s="55"/>
      <c r="N769" s="55"/>
      <c r="O769" s="55"/>
      <c r="P769" s="55"/>
      <c r="Q769" s="55"/>
      <c r="R769" s="55"/>
      <c r="S769" s="55"/>
      <c r="T769" s="55"/>
      <c r="U769" s="55"/>
    </row>
    <row r="770" spans="1:21" ht="18.75" hidden="1">
      <c r="A770" s="166"/>
      <c r="B770" s="167"/>
      <c r="C770" s="167"/>
      <c r="D770" s="423" t="s">
        <v>287</v>
      </c>
      <c r="E770" s="167"/>
      <c r="F770" s="174"/>
      <c r="G770" s="171"/>
      <c r="H770" s="421" t="s">
        <v>35</v>
      </c>
      <c r="I770" s="483">
        <f ca="1">IFERROR(__xludf.DUMMYFUNCTION("IMPORTRANGE(""https://docs.google.com/spreadsheets/d/1eHaY18a8A9IcSdp1K8H6x8fbOy06t2VsZHhMHf-1x7Y/edit?usp=sharing"",""แผน!FI32"")"),0)</f>
        <v>0</v>
      </c>
      <c r="J770" s="483">
        <v>0</v>
      </c>
      <c r="K770" s="102">
        <f ca="1">IF(I770&gt;0,J770*100/I770,0)</f>
        <v>0</v>
      </c>
      <c r="L770" s="62"/>
      <c r="M770" s="55"/>
      <c r="N770" s="55"/>
      <c r="O770" s="55"/>
      <c r="P770" s="55"/>
      <c r="Q770" s="55"/>
      <c r="R770" s="55"/>
      <c r="S770" s="55"/>
      <c r="T770" s="55"/>
      <c r="U770" s="55"/>
    </row>
    <row r="771" spans="1:21" ht="18.75" hidden="1">
      <c r="A771" s="166"/>
      <c r="B771" s="167"/>
      <c r="C771" s="167"/>
      <c r="D771" s="423" t="s">
        <v>288</v>
      </c>
      <c r="E771" s="167"/>
      <c r="F771" s="174"/>
      <c r="G771" s="171"/>
      <c r="H771" s="206"/>
      <c r="I771" s="54"/>
      <c r="J771" s="54"/>
      <c r="K771" s="55"/>
      <c r="L771" s="62"/>
      <c r="M771" s="55"/>
      <c r="N771" s="55"/>
      <c r="O771" s="55"/>
      <c r="P771" s="55"/>
      <c r="Q771" s="55"/>
      <c r="R771" s="55"/>
      <c r="S771" s="55"/>
      <c r="T771" s="55"/>
      <c r="U771" s="55"/>
    </row>
    <row r="772" spans="1:21" ht="18.75">
      <c r="A772" s="166"/>
      <c r="B772" s="167"/>
      <c r="C772" s="167"/>
      <c r="D772" s="460" t="s">
        <v>289</v>
      </c>
      <c r="E772" s="167"/>
      <c r="F772" s="174"/>
      <c r="G772" s="171"/>
      <c r="H772" s="165" t="s">
        <v>35</v>
      </c>
      <c r="I772" s="212">
        <f ca="1">IFERROR(__xludf.DUMMYFUNCTION("IMPORTRANGE(""https://docs.google.com/spreadsheets/d/1eHaY18a8A9IcSdp1K8H6x8fbOy06t2VsZHhMHf-1x7Y/edit?usp=sharing"",""แผน!FQ32"")"),60)</f>
        <v>60</v>
      </c>
      <c r="J772" s="467">
        <v>60</v>
      </c>
      <c r="K772" s="255">
        <f ca="1">IF(I772&gt;0,J772*100/I772,0)</f>
        <v>100</v>
      </c>
      <c r="L772" s="62"/>
      <c r="M772" s="55"/>
      <c r="N772" s="55"/>
      <c r="O772" s="55"/>
      <c r="P772" s="55"/>
      <c r="Q772" s="55"/>
      <c r="R772" s="55"/>
      <c r="S772" s="55"/>
      <c r="T772" s="55"/>
      <c r="U772" s="55"/>
    </row>
    <row r="773" spans="1:21" ht="18.75">
      <c r="A773" s="166"/>
      <c r="B773" s="167"/>
      <c r="C773" s="167"/>
      <c r="D773" s="460" t="s">
        <v>290</v>
      </c>
      <c r="E773" s="167"/>
      <c r="F773" s="174"/>
      <c r="G773" s="171"/>
      <c r="H773" s="206"/>
      <c r="I773" s="54"/>
      <c r="J773" s="54"/>
      <c r="K773" s="55"/>
      <c r="L773" s="62"/>
      <c r="M773" s="55"/>
      <c r="N773" s="55"/>
      <c r="O773" s="55"/>
      <c r="P773" s="55"/>
      <c r="Q773" s="55"/>
      <c r="R773" s="55"/>
      <c r="S773" s="55"/>
      <c r="T773" s="55"/>
      <c r="U773" s="55"/>
    </row>
    <row r="774" spans="1:21" ht="18.75">
      <c r="A774" s="166"/>
      <c r="B774" s="167"/>
      <c r="C774" s="167"/>
      <c r="D774" s="460" t="s">
        <v>291</v>
      </c>
      <c r="E774" s="167"/>
      <c r="F774" s="174"/>
      <c r="G774" s="171"/>
      <c r="H774" s="165" t="s">
        <v>46</v>
      </c>
      <c r="I774" s="212">
        <f ca="1">IFERROR(__xludf.DUMMYFUNCTION("IMPORTRANGE(""https://docs.google.com/spreadsheets/d/1eHaY18a8A9IcSdp1K8H6x8fbOy06t2VsZHhMHf-1x7Y/edit?usp=sharing"",""แผน!FR32"")"),300)</f>
        <v>300</v>
      </c>
      <c r="J774" s="467">
        <v>300</v>
      </c>
      <c r="K774" s="255">
        <f ca="1">IF(I774&gt;0,J774*100/I774,0)</f>
        <v>100</v>
      </c>
      <c r="L774" s="62"/>
      <c r="M774" s="55"/>
      <c r="N774" s="55"/>
      <c r="O774" s="55"/>
      <c r="P774" s="55"/>
      <c r="Q774" s="55"/>
      <c r="R774" s="55"/>
      <c r="S774" s="55"/>
      <c r="T774" s="55"/>
      <c r="U774" s="55"/>
    </row>
    <row r="775" spans="1:21" ht="18.75">
      <c r="A775" s="166"/>
      <c r="B775" s="167"/>
      <c r="C775" s="167"/>
      <c r="D775" s="460" t="s">
        <v>50</v>
      </c>
      <c r="E775" s="174"/>
      <c r="F775" s="50"/>
      <c r="G775" s="52"/>
      <c r="H775" s="165" t="s">
        <v>46</v>
      </c>
      <c r="I775" s="212">
        <f ca="1">IFERROR(__xludf.DUMMYFUNCTION("IMPORTRANGE(""https://docs.google.com/spreadsheets/d/1eHaY18a8A9IcSdp1K8H6x8fbOy06t2VsZHhMHf-1x7Y/edit?usp=sharing"",""แผน!FS32"")"),300)</f>
        <v>300</v>
      </c>
      <c r="J775" s="467">
        <v>300</v>
      </c>
      <c r="K775" s="55"/>
      <c r="L775" s="62"/>
      <c r="M775" s="55"/>
      <c r="N775" s="55"/>
      <c r="O775" s="55"/>
      <c r="P775" s="55"/>
      <c r="Q775" s="55"/>
      <c r="R775" s="55"/>
      <c r="S775" s="55"/>
      <c r="T775" s="55"/>
      <c r="U775" s="55"/>
    </row>
    <row r="776" spans="1:21" ht="18.75">
      <c r="A776" s="281"/>
      <c r="B776" s="282"/>
      <c r="C776" s="282"/>
      <c r="D776" s="282"/>
      <c r="E776" s="2"/>
      <c r="F776" s="2"/>
      <c r="G776" s="65"/>
      <c r="H776" s="214" t="s">
        <v>35</v>
      </c>
      <c r="I776" s="216">
        <f ca="1">IFERROR(__xludf.DUMMYFUNCTION("IMPORTRANGE(""https://docs.google.com/spreadsheets/d/1eHaY18a8A9IcSdp1K8H6x8fbOy06t2VsZHhMHf-1x7Y/edit?usp=sharing"",""แผน!FT32"")"),60)</f>
        <v>60</v>
      </c>
      <c r="J776" s="538">
        <v>60</v>
      </c>
      <c r="K776" s="6"/>
      <c r="L776" s="68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>
      <c r="A777" s="537" t="s">
        <v>292</v>
      </c>
      <c r="B777" s="500"/>
      <c r="C777" s="500"/>
      <c r="D777" s="499"/>
      <c r="E777" s="500"/>
      <c r="F777" s="500"/>
      <c r="G777" s="501"/>
      <c r="H777" s="536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503"/>
      <c r="J777" s="504"/>
      <c r="K777" s="505"/>
      <c r="L777" s="505"/>
      <c r="M777" s="505"/>
      <c r="N777" s="505"/>
      <c r="O777" s="505"/>
      <c r="P777" s="505"/>
      <c r="Q777" s="505"/>
      <c r="R777" s="505"/>
      <c r="S777" s="505"/>
      <c r="T777" s="505"/>
      <c r="U777" s="505"/>
    </row>
    <row r="778" spans="1:21" ht="18.75">
      <c r="A778" s="49"/>
      <c r="B778" s="58" t="s">
        <v>293</v>
      </c>
      <c r="C778" s="50"/>
      <c r="D778" s="188"/>
      <c r="E778" s="50"/>
      <c r="F778" s="50"/>
      <c r="G778" s="52"/>
      <c r="H778" s="53" t="s">
        <v>14</v>
      </c>
      <c r="I778" s="212">
        <f ca="1">IFERROR(__xludf.DUMMYFUNCTION("IMPORTRANGE(""https://docs.google.com/spreadsheets/d/10OvvATaaLtwErnr3qtWFcTmtbfpFEt5Bsqel9sXx0uE/edit?usp=sharing"",""งานกองทุน!D32"")"),4332640.64)</f>
        <v>4332640.6399999997</v>
      </c>
      <c r="J778" s="212">
        <f ca="1">IFERROR(__xludf.DUMMYFUNCTION("IMPORTRANGE(""https://docs.google.com/spreadsheets/d/10OvvATaaLtwErnr3qtWFcTmtbfpFEt5Bsqel9sXx0uE/edit?usp=sharing"",""งานกองทุน!F32"")"),1408813.45)</f>
        <v>1408813.45</v>
      </c>
      <c r="K778" s="255">
        <f ca="1">IF(I778&gt;0,J778*100/I778,0)</f>
        <v>32.516277417367348</v>
      </c>
      <c r="L778" s="55"/>
      <c r="M778" s="55"/>
      <c r="N778" s="55"/>
      <c r="O778" s="55"/>
      <c r="P778" s="55"/>
      <c r="Q778" s="55"/>
      <c r="R778" s="55"/>
      <c r="S778" s="55"/>
      <c r="T778" s="55"/>
      <c r="U778" s="55"/>
    </row>
    <row r="779" spans="1:21" ht="18.75">
      <c r="A779" s="49"/>
      <c r="B779" s="50"/>
      <c r="C779" s="50"/>
      <c r="D779" s="188"/>
      <c r="E779" s="50"/>
      <c r="F779" s="50"/>
      <c r="G779" s="52"/>
      <c r="H779" s="53" t="s">
        <v>35</v>
      </c>
      <c r="I779" s="212">
        <f ca="1">IFERROR(__xludf.DUMMYFUNCTION("IMPORTRANGE(""https://docs.google.com/spreadsheets/d/10OvvATaaLtwErnr3qtWFcTmtbfpFEt5Bsqel9sXx0uE/edit?usp=sharing"",""งานกองทุน!C32"")"),261)</f>
        <v>261</v>
      </c>
      <c r="J779" s="212">
        <f ca="1">IFERROR(__xludf.DUMMYFUNCTION("IMPORTRANGE(""https://docs.google.com/spreadsheets/d/10OvvATaaLtwErnr3qtWFcTmtbfpFEt5Bsqel9sXx0uE/edit?usp=sharing"",""งานกองทุน!E32"")"),194)</f>
        <v>194</v>
      </c>
      <c r="K779" s="255">
        <f ca="1">IF(I779&gt;0,J779*100/I779,0)</f>
        <v>74.329501915708818</v>
      </c>
      <c r="L779" s="55"/>
      <c r="M779" s="55"/>
      <c r="N779" s="55"/>
      <c r="O779" s="55"/>
      <c r="P779" s="55"/>
      <c r="Q779" s="55"/>
      <c r="R779" s="55"/>
      <c r="S779" s="55"/>
      <c r="T779" s="55"/>
      <c r="U779" s="55"/>
    </row>
    <row r="780" spans="1:21" ht="18.75">
      <c r="A780" s="49"/>
      <c r="B780" s="58" t="s">
        <v>294</v>
      </c>
      <c r="C780" s="50"/>
      <c r="D780" s="188"/>
      <c r="E780" s="50"/>
      <c r="F780" s="50"/>
      <c r="G780" s="52"/>
      <c r="H780" s="53" t="s">
        <v>14</v>
      </c>
      <c r="I780" s="212">
        <f ca="1">IFERROR(__xludf.DUMMYFUNCTION("IMPORTRANGE(""https://docs.google.com/spreadsheets/d/10OvvATaaLtwErnr3qtWFcTmtbfpFEt5Bsqel9sXx0uE/edit?usp=sharing"",""งานกองทุน!I32"")"),10255862.16)</f>
        <v>10255862.16</v>
      </c>
      <c r="J780" s="212">
        <f ca="1">IFERROR(__xludf.DUMMYFUNCTION("IMPORTRANGE(""https://docs.google.com/spreadsheets/d/10OvvATaaLtwErnr3qtWFcTmtbfpFEt5Bsqel9sXx0uE/edit?usp=sharing"",""งานกองทุน!K32"")"),583387.39)</f>
        <v>583387.39</v>
      </c>
      <c r="K780" s="255">
        <f ca="1">IF(I780&gt;0,J780*100/I780,0)</f>
        <v>5.6883310334974313</v>
      </c>
      <c r="L780" s="55"/>
      <c r="M780" s="55"/>
      <c r="N780" s="55"/>
      <c r="O780" s="55"/>
      <c r="P780" s="55"/>
      <c r="Q780" s="55"/>
      <c r="R780" s="55"/>
      <c r="S780" s="55"/>
      <c r="T780" s="55"/>
      <c r="U780" s="55"/>
    </row>
    <row r="781" spans="1:21" ht="18.75">
      <c r="A781" s="49"/>
      <c r="B781" s="50"/>
      <c r="C781" s="50"/>
      <c r="D781" s="188"/>
      <c r="E781" s="50"/>
      <c r="F781" s="50"/>
      <c r="G781" s="52"/>
      <c r="H781" s="53" t="s">
        <v>35</v>
      </c>
      <c r="I781" s="212">
        <f ca="1">IFERROR(__xludf.DUMMYFUNCTION("IMPORTRANGE(""https://docs.google.com/spreadsheets/d/10OvvATaaLtwErnr3qtWFcTmtbfpFEt5Bsqel9sXx0uE/edit?usp=sharing"",""งานกองทุน!H32"")"),465)</f>
        <v>465</v>
      </c>
      <c r="J781" s="212">
        <f ca="1">IFERROR(__xludf.DUMMYFUNCTION("IMPORTRANGE(""https://docs.google.com/spreadsheets/d/10OvvATaaLtwErnr3qtWFcTmtbfpFEt5Bsqel9sXx0uE/edit?usp=sharing"",""งานกองทุน!J32"")"),75)</f>
        <v>75</v>
      </c>
      <c r="K781" s="255">
        <f ca="1">IF(I781&gt;0,J781*100/I781,0)</f>
        <v>16.129032258064516</v>
      </c>
      <c r="L781" s="55"/>
      <c r="M781" s="55"/>
      <c r="N781" s="55"/>
      <c r="O781" s="55"/>
      <c r="P781" s="55"/>
      <c r="Q781" s="55"/>
      <c r="R781" s="55"/>
      <c r="S781" s="55"/>
      <c r="T781" s="55"/>
      <c r="U781" s="55"/>
    </row>
    <row r="782" spans="1:21" ht="18.75">
      <c r="A782" s="49"/>
      <c r="B782" s="58" t="s">
        <v>295</v>
      </c>
      <c r="C782" s="50"/>
      <c r="D782" s="188"/>
      <c r="E782" s="50"/>
      <c r="F782" s="50"/>
      <c r="G782" s="52"/>
      <c r="H782" s="53" t="s">
        <v>14</v>
      </c>
      <c r="I782" s="212">
        <f ca="1">IFERROR(__xludf.DUMMYFUNCTION("IMPORTRANGE(""https://docs.google.com/spreadsheets/d/10OvvATaaLtwErnr3qtWFcTmtbfpFEt5Bsqel9sXx0uE/edit?usp=sharing"",""งานกองทุน!N32"")"),2364638.41)</f>
        <v>2364638.41</v>
      </c>
      <c r="J782" s="212">
        <f ca="1">IFERROR(__xludf.DUMMYFUNCTION("IMPORTRANGE(""https://docs.google.com/spreadsheets/d/10OvvATaaLtwErnr3qtWFcTmtbfpFEt5Bsqel9sXx0uE/edit?usp=sharing"",""งานกองทุน!P32"")"),147891.41)</f>
        <v>147891.41</v>
      </c>
      <c r="K782" s="255">
        <f ca="1">IF(I782&gt;0,J782*100/I782,0)</f>
        <v>6.2542928074994766</v>
      </c>
      <c r="L782" s="55"/>
      <c r="M782" s="55"/>
      <c r="N782" s="55"/>
      <c r="O782" s="55"/>
      <c r="P782" s="55"/>
      <c r="Q782" s="55"/>
      <c r="R782" s="55"/>
      <c r="S782" s="55"/>
      <c r="T782" s="55"/>
      <c r="U782" s="55"/>
    </row>
    <row r="783" spans="1:21" ht="18.75">
      <c r="A783" s="49"/>
      <c r="B783" s="50"/>
      <c r="C783" s="50"/>
      <c r="D783" s="188"/>
      <c r="E783" s="50"/>
      <c r="F783" s="50"/>
      <c r="G783" s="52"/>
      <c r="H783" s="53" t="s">
        <v>35</v>
      </c>
      <c r="I783" s="212">
        <f ca="1">IFERROR(__xludf.DUMMYFUNCTION("IMPORTRANGE(""https://docs.google.com/spreadsheets/d/10OvvATaaLtwErnr3qtWFcTmtbfpFEt5Bsqel9sXx0uE/edit?usp=sharing"",""งานกองทุน!M32"")"),175)</f>
        <v>175</v>
      </c>
      <c r="J783" s="212">
        <f ca="1">IFERROR(__xludf.DUMMYFUNCTION("IMPORTRANGE(""https://docs.google.com/spreadsheets/d/10OvvATaaLtwErnr3qtWFcTmtbfpFEt5Bsqel9sXx0uE/edit?usp=sharing"",""งานกองทุน!O32"")"),68)</f>
        <v>68</v>
      </c>
      <c r="K783" s="255">
        <f ca="1">IF(I783&gt;0,J783*100/I783,0)</f>
        <v>38.857142857142854</v>
      </c>
      <c r="L783" s="55"/>
      <c r="M783" s="55"/>
      <c r="N783" s="55"/>
      <c r="O783" s="55"/>
      <c r="P783" s="55"/>
      <c r="Q783" s="55"/>
      <c r="R783" s="55"/>
      <c r="S783" s="55"/>
      <c r="T783" s="55"/>
      <c r="U783" s="55"/>
    </row>
    <row r="784" spans="1:21" ht="18.75">
      <c r="A784" s="49"/>
      <c r="B784" s="58" t="s">
        <v>296</v>
      </c>
      <c r="C784" s="50"/>
      <c r="D784" s="188"/>
      <c r="E784" s="50"/>
      <c r="F784" s="50"/>
      <c r="G784" s="52"/>
      <c r="H784" s="53" t="s">
        <v>14</v>
      </c>
      <c r="I784" s="212">
        <f ca="1">IFERROR(__xludf.DUMMYFUNCTION("IMPORTRANGE(""https://docs.google.com/spreadsheets/d/10OvvATaaLtwErnr3qtWFcTmtbfpFEt5Bsqel9sXx0uE/edit?usp=sharing"",""งานกองทุน!S32"")"),7448000)</f>
        <v>7448000</v>
      </c>
      <c r="J784" s="212">
        <f ca="1">IFERROR(__xludf.DUMMYFUNCTION("IMPORTRANGE(""https://docs.google.com/spreadsheets/d/10OvvATaaLtwErnr3qtWFcTmtbfpFEt5Bsqel9sXx0uE/edit?usp=sharing"",""งานกองทุน!U32"")"),3740000)</f>
        <v>3740000</v>
      </c>
      <c r="K784" s="255">
        <f ca="1">IF(I784&gt;0,J784*100/I784,0)</f>
        <v>50.214822771213747</v>
      </c>
      <c r="L784" s="55"/>
      <c r="M784" s="55"/>
      <c r="N784" s="55"/>
      <c r="O784" s="55"/>
      <c r="P784" s="55"/>
      <c r="Q784" s="55"/>
      <c r="R784" s="55"/>
      <c r="S784" s="55"/>
      <c r="T784" s="55"/>
      <c r="U784" s="55"/>
    </row>
    <row r="785" spans="1:21" ht="18.75">
      <c r="A785" s="63"/>
      <c r="B785" s="4"/>
      <c r="C785" s="4"/>
      <c r="D785" s="5"/>
      <c r="E785" s="4"/>
      <c r="F785" s="4"/>
      <c r="G785" s="65"/>
      <c r="H785" s="66" t="s">
        <v>35</v>
      </c>
      <c r="I785" s="216">
        <f ca="1">IFERROR(__xludf.DUMMYFUNCTION("IMPORTRANGE(""https://docs.google.com/spreadsheets/d/10OvvATaaLtwErnr3qtWFcTmtbfpFEt5Bsqel9sXx0uE/edit?usp=sharing"",""งานกองทุน!R32"")"),266)</f>
        <v>266</v>
      </c>
      <c r="J785" s="216">
        <f ca="1">IFERROR(__xludf.DUMMYFUNCTION("IMPORTRANGE(""https://docs.google.com/spreadsheets/d/10OvvATaaLtwErnr3qtWFcTmtbfpFEt5Bsqel9sXx0uE/edit?usp=sharing"",""งานกองทุน!T32"")"),98)</f>
        <v>98</v>
      </c>
      <c r="K785" s="506">
        <f ca="1">IF(I785&gt;0,J785*100/I785,0)</f>
        <v>36.842105263157897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6.5">
      <c r="A787" s="535" t="s">
        <v>297</v>
      </c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6.5">
      <c r="A788" s="535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</v>
      </c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6.5">
      <c r="A789" s="535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</v>
      </c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</sheetData>
  <mergeCells count="25">
    <mergeCell ref="A1:U1"/>
    <mergeCell ref="A2:U2"/>
    <mergeCell ref="A3:U3"/>
    <mergeCell ref="Q4:U4"/>
    <mergeCell ref="I5:K5"/>
    <mergeCell ref="L5:M5"/>
    <mergeCell ref="N5:P5"/>
    <mergeCell ref="Q5:R5"/>
    <mergeCell ref="S5:U5"/>
    <mergeCell ref="D493:F493"/>
    <mergeCell ref="D599:G599"/>
    <mergeCell ref="D616:G616"/>
    <mergeCell ref="D642:G642"/>
    <mergeCell ref="D690:G690"/>
    <mergeCell ref="L4:P4"/>
    <mergeCell ref="D714:G714"/>
    <mergeCell ref="D728:G728"/>
    <mergeCell ref="D760:G760"/>
    <mergeCell ref="A5:G6"/>
    <mergeCell ref="A7:G7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" footer="0"/>
  <pageSetup paperSize="9" scale="29" fitToHeight="0" pageOrder="overThenDown" orientation="portrait" cellComments="atEnd" horizontalDpi="4294967293" verticalDpi="4294967293" r:id="rId1"/>
  <headerFooter>
    <oddFooter>&amp;Cหน้า &amp;P/&amp;N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A167B0-EB73-4682-96E1-D8900CE69A9C}">
  <sheetPr>
    <outlinePr summaryBelow="0" summaryRight="0"/>
    <pageSetUpPr fitToPage="1"/>
  </sheetPr>
  <dimension ref="A1:U789"/>
  <sheetViews>
    <sheetView view="pageBreakPreview" zoomScale="60" zoomScaleNormal="60" workbookViewId="0">
      <pane xSplit="8" ySplit="17" topLeftCell="I18" activePane="bottomRight" state="frozen"/>
      <selection activeCell="T32" sqref="T32"/>
      <selection pane="topRight" activeCell="T32" sqref="T32"/>
      <selection pane="bottomLeft" activeCell="T32" sqref="T32"/>
      <selection pane="bottomRight" activeCell="T32" sqref="T32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10" width="16.85546875" bestFit="1" customWidth="1"/>
    <col min="11" max="11" width="12.5703125" bestFit="1" customWidth="1"/>
    <col min="12" max="14" width="21.28515625" bestFit="1" customWidth="1"/>
    <col min="15" max="15" width="20.140625" bestFit="1" customWidth="1"/>
    <col min="16" max="16" width="22" bestFit="1" customWidth="1"/>
    <col min="17" max="18" width="21.28515625" bestFit="1" customWidth="1"/>
    <col min="19" max="19" width="18.7109375" bestFit="1" customWidth="1"/>
    <col min="20" max="20" width="20.140625" bestFit="1" customWidth="1"/>
    <col min="21" max="21" width="22" bestFit="1" customWidth="1"/>
  </cols>
  <sheetData>
    <row r="1" spans="1:21" ht="19.5">
      <c r="A1" s="894" t="s">
        <v>0</v>
      </c>
      <c r="B1" s="894"/>
      <c r="C1" s="894"/>
      <c r="D1" s="894"/>
      <c r="E1" s="894"/>
      <c r="F1" s="894"/>
      <c r="G1" s="894"/>
      <c r="H1" s="894"/>
      <c r="I1" s="894"/>
      <c r="J1" s="894"/>
      <c r="K1" s="894"/>
      <c r="L1" s="894"/>
      <c r="M1" s="894"/>
      <c r="N1" s="894"/>
      <c r="O1" s="894"/>
      <c r="P1" s="894"/>
      <c r="Q1" s="894"/>
      <c r="R1" s="894"/>
      <c r="S1" s="894"/>
      <c r="T1" s="894"/>
      <c r="U1" s="894"/>
    </row>
    <row r="2" spans="1:21" ht="19.5">
      <c r="A2" s="894" t="s">
        <v>336</v>
      </c>
      <c r="B2" s="894"/>
      <c r="C2" s="894"/>
      <c r="D2" s="894"/>
      <c r="E2" s="894"/>
      <c r="F2" s="894"/>
      <c r="G2" s="894"/>
      <c r="H2" s="894"/>
      <c r="I2" s="894"/>
      <c r="J2" s="894"/>
      <c r="K2" s="894"/>
      <c r="L2" s="894"/>
      <c r="M2" s="894"/>
      <c r="N2" s="894"/>
      <c r="O2" s="894"/>
      <c r="P2" s="894"/>
      <c r="Q2" s="894"/>
      <c r="R2" s="894"/>
      <c r="S2" s="894"/>
      <c r="T2" s="894"/>
      <c r="U2" s="894"/>
    </row>
    <row r="3" spans="1:21" ht="19.5">
      <c r="A3" s="894" t="s">
        <v>339</v>
      </c>
      <c r="B3" s="894"/>
      <c r="C3" s="894"/>
      <c r="D3" s="894"/>
      <c r="E3" s="894"/>
      <c r="F3" s="894"/>
      <c r="G3" s="894"/>
      <c r="H3" s="894"/>
      <c r="I3" s="894"/>
      <c r="J3" s="894"/>
      <c r="K3" s="894"/>
      <c r="L3" s="894"/>
      <c r="M3" s="894"/>
      <c r="N3" s="894"/>
      <c r="O3" s="894"/>
      <c r="P3" s="894"/>
      <c r="Q3" s="894"/>
      <c r="R3" s="894"/>
      <c r="S3" s="894"/>
      <c r="T3" s="894"/>
      <c r="U3" s="894"/>
    </row>
    <row r="4" spans="1:21" ht="19.5">
      <c r="A4" s="4"/>
      <c r="B4" s="4"/>
      <c r="C4" s="4"/>
      <c r="D4" s="4"/>
      <c r="E4" s="4"/>
      <c r="F4" s="4"/>
      <c r="G4" s="4"/>
      <c r="H4" s="4"/>
      <c r="I4" s="4"/>
      <c r="J4" s="5"/>
      <c r="K4" s="766"/>
      <c r="L4" s="765" t="s">
        <v>2</v>
      </c>
      <c r="M4" s="514"/>
      <c r="N4" s="514"/>
      <c r="O4" s="514"/>
      <c r="P4" s="512"/>
      <c r="Q4" s="518" t="s">
        <v>3</v>
      </c>
      <c r="R4" s="514"/>
      <c r="S4" s="514"/>
      <c r="T4" s="514"/>
      <c r="U4" s="512"/>
    </row>
    <row r="5" spans="1:21" ht="19.5">
      <c r="A5" s="764" t="s">
        <v>4</v>
      </c>
      <c r="B5" s="516"/>
      <c r="C5" s="516"/>
      <c r="D5" s="516"/>
      <c r="E5" s="516"/>
      <c r="F5" s="516"/>
      <c r="G5" s="763"/>
      <c r="H5" s="772" t="s">
        <v>5</v>
      </c>
      <c r="I5" s="761" t="s">
        <v>6</v>
      </c>
      <c r="J5" s="514"/>
      <c r="K5" s="512"/>
      <c r="L5" s="760" t="s">
        <v>7</v>
      </c>
      <c r="M5" s="512"/>
      <c r="N5" s="513" t="s">
        <v>8</v>
      </c>
      <c r="O5" s="514"/>
      <c r="P5" s="512"/>
      <c r="Q5" s="511" t="s">
        <v>7</v>
      </c>
      <c r="R5" s="512"/>
      <c r="S5" s="513" t="s">
        <v>8</v>
      </c>
      <c r="T5" s="514"/>
      <c r="U5" s="512"/>
    </row>
    <row r="6" spans="1:21" ht="19.5">
      <c r="A6" s="522"/>
      <c r="B6" s="514"/>
      <c r="C6" s="514"/>
      <c r="D6" s="514"/>
      <c r="E6" s="514"/>
      <c r="F6" s="514"/>
      <c r="G6" s="512"/>
      <c r="H6" s="512"/>
      <c r="I6" s="9" t="s">
        <v>9</v>
      </c>
      <c r="J6" s="10" t="s">
        <v>10</v>
      </c>
      <c r="K6" s="9" t="s">
        <v>11</v>
      </c>
      <c r="L6" s="758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 hidden="1">
      <c r="A7" s="750"/>
      <c r="B7" s="514"/>
      <c r="C7" s="514"/>
      <c r="D7" s="514"/>
      <c r="E7" s="514"/>
      <c r="F7" s="514"/>
      <c r="G7" s="512"/>
      <c r="H7" s="17"/>
      <c r="I7" s="18"/>
      <c r="J7" s="18"/>
      <c r="K7" s="19"/>
      <c r="L7" s="28"/>
      <c r="M7" s="19"/>
      <c r="N7" s="19"/>
      <c r="O7" s="19"/>
      <c r="P7" s="19"/>
      <c r="Q7" s="19"/>
      <c r="R7" s="19"/>
      <c r="S7" s="19"/>
      <c r="T7" s="19"/>
      <c r="U7" s="19"/>
    </row>
    <row r="8" spans="1:21" ht="12.75" hidden="1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6"/>
      <c r="M8" s="25"/>
      <c r="N8" s="25"/>
      <c r="O8" s="25"/>
      <c r="P8" s="25"/>
      <c r="Q8" s="25"/>
      <c r="R8" s="25"/>
      <c r="S8" s="25"/>
      <c r="T8" s="25"/>
      <c r="U8" s="25"/>
    </row>
    <row r="9" spans="1:21" ht="12.75" hidden="1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6"/>
      <c r="M9" s="25"/>
      <c r="N9" s="25"/>
      <c r="O9" s="25"/>
      <c r="P9" s="25"/>
      <c r="Q9" s="25"/>
      <c r="R9" s="25"/>
      <c r="S9" s="25"/>
      <c r="T9" s="25"/>
      <c r="U9" s="25"/>
    </row>
    <row r="10" spans="1:21" ht="12.75" hidden="1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6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2.75" hidden="1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6"/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2.75" hidden="1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6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2.75" hidden="1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6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2.75" hidden="1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2.75" hidden="1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6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2.75" hidden="1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28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9.5">
      <c r="A17" s="532" t="s">
        <v>17</v>
      </c>
      <c r="B17" s="514"/>
      <c r="C17" s="514"/>
      <c r="D17" s="514"/>
      <c r="E17" s="514"/>
      <c r="F17" s="514"/>
      <c r="G17" s="512"/>
      <c r="H17" s="29"/>
      <c r="I17" s="30"/>
      <c r="J17" s="30"/>
      <c r="K17" s="31"/>
      <c r="L17" s="32"/>
      <c r="M17" s="31"/>
      <c r="N17" s="31"/>
      <c r="O17" s="31"/>
      <c r="P17" s="31"/>
      <c r="Q17" s="31"/>
      <c r="R17" s="31"/>
      <c r="S17" s="31"/>
      <c r="T17" s="31"/>
      <c r="U17" s="31"/>
    </row>
    <row r="18" spans="1:21" ht="19.5">
      <c r="A18" s="33"/>
      <c r="B18" s="34"/>
      <c r="C18" s="35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757">
        <f ca="1">L19+L20</f>
        <v>3159552</v>
      </c>
      <c r="M18" s="720">
        <f ca="1">M19+M20</f>
        <v>3205575</v>
      </c>
      <c r="N18" s="720">
        <f ca="1">N19+N20</f>
        <v>2712099.01</v>
      </c>
      <c r="O18" s="720">
        <f ca="1">IF(L18&gt;0,N18*100/L18,0)</f>
        <v>85.838087488352784</v>
      </c>
      <c r="P18" s="720">
        <f ca="1">IF(M18&gt;0,N18*100/M18,0)</f>
        <v>84.605695078106109</v>
      </c>
      <c r="Q18" s="720">
        <f ca="1">Q19+Q20</f>
        <v>4158019.24</v>
      </c>
      <c r="R18" s="720">
        <f ca="1">R19+R20</f>
        <v>4172019</v>
      </c>
      <c r="S18" s="720">
        <f ca="1">S19+S20</f>
        <v>615324.21000000008</v>
      </c>
      <c r="T18" s="720">
        <f ca="1">IF(Q18&gt;0,S18*100/Q18,0)</f>
        <v>14.798493573108143</v>
      </c>
      <c r="U18" s="720">
        <f ca="1">IF(R18&gt;0,S18*100/R18,0)</f>
        <v>14.74883527615766</v>
      </c>
    </row>
    <row r="19" spans="1:21" ht="18.75" hidden="1">
      <c r="A19" s="33"/>
      <c r="B19" s="34"/>
      <c r="C19" s="34"/>
      <c r="D19" s="34"/>
      <c r="E19" s="756" t="s">
        <v>20</v>
      </c>
      <c r="F19" s="34"/>
      <c r="G19" s="37"/>
      <c r="H19" s="755" t="s">
        <v>14</v>
      </c>
      <c r="I19" s="39"/>
      <c r="J19" s="39"/>
      <c r="K19" s="40"/>
      <c r="L19" s="754">
        <f>L22+L25</f>
        <v>0</v>
      </c>
      <c r="M19" s="753">
        <f>M22+M25</f>
        <v>0</v>
      </c>
      <c r="N19" s="753">
        <f>N22+N25</f>
        <v>0</v>
      </c>
      <c r="O19" s="753">
        <f>IF(L19&gt;0,N19*100/L19,0)</f>
        <v>0</v>
      </c>
      <c r="P19" s="753">
        <f>IF(M19&gt;0,N19*100/M19,0)</f>
        <v>0</v>
      </c>
      <c r="Q19" s="753">
        <f>Q22+Q25</f>
        <v>0</v>
      </c>
      <c r="R19" s="753">
        <f>R22+R25</f>
        <v>0</v>
      </c>
      <c r="S19" s="753">
        <f>S22+S25</f>
        <v>0</v>
      </c>
      <c r="T19" s="753">
        <f>IF(Q19&gt;0,S19*100/Q19,0)</f>
        <v>0</v>
      </c>
      <c r="U19" s="753">
        <f>IF(R19&gt;0,S19*100/R19,0)</f>
        <v>0</v>
      </c>
    </row>
    <row r="20" spans="1:21" ht="18.75" hidden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752">
        <f ca="1">L23+L26</f>
        <v>3159552</v>
      </c>
      <c r="M20" s="751">
        <f ca="1">M23+M26</f>
        <v>3205575</v>
      </c>
      <c r="N20" s="751">
        <f ca="1">N23+N26</f>
        <v>2712099.01</v>
      </c>
      <c r="O20" s="751">
        <f ca="1">IF(L20&gt;0,N20*100/L20,0)</f>
        <v>85.838087488352784</v>
      </c>
      <c r="P20" s="751">
        <f ca="1">IF(M20&gt;0,N20*100/M20,0)</f>
        <v>84.605695078106109</v>
      </c>
      <c r="Q20" s="751">
        <f ca="1">Q23+Q26</f>
        <v>4158019.24</v>
      </c>
      <c r="R20" s="751">
        <f ca="1">R23+R26</f>
        <v>4172019</v>
      </c>
      <c r="S20" s="751">
        <f ca="1">S23+S26</f>
        <v>615324.21000000008</v>
      </c>
      <c r="T20" s="751">
        <f ca="1">IF(Q20&gt;0,S20*100/Q20,0)</f>
        <v>14.798493573108143</v>
      </c>
      <c r="U20" s="751">
        <f ca="1">IF(R20&gt;0,S20*100/R20,0)</f>
        <v>14.74883527615766</v>
      </c>
    </row>
    <row r="21" spans="1:21" ht="18.75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256">
        <f ca="1">L22+L23</f>
        <v>3159552</v>
      </c>
      <c r="M21" s="255">
        <f ca="1">M22+M23</f>
        <v>3205575</v>
      </c>
      <c r="N21" s="255">
        <f ca="1">N22+N23</f>
        <v>2712099.01</v>
      </c>
      <c r="O21" s="255">
        <f ca="1">IF(L21&gt;0,N21*100/L21,0)</f>
        <v>85.838087488352784</v>
      </c>
      <c r="P21" s="255">
        <f ca="1">IF(M21&gt;0,N21*100/M21,0)</f>
        <v>84.605695078106109</v>
      </c>
      <c r="Q21" s="255">
        <f ca="1">Q22+Q23</f>
        <v>4158019.24</v>
      </c>
      <c r="R21" s="255">
        <f ca="1">R22+R23</f>
        <v>4172019</v>
      </c>
      <c r="S21" s="255">
        <f ca="1">S22+S23</f>
        <v>615324.21000000008</v>
      </c>
      <c r="T21" s="255">
        <f ca="1">IF(Q21&gt;0,S21*100/Q21,0)</f>
        <v>14.798493573108143</v>
      </c>
      <c r="U21" s="255">
        <f ca="1">IF(R21&gt;0,S21*100/R21,0)</f>
        <v>14.74883527615766</v>
      </c>
    </row>
    <row r="22" spans="1:21" ht="18.75" hidden="1">
      <c r="A22" s="49"/>
      <c r="B22" s="50"/>
      <c r="C22" s="50"/>
      <c r="D22" s="50"/>
      <c r="E22" s="186" t="s">
        <v>20</v>
      </c>
      <c r="F22" s="50"/>
      <c r="G22" s="52"/>
      <c r="H22" s="729" t="s">
        <v>14</v>
      </c>
      <c r="I22" s="54"/>
      <c r="J22" s="54"/>
      <c r="K22" s="55"/>
      <c r="L22" s="103">
        <f>L48+L63+L76+L98+L129+L143+L161+L190+L177+L270+L286+L307+L324+L337+L360+L517</f>
        <v>0</v>
      </c>
      <c r="M22" s="102">
        <f>M48+M63+M76+M98+M129+M143+M161+M190+M177+M270+M286+M307+M324+M337+M360+M517</f>
        <v>0</v>
      </c>
      <c r="N22" s="102">
        <f>N48+N63+N76+N98+N129+N143+N161+N190+N177+N270+N286+N307+N324+N337+N360+N517</f>
        <v>0</v>
      </c>
      <c r="O22" s="102">
        <f>IF(L22&gt;0,N22*100/L22,0)</f>
        <v>0</v>
      </c>
      <c r="P22" s="102">
        <f>IF(M22&gt;0,N22*100/M22,0)</f>
        <v>0</v>
      </c>
      <c r="Q22" s="102">
        <f>Q76+Q98+Q121+Q143+Q161+Q177+Q190+Q270+Q286+Q307+Q337+Q379+Q396+Q417+Q497+Q603+Q620+Q646+Q694+Q718+Q732+Q764</f>
        <v>0</v>
      </c>
      <c r="R22" s="102">
        <f>R76+R98+R121+R143+R161+R177+R190+R270+R286+R307+R337+R379+R396+R417+R497+R603+R620+R646+R694+R718+R732+R764</f>
        <v>0</v>
      </c>
      <c r="S22" s="102">
        <f>S76+S98+S121+S143+S161+S177+S190+S270+S286+S307+S337+S379+S396+S417+S497+S603+S620+S646+S694+S718+S732+S764</f>
        <v>0</v>
      </c>
      <c r="T22" s="102">
        <f>IF(Q22&gt;0,S22*100/Q22,0)</f>
        <v>0</v>
      </c>
      <c r="U22" s="102">
        <f>IF(R22&gt;0,S22*100/R22,0)</f>
        <v>0</v>
      </c>
    </row>
    <row r="23" spans="1:21" ht="18.75" hidden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256">
        <f ca="1">L49+L64+L77+L99+L130+L144+L162+L191+L178+L271+L287+L308+L325+L338+L361+L518</f>
        <v>3159552</v>
      </c>
      <c r="M23" s="255">
        <f ca="1">M49+M64+M77+M99+M130+M144+M162+M191+M178+M271+M287+M308+M325+M338+M361+M518</f>
        <v>3205575</v>
      </c>
      <c r="N23" s="255">
        <f ca="1">N49+N64+N77+N99+N130+N144+N162+N191+N178+N271+N287+N308+N325+N338+N361+N518</f>
        <v>2712099.01</v>
      </c>
      <c r="O23" s="255">
        <f ca="1">IF(L23&gt;0,N23*100/L23,0)</f>
        <v>85.838087488352784</v>
      </c>
      <c r="P23" s="255">
        <f ca="1">IF(M23&gt;0,N23*100/M23,0)</f>
        <v>84.605695078106109</v>
      </c>
      <c r="Q23" s="255">
        <f ca="1">Q77+Q99+Q122+Q144+Q162+Q178+Q191+Q271+Q287+Q308+Q338+Q380+Q397+Q418+Q498+Q604+Q621+Q647+Q695+Q719+Q733+Q765</f>
        <v>4158019.24</v>
      </c>
      <c r="R23" s="255">
        <f ca="1">R77+R99+R122+R144+R162+R178+R191+R271+R287+R308+R338+R380+R397+R418+R498+R604+R621+R647+R695+R719+R733+R765</f>
        <v>4172019</v>
      </c>
      <c r="S23" s="255">
        <f ca="1">S77+S99+S122+S144+S162+S178+S191+S271+S287+S308+S338+S380+S397+S418+S498+S604+S621+S647+S695+S719+S733+S765</f>
        <v>615324.21000000008</v>
      </c>
      <c r="T23" s="255">
        <f ca="1">IF(Q23&gt;0,S23*100/Q23,0)</f>
        <v>14.798493573108143</v>
      </c>
      <c r="U23" s="255">
        <f ca="1">IF(R23&gt;0,S23*100/R23,0)</f>
        <v>14.74883527615766</v>
      </c>
    </row>
    <row r="24" spans="1:21" ht="18.75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256">
        <f ca="1">L25+L26</f>
        <v>0</v>
      </c>
      <c r="M24" s="255">
        <f ca="1">M25+M26</f>
        <v>0</v>
      </c>
      <c r="N24" s="255">
        <f ca="1">N25+N26</f>
        <v>0</v>
      </c>
      <c r="O24" s="255">
        <f ca="1">IF(L24&gt;0,N24*100/L24,0)</f>
        <v>0</v>
      </c>
      <c r="P24" s="255">
        <f ca="1">IF(M24&gt;0,N24*100/M24,0)</f>
        <v>0</v>
      </c>
      <c r="Q24" s="255">
        <f>Q25+Q26</f>
        <v>0</v>
      </c>
      <c r="R24" s="255">
        <f>R25+R26</f>
        <v>0</v>
      </c>
      <c r="S24" s="255">
        <f>S25+S26</f>
        <v>0</v>
      </c>
      <c r="T24" s="255">
        <f>IF(Q24&gt;0,S24*100/Q24,0)</f>
        <v>0</v>
      </c>
      <c r="U24" s="255">
        <f>IF(R24&gt;0,S24*100/R24,0)</f>
        <v>0</v>
      </c>
    </row>
    <row r="25" spans="1:21" ht="18.75" hidden="1">
      <c r="A25" s="49"/>
      <c r="B25" s="50"/>
      <c r="C25" s="50"/>
      <c r="D25" s="50"/>
      <c r="E25" s="186" t="s">
        <v>20</v>
      </c>
      <c r="F25" s="50"/>
      <c r="G25" s="52"/>
      <c r="H25" s="729" t="s">
        <v>14</v>
      </c>
      <c r="I25" s="54"/>
      <c r="J25" s="54"/>
      <c r="K25" s="55"/>
      <c r="L25" s="103">
        <f>L51+L66+L79+L101+L132+L146+L164+L193+L180+L273+L289+L310+L327+L340+L363+L520</f>
        <v>0</v>
      </c>
      <c r="M25" s="102">
        <f>M51+M66+M79+M101+M132+M146+M164+M193+M180+M273+M289+M310+M327+M340+M363+M520</f>
        <v>0</v>
      </c>
      <c r="N25" s="102">
        <f>N51+N66+N79+N101+N132+N146+N164+N193+N180+N273+N289+N310+N327+N340+N363+N520</f>
        <v>0</v>
      </c>
      <c r="O25" s="102">
        <f>IF(L25&gt;0,N25*100/L25,0)</f>
        <v>0</v>
      </c>
      <c r="P25" s="102">
        <f>IF(M25&gt;0,N25*100/M25,0)</f>
        <v>0</v>
      </c>
      <c r="Q25" s="102">
        <f>Q79+Q101+Q124+Q146+Q164+Q180+Q193+Q273+Q289+Q310+Q340+Q382+Q399+Q420+Q500+Q606+Q623+Q649+Q697+Q721+Q735+Q767</f>
        <v>0</v>
      </c>
      <c r="R25" s="102">
        <f>R79+R101+R124+R146+R164+R180+R193+R273+R289+R310+R340+R382+R399+R420+R500+R606+R623+R649+R697+R721+R735+R767</f>
        <v>0</v>
      </c>
      <c r="S25" s="102">
        <f>S79+S101+S124+S146+S164+S180+S193+S273+S289+S310+S340+S382+S399+S420+S500+S606+S623+S649+S697+S721+S735+S767</f>
        <v>0</v>
      </c>
      <c r="T25" s="102">
        <f>IF(Q25&gt;0,S25*100/Q25,0)</f>
        <v>0</v>
      </c>
      <c r="U25" s="102">
        <f>IF(R25&gt;0,S25*100/R25,0)</f>
        <v>0</v>
      </c>
    </row>
    <row r="26" spans="1:21" ht="18.75" hidden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256">
        <f ca="1">L52+L67+L80+L102+L133+L147+L165+L194+L181+L274+L290+L311+L328+L341+L364+L521</f>
        <v>0</v>
      </c>
      <c r="M26" s="255">
        <f ca="1">M52+M67+M80+M102+M133+M147+M165+M194+M181+M274+M290+M311+M328+M341+M364+M521</f>
        <v>0</v>
      </c>
      <c r="N26" s="255">
        <f ca="1">N52+N67+N80+N102+N133+N147+N165+N194+N181+N274+N290+N311+N328+N341+N364+N521</f>
        <v>0</v>
      </c>
      <c r="O26" s="255">
        <f ca="1">IF(L26&gt;0,N26*100/L26,0)</f>
        <v>0</v>
      </c>
      <c r="P26" s="255">
        <f ca="1">IF(M26&gt;0,N26*100/M26,0)</f>
        <v>0</v>
      </c>
      <c r="Q26" s="102">
        <f>Q80+Q102+Q125+Q147+Q165+Q181+Q194+Q274+Q290+Q311+Q341+Q383+Q400+Q421+Q501+Q607+Q624+Q650+Q698+Q722+Q736+Q768</f>
        <v>0</v>
      </c>
      <c r="R26" s="102">
        <f>R80+R102+R125+R147+R165+R181+R194+R274+R290+R311+R341+R383+R400+R421+R501+R607+R624+R650+R698+R722+R736+R768</f>
        <v>0</v>
      </c>
      <c r="S26" s="102">
        <f>S80+S102+S125+S147+S165+S181+S194+S274+S290+S311+S341+S383+S400+S421+S501+S607+S624+S650+S698+S722+S736+S768</f>
        <v>0</v>
      </c>
      <c r="T26" s="255">
        <f>IF(Q26&gt;0,S26*100/Q26,0)</f>
        <v>0</v>
      </c>
      <c r="U26" s="255">
        <f>IF(R26&gt;0,S26*100/R26,0)</f>
        <v>0</v>
      </c>
    </row>
    <row r="27" spans="1:21" ht="18.75">
      <c r="A27" s="49"/>
      <c r="B27" s="50"/>
      <c r="C27" s="50"/>
      <c r="D27" s="51" t="s">
        <v>24</v>
      </c>
      <c r="E27" s="50"/>
      <c r="F27" s="50"/>
      <c r="G27" s="52"/>
      <c r="H27" s="53" t="s">
        <v>14</v>
      </c>
      <c r="I27" s="54"/>
      <c r="J27" s="54"/>
      <c r="K27" s="55"/>
      <c r="L27" s="62"/>
      <c r="M27" s="55"/>
      <c r="N27" s="55"/>
      <c r="O27" s="55"/>
      <c r="P27" s="55"/>
      <c r="Q27" s="55"/>
      <c r="R27" s="55"/>
      <c r="S27" s="55"/>
      <c r="T27" s="55"/>
      <c r="U27" s="55"/>
    </row>
    <row r="28" spans="1:21" ht="18.75" hidden="1">
      <c r="A28" s="49"/>
      <c r="B28" s="50"/>
      <c r="C28" s="50"/>
      <c r="D28" s="50"/>
      <c r="E28" s="186" t="s">
        <v>20</v>
      </c>
      <c r="F28" s="50"/>
      <c r="G28" s="52"/>
      <c r="H28" s="729" t="s">
        <v>14</v>
      </c>
      <c r="I28" s="54"/>
      <c r="J28" s="54"/>
      <c r="K28" s="55"/>
      <c r="L28" s="62"/>
      <c r="M28" s="55"/>
      <c r="N28" s="55"/>
      <c r="O28" s="55"/>
      <c r="P28" s="55"/>
      <c r="Q28" s="55"/>
      <c r="R28" s="55"/>
      <c r="S28" s="55"/>
      <c r="T28" s="55"/>
      <c r="U28" s="55"/>
    </row>
    <row r="29" spans="1:21" ht="18.75" hidden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8"/>
      <c r="M29" s="6"/>
      <c r="N29" s="6"/>
      <c r="O29" s="6"/>
      <c r="P29" s="6"/>
      <c r="Q29" s="6"/>
      <c r="R29" s="6"/>
      <c r="S29" s="6"/>
      <c r="T29" s="6"/>
      <c r="U29" s="6"/>
    </row>
    <row r="30" spans="1:21" ht="12.75" hidden="1">
      <c r="A30" s="750"/>
      <c r="B30" s="514"/>
      <c r="C30" s="514"/>
      <c r="D30" s="514"/>
      <c r="E30" s="514"/>
      <c r="F30" s="514"/>
      <c r="G30" s="512"/>
      <c r="H30" s="17"/>
      <c r="I30" s="18"/>
      <c r="J30" s="18"/>
      <c r="K30" s="19"/>
      <c r="L30" s="28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 hidden="1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6"/>
      <c r="M31" s="25"/>
      <c r="N31" s="25"/>
      <c r="O31" s="25"/>
      <c r="P31" s="25"/>
      <c r="Q31" s="25"/>
      <c r="R31" s="25"/>
      <c r="S31" s="25"/>
      <c r="T31" s="25"/>
      <c r="U31" s="25"/>
    </row>
    <row r="32" spans="1:21" ht="12.75" hidden="1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6"/>
      <c r="M32" s="25"/>
      <c r="N32" s="25"/>
      <c r="O32" s="25"/>
      <c r="P32" s="25"/>
      <c r="Q32" s="25"/>
      <c r="R32" s="25"/>
      <c r="S32" s="25"/>
      <c r="T32" s="25"/>
      <c r="U32" s="25"/>
    </row>
    <row r="33" spans="1:21" ht="12.75" hidden="1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6"/>
      <c r="M33" s="25"/>
      <c r="N33" s="25"/>
      <c r="O33" s="25"/>
      <c r="P33" s="25"/>
      <c r="Q33" s="25"/>
      <c r="R33" s="25"/>
      <c r="S33" s="25"/>
      <c r="T33" s="25"/>
      <c r="U33" s="25"/>
    </row>
    <row r="34" spans="1:21" ht="12.75" hidden="1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6"/>
      <c r="M34" s="25"/>
      <c r="N34" s="25"/>
      <c r="O34" s="25"/>
      <c r="P34" s="25"/>
      <c r="Q34" s="25"/>
      <c r="R34" s="25"/>
      <c r="S34" s="25"/>
      <c r="T34" s="25"/>
      <c r="U34" s="25"/>
    </row>
    <row r="35" spans="1:21" ht="12.75" hidden="1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6"/>
      <c r="M35" s="25"/>
      <c r="N35" s="25"/>
      <c r="O35" s="25"/>
      <c r="P35" s="25"/>
      <c r="Q35" s="25"/>
      <c r="R35" s="25"/>
      <c r="S35" s="25"/>
      <c r="T35" s="25"/>
      <c r="U35" s="25"/>
    </row>
    <row r="36" spans="1:21" ht="12.75" hidden="1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6"/>
      <c r="M36" s="25"/>
      <c r="N36" s="25"/>
      <c r="O36" s="25"/>
      <c r="P36" s="25"/>
      <c r="Q36" s="25"/>
      <c r="R36" s="25"/>
      <c r="S36" s="25"/>
      <c r="T36" s="25"/>
      <c r="U36" s="25"/>
    </row>
    <row r="37" spans="1:21" ht="12.75" hidden="1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6"/>
      <c r="M37" s="25"/>
      <c r="N37" s="25"/>
      <c r="O37" s="25"/>
      <c r="P37" s="25"/>
      <c r="Q37" s="25"/>
      <c r="R37" s="25"/>
      <c r="S37" s="25"/>
      <c r="T37" s="25"/>
      <c r="U37" s="25"/>
    </row>
    <row r="38" spans="1:21" ht="12.75" hidden="1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6"/>
      <c r="M38" s="25"/>
      <c r="N38" s="25"/>
      <c r="O38" s="25"/>
      <c r="P38" s="25"/>
      <c r="Q38" s="25"/>
      <c r="R38" s="25"/>
      <c r="S38" s="25"/>
      <c r="T38" s="25"/>
      <c r="U38" s="25"/>
    </row>
    <row r="39" spans="1:21" ht="12.75" hidden="1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28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9.5" hidden="1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749">
        <f ca="1">L44+L59+L72+L94+L125+L139+L157+L173+L186+L266+L282+L303+L320+L333+L356</f>
        <v>3159552</v>
      </c>
      <c r="M40" s="748">
        <f ca="1">M44+M59+M72+M94+M125+M139+M157+M173+M186+M266+M282+M303+M320+M333+M356</f>
        <v>3205575</v>
      </c>
      <c r="N40" s="748">
        <f ca="1">N44+N59+N72+N94+N125+N139+N157+N173+N186+N266+N282+N303+N320+N333+N356</f>
        <v>2712099.01</v>
      </c>
      <c r="O40" s="748">
        <f ca="1">IF(L40&gt;0,N40*100/L40,0)</f>
        <v>85.838087488352784</v>
      </c>
      <c r="P40" s="748">
        <f ca="1">IF(M40&gt;0,N40*100/M40,0)</f>
        <v>84.605695078106109</v>
      </c>
      <c r="Q40" s="73"/>
      <c r="R40" s="73"/>
      <c r="S40" s="73"/>
      <c r="T40" s="73"/>
      <c r="U40" s="73"/>
    </row>
    <row r="41" spans="1:21" ht="19.5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78"/>
      <c r="R41" s="78"/>
      <c r="S41" s="78"/>
      <c r="T41" s="78"/>
      <c r="U41" s="79"/>
    </row>
    <row r="42" spans="1:21" ht="19.5">
      <c r="A42" s="80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5"/>
      <c r="M42" s="84"/>
      <c r="N42" s="84"/>
      <c r="O42" s="84"/>
      <c r="P42" s="84"/>
      <c r="Q42" s="84"/>
      <c r="R42" s="84"/>
      <c r="S42" s="84"/>
      <c r="T42" s="84"/>
      <c r="U42" s="84"/>
    </row>
    <row r="43" spans="1:21" ht="12.75" hidden="1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6"/>
      <c r="M43" s="25"/>
      <c r="N43" s="25"/>
      <c r="O43" s="25"/>
      <c r="P43" s="25"/>
      <c r="Q43" s="25"/>
      <c r="R43" s="25"/>
      <c r="S43" s="25"/>
      <c r="T43" s="25"/>
      <c r="U43" s="25"/>
    </row>
    <row r="44" spans="1:21" ht="19.5">
      <c r="A44" s="86"/>
      <c r="B44" s="87"/>
      <c r="C44" s="88" t="s">
        <v>18</v>
      </c>
      <c r="D44" s="747" t="s">
        <v>19</v>
      </c>
      <c r="E44" s="87"/>
      <c r="F44" s="87"/>
      <c r="G44" s="90"/>
      <c r="H44" s="91" t="s">
        <v>14</v>
      </c>
      <c r="I44" s="92"/>
      <c r="J44" s="92"/>
      <c r="K44" s="93"/>
      <c r="L44" s="746">
        <f ca="1">L45+L46</f>
        <v>464922</v>
      </c>
      <c r="M44" s="745">
        <f ca="1">M45+M46</f>
        <v>516432</v>
      </c>
      <c r="N44" s="745">
        <f ca="1">N45+N46</f>
        <v>476532</v>
      </c>
      <c r="O44" s="745">
        <f ca="1">IF(L44&gt;0,N44*100/L44,0)</f>
        <v>102.49719307754849</v>
      </c>
      <c r="P44" s="745">
        <f ca="1">IF(M44&gt;0,N44*100/M44,0)</f>
        <v>92.273910214703974</v>
      </c>
      <c r="Q44" s="745">
        <f>Q45+Q46</f>
        <v>0</v>
      </c>
      <c r="R44" s="745">
        <f>R45+R46</f>
        <v>0</v>
      </c>
      <c r="S44" s="745">
        <f>S45+S46</f>
        <v>0</v>
      </c>
      <c r="T44" s="745">
        <f>IF(Q44&gt;0,S44*100/Q44,0)</f>
        <v>0</v>
      </c>
      <c r="U44" s="745">
        <f>IF(R44&gt;0,S44*100/R44,0)</f>
        <v>0</v>
      </c>
    </row>
    <row r="45" spans="1:21" ht="18.75" hidden="1">
      <c r="A45" s="86"/>
      <c r="B45" s="87"/>
      <c r="C45" s="87"/>
      <c r="D45" s="87"/>
      <c r="E45" s="744" t="s">
        <v>20</v>
      </c>
      <c r="F45" s="87"/>
      <c r="G45" s="90"/>
      <c r="H45" s="743" t="s">
        <v>14</v>
      </c>
      <c r="I45" s="92"/>
      <c r="J45" s="92"/>
      <c r="K45" s="93"/>
      <c r="L45" s="742">
        <f>L48+L51</f>
        <v>0</v>
      </c>
      <c r="M45" s="741">
        <f>M48+M51</f>
        <v>0</v>
      </c>
      <c r="N45" s="741">
        <f>N48+N51</f>
        <v>0</v>
      </c>
      <c r="O45" s="741">
        <f>IF(L45&gt;0,N45*100/L45,0)</f>
        <v>0</v>
      </c>
      <c r="P45" s="741">
        <f>IF(M45&gt;0,N45*100/M45,0)</f>
        <v>0</v>
      </c>
      <c r="Q45" s="741">
        <f>Q48+Q51</f>
        <v>0</v>
      </c>
      <c r="R45" s="741">
        <f>R48+R51</f>
        <v>0</v>
      </c>
      <c r="S45" s="741">
        <f>S48+S51</f>
        <v>0</v>
      </c>
      <c r="T45" s="741">
        <f>IF(Q45&gt;0,S45*100/Q45,0)</f>
        <v>0</v>
      </c>
      <c r="U45" s="741">
        <f>IF(R45&gt;0,S45*100/R45,0)</f>
        <v>0</v>
      </c>
    </row>
    <row r="46" spans="1:21" ht="18.75" hidden="1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740">
        <f ca="1">L49+L52</f>
        <v>464922</v>
      </c>
      <c r="M46" s="739">
        <f ca="1">M49+M52</f>
        <v>516432</v>
      </c>
      <c r="N46" s="739">
        <f ca="1">N49+N52</f>
        <v>476532</v>
      </c>
      <c r="O46" s="739">
        <f ca="1">IF(L46&gt;0,N46*100/L46,0)</f>
        <v>102.49719307754849</v>
      </c>
      <c r="P46" s="739">
        <f ca="1">IF(M46&gt;0,N46*100/M46,0)</f>
        <v>92.273910214703974</v>
      </c>
      <c r="Q46" s="739">
        <f>Q49+Q52</f>
        <v>0</v>
      </c>
      <c r="R46" s="739">
        <f>R49+R52</f>
        <v>0</v>
      </c>
      <c r="S46" s="739">
        <f>S49+S52</f>
        <v>0</v>
      </c>
      <c r="T46" s="739">
        <f>IF(Q46&gt;0,S46*100/Q46,0)</f>
        <v>0</v>
      </c>
      <c r="U46" s="739">
        <f>IF(R46&gt;0,S46*100/R46,0)</f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256">
        <f ca="1">L48+L49</f>
        <v>464922</v>
      </c>
      <c r="M47" s="255">
        <f ca="1">M48+M49</f>
        <v>516432</v>
      </c>
      <c r="N47" s="255">
        <f ca="1">N48+N49</f>
        <v>476532</v>
      </c>
      <c r="O47" s="255">
        <f ca="1">IF(L47&gt;0,N47*100/L47,0)</f>
        <v>102.49719307754849</v>
      </c>
      <c r="P47" s="255">
        <f ca="1">IF(M47&gt;0,N47*100/M47,0)</f>
        <v>92.273910214703974</v>
      </c>
      <c r="Q47" s="255">
        <f>Q48+Q49</f>
        <v>0</v>
      </c>
      <c r="R47" s="255">
        <f>R48+R49</f>
        <v>0</v>
      </c>
      <c r="S47" s="255">
        <f>S48+S49</f>
        <v>0</v>
      </c>
      <c r="T47" s="255">
        <f>IF(Q47&gt;0,S47*100/Q47,0)</f>
        <v>0</v>
      </c>
      <c r="U47" s="255">
        <f>IF(R47&gt;0,S47*100/R47,0)</f>
        <v>0</v>
      </c>
    </row>
    <row r="48" spans="1:21" ht="18.75" hidden="1">
      <c r="A48" s="49"/>
      <c r="B48" s="50"/>
      <c r="C48" s="50"/>
      <c r="D48" s="50"/>
      <c r="E48" s="186" t="s">
        <v>20</v>
      </c>
      <c r="F48" s="50"/>
      <c r="G48" s="52"/>
      <c r="H48" s="729" t="s">
        <v>14</v>
      </c>
      <c r="I48" s="54"/>
      <c r="J48" s="54"/>
      <c r="K48" s="55"/>
      <c r="L48" s="103">
        <v>0</v>
      </c>
      <c r="M48" s="102">
        <v>0</v>
      </c>
      <c r="N48" s="102">
        <v>0</v>
      </c>
      <c r="O48" s="102">
        <f>IF(L48&gt;0,N48*100/L48,0)</f>
        <v>0</v>
      </c>
      <c r="P48" s="102">
        <f>IF(M48&gt;0,N48*100/M48,0)</f>
        <v>0</v>
      </c>
      <c r="Q48" s="102">
        <v>0</v>
      </c>
      <c r="R48" s="102">
        <v>0</v>
      </c>
      <c r="S48" s="102">
        <v>0</v>
      </c>
      <c r="T48" s="102">
        <f>IF(Q48&gt;0,S48*100/Q48,0)</f>
        <v>0</v>
      </c>
      <c r="U48" s="102">
        <f>IF(R48&gt;0,S48*100/R48,0)</f>
        <v>0</v>
      </c>
    </row>
    <row r="49" spans="1:21" ht="18.75" hidden="1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256">
        <f ca="1">IFERROR(__xludf.DUMMYFUNCTION("IMPORTRANGE(""https://docs.google.com/spreadsheets/d/1-uDff_7J0KD5mKrp0Vvzr7lt3OU09vwQwhkpOPPYv2Y/edit?usp=sharing"",""งบพรบ!P50"")"),464922)</f>
        <v>464922</v>
      </c>
      <c r="M49" s="255">
        <f ca="1">IFERROR(__xludf.DUMMYFUNCTION("IMPORTRANGE(""https://docs.google.com/spreadsheets/d/1-uDff_7J0KD5mKrp0Vvzr7lt3OU09vwQwhkpOPPYv2Y/edit?usp=sharing"",""งบพรบ!V50"")"),516432)</f>
        <v>516432</v>
      </c>
      <c r="N49" s="255">
        <f ca="1">IFERROR(__xludf.DUMMYFUNCTION("IMPORTRANGE(""https://docs.google.com/spreadsheets/d/1-uDff_7J0KD5mKrp0Vvzr7lt3OU09vwQwhkpOPPYv2Y/edit?usp=sharing"",""งบพรบ!Y50"")"),476532)</f>
        <v>476532</v>
      </c>
      <c r="O49" s="255">
        <f ca="1">IF(L49&gt;0,N49*100/L49,0)</f>
        <v>102.49719307754849</v>
      </c>
      <c r="P49" s="255">
        <f ca="1">IF(M49&gt;0,N49*100/M49,0)</f>
        <v>92.273910214703974</v>
      </c>
      <c r="Q49" s="255">
        <v>0</v>
      </c>
      <c r="R49" s="255">
        <v>0</v>
      </c>
      <c r="S49" s="255">
        <v>0</v>
      </c>
      <c r="T49" s="255">
        <f>IF(Q49&gt;0,S49*100/Q49,0)</f>
        <v>0</v>
      </c>
      <c r="U49" s="255">
        <f>IF(R49&gt;0,S49*100/R49,0)</f>
        <v>0</v>
      </c>
    </row>
    <row r="50" spans="1:21" ht="18.75">
      <c r="A50" s="49"/>
      <c r="B50" s="50"/>
      <c r="C50" s="50"/>
      <c r="D50" s="51" t="s">
        <v>23</v>
      </c>
      <c r="E50" s="50"/>
      <c r="F50" s="50"/>
      <c r="G50" s="52"/>
      <c r="H50" s="53" t="s">
        <v>14</v>
      </c>
      <c r="I50" s="54"/>
      <c r="J50" s="54"/>
      <c r="K50" s="55"/>
      <c r="L50" s="256">
        <f ca="1">L51+L52</f>
        <v>0</v>
      </c>
      <c r="M50" s="255">
        <f ca="1">M51+M52</f>
        <v>0</v>
      </c>
      <c r="N50" s="255">
        <f ca="1">N51+N52</f>
        <v>0</v>
      </c>
      <c r="O50" s="255">
        <f ca="1">IF(L50&gt;0,N50*100/L50,0)</f>
        <v>0</v>
      </c>
      <c r="P50" s="255">
        <f ca="1">IF(M50&gt;0,N50*100/M50,0)</f>
        <v>0</v>
      </c>
      <c r="Q50" s="255">
        <f>Q51+Q52</f>
        <v>0</v>
      </c>
      <c r="R50" s="255">
        <f>R51+R52</f>
        <v>0</v>
      </c>
      <c r="S50" s="255">
        <f>S51+S52</f>
        <v>0</v>
      </c>
      <c r="T50" s="255">
        <f>IF(Q50&gt;0,S50*100/Q50,0)</f>
        <v>0</v>
      </c>
      <c r="U50" s="255">
        <f>IF(R50&gt;0,S50*100/R50,0)</f>
        <v>0</v>
      </c>
    </row>
    <row r="51" spans="1:21" ht="18.75" hidden="1">
      <c r="A51" s="49"/>
      <c r="B51" s="50"/>
      <c r="C51" s="50"/>
      <c r="D51" s="50"/>
      <c r="E51" s="186" t="s">
        <v>20</v>
      </c>
      <c r="F51" s="50"/>
      <c r="G51" s="52"/>
      <c r="H51" s="729" t="s">
        <v>14</v>
      </c>
      <c r="I51" s="54"/>
      <c r="J51" s="54"/>
      <c r="K51" s="55"/>
      <c r="L51" s="103">
        <v>0</v>
      </c>
      <c r="M51" s="102">
        <v>0</v>
      </c>
      <c r="N51" s="102">
        <v>0</v>
      </c>
      <c r="O51" s="102">
        <f>IF(L51&gt;0,N51*100/L51,0)</f>
        <v>0</v>
      </c>
      <c r="P51" s="102">
        <f>IF(M51&gt;0,N51*100/M51,0)</f>
        <v>0</v>
      </c>
      <c r="Q51" s="102">
        <v>0</v>
      </c>
      <c r="R51" s="102">
        <v>0</v>
      </c>
      <c r="S51" s="102">
        <v>0</v>
      </c>
      <c r="T51" s="102">
        <f>IF(Q51&gt;0,S51*100/Q51,0)</f>
        <v>0</v>
      </c>
      <c r="U51" s="102">
        <f>IF(R51&gt;0,S51*100/R51,0)</f>
        <v>0</v>
      </c>
    </row>
    <row r="52" spans="1:21" ht="18.75" hidden="1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256">
        <f ca="1">IFERROR(__xludf.DUMMYFUNCTION("IMPORTRANGE(""https://docs.google.com/spreadsheets/d/1-uDff_7J0KD5mKrp0Vvzr7lt3OU09vwQwhkpOPPYv2Y/edit?usp=sharing"",""งบพรบ!S50"")"),0)</f>
        <v>0</v>
      </c>
      <c r="M52" s="255">
        <f ca="1">IFERROR(__xludf.DUMMYFUNCTION("IMPORTRANGE(""https://docs.google.com/spreadsheets/d/1-uDff_7J0KD5mKrp0Vvzr7lt3OU09vwQwhkpOPPYv2Y/edit?usp=sharing"",""งบพรบ!W50"")"),0)</f>
        <v>0</v>
      </c>
      <c r="N52" s="255">
        <f ca="1">IFERROR(__xludf.DUMMYFUNCTION("IMPORTRANGE(""https://docs.google.com/spreadsheets/d/1-uDff_7J0KD5mKrp0Vvzr7lt3OU09vwQwhkpOPPYv2Y/edit?usp=sharing"",""งบพรบ!Z50"")"),0)</f>
        <v>0</v>
      </c>
      <c r="O52" s="255">
        <f ca="1">IF(L52&gt;0,N52*100/L52,0)</f>
        <v>0</v>
      </c>
      <c r="P52" s="255">
        <f ca="1">IF(M52&gt;0,N52*100/M52,0)</f>
        <v>0</v>
      </c>
      <c r="Q52" s="255">
        <v>0</v>
      </c>
      <c r="R52" s="255">
        <v>0</v>
      </c>
      <c r="S52" s="255">
        <v>0</v>
      </c>
      <c r="T52" s="255">
        <f>IF(Q52&gt;0,S52*100/Q52,0)</f>
        <v>0</v>
      </c>
      <c r="U52" s="255">
        <f>IF(R52&gt;0,S52*100/R52,0)</f>
        <v>0</v>
      </c>
    </row>
    <row r="53" spans="1:21" ht="18.75">
      <c r="A53" s="49"/>
      <c r="B53" s="50"/>
      <c r="C53" s="50"/>
      <c r="D53" s="51" t="s">
        <v>24</v>
      </c>
      <c r="E53" s="50"/>
      <c r="F53" s="50"/>
      <c r="G53" s="52"/>
      <c r="H53" s="53" t="s">
        <v>14</v>
      </c>
      <c r="I53" s="54"/>
      <c r="J53" s="54"/>
      <c r="K53" s="55"/>
      <c r="L53" s="62"/>
      <c r="M53" s="55"/>
      <c r="N53" s="55"/>
      <c r="O53" s="55"/>
      <c r="P53" s="55"/>
      <c r="Q53" s="55"/>
      <c r="R53" s="55"/>
      <c r="S53" s="55"/>
      <c r="T53" s="55"/>
      <c r="U53" s="55"/>
    </row>
    <row r="54" spans="1:21" ht="18.75" hidden="1">
      <c r="A54" s="49"/>
      <c r="B54" s="50"/>
      <c r="C54" s="50"/>
      <c r="D54" s="50"/>
      <c r="E54" s="186" t="s">
        <v>20</v>
      </c>
      <c r="F54" s="50"/>
      <c r="G54" s="52"/>
      <c r="H54" s="729" t="s">
        <v>14</v>
      </c>
      <c r="I54" s="54"/>
      <c r="J54" s="54"/>
      <c r="K54" s="55"/>
      <c r="L54" s="62"/>
      <c r="M54" s="55"/>
      <c r="N54" s="55"/>
      <c r="O54" s="55"/>
      <c r="P54" s="55"/>
      <c r="Q54" s="55"/>
      <c r="R54" s="55"/>
      <c r="S54" s="55"/>
      <c r="T54" s="55"/>
      <c r="U54" s="55"/>
    </row>
    <row r="55" spans="1:21" ht="18.75" hidden="1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8"/>
      <c r="M55" s="6"/>
      <c r="N55" s="6"/>
      <c r="O55" s="6"/>
      <c r="P55" s="6"/>
      <c r="Q55" s="6"/>
      <c r="R55" s="6"/>
      <c r="S55" s="6"/>
      <c r="T55" s="6"/>
      <c r="U55" s="6"/>
    </row>
    <row r="56" spans="1:21" ht="19.5">
      <c r="A56" s="533" t="s">
        <v>28</v>
      </c>
      <c r="B56" s="514"/>
      <c r="C56" s="514"/>
      <c r="D56" s="514"/>
      <c r="E56" s="514"/>
      <c r="F56" s="514"/>
      <c r="G56" s="512"/>
      <c r="H56" s="104"/>
      <c r="I56" s="105"/>
      <c r="J56" s="105"/>
      <c r="K56" s="106"/>
      <c r="L56" s="106"/>
      <c r="M56" s="106"/>
      <c r="N56" s="106"/>
      <c r="O56" s="106"/>
      <c r="P56" s="107"/>
      <c r="Q56" s="106"/>
      <c r="R56" s="106"/>
      <c r="S56" s="106"/>
      <c r="T56" s="106"/>
      <c r="U56" s="107"/>
    </row>
    <row r="57" spans="1:21" ht="19.5">
      <c r="A57" s="108"/>
      <c r="B57" s="534" t="s">
        <v>29</v>
      </c>
      <c r="C57" s="529"/>
      <c r="D57" s="529"/>
      <c r="E57" s="529"/>
      <c r="F57" s="529"/>
      <c r="G57" s="530"/>
      <c r="H57" s="109"/>
      <c r="I57" s="110"/>
      <c r="J57" s="110"/>
      <c r="K57" s="111"/>
      <c r="L57" s="112"/>
      <c r="M57" s="111"/>
      <c r="N57" s="111"/>
      <c r="O57" s="111"/>
      <c r="P57" s="111"/>
      <c r="Q57" s="111"/>
      <c r="R57" s="111"/>
      <c r="S57" s="111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9"/>
      <c r="M58" s="118"/>
      <c r="N58" s="118"/>
      <c r="O58" s="118"/>
      <c r="P58" s="118"/>
      <c r="Q58" s="118"/>
      <c r="R58" s="118"/>
      <c r="S58" s="118"/>
      <c r="T58" s="118"/>
      <c r="U58" s="118"/>
    </row>
    <row r="59" spans="1:21" ht="19.5">
      <c r="A59" s="120"/>
      <c r="B59" s="121"/>
      <c r="C59" s="122" t="s">
        <v>18</v>
      </c>
      <c r="D59" s="738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737">
        <f ca="1">L60+L61</f>
        <v>576000</v>
      </c>
      <c r="M59" s="736">
        <f ca="1">M60+M61</f>
        <v>576000</v>
      </c>
      <c r="N59" s="736">
        <f ca="1">N60+N61</f>
        <v>491025.69</v>
      </c>
      <c r="O59" s="736">
        <f ca="1">IF(L59&gt;0,N59*100/L59,0)</f>
        <v>85.247515625000005</v>
      </c>
      <c r="P59" s="736">
        <f ca="1">IF(M59&gt;0,N59*100/M59,0)</f>
        <v>85.247515625000005</v>
      </c>
      <c r="Q59" s="736">
        <f>Q60+Q61</f>
        <v>0</v>
      </c>
      <c r="R59" s="736">
        <f>R60+R61</f>
        <v>0</v>
      </c>
      <c r="S59" s="736">
        <f>S60+S61</f>
        <v>0</v>
      </c>
      <c r="T59" s="736">
        <f>IF(Q59&gt;0,S59*100/Q59,0)</f>
        <v>0</v>
      </c>
      <c r="U59" s="736">
        <f>IF(R59&gt;0,S59*100/R59,0)</f>
        <v>0</v>
      </c>
    </row>
    <row r="60" spans="1:21" ht="18.75" hidden="1">
      <c r="A60" s="120"/>
      <c r="B60" s="121"/>
      <c r="C60" s="121"/>
      <c r="D60" s="121"/>
      <c r="E60" s="735" t="s">
        <v>20</v>
      </c>
      <c r="F60" s="121"/>
      <c r="G60" s="124"/>
      <c r="H60" s="734" t="s">
        <v>14</v>
      </c>
      <c r="I60" s="126"/>
      <c r="J60" s="126"/>
      <c r="K60" s="127"/>
      <c r="L60" s="733">
        <f>L63+L66</f>
        <v>0</v>
      </c>
      <c r="M60" s="732">
        <f>M63+M66</f>
        <v>0</v>
      </c>
      <c r="N60" s="732">
        <f>N63+N66</f>
        <v>0</v>
      </c>
      <c r="O60" s="732">
        <f>IF(L60&gt;0,N60*100/L60,0)</f>
        <v>0</v>
      </c>
      <c r="P60" s="732">
        <f>IF(M60&gt;0,N60*100/M60,0)</f>
        <v>0</v>
      </c>
      <c r="Q60" s="732">
        <f>Q63+Q66</f>
        <v>0</v>
      </c>
      <c r="R60" s="732">
        <f>R63+R66</f>
        <v>0</v>
      </c>
      <c r="S60" s="732">
        <f>S63+S66</f>
        <v>0</v>
      </c>
      <c r="T60" s="732">
        <f>IF(Q60&gt;0,S60*100/Q60,0)</f>
        <v>0</v>
      </c>
      <c r="U60" s="732">
        <f>IF(R60&gt;0,S60*100/R60,0)</f>
        <v>0</v>
      </c>
    </row>
    <row r="61" spans="1:21" ht="18.75" hidden="1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731">
        <f ca="1">L64+L67</f>
        <v>576000</v>
      </c>
      <c r="M61" s="730">
        <f ca="1">M64+M67</f>
        <v>576000</v>
      </c>
      <c r="N61" s="730">
        <f ca="1">N64+N67</f>
        <v>491025.69</v>
      </c>
      <c r="O61" s="730">
        <f ca="1">IF(L61&gt;0,N61*100/L61,0)</f>
        <v>85.247515625000005</v>
      </c>
      <c r="P61" s="730">
        <f ca="1">IF(M61&gt;0,N61*100/M61,0)</f>
        <v>85.247515625000005</v>
      </c>
      <c r="Q61" s="730">
        <f>Q64+Q67</f>
        <v>0</v>
      </c>
      <c r="R61" s="730">
        <f>R64+R67</f>
        <v>0</v>
      </c>
      <c r="S61" s="730">
        <f>S64+S67</f>
        <v>0</v>
      </c>
      <c r="T61" s="730">
        <f>IF(Q61&gt;0,S61*100/Q61,0)</f>
        <v>0</v>
      </c>
      <c r="U61" s="730">
        <f>IF(R61&gt;0,S61*100/R61,0)</f>
        <v>0</v>
      </c>
    </row>
    <row r="62" spans="1:21" ht="18.75">
      <c r="A62" s="49"/>
      <c r="B62" s="50"/>
      <c r="C62" s="50"/>
      <c r="D62" s="51" t="s">
        <v>22</v>
      </c>
      <c r="E62" s="50"/>
      <c r="F62" s="50"/>
      <c r="G62" s="52"/>
      <c r="H62" s="53" t="s">
        <v>14</v>
      </c>
      <c r="I62" s="54"/>
      <c r="J62" s="54"/>
      <c r="K62" s="55"/>
      <c r="L62" s="256">
        <f ca="1">L63+L64</f>
        <v>576000</v>
      </c>
      <c r="M62" s="255">
        <f ca="1">M63+M64</f>
        <v>576000</v>
      </c>
      <c r="N62" s="255">
        <f ca="1">N63+N64</f>
        <v>491025.69</v>
      </c>
      <c r="O62" s="255">
        <f ca="1">IF(L62&gt;0,N62*100/L62,0)</f>
        <v>85.247515625000005</v>
      </c>
      <c r="P62" s="255">
        <f ca="1">IF(M62&gt;0,N62*100/M62,0)</f>
        <v>85.247515625000005</v>
      </c>
      <c r="Q62" s="255">
        <f>Q63+Q64</f>
        <v>0</v>
      </c>
      <c r="R62" s="255">
        <f>R63+R64</f>
        <v>0</v>
      </c>
      <c r="S62" s="255">
        <f>S63+S64</f>
        <v>0</v>
      </c>
      <c r="T62" s="255">
        <f>IF(Q62&gt;0,S62*100/Q62,0)</f>
        <v>0</v>
      </c>
      <c r="U62" s="255">
        <f>IF(R62&gt;0,S62*100/R62,0)</f>
        <v>0</v>
      </c>
    </row>
    <row r="63" spans="1:21" ht="18.75" hidden="1">
      <c r="A63" s="49"/>
      <c r="B63" s="50"/>
      <c r="C63" s="50"/>
      <c r="D63" s="50"/>
      <c r="E63" s="186" t="s">
        <v>20</v>
      </c>
      <c r="F63" s="50"/>
      <c r="G63" s="52"/>
      <c r="H63" s="729" t="s">
        <v>14</v>
      </c>
      <c r="I63" s="54"/>
      <c r="J63" s="54"/>
      <c r="K63" s="55"/>
      <c r="L63" s="103">
        <v>0</v>
      </c>
      <c r="M63" s="102">
        <v>0</v>
      </c>
      <c r="N63" s="102">
        <v>0</v>
      </c>
      <c r="O63" s="102">
        <f>IF(L63&gt;0,N63*100/L63,0)</f>
        <v>0</v>
      </c>
      <c r="P63" s="102">
        <f>IF(M63&gt;0,N63*100/M63,0)</f>
        <v>0</v>
      </c>
      <c r="Q63" s="102">
        <v>0</v>
      </c>
      <c r="R63" s="102">
        <v>0</v>
      </c>
      <c r="S63" s="102">
        <v>0</v>
      </c>
      <c r="T63" s="102">
        <f>IF(Q63&gt;0,S63*100/Q63,0)</f>
        <v>0</v>
      </c>
      <c r="U63" s="102">
        <f>IF(R63&gt;0,S63*100/R63,0)</f>
        <v>0</v>
      </c>
    </row>
    <row r="64" spans="1:21" ht="18.75" hidden="1">
      <c r="A64" s="49"/>
      <c r="B64" s="50"/>
      <c r="C64" s="50"/>
      <c r="D64" s="50"/>
      <c r="E64" s="58" t="s">
        <v>21</v>
      </c>
      <c r="F64" s="50"/>
      <c r="G64" s="52"/>
      <c r="H64" s="53" t="s">
        <v>14</v>
      </c>
      <c r="I64" s="54"/>
      <c r="J64" s="54"/>
      <c r="K64" s="55"/>
      <c r="L64" s="256">
        <f ca="1">IFERROR(__xludf.DUMMYFUNCTION("IMPORTRANGE(""https://docs.google.com/spreadsheets/d/1-uDff_7J0KD5mKrp0Vvzr7lt3OU09vwQwhkpOPPYv2Y/edit?usp=sharing"",""งบพรบ!AC50"")"),576000)</f>
        <v>576000</v>
      </c>
      <c r="M64" s="255">
        <f ca="1">IFERROR(__xludf.DUMMYFUNCTION("IMPORTRANGE(""https://docs.google.com/spreadsheets/d/1-uDff_7J0KD5mKrp0Vvzr7lt3OU09vwQwhkpOPPYv2Y/edit?usp=sharing"",""งบพรบ!AH50"")"),576000)</f>
        <v>576000</v>
      </c>
      <c r="N64" s="255">
        <f ca="1">IFERROR(__xludf.DUMMYFUNCTION("IMPORTRANGE(""https://docs.google.com/spreadsheets/d/1-uDff_7J0KD5mKrp0Vvzr7lt3OU09vwQwhkpOPPYv2Y/edit?usp=sharing"",""งบพรบ!AJ50"")"),491025.69)</f>
        <v>491025.69</v>
      </c>
      <c r="O64" s="255">
        <f ca="1">IF(L64&gt;0,N64*100/L64,0)</f>
        <v>85.247515625000005</v>
      </c>
      <c r="P64" s="255">
        <f ca="1">IF(M64&gt;0,N64*100/M64,0)</f>
        <v>85.247515625000005</v>
      </c>
      <c r="Q64" s="255">
        <v>0</v>
      </c>
      <c r="R64" s="255">
        <v>0</v>
      </c>
      <c r="S64" s="255">
        <v>0</v>
      </c>
      <c r="T64" s="255">
        <f>IF(Q64&gt;0,S64*100/Q64,0)</f>
        <v>0</v>
      </c>
      <c r="U64" s="255">
        <f>IF(R64&gt;0,S64*100/R64,0)</f>
        <v>0</v>
      </c>
    </row>
    <row r="65" spans="1:21" ht="18.75">
      <c r="A65" s="49"/>
      <c r="B65" s="50"/>
      <c r="C65" s="50"/>
      <c r="D65" s="51" t="s">
        <v>23</v>
      </c>
      <c r="E65" s="50"/>
      <c r="F65" s="50"/>
      <c r="G65" s="52"/>
      <c r="H65" s="53" t="s">
        <v>14</v>
      </c>
      <c r="I65" s="54"/>
      <c r="J65" s="54"/>
      <c r="K65" s="55"/>
      <c r="L65" s="256">
        <f ca="1">L66+L67</f>
        <v>0</v>
      </c>
      <c r="M65" s="255">
        <f ca="1">M66+M67</f>
        <v>0</v>
      </c>
      <c r="N65" s="255">
        <f ca="1">N66+N67</f>
        <v>0</v>
      </c>
      <c r="O65" s="255">
        <f ca="1">IF(L65&gt;0,N65*100/L65,0)</f>
        <v>0</v>
      </c>
      <c r="P65" s="255">
        <f ca="1">IF(M65&gt;0,N65*100/M65,0)</f>
        <v>0</v>
      </c>
      <c r="Q65" s="255">
        <f>Q66+Q67</f>
        <v>0</v>
      </c>
      <c r="R65" s="255">
        <f>R66+R67</f>
        <v>0</v>
      </c>
      <c r="S65" s="255">
        <f>S66+S67</f>
        <v>0</v>
      </c>
      <c r="T65" s="255">
        <f>IF(Q65&gt;0,S65*100/Q65,0)</f>
        <v>0</v>
      </c>
      <c r="U65" s="255">
        <f>IF(R65&gt;0,S65*100/R65,0)</f>
        <v>0</v>
      </c>
    </row>
    <row r="66" spans="1:21" ht="18.75" hidden="1">
      <c r="A66" s="49"/>
      <c r="B66" s="50"/>
      <c r="C66" s="50"/>
      <c r="D66" s="50"/>
      <c r="E66" s="186" t="s">
        <v>20</v>
      </c>
      <c r="F66" s="50"/>
      <c r="G66" s="52"/>
      <c r="H66" s="729" t="s">
        <v>14</v>
      </c>
      <c r="I66" s="54"/>
      <c r="J66" s="54"/>
      <c r="K66" s="55"/>
      <c r="L66" s="103">
        <v>0</v>
      </c>
      <c r="M66" s="102">
        <v>0</v>
      </c>
      <c r="N66" s="102">
        <v>0</v>
      </c>
      <c r="O66" s="102">
        <f>IF(L66&gt;0,N66*100/L66,0)</f>
        <v>0</v>
      </c>
      <c r="P66" s="102">
        <f>IF(M66&gt;0,N66*100/M66,0)</f>
        <v>0</v>
      </c>
      <c r="Q66" s="102">
        <v>0</v>
      </c>
      <c r="R66" s="102">
        <v>0</v>
      </c>
      <c r="S66" s="102">
        <v>0</v>
      </c>
      <c r="T66" s="102">
        <f>IF(Q66&gt;0,S66*100/Q66,0)</f>
        <v>0</v>
      </c>
      <c r="U66" s="102">
        <f>IF(R66&gt;0,S66*100/R66,0)</f>
        <v>0</v>
      </c>
    </row>
    <row r="67" spans="1:21" ht="18.75" hidden="1">
      <c r="A67" s="63"/>
      <c r="B67" s="4"/>
      <c r="C67" s="4"/>
      <c r="D67" s="4"/>
      <c r="E67" s="64" t="s">
        <v>21</v>
      </c>
      <c r="F67" s="4"/>
      <c r="G67" s="65"/>
      <c r="H67" s="66" t="s">
        <v>14</v>
      </c>
      <c r="I67" s="67"/>
      <c r="J67" s="67"/>
      <c r="K67" s="6"/>
      <c r="L67" s="728">
        <f ca="1">IFERROR(__xludf.DUMMYFUNCTION("IMPORTRANGE(""https://docs.google.com/spreadsheets/d/1-uDff_7J0KD5mKrp0Vvzr7lt3OU09vwQwhkpOPPYv2Y/edit?usp=sharing"",""งบพรบ!AF50"")"),0)</f>
        <v>0</v>
      </c>
      <c r="M67" s="506">
        <f ca="1">IFERROR(__xludf.DUMMYFUNCTION("IMPORTRANGE(""https://docs.google.com/spreadsheets/d/1-uDff_7J0KD5mKrp0Vvzr7lt3OU09vwQwhkpOPPYv2Y/edit?usp=sharing"",""งบพรบ!AI50"")"),0)</f>
        <v>0</v>
      </c>
      <c r="N67" s="506">
        <f ca="1">IFERROR(__xludf.DUMMYFUNCTION("IMPORTRANGE(""https://docs.google.com/spreadsheets/d/1-uDff_7J0KD5mKrp0Vvzr7lt3OU09vwQwhkpOPPYv2Y/edit?usp=sharing"",""งบพรบ!AK50"")"),0)</f>
        <v>0</v>
      </c>
      <c r="O67" s="506">
        <f ca="1">IF(L67&gt;0,N67*100/L67,0)</f>
        <v>0</v>
      </c>
      <c r="P67" s="506">
        <f ca="1">IF(M67&gt;0,N67*100/M67,0)</f>
        <v>0</v>
      </c>
      <c r="Q67" s="506">
        <v>0</v>
      </c>
      <c r="R67" s="506">
        <v>0</v>
      </c>
      <c r="S67" s="506">
        <v>0</v>
      </c>
      <c r="T67" s="506">
        <f>IF(Q67&gt;0,S67*100/Q67,0)</f>
        <v>0</v>
      </c>
      <c r="U67" s="506">
        <f>IF(R67&gt;0,S67*100/R67,0)</f>
        <v>0</v>
      </c>
    </row>
    <row r="68" spans="1:21" ht="19.5">
      <c r="A68" s="137" t="s">
        <v>31</v>
      </c>
      <c r="B68" s="138"/>
      <c r="C68" s="138"/>
      <c r="D68" s="138"/>
      <c r="E68" s="139"/>
      <c r="F68" s="139"/>
      <c r="G68" s="139"/>
      <c r="H68" s="139"/>
      <c r="I68" s="140"/>
      <c r="J68" s="140"/>
      <c r="K68" s="141"/>
      <c r="L68" s="141"/>
      <c r="M68" s="141"/>
      <c r="N68" s="141"/>
      <c r="O68" s="141"/>
      <c r="P68" s="142"/>
      <c r="Q68" s="141"/>
      <c r="R68" s="141"/>
      <c r="S68" s="141"/>
      <c r="T68" s="141"/>
      <c r="U68" s="142"/>
    </row>
    <row r="69" spans="1:21" ht="19.5">
      <c r="A69" s="143" t="s">
        <v>32</v>
      </c>
      <c r="B69" s="144"/>
      <c r="C69" s="145"/>
      <c r="D69" s="144"/>
      <c r="E69" s="144"/>
      <c r="F69" s="144"/>
      <c r="G69" s="146"/>
      <c r="H69" s="146"/>
      <c r="I69" s="147"/>
      <c r="J69" s="147"/>
      <c r="K69" s="148"/>
      <c r="L69" s="149"/>
      <c r="M69" s="148"/>
      <c r="N69" s="148"/>
      <c r="O69" s="148"/>
      <c r="P69" s="148"/>
      <c r="Q69" s="148"/>
      <c r="R69" s="148"/>
      <c r="S69" s="148"/>
      <c r="T69" s="148"/>
      <c r="U69" s="148"/>
    </row>
    <row r="70" spans="1:21" ht="19.5">
      <c r="A70" s="150"/>
      <c r="B70" s="35" t="s">
        <v>33</v>
      </c>
      <c r="C70" s="34"/>
      <c r="D70" s="151"/>
      <c r="E70" s="34"/>
      <c r="F70" s="34"/>
      <c r="G70" s="37"/>
      <c r="H70" s="152" t="s">
        <v>34</v>
      </c>
      <c r="I70" s="721">
        <f ca="1">I82</f>
        <v>2</v>
      </c>
      <c r="J70" s="721">
        <f>J82</f>
        <v>0</v>
      </c>
      <c r="K70" s="720">
        <f ca="1">IF(I70&gt;0,J70*100/I70,0)</f>
        <v>0</v>
      </c>
      <c r="L70" s="154"/>
      <c r="M70" s="40"/>
      <c r="N70" s="40"/>
      <c r="O70" s="40"/>
      <c r="P70" s="40"/>
      <c r="Q70" s="40"/>
      <c r="R70" s="40"/>
      <c r="S70" s="40"/>
      <c r="T70" s="40"/>
      <c r="U70" s="40"/>
    </row>
    <row r="71" spans="1:21" ht="19.5">
      <c r="A71" s="150"/>
      <c r="B71" s="34"/>
      <c r="C71" s="34"/>
      <c r="D71" s="151"/>
      <c r="E71" s="34"/>
      <c r="F71" s="34"/>
      <c r="G71" s="37"/>
      <c r="H71" s="152" t="s">
        <v>35</v>
      </c>
      <c r="I71" s="721">
        <f ca="1">I83</f>
        <v>100</v>
      </c>
      <c r="J71" s="721">
        <f>J83</f>
        <v>0</v>
      </c>
      <c r="K71" s="720">
        <f ca="1">IF(I71&gt;0,J71*100/I71,0)</f>
        <v>0</v>
      </c>
      <c r="L71" s="154"/>
      <c r="M71" s="40"/>
      <c r="N71" s="40"/>
      <c r="O71" s="40"/>
      <c r="P71" s="40"/>
      <c r="Q71" s="40"/>
      <c r="R71" s="40"/>
      <c r="S71" s="40"/>
      <c r="T71" s="40"/>
      <c r="U71" s="40"/>
    </row>
    <row r="72" spans="1:21" ht="19.5">
      <c r="A72" s="155"/>
      <c r="B72" s="50"/>
      <c r="C72" s="156" t="s">
        <v>18</v>
      </c>
      <c r="D72" s="575" t="s">
        <v>19</v>
      </c>
      <c r="E72" s="50"/>
      <c r="F72" s="50"/>
      <c r="G72" s="52"/>
      <c r="H72" s="158" t="s">
        <v>14</v>
      </c>
      <c r="I72" s="54"/>
      <c r="J72" s="54"/>
      <c r="K72" s="55"/>
      <c r="L72" s="541">
        <f ca="1">L73+L74</f>
        <v>425300</v>
      </c>
      <c r="M72" s="540">
        <f ca="1">M73+M74</f>
        <v>424881</v>
      </c>
      <c r="N72" s="540">
        <f ca="1">N73+N74</f>
        <v>350692.78</v>
      </c>
      <c r="O72" s="540">
        <f ca="1">IF(L72&gt;0,N72*100/L72,0)</f>
        <v>82.457742769809542</v>
      </c>
      <c r="P72" s="540">
        <f ca="1">IF(M72&gt;0,N72*100/M72,0)</f>
        <v>82.539059171862235</v>
      </c>
      <c r="Q72" s="540">
        <f ca="1">Q73+Q74</f>
        <v>987900</v>
      </c>
      <c r="R72" s="540">
        <f ca="1">R73+R74</f>
        <v>987900</v>
      </c>
      <c r="S72" s="540">
        <f ca="1">S73+S74</f>
        <v>48340</v>
      </c>
      <c r="T72" s="540">
        <f ca="1">IF(Q72&gt;0,S72*100/Q72,0)</f>
        <v>4.8932078145561295</v>
      </c>
      <c r="U72" s="540">
        <f ca="1">IF(R72&gt;0,S72*100/R72,0)</f>
        <v>4.8932078145561295</v>
      </c>
    </row>
    <row r="73" spans="1:21" ht="18.75" hidden="1">
      <c r="A73" s="155"/>
      <c r="B73" s="50"/>
      <c r="C73" s="50"/>
      <c r="D73" s="50"/>
      <c r="E73" s="186" t="s">
        <v>20</v>
      </c>
      <c r="F73" s="50"/>
      <c r="G73" s="52"/>
      <c r="H73" s="187" t="s">
        <v>14</v>
      </c>
      <c r="I73" s="54"/>
      <c r="J73" s="54"/>
      <c r="K73" s="55"/>
      <c r="L73" s="103">
        <f>L76+L79</f>
        <v>0</v>
      </c>
      <c r="M73" s="102">
        <f>M76+M79</f>
        <v>0</v>
      </c>
      <c r="N73" s="102">
        <f>N76+N79</f>
        <v>0</v>
      </c>
      <c r="O73" s="102">
        <f>IF(L73&gt;0,N73*100/L73,0)</f>
        <v>0</v>
      </c>
      <c r="P73" s="102">
        <f>IF(M73&gt;0,N73*100/M73,0)</f>
        <v>0</v>
      </c>
      <c r="Q73" s="102">
        <f>Q76+Q79</f>
        <v>0</v>
      </c>
      <c r="R73" s="102">
        <f>R76+R79</f>
        <v>0</v>
      </c>
      <c r="S73" s="102">
        <f>S76+S79</f>
        <v>0</v>
      </c>
      <c r="T73" s="102">
        <f>IF(Q73&gt;0,S73*100/Q73,0)</f>
        <v>0</v>
      </c>
      <c r="U73" s="102">
        <f>IF(R73&gt;0,S73*100/R73,0)</f>
        <v>0</v>
      </c>
    </row>
    <row r="74" spans="1:21" ht="18.75" hidden="1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256">
        <f ca="1">L77+L80</f>
        <v>425300</v>
      </c>
      <c r="M74" s="255">
        <f ca="1">M77+M80</f>
        <v>424881</v>
      </c>
      <c r="N74" s="255">
        <f ca="1">N77+N80</f>
        <v>350692.78</v>
      </c>
      <c r="O74" s="255">
        <f ca="1">IF(L74&gt;0,N74*100/L74,0)</f>
        <v>82.457742769809542</v>
      </c>
      <c r="P74" s="255">
        <f ca="1">IF(M74&gt;0,N74*100/M74,0)</f>
        <v>82.539059171862235</v>
      </c>
      <c r="Q74" s="255">
        <f ca="1">Q77+Q80</f>
        <v>987900</v>
      </c>
      <c r="R74" s="255">
        <f ca="1">R77+R80</f>
        <v>987900</v>
      </c>
      <c r="S74" s="255">
        <f ca="1">S77+S80</f>
        <v>48340</v>
      </c>
      <c r="T74" s="255">
        <f ca="1">IF(Q74&gt;0,S74*100/Q74,0)</f>
        <v>4.8932078145561295</v>
      </c>
      <c r="U74" s="255">
        <f ca="1">IF(R74&gt;0,S74*100/R74,0)</f>
        <v>4.8932078145561295</v>
      </c>
    </row>
    <row r="75" spans="1:21" ht="18.75">
      <c r="A75" s="155"/>
      <c r="B75" s="50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256">
        <f ca="1">L76+L77</f>
        <v>425300</v>
      </c>
      <c r="M75" s="255">
        <f ca="1">M76+M77</f>
        <v>424881</v>
      </c>
      <c r="N75" s="255">
        <f ca="1">N76+N77</f>
        <v>350692.78</v>
      </c>
      <c r="O75" s="255">
        <f ca="1">IF(L75&gt;0,N75*100/L75,0)</f>
        <v>82.457742769809542</v>
      </c>
      <c r="P75" s="255">
        <f ca="1">IF(M75&gt;0,N75*100/M75,0)</f>
        <v>82.539059171862235</v>
      </c>
      <c r="Q75" s="255">
        <f ca="1">Q76+Q77</f>
        <v>987900</v>
      </c>
      <c r="R75" s="255">
        <f ca="1">R76+R77</f>
        <v>987900</v>
      </c>
      <c r="S75" s="255">
        <f ca="1">S76+S77</f>
        <v>48340</v>
      </c>
      <c r="T75" s="255">
        <f ca="1">IF(Q75&gt;0,S75*100/Q75,0)</f>
        <v>4.8932078145561295</v>
      </c>
      <c r="U75" s="255">
        <f ca="1">IF(R75&gt;0,S75*100/R75,0)</f>
        <v>4.8932078145561295</v>
      </c>
    </row>
    <row r="76" spans="1:21" ht="18.75" hidden="1">
      <c r="A76" s="155"/>
      <c r="B76" s="50"/>
      <c r="C76" s="50"/>
      <c r="D76" s="50"/>
      <c r="E76" s="186" t="s">
        <v>36</v>
      </c>
      <c r="F76" s="50"/>
      <c r="G76" s="52"/>
      <c r="H76" s="189" t="s">
        <v>14</v>
      </c>
      <c r="I76" s="163"/>
      <c r="J76" s="163"/>
      <c r="K76" s="164"/>
      <c r="L76" s="103">
        <v>0</v>
      </c>
      <c r="M76" s="102">
        <v>0</v>
      </c>
      <c r="N76" s="102">
        <v>0</v>
      </c>
      <c r="O76" s="102">
        <f>IF(L76&gt;0,N76*100/L76,0)</f>
        <v>0</v>
      </c>
      <c r="P76" s="102">
        <f>IF(M76&gt;0,N76*100/M76,0)</f>
        <v>0</v>
      </c>
      <c r="Q76" s="102">
        <v>0</v>
      </c>
      <c r="R76" s="102">
        <v>0</v>
      </c>
      <c r="S76" s="102">
        <v>0</v>
      </c>
      <c r="T76" s="102">
        <f>IF(Q76&gt;0,S76*100/Q76,0)</f>
        <v>0</v>
      </c>
      <c r="U76" s="102">
        <f>IF(R76&gt;0,S76*100/R76,0)</f>
        <v>0</v>
      </c>
    </row>
    <row r="77" spans="1:21" ht="18.75" hidden="1">
      <c r="A77" s="155"/>
      <c r="B77" s="50"/>
      <c r="C77" s="50"/>
      <c r="D77" s="50"/>
      <c r="E77" s="58" t="s">
        <v>37</v>
      </c>
      <c r="F77" s="50"/>
      <c r="G77" s="52"/>
      <c r="H77" s="162" t="s">
        <v>14</v>
      </c>
      <c r="I77" s="163"/>
      <c r="J77" s="163"/>
      <c r="K77" s="164"/>
      <c r="L77" s="256">
        <f ca="1">IFERROR(__xludf.DUMMYFUNCTION("IMPORTRANGE(""https://docs.google.com/spreadsheets/d/1-uDff_7J0KD5mKrp0Vvzr7lt3OU09vwQwhkpOPPYv2Y/edit?usp=sharing"",""งบพรบ!AM50"")"),425300)</f>
        <v>425300</v>
      </c>
      <c r="M77" s="255">
        <f ca="1">IFERROR(__xludf.DUMMYFUNCTION("IMPORTRANGE(""https://docs.google.com/spreadsheets/d/1-uDff_7J0KD5mKrp0Vvzr7lt3OU09vwQwhkpOPPYv2Y/edit?usp=sharing"",""งบพรบ!AR50"")"),424881)</f>
        <v>424881</v>
      </c>
      <c r="N77" s="255">
        <f ca="1">IFERROR(__xludf.DUMMYFUNCTION("IMPORTRANGE(""https://docs.google.com/spreadsheets/d/1-uDff_7J0KD5mKrp0Vvzr7lt3OU09vwQwhkpOPPYv2Y/edit?usp=sharing"",""งบพรบ!AT50"")"),350692.78)</f>
        <v>350692.78</v>
      </c>
      <c r="O77" s="255">
        <f ca="1">IF(L77&gt;0,N77*100/L77,0)</f>
        <v>82.457742769809542</v>
      </c>
      <c r="P77" s="255">
        <f ca="1">IF(M77&gt;0,N77*100/M77,0)</f>
        <v>82.539059171862235</v>
      </c>
      <c r="Q77" s="255">
        <f ca="1">IFERROR(__xludf.DUMMYFUNCTION("IMPORTRANGE(""https://docs.google.com/spreadsheets/d/1ItG2mGa2ceCfYo0BwxsXqNm01IGEUdYcSSLTEv9YCik/edit?usp=sharing"",""เบิกจ่ายกองทุน!AS50"")"),987900)</f>
        <v>987900</v>
      </c>
      <c r="R77" s="255">
        <f ca="1">IFERROR(__xludf.DUMMYFUNCTION("IMPORTRANGE(""https://docs.google.com/spreadsheets/d/1ItG2mGa2ceCfYo0BwxsXqNm01IGEUdYcSSLTEv9YCik/edit?usp=sharing"",""เบิกจ่ายกองทุน!AT50"")"),987900)</f>
        <v>987900</v>
      </c>
      <c r="S77" s="255">
        <f ca="1">IFERROR(__xludf.DUMMYFUNCTION("IMPORTRANGE(""https://docs.google.com/spreadsheets/d/1ItG2mGa2ceCfYo0BwxsXqNm01IGEUdYcSSLTEv9YCik/edit?usp=sharing"",""เบิกจ่ายกองทุน!AU50"")"),48340)</f>
        <v>48340</v>
      </c>
      <c r="T77" s="255">
        <f ca="1">IF(Q77&gt;0,S77*100/Q77,0)</f>
        <v>4.8932078145561295</v>
      </c>
      <c r="U77" s="255">
        <f ca="1">IF(R77&gt;0,S77*100/R77,0)</f>
        <v>4.8932078145561295</v>
      </c>
    </row>
    <row r="78" spans="1:21" ht="18.75">
      <c r="A78" s="155"/>
      <c r="B78" s="50"/>
      <c r="C78" s="50"/>
      <c r="D78" s="51" t="s">
        <v>23</v>
      </c>
      <c r="E78" s="50"/>
      <c r="F78" s="50"/>
      <c r="G78" s="52"/>
      <c r="H78" s="165" t="s">
        <v>14</v>
      </c>
      <c r="I78" s="163"/>
      <c r="J78" s="163"/>
      <c r="K78" s="164"/>
      <c r="L78" s="256">
        <f ca="1">L79+L80</f>
        <v>0</v>
      </c>
      <c r="M78" s="255">
        <f ca="1">M79+M80</f>
        <v>0</v>
      </c>
      <c r="N78" s="255">
        <f ca="1">N79+N80</f>
        <v>0</v>
      </c>
      <c r="O78" s="255">
        <f ca="1">IF(L78&gt;0,N78*100/L78,0)</f>
        <v>0</v>
      </c>
      <c r="P78" s="255">
        <f ca="1">IF(M78&gt;0,N78*100/M78,0)</f>
        <v>0</v>
      </c>
      <c r="Q78" s="255">
        <f>Q79+Q80</f>
        <v>0</v>
      </c>
      <c r="R78" s="255">
        <f>R79+R80</f>
        <v>0</v>
      </c>
      <c r="S78" s="255">
        <f>S79+S80</f>
        <v>0</v>
      </c>
      <c r="T78" s="255">
        <f>IF(Q78&gt;0,S78*100/Q78,0)</f>
        <v>0</v>
      </c>
      <c r="U78" s="255">
        <f>IF(R78&gt;0,S78*100/R78,0)</f>
        <v>0</v>
      </c>
    </row>
    <row r="79" spans="1:21" ht="18.75" hidden="1">
      <c r="A79" s="155"/>
      <c r="B79" s="50"/>
      <c r="C79" s="50"/>
      <c r="D79" s="50"/>
      <c r="E79" s="186" t="s">
        <v>20</v>
      </c>
      <c r="F79" s="50"/>
      <c r="G79" s="52"/>
      <c r="H79" s="189" t="s">
        <v>14</v>
      </c>
      <c r="I79" s="163"/>
      <c r="J79" s="163"/>
      <c r="K79" s="164"/>
      <c r="L79" s="103">
        <v>0</v>
      </c>
      <c r="M79" s="255">
        <v>0</v>
      </c>
      <c r="N79" s="255">
        <v>0</v>
      </c>
      <c r="O79" s="102">
        <f>IF(L79&gt;0,N79*100/L79,0)</f>
        <v>0</v>
      </c>
      <c r="P79" s="102">
        <f>IF(M79&gt;0,N79*100/M79,0)</f>
        <v>0</v>
      </c>
      <c r="Q79" s="102">
        <v>0</v>
      </c>
      <c r="R79" s="255">
        <v>0</v>
      </c>
      <c r="S79" s="255">
        <v>0</v>
      </c>
      <c r="T79" s="102">
        <f>IF(Q79&gt;0,S79*100/Q79,0)</f>
        <v>0</v>
      </c>
      <c r="U79" s="102">
        <f>IF(R79&gt;0,S79*100/R79,0)</f>
        <v>0</v>
      </c>
    </row>
    <row r="80" spans="1:21" ht="18.75" hidden="1">
      <c r="A80" s="155"/>
      <c r="B80" s="50"/>
      <c r="C80" s="50"/>
      <c r="D80" s="50"/>
      <c r="E80" s="58" t="s">
        <v>21</v>
      </c>
      <c r="F80" s="50"/>
      <c r="G80" s="52"/>
      <c r="H80" s="165" t="s">
        <v>14</v>
      </c>
      <c r="I80" s="163"/>
      <c r="J80" s="163"/>
      <c r="K80" s="164"/>
      <c r="L80" s="256">
        <f ca="1">IFERROR(__xludf.DUMMYFUNCTION("IMPORTRANGE(""https://docs.google.com/spreadsheets/d/1-uDff_7J0KD5mKrp0Vvzr7lt3OU09vwQwhkpOPPYv2Y/edit?usp=sharing"",""งบพรบ!AP50"")"),0)</f>
        <v>0</v>
      </c>
      <c r="M80" s="255">
        <f ca="1">IFERROR(__xludf.DUMMYFUNCTION("IMPORTRANGE(""https://docs.google.com/spreadsheets/d/1-uDff_7J0KD5mKrp0Vvzr7lt3OU09vwQwhkpOPPYv2Y/edit?usp=sharing"",""งบพรบ!AS50"")"),0)</f>
        <v>0</v>
      </c>
      <c r="N80" s="255">
        <f ca="1">IFERROR(__xludf.DUMMYFUNCTION("IMPORTRANGE(""https://docs.google.com/spreadsheets/d/1-uDff_7J0KD5mKrp0Vvzr7lt3OU09vwQwhkpOPPYv2Y/edit?usp=sharing"",""งบพรบ!AU50"")"),0)</f>
        <v>0</v>
      </c>
      <c r="O80" s="255">
        <f ca="1">IF(L80&gt;0,N80*100/L80,0)</f>
        <v>0</v>
      </c>
      <c r="P80" s="255">
        <f ca="1">IF(M80&gt;0,N80*100/M80,0)</f>
        <v>0</v>
      </c>
      <c r="Q80" s="255">
        <v>0</v>
      </c>
      <c r="R80" s="255">
        <v>0</v>
      </c>
      <c r="S80" s="255">
        <v>0</v>
      </c>
      <c r="T80" s="255">
        <f>IF(Q80&gt;0,S80*100/Q80,0)</f>
        <v>0</v>
      </c>
      <c r="U80" s="255">
        <f>IF(R80&gt;0,S80*100/R80,0)</f>
        <v>0</v>
      </c>
    </row>
    <row r="81" spans="1:21" ht="19.5">
      <c r="A81" s="166"/>
      <c r="B81" s="167"/>
      <c r="C81" s="156" t="s">
        <v>18</v>
      </c>
      <c r="D81" s="566" t="s">
        <v>38</v>
      </c>
      <c r="E81" s="169"/>
      <c r="F81" s="169"/>
      <c r="G81" s="170"/>
      <c r="H81" s="171"/>
      <c r="I81" s="163"/>
      <c r="J81" s="163"/>
      <c r="K81" s="164"/>
      <c r="L81" s="172"/>
      <c r="M81" s="164"/>
      <c r="N81" s="164"/>
      <c r="O81" s="164"/>
      <c r="P81" s="164"/>
      <c r="Q81" s="164"/>
      <c r="R81" s="164"/>
      <c r="S81" s="164"/>
      <c r="T81" s="164"/>
      <c r="U81" s="164"/>
    </row>
    <row r="82" spans="1:21" ht="19.5">
      <c r="A82" s="166"/>
      <c r="B82" s="167"/>
      <c r="C82" s="167"/>
      <c r="D82" s="173" t="s">
        <v>39</v>
      </c>
      <c r="E82" s="174"/>
      <c r="F82" s="174"/>
      <c r="G82" s="171"/>
      <c r="H82" s="175" t="s">
        <v>34</v>
      </c>
      <c r="I82" s="373">
        <f ca="1">I84+I86+I88</f>
        <v>2</v>
      </c>
      <c r="J82" s="373">
        <f>J84+J86+J88</f>
        <v>0</v>
      </c>
      <c r="K82" s="642">
        <f ca="1">IF(I82&gt;0,J82*100/I82,0)</f>
        <v>0</v>
      </c>
      <c r="L82" s="172"/>
      <c r="M82" s="164"/>
      <c r="N82" s="164"/>
      <c r="O82" s="164"/>
      <c r="P82" s="164"/>
      <c r="Q82" s="164"/>
      <c r="R82" s="164"/>
      <c r="S82" s="164"/>
      <c r="T82" s="164"/>
      <c r="U82" s="164"/>
    </row>
    <row r="83" spans="1:21" ht="19.5">
      <c r="A83" s="166"/>
      <c r="B83" s="167"/>
      <c r="C83" s="167"/>
      <c r="D83" s="167"/>
      <c r="E83" s="174"/>
      <c r="F83" s="174"/>
      <c r="G83" s="171"/>
      <c r="H83" s="175" t="s">
        <v>35</v>
      </c>
      <c r="I83" s="373">
        <f ca="1">I85+I87+I89</f>
        <v>100</v>
      </c>
      <c r="J83" s="373">
        <f>J85+J87+J89</f>
        <v>0</v>
      </c>
      <c r="K83" s="642">
        <f ca="1">IF(I83&gt;0,J83*100/I83,0)</f>
        <v>0</v>
      </c>
      <c r="L83" s="172"/>
      <c r="M83" s="164"/>
      <c r="N83" s="164"/>
      <c r="O83" s="164"/>
      <c r="P83" s="164"/>
      <c r="Q83" s="164"/>
      <c r="R83" s="164"/>
      <c r="S83" s="164"/>
      <c r="T83" s="164"/>
      <c r="U83" s="164"/>
    </row>
    <row r="84" spans="1:21" ht="18.75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641">
        <f ca="1">IFERROR(__xludf.DUMMYFUNCTION("IMPORTRANGE(""https://docs.google.com/spreadsheets/d/1eHaY18a8A9IcSdp1K8H6x8fbOy06t2VsZHhMHf-1x7Y/edit?usp=sharing"",""แผน!H50"")"),1)</f>
        <v>1</v>
      </c>
      <c r="J84" s="467">
        <v>0</v>
      </c>
      <c r="K84" s="565">
        <f ca="1">IF(I84&gt;0,J84*100/I84,0)</f>
        <v>0</v>
      </c>
      <c r="L84" s="172"/>
      <c r="M84" s="164"/>
      <c r="N84" s="164"/>
      <c r="O84" s="164"/>
      <c r="P84" s="164"/>
      <c r="Q84" s="164"/>
      <c r="R84" s="164"/>
      <c r="S84" s="164"/>
      <c r="T84" s="164"/>
      <c r="U84" s="164"/>
    </row>
    <row r="85" spans="1:21" ht="18.75">
      <c r="A85" s="166"/>
      <c r="B85" s="167"/>
      <c r="C85" s="167"/>
      <c r="D85" s="167"/>
      <c r="E85" s="174"/>
      <c r="F85" s="174"/>
      <c r="G85" s="171"/>
      <c r="H85" s="179" t="s">
        <v>35</v>
      </c>
      <c r="I85" s="641">
        <f ca="1">IFERROR(__xludf.DUMMYFUNCTION("IMPORTRANGE(""https://docs.google.com/spreadsheets/d/1eHaY18a8A9IcSdp1K8H6x8fbOy06t2VsZHhMHf-1x7Y/edit?usp=sharing"",""แผน!I50"")"),30)</f>
        <v>30</v>
      </c>
      <c r="J85" s="467">
        <v>0</v>
      </c>
      <c r="K85" s="565">
        <f ca="1">IF(I85&gt;0,J85*100/I85,0)</f>
        <v>0</v>
      </c>
      <c r="L85" s="172"/>
      <c r="M85" s="164"/>
      <c r="N85" s="164"/>
      <c r="O85" s="164"/>
      <c r="P85" s="164"/>
      <c r="Q85" s="164"/>
      <c r="R85" s="164"/>
      <c r="S85" s="164"/>
      <c r="T85" s="164"/>
      <c r="U85" s="164"/>
    </row>
    <row r="86" spans="1:21" ht="18.75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641">
        <f ca="1">IFERROR(__xludf.DUMMYFUNCTION("IMPORTRANGE(""https://docs.google.com/spreadsheets/d/1eHaY18a8A9IcSdp1K8H6x8fbOy06t2VsZHhMHf-1x7Y/edit?usp=sharing"",""แผน!F50"")"),0)</f>
        <v>0</v>
      </c>
      <c r="J86" s="467">
        <v>0</v>
      </c>
      <c r="K86" s="565">
        <f ca="1">IF(I86&gt;0,J86*100/I86,0)</f>
        <v>0</v>
      </c>
      <c r="L86" s="172"/>
      <c r="M86" s="164"/>
      <c r="N86" s="164"/>
      <c r="O86" s="164"/>
      <c r="P86" s="164"/>
      <c r="Q86" s="164"/>
      <c r="R86" s="164"/>
      <c r="S86" s="164"/>
      <c r="T86" s="164"/>
      <c r="U86" s="164"/>
    </row>
    <row r="87" spans="1:21" ht="18.75">
      <c r="A87" s="166"/>
      <c r="B87" s="167"/>
      <c r="C87" s="167"/>
      <c r="D87" s="167"/>
      <c r="E87" s="174"/>
      <c r="F87" s="174"/>
      <c r="G87" s="171"/>
      <c r="H87" s="179" t="s">
        <v>35</v>
      </c>
      <c r="I87" s="641">
        <f ca="1">IFERROR(__xludf.DUMMYFUNCTION("IMPORTRANGE(""https://docs.google.com/spreadsheets/d/1eHaY18a8A9IcSdp1K8H6x8fbOy06t2VsZHhMHf-1x7Y/edit?usp=sharing"",""แผน!G50"")"),0)</f>
        <v>0</v>
      </c>
      <c r="J87" s="467">
        <v>0</v>
      </c>
      <c r="K87" s="565">
        <f ca="1">IF(I87&gt;0,J87*100/I87,0)</f>
        <v>0</v>
      </c>
      <c r="L87" s="172"/>
      <c r="M87" s="164"/>
      <c r="N87" s="164"/>
      <c r="O87" s="164"/>
      <c r="P87" s="164"/>
      <c r="Q87" s="164"/>
      <c r="R87" s="164"/>
      <c r="S87" s="164"/>
      <c r="T87" s="164"/>
      <c r="U87" s="164"/>
    </row>
    <row r="88" spans="1:21" ht="18.75">
      <c r="A88" s="166"/>
      <c r="B88" s="167"/>
      <c r="C88" s="167"/>
      <c r="D88" s="167"/>
      <c r="E88" s="178" t="s">
        <v>42</v>
      </c>
      <c r="F88" s="174"/>
      <c r="G88" s="171"/>
      <c r="H88" s="179" t="s">
        <v>34</v>
      </c>
      <c r="I88" s="641">
        <f ca="1">IFERROR(__xludf.DUMMYFUNCTION("IMPORTRANGE(""https://docs.google.com/spreadsheets/d/1eHaY18a8A9IcSdp1K8H6x8fbOy06t2VsZHhMHf-1x7Y/edit?usp=sharing"",""แผน!D50"")"),1)</f>
        <v>1</v>
      </c>
      <c r="J88" s="467">
        <v>0</v>
      </c>
      <c r="K88" s="565">
        <f ca="1">IF(I88&gt;0,J88*100/I88,0)</f>
        <v>0</v>
      </c>
      <c r="L88" s="172"/>
      <c r="M88" s="164"/>
      <c r="N88" s="164"/>
      <c r="O88" s="164"/>
      <c r="P88" s="164"/>
      <c r="Q88" s="164"/>
      <c r="R88" s="164"/>
      <c r="S88" s="164"/>
      <c r="T88" s="164"/>
      <c r="U88" s="164"/>
    </row>
    <row r="89" spans="1:21" ht="18.75">
      <c r="A89" s="166"/>
      <c r="B89" s="167"/>
      <c r="C89" s="167"/>
      <c r="D89" s="167"/>
      <c r="E89" s="174"/>
      <c r="F89" s="174"/>
      <c r="G89" s="171"/>
      <c r="H89" s="179" t="s">
        <v>35</v>
      </c>
      <c r="I89" s="641">
        <f ca="1">IFERROR(__xludf.DUMMYFUNCTION("IMPORTRANGE(""https://docs.google.com/spreadsheets/d/1eHaY18a8A9IcSdp1K8H6x8fbOy06t2VsZHhMHf-1x7Y/edit?usp=sharing"",""แผน!E50"")"),70)</f>
        <v>70</v>
      </c>
      <c r="J89" s="467">
        <v>0</v>
      </c>
      <c r="K89" s="565">
        <f ca="1">IF(I89&gt;0,J89*100/I89,0)</f>
        <v>0</v>
      </c>
      <c r="L89" s="172"/>
      <c r="M89" s="164"/>
      <c r="N89" s="164"/>
      <c r="O89" s="164"/>
      <c r="P89" s="164"/>
      <c r="Q89" s="164"/>
      <c r="R89" s="164"/>
      <c r="S89" s="164"/>
      <c r="T89" s="164"/>
      <c r="U89" s="164"/>
    </row>
    <row r="90" spans="1:21" ht="18.75">
      <c r="A90" s="166"/>
      <c r="B90" s="167"/>
      <c r="C90" s="167"/>
      <c r="D90" s="173" t="s">
        <v>43</v>
      </c>
      <c r="E90" s="174"/>
      <c r="F90" s="174"/>
      <c r="G90" s="171"/>
      <c r="H90" s="183" t="s">
        <v>34</v>
      </c>
      <c r="I90" s="641">
        <f ca="1">IFERROR(__xludf.DUMMYFUNCTION("IMPORTRANGE(""https://docs.google.com/spreadsheets/d/1eHaY18a8A9IcSdp1K8H6x8fbOy06t2VsZHhMHf-1x7Y/edit?usp=sharing"",""แผน!J50"")"),2)</f>
        <v>2</v>
      </c>
      <c r="J90" s="467">
        <v>0</v>
      </c>
      <c r="K90" s="565">
        <f ca="1">IF(I90&gt;0,J90*100/I90,0)</f>
        <v>0</v>
      </c>
      <c r="L90" s="172"/>
      <c r="M90" s="164"/>
      <c r="N90" s="164"/>
      <c r="O90" s="164"/>
      <c r="P90" s="164"/>
      <c r="Q90" s="164"/>
      <c r="R90" s="164"/>
      <c r="S90" s="164"/>
      <c r="T90" s="164"/>
      <c r="U90" s="164"/>
    </row>
    <row r="91" spans="1:21" ht="19.5" hidden="1">
      <c r="A91" s="143" t="s">
        <v>44</v>
      </c>
      <c r="B91" s="144"/>
      <c r="C91" s="145"/>
      <c r="D91" s="144"/>
      <c r="E91" s="144"/>
      <c r="F91" s="144"/>
      <c r="G91" s="146"/>
      <c r="H91" s="146"/>
      <c r="I91" s="147"/>
      <c r="J91" s="147"/>
      <c r="K91" s="148"/>
      <c r="L91" s="149"/>
      <c r="M91" s="148"/>
      <c r="N91" s="148"/>
      <c r="O91" s="148"/>
      <c r="P91" s="148"/>
      <c r="Q91" s="148"/>
      <c r="R91" s="148"/>
      <c r="S91" s="148"/>
      <c r="T91" s="148"/>
      <c r="U91" s="148"/>
    </row>
    <row r="92" spans="1:21" ht="19.5" hidden="1">
      <c r="A92" s="150"/>
      <c r="B92" s="35" t="s">
        <v>45</v>
      </c>
      <c r="C92" s="34"/>
      <c r="D92" s="151"/>
      <c r="E92" s="34"/>
      <c r="F92" s="34"/>
      <c r="G92" s="37"/>
      <c r="H92" s="152" t="s">
        <v>46</v>
      </c>
      <c r="I92" s="721">
        <f ca="1">I108</f>
        <v>0</v>
      </c>
      <c r="J92" s="721">
        <f>J108</f>
        <v>0</v>
      </c>
      <c r="K92" s="720">
        <f ca="1">IF(I92&gt;0,J92*100/I92,0)</f>
        <v>0</v>
      </c>
      <c r="L92" s="154"/>
      <c r="M92" s="40"/>
      <c r="N92" s="40"/>
      <c r="O92" s="40"/>
      <c r="P92" s="40"/>
      <c r="Q92" s="40"/>
      <c r="R92" s="40"/>
      <c r="S92" s="40"/>
      <c r="T92" s="40"/>
      <c r="U92" s="40"/>
    </row>
    <row r="93" spans="1:21" ht="19.5" hidden="1">
      <c r="A93" s="150"/>
      <c r="B93" s="34"/>
      <c r="C93" s="34"/>
      <c r="D93" s="151"/>
      <c r="E93" s="34"/>
      <c r="F93" s="34"/>
      <c r="G93" s="37"/>
      <c r="H93" s="152" t="s">
        <v>35</v>
      </c>
      <c r="I93" s="721">
        <f ca="1">I109</f>
        <v>0</v>
      </c>
      <c r="J93" s="721">
        <f>J109</f>
        <v>0</v>
      </c>
      <c r="K93" s="720">
        <f ca="1">IF(I93&gt;0,J93*100/I93,0)</f>
        <v>0</v>
      </c>
      <c r="L93" s="154"/>
      <c r="M93" s="40"/>
      <c r="N93" s="40"/>
      <c r="O93" s="40"/>
      <c r="P93" s="40"/>
      <c r="Q93" s="40"/>
      <c r="R93" s="40"/>
      <c r="S93" s="40"/>
      <c r="T93" s="40"/>
      <c r="U93" s="40"/>
    </row>
    <row r="94" spans="1:21" ht="19.5" hidden="1">
      <c r="A94" s="155"/>
      <c r="B94" s="50"/>
      <c r="C94" s="156" t="s">
        <v>18</v>
      </c>
      <c r="D94" s="575" t="s">
        <v>19</v>
      </c>
      <c r="E94" s="50"/>
      <c r="F94" s="50"/>
      <c r="G94" s="52"/>
      <c r="H94" s="158" t="s">
        <v>14</v>
      </c>
      <c r="I94" s="54"/>
      <c r="J94" s="54"/>
      <c r="K94" s="55"/>
      <c r="L94" s="541">
        <f ca="1">L95+L96</f>
        <v>0</v>
      </c>
      <c r="M94" s="540">
        <f ca="1">M95+M96</f>
        <v>0</v>
      </c>
      <c r="N94" s="540">
        <f ca="1">N95+N96</f>
        <v>0</v>
      </c>
      <c r="O94" s="540">
        <f ca="1">IF(L94&gt;0,N94*100/L94,0)</f>
        <v>0</v>
      </c>
      <c r="P94" s="540">
        <f ca="1">IF(M94&gt;0,N94*100/M94,0)</f>
        <v>0</v>
      </c>
      <c r="Q94" s="540">
        <f ca="1">Q95+Q96</f>
        <v>0</v>
      </c>
      <c r="R94" s="540">
        <f ca="1">R95+R96</f>
        <v>0</v>
      </c>
      <c r="S94" s="540">
        <f ca="1">S95+S96</f>
        <v>0</v>
      </c>
      <c r="T94" s="540">
        <f ca="1">IF(Q94&gt;0,S94*100/Q94,0)</f>
        <v>0</v>
      </c>
      <c r="U94" s="540">
        <f ca="1">IF(R94&gt;0,S94*100/R94,0)</f>
        <v>0</v>
      </c>
    </row>
    <row r="95" spans="1:21" ht="18.75" hidden="1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103">
        <f>L98+L101</f>
        <v>0</v>
      </c>
      <c r="M95" s="102">
        <f>M98+M101</f>
        <v>0</v>
      </c>
      <c r="N95" s="102">
        <f>N98+N101</f>
        <v>0</v>
      </c>
      <c r="O95" s="102">
        <f>IF(L95&gt;0,N95*100/L95,0)</f>
        <v>0</v>
      </c>
      <c r="P95" s="102">
        <f>IF(M95&gt;0,N95*100/M95,0)</f>
        <v>0</v>
      </c>
      <c r="Q95" s="102">
        <f>Q98+Q101</f>
        <v>0</v>
      </c>
      <c r="R95" s="102">
        <f>R98+R101</f>
        <v>0</v>
      </c>
      <c r="S95" s="102">
        <f>S98+S101</f>
        <v>0</v>
      </c>
      <c r="T95" s="102">
        <f>IF(Q95&gt;0,S95*100/Q95,0)</f>
        <v>0</v>
      </c>
      <c r="U95" s="102">
        <f>IF(R95&gt;0,S95*100/R95,0)</f>
        <v>0</v>
      </c>
    </row>
    <row r="96" spans="1:21" ht="18.75" hidden="1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256">
        <f ca="1">L99+L102</f>
        <v>0</v>
      </c>
      <c r="M96" s="255">
        <f ca="1">M99+M102</f>
        <v>0</v>
      </c>
      <c r="N96" s="255">
        <f ca="1">N99+N102</f>
        <v>0</v>
      </c>
      <c r="O96" s="255">
        <f ca="1">IF(L96&gt;0,N96*100/L96,0)</f>
        <v>0</v>
      </c>
      <c r="P96" s="255">
        <f ca="1">IF(M96&gt;0,N96*100/M96,0)</f>
        <v>0</v>
      </c>
      <c r="Q96" s="255">
        <f ca="1">Q99+Q102</f>
        <v>0</v>
      </c>
      <c r="R96" s="255">
        <f ca="1">R99+R102</f>
        <v>0</v>
      </c>
      <c r="S96" s="255">
        <f ca="1">S99+S102</f>
        <v>0</v>
      </c>
      <c r="T96" s="255">
        <f ca="1">IF(Q96&gt;0,S96*100/Q96,0)</f>
        <v>0</v>
      </c>
      <c r="U96" s="255">
        <f ca="1">IF(R96&gt;0,S96*100/R96,0)</f>
        <v>0</v>
      </c>
    </row>
    <row r="97" spans="1:21" ht="18.75" hidden="1">
      <c r="A97" s="155"/>
      <c r="B97" s="50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256">
        <f ca="1">L98+L99</f>
        <v>0</v>
      </c>
      <c r="M97" s="255">
        <f ca="1">M98+M99</f>
        <v>0</v>
      </c>
      <c r="N97" s="255">
        <f ca="1">N98+N99</f>
        <v>0</v>
      </c>
      <c r="O97" s="255">
        <f ca="1">IF(L97&gt;0,N97*100/L97,0)</f>
        <v>0</v>
      </c>
      <c r="P97" s="255">
        <f ca="1">IF(M97&gt;0,N97*100/M97,0)</f>
        <v>0</v>
      </c>
      <c r="Q97" s="255">
        <f ca="1">Q98+Q99</f>
        <v>0</v>
      </c>
      <c r="R97" s="255">
        <f ca="1">R98+R99</f>
        <v>0</v>
      </c>
      <c r="S97" s="255">
        <f ca="1">S98+S99</f>
        <v>0</v>
      </c>
      <c r="T97" s="255">
        <f ca="1">IF(Q97&gt;0,S97*100/Q97,0)</f>
        <v>0</v>
      </c>
      <c r="U97" s="255">
        <f ca="1">IF(R97&gt;0,S97*100/R97,0)</f>
        <v>0</v>
      </c>
    </row>
    <row r="98" spans="1:21" ht="18.75" hidden="1">
      <c r="A98" s="155"/>
      <c r="B98" s="50"/>
      <c r="C98" s="50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103">
        <v>0</v>
      </c>
      <c r="M98" s="102">
        <v>0</v>
      </c>
      <c r="N98" s="102">
        <v>0</v>
      </c>
      <c r="O98" s="102">
        <f>IF(L98&gt;0,N98*100/L98,0)</f>
        <v>0</v>
      </c>
      <c r="P98" s="102">
        <f>IF(M98&gt;0,N98*100/M98,0)</f>
        <v>0</v>
      </c>
      <c r="Q98" s="102">
        <v>0</v>
      </c>
      <c r="R98" s="102">
        <v>0</v>
      </c>
      <c r="S98" s="102">
        <v>0</v>
      </c>
      <c r="T98" s="102">
        <f>IF(Q98&gt;0,S98*100/Q98,0)</f>
        <v>0</v>
      </c>
      <c r="U98" s="102">
        <f>IF(R98&gt;0,S98*100/R98,0)</f>
        <v>0</v>
      </c>
    </row>
    <row r="99" spans="1:21" ht="18.75" hidden="1">
      <c r="A99" s="155"/>
      <c r="B99" s="50"/>
      <c r="C99" s="50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256">
        <f ca="1">IFERROR(__xludf.DUMMYFUNCTION("IMPORTRANGE(""https://docs.google.com/spreadsheets/d/1-uDff_7J0KD5mKrp0Vvzr7lt3OU09vwQwhkpOPPYv2Y/edit?usp=sharing"",""งบพรบ!AW50"")"),0)</f>
        <v>0</v>
      </c>
      <c r="M99" s="255">
        <f ca="1">IFERROR(__xludf.DUMMYFUNCTION("IMPORTRANGE(""https://docs.google.com/spreadsheets/d/1-uDff_7J0KD5mKrp0Vvzr7lt3OU09vwQwhkpOPPYv2Y/edit?usp=sharing"",""งบพรบ!BB50"")"),0)</f>
        <v>0</v>
      </c>
      <c r="N99" s="255">
        <f ca="1">IFERROR(__xludf.DUMMYFUNCTION("IMPORTRANGE(""https://docs.google.com/spreadsheets/d/1-uDff_7J0KD5mKrp0Vvzr7lt3OU09vwQwhkpOPPYv2Y/edit?usp=sharing"",""งบพรบ!BD50"")"),0)</f>
        <v>0</v>
      </c>
      <c r="O99" s="255">
        <f ca="1">IF(L99&gt;0,N99*100/L99,0)</f>
        <v>0</v>
      </c>
      <c r="P99" s="255">
        <f ca="1">IF(M99&gt;0,N99*100/M99,0)</f>
        <v>0</v>
      </c>
      <c r="Q99" s="255">
        <f ca="1">IFERROR(__xludf.DUMMYFUNCTION("IMPORTRANGE(""https://docs.google.com/spreadsheets/d/1ItG2mGa2ceCfYo0BwxsXqNm01IGEUdYcSSLTEv9YCik/edit?usp=sharing"",""เบิกจ่ายกองทุน!AD50"")"),0)</f>
        <v>0</v>
      </c>
      <c r="R99" s="255">
        <f ca="1">IFERROR(__xludf.DUMMYFUNCTION("IMPORTRANGE(""https://docs.google.com/spreadsheets/d/1ItG2mGa2ceCfYo0BwxsXqNm01IGEUdYcSSLTEv9YCik/edit?usp=sharing"",""เบิกจ่ายกองทุน!AE50"")"),0)</f>
        <v>0</v>
      </c>
      <c r="S99" s="255">
        <f ca="1">IFERROR(__xludf.DUMMYFUNCTION("IMPORTRANGE(""https://docs.google.com/spreadsheets/d/1ItG2mGa2ceCfYo0BwxsXqNm01IGEUdYcSSLTEv9YCik/edit?usp=sharing"",""เบิกจ่ายกองทุน!AF50"")"),0)</f>
        <v>0</v>
      </c>
      <c r="T99" s="255">
        <f ca="1">IF(Q99&gt;0,S99*100/Q99,0)</f>
        <v>0</v>
      </c>
      <c r="U99" s="255">
        <f ca="1">IF(R99&gt;0,S99*100/R99,0)</f>
        <v>0</v>
      </c>
    </row>
    <row r="100" spans="1:21" ht="18.75" hidden="1">
      <c r="A100" s="155"/>
      <c r="B100" s="50"/>
      <c r="C100" s="50"/>
      <c r="D100" s="51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256">
        <f ca="1">L101+L102</f>
        <v>0</v>
      </c>
      <c r="M100" s="255">
        <f ca="1">M101+M102</f>
        <v>0</v>
      </c>
      <c r="N100" s="255">
        <f ca="1">N101+N102</f>
        <v>0</v>
      </c>
      <c r="O100" s="255">
        <f ca="1">IF(L100&gt;0,N100*100/L100,0)</f>
        <v>0</v>
      </c>
      <c r="P100" s="255">
        <f ca="1">IF(M100&gt;0,N100*100/M100,0)</f>
        <v>0</v>
      </c>
      <c r="Q100" s="255">
        <f>Q101+Q102</f>
        <v>0</v>
      </c>
      <c r="R100" s="255">
        <f>R101+R102</f>
        <v>0</v>
      </c>
      <c r="S100" s="255">
        <f>S101+S102</f>
        <v>0</v>
      </c>
      <c r="T100" s="255">
        <f>IF(Q100&gt;0,S100*100/Q100,0)</f>
        <v>0</v>
      </c>
      <c r="U100" s="255">
        <f>IF(R100&gt;0,S100*100/R100,0)</f>
        <v>0</v>
      </c>
    </row>
    <row r="101" spans="1:21" ht="18.75" hidden="1">
      <c r="A101" s="155"/>
      <c r="B101" s="50"/>
      <c r="C101" s="50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103">
        <v>0</v>
      </c>
      <c r="M101" s="102">
        <v>0</v>
      </c>
      <c r="N101" s="102">
        <v>0</v>
      </c>
      <c r="O101" s="102">
        <f>IF(L101&gt;0,N101*100/L101,0)</f>
        <v>0</v>
      </c>
      <c r="P101" s="102">
        <f>IF(M101&gt;0,N101*100/M101,0)</f>
        <v>0</v>
      </c>
      <c r="Q101" s="102">
        <v>0</v>
      </c>
      <c r="R101" s="102">
        <v>0</v>
      </c>
      <c r="S101" s="102">
        <v>0</v>
      </c>
      <c r="T101" s="102">
        <f>IF(Q101&gt;0,S101*100/Q101,0)</f>
        <v>0</v>
      </c>
      <c r="U101" s="102">
        <f>IF(R101&gt;0,S101*100/R101,0)</f>
        <v>0</v>
      </c>
    </row>
    <row r="102" spans="1:21" ht="18.75" hidden="1">
      <c r="A102" s="155"/>
      <c r="B102" s="50"/>
      <c r="C102" s="50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256">
        <f ca="1">IFERROR(__xludf.DUMMYFUNCTION("IMPORTRANGE(""https://docs.google.com/spreadsheets/d/1-uDff_7J0KD5mKrp0Vvzr7lt3OU09vwQwhkpOPPYv2Y/edit?usp=sharing"",""งบพรบ!AZ50"")"),0)</f>
        <v>0</v>
      </c>
      <c r="M102" s="255">
        <f ca="1">IFERROR(__xludf.DUMMYFUNCTION("IMPORTRANGE(""https://docs.google.com/spreadsheets/d/1-uDff_7J0KD5mKrp0Vvzr7lt3OU09vwQwhkpOPPYv2Y/edit?usp=sharing"",""งบพรบ!BC50"")"),0)</f>
        <v>0</v>
      </c>
      <c r="N102" s="255">
        <f ca="1">IFERROR(__xludf.DUMMYFUNCTION("IMPORTRANGE(""https://docs.google.com/spreadsheets/d/1-uDff_7J0KD5mKrp0Vvzr7lt3OU09vwQwhkpOPPYv2Y/edit?usp=sharing"",""งบพรบ!BE50"")"),0)</f>
        <v>0</v>
      </c>
      <c r="O102" s="255">
        <f ca="1">IF(L102&gt;0,N102*100/L102,0)</f>
        <v>0</v>
      </c>
      <c r="P102" s="255">
        <f ca="1">IF(M102&gt;0,N102*100/M102,0)</f>
        <v>0</v>
      </c>
      <c r="Q102" s="255">
        <v>0</v>
      </c>
      <c r="R102" s="255">
        <v>0</v>
      </c>
      <c r="S102" s="255">
        <v>0</v>
      </c>
      <c r="T102" s="255">
        <f>IF(Q102&gt;0,S102*100/Q102,0)</f>
        <v>0</v>
      </c>
      <c r="U102" s="255">
        <f>IF(R102&gt;0,S102*100/R102,0)</f>
        <v>0</v>
      </c>
    </row>
    <row r="103" spans="1:21" ht="19.5" hidden="1">
      <c r="A103" s="166"/>
      <c r="B103" s="167"/>
      <c r="C103" s="156" t="s">
        <v>18</v>
      </c>
      <c r="D103" s="566" t="s">
        <v>38</v>
      </c>
      <c r="E103" s="169"/>
      <c r="F103" s="169"/>
      <c r="G103" s="170"/>
      <c r="H103" s="171"/>
      <c r="I103" s="163"/>
      <c r="J103" s="54"/>
      <c r="K103" s="55"/>
      <c r="L103" s="62"/>
      <c r="M103" s="55"/>
      <c r="N103" s="55"/>
      <c r="O103" s="164"/>
      <c r="P103" s="164"/>
      <c r="Q103" s="55"/>
      <c r="R103" s="55"/>
      <c r="S103" s="55"/>
      <c r="T103" s="164"/>
      <c r="U103" s="164"/>
    </row>
    <row r="104" spans="1:21" ht="12.75" hidden="1">
      <c r="A104" s="192"/>
      <c r="B104" s="193"/>
      <c r="C104" s="193"/>
      <c r="D104" s="22"/>
      <c r="E104" s="22"/>
      <c r="F104" s="22"/>
      <c r="G104" s="23"/>
      <c r="H104" s="23"/>
      <c r="I104" s="24"/>
      <c r="J104" s="24"/>
      <c r="K104" s="25"/>
      <c r="L104" s="26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2.75" hidden="1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6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2.75" hidden="1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9.5" hidden="1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62"/>
      <c r="M107" s="55"/>
      <c r="N107" s="55"/>
      <c r="O107" s="164"/>
      <c r="P107" s="164"/>
      <c r="Q107" s="55"/>
      <c r="R107" s="55"/>
      <c r="S107" s="55"/>
      <c r="T107" s="164"/>
      <c r="U107" s="164"/>
    </row>
    <row r="108" spans="1:21" ht="18.75" hidden="1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212">
        <f ca="1">IFERROR(__xludf.DUMMYFUNCTION("IMPORTRANGE(""https://docs.google.com/spreadsheets/d/1eHaY18a8A9IcSdp1K8H6x8fbOy06t2VsZHhMHf-1x7Y/edit?usp=sharing"",""แผน!N50"")"),0)</f>
        <v>0</v>
      </c>
      <c r="J108" s="467">
        <v>0</v>
      </c>
      <c r="K108" s="255">
        <f ca="1">IF(I108&gt;0,J108*100/I108,0)</f>
        <v>0</v>
      </c>
      <c r="L108" s="62"/>
      <c r="M108" s="55"/>
      <c r="N108" s="55"/>
      <c r="O108" s="164"/>
      <c r="P108" s="164"/>
      <c r="Q108" s="55"/>
      <c r="R108" s="55"/>
      <c r="S108" s="55"/>
      <c r="T108" s="164"/>
      <c r="U108" s="164"/>
    </row>
    <row r="109" spans="1:21" ht="18.75" hidden="1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212">
        <f ca="1">IFERROR(__xludf.DUMMYFUNCTION("IMPORTRANGE(""https://docs.google.com/spreadsheets/d/1eHaY18a8A9IcSdp1K8H6x8fbOy06t2VsZHhMHf-1x7Y/edit?usp=sharing"",""แผน!O50"")"),0)</f>
        <v>0</v>
      </c>
      <c r="J109" s="467">
        <v>0</v>
      </c>
      <c r="K109" s="255">
        <f ca="1">IF(I109&gt;0,J109*100/I109,0)</f>
        <v>0</v>
      </c>
      <c r="L109" s="62"/>
      <c r="M109" s="55"/>
      <c r="N109" s="55"/>
      <c r="O109" s="164"/>
      <c r="P109" s="164"/>
      <c r="Q109" s="55"/>
      <c r="R109" s="55"/>
      <c r="S109" s="55"/>
      <c r="T109" s="164"/>
      <c r="U109" s="164"/>
    </row>
    <row r="110" spans="1:21" ht="12.75" hidden="1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6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2.75" hidden="1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6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2.75" hidden="1">
      <c r="A112" s="192"/>
      <c r="B112" s="193"/>
      <c r="C112" s="193"/>
      <c r="D112" s="22"/>
      <c r="E112" s="22"/>
      <c r="F112" s="22"/>
      <c r="G112" s="23"/>
      <c r="H112" s="23"/>
      <c r="I112" s="24"/>
      <c r="J112" s="24"/>
      <c r="K112" s="25"/>
      <c r="L112" s="26"/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2.75" hidden="1">
      <c r="A113" s="192"/>
      <c r="B113" s="193"/>
      <c r="C113" s="193"/>
      <c r="D113" s="22"/>
      <c r="E113" s="22"/>
      <c r="F113" s="22"/>
      <c r="G113" s="23"/>
      <c r="H113" s="23"/>
      <c r="I113" s="24">
        <v>0</v>
      </c>
      <c r="J113" s="24">
        <v>0</v>
      </c>
      <c r="K113" s="25"/>
      <c r="L113" s="26"/>
      <c r="M113" s="25"/>
      <c r="N113" s="25"/>
      <c r="O113" s="25"/>
      <c r="P113" s="25"/>
      <c r="Q113" s="25"/>
      <c r="R113" s="25"/>
      <c r="S113" s="25"/>
      <c r="T113" s="25"/>
      <c r="U113" s="25"/>
    </row>
    <row r="114" spans="1:21" ht="18.75" hidden="1">
      <c r="A114" s="166"/>
      <c r="B114" s="167"/>
      <c r="C114" s="167"/>
      <c r="D114" s="178" t="s">
        <v>50</v>
      </c>
      <c r="E114" s="174"/>
      <c r="F114" s="174"/>
      <c r="G114" s="171"/>
      <c r="H114" s="179" t="s">
        <v>35</v>
      </c>
      <c r="I114" s="641">
        <f ca="1">IFERROR(__xludf.DUMMYFUNCTION("IMPORTRANGE(""https://docs.google.com/spreadsheets/d/1eHaY18a8A9IcSdp1K8H6x8fbOy06t2VsZHhMHf-1x7Y/edit?usp=sharing"",""แผน!R50"")"),0)</f>
        <v>0</v>
      </c>
      <c r="J114" s="467">
        <v>0</v>
      </c>
      <c r="K114" s="255">
        <f ca="1">IF(I114&gt;0,J114*100/I114,0)</f>
        <v>0</v>
      </c>
      <c r="L114" s="62"/>
      <c r="M114" s="55"/>
      <c r="N114" s="55"/>
      <c r="O114" s="164"/>
      <c r="P114" s="164"/>
      <c r="Q114" s="55"/>
      <c r="R114" s="55"/>
      <c r="S114" s="55"/>
      <c r="T114" s="164"/>
      <c r="U114" s="164"/>
    </row>
    <row r="115" spans="1:21" ht="19.5">
      <c r="A115" s="727" t="s">
        <v>51</v>
      </c>
      <c r="B115" s="724"/>
      <c r="C115" s="726"/>
      <c r="D115" s="725"/>
      <c r="E115" s="725"/>
      <c r="F115" s="725"/>
      <c r="G115" s="725"/>
      <c r="H115" s="724"/>
      <c r="I115" s="723"/>
      <c r="J115" s="723"/>
      <c r="K115" s="722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721">
        <f ca="1">I127</f>
        <v>20</v>
      </c>
      <c r="J116" s="721">
        <f>J127</f>
        <v>20</v>
      </c>
      <c r="K116" s="720">
        <f ca="1">IF(I116&gt;0,J116*100/I116,0)</f>
        <v>100</v>
      </c>
      <c r="L116" s="154"/>
      <c r="M116" s="40"/>
      <c r="N116" s="40"/>
      <c r="O116" s="40"/>
      <c r="P116" s="40"/>
      <c r="Q116" s="40"/>
      <c r="R116" s="40"/>
      <c r="S116" s="40"/>
      <c r="T116" s="40"/>
      <c r="U116" s="40"/>
    </row>
    <row r="117" spans="1:21" ht="19.5">
      <c r="A117" s="155"/>
      <c r="B117" s="188"/>
      <c r="C117" s="191" t="s">
        <v>18</v>
      </c>
      <c r="D117" s="575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541">
        <f ca="1">L118+L119</f>
        <v>0</v>
      </c>
      <c r="M117" s="540">
        <f ca="1">M118+M119</f>
        <v>0</v>
      </c>
      <c r="N117" s="540">
        <f ca="1">N118+N119</f>
        <v>0</v>
      </c>
      <c r="O117" s="540">
        <f ca="1">IF(L117&gt;0,N117*100/L117,0)</f>
        <v>0</v>
      </c>
      <c r="P117" s="540">
        <f ca="1">IF(M117&gt;0,N117*100/M117,0)</f>
        <v>0</v>
      </c>
      <c r="Q117" s="540">
        <f ca="1">Q118+Q119</f>
        <v>209360</v>
      </c>
      <c r="R117" s="540">
        <f ca="1">R118+R119</f>
        <v>209360</v>
      </c>
      <c r="S117" s="540">
        <f ca="1">S118+S119</f>
        <v>107378.08</v>
      </c>
      <c r="T117" s="540">
        <f ca="1">IF(Q117&gt;0,S117*100/Q117,0)</f>
        <v>51.28872755063049</v>
      </c>
      <c r="U117" s="540">
        <f ca="1">IF(R117&gt;0,S117*100/R117,0)</f>
        <v>51.28872755063049</v>
      </c>
    </row>
    <row r="118" spans="1:21" ht="18.75" hidden="1">
      <c r="A118" s="155"/>
      <c r="B118" s="188"/>
      <c r="C118" s="188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103">
        <f>L121+L124</f>
        <v>0</v>
      </c>
      <c r="M118" s="102">
        <f>M121+M124</f>
        <v>0</v>
      </c>
      <c r="N118" s="102">
        <f>N121+N124</f>
        <v>0</v>
      </c>
      <c r="O118" s="102">
        <f>IF(L118&gt;0,N118*100/L118,0)</f>
        <v>0</v>
      </c>
      <c r="P118" s="102">
        <f>IF(M118&gt;0,N118*100/M118,0)</f>
        <v>0</v>
      </c>
      <c r="Q118" s="102">
        <f>Q121+Q124</f>
        <v>0</v>
      </c>
      <c r="R118" s="102">
        <f>R121+R124</f>
        <v>0</v>
      </c>
      <c r="S118" s="102">
        <f>S121+S124</f>
        <v>0</v>
      </c>
      <c r="T118" s="102">
        <f>IF(Q118&gt;0,S118*100/Q118,0)</f>
        <v>0</v>
      </c>
      <c r="U118" s="102">
        <f>IF(R118&gt;0,S118*100/R118,0)</f>
        <v>0</v>
      </c>
    </row>
    <row r="119" spans="1:21" ht="18.75" hidden="1">
      <c r="A119" s="155"/>
      <c r="B119" s="188"/>
      <c r="C119" s="188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256">
        <f ca="1">L122+L125</f>
        <v>0</v>
      </c>
      <c r="M119" s="255">
        <f ca="1">M122+M125</f>
        <v>0</v>
      </c>
      <c r="N119" s="255">
        <f ca="1">N122+N125</f>
        <v>0</v>
      </c>
      <c r="O119" s="255">
        <f ca="1">IF(L119&gt;0,N119*100/L119,0)</f>
        <v>0</v>
      </c>
      <c r="P119" s="255">
        <f ca="1">IF(M119&gt;0,N119*100/M119,0)</f>
        <v>0</v>
      </c>
      <c r="Q119" s="255">
        <f ca="1">Q122+Q125</f>
        <v>209360</v>
      </c>
      <c r="R119" s="255">
        <f ca="1">R122+R125</f>
        <v>209360</v>
      </c>
      <c r="S119" s="255">
        <f ca="1">S122+S125</f>
        <v>107378.08</v>
      </c>
      <c r="T119" s="255">
        <f ca="1">IF(Q119&gt;0,S119*100/Q119,0)</f>
        <v>51.28872755063049</v>
      </c>
      <c r="U119" s="255">
        <f ca="1">IF(R119&gt;0,S119*100/R119,0)</f>
        <v>51.28872755063049</v>
      </c>
    </row>
    <row r="120" spans="1:21" ht="18.75">
      <c r="A120" s="155"/>
      <c r="B120" s="188"/>
      <c r="C120" s="202"/>
      <c r="D120" s="602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256">
        <f ca="1">L121+L122</f>
        <v>0</v>
      </c>
      <c r="M120" s="255">
        <f ca="1">M121+M122</f>
        <v>0</v>
      </c>
      <c r="N120" s="255">
        <f ca="1">N121+N122</f>
        <v>0</v>
      </c>
      <c r="O120" s="255">
        <f ca="1">IF(L120&gt;0,N120*100/L120,0)</f>
        <v>0</v>
      </c>
      <c r="P120" s="255">
        <f ca="1">IF(M120&gt;0,N120*100/M120,0)</f>
        <v>0</v>
      </c>
      <c r="Q120" s="255">
        <f ca="1">Q121+Q122</f>
        <v>209360</v>
      </c>
      <c r="R120" s="255">
        <f ca="1">R121+R122</f>
        <v>209360</v>
      </c>
      <c r="S120" s="255">
        <f ca="1">S121+S122</f>
        <v>107378.08</v>
      </c>
      <c r="T120" s="255">
        <f ca="1">IF(Q120&gt;0,S120*100/Q120,0)</f>
        <v>51.28872755063049</v>
      </c>
      <c r="U120" s="255">
        <f ca="1">IF(R120&gt;0,S120*100/R120,0)</f>
        <v>51.28872755063049</v>
      </c>
    </row>
    <row r="121" spans="1:21" ht="18.75" hidden="1">
      <c r="A121" s="155"/>
      <c r="B121" s="188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103">
        <v>0</v>
      </c>
      <c r="M121" s="102">
        <v>0</v>
      </c>
      <c r="N121" s="102">
        <v>0</v>
      </c>
      <c r="O121" s="102">
        <f>IF(L121&gt;0,N121*100/L121,0)</f>
        <v>0</v>
      </c>
      <c r="P121" s="102">
        <f>IF(M121&gt;0,N121*100/M121,0)</f>
        <v>0</v>
      </c>
      <c r="Q121" s="102">
        <v>0</v>
      </c>
      <c r="R121" s="102">
        <v>0</v>
      </c>
      <c r="S121" s="102">
        <v>0</v>
      </c>
      <c r="T121" s="102">
        <f>IF(Q121&gt;0,S121*100/Q121,0)</f>
        <v>0</v>
      </c>
      <c r="U121" s="102">
        <f>IF(R121&gt;0,S121*100/R121,0)</f>
        <v>0</v>
      </c>
    </row>
    <row r="122" spans="1:21" ht="18.75" hidden="1">
      <c r="A122" s="155"/>
      <c r="B122" s="188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256">
        <f ca="1">IFERROR(__xludf.DUMMYFUNCTION("IMPORTRANGE(""https://docs.google.com/spreadsheets/d/1-uDff_7J0KD5mKrp0Vvzr7lt3OU09vwQwhkpOPPYv2Y/edit?usp=sharing"",""งบพรบ!BG50"")"),0)</f>
        <v>0</v>
      </c>
      <c r="M122" s="255">
        <f ca="1">IFERROR(__xludf.DUMMYFUNCTION("IMPORTRANGE(""https://docs.google.com/spreadsheets/d/1-uDff_7J0KD5mKrp0Vvzr7lt3OU09vwQwhkpOPPYv2Y/edit?usp=sharing"",""งบพรบ!BL50"")"),0)</f>
        <v>0</v>
      </c>
      <c r="N122" s="255">
        <f ca="1">IFERROR(__xludf.DUMMYFUNCTION("IMPORTRANGE(""https://docs.google.com/spreadsheets/d/1-uDff_7J0KD5mKrp0Vvzr7lt3OU09vwQwhkpOPPYv2Y/edit?usp=sharing"",""งบพรบ!BN50"")"),0)</f>
        <v>0</v>
      </c>
      <c r="O122" s="255">
        <f ca="1">IF(L122&gt;0,N122*100/L122,0)</f>
        <v>0</v>
      </c>
      <c r="P122" s="255">
        <f ca="1">IF(M122&gt;0,N122*100/M122,0)</f>
        <v>0</v>
      </c>
      <c r="Q122" s="255">
        <f ca="1">IFERROR(__xludf.DUMMYFUNCTION("IMPORTRANGE(""https://docs.google.com/spreadsheets/d/1ItG2mGa2ceCfYo0BwxsXqNm01IGEUdYcSSLTEv9YCik/edit?usp=sharing"",""เบิกจ่ายกองทุน!R50"")"),209360)</f>
        <v>209360</v>
      </c>
      <c r="R122" s="255">
        <f ca="1">IFERROR(__xludf.DUMMYFUNCTION("IMPORTRANGE(""https://docs.google.com/spreadsheets/d/1ItG2mGa2ceCfYo0BwxsXqNm01IGEUdYcSSLTEv9YCik/edit?usp=sharing"",""เบิกจ่ายกองทุน!S50"")"),209360)</f>
        <v>209360</v>
      </c>
      <c r="S122" s="255">
        <f ca="1">IFERROR(__xludf.DUMMYFUNCTION("IMPORTRANGE(""https://docs.google.com/spreadsheets/d/1ItG2mGa2ceCfYo0BwxsXqNm01IGEUdYcSSLTEv9YCik/edit?usp=sharing"",""เบิกจ่ายกองทุน!T50"")"),107378.08)</f>
        <v>107378.08</v>
      </c>
      <c r="T122" s="255">
        <f ca="1">IF(Q122&gt;0,S122*100/Q122,0)</f>
        <v>51.28872755063049</v>
      </c>
      <c r="U122" s="255">
        <f ca="1">IF(R122&gt;0,S122*100/R122,0)</f>
        <v>51.28872755063049</v>
      </c>
    </row>
    <row r="123" spans="1:21" ht="18.75">
      <c r="A123" s="155"/>
      <c r="B123" s="50"/>
      <c r="C123" s="202"/>
      <c r="D123" s="602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256">
        <f ca="1">L124+L125</f>
        <v>0</v>
      </c>
      <c r="M123" s="255">
        <f ca="1">M124+M125</f>
        <v>0</v>
      </c>
      <c r="N123" s="255">
        <f ca="1">N124+N125</f>
        <v>0</v>
      </c>
      <c r="O123" s="255">
        <f ca="1">IF(L123&gt;0,N123*100/L123,0)</f>
        <v>0</v>
      </c>
      <c r="P123" s="255">
        <f ca="1">IF(M123&gt;0,N123*100/M123,0)</f>
        <v>0</v>
      </c>
      <c r="Q123" s="255">
        <f>Q124+Q125</f>
        <v>0</v>
      </c>
      <c r="R123" s="255">
        <f>R124+R125</f>
        <v>0</v>
      </c>
      <c r="S123" s="255">
        <f>S124+S125</f>
        <v>0</v>
      </c>
      <c r="T123" s="255">
        <f>IF(Q123&gt;0,S123*100/Q123,0)</f>
        <v>0</v>
      </c>
      <c r="U123" s="255">
        <f>IF(R123&gt;0,S123*100/R123,0)</f>
        <v>0</v>
      </c>
    </row>
    <row r="124" spans="1:21" ht="18.75" hidden="1">
      <c r="A124" s="155"/>
      <c r="B124" s="50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103">
        <v>0</v>
      </c>
      <c r="M124" s="102">
        <v>0</v>
      </c>
      <c r="N124" s="102">
        <v>0</v>
      </c>
      <c r="O124" s="102">
        <f>IF(L124&gt;0,N124*100/L124,0)</f>
        <v>0</v>
      </c>
      <c r="P124" s="102">
        <f>IF(M124&gt;0,N124*100/M124,0)</f>
        <v>0</v>
      </c>
      <c r="Q124" s="102">
        <v>0</v>
      </c>
      <c r="R124" s="102">
        <v>0</v>
      </c>
      <c r="S124" s="102">
        <v>0</v>
      </c>
      <c r="T124" s="102">
        <f>IF(Q124&gt;0,S124*100/Q124,0)</f>
        <v>0</v>
      </c>
      <c r="U124" s="102">
        <f>IF(R124&gt;0,S124*100/R124,0)</f>
        <v>0</v>
      </c>
    </row>
    <row r="125" spans="1:21" ht="18.75" hidden="1">
      <c r="A125" s="155"/>
      <c r="B125" s="50"/>
      <c r="C125" s="50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256">
        <f ca="1">IFERROR(__xludf.DUMMYFUNCTION("IMPORTRANGE(""https://docs.google.com/spreadsheets/d/1-uDff_7J0KD5mKrp0Vvzr7lt3OU09vwQwhkpOPPYv2Y/edit?usp=sharing"",""งบพรบ!BJ50"")"),0)</f>
        <v>0</v>
      </c>
      <c r="M125" s="255">
        <f ca="1">IFERROR(__xludf.DUMMYFUNCTION("IMPORTRANGE(""https://docs.google.com/spreadsheets/d/1-uDff_7J0KD5mKrp0Vvzr7lt3OU09vwQwhkpOPPYv2Y/edit?usp=sharing"",""งบพรบ!BM50"")"),0)</f>
        <v>0</v>
      </c>
      <c r="N125" s="255">
        <f ca="1">IFERROR(__xludf.DUMMYFUNCTION("IMPORTRANGE(""https://docs.google.com/spreadsheets/d/1-uDff_7J0KD5mKrp0Vvzr7lt3OU09vwQwhkpOPPYv2Y/edit?usp=sharing"",""งบพรบ!BO50"")"),0)</f>
        <v>0</v>
      </c>
      <c r="O125" s="255">
        <f ca="1">IF(L125&gt;0,N125*100/L125,0)</f>
        <v>0</v>
      </c>
      <c r="P125" s="255">
        <f ca="1">IF(M125&gt;0,N125*100/M125,0)</f>
        <v>0</v>
      </c>
      <c r="Q125" s="255">
        <v>0</v>
      </c>
      <c r="R125" s="255">
        <v>0</v>
      </c>
      <c r="S125" s="255">
        <v>0</v>
      </c>
      <c r="T125" s="255">
        <f>IF(Q125&gt;0,S125*100/Q125,0)</f>
        <v>0</v>
      </c>
      <c r="U125" s="255">
        <f>IF(R125&gt;0,S125*100/R125,0)</f>
        <v>0</v>
      </c>
    </row>
    <row r="126" spans="1:21" ht="19.5">
      <c r="A126" s="166"/>
      <c r="B126" s="167"/>
      <c r="C126" s="205" t="s">
        <v>18</v>
      </c>
      <c r="D126" s="566" t="s">
        <v>38</v>
      </c>
      <c r="E126" s="169"/>
      <c r="F126" s="169"/>
      <c r="G126" s="170"/>
      <c r="H126" s="206"/>
      <c r="I126" s="54"/>
      <c r="J126" s="54"/>
      <c r="K126" s="55"/>
      <c r="L126" s="62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212">
        <f ca="1">IFERROR(__xludf.DUMMYFUNCTION("IMPORTRANGE(""https://docs.google.com/spreadsheets/d/1eHaY18a8A9IcSdp1K8H6x8fbOy06t2VsZHhMHf-1x7Y/edit?usp=sharing"",""แผน!FF50"")"),20)</f>
        <v>20</v>
      </c>
      <c r="J127" s="467">
        <v>20</v>
      </c>
      <c r="K127" s="255">
        <f ca="1">IF(I127&gt;0,J127*100/I127,0)</f>
        <v>100</v>
      </c>
      <c r="L127" s="62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212">
        <f ca="1">IFERROR(__xludf.DUMMYFUNCTION("IMPORTRANGE(""https://docs.google.com/spreadsheets/d/1eHaY18a8A9IcSdp1K8H6x8fbOy06t2VsZHhMHf-1x7Y/edit?usp=sharing"",""แผน!FG50"")"),0)</f>
        <v>0</v>
      </c>
      <c r="J128" s="467">
        <v>0</v>
      </c>
      <c r="K128" s="255">
        <f ca="1">IF(I128&gt;0,J128*100/I128,0)</f>
        <v>0</v>
      </c>
      <c r="L128" s="62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212">
        <f ca="1">IFERROR(__xludf.DUMMYFUNCTION("IMPORTRANGE(""https://docs.google.com/spreadsheets/d/1eHaY18a8A9IcSdp1K8H6x8fbOy06t2VsZHhMHf-1x7Y/edit?usp=sharing"",""แผน!FH50"")"),20)</f>
        <v>20</v>
      </c>
      <c r="J129" s="467">
        <v>20</v>
      </c>
      <c r="K129" s="255">
        <f ca="1">IF(I129&gt;0,J129*100/I129,0)</f>
        <v>100</v>
      </c>
      <c r="L129" s="62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212">
        <f ca="1">IFERROR(__xludf.DUMMYFUNCTION("IMPORTRANGE(""https://docs.google.com/spreadsheets/d/1eHaY18a8A9IcSdp1K8H6x8fbOy06t2VsZHhMHf-1x7Y/edit?usp=sharing"",""แผน!FI50"")"),0)</f>
        <v>0</v>
      </c>
      <c r="J130" s="467">
        <v>0</v>
      </c>
      <c r="K130" s="255">
        <f ca="1">IF(I130&gt;0,J130*100/I130,0)</f>
        <v>0</v>
      </c>
      <c r="L130" s="62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8.75" hidden="1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62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8.75" hidden="1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62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2.75" hidden="1">
      <c r="A133" s="192"/>
      <c r="B133" s="193"/>
      <c r="C133" s="193"/>
      <c r="D133" s="22"/>
      <c r="E133" s="22"/>
      <c r="F133" s="22"/>
      <c r="G133" s="23"/>
      <c r="H133" s="209"/>
      <c r="I133" s="24"/>
      <c r="J133" s="24"/>
      <c r="K133" s="25"/>
      <c r="L133" s="26"/>
      <c r="M133" s="25"/>
      <c r="N133" s="25"/>
      <c r="O133" s="25"/>
      <c r="P133" s="25"/>
      <c r="Q133" s="25"/>
      <c r="R133" s="25"/>
      <c r="S133" s="25"/>
      <c r="T133" s="25"/>
      <c r="U133" s="25"/>
    </row>
    <row r="134" spans="1:21" ht="19.5" hidden="1">
      <c r="A134" s="143" t="s">
        <v>58</v>
      </c>
      <c r="B134" s="144"/>
      <c r="C134" s="196"/>
      <c r="D134" s="144"/>
      <c r="E134" s="144"/>
      <c r="F134" s="144"/>
      <c r="G134" s="144"/>
      <c r="H134" s="144"/>
      <c r="I134" s="197"/>
      <c r="J134" s="197"/>
      <c r="K134" s="19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</row>
    <row r="135" spans="1:21" ht="19.5" hidden="1">
      <c r="A135" s="150"/>
      <c r="B135" s="35" t="s">
        <v>59</v>
      </c>
      <c r="C135" s="200"/>
      <c r="D135" s="151"/>
      <c r="E135" s="34"/>
      <c r="F135" s="34"/>
      <c r="G135" s="34"/>
      <c r="H135" s="34"/>
      <c r="I135" s="210"/>
      <c r="J135" s="39"/>
      <c r="K135" s="40"/>
      <c r="L135" s="154"/>
      <c r="M135" s="40"/>
      <c r="N135" s="40"/>
      <c r="O135" s="40"/>
      <c r="P135" s="40"/>
      <c r="Q135" s="40"/>
      <c r="R135" s="40"/>
      <c r="S135" s="40"/>
      <c r="T135" s="40"/>
      <c r="U135" s="40"/>
    </row>
    <row r="136" spans="1:21" ht="19.5" hidden="1">
      <c r="A136" s="150"/>
      <c r="B136" s="34"/>
      <c r="C136" s="211" t="s">
        <v>60</v>
      </c>
      <c r="D136" s="151"/>
      <c r="E136" s="34"/>
      <c r="F136" s="34"/>
      <c r="G136" s="37"/>
      <c r="H136" s="152" t="s">
        <v>61</v>
      </c>
      <c r="I136" s="721">
        <f ca="1">I154</f>
        <v>0</v>
      </c>
      <c r="J136" s="721">
        <f>J154</f>
        <v>0</v>
      </c>
      <c r="K136" s="720">
        <f ca="1">IF(I136&gt;0,J136*100/I136,0)</f>
        <v>0</v>
      </c>
      <c r="L136" s="154"/>
      <c r="M136" s="40"/>
      <c r="N136" s="40"/>
      <c r="O136" s="40"/>
      <c r="P136" s="40"/>
      <c r="Q136" s="40"/>
      <c r="R136" s="40"/>
      <c r="S136" s="40"/>
      <c r="T136" s="40"/>
      <c r="U136" s="40"/>
    </row>
    <row r="137" spans="1:21" ht="19.5" hidden="1">
      <c r="A137" s="150"/>
      <c r="B137" s="34"/>
      <c r="C137" s="211" t="s">
        <v>62</v>
      </c>
      <c r="D137" s="151"/>
      <c r="E137" s="34"/>
      <c r="F137" s="34"/>
      <c r="G137" s="37"/>
      <c r="H137" s="152" t="s">
        <v>35</v>
      </c>
      <c r="I137" s="721">
        <f ca="1">I152</f>
        <v>0</v>
      </c>
      <c r="J137" s="721">
        <f>J152</f>
        <v>0</v>
      </c>
      <c r="K137" s="720">
        <f ca="1">IF(I137&gt;0,J137*100/I137,0)</f>
        <v>0</v>
      </c>
      <c r="L137" s="154"/>
      <c r="M137" s="40"/>
      <c r="N137" s="40"/>
      <c r="O137" s="40"/>
      <c r="P137" s="40"/>
      <c r="Q137" s="40"/>
      <c r="R137" s="40"/>
      <c r="S137" s="40"/>
      <c r="T137" s="40"/>
      <c r="U137" s="40"/>
    </row>
    <row r="138" spans="1:21" ht="19.5" hidden="1">
      <c r="A138" s="150"/>
      <c r="B138" s="34"/>
      <c r="C138" s="200"/>
      <c r="D138" s="151"/>
      <c r="E138" s="34"/>
      <c r="F138" s="34"/>
      <c r="G138" s="37"/>
      <c r="H138" s="152" t="s">
        <v>54</v>
      </c>
      <c r="I138" s="721">
        <f ca="1">I153</f>
        <v>0</v>
      </c>
      <c r="J138" s="721">
        <f>J153</f>
        <v>0</v>
      </c>
      <c r="K138" s="720">
        <f ca="1">IF(I138&gt;0,J138*100/I138,0)</f>
        <v>0</v>
      </c>
      <c r="L138" s="154"/>
      <c r="M138" s="40"/>
      <c r="N138" s="40"/>
      <c r="O138" s="40"/>
      <c r="P138" s="40"/>
      <c r="Q138" s="40"/>
      <c r="R138" s="40"/>
      <c r="S138" s="40"/>
      <c r="T138" s="40"/>
      <c r="U138" s="40"/>
    </row>
    <row r="139" spans="1:21" ht="19.5" hidden="1">
      <c r="A139" s="155"/>
      <c r="B139" s="50"/>
      <c r="C139" s="156" t="s">
        <v>18</v>
      </c>
      <c r="D139" s="575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541">
        <f ca="1">L140+L141</f>
        <v>0</v>
      </c>
      <c r="M139" s="540">
        <f ca="1">M140+M141</f>
        <v>0</v>
      </c>
      <c r="N139" s="540">
        <f ca="1">N140+N141</f>
        <v>0</v>
      </c>
      <c r="O139" s="540">
        <f ca="1">IF(L139&gt;0,N139*100/L139,0)</f>
        <v>0</v>
      </c>
      <c r="P139" s="540">
        <f ca="1">IF(M139&gt;0,N139*100/M139,0)</f>
        <v>0</v>
      </c>
      <c r="Q139" s="540">
        <f ca="1">Q140+Q141</f>
        <v>0</v>
      </c>
      <c r="R139" s="540">
        <f ca="1">R140+R141</f>
        <v>0</v>
      </c>
      <c r="S139" s="540">
        <f ca="1">S140+S141</f>
        <v>0</v>
      </c>
      <c r="T139" s="540">
        <f ca="1">IF(Q139&gt;0,S139*100/Q139,0)</f>
        <v>0</v>
      </c>
      <c r="U139" s="540">
        <f ca="1">IF(R139&gt;0,S139*100/R139,0)</f>
        <v>0</v>
      </c>
    </row>
    <row r="140" spans="1:21" ht="18.75" hidden="1">
      <c r="A140" s="155"/>
      <c r="B140" s="50"/>
      <c r="C140" s="50"/>
      <c r="D140" s="50"/>
      <c r="E140" s="186" t="s">
        <v>20</v>
      </c>
      <c r="F140" s="50"/>
      <c r="G140" s="52"/>
      <c r="H140" s="187" t="s">
        <v>14</v>
      </c>
      <c r="I140" s="54"/>
      <c r="J140" s="54"/>
      <c r="K140" s="55"/>
      <c r="L140" s="103">
        <f>L143+L146</f>
        <v>0</v>
      </c>
      <c r="M140" s="102">
        <f>M143+M146</f>
        <v>0</v>
      </c>
      <c r="N140" s="102">
        <f>N143+N146</f>
        <v>0</v>
      </c>
      <c r="O140" s="102">
        <f>IF(L140&gt;0,N140*100/L140,0)</f>
        <v>0</v>
      </c>
      <c r="P140" s="102">
        <f>IF(M140&gt;0,N140*100/M140,0)</f>
        <v>0</v>
      </c>
      <c r="Q140" s="102">
        <f>Q143+Q146</f>
        <v>0</v>
      </c>
      <c r="R140" s="102">
        <f>R143+R146</f>
        <v>0</v>
      </c>
      <c r="S140" s="102">
        <f>S143+S146</f>
        <v>0</v>
      </c>
      <c r="T140" s="102">
        <f>IF(Q140&gt;0,S140*100/Q140,0)</f>
        <v>0</v>
      </c>
      <c r="U140" s="102">
        <f>IF(R140&gt;0,S140*100/R140,0)</f>
        <v>0</v>
      </c>
    </row>
    <row r="141" spans="1:21" ht="18.75" hidden="1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256">
        <f ca="1">L144+L147</f>
        <v>0</v>
      </c>
      <c r="M141" s="255">
        <f ca="1">M144+M147</f>
        <v>0</v>
      </c>
      <c r="N141" s="255">
        <f ca="1">N144+N147</f>
        <v>0</v>
      </c>
      <c r="O141" s="255">
        <f ca="1">IF(L141&gt;0,N141*100/L141,0)</f>
        <v>0</v>
      </c>
      <c r="P141" s="255">
        <f ca="1">IF(M141&gt;0,N141*100/M141,0)</f>
        <v>0</v>
      </c>
      <c r="Q141" s="255">
        <f ca="1">Q144+Q147</f>
        <v>0</v>
      </c>
      <c r="R141" s="255">
        <f ca="1">R144+R147</f>
        <v>0</v>
      </c>
      <c r="S141" s="255">
        <f ca="1">S144+S147</f>
        <v>0</v>
      </c>
      <c r="T141" s="255">
        <f ca="1">IF(Q141&gt;0,S141*100/Q141,0)</f>
        <v>0</v>
      </c>
      <c r="U141" s="255">
        <f ca="1">IF(R141&gt;0,S141*100/R141,0)</f>
        <v>0</v>
      </c>
    </row>
    <row r="142" spans="1:21" ht="18.75" hidden="1">
      <c r="A142" s="155"/>
      <c r="B142" s="50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256">
        <f ca="1">L143+L144</f>
        <v>0</v>
      </c>
      <c r="M142" s="255">
        <f ca="1">M143+M144</f>
        <v>0</v>
      </c>
      <c r="N142" s="255">
        <f ca="1">N143+N144</f>
        <v>0</v>
      </c>
      <c r="O142" s="255">
        <f ca="1">IF(L142&gt;0,N142*100/L142,0)</f>
        <v>0</v>
      </c>
      <c r="P142" s="255">
        <f ca="1">IF(M142&gt;0,N142*100/M142,0)</f>
        <v>0</v>
      </c>
      <c r="Q142" s="255">
        <f ca="1">Q143+Q144</f>
        <v>0</v>
      </c>
      <c r="R142" s="255">
        <f ca="1">R143+R144</f>
        <v>0</v>
      </c>
      <c r="S142" s="255">
        <f ca="1">S143+S144</f>
        <v>0</v>
      </c>
      <c r="T142" s="255">
        <f ca="1">IF(Q142&gt;0,S142*100/Q142,0)</f>
        <v>0</v>
      </c>
      <c r="U142" s="255">
        <f ca="1">IF(R142&gt;0,S142*100/R142,0)</f>
        <v>0</v>
      </c>
    </row>
    <row r="143" spans="1:21" ht="18.75" hidden="1">
      <c r="A143" s="155"/>
      <c r="B143" s="50"/>
      <c r="C143" s="50"/>
      <c r="D143" s="50"/>
      <c r="E143" s="186" t="s">
        <v>36</v>
      </c>
      <c r="F143" s="50"/>
      <c r="G143" s="52"/>
      <c r="H143" s="189" t="s">
        <v>14</v>
      </c>
      <c r="I143" s="163"/>
      <c r="J143" s="163"/>
      <c r="K143" s="164"/>
      <c r="L143" s="103">
        <v>0</v>
      </c>
      <c r="M143" s="102">
        <v>0</v>
      </c>
      <c r="N143" s="102">
        <v>0</v>
      </c>
      <c r="O143" s="102">
        <f>IF(L143&gt;0,N143*100/L143,0)</f>
        <v>0</v>
      </c>
      <c r="P143" s="102">
        <f>IF(M143&gt;0,N143*100/M143,0)</f>
        <v>0</v>
      </c>
      <c r="Q143" s="102">
        <v>0</v>
      </c>
      <c r="R143" s="102">
        <v>0</v>
      </c>
      <c r="S143" s="102">
        <v>0</v>
      </c>
      <c r="T143" s="102">
        <f>IF(Q143&gt;0,S143*100/Q143,0)</f>
        <v>0</v>
      </c>
      <c r="U143" s="102">
        <f>IF(R143&gt;0,S143*100/R143,0)</f>
        <v>0</v>
      </c>
    </row>
    <row r="144" spans="1:21" ht="18.75" hidden="1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256">
        <f ca="1">IFERROR(__xludf.DUMMYFUNCTION("IMPORTRANGE(""https://docs.google.com/spreadsheets/d/1-uDff_7J0KD5mKrp0Vvzr7lt3OU09vwQwhkpOPPYv2Y/edit?usp=sharing"",""งบพรบ!BQ50"")"),0)</f>
        <v>0</v>
      </c>
      <c r="M144" s="255">
        <f ca="1">IFERROR(__xludf.DUMMYFUNCTION("IMPORTRANGE(""https://docs.google.com/spreadsheets/d/1-uDff_7J0KD5mKrp0Vvzr7lt3OU09vwQwhkpOPPYv2Y/edit?usp=sharing"",""งบพรบ!BV50"")"),0)</f>
        <v>0</v>
      </c>
      <c r="N144" s="255">
        <f ca="1">IFERROR(__xludf.DUMMYFUNCTION("IMPORTRANGE(""https://docs.google.com/spreadsheets/d/1-uDff_7J0KD5mKrp0Vvzr7lt3OU09vwQwhkpOPPYv2Y/edit?usp=sharing"",""งบพรบ!BX50"")"),0)</f>
        <v>0</v>
      </c>
      <c r="O144" s="255">
        <f ca="1">IF(L144&gt;0,N144*100/L144,0)</f>
        <v>0</v>
      </c>
      <c r="P144" s="255">
        <f ca="1">IF(M144&gt;0,N144*100/M144,0)</f>
        <v>0</v>
      </c>
      <c r="Q144" s="255">
        <f ca="1">IFERROR(__xludf.DUMMYFUNCTION("IMPORTRANGE(""https://docs.google.com/spreadsheets/d/1ItG2mGa2ceCfYo0BwxsXqNm01IGEUdYcSSLTEv9YCik/edit?usp=sharing"",""เบิกจ่ายกองทุน!BB50"")"),0)</f>
        <v>0</v>
      </c>
      <c r="R144" s="255">
        <f ca="1">IFERROR(__xludf.DUMMYFUNCTION("IMPORTRANGE(""https://docs.google.com/spreadsheets/d/1ItG2mGa2ceCfYo0BwxsXqNm01IGEUdYcSSLTEv9YCik/edit?usp=sharing"",""เบิกจ่ายกองทุน!BC50"")"),0)</f>
        <v>0</v>
      </c>
      <c r="S144" s="255">
        <f ca="1">IFERROR(__xludf.DUMMYFUNCTION("IMPORTRANGE(""https://docs.google.com/spreadsheets/d/1ItG2mGa2ceCfYo0BwxsXqNm01IGEUdYcSSLTEv9YCik/edit?usp=sharing"",""เบิกจ่ายกองทุน!BD50"")"),0)</f>
        <v>0</v>
      </c>
      <c r="T144" s="255">
        <f ca="1">IF(Q144&gt;0,S144*100/Q144,0)</f>
        <v>0</v>
      </c>
      <c r="U144" s="255">
        <f ca="1">IF(R144&gt;0,S144*100/R144,0)</f>
        <v>0</v>
      </c>
    </row>
    <row r="145" spans="1:21" ht="18.75" hidden="1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256">
        <f ca="1">L146+L147</f>
        <v>0</v>
      </c>
      <c r="M145" s="255">
        <f ca="1">M146+M147</f>
        <v>0</v>
      </c>
      <c r="N145" s="255">
        <f ca="1">N146+N147</f>
        <v>0</v>
      </c>
      <c r="O145" s="255">
        <f ca="1">IF(L145&gt;0,N145*100/L145,0)</f>
        <v>0</v>
      </c>
      <c r="P145" s="255">
        <f ca="1">IF(M145&gt;0,N145*100/M145,0)</f>
        <v>0</v>
      </c>
      <c r="Q145" s="255">
        <f>Q146+Q147</f>
        <v>0</v>
      </c>
      <c r="R145" s="255">
        <f>R146+R147</f>
        <v>0</v>
      </c>
      <c r="S145" s="255">
        <f>S146+S147</f>
        <v>0</v>
      </c>
      <c r="T145" s="255">
        <f>IF(Q145&gt;0,S145*100/Q145,0)</f>
        <v>0</v>
      </c>
      <c r="U145" s="255">
        <f>IF(R145&gt;0,S145*100/R145,0)</f>
        <v>0</v>
      </c>
    </row>
    <row r="146" spans="1:21" ht="18.75" hidden="1">
      <c r="A146" s="155"/>
      <c r="B146" s="50"/>
      <c r="C146" s="50"/>
      <c r="D146" s="50"/>
      <c r="E146" s="186" t="s">
        <v>20</v>
      </c>
      <c r="F146" s="50"/>
      <c r="G146" s="52"/>
      <c r="H146" s="189" t="s">
        <v>14</v>
      </c>
      <c r="I146" s="163"/>
      <c r="J146" s="163"/>
      <c r="K146" s="164"/>
      <c r="L146" s="103">
        <v>0</v>
      </c>
      <c r="M146" s="102">
        <v>0</v>
      </c>
      <c r="N146" s="102">
        <v>0</v>
      </c>
      <c r="O146" s="102">
        <f>IF(L146&gt;0,N146*100/L146,0)</f>
        <v>0</v>
      </c>
      <c r="P146" s="102">
        <f>IF(M146&gt;0,N146*100/M146,0)</f>
        <v>0</v>
      </c>
      <c r="Q146" s="102">
        <v>0</v>
      </c>
      <c r="R146" s="102">
        <v>0</v>
      </c>
      <c r="S146" s="102">
        <v>0</v>
      </c>
      <c r="T146" s="102">
        <f>IF(Q146&gt;0,S146*100/Q146,0)</f>
        <v>0</v>
      </c>
      <c r="U146" s="102">
        <f>IF(R146&gt;0,S146*100/R146,0)</f>
        <v>0</v>
      </c>
    </row>
    <row r="147" spans="1:21" ht="18.75" hidden="1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256">
        <f ca="1">IFERROR(__xludf.DUMMYFUNCTION("IMPORTRANGE(""https://docs.google.com/spreadsheets/d/1-uDff_7J0KD5mKrp0Vvzr7lt3OU09vwQwhkpOPPYv2Y/edit?usp=sharing"",""งบพรบ!BT50"")"),0)</f>
        <v>0</v>
      </c>
      <c r="M147" s="255">
        <f ca="1">IFERROR(__xludf.DUMMYFUNCTION("IMPORTRANGE(""https://docs.google.com/spreadsheets/d/1-uDff_7J0KD5mKrp0Vvzr7lt3OU09vwQwhkpOPPYv2Y/edit?usp=sharing"",""งบพรบ!BW50"")"),0)</f>
        <v>0</v>
      </c>
      <c r="N147" s="255">
        <f ca="1">IFERROR(__xludf.DUMMYFUNCTION("IMPORTRANGE(""https://docs.google.com/spreadsheets/d/1-uDff_7J0KD5mKrp0Vvzr7lt3OU09vwQwhkpOPPYv2Y/edit?usp=sharing"",""งบพรบ!BY50"")"),0)</f>
        <v>0</v>
      </c>
      <c r="O147" s="255">
        <f ca="1">IF(L147&gt;0,N147*100/L147,0)</f>
        <v>0</v>
      </c>
      <c r="P147" s="255">
        <f ca="1">IF(M147&gt;0,N147*100/M147,0)</f>
        <v>0</v>
      </c>
      <c r="Q147" s="255">
        <v>0</v>
      </c>
      <c r="R147" s="255">
        <v>0</v>
      </c>
      <c r="S147" s="255">
        <v>0</v>
      </c>
      <c r="T147" s="255">
        <f>IF(Q147&gt;0,S147*100/Q147,0)</f>
        <v>0</v>
      </c>
      <c r="U147" s="255">
        <f>IF(R147&gt;0,S147*100/R147,0)</f>
        <v>0</v>
      </c>
    </row>
    <row r="148" spans="1:21" ht="19.5" hidden="1">
      <c r="A148" s="166"/>
      <c r="B148" s="167"/>
      <c r="C148" s="156" t="s">
        <v>18</v>
      </c>
      <c r="D148" s="566" t="s">
        <v>38</v>
      </c>
      <c r="E148" s="169"/>
      <c r="F148" s="169"/>
      <c r="G148" s="170"/>
      <c r="H148" s="206"/>
      <c r="I148" s="54"/>
      <c r="J148" s="54"/>
      <c r="K148" s="55"/>
      <c r="L148" s="62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8.75" hidden="1">
      <c r="A149" s="155"/>
      <c r="B149" s="50"/>
      <c r="C149" s="50"/>
      <c r="D149" s="58" t="s">
        <v>63</v>
      </c>
      <c r="E149" s="50"/>
      <c r="F149" s="50"/>
      <c r="G149" s="52"/>
      <c r="H149" s="206"/>
      <c r="I149" s="54"/>
      <c r="J149" s="467">
        <v>0</v>
      </c>
      <c r="K149" s="55"/>
      <c r="L149" s="62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9.5" hidden="1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212">
        <f ca="1">IFERROR(__xludf.DUMMYFUNCTION("IMPORTRANGE(""https://docs.google.com/spreadsheets/d/1eHaY18a8A9IcSdp1K8H6x8fbOy06t2VsZHhMHf-1x7Y/edit?usp=sharing"",""แผน!U50"")"),0)</f>
        <v>0</v>
      </c>
      <c r="J150" s="467">
        <v>0</v>
      </c>
      <c r="K150" s="255">
        <f ca="1">IF(I150&gt;0,J150*100/I150,0)</f>
        <v>0</v>
      </c>
      <c r="L150" s="62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8.75" hidden="1">
      <c r="A151" s="155"/>
      <c r="B151" s="50"/>
      <c r="C151" s="50"/>
      <c r="D151" s="174"/>
      <c r="E151" s="50"/>
      <c r="F151" s="50"/>
      <c r="G151" s="52"/>
      <c r="H151" s="165" t="s">
        <v>54</v>
      </c>
      <c r="I151" s="212">
        <f ca="1">IFERROR(__xludf.DUMMYFUNCTION("IMPORTRANGE(""https://docs.google.com/spreadsheets/d/1eHaY18a8A9IcSdp1K8H6x8fbOy06t2VsZHhMHf-1x7Y/edit?usp=sharing"",""แผน!V50"")"),0)</f>
        <v>0</v>
      </c>
      <c r="J151" s="467">
        <v>0</v>
      </c>
      <c r="K151" s="255">
        <f ca="1">IF(I151&gt;0,J151*100/I151,0)</f>
        <v>0</v>
      </c>
      <c r="L151" s="62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9.5" hidden="1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212">
        <f ca="1">IFERROR(__xludf.DUMMYFUNCTION("IMPORTRANGE(""https://docs.google.com/spreadsheets/d/1eHaY18a8A9IcSdp1K8H6x8fbOy06t2VsZHhMHf-1x7Y/edit?usp=sharing"",""แผน!W50"")"),0)</f>
        <v>0</v>
      </c>
      <c r="J152" s="467">
        <v>0</v>
      </c>
      <c r="K152" s="255">
        <f ca="1">IF(I152&gt;0,J152*100/I152,0)</f>
        <v>0</v>
      </c>
      <c r="L152" s="62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8.75" hidden="1">
      <c r="A153" s="155"/>
      <c r="B153" s="50"/>
      <c r="C153" s="50"/>
      <c r="D153" s="50"/>
      <c r="E153" s="50"/>
      <c r="F153" s="50"/>
      <c r="G153" s="52"/>
      <c r="H153" s="165" t="s">
        <v>54</v>
      </c>
      <c r="I153" s="212">
        <f ca="1">IFERROR(__xludf.DUMMYFUNCTION("IMPORTRANGE(""https://docs.google.com/spreadsheets/d/1eHaY18a8A9IcSdp1K8H6x8fbOy06t2VsZHhMHf-1x7Y/edit?usp=sharing"",""แผน!X50"")"),0)</f>
        <v>0</v>
      </c>
      <c r="J153" s="467">
        <v>0</v>
      </c>
      <c r="K153" s="255">
        <f ca="1">IF(I153&gt;0,J153*100/I153,0)</f>
        <v>0</v>
      </c>
      <c r="L153" s="62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8.75" hidden="1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212">
        <f ca="1">IFERROR(__xludf.DUMMYFUNCTION("IMPORTRANGE(""https://docs.google.com/spreadsheets/d/1eHaY18a8A9IcSdp1K8H6x8fbOy06t2VsZHhMHf-1x7Y/edit?usp=sharing"",""แผน!Y50"")"),0)</f>
        <v>0</v>
      </c>
      <c r="J154" s="467">
        <v>0</v>
      </c>
      <c r="K154" s="255">
        <f ca="1">IF(I154&gt;0,J154*100/I154,0)</f>
        <v>0</v>
      </c>
      <c r="L154" s="62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9.5">
      <c r="A155" s="143" t="s">
        <v>67</v>
      </c>
      <c r="B155" s="144"/>
      <c r="C155" s="196"/>
      <c r="D155" s="144"/>
      <c r="E155" s="144"/>
      <c r="F155" s="144"/>
      <c r="G155" s="144"/>
      <c r="H155" s="144"/>
      <c r="I155" s="197"/>
      <c r="J155" s="197"/>
      <c r="K155" s="19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</row>
    <row r="156" spans="1:21" ht="19.5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721">
        <f ca="1">I167</f>
        <v>15</v>
      </c>
      <c r="J156" s="721">
        <f>J167</f>
        <v>15</v>
      </c>
      <c r="K156" s="720">
        <f ca="1">IF(I156&gt;0,J156*100/I156,0)</f>
        <v>100</v>
      </c>
      <c r="L156" s="154"/>
      <c r="M156" s="40"/>
      <c r="N156" s="40"/>
      <c r="O156" s="40"/>
      <c r="P156" s="40"/>
      <c r="Q156" s="40"/>
      <c r="R156" s="40"/>
      <c r="S156" s="40"/>
      <c r="T156" s="40"/>
      <c r="U156" s="40"/>
    </row>
    <row r="157" spans="1:21" ht="19.5">
      <c r="A157" s="155"/>
      <c r="B157" s="50"/>
      <c r="C157" s="156" t="s">
        <v>18</v>
      </c>
      <c r="D157" s="575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541">
        <f ca="1">L158+L159</f>
        <v>4500</v>
      </c>
      <c r="M157" s="540">
        <f ca="1">M158+M159</f>
        <v>5882</v>
      </c>
      <c r="N157" s="540">
        <f ca="1">N158+N159</f>
        <v>1640</v>
      </c>
      <c r="O157" s="540">
        <f ca="1">IF(L157&gt;0,N157*100/L157,0)</f>
        <v>36.444444444444443</v>
      </c>
      <c r="P157" s="540">
        <f ca="1">IF(M157&gt;0,N157*100/M157,0)</f>
        <v>27.881672900374021</v>
      </c>
      <c r="Q157" s="540">
        <f ca="1">Q158+Q159</f>
        <v>0</v>
      </c>
      <c r="R157" s="540">
        <f ca="1">R158+R159</f>
        <v>0</v>
      </c>
      <c r="S157" s="540">
        <f ca="1">S158+S159</f>
        <v>0</v>
      </c>
      <c r="T157" s="540">
        <f ca="1">IF(Q157&gt;0,S157*100/Q157,0)</f>
        <v>0</v>
      </c>
      <c r="U157" s="540">
        <f ca="1">IF(R157&gt;0,S157*100/R157,0)</f>
        <v>0</v>
      </c>
    </row>
    <row r="158" spans="1:21" ht="18.75" hidden="1">
      <c r="A158" s="155"/>
      <c r="B158" s="50"/>
      <c r="C158" s="50"/>
      <c r="D158" s="50"/>
      <c r="E158" s="186" t="s">
        <v>20</v>
      </c>
      <c r="F158" s="50"/>
      <c r="G158" s="52"/>
      <c r="H158" s="187" t="s">
        <v>14</v>
      </c>
      <c r="I158" s="54"/>
      <c r="J158" s="54"/>
      <c r="K158" s="55"/>
      <c r="L158" s="103">
        <f>L161+L164</f>
        <v>0</v>
      </c>
      <c r="M158" s="102">
        <f>M161+M164</f>
        <v>0</v>
      </c>
      <c r="N158" s="102">
        <f>N161+N164</f>
        <v>0</v>
      </c>
      <c r="O158" s="102">
        <f>IF(L158&gt;0,N158*100/L158,0)</f>
        <v>0</v>
      </c>
      <c r="P158" s="102">
        <f>IF(M158&gt;0,N158*100/M158,0)</f>
        <v>0</v>
      </c>
      <c r="Q158" s="102">
        <f>Q161+Q164</f>
        <v>0</v>
      </c>
      <c r="R158" s="102">
        <f>R161+R164</f>
        <v>0</v>
      </c>
      <c r="S158" s="102">
        <f>S161+S164</f>
        <v>0</v>
      </c>
      <c r="T158" s="102">
        <f>IF(Q158&gt;0,S158*100/Q158,0)</f>
        <v>0</v>
      </c>
      <c r="U158" s="102">
        <f>IF(R158&gt;0,S158*100/R158,0)</f>
        <v>0</v>
      </c>
    </row>
    <row r="159" spans="1:21" ht="18.75" hidden="1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256">
        <f ca="1">L162+L165</f>
        <v>4500</v>
      </c>
      <c r="M159" s="255">
        <f ca="1">M162+M165</f>
        <v>5882</v>
      </c>
      <c r="N159" s="255">
        <f ca="1">N162+N165</f>
        <v>1640</v>
      </c>
      <c r="O159" s="255">
        <f ca="1">IF(L159&gt;0,N159*100/L159,0)</f>
        <v>36.444444444444443</v>
      </c>
      <c r="P159" s="255">
        <f ca="1">IF(M159&gt;0,N159*100/M159,0)</f>
        <v>27.881672900374021</v>
      </c>
      <c r="Q159" s="255">
        <f ca="1">Q162+Q165</f>
        <v>0</v>
      </c>
      <c r="R159" s="255">
        <f ca="1">R162+R165</f>
        <v>0</v>
      </c>
      <c r="S159" s="255">
        <f ca="1">S162+S165</f>
        <v>0</v>
      </c>
      <c r="T159" s="255">
        <f ca="1">IF(Q159&gt;0,S159*100/Q159,0)</f>
        <v>0</v>
      </c>
      <c r="U159" s="255">
        <f ca="1">IF(R159&gt;0,S159*100/R159,0)</f>
        <v>0</v>
      </c>
    </row>
    <row r="160" spans="1:21" ht="18.75">
      <c r="A160" s="155"/>
      <c r="B160" s="50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256">
        <f ca="1">L161+L162</f>
        <v>4500</v>
      </c>
      <c r="M160" s="255">
        <f ca="1">M161+M162</f>
        <v>5882</v>
      </c>
      <c r="N160" s="255">
        <f ca="1">N161+N162</f>
        <v>1640</v>
      </c>
      <c r="O160" s="255">
        <f ca="1">IF(L160&gt;0,N160*100/L160,0)</f>
        <v>36.444444444444443</v>
      </c>
      <c r="P160" s="255">
        <f ca="1">IF(M160&gt;0,N160*100/M160,0)</f>
        <v>27.881672900374021</v>
      </c>
      <c r="Q160" s="255">
        <f ca="1">Q161+Q162</f>
        <v>0</v>
      </c>
      <c r="R160" s="255">
        <f ca="1">R161+R162</f>
        <v>0</v>
      </c>
      <c r="S160" s="255">
        <f ca="1">S161+S162</f>
        <v>0</v>
      </c>
      <c r="T160" s="255">
        <f ca="1">IF(Q160&gt;0,S160*100/Q160,0)</f>
        <v>0</v>
      </c>
      <c r="U160" s="255">
        <f ca="1">IF(R160&gt;0,S160*100/R160,0)</f>
        <v>0</v>
      </c>
    </row>
    <row r="161" spans="1:21" ht="18.75" hidden="1">
      <c r="A161" s="155"/>
      <c r="B161" s="50"/>
      <c r="C161" s="50"/>
      <c r="D161" s="50"/>
      <c r="E161" s="186" t="s">
        <v>36</v>
      </c>
      <c r="F161" s="50"/>
      <c r="G161" s="52"/>
      <c r="H161" s="189" t="s">
        <v>14</v>
      </c>
      <c r="I161" s="163"/>
      <c r="J161" s="163"/>
      <c r="K161" s="164"/>
      <c r="L161" s="103">
        <v>0</v>
      </c>
      <c r="M161" s="102">
        <v>0</v>
      </c>
      <c r="N161" s="102">
        <v>0</v>
      </c>
      <c r="O161" s="102">
        <f>IF(L161&gt;0,N161*100/L161,0)</f>
        <v>0</v>
      </c>
      <c r="P161" s="102">
        <f>IF(M161&gt;0,N161*100/M161,0)</f>
        <v>0</v>
      </c>
      <c r="Q161" s="102">
        <v>0</v>
      </c>
      <c r="R161" s="102">
        <v>0</v>
      </c>
      <c r="S161" s="102">
        <v>0</v>
      </c>
      <c r="T161" s="102">
        <f>IF(Q161&gt;0,S161*100/Q161,0)</f>
        <v>0</v>
      </c>
      <c r="U161" s="102">
        <f>IF(R161&gt;0,S161*100/R161,0)</f>
        <v>0</v>
      </c>
    </row>
    <row r="162" spans="1:21" ht="18.75" hidden="1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256">
        <f ca="1">IFERROR(__xludf.DUMMYFUNCTION("IMPORTRANGE(""https://docs.google.com/spreadsheets/d/1-uDff_7J0KD5mKrp0Vvzr7lt3OU09vwQwhkpOPPYv2Y/edit?usp=sharing"",""งบพรบ!CA50"")"),4500)</f>
        <v>4500</v>
      </c>
      <c r="M162" s="255">
        <f ca="1">IFERROR(__xludf.DUMMYFUNCTION("IMPORTRANGE(""https://docs.google.com/spreadsheets/d/1-uDff_7J0KD5mKrp0Vvzr7lt3OU09vwQwhkpOPPYv2Y/edit?usp=sharing"",""งบพรบ!CF50"")"),5882)</f>
        <v>5882</v>
      </c>
      <c r="N162" s="255">
        <f ca="1">IFERROR(__xludf.DUMMYFUNCTION("IMPORTRANGE(""https://docs.google.com/spreadsheets/d/1-uDff_7J0KD5mKrp0Vvzr7lt3OU09vwQwhkpOPPYv2Y/edit?usp=sharing"",""งบพรบ!CH50"")"),1640)</f>
        <v>1640</v>
      </c>
      <c r="O162" s="255">
        <f ca="1">IF(L162&gt;0,N162*100/L162,0)</f>
        <v>36.444444444444443</v>
      </c>
      <c r="P162" s="255">
        <f ca="1">IF(M162&gt;0,N162*100/M162,0)</f>
        <v>27.881672900374021</v>
      </c>
      <c r="Q162" s="255">
        <f ca="1">IFERROR(__xludf.DUMMYFUNCTION("IMPORTRANGE(""https://docs.google.com/spreadsheets/d/1ItG2mGa2ceCfYo0BwxsXqNm01IGEUdYcSSLTEv9YCik/edit?usp=sharing"",""เบิกจ่ายกองทุน!AG50"")"),0)</f>
        <v>0</v>
      </c>
      <c r="R162" s="255">
        <f ca="1">IFERROR(__xludf.DUMMYFUNCTION("IMPORTRANGE(""https://docs.google.com/spreadsheets/d/1ItG2mGa2ceCfYo0BwxsXqNm01IGEUdYcSSLTEv9YCik/edit?usp=sharing"",""เบิกจ่ายกองทุน!AH50"")"),0)</f>
        <v>0</v>
      </c>
      <c r="S162" s="255">
        <f ca="1">IFERROR(__xludf.DUMMYFUNCTION("IMPORTRANGE(""https://docs.google.com/spreadsheets/d/1ItG2mGa2ceCfYo0BwxsXqNm01IGEUdYcSSLTEv9YCik/edit?usp=sharing"",""เบิกจ่ายกองทุน!AI50"")"),0)</f>
        <v>0</v>
      </c>
      <c r="T162" s="255">
        <f ca="1">IF(Q162&gt;0,S162*100/Q162,0)</f>
        <v>0</v>
      </c>
      <c r="U162" s="255">
        <f ca="1">IF(R162&gt;0,S162*100/R162,0)</f>
        <v>0</v>
      </c>
    </row>
    <row r="163" spans="1:21" ht="18.75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256">
        <f ca="1">L164+L165</f>
        <v>0</v>
      </c>
      <c r="M163" s="255">
        <f ca="1">M164+M165</f>
        <v>0</v>
      </c>
      <c r="N163" s="255">
        <f ca="1">N164+N165</f>
        <v>0</v>
      </c>
      <c r="O163" s="255">
        <f ca="1">IF(L163&gt;0,N163*100/L163,0)</f>
        <v>0</v>
      </c>
      <c r="P163" s="255">
        <f ca="1">IF(M163&gt;0,N163*100/M163,0)</f>
        <v>0</v>
      </c>
      <c r="Q163" s="255">
        <f>Q164+Q165</f>
        <v>0</v>
      </c>
      <c r="R163" s="255">
        <f>R164+R165</f>
        <v>0</v>
      </c>
      <c r="S163" s="255">
        <f>S164+S165</f>
        <v>0</v>
      </c>
      <c r="T163" s="255">
        <f>IF(Q163&gt;0,S163*100/Q163,0)</f>
        <v>0</v>
      </c>
      <c r="U163" s="255">
        <f>IF(R163&gt;0,S163*100/R163,0)</f>
        <v>0</v>
      </c>
    </row>
    <row r="164" spans="1:21" ht="18.75" hidden="1">
      <c r="A164" s="155"/>
      <c r="B164" s="50"/>
      <c r="C164" s="50"/>
      <c r="D164" s="50"/>
      <c r="E164" s="186" t="s">
        <v>20</v>
      </c>
      <c r="F164" s="50"/>
      <c r="G164" s="52"/>
      <c r="H164" s="189" t="s">
        <v>14</v>
      </c>
      <c r="I164" s="163"/>
      <c r="J164" s="163"/>
      <c r="K164" s="164"/>
      <c r="L164" s="103">
        <v>0</v>
      </c>
      <c r="M164" s="102">
        <v>0</v>
      </c>
      <c r="N164" s="102">
        <v>0</v>
      </c>
      <c r="O164" s="102">
        <f>IF(L164&gt;0,N164*100/L164,0)</f>
        <v>0</v>
      </c>
      <c r="P164" s="102">
        <f>IF(M164&gt;0,N164*100/M164,0)</f>
        <v>0</v>
      </c>
      <c r="Q164" s="102">
        <v>0</v>
      </c>
      <c r="R164" s="102">
        <v>0</v>
      </c>
      <c r="S164" s="102">
        <v>0</v>
      </c>
      <c r="T164" s="102">
        <f>IF(Q164&gt;0,S164*100/Q164,0)</f>
        <v>0</v>
      </c>
      <c r="U164" s="102">
        <f>IF(R164&gt;0,S164*100/R164,0)</f>
        <v>0</v>
      </c>
    </row>
    <row r="165" spans="1:21" ht="18.75" hidden="1">
      <c r="A165" s="155"/>
      <c r="B165" s="50"/>
      <c r="C165" s="50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256">
        <f ca="1">IFERROR(__xludf.DUMMYFUNCTION("IMPORTRANGE(""https://docs.google.com/spreadsheets/d/1-uDff_7J0KD5mKrp0Vvzr7lt3OU09vwQwhkpOPPYv2Y/edit?usp=sharing"",""งบพรบ!CD50"")"),0)</f>
        <v>0</v>
      </c>
      <c r="M165" s="255">
        <f ca="1">IFERROR(__xludf.DUMMYFUNCTION("IMPORTRANGE(""https://docs.google.com/spreadsheets/d/1-uDff_7J0KD5mKrp0Vvzr7lt3OU09vwQwhkpOPPYv2Y/edit?usp=sharing"",""งบพรบ!CG50"")"),0)</f>
        <v>0</v>
      </c>
      <c r="N165" s="255">
        <f ca="1">IFERROR(__xludf.DUMMYFUNCTION("IMPORTRANGE(""https://docs.google.com/spreadsheets/d/1-uDff_7J0KD5mKrp0Vvzr7lt3OU09vwQwhkpOPPYv2Y/edit?usp=sharing"",""งบพรบ!CI50"")"),0)</f>
        <v>0</v>
      </c>
      <c r="O165" s="255">
        <f ca="1">IF(L165&gt;0,N165*100/L165,0)</f>
        <v>0</v>
      </c>
      <c r="P165" s="255">
        <f ca="1">IF(M165&gt;0,N165*100/M165,0)</f>
        <v>0</v>
      </c>
      <c r="Q165" s="255">
        <v>0</v>
      </c>
      <c r="R165" s="255">
        <v>0</v>
      </c>
      <c r="S165" s="255">
        <v>0</v>
      </c>
      <c r="T165" s="255">
        <f>IF(Q165&gt;0,S165*100/Q165,0)</f>
        <v>0</v>
      </c>
      <c r="U165" s="255">
        <f>IF(R165&gt;0,S165*100/R165,0)</f>
        <v>0</v>
      </c>
    </row>
    <row r="166" spans="1:21" ht="19.5">
      <c r="A166" s="166"/>
      <c r="B166" s="167"/>
      <c r="C166" s="156" t="s">
        <v>18</v>
      </c>
      <c r="D166" s="566" t="s">
        <v>38</v>
      </c>
      <c r="E166" s="169"/>
      <c r="F166" s="169"/>
      <c r="G166" s="170"/>
      <c r="H166" s="206"/>
      <c r="I166" s="54"/>
      <c r="J166" s="54"/>
      <c r="K166" s="55"/>
      <c r="L166" s="62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8.75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212">
        <f ca="1">IFERROR(__xludf.DUMMYFUNCTION("IMPORTRANGE(""https://docs.google.com/spreadsheets/d/1eHaY18a8A9IcSdp1K8H6x8fbOy06t2VsZHhMHf-1x7Y/edit?usp=sharing"",""แผน!Z50"")"),15)</f>
        <v>15</v>
      </c>
      <c r="J167" s="467">
        <v>15</v>
      </c>
      <c r="K167" s="255">
        <f ca="1">IF(I167&gt;0,J167*100/I167,0)</f>
        <v>100</v>
      </c>
      <c r="L167" s="62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8.75" hidden="1">
      <c r="A168" s="155"/>
      <c r="B168" s="50"/>
      <c r="C168" s="50"/>
      <c r="D168" s="186" t="s">
        <v>70</v>
      </c>
      <c r="E168" s="50"/>
      <c r="F168" s="50"/>
      <c r="G168" s="52"/>
      <c r="H168" s="421" t="s">
        <v>35</v>
      </c>
      <c r="I168" s="483">
        <f ca="1">I167</f>
        <v>15</v>
      </c>
      <c r="J168" s="589">
        <v>0</v>
      </c>
      <c r="K168" s="102">
        <f ca="1">IF(I168&gt;0,J168*100/I168,0)</f>
        <v>0</v>
      </c>
      <c r="L168" s="62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8.75" hidden="1">
      <c r="A169" s="213"/>
      <c r="B169" s="4"/>
      <c r="C169" s="4"/>
      <c r="D169" s="484" t="s">
        <v>71</v>
      </c>
      <c r="E169" s="4"/>
      <c r="F169" s="4"/>
      <c r="G169" s="65"/>
      <c r="H169" s="719" t="s">
        <v>35</v>
      </c>
      <c r="I169" s="486">
        <f ca="1">I167</f>
        <v>15</v>
      </c>
      <c r="J169" s="586">
        <v>0</v>
      </c>
      <c r="K169" s="585">
        <f ca="1">IF(I169&gt;0,J169*100/I169,0)</f>
        <v>0</v>
      </c>
      <c r="L169" s="68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9"/>
      <c r="I170" s="220"/>
      <c r="J170" s="220"/>
      <c r="K170" s="221"/>
      <c r="L170" s="221"/>
      <c r="M170" s="221"/>
      <c r="N170" s="221"/>
      <c r="O170" s="221"/>
      <c r="P170" s="222"/>
      <c r="Q170" s="221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226"/>
      <c r="I171" s="227"/>
      <c r="J171" s="227"/>
      <c r="K171" s="228"/>
      <c r="L171" s="229"/>
      <c r="M171" s="228"/>
      <c r="N171" s="228"/>
      <c r="O171" s="228"/>
      <c r="P171" s="228"/>
      <c r="Q171" s="228"/>
      <c r="R171" s="228"/>
      <c r="S171" s="228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233" t="s">
        <v>35</v>
      </c>
      <c r="I172" s="718">
        <f ca="1">I183+I184</f>
        <v>7</v>
      </c>
      <c r="J172" s="718">
        <f>J183+J184</f>
        <v>7</v>
      </c>
      <c r="K172" s="717">
        <f ca="1">IF(I172&gt;0,J172*100/I172,0)</f>
        <v>100</v>
      </c>
      <c r="L172" s="237"/>
      <c r="M172" s="236"/>
      <c r="N172" s="236"/>
      <c r="O172" s="236"/>
      <c r="P172" s="236"/>
      <c r="Q172" s="236"/>
      <c r="R172" s="236"/>
      <c r="S172" s="236"/>
      <c r="T172" s="236"/>
      <c r="U172" s="236"/>
    </row>
    <row r="173" spans="1:21" ht="19.5">
      <c r="A173" s="155"/>
      <c r="B173" s="50"/>
      <c r="C173" s="156" t="s">
        <v>18</v>
      </c>
      <c r="D173" s="575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541">
        <f ca="1">L174+L175</f>
        <v>19590</v>
      </c>
      <c r="M173" s="540">
        <f ca="1">M174+M175</f>
        <v>35120</v>
      </c>
      <c r="N173" s="540">
        <f ca="1">N174+N175</f>
        <v>19590</v>
      </c>
      <c r="O173" s="540">
        <f ca="1">IF(L173&gt;0,N173*100/L173,0)</f>
        <v>100</v>
      </c>
      <c r="P173" s="540">
        <f ca="1">IF(M173&gt;0,N173*100/M173,0)</f>
        <v>55.780182232346242</v>
      </c>
      <c r="Q173" s="540">
        <f ca="1">Q174+Q175</f>
        <v>0</v>
      </c>
      <c r="R173" s="540">
        <f ca="1">R174+R175</f>
        <v>0</v>
      </c>
      <c r="S173" s="540">
        <f ca="1">S174+S175</f>
        <v>0</v>
      </c>
      <c r="T173" s="540">
        <f ca="1">IF(Q173&gt;0,S173*100/Q173,0)</f>
        <v>0</v>
      </c>
      <c r="U173" s="540">
        <f ca="1">IF(R173&gt;0,S173*100/R173,0)</f>
        <v>0</v>
      </c>
    </row>
    <row r="174" spans="1:21" ht="18.75" hidden="1">
      <c r="A174" s="155"/>
      <c r="B174" s="50"/>
      <c r="C174" s="50"/>
      <c r="D174" s="50"/>
      <c r="E174" s="186" t="s">
        <v>20</v>
      </c>
      <c r="F174" s="50"/>
      <c r="G174" s="52"/>
      <c r="H174" s="187" t="s">
        <v>14</v>
      </c>
      <c r="I174" s="54"/>
      <c r="J174" s="54"/>
      <c r="K174" s="55"/>
      <c r="L174" s="103">
        <f>L177+L180</f>
        <v>0</v>
      </c>
      <c r="M174" s="102">
        <f>M177+M180</f>
        <v>0</v>
      </c>
      <c r="N174" s="102">
        <f>N177+N180</f>
        <v>0</v>
      </c>
      <c r="O174" s="102">
        <f>IF(L174&gt;0,N174*100/L174,0)</f>
        <v>0</v>
      </c>
      <c r="P174" s="102">
        <f>IF(M174&gt;0,N174*100/M174,0)</f>
        <v>0</v>
      </c>
      <c r="Q174" s="102">
        <f>Q177+Q180</f>
        <v>0</v>
      </c>
      <c r="R174" s="102">
        <f>R177+R180</f>
        <v>0</v>
      </c>
      <c r="S174" s="102">
        <f>S177+S180</f>
        <v>0</v>
      </c>
      <c r="T174" s="102">
        <f>IF(Q174&gt;0,S174*100/Q174,0)</f>
        <v>0</v>
      </c>
      <c r="U174" s="102">
        <f>IF(R174&gt;0,S174*100/R174,0)</f>
        <v>0</v>
      </c>
    </row>
    <row r="175" spans="1:21" ht="18.75" hidden="1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256">
        <f ca="1">L178+L181</f>
        <v>19590</v>
      </c>
      <c r="M175" s="255">
        <f ca="1">M178+M181</f>
        <v>35120</v>
      </c>
      <c r="N175" s="255">
        <f ca="1">N178+N181</f>
        <v>19590</v>
      </c>
      <c r="O175" s="255">
        <f ca="1">IF(L175&gt;0,N175*100/L175,0)</f>
        <v>100</v>
      </c>
      <c r="P175" s="255">
        <f ca="1">IF(M175&gt;0,N175*100/M175,0)</f>
        <v>55.780182232346242</v>
      </c>
      <c r="Q175" s="255">
        <f ca="1">Q178+Q181</f>
        <v>0</v>
      </c>
      <c r="R175" s="255">
        <f ca="1">R178+R181</f>
        <v>0</v>
      </c>
      <c r="S175" s="255">
        <f ca="1">S178+S181</f>
        <v>0</v>
      </c>
      <c r="T175" s="255">
        <f ca="1">IF(Q175&gt;0,S175*100/Q175,0)</f>
        <v>0</v>
      </c>
      <c r="U175" s="255">
        <f ca="1">IF(R175&gt;0,S175*100/R175,0)</f>
        <v>0</v>
      </c>
    </row>
    <row r="176" spans="1:21" ht="18.75">
      <c r="A176" s="155"/>
      <c r="B176" s="50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256">
        <f ca="1">L177+L178</f>
        <v>19590</v>
      </c>
      <c r="M176" s="255">
        <f ca="1">M177+M178</f>
        <v>35120</v>
      </c>
      <c r="N176" s="255">
        <f ca="1">N177+N178</f>
        <v>19590</v>
      </c>
      <c r="O176" s="255">
        <f ca="1">IF(L176&gt;0,N176*100/L176,0)</f>
        <v>100</v>
      </c>
      <c r="P176" s="255">
        <f ca="1">IF(M176&gt;0,N176*100/M176,0)</f>
        <v>55.780182232346242</v>
      </c>
      <c r="Q176" s="255">
        <f ca="1">Q177+Q178</f>
        <v>0</v>
      </c>
      <c r="R176" s="255">
        <f ca="1">R177+R178</f>
        <v>0</v>
      </c>
      <c r="S176" s="255">
        <f ca="1">S177+S178</f>
        <v>0</v>
      </c>
      <c r="T176" s="255">
        <f ca="1">IF(Q176&gt;0,S176*100/Q176,0)</f>
        <v>0</v>
      </c>
      <c r="U176" s="255">
        <f ca="1">IF(R176&gt;0,S176*100/R176,0)</f>
        <v>0</v>
      </c>
    </row>
    <row r="177" spans="1:21" ht="18.75" hidden="1">
      <c r="A177" s="155"/>
      <c r="B177" s="50"/>
      <c r="C177" s="50"/>
      <c r="D177" s="50"/>
      <c r="E177" s="186" t="s">
        <v>36</v>
      </c>
      <c r="F177" s="50"/>
      <c r="G177" s="52"/>
      <c r="H177" s="189" t="s">
        <v>14</v>
      </c>
      <c r="I177" s="163"/>
      <c r="J177" s="163"/>
      <c r="K177" s="164"/>
      <c r="L177" s="103">
        <v>0</v>
      </c>
      <c r="M177" s="102">
        <v>0</v>
      </c>
      <c r="N177" s="102">
        <v>0</v>
      </c>
      <c r="O177" s="102">
        <f>IF(L177&gt;0,N177*100/L177,0)</f>
        <v>0</v>
      </c>
      <c r="P177" s="102">
        <f>IF(M177&gt;0,N177*100/M177,0)</f>
        <v>0</v>
      </c>
      <c r="Q177" s="102">
        <v>0</v>
      </c>
      <c r="R177" s="102">
        <v>0</v>
      </c>
      <c r="S177" s="102">
        <v>0</v>
      </c>
      <c r="T177" s="102">
        <f>IF(Q177&gt;0,S177*100/Q177,0)</f>
        <v>0</v>
      </c>
      <c r="U177" s="102">
        <f>IF(R177&gt;0,S177*100/R177,0)</f>
        <v>0</v>
      </c>
    </row>
    <row r="178" spans="1:21" ht="18.75" hidden="1">
      <c r="A178" s="155"/>
      <c r="B178" s="50"/>
      <c r="C178" s="50"/>
      <c r="D178" s="50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256">
        <f ca="1">IFERROR(__xludf.DUMMYFUNCTION("IMPORTRANGE(""https://docs.google.com/spreadsheets/d/1-uDff_7J0KD5mKrp0Vvzr7lt3OU09vwQwhkpOPPYv2Y/edit?usp=sharing"",""งบพรบ!CK50"")"),19590)</f>
        <v>19590</v>
      </c>
      <c r="M178" s="255">
        <f ca="1">IFERROR(__xludf.DUMMYFUNCTION("IMPORTRANGE(""https://docs.google.com/spreadsheets/d/1-uDff_7J0KD5mKrp0Vvzr7lt3OU09vwQwhkpOPPYv2Y/edit?usp=sharing"",""งบพรบ!CP50"")"),35120)</f>
        <v>35120</v>
      </c>
      <c r="N178" s="255">
        <f ca="1">IFERROR(__xludf.DUMMYFUNCTION("IMPORTRANGE(""https://docs.google.com/spreadsheets/d/1-uDff_7J0KD5mKrp0Vvzr7lt3OU09vwQwhkpOPPYv2Y/edit?usp=sharing"",""งบพรบ!CR50"")"),19590)</f>
        <v>19590</v>
      </c>
      <c r="O178" s="255">
        <f ca="1">IF(L178&gt;0,N178*100/L178,0)</f>
        <v>100</v>
      </c>
      <c r="P178" s="255">
        <f ca="1">IF(M178&gt;0,N178*100/M178,0)</f>
        <v>55.780182232346242</v>
      </c>
      <c r="Q178" s="255">
        <f ca="1">IFERROR(__xludf.DUMMYFUNCTION("IMPORTRANGE(""https://docs.google.com/spreadsheets/d/1ItG2mGa2ceCfYo0BwxsXqNm01IGEUdYcSSLTEv9YCik/edit?usp=sharing"",""เบิกจ่ายกองทุน!BE50"")"),0)</f>
        <v>0</v>
      </c>
      <c r="R178" s="255">
        <f ca="1">IFERROR(__xludf.DUMMYFUNCTION("IMPORTRANGE(""https://docs.google.com/spreadsheets/d/1ItG2mGa2ceCfYo0BwxsXqNm01IGEUdYcSSLTEv9YCik/edit?usp=sharing"",""เบิกจ่ายกองทุน!BF50"")"),0)</f>
        <v>0</v>
      </c>
      <c r="S178" s="255">
        <f ca="1">IFERROR(__xludf.DUMMYFUNCTION("IMPORTRANGE(""https://docs.google.com/spreadsheets/d/1ItG2mGa2ceCfYo0BwxsXqNm01IGEUdYcSSLTEv9YCik/edit?usp=sharing"",""เบิกจ่ายกองทุน!BG50"")"),0)</f>
        <v>0</v>
      </c>
      <c r="T178" s="255">
        <f ca="1">IF(Q178&gt;0,S178*100/Q178,0)</f>
        <v>0</v>
      </c>
      <c r="U178" s="255">
        <f ca="1">IF(R178&gt;0,S178*100/R178,0)</f>
        <v>0</v>
      </c>
    </row>
    <row r="179" spans="1:21" ht="18.75">
      <c r="A179" s="155"/>
      <c r="B179" s="50"/>
      <c r="C179" s="50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256">
        <f ca="1">L180+L181</f>
        <v>0</v>
      </c>
      <c r="M179" s="255">
        <f ca="1">M180+M181</f>
        <v>0</v>
      </c>
      <c r="N179" s="255">
        <f ca="1">N180+N181</f>
        <v>0</v>
      </c>
      <c r="O179" s="255">
        <f ca="1">IF(L179&gt;0,N179*100/L179,0)</f>
        <v>0</v>
      </c>
      <c r="P179" s="255">
        <f ca="1">IF(M179&gt;0,N179*100/M179,0)</f>
        <v>0</v>
      </c>
      <c r="Q179" s="255">
        <f>Q180+Q181</f>
        <v>0</v>
      </c>
      <c r="R179" s="255">
        <f>R180+R181</f>
        <v>0</v>
      </c>
      <c r="S179" s="255">
        <f>S180+S181</f>
        <v>0</v>
      </c>
      <c r="T179" s="255">
        <f>IF(Q179&gt;0,S179*100/Q179,0)</f>
        <v>0</v>
      </c>
      <c r="U179" s="255">
        <f>IF(R179&gt;0,S179*100/R179,0)</f>
        <v>0</v>
      </c>
    </row>
    <row r="180" spans="1:21" ht="18.75" hidden="1">
      <c r="A180" s="155"/>
      <c r="B180" s="50"/>
      <c r="C180" s="50"/>
      <c r="D180" s="50"/>
      <c r="E180" s="186" t="s">
        <v>20</v>
      </c>
      <c r="F180" s="50"/>
      <c r="G180" s="52"/>
      <c r="H180" s="189" t="s">
        <v>14</v>
      </c>
      <c r="I180" s="163"/>
      <c r="J180" s="163"/>
      <c r="K180" s="164"/>
      <c r="L180" s="103">
        <v>0</v>
      </c>
      <c r="M180" s="102">
        <v>0</v>
      </c>
      <c r="N180" s="102">
        <v>0</v>
      </c>
      <c r="O180" s="102">
        <f>IF(L180&gt;0,N180*100/L180,0)</f>
        <v>0</v>
      </c>
      <c r="P180" s="102">
        <f>IF(M180&gt;0,N180*100/M180,0)</f>
        <v>0</v>
      </c>
      <c r="Q180" s="102">
        <v>0</v>
      </c>
      <c r="R180" s="102">
        <v>0</v>
      </c>
      <c r="S180" s="102">
        <v>0</v>
      </c>
      <c r="T180" s="102">
        <f>IF(Q180&gt;0,S180*100/Q180,0)</f>
        <v>0</v>
      </c>
      <c r="U180" s="102">
        <f>IF(R180&gt;0,S180*100/R180,0)</f>
        <v>0</v>
      </c>
    </row>
    <row r="181" spans="1:21" ht="18.75" hidden="1">
      <c r="A181" s="155"/>
      <c r="B181" s="50"/>
      <c r="C181" s="50"/>
      <c r="D181" s="50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256">
        <f ca="1">IFERROR(__xludf.DUMMYFUNCTION("IMPORTRANGE(""https://docs.google.com/spreadsheets/d/1-uDff_7J0KD5mKrp0Vvzr7lt3OU09vwQwhkpOPPYv2Y/edit?usp=sharing"",""งบพรบ!CN50"")"),0)</f>
        <v>0</v>
      </c>
      <c r="M181" s="255">
        <f ca="1">IFERROR(__xludf.DUMMYFUNCTION("IMPORTRANGE(""https://docs.google.com/spreadsheets/d/1-uDff_7J0KD5mKrp0Vvzr7lt3OU09vwQwhkpOPPYv2Y/edit?usp=sharing"",""งบพรบ!CQ50"")"),0)</f>
        <v>0</v>
      </c>
      <c r="N181" s="255">
        <f ca="1">IFERROR(__xludf.DUMMYFUNCTION("IMPORTRANGE(""https://docs.google.com/spreadsheets/d/1-uDff_7J0KD5mKrp0Vvzr7lt3OU09vwQwhkpOPPYv2Y/edit?usp=sharing"",""งบพรบ!CS50"")"),0)</f>
        <v>0</v>
      </c>
      <c r="O181" s="255">
        <f ca="1">IF(L181&gt;0,N181*100/L181,0)</f>
        <v>0</v>
      </c>
      <c r="P181" s="255">
        <f ca="1">IF(M181&gt;0,N181*100/M181,0)</f>
        <v>0</v>
      </c>
      <c r="Q181" s="255">
        <v>0</v>
      </c>
      <c r="R181" s="255">
        <v>0</v>
      </c>
      <c r="S181" s="255">
        <v>0</v>
      </c>
      <c r="T181" s="255">
        <f>IF(Q181&gt;0,S181*100/Q181,0)</f>
        <v>0</v>
      </c>
      <c r="U181" s="255">
        <f>IF(R181&gt;0,S181*100/R181,0)</f>
        <v>0</v>
      </c>
    </row>
    <row r="182" spans="1:21" ht="19.5">
      <c r="A182" s="166"/>
      <c r="B182" s="167"/>
      <c r="C182" s="156" t="s">
        <v>18</v>
      </c>
      <c r="D182" s="566" t="s">
        <v>38</v>
      </c>
      <c r="E182" s="169"/>
      <c r="F182" s="169"/>
      <c r="G182" s="170"/>
      <c r="H182" s="206"/>
      <c r="I182" s="54"/>
      <c r="J182" s="54"/>
      <c r="K182" s="55"/>
      <c r="L182" s="62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40" t="s">
        <v>35</v>
      </c>
      <c r="I183" s="212">
        <f ca="1">IFERROR(__xludf.DUMMYFUNCTION("IMPORTRANGE(""https://docs.google.com/spreadsheets/d/1eHaY18a8A9IcSdp1K8H6x8fbOy06t2VsZHhMHf-1x7Y/edit?usp=sharing"",""แผน!AA50"")"),7)</f>
        <v>7</v>
      </c>
      <c r="J183" s="467">
        <v>7</v>
      </c>
      <c r="K183" s="255">
        <f ca="1">IF(I183&gt;0,J183*100/I183,0)</f>
        <v>100</v>
      </c>
      <c r="L183" s="62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8.75" hidden="1">
      <c r="A184" s="238"/>
      <c r="B184" s="188"/>
      <c r="C184" s="188"/>
      <c r="D184" s="358" t="s">
        <v>76</v>
      </c>
      <c r="E184" s="50"/>
      <c r="F184" s="50"/>
      <c r="G184" s="52"/>
      <c r="H184" s="590" t="s">
        <v>35</v>
      </c>
      <c r="I184" s="483">
        <v>0</v>
      </c>
      <c r="J184" s="483">
        <v>0</v>
      </c>
      <c r="K184" s="102">
        <f>IF(I184&gt;0,J184*100/I184,0)</f>
        <v>0</v>
      </c>
      <c r="L184" s="62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233" t="s">
        <v>35</v>
      </c>
      <c r="I185" s="718">
        <f ca="1">I230+I231</f>
        <v>0</v>
      </c>
      <c r="J185" s="718">
        <f>J230+J231</f>
        <v>0</v>
      </c>
      <c r="K185" s="717">
        <f ca="1">IF(I185&gt;0,J185*100/I185,0)</f>
        <v>0</v>
      </c>
      <c r="L185" s="237"/>
      <c r="M185" s="236"/>
      <c r="N185" s="236"/>
      <c r="O185" s="236"/>
      <c r="P185" s="236"/>
      <c r="Q185" s="236"/>
      <c r="R185" s="236"/>
      <c r="S185" s="236"/>
      <c r="T185" s="236"/>
      <c r="U185" s="236"/>
    </row>
    <row r="186" spans="1:21" ht="19.5">
      <c r="A186" s="155"/>
      <c r="B186" s="50"/>
      <c r="C186" s="156" t="s">
        <v>18</v>
      </c>
      <c r="D186" s="575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541">
        <f ca="1">L187+L188</f>
        <v>65500</v>
      </c>
      <c r="M186" s="540">
        <f ca="1">M187+M188</f>
        <v>33500</v>
      </c>
      <c r="N186" s="540">
        <f ca="1">N187+N188</f>
        <v>21505</v>
      </c>
      <c r="O186" s="540">
        <f ca="1">IF(L186&gt;0,N186*100/L186,0)</f>
        <v>32.832061068702288</v>
      </c>
      <c r="P186" s="540">
        <f ca="1">IF(M186&gt;0,N186*100/M186,0)</f>
        <v>64.194029850746276</v>
      </c>
      <c r="Q186" s="540">
        <f ca="1">Q187+Q188</f>
        <v>177100</v>
      </c>
      <c r="R186" s="540">
        <f ca="1">R187+R188</f>
        <v>191100</v>
      </c>
      <c r="S186" s="540">
        <f ca="1">S187+S188</f>
        <v>0</v>
      </c>
      <c r="T186" s="540">
        <f ca="1">IF(Q186&gt;0,S186*100/Q186,0)</f>
        <v>0</v>
      </c>
      <c r="U186" s="540">
        <f ca="1">IF(R186&gt;0,S186*100/R186,0)</f>
        <v>0</v>
      </c>
    </row>
    <row r="187" spans="1:21" ht="18.75" hidden="1">
      <c r="A187" s="155"/>
      <c r="B187" s="50"/>
      <c r="C187" s="50"/>
      <c r="D187" s="50"/>
      <c r="E187" s="186" t="s">
        <v>20</v>
      </c>
      <c r="F187" s="50"/>
      <c r="G187" s="52"/>
      <c r="H187" s="187" t="s">
        <v>14</v>
      </c>
      <c r="I187" s="54"/>
      <c r="J187" s="54"/>
      <c r="K187" s="55"/>
      <c r="L187" s="103">
        <f>L190+L193</f>
        <v>0</v>
      </c>
      <c r="M187" s="102">
        <f>M190+M193</f>
        <v>0</v>
      </c>
      <c r="N187" s="102">
        <f>N190+N193</f>
        <v>0</v>
      </c>
      <c r="O187" s="102">
        <f>IF(L187&gt;0,N187*100/L187,0)</f>
        <v>0</v>
      </c>
      <c r="P187" s="102">
        <f>IF(M187&gt;0,N187*100/M187,0)</f>
        <v>0</v>
      </c>
      <c r="Q187" s="102">
        <f>Q190+Q193</f>
        <v>0</v>
      </c>
      <c r="R187" s="102">
        <f>R190+R193</f>
        <v>0</v>
      </c>
      <c r="S187" s="102">
        <f>S190+S193</f>
        <v>0</v>
      </c>
      <c r="T187" s="102">
        <f>IF(Q187&gt;0,S187*100/Q187,0)</f>
        <v>0</v>
      </c>
      <c r="U187" s="102">
        <f>IF(R187&gt;0,S187*100/R187,0)</f>
        <v>0</v>
      </c>
    </row>
    <row r="188" spans="1:21" ht="18.75" hidden="1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256">
        <f ca="1">L191+L194</f>
        <v>65500</v>
      </c>
      <c r="M188" s="255">
        <f ca="1">M191+M194</f>
        <v>33500</v>
      </c>
      <c r="N188" s="255">
        <f ca="1">N191+N194</f>
        <v>21505</v>
      </c>
      <c r="O188" s="255">
        <f ca="1">IF(L188&gt;0,N188*100/L188,0)</f>
        <v>32.832061068702288</v>
      </c>
      <c r="P188" s="255">
        <f ca="1">IF(M188&gt;0,N188*100/M188,0)</f>
        <v>64.194029850746276</v>
      </c>
      <c r="Q188" s="255">
        <f ca="1">Q191+Q194</f>
        <v>177100</v>
      </c>
      <c r="R188" s="255">
        <f ca="1">R191+R194</f>
        <v>191100</v>
      </c>
      <c r="S188" s="255">
        <f ca="1">S191+S194</f>
        <v>0</v>
      </c>
      <c r="T188" s="255">
        <f ca="1">IF(Q188&gt;0,S188*100/Q188,0)</f>
        <v>0</v>
      </c>
      <c r="U188" s="255">
        <f ca="1">IF(R188&gt;0,S188*100/R188,0)</f>
        <v>0</v>
      </c>
    </row>
    <row r="189" spans="1:21" ht="18.75">
      <c r="A189" s="155"/>
      <c r="B189" s="50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256">
        <f ca="1">L190+L191</f>
        <v>65500</v>
      </c>
      <c r="M189" s="255">
        <f ca="1">M190+M191</f>
        <v>33500</v>
      </c>
      <c r="N189" s="255">
        <f ca="1">N190+N191</f>
        <v>21505</v>
      </c>
      <c r="O189" s="255">
        <f ca="1">IF(L189&gt;0,N189*100/L189,0)</f>
        <v>32.832061068702288</v>
      </c>
      <c r="P189" s="255">
        <f ca="1">IF(M189&gt;0,N189*100/M189,0)</f>
        <v>64.194029850746276</v>
      </c>
      <c r="Q189" s="255">
        <f ca="1">Q190+Q191</f>
        <v>177100</v>
      </c>
      <c r="R189" s="255">
        <f ca="1">R190+R191</f>
        <v>191100</v>
      </c>
      <c r="S189" s="255">
        <f ca="1">S190+S191</f>
        <v>0</v>
      </c>
      <c r="T189" s="255">
        <f ca="1">IF(Q189&gt;0,S189*100/Q189,0)</f>
        <v>0</v>
      </c>
      <c r="U189" s="255">
        <f ca="1">IF(R189&gt;0,S189*100/R189,0)</f>
        <v>0</v>
      </c>
    </row>
    <row r="190" spans="1:21" ht="18.75" hidden="1">
      <c r="A190" s="155"/>
      <c r="B190" s="50"/>
      <c r="C190" s="50"/>
      <c r="D190" s="50"/>
      <c r="E190" s="186" t="s">
        <v>36</v>
      </c>
      <c r="F190" s="50"/>
      <c r="G190" s="52"/>
      <c r="H190" s="189" t="s">
        <v>14</v>
      </c>
      <c r="I190" s="163"/>
      <c r="J190" s="163"/>
      <c r="K190" s="164"/>
      <c r="L190" s="103">
        <v>0</v>
      </c>
      <c r="M190" s="102">
        <v>0</v>
      </c>
      <c r="N190" s="102">
        <v>0</v>
      </c>
      <c r="O190" s="102">
        <f>IF(L190&gt;0,N190*100/L190,0)</f>
        <v>0</v>
      </c>
      <c r="P190" s="102">
        <f>IF(M190&gt;0,N190*100/M190,0)</f>
        <v>0</v>
      </c>
      <c r="Q190" s="102">
        <v>0</v>
      </c>
      <c r="R190" s="102">
        <v>0</v>
      </c>
      <c r="S190" s="102">
        <v>0</v>
      </c>
      <c r="T190" s="102">
        <f>IF(Q190&gt;0,S190*100/Q190,0)</f>
        <v>0</v>
      </c>
      <c r="U190" s="102">
        <f>IF(R190&gt;0,S190*100/R190,0)</f>
        <v>0</v>
      </c>
    </row>
    <row r="191" spans="1:21" ht="18.75" hidden="1">
      <c r="A191" s="155"/>
      <c r="B191" s="50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256">
        <f ca="1">IFERROR(__xludf.DUMMYFUNCTION("IMPORTRANGE(""https://docs.google.com/spreadsheets/d/1-uDff_7J0KD5mKrp0Vvzr7lt3OU09vwQwhkpOPPYv2Y/edit?usp=sharing"",""งบพรบ!CU50"")"),65500)</f>
        <v>65500</v>
      </c>
      <c r="M191" s="255">
        <f ca="1">IFERROR(__xludf.DUMMYFUNCTION("IMPORTRANGE(""https://docs.google.com/spreadsheets/d/1-uDff_7J0KD5mKrp0Vvzr7lt3OU09vwQwhkpOPPYv2Y/edit?usp=sharing"",""งบพรบ!CZ50"")"),33500)</f>
        <v>33500</v>
      </c>
      <c r="N191" s="255">
        <f ca="1">IFERROR(__xludf.DUMMYFUNCTION("IMPORTRANGE(""https://docs.google.com/spreadsheets/d/1-uDff_7J0KD5mKrp0Vvzr7lt3OU09vwQwhkpOPPYv2Y/edit?usp=sharing"",""งบพรบ!DB50"")"),21505)</f>
        <v>21505</v>
      </c>
      <c r="O191" s="255">
        <f ca="1">IF(L191&gt;0,N191*100/L191,0)</f>
        <v>32.832061068702288</v>
      </c>
      <c r="P191" s="255">
        <f ca="1">IF(M191&gt;0,N191*100/M191,0)</f>
        <v>64.194029850746276</v>
      </c>
      <c r="Q191" s="255">
        <f ca="1">IFERROR(__xludf.DUMMYFUNCTION("IMPORTRANGE(""https://docs.google.com/spreadsheets/d/1ItG2mGa2ceCfYo0BwxsXqNm01IGEUdYcSSLTEv9YCik/edit?usp=sharing"",""เบิกจ่ายกองทุน!AV50"")"),177100)</f>
        <v>177100</v>
      </c>
      <c r="R191" s="255">
        <f ca="1">IFERROR(__xludf.DUMMYFUNCTION("IMPORTRANGE(""https://docs.google.com/spreadsheets/d/1ItG2mGa2ceCfYo0BwxsXqNm01IGEUdYcSSLTEv9YCik/edit?usp=sharing"",""เบิกจ่ายกองทุน!AW50"")"),191100)</f>
        <v>191100</v>
      </c>
      <c r="S191" s="255">
        <f ca="1">IFERROR(__xludf.DUMMYFUNCTION("IMPORTRANGE(""https://docs.google.com/spreadsheets/d/1ItG2mGa2ceCfYo0BwxsXqNm01IGEUdYcSSLTEv9YCik/edit?usp=sharing"",""เบิกจ่ายกองทุน!AX50"")"),0)</f>
        <v>0</v>
      </c>
      <c r="T191" s="255">
        <f ca="1">IF(Q191&gt;0,S191*100/Q191,0)</f>
        <v>0</v>
      </c>
      <c r="U191" s="255">
        <f ca="1">IF(R191&gt;0,S191*100/R191,0)</f>
        <v>0</v>
      </c>
    </row>
    <row r="192" spans="1:21" ht="18.75">
      <c r="A192" s="155"/>
      <c r="B192" s="50"/>
      <c r="C192" s="50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256">
        <f ca="1">L193+L194</f>
        <v>0</v>
      </c>
      <c r="M192" s="255">
        <f ca="1">M193+M194</f>
        <v>0</v>
      </c>
      <c r="N192" s="255">
        <f ca="1">N193+N194</f>
        <v>0</v>
      </c>
      <c r="O192" s="255">
        <f ca="1">IF(L192&gt;0,N192*100/L192,0)</f>
        <v>0</v>
      </c>
      <c r="P192" s="255">
        <f ca="1">IF(M192&gt;0,N192*100/M192,0)</f>
        <v>0</v>
      </c>
      <c r="Q192" s="255">
        <f>Q193+Q194</f>
        <v>0</v>
      </c>
      <c r="R192" s="255">
        <f>R193+R194</f>
        <v>0</v>
      </c>
      <c r="S192" s="255">
        <f>S193+S194</f>
        <v>0</v>
      </c>
      <c r="T192" s="255">
        <f>IF(Q192&gt;0,S192*100/Q192,0)</f>
        <v>0</v>
      </c>
      <c r="U192" s="255">
        <f>IF(R192&gt;0,S192*100/R192,0)</f>
        <v>0</v>
      </c>
    </row>
    <row r="193" spans="1:21" ht="18.75" hidden="1">
      <c r="A193" s="155"/>
      <c r="B193" s="50"/>
      <c r="C193" s="50"/>
      <c r="D193" s="50"/>
      <c r="E193" s="186" t="s">
        <v>20</v>
      </c>
      <c r="F193" s="50"/>
      <c r="G193" s="52"/>
      <c r="H193" s="189" t="s">
        <v>14</v>
      </c>
      <c r="I193" s="163"/>
      <c r="J193" s="163"/>
      <c r="K193" s="164"/>
      <c r="L193" s="103">
        <v>0</v>
      </c>
      <c r="M193" s="102">
        <v>0</v>
      </c>
      <c r="N193" s="102">
        <v>0</v>
      </c>
      <c r="O193" s="102">
        <f>IF(L193&gt;0,N193*100/L193,0)</f>
        <v>0</v>
      </c>
      <c r="P193" s="102">
        <f>IF(M193&gt;0,N193*100/M193,0)</f>
        <v>0</v>
      </c>
      <c r="Q193" s="102">
        <v>0</v>
      </c>
      <c r="R193" s="102">
        <v>0</v>
      </c>
      <c r="S193" s="102">
        <v>0</v>
      </c>
      <c r="T193" s="102">
        <f>IF(Q193&gt;0,S193*100/Q193,0)</f>
        <v>0</v>
      </c>
      <c r="U193" s="102">
        <f>IF(R193&gt;0,S193*100/R193,0)</f>
        <v>0</v>
      </c>
    </row>
    <row r="194" spans="1:21" ht="18.75" hidden="1">
      <c r="A194" s="155"/>
      <c r="B194" s="50"/>
      <c r="C194" s="50"/>
      <c r="D194" s="50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256">
        <f ca="1">IFERROR(__xludf.DUMMYFUNCTION("IMPORTRANGE(""https://docs.google.com/spreadsheets/d/1-uDff_7J0KD5mKrp0Vvzr7lt3OU09vwQwhkpOPPYv2Y/edit?usp=sharing"",""งบพรบ!CX50"")"),0)</f>
        <v>0</v>
      </c>
      <c r="M194" s="255">
        <f ca="1">IFERROR(__xludf.DUMMYFUNCTION("IMPORTRANGE(""https://docs.google.com/spreadsheets/d/1-uDff_7J0KD5mKrp0Vvzr7lt3OU09vwQwhkpOPPYv2Y/edit?usp=sharing"",""งบพรบ!DA50"")"),0)</f>
        <v>0</v>
      </c>
      <c r="N194" s="255">
        <f ca="1">IFERROR(__xludf.DUMMYFUNCTION("IMPORTRANGE(""https://docs.google.com/spreadsheets/d/1-uDff_7J0KD5mKrp0Vvzr7lt3OU09vwQwhkpOPPYv2Y/edit?usp=sharing"",""งบพรบ!DC50"")"),0)</f>
        <v>0</v>
      </c>
      <c r="O194" s="255">
        <f ca="1">IF(L194&gt;0,N194*100/L194,0)</f>
        <v>0</v>
      </c>
      <c r="P194" s="255">
        <f ca="1">IF(M194&gt;0,N194*100/M194,0)</f>
        <v>0</v>
      </c>
      <c r="Q194" s="255">
        <v>0</v>
      </c>
      <c r="R194" s="255">
        <v>0</v>
      </c>
      <c r="S194" s="255">
        <v>0</v>
      </c>
      <c r="T194" s="255">
        <f>IF(Q194&gt;0,S194*100/Q194,0)</f>
        <v>0</v>
      </c>
      <c r="U194" s="255">
        <f>IF(R194&gt;0,S194*100/R194,0)</f>
        <v>0</v>
      </c>
    </row>
    <row r="195" spans="1:21" ht="19.5">
      <c r="A195" s="241"/>
      <c r="B195" s="242"/>
      <c r="C195" s="243" t="s">
        <v>78</v>
      </c>
      <c r="D195" s="244"/>
      <c r="E195" s="244"/>
      <c r="F195" s="244"/>
      <c r="G195" s="245"/>
      <c r="H195" s="246" t="s">
        <v>79</v>
      </c>
      <c r="I195" s="339">
        <f ca="1">I198</f>
        <v>4</v>
      </c>
      <c r="J195" s="339">
        <f>J198</f>
        <v>3</v>
      </c>
      <c r="K195" s="340">
        <f ca="1">IF(I195&gt;0,J195*100/I195,0)</f>
        <v>75</v>
      </c>
      <c r="L195" s="250"/>
      <c r="M195" s="249"/>
      <c r="N195" s="249"/>
      <c r="O195" s="249"/>
      <c r="P195" s="249"/>
      <c r="Q195" s="249"/>
      <c r="R195" s="249"/>
      <c r="S195" s="249"/>
      <c r="T195" s="249"/>
      <c r="U195" s="249"/>
    </row>
    <row r="196" spans="1:21" ht="19.5">
      <c r="A196" s="155"/>
      <c r="B196" s="50"/>
      <c r="C196" s="156" t="s">
        <v>18</v>
      </c>
      <c r="D196" s="713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541">
        <f ca="1">IFERROR(__xludf.DUMMYFUNCTION("IMPORTRANGE(""https://docs.google.com/spreadsheets/d/1eHaY18a8A9IcSdp1K8H6x8fbOy06t2VsZHhMHf-1x7Y/edit?usp=sharing"",""แผน!AB50"")"),6000)</f>
        <v>6000</v>
      </c>
      <c r="M196" s="55"/>
      <c r="N196" s="716">
        <v>0</v>
      </c>
      <c r="O196" s="540">
        <f ca="1">IF(L196&gt;0,N196*100/L196,0)</f>
        <v>0</v>
      </c>
      <c r="P196" s="540">
        <f>IF(M196&gt;0,N196*100/M196,0)</f>
        <v>0</v>
      </c>
      <c r="Q196" s="55"/>
      <c r="R196" s="55"/>
      <c r="S196" s="55"/>
      <c r="T196" s="55"/>
      <c r="U196" s="55"/>
    </row>
    <row r="197" spans="1:21" ht="19.5">
      <c r="A197" s="166"/>
      <c r="B197" s="167"/>
      <c r="C197" s="156" t="s">
        <v>18</v>
      </c>
      <c r="D197" s="566" t="s">
        <v>38</v>
      </c>
      <c r="E197" s="169"/>
      <c r="F197" s="169"/>
      <c r="G197" s="170"/>
      <c r="H197" s="171"/>
      <c r="I197" s="54"/>
      <c r="J197" s="54"/>
      <c r="K197" s="55"/>
      <c r="L197" s="62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8.75">
      <c r="A198" s="166"/>
      <c r="B198" s="167"/>
      <c r="C198" s="167"/>
      <c r="D198" s="178" t="s">
        <v>80</v>
      </c>
      <c r="E198" s="174"/>
      <c r="F198" s="174"/>
      <c r="G198" s="171"/>
      <c r="H198" s="179" t="s">
        <v>79</v>
      </c>
      <c r="I198" s="212">
        <f ca="1">IFERROR(__xludf.DUMMYFUNCTION("IMPORTRANGE(""https://docs.google.com/spreadsheets/d/1eHaY18a8A9IcSdp1K8H6x8fbOy06t2VsZHhMHf-1x7Y/edit?usp=sharing"",""แผน!AE50"")"),4)</f>
        <v>4</v>
      </c>
      <c r="J198" s="467">
        <v>3</v>
      </c>
      <c r="K198" s="255">
        <f ca="1">IF(I198&gt;0,J198*100/I198,0)</f>
        <v>75</v>
      </c>
      <c r="L198" s="62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8.75">
      <c r="A199" s="166"/>
      <c r="B199" s="167"/>
      <c r="C199" s="167"/>
      <c r="D199" s="178" t="s">
        <v>81</v>
      </c>
      <c r="E199" s="174"/>
      <c r="F199" s="174"/>
      <c r="G199" s="171"/>
      <c r="H199" s="240" t="s">
        <v>35</v>
      </c>
      <c r="I199" s="54"/>
      <c r="J199" s="212">
        <f>J200+J201</f>
        <v>0</v>
      </c>
      <c r="K199" s="55"/>
      <c r="L199" s="62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467">
        <v>0</v>
      </c>
      <c r="K200" s="55"/>
      <c r="L200" s="62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40" t="s">
        <v>35</v>
      </c>
      <c r="I201" s="54"/>
      <c r="J201" s="467">
        <v>0</v>
      </c>
      <c r="K201" s="55"/>
      <c r="L201" s="62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254" t="s">
        <v>85</v>
      </c>
      <c r="I202" s="339">
        <f ca="1">I209</f>
        <v>2</v>
      </c>
      <c r="J202" s="339">
        <f>J209</f>
        <v>0</v>
      </c>
      <c r="K202" s="340">
        <f ca="1">IF(I202&gt;0,J202*100/I202,0)</f>
        <v>0</v>
      </c>
      <c r="L202" s="250"/>
      <c r="M202" s="249"/>
      <c r="N202" s="249"/>
      <c r="O202" s="249"/>
      <c r="P202" s="249"/>
      <c r="Q202" s="249"/>
      <c r="R202" s="249"/>
      <c r="S202" s="249"/>
      <c r="T202" s="249"/>
      <c r="U202" s="249"/>
    </row>
    <row r="203" spans="1:21" ht="19.5">
      <c r="A203" s="155"/>
      <c r="B203" s="50"/>
      <c r="C203" s="156" t="s">
        <v>18</v>
      </c>
      <c r="D203" s="713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541">
        <f ca="1">L204+L205+L206+L207</f>
        <v>5000</v>
      </c>
      <c r="M203" s="55"/>
      <c r="N203" s="540">
        <f>N204+N205+N206+N207</f>
        <v>0</v>
      </c>
      <c r="O203" s="540">
        <f ca="1">IF(L203&gt;0,N203*100/L203,0)</f>
        <v>0</v>
      </c>
      <c r="P203" s="540">
        <f>IF(M203&gt;0,N203*100/M203,0)</f>
        <v>0</v>
      </c>
      <c r="Q203" s="715">
        <f ca="1">Q204+Q205+Q206+Q207</f>
        <v>28000</v>
      </c>
      <c r="R203" s="350"/>
      <c r="S203" s="714">
        <f>S204+S205+S206+S207</f>
        <v>0</v>
      </c>
      <c r="T203" s="714">
        <f ca="1">IF(Q203&gt;0,S203*100/Q203,0)</f>
        <v>0</v>
      </c>
      <c r="U203" s="714">
        <f>IF(R203&gt;0,S203*100/R203,0)</f>
        <v>0</v>
      </c>
    </row>
    <row r="204" spans="1:21" ht="18.75">
      <c r="A204" s="155"/>
      <c r="B204" s="188"/>
      <c r="C204" s="50"/>
      <c r="D204" s="712" t="s">
        <v>310</v>
      </c>
      <c r="E204" s="50"/>
      <c r="F204" s="50"/>
      <c r="G204" s="52"/>
      <c r="H204" s="162" t="s">
        <v>14</v>
      </c>
      <c r="I204" s="163"/>
      <c r="J204" s="163"/>
      <c r="K204" s="164"/>
      <c r="L204" s="256">
        <f ca="1">IFERROR(__xludf.DUMMYFUNCTION("IMPORTRANGE(""https://docs.google.com/spreadsheets/d/1eHaY18a8A9IcSdp1K8H6x8fbOy06t2VsZHhMHf-1x7Y/edit?usp=sharing"",""แผน!AG50"")"),1000)</f>
        <v>1000</v>
      </c>
      <c r="M204" s="55"/>
      <c r="N204" s="702">
        <v>0</v>
      </c>
      <c r="O204" s="164"/>
      <c r="P204" s="55"/>
      <c r="Q204" s="256">
        <v>0</v>
      </c>
      <c r="R204" s="55"/>
      <c r="S204" s="255">
        <v>0</v>
      </c>
      <c r="T204" s="164"/>
      <c r="U204" s="55"/>
    </row>
    <row r="205" spans="1:21" ht="18.75">
      <c r="A205" s="238"/>
      <c r="B205" s="188"/>
      <c r="C205" s="50"/>
      <c r="D205" s="58" t="s">
        <v>308</v>
      </c>
      <c r="E205" s="50"/>
      <c r="F205" s="50"/>
      <c r="G205" s="52"/>
      <c r="H205" s="53" t="s">
        <v>14</v>
      </c>
      <c r="I205" s="54"/>
      <c r="J205" s="54"/>
      <c r="K205" s="55"/>
      <c r="L205" s="256">
        <f ca="1">IFERROR(__xludf.DUMMYFUNCTION("IMPORTRANGE(""https://docs.google.com/spreadsheets/d/1eHaY18a8A9IcSdp1K8H6x8fbOy06t2VsZHhMHf-1x7Y/edit?usp=sharing"",""แผน!AH50"")"),0)</f>
        <v>0</v>
      </c>
      <c r="M205" s="55"/>
      <c r="N205" s="702">
        <v>0</v>
      </c>
      <c r="O205" s="164"/>
      <c r="P205" s="55"/>
      <c r="Q205" s="256">
        <v>0</v>
      </c>
      <c r="R205" s="55"/>
      <c r="S205" s="255">
        <v>0</v>
      </c>
      <c r="T205" s="164"/>
      <c r="U205" s="55"/>
    </row>
    <row r="206" spans="1:21" ht="18.75">
      <c r="A206" s="238"/>
      <c r="B206" s="188"/>
      <c r="C206" s="50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256">
        <f ca="1">IFERROR(__xludf.DUMMYFUNCTION("IMPORTRANGE(""https://docs.google.com/spreadsheets/d/1eHaY18a8A9IcSdp1K8H6x8fbOy06t2VsZHhMHf-1x7Y/edit?usp=sharing"",""แผน!AI50"")"),0)</f>
        <v>0</v>
      </c>
      <c r="M206" s="55"/>
      <c r="N206" s="702">
        <v>0</v>
      </c>
      <c r="O206" s="164"/>
      <c r="P206" s="55"/>
      <c r="Q206" s="256">
        <f ca="1">IFERROR(__xludf.DUMMYFUNCTION("IMPORTRANGE(""https://docs.google.com/spreadsheets/d/1eHaY18a8A9IcSdp1K8H6x8fbOy06t2VsZHhMHf-1x7Y/edit?usp=sharing"",""แผน!LV50"")"),28000)</f>
        <v>28000</v>
      </c>
      <c r="R206" s="55"/>
      <c r="S206" s="702">
        <v>0</v>
      </c>
      <c r="T206" s="164"/>
      <c r="U206" s="55"/>
    </row>
    <row r="207" spans="1:21" ht="18.75">
      <c r="A207" s="238"/>
      <c r="B207" s="188"/>
      <c r="C207" s="50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256">
        <f ca="1">IFERROR(__xludf.DUMMYFUNCTION("IMPORTRANGE(""https://docs.google.com/spreadsheets/d/1eHaY18a8A9IcSdp1K8H6x8fbOy06t2VsZHhMHf-1x7Y/edit?usp=sharing"",""แผน!AJ50"")"),4000)</f>
        <v>4000</v>
      </c>
      <c r="M207" s="55"/>
      <c r="N207" s="702">
        <v>0</v>
      </c>
      <c r="O207" s="164"/>
      <c r="P207" s="55"/>
      <c r="Q207" s="256">
        <v>0</v>
      </c>
      <c r="R207" s="55"/>
      <c r="S207" s="255">
        <v>0</v>
      </c>
      <c r="T207" s="164"/>
      <c r="U207" s="55"/>
    </row>
    <row r="208" spans="1:21" ht="19.5">
      <c r="A208" s="166"/>
      <c r="B208" s="167"/>
      <c r="C208" s="156" t="s">
        <v>18</v>
      </c>
      <c r="D208" s="566" t="s">
        <v>38</v>
      </c>
      <c r="E208" s="169"/>
      <c r="F208" s="169"/>
      <c r="G208" s="170"/>
      <c r="H208" s="171"/>
      <c r="I208" s="163"/>
      <c r="J208" s="163"/>
      <c r="K208" s="164"/>
      <c r="L208" s="172"/>
      <c r="M208" s="164"/>
      <c r="N208" s="164"/>
      <c r="O208" s="164"/>
      <c r="P208" s="164"/>
      <c r="Q208" s="172"/>
      <c r="R208" s="164"/>
      <c r="S208" s="164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257" t="s">
        <v>85</v>
      </c>
      <c r="I209" s="212">
        <f ca="1">IFERROR(__xludf.DUMMYFUNCTION("IMPORTRANGE(""https://docs.google.com/spreadsheets/d/1eHaY18a8A9IcSdp1K8H6x8fbOy06t2VsZHhMHf-1x7Y/edit?usp=sharing"",""แผน!AK50"")"),2)</f>
        <v>2</v>
      </c>
      <c r="J209" s="467">
        <v>0</v>
      </c>
      <c r="K209" s="565">
        <f ca="1">IF(I209&gt;0,J209*100/I209,0)</f>
        <v>0</v>
      </c>
      <c r="L209" s="62"/>
      <c r="M209" s="55"/>
      <c r="N209" s="55"/>
      <c r="O209" s="55"/>
      <c r="P209" s="55"/>
      <c r="Q209" s="62"/>
      <c r="R209" s="55"/>
      <c r="S209" s="55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171"/>
      <c r="I210" s="54"/>
      <c r="J210" s="54"/>
      <c r="K210" s="164"/>
      <c r="L210" s="62"/>
      <c r="M210" s="55"/>
      <c r="N210" s="55"/>
      <c r="O210" s="55"/>
      <c r="P210" s="55"/>
      <c r="Q210" s="62"/>
      <c r="R210" s="55"/>
      <c r="S210" s="55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257" t="s">
        <v>85</v>
      </c>
      <c r="I211" s="212">
        <f ca="1">IFERROR(__xludf.DUMMYFUNCTION("IMPORTRANGE(""https://docs.google.com/spreadsheets/d/1eHaY18a8A9IcSdp1K8H6x8fbOy06t2VsZHhMHf-1x7Y/edit?usp=sharing"",""แผน!JX50"")"),1)</f>
        <v>1</v>
      </c>
      <c r="J211" s="467">
        <v>0</v>
      </c>
      <c r="K211" s="565">
        <f ca="1">IF(I211&gt;0,J211*100/I211,0)</f>
        <v>0</v>
      </c>
      <c r="L211" s="62"/>
      <c r="M211" s="55"/>
      <c r="N211" s="55"/>
      <c r="O211" s="55"/>
      <c r="P211" s="55"/>
      <c r="Q211" s="62"/>
      <c r="R211" s="55"/>
      <c r="S211" s="55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79" t="s">
        <v>93</v>
      </c>
      <c r="I212" s="212">
        <f ca="1">IFERROR(__xludf.DUMMYFUNCTION("IMPORTRANGE(""https://docs.google.com/spreadsheets/d/1eHaY18a8A9IcSdp1K8H6x8fbOy06t2VsZHhMHf-1x7Y/edit?usp=sharing"",""แผน!JY50"")"),0)</f>
        <v>0</v>
      </c>
      <c r="J212" s="467">
        <v>0</v>
      </c>
      <c r="K212" s="565">
        <f ca="1">IF(I212&gt;0,J212*100/I212,0)</f>
        <v>0</v>
      </c>
      <c r="L212" s="62"/>
      <c r="M212" s="55"/>
      <c r="N212" s="55"/>
      <c r="O212" s="55"/>
      <c r="P212" s="55"/>
      <c r="Q212" s="62"/>
      <c r="R212" s="55"/>
      <c r="S212" s="55"/>
      <c r="T212" s="55"/>
      <c r="U212" s="55"/>
    </row>
    <row r="213" spans="1:21" ht="19.5">
      <c r="A213" s="241"/>
      <c r="B213" s="242"/>
      <c r="C213" s="243" t="s">
        <v>94</v>
      </c>
      <c r="D213" s="244"/>
      <c r="E213" s="244"/>
      <c r="F213" s="244"/>
      <c r="G213" s="245"/>
      <c r="H213" s="254" t="s">
        <v>85</v>
      </c>
      <c r="I213" s="339">
        <f ca="1">I220</f>
        <v>3</v>
      </c>
      <c r="J213" s="339">
        <f>J220</f>
        <v>0</v>
      </c>
      <c r="K213" s="340">
        <f ca="1">IF(I213&gt;0,J213*100/I213,0)</f>
        <v>0</v>
      </c>
      <c r="L213" s="250"/>
      <c r="M213" s="249"/>
      <c r="N213" s="249"/>
      <c r="O213" s="249"/>
      <c r="P213" s="249"/>
      <c r="Q213" s="250"/>
      <c r="R213" s="249"/>
      <c r="S213" s="249"/>
      <c r="T213" s="249"/>
      <c r="U213" s="249"/>
    </row>
    <row r="214" spans="1:21" ht="19.5">
      <c r="A214" s="155"/>
      <c r="B214" s="50"/>
      <c r="C214" s="156" t="s">
        <v>18</v>
      </c>
      <c r="D214" s="713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541">
        <f ca="1">L215+L216+L217</f>
        <v>18000</v>
      </c>
      <c r="M214" s="55"/>
      <c r="N214" s="540">
        <f>N215+N216+N217</f>
        <v>0</v>
      </c>
      <c r="O214" s="540">
        <f ca="1">IF(L214&gt;0,N214*100/L214,0)</f>
        <v>0</v>
      </c>
      <c r="P214" s="540">
        <f>IF(M214&gt;0,N214*100/M214,0)</f>
        <v>0</v>
      </c>
      <c r="Q214" s="541">
        <f ca="1">Q215+Q216+Q217</f>
        <v>149100</v>
      </c>
      <c r="R214" s="55"/>
      <c r="S214" s="540">
        <f>S215+S216+S217</f>
        <v>0</v>
      </c>
      <c r="T214" s="540">
        <f ca="1">IF(Q214&gt;0,S214*100/Q214,0)</f>
        <v>0</v>
      </c>
      <c r="U214" s="540">
        <f>IF(R214&gt;0,S214*100/R214,0)</f>
        <v>0</v>
      </c>
    </row>
    <row r="215" spans="1:21" ht="18.75">
      <c r="A215" s="155"/>
      <c r="B215" s="188"/>
      <c r="C215" s="50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256">
        <f ca="1">IFERROR(__xludf.DUMMYFUNCTION("IMPORTRANGE(""https://docs.google.com/spreadsheets/d/1eHaY18a8A9IcSdp1K8H6x8fbOy06t2VsZHhMHf-1x7Y/edit?usp=sharing"",""แผน!AM50"")"),3000)</f>
        <v>3000</v>
      </c>
      <c r="M215" s="55"/>
      <c r="N215" s="702">
        <v>0</v>
      </c>
      <c r="O215" s="164"/>
      <c r="P215" s="55"/>
      <c r="Q215" s="256">
        <v>0</v>
      </c>
      <c r="R215" s="55"/>
      <c r="S215" s="255">
        <v>0</v>
      </c>
      <c r="T215" s="164"/>
      <c r="U215" s="55"/>
    </row>
    <row r="216" spans="1:21" ht="18.75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256">
        <f ca="1">IFERROR(__xludf.DUMMYFUNCTION("IMPORTRANGE(""https://docs.google.com/spreadsheets/d/1eHaY18a8A9IcSdp1K8H6x8fbOy06t2VsZHhMHf-1x7Y/edit?usp=sharing"",""แผน!AN50"")"),15000)</f>
        <v>15000</v>
      </c>
      <c r="M216" s="55"/>
      <c r="N216" s="702">
        <v>0</v>
      </c>
      <c r="O216" s="164"/>
      <c r="P216" s="55"/>
      <c r="Q216" s="256">
        <v>0</v>
      </c>
      <c r="R216" s="55"/>
      <c r="S216" s="255">
        <v>0</v>
      </c>
      <c r="T216" s="164"/>
      <c r="U216" s="55"/>
    </row>
    <row r="217" spans="1:21" ht="18.75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256">
        <f ca="1">IFERROR(__xludf.DUMMYFUNCTION("IMPORTRANGE(""https://docs.google.com/spreadsheets/d/1eHaY18a8A9IcSdp1K8H6x8fbOy06t2VsZHhMHf-1x7Y/edit?usp=sharing"",""แผน!AO50"")"),0)</f>
        <v>0</v>
      </c>
      <c r="M217" s="55"/>
      <c r="N217" s="702">
        <v>0</v>
      </c>
      <c r="O217" s="164"/>
      <c r="P217" s="55"/>
      <c r="Q217" s="256">
        <f ca="1">IFERROR(__xludf.DUMMYFUNCTION("IMPORTRANGE(""https://docs.google.com/spreadsheets/d/1eHaY18a8A9IcSdp1K8H6x8fbOy06t2VsZHhMHf-1x7Y/edit?usp=sharing"",""แผน!LY50"")"),149100)</f>
        <v>149100</v>
      </c>
      <c r="R217" s="55"/>
      <c r="S217" s="702">
        <v>0</v>
      </c>
      <c r="T217" s="164"/>
      <c r="U217" s="55"/>
    </row>
    <row r="218" spans="1:21" ht="19.5">
      <c r="A218" s="166"/>
      <c r="B218" s="167"/>
      <c r="C218" s="191" t="s">
        <v>18</v>
      </c>
      <c r="D218" s="566" t="s">
        <v>38</v>
      </c>
      <c r="E218" s="169"/>
      <c r="F218" s="169"/>
      <c r="G218" s="170"/>
      <c r="H218" s="171"/>
      <c r="I218" s="163"/>
      <c r="J218" s="54"/>
      <c r="K218" s="55"/>
      <c r="L218" s="62"/>
      <c r="M218" s="55"/>
      <c r="N218" s="55"/>
      <c r="O218" s="164"/>
      <c r="P218" s="164"/>
      <c r="Q218" s="62"/>
      <c r="R218" s="55"/>
      <c r="S218" s="55"/>
      <c r="T218" s="164"/>
      <c r="U218" s="164"/>
    </row>
    <row r="219" spans="1:21" ht="18.75">
      <c r="A219" s="166"/>
      <c r="B219" s="167"/>
      <c r="C219" s="167"/>
      <c r="D219" s="173" t="s">
        <v>96</v>
      </c>
      <c r="E219" s="174"/>
      <c r="F219" s="174"/>
      <c r="G219" s="171"/>
      <c r="H219" s="257" t="s">
        <v>85</v>
      </c>
      <c r="I219" s="212">
        <f ca="1">IFERROR(__xludf.DUMMYFUNCTION("IMPORTRANGE(""https://docs.google.com/spreadsheets/d/1eHaY18a8A9IcSdp1K8H6x8fbOy06t2VsZHhMHf-1x7Y/edit?usp=sharing"",""แผน!AP50"")"),3)</f>
        <v>3</v>
      </c>
      <c r="J219" s="467">
        <v>0</v>
      </c>
      <c r="K219" s="255">
        <f ca="1">IF(I219&gt;0,J219*100/I219,0)</f>
        <v>0</v>
      </c>
      <c r="L219" s="62"/>
      <c r="M219" s="55"/>
      <c r="N219" s="55"/>
      <c r="O219" s="55"/>
      <c r="P219" s="55"/>
      <c r="Q219" s="62"/>
      <c r="R219" s="55"/>
      <c r="S219" s="55"/>
      <c r="T219" s="55"/>
      <c r="U219" s="55"/>
    </row>
    <row r="220" spans="1:21" ht="18.75">
      <c r="A220" s="166"/>
      <c r="B220" s="167"/>
      <c r="C220" s="167"/>
      <c r="D220" s="173" t="s">
        <v>97</v>
      </c>
      <c r="E220" s="174"/>
      <c r="F220" s="174"/>
      <c r="G220" s="171"/>
      <c r="H220" s="257" t="s">
        <v>85</v>
      </c>
      <c r="I220" s="212">
        <f ca="1">IFERROR(__xludf.DUMMYFUNCTION("IMPORTRANGE(""https://docs.google.com/spreadsheets/d/1eHaY18a8A9IcSdp1K8H6x8fbOy06t2VsZHhMHf-1x7Y/edit?usp=sharing"",""แผน!AP50"")"),3)</f>
        <v>3</v>
      </c>
      <c r="J220" s="467">
        <v>0</v>
      </c>
      <c r="K220" s="255">
        <f ca="1">IF(I220&gt;0,J220*100/I220,0)</f>
        <v>0</v>
      </c>
      <c r="L220" s="62"/>
      <c r="M220" s="55"/>
      <c r="N220" s="55"/>
      <c r="O220" s="55"/>
      <c r="P220" s="55"/>
      <c r="Q220" s="62"/>
      <c r="R220" s="55"/>
      <c r="S220" s="55"/>
      <c r="T220" s="55"/>
      <c r="U220" s="55"/>
    </row>
    <row r="221" spans="1:21" ht="19.5">
      <c r="A221" s="241"/>
      <c r="B221" s="242"/>
      <c r="C221" s="243" t="s">
        <v>98</v>
      </c>
      <c r="D221" s="244"/>
      <c r="E221" s="244"/>
      <c r="F221" s="244"/>
      <c r="G221" s="245"/>
      <c r="H221" s="246" t="s">
        <v>99</v>
      </c>
      <c r="I221" s="339">
        <f ca="1">I229</f>
        <v>10000</v>
      </c>
      <c r="J221" s="339">
        <f>J229</f>
        <v>0</v>
      </c>
      <c r="K221" s="340">
        <f ca="1">IF(I221&gt;0,J221*100/I221,0)</f>
        <v>0</v>
      </c>
      <c r="L221" s="250"/>
      <c r="M221" s="249"/>
      <c r="N221" s="249"/>
      <c r="O221" s="249"/>
      <c r="P221" s="249"/>
      <c r="Q221" s="249"/>
      <c r="R221" s="249"/>
      <c r="S221" s="249"/>
      <c r="T221" s="249"/>
      <c r="U221" s="249"/>
    </row>
    <row r="222" spans="1:21" ht="19.5">
      <c r="A222" s="155"/>
      <c r="B222" s="50"/>
      <c r="C222" s="156" t="s">
        <v>18</v>
      </c>
      <c r="D222" s="713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541">
        <f ca="1">L223+L224+L225</f>
        <v>4500</v>
      </c>
      <c r="M222" s="55"/>
      <c r="N222" s="540">
        <f>N223+N224+N225</f>
        <v>0</v>
      </c>
      <c r="O222" s="540">
        <f ca="1">IF(L222&gt;0,N222*100/L222,0)</f>
        <v>0</v>
      </c>
      <c r="P222" s="540">
        <f>IF(M222&gt;0,N222*100/M222,0)</f>
        <v>0</v>
      </c>
      <c r="Q222" s="55"/>
      <c r="R222" s="55"/>
      <c r="S222" s="55"/>
      <c r="T222" s="55"/>
      <c r="U222" s="55"/>
    </row>
    <row r="223" spans="1:21" ht="18.75">
      <c r="A223" s="155"/>
      <c r="B223" s="188"/>
      <c r="C223" s="50"/>
      <c r="D223" s="712" t="s">
        <v>309</v>
      </c>
      <c r="E223" s="50"/>
      <c r="F223" s="50"/>
      <c r="G223" s="52"/>
      <c r="H223" s="162" t="s">
        <v>14</v>
      </c>
      <c r="I223" s="163"/>
      <c r="J223" s="163"/>
      <c r="K223" s="164"/>
      <c r="L223" s="256">
        <f ca="1">IFERROR(__xludf.DUMMYFUNCTION("IMPORTRANGE(""https://docs.google.com/spreadsheets/d/1eHaY18a8A9IcSdp1K8H6x8fbOy06t2VsZHhMHf-1x7Y/edit?usp=sharing"",""แผน!AR50"")"),2500)</f>
        <v>2500</v>
      </c>
      <c r="M223" s="55"/>
      <c r="N223" s="702">
        <v>0</v>
      </c>
      <c r="O223" s="164"/>
      <c r="P223" s="55"/>
      <c r="Q223" s="55"/>
      <c r="R223" s="55"/>
      <c r="S223" s="55"/>
      <c r="T223" s="164"/>
      <c r="U223" s="55"/>
    </row>
    <row r="224" spans="1:21" ht="18.75">
      <c r="A224" s="238"/>
      <c r="B224" s="188"/>
      <c r="C224" s="188"/>
      <c r="D224" s="58" t="s">
        <v>308</v>
      </c>
      <c r="E224" s="50"/>
      <c r="F224" s="50"/>
      <c r="G224" s="52"/>
      <c r="H224" s="162" t="s">
        <v>14</v>
      </c>
      <c r="I224" s="54"/>
      <c r="J224" s="54"/>
      <c r="K224" s="55"/>
      <c r="L224" s="256">
        <f ca="1">IFERROR(__xludf.DUMMYFUNCTION("IMPORTRANGE(""https://docs.google.com/spreadsheets/d/1eHaY18a8A9IcSdp1K8H6x8fbOy06t2VsZHhMHf-1x7Y/edit?usp=sharing"",""แผน!AS50"")"),2000)</f>
        <v>2000</v>
      </c>
      <c r="M224" s="55"/>
      <c r="N224" s="702">
        <v>0</v>
      </c>
      <c r="O224" s="164"/>
      <c r="P224" s="55"/>
      <c r="Q224" s="55"/>
      <c r="R224" s="55"/>
      <c r="S224" s="55"/>
      <c r="T224" s="164"/>
      <c r="U224" s="55"/>
    </row>
    <row r="225" spans="1:21" ht="18.75">
      <c r="A225" s="238"/>
      <c r="B225" s="188"/>
      <c r="C225" s="188"/>
      <c r="D225" s="58" t="s">
        <v>88</v>
      </c>
      <c r="E225" s="50"/>
      <c r="F225" s="50"/>
      <c r="G225" s="52"/>
      <c r="H225" s="162" t="s">
        <v>14</v>
      </c>
      <c r="I225" s="54"/>
      <c r="J225" s="54"/>
      <c r="K225" s="55"/>
      <c r="L225" s="256">
        <f ca="1">IFERROR(__xludf.DUMMYFUNCTION("IMPORTRANGE(""https://docs.google.com/spreadsheets/d/1eHaY18a8A9IcSdp1K8H6x8fbOy06t2VsZHhMHf-1x7Y/edit?usp=sharing"",""แผน!AT50"")"),0)</f>
        <v>0</v>
      </c>
      <c r="M225" s="55"/>
      <c r="N225" s="702">
        <v>0</v>
      </c>
      <c r="O225" s="164"/>
      <c r="P225" s="55"/>
      <c r="Q225" s="55"/>
      <c r="R225" s="55"/>
      <c r="S225" s="55"/>
      <c r="T225" s="164"/>
      <c r="U225" s="55"/>
    </row>
    <row r="226" spans="1:21" ht="19.5">
      <c r="A226" s="166"/>
      <c r="B226" s="167"/>
      <c r="C226" s="191" t="s">
        <v>18</v>
      </c>
      <c r="D226" s="566" t="s">
        <v>38</v>
      </c>
      <c r="E226" s="169"/>
      <c r="F226" s="169"/>
      <c r="G226" s="170"/>
      <c r="H226" s="171"/>
      <c r="I226" s="163"/>
      <c r="J226" s="163"/>
      <c r="K226" s="164"/>
      <c r="L226" s="172"/>
      <c r="M226" s="164"/>
      <c r="N226" s="164"/>
      <c r="O226" s="164"/>
      <c r="P226" s="164"/>
      <c r="Q226" s="164"/>
      <c r="R226" s="164"/>
      <c r="S226" s="164"/>
      <c r="T226" s="164"/>
      <c r="U226" s="164"/>
    </row>
    <row r="227" spans="1:21" ht="18.75">
      <c r="A227" s="166"/>
      <c r="B227" s="167"/>
      <c r="C227" s="167"/>
      <c r="D227" s="58" t="s">
        <v>101</v>
      </c>
      <c r="E227" s="174"/>
      <c r="F227" s="174"/>
      <c r="G227" s="171"/>
      <c r="H227" s="171"/>
      <c r="I227" s="54"/>
      <c r="J227" s="54"/>
      <c r="K227" s="164"/>
      <c r="L227" s="172"/>
      <c r="M227" s="164"/>
      <c r="N227" s="164"/>
      <c r="O227" s="164"/>
      <c r="P227" s="164"/>
      <c r="Q227" s="164"/>
      <c r="R227" s="164"/>
      <c r="S227" s="164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79" t="s">
        <v>99</v>
      </c>
      <c r="I228" s="212">
        <f ca="1">IFERROR(__xludf.DUMMYFUNCTION("IMPORTRANGE(""https://docs.google.com/spreadsheets/d/1eHaY18a8A9IcSdp1K8H6x8fbOy06t2VsZHhMHf-1x7Y/edit?usp=sharing"",""แผน!AV50"")"),10000)</f>
        <v>10000</v>
      </c>
      <c r="J228" s="467">
        <v>0</v>
      </c>
      <c r="K228" s="565">
        <f ca="1">IF(I228&gt;0,J228*100/I228,0)</f>
        <v>0</v>
      </c>
      <c r="L228" s="172"/>
      <c r="M228" s="164"/>
      <c r="N228" s="164"/>
      <c r="O228" s="164"/>
      <c r="P228" s="164"/>
      <c r="Q228" s="164"/>
      <c r="R228" s="164"/>
      <c r="S228" s="164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79" t="s">
        <v>99</v>
      </c>
      <c r="I229" s="212">
        <f ca="1">IFERROR(__xludf.DUMMYFUNCTION("IMPORTRANGE(""https://docs.google.com/spreadsheets/d/1eHaY18a8A9IcSdp1K8H6x8fbOy06t2VsZHhMHf-1x7Y/edit?usp=sharing"",""แผน!AV50"")"),10000)</f>
        <v>10000</v>
      </c>
      <c r="J229" s="467">
        <v>0</v>
      </c>
      <c r="K229" s="565">
        <f ca="1">IF(I229&gt;0,J229*100/I229,0)</f>
        <v>0</v>
      </c>
      <c r="L229" s="62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79" t="s">
        <v>35</v>
      </c>
      <c r="I230" s="212">
        <f ca="1">IFERROR(__xludf.DUMMYFUNCTION("IMPORTRANGE(""https://docs.google.com/spreadsheets/d/1eHaY18a8A9IcSdp1K8H6x8fbOy06t2VsZHhMHf-1x7Y/edit?usp=sharing"",""แผน!AU50"")"),0)</f>
        <v>0</v>
      </c>
      <c r="J230" s="467">
        <v>0</v>
      </c>
      <c r="K230" s="565">
        <f ca="1">IF(I230&gt;0,J230*100/I230,0)</f>
        <v>0</v>
      </c>
      <c r="L230" s="62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9.5" hidden="1">
      <c r="A231" s="241"/>
      <c r="B231" s="242"/>
      <c r="C231" s="243" t="s">
        <v>105</v>
      </c>
      <c r="D231" s="244"/>
      <c r="E231" s="244"/>
      <c r="F231" s="244"/>
      <c r="G231" s="245"/>
      <c r="H231" s="246" t="s">
        <v>35</v>
      </c>
      <c r="I231" s="339">
        <f ca="1">I242+I253</f>
        <v>0</v>
      </c>
      <c r="J231" s="339">
        <f>J242+J253</f>
        <v>0</v>
      </c>
      <c r="K231" s="340">
        <f ca="1">IF(I231&gt;0,J231*100/I231,0)</f>
        <v>0</v>
      </c>
      <c r="L231" s="250"/>
      <c r="M231" s="249"/>
      <c r="N231" s="249"/>
      <c r="O231" s="249"/>
      <c r="P231" s="249"/>
      <c r="Q231" s="249"/>
      <c r="R231" s="249"/>
      <c r="S231" s="249"/>
      <c r="T231" s="249"/>
      <c r="U231" s="249"/>
    </row>
    <row r="232" spans="1:21" ht="19.5" hidden="1">
      <c r="A232" s="155"/>
      <c r="B232" s="50"/>
      <c r="C232" s="156" t="s">
        <v>18</v>
      </c>
      <c r="D232" s="575" t="s">
        <v>19</v>
      </c>
      <c r="E232" s="50"/>
      <c r="F232" s="50"/>
      <c r="G232" s="52"/>
      <c r="H232" s="252" t="s">
        <v>14</v>
      </c>
      <c r="I232" s="163"/>
      <c r="J232" s="163"/>
      <c r="K232" s="164"/>
      <c r="L232" s="711">
        <f ca="1">L243+L254</f>
        <v>0</v>
      </c>
      <c r="M232" s="55"/>
      <c r="N232" s="710">
        <f>N243+N254</f>
        <v>0</v>
      </c>
      <c r="O232" s="55"/>
      <c r="P232" s="55"/>
      <c r="Q232" s="55"/>
      <c r="R232" s="55"/>
      <c r="S232" s="55"/>
      <c r="T232" s="55"/>
      <c r="U232" s="55"/>
    </row>
    <row r="233" spans="1:21" ht="18.75" hidden="1">
      <c r="A233" s="155"/>
      <c r="B233" s="188"/>
      <c r="C233" s="50"/>
      <c r="D233" s="58" t="s">
        <v>86</v>
      </c>
      <c r="E233" s="50"/>
      <c r="F233" s="50"/>
      <c r="G233" s="52"/>
      <c r="H233" s="162" t="s">
        <v>14</v>
      </c>
      <c r="I233" s="163"/>
      <c r="J233" s="163"/>
      <c r="K233" s="164"/>
      <c r="L233" s="103">
        <f ca="1">L244+L255</f>
        <v>0</v>
      </c>
      <c r="M233" s="55"/>
      <c r="N233" s="102">
        <f>N244+N255</f>
        <v>0</v>
      </c>
      <c r="O233" s="55"/>
      <c r="P233" s="55"/>
      <c r="Q233" s="709">
        <v>0</v>
      </c>
      <c r="R233" s="708">
        <v>0</v>
      </c>
      <c r="S233" s="708">
        <v>0</v>
      </c>
      <c r="T233" s="55"/>
      <c r="U233" s="55"/>
    </row>
    <row r="234" spans="1:21" ht="18.75" hidden="1">
      <c r="A234" s="238"/>
      <c r="B234" s="188"/>
      <c r="C234" s="188"/>
      <c r="D234" s="58" t="s">
        <v>88</v>
      </c>
      <c r="E234" s="50"/>
      <c r="F234" s="50"/>
      <c r="G234" s="52"/>
      <c r="H234" s="162" t="s">
        <v>14</v>
      </c>
      <c r="I234" s="54"/>
      <c r="J234" s="54"/>
      <c r="K234" s="55"/>
      <c r="L234" s="103">
        <f ca="1">L245+L256</f>
        <v>0</v>
      </c>
      <c r="M234" s="55"/>
      <c r="N234" s="102">
        <f>N245+N256</f>
        <v>0</v>
      </c>
      <c r="O234" s="55"/>
      <c r="P234" s="55"/>
      <c r="Q234" s="256">
        <v>0</v>
      </c>
      <c r="R234" s="255">
        <v>0</v>
      </c>
      <c r="S234" s="255">
        <v>0</v>
      </c>
      <c r="T234" s="55"/>
      <c r="U234" s="55"/>
    </row>
    <row r="235" spans="1:21" ht="18.75" hidden="1">
      <c r="A235" s="238"/>
      <c r="B235" s="188"/>
      <c r="C235" s="188"/>
      <c r="D235" s="58" t="s">
        <v>106</v>
      </c>
      <c r="E235" s="50"/>
      <c r="F235" s="50"/>
      <c r="G235" s="52"/>
      <c r="H235" s="162" t="s">
        <v>14</v>
      </c>
      <c r="I235" s="54"/>
      <c r="J235" s="54"/>
      <c r="K235" s="55"/>
      <c r="L235" s="103">
        <f ca="1">L246+L257</f>
        <v>0</v>
      </c>
      <c r="M235" s="55"/>
      <c r="N235" s="102">
        <f>N246+N257</f>
        <v>0</v>
      </c>
      <c r="O235" s="55"/>
      <c r="P235" s="55"/>
      <c r="Q235" s="256">
        <v>0</v>
      </c>
      <c r="R235" s="255">
        <v>0</v>
      </c>
      <c r="S235" s="255">
        <v>0</v>
      </c>
      <c r="T235" s="55"/>
      <c r="U235" s="55"/>
    </row>
    <row r="236" spans="1:21" ht="18.75" hidden="1">
      <c r="A236" s="238"/>
      <c r="B236" s="188"/>
      <c r="C236" s="188"/>
      <c r="D236" s="58" t="s">
        <v>107</v>
      </c>
      <c r="E236" s="50"/>
      <c r="F236" s="50"/>
      <c r="G236" s="52"/>
      <c r="H236" s="162" t="s">
        <v>14</v>
      </c>
      <c r="I236" s="54"/>
      <c r="J236" s="54"/>
      <c r="K236" s="55"/>
      <c r="L236" s="103">
        <f ca="1">L247+L258</f>
        <v>0</v>
      </c>
      <c r="M236" s="55"/>
      <c r="N236" s="102">
        <f>N247+N258</f>
        <v>0</v>
      </c>
      <c r="O236" s="55"/>
      <c r="P236" s="55"/>
      <c r="Q236" s="256">
        <v>0</v>
      </c>
      <c r="R236" s="255">
        <v>0</v>
      </c>
      <c r="S236" s="255">
        <v>0</v>
      </c>
      <c r="T236" s="55"/>
      <c r="U236" s="55"/>
    </row>
    <row r="237" spans="1:21" ht="19.5" hidden="1">
      <c r="A237" s="166"/>
      <c r="B237" s="167"/>
      <c r="C237" s="191" t="s">
        <v>18</v>
      </c>
      <c r="D237" s="566" t="s">
        <v>38</v>
      </c>
      <c r="E237" s="169"/>
      <c r="F237" s="169"/>
      <c r="G237" s="170"/>
      <c r="H237" s="171"/>
      <c r="I237" s="163"/>
      <c r="J237" s="54"/>
      <c r="K237" s="55"/>
      <c r="L237" s="62"/>
      <c r="M237" s="55"/>
      <c r="N237" s="55"/>
      <c r="O237" s="164"/>
      <c r="P237" s="164"/>
      <c r="Q237" s="55"/>
      <c r="R237" s="55"/>
      <c r="S237" s="55"/>
      <c r="T237" s="164"/>
      <c r="U237" s="164"/>
    </row>
    <row r="238" spans="1:21" ht="18.75" hidden="1">
      <c r="A238" s="166"/>
      <c r="B238" s="167"/>
      <c r="C238" s="167"/>
      <c r="D238" s="178" t="s">
        <v>108</v>
      </c>
      <c r="E238" s="174"/>
      <c r="F238" s="174"/>
      <c r="G238" s="171"/>
      <c r="H238" s="179" t="s">
        <v>35</v>
      </c>
      <c r="I238" s="212">
        <f ca="1">I249+I260</f>
        <v>0</v>
      </c>
      <c r="J238" s="212">
        <f>J249+J260</f>
        <v>0</v>
      </c>
      <c r="K238" s="255">
        <f ca="1">IF(I238&gt;0,J238*100/I238,0)</f>
        <v>0</v>
      </c>
      <c r="L238" s="62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ht="18.75" hidden="1">
      <c r="A239" s="166"/>
      <c r="B239" s="167"/>
      <c r="C239" s="167"/>
      <c r="D239" s="266" t="s">
        <v>43</v>
      </c>
      <c r="E239" s="174"/>
      <c r="F239" s="174"/>
      <c r="G239" s="171"/>
      <c r="H239" s="171"/>
      <c r="I239" s="54"/>
      <c r="J239" s="54"/>
      <c r="K239" s="55"/>
      <c r="L239" s="62"/>
      <c r="M239" s="55"/>
      <c r="N239" s="55"/>
      <c r="O239" s="164"/>
      <c r="P239" s="164"/>
      <c r="Q239" s="55"/>
      <c r="R239" s="55"/>
      <c r="S239" s="55"/>
      <c r="T239" s="164"/>
      <c r="U239" s="164"/>
    </row>
    <row r="240" spans="1:21" ht="18.75" hidden="1">
      <c r="A240" s="166"/>
      <c r="B240" s="167"/>
      <c r="C240" s="167"/>
      <c r="D240" s="167"/>
      <c r="E240" s="173" t="s">
        <v>109</v>
      </c>
      <c r="F240" s="174"/>
      <c r="G240" s="171"/>
      <c r="H240" s="179" t="s">
        <v>35</v>
      </c>
      <c r="I240" s="212">
        <f>I251+I262</f>
        <v>0</v>
      </c>
      <c r="J240" s="212">
        <f>J251+J262</f>
        <v>0</v>
      </c>
      <c r="K240" s="255">
        <f>IF(I240&gt;0,J240*100/I240,0)</f>
        <v>0</v>
      </c>
      <c r="L240" s="62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ht="18.75" hidden="1">
      <c r="A241" s="166"/>
      <c r="B241" s="167"/>
      <c r="C241" s="167"/>
      <c r="D241" s="167"/>
      <c r="E241" s="173" t="s">
        <v>110</v>
      </c>
      <c r="F241" s="174"/>
      <c r="G241" s="171"/>
      <c r="H241" s="179" t="s">
        <v>61</v>
      </c>
      <c r="I241" s="212">
        <f>I252+I263</f>
        <v>0</v>
      </c>
      <c r="J241" s="212">
        <f>J252+J263</f>
        <v>0</v>
      </c>
      <c r="K241" s="255">
        <f>IF(I241&gt;0,J241*100/I241,0)</f>
        <v>0</v>
      </c>
      <c r="L241" s="62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ht="19.5" hidden="1">
      <c r="A242" s="241"/>
      <c r="B242" s="242"/>
      <c r="C242" s="707" t="s">
        <v>111</v>
      </c>
      <c r="D242" s="244"/>
      <c r="E242" s="244"/>
      <c r="F242" s="244"/>
      <c r="G242" s="245"/>
      <c r="H242" s="706" t="s">
        <v>35</v>
      </c>
      <c r="I242" s="705">
        <f ca="1">I249</f>
        <v>0</v>
      </c>
      <c r="J242" s="705">
        <f>J249</f>
        <v>0</v>
      </c>
      <c r="K242" s="704">
        <f ca="1">IF(I242&gt;0,J242*100/I242,0)</f>
        <v>0</v>
      </c>
      <c r="L242" s="250"/>
      <c r="M242" s="249"/>
      <c r="N242" s="249"/>
      <c r="O242" s="249"/>
      <c r="P242" s="249"/>
      <c r="Q242" s="249"/>
      <c r="R242" s="249"/>
      <c r="S242" s="249"/>
      <c r="T242" s="249"/>
      <c r="U242" s="249"/>
    </row>
    <row r="243" spans="1:21" ht="19.5" hidden="1">
      <c r="A243" s="155"/>
      <c r="B243" s="50"/>
      <c r="C243" s="591" t="s">
        <v>18</v>
      </c>
      <c r="D243" s="562" t="s">
        <v>19</v>
      </c>
      <c r="E243" s="50"/>
      <c r="F243" s="50"/>
      <c r="G243" s="52"/>
      <c r="H243" s="418" t="s">
        <v>14</v>
      </c>
      <c r="I243" s="163"/>
      <c r="J243" s="163"/>
      <c r="K243" s="164"/>
      <c r="L243" s="541">
        <f ca="1">L244+L245+L246+L247</f>
        <v>0</v>
      </c>
      <c r="M243" s="55"/>
      <c r="N243" s="540">
        <f>N244+N245+N246+N247</f>
        <v>0</v>
      </c>
      <c r="O243" s="540">
        <f ca="1">IF(L243&gt;0,N243*100/L243,0)</f>
        <v>0</v>
      </c>
      <c r="P243" s="540">
        <f>IF(M243&gt;0,N243*100/M243,0)</f>
        <v>0</v>
      </c>
      <c r="Q243" s="55"/>
      <c r="R243" s="55"/>
      <c r="S243" s="55"/>
      <c r="T243" s="55"/>
      <c r="U243" s="55"/>
    </row>
    <row r="244" spans="1:21" ht="18.75" hidden="1">
      <c r="A244" s="155"/>
      <c r="B244" s="188"/>
      <c r="C244" s="50"/>
      <c r="D244" s="186" t="s">
        <v>86</v>
      </c>
      <c r="E244" s="50"/>
      <c r="F244" s="50"/>
      <c r="G244" s="52"/>
      <c r="H244" s="189" t="s">
        <v>14</v>
      </c>
      <c r="I244" s="163"/>
      <c r="J244" s="163"/>
      <c r="K244" s="164"/>
      <c r="L244" s="256">
        <f ca="1">IFERROR(__xludf.DUMMYFUNCTION("IMPORTRANGE(""https://docs.google.com/spreadsheets/d/1eHaY18a8A9IcSdp1K8H6x8fbOy06t2VsZHhMHf-1x7Y/edit?usp=sharing"",""แผน!AX50"")"),0)</f>
        <v>0</v>
      </c>
      <c r="M244" s="55"/>
      <c r="N244" s="702">
        <v>0</v>
      </c>
      <c r="O244" s="55"/>
      <c r="P244" s="55"/>
      <c r="Q244" s="55"/>
      <c r="R244" s="55"/>
      <c r="S244" s="55"/>
      <c r="T244" s="55"/>
      <c r="U244" s="55"/>
    </row>
    <row r="245" spans="1:21" ht="18.75" hidden="1">
      <c r="A245" s="238"/>
      <c r="B245" s="188"/>
      <c r="C245" s="188"/>
      <c r="D245" s="186" t="s">
        <v>88</v>
      </c>
      <c r="E245" s="50"/>
      <c r="F245" s="50"/>
      <c r="G245" s="52"/>
      <c r="H245" s="189" t="s">
        <v>14</v>
      </c>
      <c r="I245" s="54"/>
      <c r="J245" s="54"/>
      <c r="K245" s="55"/>
      <c r="L245" s="256">
        <f ca="1">IFERROR(__xludf.DUMMYFUNCTION("IMPORTRANGE(""https://docs.google.com/spreadsheets/d/1eHaY18a8A9IcSdp1K8H6x8fbOy06t2VsZHhMHf-1x7Y/edit?usp=sharing"",""แผน!AY50"")"),0)</f>
        <v>0</v>
      </c>
      <c r="M245" s="55"/>
      <c r="N245" s="702">
        <v>0</v>
      </c>
      <c r="O245" s="55"/>
      <c r="P245" s="55"/>
      <c r="Q245" s="55"/>
      <c r="R245" s="55"/>
      <c r="S245" s="55"/>
      <c r="T245" s="55"/>
      <c r="U245" s="55"/>
    </row>
    <row r="246" spans="1:21" ht="18.75" hidden="1">
      <c r="A246" s="238"/>
      <c r="B246" s="188"/>
      <c r="C246" s="188"/>
      <c r="D246" s="186" t="s">
        <v>106</v>
      </c>
      <c r="E246" s="50"/>
      <c r="F246" s="50"/>
      <c r="G246" s="52"/>
      <c r="H246" s="189" t="s">
        <v>14</v>
      </c>
      <c r="I246" s="54"/>
      <c r="J246" s="54"/>
      <c r="K246" s="55"/>
      <c r="L246" s="256">
        <f ca="1">IFERROR(__xludf.DUMMYFUNCTION("IMPORTRANGE(""https://docs.google.com/spreadsheets/d/1eHaY18a8A9IcSdp1K8H6x8fbOy06t2VsZHhMHf-1x7Y/edit?usp=sharing"",""แผน!AZ50"")"),0)</f>
        <v>0</v>
      </c>
      <c r="M246" s="55"/>
      <c r="N246" s="702">
        <v>0</v>
      </c>
      <c r="O246" s="55"/>
      <c r="P246" s="55"/>
      <c r="Q246" s="55"/>
      <c r="R246" s="55"/>
      <c r="S246" s="55"/>
      <c r="T246" s="55"/>
      <c r="U246" s="55"/>
    </row>
    <row r="247" spans="1:21" ht="18.75" hidden="1">
      <c r="A247" s="238"/>
      <c r="B247" s="188"/>
      <c r="C247" s="188"/>
      <c r="D247" s="186" t="s">
        <v>107</v>
      </c>
      <c r="E247" s="50"/>
      <c r="F247" s="50"/>
      <c r="G247" s="52"/>
      <c r="H247" s="189" t="s">
        <v>14</v>
      </c>
      <c r="I247" s="54"/>
      <c r="J247" s="54"/>
      <c r="K247" s="55"/>
      <c r="L247" s="256">
        <f ca="1">IFERROR(__xludf.DUMMYFUNCTION("IMPORTRANGE(""https://docs.google.com/spreadsheets/d/1eHaY18a8A9IcSdp1K8H6x8fbOy06t2VsZHhMHf-1x7Y/edit?usp=sharing"",""แผน!BA50"")"),0)</f>
        <v>0</v>
      </c>
      <c r="M247" s="55"/>
      <c r="N247" s="702">
        <v>0</v>
      </c>
      <c r="O247" s="55"/>
      <c r="P247" s="55"/>
      <c r="Q247" s="55"/>
      <c r="R247" s="55"/>
      <c r="S247" s="55"/>
      <c r="T247" s="55"/>
      <c r="U247" s="55"/>
    </row>
    <row r="248" spans="1:21" ht="19.5" hidden="1">
      <c r="A248" s="166"/>
      <c r="B248" s="167"/>
      <c r="C248" s="701" t="s">
        <v>18</v>
      </c>
      <c r="D248" s="574" t="s">
        <v>38</v>
      </c>
      <c r="E248" s="169"/>
      <c r="F248" s="169"/>
      <c r="G248" s="170"/>
      <c r="H248" s="171"/>
      <c r="I248" s="163"/>
      <c r="J248" s="54"/>
      <c r="K248" s="55"/>
      <c r="L248" s="62"/>
      <c r="M248" s="55"/>
      <c r="N248" s="55"/>
      <c r="O248" s="164"/>
      <c r="P248" s="164"/>
      <c r="Q248" s="55"/>
      <c r="R248" s="55"/>
      <c r="S248" s="55"/>
      <c r="T248" s="164"/>
      <c r="U248" s="164"/>
    </row>
    <row r="249" spans="1:21" ht="18.75" hidden="1">
      <c r="A249" s="166"/>
      <c r="B249" s="167"/>
      <c r="C249" s="167"/>
      <c r="D249" s="207" t="s">
        <v>108</v>
      </c>
      <c r="E249" s="174"/>
      <c r="F249" s="174"/>
      <c r="G249" s="171"/>
      <c r="H249" s="698" t="s">
        <v>35</v>
      </c>
      <c r="I249" s="483">
        <f ca="1">IFERROR(__xludf.DUMMYFUNCTION("IMPORTRANGE(""https://docs.google.com/spreadsheets/d/1eHaY18a8A9IcSdp1K8H6x8fbOy06t2VsZHhMHf-1x7Y/edit?usp=sharing"",""แผน!BG50"")"),0)</f>
        <v>0</v>
      </c>
      <c r="J249" s="589">
        <v>0</v>
      </c>
      <c r="K249" s="102">
        <f ca="1">IF(I249&gt;0,J249*100/I249,0)</f>
        <v>0</v>
      </c>
      <c r="L249" s="62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8.75" hidden="1">
      <c r="A250" s="166"/>
      <c r="B250" s="167"/>
      <c r="C250" s="167"/>
      <c r="D250" s="700" t="s">
        <v>43</v>
      </c>
      <c r="E250" s="174"/>
      <c r="F250" s="174"/>
      <c r="G250" s="171"/>
      <c r="H250" s="171"/>
      <c r="I250" s="54"/>
      <c r="J250" s="54"/>
      <c r="K250" s="55"/>
      <c r="L250" s="62"/>
      <c r="M250" s="55"/>
      <c r="N250" s="55"/>
      <c r="O250" s="164"/>
      <c r="P250" s="164"/>
      <c r="Q250" s="55"/>
      <c r="R250" s="55"/>
      <c r="S250" s="55"/>
      <c r="T250" s="164"/>
      <c r="U250" s="164"/>
    </row>
    <row r="251" spans="1:21" ht="18.75" hidden="1">
      <c r="A251" s="166"/>
      <c r="B251" s="167"/>
      <c r="C251" s="167"/>
      <c r="D251" s="167"/>
      <c r="E251" s="699" t="s">
        <v>109</v>
      </c>
      <c r="F251" s="174"/>
      <c r="G251" s="171"/>
      <c r="H251" s="698" t="s">
        <v>35</v>
      </c>
      <c r="I251" s="483">
        <v>0</v>
      </c>
      <c r="J251" s="589">
        <v>0</v>
      </c>
      <c r="K251" s="102">
        <f>IF(I251&gt;0,J251*100/I251,0)</f>
        <v>0</v>
      </c>
      <c r="L251" s="62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8.75" hidden="1">
      <c r="A252" s="166"/>
      <c r="B252" s="167"/>
      <c r="C252" s="167"/>
      <c r="D252" s="167"/>
      <c r="E252" s="699" t="s">
        <v>110</v>
      </c>
      <c r="F252" s="174"/>
      <c r="G252" s="171"/>
      <c r="H252" s="698" t="s">
        <v>61</v>
      </c>
      <c r="I252" s="483">
        <v>0</v>
      </c>
      <c r="J252" s="589">
        <v>0</v>
      </c>
      <c r="K252" s="102">
        <f>IF(I252&gt;0,J252*100/I252,0)</f>
        <v>0</v>
      </c>
      <c r="L252" s="62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9.5" hidden="1">
      <c r="A253" s="241"/>
      <c r="B253" s="242"/>
      <c r="C253" s="707" t="s">
        <v>112</v>
      </c>
      <c r="D253" s="244"/>
      <c r="E253" s="244"/>
      <c r="F253" s="244"/>
      <c r="G253" s="245"/>
      <c r="H253" s="706" t="s">
        <v>35</v>
      </c>
      <c r="I253" s="705">
        <f ca="1">I260</f>
        <v>0</v>
      </c>
      <c r="J253" s="705">
        <f>J260</f>
        <v>0</v>
      </c>
      <c r="K253" s="704">
        <f ca="1">IF(I253&gt;0,J253*100/I253,0)</f>
        <v>0</v>
      </c>
      <c r="L253" s="250"/>
      <c r="M253" s="249"/>
      <c r="N253" s="249"/>
      <c r="O253" s="249"/>
      <c r="P253" s="249"/>
      <c r="Q253" s="249"/>
      <c r="R253" s="249"/>
      <c r="S253" s="249"/>
      <c r="T253" s="249"/>
      <c r="U253" s="249"/>
    </row>
    <row r="254" spans="1:21" ht="19.5" hidden="1">
      <c r="A254" s="155"/>
      <c r="B254" s="50"/>
      <c r="C254" s="591" t="s">
        <v>18</v>
      </c>
      <c r="D254" s="703" t="s">
        <v>19</v>
      </c>
      <c r="E254" s="50"/>
      <c r="F254" s="50"/>
      <c r="G254" s="52"/>
      <c r="H254" s="418" t="s">
        <v>14</v>
      </c>
      <c r="I254" s="163"/>
      <c r="J254" s="163"/>
      <c r="K254" s="164"/>
      <c r="L254" s="541">
        <f ca="1">L255+L256+L257+L258</f>
        <v>0</v>
      </c>
      <c r="M254" s="55"/>
      <c r="N254" s="540">
        <f>N255+N256+N257+N258</f>
        <v>0</v>
      </c>
      <c r="O254" s="540">
        <f ca="1">IF(L254&gt;0,N254*100/L254,0)</f>
        <v>0</v>
      </c>
      <c r="P254" s="540">
        <f>IF(M254&gt;0,N254*100/M254,0)</f>
        <v>0</v>
      </c>
      <c r="Q254" s="55"/>
      <c r="R254" s="55"/>
      <c r="S254" s="55"/>
      <c r="T254" s="55"/>
      <c r="U254" s="55"/>
    </row>
    <row r="255" spans="1:21" ht="18.75" hidden="1">
      <c r="A255" s="155"/>
      <c r="B255" s="188"/>
      <c r="C255" s="50"/>
      <c r="D255" s="186" t="s">
        <v>86</v>
      </c>
      <c r="E255" s="50"/>
      <c r="F255" s="50"/>
      <c r="G255" s="52"/>
      <c r="H255" s="189" t="s">
        <v>14</v>
      </c>
      <c r="I255" s="163"/>
      <c r="J255" s="163"/>
      <c r="K255" s="164"/>
      <c r="L255" s="256">
        <f ca="1">IFERROR(__xludf.DUMMYFUNCTION("IMPORTRANGE(""https://docs.google.com/spreadsheets/d/1eHaY18a8A9IcSdp1K8H6x8fbOy06t2VsZHhMHf-1x7Y/edit?usp=sharing"",""แผน!BB50"")"),0)</f>
        <v>0</v>
      </c>
      <c r="M255" s="55"/>
      <c r="N255" s="702">
        <v>0</v>
      </c>
      <c r="O255" s="55"/>
      <c r="P255" s="55"/>
      <c r="Q255" s="55"/>
      <c r="R255" s="55"/>
      <c r="S255" s="55"/>
      <c r="T255" s="55"/>
      <c r="U255" s="55"/>
    </row>
    <row r="256" spans="1:21" ht="18.75" hidden="1">
      <c r="A256" s="238"/>
      <c r="B256" s="188"/>
      <c r="C256" s="188"/>
      <c r="D256" s="186" t="s">
        <v>88</v>
      </c>
      <c r="E256" s="50"/>
      <c r="F256" s="50"/>
      <c r="G256" s="52"/>
      <c r="H256" s="189" t="s">
        <v>14</v>
      </c>
      <c r="I256" s="54"/>
      <c r="J256" s="54"/>
      <c r="K256" s="55"/>
      <c r="L256" s="256">
        <f ca="1">IFERROR(__xludf.DUMMYFUNCTION("IMPORTRANGE(""https://docs.google.com/spreadsheets/d/1eHaY18a8A9IcSdp1K8H6x8fbOy06t2VsZHhMHf-1x7Y/edit?usp=sharing"",""แผน!BC50"")"),0)</f>
        <v>0</v>
      </c>
      <c r="M256" s="55"/>
      <c r="N256" s="702">
        <v>0</v>
      </c>
      <c r="O256" s="55"/>
      <c r="P256" s="55"/>
      <c r="Q256" s="55"/>
      <c r="R256" s="55"/>
      <c r="S256" s="55"/>
      <c r="T256" s="55"/>
      <c r="U256" s="55"/>
    </row>
    <row r="257" spans="1:21" ht="18.75" hidden="1">
      <c r="A257" s="238"/>
      <c r="B257" s="188"/>
      <c r="C257" s="188"/>
      <c r="D257" s="186" t="s">
        <v>106</v>
      </c>
      <c r="E257" s="50"/>
      <c r="F257" s="50"/>
      <c r="G257" s="52"/>
      <c r="H257" s="189" t="s">
        <v>14</v>
      </c>
      <c r="I257" s="54"/>
      <c r="J257" s="54"/>
      <c r="K257" s="55"/>
      <c r="L257" s="256">
        <f ca="1">IFERROR(__xludf.DUMMYFUNCTION("IMPORTRANGE(""https://docs.google.com/spreadsheets/d/1eHaY18a8A9IcSdp1K8H6x8fbOy06t2VsZHhMHf-1x7Y/edit?usp=sharing"",""แผน!BD50"")"),0)</f>
        <v>0</v>
      </c>
      <c r="M257" s="55"/>
      <c r="N257" s="702">
        <v>0</v>
      </c>
      <c r="O257" s="55"/>
      <c r="P257" s="55"/>
      <c r="Q257" s="55"/>
      <c r="R257" s="55"/>
      <c r="S257" s="55"/>
      <c r="T257" s="55"/>
      <c r="U257" s="55"/>
    </row>
    <row r="258" spans="1:21" ht="18.75" hidden="1">
      <c r="A258" s="238"/>
      <c r="B258" s="188"/>
      <c r="C258" s="188"/>
      <c r="D258" s="186" t="s">
        <v>107</v>
      </c>
      <c r="E258" s="50"/>
      <c r="F258" s="50"/>
      <c r="G258" s="52"/>
      <c r="H258" s="189" t="s">
        <v>14</v>
      </c>
      <c r="I258" s="54"/>
      <c r="J258" s="54"/>
      <c r="K258" s="55"/>
      <c r="L258" s="256">
        <f ca="1">IFERROR(__xludf.DUMMYFUNCTION("IMPORTRANGE(""https://docs.google.com/spreadsheets/d/1eHaY18a8A9IcSdp1K8H6x8fbOy06t2VsZHhMHf-1x7Y/edit?usp=sharing"",""แผน!BE50"")"),0)</f>
        <v>0</v>
      </c>
      <c r="M258" s="55"/>
      <c r="N258" s="702">
        <v>0</v>
      </c>
      <c r="O258" s="55"/>
      <c r="P258" s="55"/>
      <c r="Q258" s="55"/>
      <c r="R258" s="55"/>
      <c r="S258" s="55"/>
      <c r="T258" s="55"/>
      <c r="U258" s="55"/>
    </row>
    <row r="259" spans="1:21" ht="19.5" hidden="1">
      <c r="A259" s="166"/>
      <c r="B259" s="167"/>
      <c r="C259" s="701" t="s">
        <v>18</v>
      </c>
      <c r="D259" s="574" t="s">
        <v>38</v>
      </c>
      <c r="E259" s="169"/>
      <c r="F259" s="169"/>
      <c r="G259" s="170"/>
      <c r="H259" s="171"/>
      <c r="I259" s="163"/>
      <c r="J259" s="54"/>
      <c r="K259" s="55"/>
      <c r="L259" s="62"/>
      <c r="M259" s="55"/>
      <c r="N259" s="55"/>
      <c r="O259" s="164"/>
      <c r="P259" s="164"/>
      <c r="Q259" s="55"/>
      <c r="R259" s="55"/>
      <c r="S259" s="55"/>
      <c r="T259" s="164"/>
      <c r="U259" s="164"/>
    </row>
    <row r="260" spans="1:21" ht="18.75" hidden="1">
      <c r="A260" s="166"/>
      <c r="B260" s="167"/>
      <c r="C260" s="167"/>
      <c r="D260" s="207" t="s">
        <v>108</v>
      </c>
      <c r="E260" s="174"/>
      <c r="F260" s="174"/>
      <c r="G260" s="171"/>
      <c r="H260" s="698" t="s">
        <v>35</v>
      </c>
      <c r="I260" s="483">
        <f ca="1">IFERROR(__xludf.DUMMYFUNCTION("IMPORTRANGE(""https://docs.google.com/spreadsheets/d/1eHaY18a8A9IcSdp1K8H6x8fbOy06t2VsZHhMHf-1x7Y/edit?usp=sharing"",""แผน!BH50"")"),0)</f>
        <v>0</v>
      </c>
      <c r="J260" s="589">
        <v>0</v>
      </c>
      <c r="K260" s="102">
        <f ca="1">IF(I260&gt;0,J260*100/I260,0)</f>
        <v>0</v>
      </c>
      <c r="L260" s="62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8.75" hidden="1">
      <c r="A261" s="166"/>
      <c r="B261" s="167"/>
      <c r="C261" s="167"/>
      <c r="D261" s="700" t="s">
        <v>43</v>
      </c>
      <c r="E261" s="174"/>
      <c r="F261" s="174"/>
      <c r="G261" s="171"/>
      <c r="H261" s="171"/>
      <c r="I261" s="54"/>
      <c r="J261" s="54"/>
      <c r="K261" s="55"/>
      <c r="L261" s="62"/>
      <c r="M261" s="55"/>
      <c r="N261" s="55"/>
      <c r="O261" s="164"/>
      <c r="P261" s="164"/>
      <c r="Q261" s="55"/>
      <c r="R261" s="55"/>
      <c r="S261" s="55"/>
      <c r="T261" s="164"/>
      <c r="U261" s="164"/>
    </row>
    <row r="262" spans="1:21" ht="18.75" hidden="1">
      <c r="A262" s="166"/>
      <c r="B262" s="167"/>
      <c r="C262" s="167"/>
      <c r="D262" s="167"/>
      <c r="E262" s="699" t="s">
        <v>109</v>
      </c>
      <c r="F262" s="174"/>
      <c r="G262" s="171"/>
      <c r="H262" s="698" t="s">
        <v>35</v>
      </c>
      <c r="I262" s="54"/>
      <c r="J262" s="589">
        <v>0</v>
      </c>
      <c r="K262" s="102">
        <f>IF(I262&gt;0,J262*100/I262,0)</f>
        <v>0</v>
      </c>
      <c r="L262" s="62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8.75" hidden="1">
      <c r="A263" s="166"/>
      <c r="B263" s="167"/>
      <c r="C263" s="167"/>
      <c r="D263" s="167"/>
      <c r="E263" s="699" t="s">
        <v>110</v>
      </c>
      <c r="F263" s="174"/>
      <c r="G263" s="171"/>
      <c r="H263" s="698" t="s">
        <v>61</v>
      </c>
      <c r="I263" s="54"/>
      <c r="J263" s="589">
        <v>0</v>
      </c>
      <c r="K263" s="102">
        <f>IF(I263&gt;0,J263*100/I263,0)</f>
        <v>0</v>
      </c>
      <c r="L263" s="62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9.5">
      <c r="A264" s="697" t="s">
        <v>113</v>
      </c>
      <c r="B264" s="890"/>
      <c r="C264" s="890"/>
      <c r="D264" s="889"/>
      <c r="E264" s="889"/>
      <c r="F264" s="889"/>
      <c r="G264" s="888"/>
      <c r="H264" s="888"/>
      <c r="I264" s="887"/>
      <c r="J264" s="887"/>
      <c r="K264" s="885"/>
      <c r="L264" s="886"/>
      <c r="M264" s="885"/>
      <c r="N264" s="885"/>
      <c r="O264" s="885"/>
      <c r="P264" s="885"/>
      <c r="Q264" s="885"/>
      <c r="R264" s="885"/>
      <c r="S264" s="885"/>
      <c r="T264" s="885"/>
      <c r="U264" s="885"/>
    </row>
    <row r="265" spans="1:21" ht="19.5">
      <c r="A265" s="884"/>
      <c r="B265" s="689" t="s">
        <v>114</v>
      </c>
      <c r="C265" s="883"/>
      <c r="D265" s="872"/>
      <c r="E265" s="872"/>
      <c r="F265" s="872"/>
      <c r="G265" s="871"/>
      <c r="H265" s="687" t="s">
        <v>35</v>
      </c>
      <c r="I265" s="686">
        <f ca="1">I276</f>
        <v>22</v>
      </c>
      <c r="J265" s="686">
        <f>J276</f>
        <v>0</v>
      </c>
      <c r="K265" s="685">
        <f ca="1">IF(I265&gt;0,J265*100/I265,0)</f>
        <v>0</v>
      </c>
      <c r="L265" s="882"/>
      <c r="M265" s="881"/>
      <c r="N265" s="881"/>
      <c r="O265" s="881"/>
      <c r="P265" s="881"/>
      <c r="Q265" s="881"/>
      <c r="R265" s="881"/>
      <c r="S265" s="881"/>
      <c r="T265" s="881"/>
      <c r="U265" s="881"/>
    </row>
    <row r="266" spans="1:21" ht="19.5">
      <c r="A266" s="875"/>
      <c r="B266" s="663"/>
      <c r="C266" s="682" t="s">
        <v>18</v>
      </c>
      <c r="D266" s="681" t="s">
        <v>19</v>
      </c>
      <c r="E266" s="663"/>
      <c r="F266" s="663"/>
      <c r="G266" s="874"/>
      <c r="H266" s="680" t="s">
        <v>14</v>
      </c>
      <c r="I266" s="880"/>
      <c r="J266" s="880"/>
      <c r="K266" s="861"/>
      <c r="L266" s="679">
        <f ca="1">L267+L268</f>
        <v>0</v>
      </c>
      <c r="M266" s="678">
        <f ca="1">M267+M268</f>
        <v>5000</v>
      </c>
      <c r="N266" s="678">
        <f ca="1">N267+N268</f>
        <v>0</v>
      </c>
      <c r="O266" s="678">
        <f ca="1">IF(L266&gt;0,N266*100/L266,0)</f>
        <v>0</v>
      </c>
      <c r="P266" s="678">
        <f ca="1">IF(M266&gt;0,N266*100/M266,0)</f>
        <v>0</v>
      </c>
      <c r="Q266" s="678">
        <f ca="1">Q267+Q268</f>
        <v>50660</v>
      </c>
      <c r="R266" s="678">
        <f ca="1">R267+R268</f>
        <v>50660</v>
      </c>
      <c r="S266" s="678">
        <f ca="1">S267+S268</f>
        <v>10440</v>
      </c>
      <c r="T266" s="678">
        <f ca="1">IF(Q266&gt;0,S266*100/Q266,0)</f>
        <v>20.607974733517569</v>
      </c>
      <c r="U266" s="678">
        <f ca="1">IF(R266&gt;0,S266*100/R266,0)</f>
        <v>20.607974733517569</v>
      </c>
    </row>
    <row r="267" spans="1:21" ht="18.75" hidden="1">
      <c r="A267" s="879"/>
      <c r="B267" s="186"/>
      <c r="C267" s="186"/>
      <c r="D267" s="186"/>
      <c r="E267" s="186" t="s">
        <v>20</v>
      </c>
      <c r="F267" s="186"/>
      <c r="G267" s="878"/>
      <c r="H267" s="187" t="s">
        <v>14</v>
      </c>
      <c r="I267" s="359"/>
      <c r="J267" s="359"/>
      <c r="K267" s="59"/>
      <c r="L267" s="103">
        <f>L270+L273</f>
        <v>0</v>
      </c>
      <c r="M267" s="102">
        <f>M270+M273</f>
        <v>0</v>
      </c>
      <c r="N267" s="102">
        <f>N270+N273</f>
        <v>0</v>
      </c>
      <c r="O267" s="102">
        <f>IF(L267&gt;0,N267*100/L267,0)</f>
        <v>0</v>
      </c>
      <c r="P267" s="102">
        <f>IF(M267&gt;0,N267*100/M267,0)</f>
        <v>0</v>
      </c>
      <c r="Q267" s="102">
        <f>Q270+Q273</f>
        <v>0</v>
      </c>
      <c r="R267" s="102">
        <f>R270+R273</f>
        <v>0</v>
      </c>
      <c r="S267" s="102">
        <f>S270+S273</f>
        <v>0</v>
      </c>
      <c r="T267" s="102">
        <f>IF(Q267&gt;0,S267*100/Q267,0)</f>
        <v>0</v>
      </c>
      <c r="U267" s="102">
        <f>IF(R267&gt;0,S267*100/R267,0)</f>
        <v>0</v>
      </c>
    </row>
    <row r="268" spans="1:21" ht="18.75" hidden="1">
      <c r="A268" s="875"/>
      <c r="B268" s="663"/>
      <c r="C268" s="663"/>
      <c r="D268" s="663"/>
      <c r="E268" s="663" t="s">
        <v>21</v>
      </c>
      <c r="F268" s="663"/>
      <c r="G268" s="874"/>
      <c r="H268" s="549" t="s">
        <v>14</v>
      </c>
      <c r="I268" s="880"/>
      <c r="J268" s="880"/>
      <c r="K268" s="861"/>
      <c r="L268" s="664">
        <f ca="1">L271+L274</f>
        <v>0</v>
      </c>
      <c r="M268" s="555">
        <f ca="1">M271+M274</f>
        <v>5000</v>
      </c>
      <c r="N268" s="555">
        <f ca="1">N271+N274</f>
        <v>0</v>
      </c>
      <c r="O268" s="555">
        <f ca="1">IF(L268&gt;0,N268*100/L268,0)</f>
        <v>0</v>
      </c>
      <c r="P268" s="555">
        <f ca="1">IF(M268&gt;0,N268*100/M268,0)</f>
        <v>0</v>
      </c>
      <c r="Q268" s="555">
        <f ca="1">Q271+Q274</f>
        <v>50660</v>
      </c>
      <c r="R268" s="555">
        <f ca="1">R271+R274</f>
        <v>50660</v>
      </c>
      <c r="S268" s="555">
        <f ca="1">S271+S274</f>
        <v>10440</v>
      </c>
      <c r="T268" s="555">
        <f ca="1">IF(Q268&gt;0,S268*100/Q268,0)</f>
        <v>20.607974733517569</v>
      </c>
      <c r="U268" s="555">
        <f ca="1">IF(R268&gt;0,S268*100/R268,0)</f>
        <v>20.607974733517569</v>
      </c>
    </row>
    <row r="269" spans="1:21" ht="18.75">
      <c r="A269" s="875"/>
      <c r="B269" s="663"/>
      <c r="C269" s="663"/>
      <c r="D269" s="674" t="s">
        <v>22</v>
      </c>
      <c r="E269" s="663"/>
      <c r="F269" s="663"/>
      <c r="G269" s="874"/>
      <c r="H269" s="675" t="s">
        <v>14</v>
      </c>
      <c r="I269" s="869"/>
      <c r="J269" s="869"/>
      <c r="K269" s="867"/>
      <c r="L269" s="664">
        <f ca="1">L270+L271</f>
        <v>0</v>
      </c>
      <c r="M269" s="555">
        <f ca="1">M270+M271</f>
        <v>5000</v>
      </c>
      <c r="N269" s="555">
        <f ca="1">N270+N271</f>
        <v>0</v>
      </c>
      <c r="O269" s="555">
        <f ca="1">IF(L269&gt;0,N269*100/L269,0)</f>
        <v>0</v>
      </c>
      <c r="P269" s="555">
        <f ca="1">IF(M269&gt;0,N269*100/M269,0)</f>
        <v>0</v>
      </c>
      <c r="Q269" s="555">
        <f ca="1">Q270+Q271</f>
        <v>50660</v>
      </c>
      <c r="R269" s="555">
        <f ca="1">R270+R271</f>
        <v>50660</v>
      </c>
      <c r="S269" s="555">
        <f ca="1">S270+S271</f>
        <v>10440</v>
      </c>
      <c r="T269" s="555">
        <f ca="1">IF(Q269&gt;0,S269*100/Q269,0)</f>
        <v>20.607974733517569</v>
      </c>
      <c r="U269" s="555">
        <f ca="1">IF(R269&gt;0,S269*100/R269,0)</f>
        <v>20.607974733517569</v>
      </c>
    </row>
    <row r="270" spans="1:21" ht="18.75" hidden="1">
      <c r="A270" s="879"/>
      <c r="B270" s="186"/>
      <c r="C270" s="186"/>
      <c r="D270" s="186"/>
      <c r="E270" s="186" t="s">
        <v>36</v>
      </c>
      <c r="F270" s="186"/>
      <c r="G270" s="878"/>
      <c r="H270" s="189" t="s">
        <v>14</v>
      </c>
      <c r="I270" s="877"/>
      <c r="J270" s="877"/>
      <c r="K270" s="876"/>
      <c r="L270" s="103">
        <v>0</v>
      </c>
      <c r="M270" s="102">
        <v>0</v>
      </c>
      <c r="N270" s="102">
        <v>0</v>
      </c>
      <c r="O270" s="102">
        <f>IF(L270&gt;0,N270*100/L270,0)</f>
        <v>0</v>
      </c>
      <c r="P270" s="102">
        <f>IF(M270&gt;0,N270*100/M270,0)</f>
        <v>0</v>
      </c>
      <c r="Q270" s="102">
        <v>0</v>
      </c>
      <c r="R270" s="102">
        <v>0</v>
      </c>
      <c r="S270" s="102">
        <v>0</v>
      </c>
      <c r="T270" s="102">
        <f>IF(Q270&gt;0,S270*100/Q270,0)</f>
        <v>0</v>
      </c>
      <c r="U270" s="102">
        <f>IF(R270&gt;0,S270*100/R270,0)</f>
        <v>0</v>
      </c>
    </row>
    <row r="271" spans="1:21" ht="18.75" hidden="1">
      <c r="A271" s="875"/>
      <c r="B271" s="663"/>
      <c r="C271" s="663"/>
      <c r="D271" s="663"/>
      <c r="E271" s="663" t="s">
        <v>37</v>
      </c>
      <c r="F271" s="663"/>
      <c r="G271" s="874"/>
      <c r="H271" s="675" t="s">
        <v>14</v>
      </c>
      <c r="I271" s="869"/>
      <c r="J271" s="869"/>
      <c r="K271" s="867"/>
      <c r="L271" s="664">
        <f ca="1">IFERROR(__xludf.DUMMYFUNCTION("IMPORTRANGE(""https://docs.google.com/spreadsheets/d/1-uDff_7J0KD5mKrp0Vvzr7lt3OU09vwQwhkpOPPYv2Y/edit?usp=sharing"",""งบพรบ!DE50"")"),0)</f>
        <v>0</v>
      </c>
      <c r="M271" s="555">
        <f ca="1">IFERROR(__xludf.DUMMYFUNCTION("IMPORTRANGE(""https://docs.google.com/spreadsheets/d/1-uDff_7J0KD5mKrp0Vvzr7lt3OU09vwQwhkpOPPYv2Y/edit?usp=sharing"",""งบพรบ!DJ50"")"),5000)</f>
        <v>5000</v>
      </c>
      <c r="N271" s="555">
        <f ca="1">IFERROR(__xludf.DUMMYFUNCTION("IMPORTRANGE(""https://docs.google.com/spreadsheets/d/1-uDff_7J0KD5mKrp0Vvzr7lt3OU09vwQwhkpOPPYv2Y/edit?usp=sharing"",""งบพรบ!DL50"")"),0)</f>
        <v>0</v>
      </c>
      <c r="O271" s="555">
        <f ca="1">IF(L271&gt;0,N271*100/L271,0)</f>
        <v>0</v>
      </c>
      <c r="P271" s="555">
        <f ca="1">IF(M271&gt;0,N271*100/M271,0)</f>
        <v>0</v>
      </c>
      <c r="Q271" s="555">
        <f ca="1">IFERROR(__xludf.DUMMYFUNCTION("IMPORTRANGE(""https://docs.google.com/spreadsheets/d/1ItG2mGa2ceCfYo0BwxsXqNm01IGEUdYcSSLTEv9YCik/edit?usp=sharing"",""เบิกจ่ายกองทุน!AJ50"")"),50660)</f>
        <v>50660</v>
      </c>
      <c r="R271" s="555">
        <f ca="1">IFERROR(__xludf.DUMMYFUNCTION("IMPORTRANGE(""https://docs.google.com/spreadsheets/d/1ItG2mGa2ceCfYo0BwxsXqNm01IGEUdYcSSLTEv9YCik/edit?usp=sharing"",""เบิกจ่ายกองทุน!AK50"")"),50660)</f>
        <v>50660</v>
      </c>
      <c r="S271" s="555">
        <f ca="1">IFERROR(__xludf.DUMMYFUNCTION("IMPORTRANGE(""https://docs.google.com/spreadsheets/d/1ItG2mGa2ceCfYo0BwxsXqNm01IGEUdYcSSLTEv9YCik/edit?usp=sharing"",""เบิกจ่ายกองทุน!AL50"")"),10440)</f>
        <v>10440</v>
      </c>
      <c r="T271" s="555">
        <f ca="1">IF(Q271&gt;0,S271*100/Q271,0)</f>
        <v>20.607974733517569</v>
      </c>
      <c r="U271" s="555">
        <f ca="1">IF(R271&gt;0,S271*100/R271,0)</f>
        <v>20.607974733517569</v>
      </c>
    </row>
    <row r="272" spans="1:21" ht="18.75">
      <c r="A272" s="875"/>
      <c r="B272" s="663"/>
      <c r="C272" s="663"/>
      <c r="D272" s="674" t="s">
        <v>23</v>
      </c>
      <c r="E272" s="663"/>
      <c r="F272" s="663"/>
      <c r="G272" s="874"/>
      <c r="H272" s="665" t="s">
        <v>14</v>
      </c>
      <c r="I272" s="869"/>
      <c r="J272" s="869"/>
      <c r="K272" s="867"/>
      <c r="L272" s="664">
        <f ca="1">L273+L274</f>
        <v>0</v>
      </c>
      <c r="M272" s="555">
        <f ca="1">M273+M274</f>
        <v>0</v>
      </c>
      <c r="N272" s="555">
        <f ca="1">N273+N274</f>
        <v>0</v>
      </c>
      <c r="O272" s="555">
        <f ca="1">IF(L272&gt;0,N272*100/L272,0)</f>
        <v>0</v>
      </c>
      <c r="P272" s="555">
        <f ca="1">IF(M272&gt;0,N272*100/M272,0)</f>
        <v>0</v>
      </c>
      <c r="Q272" s="555">
        <f>Q273+Q274</f>
        <v>0</v>
      </c>
      <c r="R272" s="555">
        <f>R273+R274</f>
        <v>0</v>
      </c>
      <c r="S272" s="555">
        <f>S273+S274</f>
        <v>0</v>
      </c>
      <c r="T272" s="555">
        <f>IF(Q272&gt;0,S272*100/Q272,0)</f>
        <v>0</v>
      </c>
      <c r="U272" s="555">
        <f>IF(R272&gt;0,S272*100/R272,0)</f>
        <v>0</v>
      </c>
    </row>
    <row r="273" spans="1:21" ht="18.75" hidden="1">
      <c r="A273" s="879"/>
      <c r="B273" s="186"/>
      <c r="C273" s="186"/>
      <c r="D273" s="186"/>
      <c r="E273" s="186" t="s">
        <v>20</v>
      </c>
      <c r="F273" s="186"/>
      <c r="G273" s="878"/>
      <c r="H273" s="189" t="s">
        <v>14</v>
      </c>
      <c r="I273" s="877"/>
      <c r="J273" s="877"/>
      <c r="K273" s="876"/>
      <c r="L273" s="103">
        <v>0</v>
      </c>
      <c r="M273" s="102">
        <v>0</v>
      </c>
      <c r="N273" s="102">
        <v>0</v>
      </c>
      <c r="O273" s="102">
        <f>IF(L273&gt;0,N273*100/L273,0)</f>
        <v>0</v>
      </c>
      <c r="P273" s="102">
        <f>IF(M273&gt;0,N273*100/M273,0)</f>
        <v>0</v>
      </c>
      <c r="Q273" s="102">
        <v>0</v>
      </c>
      <c r="R273" s="102">
        <v>0</v>
      </c>
      <c r="S273" s="102">
        <v>0</v>
      </c>
      <c r="T273" s="102">
        <f>IF(Q273&gt;0,S273*100/Q273,0)</f>
        <v>0</v>
      </c>
      <c r="U273" s="102">
        <f>IF(R273&gt;0,S273*100/R273,0)</f>
        <v>0</v>
      </c>
    </row>
    <row r="274" spans="1:21" ht="18.75" hidden="1">
      <c r="A274" s="875"/>
      <c r="B274" s="663"/>
      <c r="C274" s="663"/>
      <c r="D274" s="663"/>
      <c r="E274" s="663" t="s">
        <v>21</v>
      </c>
      <c r="F274" s="663"/>
      <c r="G274" s="874"/>
      <c r="H274" s="665" t="s">
        <v>14</v>
      </c>
      <c r="I274" s="869"/>
      <c r="J274" s="869"/>
      <c r="K274" s="867"/>
      <c r="L274" s="664">
        <f ca="1">IFERROR(__xludf.DUMMYFUNCTION("IMPORTRANGE(""https://docs.google.com/spreadsheets/d/1-uDff_7J0KD5mKrp0Vvzr7lt3OU09vwQwhkpOPPYv2Y/edit?usp=sharing"",""งบพรบ!DH50"")"),0)</f>
        <v>0</v>
      </c>
      <c r="M274" s="555">
        <f ca="1">IFERROR(__xludf.DUMMYFUNCTION("IMPORTRANGE(""https://docs.google.com/spreadsheets/d/1-uDff_7J0KD5mKrp0Vvzr7lt3OU09vwQwhkpOPPYv2Y/edit?usp=sharing"",""งบพรบ!DK50"")"),0)</f>
        <v>0</v>
      </c>
      <c r="N274" s="555">
        <f ca="1">IFERROR(__xludf.DUMMYFUNCTION("IMPORTRANGE(""https://docs.google.com/spreadsheets/d/1-uDff_7J0KD5mKrp0Vvzr7lt3OU09vwQwhkpOPPYv2Y/edit?usp=sharing"",""งบพรบ!DM50"")"),0)</f>
        <v>0</v>
      </c>
      <c r="O274" s="555">
        <f ca="1">IF(L274&gt;0,N274*100/L274,0)</f>
        <v>0</v>
      </c>
      <c r="P274" s="555">
        <f ca="1">IF(M274&gt;0,N274*100/M274,0)</f>
        <v>0</v>
      </c>
      <c r="Q274" s="555">
        <v>0</v>
      </c>
      <c r="R274" s="555">
        <v>0</v>
      </c>
      <c r="S274" s="555">
        <v>0</v>
      </c>
      <c r="T274" s="555">
        <f>IF(Q274&gt;0,S274*100/Q274,0)</f>
        <v>0</v>
      </c>
      <c r="U274" s="555">
        <f>IF(R274&gt;0,S274*100/R274,0)</f>
        <v>0</v>
      </c>
    </row>
    <row r="275" spans="1:21" ht="19.5">
      <c r="A275" s="873"/>
      <c r="B275" s="558"/>
      <c r="C275" s="663" t="s">
        <v>18</v>
      </c>
      <c r="D275" s="662" t="s">
        <v>38</v>
      </c>
      <c r="E275" s="872"/>
      <c r="F275" s="872"/>
      <c r="G275" s="871"/>
      <c r="H275" s="870"/>
      <c r="I275" s="869"/>
      <c r="J275" s="869"/>
      <c r="K275" s="867"/>
      <c r="L275" s="868"/>
      <c r="M275" s="867"/>
      <c r="N275" s="867"/>
      <c r="O275" s="867"/>
      <c r="P275" s="867"/>
      <c r="Q275" s="867"/>
      <c r="R275" s="867"/>
      <c r="S275" s="867"/>
      <c r="T275" s="867"/>
      <c r="U275" s="867"/>
    </row>
    <row r="276" spans="1:21" ht="18.75">
      <c r="A276" s="866"/>
      <c r="B276" s="865"/>
      <c r="C276" s="865"/>
      <c r="D276" s="654" t="s">
        <v>115</v>
      </c>
      <c r="E276" s="864"/>
      <c r="F276" s="864"/>
      <c r="G276" s="863"/>
      <c r="H276" s="651" t="s">
        <v>35</v>
      </c>
      <c r="I276" s="650">
        <f ca="1">IFERROR(__xludf.DUMMYFUNCTION("IMPORTRANGE(""https://docs.google.com/spreadsheets/d/1eHaY18a8A9IcSdp1K8H6x8fbOy06t2VsZHhMHf-1x7Y/edit?usp=sharing"",""แผน!EC50"")"),22)</f>
        <v>22</v>
      </c>
      <c r="J276" s="649">
        <v>0</v>
      </c>
      <c r="K276" s="648">
        <f ca="1">IF(I276&gt;0,J276*100/I276,0)</f>
        <v>0</v>
      </c>
      <c r="L276" s="862"/>
      <c r="M276" s="861"/>
      <c r="N276" s="861"/>
      <c r="O276" s="861"/>
      <c r="P276" s="861"/>
      <c r="Q276" s="861"/>
      <c r="R276" s="861"/>
      <c r="S276" s="861"/>
      <c r="T276" s="861"/>
      <c r="U276" s="861"/>
    </row>
    <row r="277" spans="1:21" ht="18.75" hidden="1">
      <c r="A277" s="860"/>
      <c r="B277" s="859"/>
      <c r="C277" s="859"/>
      <c r="D277" s="647" t="s">
        <v>116</v>
      </c>
      <c r="E277" s="588"/>
      <c r="F277" s="588"/>
      <c r="G277" s="858"/>
      <c r="H277" s="646" t="s">
        <v>35</v>
      </c>
      <c r="I277" s="486">
        <v>0</v>
      </c>
      <c r="J277" s="486">
        <v>0</v>
      </c>
      <c r="K277" s="645">
        <v>0</v>
      </c>
      <c r="L277" s="857"/>
      <c r="M277" s="856"/>
      <c r="N277" s="856"/>
      <c r="O277" s="856"/>
      <c r="P277" s="856"/>
      <c r="Q277" s="856"/>
      <c r="R277" s="856"/>
      <c r="S277" s="856"/>
      <c r="T277" s="856"/>
      <c r="U277" s="856"/>
    </row>
    <row r="278" spans="1:21" ht="19.5" hidden="1">
      <c r="A278" s="288" t="s">
        <v>117</v>
      </c>
      <c r="B278" s="289"/>
      <c r="C278" s="289"/>
      <c r="D278" s="289"/>
      <c r="E278" s="290"/>
      <c r="F278" s="290"/>
      <c r="G278" s="290"/>
      <c r="H278" s="290"/>
      <c r="I278" s="291"/>
      <c r="J278" s="291"/>
      <c r="K278" s="292"/>
      <c r="L278" s="292"/>
      <c r="M278" s="292"/>
      <c r="N278" s="292"/>
      <c r="O278" s="292"/>
      <c r="P278" s="293"/>
      <c r="Q278" s="292"/>
      <c r="R278" s="292"/>
      <c r="S278" s="292"/>
      <c r="T278" s="292"/>
      <c r="U278" s="293"/>
    </row>
    <row r="279" spans="1:21" ht="19.5" hidden="1">
      <c r="A279" s="294" t="s">
        <v>118</v>
      </c>
      <c r="B279" s="295"/>
      <c r="C279" s="296"/>
      <c r="D279" s="295"/>
      <c r="E279" s="295"/>
      <c r="F279" s="295"/>
      <c r="G279" s="295"/>
      <c r="H279" s="295"/>
      <c r="I279" s="297"/>
      <c r="J279" s="298"/>
      <c r="K279" s="299"/>
      <c r="L279" s="300"/>
      <c r="M279" s="299"/>
      <c r="N279" s="299"/>
      <c r="O279" s="299"/>
      <c r="P279" s="299"/>
      <c r="Q279" s="299"/>
      <c r="R279" s="299"/>
      <c r="S279" s="299"/>
      <c r="T279" s="299"/>
      <c r="U279" s="299"/>
    </row>
    <row r="280" spans="1:21" ht="19.5" hidden="1">
      <c r="A280" s="301"/>
      <c r="B280" s="302" t="s">
        <v>119</v>
      </c>
      <c r="C280" s="303"/>
      <c r="D280" s="304"/>
      <c r="E280" s="303"/>
      <c r="F280" s="303"/>
      <c r="G280" s="305"/>
      <c r="H280" s="306" t="s">
        <v>35</v>
      </c>
      <c r="I280" s="644">
        <f ca="1">I293</f>
        <v>0</v>
      </c>
      <c r="J280" s="644">
        <f>J293</f>
        <v>0</v>
      </c>
      <c r="K280" s="643">
        <f ca="1">IF(I280&gt;0,J280*100/I280,0)</f>
        <v>0</v>
      </c>
      <c r="L280" s="310"/>
      <c r="M280" s="309"/>
      <c r="N280" s="309"/>
      <c r="O280" s="309"/>
      <c r="P280" s="309"/>
      <c r="Q280" s="309"/>
      <c r="R280" s="309"/>
      <c r="S280" s="309"/>
      <c r="T280" s="309"/>
      <c r="U280" s="309"/>
    </row>
    <row r="281" spans="1:21" ht="19.5" hidden="1">
      <c r="A281" s="301"/>
      <c r="B281" s="303"/>
      <c r="C281" s="303"/>
      <c r="D281" s="304"/>
      <c r="E281" s="303"/>
      <c r="F281" s="303"/>
      <c r="G281" s="305"/>
      <c r="H281" s="306" t="s">
        <v>46</v>
      </c>
      <c r="I281" s="644">
        <f ca="1">I292</f>
        <v>0</v>
      </c>
      <c r="J281" s="644">
        <f>J292</f>
        <v>0</v>
      </c>
      <c r="K281" s="643">
        <f ca="1">IF(I281&gt;0,J281*100/I281,0)</f>
        <v>0</v>
      </c>
      <c r="L281" s="310"/>
      <c r="M281" s="309"/>
      <c r="N281" s="309"/>
      <c r="O281" s="309"/>
      <c r="P281" s="309"/>
      <c r="Q281" s="309"/>
      <c r="R281" s="309"/>
      <c r="S281" s="309"/>
      <c r="T281" s="309"/>
      <c r="U281" s="309"/>
    </row>
    <row r="282" spans="1:21" ht="19.5" hidden="1">
      <c r="A282" s="155"/>
      <c r="B282" s="50"/>
      <c r="C282" s="156" t="s">
        <v>18</v>
      </c>
      <c r="D282" s="575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541">
        <f ca="1">L283+L284</f>
        <v>0</v>
      </c>
      <c r="M282" s="540">
        <f ca="1">M283+M284</f>
        <v>0</v>
      </c>
      <c r="N282" s="540">
        <f ca="1">N283+N284</f>
        <v>0</v>
      </c>
      <c r="O282" s="540">
        <f ca="1">IF(L282&gt;0,N282*100/L282,0)</f>
        <v>0</v>
      </c>
      <c r="P282" s="540">
        <f ca="1">IF(M282&gt;0,N282*100/M282,0)</f>
        <v>0</v>
      </c>
      <c r="Q282" s="540">
        <f>Q283+Q284</f>
        <v>0</v>
      </c>
      <c r="R282" s="540">
        <f>R283+R284</f>
        <v>0</v>
      </c>
      <c r="S282" s="540">
        <f>S283+S284</f>
        <v>0</v>
      </c>
      <c r="T282" s="540">
        <f>IF(Q282&gt;0,S282*100/Q282,0)</f>
        <v>0</v>
      </c>
      <c r="U282" s="540">
        <f>IF(R282&gt;0,S282*100/R282,0)</f>
        <v>0</v>
      </c>
    </row>
    <row r="283" spans="1:21" ht="18.75" hidden="1">
      <c r="A283" s="155"/>
      <c r="B283" s="50"/>
      <c r="C283" s="50"/>
      <c r="D283" s="50"/>
      <c r="E283" s="186" t="s">
        <v>20</v>
      </c>
      <c r="F283" s="50"/>
      <c r="G283" s="52"/>
      <c r="H283" s="187" t="s">
        <v>14</v>
      </c>
      <c r="I283" s="54"/>
      <c r="J283" s="54"/>
      <c r="K283" s="55"/>
      <c r="L283" s="103">
        <f>L286+L289</f>
        <v>0</v>
      </c>
      <c r="M283" s="102">
        <f>M286+M289</f>
        <v>0</v>
      </c>
      <c r="N283" s="102">
        <f>N286+N289</f>
        <v>0</v>
      </c>
      <c r="O283" s="102">
        <f>IF(L283&gt;0,N283*100/L283,0)</f>
        <v>0</v>
      </c>
      <c r="P283" s="102">
        <f>IF(M283&gt;0,N283*100/M283,0)</f>
        <v>0</v>
      </c>
      <c r="Q283" s="102">
        <f>Q286+Q289</f>
        <v>0</v>
      </c>
      <c r="R283" s="102">
        <f>R286+R289</f>
        <v>0</v>
      </c>
      <c r="S283" s="102">
        <f>S286+S289</f>
        <v>0</v>
      </c>
      <c r="T283" s="102">
        <f>IF(Q283&gt;0,S283*100/Q283,0)</f>
        <v>0</v>
      </c>
      <c r="U283" s="102">
        <f>IF(R283&gt;0,S283*100/R283,0)</f>
        <v>0</v>
      </c>
    </row>
    <row r="284" spans="1:21" ht="18.75" hidden="1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256">
        <f ca="1">L287+L290</f>
        <v>0</v>
      </c>
      <c r="M284" s="255">
        <f ca="1">M287+M290</f>
        <v>0</v>
      </c>
      <c r="N284" s="255">
        <f ca="1">N287+N290</f>
        <v>0</v>
      </c>
      <c r="O284" s="255">
        <f ca="1">IF(L284&gt;0,N284*100/L284,0)</f>
        <v>0</v>
      </c>
      <c r="P284" s="255">
        <f ca="1">IF(M284&gt;0,N284*100/M284,0)</f>
        <v>0</v>
      </c>
      <c r="Q284" s="255">
        <f>Q287+Q290</f>
        <v>0</v>
      </c>
      <c r="R284" s="255">
        <f>R287+R290</f>
        <v>0</v>
      </c>
      <c r="S284" s="255">
        <f>S287+S290</f>
        <v>0</v>
      </c>
      <c r="T284" s="255">
        <f>IF(Q284&gt;0,S284*100/Q284,0)</f>
        <v>0</v>
      </c>
      <c r="U284" s="255">
        <f>IF(R284&gt;0,S284*100/R284,0)</f>
        <v>0</v>
      </c>
    </row>
    <row r="285" spans="1:21" ht="18.75" hidden="1">
      <c r="A285" s="155"/>
      <c r="B285" s="50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256">
        <f ca="1">L286+L287</f>
        <v>0</v>
      </c>
      <c r="M285" s="255">
        <f ca="1">M286+M287</f>
        <v>0</v>
      </c>
      <c r="N285" s="255">
        <f ca="1">N286+N287</f>
        <v>0</v>
      </c>
      <c r="O285" s="255">
        <f ca="1">IF(L285&gt;0,N285*100/L285,0)</f>
        <v>0</v>
      </c>
      <c r="P285" s="255">
        <f ca="1">IF(M285&gt;0,N285*100/M285,0)</f>
        <v>0</v>
      </c>
      <c r="Q285" s="255">
        <f>Q286+Q287</f>
        <v>0</v>
      </c>
      <c r="R285" s="255">
        <f>R286+R287</f>
        <v>0</v>
      </c>
      <c r="S285" s="255">
        <f>S286+S287</f>
        <v>0</v>
      </c>
      <c r="T285" s="255">
        <f>IF(Q285&gt;0,S285*100/Q285,0)</f>
        <v>0</v>
      </c>
      <c r="U285" s="255">
        <f>IF(R285&gt;0,S285*100/R285,0)</f>
        <v>0</v>
      </c>
    </row>
    <row r="286" spans="1:21" ht="18.75" hidden="1">
      <c r="A286" s="155"/>
      <c r="B286" s="50"/>
      <c r="C286" s="50"/>
      <c r="D286" s="50"/>
      <c r="E286" s="186" t="s">
        <v>36</v>
      </c>
      <c r="F286" s="50"/>
      <c r="G286" s="52"/>
      <c r="H286" s="189" t="s">
        <v>14</v>
      </c>
      <c r="I286" s="163"/>
      <c r="J286" s="163"/>
      <c r="K286" s="164"/>
      <c r="L286" s="103">
        <v>0</v>
      </c>
      <c r="M286" s="102">
        <v>0</v>
      </c>
      <c r="N286" s="102">
        <v>0</v>
      </c>
      <c r="O286" s="102">
        <f>IF(L286&gt;0,N286*100/L286,0)</f>
        <v>0</v>
      </c>
      <c r="P286" s="102">
        <f>IF(M286&gt;0,N286*100/M286,0)</f>
        <v>0</v>
      </c>
      <c r="Q286" s="102">
        <v>0</v>
      </c>
      <c r="R286" s="102">
        <v>0</v>
      </c>
      <c r="S286" s="102">
        <v>0</v>
      </c>
      <c r="T286" s="102">
        <f>IF(Q286&gt;0,S286*100/Q286,0)</f>
        <v>0</v>
      </c>
      <c r="U286" s="102">
        <f>IF(R286&gt;0,S286*100/R286,0)</f>
        <v>0</v>
      </c>
    </row>
    <row r="287" spans="1:21" ht="18.75" hidden="1">
      <c r="A287" s="155"/>
      <c r="B287" s="50"/>
      <c r="C287" s="50"/>
      <c r="D287" s="50"/>
      <c r="E287" s="58" t="s">
        <v>37</v>
      </c>
      <c r="F287" s="50"/>
      <c r="G287" s="52"/>
      <c r="H287" s="162" t="s">
        <v>14</v>
      </c>
      <c r="I287" s="163"/>
      <c r="J287" s="163"/>
      <c r="K287" s="164"/>
      <c r="L287" s="256">
        <f ca="1">IFERROR(__xludf.DUMMYFUNCTION("IMPORTRANGE(""https://docs.google.com/spreadsheets/d/1-uDff_7J0KD5mKrp0Vvzr7lt3OU09vwQwhkpOPPYv2Y/edit?usp=sharing"",""งบพรบ!DO50"")"),0)</f>
        <v>0</v>
      </c>
      <c r="M287" s="255">
        <f ca="1">IFERROR(__xludf.DUMMYFUNCTION("IMPORTRANGE(""https://docs.google.com/spreadsheets/d/1-uDff_7J0KD5mKrp0Vvzr7lt3OU09vwQwhkpOPPYv2Y/edit?usp=sharing"",""งบพรบ!DT50"")"),0)</f>
        <v>0</v>
      </c>
      <c r="N287" s="255">
        <f ca="1">IFERROR(__xludf.DUMMYFUNCTION("IMPORTRANGE(""https://docs.google.com/spreadsheets/d/1-uDff_7J0KD5mKrp0Vvzr7lt3OU09vwQwhkpOPPYv2Y/edit?usp=sharing"",""งบพรบ!DV50"")"),0)</f>
        <v>0</v>
      </c>
      <c r="O287" s="255">
        <f ca="1">IF(L287&gt;0,N287*100/L287,0)</f>
        <v>0</v>
      </c>
      <c r="P287" s="255">
        <f ca="1">IF(M287&gt;0,N287*100/M287,0)</f>
        <v>0</v>
      </c>
      <c r="Q287" s="255">
        <v>0</v>
      </c>
      <c r="R287" s="255">
        <v>0</v>
      </c>
      <c r="S287" s="255">
        <v>0</v>
      </c>
      <c r="T287" s="102">
        <f>IF(Q287&gt;0,S287*100/Q287,0)</f>
        <v>0</v>
      </c>
      <c r="U287" s="102">
        <f>IF(R287&gt;0,S287*100/R287,0)</f>
        <v>0</v>
      </c>
    </row>
    <row r="288" spans="1:21" ht="18.75" hidden="1">
      <c r="A288" s="155"/>
      <c r="B288" s="50"/>
      <c r="C288" s="50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256">
        <f ca="1">L289+L290</f>
        <v>0</v>
      </c>
      <c r="M288" s="255">
        <f ca="1">M289+M290</f>
        <v>0</v>
      </c>
      <c r="N288" s="255">
        <f ca="1">N289+N290</f>
        <v>0</v>
      </c>
      <c r="O288" s="255">
        <f ca="1">IF(L288&gt;0,N288*100/L288,0)</f>
        <v>0</v>
      </c>
      <c r="P288" s="255">
        <f ca="1">IF(M288&gt;0,N288*100/M288,0)</f>
        <v>0</v>
      </c>
      <c r="Q288" s="255">
        <f>Q289+Q290</f>
        <v>0</v>
      </c>
      <c r="R288" s="255">
        <f>R289+R290</f>
        <v>0</v>
      </c>
      <c r="S288" s="255">
        <f>S289+S290</f>
        <v>0</v>
      </c>
      <c r="T288" s="255">
        <f>IF(Q288&gt;0,S288*100/Q288,0)</f>
        <v>0</v>
      </c>
      <c r="U288" s="255">
        <f>IF(R288&gt;0,S288*100/R288,0)</f>
        <v>0</v>
      </c>
    </row>
    <row r="289" spans="1:21" ht="18.75" hidden="1">
      <c r="A289" s="155"/>
      <c r="B289" s="50"/>
      <c r="C289" s="50"/>
      <c r="D289" s="50"/>
      <c r="E289" s="186" t="s">
        <v>20</v>
      </c>
      <c r="F289" s="50"/>
      <c r="G289" s="52"/>
      <c r="H289" s="189" t="s">
        <v>14</v>
      </c>
      <c r="I289" s="163"/>
      <c r="J289" s="163"/>
      <c r="K289" s="164"/>
      <c r="L289" s="103">
        <v>0</v>
      </c>
      <c r="M289" s="102">
        <v>0</v>
      </c>
      <c r="N289" s="102">
        <v>0</v>
      </c>
      <c r="O289" s="102">
        <f>IF(L289&gt;0,N289*100/L289,0)</f>
        <v>0</v>
      </c>
      <c r="P289" s="102">
        <f>IF(M289&gt;0,N289*100/M289,0)</f>
        <v>0</v>
      </c>
      <c r="Q289" s="102">
        <v>0</v>
      </c>
      <c r="R289" s="102">
        <v>0</v>
      </c>
      <c r="S289" s="102">
        <v>0</v>
      </c>
      <c r="T289" s="102">
        <f>IF(Q289&gt;0,S289*100/Q289,0)</f>
        <v>0</v>
      </c>
      <c r="U289" s="102">
        <f>IF(R289&gt;0,S289*100/R289,0)</f>
        <v>0</v>
      </c>
    </row>
    <row r="290" spans="1:21" ht="18.75" hidden="1">
      <c r="A290" s="155"/>
      <c r="B290" s="50"/>
      <c r="C290" s="50"/>
      <c r="D290" s="50"/>
      <c r="E290" s="58" t="s">
        <v>21</v>
      </c>
      <c r="F290" s="50"/>
      <c r="G290" s="52"/>
      <c r="H290" s="165" t="s">
        <v>14</v>
      </c>
      <c r="I290" s="163"/>
      <c r="J290" s="163"/>
      <c r="K290" s="164"/>
      <c r="L290" s="256">
        <f ca="1">IFERROR(__xludf.DUMMYFUNCTION("IMPORTRANGE(""https://docs.google.com/spreadsheets/d/1-uDff_7J0KD5mKrp0Vvzr7lt3OU09vwQwhkpOPPYv2Y/edit?usp=sharing"",""งบพรบ!DR50"")"),0)</f>
        <v>0</v>
      </c>
      <c r="M290" s="255">
        <f ca="1">IFERROR(__xludf.DUMMYFUNCTION("IMPORTRANGE(""https://docs.google.com/spreadsheets/d/1-uDff_7J0KD5mKrp0Vvzr7lt3OU09vwQwhkpOPPYv2Y/edit?usp=sharing"",""งบพรบ!DU50"")"),0)</f>
        <v>0</v>
      </c>
      <c r="N290" s="255">
        <f ca="1">IFERROR(__xludf.DUMMYFUNCTION("IMPORTRANGE(""https://docs.google.com/spreadsheets/d/1-uDff_7J0KD5mKrp0Vvzr7lt3OU09vwQwhkpOPPYv2Y/edit?usp=sharing"",""งบพรบ!DW50"")"),0)</f>
        <v>0</v>
      </c>
      <c r="O290" s="255">
        <f ca="1">IF(L290&gt;0,N290*100/L290,0)</f>
        <v>0</v>
      </c>
      <c r="P290" s="255">
        <f ca="1">IF(M290&gt;0,N290*100/M290,0)</f>
        <v>0</v>
      </c>
      <c r="Q290" s="255">
        <v>0</v>
      </c>
      <c r="R290" s="255">
        <v>0</v>
      </c>
      <c r="S290" s="255">
        <v>0</v>
      </c>
      <c r="T290" s="255">
        <f>IF(Q290&gt;0,S290*100/Q290,0)</f>
        <v>0</v>
      </c>
      <c r="U290" s="255">
        <f>IF(R290&gt;0,S290*100/R290,0)</f>
        <v>0</v>
      </c>
    </row>
    <row r="291" spans="1:21" ht="19.5" hidden="1">
      <c r="A291" s="166"/>
      <c r="B291" s="167"/>
      <c r="C291" s="156" t="s">
        <v>18</v>
      </c>
      <c r="D291" s="566" t="s">
        <v>38</v>
      </c>
      <c r="E291" s="169"/>
      <c r="F291" s="169"/>
      <c r="G291" s="170"/>
      <c r="H291" s="171"/>
      <c r="I291" s="163"/>
      <c r="J291" s="163"/>
      <c r="K291" s="164"/>
      <c r="L291" s="172"/>
      <c r="M291" s="164"/>
      <c r="N291" s="164"/>
      <c r="O291" s="164"/>
      <c r="P291" s="164"/>
      <c r="Q291" s="164"/>
      <c r="R291" s="164"/>
      <c r="S291" s="164"/>
      <c r="T291" s="164"/>
      <c r="U291" s="164"/>
    </row>
    <row r="292" spans="1:21" ht="18.75" hidden="1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212">
        <f ca="1">IFERROR(__xludf.DUMMYFUNCTION("IMPORTRANGE(""https://docs.google.com/spreadsheets/d/1eHaY18a8A9IcSdp1K8H6x8fbOy06t2VsZHhMHf-1x7Y/edit?usp=sharing"",""แผน!EE50"")"),0)</f>
        <v>0</v>
      </c>
      <c r="J292" s="467">
        <v>0</v>
      </c>
      <c r="K292" s="565">
        <f ca="1">IF(I292&gt;0,J292*100/I292,0)</f>
        <v>0</v>
      </c>
      <c r="L292" s="172"/>
      <c r="M292" s="164"/>
      <c r="N292" s="164"/>
      <c r="O292" s="164"/>
      <c r="P292" s="164"/>
      <c r="Q292" s="164"/>
      <c r="R292" s="164"/>
      <c r="S292" s="164"/>
      <c r="T292" s="164"/>
      <c r="U292" s="164"/>
    </row>
    <row r="293" spans="1:21" ht="19.5" hidden="1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373">
        <f ca="1">IFERROR(__xludf.DUMMYFUNCTION("IMPORTRANGE(""https://docs.google.com/spreadsheets/d/1eHaY18a8A9IcSdp1K8H6x8fbOy06t2VsZHhMHf-1x7Y/edit?usp=sharing"",""แผน!ED50"")"),0)</f>
        <v>0</v>
      </c>
      <c r="J293" s="373">
        <f>J296</f>
        <v>0</v>
      </c>
      <c r="K293" s="642">
        <f ca="1">IF(I293&gt;0,J293*100/I293,0)</f>
        <v>0</v>
      </c>
      <c r="L293" s="172"/>
      <c r="M293" s="164"/>
      <c r="N293" s="164"/>
      <c r="O293" s="164"/>
      <c r="P293" s="164"/>
      <c r="Q293" s="164"/>
      <c r="R293" s="164"/>
      <c r="S293" s="164"/>
      <c r="T293" s="164"/>
      <c r="U293" s="164"/>
    </row>
    <row r="294" spans="1:21" ht="19.5" hidden="1">
      <c r="A294" s="166"/>
      <c r="B294" s="167"/>
      <c r="C294" s="167"/>
      <c r="D294" s="174"/>
      <c r="E294" s="194" t="s">
        <v>122</v>
      </c>
      <c r="F294" s="174"/>
      <c r="G294" s="171"/>
      <c r="H294" s="171"/>
      <c r="I294" s="163"/>
      <c r="J294" s="54"/>
      <c r="K294" s="164"/>
      <c r="L294" s="172"/>
      <c r="M294" s="164"/>
      <c r="N294" s="164"/>
      <c r="O294" s="164"/>
      <c r="P294" s="164"/>
      <c r="Q294" s="164"/>
      <c r="R294" s="164"/>
      <c r="S294" s="164"/>
      <c r="T294" s="164"/>
      <c r="U294" s="164"/>
    </row>
    <row r="295" spans="1:21" ht="19.5" hidden="1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641">
        <f ca="1">IFERROR(__xludf.DUMMYFUNCTION("IMPORTRANGE(""https://docs.google.com/spreadsheets/d/1eHaY18a8A9IcSdp1K8H6x8fbOy06t2VsZHhMHf-1x7Y/edit?usp=sharing"",""แผน!ED50"")"),0)</f>
        <v>0</v>
      </c>
      <c r="J295" s="467">
        <v>0</v>
      </c>
      <c r="K295" s="565">
        <f ca="1">IF(I295&gt;0,J295*100/I295,0)</f>
        <v>0</v>
      </c>
      <c r="L295" s="172"/>
      <c r="M295" s="164"/>
      <c r="N295" s="164"/>
      <c r="O295" s="164"/>
      <c r="P295" s="164"/>
      <c r="Q295" s="164"/>
      <c r="R295" s="164"/>
      <c r="S295" s="164"/>
      <c r="T295" s="164"/>
      <c r="U295" s="164"/>
    </row>
    <row r="296" spans="1:21" ht="19.5" hidden="1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641">
        <f ca="1">IFERROR(__xludf.DUMMYFUNCTION("IMPORTRANGE(""https://docs.google.com/spreadsheets/d/1eHaY18a8A9IcSdp1K8H6x8fbOy06t2VsZHhMHf-1x7Y/edit?usp=sharing"",""แผน!ED50"")"),0)</f>
        <v>0</v>
      </c>
      <c r="J296" s="467">
        <v>0</v>
      </c>
      <c r="K296" s="565">
        <f ca="1">IF(I296&gt;0,J296*100/I296,0)</f>
        <v>0</v>
      </c>
      <c r="L296" s="172"/>
      <c r="M296" s="164"/>
      <c r="N296" s="164"/>
      <c r="O296" s="164"/>
      <c r="P296" s="164"/>
      <c r="Q296" s="164"/>
      <c r="R296" s="164"/>
      <c r="S296" s="164"/>
      <c r="T296" s="164"/>
      <c r="U296" s="164"/>
    </row>
    <row r="297" spans="1:21" ht="12.75" hidden="1">
      <c r="A297" s="192"/>
      <c r="B297" s="193"/>
      <c r="C297" s="193"/>
      <c r="D297" s="22"/>
      <c r="E297" s="22"/>
      <c r="F297" s="22"/>
      <c r="G297" s="23"/>
      <c r="H297" s="23"/>
      <c r="I297" s="24"/>
      <c r="J297" s="24"/>
      <c r="K297" s="25"/>
      <c r="L297" s="26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2.75" hidden="1">
      <c r="A298" s="192"/>
      <c r="B298" s="193"/>
      <c r="C298" s="193"/>
      <c r="D298" s="22"/>
      <c r="E298" s="22"/>
      <c r="F298" s="22"/>
      <c r="G298" s="23"/>
      <c r="H298" s="23"/>
      <c r="I298" s="24"/>
      <c r="J298" s="24"/>
      <c r="K298" s="25"/>
      <c r="L298" s="26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2.75" hidden="1">
      <c r="A299" s="311"/>
      <c r="B299" s="312"/>
      <c r="C299" s="312"/>
      <c r="D299" s="27"/>
      <c r="E299" s="27"/>
      <c r="F299" s="27"/>
      <c r="G299" s="17"/>
      <c r="H299" s="17"/>
      <c r="I299" s="18"/>
      <c r="J299" s="18"/>
      <c r="K299" s="19"/>
      <c r="L299" s="28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>
      <c r="A300" s="313" t="s">
        <v>125</v>
      </c>
      <c r="B300" s="314"/>
      <c r="C300" s="314"/>
      <c r="D300" s="314"/>
      <c r="E300" s="315"/>
      <c r="F300" s="315"/>
      <c r="G300" s="315"/>
      <c r="H300" s="315"/>
      <c r="I300" s="316"/>
      <c r="J300" s="316"/>
      <c r="K300" s="317"/>
      <c r="L300" s="317"/>
      <c r="M300" s="317"/>
      <c r="N300" s="317"/>
      <c r="O300" s="317"/>
      <c r="P300" s="318"/>
      <c r="Q300" s="317"/>
      <c r="R300" s="317"/>
      <c r="S300" s="317"/>
      <c r="T300" s="317"/>
      <c r="U300" s="318"/>
    </row>
    <row r="301" spans="1:21" ht="19.5">
      <c r="A301" s="319" t="s">
        <v>126</v>
      </c>
      <c r="B301" s="320"/>
      <c r="C301" s="320"/>
      <c r="D301" s="321"/>
      <c r="E301" s="321"/>
      <c r="F301" s="321"/>
      <c r="G301" s="322"/>
      <c r="H301" s="322"/>
      <c r="I301" s="323"/>
      <c r="J301" s="323"/>
      <c r="K301" s="324"/>
      <c r="L301" s="325"/>
      <c r="M301" s="324"/>
      <c r="N301" s="324"/>
      <c r="O301" s="324"/>
      <c r="P301" s="324"/>
      <c r="Q301" s="324"/>
      <c r="R301" s="324"/>
      <c r="S301" s="324"/>
      <c r="T301" s="324"/>
      <c r="U301" s="324"/>
    </row>
    <row r="302" spans="1:21" ht="19.5">
      <c r="A302" s="326"/>
      <c r="B302" s="327" t="s">
        <v>127</v>
      </c>
      <c r="C302" s="328"/>
      <c r="D302" s="328"/>
      <c r="E302" s="328"/>
      <c r="F302" s="328"/>
      <c r="G302" s="329"/>
      <c r="H302" s="330" t="s">
        <v>35</v>
      </c>
      <c r="I302" s="605">
        <f ca="1">I314</f>
        <v>20</v>
      </c>
      <c r="J302" s="605">
        <f>J314</f>
        <v>0</v>
      </c>
      <c r="K302" s="604">
        <f ca="1">IF(I302&gt;0,J302*100/I302,0)</f>
        <v>0</v>
      </c>
      <c r="L302" s="334"/>
      <c r="M302" s="333"/>
      <c r="N302" s="333"/>
      <c r="O302" s="333"/>
      <c r="P302" s="333"/>
      <c r="Q302" s="333"/>
      <c r="R302" s="333"/>
      <c r="S302" s="333"/>
      <c r="T302" s="333"/>
      <c r="U302" s="333"/>
    </row>
    <row r="303" spans="1:21" ht="19.5">
      <c r="A303" s="155"/>
      <c r="B303" s="50"/>
      <c r="C303" s="156" t="s">
        <v>18</v>
      </c>
      <c r="D303" s="575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541">
        <f ca="1">L304+L305</f>
        <v>133500</v>
      </c>
      <c r="M303" s="540">
        <f ca="1">M304+M305</f>
        <v>133500</v>
      </c>
      <c r="N303" s="540">
        <f ca="1">N304+N305</f>
        <v>100200</v>
      </c>
      <c r="O303" s="540">
        <f ca="1">IF(L303&gt;0,N303*100/L303,0)</f>
        <v>75.056179775280896</v>
      </c>
      <c r="P303" s="540">
        <f ca="1">IF(M303&gt;0,N303*100/M303,0)</f>
        <v>75.056179775280896</v>
      </c>
      <c r="Q303" s="540">
        <f ca="1">Q304+Q305</f>
        <v>144609.24</v>
      </c>
      <c r="R303" s="540">
        <f ca="1">R304+R305</f>
        <v>144609</v>
      </c>
      <c r="S303" s="540">
        <f ca="1">S304+S305</f>
        <v>8000</v>
      </c>
      <c r="T303" s="540">
        <f ca="1">IF(Q303&gt;0,S303*100/Q303,0)</f>
        <v>5.5321499511372858</v>
      </c>
      <c r="U303" s="540">
        <f ca="1">IF(R303&gt;0,S303*100/R303,0)</f>
        <v>5.5321591325574477</v>
      </c>
    </row>
    <row r="304" spans="1:21" ht="18.75" hidden="1">
      <c r="A304" s="155"/>
      <c r="B304" s="50"/>
      <c r="C304" s="50"/>
      <c r="D304" s="50"/>
      <c r="E304" s="186" t="s">
        <v>20</v>
      </c>
      <c r="F304" s="50"/>
      <c r="G304" s="52"/>
      <c r="H304" s="187" t="s">
        <v>14</v>
      </c>
      <c r="I304" s="54"/>
      <c r="J304" s="54"/>
      <c r="K304" s="55"/>
      <c r="L304" s="103">
        <f>L307+L310</f>
        <v>0</v>
      </c>
      <c r="M304" s="102">
        <f>M307+M310</f>
        <v>0</v>
      </c>
      <c r="N304" s="102">
        <f>N307+N310</f>
        <v>0</v>
      </c>
      <c r="O304" s="102">
        <f>IF(L304&gt;0,N304*100/L304,0)</f>
        <v>0</v>
      </c>
      <c r="P304" s="102">
        <f>IF(M304&gt;0,N304*100/M304,0)</f>
        <v>0</v>
      </c>
      <c r="Q304" s="102">
        <f>Q307+Q310</f>
        <v>0</v>
      </c>
      <c r="R304" s="102">
        <f>R307+R310</f>
        <v>0</v>
      </c>
      <c r="S304" s="102">
        <f>S307+S310</f>
        <v>0</v>
      </c>
      <c r="T304" s="102">
        <f>IF(Q304&gt;0,S304*100/Q304,0)</f>
        <v>0</v>
      </c>
      <c r="U304" s="102">
        <f>IF(R304&gt;0,S304*100/R304,0)</f>
        <v>0</v>
      </c>
    </row>
    <row r="305" spans="1:21" ht="18.75" hidden="1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256">
        <f ca="1">L308+L311</f>
        <v>133500</v>
      </c>
      <c r="M305" s="255">
        <f ca="1">M308+M311</f>
        <v>133500</v>
      </c>
      <c r="N305" s="255">
        <f ca="1">N308+N311</f>
        <v>100200</v>
      </c>
      <c r="O305" s="255">
        <f ca="1">IF(L305&gt;0,N305*100/L305,0)</f>
        <v>75.056179775280896</v>
      </c>
      <c r="P305" s="255">
        <f ca="1">IF(M305&gt;0,N305*100/M305,0)</f>
        <v>75.056179775280896</v>
      </c>
      <c r="Q305" s="255">
        <f ca="1">Q308+Q311</f>
        <v>144609.24</v>
      </c>
      <c r="R305" s="255">
        <f ca="1">R308+R311</f>
        <v>144609</v>
      </c>
      <c r="S305" s="255">
        <f ca="1">S308+S311</f>
        <v>8000</v>
      </c>
      <c r="T305" s="255">
        <f ca="1">IF(Q305&gt;0,S305*100/Q305,0)</f>
        <v>5.5321499511372858</v>
      </c>
      <c r="U305" s="255">
        <f ca="1">IF(R305&gt;0,S305*100/R305,0)</f>
        <v>5.5321591325574477</v>
      </c>
    </row>
    <row r="306" spans="1:21" ht="18.75">
      <c r="A306" s="155"/>
      <c r="B306" s="50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256">
        <f ca="1">L307+L308</f>
        <v>133500</v>
      </c>
      <c r="M306" s="255">
        <f ca="1">M307+M308</f>
        <v>133500</v>
      </c>
      <c r="N306" s="255">
        <f ca="1">N307+N308</f>
        <v>100200</v>
      </c>
      <c r="O306" s="255">
        <f ca="1">IF(L306&gt;0,N306*100/L306,0)</f>
        <v>75.056179775280896</v>
      </c>
      <c r="P306" s="255">
        <f ca="1">IF(M306&gt;0,N306*100/M306,0)</f>
        <v>75.056179775280896</v>
      </c>
      <c r="Q306" s="255">
        <f ca="1">Q307+Q308</f>
        <v>144609.24</v>
      </c>
      <c r="R306" s="255">
        <f ca="1">R307+R308</f>
        <v>144609</v>
      </c>
      <c r="S306" s="255">
        <f ca="1">S307+S308</f>
        <v>8000</v>
      </c>
      <c r="T306" s="255">
        <f ca="1">IF(Q306&gt;0,S306*100/Q306,0)</f>
        <v>5.5321499511372858</v>
      </c>
      <c r="U306" s="255">
        <f ca="1">IF(R306&gt;0,S306*100/R306,0)</f>
        <v>5.5321591325574477</v>
      </c>
    </row>
    <row r="307" spans="1:21" ht="18.75" hidden="1">
      <c r="A307" s="155"/>
      <c r="B307" s="50"/>
      <c r="C307" s="50"/>
      <c r="D307" s="50"/>
      <c r="E307" s="186" t="s">
        <v>36</v>
      </c>
      <c r="F307" s="50"/>
      <c r="G307" s="52"/>
      <c r="H307" s="189" t="s">
        <v>14</v>
      </c>
      <c r="I307" s="163"/>
      <c r="J307" s="163"/>
      <c r="K307" s="164"/>
      <c r="L307" s="103">
        <v>0</v>
      </c>
      <c r="M307" s="102">
        <v>0</v>
      </c>
      <c r="N307" s="102">
        <v>0</v>
      </c>
      <c r="O307" s="102">
        <f>IF(L307&gt;0,N307*100/L307,0)</f>
        <v>0</v>
      </c>
      <c r="P307" s="102">
        <f>IF(M307&gt;0,N307*100/M307,0)</f>
        <v>0</v>
      </c>
      <c r="Q307" s="102">
        <v>0</v>
      </c>
      <c r="R307" s="102">
        <v>0</v>
      </c>
      <c r="S307" s="102">
        <v>0</v>
      </c>
      <c r="T307" s="102">
        <f>IF(Q307&gt;0,S307*100/Q307,0)</f>
        <v>0</v>
      </c>
      <c r="U307" s="102">
        <f>IF(R307&gt;0,S307*100/R307,0)</f>
        <v>0</v>
      </c>
    </row>
    <row r="308" spans="1:21" ht="18.75" hidden="1">
      <c r="A308" s="155"/>
      <c r="B308" s="50"/>
      <c r="C308" s="50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256">
        <f ca="1">IFERROR(__xludf.DUMMYFUNCTION("IMPORTRANGE(""https://docs.google.com/spreadsheets/d/1-uDff_7J0KD5mKrp0Vvzr7lt3OU09vwQwhkpOPPYv2Y/edit?usp=sharing"",""งบพรบ!DY50"")"),133500)</f>
        <v>133500</v>
      </c>
      <c r="M308" s="255">
        <f ca="1">IFERROR(__xludf.DUMMYFUNCTION("IMPORTRANGE(""https://docs.google.com/spreadsheets/d/1-uDff_7J0KD5mKrp0Vvzr7lt3OU09vwQwhkpOPPYv2Y/edit?usp=sharing"",""งบพรบ!ED50"")"),133500)</f>
        <v>133500</v>
      </c>
      <c r="N308" s="255">
        <f ca="1">IFERROR(__xludf.DUMMYFUNCTION("IMPORTRANGE(""https://docs.google.com/spreadsheets/d/1-uDff_7J0KD5mKrp0Vvzr7lt3OU09vwQwhkpOPPYv2Y/edit?usp=sharing"",""งบพรบ!EF50"")"),100200)</f>
        <v>100200</v>
      </c>
      <c r="O308" s="255">
        <f ca="1">IF(L308&gt;0,N308*100/L308,0)</f>
        <v>75.056179775280896</v>
      </c>
      <c r="P308" s="255">
        <f ca="1">IF(M308&gt;0,N308*100/M308,0)</f>
        <v>75.056179775280896</v>
      </c>
      <c r="Q308" s="255">
        <f ca="1">IFERROR(__xludf.DUMMYFUNCTION("IMPORTRANGE(""https://docs.google.com/spreadsheets/d/1ItG2mGa2ceCfYo0BwxsXqNm01IGEUdYcSSLTEv9YCik/edit?usp=sharing"",""เบิกจ่ายกองทุน!AP50"")"),144609.24)</f>
        <v>144609.24</v>
      </c>
      <c r="R308" s="255">
        <f ca="1">IFERROR(__xludf.DUMMYFUNCTION("IMPORTRANGE(""https://docs.google.com/spreadsheets/d/1ItG2mGa2ceCfYo0BwxsXqNm01IGEUdYcSSLTEv9YCik/edit?usp=sharing"",""เบิกจ่ายกองทุน!AQ50"")"),144609)</f>
        <v>144609</v>
      </c>
      <c r="S308" s="255">
        <f ca="1">IFERROR(__xludf.DUMMYFUNCTION("IMPORTRANGE(""https://docs.google.com/spreadsheets/d/1ItG2mGa2ceCfYo0BwxsXqNm01IGEUdYcSSLTEv9YCik/edit?usp=sharing"",""เบิกจ่ายกองทุน!AR50"")"),8000)</f>
        <v>8000</v>
      </c>
      <c r="T308" s="255">
        <f ca="1">IF(Q308&gt;0,S308*100/Q308,0)</f>
        <v>5.5321499511372858</v>
      </c>
      <c r="U308" s="255">
        <f ca="1">IF(R308&gt;0,S308*100/R308,0)</f>
        <v>5.5321591325574477</v>
      </c>
    </row>
    <row r="309" spans="1:21" ht="18.75">
      <c r="A309" s="155"/>
      <c r="B309" s="50"/>
      <c r="C309" s="50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256">
        <f ca="1">L310+L311</f>
        <v>0</v>
      </c>
      <c r="M309" s="255">
        <f ca="1">M310+M311</f>
        <v>0</v>
      </c>
      <c r="N309" s="255">
        <f ca="1">N310+N311</f>
        <v>0</v>
      </c>
      <c r="O309" s="255">
        <f ca="1">IF(L309&gt;0,N309*100/L309,0)</f>
        <v>0</v>
      </c>
      <c r="P309" s="255">
        <f ca="1">IF(M309&gt;0,N309*100/M309,0)</f>
        <v>0</v>
      </c>
      <c r="Q309" s="255">
        <f>Q310+Q311</f>
        <v>0</v>
      </c>
      <c r="R309" s="255">
        <f>R310+R311</f>
        <v>0</v>
      </c>
      <c r="S309" s="255">
        <f>S310+S311</f>
        <v>0</v>
      </c>
      <c r="T309" s="255">
        <f>IF(Q309&gt;0,S309*100/Q309,0)</f>
        <v>0</v>
      </c>
      <c r="U309" s="255">
        <f>IF(R309&gt;0,S309*100/R309,0)</f>
        <v>0</v>
      </c>
    </row>
    <row r="310" spans="1:21" ht="18.75" hidden="1">
      <c r="A310" s="155"/>
      <c r="B310" s="50"/>
      <c r="C310" s="50"/>
      <c r="D310" s="50"/>
      <c r="E310" s="186" t="s">
        <v>20</v>
      </c>
      <c r="F310" s="50"/>
      <c r="G310" s="52"/>
      <c r="H310" s="189" t="s">
        <v>14</v>
      </c>
      <c r="I310" s="163"/>
      <c r="J310" s="163"/>
      <c r="K310" s="164"/>
      <c r="L310" s="103">
        <v>0</v>
      </c>
      <c r="M310" s="102">
        <v>0</v>
      </c>
      <c r="N310" s="102">
        <v>0</v>
      </c>
      <c r="O310" s="102">
        <f>IF(L310&gt;0,N310*100/L310,0)</f>
        <v>0</v>
      </c>
      <c r="P310" s="102">
        <f>IF(M310&gt;0,N310*100/M310,0)</f>
        <v>0</v>
      </c>
      <c r="Q310" s="102">
        <v>0</v>
      </c>
      <c r="R310" s="102">
        <v>0</v>
      </c>
      <c r="S310" s="102">
        <v>0</v>
      </c>
      <c r="T310" s="102">
        <f>IF(Q310&gt;0,S310*100/Q310,0)</f>
        <v>0</v>
      </c>
      <c r="U310" s="102">
        <f>IF(R310&gt;0,S310*100/R310,0)</f>
        <v>0</v>
      </c>
    </row>
    <row r="311" spans="1:21" ht="18.75" hidden="1">
      <c r="A311" s="155"/>
      <c r="B311" s="50"/>
      <c r="C311" s="50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256">
        <f ca="1">IFERROR(__xludf.DUMMYFUNCTION("IMPORTRANGE(""https://docs.google.com/spreadsheets/d/1-uDff_7J0KD5mKrp0Vvzr7lt3OU09vwQwhkpOPPYv2Y/edit?usp=sharing"",""งบพรบ!EB50"")"),0)</f>
        <v>0</v>
      </c>
      <c r="M311" s="255">
        <f ca="1">IFERROR(__xludf.DUMMYFUNCTION("IMPORTRANGE(""https://docs.google.com/spreadsheets/d/1-uDff_7J0KD5mKrp0Vvzr7lt3OU09vwQwhkpOPPYv2Y/edit?usp=sharing"",""งบพรบ!EE50"")"),0)</f>
        <v>0</v>
      </c>
      <c r="N311" s="255">
        <f ca="1">IFERROR(__xludf.DUMMYFUNCTION("IMPORTRANGE(""https://docs.google.com/spreadsheets/d/1-uDff_7J0KD5mKrp0Vvzr7lt3OU09vwQwhkpOPPYv2Y/edit?usp=sharing"",""งบพรบ!EG50"")"),0)</f>
        <v>0</v>
      </c>
      <c r="O311" s="255">
        <f ca="1">IF(L311&gt;0,N311*100/L311,0)</f>
        <v>0</v>
      </c>
      <c r="P311" s="255">
        <f ca="1">IF(M311&gt;0,N311*100/M311,0)</f>
        <v>0</v>
      </c>
      <c r="Q311" s="255">
        <v>0</v>
      </c>
      <c r="R311" s="255">
        <v>0</v>
      </c>
      <c r="S311" s="255">
        <v>0</v>
      </c>
      <c r="T311" s="255">
        <f>IF(Q311&gt;0,S311*100/Q311,0)</f>
        <v>0</v>
      </c>
      <c r="U311" s="255">
        <f>IF(R311&gt;0,S311*100/R311,0)</f>
        <v>0</v>
      </c>
    </row>
    <row r="312" spans="1:21" ht="19.5">
      <c r="A312" s="166"/>
      <c r="B312" s="167"/>
      <c r="C312" s="156" t="s">
        <v>18</v>
      </c>
      <c r="D312" s="566" t="s">
        <v>38</v>
      </c>
      <c r="E312" s="169"/>
      <c r="F312" s="169"/>
      <c r="G312" s="170"/>
      <c r="H312" s="171"/>
      <c r="I312" s="54"/>
      <c r="J312" s="54"/>
      <c r="K312" s="55"/>
      <c r="L312" s="62"/>
      <c r="M312" s="55"/>
      <c r="N312" s="55"/>
      <c r="O312" s="55"/>
      <c r="P312" s="55"/>
      <c r="Q312" s="55"/>
      <c r="R312" s="55"/>
      <c r="S312" s="55"/>
      <c r="T312" s="55"/>
      <c r="U312" s="55"/>
    </row>
    <row r="313" spans="1:21" ht="18.75" hidden="1">
      <c r="A313" s="192"/>
      <c r="B313" s="193"/>
      <c r="C313" s="193"/>
      <c r="D313" s="640"/>
      <c r="E313" s="22"/>
      <c r="F313" s="22"/>
      <c r="G313" s="23"/>
      <c r="H313" s="23"/>
      <c r="I313" s="24"/>
      <c r="J313" s="638"/>
      <c r="K313" s="25"/>
      <c r="L313" s="26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8.75">
      <c r="A314" s="166"/>
      <c r="B314" s="167"/>
      <c r="C314" s="167"/>
      <c r="D314" s="178" t="s">
        <v>121</v>
      </c>
      <c r="E314" s="174"/>
      <c r="F314" s="174"/>
      <c r="G314" s="171"/>
      <c r="H314" s="179" t="s">
        <v>35</v>
      </c>
      <c r="I314" s="212">
        <f ca="1">IFERROR(__xludf.DUMMYFUNCTION("IMPORTRANGE(""https://docs.google.com/spreadsheets/d/1eHaY18a8A9IcSdp1K8H6x8fbOy06t2VsZHhMHf-1x7Y/edit?usp=sharing"",""แผน!EF50"")"),20)</f>
        <v>20</v>
      </c>
      <c r="J314" s="467">
        <v>0</v>
      </c>
      <c r="K314" s="255">
        <f ca="1">IF(I314&gt;0,J314*100/I314,0)</f>
        <v>0</v>
      </c>
      <c r="L314" s="62"/>
      <c r="M314" s="55"/>
      <c r="N314" s="55"/>
      <c r="O314" s="55"/>
      <c r="P314" s="55"/>
      <c r="Q314" s="55"/>
      <c r="R314" s="55"/>
      <c r="S314" s="55"/>
      <c r="T314" s="55"/>
      <c r="U314" s="55"/>
    </row>
    <row r="315" spans="1:21" ht="18.75" hidden="1">
      <c r="A315" s="192"/>
      <c r="B315" s="193"/>
      <c r="C315" s="193"/>
      <c r="D315" s="640"/>
      <c r="E315" s="22"/>
      <c r="F315" s="22"/>
      <c r="G315" s="23"/>
      <c r="H315" s="639"/>
      <c r="I315" s="638"/>
      <c r="J315" s="638"/>
      <c r="K315" s="637"/>
      <c r="L315" s="26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8.75" hidden="1">
      <c r="A316" s="192"/>
      <c r="B316" s="193"/>
      <c r="C316" s="193"/>
      <c r="D316" s="640"/>
      <c r="E316" s="22"/>
      <c r="F316" s="22"/>
      <c r="G316" s="23"/>
      <c r="H316" s="639"/>
      <c r="I316" s="638"/>
      <c r="J316" s="638"/>
      <c r="K316" s="637"/>
      <c r="L316" s="26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8.75" hidden="1">
      <c r="A317" s="192"/>
      <c r="B317" s="193"/>
      <c r="C317" s="193"/>
      <c r="D317" s="636"/>
      <c r="E317" s="22"/>
      <c r="F317" s="22"/>
      <c r="G317" s="23"/>
      <c r="H317" s="635"/>
      <c r="I317" s="638"/>
      <c r="J317" s="634"/>
      <c r="K317" s="633"/>
      <c r="L317" s="26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9.5" hidden="1">
      <c r="A318" s="319" t="s">
        <v>131</v>
      </c>
      <c r="B318" s="320"/>
      <c r="C318" s="320"/>
      <c r="D318" s="321"/>
      <c r="E318" s="320"/>
      <c r="F318" s="320"/>
      <c r="G318" s="320"/>
      <c r="H318" s="321"/>
      <c r="I318" s="323"/>
      <c r="J318" s="323"/>
      <c r="K318" s="324"/>
      <c r="L318" s="325"/>
      <c r="M318" s="324"/>
      <c r="N318" s="324"/>
      <c r="O318" s="324"/>
      <c r="P318" s="324"/>
      <c r="Q318" s="324"/>
      <c r="R318" s="324"/>
      <c r="S318" s="324"/>
      <c r="T318" s="324"/>
      <c r="U318" s="324"/>
    </row>
    <row r="319" spans="1:21" ht="19.5" hidden="1">
      <c r="A319" s="335"/>
      <c r="B319" s="327" t="s">
        <v>132</v>
      </c>
      <c r="C319" s="336"/>
      <c r="D319" s="337"/>
      <c r="E319" s="328"/>
      <c r="F319" s="328"/>
      <c r="G319" s="329"/>
      <c r="H319" s="330" t="s">
        <v>133</v>
      </c>
      <c r="I319" s="605">
        <f ca="1">I330</f>
        <v>0</v>
      </c>
      <c r="J319" s="605">
        <f>J330</f>
        <v>0</v>
      </c>
      <c r="K319" s="604">
        <f ca="1">IF(I319&gt;0,J319*100/I319,0)</f>
        <v>0</v>
      </c>
      <c r="L319" s="334"/>
      <c r="M319" s="333"/>
      <c r="N319" s="333"/>
      <c r="O319" s="333"/>
      <c r="P319" s="333"/>
      <c r="Q319" s="333"/>
      <c r="R319" s="333"/>
      <c r="S319" s="333"/>
      <c r="T319" s="333"/>
      <c r="U319" s="333"/>
    </row>
    <row r="320" spans="1:21" ht="19.5" hidden="1">
      <c r="A320" s="155"/>
      <c r="B320" s="50"/>
      <c r="C320" s="156" t="s">
        <v>18</v>
      </c>
      <c r="D320" s="575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541">
        <f ca="1">L321+L322</f>
        <v>0</v>
      </c>
      <c r="M320" s="540">
        <f ca="1">M321+M322</f>
        <v>0</v>
      </c>
      <c r="N320" s="540">
        <f ca="1">N321+N322</f>
        <v>0</v>
      </c>
      <c r="O320" s="540">
        <f ca="1">IF(L320&gt;0,N320*100/L320,0)</f>
        <v>0</v>
      </c>
      <c r="P320" s="540">
        <f ca="1">IF(M320&gt;0,N320*100/M320,0)</f>
        <v>0</v>
      </c>
      <c r="Q320" s="540">
        <f>Q321+Q322</f>
        <v>0</v>
      </c>
      <c r="R320" s="540">
        <f>R321+R322</f>
        <v>0</v>
      </c>
      <c r="S320" s="540">
        <f>S321+S322</f>
        <v>0</v>
      </c>
      <c r="T320" s="540">
        <f>IF(Q320&gt;0,S320*100/Q320,0)</f>
        <v>0</v>
      </c>
      <c r="U320" s="540">
        <f>IF(R320&gt;0,S320*100/R320,0)</f>
        <v>0</v>
      </c>
    </row>
    <row r="321" spans="1:21" ht="18.75" hidden="1">
      <c r="A321" s="155"/>
      <c r="B321" s="50"/>
      <c r="C321" s="50"/>
      <c r="D321" s="50"/>
      <c r="E321" s="186" t="s">
        <v>20</v>
      </c>
      <c r="F321" s="50"/>
      <c r="G321" s="52"/>
      <c r="H321" s="187" t="s">
        <v>14</v>
      </c>
      <c r="I321" s="54"/>
      <c r="J321" s="54"/>
      <c r="K321" s="55"/>
      <c r="L321" s="103">
        <f>L324+L327</f>
        <v>0</v>
      </c>
      <c r="M321" s="102">
        <f>M324+M327</f>
        <v>0</v>
      </c>
      <c r="N321" s="102">
        <f>N324+N327</f>
        <v>0</v>
      </c>
      <c r="O321" s="102">
        <f>IF(L321&gt;0,N321*100/L321,0)</f>
        <v>0</v>
      </c>
      <c r="P321" s="102">
        <f>IF(M321&gt;0,N321*100/M321,0)</f>
        <v>0</v>
      </c>
      <c r="Q321" s="102">
        <f>Q324+Q327</f>
        <v>0</v>
      </c>
      <c r="R321" s="102">
        <f>R324+R327</f>
        <v>0</v>
      </c>
      <c r="S321" s="102">
        <f>S324+S327</f>
        <v>0</v>
      </c>
      <c r="T321" s="102">
        <f>IF(Q321&gt;0,S321*100/Q321,0)</f>
        <v>0</v>
      </c>
      <c r="U321" s="102">
        <f>IF(R321&gt;0,S321*100/R321,0)</f>
        <v>0</v>
      </c>
    </row>
    <row r="322" spans="1:21" ht="18.75" hidden="1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256">
        <f ca="1">L325+L328</f>
        <v>0</v>
      </c>
      <c r="M322" s="255">
        <f ca="1">M325+M328</f>
        <v>0</v>
      </c>
      <c r="N322" s="255">
        <f ca="1">N325+N328</f>
        <v>0</v>
      </c>
      <c r="O322" s="255">
        <f ca="1">IF(L322&gt;0,N322*100/L322,0)</f>
        <v>0</v>
      </c>
      <c r="P322" s="255">
        <f ca="1">IF(M322&gt;0,N322*100/M322,0)</f>
        <v>0</v>
      </c>
      <c r="Q322" s="255">
        <f>Q325+Q328</f>
        <v>0</v>
      </c>
      <c r="R322" s="255">
        <f>R325+R328</f>
        <v>0</v>
      </c>
      <c r="S322" s="255">
        <f>S325+S328</f>
        <v>0</v>
      </c>
      <c r="T322" s="255">
        <f>IF(Q322&gt;0,S322*100/Q322,0)</f>
        <v>0</v>
      </c>
      <c r="U322" s="255">
        <f>IF(R322&gt;0,S322*100/R322,0)</f>
        <v>0</v>
      </c>
    </row>
    <row r="323" spans="1:21" ht="18.75" hidden="1">
      <c r="A323" s="155"/>
      <c r="B323" s="50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256">
        <f ca="1">L324+L325</f>
        <v>0</v>
      </c>
      <c r="M323" s="255">
        <f ca="1">M324+M325</f>
        <v>0</v>
      </c>
      <c r="N323" s="255">
        <f ca="1">N324+N325</f>
        <v>0</v>
      </c>
      <c r="O323" s="255">
        <f ca="1">IF(L323&gt;0,N323*100/L323,0)</f>
        <v>0</v>
      </c>
      <c r="P323" s="255">
        <f ca="1">IF(M323&gt;0,N323*100/M323,0)</f>
        <v>0</v>
      </c>
      <c r="Q323" s="255">
        <f>Q324+Q325</f>
        <v>0</v>
      </c>
      <c r="R323" s="255">
        <f>R324+R325</f>
        <v>0</v>
      </c>
      <c r="S323" s="255">
        <f>S324+S325</f>
        <v>0</v>
      </c>
      <c r="T323" s="255">
        <f>IF(Q323&gt;0,S323*100/Q323,0)</f>
        <v>0</v>
      </c>
      <c r="U323" s="255">
        <f>IF(R323&gt;0,S323*100/R323,0)</f>
        <v>0</v>
      </c>
    </row>
    <row r="324" spans="1:21" ht="18.75" hidden="1">
      <c r="A324" s="155"/>
      <c r="B324" s="50"/>
      <c r="C324" s="50"/>
      <c r="D324" s="50"/>
      <c r="E324" s="186" t="s">
        <v>36</v>
      </c>
      <c r="F324" s="50"/>
      <c r="G324" s="52"/>
      <c r="H324" s="189" t="s">
        <v>14</v>
      </c>
      <c r="I324" s="163"/>
      <c r="J324" s="163"/>
      <c r="K324" s="164"/>
      <c r="L324" s="103">
        <v>0</v>
      </c>
      <c r="M324" s="102">
        <v>0</v>
      </c>
      <c r="N324" s="102">
        <v>0</v>
      </c>
      <c r="O324" s="102">
        <f>IF(L324&gt;0,N324*100/L324,0)</f>
        <v>0</v>
      </c>
      <c r="P324" s="102">
        <f>IF(M324&gt;0,N324*100/M324,0)</f>
        <v>0</v>
      </c>
      <c r="Q324" s="102">
        <v>0</v>
      </c>
      <c r="R324" s="102">
        <v>0</v>
      </c>
      <c r="S324" s="102">
        <v>0</v>
      </c>
      <c r="T324" s="102">
        <f>IF(Q324&gt;0,S324*100/Q324,0)</f>
        <v>0</v>
      </c>
      <c r="U324" s="102">
        <f>IF(R324&gt;0,S324*100/R324,0)</f>
        <v>0</v>
      </c>
    </row>
    <row r="325" spans="1:21" ht="18.75" hidden="1">
      <c r="A325" s="155"/>
      <c r="B325" s="50"/>
      <c r="C325" s="50"/>
      <c r="D325" s="50"/>
      <c r="E325" s="58" t="s">
        <v>37</v>
      </c>
      <c r="F325" s="50"/>
      <c r="G325" s="52"/>
      <c r="H325" s="162" t="s">
        <v>14</v>
      </c>
      <c r="I325" s="163"/>
      <c r="J325" s="163"/>
      <c r="K325" s="164"/>
      <c r="L325" s="256">
        <f ca="1">IFERROR(__xludf.DUMMYFUNCTION("IMPORTRANGE(""https://docs.google.com/spreadsheets/d/1-uDff_7J0KD5mKrp0Vvzr7lt3OU09vwQwhkpOPPYv2Y/edit?usp=sharing"",""งบพรบ!EI50"")"),0)</f>
        <v>0</v>
      </c>
      <c r="M325" s="255">
        <f ca="1">IFERROR(__xludf.DUMMYFUNCTION("IMPORTRANGE(""https://docs.google.com/spreadsheets/d/1-uDff_7J0KD5mKrp0Vvzr7lt3OU09vwQwhkpOPPYv2Y/edit?usp=sharing"",""งบพรบ!EN50"")"),0)</f>
        <v>0</v>
      </c>
      <c r="N325" s="255">
        <f ca="1">IFERROR(__xludf.DUMMYFUNCTION("IMPORTRANGE(""https://docs.google.com/spreadsheets/d/1-uDff_7J0KD5mKrp0Vvzr7lt3OU09vwQwhkpOPPYv2Y/edit?usp=sharing"",""งบพรบ!EP50"")"),0)</f>
        <v>0</v>
      </c>
      <c r="O325" s="255">
        <f ca="1">IF(L325&gt;0,N325*100/L325,0)</f>
        <v>0</v>
      </c>
      <c r="P325" s="255">
        <f ca="1">IF(M325&gt;0,N325*100/M325,0)</f>
        <v>0</v>
      </c>
      <c r="Q325" s="255">
        <v>0</v>
      </c>
      <c r="R325" s="255">
        <v>0</v>
      </c>
      <c r="S325" s="255">
        <v>0</v>
      </c>
      <c r="T325" s="255">
        <f>IF(Q325&gt;0,S325*100/Q325,0)</f>
        <v>0</v>
      </c>
      <c r="U325" s="255">
        <f>IF(R325&gt;0,S325*100/R325,0)</f>
        <v>0</v>
      </c>
    </row>
    <row r="326" spans="1:21" ht="18.75" hidden="1">
      <c r="A326" s="155"/>
      <c r="B326" s="50"/>
      <c r="C326" s="50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256">
        <f ca="1">L327+L328</f>
        <v>0</v>
      </c>
      <c r="M326" s="255">
        <f ca="1">M327+M328</f>
        <v>0</v>
      </c>
      <c r="N326" s="255">
        <f ca="1">N327+N328</f>
        <v>0</v>
      </c>
      <c r="O326" s="255">
        <f ca="1">IF(L326&gt;0,N326*100/L326,0)</f>
        <v>0</v>
      </c>
      <c r="P326" s="255">
        <f ca="1">IF(M326&gt;0,N326*100/M326,0)</f>
        <v>0</v>
      </c>
      <c r="Q326" s="255">
        <f>Q327+Q328</f>
        <v>0</v>
      </c>
      <c r="R326" s="255">
        <f>R327+R328</f>
        <v>0</v>
      </c>
      <c r="S326" s="255">
        <f>S327+S328</f>
        <v>0</v>
      </c>
      <c r="T326" s="255">
        <f>IF(Q326&gt;0,S326*100/Q326,0)</f>
        <v>0</v>
      </c>
      <c r="U326" s="255">
        <f>IF(R326&gt;0,S326*100/R326,0)</f>
        <v>0</v>
      </c>
    </row>
    <row r="327" spans="1:21" ht="18.75" hidden="1">
      <c r="A327" s="155"/>
      <c r="B327" s="50"/>
      <c r="C327" s="50"/>
      <c r="D327" s="50"/>
      <c r="E327" s="186" t="s">
        <v>20</v>
      </c>
      <c r="F327" s="50"/>
      <c r="G327" s="52"/>
      <c r="H327" s="189" t="s">
        <v>14</v>
      </c>
      <c r="I327" s="163"/>
      <c r="J327" s="163"/>
      <c r="K327" s="164"/>
      <c r="L327" s="103">
        <v>0</v>
      </c>
      <c r="M327" s="102">
        <v>0</v>
      </c>
      <c r="N327" s="102">
        <v>0</v>
      </c>
      <c r="O327" s="102">
        <f>IF(L327&gt;0,N327*100/L327,0)</f>
        <v>0</v>
      </c>
      <c r="P327" s="102">
        <f>IF(M327&gt;0,N327*100/M327,0)</f>
        <v>0</v>
      </c>
      <c r="Q327" s="102">
        <v>0</v>
      </c>
      <c r="R327" s="102">
        <v>0</v>
      </c>
      <c r="S327" s="102">
        <v>0</v>
      </c>
      <c r="T327" s="102">
        <f>IF(Q327&gt;0,S327*100/Q327,0)</f>
        <v>0</v>
      </c>
      <c r="U327" s="102">
        <f>IF(R327&gt;0,S327*100/R327,0)</f>
        <v>0</v>
      </c>
    </row>
    <row r="328" spans="1:21" ht="18.75" hidden="1">
      <c r="A328" s="155"/>
      <c r="B328" s="50"/>
      <c r="C328" s="50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256">
        <f ca="1">IFERROR(__xludf.DUMMYFUNCTION("IMPORTRANGE(""https://docs.google.com/spreadsheets/d/1-uDff_7J0KD5mKrp0Vvzr7lt3OU09vwQwhkpOPPYv2Y/edit?usp=sharing"",""งบพรบ!EL50"")"),0)</f>
        <v>0</v>
      </c>
      <c r="M328" s="255">
        <f ca="1">IFERROR(__xludf.DUMMYFUNCTION("IMPORTRANGE(""https://docs.google.com/spreadsheets/d/1-uDff_7J0KD5mKrp0Vvzr7lt3OU09vwQwhkpOPPYv2Y/edit?usp=sharing"",""งบพรบ!EO50"")"),0)</f>
        <v>0</v>
      </c>
      <c r="N328" s="255">
        <f ca="1">IFERROR(__xludf.DUMMYFUNCTION("IMPORTRANGE(""https://docs.google.com/spreadsheets/d/1-uDff_7J0KD5mKrp0Vvzr7lt3OU09vwQwhkpOPPYv2Y/edit?usp=sharing"",""งบพรบ!EQ50"")"),0)</f>
        <v>0</v>
      </c>
      <c r="O328" s="255">
        <f ca="1">IF(L328&gt;0,N328*100/L328,0)</f>
        <v>0</v>
      </c>
      <c r="P328" s="255">
        <f ca="1">IF(M328&gt;0,N328*100/M328,0)</f>
        <v>0</v>
      </c>
      <c r="Q328" s="255">
        <v>0</v>
      </c>
      <c r="R328" s="255">
        <v>0</v>
      </c>
      <c r="S328" s="255">
        <v>0</v>
      </c>
      <c r="T328" s="255">
        <f>IF(Q328&gt;0,S328*100/Q328,0)</f>
        <v>0</v>
      </c>
      <c r="U328" s="255">
        <f>IF(R328&gt;0,S328*100/R328,0)</f>
        <v>0</v>
      </c>
    </row>
    <row r="329" spans="1:21" ht="19.5" hidden="1">
      <c r="A329" s="166"/>
      <c r="B329" s="167"/>
      <c r="C329" s="156" t="s">
        <v>18</v>
      </c>
      <c r="D329" s="566" t="s">
        <v>38</v>
      </c>
      <c r="E329" s="169"/>
      <c r="F329" s="169"/>
      <c r="G329" s="170"/>
      <c r="H329" s="171"/>
      <c r="I329" s="163"/>
      <c r="J329" s="54"/>
      <c r="K329" s="55"/>
      <c r="L329" s="62"/>
      <c r="M329" s="55"/>
      <c r="N329" s="55"/>
      <c r="O329" s="164"/>
      <c r="P329" s="164"/>
      <c r="Q329" s="55"/>
      <c r="R329" s="55"/>
      <c r="S329" s="55"/>
      <c r="T329" s="164"/>
      <c r="U329" s="164"/>
    </row>
    <row r="330" spans="1:21" ht="18.75" hidden="1">
      <c r="A330" s="166"/>
      <c r="B330" s="167"/>
      <c r="C330" s="167"/>
      <c r="D330" s="173" t="s">
        <v>134</v>
      </c>
      <c r="E330" s="174"/>
      <c r="F330" s="174"/>
      <c r="G330" s="171"/>
      <c r="H330" s="53" t="s">
        <v>133</v>
      </c>
      <c r="I330" s="212">
        <f ca="1">IFERROR(__xludf.DUMMYFUNCTION("IMPORTRANGE(""https://docs.google.com/spreadsheets/d/1eHaY18a8A9IcSdp1K8H6x8fbOy06t2VsZHhMHf-1x7Y/edit?usp=sharing"",""แผน!EJ50"")"),0)</f>
        <v>0</v>
      </c>
      <c r="J330" s="467">
        <v>0</v>
      </c>
      <c r="K330" s="255">
        <f ca="1">IF(I330&gt;0,J330*100/I330,0)</f>
        <v>0</v>
      </c>
      <c r="L330" s="62"/>
      <c r="M330" s="55"/>
      <c r="N330" s="55"/>
      <c r="O330" s="164"/>
      <c r="P330" s="164"/>
      <c r="Q330" s="55"/>
      <c r="R330" s="55"/>
      <c r="S330" s="55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1"/>
      <c r="I331" s="323"/>
      <c r="J331" s="323"/>
      <c r="K331" s="324"/>
      <c r="L331" s="325"/>
      <c r="M331" s="324"/>
      <c r="N331" s="324"/>
      <c r="O331" s="324"/>
      <c r="P331" s="324"/>
      <c r="Q331" s="324"/>
      <c r="R331" s="324"/>
      <c r="S331" s="324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30" t="s">
        <v>35</v>
      </c>
      <c r="I332" s="632">
        <f ca="1">I344</f>
        <v>5860</v>
      </c>
      <c r="J332" s="631">
        <f ca="1">J344+J347+J348+J349+J353</f>
        <v>30440</v>
      </c>
      <c r="K332" s="630">
        <f ca="1">IF(I332&gt;0,J332*100/I332,0)</f>
        <v>519.45392491467578</v>
      </c>
      <c r="L332" s="334"/>
      <c r="M332" s="333"/>
      <c r="N332" s="333"/>
      <c r="O332" s="333"/>
      <c r="P332" s="333"/>
      <c r="Q332" s="333"/>
      <c r="R332" s="333"/>
      <c r="S332" s="333"/>
      <c r="T332" s="333"/>
      <c r="U332" s="333"/>
    </row>
    <row r="333" spans="1:21" ht="19.5">
      <c r="A333" s="155"/>
      <c r="B333" s="50"/>
      <c r="C333" s="156" t="s">
        <v>18</v>
      </c>
      <c r="D333" s="575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541">
        <f ca="1">L334+L335</f>
        <v>122000</v>
      </c>
      <c r="M333" s="540">
        <f ca="1">M334+M335</f>
        <v>127000</v>
      </c>
      <c r="N333" s="540">
        <f ca="1">N334+N335</f>
        <v>112245.17</v>
      </c>
      <c r="O333" s="540">
        <f ca="1">IF(L333&gt;0,N333*100/L333,0)</f>
        <v>92.004237704918026</v>
      </c>
      <c r="P333" s="540">
        <f ca="1">IF(M333&gt;0,N333*100/M333,0)</f>
        <v>88.382023622047242</v>
      </c>
      <c r="Q333" s="540">
        <f>Q334+Q335</f>
        <v>0</v>
      </c>
      <c r="R333" s="540">
        <f>R334+R335</f>
        <v>0</v>
      </c>
      <c r="S333" s="540">
        <f>S334+S335</f>
        <v>0</v>
      </c>
      <c r="T333" s="540">
        <f>IF(Q333&gt;0,S333*100/Q333,0)</f>
        <v>0</v>
      </c>
      <c r="U333" s="540">
        <f>IF(R333&gt;0,S333*100/R333,0)</f>
        <v>0</v>
      </c>
    </row>
    <row r="334" spans="1:21" ht="18.75" hidden="1">
      <c r="A334" s="155"/>
      <c r="B334" s="50"/>
      <c r="C334" s="50"/>
      <c r="D334" s="50"/>
      <c r="E334" s="186" t="s">
        <v>20</v>
      </c>
      <c r="F334" s="50"/>
      <c r="G334" s="52"/>
      <c r="H334" s="187" t="s">
        <v>14</v>
      </c>
      <c r="I334" s="54"/>
      <c r="J334" s="54"/>
      <c r="K334" s="55"/>
      <c r="L334" s="103">
        <f>L337+L340</f>
        <v>0</v>
      </c>
      <c r="M334" s="102">
        <f>M337+M340</f>
        <v>0</v>
      </c>
      <c r="N334" s="102">
        <f>N337+N340</f>
        <v>0</v>
      </c>
      <c r="O334" s="102">
        <f>IF(L334&gt;0,N334*100/L334,0)</f>
        <v>0</v>
      </c>
      <c r="P334" s="102">
        <f>IF(M334&gt;0,N334*100/M334,0)</f>
        <v>0</v>
      </c>
      <c r="Q334" s="102">
        <f>Q337+Q340</f>
        <v>0</v>
      </c>
      <c r="R334" s="102">
        <f>R337+R340</f>
        <v>0</v>
      </c>
      <c r="S334" s="102">
        <f>S337+S340</f>
        <v>0</v>
      </c>
      <c r="T334" s="102">
        <f>IF(Q334&gt;0,S334*100/Q334,0)</f>
        <v>0</v>
      </c>
      <c r="U334" s="102">
        <f>IF(R334&gt;0,S334*100/R334,0)</f>
        <v>0</v>
      </c>
    </row>
    <row r="335" spans="1:21" ht="18.75" hidden="1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256">
        <f ca="1">L338+L341</f>
        <v>122000</v>
      </c>
      <c r="M335" s="255">
        <f ca="1">M338+M341</f>
        <v>127000</v>
      </c>
      <c r="N335" s="255">
        <f ca="1">N338+N341</f>
        <v>112245.17</v>
      </c>
      <c r="O335" s="255">
        <f ca="1">IF(L335&gt;0,N335*100/L335,0)</f>
        <v>92.004237704918026</v>
      </c>
      <c r="P335" s="255">
        <f ca="1">IF(M335&gt;0,N335*100/M335,0)</f>
        <v>88.382023622047242</v>
      </c>
      <c r="Q335" s="255">
        <f>Q338+Q341</f>
        <v>0</v>
      </c>
      <c r="R335" s="255">
        <f>R338+R341</f>
        <v>0</v>
      </c>
      <c r="S335" s="255">
        <f>S338+S341</f>
        <v>0</v>
      </c>
      <c r="T335" s="255">
        <f>IF(Q335&gt;0,S335*100/Q335,0)</f>
        <v>0</v>
      </c>
      <c r="U335" s="255">
        <f>IF(R335&gt;0,S335*100/R335,0)</f>
        <v>0</v>
      </c>
    </row>
    <row r="336" spans="1:21" ht="18.75">
      <c r="A336" s="155"/>
      <c r="B336" s="50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256">
        <f ca="1">L337+L338</f>
        <v>122000</v>
      </c>
      <c r="M336" s="255">
        <f ca="1">M337+M338</f>
        <v>127000</v>
      </c>
      <c r="N336" s="255">
        <f ca="1">N337+N338</f>
        <v>112245.17</v>
      </c>
      <c r="O336" s="255">
        <f ca="1">IF(L336&gt;0,N336*100/L336,0)</f>
        <v>92.004237704918026</v>
      </c>
      <c r="P336" s="255">
        <f ca="1">IF(M336&gt;0,N336*100/M336,0)</f>
        <v>88.382023622047242</v>
      </c>
      <c r="Q336" s="255">
        <f>Q337+Q338</f>
        <v>0</v>
      </c>
      <c r="R336" s="255">
        <f>R337+R338</f>
        <v>0</v>
      </c>
      <c r="S336" s="255">
        <f>S337+S338</f>
        <v>0</v>
      </c>
      <c r="T336" s="255">
        <f>IF(Q336&gt;0,S336*100/Q336,0)</f>
        <v>0</v>
      </c>
      <c r="U336" s="255">
        <f>IF(R336&gt;0,S336*100/R336,0)</f>
        <v>0</v>
      </c>
    </row>
    <row r="337" spans="1:21" ht="18.75" hidden="1">
      <c r="A337" s="155"/>
      <c r="B337" s="50"/>
      <c r="C337" s="50"/>
      <c r="D337" s="50"/>
      <c r="E337" s="186" t="s">
        <v>36</v>
      </c>
      <c r="F337" s="50"/>
      <c r="G337" s="52"/>
      <c r="H337" s="189" t="s">
        <v>14</v>
      </c>
      <c r="I337" s="163"/>
      <c r="J337" s="163"/>
      <c r="K337" s="164"/>
      <c r="L337" s="103">
        <v>0</v>
      </c>
      <c r="M337" s="102">
        <v>0</v>
      </c>
      <c r="N337" s="102">
        <v>0</v>
      </c>
      <c r="O337" s="102">
        <f>IF(L337&gt;0,N337*100/L337,0)</f>
        <v>0</v>
      </c>
      <c r="P337" s="102">
        <f>IF(M337&gt;0,N337*100/M337,0)</f>
        <v>0</v>
      </c>
      <c r="Q337" s="102">
        <v>0</v>
      </c>
      <c r="R337" s="102">
        <v>0</v>
      </c>
      <c r="S337" s="102">
        <v>0</v>
      </c>
      <c r="T337" s="102">
        <f>IF(Q337&gt;0,S337*100/Q337,0)</f>
        <v>0</v>
      </c>
      <c r="U337" s="102">
        <f>IF(R337&gt;0,S337*100/R337,0)</f>
        <v>0</v>
      </c>
    </row>
    <row r="338" spans="1:21" ht="18.75" hidden="1">
      <c r="A338" s="155"/>
      <c r="B338" s="50"/>
      <c r="C338" s="50"/>
      <c r="D338" s="50"/>
      <c r="E338" s="58" t="s">
        <v>37</v>
      </c>
      <c r="F338" s="50"/>
      <c r="G338" s="52"/>
      <c r="H338" s="162" t="s">
        <v>14</v>
      </c>
      <c r="I338" s="163"/>
      <c r="J338" s="163"/>
      <c r="K338" s="164"/>
      <c r="L338" s="256">
        <f ca="1">IFERROR(__xludf.DUMMYFUNCTION("IMPORTRANGE(""https://docs.google.com/spreadsheets/d/1-uDff_7J0KD5mKrp0Vvzr7lt3OU09vwQwhkpOPPYv2Y/edit?usp=sharing"",""งบพรบ!ES50"")"),122000)</f>
        <v>122000</v>
      </c>
      <c r="M338" s="255">
        <f ca="1">IFERROR(__xludf.DUMMYFUNCTION("IMPORTRANGE(""https://docs.google.com/spreadsheets/d/1-uDff_7J0KD5mKrp0Vvzr7lt3OU09vwQwhkpOPPYv2Y/edit?usp=sharing"",""งบพรบ!EX50"")"),127000)</f>
        <v>127000</v>
      </c>
      <c r="N338" s="255">
        <f ca="1">IFERROR(__xludf.DUMMYFUNCTION("IMPORTRANGE(""https://docs.google.com/spreadsheets/d/1-uDff_7J0KD5mKrp0Vvzr7lt3OU09vwQwhkpOPPYv2Y/edit?usp=sharing"",""งบพรบ!EZ50"")"),112245.17)</f>
        <v>112245.17</v>
      </c>
      <c r="O338" s="255">
        <f ca="1">IF(L338&gt;0,N338*100/L338,0)</f>
        <v>92.004237704918026</v>
      </c>
      <c r="P338" s="255">
        <f ca="1">IF(M338&gt;0,N338*100/M338,0)</f>
        <v>88.382023622047242</v>
      </c>
      <c r="Q338" s="255">
        <v>0</v>
      </c>
      <c r="R338" s="255">
        <v>0</v>
      </c>
      <c r="S338" s="255">
        <v>0</v>
      </c>
      <c r="T338" s="255">
        <f>IF(Q338&gt;0,S338*100/Q338,0)</f>
        <v>0</v>
      </c>
      <c r="U338" s="255">
        <f>IF(R338&gt;0,S338*100/R338,0)</f>
        <v>0</v>
      </c>
    </row>
    <row r="339" spans="1:21" ht="18.75">
      <c r="A339" s="155"/>
      <c r="B339" s="50"/>
      <c r="C339" s="50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256">
        <f ca="1">L340+L341</f>
        <v>0</v>
      </c>
      <c r="M339" s="255">
        <f ca="1">M340+M341</f>
        <v>0</v>
      </c>
      <c r="N339" s="255">
        <f ca="1">N340+N341</f>
        <v>0</v>
      </c>
      <c r="O339" s="255">
        <f ca="1">IF(L339&gt;0,N339*100/L339,0)</f>
        <v>0</v>
      </c>
      <c r="P339" s="255">
        <f ca="1">IF(M339&gt;0,N339*100/M339,0)</f>
        <v>0</v>
      </c>
      <c r="Q339" s="255">
        <f>Q340+Q341</f>
        <v>0</v>
      </c>
      <c r="R339" s="255">
        <f>R340+R341</f>
        <v>0</v>
      </c>
      <c r="S339" s="255">
        <f>S340+S341</f>
        <v>0</v>
      </c>
      <c r="T339" s="255">
        <f>IF(Q339&gt;0,S339*100/Q339,0)</f>
        <v>0</v>
      </c>
      <c r="U339" s="255">
        <f>IF(R339&gt;0,S339*100/R339,0)</f>
        <v>0</v>
      </c>
    </row>
    <row r="340" spans="1:21" ht="18.75" hidden="1">
      <c r="A340" s="155"/>
      <c r="B340" s="50"/>
      <c r="C340" s="50"/>
      <c r="D340" s="50"/>
      <c r="E340" s="186" t="s">
        <v>20</v>
      </c>
      <c r="F340" s="50"/>
      <c r="G340" s="52"/>
      <c r="H340" s="189" t="s">
        <v>14</v>
      </c>
      <c r="I340" s="163"/>
      <c r="J340" s="163"/>
      <c r="K340" s="164"/>
      <c r="L340" s="103">
        <v>0</v>
      </c>
      <c r="M340" s="102">
        <v>0</v>
      </c>
      <c r="N340" s="102">
        <v>0</v>
      </c>
      <c r="O340" s="102">
        <f>IF(L340&gt;0,N340*100/L340,0)</f>
        <v>0</v>
      </c>
      <c r="P340" s="102">
        <f>IF(M340&gt;0,N340*100/M340,0)</f>
        <v>0</v>
      </c>
      <c r="Q340" s="102">
        <v>0</v>
      </c>
      <c r="R340" s="102">
        <v>0</v>
      </c>
      <c r="S340" s="102">
        <v>0</v>
      </c>
      <c r="T340" s="102">
        <f>IF(Q340&gt;0,S340*100/Q340,0)</f>
        <v>0</v>
      </c>
      <c r="U340" s="102">
        <f>IF(R340&gt;0,S340*100/R340,0)</f>
        <v>0</v>
      </c>
    </row>
    <row r="341" spans="1:21" ht="18.75" hidden="1">
      <c r="A341" s="155"/>
      <c r="B341" s="50"/>
      <c r="C341" s="50"/>
      <c r="D341" s="50"/>
      <c r="E341" s="58" t="s">
        <v>21</v>
      </c>
      <c r="F341" s="50"/>
      <c r="G341" s="52"/>
      <c r="H341" s="165" t="s">
        <v>14</v>
      </c>
      <c r="I341" s="163"/>
      <c r="J341" s="163"/>
      <c r="K341" s="164"/>
      <c r="L341" s="256">
        <f ca="1">IFERROR(__xludf.DUMMYFUNCTION("IMPORTRANGE(""https://docs.google.com/spreadsheets/d/1-uDff_7J0KD5mKrp0Vvzr7lt3OU09vwQwhkpOPPYv2Y/edit?usp=sharing"",""งบพรบ!EV50"")"),0)</f>
        <v>0</v>
      </c>
      <c r="M341" s="255">
        <f ca="1">IFERROR(__xludf.DUMMYFUNCTION("IMPORTRANGE(""https://docs.google.com/spreadsheets/d/1-uDff_7J0KD5mKrp0Vvzr7lt3OU09vwQwhkpOPPYv2Y/edit?usp=sharing"",""งบพรบ!EY50"")"),0)</f>
        <v>0</v>
      </c>
      <c r="N341" s="255">
        <f ca="1">IFERROR(__xludf.DUMMYFUNCTION("IMPORTRANGE(""https://docs.google.com/spreadsheets/d/1-uDff_7J0KD5mKrp0Vvzr7lt3OU09vwQwhkpOPPYv2Y/edit?usp=sharing"",""งบพรบ!FA50"")"),0)</f>
        <v>0</v>
      </c>
      <c r="O341" s="255">
        <f ca="1">IF(L341&gt;0,N341*100/L341,0)</f>
        <v>0</v>
      </c>
      <c r="P341" s="255">
        <f ca="1">IF(M341&gt;0,N341*100/M341,0)</f>
        <v>0</v>
      </c>
      <c r="Q341" s="255">
        <v>0</v>
      </c>
      <c r="R341" s="255">
        <v>0</v>
      </c>
      <c r="S341" s="255">
        <v>0</v>
      </c>
      <c r="T341" s="255">
        <f>IF(Q341&gt;0,S341*100/Q341,0)</f>
        <v>0</v>
      </c>
      <c r="U341" s="255">
        <f>IF(R341&gt;0,S341*100/R341,0)</f>
        <v>0</v>
      </c>
    </row>
    <row r="342" spans="1:21" ht="19.5">
      <c r="A342" s="166"/>
      <c r="B342" s="167"/>
      <c r="C342" s="156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62"/>
      <c r="M342" s="55"/>
      <c r="N342" s="55"/>
      <c r="O342" s="164"/>
      <c r="P342" s="164"/>
      <c r="Q342" s="55"/>
      <c r="R342" s="55"/>
      <c r="S342" s="55"/>
      <c r="T342" s="164"/>
      <c r="U342" s="164"/>
    </row>
    <row r="343" spans="1:21" ht="19.5">
      <c r="A343" s="629"/>
      <c r="B343" s="626"/>
      <c r="C343" s="628"/>
      <c r="D343" s="626"/>
      <c r="E343" s="627" t="s">
        <v>137</v>
      </c>
      <c r="F343" s="626"/>
      <c r="G343" s="625"/>
      <c r="H343" s="624" t="s">
        <v>35</v>
      </c>
      <c r="I343" s="623">
        <v>0</v>
      </c>
      <c r="J343" s="623">
        <f ca="1">J344+J347+J348+J349</f>
        <v>22196</v>
      </c>
      <c r="K343" s="622">
        <v>0</v>
      </c>
      <c r="L343" s="250"/>
      <c r="M343" s="249"/>
      <c r="N343" s="249"/>
      <c r="O343" s="249"/>
      <c r="P343" s="249"/>
      <c r="Q343" s="249"/>
      <c r="R343" s="249"/>
      <c r="S343" s="249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40" t="s">
        <v>35</v>
      </c>
      <c r="I344" s="212">
        <f ca="1">IFERROR(__xludf.DUMMYFUNCTION("IMPORTRANGE(""https://docs.google.com/spreadsheets/d/1eHaY18a8A9IcSdp1K8H6x8fbOy06t2VsZHhMHf-1x7Y/edit?usp=sharing"",""แผน!EK50"")"),5860)</f>
        <v>5860</v>
      </c>
      <c r="J344" s="212">
        <f ca="1">IFERROR(__xludf.DUMMYFUNCTION("IMPORTRANGE(""https://docs.google.com/spreadsheets/d/1awYsYK3VOup2i3Pq_Yjnu8DRu_mYwSBnCR2QPthd0rU/edit?usp=sharing"",""ศูนย์ยกเว้นโฉนด!D50"")"),21607)</f>
        <v>21607</v>
      </c>
      <c r="K344" s="255">
        <f ca="1">IF(I344&gt;0,J344*100/I344,0)</f>
        <v>368.72013651877131</v>
      </c>
      <c r="L344" s="62"/>
      <c r="M344" s="55"/>
      <c r="N344" s="55"/>
      <c r="O344" s="55"/>
      <c r="P344" s="55"/>
      <c r="Q344" s="55"/>
      <c r="R344" s="55"/>
      <c r="S344" s="55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62"/>
      <c r="M345" s="55"/>
      <c r="N345" s="55"/>
      <c r="O345" s="55"/>
      <c r="P345" s="55"/>
      <c r="Q345" s="55"/>
      <c r="R345" s="55"/>
      <c r="S345" s="55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212">
        <f ca="1">IFERROR(__xludf.DUMMYFUNCTION("IMPORTRANGE(""https://docs.google.com/spreadsheets/d/1eHaY18a8A9IcSdp1K8H6x8fbOy06t2VsZHhMHf-1x7Y/edit?usp=sharing"",""แผน!EL50"")"),8)</f>
        <v>8</v>
      </c>
      <c r="J346" s="212">
        <f ca="1">IFERROR(__xludf.DUMMYFUNCTION("IMPORTRANGE(""https://docs.google.com/spreadsheets/d/1awYsYK3VOup2i3Pq_Yjnu8DRu_mYwSBnCR2QPthd0rU/edit?usp=sharing"",""ศูนย์รวม!E50"")"),5)</f>
        <v>5</v>
      </c>
      <c r="K346" s="255">
        <f ca="1">IF(I346&gt;0,J346*100/I346,0)</f>
        <v>62.5</v>
      </c>
      <c r="L346" s="62"/>
      <c r="M346" s="55"/>
      <c r="N346" s="55"/>
      <c r="O346" s="55"/>
      <c r="P346" s="55"/>
      <c r="Q346" s="55"/>
      <c r="R346" s="55"/>
      <c r="S346" s="55"/>
      <c r="T346" s="55"/>
      <c r="U346" s="55"/>
    </row>
    <row r="347" spans="1:21" ht="18.75">
      <c r="A347" s="238"/>
      <c r="B347" s="50"/>
      <c r="C347" s="188"/>
      <c r="D347" s="174"/>
      <c r="E347" s="174"/>
      <c r="F347" s="178" t="s">
        <v>142</v>
      </c>
      <c r="G347" s="52"/>
      <c r="H347" s="203" t="s">
        <v>35</v>
      </c>
      <c r="I347" s="54"/>
      <c r="J347" s="212">
        <f ca="1">IFERROR(__xludf.DUMMYFUNCTION("IMPORTRANGE(""https://docs.google.com/spreadsheets/d/1awYsYK3VOup2i3Pq_Yjnu8DRu_mYwSBnCR2QPthd0rU/edit?usp=sharing"",""ศูนย์ยกเว้นโฉนด!F50"")"),82)</f>
        <v>82</v>
      </c>
      <c r="K347" s="55"/>
      <c r="L347" s="62"/>
      <c r="M347" s="55"/>
      <c r="N347" s="55"/>
      <c r="O347" s="55"/>
      <c r="P347" s="55"/>
      <c r="Q347" s="55"/>
      <c r="R347" s="55"/>
      <c r="S347" s="55"/>
      <c r="T347" s="55"/>
      <c r="U347" s="55"/>
    </row>
    <row r="348" spans="1:21" ht="18.75">
      <c r="A348" s="238"/>
      <c r="B348" s="50"/>
      <c r="C348" s="188"/>
      <c r="D348" s="174"/>
      <c r="E348" s="178" t="s">
        <v>143</v>
      </c>
      <c r="F348" s="174"/>
      <c r="G348" s="52"/>
      <c r="H348" s="203" t="s">
        <v>35</v>
      </c>
      <c r="I348" s="54"/>
      <c r="J348" s="212">
        <f ca="1">IFERROR(__xludf.DUMMYFUNCTION("IMPORTRANGE(""https://docs.google.com/spreadsheets/d/1awYsYK3VOup2i3Pq_Yjnu8DRu_mYwSBnCR2QPthd0rU/edit?usp=sharing"",""ศูนย์ยกเว้นโฉนด!G50"")"),3)</f>
        <v>3</v>
      </c>
      <c r="K348" s="55"/>
      <c r="L348" s="62"/>
      <c r="M348" s="55"/>
      <c r="N348" s="55"/>
      <c r="O348" s="55"/>
      <c r="P348" s="55"/>
      <c r="Q348" s="55"/>
      <c r="R348" s="55"/>
      <c r="S348" s="55"/>
      <c r="T348" s="55"/>
      <c r="U348" s="55"/>
    </row>
    <row r="349" spans="1:21" ht="18.75">
      <c r="A349" s="238"/>
      <c r="B349" s="50"/>
      <c r="C349" s="188"/>
      <c r="D349" s="167"/>
      <c r="E349" s="178" t="s">
        <v>144</v>
      </c>
      <c r="F349" s="174"/>
      <c r="G349" s="52"/>
      <c r="H349" s="203" t="s">
        <v>35</v>
      </c>
      <c r="I349" s="54"/>
      <c r="J349" s="212">
        <f ca="1">IFERROR(__xludf.DUMMYFUNCTION("IMPORTRANGE(""https://docs.google.com/spreadsheets/d/1awYsYK3VOup2i3Pq_Yjnu8DRu_mYwSBnCR2QPthd0rU/edit?usp=sharing"",""ศูนย์ยกเว้นโฉนด!H50"")"),504)</f>
        <v>504</v>
      </c>
      <c r="K349" s="55"/>
      <c r="L349" s="62"/>
      <c r="M349" s="55"/>
      <c r="N349" s="55"/>
      <c r="O349" s="55"/>
      <c r="P349" s="55"/>
      <c r="Q349" s="55"/>
      <c r="R349" s="55"/>
      <c r="S349" s="55"/>
      <c r="T349" s="55"/>
      <c r="U349" s="55"/>
    </row>
    <row r="350" spans="1:21" ht="16.5">
      <c r="A350" s="18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0" s="50"/>
      <c r="F350" s="50"/>
      <c r="G350" s="52"/>
      <c r="H350" s="208"/>
      <c r="I350" s="54"/>
      <c r="J350" s="54"/>
      <c r="K350" s="55"/>
      <c r="L350" s="62"/>
      <c r="M350" s="55"/>
      <c r="N350" s="55"/>
      <c r="O350" s="55"/>
      <c r="P350" s="55"/>
      <c r="Q350" s="55"/>
      <c r="R350" s="55"/>
      <c r="S350" s="55"/>
      <c r="T350" s="55"/>
      <c r="U350" s="55"/>
    </row>
    <row r="351" spans="1:21" ht="19.5">
      <c r="A351" s="241"/>
      <c r="B351" s="244"/>
      <c r="C351" s="242"/>
      <c r="D351" s="244"/>
      <c r="E351" s="621" t="s">
        <v>145</v>
      </c>
      <c r="F351" s="244"/>
      <c r="G351" s="245"/>
      <c r="H351" s="246" t="s">
        <v>35</v>
      </c>
      <c r="I351" s="339">
        <v>0</v>
      </c>
      <c r="J351" s="339">
        <f ca="1">J352+J353</f>
        <v>8356</v>
      </c>
      <c r="K351" s="340">
        <v>0</v>
      </c>
      <c r="L351" s="250"/>
      <c r="M351" s="249"/>
      <c r="N351" s="249"/>
      <c r="O351" s="249"/>
      <c r="P351" s="249"/>
      <c r="Q351" s="249"/>
      <c r="R351" s="249"/>
      <c r="S351" s="249"/>
      <c r="T351" s="249"/>
      <c r="U351" s="249"/>
    </row>
    <row r="352" spans="1:21" ht="18.75">
      <c r="A352" s="188"/>
      <c r="B352" s="50"/>
      <c r="C352" s="188"/>
      <c r="D352" s="174"/>
      <c r="E352" s="178" t="s">
        <v>146</v>
      </c>
      <c r="F352" s="50"/>
      <c r="G352" s="52"/>
      <c r="H352" s="161" t="s">
        <v>35</v>
      </c>
      <c r="I352" s="54"/>
      <c r="J352" s="212">
        <f ca="1">IFERROR(__xludf.DUMMYFUNCTION("IMPORTRANGE(""https://docs.google.com/spreadsheets/d/1awYsYK3VOup2i3Pq_Yjnu8DRu_mYwSBnCR2QPthd0rU/edit?usp=sharing"",""โฉนดM3!G50"")"),112)</f>
        <v>112</v>
      </c>
      <c r="K352" s="55"/>
      <c r="L352" s="62"/>
      <c r="M352" s="55"/>
      <c r="N352" s="55"/>
      <c r="O352" s="55"/>
      <c r="P352" s="55"/>
      <c r="Q352" s="55"/>
      <c r="R352" s="55"/>
      <c r="S352" s="55"/>
      <c r="T352" s="55"/>
      <c r="U352" s="55"/>
    </row>
    <row r="353" spans="1:21" ht="18.75">
      <c r="A353" s="18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212">
        <f ca="1">IFERROR(__xludf.DUMMYFUNCTION("IMPORTRANGE(""https://docs.google.com/spreadsheets/d/1awYsYK3VOup2i3Pq_Yjnu8DRu_mYwSBnCR2QPthd0rU/edit?usp=sharing"",""โฉนดM3!H50"")"),8244)</f>
        <v>8244</v>
      </c>
      <c r="K353" s="55"/>
      <c r="L353" s="62"/>
      <c r="M353" s="55"/>
      <c r="N353" s="55"/>
      <c r="O353" s="55"/>
      <c r="P353" s="55"/>
      <c r="Q353" s="55"/>
      <c r="R353" s="55"/>
      <c r="S353" s="55"/>
      <c r="T353" s="55"/>
      <c r="U353" s="55"/>
    </row>
    <row r="354" spans="1:21" ht="16.5">
      <c r="A354" s="188"/>
      <c r="B354" s="50"/>
      <c r="C354" s="188"/>
      <c r="D354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4" s="50"/>
      <c r="F354" s="50"/>
      <c r="G354" s="52"/>
      <c r="H354" s="208"/>
      <c r="I354" s="54"/>
      <c r="J354" s="54"/>
      <c r="K354" s="55"/>
      <c r="L354" s="62"/>
      <c r="M354" s="55"/>
      <c r="N354" s="55"/>
      <c r="O354" s="55"/>
      <c r="P354" s="55"/>
      <c r="Q354" s="55"/>
      <c r="R354" s="55"/>
      <c r="S354" s="55"/>
      <c r="T354" s="55"/>
      <c r="U354" s="55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29"/>
      <c r="I355" s="351"/>
      <c r="J355" s="351"/>
      <c r="K355" s="333"/>
      <c r="L355" s="334"/>
      <c r="M355" s="333"/>
      <c r="N355" s="333"/>
      <c r="O355" s="333"/>
      <c r="P355" s="333"/>
      <c r="Q355" s="333"/>
      <c r="R355" s="333"/>
      <c r="S355" s="333"/>
      <c r="T355" s="333"/>
      <c r="U355" s="333"/>
    </row>
    <row r="356" spans="1:21" ht="19.5">
      <c r="A356" s="155"/>
      <c r="B356" s="50"/>
      <c r="C356" s="156" t="s">
        <v>18</v>
      </c>
      <c r="D356" s="575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541">
        <f ca="1">L357+L358</f>
        <v>1348240</v>
      </c>
      <c r="M356" s="540">
        <f ca="1">M357+M358</f>
        <v>1348260</v>
      </c>
      <c r="N356" s="540">
        <f ca="1">N357+N358</f>
        <v>1138668.3700000001</v>
      </c>
      <c r="O356" s="540">
        <f ca="1">IF(L356&gt;0,N356*100/L356,0)</f>
        <v>84.455910668723675</v>
      </c>
      <c r="P356" s="540">
        <f ca="1">IF(M356&gt;0,N356*100/M356,0)</f>
        <v>84.454657855309819</v>
      </c>
      <c r="Q356" s="540">
        <f>Q357+Q358</f>
        <v>0</v>
      </c>
      <c r="R356" s="540">
        <f>R357+R358</f>
        <v>0</v>
      </c>
      <c r="S356" s="540">
        <f>S357+S358</f>
        <v>0</v>
      </c>
      <c r="T356" s="540">
        <f>IF(Q356&gt;0,S356*100/Q356,0)</f>
        <v>0</v>
      </c>
      <c r="U356" s="540">
        <f>IF(R356&gt;0,S356*100/R356,0)</f>
        <v>0</v>
      </c>
    </row>
    <row r="357" spans="1:21" ht="18.75" hidden="1">
      <c r="A357" s="155"/>
      <c r="B357" s="50"/>
      <c r="C357" s="50"/>
      <c r="D357" s="50"/>
      <c r="E357" s="186" t="s">
        <v>20</v>
      </c>
      <c r="F357" s="50"/>
      <c r="G357" s="52"/>
      <c r="H357" s="187" t="s">
        <v>14</v>
      </c>
      <c r="I357" s="54"/>
      <c r="J357" s="54"/>
      <c r="K357" s="55"/>
      <c r="L357" s="103">
        <f>L360+L363</f>
        <v>0</v>
      </c>
      <c r="M357" s="102">
        <f>M360+M363</f>
        <v>0</v>
      </c>
      <c r="N357" s="102">
        <f>N360+N363</f>
        <v>0</v>
      </c>
      <c r="O357" s="102">
        <f>IF(L357&gt;0,N357*100/L357,0)</f>
        <v>0</v>
      </c>
      <c r="P357" s="102">
        <f>IF(M357&gt;0,N357*100/M357,0)</f>
        <v>0</v>
      </c>
      <c r="Q357" s="102">
        <f>Q360+Q363</f>
        <v>0</v>
      </c>
      <c r="R357" s="102">
        <f>R360+R363</f>
        <v>0</v>
      </c>
      <c r="S357" s="102">
        <f>S360+S363</f>
        <v>0</v>
      </c>
      <c r="T357" s="102">
        <f>IF(Q357&gt;0,S357*100/Q357,0)</f>
        <v>0</v>
      </c>
      <c r="U357" s="102">
        <f>IF(R357&gt;0,S357*100/R357,0)</f>
        <v>0</v>
      </c>
    </row>
    <row r="358" spans="1:21" ht="18.75" hidden="1">
      <c r="A358" s="155"/>
      <c r="B358" s="50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256">
        <f ca="1">L361+L364</f>
        <v>1348240</v>
      </c>
      <c r="M358" s="255">
        <f ca="1">M361+M364</f>
        <v>1348260</v>
      </c>
      <c r="N358" s="255">
        <f ca="1">N361+N364</f>
        <v>1138668.3700000001</v>
      </c>
      <c r="O358" s="255">
        <f ca="1">IF(L358&gt;0,N358*100/L358,0)</f>
        <v>84.455910668723675</v>
      </c>
      <c r="P358" s="255">
        <f ca="1">IF(M358&gt;0,N358*100/M358,0)</f>
        <v>84.454657855309819</v>
      </c>
      <c r="Q358" s="255">
        <f>Q361+Q364</f>
        <v>0</v>
      </c>
      <c r="R358" s="255">
        <f>R361+R364</f>
        <v>0</v>
      </c>
      <c r="S358" s="255">
        <f>S361+S364</f>
        <v>0</v>
      </c>
      <c r="T358" s="255">
        <f>IF(Q358&gt;0,S358*100/Q358,0)</f>
        <v>0</v>
      </c>
      <c r="U358" s="255">
        <f>IF(R358&gt;0,S358*100/R358,0)</f>
        <v>0</v>
      </c>
    </row>
    <row r="359" spans="1:21" ht="18.75">
      <c r="A359" s="155"/>
      <c r="B359" s="50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256">
        <f ca="1">L360+L361</f>
        <v>1348240</v>
      </c>
      <c r="M359" s="255">
        <f ca="1">M360+M361</f>
        <v>1348260</v>
      </c>
      <c r="N359" s="255">
        <f ca="1">N360+N361</f>
        <v>1138668.3700000001</v>
      </c>
      <c r="O359" s="255">
        <f ca="1">IF(L359&gt;0,N359*100/L359,0)</f>
        <v>84.455910668723675</v>
      </c>
      <c r="P359" s="255">
        <f ca="1">IF(M359&gt;0,N359*100/M359,0)</f>
        <v>84.454657855309819</v>
      </c>
      <c r="Q359" s="255">
        <f>Q360+Q361</f>
        <v>0</v>
      </c>
      <c r="R359" s="255">
        <f>R360+R361</f>
        <v>0</v>
      </c>
      <c r="S359" s="255">
        <f>S360+S361</f>
        <v>0</v>
      </c>
      <c r="T359" s="255">
        <f>IF(Q359&gt;0,S359*100/Q359,0)</f>
        <v>0</v>
      </c>
      <c r="U359" s="255">
        <f>IF(R359&gt;0,S359*100/R359,0)</f>
        <v>0</v>
      </c>
    </row>
    <row r="360" spans="1:21" ht="18.75" hidden="1">
      <c r="A360" s="155"/>
      <c r="B360" s="50"/>
      <c r="C360" s="50"/>
      <c r="D360" s="50"/>
      <c r="E360" s="186" t="s">
        <v>36</v>
      </c>
      <c r="F360" s="50"/>
      <c r="G360" s="52"/>
      <c r="H360" s="189" t="s">
        <v>14</v>
      </c>
      <c r="I360" s="163"/>
      <c r="J360" s="163"/>
      <c r="K360" s="164"/>
      <c r="L360" s="103">
        <v>0</v>
      </c>
      <c r="M360" s="102">
        <v>0</v>
      </c>
      <c r="N360" s="102">
        <v>0</v>
      </c>
      <c r="O360" s="102">
        <f>IF(L360&gt;0,N360*100/L360,0)</f>
        <v>0</v>
      </c>
      <c r="P360" s="102">
        <f>IF(M360&gt;0,N360*100/M360,0)</f>
        <v>0</v>
      </c>
      <c r="Q360" s="102">
        <v>0</v>
      </c>
      <c r="R360" s="102">
        <v>0</v>
      </c>
      <c r="S360" s="102">
        <v>0</v>
      </c>
      <c r="T360" s="102">
        <f>IF(Q360&gt;0,S360*100/Q360,0)</f>
        <v>0</v>
      </c>
      <c r="U360" s="102">
        <f>IF(R360&gt;0,S360*100/R360,0)</f>
        <v>0</v>
      </c>
    </row>
    <row r="361" spans="1:21" ht="18.75" hidden="1">
      <c r="A361" s="155"/>
      <c r="B361" s="50"/>
      <c r="C361" s="50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256">
        <f ca="1">IFERROR(__xludf.DUMMYFUNCTION("IMPORTRANGE(""https://docs.google.com/spreadsheets/d/1-uDff_7J0KD5mKrp0Vvzr7lt3OU09vwQwhkpOPPYv2Y/edit?usp=sharing"",""งบพรบ!FC50"")"),1348240)</f>
        <v>1348240</v>
      </c>
      <c r="M361" s="255">
        <f ca="1">IFERROR(__xludf.DUMMYFUNCTION("IMPORTRANGE(""https://docs.google.com/spreadsheets/d/1-uDff_7J0KD5mKrp0Vvzr7lt3OU09vwQwhkpOPPYv2Y/edit?usp=sharing"",""งบพรบ!FH50"")"),1348260)</f>
        <v>1348260</v>
      </c>
      <c r="N361" s="255">
        <f ca="1">IFERROR(__xludf.DUMMYFUNCTION("IMPORTRANGE(""https://docs.google.com/spreadsheets/d/1-uDff_7J0KD5mKrp0Vvzr7lt3OU09vwQwhkpOPPYv2Y/edit?usp=sharing"",""งบพรบ!FJ50"")"),1138668.37)</f>
        <v>1138668.3700000001</v>
      </c>
      <c r="O361" s="255">
        <f ca="1">IF(L361&gt;0,N361*100/L361,0)</f>
        <v>84.455910668723675</v>
      </c>
      <c r="P361" s="255">
        <f ca="1">IF(M361&gt;0,N361*100/M361,0)</f>
        <v>84.454657855309819</v>
      </c>
      <c r="Q361" s="255">
        <v>0</v>
      </c>
      <c r="R361" s="255">
        <v>0</v>
      </c>
      <c r="S361" s="255">
        <v>0</v>
      </c>
      <c r="T361" s="255">
        <f>IF(Q361&gt;0,S361*100/Q361,0)</f>
        <v>0</v>
      </c>
      <c r="U361" s="255">
        <f>IF(R361&gt;0,S361*100/R361,0)</f>
        <v>0</v>
      </c>
    </row>
    <row r="362" spans="1:21" ht="18.75">
      <c r="A362" s="155"/>
      <c r="B362" s="50"/>
      <c r="C362" s="50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256">
        <f ca="1">L363+L364</f>
        <v>0</v>
      </c>
      <c r="M362" s="255">
        <f ca="1">M363+M364</f>
        <v>0</v>
      </c>
      <c r="N362" s="255">
        <f ca="1">N363+N364</f>
        <v>0</v>
      </c>
      <c r="O362" s="255">
        <f ca="1">IF(L362&gt;0,N362*100/L362,0)</f>
        <v>0</v>
      </c>
      <c r="P362" s="255">
        <f ca="1">IF(M362&gt;0,N362*100/M362,0)</f>
        <v>0</v>
      </c>
      <c r="Q362" s="255">
        <f>Q363+Q364</f>
        <v>0</v>
      </c>
      <c r="R362" s="255">
        <f>R363+R364</f>
        <v>0</v>
      </c>
      <c r="S362" s="255">
        <f>S363+S364</f>
        <v>0</v>
      </c>
      <c r="T362" s="255">
        <f>IF(Q362&gt;0,S362*100/Q362,0)</f>
        <v>0</v>
      </c>
      <c r="U362" s="255">
        <f>IF(R362&gt;0,S362*100/R362,0)</f>
        <v>0</v>
      </c>
    </row>
    <row r="363" spans="1:21" ht="18.75" hidden="1">
      <c r="A363" s="155"/>
      <c r="B363" s="50"/>
      <c r="C363" s="50"/>
      <c r="D363" s="50"/>
      <c r="E363" s="186" t="s">
        <v>20</v>
      </c>
      <c r="F363" s="50"/>
      <c r="G363" s="52"/>
      <c r="H363" s="189" t="s">
        <v>14</v>
      </c>
      <c r="I363" s="163"/>
      <c r="J363" s="163"/>
      <c r="K363" s="164"/>
      <c r="L363" s="103">
        <v>0</v>
      </c>
      <c r="M363" s="102">
        <v>0</v>
      </c>
      <c r="N363" s="102">
        <v>0</v>
      </c>
      <c r="O363" s="102">
        <f>IF(L363&gt;0,N363*100/L363,0)</f>
        <v>0</v>
      </c>
      <c r="P363" s="102">
        <f>IF(M363&gt;0,N363*100/M363,0)</f>
        <v>0</v>
      </c>
      <c r="Q363" s="102">
        <v>0</v>
      </c>
      <c r="R363" s="102">
        <v>0</v>
      </c>
      <c r="S363" s="102">
        <v>0</v>
      </c>
      <c r="T363" s="102">
        <f>IF(Q363&gt;0,S363*100/Q363,0)</f>
        <v>0</v>
      </c>
      <c r="U363" s="102">
        <f>IF(R363&gt;0,S363*100/R363,0)</f>
        <v>0</v>
      </c>
    </row>
    <row r="364" spans="1:21" ht="18.75" hidden="1">
      <c r="A364" s="155"/>
      <c r="B364" s="50"/>
      <c r="C364" s="50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256">
        <f ca="1">IFERROR(__xludf.DUMMYFUNCTION("IMPORTRANGE(""https://docs.google.com/spreadsheets/d/1-uDff_7J0KD5mKrp0Vvzr7lt3OU09vwQwhkpOPPYv2Y/edit?usp=sharing"",""งบพรบ!FF50"")"),0)</f>
        <v>0</v>
      </c>
      <c r="M364" s="255">
        <f ca="1">IFERROR(__xludf.DUMMYFUNCTION("IMPORTRANGE(""https://docs.google.com/spreadsheets/d/1-uDff_7J0KD5mKrp0Vvzr7lt3OU09vwQwhkpOPPYv2Y/edit?usp=sharing"",""งบพรบ!FI50"")"),0)</f>
        <v>0</v>
      </c>
      <c r="N364" s="255">
        <f ca="1">IFERROR(__xludf.DUMMYFUNCTION("IMPORTRANGE(""https://docs.google.com/spreadsheets/d/1-uDff_7J0KD5mKrp0Vvzr7lt3OU09vwQwhkpOPPYv2Y/edit?usp=sharing"",""งบพรบ!FK50"")"),0)</f>
        <v>0</v>
      </c>
      <c r="O364" s="255">
        <f ca="1">IF(L364&gt;0,N364*100/L364,0)</f>
        <v>0</v>
      </c>
      <c r="P364" s="255">
        <f ca="1">IF(M364&gt;0,N364*100/M364,0)</f>
        <v>0</v>
      </c>
      <c r="Q364" s="255">
        <v>0</v>
      </c>
      <c r="R364" s="255">
        <v>0</v>
      </c>
      <c r="S364" s="255">
        <v>0</v>
      </c>
      <c r="T364" s="255">
        <f>IF(Q364&gt;0,S364*100/Q364,0)</f>
        <v>0</v>
      </c>
      <c r="U364" s="255">
        <f>IF(R364&gt;0,S364*100/R364,0)</f>
        <v>0</v>
      </c>
    </row>
    <row r="365" spans="1:21" ht="19.5">
      <c r="A365" s="241"/>
      <c r="B365" s="242"/>
      <c r="C365" s="244"/>
      <c r="D365" s="621" t="s">
        <v>150</v>
      </c>
      <c r="E365" s="244"/>
      <c r="F365" s="244"/>
      <c r="G365" s="245"/>
      <c r="H365" s="254" t="s">
        <v>35</v>
      </c>
      <c r="I365" s="339">
        <f ca="1">I371</f>
        <v>1470</v>
      </c>
      <c r="J365" s="339">
        <f ca="1">J371</f>
        <v>920</v>
      </c>
      <c r="K365" s="340">
        <f ca="1">IF(I365&gt;0,J365*100/I365,0)</f>
        <v>62.585034013605444</v>
      </c>
      <c r="L365" s="250"/>
      <c r="M365" s="249"/>
      <c r="N365" s="249"/>
      <c r="O365" s="249"/>
      <c r="P365" s="249"/>
      <c r="Q365" s="249"/>
      <c r="R365" s="249"/>
      <c r="S365" s="249"/>
      <c r="T365" s="249"/>
      <c r="U365" s="249"/>
    </row>
    <row r="366" spans="1:21" ht="19.5">
      <c r="A366" s="166"/>
      <c r="B366" s="167"/>
      <c r="C366" s="156" t="s">
        <v>18</v>
      </c>
      <c r="D366" s="566" t="s">
        <v>38</v>
      </c>
      <c r="E366" s="169"/>
      <c r="F366" s="169"/>
      <c r="G366" s="170"/>
      <c r="H366" s="171"/>
      <c r="I366" s="54"/>
      <c r="J366" s="54"/>
      <c r="K366" s="55"/>
      <c r="L366" s="172"/>
      <c r="M366" s="164"/>
      <c r="N366" s="164"/>
      <c r="O366" s="164"/>
      <c r="P366" s="164"/>
      <c r="Q366" s="164"/>
      <c r="R366" s="164"/>
      <c r="S366" s="164"/>
      <c r="T366" s="164"/>
      <c r="U366" s="164"/>
    </row>
    <row r="367" spans="1:21" ht="18.75">
      <c r="A367" s="166"/>
      <c r="B367" s="174"/>
      <c r="C367" s="167"/>
      <c r="D367" s="174"/>
      <c r="E367" s="173" t="s">
        <v>151</v>
      </c>
      <c r="F367" s="174"/>
      <c r="G367" s="171"/>
      <c r="H367" s="183" t="s">
        <v>35</v>
      </c>
      <c r="I367" s="212">
        <v>0</v>
      </c>
      <c r="J367" s="212">
        <f ca="1">IFERROR(__xludf.DUMMYFUNCTION("IMPORTRANGE(""https://docs.google.com/spreadsheets/d/1tdoBKaGub7dwA3U6UFTqxio9LNnvDCQjHKmttSEBsFQ/edit?usp=sharing"",""จัดที่ดิน!AB50"")"),645)</f>
        <v>645</v>
      </c>
      <c r="K367" s="255">
        <f>IF(I367&gt;0,J367*100/I367,0)</f>
        <v>0</v>
      </c>
      <c r="L367" s="172"/>
      <c r="M367" s="164"/>
      <c r="N367" s="164"/>
      <c r="O367" s="164"/>
      <c r="P367" s="164"/>
      <c r="Q367" s="164"/>
      <c r="R367" s="164"/>
      <c r="S367" s="164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212">
        <f ca="1">IFERROR(__xludf.DUMMYFUNCTION("IMPORTRANGE(""https://docs.google.com/spreadsheets/d/1eHaY18a8A9IcSdp1K8H6x8fbOy06t2VsZHhMHf-1x7Y/edit?usp=sharing"",""แผน!EW50"")"),6560)</f>
        <v>6560</v>
      </c>
      <c r="J368" s="620">
        <f ca="1">IFERROR(__xludf.DUMMYFUNCTION("IMPORTRANGE(""https://docs.google.com/spreadsheets/d/1tdoBKaGub7dwA3U6UFTqxio9LNnvDCQjHKmttSEBsFQ/edit?usp=sharing"",""จัดที่ดิน!AC50"")"),7782.9)</f>
        <v>7782.9</v>
      </c>
      <c r="K368" s="255">
        <f ca="1">IF(I368&gt;0,J368*100/I368,0)</f>
        <v>118.64176829268293</v>
      </c>
      <c r="L368" s="172"/>
      <c r="M368" s="164"/>
      <c r="N368" s="164"/>
      <c r="O368" s="164"/>
      <c r="P368" s="164"/>
      <c r="Q368" s="164"/>
      <c r="R368" s="164"/>
      <c r="S368" s="164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79" t="s">
        <v>35</v>
      </c>
      <c r="I369" s="212">
        <f ca="1">IFERROR(__xludf.DUMMYFUNCTION("IMPORTRANGE(""https://docs.google.com/spreadsheets/d/1eHaY18a8A9IcSdp1K8H6x8fbOy06t2VsZHhMHf-1x7Y/edit?usp=sharing"",""แผน!EX50"")"),1470)</f>
        <v>1470</v>
      </c>
      <c r="J369" s="212">
        <f ca="1">IFERROR(__xludf.DUMMYFUNCTION("IMPORTRANGE(""https://docs.google.com/spreadsheets/d/1tdoBKaGub7dwA3U6UFTqxio9LNnvDCQjHKmttSEBsFQ/edit?usp=sharing"",""จัดที่ดิน!AD50"")"),1259)</f>
        <v>1259</v>
      </c>
      <c r="K369" s="255">
        <f ca="1">IF(I369&gt;0,J369*100/I369,0)</f>
        <v>85.646258503401356</v>
      </c>
      <c r="L369" s="172"/>
      <c r="M369" s="164"/>
      <c r="N369" s="164"/>
      <c r="O369" s="164"/>
      <c r="P369" s="164"/>
      <c r="Q369" s="164"/>
      <c r="R369" s="164"/>
      <c r="S369" s="164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79" t="s">
        <v>46</v>
      </c>
      <c r="I370" s="212">
        <v>0</v>
      </c>
      <c r="J370" s="620">
        <f ca="1">IFERROR(__xludf.DUMMYFUNCTION("IMPORTRANGE(""https://docs.google.com/spreadsheets/d/1tdoBKaGub7dwA3U6UFTqxio9LNnvDCQjHKmttSEBsFQ/edit?usp=sharing"",""จัดที่ดิน!AE50"")"),18469.05)</f>
        <v>18469.05</v>
      </c>
      <c r="K370" s="255">
        <f>IF(I370&gt;0,J370*100/I370,0)</f>
        <v>0</v>
      </c>
      <c r="L370" s="172"/>
      <c r="M370" s="164"/>
      <c r="N370" s="164"/>
      <c r="O370" s="164"/>
      <c r="P370" s="164"/>
      <c r="Q370" s="164"/>
      <c r="R370" s="164"/>
      <c r="S370" s="164"/>
      <c r="T370" s="164"/>
      <c r="U370" s="164"/>
    </row>
    <row r="371" spans="1:21" ht="18.75">
      <c r="A371" s="166"/>
      <c r="B371" s="174"/>
      <c r="C371" s="167"/>
      <c r="D371" s="174"/>
      <c r="E371" s="352" t="s">
        <v>153</v>
      </c>
      <c r="F371" s="174"/>
      <c r="G371" s="171"/>
      <c r="H371" s="179" t="s">
        <v>35</v>
      </c>
      <c r="I371" s="212">
        <f ca="1">IFERROR(__xludf.DUMMYFUNCTION("IMPORTRANGE(""https://docs.google.com/spreadsheets/d/1eHaY18a8A9IcSdp1K8H6x8fbOy06t2VsZHhMHf-1x7Y/edit?usp=sharing"",""แผน!EY50"")"),1470)</f>
        <v>1470</v>
      </c>
      <c r="J371" s="212">
        <f ca="1">IFERROR(__xludf.DUMMYFUNCTION("IMPORTRANGE(""https://docs.google.com/spreadsheets/d/1tdoBKaGub7dwA3U6UFTqxio9LNnvDCQjHKmttSEBsFQ/edit?usp=sharing"",""จัดที่ดิน!AF50"")"),920)</f>
        <v>920</v>
      </c>
      <c r="K371" s="255">
        <f ca="1">IF(I371&gt;0,J371*100/I371,0)</f>
        <v>62.585034013605444</v>
      </c>
      <c r="L371" s="172"/>
      <c r="M371" s="164"/>
      <c r="N371" s="164"/>
      <c r="O371" s="164"/>
      <c r="P371" s="164"/>
      <c r="Q371" s="164"/>
      <c r="R371" s="164"/>
      <c r="S371" s="164"/>
      <c r="T371" s="164"/>
      <c r="U371" s="164"/>
    </row>
    <row r="372" spans="1:21" ht="18.75">
      <c r="A372" s="166"/>
      <c r="B372" s="174"/>
      <c r="C372" s="167"/>
      <c r="D372" s="174"/>
      <c r="E372" s="174"/>
      <c r="F372" s="174"/>
      <c r="G372" s="171"/>
      <c r="H372" s="179" t="s">
        <v>46</v>
      </c>
      <c r="I372" s="212">
        <v>0</v>
      </c>
      <c r="J372" s="620">
        <f ca="1">IFERROR(__xludf.DUMMYFUNCTION("IMPORTRANGE(""https://docs.google.com/spreadsheets/d/1tdoBKaGub7dwA3U6UFTqxio9LNnvDCQjHKmttSEBsFQ/edit?usp=sharing"",""จัดที่ดิน!AG50"")"),12962.11)</f>
        <v>12962.11</v>
      </c>
      <c r="K372" s="255">
        <f>IF(I372&gt;0,J372*100/I372,0)</f>
        <v>0</v>
      </c>
      <c r="L372" s="172"/>
      <c r="M372" s="164"/>
      <c r="N372" s="164"/>
      <c r="O372" s="164"/>
      <c r="P372" s="164"/>
      <c r="Q372" s="164"/>
      <c r="R372" s="164"/>
      <c r="S372" s="164"/>
      <c r="T372" s="164"/>
      <c r="U372" s="164"/>
    </row>
    <row r="373" spans="1:21" ht="16.5">
      <c r="A373" s="5"/>
      <c r="B373" s="4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พ.ค. 67 เวลา 07.29 น.]")</f>
        <v xml:space="preserve"> [ข้อมูลจาก ระบบ ALRO Land Online ข้อมูล ณ 1 พ.ค. 67 เวลา 07.29 น.]</v>
      </c>
      <c r="E373" s="4"/>
      <c r="F373" s="4"/>
      <c r="G373" s="65"/>
      <c r="H373" s="65"/>
      <c r="I373" s="67"/>
      <c r="J373" s="67"/>
      <c r="K373" s="6"/>
      <c r="L373" s="68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>
      <c r="A374" s="619"/>
      <c r="B374" s="618" t="s">
        <v>154</v>
      </c>
      <c r="C374" s="617"/>
      <c r="D374" s="616"/>
      <c r="E374" s="615"/>
      <c r="F374" s="615"/>
      <c r="G374" s="614"/>
      <c r="H374" s="613" t="s">
        <v>46</v>
      </c>
      <c r="I374" s="612">
        <f ca="1">I386+I388</f>
        <v>2000</v>
      </c>
      <c r="J374" s="612">
        <f ca="1">J386+J388</f>
        <v>90</v>
      </c>
      <c r="K374" s="611">
        <f ca="1">IF(I374&gt;0,J374*100/I374,0)</f>
        <v>4.5</v>
      </c>
      <c r="L374" s="334"/>
      <c r="M374" s="333"/>
      <c r="N374" s="333"/>
      <c r="O374" s="333"/>
      <c r="P374" s="333"/>
      <c r="Q374" s="333"/>
      <c r="R374" s="333"/>
      <c r="S374" s="333"/>
      <c r="T374" s="333"/>
      <c r="U374" s="333"/>
    </row>
    <row r="375" spans="1:21" ht="19.5">
      <c r="A375" s="155"/>
      <c r="B375" s="188"/>
      <c r="C375" s="191" t="s">
        <v>18</v>
      </c>
      <c r="D375" s="608" t="s">
        <v>19</v>
      </c>
      <c r="E375" s="50"/>
      <c r="F375" s="50"/>
      <c r="G375" s="52"/>
      <c r="H375" s="158" t="s">
        <v>14</v>
      </c>
      <c r="I375" s="54"/>
      <c r="J375" s="54"/>
      <c r="K375" s="55"/>
      <c r="L375" s="541">
        <f>L376+L377</f>
        <v>0</v>
      </c>
      <c r="M375" s="540">
        <f>M376+M377</f>
        <v>0</v>
      </c>
      <c r="N375" s="540">
        <f>N376+N377</f>
        <v>0</v>
      </c>
      <c r="O375" s="540">
        <f>IF(L375&gt;0,N375*100/L375,0)</f>
        <v>0</v>
      </c>
      <c r="P375" s="540">
        <f>IF(M375&gt;0,N375*100/M375,0)</f>
        <v>0</v>
      </c>
      <c r="Q375" s="540">
        <f ca="1">Q376+Q377</f>
        <v>125000</v>
      </c>
      <c r="R375" s="540">
        <f ca="1">R376+R377</f>
        <v>125000</v>
      </c>
      <c r="S375" s="540">
        <f ca="1">S376+S377</f>
        <v>0</v>
      </c>
      <c r="T375" s="540">
        <f ca="1">IF(Q375&gt;0,S375*100/Q375,0)</f>
        <v>0</v>
      </c>
      <c r="U375" s="540">
        <f ca="1">IF(R375&gt;0,S375*100/R375,0)</f>
        <v>0</v>
      </c>
    </row>
    <row r="376" spans="1:21" ht="18.75" hidden="1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103">
        <f>L379+L382</f>
        <v>0</v>
      </c>
      <c r="M376" s="102">
        <f>M379+M382</f>
        <v>0</v>
      </c>
      <c r="N376" s="102">
        <f>N379+N382</f>
        <v>0</v>
      </c>
      <c r="O376" s="102">
        <f>IF(L376&gt;0,N376*100/L376,0)</f>
        <v>0</v>
      </c>
      <c r="P376" s="102">
        <f>IF(M376&gt;0,N376*100/M376,0)</f>
        <v>0</v>
      </c>
      <c r="Q376" s="102">
        <f>Q379+Q382</f>
        <v>0</v>
      </c>
      <c r="R376" s="102">
        <f>R379+R382</f>
        <v>0</v>
      </c>
      <c r="S376" s="102">
        <f>S379+S382</f>
        <v>0</v>
      </c>
      <c r="T376" s="102">
        <f>IF(Q376&gt;0,S376*100/Q376,0)</f>
        <v>0</v>
      </c>
      <c r="U376" s="102">
        <f>IF(R376&gt;0,S376*100/R376,0)</f>
        <v>0</v>
      </c>
    </row>
    <row r="377" spans="1:21" ht="18.75" hidden="1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256">
        <f>L380+L383</f>
        <v>0</v>
      </c>
      <c r="M377" s="255">
        <f>M380+M383</f>
        <v>0</v>
      </c>
      <c r="N377" s="255">
        <f>N380+N383</f>
        <v>0</v>
      </c>
      <c r="O377" s="255">
        <f>IF(L377&gt;0,N377*100/L377,0)</f>
        <v>0</v>
      </c>
      <c r="P377" s="255">
        <f>IF(M377&gt;0,N377*100/M377,0)</f>
        <v>0</v>
      </c>
      <c r="Q377" s="255">
        <f ca="1">Q380+Q383</f>
        <v>125000</v>
      </c>
      <c r="R377" s="255">
        <f ca="1">R380+R383</f>
        <v>125000</v>
      </c>
      <c r="S377" s="255">
        <f ca="1">S380+S383</f>
        <v>0</v>
      </c>
      <c r="T377" s="255">
        <f ca="1">IF(Q377&gt;0,S377*100/Q377,0)</f>
        <v>0</v>
      </c>
      <c r="U377" s="255">
        <f ca="1">IF(R377&gt;0,S377*100/R377,0)</f>
        <v>0</v>
      </c>
    </row>
    <row r="378" spans="1:21" ht="18.75">
      <c r="A378" s="155"/>
      <c r="B378" s="188"/>
      <c r="C378" s="188"/>
      <c r="D378" s="602" t="s">
        <v>22</v>
      </c>
      <c r="E378" s="50"/>
      <c r="F378" s="50"/>
      <c r="G378" s="52"/>
      <c r="H378" s="162" t="s">
        <v>14</v>
      </c>
      <c r="I378" s="163"/>
      <c r="J378" s="163"/>
      <c r="K378" s="164"/>
      <c r="L378" s="256">
        <f>L379+L380</f>
        <v>0</v>
      </c>
      <c r="M378" s="255">
        <f>M379+M380</f>
        <v>0</v>
      </c>
      <c r="N378" s="255">
        <f>N379+N380</f>
        <v>0</v>
      </c>
      <c r="O378" s="255">
        <f>IF(L378&gt;0,N378*100/L378,0)</f>
        <v>0</v>
      </c>
      <c r="P378" s="255">
        <f>IF(M378&gt;0,N378*100/M378,0)</f>
        <v>0</v>
      </c>
      <c r="Q378" s="255">
        <f ca="1">Q379+Q380</f>
        <v>125000</v>
      </c>
      <c r="R378" s="255">
        <f ca="1">R379+R380</f>
        <v>125000</v>
      </c>
      <c r="S378" s="255">
        <f ca="1">S379+S380</f>
        <v>0</v>
      </c>
      <c r="T378" s="255">
        <f ca="1">IF(Q378&gt;0,S378*100/Q378,0)</f>
        <v>0</v>
      </c>
      <c r="U378" s="255">
        <f ca="1">IF(R378&gt;0,S378*100/R378,0)</f>
        <v>0</v>
      </c>
    </row>
    <row r="379" spans="1:21" ht="18.75" hidden="1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103">
        <v>0</v>
      </c>
      <c r="M379" s="102">
        <v>0</v>
      </c>
      <c r="N379" s="102">
        <v>0</v>
      </c>
      <c r="O379" s="102">
        <f>IF(L379&gt;0,N379*100/L379,0)</f>
        <v>0</v>
      </c>
      <c r="P379" s="102">
        <f>IF(M379&gt;0,N379*100/M379,0)</f>
        <v>0</v>
      </c>
      <c r="Q379" s="102">
        <v>0</v>
      </c>
      <c r="R379" s="102">
        <v>0</v>
      </c>
      <c r="S379" s="102">
        <v>0</v>
      </c>
      <c r="T379" s="102">
        <f>IF(Q379&gt;0,S379*100/Q379,0)</f>
        <v>0</v>
      </c>
      <c r="U379" s="102">
        <f>IF(R379&gt;0,S379*100/R379,0)</f>
        <v>0</v>
      </c>
    </row>
    <row r="380" spans="1:21" ht="18.75" hidden="1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256">
        <v>0</v>
      </c>
      <c r="M380" s="255">
        <v>0</v>
      </c>
      <c r="N380" s="255">
        <v>0</v>
      </c>
      <c r="O380" s="255">
        <f>IF(L380&gt;0,N380*100/L380,0)</f>
        <v>0</v>
      </c>
      <c r="P380" s="255">
        <f>IF(M380&gt;0,N380*100/M380,0)</f>
        <v>0</v>
      </c>
      <c r="Q380" s="255">
        <f ca="1">IFERROR(__xludf.DUMMYFUNCTION("IMPORTRANGE(""https://docs.google.com/spreadsheets/d/1ItG2mGa2ceCfYo0BwxsXqNm01IGEUdYcSSLTEv9YCik/edit?usp=sharing"",""เบิกจ่ายกองทุน!AY50"")"),125000)</f>
        <v>125000</v>
      </c>
      <c r="R380" s="255">
        <f ca="1">IFERROR(__xludf.DUMMYFUNCTION("IMPORTRANGE(""https://docs.google.com/spreadsheets/d/1ItG2mGa2ceCfYo0BwxsXqNm01IGEUdYcSSLTEv9YCik/edit?usp=sharing"",""เบิกจ่ายกองทุน!AZ50"")"),125000)</f>
        <v>125000</v>
      </c>
      <c r="S380" s="255">
        <f ca="1">IFERROR(__xludf.DUMMYFUNCTION("IMPORTRANGE(""https://docs.google.com/spreadsheets/d/1ItG2mGa2ceCfYo0BwxsXqNm01IGEUdYcSSLTEv9YCik/edit?usp=sharing"",""เบิกจ่ายกองทุน!BA50"")"),0)</f>
        <v>0</v>
      </c>
      <c r="T380" s="255">
        <f ca="1">IF(Q380&gt;0,S380*100/Q380,0)</f>
        <v>0</v>
      </c>
      <c r="U380" s="255">
        <f ca="1">IF(R380&gt;0,S380*100/R380,0)</f>
        <v>0</v>
      </c>
    </row>
    <row r="381" spans="1:21" ht="18.75">
      <c r="A381" s="155"/>
      <c r="B381" s="188"/>
      <c r="C381" s="188"/>
      <c r="D381" s="602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256">
        <f>L382+L383</f>
        <v>0</v>
      </c>
      <c r="M381" s="255">
        <f>M382+M383</f>
        <v>0</v>
      </c>
      <c r="N381" s="255">
        <f>N382+N383</f>
        <v>0</v>
      </c>
      <c r="O381" s="255">
        <f>IF(L381&gt;0,N381*100/L381,0)</f>
        <v>0</v>
      </c>
      <c r="P381" s="255">
        <f>IF(M381&gt;0,N381*100/M381,0)</f>
        <v>0</v>
      </c>
      <c r="Q381" s="255">
        <f>Q382+Q383</f>
        <v>0</v>
      </c>
      <c r="R381" s="255">
        <f>R382+R383</f>
        <v>0</v>
      </c>
      <c r="S381" s="255">
        <f>S382+S383</f>
        <v>0</v>
      </c>
      <c r="T381" s="255">
        <f>IF(Q381&gt;0,S381*100/Q381,0)</f>
        <v>0</v>
      </c>
      <c r="U381" s="255">
        <f>IF(R381&gt;0,S381*100/R381,0)</f>
        <v>0</v>
      </c>
    </row>
    <row r="382" spans="1:21" ht="18.75" hidden="1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103">
        <v>0</v>
      </c>
      <c r="M382" s="102">
        <v>0</v>
      </c>
      <c r="N382" s="102">
        <v>0</v>
      </c>
      <c r="O382" s="102">
        <f>IF(L382&gt;0,N382*100/L382,0)</f>
        <v>0</v>
      </c>
      <c r="P382" s="102">
        <f>IF(M382&gt;0,N382*100/M382,0)</f>
        <v>0</v>
      </c>
      <c r="Q382" s="102">
        <v>0</v>
      </c>
      <c r="R382" s="102">
        <v>0</v>
      </c>
      <c r="S382" s="102">
        <v>0</v>
      </c>
      <c r="T382" s="102">
        <f>IF(Q382&gt;0,S382*100/Q382,0)</f>
        <v>0</v>
      </c>
      <c r="U382" s="102">
        <f>IF(R382&gt;0,S382*100/R382,0)</f>
        <v>0</v>
      </c>
    </row>
    <row r="383" spans="1:21" ht="18.75" hidden="1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256">
        <v>0</v>
      </c>
      <c r="M383" s="255">
        <v>0</v>
      </c>
      <c r="N383" s="255">
        <v>0</v>
      </c>
      <c r="O383" s="255">
        <f>IF(L383&gt;0,N383*100/L383,0)</f>
        <v>0</v>
      </c>
      <c r="P383" s="255">
        <f>IF(M383&gt;0,N383*100/M383,0)</f>
        <v>0</v>
      </c>
      <c r="Q383" s="255">
        <v>0</v>
      </c>
      <c r="R383" s="255">
        <v>0</v>
      </c>
      <c r="S383" s="255">
        <v>0</v>
      </c>
      <c r="T383" s="255">
        <f>IF(Q383&gt;0,S383*100/Q383,0)</f>
        <v>0</v>
      </c>
      <c r="U383" s="255">
        <f>IF(R383&gt;0,S383*100/R383,0)</f>
        <v>0</v>
      </c>
    </row>
    <row r="384" spans="1:21" ht="19.5">
      <c r="A384" s="166"/>
      <c r="B384" s="167"/>
      <c r="C384" s="191" t="s">
        <v>18</v>
      </c>
      <c r="D384" s="560" t="s">
        <v>38</v>
      </c>
      <c r="E384" s="169"/>
      <c r="F384" s="169"/>
      <c r="G384" s="170"/>
      <c r="H384" s="206"/>
      <c r="I384" s="163"/>
      <c r="J384" s="54"/>
      <c r="K384" s="55"/>
      <c r="L384" s="62"/>
      <c r="M384" s="55"/>
      <c r="N384" s="55"/>
      <c r="O384" s="164"/>
      <c r="P384" s="164"/>
      <c r="Q384" s="55"/>
      <c r="R384" s="55"/>
      <c r="S384" s="55"/>
      <c r="T384" s="164"/>
      <c r="U384" s="164"/>
    </row>
    <row r="385" spans="1:21" ht="18.75">
      <c r="A385" s="238"/>
      <c r="B385" s="188"/>
      <c r="C385" s="188"/>
      <c r="D385" s="188"/>
      <c r="E385" s="58" t="s">
        <v>155</v>
      </c>
      <c r="F385" s="50"/>
      <c r="G385" s="52"/>
      <c r="H385" s="161" t="s">
        <v>34</v>
      </c>
      <c r="I385" s="212">
        <v>0</v>
      </c>
      <c r="J385" s="212">
        <f ca="1">IFERROR(__xludf.DUMMYFUNCTION("IMPORTRANGE(""https://docs.google.com/spreadsheets/d/1w5rwWK1o49a35cNtocGL0gxDwhFSTZUQu90BiH9_zqM/edit?usp=sharing"",""RTK!H50"")"),9)</f>
        <v>9</v>
      </c>
      <c r="K385" s="255">
        <f>IF(I385&gt;0,J385*100/I385,0)</f>
        <v>0</v>
      </c>
      <c r="L385" s="62"/>
      <c r="M385" s="55"/>
      <c r="N385" s="55"/>
      <c r="O385" s="55"/>
      <c r="P385" s="55"/>
      <c r="Q385" s="55"/>
      <c r="R385" s="55"/>
      <c r="S385" s="55"/>
      <c r="T385" s="55"/>
      <c r="U385" s="55"/>
    </row>
    <row r="386" spans="1:21" ht="18.75">
      <c r="A386" s="188"/>
      <c r="B386" s="188"/>
      <c r="C386" s="188"/>
      <c r="D386" s="188"/>
      <c r="E386" s="188"/>
      <c r="F386" s="188"/>
      <c r="G386" s="208"/>
      <c r="H386" s="161" t="s">
        <v>46</v>
      </c>
      <c r="I386" s="212">
        <f ca="1">IFERROR(__xludf.DUMMYFUNCTION("IMPORTRANGE(""https://docs.google.com/spreadsheets/d/1w5rwWK1o49a35cNtocGL0gxDwhFSTZUQu90BiH9_zqM/edit?usp=sharing"",""RTK!G50"")"),2000)</f>
        <v>2000</v>
      </c>
      <c r="J386" s="212">
        <f ca="1">IFERROR(__xludf.DUMMYFUNCTION("IMPORTRANGE(""https://docs.google.com/spreadsheets/d/1w5rwWK1o49a35cNtocGL0gxDwhFSTZUQu90BiH9_zqM/edit?usp=sharing"",""RTK!I50"")"),90)</f>
        <v>90</v>
      </c>
      <c r="K386" s="255">
        <f ca="1">IF(I386&gt;0,J386*100/I386,0)</f>
        <v>4.5</v>
      </c>
      <c r="L386" s="62"/>
      <c r="M386" s="55"/>
      <c r="N386" s="55"/>
      <c r="O386" s="55"/>
      <c r="P386" s="55"/>
      <c r="Q386" s="55"/>
      <c r="R386" s="55"/>
      <c r="S386" s="55"/>
      <c r="T386" s="55"/>
      <c r="U386" s="55"/>
    </row>
    <row r="387" spans="1:21" ht="18.75">
      <c r="A387" s="609"/>
      <c r="B387" s="609"/>
      <c r="C387" s="609"/>
      <c r="D387" s="609"/>
      <c r="E387" s="610" t="s">
        <v>156</v>
      </c>
      <c r="F387" s="609"/>
      <c r="G387" s="557"/>
      <c r="H387" s="549" t="s">
        <v>34</v>
      </c>
      <c r="I387" s="556">
        <v>0</v>
      </c>
      <c r="J387" s="556">
        <f ca="1">IFERROR(__xludf.DUMMYFUNCTION("IMPORTRANGE(""https://docs.google.com/spreadsheets/d/1w5rwWK1o49a35cNtocGL0gxDwhFSTZUQu90BiH9_zqM/edit?usp=sharing"",""RTK!L50"")"),0)</f>
        <v>0</v>
      </c>
      <c r="K387" s="555">
        <f>IF(I387&gt;0,J387*100/I387,0)</f>
        <v>0</v>
      </c>
      <c r="L387" s="546"/>
      <c r="M387" s="545"/>
      <c r="N387" s="545"/>
      <c r="O387" s="545"/>
      <c r="P387" s="545"/>
      <c r="Q387" s="545"/>
      <c r="R387" s="545"/>
      <c r="S387" s="545"/>
      <c r="T387" s="545"/>
      <c r="U387" s="545"/>
    </row>
    <row r="388" spans="1:21" ht="18.75">
      <c r="A388" s="609"/>
      <c r="B388" s="609"/>
      <c r="C388" s="609"/>
      <c r="D388" s="609"/>
      <c r="E388" s="609"/>
      <c r="F388" s="609"/>
      <c r="G388" s="557"/>
      <c r="H388" s="549" t="s">
        <v>46</v>
      </c>
      <c r="I388" s="556">
        <f ca="1">IFERROR(__xludf.DUMMYFUNCTION("IMPORTRANGE(""https://docs.google.com/spreadsheets/d/1w5rwWK1o49a35cNtocGL0gxDwhFSTZUQu90BiH9_zqM/edit?usp=sharing"",""RTK!K50"")"),0)</f>
        <v>0</v>
      </c>
      <c r="J388" s="556">
        <f ca="1">IFERROR(__xludf.DUMMYFUNCTION("IMPORTRANGE(""https://docs.google.com/spreadsheets/d/1w5rwWK1o49a35cNtocGL0gxDwhFSTZUQu90BiH9_zqM/edit?usp=sharing"",""RTK!M50"")"),0)</f>
        <v>0</v>
      </c>
      <c r="K388" s="555">
        <f ca="1">IF(I388&gt;0,J388*100/I388,0)</f>
        <v>0</v>
      </c>
      <c r="L388" s="546"/>
      <c r="M388" s="545"/>
      <c r="N388" s="545"/>
      <c r="O388" s="545"/>
      <c r="P388" s="545"/>
      <c r="Q388" s="545"/>
      <c r="R388" s="545"/>
      <c r="S388" s="545"/>
      <c r="T388" s="545"/>
      <c r="U388" s="545"/>
    </row>
    <row r="389" spans="1:21" ht="12.75" hidden="1">
      <c r="A389" s="259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5"/>
      <c r="M389" s="264"/>
      <c r="N389" s="264"/>
      <c r="O389" s="264"/>
      <c r="P389" s="264"/>
      <c r="Q389" s="264"/>
      <c r="R389" s="264"/>
      <c r="S389" s="264"/>
      <c r="T389" s="264"/>
      <c r="U389" s="264"/>
    </row>
    <row r="390" spans="1:21" ht="12.75" hidden="1">
      <c r="A390" s="360"/>
      <c r="B390" s="360"/>
      <c r="C390" s="360"/>
      <c r="D390" s="360"/>
      <c r="E390" s="360"/>
      <c r="F390" s="360"/>
      <c r="G390" s="361"/>
      <c r="H390" s="361"/>
      <c r="I390" s="362"/>
      <c r="J390" s="362"/>
      <c r="K390" s="363"/>
      <c r="L390" s="364"/>
      <c r="M390" s="363"/>
      <c r="N390" s="363"/>
      <c r="O390" s="363"/>
      <c r="P390" s="363"/>
      <c r="Q390" s="363"/>
      <c r="R390" s="363"/>
      <c r="S390" s="363"/>
      <c r="T390" s="363"/>
      <c r="U390" s="363"/>
    </row>
    <row r="391" spans="1:21" ht="19.5" hidden="1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51">
        <f>I402</f>
        <v>0</v>
      </c>
      <c r="J391" s="351">
        <f>J402</f>
        <v>0</v>
      </c>
      <c r="K391" s="604">
        <f>IF(I391&gt;0,J391*100/I391,0)</f>
        <v>0</v>
      </c>
      <c r="L391" s="334"/>
      <c r="M391" s="333"/>
      <c r="N391" s="333"/>
      <c r="O391" s="333"/>
      <c r="P391" s="333"/>
      <c r="Q391" s="333"/>
      <c r="R391" s="333"/>
      <c r="S391" s="333"/>
      <c r="T391" s="333"/>
      <c r="U391" s="333"/>
    </row>
    <row r="392" spans="1:21" ht="19.5" hidden="1">
      <c r="A392" s="155"/>
      <c r="B392" s="188"/>
      <c r="C392" s="191" t="s">
        <v>18</v>
      </c>
      <c r="D392" s="608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541">
        <f>L393+L394</f>
        <v>0</v>
      </c>
      <c r="M392" s="540">
        <f>M393+M394</f>
        <v>0</v>
      </c>
      <c r="N392" s="540">
        <f>N393+N394</f>
        <v>0</v>
      </c>
      <c r="O392" s="540">
        <f>IF(L392&gt;0,N392*100/L392,0)</f>
        <v>0</v>
      </c>
      <c r="P392" s="540">
        <f>IF(M392&gt;0,N392*100/M392,0)</f>
        <v>0</v>
      </c>
      <c r="Q392" s="540">
        <f>Q393+Q394</f>
        <v>0</v>
      </c>
      <c r="R392" s="540">
        <f>R393+R394</f>
        <v>0</v>
      </c>
      <c r="S392" s="540">
        <f>S393+S394</f>
        <v>0</v>
      </c>
      <c r="T392" s="540">
        <f>IF(Q392&gt;0,S392*100/Q392,0)</f>
        <v>0</v>
      </c>
      <c r="U392" s="540">
        <f>IF(R392&gt;0,S392*100/R392,0)</f>
        <v>0</v>
      </c>
    </row>
    <row r="393" spans="1:21" ht="18.75" hidden="1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103">
        <f>L396+L399</f>
        <v>0</v>
      </c>
      <c r="M393" s="102">
        <f>M396+M399</f>
        <v>0</v>
      </c>
      <c r="N393" s="102">
        <f>N396+N399</f>
        <v>0</v>
      </c>
      <c r="O393" s="102">
        <f>IF(L393&gt;0,N393*100/L393,0)</f>
        <v>0</v>
      </c>
      <c r="P393" s="102">
        <f>IF(M393&gt;0,N393*100/M393,0)</f>
        <v>0</v>
      </c>
      <c r="Q393" s="102">
        <f>Q396+Q399</f>
        <v>0</v>
      </c>
      <c r="R393" s="102">
        <f>R396+R399</f>
        <v>0</v>
      </c>
      <c r="S393" s="102">
        <f>S396+S399</f>
        <v>0</v>
      </c>
      <c r="T393" s="102">
        <f>IF(Q393&gt;0,S393*100/Q393,0)</f>
        <v>0</v>
      </c>
      <c r="U393" s="102">
        <f>IF(R393&gt;0,S393*100/R393,0)</f>
        <v>0</v>
      </c>
    </row>
    <row r="394" spans="1:21" ht="18.75" hidden="1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256">
        <f>L397+L400</f>
        <v>0</v>
      </c>
      <c r="M394" s="255">
        <f>M397+M400</f>
        <v>0</v>
      </c>
      <c r="N394" s="255">
        <f>N397+N400</f>
        <v>0</v>
      </c>
      <c r="O394" s="255">
        <f>IF(L394&gt;0,N394*100/L394,0)</f>
        <v>0</v>
      </c>
      <c r="P394" s="255">
        <f>IF(M394&gt;0,N394*100/M394,0)</f>
        <v>0</v>
      </c>
      <c r="Q394" s="255">
        <f>Q397+Q400</f>
        <v>0</v>
      </c>
      <c r="R394" s="255">
        <f>R397+R400</f>
        <v>0</v>
      </c>
      <c r="S394" s="255">
        <f>S397+S400</f>
        <v>0</v>
      </c>
      <c r="T394" s="255">
        <f>IF(Q394&gt;0,S394*100/Q394,0)</f>
        <v>0</v>
      </c>
      <c r="U394" s="255">
        <f>IF(R394&gt;0,S394*100/R394,0)</f>
        <v>0</v>
      </c>
    </row>
    <row r="395" spans="1:21" ht="18.75" hidden="1">
      <c r="A395" s="155"/>
      <c r="B395" s="188"/>
      <c r="C395" s="188"/>
      <c r="D395" s="602" t="s">
        <v>22</v>
      </c>
      <c r="E395" s="50"/>
      <c r="F395" s="50"/>
      <c r="G395" s="52"/>
      <c r="H395" s="162" t="s">
        <v>14</v>
      </c>
      <c r="I395" s="163"/>
      <c r="J395" s="163"/>
      <c r="K395" s="164"/>
      <c r="L395" s="256">
        <f>L396+L397</f>
        <v>0</v>
      </c>
      <c r="M395" s="255">
        <f>M396+M397</f>
        <v>0</v>
      </c>
      <c r="N395" s="255">
        <f>N396+N397</f>
        <v>0</v>
      </c>
      <c r="O395" s="255">
        <f>IF(L395&gt;0,N395*100/L395,0)</f>
        <v>0</v>
      </c>
      <c r="P395" s="255">
        <f>IF(M395&gt;0,N395*100/M395,0)</f>
        <v>0</v>
      </c>
      <c r="Q395" s="255">
        <f>Q396+Q397</f>
        <v>0</v>
      </c>
      <c r="R395" s="255">
        <f>R396+R397</f>
        <v>0</v>
      </c>
      <c r="S395" s="255">
        <f>S396+S397</f>
        <v>0</v>
      </c>
      <c r="T395" s="255">
        <f>IF(Q395&gt;0,S395*100/Q395,0)</f>
        <v>0</v>
      </c>
      <c r="U395" s="255">
        <f>IF(R395&gt;0,S395*100/R395,0)</f>
        <v>0</v>
      </c>
    </row>
    <row r="396" spans="1:21" ht="18.75" hidden="1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103">
        <v>0</v>
      </c>
      <c r="M396" s="102">
        <v>0</v>
      </c>
      <c r="N396" s="102">
        <v>0</v>
      </c>
      <c r="O396" s="102">
        <f>IF(L396&gt;0,N396*100/L396,0)</f>
        <v>0</v>
      </c>
      <c r="P396" s="102">
        <f>IF(M396&gt;0,N396*100/M396,0)</f>
        <v>0</v>
      </c>
      <c r="Q396" s="102">
        <v>0</v>
      </c>
      <c r="R396" s="102">
        <v>0</v>
      </c>
      <c r="S396" s="102">
        <v>0</v>
      </c>
      <c r="T396" s="102">
        <f>IF(Q396&gt;0,S396*100/Q396,0)</f>
        <v>0</v>
      </c>
      <c r="U396" s="102">
        <f>IF(R396&gt;0,S396*100/R396,0)</f>
        <v>0</v>
      </c>
    </row>
    <row r="397" spans="1:21" ht="18.75" hidden="1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256">
        <v>0</v>
      </c>
      <c r="M397" s="255">
        <v>0</v>
      </c>
      <c r="N397" s="255">
        <v>0</v>
      </c>
      <c r="O397" s="255">
        <f>IF(L397&gt;0,N397*100/L397,0)</f>
        <v>0</v>
      </c>
      <c r="P397" s="255">
        <f>IF(M397&gt;0,N397*100/M397,0)</f>
        <v>0</v>
      </c>
      <c r="Q397" s="255">
        <v>0</v>
      </c>
      <c r="R397" s="255">
        <v>0</v>
      </c>
      <c r="S397" s="255">
        <v>0</v>
      </c>
      <c r="T397" s="255">
        <f>IF(Q397&gt;0,S397*100/Q397,0)</f>
        <v>0</v>
      </c>
      <c r="U397" s="255">
        <f>IF(R397&gt;0,S397*100/R397,0)</f>
        <v>0</v>
      </c>
    </row>
    <row r="398" spans="1:21" ht="18.75" hidden="1">
      <c r="A398" s="155"/>
      <c r="B398" s="188"/>
      <c r="C398" s="188"/>
      <c r="D398" s="602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256">
        <f>L399+L400</f>
        <v>0</v>
      </c>
      <c r="M398" s="255">
        <f>M399+M400</f>
        <v>0</v>
      </c>
      <c r="N398" s="255">
        <f>N399+N400</f>
        <v>0</v>
      </c>
      <c r="O398" s="255">
        <f>IF(L398&gt;0,N398*100/L398,0)</f>
        <v>0</v>
      </c>
      <c r="P398" s="255">
        <f>IF(M398&gt;0,N398*100/M398,0)</f>
        <v>0</v>
      </c>
      <c r="Q398" s="255">
        <f>Q399+Q400</f>
        <v>0</v>
      </c>
      <c r="R398" s="255">
        <f>R399+R400</f>
        <v>0</v>
      </c>
      <c r="S398" s="255">
        <f>S399+S400</f>
        <v>0</v>
      </c>
      <c r="T398" s="255">
        <f>IF(Q398&gt;0,S398*100/Q398,0)</f>
        <v>0</v>
      </c>
      <c r="U398" s="255">
        <f>IF(R398&gt;0,S398*100/R398,0)</f>
        <v>0</v>
      </c>
    </row>
    <row r="399" spans="1:21" ht="18.75" hidden="1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103">
        <v>0</v>
      </c>
      <c r="M399" s="102">
        <v>0</v>
      </c>
      <c r="N399" s="102">
        <v>0</v>
      </c>
      <c r="O399" s="102">
        <f>IF(L399&gt;0,N399*100/L399,0)</f>
        <v>0</v>
      </c>
      <c r="P399" s="102">
        <f>IF(M399&gt;0,N399*100/M399,0)</f>
        <v>0</v>
      </c>
      <c r="Q399" s="102">
        <v>0</v>
      </c>
      <c r="R399" s="102">
        <v>0</v>
      </c>
      <c r="S399" s="102">
        <v>0</v>
      </c>
      <c r="T399" s="102">
        <f>IF(Q399&gt;0,S399*100/Q399,0)</f>
        <v>0</v>
      </c>
      <c r="U399" s="102">
        <f>IF(R399&gt;0,S399*100/R399,0)</f>
        <v>0</v>
      </c>
    </row>
    <row r="400" spans="1:21" ht="18.75" hidden="1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256">
        <v>0</v>
      </c>
      <c r="M400" s="255">
        <v>0</v>
      </c>
      <c r="N400" s="255">
        <v>0</v>
      </c>
      <c r="O400" s="255">
        <f>IF(L400&gt;0,N400*100/L400,0)</f>
        <v>0</v>
      </c>
      <c r="P400" s="255">
        <f>IF(M400&gt;0,N400*100/M400,0)</f>
        <v>0</v>
      </c>
      <c r="Q400" s="255">
        <v>0</v>
      </c>
      <c r="R400" s="255">
        <v>0</v>
      </c>
      <c r="S400" s="255">
        <v>0</v>
      </c>
      <c r="T400" s="255">
        <f>IF(Q400&gt;0,S400*100/Q400,0)</f>
        <v>0</v>
      </c>
      <c r="U400" s="255">
        <f>IF(R400&gt;0,S400*100/R400,0)</f>
        <v>0</v>
      </c>
    </row>
    <row r="401" spans="1:21" ht="19.5" hidden="1">
      <c r="A401" s="166"/>
      <c r="B401" s="167"/>
      <c r="C401" s="191" t="s">
        <v>18</v>
      </c>
      <c r="D401" s="560" t="s">
        <v>38</v>
      </c>
      <c r="E401" s="169"/>
      <c r="F401" s="169"/>
      <c r="G401" s="170"/>
      <c r="H401" s="206"/>
      <c r="I401" s="163"/>
      <c r="J401" s="54"/>
      <c r="K401" s="55"/>
      <c r="L401" s="62"/>
      <c r="M401" s="55"/>
      <c r="N401" s="55"/>
      <c r="O401" s="164"/>
      <c r="P401" s="164"/>
      <c r="Q401" s="55"/>
      <c r="R401" s="55"/>
      <c r="S401" s="55"/>
      <c r="T401" s="164"/>
      <c r="U401" s="164"/>
    </row>
    <row r="402" spans="1:21" ht="12.75" hidden="1">
      <c r="A402" s="258"/>
      <c r="B402" s="259"/>
      <c r="C402" s="259"/>
      <c r="D402" s="259"/>
      <c r="E402" s="260"/>
      <c r="F402" s="260"/>
      <c r="G402" s="261"/>
      <c r="H402" s="262"/>
      <c r="I402" s="263"/>
      <c r="J402" s="263"/>
      <c r="K402" s="264"/>
      <c r="L402" s="265"/>
      <c r="M402" s="264"/>
      <c r="N402" s="264"/>
      <c r="O402" s="264"/>
      <c r="P402" s="264"/>
      <c r="Q402" s="264"/>
      <c r="R402" s="264"/>
      <c r="S402" s="264"/>
      <c r="T402" s="264"/>
      <c r="U402" s="264"/>
    </row>
    <row r="403" spans="1:21" ht="12.75" hidden="1">
      <c r="A403" s="259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5"/>
      <c r="M403" s="264"/>
      <c r="N403" s="264"/>
      <c r="O403" s="264"/>
      <c r="P403" s="264"/>
      <c r="Q403" s="264"/>
      <c r="R403" s="264"/>
      <c r="S403" s="264"/>
      <c r="T403" s="264"/>
      <c r="U403" s="264"/>
    </row>
    <row r="404" spans="1:21" ht="12.75" hidden="1">
      <c r="A404" s="259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5"/>
      <c r="M404" s="264"/>
      <c r="N404" s="264"/>
      <c r="O404" s="264"/>
      <c r="P404" s="264"/>
      <c r="Q404" s="264"/>
      <c r="R404" s="264"/>
      <c r="S404" s="264"/>
      <c r="T404" s="264"/>
      <c r="U404" s="264"/>
    </row>
    <row r="405" spans="1:21" ht="12.75" hidden="1">
      <c r="A405" s="259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5"/>
      <c r="M405" s="264"/>
      <c r="N405" s="264"/>
      <c r="O405" s="264"/>
      <c r="P405" s="264"/>
      <c r="Q405" s="264"/>
      <c r="R405" s="264"/>
      <c r="S405" s="264"/>
      <c r="T405" s="264"/>
      <c r="U405" s="264"/>
    </row>
    <row r="406" spans="1:21" ht="12.75" hidden="1">
      <c r="A406" s="259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5"/>
      <c r="M406" s="264"/>
      <c r="N406" s="264"/>
      <c r="O406" s="264"/>
      <c r="P406" s="264"/>
      <c r="Q406" s="264"/>
      <c r="R406" s="264"/>
      <c r="S406" s="264"/>
      <c r="T406" s="264"/>
      <c r="U406" s="264"/>
    </row>
    <row r="407" spans="1:21" ht="12.75" hidden="1">
      <c r="A407" s="259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5"/>
      <c r="M407" s="264"/>
      <c r="N407" s="264"/>
      <c r="O407" s="264"/>
      <c r="P407" s="264"/>
      <c r="Q407" s="264"/>
      <c r="R407" s="264"/>
      <c r="S407" s="264"/>
      <c r="T407" s="264"/>
      <c r="U407" s="264"/>
    </row>
    <row r="408" spans="1:21" ht="12.75" hidden="1">
      <c r="A408" s="259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5"/>
      <c r="M408" s="264"/>
      <c r="N408" s="264"/>
      <c r="O408" s="264"/>
      <c r="P408" s="264"/>
      <c r="Q408" s="264"/>
      <c r="R408" s="264"/>
      <c r="S408" s="264"/>
      <c r="T408" s="264"/>
      <c r="U408" s="264"/>
    </row>
    <row r="409" spans="1:21" ht="12.75" hidden="1">
      <c r="A409" s="259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5"/>
      <c r="M409" s="264"/>
      <c r="N409" s="264"/>
      <c r="O409" s="264"/>
      <c r="P409" s="264"/>
      <c r="Q409" s="264"/>
      <c r="R409" s="264"/>
      <c r="S409" s="264"/>
      <c r="T409" s="264"/>
      <c r="U409" s="264"/>
    </row>
    <row r="410" spans="1:21" ht="12.75" hidden="1">
      <c r="A410" s="259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5"/>
      <c r="M410" s="264"/>
      <c r="N410" s="264"/>
      <c r="O410" s="264"/>
      <c r="P410" s="264"/>
      <c r="Q410" s="264"/>
      <c r="R410" s="264"/>
      <c r="S410" s="264"/>
      <c r="T410" s="264"/>
      <c r="U410" s="264"/>
    </row>
    <row r="411" spans="1:21" ht="12.75" hidden="1">
      <c r="A411" s="360"/>
      <c r="B411" s="360"/>
      <c r="C411" s="360"/>
      <c r="D411" s="360"/>
      <c r="E411" s="360"/>
      <c r="F411" s="360"/>
      <c r="G411" s="361"/>
      <c r="H411" s="361"/>
      <c r="I411" s="362"/>
      <c r="J411" s="362"/>
      <c r="K411" s="363"/>
      <c r="L411" s="364"/>
      <c r="M411" s="363"/>
      <c r="N411" s="363"/>
      <c r="O411" s="363"/>
      <c r="P411" s="363"/>
      <c r="Q411" s="363"/>
      <c r="R411" s="363"/>
      <c r="S411" s="363"/>
      <c r="T411" s="363"/>
      <c r="U411" s="363"/>
    </row>
    <row r="412" spans="1:21" ht="19.5" hidden="1">
      <c r="A412" s="337"/>
      <c r="B412" s="354" t="s">
        <v>158</v>
      </c>
      <c r="C412" s="337"/>
      <c r="D412" s="337"/>
      <c r="E412" s="337"/>
      <c r="F412" s="337"/>
      <c r="G412" s="365"/>
      <c r="H412" s="366" t="s">
        <v>46</v>
      </c>
      <c r="I412" s="605">
        <f ca="1">I423</f>
        <v>0</v>
      </c>
      <c r="J412" s="605">
        <f>J423</f>
        <v>0</v>
      </c>
      <c r="K412" s="604">
        <f ca="1">IF(I412&gt;0,J412*100/I412,0)</f>
        <v>0</v>
      </c>
      <c r="L412" s="334"/>
      <c r="M412" s="333"/>
      <c r="N412" s="333"/>
      <c r="O412" s="333"/>
      <c r="P412" s="333"/>
      <c r="Q412" s="333"/>
      <c r="R412" s="333"/>
      <c r="S412" s="333"/>
      <c r="T412" s="333"/>
      <c r="U412" s="333"/>
    </row>
    <row r="413" spans="1:21" ht="19.5" hidden="1">
      <c r="A413" s="155"/>
      <c r="B413" s="188"/>
      <c r="C413" s="367" t="s">
        <v>18</v>
      </c>
      <c r="D413" s="603" t="s">
        <v>19</v>
      </c>
      <c r="E413" s="514"/>
      <c r="F413" s="514"/>
      <c r="G413" s="512"/>
      <c r="H413" s="368" t="s">
        <v>14</v>
      </c>
      <c r="I413" s="54"/>
      <c r="J413" s="54"/>
      <c r="K413" s="55"/>
      <c r="L413" s="541">
        <f>L414+L415</f>
        <v>0</v>
      </c>
      <c r="M413" s="540">
        <f>M414+M415</f>
        <v>0</v>
      </c>
      <c r="N413" s="540">
        <f>N414+N415</f>
        <v>0</v>
      </c>
      <c r="O413" s="540">
        <f>IF(L413&gt;0,N413*100/L413,0)</f>
        <v>0</v>
      </c>
      <c r="P413" s="540">
        <f>IF(M413&gt;0,N413*100/M413,0)</f>
        <v>0</v>
      </c>
      <c r="Q413" s="540">
        <f ca="1">Q414+Q415</f>
        <v>0</v>
      </c>
      <c r="R413" s="540">
        <f ca="1">R414+R415</f>
        <v>0</v>
      </c>
      <c r="S413" s="540">
        <f ca="1">S414+S415</f>
        <v>0</v>
      </c>
      <c r="T413" s="540">
        <f ca="1">IF(Q413&gt;0,S413*100/Q413,0)</f>
        <v>0</v>
      </c>
      <c r="U413" s="540">
        <f ca="1">IF(R413&gt;0,S413*100/R413,0)</f>
        <v>0</v>
      </c>
    </row>
    <row r="414" spans="1:21" ht="18.75" hidden="1">
      <c r="A414" s="155"/>
      <c r="B414" s="188"/>
      <c r="C414" s="188"/>
      <c r="D414" s="188"/>
      <c r="E414" s="358" t="s">
        <v>159</v>
      </c>
      <c r="F414" s="188"/>
      <c r="G414" s="208"/>
      <c r="H414" s="204" t="s">
        <v>14</v>
      </c>
      <c r="I414" s="54"/>
      <c r="J414" s="54"/>
      <c r="K414" s="55"/>
      <c r="L414" s="103">
        <f>L417+L420</f>
        <v>0</v>
      </c>
      <c r="M414" s="102">
        <f>M417+M420</f>
        <v>0</v>
      </c>
      <c r="N414" s="102">
        <f>N417+N420</f>
        <v>0</v>
      </c>
      <c r="O414" s="102">
        <f>IF(L414&gt;0,N414*100/L414,0)</f>
        <v>0</v>
      </c>
      <c r="P414" s="102">
        <f>IF(M414&gt;0,N414*100/M414,0)</f>
        <v>0</v>
      </c>
      <c r="Q414" s="102">
        <f>Q417+Q420</f>
        <v>0</v>
      </c>
      <c r="R414" s="102">
        <f>R417+R420</f>
        <v>0</v>
      </c>
      <c r="S414" s="102">
        <f>S417+S420</f>
        <v>0</v>
      </c>
      <c r="T414" s="102">
        <f>IF(Q414&gt;0,S414*100/Q414,0)</f>
        <v>0</v>
      </c>
      <c r="U414" s="102">
        <f>IF(R414&gt;0,S414*100/R414,0)</f>
        <v>0</v>
      </c>
    </row>
    <row r="415" spans="1:21" ht="18.75" hidden="1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256">
        <f>L418+L421</f>
        <v>0</v>
      </c>
      <c r="M415" s="255">
        <f>M418+M421</f>
        <v>0</v>
      </c>
      <c r="N415" s="255">
        <f>N418+N421</f>
        <v>0</v>
      </c>
      <c r="O415" s="255">
        <f>IF(L415&gt;0,N415*100/L415,0)</f>
        <v>0</v>
      </c>
      <c r="P415" s="255">
        <f>IF(M415&gt;0,N415*100/M415,0)</f>
        <v>0</v>
      </c>
      <c r="Q415" s="255">
        <f ca="1">Q418+Q421</f>
        <v>0</v>
      </c>
      <c r="R415" s="255">
        <f ca="1">R418+R421</f>
        <v>0</v>
      </c>
      <c r="S415" s="255">
        <f ca="1">S418+S421</f>
        <v>0</v>
      </c>
      <c r="T415" s="255">
        <f ca="1">IF(Q415&gt;0,S415*100/Q415,0)</f>
        <v>0</v>
      </c>
      <c r="U415" s="255">
        <f ca="1">IF(R415&gt;0,S415*100/R415,0)</f>
        <v>0</v>
      </c>
    </row>
    <row r="416" spans="1:21" ht="19.5" hidden="1">
      <c r="A416" s="155"/>
      <c r="B416" s="188"/>
      <c r="C416" s="188"/>
      <c r="D416" s="608" t="s">
        <v>22</v>
      </c>
      <c r="E416" s="188"/>
      <c r="F416" s="188"/>
      <c r="G416" s="208"/>
      <c r="H416" s="368" t="s">
        <v>14</v>
      </c>
      <c r="I416" s="54"/>
      <c r="J416" s="54"/>
      <c r="K416" s="55"/>
      <c r="L416" s="256">
        <f>L417+L418</f>
        <v>0</v>
      </c>
      <c r="M416" s="255">
        <f>M417+M418</f>
        <v>0</v>
      </c>
      <c r="N416" s="255">
        <f>N417+N418</f>
        <v>0</v>
      </c>
      <c r="O416" s="255">
        <f>IF(L416&gt;0,N416*100/L416,0)</f>
        <v>0</v>
      </c>
      <c r="P416" s="255">
        <f>IF(M416&gt;0,N416*100/M416,0)</f>
        <v>0</v>
      </c>
      <c r="Q416" s="255">
        <f ca="1">Q417+Q418</f>
        <v>0</v>
      </c>
      <c r="R416" s="255">
        <f ca="1">R417+R418</f>
        <v>0</v>
      </c>
      <c r="S416" s="255">
        <f ca="1">S417+S418</f>
        <v>0</v>
      </c>
      <c r="T416" s="255">
        <f ca="1">IF(Q416&gt;0,S416*100/Q416,0)</f>
        <v>0</v>
      </c>
      <c r="U416" s="255">
        <f ca="1">IF(R416&gt;0,S416*100/R416,0)</f>
        <v>0</v>
      </c>
    </row>
    <row r="417" spans="1:21" ht="18.75" hidden="1">
      <c r="A417" s="155"/>
      <c r="B417" s="188"/>
      <c r="C417" s="188"/>
      <c r="D417" s="188"/>
      <c r="E417" s="358" t="s">
        <v>159</v>
      </c>
      <c r="F417" s="188"/>
      <c r="G417" s="208"/>
      <c r="H417" s="204" t="s">
        <v>14</v>
      </c>
      <c r="I417" s="54"/>
      <c r="J417" s="54"/>
      <c r="K417" s="55"/>
      <c r="L417" s="103">
        <v>0</v>
      </c>
      <c r="M417" s="102">
        <v>0</v>
      </c>
      <c r="N417" s="102">
        <v>0</v>
      </c>
      <c r="O417" s="102">
        <f>IF(L417&gt;0,N417*100/L417,0)</f>
        <v>0</v>
      </c>
      <c r="P417" s="102">
        <f>IF(M417&gt;0,N417*100/M417,0)</f>
        <v>0</v>
      </c>
      <c r="Q417" s="102">
        <v>0</v>
      </c>
      <c r="R417" s="102">
        <v>0</v>
      </c>
      <c r="S417" s="102">
        <v>0</v>
      </c>
      <c r="T417" s="102">
        <f>IF(Q417&gt;0,S417*100/Q417,0)</f>
        <v>0</v>
      </c>
      <c r="U417" s="102">
        <f>IF(R417&gt;0,S417*100/R417,0)</f>
        <v>0</v>
      </c>
    </row>
    <row r="418" spans="1:21" ht="18.75" hidden="1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256">
        <v>0</v>
      </c>
      <c r="M418" s="255">
        <v>0</v>
      </c>
      <c r="N418" s="255">
        <v>0</v>
      </c>
      <c r="O418" s="255">
        <f>IF(L418&gt;0,N418*100/L418,0)</f>
        <v>0</v>
      </c>
      <c r="P418" s="255">
        <f>IF(M418&gt;0,N418*100/M418,0)</f>
        <v>0</v>
      </c>
      <c r="Q418" s="255">
        <f ca="1">IFERROR(__xludf.DUMMYFUNCTION("IMPORTRANGE(""https://docs.google.com/spreadsheets/d/1ItG2mGa2ceCfYo0BwxsXqNm01IGEUdYcSSLTEv9YCik/edit?usp=sharing"",""เบิกจ่ายกองทุน!BH50"")"),0)</f>
        <v>0</v>
      </c>
      <c r="R418" s="255">
        <f ca="1">IFERROR(__xludf.DUMMYFUNCTION("IMPORTRANGE(""https://docs.google.com/spreadsheets/d/1ItG2mGa2ceCfYo0BwxsXqNm01IGEUdYcSSLTEv9YCik/edit?usp=sharing"",""เบิกจ่ายกองทุน!BI50"")"),0)</f>
        <v>0</v>
      </c>
      <c r="S418" s="255">
        <f ca="1">IFERROR(__xludf.DUMMYFUNCTION("IMPORTRANGE(""https://docs.google.com/spreadsheets/d/1ItG2mGa2ceCfYo0BwxsXqNm01IGEUdYcSSLTEv9YCik/edit?usp=sharing"",""เบิกจ่ายกองทุน!BJ50"")"),0)</f>
        <v>0</v>
      </c>
      <c r="T418" s="255">
        <f ca="1">IF(Q418&gt;0,S418*100/Q418,0)</f>
        <v>0</v>
      </c>
      <c r="U418" s="255">
        <f ca="1">IF(R418&gt;0,S418*100/R418,0)</f>
        <v>0</v>
      </c>
    </row>
    <row r="419" spans="1:21" ht="19.5" hidden="1">
      <c r="A419" s="155"/>
      <c r="B419" s="188"/>
      <c r="C419" s="188"/>
      <c r="D419" s="608" t="s">
        <v>23</v>
      </c>
      <c r="E419" s="188"/>
      <c r="F419" s="188"/>
      <c r="G419" s="208"/>
      <c r="H419" s="158" t="s">
        <v>14</v>
      </c>
      <c r="I419" s="54"/>
      <c r="J419" s="54"/>
      <c r="K419" s="55"/>
      <c r="L419" s="256">
        <f>L420+L421</f>
        <v>0</v>
      </c>
      <c r="M419" s="255">
        <f>M420+M421</f>
        <v>0</v>
      </c>
      <c r="N419" s="255">
        <f>N420+N421</f>
        <v>0</v>
      </c>
      <c r="O419" s="255">
        <f>IF(L419&gt;0,N419*100/L419,0)</f>
        <v>0</v>
      </c>
      <c r="P419" s="255">
        <f>IF(M419&gt;0,N419*100/M419,0)</f>
        <v>0</v>
      </c>
      <c r="Q419" s="255">
        <f>Q420+Q421</f>
        <v>0</v>
      </c>
      <c r="R419" s="255">
        <f>R420+R421</f>
        <v>0</v>
      </c>
      <c r="S419" s="255">
        <f>S420+S421</f>
        <v>0</v>
      </c>
      <c r="T419" s="255">
        <f>IF(Q419&gt;0,S419*100/Q419,0)</f>
        <v>0</v>
      </c>
      <c r="U419" s="255">
        <f>IF(R419&gt;0,S419*100/R419,0)</f>
        <v>0</v>
      </c>
    </row>
    <row r="420" spans="1:21" ht="18.75" hidden="1">
      <c r="A420" s="155"/>
      <c r="B420" s="188"/>
      <c r="C420" s="188"/>
      <c r="D420" s="188"/>
      <c r="E420" s="358" t="s">
        <v>20</v>
      </c>
      <c r="F420" s="188"/>
      <c r="G420" s="208"/>
      <c r="H420" s="204" t="s">
        <v>14</v>
      </c>
      <c r="I420" s="54"/>
      <c r="J420" s="54"/>
      <c r="K420" s="55"/>
      <c r="L420" s="103">
        <v>0</v>
      </c>
      <c r="M420" s="102">
        <v>0</v>
      </c>
      <c r="N420" s="102">
        <v>0</v>
      </c>
      <c r="O420" s="102">
        <f>IF(L420&gt;0,N420*100/L420,0)</f>
        <v>0</v>
      </c>
      <c r="P420" s="102">
        <f>IF(M420&gt;0,N420*100/M420,0)</f>
        <v>0</v>
      </c>
      <c r="Q420" s="102">
        <v>0</v>
      </c>
      <c r="R420" s="102">
        <v>0</v>
      </c>
      <c r="S420" s="102">
        <v>0</v>
      </c>
      <c r="T420" s="102">
        <f>IF(Q420&gt;0,S420*100/Q420,0)</f>
        <v>0</v>
      </c>
      <c r="U420" s="102">
        <f>IF(R420&gt;0,S420*100/R420,0)</f>
        <v>0</v>
      </c>
    </row>
    <row r="421" spans="1:21" ht="18.75" hidden="1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256">
        <v>0</v>
      </c>
      <c r="M421" s="255">
        <v>0</v>
      </c>
      <c r="N421" s="255">
        <v>0</v>
      </c>
      <c r="O421" s="255">
        <f>IF(L421&gt;0,N421*100/L421,0)</f>
        <v>0</v>
      </c>
      <c r="P421" s="255">
        <f>IF(M421&gt;0,N421*100/M421,0)</f>
        <v>0</v>
      </c>
      <c r="Q421" s="255">
        <v>0</v>
      </c>
      <c r="R421" s="255">
        <v>0</v>
      </c>
      <c r="S421" s="255">
        <v>0</v>
      </c>
      <c r="T421" s="255">
        <f>IF(Q421&gt;0,S421*100/Q421,0)</f>
        <v>0</v>
      </c>
      <c r="U421" s="255">
        <f>IF(R421&gt;0,S421*100/R421,0)</f>
        <v>0</v>
      </c>
    </row>
    <row r="422" spans="1:21" ht="19.5" hidden="1">
      <c r="A422" s="238"/>
      <c r="B422" s="188"/>
      <c r="C422" s="367" t="s">
        <v>18</v>
      </c>
      <c r="D422" s="607" t="s">
        <v>38</v>
      </c>
      <c r="E422" s="188"/>
      <c r="F422" s="188"/>
      <c r="G422" s="208"/>
      <c r="H422" s="208"/>
      <c r="I422" s="54"/>
      <c r="J422" s="54"/>
      <c r="K422" s="55"/>
      <c r="L422" s="62"/>
      <c r="M422" s="55"/>
      <c r="N422" s="55"/>
      <c r="O422" s="55"/>
      <c r="P422" s="55"/>
      <c r="Q422" s="55"/>
      <c r="R422" s="55"/>
      <c r="S422" s="55"/>
      <c r="T422" s="55"/>
      <c r="U422" s="55"/>
    </row>
    <row r="423" spans="1:21" ht="19.5" hidden="1">
      <c r="A423" s="238"/>
      <c r="B423" s="191" t="s">
        <v>161</v>
      </c>
      <c r="C423" s="188"/>
      <c r="D423" s="188"/>
      <c r="E423" s="188"/>
      <c r="F423" s="188"/>
      <c r="G423" s="208"/>
      <c r="H423" s="368" t="s">
        <v>46</v>
      </c>
      <c r="I423" s="373">
        <f ca="1">I440</f>
        <v>0</v>
      </c>
      <c r="J423" s="373">
        <f>J440</f>
        <v>0</v>
      </c>
      <c r="K423" s="540">
        <f ca="1">IF(I423&gt;0,J423*100/I423,0)</f>
        <v>0</v>
      </c>
      <c r="L423" s="62"/>
      <c r="M423" s="55"/>
      <c r="N423" s="55"/>
      <c r="O423" s="55"/>
      <c r="P423" s="55"/>
      <c r="Q423" s="55"/>
      <c r="R423" s="55"/>
      <c r="S423" s="55"/>
      <c r="T423" s="55"/>
      <c r="U423" s="55"/>
    </row>
    <row r="424" spans="1:21" ht="19.5" hidden="1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373">
        <f ca="1">IFERROR(__xludf.DUMMYFUNCTION("IMPORTRANGE(""https://docs.google.com/spreadsheets/d/1eHaY18a8A9IcSdp1K8H6x8fbOy06t2VsZHhMHf-1x7Y/edit?usp=sharing"",""แผน!HJ50"")"),0)</f>
        <v>0</v>
      </c>
      <c r="J424" s="373">
        <f>J426+J428+J430</f>
        <v>0</v>
      </c>
      <c r="K424" s="540">
        <f ca="1">IF(I424&gt;0,J424*100/I424,0)</f>
        <v>0</v>
      </c>
      <c r="L424" s="62"/>
      <c r="M424" s="55"/>
      <c r="N424" s="55"/>
      <c r="O424" s="55"/>
      <c r="P424" s="55"/>
      <c r="Q424" s="55"/>
      <c r="R424" s="55"/>
      <c r="S424" s="55"/>
      <c r="T424" s="55"/>
      <c r="U424" s="55"/>
    </row>
    <row r="425" spans="1:21" ht="19.5" hidden="1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373">
        <f ca="1">IFERROR(__xludf.DUMMYFUNCTION("IMPORTRANGE(""https://docs.google.com/spreadsheets/d/1eHaY18a8A9IcSdp1K8H6x8fbOy06t2VsZHhMHf-1x7Y/edit?usp=sharing"",""แผน!HK50"")"),0)</f>
        <v>0</v>
      </c>
      <c r="J425" s="373">
        <f>J427+J429+J431</f>
        <v>0</v>
      </c>
      <c r="K425" s="540">
        <f ca="1">IF(I425&gt;0,J425*100/I425,0)</f>
        <v>0</v>
      </c>
      <c r="L425" s="62"/>
      <c r="M425" s="55"/>
      <c r="N425" s="55"/>
      <c r="O425" s="55"/>
      <c r="P425" s="55"/>
      <c r="Q425" s="55"/>
      <c r="R425" s="55"/>
      <c r="S425" s="55"/>
      <c r="T425" s="55"/>
      <c r="U425" s="55"/>
    </row>
    <row r="426" spans="1:21" ht="18.75" hidden="1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54"/>
      <c r="K426" s="55"/>
      <c r="L426" s="62"/>
      <c r="M426" s="55"/>
      <c r="N426" s="55"/>
      <c r="O426" s="55"/>
      <c r="P426" s="55"/>
      <c r="Q426" s="55"/>
      <c r="R426" s="55"/>
      <c r="S426" s="55"/>
      <c r="T426" s="55"/>
      <c r="U426" s="55"/>
    </row>
    <row r="427" spans="1:21" ht="18.75" hidden="1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54"/>
      <c r="K427" s="55"/>
      <c r="L427" s="62"/>
      <c r="M427" s="55"/>
      <c r="N427" s="55"/>
      <c r="O427" s="55"/>
      <c r="P427" s="55"/>
      <c r="Q427" s="55"/>
      <c r="R427" s="55"/>
      <c r="S427" s="55"/>
      <c r="T427" s="55"/>
      <c r="U427" s="55"/>
    </row>
    <row r="428" spans="1:21" ht="18.75" hidden="1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54"/>
      <c r="K428" s="55"/>
      <c r="L428" s="62"/>
      <c r="M428" s="55"/>
      <c r="N428" s="55"/>
      <c r="O428" s="55"/>
      <c r="P428" s="55"/>
      <c r="Q428" s="55"/>
      <c r="R428" s="55"/>
      <c r="S428" s="55"/>
      <c r="T428" s="55"/>
      <c r="U428" s="55"/>
    </row>
    <row r="429" spans="1:21" ht="18.75" hidden="1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54"/>
      <c r="K429" s="55"/>
      <c r="L429" s="62"/>
      <c r="M429" s="55"/>
      <c r="N429" s="55"/>
      <c r="O429" s="55"/>
      <c r="P429" s="55"/>
      <c r="Q429" s="55"/>
      <c r="R429" s="55"/>
      <c r="S429" s="55"/>
      <c r="T429" s="55"/>
      <c r="U429" s="55"/>
    </row>
    <row r="430" spans="1:21" ht="18.75" hidden="1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54"/>
      <c r="K430" s="55"/>
      <c r="L430" s="62"/>
      <c r="M430" s="55"/>
      <c r="N430" s="55"/>
      <c r="O430" s="55"/>
      <c r="P430" s="55"/>
      <c r="Q430" s="55"/>
      <c r="R430" s="55"/>
      <c r="S430" s="55"/>
      <c r="T430" s="55"/>
      <c r="U430" s="55"/>
    </row>
    <row r="431" spans="1:21" ht="18.75" hidden="1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54"/>
      <c r="K431" s="55"/>
      <c r="L431" s="62"/>
      <c r="M431" s="55"/>
      <c r="N431" s="55"/>
      <c r="O431" s="55"/>
      <c r="P431" s="55"/>
      <c r="Q431" s="55"/>
      <c r="R431" s="55"/>
      <c r="S431" s="55"/>
      <c r="T431" s="55"/>
      <c r="U431" s="55"/>
    </row>
    <row r="432" spans="1:21" ht="19.5" hidden="1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373">
        <f ca="1">IFERROR(__xludf.DUMMYFUNCTION("IMPORTRANGE(""https://docs.google.com/spreadsheets/d/1eHaY18a8A9IcSdp1K8H6x8fbOy06t2VsZHhMHf-1x7Y/edit?usp=sharing"",""แผน!HJ50"")"),0)</f>
        <v>0</v>
      </c>
      <c r="J432" s="373">
        <f>J434+J436+J438</f>
        <v>0</v>
      </c>
      <c r="K432" s="540">
        <f ca="1">IF(I432&gt;0,J432*100/I432,0)</f>
        <v>0</v>
      </c>
      <c r="L432" s="62"/>
      <c r="M432" s="55"/>
      <c r="N432" s="55"/>
      <c r="O432" s="55"/>
      <c r="P432" s="55"/>
      <c r="Q432" s="55"/>
      <c r="R432" s="55"/>
      <c r="S432" s="55"/>
      <c r="T432" s="55"/>
      <c r="U432" s="55"/>
    </row>
    <row r="433" spans="1:21" ht="19.5" hidden="1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373">
        <f ca="1">IFERROR(__xludf.DUMMYFUNCTION("IMPORTRANGE(""https://docs.google.com/spreadsheets/d/1eHaY18a8A9IcSdp1K8H6x8fbOy06t2VsZHhMHf-1x7Y/edit?usp=sharing"",""แผน!HK50"")"),0)</f>
        <v>0</v>
      </c>
      <c r="J433" s="373">
        <f>J435+J437+J439</f>
        <v>0</v>
      </c>
      <c r="K433" s="540">
        <f ca="1">IF(I433&gt;0,J433*100/I433,0)</f>
        <v>0</v>
      </c>
      <c r="L433" s="62"/>
      <c r="M433" s="55"/>
      <c r="N433" s="55"/>
      <c r="O433" s="55"/>
      <c r="P433" s="55"/>
      <c r="Q433" s="55"/>
      <c r="R433" s="55"/>
      <c r="S433" s="55"/>
      <c r="T433" s="55"/>
      <c r="U433" s="55"/>
    </row>
    <row r="434" spans="1:21" ht="18.75" hidden="1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54"/>
      <c r="K434" s="55"/>
      <c r="L434" s="62"/>
      <c r="M434" s="55"/>
      <c r="N434" s="55"/>
      <c r="O434" s="55"/>
      <c r="P434" s="55"/>
      <c r="Q434" s="55"/>
      <c r="R434" s="55"/>
      <c r="S434" s="55"/>
      <c r="T434" s="55"/>
      <c r="U434" s="55"/>
    </row>
    <row r="435" spans="1:21" ht="18.75" hidden="1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54"/>
      <c r="K435" s="55"/>
      <c r="L435" s="62"/>
      <c r="M435" s="55"/>
      <c r="N435" s="55"/>
      <c r="O435" s="55"/>
      <c r="P435" s="55"/>
      <c r="Q435" s="55"/>
      <c r="R435" s="55"/>
      <c r="S435" s="55"/>
      <c r="T435" s="55"/>
      <c r="U435" s="55"/>
    </row>
    <row r="436" spans="1:21" ht="18.75" hidden="1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54"/>
      <c r="K436" s="55"/>
      <c r="L436" s="62"/>
      <c r="M436" s="55"/>
      <c r="N436" s="55"/>
      <c r="O436" s="55"/>
      <c r="P436" s="55"/>
      <c r="Q436" s="55"/>
      <c r="R436" s="55"/>
      <c r="S436" s="55"/>
      <c r="T436" s="55"/>
      <c r="U436" s="55"/>
    </row>
    <row r="437" spans="1:21" ht="18.75" hidden="1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54"/>
      <c r="K437" s="55"/>
      <c r="L437" s="62"/>
      <c r="M437" s="55"/>
      <c r="N437" s="55"/>
      <c r="O437" s="55"/>
      <c r="P437" s="55"/>
      <c r="Q437" s="55"/>
      <c r="R437" s="55"/>
      <c r="S437" s="55"/>
      <c r="T437" s="55"/>
      <c r="U437" s="55"/>
    </row>
    <row r="438" spans="1:21" ht="18.75" hidden="1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54"/>
      <c r="K438" s="55"/>
      <c r="L438" s="62"/>
      <c r="M438" s="55"/>
      <c r="N438" s="55"/>
      <c r="O438" s="55"/>
      <c r="P438" s="55"/>
      <c r="Q438" s="55"/>
      <c r="R438" s="55"/>
      <c r="S438" s="55"/>
      <c r="T438" s="55"/>
      <c r="U438" s="55"/>
    </row>
    <row r="439" spans="1:21" ht="18.75" hidden="1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54"/>
      <c r="K439" s="55"/>
      <c r="L439" s="62"/>
      <c r="M439" s="55"/>
      <c r="N439" s="55"/>
      <c r="O439" s="55"/>
      <c r="P439" s="55"/>
      <c r="Q439" s="55"/>
      <c r="R439" s="55"/>
      <c r="S439" s="55"/>
      <c r="T439" s="55"/>
      <c r="U439" s="55"/>
    </row>
    <row r="440" spans="1:21" ht="19.5" hidden="1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373">
        <f ca="1">IFERROR(__xludf.DUMMYFUNCTION("IMPORTRANGE(""https://docs.google.com/spreadsheets/d/1eHaY18a8A9IcSdp1K8H6x8fbOy06t2VsZHhMHf-1x7Y/edit?usp=sharing"",""แผน!HJ50"")"),0)</f>
        <v>0</v>
      </c>
      <c r="J440" s="373">
        <f>J442+J444+J446+J452+J454</f>
        <v>0</v>
      </c>
      <c r="K440" s="540">
        <f ca="1">IF(I440&gt;0,J440*100/I440,0)</f>
        <v>0</v>
      </c>
      <c r="L440" s="62"/>
      <c r="M440" s="55"/>
      <c r="N440" s="55"/>
      <c r="O440" s="55"/>
      <c r="P440" s="55"/>
      <c r="Q440" s="55"/>
      <c r="R440" s="55"/>
      <c r="S440" s="55"/>
      <c r="T440" s="55"/>
      <c r="U440" s="55"/>
    </row>
    <row r="441" spans="1:21" ht="19.5" hidden="1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373">
        <f ca="1">IFERROR(__xludf.DUMMYFUNCTION("IMPORTRANGE(""https://docs.google.com/spreadsheets/d/1eHaY18a8A9IcSdp1K8H6x8fbOy06t2VsZHhMHf-1x7Y/edit?usp=sharing"",""แผน!HK50"")"),0)</f>
        <v>0</v>
      </c>
      <c r="J441" s="373">
        <f>J443+J445+J447+J453+J455</f>
        <v>0</v>
      </c>
      <c r="K441" s="540">
        <f ca="1">IF(I441&gt;0,J441*100/I441,0)</f>
        <v>0</v>
      </c>
      <c r="L441" s="62"/>
      <c r="M441" s="55"/>
      <c r="N441" s="55"/>
      <c r="O441" s="55"/>
      <c r="P441" s="55"/>
      <c r="Q441" s="55"/>
      <c r="R441" s="55"/>
      <c r="S441" s="55"/>
      <c r="T441" s="55"/>
      <c r="U441" s="55"/>
    </row>
    <row r="442" spans="1:21" ht="18.75" hidden="1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54"/>
      <c r="K442" s="55"/>
      <c r="L442" s="62"/>
      <c r="M442" s="55"/>
      <c r="N442" s="55"/>
      <c r="O442" s="55"/>
      <c r="P442" s="55"/>
      <c r="Q442" s="55"/>
      <c r="R442" s="55"/>
      <c r="S442" s="55"/>
      <c r="T442" s="55"/>
      <c r="U442" s="55"/>
    </row>
    <row r="443" spans="1:21" ht="18.75" hidden="1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54"/>
      <c r="K443" s="55"/>
      <c r="L443" s="62"/>
      <c r="M443" s="55"/>
      <c r="N443" s="55"/>
      <c r="O443" s="55"/>
      <c r="P443" s="55"/>
      <c r="Q443" s="55"/>
      <c r="R443" s="55"/>
      <c r="S443" s="55"/>
      <c r="T443" s="55"/>
      <c r="U443" s="55"/>
    </row>
    <row r="444" spans="1:21" ht="18.75" hidden="1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54"/>
      <c r="K444" s="55"/>
      <c r="L444" s="62"/>
      <c r="M444" s="55"/>
      <c r="N444" s="55"/>
      <c r="O444" s="55"/>
      <c r="P444" s="55"/>
      <c r="Q444" s="55"/>
      <c r="R444" s="55"/>
      <c r="S444" s="55"/>
      <c r="T444" s="55"/>
      <c r="U444" s="55"/>
    </row>
    <row r="445" spans="1:21" ht="18.75" hidden="1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54"/>
      <c r="K445" s="55"/>
      <c r="L445" s="62"/>
      <c r="M445" s="55"/>
      <c r="N445" s="55"/>
      <c r="O445" s="55"/>
      <c r="P445" s="55"/>
      <c r="Q445" s="55"/>
      <c r="R445" s="55"/>
      <c r="S445" s="55"/>
      <c r="T445" s="55"/>
      <c r="U445" s="55"/>
    </row>
    <row r="446" spans="1:21" ht="19.5" hidden="1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373">
        <f>J448+J450</f>
        <v>0</v>
      </c>
      <c r="K446" s="55"/>
      <c r="L446" s="62"/>
      <c r="M446" s="55"/>
      <c r="N446" s="55"/>
      <c r="O446" s="55"/>
      <c r="P446" s="55"/>
      <c r="Q446" s="55"/>
      <c r="R446" s="55"/>
      <c r="S446" s="55"/>
      <c r="T446" s="55"/>
      <c r="U446" s="55"/>
    </row>
    <row r="447" spans="1:21" ht="19.5" hidden="1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373">
        <f>J449+J451</f>
        <v>0</v>
      </c>
      <c r="K447" s="55"/>
      <c r="L447" s="62"/>
      <c r="M447" s="55"/>
      <c r="N447" s="55"/>
      <c r="O447" s="55"/>
      <c r="P447" s="55"/>
      <c r="Q447" s="55"/>
      <c r="R447" s="55"/>
      <c r="S447" s="55"/>
      <c r="T447" s="55"/>
      <c r="U447" s="55"/>
    </row>
    <row r="448" spans="1:21" ht="18.75" hidden="1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54"/>
      <c r="K448" s="55"/>
      <c r="L448" s="62"/>
      <c r="M448" s="55"/>
      <c r="N448" s="55"/>
      <c r="O448" s="55"/>
      <c r="P448" s="55"/>
      <c r="Q448" s="55"/>
      <c r="R448" s="55"/>
      <c r="S448" s="55"/>
      <c r="T448" s="55"/>
      <c r="U448" s="55"/>
    </row>
    <row r="449" spans="1:21" ht="18.75" hidden="1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54"/>
      <c r="K449" s="55"/>
      <c r="L449" s="62"/>
      <c r="M449" s="55"/>
      <c r="N449" s="55"/>
      <c r="O449" s="55"/>
      <c r="P449" s="55"/>
      <c r="Q449" s="55"/>
      <c r="R449" s="55"/>
      <c r="S449" s="55"/>
      <c r="T449" s="55"/>
      <c r="U449" s="55"/>
    </row>
    <row r="450" spans="1:21" ht="18.75" hidden="1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54"/>
      <c r="K450" s="55"/>
      <c r="L450" s="62"/>
      <c r="M450" s="55"/>
      <c r="N450" s="55"/>
      <c r="O450" s="55"/>
      <c r="P450" s="55"/>
      <c r="Q450" s="55"/>
      <c r="R450" s="55"/>
      <c r="S450" s="55"/>
      <c r="T450" s="55"/>
      <c r="U450" s="55"/>
    </row>
    <row r="451" spans="1:21" ht="18.75" hidden="1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54"/>
      <c r="K451" s="55"/>
      <c r="L451" s="62"/>
      <c r="M451" s="55"/>
      <c r="N451" s="55"/>
      <c r="O451" s="55"/>
      <c r="P451" s="55"/>
      <c r="Q451" s="55"/>
      <c r="R451" s="55"/>
      <c r="S451" s="55"/>
      <c r="T451" s="55"/>
      <c r="U451" s="55"/>
    </row>
    <row r="452" spans="1:21" ht="18.75" hidden="1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54"/>
      <c r="K452" s="55"/>
      <c r="L452" s="62"/>
      <c r="M452" s="55"/>
      <c r="N452" s="55"/>
      <c r="O452" s="55"/>
      <c r="P452" s="55"/>
      <c r="Q452" s="55"/>
      <c r="R452" s="55"/>
      <c r="S452" s="55"/>
      <c r="T452" s="55"/>
      <c r="U452" s="55"/>
    </row>
    <row r="453" spans="1:21" ht="18.75" hidden="1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54"/>
      <c r="K453" s="55"/>
      <c r="L453" s="62"/>
      <c r="M453" s="55"/>
      <c r="N453" s="55"/>
      <c r="O453" s="55"/>
      <c r="P453" s="55"/>
      <c r="Q453" s="55"/>
      <c r="R453" s="55"/>
      <c r="S453" s="55"/>
      <c r="T453" s="55"/>
      <c r="U453" s="55"/>
    </row>
    <row r="454" spans="1:21" ht="18.75" hidden="1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606"/>
      <c r="K454" s="55"/>
      <c r="L454" s="62"/>
      <c r="M454" s="55"/>
      <c r="N454" s="55"/>
      <c r="O454" s="55"/>
      <c r="P454" s="55"/>
      <c r="Q454" s="55"/>
      <c r="R454" s="55"/>
      <c r="S454" s="55"/>
      <c r="T454" s="55"/>
      <c r="U454" s="55"/>
    </row>
    <row r="455" spans="1:21" ht="18.75" hidden="1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54"/>
      <c r="K455" s="55"/>
      <c r="L455" s="62"/>
      <c r="M455" s="55"/>
      <c r="N455" s="55"/>
      <c r="O455" s="55"/>
      <c r="P455" s="55"/>
      <c r="Q455" s="55"/>
      <c r="R455" s="55"/>
      <c r="S455" s="55"/>
      <c r="T455" s="55"/>
      <c r="U455" s="55"/>
    </row>
    <row r="456" spans="1:21" ht="19.5" hidden="1">
      <c r="A456" s="238"/>
      <c r="B456" s="191" t="s">
        <v>178</v>
      </c>
      <c r="C456" s="188"/>
      <c r="D456" s="188"/>
      <c r="E456" s="188"/>
      <c r="F456" s="188"/>
      <c r="G456" s="208"/>
      <c r="H456" s="368" t="s">
        <v>46</v>
      </c>
      <c r="I456" s="373">
        <f ca="1">I457</f>
        <v>0</v>
      </c>
      <c r="J456" s="373">
        <f>J457</f>
        <v>0</v>
      </c>
      <c r="K456" s="540">
        <f ca="1">IF(I456&gt;0,J456*100/I456,0)</f>
        <v>0</v>
      </c>
      <c r="L456" s="62"/>
      <c r="M456" s="55"/>
      <c r="N456" s="55"/>
      <c r="O456" s="55"/>
      <c r="P456" s="55"/>
      <c r="Q456" s="55"/>
      <c r="R456" s="55"/>
      <c r="S456" s="55"/>
      <c r="T456" s="55"/>
      <c r="U456" s="55"/>
    </row>
    <row r="457" spans="1:21" ht="19.5" hidden="1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373">
        <f ca="1">IFERROR(__xludf.DUMMYFUNCTION("IMPORTRANGE(""https://docs.google.com/spreadsheets/d/1eHaY18a8A9IcSdp1K8H6x8fbOy06t2VsZHhMHf-1x7Y/edit?usp=sharing"",""แผน!HL50"")"),0)</f>
        <v>0</v>
      </c>
      <c r="J457" s="373">
        <f>J459+J467+J473</f>
        <v>0</v>
      </c>
      <c r="K457" s="540">
        <f ca="1">IF(I457&gt;0,J457*100/I457,0)</f>
        <v>0</v>
      </c>
      <c r="L457" s="62"/>
      <c r="M457" s="55"/>
      <c r="N457" s="55"/>
      <c r="O457" s="55"/>
      <c r="P457" s="55"/>
      <c r="Q457" s="55"/>
      <c r="R457" s="55"/>
      <c r="S457" s="55"/>
      <c r="T457" s="55"/>
      <c r="U457" s="55"/>
    </row>
    <row r="458" spans="1:21" ht="19.5" hidden="1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373">
        <f ca="1">IFERROR(__xludf.DUMMYFUNCTION("IMPORTRANGE(""https://docs.google.com/spreadsheets/d/1eHaY18a8A9IcSdp1K8H6x8fbOy06t2VsZHhMHf-1x7Y/edit?usp=sharing"",""แผน!HM50"")"),0)</f>
        <v>0</v>
      </c>
      <c r="J458" s="373">
        <f>J460+J468+J474</f>
        <v>0</v>
      </c>
      <c r="K458" s="540">
        <f ca="1">IF(I458&gt;0,J458*100/I458,0)</f>
        <v>0</v>
      </c>
      <c r="L458" s="62"/>
      <c r="M458" s="55"/>
      <c r="N458" s="55"/>
      <c r="O458" s="55"/>
      <c r="P458" s="55"/>
      <c r="Q458" s="55"/>
      <c r="R458" s="55"/>
      <c r="S458" s="55"/>
      <c r="T458" s="55"/>
      <c r="U458" s="55"/>
    </row>
    <row r="459" spans="1:21" ht="18.75" hidden="1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212">
        <f>J461+J463</f>
        <v>0</v>
      </c>
      <c r="K459" s="55"/>
      <c r="L459" s="62"/>
      <c r="M459" s="55"/>
      <c r="N459" s="55"/>
      <c r="O459" s="55"/>
      <c r="P459" s="55"/>
      <c r="Q459" s="55"/>
      <c r="R459" s="55"/>
      <c r="S459" s="55"/>
      <c r="T459" s="55"/>
      <c r="U459" s="55"/>
    </row>
    <row r="460" spans="1:21" ht="18.75" hidden="1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212">
        <f>J462+J464</f>
        <v>0</v>
      </c>
      <c r="K460" s="55"/>
      <c r="L460" s="62"/>
      <c r="M460" s="55"/>
      <c r="N460" s="55"/>
      <c r="O460" s="55"/>
      <c r="P460" s="55"/>
      <c r="Q460" s="55"/>
      <c r="R460" s="55"/>
      <c r="S460" s="55"/>
      <c r="T460" s="55"/>
      <c r="U460" s="55"/>
    </row>
    <row r="461" spans="1:21" ht="18.75" hidden="1">
      <c r="A461" s="238"/>
      <c r="B461" s="188"/>
      <c r="C461" s="188"/>
      <c r="D461" s="371" t="s">
        <v>181</v>
      </c>
      <c r="E461" s="188"/>
      <c r="F461" s="188"/>
      <c r="G461" s="208"/>
      <c r="H461" s="161" t="s">
        <v>46</v>
      </c>
      <c r="I461" s="54"/>
      <c r="J461" s="54"/>
      <c r="K461" s="55"/>
      <c r="L461" s="62"/>
      <c r="M461" s="55"/>
      <c r="N461" s="55"/>
      <c r="O461" s="55"/>
      <c r="P461" s="55"/>
      <c r="Q461" s="55"/>
      <c r="R461" s="55"/>
      <c r="S461" s="55"/>
      <c r="T461" s="55"/>
      <c r="U461" s="55"/>
    </row>
    <row r="462" spans="1:21" ht="18.75" hidden="1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54"/>
      <c r="K462" s="55"/>
      <c r="L462" s="62"/>
      <c r="M462" s="55"/>
      <c r="N462" s="55"/>
      <c r="O462" s="55"/>
      <c r="P462" s="55"/>
      <c r="Q462" s="55"/>
      <c r="R462" s="55"/>
      <c r="S462" s="55"/>
      <c r="T462" s="55"/>
      <c r="U462" s="55"/>
    </row>
    <row r="463" spans="1:21" ht="18.75" hidden="1">
      <c r="A463" s="238"/>
      <c r="B463" s="188"/>
      <c r="C463" s="188"/>
      <c r="D463" s="371" t="s">
        <v>182</v>
      </c>
      <c r="E463" s="188"/>
      <c r="F463" s="188"/>
      <c r="G463" s="208"/>
      <c r="H463" s="161" t="s">
        <v>46</v>
      </c>
      <c r="I463" s="54"/>
      <c r="J463" s="54"/>
      <c r="K463" s="55"/>
      <c r="L463" s="62"/>
      <c r="M463" s="55"/>
      <c r="N463" s="55"/>
      <c r="O463" s="55"/>
      <c r="P463" s="55"/>
      <c r="Q463" s="55"/>
      <c r="R463" s="55"/>
      <c r="S463" s="55"/>
      <c r="T463" s="55"/>
      <c r="U463" s="55"/>
    </row>
    <row r="464" spans="1:21" ht="18.75" hidden="1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54"/>
      <c r="K464" s="55"/>
      <c r="L464" s="62"/>
      <c r="M464" s="55"/>
      <c r="N464" s="55"/>
      <c r="O464" s="55"/>
      <c r="P464" s="55"/>
      <c r="Q464" s="55"/>
      <c r="R464" s="55"/>
      <c r="S464" s="55"/>
      <c r="T464" s="55"/>
      <c r="U464" s="55"/>
    </row>
    <row r="465" spans="1:21" ht="18.75" hidden="1">
      <c r="A465" s="238"/>
      <c r="B465" s="188"/>
      <c r="C465" s="188"/>
      <c r="D465" s="371" t="s">
        <v>183</v>
      </c>
      <c r="E465" s="188"/>
      <c r="F465" s="188"/>
      <c r="G465" s="208"/>
      <c r="H465" s="161" t="s">
        <v>46</v>
      </c>
      <c r="I465" s="54"/>
      <c r="J465" s="54"/>
      <c r="K465" s="55"/>
      <c r="L465" s="62"/>
      <c r="M465" s="55"/>
      <c r="N465" s="55"/>
      <c r="O465" s="55"/>
      <c r="P465" s="55"/>
      <c r="Q465" s="55"/>
      <c r="R465" s="55"/>
      <c r="S465" s="55"/>
      <c r="T465" s="55"/>
      <c r="U465" s="55"/>
    </row>
    <row r="466" spans="1:21" ht="18.75" hidden="1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54"/>
      <c r="K466" s="55"/>
      <c r="L466" s="62"/>
      <c r="M466" s="55"/>
      <c r="N466" s="55"/>
      <c r="O466" s="55"/>
      <c r="P466" s="55"/>
      <c r="Q466" s="55"/>
      <c r="R466" s="55"/>
      <c r="S466" s="55"/>
      <c r="T466" s="55"/>
      <c r="U466" s="55"/>
    </row>
    <row r="467" spans="1:21" ht="18.75" hidden="1">
      <c r="A467" s="238"/>
      <c r="B467" s="188"/>
      <c r="C467" s="371" t="s">
        <v>184</v>
      </c>
      <c r="D467" s="188"/>
      <c r="E467" s="188"/>
      <c r="F467" s="188"/>
      <c r="G467" s="208"/>
      <c r="H467" s="161" t="s">
        <v>46</v>
      </c>
      <c r="I467" s="54"/>
      <c r="J467" s="212">
        <f>J469+J471</f>
        <v>0</v>
      </c>
      <c r="K467" s="55"/>
      <c r="L467" s="62"/>
      <c r="M467" s="55"/>
      <c r="N467" s="55"/>
      <c r="O467" s="55"/>
      <c r="P467" s="55"/>
      <c r="Q467" s="55"/>
      <c r="R467" s="55"/>
      <c r="S467" s="55"/>
      <c r="T467" s="55"/>
      <c r="U467" s="55"/>
    </row>
    <row r="468" spans="1:21" ht="18.75" hidden="1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212">
        <f>J470+J472</f>
        <v>0</v>
      </c>
      <c r="K468" s="55"/>
      <c r="L468" s="62"/>
      <c r="M468" s="55"/>
      <c r="N468" s="55"/>
      <c r="O468" s="55"/>
      <c r="P468" s="55"/>
      <c r="Q468" s="55"/>
      <c r="R468" s="55"/>
      <c r="S468" s="55"/>
      <c r="T468" s="55"/>
      <c r="U468" s="55"/>
    </row>
    <row r="469" spans="1:21" ht="18.75" hidden="1">
      <c r="A469" s="238"/>
      <c r="B469" s="188"/>
      <c r="C469" s="188"/>
      <c r="D469" s="371" t="s">
        <v>185</v>
      </c>
      <c r="E469" s="188"/>
      <c r="F469" s="188"/>
      <c r="G469" s="208"/>
      <c r="H469" s="161" t="s">
        <v>46</v>
      </c>
      <c r="I469" s="54"/>
      <c r="J469" s="54"/>
      <c r="K469" s="55"/>
      <c r="L469" s="62"/>
      <c r="M469" s="55"/>
      <c r="N469" s="55"/>
      <c r="O469" s="55"/>
      <c r="P469" s="55"/>
      <c r="Q469" s="55"/>
      <c r="R469" s="55"/>
      <c r="S469" s="55"/>
      <c r="T469" s="55"/>
      <c r="U469" s="55"/>
    </row>
    <row r="470" spans="1:21" ht="18.75" hidden="1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54"/>
      <c r="K470" s="55"/>
      <c r="L470" s="62"/>
      <c r="M470" s="55"/>
      <c r="N470" s="55"/>
      <c r="O470" s="55"/>
      <c r="P470" s="55"/>
      <c r="Q470" s="55"/>
      <c r="R470" s="55"/>
      <c r="S470" s="55"/>
      <c r="T470" s="55"/>
      <c r="U470" s="55"/>
    </row>
    <row r="471" spans="1:21" ht="18.75" hidden="1">
      <c r="A471" s="238"/>
      <c r="B471" s="188"/>
      <c r="C471" s="188"/>
      <c r="D471" s="371" t="s">
        <v>186</v>
      </c>
      <c r="E471" s="188"/>
      <c r="F471" s="188"/>
      <c r="G471" s="208"/>
      <c r="H471" s="161" t="s">
        <v>46</v>
      </c>
      <c r="I471" s="54"/>
      <c r="J471" s="54"/>
      <c r="K471" s="55"/>
      <c r="L471" s="62"/>
      <c r="M471" s="55"/>
      <c r="N471" s="55"/>
      <c r="O471" s="55"/>
      <c r="P471" s="55"/>
      <c r="Q471" s="55"/>
      <c r="R471" s="55"/>
      <c r="S471" s="55"/>
      <c r="T471" s="55"/>
      <c r="U471" s="55"/>
    </row>
    <row r="472" spans="1:21" ht="18.75" hidden="1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54"/>
      <c r="K472" s="55"/>
      <c r="L472" s="62"/>
      <c r="M472" s="55"/>
      <c r="N472" s="55"/>
      <c r="O472" s="55"/>
      <c r="P472" s="55"/>
      <c r="Q472" s="55"/>
      <c r="R472" s="55"/>
      <c r="S472" s="55"/>
      <c r="T472" s="55"/>
      <c r="U472" s="55"/>
    </row>
    <row r="473" spans="1:21" ht="18.75" hidden="1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54"/>
      <c r="K473" s="55"/>
      <c r="L473" s="62"/>
      <c r="M473" s="55"/>
      <c r="N473" s="55"/>
      <c r="O473" s="55"/>
      <c r="P473" s="55"/>
      <c r="Q473" s="55"/>
      <c r="R473" s="55"/>
      <c r="S473" s="55"/>
      <c r="T473" s="55"/>
      <c r="U473" s="55"/>
    </row>
    <row r="474" spans="1:21" ht="18.75" hidden="1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54"/>
      <c r="K474" s="55"/>
      <c r="L474" s="62"/>
      <c r="M474" s="55"/>
      <c r="N474" s="55"/>
      <c r="O474" s="55"/>
      <c r="P474" s="55"/>
      <c r="Q474" s="55"/>
      <c r="R474" s="55"/>
      <c r="S474" s="55"/>
      <c r="T474" s="55"/>
      <c r="U474" s="55"/>
    </row>
    <row r="475" spans="1:21" ht="19.5" hidden="1">
      <c r="A475" s="238"/>
      <c r="B475" s="372" t="s">
        <v>188</v>
      </c>
      <c r="C475" s="188"/>
      <c r="D475" s="188"/>
      <c r="E475" s="188"/>
      <c r="F475" s="188"/>
      <c r="G475" s="208"/>
      <c r="H475" s="158" t="s">
        <v>46</v>
      </c>
      <c r="I475" s="373">
        <v>0</v>
      </c>
      <c r="J475" s="373">
        <f>J478+J480</f>
        <v>0</v>
      </c>
      <c r="K475" s="540">
        <f>IF(I475&gt;0,J475*100/I475,0)</f>
        <v>0</v>
      </c>
      <c r="L475" s="62"/>
      <c r="M475" s="55"/>
      <c r="N475" s="55"/>
      <c r="O475" s="55"/>
      <c r="P475" s="55"/>
      <c r="Q475" s="55"/>
      <c r="R475" s="55"/>
      <c r="S475" s="55"/>
      <c r="T475" s="55"/>
      <c r="U475" s="55"/>
    </row>
    <row r="476" spans="1:21" ht="19.5" hidden="1">
      <c r="A476" s="238"/>
      <c r="B476" s="188"/>
      <c r="C476" s="191" t="s">
        <v>189</v>
      </c>
      <c r="D476" s="188"/>
      <c r="E476" s="188"/>
      <c r="F476" s="188"/>
      <c r="G476" s="208"/>
      <c r="H476" s="158" t="s">
        <v>46</v>
      </c>
      <c r="I476" s="373">
        <v>0</v>
      </c>
      <c r="J476" s="373">
        <f>J478+J480</f>
        <v>0</v>
      </c>
      <c r="K476" s="540">
        <f>IF(I476&gt;0,J476*100/I476,0)</f>
        <v>0</v>
      </c>
      <c r="L476" s="62"/>
      <c r="M476" s="55"/>
      <c r="N476" s="55"/>
      <c r="O476" s="55"/>
      <c r="P476" s="55"/>
      <c r="Q476" s="55"/>
      <c r="R476" s="55"/>
      <c r="S476" s="55"/>
      <c r="T476" s="55"/>
      <c r="U476" s="55"/>
    </row>
    <row r="477" spans="1:21" ht="19.5" hidden="1">
      <c r="A477" s="238"/>
      <c r="B477" s="188"/>
      <c r="C477" s="239" t="s">
        <v>190</v>
      </c>
      <c r="D477" s="188"/>
      <c r="E477" s="188"/>
      <c r="F477" s="188"/>
      <c r="G477" s="208"/>
      <c r="H477" s="158" t="s">
        <v>34</v>
      </c>
      <c r="I477" s="373">
        <v>0</v>
      </c>
      <c r="J477" s="373">
        <f>J479+J481</f>
        <v>0</v>
      </c>
      <c r="K477" s="540">
        <f>IF(I477&gt;0,J477*100/I477,0)</f>
        <v>0</v>
      </c>
      <c r="L477" s="62"/>
      <c r="M477" s="55"/>
      <c r="N477" s="55"/>
      <c r="O477" s="55"/>
      <c r="P477" s="55"/>
      <c r="Q477" s="55"/>
      <c r="R477" s="55"/>
      <c r="S477" s="55"/>
      <c r="T477" s="55"/>
      <c r="U477" s="55"/>
    </row>
    <row r="478" spans="1:21" ht="18.75" hidden="1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54"/>
      <c r="K478" s="55"/>
      <c r="L478" s="62"/>
      <c r="M478" s="55"/>
      <c r="N478" s="55"/>
      <c r="O478" s="55"/>
      <c r="P478" s="55"/>
      <c r="Q478" s="55"/>
      <c r="R478" s="55"/>
      <c r="S478" s="55"/>
      <c r="T478" s="55"/>
      <c r="U478" s="55"/>
    </row>
    <row r="479" spans="1:21" ht="18.75" hidden="1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54"/>
      <c r="K479" s="55"/>
      <c r="L479" s="62"/>
      <c r="M479" s="55"/>
      <c r="N479" s="55"/>
      <c r="O479" s="55"/>
      <c r="P479" s="55"/>
      <c r="Q479" s="55"/>
      <c r="R479" s="55"/>
      <c r="S479" s="55"/>
      <c r="T479" s="55"/>
      <c r="U479" s="55"/>
    </row>
    <row r="480" spans="1:21" ht="18.75" hidden="1">
      <c r="A480" s="238"/>
      <c r="B480" s="188"/>
      <c r="C480" s="188"/>
      <c r="D480" s="371" t="s">
        <v>192</v>
      </c>
      <c r="E480" s="188"/>
      <c r="F480" s="188"/>
      <c r="G480" s="208"/>
      <c r="H480" s="161" t="s">
        <v>46</v>
      </c>
      <c r="I480" s="54"/>
      <c r="J480" s="54"/>
      <c r="K480" s="55"/>
      <c r="L480" s="62"/>
      <c r="M480" s="55"/>
      <c r="N480" s="55"/>
      <c r="O480" s="55"/>
      <c r="P480" s="55"/>
      <c r="Q480" s="55"/>
      <c r="R480" s="55"/>
      <c r="S480" s="55"/>
      <c r="T480" s="55"/>
      <c r="U480" s="55"/>
    </row>
    <row r="481" spans="1:21" ht="18.75" hidden="1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54"/>
      <c r="K481" s="55"/>
      <c r="L481" s="62"/>
      <c r="M481" s="55"/>
      <c r="N481" s="55"/>
      <c r="O481" s="55"/>
      <c r="P481" s="55"/>
      <c r="Q481" s="55"/>
      <c r="R481" s="55"/>
      <c r="S481" s="55"/>
      <c r="T481" s="55"/>
      <c r="U481" s="55"/>
    </row>
    <row r="482" spans="1:21" ht="18.75" hidden="1">
      <c r="A482" s="238"/>
      <c r="B482" s="188"/>
      <c r="C482" s="188"/>
      <c r="D482" s="371" t="s">
        <v>193</v>
      </c>
      <c r="E482" s="188"/>
      <c r="F482" s="188"/>
      <c r="G482" s="208"/>
      <c r="H482" s="161" t="s">
        <v>46</v>
      </c>
      <c r="I482" s="54"/>
      <c r="J482" s="212">
        <f ca="1">IFERROR(__xludf.DUMMYFUNCTION("IMPORTRANGE(""https://docs.google.com/spreadsheets/d/1eHaY18a8A9IcSdp1K8H6x8fbOy06t2VsZHhMHf-1x7Y/edit?usp=sharing"",""แผน!HN50"")"),0)</f>
        <v>0</v>
      </c>
      <c r="K482" s="55"/>
      <c r="L482" s="62"/>
      <c r="M482" s="55"/>
      <c r="N482" s="55"/>
      <c r="O482" s="55"/>
      <c r="P482" s="55"/>
      <c r="Q482" s="55"/>
      <c r="R482" s="55"/>
      <c r="S482" s="55"/>
      <c r="T482" s="55"/>
      <c r="U482" s="55"/>
    </row>
    <row r="483" spans="1:21" ht="18.75" hidden="1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212">
        <f ca="1">IFERROR(__xludf.DUMMYFUNCTION("IMPORTRANGE(""https://docs.google.com/spreadsheets/d/1eHaY18a8A9IcSdp1K8H6x8fbOy06t2VsZHhMHf-1x7Y/edit?usp=sharing"",""แผน!HO50"")"),0)</f>
        <v>0</v>
      </c>
      <c r="K483" s="55"/>
      <c r="L483" s="62"/>
      <c r="M483" s="55"/>
      <c r="N483" s="55"/>
      <c r="O483" s="55"/>
      <c r="P483" s="55"/>
      <c r="Q483" s="55"/>
      <c r="R483" s="55"/>
      <c r="S483" s="55"/>
      <c r="T483" s="55"/>
      <c r="U483" s="55"/>
    </row>
    <row r="484" spans="1:21" ht="19.5" hidden="1">
      <c r="A484" s="238"/>
      <c r="B484" s="188"/>
      <c r="C484" s="191" t="s">
        <v>194</v>
      </c>
      <c r="D484" s="188"/>
      <c r="E484" s="188"/>
      <c r="F484" s="188"/>
      <c r="G484" s="208"/>
      <c r="H484" s="158" t="s">
        <v>46</v>
      </c>
      <c r="I484" s="54">
        <f>J480</f>
        <v>0</v>
      </c>
      <c r="J484" s="373">
        <f>J486+J488+J490</f>
        <v>0</v>
      </c>
      <c r="K484" s="540">
        <f>IF(I484&gt;0,J484*100/I484,0)</f>
        <v>0</v>
      </c>
      <c r="L484" s="62"/>
      <c r="M484" s="55"/>
      <c r="N484" s="55"/>
      <c r="O484" s="55"/>
      <c r="P484" s="55"/>
      <c r="Q484" s="55"/>
      <c r="R484" s="55"/>
      <c r="S484" s="55"/>
      <c r="T484" s="55"/>
      <c r="U484" s="55"/>
    </row>
    <row r="485" spans="1:21" ht="19.5" hidden="1">
      <c r="A485" s="238"/>
      <c r="B485" s="188"/>
      <c r="C485" s="239" t="s">
        <v>195</v>
      </c>
      <c r="D485" s="188"/>
      <c r="E485" s="188"/>
      <c r="F485" s="188"/>
      <c r="G485" s="208"/>
      <c r="H485" s="158" t="s">
        <v>34</v>
      </c>
      <c r="I485" s="54">
        <f>J481</f>
        <v>0</v>
      </c>
      <c r="J485" s="373">
        <f>J487+J489+J491</f>
        <v>0</v>
      </c>
      <c r="K485" s="540">
        <f>IF(I485&gt;0,J485*100/I485,0)</f>
        <v>0</v>
      </c>
      <c r="L485" s="62"/>
      <c r="M485" s="55"/>
      <c r="N485" s="55"/>
      <c r="O485" s="55"/>
      <c r="P485" s="55"/>
      <c r="Q485" s="55"/>
      <c r="R485" s="55"/>
      <c r="S485" s="55"/>
      <c r="T485" s="55"/>
      <c r="U485" s="55"/>
    </row>
    <row r="486" spans="1:21" ht="18.75" hidden="1">
      <c r="A486" s="238"/>
      <c r="B486" s="188"/>
      <c r="C486" s="188"/>
      <c r="D486" s="371" t="s">
        <v>196</v>
      </c>
      <c r="E486" s="188"/>
      <c r="F486" s="188"/>
      <c r="G486" s="208"/>
      <c r="H486" s="161" t="s">
        <v>46</v>
      </c>
      <c r="I486" s="54"/>
      <c r="J486" s="54"/>
      <c r="K486" s="55"/>
      <c r="L486" s="62"/>
      <c r="M486" s="55"/>
      <c r="N486" s="55"/>
      <c r="O486" s="55"/>
      <c r="P486" s="55"/>
      <c r="Q486" s="55"/>
      <c r="R486" s="55"/>
      <c r="S486" s="55"/>
      <c r="T486" s="55"/>
      <c r="U486" s="55"/>
    </row>
    <row r="487" spans="1:21" ht="18.75" hidden="1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54"/>
      <c r="K487" s="55"/>
      <c r="L487" s="62"/>
      <c r="M487" s="55"/>
      <c r="N487" s="55"/>
      <c r="O487" s="55"/>
      <c r="P487" s="55"/>
      <c r="Q487" s="55"/>
      <c r="R487" s="55"/>
      <c r="S487" s="55"/>
      <c r="T487" s="55"/>
      <c r="U487" s="55"/>
    </row>
    <row r="488" spans="1:21" ht="18.75" hidden="1">
      <c r="A488" s="238"/>
      <c r="B488" s="188"/>
      <c r="C488" s="188"/>
      <c r="D488" s="371" t="s">
        <v>197</v>
      </c>
      <c r="E488" s="188"/>
      <c r="F488" s="188"/>
      <c r="G488" s="208"/>
      <c r="H488" s="161" t="s">
        <v>46</v>
      </c>
      <c r="I488" s="54"/>
      <c r="J488" s="54"/>
      <c r="K488" s="55"/>
      <c r="L488" s="62"/>
      <c r="M488" s="55"/>
      <c r="N488" s="55"/>
      <c r="O488" s="55"/>
      <c r="P488" s="55"/>
      <c r="Q488" s="55"/>
      <c r="R488" s="55"/>
      <c r="S488" s="55"/>
      <c r="T488" s="55"/>
      <c r="U488" s="55"/>
    </row>
    <row r="489" spans="1:21" ht="18.75" hidden="1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54"/>
      <c r="K489" s="55"/>
      <c r="L489" s="62"/>
      <c r="M489" s="55"/>
      <c r="N489" s="55"/>
      <c r="O489" s="55"/>
      <c r="P489" s="55"/>
      <c r="Q489" s="55"/>
      <c r="R489" s="55"/>
      <c r="S489" s="55"/>
      <c r="T489" s="55"/>
      <c r="U489" s="55"/>
    </row>
    <row r="490" spans="1:21" ht="18.75" hidden="1">
      <c r="A490" s="238"/>
      <c r="B490" s="188"/>
      <c r="C490" s="188"/>
      <c r="D490" s="371" t="s">
        <v>198</v>
      </c>
      <c r="E490" s="188"/>
      <c r="F490" s="188"/>
      <c r="G490" s="208"/>
      <c r="H490" s="161" t="s">
        <v>46</v>
      </c>
      <c r="I490" s="54"/>
      <c r="J490" s="54"/>
      <c r="K490" s="55"/>
      <c r="L490" s="62"/>
      <c r="M490" s="55"/>
      <c r="N490" s="55"/>
      <c r="O490" s="55"/>
      <c r="P490" s="55"/>
      <c r="Q490" s="55"/>
      <c r="R490" s="55"/>
      <c r="S490" s="55"/>
      <c r="T490" s="55"/>
      <c r="U490" s="55"/>
    </row>
    <row r="491" spans="1:21" ht="18.75" hidden="1">
      <c r="A491" s="374"/>
      <c r="B491" s="5"/>
      <c r="C491" s="5"/>
      <c r="D491" s="5"/>
      <c r="E491" s="5"/>
      <c r="F491" s="5"/>
      <c r="G491" s="375"/>
      <c r="H491" s="376" t="s">
        <v>34</v>
      </c>
      <c r="I491" s="67"/>
      <c r="J491" s="67"/>
      <c r="K491" s="6"/>
      <c r="L491" s="68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 hidden="1">
      <c r="A492" s="335"/>
      <c r="B492" s="354" t="s">
        <v>199</v>
      </c>
      <c r="C492" s="337"/>
      <c r="D492" s="337"/>
      <c r="E492" s="328"/>
      <c r="F492" s="328"/>
      <c r="G492" s="329"/>
      <c r="H492" s="366" t="s">
        <v>35</v>
      </c>
      <c r="I492" s="605">
        <f ca="1">I503</f>
        <v>0</v>
      </c>
      <c r="J492" s="605">
        <f ca="1">J503</f>
        <v>0</v>
      </c>
      <c r="K492" s="604">
        <f ca="1">IF(I492&gt;0,J492*100/I492,0)</f>
        <v>0</v>
      </c>
      <c r="L492" s="334"/>
      <c r="M492" s="333"/>
      <c r="N492" s="333"/>
      <c r="O492" s="333"/>
      <c r="P492" s="333"/>
      <c r="Q492" s="333"/>
      <c r="R492" s="333"/>
      <c r="S492" s="333"/>
      <c r="T492" s="333"/>
      <c r="U492" s="333"/>
    </row>
    <row r="493" spans="1:21" ht="19.5" hidden="1">
      <c r="A493" s="155"/>
      <c r="B493" s="188"/>
      <c r="C493" s="205" t="s">
        <v>18</v>
      </c>
      <c r="D493" s="603" t="s">
        <v>19</v>
      </c>
      <c r="E493" s="514"/>
      <c r="F493" s="514"/>
      <c r="G493" s="52"/>
      <c r="H493" s="252" t="s">
        <v>14</v>
      </c>
      <c r="I493" s="54"/>
      <c r="J493" s="54"/>
      <c r="K493" s="55"/>
      <c r="L493" s="541">
        <f>L494+L495</f>
        <v>0</v>
      </c>
      <c r="M493" s="540">
        <f>M494+M495</f>
        <v>0</v>
      </c>
      <c r="N493" s="540">
        <f>N494+N495</f>
        <v>0</v>
      </c>
      <c r="O493" s="540">
        <f>IF(L493&gt;0,N493*100/L493,0)</f>
        <v>0</v>
      </c>
      <c r="P493" s="540">
        <f>IF(M493&gt;0,N493*100/M493,0)</f>
        <v>0</v>
      </c>
      <c r="Q493" s="540">
        <f ca="1">Q494+Q495</f>
        <v>0</v>
      </c>
      <c r="R493" s="540">
        <f ca="1">R494+R495</f>
        <v>0</v>
      </c>
      <c r="S493" s="540">
        <f ca="1">S494+S495</f>
        <v>0</v>
      </c>
      <c r="T493" s="540">
        <f ca="1">IF(Q493&gt;0,S493*100/Q493,0)</f>
        <v>0</v>
      </c>
      <c r="U493" s="540">
        <f ca="1">IF(R493&gt;0,S493*100/R493,0)</f>
        <v>0</v>
      </c>
    </row>
    <row r="494" spans="1:21" ht="18.75" hidden="1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103">
        <f>L497+L500</f>
        <v>0</v>
      </c>
      <c r="M494" s="102">
        <f>M497+M500</f>
        <v>0</v>
      </c>
      <c r="N494" s="102">
        <f>N497+N500</f>
        <v>0</v>
      </c>
      <c r="O494" s="102">
        <f>IF(L494&gt;0,N494*100/L494,0)</f>
        <v>0</v>
      </c>
      <c r="P494" s="102">
        <f>IF(M494&gt;0,N494*100/M494,0)</f>
        <v>0</v>
      </c>
      <c r="Q494" s="102">
        <f>Q497+Q500</f>
        <v>0</v>
      </c>
      <c r="R494" s="102">
        <f>R497+R500</f>
        <v>0</v>
      </c>
      <c r="S494" s="102">
        <f>S497+S500</f>
        <v>0</v>
      </c>
      <c r="T494" s="102">
        <f>IF(Q494&gt;0,S494*100/Q494,0)</f>
        <v>0</v>
      </c>
      <c r="U494" s="102">
        <f>IF(R494&gt;0,S494*100/R494,0)</f>
        <v>0</v>
      </c>
    </row>
    <row r="495" spans="1:21" ht="18.75" hidden="1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256">
        <f>L498+L501</f>
        <v>0</v>
      </c>
      <c r="M495" s="255">
        <f>M498+M501</f>
        <v>0</v>
      </c>
      <c r="N495" s="255">
        <f>N498+N501</f>
        <v>0</v>
      </c>
      <c r="O495" s="255">
        <f>IF(L495&gt;0,N495*100/L495,0)</f>
        <v>0</v>
      </c>
      <c r="P495" s="255">
        <f>IF(M495&gt;0,N495*100/M495,0)</f>
        <v>0</v>
      </c>
      <c r="Q495" s="255">
        <f ca="1">Q498+Q501</f>
        <v>0</v>
      </c>
      <c r="R495" s="255">
        <f ca="1">R498+R501</f>
        <v>0</v>
      </c>
      <c r="S495" s="255">
        <f ca="1">S498+S501</f>
        <v>0</v>
      </c>
      <c r="T495" s="255">
        <f ca="1">IF(Q495&gt;0,S495*100/Q495,0)</f>
        <v>0</v>
      </c>
      <c r="U495" s="255">
        <f ca="1">IF(R495&gt;0,S495*100/R495,0)</f>
        <v>0</v>
      </c>
    </row>
    <row r="496" spans="1:21" ht="18.75" hidden="1">
      <c r="A496" s="155"/>
      <c r="B496" s="188"/>
      <c r="C496" s="188"/>
      <c r="D496" s="602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256">
        <f>L497+L498</f>
        <v>0</v>
      </c>
      <c r="M496" s="255">
        <f>M497+M498</f>
        <v>0</v>
      </c>
      <c r="N496" s="255">
        <f>N497+N498</f>
        <v>0</v>
      </c>
      <c r="O496" s="255">
        <f>IF(L496&gt;0,N496*100/L496,0)</f>
        <v>0</v>
      </c>
      <c r="P496" s="255">
        <f>IF(M496&gt;0,N496*100/M496,0)</f>
        <v>0</v>
      </c>
      <c r="Q496" s="255">
        <f ca="1">Q497+Q498</f>
        <v>0</v>
      </c>
      <c r="R496" s="255">
        <f ca="1">R497+R498</f>
        <v>0</v>
      </c>
      <c r="S496" s="255">
        <f ca="1">S497+S498</f>
        <v>0</v>
      </c>
      <c r="T496" s="255">
        <f ca="1">IF(Q496&gt;0,S496*100/Q496,0)</f>
        <v>0</v>
      </c>
      <c r="U496" s="255">
        <f ca="1">IF(R496&gt;0,S496*100/R496,0)</f>
        <v>0</v>
      </c>
    </row>
    <row r="497" spans="1:21" ht="18.75" hidden="1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103">
        <v>0</v>
      </c>
      <c r="M497" s="102">
        <v>0</v>
      </c>
      <c r="N497" s="102">
        <v>0</v>
      </c>
      <c r="O497" s="102">
        <f>IF(L497&gt;0,N497*100/L497,0)</f>
        <v>0</v>
      </c>
      <c r="P497" s="102">
        <f>IF(M497&gt;0,N497*100/M497,0)</f>
        <v>0</v>
      </c>
      <c r="Q497" s="102">
        <v>0</v>
      </c>
      <c r="R497" s="102">
        <v>0</v>
      </c>
      <c r="S497" s="102">
        <v>0</v>
      </c>
      <c r="T497" s="102">
        <f>IF(Q497&gt;0,S497*100/Q497,0)</f>
        <v>0</v>
      </c>
      <c r="U497" s="102">
        <f>IF(R497&gt;0,S497*100/R497,0)</f>
        <v>0</v>
      </c>
    </row>
    <row r="498" spans="1:21" ht="18.75" hidden="1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256">
        <v>0</v>
      </c>
      <c r="M498" s="255">
        <v>0</v>
      </c>
      <c r="N498" s="255">
        <v>0</v>
      </c>
      <c r="O498" s="255">
        <f>IF(L498&gt;0,N498*100/L498,0)</f>
        <v>0</v>
      </c>
      <c r="P498" s="255">
        <f>IF(M498&gt;0,N498*100/M498,0)</f>
        <v>0</v>
      </c>
      <c r="Q498" s="255">
        <f ca="1">IFERROR(__xludf.DUMMYFUNCTION("IMPORTRANGE(""https://docs.google.com/spreadsheets/d/1ItG2mGa2ceCfYo0BwxsXqNm01IGEUdYcSSLTEv9YCik/edit?usp=sharing"",""เบิกจ่ายกองทุน!X50"")"),0)</f>
        <v>0</v>
      </c>
      <c r="R498" s="255">
        <f ca="1">IFERROR(__xludf.DUMMYFUNCTION("IMPORTRANGE(""https://docs.google.com/spreadsheets/d/1ItG2mGa2ceCfYo0BwxsXqNm01IGEUdYcSSLTEv9YCik/edit?usp=sharing"",""เบิกจ่ายกองทุน!Y50"")"),0)</f>
        <v>0</v>
      </c>
      <c r="S498" s="255">
        <f ca="1">IFERROR(__xludf.DUMMYFUNCTION("IMPORTRANGE(""https://docs.google.com/spreadsheets/d/1ItG2mGa2ceCfYo0BwxsXqNm01IGEUdYcSSLTEv9YCik/edit?usp=sharing"",""เบิกจ่ายกองทุน!Z50"")"),0)</f>
        <v>0</v>
      </c>
      <c r="T498" s="255">
        <f ca="1">IF(Q498&gt;0,S498*100/Q498,0)</f>
        <v>0</v>
      </c>
      <c r="U498" s="255">
        <f ca="1">IF(R498&gt;0,S498*100/R498,0)</f>
        <v>0</v>
      </c>
    </row>
    <row r="499" spans="1:21" ht="18.75" hidden="1">
      <c r="A499" s="155"/>
      <c r="B499" s="188"/>
      <c r="C499" s="188"/>
      <c r="D499" s="602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256">
        <f>L500+L501</f>
        <v>0</v>
      </c>
      <c r="M499" s="255">
        <f>M500+M501</f>
        <v>0</v>
      </c>
      <c r="N499" s="255">
        <f>N500+N501</f>
        <v>0</v>
      </c>
      <c r="O499" s="255">
        <f>IF(L499&gt;0,N499*100/L499,0)</f>
        <v>0</v>
      </c>
      <c r="P499" s="255">
        <f>IF(M499&gt;0,N499*100/M499,0)</f>
        <v>0</v>
      </c>
      <c r="Q499" s="255">
        <f>Q500+Q501</f>
        <v>0</v>
      </c>
      <c r="R499" s="255">
        <f>R500+R501</f>
        <v>0</v>
      </c>
      <c r="S499" s="255">
        <f>S500+S501</f>
        <v>0</v>
      </c>
      <c r="T499" s="255">
        <f>IF(Q499&gt;0,S499*100/Q499,0)</f>
        <v>0</v>
      </c>
      <c r="U499" s="255">
        <f>IF(R499&gt;0,S499*100/R499,0)</f>
        <v>0</v>
      </c>
    </row>
    <row r="500" spans="1:21" ht="18.75" hidden="1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103">
        <v>0</v>
      </c>
      <c r="M500" s="102">
        <v>0</v>
      </c>
      <c r="N500" s="102">
        <v>0</v>
      </c>
      <c r="O500" s="102">
        <f>IF(L500&gt;0,N500*100/L500,0)</f>
        <v>0</v>
      </c>
      <c r="P500" s="102">
        <f>IF(M500&gt;0,N500*100/M500,0)</f>
        <v>0</v>
      </c>
      <c r="Q500" s="102">
        <v>0</v>
      </c>
      <c r="R500" s="102">
        <v>0</v>
      </c>
      <c r="S500" s="102">
        <v>0</v>
      </c>
      <c r="T500" s="102">
        <f>IF(Q500&gt;0,S500*100/Q500,0)</f>
        <v>0</v>
      </c>
      <c r="U500" s="102">
        <f>IF(R500&gt;0,S500*100/R500,0)</f>
        <v>0</v>
      </c>
    </row>
    <row r="501" spans="1:21" ht="18.75" hidden="1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256">
        <v>0</v>
      </c>
      <c r="M501" s="255">
        <v>0</v>
      </c>
      <c r="N501" s="255">
        <v>0</v>
      </c>
      <c r="O501" s="255">
        <f>IF(L501&gt;0,N501*100/L501,0)</f>
        <v>0</v>
      </c>
      <c r="P501" s="255">
        <f>IF(M501&gt;0,N501*100/M501,0)</f>
        <v>0</v>
      </c>
      <c r="Q501" s="255">
        <v>0</v>
      </c>
      <c r="R501" s="255">
        <v>0</v>
      </c>
      <c r="S501" s="255">
        <v>0</v>
      </c>
      <c r="T501" s="255">
        <f>IF(Q501&gt;0,S501*100/Q501,0)</f>
        <v>0</v>
      </c>
      <c r="U501" s="255">
        <f>IF(R501&gt;0,S501*100/R501,0)</f>
        <v>0</v>
      </c>
    </row>
    <row r="502" spans="1:21" ht="19.5" hidden="1">
      <c r="A502" s="166"/>
      <c r="B502" s="167"/>
      <c r="C502" s="205" t="s">
        <v>18</v>
      </c>
      <c r="D502" s="560" t="s">
        <v>38</v>
      </c>
      <c r="E502" s="169"/>
      <c r="F502" s="169"/>
      <c r="G502" s="170"/>
      <c r="H502" s="206"/>
      <c r="I502" s="163"/>
      <c r="J502" s="163"/>
      <c r="K502" s="164"/>
      <c r="L502" s="172"/>
      <c r="M502" s="164"/>
      <c r="N502" s="164"/>
      <c r="O502" s="164"/>
      <c r="P502" s="164"/>
      <c r="Q502" s="164"/>
      <c r="R502" s="164"/>
      <c r="S502" s="164"/>
      <c r="T502" s="164"/>
      <c r="U502" s="164"/>
    </row>
    <row r="503" spans="1:21" ht="19.5" hidden="1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373">
        <f ca="1">IFERROR(__xludf.DUMMYFUNCTION("IMPORTRANGE(""https://docs.google.com/spreadsheets/d/1eHaY18a8A9IcSdp1K8H6x8fbOy06t2VsZHhMHf-1x7Y/edit?usp=sharing"",""แผน!GX50"")"),0)</f>
        <v>0</v>
      </c>
      <c r="J503" s="373">
        <f ca="1">IF(AND(J504=I504,J505=I505,J506=I506,J507=I507),I503,0)</f>
        <v>0</v>
      </c>
      <c r="K503" s="540">
        <f ca="1">IF(I503&gt;0,J503*100/I503,0)</f>
        <v>0</v>
      </c>
      <c r="L503" s="62"/>
      <c r="M503" s="55"/>
      <c r="N503" s="55"/>
      <c r="O503" s="55"/>
      <c r="P503" s="55"/>
      <c r="Q503" s="55"/>
      <c r="R503" s="55"/>
      <c r="S503" s="55"/>
      <c r="T503" s="55"/>
      <c r="U503" s="55"/>
    </row>
    <row r="504" spans="1:21" ht="18.75" hidden="1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212">
        <f ca="1">IFERROR(__xludf.DUMMYFUNCTION("IMPORTRANGE(""https://docs.google.com/spreadsheets/d/1eHaY18a8A9IcSdp1K8H6x8fbOy06t2VsZHhMHf-1x7Y/edit?usp=sharing"",""แผน!GY50"")"),0)</f>
        <v>0</v>
      </c>
      <c r="J504" s="467">
        <v>0</v>
      </c>
      <c r="K504" s="255">
        <f ca="1">IF(I504&gt;0,J504*100/I504,0)</f>
        <v>0</v>
      </c>
      <c r="L504" s="62"/>
      <c r="M504" s="55"/>
      <c r="N504" s="55"/>
      <c r="O504" s="55"/>
      <c r="P504" s="55"/>
      <c r="Q504" s="55"/>
      <c r="R504" s="55"/>
      <c r="S504" s="55"/>
      <c r="T504" s="55"/>
      <c r="U504" s="55"/>
    </row>
    <row r="505" spans="1:21" ht="18.75" hidden="1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212">
        <f ca="1">IFERROR(__xludf.DUMMYFUNCTION("IMPORTRANGE(""https://docs.google.com/spreadsheets/d/1eHaY18a8A9IcSdp1K8H6x8fbOy06t2VsZHhMHf-1x7Y/edit?usp=sharing"",""แผน!GZ50"")"),0)</f>
        <v>0</v>
      </c>
      <c r="J505" s="467">
        <v>0</v>
      </c>
      <c r="K505" s="255">
        <f ca="1">IF(I505&gt;0,J505*100/I505,0)</f>
        <v>0</v>
      </c>
      <c r="L505" s="62"/>
      <c r="M505" s="55"/>
      <c r="N505" s="55"/>
      <c r="O505" s="55"/>
      <c r="P505" s="55"/>
      <c r="Q505" s="55"/>
      <c r="R505" s="55"/>
      <c r="S505" s="55"/>
      <c r="T505" s="55"/>
      <c r="U505" s="55"/>
    </row>
    <row r="506" spans="1:21" ht="18.75" hidden="1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212">
        <f ca="1">IFERROR(__xludf.DUMMYFUNCTION("IMPORTRANGE(""https://docs.google.com/spreadsheets/d/1eHaY18a8A9IcSdp1K8H6x8fbOy06t2VsZHhMHf-1x7Y/edit?usp=sharing"",""แผน!HA50"")"),0)</f>
        <v>0</v>
      </c>
      <c r="J506" s="467">
        <v>0</v>
      </c>
      <c r="K506" s="255">
        <f ca="1">IF(I506&gt;0,J506*100/I506,0)</f>
        <v>0</v>
      </c>
      <c r="L506" s="62"/>
      <c r="M506" s="55"/>
      <c r="N506" s="55"/>
      <c r="O506" s="55"/>
      <c r="P506" s="55"/>
      <c r="Q506" s="55"/>
      <c r="R506" s="55"/>
      <c r="S506" s="55"/>
      <c r="T506" s="55"/>
      <c r="U506" s="55"/>
    </row>
    <row r="507" spans="1:21" ht="18.75" hidden="1">
      <c r="A507" s="238"/>
      <c r="B507" s="188"/>
      <c r="C507" s="188"/>
      <c r="D507" s="188"/>
      <c r="E507" s="377" t="s">
        <v>204</v>
      </c>
      <c r="F507" s="50"/>
      <c r="G507" s="52"/>
      <c r="H507" s="161" t="s">
        <v>35</v>
      </c>
      <c r="I507" s="212">
        <f ca="1">IFERROR(__xludf.DUMMYFUNCTION("IMPORTRANGE(""https://docs.google.com/spreadsheets/d/1eHaY18a8A9IcSdp1K8H6x8fbOy06t2VsZHhMHf-1x7Y/edit?usp=sharing"",""แผน!HB50"")"),0)</f>
        <v>0</v>
      </c>
      <c r="J507" s="467">
        <v>0</v>
      </c>
      <c r="K507" s="255">
        <f ca="1">IF(I507&gt;0,J507*100/I507,0)</f>
        <v>0</v>
      </c>
      <c r="L507" s="62"/>
      <c r="M507" s="55"/>
      <c r="N507" s="55"/>
      <c r="O507" s="55"/>
      <c r="P507" s="55"/>
      <c r="Q507" s="55"/>
      <c r="R507" s="55"/>
      <c r="S507" s="55"/>
      <c r="T507" s="55"/>
      <c r="U507" s="55"/>
    </row>
    <row r="508" spans="1:21" ht="18.75" hidden="1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255">
        <f>IF(I508&gt;0,J508*100/I508,0)</f>
        <v>0</v>
      </c>
      <c r="L508" s="62"/>
      <c r="M508" s="55"/>
      <c r="N508" s="55"/>
      <c r="O508" s="55"/>
      <c r="P508" s="55"/>
      <c r="Q508" s="55"/>
      <c r="R508" s="55"/>
      <c r="S508" s="55"/>
      <c r="T508" s="55"/>
      <c r="U508" s="55"/>
    </row>
    <row r="509" spans="1:21" ht="19.5" hidden="1">
      <c r="A509" s="374"/>
      <c r="B509" s="5"/>
      <c r="C509" s="5"/>
      <c r="D509" s="378" t="s">
        <v>50</v>
      </c>
      <c r="E509" s="4"/>
      <c r="F509" s="4"/>
      <c r="G509" s="65"/>
      <c r="H509" s="376" t="s">
        <v>35</v>
      </c>
      <c r="I509" s="216">
        <f ca="1">IFERROR(__xludf.DUMMYFUNCTION("IMPORTRANGE(""https://docs.google.com/spreadsheets/d/1eHaY18a8A9IcSdp1K8H6x8fbOy06t2VsZHhMHf-1x7Y/edit?usp=sharing"",""แผน!HC50"")"),0)</f>
        <v>0</v>
      </c>
      <c r="J509" s="538">
        <v>0</v>
      </c>
      <c r="K509" s="506">
        <f ca="1">IF(I509&gt;0,J509*100/I509,0)</f>
        <v>0</v>
      </c>
      <c r="L509" s="68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 hidden="1">
      <c r="A510" s="601" t="s">
        <v>206</v>
      </c>
      <c r="B510" s="381"/>
      <c r="C510" s="381"/>
      <c r="D510" s="381"/>
      <c r="E510" s="382"/>
      <c r="F510" s="382"/>
      <c r="G510" s="382"/>
      <c r="H510" s="382"/>
      <c r="I510" s="383"/>
      <c r="J510" s="383"/>
      <c r="K510" s="384"/>
      <c r="L510" s="600"/>
      <c r="M510" s="386"/>
      <c r="N510" s="386"/>
      <c r="O510" s="386"/>
      <c r="P510" s="386"/>
      <c r="Q510" s="386"/>
      <c r="R510" s="386"/>
      <c r="S510" s="386"/>
      <c r="T510" s="386"/>
      <c r="U510" s="386"/>
    </row>
    <row r="511" spans="1:21" ht="19.5" hidden="1">
      <c r="A511" s="599" t="s">
        <v>207</v>
      </c>
      <c r="B511" s="388"/>
      <c r="C511" s="388"/>
      <c r="D511" s="389"/>
      <c r="E511" s="388"/>
      <c r="F511" s="388"/>
      <c r="G511" s="388"/>
      <c r="H511" s="390"/>
      <c r="I511" s="391"/>
      <c r="J511" s="391"/>
      <c r="K511" s="392"/>
      <c r="L511" s="598"/>
      <c r="M511" s="394"/>
      <c r="N511" s="394"/>
      <c r="O511" s="394"/>
      <c r="P511" s="394"/>
      <c r="Q511" s="394"/>
      <c r="R511" s="394"/>
      <c r="S511" s="394"/>
      <c r="T511" s="394"/>
      <c r="U511" s="394"/>
    </row>
    <row r="512" spans="1:21" ht="19.5" hidden="1">
      <c r="A512" s="395"/>
      <c r="B512" s="597" t="s">
        <v>208</v>
      </c>
      <c r="C512" s="397"/>
      <c r="D512" s="398"/>
      <c r="E512" s="398"/>
      <c r="F512" s="398"/>
      <c r="G512" s="399"/>
      <c r="H512" s="596" t="s">
        <v>61</v>
      </c>
      <c r="I512" s="595">
        <f>I524</f>
        <v>0</v>
      </c>
      <c r="J512" s="595">
        <f>J524</f>
        <v>0</v>
      </c>
      <c r="K512" s="594">
        <f>IF(I512&gt;0,J512*100/I512,0)</f>
        <v>0</v>
      </c>
      <c r="L512" s="404"/>
      <c r="M512" s="403"/>
      <c r="N512" s="403"/>
      <c r="O512" s="403"/>
      <c r="P512" s="403"/>
      <c r="Q512" s="403"/>
      <c r="R512" s="403"/>
      <c r="S512" s="403"/>
      <c r="T512" s="403"/>
      <c r="U512" s="403"/>
    </row>
    <row r="513" spans="1:21" ht="19.5" hidden="1">
      <c r="A513" s="155"/>
      <c r="B513" s="50"/>
      <c r="C513" s="591" t="s">
        <v>18</v>
      </c>
      <c r="D513" s="562" t="s">
        <v>19</v>
      </c>
      <c r="E513" s="50"/>
      <c r="F513" s="50"/>
      <c r="G513" s="52"/>
      <c r="H513" s="593" t="s">
        <v>14</v>
      </c>
      <c r="I513" s="54"/>
      <c r="J513" s="54"/>
      <c r="K513" s="55"/>
      <c r="L513" s="541">
        <f ca="1">L514+L515</f>
        <v>0</v>
      </c>
      <c r="M513" s="540">
        <f ca="1">M514+M515</f>
        <v>0</v>
      </c>
      <c r="N513" s="540">
        <f ca="1">N514+N515</f>
        <v>0</v>
      </c>
      <c r="O513" s="540">
        <f ca="1">IF(L513&gt;0,N513*100/L513,0)</f>
        <v>0</v>
      </c>
      <c r="P513" s="540">
        <f ca="1">IF(M513&gt;0,N513*100/M513,0)</f>
        <v>0</v>
      </c>
      <c r="Q513" s="540">
        <f>Q514+Q515</f>
        <v>0</v>
      </c>
      <c r="R513" s="540">
        <f>R514+R515</f>
        <v>0</v>
      </c>
      <c r="S513" s="540">
        <f>S514+S515</f>
        <v>0</v>
      </c>
      <c r="T513" s="540">
        <f>IF(Q513&gt;0,S513*100/Q513,0)</f>
        <v>0</v>
      </c>
      <c r="U513" s="540">
        <f>IF(R513&gt;0,S513*100/R513,0)</f>
        <v>0</v>
      </c>
    </row>
    <row r="514" spans="1:21" ht="18.75" hidden="1">
      <c r="A514" s="155"/>
      <c r="B514" s="50"/>
      <c r="C514" s="50"/>
      <c r="D514" s="50"/>
      <c r="E514" s="186" t="s">
        <v>20</v>
      </c>
      <c r="F514" s="50"/>
      <c r="G514" s="52"/>
      <c r="H514" s="187" t="s">
        <v>14</v>
      </c>
      <c r="I514" s="54"/>
      <c r="J514" s="54"/>
      <c r="K514" s="55"/>
      <c r="L514" s="103">
        <f>L517+L520</f>
        <v>0</v>
      </c>
      <c r="M514" s="102">
        <f>M517+M520</f>
        <v>0</v>
      </c>
      <c r="N514" s="102">
        <f>N517+N520</f>
        <v>0</v>
      </c>
      <c r="O514" s="102">
        <f>IF(L514&gt;0,N514*100/L514,0)</f>
        <v>0</v>
      </c>
      <c r="P514" s="102">
        <f>IF(M514&gt;0,N514*100/M514,0)</f>
        <v>0</v>
      </c>
      <c r="Q514" s="102">
        <f>Q517+Q520</f>
        <v>0</v>
      </c>
      <c r="R514" s="102">
        <f>R517+R520</f>
        <v>0</v>
      </c>
      <c r="S514" s="102">
        <f>S517+S520</f>
        <v>0</v>
      </c>
      <c r="T514" s="102">
        <f>IF(Q514&gt;0,S514*100/Q514,0)</f>
        <v>0</v>
      </c>
      <c r="U514" s="102">
        <f>IF(R514&gt;0,S514*100/R514,0)</f>
        <v>0</v>
      </c>
    </row>
    <row r="515" spans="1:21" ht="18.75" hidden="1">
      <c r="A515" s="155"/>
      <c r="B515" s="50"/>
      <c r="C515" s="50"/>
      <c r="D515" s="50"/>
      <c r="E515" s="186" t="s">
        <v>21</v>
      </c>
      <c r="F515" s="50"/>
      <c r="G515" s="52"/>
      <c r="H515" s="187" t="s">
        <v>14</v>
      </c>
      <c r="I515" s="54"/>
      <c r="J515" s="54"/>
      <c r="K515" s="55"/>
      <c r="L515" s="256">
        <f ca="1">L518+L521</f>
        <v>0</v>
      </c>
      <c r="M515" s="255">
        <f ca="1">M518+M521</f>
        <v>0</v>
      </c>
      <c r="N515" s="255">
        <f ca="1">N518+N521</f>
        <v>0</v>
      </c>
      <c r="O515" s="255">
        <f ca="1">IF(L515&gt;0,N515*100/L515,0)</f>
        <v>0</v>
      </c>
      <c r="P515" s="255">
        <f ca="1">IF(M515&gt;0,N515*100/M515,0)</f>
        <v>0</v>
      </c>
      <c r="Q515" s="255">
        <f>Q518+Q521</f>
        <v>0</v>
      </c>
      <c r="R515" s="255">
        <f>R518+R521</f>
        <v>0</v>
      </c>
      <c r="S515" s="255">
        <f>S518+S521</f>
        <v>0</v>
      </c>
      <c r="T515" s="255">
        <f>IF(Q515&gt;0,S515*100/Q515,0)</f>
        <v>0</v>
      </c>
      <c r="U515" s="255">
        <f>IF(R515&gt;0,S515*100/R515,0)</f>
        <v>0</v>
      </c>
    </row>
    <row r="516" spans="1:21" ht="18.75" hidden="1">
      <c r="A516" s="155"/>
      <c r="B516" s="50"/>
      <c r="C516" s="50"/>
      <c r="D516" s="592" t="s">
        <v>22</v>
      </c>
      <c r="E516" s="50"/>
      <c r="F516" s="50"/>
      <c r="G516" s="52"/>
      <c r="H516" s="189" t="s">
        <v>14</v>
      </c>
      <c r="I516" s="163"/>
      <c r="J516" s="163"/>
      <c r="K516" s="164"/>
      <c r="L516" s="256">
        <f ca="1">L517+L518</f>
        <v>0</v>
      </c>
      <c r="M516" s="255">
        <f ca="1">M517+M518</f>
        <v>0</v>
      </c>
      <c r="N516" s="255">
        <f ca="1">N517+N518</f>
        <v>0</v>
      </c>
      <c r="O516" s="255">
        <f ca="1">IF(L516&gt;0,N516*100/L516,0)</f>
        <v>0</v>
      </c>
      <c r="P516" s="255">
        <f ca="1">IF(M516&gt;0,N516*100/M516,0)</f>
        <v>0</v>
      </c>
      <c r="Q516" s="255">
        <f>Q517+Q518</f>
        <v>0</v>
      </c>
      <c r="R516" s="255">
        <f>R517+R518</f>
        <v>0</v>
      </c>
      <c r="S516" s="255">
        <f>S517+S518</f>
        <v>0</v>
      </c>
      <c r="T516" s="255">
        <f>IF(Q516&gt;0,S516*100/Q516,0)</f>
        <v>0</v>
      </c>
      <c r="U516" s="255">
        <f>IF(R516&gt;0,S516*100/R516,0)</f>
        <v>0</v>
      </c>
    </row>
    <row r="517" spans="1:21" ht="18.75" hidden="1">
      <c r="A517" s="155"/>
      <c r="B517" s="50"/>
      <c r="C517" s="50"/>
      <c r="D517" s="50"/>
      <c r="E517" s="186" t="s">
        <v>36</v>
      </c>
      <c r="F517" s="50"/>
      <c r="G517" s="52"/>
      <c r="H517" s="189" t="s">
        <v>14</v>
      </c>
      <c r="I517" s="163"/>
      <c r="J517" s="163"/>
      <c r="K517" s="164"/>
      <c r="L517" s="103">
        <v>0</v>
      </c>
      <c r="M517" s="102">
        <v>0</v>
      </c>
      <c r="N517" s="102">
        <v>0</v>
      </c>
      <c r="O517" s="102">
        <f>IF(L517&gt;0,N517*100/L517,0)</f>
        <v>0</v>
      </c>
      <c r="P517" s="102">
        <f>IF(M517&gt;0,N517*100/M517,0)</f>
        <v>0</v>
      </c>
      <c r="Q517" s="102">
        <v>0</v>
      </c>
      <c r="R517" s="102">
        <v>0</v>
      </c>
      <c r="S517" s="102">
        <v>0</v>
      </c>
      <c r="T517" s="102">
        <f>IF(Q517&gt;0,S517*100/Q517,0)</f>
        <v>0</v>
      </c>
      <c r="U517" s="102">
        <f>IF(R517&gt;0,S517*100/R517,0)</f>
        <v>0</v>
      </c>
    </row>
    <row r="518" spans="1:21" ht="18.75" hidden="1">
      <c r="A518" s="155"/>
      <c r="B518" s="50"/>
      <c r="C518" s="50"/>
      <c r="D518" s="50"/>
      <c r="E518" s="186" t="s">
        <v>37</v>
      </c>
      <c r="F518" s="50"/>
      <c r="G518" s="52"/>
      <c r="H518" s="189" t="s">
        <v>14</v>
      </c>
      <c r="I518" s="163"/>
      <c r="J518" s="163"/>
      <c r="K518" s="164"/>
      <c r="L518" s="256">
        <f ca="1">IFERROR(__xludf.DUMMYFUNCTION("IMPORTRANGE(""https://docs.google.com/spreadsheets/d/1-uDff_7J0KD5mKrp0Vvzr7lt3OU09vwQwhkpOPPYv2Y/edit?usp=sharing"",""งบพรบ!FM50"")"),0)</f>
        <v>0</v>
      </c>
      <c r="M518" s="255">
        <f ca="1">IFERROR(__xludf.DUMMYFUNCTION("IMPORTRANGE(""https://docs.google.com/spreadsheets/d/1-uDff_7J0KD5mKrp0Vvzr7lt3OU09vwQwhkpOPPYv2Y/edit?usp=sharing"",""งบพรบ!FR50"")"),0)</f>
        <v>0</v>
      </c>
      <c r="N518" s="255">
        <f ca="1">IFERROR(__xludf.DUMMYFUNCTION("IMPORTRANGE(""https://docs.google.com/spreadsheets/d/1-uDff_7J0KD5mKrp0Vvzr7lt3OU09vwQwhkpOPPYv2Y/edit?usp=sharing"",""งบพรบ!FT50"")"),0)</f>
        <v>0</v>
      </c>
      <c r="O518" s="255">
        <f ca="1">IF(L518&gt;0,N518*100/L518,0)</f>
        <v>0</v>
      </c>
      <c r="P518" s="255">
        <f ca="1">IF(M518&gt;0,N518*100/M518,0)</f>
        <v>0</v>
      </c>
      <c r="Q518" s="255">
        <v>0</v>
      </c>
      <c r="R518" s="255">
        <v>0</v>
      </c>
      <c r="S518" s="255">
        <v>0</v>
      </c>
      <c r="T518" s="255">
        <f>IF(Q518&gt;0,S518*100/Q518,0)</f>
        <v>0</v>
      </c>
      <c r="U518" s="255">
        <f>IF(R518&gt;0,S518*100/R518,0)</f>
        <v>0</v>
      </c>
    </row>
    <row r="519" spans="1:21" ht="18.75" hidden="1">
      <c r="A519" s="155"/>
      <c r="B519" s="50"/>
      <c r="C519" s="50"/>
      <c r="D519" s="592" t="s">
        <v>23</v>
      </c>
      <c r="E519" s="50"/>
      <c r="F519" s="50"/>
      <c r="G519" s="52"/>
      <c r="H519" s="421" t="s">
        <v>14</v>
      </c>
      <c r="I519" s="163"/>
      <c r="J519" s="163"/>
      <c r="K519" s="164"/>
      <c r="L519" s="256">
        <f ca="1">L520+L521</f>
        <v>0</v>
      </c>
      <c r="M519" s="255">
        <f ca="1">M520+M521</f>
        <v>0</v>
      </c>
      <c r="N519" s="255">
        <f ca="1">N520+N521</f>
        <v>0</v>
      </c>
      <c r="O519" s="255">
        <f ca="1">IF(L519&gt;0,N519*100/L519,0)</f>
        <v>0</v>
      </c>
      <c r="P519" s="255">
        <f ca="1">IF(M519&gt;0,N519*100/M519,0)</f>
        <v>0</v>
      </c>
      <c r="Q519" s="255">
        <f>Q520+Q521</f>
        <v>0</v>
      </c>
      <c r="R519" s="255">
        <f>R520+R521</f>
        <v>0</v>
      </c>
      <c r="S519" s="255">
        <f>S520+S521</f>
        <v>0</v>
      </c>
      <c r="T519" s="255">
        <f>IF(Q519&gt;0,S519*100/Q519,0)</f>
        <v>0</v>
      </c>
      <c r="U519" s="255">
        <f>IF(R519&gt;0,S519*100/R519,0)</f>
        <v>0</v>
      </c>
    </row>
    <row r="520" spans="1:21" ht="18.75" hidden="1">
      <c r="A520" s="155"/>
      <c r="B520" s="50"/>
      <c r="C520" s="50"/>
      <c r="D520" s="50"/>
      <c r="E520" s="186" t="s">
        <v>20</v>
      </c>
      <c r="F520" s="50"/>
      <c r="G520" s="52"/>
      <c r="H520" s="189" t="s">
        <v>14</v>
      </c>
      <c r="I520" s="163"/>
      <c r="J520" s="163"/>
      <c r="K520" s="164"/>
      <c r="L520" s="103">
        <v>0</v>
      </c>
      <c r="M520" s="102">
        <v>0</v>
      </c>
      <c r="N520" s="102">
        <v>0</v>
      </c>
      <c r="O520" s="102">
        <f>IF(L520&gt;0,N520*100/L520,0)</f>
        <v>0</v>
      </c>
      <c r="P520" s="102">
        <f>IF(M520&gt;0,N520*100/M520,0)</f>
        <v>0</v>
      </c>
      <c r="Q520" s="102">
        <v>0</v>
      </c>
      <c r="R520" s="102">
        <v>0</v>
      </c>
      <c r="S520" s="102">
        <v>0</v>
      </c>
      <c r="T520" s="102">
        <f>IF(Q520&gt;0,S520*100/Q520,0)</f>
        <v>0</v>
      </c>
      <c r="U520" s="102">
        <f>IF(R520&gt;0,S520*100/R520,0)</f>
        <v>0</v>
      </c>
    </row>
    <row r="521" spans="1:21" ht="18.75" hidden="1">
      <c r="A521" s="155"/>
      <c r="B521" s="50"/>
      <c r="C521" s="50"/>
      <c r="D521" s="50"/>
      <c r="E521" s="186" t="s">
        <v>21</v>
      </c>
      <c r="F521" s="50"/>
      <c r="G521" s="52"/>
      <c r="H521" s="421" t="s">
        <v>14</v>
      </c>
      <c r="I521" s="163"/>
      <c r="J521" s="163"/>
      <c r="K521" s="164"/>
      <c r="L521" s="256">
        <f ca="1">IFERROR(__xludf.DUMMYFUNCTION("IMPORTRANGE(""https://docs.google.com/spreadsheets/d/1-uDff_7J0KD5mKrp0Vvzr7lt3OU09vwQwhkpOPPYv2Y/edit?usp=sharing"",""งบพรบ!FP50"")"),0)</f>
        <v>0</v>
      </c>
      <c r="M521" s="255">
        <f ca="1">IFERROR(__xludf.DUMMYFUNCTION("IMPORTRANGE(""https://docs.google.com/spreadsheets/d/1-uDff_7J0KD5mKrp0Vvzr7lt3OU09vwQwhkpOPPYv2Y/edit?usp=sharing"",""งบพรบ!FS50"")"),0)</f>
        <v>0</v>
      </c>
      <c r="N521" s="255">
        <f ca="1">IFERROR(__xludf.DUMMYFUNCTION("IMPORTRANGE(""https://docs.google.com/spreadsheets/d/1-uDff_7J0KD5mKrp0Vvzr7lt3OU09vwQwhkpOPPYv2Y/edit?usp=sharing"",""งบพรบ!FU50"")"),0)</f>
        <v>0</v>
      </c>
      <c r="O521" s="255">
        <f ca="1">IF(L521&gt;0,N521*100/L521,0)</f>
        <v>0</v>
      </c>
      <c r="P521" s="255">
        <f ca="1">IF(M521&gt;0,N521*100/M521,0)</f>
        <v>0</v>
      </c>
      <c r="Q521" s="255">
        <v>0</v>
      </c>
      <c r="R521" s="255">
        <v>0</v>
      </c>
      <c r="S521" s="255">
        <v>0</v>
      </c>
      <c r="T521" s="255">
        <f>IF(Q521&gt;0,S521*100/Q521,0)</f>
        <v>0</v>
      </c>
      <c r="U521" s="255">
        <f>IF(R521&gt;0,S521*100/R521,0)</f>
        <v>0</v>
      </c>
    </row>
    <row r="522" spans="1:21" ht="19.5" hidden="1">
      <c r="A522" s="166"/>
      <c r="B522" s="167"/>
      <c r="C522" s="591" t="s">
        <v>18</v>
      </c>
      <c r="D522" s="574" t="s">
        <v>38</v>
      </c>
      <c r="E522" s="169"/>
      <c r="F522" s="169"/>
      <c r="G522" s="170"/>
      <c r="H522" s="171"/>
      <c r="I522" s="163"/>
      <c r="J522" s="54"/>
      <c r="K522" s="55"/>
      <c r="L522" s="62"/>
      <c r="M522" s="55"/>
      <c r="N522" s="55"/>
      <c r="O522" s="164"/>
      <c r="P522" s="164"/>
      <c r="Q522" s="55"/>
      <c r="R522" s="55"/>
      <c r="S522" s="55"/>
      <c r="T522" s="164"/>
      <c r="U522" s="164"/>
    </row>
    <row r="523" spans="1:21" ht="18.75" hidden="1">
      <c r="A523" s="238"/>
      <c r="B523" s="50"/>
      <c r="C523" s="188"/>
      <c r="D523" s="207" t="s">
        <v>209</v>
      </c>
      <c r="E523" s="167"/>
      <c r="F523" s="50"/>
      <c r="G523" s="52"/>
      <c r="H523" s="590" t="s">
        <v>11</v>
      </c>
      <c r="I523" s="483">
        <v>0</v>
      </c>
      <c r="J523" s="589">
        <v>0</v>
      </c>
      <c r="K523" s="102">
        <f>IF(I523&gt;0,J523*100/I523,0)</f>
        <v>0</v>
      </c>
      <c r="L523" s="62"/>
      <c r="M523" s="55"/>
      <c r="N523" s="55"/>
      <c r="O523" s="55"/>
      <c r="P523" s="55"/>
      <c r="Q523" s="55"/>
      <c r="R523" s="55"/>
      <c r="S523" s="55"/>
      <c r="T523" s="55"/>
      <c r="U523" s="55"/>
    </row>
    <row r="524" spans="1:21" ht="18.75" hidden="1">
      <c r="A524" s="374"/>
      <c r="B524" s="4"/>
      <c r="C524" s="5"/>
      <c r="D524" s="588" t="s">
        <v>210</v>
      </c>
      <c r="E524" s="282"/>
      <c r="F524" s="4"/>
      <c r="G524" s="65"/>
      <c r="H524" s="587" t="s">
        <v>61</v>
      </c>
      <c r="I524" s="486">
        <v>0</v>
      </c>
      <c r="J524" s="586">
        <v>0</v>
      </c>
      <c r="K524" s="585">
        <f>IF(I524&gt;0,J524*100/I524,0)</f>
        <v>0</v>
      </c>
      <c r="L524" s="62"/>
      <c r="M524" s="55"/>
      <c r="N524" s="55"/>
      <c r="O524" s="55"/>
      <c r="P524" s="55"/>
      <c r="Q524" s="55"/>
      <c r="R524" s="55"/>
      <c r="S524" s="55"/>
      <c r="T524" s="55"/>
      <c r="U524" s="55"/>
    </row>
    <row r="525" spans="1:21" ht="12.75" hidden="1">
      <c r="A525" s="584"/>
      <c r="B525" s="583"/>
      <c r="C525" s="583"/>
      <c r="D525" s="582"/>
      <c r="E525" s="582"/>
      <c r="F525" s="582"/>
      <c r="G525" s="581"/>
      <c r="H525" s="580"/>
      <c r="I525" s="579"/>
      <c r="J525" s="579"/>
      <c r="K525" s="578"/>
      <c r="L525" s="265"/>
      <c r="M525" s="264"/>
      <c r="N525" s="264"/>
      <c r="O525" s="264"/>
      <c r="P525" s="264"/>
      <c r="Q525" s="264"/>
      <c r="R525" s="264"/>
      <c r="S525" s="264"/>
      <c r="T525" s="264"/>
      <c r="U525" s="264"/>
    </row>
    <row r="526" spans="1:21" ht="12.75" hidden="1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5"/>
      <c r="M526" s="264"/>
      <c r="N526" s="264"/>
      <c r="O526" s="264"/>
      <c r="P526" s="264"/>
      <c r="Q526" s="264"/>
      <c r="R526" s="264"/>
      <c r="S526" s="264"/>
      <c r="T526" s="264"/>
      <c r="U526" s="264"/>
    </row>
    <row r="527" spans="1:21" ht="12.75" hidden="1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5"/>
      <c r="M527" s="264"/>
      <c r="N527" s="264"/>
      <c r="O527" s="264"/>
      <c r="P527" s="264"/>
      <c r="Q527" s="264"/>
      <c r="R527" s="264"/>
      <c r="S527" s="264"/>
      <c r="T527" s="264"/>
      <c r="U527" s="264"/>
    </row>
    <row r="528" spans="1:21" ht="12.75" hidden="1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5"/>
      <c r="M528" s="264"/>
      <c r="N528" s="264"/>
      <c r="O528" s="264"/>
      <c r="P528" s="264"/>
      <c r="Q528" s="264"/>
      <c r="R528" s="264"/>
      <c r="S528" s="264"/>
      <c r="T528" s="264"/>
      <c r="U528" s="264"/>
    </row>
    <row r="529" spans="1:21" ht="12.75" hidden="1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5"/>
      <c r="M529" s="264"/>
      <c r="N529" s="264"/>
      <c r="O529" s="264"/>
      <c r="P529" s="264"/>
      <c r="Q529" s="264"/>
      <c r="R529" s="264"/>
      <c r="S529" s="264"/>
      <c r="T529" s="264"/>
      <c r="U529" s="264"/>
    </row>
    <row r="530" spans="1:21" ht="12.75" hidden="1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5"/>
      <c r="M530" s="264"/>
      <c r="N530" s="264"/>
      <c r="O530" s="264"/>
      <c r="P530" s="264"/>
      <c r="Q530" s="264"/>
      <c r="R530" s="264"/>
      <c r="S530" s="264"/>
      <c r="T530" s="264"/>
      <c r="U530" s="264"/>
    </row>
    <row r="531" spans="1:21" ht="12.75" hidden="1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5"/>
      <c r="M531" s="264"/>
      <c r="N531" s="264"/>
      <c r="O531" s="264"/>
      <c r="P531" s="264"/>
      <c r="Q531" s="264"/>
      <c r="R531" s="264"/>
      <c r="S531" s="264"/>
      <c r="T531" s="264"/>
      <c r="U531" s="264"/>
    </row>
    <row r="532" spans="1:21" ht="12.75" hidden="1">
      <c r="A532" s="407"/>
      <c r="B532" s="360"/>
      <c r="C532" s="360"/>
      <c r="D532" s="408"/>
      <c r="E532" s="408"/>
      <c r="F532" s="408"/>
      <c r="G532" s="409"/>
      <c r="H532" s="361"/>
      <c r="I532" s="362"/>
      <c r="J532" s="362"/>
      <c r="K532" s="363"/>
      <c r="L532" s="364"/>
      <c r="M532" s="363"/>
      <c r="N532" s="363"/>
      <c r="O532" s="363"/>
      <c r="P532" s="363"/>
      <c r="Q532" s="363"/>
      <c r="R532" s="363"/>
      <c r="S532" s="363"/>
      <c r="T532" s="363"/>
      <c r="U532" s="363"/>
    </row>
    <row r="533" spans="1:21" ht="19.5" hidden="1">
      <c r="A533" s="395"/>
      <c r="B533" s="396" t="s">
        <v>211</v>
      </c>
      <c r="C533" s="397"/>
      <c r="D533" s="398"/>
      <c r="E533" s="398"/>
      <c r="F533" s="398"/>
      <c r="G533" s="399"/>
      <c r="H533" s="410" t="s">
        <v>61</v>
      </c>
      <c r="I533" s="577">
        <f>I545</f>
        <v>0</v>
      </c>
      <c r="J533" s="577">
        <f>J545</f>
        <v>0</v>
      </c>
      <c r="K533" s="576">
        <f>IF(I533&gt;0,J533*100/I533,0)</f>
        <v>0</v>
      </c>
      <c r="L533" s="404"/>
      <c r="M533" s="403"/>
      <c r="N533" s="403"/>
      <c r="O533" s="403"/>
      <c r="P533" s="403"/>
      <c r="Q533" s="403"/>
      <c r="R533" s="403"/>
      <c r="S533" s="403"/>
      <c r="T533" s="403"/>
      <c r="U533" s="403"/>
    </row>
    <row r="534" spans="1:21" ht="19.5" hidden="1">
      <c r="A534" s="155"/>
      <c r="B534" s="50"/>
      <c r="C534" s="156" t="s">
        <v>18</v>
      </c>
      <c r="D534" s="575" t="s">
        <v>19</v>
      </c>
      <c r="E534" s="50"/>
      <c r="F534" s="50"/>
      <c r="G534" s="52"/>
      <c r="H534" s="158" t="s">
        <v>14</v>
      </c>
      <c r="I534" s="54"/>
      <c r="J534" s="54"/>
      <c r="K534" s="55"/>
      <c r="L534" s="541">
        <f>L535+L536</f>
        <v>0</v>
      </c>
      <c r="M534" s="540">
        <f>M535+M536</f>
        <v>0</v>
      </c>
      <c r="N534" s="540">
        <f>N535+N536</f>
        <v>0</v>
      </c>
      <c r="O534" s="540">
        <f>IF(L534&gt;0,N534*100/L534,0)</f>
        <v>0</v>
      </c>
      <c r="P534" s="540">
        <f>IF(M534&gt;0,N534*100/M534,0)</f>
        <v>0</v>
      </c>
      <c r="Q534" s="540">
        <f>Q535+Q536</f>
        <v>0</v>
      </c>
      <c r="R534" s="540">
        <f>R535+R536</f>
        <v>0</v>
      </c>
      <c r="S534" s="540">
        <f>S535+S536</f>
        <v>0</v>
      </c>
      <c r="T534" s="540">
        <f>IF(Q534&gt;0,S534*100/Q534,0)</f>
        <v>0</v>
      </c>
      <c r="U534" s="540">
        <f>IF(R534&gt;0,S534*100/R534,0)</f>
        <v>0</v>
      </c>
    </row>
    <row r="535" spans="1:21" ht="18.75" hidden="1">
      <c r="A535" s="155"/>
      <c r="B535" s="188"/>
      <c r="C535" s="50"/>
      <c r="D535" s="50"/>
      <c r="E535" s="186" t="s">
        <v>20</v>
      </c>
      <c r="F535" s="50"/>
      <c r="G535" s="52"/>
      <c r="H535" s="187" t="s">
        <v>14</v>
      </c>
      <c r="I535" s="54"/>
      <c r="J535" s="54"/>
      <c r="K535" s="55"/>
      <c r="L535" s="103">
        <f>L538+L541</f>
        <v>0</v>
      </c>
      <c r="M535" s="102">
        <f>M538+M541</f>
        <v>0</v>
      </c>
      <c r="N535" s="102">
        <f>N538+N541</f>
        <v>0</v>
      </c>
      <c r="O535" s="102">
        <f>IF(L535&gt;0,N535*100/L535,0)</f>
        <v>0</v>
      </c>
      <c r="P535" s="102">
        <f>IF(M535&gt;0,N535*100/M535,0)</f>
        <v>0</v>
      </c>
      <c r="Q535" s="102">
        <f>Q538+Q541</f>
        <v>0</v>
      </c>
      <c r="R535" s="102">
        <f>R538+R541</f>
        <v>0</v>
      </c>
      <c r="S535" s="102">
        <f>S538+S541</f>
        <v>0</v>
      </c>
      <c r="T535" s="102">
        <f>IF(Q535&gt;0,S535*100/Q535,0)</f>
        <v>0</v>
      </c>
      <c r="U535" s="102">
        <f>IF(R535&gt;0,S535*100/R535,0)</f>
        <v>0</v>
      </c>
    </row>
    <row r="536" spans="1:21" ht="18.75" hidden="1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256">
        <f>L539+L542</f>
        <v>0</v>
      </c>
      <c r="M536" s="255">
        <f>M539+M542</f>
        <v>0</v>
      </c>
      <c r="N536" s="255">
        <f>N539+N542</f>
        <v>0</v>
      </c>
      <c r="O536" s="255">
        <f>IF(L536&gt;0,N536*100/L536,0)</f>
        <v>0</v>
      </c>
      <c r="P536" s="255">
        <f>IF(M536&gt;0,N536*100/M536,0)</f>
        <v>0</v>
      </c>
      <c r="Q536" s="255">
        <f>Q539+Q542</f>
        <v>0</v>
      </c>
      <c r="R536" s="255">
        <f>R539+R542</f>
        <v>0</v>
      </c>
      <c r="S536" s="255">
        <f>S539+S542</f>
        <v>0</v>
      </c>
      <c r="T536" s="255">
        <f>IF(Q536&gt;0,S536*100/Q536,0)</f>
        <v>0</v>
      </c>
      <c r="U536" s="255">
        <f>IF(R536&gt;0,S536*100/R536,0)</f>
        <v>0</v>
      </c>
    </row>
    <row r="537" spans="1:21" ht="18.75" hidden="1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256">
        <f>L538+L539</f>
        <v>0</v>
      </c>
      <c r="M537" s="255">
        <f>M538+M539</f>
        <v>0</v>
      </c>
      <c r="N537" s="255">
        <f>N538+N539</f>
        <v>0</v>
      </c>
      <c r="O537" s="255">
        <f>IF(L537&gt;0,N537*100/L537,0)</f>
        <v>0</v>
      </c>
      <c r="P537" s="255">
        <f>IF(M537&gt;0,N537*100/M537,0)</f>
        <v>0</v>
      </c>
      <c r="Q537" s="255">
        <f>Q538+Q539</f>
        <v>0</v>
      </c>
      <c r="R537" s="255">
        <f>R538+R539</f>
        <v>0</v>
      </c>
      <c r="S537" s="255">
        <f>S538+S539</f>
        <v>0</v>
      </c>
      <c r="T537" s="255">
        <f>IF(Q537&gt;0,S537*100/Q537,0)</f>
        <v>0</v>
      </c>
      <c r="U537" s="255">
        <f>IF(R537&gt;0,S537*100/R537,0)</f>
        <v>0</v>
      </c>
    </row>
    <row r="538" spans="1:21" ht="18.75" hidden="1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103">
        <v>0</v>
      </c>
      <c r="M538" s="102">
        <v>0</v>
      </c>
      <c r="N538" s="102">
        <v>0</v>
      </c>
      <c r="O538" s="102">
        <f>IF(L538&gt;0,N538*100/L538,0)</f>
        <v>0</v>
      </c>
      <c r="P538" s="102">
        <f>IF(M538&gt;0,N538*100/M538,0)</f>
        <v>0</v>
      </c>
      <c r="Q538" s="102">
        <v>0</v>
      </c>
      <c r="R538" s="102">
        <v>0</v>
      </c>
      <c r="S538" s="102">
        <v>0</v>
      </c>
      <c r="T538" s="102">
        <f>IF(Q538&gt;0,S538*100/Q538,0)</f>
        <v>0</v>
      </c>
      <c r="U538" s="102">
        <f>IF(R538&gt;0,S538*100/R538,0)</f>
        <v>0</v>
      </c>
    </row>
    <row r="539" spans="1:21" ht="18.75" hidden="1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256">
        <v>0</v>
      </c>
      <c r="M539" s="255">
        <v>0</v>
      </c>
      <c r="N539" s="255">
        <v>0</v>
      </c>
      <c r="O539" s="255">
        <f>IF(L539&gt;0,N539*100/L539,0)</f>
        <v>0</v>
      </c>
      <c r="P539" s="255">
        <f>IF(M539&gt;0,N539*100/M539,0)</f>
        <v>0</v>
      </c>
      <c r="Q539" s="255">
        <v>0</v>
      </c>
      <c r="R539" s="255">
        <v>0</v>
      </c>
      <c r="S539" s="255">
        <v>0</v>
      </c>
      <c r="T539" s="255">
        <f>IF(Q539&gt;0,S539*100/Q539,0)</f>
        <v>0</v>
      </c>
      <c r="U539" s="255">
        <f>IF(R539&gt;0,S539*100/R539,0)</f>
        <v>0</v>
      </c>
    </row>
    <row r="540" spans="1:21" ht="18.75" hidden="1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256">
        <f>L541+L542</f>
        <v>0</v>
      </c>
      <c r="M540" s="255">
        <f>M541+M542</f>
        <v>0</v>
      </c>
      <c r="N540" s="255">
        <f>N541+N542</f>
        <v>0</v>
      </c>
      <c r="O540" s="255">
        <f>IF(L540&gt;0,N540*100/L540,0)</f>
        <v>0</v>
      </c>
      <c r="P540" s="255">
        <f>IF(M540&gt;0,N540*100/M540,0)</f>
        <v>0</v>
      </c>
      <c r="Q540" s="255">
        <f>Q541+Q542</f>
        <v>0</v>
      </c>
      <c r="R540" s="255">
        <f>R541+R542</f>
        <v>0</v>
      </c>
      <c r="S540" s="255">
        <f>S541+S542</f>
        <v>0</v>
      </c>
      <c r="T540" s="255">
        <f>IF(Q540&gt;0,S540*100/Q540,0)</f>
        <v>0</v>
      </c>
      <c r="U540" s="255">
        <f>IF(R540&gt;0,S540*100/R540,0)</f>
        <v>0</v>
      </c>
    </row>
    <row r="541" spans="1:21" ht="18.75" hidden="1">
      <c r="A541" s="155"/>
      <c r="B541" s="50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103">
        <v>0</v>
      </c>
      <c r="M541" s="102">
        <v>0</v>
      </c>
      <c r="N541" s="102">
        <v>0</v>
      </c>
      <c r="O541" s="102">
        <f>IF(L541&gt;0,N541*100/L541,0)</f>
        <v>0</v>
      </c>
      <c r="P541" s="102">
        <f>IF(M541&gt;0,N541*100/M541,0)</f>
        <v>0</v>
      </c>
      <c r="Q541" s="102">
        <v>0</v>
      </c>
      <c r="R541" s="102">
        <v>0</v>
      </c>
      <c r="S541" s="102">
        <v>0</v>
      </c>
      <c r="T541" s="102">
        <f>IF(Q541&gt;0,S541*100/Q541,0)</f>
        <v>0</v>
      </c>
      <c r="U541" s="102">
        <f>IF(R541&gt;0,S541*100/R541,0)</f>
        <v>0</v>
      </c>
    </row>
    <row r="542" spans="1:21" ht="18.75" hidden="1">
      <c r="A542" s="155"/>
      <c r="B542" s="50"/>
      <c r="C542" s="50"/>
      <c r="D542" s="50"/>
      <c r="E542" s="58" t="s">
        <v>21</v>
      </c>
      <c r="F542" s="50"/>
      <c r="G542" s="52"/>
      <c r="H542" s="165" t="s">
        <v>14</v>
      </c>
      <c r="I542" s="163"/>
      <c r="J542" s="163"/>
      <c r="K542" s="164"/>
      <c r="L542" s="256">
        <v>0</v>
      </c>
      <c r="M542" s="255">
        <v>0</v>
      </c>
      <c r="N542" s="255">
        <v>0</v>
      </c>
      <c r="O542" s="255">
        <f>IF(L542&gt;0,N542*100/L542,0)</f>
        <v>0</v>
      </c>
      <c r="P542" s="255">
        <f>IF(M542&gt;0,N542*100/M542,0)</f>
        <v>0</v>
      </c>
      <c r="Q542" s="255">
        <v>0</v>
      </c>
      <c r="R542" s="255">
        <v>0</v>
      </c>
      <c r="S542" s="255">
        <v>0</v>
      </c>
      <c r="T542" s="255">
        <f>IF(Q542&gt;0,S542*100/Q542,0)</f>
        <v>0</v>
      </c>
      <c r="U542" s="255">
        <f>IF(R542&gt;0,S542*100/R542,0)</f>
        <v>0</v>
      </c>
    </row>
    <row r="543" spans="1:21" ht="19.5" hidden="1">
      <c r="A543" s="166"/>
      <c r="B543" s="167"/>
      <c r="C543" s="411" t="s">
        <v>18</v>
      </c>
      <c r="D543" s="566" t="s">
        <v>38</v>
      </c>
      <c r="E543" s="169"/>
      <c r="F543" s="169"/>
      <c r="G543" s="170"/>
      <c r="H543" s="171"/>
      <c r="I543" s="163"/>
      <c r="J543" s="54"/>
      <c r="K543" s="55"/>
      <c r="L543" s="62"/>
      <c r="M543" s="55"/>
      <c r="N543" s="55"/>
      <c r="O543" s="164"/>
      <c r="P543" s="164"/>
      <c r="Q543" s="55"/>
      <c r="R543" s="55"/>
      <c r="S543" s="55"/>
      <c r="T543" s="164"/>
      <c r="U543" s="164"/>
    </row>
    <row r="544" spans="1:21" ht="12.75" hidden="1">
      <c r="A544" s="258"/>
      <c r="B544" s="260"/>
      <c r="C544" s="259"/>
      <c r="D544" s="260"/>
      <c r="E544" s="259"/>
      <c r="F544" s="260"/>
      <c r="G544" s="261"/>
      <c r="H544" s="261"/>
      <c r="I544" s="263"/>
      <c r="J544" s="263"/>
      <c r="K544" s="264"/>
      <c r="L544" s="265"/>
      <c r="M544" s="264"/>
      <c r="N544" s="264"/>
      <c r="O544" s="264"/>
      <c r="P544" s="264"/>
      <c r="Q544" s="264"/>
      <c r="R544" s="264"/>
      <c r="S544" s="264"/>
      <c r="T544" s="264"/>
      <c r="U544" s="264"/>
    </row>
    <row r="545" spans="1:21" ht="12.75" hidden="1">
      <c r="A545" s="258"/>
      <c r="B545" s="260"/>
      <c r="C545" s="259"/>
      <c r="D545" s="260"/>
      <c r="E545" s="259"/>
      <c r="F545" s="260"/>
      <c r="G545" s="261"/>
      <c r="H545" s="261"/>
      <c r="I545" s="263"/>
      <c r="J545" s="263"/>
      <c r="K545" s="264"/>
      <c r="L545" s="265"/>
      <c r="M545" s="264"/>
      <c r="N545" s="264"/>
      <c r="O545" s="264"/>
      <c r="P545" s="264"/>
      <c r="Q545" s="264"/>
      <c r="R545" s="264"/>
      <c r="S545" s="264"/>
      <c r="T545" s="264"/>
      <c r="U545" s="264"/>
    </row>
    <row r="546" spans="1:21" ht="12.75" hidden="1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5"/>
      <c r="M546" s="264"/>
      <c r="N546" s="264"/>
      <c r="O546" s="264"/>
      <c r="P546" s="264"/>
      <c r="Q546" s="264"/>
      <c r="R546" s="264"/>
      <c r="S546" s="264"/>
      <c r="T546" s="264"/>
      <c r="U546" s="264"/>
    </row>
    <row r="547" spans="1:21" ht="12.75" hidden="1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5"/>
      <c r="M547" s="264"/>
      <c r="N547" s="264"/>
      <c r="O547" s="264"/>
      <c r="P547" s="264"/>
      <c r="Q547" s="264"/>
      <c r="R547" s="264"/>
      <c r="S547" s="264"/>
      <c r="T547" s="264"/>
      <c r="U547" s="264"/>
    </row>
    <row r="548" spans="1:21" ht="12.75" hidden="1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5"/>
      <c r="M548" s="264"/>
      <c r="N548" s="264"/>
      <c r="O548" s="264"/>
      <c r="P548" s="264"/>
      <c r="Q548" s="264"/>
      <c r="R548" s="264"/>
      <c r="S548" s="264"/>
      <c r="T548" s="264"/>
      <c r="U548" s="264"/>
    </row>
    <row r="549" spans="1:21" ht="12.75" hidden="1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5"/>
      <c r="M549" s="264"/>
      <c r="N549" s="264"/>
      <c r="O549" s="264"/>
      <c r="P549" s="264"/>
      <c r="Q549" s="264"/>
      <c r="R549" s="264"/>
      <c r="S549" s="264"/>
      <c r="T549" s="264"/>
      <c r="U549" s="264"/>
    </row>
    <row r="550" spans="1:21" ht="12.75" hidden="1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5"/>
      <c r="M550" s="264"/>
      <c r="N550" s="264"/>
      <c r="O550" s="264"/>
      <c r="P550" s="264"/>
      <c r="Q550" s="264"/>
      <c r="R550" s="264"/>
      <c r="S550" s="264"/>
      <c r="T550" s="264"/>
      <c r="U550" s="264"/>
    </row>
    <row r="551" spans="1:21" ht="12.75" hidden="1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5"/>
      <c r="M551" s="264"/>
      <c r="N551" s="264"/>
      <c r="O551" s="264"/>
      <c r="P551" s="264"/>
      <c r="Q551" s="264"/>
      <c r="R551" s="264"/>
      <c r="S551" s="264"/>
      <c r="T551" s="264"/>
      <c r="U551" s="264"/>
    </row>
    <row r="552" spans="1:21" ht="12.75" hidden="1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5"/>
      <c r="M552" s="264"/>
      <c r="N552" s="264"/>
      <c r="O552" s="264"/>
      <c r="P552" s="264"/>
      <c r="Q552" s="264"/>
      <c r="R552" s="264"/>
      <c r="S552" s="264"/>
      <c r="T552" s="264"/>
      <c r="U552" s="264"/>
    </row>
    <row r="553" spans="1:21" ht="12.75" hidden="1">
      <c r="A553" s="407"/>
      <c r="B553" s="360"/>
      <c r="C553" s="360"/>
      <c r="D553" s="408"/>
      <c r="E553" s="408"/>
      <c r="F553" s="408"/>
      <c r="G553" s="409"/>
      <c r="H553" s="361"/>
      <c r="I553" s="362"/>
      <c r="J553" s="362"/>
      <c r="K553" s="363"/>
      <c r="L553" s="364"/>
      <c r="M553" s="363"/>
      <c r="N553" s="363"/>
      <c r="O553" s="363"/>
      <c r="P553" s="363"/>
      <c r="Q553" s="363"/>
      <c r="R553" s="363"/>
      <c r="S553" s="363"/>
      <c r="T553" s="363"/>
      <c r="U553" s="363"/>
    </row>
    <row r="554" spans="1:21" ht="19.5" hidden="1">
      <c r="A554" s="395"/>
      <c r="B554" s="396" t="s">
        <v>212</v>
      </c>
      <c r="C554" s="397"/>
      <c r="D554" s="398"/>
      <c r="E554" s="398"/>
      <c r="F554" s="398"/>
      <c r="G554" s="399"/>
      <c r="H554" s="410" t="s">
        <v>61</v>
      </c>
      <c r="I554" s="577">
        <f>I566</f>
        <v>0</v>
      </c>
      <c r="J554" s="577">
        <f>J566</f>
        <v>0</v>
      </c>
      <c r="K554" s="576">
        <f>IF(I554&gt;0,J554*100/I554,0)</f>
        <v>0</v>
      </c>
      <c r="L554" s="404"/>
      <c r="M554" s="403"/>
      <c r="N554" s="403"/>
      <c r="O554" s="403"/>
      <c r="P554" s="403"/>
      <c r="Q554" s="403"/>
      <c r="R554" s="403"/>
      <c r="S554" s="403"/>
      <c r="T554" s="403"/>
      <c r="U554" s="403"/>
    </row>
    <row r="555" spans="1:21" ht="19.5" hidden="1">
      <c r="A555" s="155"/>
      <c r="B555" s="50"/>
      <c r="C555" s="156" t="s">
        <v>18</v>
      </c>
      <c r="D555" s="575" t="s">
        <v>19</v>
      </c>
      <c r="E555" s="50"/>
      <c r="F555" s="50"/>
      <c r="G555" s="52"/>
      <c r="H555" s="158" t="s">
        <v>14</v>
      </c>
      <c r="I555" s="54"/>
      <c r="J555" s="54"/>
      <c r="K555" s="55"/>
      <c r="L555" s="541">
        <f>L556+L557</f>
        <v>0</v>
      </c>
      <c r="M555" s="540">
        <f>M556+M557</f>
        <v>0</v>
      </c>
      <c r="N555" s="540">
        <f>N556+N557</f>
        <v>0</v>
      </c>
      <c r="O555" s="540">
        <f>IF(L555&gt;0,N555*100/L555,0)</f>
        <v>0</v>
      </c>
      <c r="P555" s="540">
        <f>IF(M555&gt;0,N555*100/M555,0)</f>
        <v>0</v>
      </c>
      <c r="Q555" s="540">
        <f>Q556+Q557</f>
        <v>0</v>
      </c>
      <c r="R555" s="540">
        <f>R556+R557</f>
        <v>0</v>
      </c>
      <c r="S555" s="540">
        <f>S556+S557</f>
        <v>0</v>
      </c>
      <c r="T555" s="540">
        <f>IF(Q555&gt;0,S555*100/Q555,0)</f>
        <v>0</v>
      </c>
      <c r="U555" s="540">
        <f>IF(R555&gt;0,S555*100/R555,0)</f>
        <v>0</v>
      </c>
    </row>
    <row r="556" spans="1:21" ht="18.75" hidden="1">
      <c r="A556" s="155"/>
      <c r="B556" s="188"/>
      <c r="C556" s="50"/>
      <c r="D556" s="50"/>
      <c r="E556" s="186" t="s">
        <v>20</v>
      </c>
      <c r="F556" s="50"/>
      <c r="G556" s="52"/>
      <c r="H556" s="187" t="s">
        <v>14</v>
      </c>
      <c r="I556" s="54"/>
      <c r="J556" s="54"/>
      <c r="K556" s="55"/>
      <c r="L556" s="103">
        <f>L559+L562</f>
        <v>0</v>
      </c>
      <c r="M556" s="102">
        <f>M559+M562</f>
        <v>0</v>
      </c>
      <c r="N556" s="102">
        <f>N559+N562</f>
        <v>0</v>
      </c>
      <c r="O556" s="102">
        <f>IF(L556&gt;0,N556*100/L556,0)</f>
        <v>0</v>
      </c>
      <c r="P556" s="102">
        <f>IF(M556&gt;0,N556*100/M556,0)</f>
        <v>0</v>
      </c>
      <c r="Q556" s="102">
        <f>Q559+Q562</f>
        <v>0</v>
      </c>
      <c r="R556" s="102">
        <f>R559+R562</f>
        <v>0</v>
      </c>
      <c r="S556" s="102">
        <f>S559+S562</f>
        <v>0</v>
      </c>
      <c r="T556" s="102">
        <f>IF(Q556&gt;0,S556*100/Q556,0)</f>
        <v>0</v>
      </c>
      <c r="U556" s="102">
        <f>IF(R556&gt;0,S556*100/R556,0)</f>
        <v>0</v>
      </c>
    </row>
    <row r="557" spans="1:21" ht="18.75" hidden="1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256">
        <f>L560+L563</f>
        <v>0</v>
      </c>
      <c r="M557" s="255">
        <f>M560+M563</f>
        <v>0</v>
      </c>
      <c r="N557" s="255">
        <f>N560+N563</f>
        <v>0</v>
      </c>
      <c r="O557" s="255">
        <f>IF(L557&gt;0,N557*100/L557,0)</f>
        <v>0</v>
      </c>
      <c r="P557" s="255">
        <f>IF(M557&gt;0,N557*100/M557,0)</f>
        <v>0</v>
      </c>
      <c r="Q557" s="255">
        <f>Q560+Q563</f>
        <v>0</v>
      </c>
      <c r="R557" s="255">
        <f>R560+R563</f>
        <v>0</v>
      </c>
      <c r="S557" s="255">
        <f>S560+S563</f>
        <v>0</v>
      </c>
      <c r="T557" s="255">
        <f>IF(Q557&gt;0,S557*100/Q557,0)</f>
        <v>0</v>
      </c>
      <c r="U557" s="255">
        <f>IF(R557&gt;0,S557*100/R557,0)</f>
        <v>0</v>
      </c>
    </row>
    <row r="558" spans="1:21" ht="18.75" hidden="1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256">
        <f>L559+L560</f>
        <v>0</v>
      </c>
      <c r="M558" s="255">
        <f>M559+M560</f>
        <v>0</v>
      </c>
      <c r="N558" s="255">
        <f>N559+N560</f>
        <v>0</v>
      </c>
      <c r="O558" s="255">
        <f>IF(L558&gt;0,N558*100/L558,0)</f>
        <v>0</v>
      </c>
      <c r="P558" s="255">
        <f>IF(M558&gt;0,N558*100/M558,0)</f>
        <v>0</v>
      </c>
      <c r="Q558" s="255">
        <f>Q559+Q560</f>
        <v>0</v>
      </c>
      <c r="R558" s="255">
        <f>R559+R560</f>
        <v>0</v>
      </c>
      <c r="S558" s="255">
        <f>S559+S560</f>
        <v>0</v>
      </c>
      <c r="T558" s="255">
        <f>IF(Q558&gt;0,S558*100/Q558,0)</f>
        <v>0</v>
      </c>
      <c r="U558" s="255">
        <f>IF(R558&gt;0,S558*100/R558,0)</f>
        <v>0</v>
      </c>
    </row>
    <row r="559" spans="1:21" ht="18.75" hidden="1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103">
        <v>0</v>
      </c>
      <c r="M559" s="102">
        <v>0</v>
      </c>
      <c r="N559" s="102">
        <v>0</v>
      </c>
      <c r="O559" s="102">
        <f>IF(L559&gt;0,N559*100/L559,0)</f>
        <v>0</v>
      </c>
      <c r="P559" s="102">
        <f>IF(M559&gt;0,N559*100/M559,0)</f>
        <v>0</v>
      </c>
      <c r="Q559" s="102">
        <v>0</v>
      </c>
      <c r="R559" s="102">
        <v>0</v>
      </c>
      <c r="S559" s="102">
        <v>0</v>
      </c>
      <c r="T559" s="102">
        <f>IF(Q559&gt;0,S559*100/Q559,0)</f>
        <v>0</v>
      </c>
      <c r="U559" s="102">
        <f>IF(R559&gt;0,S559*100/R559,0)</f>
        <v>0</v>
      </c>
    </row>
    <row r="560" spans="1:21" ht="18.75" hidden="1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256">
        <v>0</v>
      </c>
      <c r="M560" s="255">
        <v>0</v>
      </c>
      <c r="N560" s="255">
        <v>0</v>
      </c>
      <c r="O560" s="255">
        <f>IF(L560&gt;0,N560*100/L560,0)</f>
        <v>0</v>
      </c>
      <c r="P560" s="255">
        <f>IF(M560&gt;0,N560*100/M560,0)</f>
        <v>0</v>
      </c>
      <c r="Q560" s="255">
        <v>0</v>
      </c>
      <c r="R560" s="255">
        <v>0</v>
      </c>
      <c r="S560" s="255">
        <v>0</v>
      </c>
      <c r="T560" s="255">
        <f>IF(Q560&gt;0,S560*100/Q560,0)</f>
        <v>0</v>
      </c>
      <c r="U560" s="255">
        <f>IF(R560&gt;0,S560*100/R560,0)</f>
        <v>0</v>
      </c>
    </row>
    <row r="561" spans="1:21" ht="18.75" hidden="1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256">
        <f>L562+L563</f>
        <v>0</v>
      </c>
      <c r="M561" s="255">
        <f>M562+M563</f>
        <v>0</v>
      </c>
      <c r="N561" s="255">
        <f>N562+N563</f>
        <v>0</v>
      </c>
      <c r="O561" s="255">
        <f>IF(L561&gt;0,N561*100/L561,0)</f>
        <v>0</v>
      </c>
      <c r="P561" s="255">
        <f>IF(M561&gt;0,N561*100/M561,0)</f>
        <v>0</v>
      </c>
      <c r="Q561" s="255">
        <f>Q562+Q563</f>
        <v>0</v>
      </c>
      <c r="R561" s="255">
        <f>R562+R563</f>
        <v>0</v>
      </c>
      <c r="S561" s="255">
        <f>S562+S563</f>
        <v>0</v>
      </c>
      <c r="T561" s="255">
        <f>IF(Q561&gt;0,S561*100/Q561,0)</f>
        <v>0</v>
      </c>
      <c r="U561" s="255">
        <f>IF(R561&gt;0,S561*100/R561,0)</f>
        <v>0</v>
      </c>
    </row>
    <row r="562" spans="1:21" ht="18.75" hidden="1">
      <c r="A562" s="155"/>
      <c r="B562" s="50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103">
        <v>0</v>
      </c>
      <c r="M562" s="102">
        <v>0</v>
      </c>
      <c r="N562" s="102">
        <v>0</v>
      </c>
      <c r="O562" s="102">
        <f>IF(L562&gt;0,N562*100/L562,0)</f>
        <v>0</v>
      </c>
      <c r="P562" s="102">
        <f>IF(M562&gt;0,N562*100/M562,0)</f>
        <v>0</v>
      </c>
      <c r="Q562" s="102">
        <v>0</v>
      </c>
      <c r="R562" s="102">
        <v>0</v>
      </c>
      <c r="S562" s="102">
        <v>0</v>
      </c>
      <c r="T562" s="102">
        <f>IF(Q562&gt;0,S562*100/Q562,0)</f>
        <v>0</v>
      </c>
      <c r="U562" s="102">
        <f>IF(R562&gt;0,S562*100/R562,0)</f>
        <v>0</v>
      </c>
    </row>
    <row r="563" spans="1:21" ht="18.75" hidden="1">
      <c r="A563" s="155"/>
      <c r="B563" s="50"/>
      <c r="C563" s="50"/>
      <c r="D563" s="50"/>
      <c r="E563" s="58" t="s">
        <v>21</v>
      </c>
      <c r="F563" s="50"/>
      <c r="G563" s="52"/>
      <c r="H563" s="165" t="s">
        <v>14</v>
      </c>
      <c r="I563" s="163"/>
      <c r="J563" s="163"/>
      <c r="K563" s="164"/>
      <c r="L563" s="256">
        <v>0</v>
      </c>
      <c r="M563" s="255">
        <v>0</v>
      </c>
      <c r="N563" s="255">
        <v>0</v>
      </c>
      <c r="O563" s="255">
        <f>IF(L563&gt;0,N563*100/L563,0)</f>
        <v>0</v>
      </c>
      <c r="P563" s="255">
        <f>IF(M563&gt;0,N563*100/M563,0)</f>
        <v>0</v>
      </c>
      <c r="Q563" s="255">
        <v>0</v>
      </c>
      <c r="R563" s="255">
        <v>0</v>
      </c>
      <c r="S563" s="255">
        <v>0</v>
      </c>
      <c r="T563" s="255">
        <f>IF(Q563&gt;0,S563*100/Q563,0)</f>
        <v>0</v>
      </c>
      <c r="U563" s="255">
        <f>IF(R563&gt;0,S563*100/R563,0)</f>
        <v>0</v>
      </c>
    </row>
    <row r="564" spans="1:21" ht="19.5" hidden="1">
      <c r="A564" s="166"/>
      <c r="B564" s="167"/>
      <c r="C564" s="411" t="s">
        <v>18</v>
      </c>
      <c r="D564" s="566" t="s">
        <v>38</v>
      </c>
      <c r="E564" s="169"/>
      <c r="F564" s="169"/>
      <c r="G564" s="170"/>
      <c r="H564" s="171"/>
      <c r="I564" s="163"/>
      <c r="J564" s="54"/>
      <c r="K564" s="55"/>
      <c r="L564" s="62"/>
      <c r="M564" s="55"/>
      <c r="N564" s="55"/>
      <c r="O564" s="164"/>
      <c r="P564" s="164"/>
      <c r="Q564" s="55"/>
      <c r="R564" s="55"/>
      <c r="S564" s="55"/>
      <c r="T564" s="164"/>
      <c r="U564" s="164"/>
    </row>
    <row r="565" spans="1:21" ht="12.75" hidden="1">
      <c r="A565" s="258"/>
      <c r="B565" s="260"/>
      <c r="C565" s="259"/>
      <c r="D565" s="260"/>
      <c r="E565" s="259"/>
      <c r="F565" s="260"/>
      <c r="G565" s="261"/>
      <c r="H565" s="261"/>
      <c r="I565" s="263"/>
      <c r="J565" s="263"/>
      <c r="K565" s="264"/>
      <c r="L565" s="265"/>
      <c r="M565" s="264"/>
      <c r="N565" s="264"/>
      <c r="O565" s="264"/>
      <c r="P565" s="264"/>
      <c r="Q565" s="264"/>
      <c r="R565" s="264"/>
      <c r="S565" s="264"/>
      <c r="T565" s="264"/>
      <c r="U565" s="264"/>
    </row>
    <row r="566" spans="1:21" ht="12.75" hidden="1">
      <c r="A566" s="258"/>
      <c r="B566" s="260"/>
      <c r="C566" s="259"/>
      <c r="D566" s="260"/>
      <c r="E566" s="259"/>
      <c r="F566" s="260"/>
      <c r="G566" s="261"/>
      <c r="H566" s="261"/>
      <c r="I566" s="263"/>
      <c r="J566" s="263"/>
      <c r="K566" s="264"/>
      <c r="L566" s="265"/>
      <c r="M566" s="264"/>
      <c r="N566" s="264"/>
      <c r="O566" s="264"/>
      <c r="P566" s="264"/>
      <c r="Q566" s="264"/>
      <c r="R566" s="264"/>
      <c r="S566" s="264"/>
      <c r="T566" s="264"/>
      <c r="U566" s="264"/>
    </row>
    <row r="567" spans="1:21" ht="12.75" hidden="1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5"/>
      <c r="M567" s="264"/>
      <c r="N567" s="264"/>
      <c r="O567" s="264"/>
      <c r="P567" s="264"/>
      <c r="Q567" s="264"/>
      <c r="R567" s="264"/>
      <c r="S567" s="264"/>
      <c r="T567" s="264"/>
      <c r="U567" s="264"/>
    </row>
    <row r="568" spans="1:21" ht="12.75" hidden="1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5"/>
      <c r="M568" s="264"/>
      <c r="N568" s="264"/>
      <c r="O568" s="264"/>
      <c r="P568" s="264"/>
      <c r="Q568" s="264"/>
      <c r="R568" s="264"/>
      <c r="S568" s="264"/>
      <c r="T568" s="264"/>
      <c r="U568" s="264"/>
    </row>
    <row r="569" spans="1:21" ht="12.75" hidden="1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5"/>
      <c r="M569" s="264"/>
      <c r="N569" s="264"/>
      <c r="O569" s="264"/>
      <c r="P569" s="264"/>
      <c r="Q569" s="264"/>
      <c r="R569" s="264"/>
      <c r="S569" s="264"/>
      <c r="T569" s="264"/>
      <c r="U569" s="264"/>
    </row>
    <row r="570" spans="1:21" ht="12.75" hidden="1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5"/>
      <c r="M570" s="264"/>
      <c r="N570" s="264"/>
      <c r="O570" s="264"/>
      <c r="P570" s="264"/>
      <c r="Q570" s="264"/>
      <c r="R570" s="264"/>
      <c r="S570" s="264"/>
      <c r="T570" s="264"/>
      <c r="U570" s="264"/>
    </row>
    <row r="571" spans="1:21" ht="12.75" hidden="1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5"/>
      <c r="M571" s="264"/>
      <c r="N571" s="264"/>
      <c r="O571" s="264"/>
      <c r="P571" s="264"/>
      <c r="Q571" s="264"/>
      <c r="R571" s="264"/>
      <c r="S571" s="264"/>
      <c r="T571" s="264"/>
      <c r="U571" s="264"/>
    </row>
    <row r="572" spans="1:21" ht="12.75" hidden="1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5"/>
      <c r="M572" s="264"/>
      <c r="N572" s="264"/>
      <c r="O572" s="264"/>
      <c r="P572" s="264"/>
      <c r="Q572" s="264"/>
      <c r="R572" s="264"/>
      <c r="S572" s="264"/>
      <c r="T572" s="264"/>
      <c r="U572" s="264"/>
    </row>
    <row r="573" spans="1:21" ht="12.75" hidden="1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5"/>
      <c r="M573" s="264"/>
      <c r="N573" s="264"/>
      <c r="O573" s="264"/>
      <c r="P573" s="264"/>
      <c r="Q573" s="264"/>
      <c r="R573" s="264"/>
      <c r="S573" s="264"/>
      <c r="T573" s="264"/>
      <c r="U573" s="264"/>
    </row>
    <row r="574" spans="1:21" ht="12.75" hidden="1">
      <c r="A574" s="407"/>
      <c r="B574" s="360"/>
      <c r="C574" s="360"/>
      <c r="D574" s="408"/>
      <c r="E574" s="408"/>
      <c r="F574" s="408"/>
      <c r="G574" s="409"/>
      <c r="H574" s="361"/>
      <c r="I574" s="362"/>
      <c r="J574" s="362"/>
      <c r="K574" s="363"/>
      <c r="L574" s="364"/>
      <c r="M574" s="363"/>
      <c r="N574" s="363"/>
      <c r="O574" s="363"/>
      <c r="P574" s="363"/>
      <c r="Q574" s="363"/>
      <c r="R574" s="363"/>
      <c r="S574" s="363"/>
      <c r="T574" s="363"/>
      <c r="U574" s="363"/>
    </row>
    <row r="575" spans="1:21" ht="19.5" hidden="1">
      <c r="A575" s="395"/>
      <c r="B575" s="396" t="s">
        <v>213</v>
      </c>
      <c r="C575" s="397"/>
      <c r="D575" s="398"/>
      <c r="E575" s="398"/>
      <c r="F575" s="398"/>
      <c r="G575" s="399"/>
      <c r="H575" s="410" t="s">
        <v>61</v>
      </c>
      <c r="I575" s="577">
        <f>I587</f>
        <v>0</v>
      </c>
      <c r="J575" s="577">
        <f>J587</f>
        <v>0</v>
      </c>
      <c r="K575" s="576">
        <f>IF(I575&gt;0,J575*100/I575,0)</f>
        <v>0</v>
      </c>
      <c r="L575" s="404"/>
      <c r="M575" s="403"/>
      <c r="N575" s="403"/>
      <c r="O575" s="403"/>
      <c r="P575" s="403"/>
      <c r="Q575" s="403"/>
      <c r="R575" s="403"/>
      <c r="S575" s="403"/>
      <c r="T575" s="403"/>
      <c r="U575" s="403"/>
    </row>
    <row r="576" spans="1:21" ht="19.5" hidden="1">
      <c r="A576" s="155"/>
      <c r="B576" s="50"/>
      <c r="C576" s="156" t="s">
        <v>18</v>
      </c>
      <c r="D576" s="575" t="s">
        <v>19</v>
      </c>
      <c r="E576" s="50"/>
      <c r="F576" s="50"/>
      <c r="G576" s="52"/>
      <c r="H576" s="158" t="s">
        <v>14</v>
      </c>
      <c r="I576" s="54"/>
      <c r="J576" s="54"/>
      <c r="K576" s="55"/>
      <c r="L576" s="541">
        <f>L577+L578</f>
        <v>0</v>
      </c>
      <c r="M576" s="540">
        <f>M577+M578</f>
        <v>0</v>
      </c>
      <c r="N576" s="540">
        <f>N577+N578</f>
        <v>0</v>
      </c>
      <c r="O576" s="540">
        <f>IF(L576&gt;0,N576*100/L576,0)</f>
        <v>0</v>
      </c>
      <c r="P576" s="540">
        <f>IF(M576&gt;0,N576*100/M576,0)</f>
        <v>0</v>
      </c>
      <c r="Q576" s="540">
        <f>Q577+Q578</f>
        <v>0</v>
      </c>
      <c r="R576" s="540">
        <f>R577+R578</f>
        <v>0</v>
      </c>
      <c r="S576" s="540">
        <f>S577+S578</f>
        <v>0</v>
      </c>
      <c r="T576" s="540">
        <f>IF(Q576&gt;0,S576*100/Q576,0)</f>
        <v>0</v>
      </c>
      <c r="U576" s="540">
        <f>IF(R576&gt;0,S576*100/R576,0)</f>
        <v>0</v>
      </c>
    </row>
    <row r="577" spans="1:21" ht="18.75" hidden="1">
      <c r="A577" s="155"/>
      <c r="B577" s="188"/>
      <c r="C577" s="50"/>
      <c r="D577" s="50"/>
      <c r="E577" s="186" t="s">
        <v>20</v>
      </c>
      <c r="F577" s="50"/>
      <c r="G577" s="52"/>
      <c r="H577" s="187" t="s">
        <v>14</v>
      </c>
      <c r="I577" s="54"/>
      <c r="J577" s="54"/>
      <c r="K577" s="55"/>
      <c r="L577" s="103">
        <f>L580+L583</f>
        <v>0</v>
      </c>
      <c r="M577" s="102">
        <f>M580+M583</f>
        <v>0</v>
      </c>
      <c r="N577" s="102">
        <f>N580+N583</f>
        <v>0</v>
      </c>
      <c r="O577" s="102">
        <f>IF(L577&gt;0,N577*100/L577,0)</f>
        <v>0</v>
      </c>
      <c r="P577" s="102">
        <f>IF(M577&gt;0,N577*100/M577,0)</f>
        <v>0</v>
      </c>
      <c r="Q577" s="102">
        <f>Q580+Q583</f>
        <v>0</v>
      </c>
      <c r="R577" s="102">
        <f>R580+R583</f>
        <v>0</v>
      </c>
      <c r="S577" s="102">
        <f>S580+S583</f>
        <v>0</v>
      </c>
      <c r="T577" s="102">
        <f>IF(Q577&gt;0,S577*100/Q577,0)</f>
        <v>0</v>
      </c>
      <c r="U577" s="102">
        <f>IF(R577&gt;0,S577*100/R577,0)</f>
        <v>0</v>
      </c>
    </row>
    <row r="578" spans="1:21" ht="18.75" hidden="1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256">
        <f>L581+L584</f>
        <v>0</v>
      </c>
      <c r="M578" s="255">
        <f>M581+M584</f>
        <v>0</v>
      </c>
      <c r="N578" s="255">
        <f>N581+N584</f>
        <v>0</v>
      </c>
      <c r="O578" s="255">
        <f>IF(L578&gt;0,N578*100/L578,0)</f>
        <v>0</v>
      </c>
      <c r="P578" s="255">
        <f>IF(M578&gt;0,N578*100/M578,0)</f>
        <v>0</v>
      </c>
      <c r="Q578" s="255">
        <f>Q581+Q584</f>
        <v>0</v>
      </c>
      <c r="R578" s="255">
        <f>R581+R584</f>
        <v>0</v>
      </c>
      <c r="S578" s="255">
        <f>S581+S584</f>
        <v>0</v>
      </c>
      <c r="T578" s="255">
        <f>IF(Q578&gt;0,S578*100/Q578,0)</f>
        <v>0</v>
      </c>
      <c r="U578" s="255">
        <f>IF(R578&gt;0,S578*100/R578,0)</f>
        <v>0</v>
      </c>
    </row>
    <row r="579" spans="1:21" ht="18.75" hidden="1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256">
        <f>L580+L581</f>
        <v>0</v>
      </c>
      <c r="M579" s="255">
        <f>M580+M581</f>
        <v>0</v>
      </c>
      <c r="N579" s="255">
        <f>N580+N581</f>
        <v>0</v>
      </c>
      <c r="O579" s="255">
        <f>IF(L579&gt;0,N579*100/L579,0)</f>
        <v>0</v>
      </c>
      <c r="P579" s="255">
        <f>IF(M579&gt;0,N579*100/M579,0)</f>
        <v>0</v>
      </c>
      <c r="Q579" s="255">
        <f>Q580+Q581</f>
        <v>0</v>
      </c>
      <c r="R579" s="255">
        <f>R580+R581</f>
        <v>0</v>
      </c>
      <c r="S579" s="255">
        <f>S580+S581</f>
        <v>0</v>
      </c>
      <c r="T579" s="255">
        <f>IF(Q579&gt;0,S579*100/Q579,0)</f>
        <v>0</v>
      </c>
      <c r="U579" s="255">
        <f>IF(R579&gt;0,S579*100/R579,0)</f>
        <v>0</v>
      </c>
    </row>
    <row r="580" spans="1:21" ht="18.75" hidden="1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103">
        <v>0</v>
      </c>
      <c r="M580" s="102">
        <v>0</v>
      </c>
      <c r="N580" s="102">
        <v>0</v>
      </c>
      <c r="O580" s="102">
        <f>IF(L580&gt;0,N580*100/L580,0)</f>
        <v>0</v>
      </c>
      <c r="P580" s="102">
        <f>IF(M580&gt;0,N580*100/M580,0)</f>
        <v>0</v>
      </c>
      <c r="Q580" s="102">
        <v>0</v>
      </c>
      <c r="R580" s="102">
        <v>0</v>
      </c>
      <c r="S580" s="102">
        <v>0</v>
      </c>
      <c r="T580" s="102">
        <f>IF(Q580&gt;0,S580*100/Q580,0)</f>
        <v>0</v>
      </c>
      <c r="U580" s="102">
        <f>IF(R580&gt;0,S580*100/R580,0)</f>
        <v>0</v>
      </c>
    </row>
    <row r="581" spans="1:21" ht="18.75" hidden="1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256">
        <v>0</v>
      </c>
      <c r="M581" s="255">
        <v>0</v>
      </c>
      <c r="N581" s="255">
        <v>0</v>
      </c>
      <c r="O581" s="255">
        <f>IF(L581&gt;0,N581*100/L581,0)</f>
        <v>0</v>
      </c>
      <c r="P581" s="255">
        <f>IF(M581&gt;0,N581*100/M581,0)</f>
        <v>0</v>
      </c>
      <c r="Q581" s="255">
        <v>0</v>
      </c>
      <c r="R581" s="255">
        <v>0</v>
      </c>
      <c r="S581" s="255">
        <v>0</v>
      </c>
      <c r="T581" s="255">
        <f>IF(Q581&gt;0,S581*100/Q581,0)</f>
        <v>0</v>
      </c>
      <c r="U581" s="255">
        <f>IF(R581&gt;0,S581*100/R581,0)</f>
        <v>0</v>
      </c>
    </row>
    <row r="582" spans="1:21" ht="18.75" hidden="1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256">
        <f>L583+L584</f>
        <v>0</v>
      </c>
      <c r="M582" s="255">
        <f>M583+M584</f>
        <v>0</v>
      </c>
      <c r="N582" s="255">
        <f>N583+N584</f>
        <v>0</v>
      </c>
      <c r="O582" s="255">
        <f>IF(L582&gt;0,N582*100/L582,0)</f>
        <v>0</v>
      </c>
      <c r="P582" s="255">
        <f>IF(M582&gt;0,N582*100/M582,0)</f>
        <v>0</v>
      </c>
      <c r="Q582" s="255">
        <f>Q583+Q584</f>
        <v>0</v>
      </c>
      <c r="R582" s="255">
        <f>R583+R584</f>
        <v>0</v>
      </c>
      <c r="S582" s="255">
        <f>S583+S584</f>
        <v>0</v>
      </c>
      <c r="T582" s="255">
        <f>IF(Q582&gt;0,S582*100/Q582,0)</f>
        <v>0</v>
      </c>
      <c r="U582" s="255">
        <f>IF(R582&gt;0,S582*100/R582,0)</f>
        <v>0</v>
      </c>
    </row>
    <row r="583" spans="1:21" ht="18.75" hidden="1">
      <c r="A583" s="155"/>
      <c r="B583" s="50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103">
        <v>0</v>
      </c>
      <c r="M583" s="102">
        <v>0</v>
      </c>
      <c r="N583" s="102">
        <v>0</v>
      </c>
      <c r="O583" s="102">
        <f>IF(L583&gt;0,N583*100/L583,0)</f>
        <v>0</v>
      </c>
      <c r="P583" s="102">
        <f>IF(M583&gt;0,N583*100/M583,0)</f>
        <v>0</v>
      </c>
      <c r="Q583" s="102">
        <v>0</v>
      </c>
      <c r="R583" s="102">
        <v>0</v>
      </c>
      <c r="S583" s="102">
        <v>0</v>
      </c>
      <c r="T583" s="102">
        <f>IF(Q583&gt;0,S583*100/Q583,0)</f>
        <v>0</v>
      </c>
      <c r="U583" s="102">
        <f>IF(R583&gt;0,S583*100/R583,0)</f>
        <v>0</v>
      </c>
    </row>
    <row r="584" spans="1:21" ht="18.75" hidden="1">
      <c r="A584" s="155"/>
      <c r="B584" s="50"/>
      <c r="C584" s="50"/>
      <c r="D584" s="50"/>
      <c r="E584" s="58" t="s">
        <v>21</v>
      </c>
      <c r="F584" s="50"/>
      <c r="G584" s="52"/>
      <c r="H584" s="165" t="s">
        <v>14</v>
      </c>
      <c r="I584" s="163"/>
      <c r="J584" s="163"/>
      <c r="K584" s="164"/>
      <c r="L584" s="256">
        <v>0</v>
      </c>
      <c r="M584" s="255">
        <v>0</v>
      </c>
      <c r="N584" s="255">
        <v>0</v>
      </c>
      <c r="O584" s="255">
        <f>IF(L584&gt;0,N584*100/L584,0)</f>
        <v>0</v>
      </c>
      <c r="P584" s="255">
        <f>IF(M584&gt;0,N584*100/M584,0)</f>
        <v>0</v>
      </c>
      <c r="Q584" s="255">
        <v>0</v>
      </c>
      <c r="R584" s="255">
        <v>0</v>
      </c>
      <c r="S584" s="255">
        <v>0</v>
      </c>
      <c r="T584" s="255">
        <f>IF(Q584&gt;0,S584*100/Q584,0)</f>
        <v>0</v>
      </c>
      <c r="U584" s="255">
        <f>IF(R584&gt;0,S584*100/R584,0)</f>
        <v>0</v>
      </c>
    </row>
    <row r="585" spans="1:21" ht="19.5" hidden="1">
      <c r="A585" s="166"/>
      <c r="B585" s="167"/>
      <c r="C585" s="411" t="s">
        <v>18</v>
      </c>
      <c r="D585" s="566" t="s">
        <v>38</v>
      </c>
      <c r="E585" s="169"/>
      <c r="F585" s="169"/>
      <c r="G585" s="170"/>
      <c r="H585" s="171"/>
      <c r="I585" s="163"/>
      <c r="J585" s="54"/>
      <c r="K585" s="55"/>
      <c r="L585" s="62"/>
      <c r="M585" s="55"/>
      <c r="N585" s="55"/>
      <c r="O585" s="164"/>
      <c r="P585" s="164"/>
      <c r="Q585" s="55"/>
      <c r="R585" s="55"/>
      <c r="S585" s="55"/>
      <c r="T585" s="164"/>
      <c r="U585" s="164"/>
    </row>
    <row r="586" spans="1:21" ht="12.75" hidden="1">
      <c r="A586" s="258"/>
      <c r="B586" s="260"/>
      <c r="C586" s="259"/>
      <c r="D586" s="260"/>
      <c r="E586" s="259"/>
      <c r="F586" s="260"/>
      <c r="G586" s="261"/>
      <c r="H586" s="261"/>
      <c r="I586" s="263"/>
      <c r="J586" s="263"/>
      <c r="K586" s="264"/>
      <c r="L586" s="265"/>
      <c r="M586" s="264"/>
      <c r="N586" s="264"/>
      <c r="O586" s="264"/>
      <c r="P586" s="264"/>
      <c r="Q586" s="264"/>
      <c r="R586" s="264"/>
      <c r="S586" s="264"/>
      <c r="T586" s="264"/>
      <c r="U586" s="264"/>
    </row>
    <row r="587" spans="1:21" ht="12.75" hidden="1">
      <c r="A587" s="258"/>
      <c r="B587" s="260"/>
      <c r="C587" s="259"/>
      <c r="D587" s="260"/>
      <c r="E587" s="259"/>
      <c r="F587" s="260"/>
      <c r="G587" s="261"/>
      <c r="H587" s="261"/>
      <c r="I587" s="263"/>
      <c r="J587" s="263"/>
      <c r="K587" s="264"/>
      <c r="L587" s="265"/>
      <c r="M587" s="264"/>
      <c r="N587" s="264"/>
      <c r="O587" s="264"/>
      <c r="P587" s="264"/>
      <c r="Q587" s="264"/>
      <c r="R587" s="264"/>
      <c r="S587" s="264"/>
      <c r="T587" s="264"/>
      <c r="U587" s="264"/>
    </row>
    <row r="588" spans="1:21" ht="12.75" hidden="1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5"/>
      <c r="M588" s="264"/>
      <c r="N588" s="264"/>
      <c r="O588" s="264"/>
      <c r="P588" s="264"/>
      <c r="Q588" s="264"/>
      <c r="R588" s="264"/>
      <c r="S588" s="264"/>
      <c r="T588" s="264"/>
      <c r="U588" s="264"/>
    </row>
    <row r="589" spans="1:21" ht="12.75" hidden="1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5"/>
      <c r="M589" s="264"/>
      <c r="N589" s="264"/>
      <c r="O589" s="264"/>
      <c r="P589" s="264"/>
      <c r="Q589" s="264"/>
      <c r="R589" s="264"/>
      <c r="S589" s="264"/>
      <c r="T589" s="264"/>
      <c r="U589" s="264"/>
    </row>
    <row r="590" spans="1:21" ht="12.75" hidden="1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5"/>
      <c r="M590" s="264"/>
      <c r="N590" s="264"/>
      <c r="O590" s="264"/>
      <c r="P590" s="264"/>
      <c r="Q590" s="264"/>
      <c r="R590" s="264"/>
      <c r="S590" s="264"/>
      <c r="T590" s="264"/>
      <c r="U590" s="264"/>
    </row>
    <row r="591" spans="1:21" ht="12.75" hidden="1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5"/>
      <c r="M591" s="264"/>
      <c r="N591" s="264"/>
      <c r="O591" s="264"/>
      <c r="P591" s="264"/>
      <c r="Q591" s="264"/>
      <c r="R591" s="264"/>
      <c r="S591" s="264"/>
      <c r="T591" s="264"/>
      <c r="U591" s="264"/>
    </row>
    <row r="592" spans="1:21" ht="12.75" hidden="1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5"/>
      <c r="M592" s="264"/>
      <c r="N592" s="264"/>
      <c r="O592" s="264"/>
      <c r="P592" s="264"/>
      <c r="Q592" s="264"/>
      <c r="R592" s="264"/>
      <c r="S592" s="264"/>
      <c r="T592" s="264"/>
      <c r="U592" s="264"/>
    </row>
    <row r="593" spans="1:21" ht="12.75" hidden="1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5"/>
      <c r="M593" s="264"/>
      <c r="N593" s="264"/>
      <c r="O593" s="264"/>
      <c r="P593" s="264"/>
      <c r="Q593" s="264"/>
      <c r="R593" s="264"/>
      <c r="S593" s="264"/>
      <c r="T593" s="264"/>
      <c r="U593" s="264"/>
    </row>
    <row r="594" spans="1:21" ht="12.75" hidden="1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5"/>
      <c r="M594" s="264"/>
      <c r="N594" s="264"/>
      <c r="O594" s="264"/>
      <c r="P594" s="264"/>
      <c r="Q594" s="264"/>
      <c r="R594" s="264"/>
      <c r="S594" s="264"/>
      <c r="T594" s="264"/>
      <c r="U594" s="264"/>
    </row>
    <row r="595" spans="1:21" ht="12.75" hidden="1">
      <c r="A595" s="407"/>
      <c r="B595" s="360"/>
      <c r="C595" s="360"/>
      <c r="D595" s="408"/>
      <c r="E595" s="408"/>
      <c r="F595" s="408"/>
      <c r="G595" s="409"/>
      <c r="H595" s="361"/>
      <c r="I595" s="362"/>
      <c r="J595" s="362"/>
      <c r="K595" s="363"/>
      <c r="L595" s="364"/>
      <c r="M595" s="363"/>
      <c r="N595" s="363"/>
      <c r="O595" s="363"/>
      <c r="P595" s="363"/>
      <c r="Q595" s="363"/>
      <c r="R595" s="363"/>
      <c r="S595" s="363"/>
      <c r="T595" s="363"/>
      <c r="U595" s="363"/>
    </row>
    <row r="596" spans="1:21" ht="19.5" hidden="1">
      <c r="A596" s="412" t="s">
        <v>214</v>
      </c>
      <c r="B596" s="144"/>
      <c r="C596" s="196"/>
      <c r="D596" s="144"/>
      <c r="E596" s="144"/>
      <c r="F596" s="144"/>
      <c r="G596" s="144"/>
      <c r="H596" s="145"/>
      <c r="I596" s="197"/>
      <c r="J596" s="197"/>
      <c r="K596" s="19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8"/>
    </row>
    <row r="597" spans="1:21" ht="19.5" hidden="1">
      <c r="A597" s="150"/>
      <c r="B597" s="413" t="s">
        <v>215</v>
      </c>
      <c r="C597" s="200"/>
      <c r="D597" s="151"/>
      <c r="E597" s="34"/>
      <c r="F597" s="34"/>
      <c r="G597" s="34"/>
      <c r="H597" s="414" t="s">
        <v>99</v>
      </c>
      <c r="I597" s="210"/>
      <c r="J597" s="39"/>
      <c r="K597" s="40"/>
      <c r="L597" s="154"/>
      <c r="M597" s="40"/>
      <c r="N597" s="40"/>
      <c r="O597" s="40"/>
      <c r="P597" s="40"/>
      <c r="Q597" s="40"/>
      <c r="R597" s="40"/>
      <c r="S597" s="40"/>
      <c r="T597" s="40"/>
      <c r="U597" s="40"/>
    </row>
    <row r="598" spans="1:21" ht="19.5" hidden="1">
      <c r="A598" s="415"/>
      <c r="B598" s="416" t="s">
        <v>216</v>
      </c>
      <c r="C598" s="151"/>
      <c r="D598" s="34"/>
      <c r="E598" s="34"/>
      <c r="F598" s="34"/>
      <c r="G598" s="37"/>
      <c r="H598" s="417" t="s">
        <v>35</v>
      </c>
      <c r="I598" s="39"/>
      <c r="J598" s="39"/>
      <c r="K598" s="40"/>
      <c r="L598" s="154"/>
      <c r="M598" s="40"/>
      <c r="N598" s="40"/>
      <c r="O598" s="40"/>
      <c r="P598" s="40"/>
      <c r="Q598" s="40"/>
      <c r="R598" s="40"/>
      <c r="S598" s="40"/>
      <c r="T598" s="40"/>
      <c r="U598" s="40"/>
    </row>
    <row r="599" spans="1:21" ht="19.5" hidden="1">
      <c r="A599" s="155"/>
      <c r="B599" s="188"/>
      <c r="C599" s="205" t="s">
        <v>18</v>
      </c>
      <c r="D599" s="563" t="s">
        <v>19</v>
      </c>
      <c r="E599" s="529"/>
      <c r="F599" s="529"/>
      <c r="G599" s="530"/>
      <c r="H599" s="418" t="s">
        <v>14</v>
      </c>
      <c r="I599" s="54"/>
      <c r="J599" s="54"/>
      <c r="K599" s="55"/>
      <c r="L599" s="541">
        <f>L600+L601</f>
        <v>0</v>
      </c>
      <c r="M599" s="540">
        <f>M600+M601</f>
        <v>0</v>
      </c>
      <c r="N599" s="540">
        <f>N600+N601</f>
        <v>0</v>
      </c>
      <c r="O599" s="540">
        <f>IF(L599&gt;0,N599*100/L599,0)</f>
        <v>0</v>
      </c>
      <c r="P599" s="540">
        <f>IF(M599&gt;0,N599*100/M599,0)</f>
        <v>0</v>
      </c>
      <c r="Q599" s="540">
        <f>Q600+Q601</f>
        <v>0</v>
      </c>
      <c r="R599" s="540">
        <f>R600+R601</f>
        <v>0</v>
      </c>
      <c r="S599" s="540">
        <f>S600+S601</f>
        <v>0</v>
      </c>
      <c r="T599" s="540">
        <f>IF(Q599&gt;0,S599*100/Q599,0)</f>
        <v>0</v>
      </c>
      <c r="U599" s="540">
        <f>IF(R599&gt;0,S599*100/R599,0)</f>
        <v>0</v>
      </c>
    </row>
    <row r="600" spans="1:21" ht="18.75" hidden="1">
      <c r="A600" s="155"/>
      <c r="B600" s="188"/>
      <c r="C600" s="188"/>
      <c r="D600" s="174"/>
      <c r="E600" s="186" t="s">
        <v>159</v>
      </c>
      <c r="F600" s="50"/>
      <c r="G600" s="52"/>
      <c r="H600" s="189" t="s">
        <v>14</v>
      </c>
      <c r="I600" s="54"/>
      <c r="J600" s="54"/>
      <c r="K600" s="55"/>
      <c r="L600" s="103">
        <f>L603+L606</f>
        <v>0</v>
      </c>
      <c r="M600" s="102">
        <f>M603+M606</f>
        <v>0</v>
      </c>
      <c r="N600" s="102">
        <f>N603+N606</f>
        <v>0</v>
      </c>
      <c r="O600" s="102">
        <f>IF(L600&gt;0,N600*100/L600,0)</f>
        <v>0</v>
      </c>
      <c r="P600" s="102">
        <f>IF(M600&gt;0,N600*100/M600,0)</f>
        <v>0</v>
      </c>
      <c r="Q600" s="102">
        <f>Q603+Q606</f>
        <v>0</v>
      </c>
      <c r="R600" s="102">
        <f>R603+R606</f>
        <v>0</v>
      </c>
      <c r="S600" s="102">
        <f>S603+S606</f>
        <v>0</v>
      </c>
      <c r="T600" s="102">
        <f>IF(Q600&gt;0,S600*100/Q600,0)</f>
        <v>0</v>
      </c>
      <c r="U600" s="102">
        <f>IF(R600&gt;0,S600*100/R600,0)</f>
        <v>0</v>
      </c>
    </row>
    <row r="601" spans="1:21" ht="18.75" hidden="1">
      <c r="A601" s="155"/>
      <c r="B601" s="188"/>
      <c r="C601" s="188"/>
      <c r="D601" s="174"/>
      <c r="E601" s="186" t="s">
        <v>160</v>
      </c>
      <c r="F601" s="50"/>
      <c r="G601" s="52"/>
      <c r="H601" s="189" t="s">
        <v>14</v>
      </c>
      <c r="I601" s="54"/>
      <c r="J601" s="54"/>
      <c r="K601" s="55"/>
      <c r="L601" s="256">
        <f>L604+L607</f>
        <v>0</v>
      </c>
      <c r="M601" s="255">
        <f>M604+M607</f>
        <v>0</v>
      </c>
      <c r="N601" s="255">
        <f>N604+N607</f>
        <v>0</v>
      </c>
      <c r="O601" s="255">
        <f>IF(L601&gt;0,N601*100/L601,0)</f>
        <v>0</v>
      </c>
      <c r="P601" s="255">
        <f>IF(M601&gt;0,N601*100/M601,0)</f>
        <v>0</v>
      </c>
      <c r="Q601" s="255">
        <f>Q604+Q607</f>
        <v>0</v>
      </c>
      <c r="R601" s="255">
        <f>R604+R607</f>
        <v>0</v>
      </c>
      <c r="S601" s="255">
        <f>S604+S607</f>
        <v>0</v>
      </c>
      <c r="T601" s="255">
        <f>IF(Q601&gt;0,S601*100/Q601,0)</f>
        <v>0</v>
      </c>
      <c r="U601" s="255">
        <f>IF(R601&gt;0,S601*100/R601,0)</f>
        <v>0</v>
      </c>
    </row>
    <row r="602" spans="1:21" ht="19.5" hidden="1">
      <c r="A602" s="155"/>
      <c r="B602" s="188"/>
      <c r="C602" s="188"/>
      <c r="D602" s="562" t="s">
        <v>22</v>
      </c>
      <c r="E602" s="50"/>
      <c r="F602" s="50"/>
      <c r="G602" s="52"/>
      <c r="H602" s="418" t="s">
        <v>14</v>
      </c>
      <c r="I602" s="163"/>
      <c r="J602" s="163"/>
      <c r="K602" s="164"/>
      <c r="L602" s="256">
        <f>L603+L604</f>
        <v>0</v>
      </c>
      <c r="M602" s="255">
        <f>M603+M604</f>
        <v>0</v>
      </c>
      <c r="N602" s="255">
        <f>N603+N604</f>
        <v>0</v>
      </c>
      <c r="O602" s="255">
        <f>IF(L602&gt;0,N602*100/L602,0)</f>
        <v>0</v>
      </c>
      <c r="P602" s="255">
        <f>IF(M602&gt;0,N602*100/M602,0)</f>
        <v>0</v>
      </c>
      <c r="Q602" s="255">
        <f>Q603+Q604</f>
        <v>0</v>
      </c>
      <c r="R602" s="255">
        <f>R603+R604</f>
        <v>0</v>
      </c>
      <c r="S602" s="255">
        <f>S603+S604</f>
        <v>0</v>
      </c>
      <c r="T602" s="255">
        <f>IF(Q602&gt;0,S602*100/Q602,0)</f>
        <v>0</v>
      </c>
      <c r="U602" s="255">
        <f>IF(R602&gt;0,S602*100/R602,0)</f>
        <v>0</v>
      </c>
    </row>
    <row r="603" spans="1:21" ht="18.75" hidden="1">
      <c r="A603" s="155"/>
      <c r="B603" s="188"/>
      <c r="C603" s="188"/>
      <c r="D603" s="174"/>
      <c r="E603" s="186" t="s">
        <v>159</v>
      </c>
      <c r="F603" s="50"/>
      <c r="G603" s="52"/>
      <c r="H603" s="189" t="s">
        <v>14</v>
      </c>
      <c r="I603" s="54"/>
      <c r="J603" s="54"/>
      <c r="K603" s="55"/>
      <c r="L603" s="103">
        <v>0</v>
      </c>
      <c r="M603" s="102">
        <v>0</v>
      </c>
      <c r="N603" s="102">
        <v>0</v>
      </c>
      <c r="O603" s="102">
        <f>IF(L603&gt;0,N603*100/L603,0)</f>
        <v>0</v>
      </c>
      <c r="P603" s="102">
        <f>IF(M603&gt;0,N603*100/M603,0)</f>
        <v>0</v>
      </c>
      <c r="Q603" s="102">
        <v>0</v>
      </c>
      <c r="R603" s="102">
        <v>0</v>
      </c>
      <c r="S603" s="102">
        <v>0</v>
      </c>
      <c r="T603" s="102">
        <f>IF(Q603&gt;0,S603*100/Q603,0)</f>
        <v>0</v>
      </c>
      <c r="U603" s="102">
        <f>IF(R603&gt;0,S603*100/R603,0)</f>
        <v>0</v>
      </c>
    </row>
    <row r="604" spans="1:21" ht="18.75" hidden="1">
      <c r="A604" s="155"/>
      <c r="B604" s="188"/>
      <c r="C604" s="188"/>
      <c r="D604" s="174"/>
      <c r="E604" s="186" t="s">
        <v>160</v>
      </c>
      <c r="F604" s="50"/>
      <c r="G604" s="52"/>
      <c r="H604" s="189" t="s">
        <v>14</v>
      </c>
      <c r="I604" s="54"/>
      <c r="J604" s="54"/>
      <c r="K604" s="55"/>
      <c r="L604" s="256">
        <v>0</v>
      </c>
      <c r="M604" s="255">
        <v>0</v>
      </c>
      <c r="N604" s="255">
        <v>0</v>
      </c>
      <c r="O604" s="255">
        <f>IF(L604&gt;0,N604*100/L604,0)</f>
        <v>0</v>
      </c>
      <c r="P604" s="255">
        <f>IF(M604&gt;0,N604*100/M604,0)</f>
        <v>0</v>
      </c>
      <c r="Q604" s="255">
        <v>0</v>
      </c>
      <c r="R604" s="255">
        <v>0</v>
      </c>
      <c r="S604" s="255">
        <v>0</v>
      </c>
      <c r="T604" s="255">
        <f>IF(Q604&gt;0,S604*100/Q604,0)</f>
        <v>0</v>
      </c>
      <c r="U604" s="255">
        <f>IF(R604&gt;0,S604*100/R604,0)</f>
        <v>0</v>
      </c>
    </row>
    <row r="605" spans="1:21" ht="19.5" hidden="1">
      <c r="A605" s="155"/>
      <c r="B605" s="188"/>
      <c r="C605" s="188"/>
      <c r="D605" s="562" t="s">
        <v>23</v>
      </c>
      <c r="E605" s="188"/>
      <c r="F605" s="50"/>
      <c r="G605" s="52"/>
      <c r="H605" s="420" t="s">
        <v>14</v>
      </c>
      <c r="I605" s="163"/>
      <c r="J605" s="163"/>
      <c r="K605" s="164"/>
      <c r="L605" s="256">
        <f>L606+L607</f>
        <v>0</v>
      </c>
      <c r="M605" s="255">
        <f>M606+M607</f>
        <v>0</v>
      </c>
      <c r="N605" s="255">
        <f>N606+N607</f>
        <v>0</v>
      </c>
      <c r="O605" s="255">
        <f>IF(L605&gt;0,N605*100/L605,0)</f>
        <v>0</v>
      </c>
      <c r="P605" s="255">
        <f>IF(M605&gt;0,N605*100/M605,0)</f>
        <v>0</v>
      </c>
      <c r="Q605" s="255">
        <f>Q606+Q607</f>
        <v>0</v>
      </c>
      <c r="R605" s="255">
        <f>R606+R607</f>
        <v>0</v>
      </c>
      <c r="S605" s="255">
        <f>S606+S607</f>
        <v>0</v>
      </c>
      <c r="T605" s="255">
        <f>IF(Q605&gt;0,S605*100/Q605,0)</f>
        <v>0</v>
      </c>
      <c r="U605" s="255">
        <f>IF(R605&gt;0,S605*100/R605,0)</f>
        <v>0</v>
      </c>
    </row>
    <row r="606" spans="1:21" ht="18.75" hidden="1">
      <c r="A606" s="155"/>
      <c r="B606" s="188"/>
      <c r="C606" s="188"/>
      <c r="D606" s="188"/>
      <c r="E606" s="358" t="s">
        <v>20</v>
      </c>
      <c r="F606" s="50"/>
      <c r="G606" s="52"/>
      <c r="H606" s="189" t="s">
        <v>14</v>
      </c>
      <c r="I606" s="163"/>
      <c r="J606" s="163"/>
      <c r="K606" s="164"/>
      <c r="L606" s="103">
        <v>0</v>
      </c>
      <c r="M606" s="102">
        <v>0</v>
      </c>
      <c r="N606" s="102">
        <v>0</v>
      </c>
      <c r="O606" s="102">
        <f>IF(L606&gt;0,N606*100/L606,0)</f>
        <v>0</v>
      </c>
      <c r="P606" s="102">
        <f>IF(M606&gt;0,N606*100/M606,0)</f>
        <v>0</v>
      </c>
      <c r="Q606" s="102">
        <v>0</v>
      </c>
      <c r="R606" s="102">
        <v>0</v>
      </c>
      <c r="S606" s="102">
        <v>0</v>
      </c>
      <c r="T606" s="102">
        <f>IF(Q606&gt;0,S606*100/Q606,0)</f>
        <v>0</v>
      </c>
      <c r="U606" s="102">
        <f>IF(R606&gt;0,S606*100/R606,0)</f>
        <v>0</v>
      </c>
    </row>
    <row r="607" spans="1:21" ht="18.75" hidden="1">
      <c r="A607" s="155"/>
      <c r="B607" s="188"/>
      <c r="C607" s="188"/>
      <c r="D607" s="50"/>
      <c r="E607" s="358" t="s">
        <v>21</v>
      </c>
      <c r="F607" s="50"/>
      <c r="G607" s="52"/>
      <c r="H607" s="421" t="s">
        <v>14</v>
      </c>
      <c r="I607" s="163"/>
      <c r="J607" s="163"/>
      <c r="K607" s="164"/>
      <c r="L607" s="256">
        <v>0</v>
      </c>
      <c r="M607" s="255">
        <v>0</v>
      </c>
      <c r="N607" s="255">
        <v>0</v>
      </c>
      <c r="O607" s="255">
        <f>IF(L607&gt;0,N607*100/L607,0)</f>
        <v>0</v>
      </c>
      <c r="P607" s="255">
        <f>IF(M607&gt;0,N607*100/M607,0)</f>
        <v>0</v>
      </c>
      <c r="Q607" s="255">
        <v>0</v>
      </c>
      <c r="R607" s="255">
        <v>0</v>
      </c>
      <c r="S607" s="255">
        <v>0</v>
      </c>
      <c r="T607" s="255">
        <f>IF(Q607&gt;0,S607*100/Q607,0)</f>
        <v>0</v>
      </c>
      <c r="U607" s="255">
        <f>IF(R607&gt;0,S607*100/R607,0)</f>
        <v>0</v>
      </c>
    </row>
    <row r="608" spans="1:21" ht="19.5" hidden="1">
      <c r="A608" s="166"/>
      <c r="B608" s="167"/>
      <c r="C608" s="205" t="s">
        <v>18</v>
      </c>
      <c r="D608" s="574" t="s">
        <v>38</v>
      </c>
      <c r="E608" s="169"/>
      <c r="F608" s="169"/>
      <c r="G608" s="170"/>
      <c r="H608" s="206"/>
      <c r="I608" s="163"/>
      <c r="J608" s="163"/>
      <c r="K608" s="164"/>
      <c r="L608" s="62"/>
      <c r="M608" s="55"/>
      <c r="N608" s="55"/>
      <c r="O608" s="55"/>
      <c r="P608" s="55"/>
      <c r="Q608" s="55"/>
      <c r="R608" s="55"/>
      <c r="S608" s="55"/>
      <c r="T608" s="55"/>
      <c r="U608" s="55"/>
    </row>
    <row r="609" spans="1:21" ht="18.75" hidden="1">
      <c r="A609" s="166"/>
      <c r="B609" s="167"/>
      <c r="C609" s="167"/>
      <c r="D609" s="423" t="s">
        <v>217</v>
      </c>
      <c r="E609" s="174"/>
      <c r="F609" s="174"/>
      <c r="G609" s="171"/>
      <c r="H609" s="189" t="s">
        <v>99</v>
      </c>
      <c r="I609" s="54"/>
      <c r="J609" s="54"/>
      <c r="K609" s="164"/>
      <c r="L609" s="62"/>
      <c r="M609" s="55"/>
      <c r="N609" s="55"/>
      <c r="O609" s="55"/>
      <c r="P609" s="55"/>
      <c r="Q609" s="55"/>
      <c r="R609" s="55"/>
      <c r="S609" s="55"/>
      <c r="T609" s="55"/>
      <c r="U609" s="55"/>
    </row>
    <row r="610" spans="1:21" ht="19.5" hidden="1">
      <c r="A610" s="166"/>
      <c r="B610" s="167"/>
      <c r="C610" s="167"/>
      <c r="D610" s="423" t="s">
        <v>218</v>
      </c>
      <c r="E610" s="174"/>
      <c r="F610" s="174"/>
      <c r="G610" s="171"/>
      <c r="H610" s="418" t="s">
        <v>35</v>
      </c>
      <c r="I610" s="54"/>
      <c r="J610" s="54"/>
      <c r="K610" s="164"/>
      <c r="L610" s="62"/>
      <c r="M610" s="55"/>
      <c r="N610" s="55"/>
      <c r="O610" s="55"/>
      <c r="P610" s="55"/>
      <c r="Q610" s="55"/>
      <c r="R610" s="55"/>
      <c r="S610" s="55"/>
      <c r="T610" s="55"/>
      <c r="U610" s="55"/>
    </row>
    <row r="611" spans="1:21" ht="18.75" hidden="1">
      <c r="A611" s="166"/>
      <c r="B611" s="167"/>
      <c r="C611" s="167"/>
      <c r="D611" s="167"/>
      <c r="E611" s="423" t="s">
        <v>219</v>
      </c>
      <c r="F611" s="174"/>
      <c r="G611" s="171"/>
      <c r="H611" s="421" t="s">
        <v>35</v>
      </c>
      <c r="I611" s="54"/>
      <c r="J611" s="54"/>
      <c r="K611" s="164"/>
      <c r="L611" s="62"/>
      <c r="M611" s="55"/>
      <c r="N611" s="55"/>
      <c r="O611" s="55"/>
      <c r="P611" s="55"/>
      <c r="Q611" s="55"/>
      <c r="R611" s="55"/>
      <c r="S611" s="55"/>
      <c r="T611" s="55"/>
      <c r="U611" s="55"/>
    </row>
    <row r="612" spans="1:21" ht="19.5" hidden="1" thickBot="1">
      <c r="A612" s="424"/>
      <c r="B612" s="425"/>
      <c r="C612" s="425"/>
      <c r="D612" s="425"/>
      <c r="E612" s="426" t="s">
        <v>220</v>
      </c>
      <c r="F612" s="427"/>
      <c r="G612" s="428"/>
      <c r="H612" s="429" t="s">
        <v>35</v>
      </c>
      <c r="I612" s="430"/>
      <c r="J612" s="430"/>
      <c r="K612" s="431"/>
      <c r="L612" s="433"/>
      <c r="M612" s="432"/>
      <c r="N612" s="432"/>
      <c r="O612" s="432"/>
      <c r="P612" s="432"/>
      <c r="Q612" s="432"/>
      <c r="R612" s="432"/>
      <c r="S612" s="432"/>
      <c r="T612" s="432"/>
      <c r="U612" s="432"/>
    </row>
    <row r="613" spans="1:21" ht="19.5" hidden="1">
      <c r="A613" s="434" t="s">
        <v>221</v>
      </c>
      <c r="B613" s="435"/>
      <c r="C613" s="435"/>
      <c r="D613" s="436"/>
      <c r="E613" s="436"/>
      <c r="F613" s="436"/>
      <c r="G613" s="437"/>
      <c r="H613" s="438"/>
      <c r="I613" s="439"/>
      <c r="J613" s="439"/>
      <c r="K613" s="440"/>
      <c r="L613" s="441"/>
      <c r="M613" s="440"/>
      <c r="N613" s="440"/>
      <c r="O613" s="440"/>
      <c r="P613" s="440"/>
      <c r="Q613" s="440"/>
      <c r="R613" s="440"/>
      <c r="S613" s="440"/>
      <c r="T613" s="440"/>
      <c r="U613" s="440"/>
    </row>
    <row r="614" spans="1:21" ht="19.5">
      <c r="A614" s="442"/>
      <c r="B614" s="443" t="s">
        <v>222</v>
      </c>
      <c r="C614" s="442"/>
      <c r="D614" s="444"/>
      <c r="E614" s="444"/>
      <c r="F614" s="444"/>
      <c r="G614" s="445"/>
      <c r="H614" s="446"/>
      <c r="I614" s="447"/>
      <c r="J614" s="447"/>
      <c r="K614" s="448"/>
      <c r="L614" s="449"/>
      <c r="M614" s="448"/>
      <c r="N614" s="448"/>
      <c r="O614" s="448"/>
      <c r="P614" s="448"/>
      <c r="Q614" s="448"/>
      <c r="R614" s="448"/>
      <c r="S614" s="448"/>
      <c r="T614" s="448"/>
      <c r="U614" s="448"/>
    </row>
    <row r="615" spans="1:21" ht="19.5">
      <c r="A615" s="450"/>
      <c r="B615" s="451" t="s">
        <v>223</v>
      </c>
      <c r="C615" s="450"/>
      <c r="D615" s="452"/>
      <c r="E615" s="452"/>
      <c r="F615" s="452"/>
      <c r="G615" s="453"/>
      <c r="H615" s="454" t="s">
        <v>46</v>
      </c>
      <c r="I615" s="573">
        <f ca="1">I626</f>
        <v>0</v>
      </c>
      <c r="J615" s="573">
        <f>J626</f>
        <v>0</v>
      </c>
      <c r="K615" s="572">
        <f ca="1">IF(I615&gt;0,J615*100/I615,0)</f>
        <v>0</v>
      </c>
      <c r="L615" s="458"/>
      <c r="M615" s="457"/>
      <c r="N615" s="457"/>
      <c r="O615" s="457"/>
      <c r="P615" s="457"/>
      <c r="Q615" s="457"/>
      <c r="R615" s="457"/>
      <c r="S615" s="457"/>
      <c r="T615" s="457"/>
      <c r="U615" s="457"/>
    </row>
    <row r="616" spans="1:21" ht="19.5">
      <c r="A616" s="155"/>
      <c r="B616" s="188"/>
      <c r="C616" s="205" t="s">
        <v>18</v>
      </c>
      <c r="D616" s="542" t="s">
        <v>19</v>
      </c>
      <c r="E616" s="529"/>
      <c r="F616" s="529"/>
      <c r="G616" s="530"/>
      <c r="H616" s="252" t="s">
        <v>14</v>
      </c>
      <c r="I616" s="54"/>
      <c r="J616" s="54"/>
      <c r="K616" s="55"/>
      <c r="L616" s="541">
        <f>L617+L618</f>
        <v>0</v>
      </c>
      <c r="M616" s="540">
        <f>M617+M618</f>
        <v>0</v>
      </c>
      <c r="N616" s="540">
        <f>N617+N618</f>
        <v>0</v>
      </c>
      <c r="O616" s="540">
        <f>IF(L616&gt;0,N616*100/L616,0)</f>
        <v>0</v>
      </c>
      <c r="P616" s="540">
        <f>IF(M616&gt;0,N616*100/M616,0)</f>
        <v>0</v>
      </c>
      <c r="Q616" s="540">
        <f ca="1">Q617+Q618</f>
        <v>2100</v>
      </c>
      <c r="R616" s="540">
        <f ca="1">R617+R618</f>
        <v>2100</v>
      </c>
      <c r="S616" s="540">
        <f ca="1">S617+S618</f>
        <v>0</v>
      </c>
      <c r="T616" s="540">
        <f ca="1">IF(Q616&gt;0,S616*100/Q616,0)</f>
        <v>0</v>
      </c>
      <c r="U616" s="540">
        <f ca="1">IF(R616&gt;0,S616*100/R616,0)</f>
        <v>0</v>
      </c>
    </row>
    <row r="617" spans="1:21" ht="18.75" hidden="1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103">
        <f>L620+L623</f>
        <v>0</v>
      </c>
      <c r="M617" s="102">
        <f>M620+M623</f>
        <v>0</v>
      </c>
      <c r="N617" s="102">
        <f>N620+N623</f>
        <v>0</v>
      </c>
      <c r="O617" s="102">
        <f>IF(L617&gt;0,N617*100/L617,0)</f>
        <v>0</v>
      </c>
      <c r="P617" s="102">
        <f>IF(M617&gt;0,N617*100/M617,0)</f>
        <v>0</v>
      </c>
      <c r="Q617" s="102">
        <f>Q620+Q623</f>
        <v>0</v>
      </c>
      <c r="R617" s="102">
        <f>R620+R623</f>
        <v>0</v>
      </c>
      <c r="S617" s="102">
        <f>S620+S623</f>
        <v>0</v>
      </c>
      <c r="T617" s="102">
        <f>IF(Q617&gt;0,S617*100/Q617,0)</f>
        <v>0</v>
      </c>
      <c r="U617" s="102">
        <f>IF(R617&gt;0,S617*100/R617,0)</f>
        <v>0</v>
      </c>
    </row>
    <row r="618" spans="1:21" ht="18.75" hidden="1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256">
        <f>L621+L624</f>
        <v>0</v>
      </c>
      <c r="M618" s="255">
        <f>M621+M624</f>
        <v>0</v>
      </c>
      <c r="N618" s="255">
        <f>N621+N624</f>
        <v>0</v>
      </c>
      <c r="O618" s="255">
        <f>IF(L618&gt;0,N618*100/L618,0)</f>
        <v>0</v>
      </c>
      <c r="P618" s="255">
        <f>IF(M618&gt;0,N618*100/M618,0)</f>
        <v>0</v>
      </c>
      <c r="Q618" s="255">
        <f ca="1">Q621+Q624</f>
        <v>2100</v>
      </c>
      <c r="R618" s="255">
        <f ca="1">R621+R624</f>
        <v>2100</v>
      </c>
      <c r="S618" s="255">
        <f ca="1">S621+S624</f>
        <v>0</v>
      </c>
      <c r="T618" s="255">
        <f ca="1">IF(Q618&gt;0,S618*100/Q618,0)</f>
        <v>0</v>
      </c>
      <c r="U618" s="255">
        <f ca="1">IF(R618&gt;0,S618*100/R618,0)</f>
        <v>0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256">
        <f>L620+L621</f>
        <v>0</v>
      </c>
      <c r="M619" s="255">
        <f>M620+M621</f>
        <v>0</v>
      </c>
      <c r="N619" s="255">
        <f>N620+N621</f>
        <v>0</v>
      </c>
      <c r="O619" s="255">
        <f>IF(L619&gt;0,N619*100/L619,0)</f>
        <v>0</v>
      </c>
      <c r="P619" s="255">
        <f>IF(M619&gt;0,N619*100/M619,0)</f>
        <v>0</v>
      </c>
      <c r="Q619" s="255">
        <f ca="1">Q620+Q621</f>
        <v>2100</v>
      </c>
      <c r="R619" s="255">
        <f ca="1">R620+R621</f>
        <v>2100</v>
      </c>
      <c r="S619" s="255">
        <f ca="1">S620+S621</f>
        <v>0</v>
      </c>
      <c r="T619" s="255">
        <f ca="1">IF(Q619&gt;0,S619*100/Q619,0)</f>
        <v>0</v>
      </c>
      <c r="U619" s="255">
        <f ca="1">IF(R619&gt;0,S619*100/R619,0)</f>
        <v>0</v>
      </c>
    </row>
    <row r="620" spans="1:21" ht="18.75" hidden="1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103">
        <v>0</v>
      </c>
      <c r="M620" s="102">
        <v>0</v>
      </c>
      <c r="N620" s="102">
        <v>0</v>
      </c>
      <c r="O620" s="102">
        <f>IF(L620&gt;0,N620*100/L620,0)</f>
        <v>0</v>
      </c>
      <c r="P620" s="102">
        <f>IF(M620&gt;0,N620*100/M620,0)</f>
        <v>0</v>
      </c>
      <c r="Q620" s="102">
        <v>0</v>
      </c>
      <c r="R620" s="102">
        <v>0</v>
      </c>
      <c r="S620" s="102">
        <v>0</v>
      </c>
      <c r="T620" s="102">
        <f>IF(Q620&gt;0,S620*100/Q620,0)</f>
        <v>0</v>
      </c>
      <c r="U620" s="102">
        <f>IF(R620&gt;0,S620*100/R620,0)</f>
        <v>0</v>
      </c>
    </row>
    <row r="621" spans="1:21" ht="18.75" hidden="1">
      <c r="A621" s="155"/>
      <c r="B621" s="188"/>
      <c r="C621" s="188"/>
      <c r="D621" s="174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256">
        <v>0</v>
      </c>
      <c r="M621" s="255">
        <v>0</v>
      </c>
      <c r="N621" s="255">
        <v>0</v>
      </c>
      <c r="O621" s="255">
        <f>IF(L621&gt;0,N621*100/L621,0)</f>
        <v>0</v>
      </c>
      <c r="P621" s="255">
        <f>IF(M621&gt;0,N621*100/M621,0)</f>
        <v>0</v>
      </c>
      <c r="Q621" s="255">
        <f ca="1">IFERROR(__xludf.DUMMYFUNCTION("IMPORTRANGE(""https://docs.google.com/spreadsheets/d/1ItG2mGa2ceCfYo0BwxsXqNm01IGEUdYcSSLTEv9YCik/edit?usp=sharing"",""เบิกจ่ายกองทุน!F50"")"),2100)</f>
        <v>2100</v>
      </c>
      <c r="R621" s="255">
        <f ca="1">IFERROR(__xludf.DUMMYFUNCTION("IMPORTRANGE(""https://docs.google.com/spreadsheets/d/1ItG2mGa2ceCfYo0BwxsXqNm01IGEUdYcSSLTEv9YCik/edit?usp=sharing"",""เบิกจ่ายกองทุน!G50"")"),2100)</f>
        <v>2100</v>
      </c>
      <c r="S621" s="255">
        <f ca="1">IFERROR(__xludf.DUMMYFUNCTION("IMPORTRANGE(""https://docs.google.com/spreadsheets/d/1ItG2mGa2ceCfYo0BwxsXqNm01IGEUdYcSSLTEv9YCik/edit?usp=sharing"",""เบิกจ่ายกองทุน!H50"")"),0)</f>
        <v>0</v>
      </c>
      <c r="T621" s="255">
        <f ca="1">IF(Q621&gt;0,S621*100/Q621,0)</f>
        <v>0</v>
      </c>
      <c r="U621" s="255">
        <f ca="1">IF(R621&gt;0,S621*100/R621,0)</f>
        <v>0</v>
      </c>
    </row>
    <row r="622" spans="1:21" ht="18.75">
      <c r="A622" s="155"/>
      <c r="B622" s="188"/>
      <c r="C622" s="188"/>
      <c r="D622" s="51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256">
        <f>L623+L624</f>
        <v>0</v>
      </c>
      <c r="M622" s="255">
        <f>M623+M624</f>
        <v>0</v>
      </c>
      <c r="N622" s="255">
        <f>N623+N624</f>
        <v>0</v>
      </c>
      <c r="O622" s="255">
        <f>IF(L622&gt;0,N622*100/L622,0)</f>
        <v>0</v>
      </c>
      <c r="P622" s="255">
        <f>IF(M622&gt;0,N622*100/M622,0)</f>
        <v>0</v>
      </c>
      <c r="Q622" s="255">
        <f>Q623+Q624</f>
        <v>0</v>
      </c>
      <c r="R622" s="255">
        <f>R623+R624</f>
        <v>0</v>
      </c>
      <c r="S622" s="255">
        <f>S623+S624</f>
        <v>0</v>
      </c>
      <c r="T622" s="255">
        <f>IF(Q622&gt;0,S622*100/Q622,0)</f>
        <v>0</v>
      </c>
      <c r="U622" s="255">
        <f>IF(R622&gt;0,S622*100/R622,0)</f>
        <v>0</v>
      </c>
    </row>
    <row r="623" spans="1:21" ht="18.75" hidden="1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103">
        <v>0</v>
      </c>
      <c r="M623" s="102">
        <v>0</v>
      </c>
      <c r="N623" s="102">
        <v>0</v>
      </c>
      <c r="O623" s="102">
        <f>IF(L623&gt;0,N623*100/L623,0)</f>
        <v>0</v>
      </c>
      <c r="P623" s="102">
        <f>IF(M623&gt;0,N623*100/M623,0)</f>
        <v>0</v>
      </c>
      <c r="Q623" s="102">
        <v>0</v>
      </c>
      <c r="R623" s="102">
        <v>0</v>
      </c>
      <c r="S623" s="102">
        <v>0</v>
      </c>
      <c r="T623" s="102">
        <f>IF(Q623&gt;0,S623*100/Q623,0)</f>
        <v>0</v>
      </c>
      <c r="U623" s="102">
        <f>IF(R623&gt;0,S623*100/R623,0)</f>
        <v>0</v>
      </c>
    </row>
    <row r="624" spans="1:21" ht="18.75" hidden="1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256">
        <v>0</v>
      </c>
      <c r="M624" s="255">
        <v>0</v>
      </c>
      <c r="N624" s="255">
        <v>0</v>
      </c>
      <c r="O624" s="255">
        <f>IF(L624&gt;0,N624*100/L624,0)</f>
        <v>0</v>
      </c>
      <c r="P624" s="255">
        <f>IF(M624&gt;0,N624*100/M624,0)</f>
        <v>0</v>
      </c>
      <c r="Q624" s="255">
        <v>0</v>
      </c>
      <c r="R624" s="255">
        <v>0</v>
      </c>
      <c r="S624" s="255">
        <v>0</v>
      </c>
      <c r="T624" s="255">
        <f>IF(Q624&gt;0,S624*100/Q624,0)</f>
        <v>0</v>
      </c>
      <c r="U624" s="255">
        <f>IF(R624&gt;0,S624*100/R624,0)</f>
        <v>0</v>
      </c>
    </row>
    <row r="625" spans="1:21" ht="19.5">
      <c r="A625" s="166"/>
      <c r="B625" s="167"/>
      <c r="C625" s="205" t="s">
        <v>18</v>
      </c>
      <c r="D625" s="539" t="s">
        <v>38</v>
      </c>
      <c r="E625" s="169"/>
      <c r="F625" s="169"/>
      <c r="G625" s="170"/>
      <c r="H625" s="206"/>
      <c r="I625" s="163"/>
      <c r="J625" s="163"/>
      <c r="K625" s="164"/>
      <c r="L625" s="172"/>
      <c r="M625" s="164"/>
      <c r="N625" s="164"/>
      <c r="O625" s="164"/>
      <c r="P625" s="164"/>
      <c r="Q625" s="164"/>
      <c r="R625" s="164"/>
      <c r="S625" s="164"/>
      <c r="T625" s="164"/>
      <c r="U625" s="164"/>
    </row>
    <row r="626" spans="1:21" ht="19.5">
      <c r="A626" s="166"/>
      <c r="B626" s="167"/>
      <c r="C626" s="167"/>
      <c r="D626" s="460" t="s">
        <v>224</v>
      </c>
      <c r="E626" s="174"/>
      <c r="F626" s="174"/>
      <c r="G626" s="171"/>
      <c r="H626" s="461" t="s">
        <v>46</v>
      </c>
      <c r="I626" s="373">
        <f ca="1">IFERROR(__xludf.DUMMYFUNCTION("IMPORTRANGE(""https://docs.google.com/spreadsheets/d/1eHaY18a8A9IcSdp1K8H6x8fbOy06t2VsZHhMHf-1x7Y/edit?usp=sharing"",""แผน!ID50"")"),0)</f>
        <v>0</v>
      </c>
      <c r="J626" s="373">
        <f>J632</f>
        <v>0</v>
      </c>
      <c r="K626" s="540">
        <f ca="1">IF(I626&gt;0,J626*100/I626,0)</f>
        <v>0</v>
      </c>
      <c r="L626" s="172"/>
      <c r="M626" s="164"/>
      <c r="N626" s="164"/>
      <c r="O626" s="164"/>
      <c r="P626" s="164"/>
      <c r="Q626" s="164"/>
      <c r="R626" s="164"/>
      <c r="S626" s="164"/>
      <c r="T626" s="164"/>
      <c r="U626" s="164"/>
    </row>
    <row r="627" spans="1:21" ht="18.75">
      <c r="A627" s="166"/>
      <c r="B627" s="167"/>
      <c r="C627" s="167"/>
      <c r="D627" s="167"/>
      <c r="E627" s="178" t="s">
        <v>225</v>
      </c>
      <c r="F627" s="174"/>
      <c r="G627" s="171"/>
      <c r="H627" s="165" t="s">
        <v>61</v>
      </c>
      <c r="I627" s="212">
        <f ca="1">IFERROR(__xludf.DUMMYFUNCTION("IMPORTRANGE(""https://docs.google.com/spreadsheets/d/1eHaY18a8A9IcSdp1K8H6x8fbOy06t2VsZHhMHf-1x7Y/edit?usp=sharing"",""แผน!IC50"")"),1)</f>
        <v>1</v>
      </c>
      <c r="J627" s="467">
        <v>0</v>
      </c>
      <c r="K627" s="255">
        <f ca="1">IF(I627&gt;0,(J627*100)/I627,0)</f>
        <v>0</v>
      </c>
      <c r="L627" s="172"/>
      <c r="M627" s="164"/>
      <c r="N627" s="164"/>
      <c r="O627" s="164"/>
      <c r="P627" s="164"/>
      <c r="Q627" s="164"/>
      <c r="R627" s="164"/>
      <c r="S627" s="164"/>
      <c r="T627" s="164"/>
      <c r="U627" s="164"/>
    </row>
    <row r="628" spans="1:21" ht="18.75">
      <c r="A628" s="166"/>
      <c r="B628" s="167"/>
      <c r="C628" s="167"/>
      <c r="D628" s="167"/>
      <c r="E628" s="178" t="s">
        <v>226</v>
      </c>
      <c r="F628" s="174"/>
      <c r="G628" s="171"/>
      <c r="H628" s="165" t="s">
        <v>61</v>
      </c>
      <c r="I628" s="212">
        <f ca="1">IFERROR(__xludf.DUMMYFUNCTION("IMPORTRANGE(""https://docs.google.com/spreadsheets/d/1eHaY18a8A9IcSdp1K8H6x8fbOy06t2VsZHhMHf-1x7Y/edit?usp=sharing"",""แผน!IC50"")"),1)</f>
        <v>1</v>
      </c>
      <c r="J628" s="467">
        <v>0</v>
      </c>
      <c r="K628" s="255">
        <f ca="1">IF(I628&gt;0,(J628*100)/I628,0)</f>
        <v>0</v>
      </c>
      <c r="L628" s="172"/>
      <c r="M628" s="164"/>
      <c r="N628" s="164"/>
      <c r="O628" s="164"/>
      <c r="P628" s="164"/>
      <c r="Q628" s="164"/>
      <c r="R628" s="164"/>
      <c r="S628" s="164"/>
      <c r="T628" s="164"/>
      <c r="U628" s="164"/>
    </row>
    <row r="629" spans="1:21" ht="18.75">
      <c r="A629" s="166"/>
      <c r="B629" s="167"/>
      <c r="C629" s="167"/>
      <c r="D629" s="167"/>
      <c r="E629" s="178" t="s">
        <v>227</v>
      </c>
      <c r="F629" s="174"/>
      <c r="G629" s="171"/>
      <c r="H629" s="165" t="s">
        <v>46</v>
      </c>
      <c r="I629" s="54"/>
      <c r="J629" s="467">
        <v>0</v>
      </c>
      <c r="K629" s="255">
        <f ca="1">IF(I$626&gt;0,J629*100/I$626,0)</f>
        <v>0</v>
      </c>
      <c r="L629" s="172"/>
      <c r="M629" s="164"/>
      <c r="N629" s="164"/>
      <c r="O629" s="164"/>
      <c r="P629" s="164"/>
      <c r="Q629" s="164"/>
      <c r="R629" s="164"/>
      <c r="S629" s="164"/>
      <c r="T629" s="164"/>
      <c r="U629" s="164"/>
    </row>
    <row r="630" spans="1:21" ht="18.75">
      <c r="A630" s="166"/>
      <c r="B630" s="167"/>
      <c r="C630" s="167"/>
      <c r="D630" s="167"/>
      <c r="E630" s="178" t="s">
        <v>228</v>
      </c>
      <c r="F630" s="174"/>
      <c r="G630" s="171"/>
      <c r="H630" s="165" t="s">
        <v>46</v>
      </c>
      <c r="I630" s="54"/>
      <c r="J630" s="467">
        <v>0</v>
      </c>
      <c r="K630" s="255">
        <f ca="1">IF(I$626&gt;0,J630*100/I$626,0)</f>
        <v>0</v>
      </c>
      <c r="L630" s="172"/>
      <c r="M630" s="164"/>
      <c r="N630" s="164"/>
      <c r="O630" s="164"/>
      <c r="P630" s="164"/>
      <c r="Q630" s="164"/>
      <c r="R630" s="164"/>
      <c r="S630" s="164"/>
      <c r="T630" s="164"/>
      <c r="U630" s="164"/>
    </row>
    <row r="631" spans="1:21" ht="18.75">
      <c r="A631" s="166"/>
      <c r="B631" s="167"/>
      <c r="C631" s="167"/>
      <c r="D631" s="167"/>
      <c r="E631" s="178" t="s">
        <v>229</v>
      </c>
      <c r="F631" s="174"/>
      <c r="G631" s="171"/>
      <c r="H631" s="165" t="s">
        <v>46</v>
      </c>
      <c r="I631" s="54"/>
      <c r="J631" s="467">
        <v>0</v>
      </c>
      <c r="K631" s="255">
        <f ca="1">IF(I$626&gt;0,J631*100/I$626,0)</f>
        <v>0</v>
      </c>
      <c r="L631" s="172"/>
      <c r="M631" s="164"/>
      <c r="N631" s="164"/>
      <c r="O631" s="164"/>
      <c r="P631" s="164"/>
      <c r="Q631" s="164"/>
      <c r="R631" s="164"/>
      <c r="S631" s="164"/>
      <c r="T631" s="164"/>
      <c r="U631" s="164"/>
    </row>
    <row r="632" spans="1:21" ht="19.5">
      <c r="A632" s="166"/>
      <c r="B632" s="167"/>
      <c r="C632" s="167"/>
      <c r="D632" s="167"/>
      <c r="E632" s="178" t="s">
        <v>230</v>
      </c>
      <c r="F632" s="174"/>
      <c r="G632" s="171"/>
      <c r="H632" s="165" t="s">
        <v>46</v>
      </c>
      <c r="I632" s="54"/>
      <c r="J632" s="373">
        <f>J633+J634</f>
        <v>0</v>
      </c>
      <c r="K632" s="540">
        <f ca="1">IF(I626&gt;0,J632*100/I626,0)</f>
        <v>0</v>
      </c>
      <c r="L632" s="172"/>
      <c r="M632" s="164"/>
      <c r="N632" s="164"/>
      <c r="O632" s="164"/>
      <c r="P632" s="164"/>
      <c r="Q632" s="164"/>
      <c r="R632" s="164"/>
      <c r="S632" s="164"/>
      <c r="T632" s="164"/>
      <c r="U632" s="164"/>
    </row>
    <row r="633" spans="1:21" ht="18.75">
      <c r="A633" s="166"/>
      <c r="B633" s="167"/>
      <c r="C633" s="167"/>
      <c r="D633" s="167"/>
      <c r="E633" s="174"/>
      <c r="F633" s="178" t="s">
        <v>231</v>
      </c>
      <c r="G633" s="171"/>
      <c r="H633" s="165" t="s">
        <v>46</v>
      </c>
      <c r="I633" s="54"/>
      <c r="J633" s="467">
        <v>0</v>
      </c>
      <c r="K633" s="55"/>
      <c r="L633" s="172"/>
      <c r="M633" s="164"/>
      <c r="N633" s="164"/>
      <c r="O633" s="164"/>
      <c r="P633" s="164"/>
      <c r="Q633" s="164"/>
      <c r="R633" s="164"/>
      <c r="S633" s="164"/>
      <c r="T633" s="164"/>
      <c r="U633" s="164"/>
    </row>
    <row r="634" spans="1:21" ht="18.75">
      <c r="A634" s="166"/>
      <c r="B634" s="167"/>
      <c r="C634" s="167"/>
      <c r="D634" s="167"/>
      <c r="E634" s="174"/>
      <c r="F634" s="178" t="s">
        <v>232</v>
      </c>
      <c r="G634" s="171"/>
      <c r="H634" s="165" t="s">
        <v>46</v>
      </c>
      <c r="I634" s="54"/>
      <c r="J634" s="467">
        <v>0</v>
      </c>
      <c r="K634" s="55"/>
      <c r="L634" s="172"/>
      <c r="M634" s="164"/>
      <c r="N634" s="164"/>
      <c r="O634" s="164"/>
      <c r="P634" s="164"/>
      <c r="Q634" s="164"/>
      <c r="R634" s="164"/>
      <c r="S634" s="164"/>
      <c r="T634" s="164"/>
      <c r="U634" s="164"/>
    </row>
    <row r="635" spans="1:21" ht="19.5">
      <c r="A635" s="166"/>
      <c r="B635" s="167"/>
      <c r="C635" s="167"/>
      <c r="D635" s="460" t="s">
        <v>233</v>
      </c>
      <c r="E635" s="174"/>
      <c r="F635" s="174"/>
      <c r="G635" s="171"/>
      <c r="H635" s="165" t="s">
        <v>46</v>
      </c>
      <c r="I635" s="373">
        <f ca="1">IFERROR(__xludf.DUMMYFUNCTION("IMPORTRANGE(""https://docs.google.com/spreadsheets/d/1eHaY18a8A9IcSdp1K8H6x8fbOy06t2VsZHhMHf-1x7Y/edit?usp=sharing"",""แผน!IE50"")"),0)</f>
        <v>0</v>
      </c>
      <c r="J635" s="373">
        <f>J636</f>
        <v>0</v>
      </c>
      <c r="K635" s="540">
        <f ca="1">IF(I635&gt;0,J635*100/I635,0)</f>
        <v>0</v>
      </c>
      <c r="L635" s="172"/>
      <c r="M635" s="164"/>
      <c r="N635" s="164"/>
      <c r="O635" s="164"/>
      <c r="P635" s="164"/>
      <c r="Q635" s="164"/>
      <c r="R635" s="164"/>
      <c r="S635" s="164"/>
      <c r="T635" s="164"/>
      <c r="U635" s="164"/>
    </row>
    <row r="636" spans="1:21" ht="18.75">
      <c r="A636" s="166"/>
      <c r="B636" s="167"/>
      <c r="C636" s="167"/>
      <c r="D636" s="167"/>
      <c r="E636" s="178" t="s">
        <v>234</v>
      </c>
      <c r="F636" s="174"/>
      <c r="G636" s="171"/>
      <c r="H636" s="165" t="s">
        <v>46</v>
      </c>
      <c r="I636" s="54"/>
      <c r="J636" s="212">
        <f>J637+J638</f>
        <v>0</v>
      </c>
      <c r="K636" s="55"/>
      <c r="L636" s="172"/>
      <c r="M636" s="164"/>
      <c r="N636" s="164"/>
      <c r="O636" s="164"/>
      <c r="P636" s="164"/>
      <c r="Q636" s="164"/>
      <c r="R636" s="164"/>
      <c r="S636" s="164"/>
      <c r="T636" s="164"/>
      <c r="U636" s="164"/>
    </row>
    <row r="637" spans="1:21" ht="18.75">
      <c r="A637" s="166"/>
      <c r="B637" s="167"/>
      <c r="C637" s="167"/>
      <c r="D637" s="167"/>
      <c r="E637" s="174"/>
      <c r="F637" s="178" t="s">
        <v>231</v>
      </c>
      <c r="G637" s="171"/>
      <c r="H637" s="165" t="s">
        <v>46</v>
      </c>
      <c r="I637" s="54"/>
      <c r="J637" s="467">
        <v>0</v>
      </c>
      <c r="K637" s="55"/>
      <c r="L637" s="172"/>
      <c r="M637" s="164"/>
      <c r="N637" s="164"/>
      <c r="O637" s="164"/>
      <c r="P637" s="164"/>
      <c r="Q637" s="164"/>
      <c r="R637" s="164"/>
      <c r="S637" s="164"/>
      <c r="T637" s="164"/>
      <c r="U637" s="164"/>
    </row>
    <row r="638" spans="1:21" ht="18.75">
      <c r="A638" s="166"/>
      <c r="B638" s="167"/>
      <c r="C638" s="167"/>
      <c r="D638" s="167"/>
      <c r="E638" s="174"/>
      <c r="F638" s="178" t="s">
        <v>232</v>
      </c>
      <c r="G638" s="171"/>
      <c r="H638" s="165" t="s">
        <v>46</v>
      </c>
      <c r="I638" s="54"/>
      <c r="J638" s="467">
        <v>0</v>
      </c>
      <c r="K638" s="55"/>
      <c r="L638" s="172"/>
      <c r="M638" s="164"/>
      <c r="N638" s="164"/>
      <c r="O638" s="164"/>
      <c r="P638" s="164"/>
      <c r="Q638" s="164"/>
      <c r="R638" s="164"/>
      <c r="S638" s="164"/>
      <c r="T638" s="164"/>
      <c r="U638" s="164"/>
    </row>
    <row r="639" spans="1:21" ht="18.75">
      <c r="A639" s="166"/>
      <c r="B639" s="167"/>
      <c r="C639" s="167"/>
      <c r="D639" s="167"/>
      <c r="E639" s="178" t="s">
        <v>235</v>
      </c>
      <c r="F639" s="174"/>
      <c r="G639" s="171"/>
      <c r="H639" s="165" t="s">
        <v>46</v>
      </c>
      <c r="I639" s="54"/>
      <c r="J639" s="467">
        <v>0</v>
      </c>
      <c r="K639" s="55"/>
      <c r="L639" s="172"/>
      <c r="M639" s="164"/>
      <c r="N639" s="164"/>
      <c r="O639" s="164"/>
      <c r="P639" s="164"/>
      <c r="Q639" s="164"/>
      <c r="R639" s="164"/>
      <c r="S639" s="164"/>
      <c r="T639" s="164"/>
      <c r="U639" s="164"/>
    </row>
    <row r="640" spans="1:21" ht="18.75">
      <c r="A640" s="166"/>
      <c r="B640" s="167"/>
      <c r="C640" s="167"/>
      <c r="D640" s="167"/>
      <c r="E640" s="174"/>
      <c r="F640" s="178" t="s">
        <v>236</v>
      </c>
      <c r="G640" s="171"/>
      <c r="H640" s="165" t="s">
        <v>46</v>
      </c>
      <c r="I640" s="54"/>
      <c r="J640" s="467">
        <v>0</v>
      </c>
      <c r="K640" s="55"/>
      <c r="L640" s="172"/>
      <c r="M640" s="164"/>
      <c r="N640" s="164"/>
      <c r="O640" s="164"/>
      <c r="P640" s="164"/>
      <c r="Q640" s="164"/>
      <c r="R640" s="164"/>
      <c r="S640" s="164"/>
      <c r="T640" s="164"/>
      <c r="U640" s="164"/>
    </row>
    <row r="641" spans="1:21" ht="19.5">
      <c r="A641" s="450"/>
      <c r="B641" s="451" t="s">
        <v>237</v>
      </c>
      <c r="C641" s="450"/>
      <c r="D641" s="452"/>
      <c r="E641" s="452"/>
      <c r="F641" s="452"/>
      <c r="G641" s="453"/>
      <c r="H641" s="462"/>
      <c r="I641" s="463"/>
      <c r="J641" s="463"/>
      <c r="K641" s="457"/>
      <c r="L641" s="458"/>
      <c r="M641" s="457"/>
      <c r="N641" s="457"/>
      <c r="O641" s="457"/>
      <c r="P641" s="457"/>
      <c r="Q641" s="457"/>
      <c r="R641" s="457"/>
      <c r="S641" s="457"/>
      <c r="T641" s="457"/>
      <c r="U641" s="457"/>
    </row>
    <row r="642" spans="1:21" ht="19.5">
      <c r="A642" s="155"/>
      <c r="B642" s="188"/>
      <c r="C642" s="239" t="s">
        <v>18</v>
      </c>
      <c r="D642" s="542" t="s">
        <v>19</v>
      </c>
      <c r="E642" s="529"/>
      <c r="F642" s="529"/>
      <c r="G642" s="530"/>
      <c r="H642" s="252" t="s">
        <v>14</v>
      </c>
      <c r="I642" s="54"/>
      <c r="J642" s="54"/>
      <c r="K642" s="55"/>
      <c r="L642" s="541">
        <f>L643+L644</f>
        <v>0</v>
      </c>
      <c r="M642" s="540">
        <f>M643+M644</f>
        <v>0</v>
      </c>
      <c r="N642" s="540">
        <f>N643+N644</f>
        <v>0</v>
      </c>
      <c r="O642" s="540">
        <f>IF(L642&gt;0,N642*100/L642,0)</f>
        <v>0</v>
      </c>
      <c r="P642" s="540">
        <f>IF(M642&gt;0,N642*100/M642,0)</f>
        <v>0</v>
      </c>
      <c r="Q642" s="540">
        <f ca="1">Q643+Q644</f>
        <v>98620</v>
      </c>
      <c r="R642" s="540">
        <f ca="1">R643+R644</f>
        <v>98620</v>
      </c>
      <c r="S642" s="540">
        <f ca="1">S643+S644</f>
        <v>1220</v>
      </c>
      <c r="T642" s="540">
        <f ca="1">IF(Q642&gt;0,S642*100/Q642,0)</f>
        <v>1.2370715879132022</v>
      </c>
      <c r="U642" s="540">
        <f ca="1">IF(R642&gt;0,S642*100/R642,0)</f>
        <v>1.2370715879132022</v>
      </c>
    </row>
    <row r="643" spans="1:21" ht="18.75" hidden="1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103">
        <f>L646+L649</f>
        <v>0</v>
      </c>
      <c r="M643" s="102">
        <f>M646+M649</f>
        <v>0</v>
      </c>
      <c r="N643" s="102">
        <f>N646+N649</f>
        <v>0</v>
      </c>
      <c r="O643" s="102">
        <f>IF(L643&gt;0,N643*100/L643,0)</f>
        <v>0</v>
      </c>
      <c r="P643" s="102">
        <f>IF(M643&gt;0,N643*100/M643,0)</f>
        <v>0</v>
      </c>
      <c r="Q643" s="102">
        <f>Q646+Q649</f>
        <v>0</v>
      </c>
      <c r="R643" s="102">
        <f>R646+R649</f>
        <v>0</v>
      </c>
      <c r="S643" s="102">
        <f>S646+S649</f>
        <v>0</v>
      </c>
      <c r="T643" s="102">
        <f>IF(Q643&gt;0,S643*100/Q643,0)</f>
        <v>0</v>
      </c>
      <c r="U643" s="102">
        <f>IF(R643&gt;0,S643*100/R643,0)</f>
        <v>0</v>
      </c>
    </row>
    <row r="644" spans="1:21" ht="18.75" hidden="1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256">
        <f>L647+L650</f>
        <v>0</v>
      </c>
      <c r="M644" s="255">
        <f>M647+M650</f>
        <v>0</v>
      </c>
      <c r="N644" s="255">
        <f>N647+N650</f>
        <v>0</v>
      </c>
      <c r="O644" s="255">
        <f>IF(L644&gt;0,N644*100/L644,0)</f>
        <v>0</v>
      </c>
      <c r="P644" s="255">
        <f>IF(M644&gt;0,N644*100/M644,0)</f>
        <v>0</v>
      </c>
      <c r="Q644" s="255">
        <f ca="1">Q647+Q650</f>
        <v>98620</v>
      </c>
      <c r="R644" s="255">
        <f ca="1">R647+R650</f>
        <v>98620</v>
      </c>
      <c r="S644" s="255">
        <f ca="1">S647+S650</f>
        <v>1220</v>
      </c>
      <c r="T644" s="255">
        <f ca="1">IF(Q644&gt;0,S644*100/Q644,0)</f>
        <v>1.2370715879132022</v>
      </c>
      <c r="U644" s="255">
        <f ca="1">IF(R644&gt;0,S644*100/R644,0)</f>
        <v>1.2370715879132022</v>
      </c>
    </row>
    <row r="645" spans="1:21" ht="18.75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256">
        <f>L646+L647</f>
        <v>0</v>
      </c>
      <c r="M645" s="255">
        <f>M646+M647</f>
        <v>0</v>
      </c>
      <c r="N645" s="255">
        <f>N646+N647</f>
        <v>0</v>
      </c>
      <c r="O645" s="255">
        <f>IF(L645&gt;0,N645*100/L645,0)</f>
        <v>0</v>
      </c>
      <c r="P645" s="255">
        <f>IF(M645&gt;0,N645*100/M645,0)</f>
        <v>0</v>
      </c>
      <c r="Q645" s="255">
        <f ca="1">Q646+Q647</f>
        <v>98620</v>
      </c>
      <c r="R645" s="255">
        <f ca="1">R646+R647</f>
        <v>98620</v>
      </c>
      <c r="S645" s="255">
        <f ca="1">S646+S647</f>
        <v>1220</v>
      </c>
      <c r="T645" s="255">
        <f ca="1">IF(Q645&gt;0,S645*100/Q645,0)</f>
        <v>1.2370715879132022</v>
      </c>
      <c r="U645" s="255">
        <f ca="1">IF(R645&gt;0,S645*100/R645,0)</f>
        <v>1.2370715879132022</v>
      </c>
    </row>
    <row r="646" spans="1:21" ht="18.75" hidden="1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103">
        <v>0</v>
      </c>
      <c r="M646" s="102">
        <v>0</v>
      </c>
      <c r="N646" s="102">
        <v>0</v>
      </c>
      <c r="O646" s="102">
        <f>IF(L646&gt;0,N646*100/L646,0)</f>
        <v>0</v>
      </c>
      <c r="P646" s="102">
        <f>IF(M646&gt;0,N646*100/M646,0)</f>
        <v>0</v>
      </c>
      <c r="Q646" s="102">
        <v>0</v>
      </c>
      <c r="R646" s="102">
        <v>0</v>
      </c>
      <c r="S646" s="102">
        <v>0</v>
      </c>
      <c r="T646" s="102">
        <f>IF(Q646&gt;0,S646*100/Q646,0)</f>
        <v>0</v>
      </c>
      <c r="U646" s="102">
        <f>IF(R646&gt;0,S646*100/R646,0)</f>
        <v>0</v>
      </c>
    </row>
    <row r="647" spans="1:21" ht="18.75" hidden="1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256">
        <v>0</v>
      </c>
      <c r="M647" s="255">
        <v>0</v>
      </c>
      <c r="N647" s="255">
        <v>0</v>
      </c>
      <c r="O647" s="255">
        <f>IF(L647&gt;0,N647*100/L647,0)</f>
        <v>0</v>
      </c>
      <c r="P647" s="255">
        <f>IF(M647&gt;0,N647*100/M647,0)</f>
        <v>0</v>
      </c>
      <c r="Q647" s="255">
        <f ca="1">IFERROR(__xludf.DUMMYFUNCTION("IMPORTRANGE(""https://docs.google.com/spreadsheets/d/1ItG2mGa2ceCfYo0BwxsXqNm01IGEUdYcSSLTEv9YCik/edit?usp=sharing"",""เบิกจ่ายกองทุน!I50"")"),98620)</f>
        <v>98620</v>
      </c>
      <c r="R647" s="255">
        <f ca="1">IFERROR(__xludf.DUMMYFUNCTION("IMPORTRANGE(""https://docs.google.com/spreadsheets/d/1ItG2mGa2ceCfYo0BwxsXqNm01IGEUdYcSSLTEv9YCik/edit?usp=sharing"",""เบิกจ่ายกองทุน!J50"")"),98620)</f>
        <v>98620</v>
      </c>
      <c r="S647" s="255">
        <f ca="1">IFERROR(__xludf.DUMMYFUNCTION("IMPORTRANGE(""https://docs.google.com/spreadsheets/d/1ItG2mGa2ceCfYo0BwxsXqNm01IGEUdYcSSLTEv9YCik/edit?usp=sharing"",""เบิกจ่ายกองทุน!K50"")"),1220)</f>
        <v>1220</v>
      </c>
      <c r="T647" s="255">
        <f ca="1">IF(Q647&gt;0,S647*100/Q647,0)</f>
        <v>1.2370715879132022</v>
      </c>
      <c r="U647" s="255">
        <f ca="1">IF(R647&gt;0,S647*100/R647,0)</f>
        <v>1.2370715879132022</v>
      </c>
    </row>
    <row r="648" spans="1:21" ht="18.75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256">
        <f>L649+L650</f>
        <v>0</v>
      </c>
      <c r="M648" s="255">
        <f>M649+M650</f>
        <v>0</v>
      </c>
      <c r="N648" s="255">
        <f>N649+N650</f>
        <v>0</v>
      </c>
      <c r="O648" s="255">
        <f>IF(L648&gt;0,N648*100/L648,0)</f>
        <v>0</v>
      </c>
      <c r="P648" s="255">
        <f>IF(M648&gt;0,N648*100/M648,0)</f>
        <v>0</v>
      </c>
      <c r="Q648" s="255">
        <f>Q649+Q650</f>
        <v>0</v>
      </c>
      <c r="R648" s="255">
        <f>R649+R650</f>
        <v>0</v>
      </c>
      <c r="S648" s="255">
        <f>S649+S650</f>
        <v>0</v>
      </c>
      <c r="T648" s="255">
        <f>IF(Q648&gt;0,S648*100/Q648,0)</f>
        <v>0</v>
      </c>
      <c r="U648" s="255">
        <f>IF(R648&gt;0,S648*100/R648,0)</f>
        <v>0</v>
      </c>
    </row>
    <row r="649" spans="1:21" ht="18.75" hidden="1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103">
        <v>0</v>
      </c>
      <c r="M649" s="102">
        <v>0</v>
      </c>
      <c r="N649" s="102">
        <v>0</v>
      </c>
      <c r="O649" s="102">
        <f>IF(L649&gt;0,N649*100/L649,0)</f>
        <v>0</v>
      </c>
      <c r="P649" s="102">
        <f>IF(M649&gt;0,N649*100/M649,0)</f>
        <v>0</v>
      </c>
      <c r="Q649" s="102">
        <v>0</v>
      </c>
      <c r="R649" s="102">
        <v>0</v>
      </c>
      <c r="S649" s="102">
        <v>0</v>
      </c>
      <c r="T649" s="102">
        <f>IF(Q649&gt;0,S649*100/Q649,0)</f>
        <v>0</v>
      </c>
      <c r="U649" s="102">
        <f>IF(R649&gt;0,S649*100/R649,0)</f>
        <v>0</v>
      </c>
    </row>
    <row r="650" spans="1:21" ht="18.75" hidden="1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256">
        <v>0</v>
      </c>
      <c r="M650" s="255">
        <v>0</v>
      </c>
      <c r="N650" s="255">
        <v>0</v>
      </c>
      <c r="O650" s="255">
        <f>IF(L650&gt;0,N650*100/L650,0)</f>
        <v>0</v>
      </c>
      <c r="P650" s="255">
        <f>IF(M650&gt;0,N650*100/M650,0)</f>
        <v>0</v>
      </c>
      <c r="Q650" s="255">
        <v>0</v>
      </c>
      <c r="R650" s="255">
        <v>0</v>
      </c>
      <c r="S650" s="255">
        <v>0</v>
      </c>
      <c r="T650" s="255">
        <f>IF(Q650&gt;0,S650*100/Q650,0)</f>
        <v>0</v>
      </c>
      <c r="U650" s="255">
        <f>IF(R650&gt;0,S650*100/R650,0)</f>
        <v>0</v>
      </c>
    </row>
    <row r="651" spans="1:21" ht="19.5">
      <c r="A651" s="166"/>
      <c r="B651" s="167"/>
      <c r="C651" s="239" t="s">
        <v>18</v>
      </c>
      <c r="D651" s="571" t="s">
        <v>38</v>
      </c>
      <c r="E651" s="169"/>
      <c r="F651" s="169"/>
      <c r="G651" s="170"/>
      <c r="H651" s="206"/>
      <c r="I651" s="163"/>
      <c r="J651" s="163"/>
      <c r="K651" s="164"/>
      <c r="L651" s="172"/>
      <c r="M651" s="164"/>
      <c r="N651" s="164"/>
      <c r="O651" s="164"/>
      <c r="P651" s="164"/>
      <c r="Q651" s="55"/>
      <c r="R651" s="55"/>
      <c r="S651" s="55"/>
      <c r="T651" s="164"/>
      <c r="U651" s="164"/>
    </row>
    <row r="652" spans="1:21" ht="18.75" hidden="1">
      <c r="A652" s="238"/>
      <c r="B652" s="188"/>
      <c r="C652" s="188"/>
      <c r="D652" s="58" t="s">
        <v>238</v>
      </c>
      <c r="E652" s="50"/>
      <c r="F652" s="50"/>
      <c r="G652" s="52"/>
      <c r="H652" s="165" t="s">
        <v>46</v>
      </c>
      <c r="I652" s="570">
        <f ca="1">IFERROR(__xludf.DUMMYFUNCTION("IMPORTRANGE(""https://docs.google.com/spreadsheets/d/1eHaY18a8A9IcSdp1K8H6x8fbOy06t2VsZHhMHf-1x7Y/edit?usp=sharing"",""แผน!IF50"")"),450)</f>
        <v>450</v>
      </c>
      <c r="J652" s="212">
        <f ca="1">IFERROR(__xludf.DUMMYFUNCTION("IMPORTRANGE(""https://docs.google.com/spreadsheets/d/1tdoBKaGub7dwA3U6UFTqxio9LNnvDCQjHKmttSEBsFQ/edit?usp=sharing"",""จัดที่ดิน!AU50"")"),259.86)</f>
        <v>259.86</v>
      </c>
      <c r="K652" s="255">
        <f ca="1">IF(I652&gt;0,J652*100/I652,0)</f>
        <v>57.74666666666667</v>
      </c>
      <c r="L652" s="62"/>
      <c r="M652" s="55"/>
      <c r="N652" s="468"/>
      <c r="O652" s="55"/>
      <c r="P652" s="55"/>
      <c r="Q652" s="55"/>
      <c r="R652" s="55"/>
      <c r="S652" s="468"/>
      <c r="T652" s="55"/>
      <c r="U652" s="55"/>
    </row>
    <row r="653" spans="1:21" ht="18.75">
      <c r="A653" s="238"/>
      <c r="B653" s="188"/>
      <c r="C653" s="188"/>
      <c r="D653" s="58" t="s">
        <v>239</v>
      </c>
      <c r="E653" s="50"/>
      <c r="F653" s="50"/>
      <c r="G653" s="52"/>
      <c r="H653" s="165" t="s">
        <v>35</v>
      </c>
      <c r="I653" s="570">
        <f ca="1">IFERROR(__xludf.DUMMYFUNCTION("IMPORTRANGE(""https://docs.google.com/spreadsheets/d/1eHaY18a8A9IcSdp1K8H6x8fbOy06t2VsZHhMHf-1x7Y/edit?usp=sharing"",""แผน!IG50"")"),40)</f>
        <v>40</v>
      </c>
      <c r="J653" s="212">
        <f ca="1">IFERROR(__xludf.DUMMYFUNCTION("IMPORTRANGE(""https://docs.google.com/spreadsheets/d/1tdoBKaGub7dwA3U6UFTqxio9LNnvDCQjHKmttSEBsFQ/edit?usp=sharing"",""จัดที่ดิน!AW50"")"),16)</f>
        <v>16</v>
      </c>
      <c r="K653" s="255">
        <f ca="1">IF(I653&gt;0,J653*100/I653,0)</f>
        <v>40</v>
      </c>
      <c r="L653" s="62"/>
      <c r="M653" s="55"/>
      <c r="N653" s="468"/>
      <c r="O653" s="55"/>
      <c r="P653" s="55"/>
      <c r="Q653" s="55"/>
      <c r="R653" s="55"/>
      <c r="S653" s="468"/>
      <c r="T653" s="55"/>
      <c r="U653" s="55"/>
    </row>
    <row r="654" spans="1:21" ht="19.5" hidden="1">
      <c r="A654" s="238"/>
      <c r="B654" s="188"/>
      <c r="C654" s="188"/>
      <c r="D654" s="58" t="s">
        <v>240</v>
      </c>
      <c r="E654" s="50"/>
      <c r="F654" s="50"/>
      <c r="G654" s="52"/>
      <c r="H654" s="461" t="s">
        <v>46</v>
      </c>
      <c r="I654" s="569">
        <f ca="1">IFERROR(__xludf.DUMMYFUNCTION("IMPORTRANGE(""https://docs.google.com/spreadsheets/d/1eHaY18a8A9IcSdp1K8H6x8fbOy06t2VsZHhMHf-1x7Y/edit?usp=sharing"",""แผน!IH50"")"),0)</f>
        <v>0</v>
      </c>
      <c r="J654" s="373">
        <f>J657+J660</f>
        <v>0</v>
      </c>
      <c r="K654" s="540">
        <f ca="1">IF(I654&gt;0,J654*100/I654,0)</f>
        <v>0</v>
      </c>
      <c r="L654" s="62"/>
      <c r="M654" s="55"/>
      <c r="N654" s="468"/>
      <c r="O654" s="55"/>
      <c r="P654" s="55"/>
      <c r="Q654" s="55"/>
      <c r="R654" s="55"/>
      <c r="S654" s="468"/>
      <c r="T654" s="55"/>
      <c r="U654" s="55"/>
    </row>
    <row r="655" spans="1:21" ht="18.75" hidden="1">
      <c r="A655" s="238"/>
      <c r="B655" s="188"/>
      <c r="C655" s="188"/>
      <c r="D655" s="50"/>
      <c r="E655" s="58" t="s">
        <v>241</v>
      </c>
      <c r="F655" s="50"/>
      <c r="G655" s="52"/>
      <c r="H655" s="165" t="s">
        <v>35</v>
      </c>
      <c r="I655" s="208"/>
      <c r="J655" s="467">
        <v>0</v>
      </c>
      <c r="K655" s="55"/>
      <c r="L655" s="62"/>
      <c r="M655" s="55"/>
      <c r="N655" s="468"/>
      <c r="O655" s="55"/>
      <c r="P655" s="55"/>
      <c r="Q655" s="55"/>
      <c r="R655" s="55"/>
      <c r="S655" s="468"/>
      <c r="T655" s="55"/>
      <c r="U655" s="55"/>
    </row>
    <row r="656" spans="1:21" ht="18.75" hidden="1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67">
        <v>0</v>
      </c>
      <c r="K656" s="55"/>
      <c r="L656" s="62"/>
      <c r="M656" s="55"/>
      <c r="N656" s="468"/>
      <c r="O656" s="55"/>
      <c r="P656" s="55"/>
      <c r="Q656" s="55"/>
      <c r="R656" s="55"/>
      <c r="S656" s="468"/>
      <c r="T656" s="55"/>
      <c r="U656" s="55"/>
    </row>
    <row r="657" spans="1:21" ht="18.75" hidden="1">
      <c r="A657" s="238"/>
      <c r="B657" s="188"/>
      <c r="C657" s="188"/>
      <c r="D657" s="50"/>
      <c r="E657" s="50"/>
      <c r="F657" s="50"/>
      <c r="G657" s="52"/>
      <c r="H657" s="165" t="s">
        <v>46</v>
      </c>
      <c r="I657" s="570">
        <f ca="1">IFERROR(__xludf.DUMMYFUNCTION("IMPORTRANGE(""https://docs.google.com/spreadsheets/d/1eHaY18a8A9IcSdp1K8H6x8fbOy06t2VsZHhMHf-1x7Y/edit?usp=sharing"",""แผน!II50"")"),0)</f>
        <v>0</v>
      </c>
      <c r="J657" s="467">
        <v>0</v>
      </c>
      <c r="K657" s="55"/>
      <c r="L657" s="62"/>
      <c r="M657" s="55"/>
      <c r="N657" s="468"/>
      <c r="O657" s="55"/>
      <c r="P657" s="55"/>
      <c r="Q657" s="55"/>
      <c r="R657" s="55"/>
      <c r="S657" s="468"/>
      <c r="T657" s="55"/>
      <c r="U657" s="55"/>
    </row>
    <row r="658" spans="1:21" ht="18.75" hidden="1">
      <c r="A658" s="238"/>
      <c r="B658" s="188"/>
      <c r="C658" s="188"/>
      <c r="D658" s="50"/>
      <c r="E658" s="58" t="s">
        <v>242</v>
      </c>
      <c r="F658" s="50"/>
      <c r="G658" s="52"/>
      <c r="H658" s="165" t="s">
        <v>35</v>
      </c>
      <c r="I658" s="208"/>
      <c r="J658" s="467">
        <v>0</v>
      </c>
      <c r="K658" s="55"/>
      <c r="L658" s="62"/>
      <c r="M658" s="55"/>
      <c r="N658" s="468"/>
      <c r="O658" s="55"/>
      <c r="P658" s="55"/>
      <c r="Q658" s="55"/>
      <c r="R658" s="55"/>
      <c r="S658" s="468"/>
      <c r="T658" s="55"/>
      <c r="U658" s="55"/>
    </row>
    <row r="659" spans="1:21" ht="18.75" hidden="1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67">
        <v>0</v>
      </c>
      <c r="K659" s="55"/>
      <c r="L659" s="62"/>
      <c r="M659" s="55"/>
      <c r="N659" s="468"/>
      <c r="O659" s="55"/>
      <c r="P659" s="55"/>
      <c r="Q659" s="55"/>
      <c r="R659" s="55"/>
      <c r="S659" s="468"/>
      <c r="T659" s="55"/>
      <c r="U659" s="55"/>
    </row>
    <row r="660" spans="1:21" ht="18.75" hidden="1">
      <c r="A660" s="238"/>
      <c r="B660" s="188"/>
      <c r="C660" s="188"/>
      <c r="D660" s="50"/>
      <c r="E660" s="50"/>
      <c r="F660" s="50"/>
      <c r="G660" s="52"/>
      <c r="H660" s="165" t="s">
        <v>46</v>
      </c>
      <c r="I660" s="570">
        <f ca="1">IFERROR(__xludf.DUMMYFUNCTION("IMPORTRANGE(""https://docs.google.com/spreadsheets/d/1eHaY18a8A9IcSdp1K8H6x8fbOy06t2VsZHhMHf-1x7Y/edit?usp=sharing"",""แผน!IJ50"")"),0)</f>
        <v>0</v>
      </c>
      <c r="J660" s="467">
        <v>0</v>
      </c>
      <c r="K660" s="55"/>
      <c r="L660" s="62"/>
      <c r="M660" s="55"/>
      <c r="N660" s="468"/>
      <c r="O660" s="55"/>
      <c r="P660" s="55"/>
      <c r="Q660" s="55"/>
      <c r="R660" s="55"/>
      <c r="S660" s="468"/>
      <c r="T660" s="55"/>
      <c r="U660" s="55"/>
    </row>
    <row r="661" spans="1:21" ht="19.5" hidden="1">
      <c r="A661" s="238"/>
      <c r="B661" s="188"/>
      <c r="C661" s="188"/>
      <c r="D661" s="377" t="s">
        <v>243</v>
      </c>
      <c r="E661" s="50"/>
      <c r="F661" s="50"/>
      <c r="G661" s="52"/>
      <c r="H661" s="461" t="s">
        <v>46</v>
      </c>
      <c r="I661" s="569">
        <f ca="1">IFERROR(__xludf.DUMMYFUNCTION("IMPORTRANGE(""https://docs.google.com/spreadsheets/d/1eHaY18a8A9IcSdp1K8H6x8fbOy06t2VsZHhMHf-1x7Y/edit?usp=sharing"",""แผน!IK50"")"),0)</f>
        <v>0</v>
      </c>
      <c r="J661" s="373">
        <f>J667+J670</f>
        <v>0</v>
      </c>
      <c r="K661" s="540">
        <f ca="1">IF(I661&gt;0,J661*100/I661,0)</f>
        <v>0</v>
      </c>
      <c r="L661" s="62"/>
      <c r="M661" s="55"/>
      <c r="N661" s="468"/>
      <c r="O661" s="55"/>
      <c r="P661" s="55"/>
      <c r="Q661" s="55"/>
      <c r="R661" s="55"/>
      <c r="S661" s="468"/>
      <c r="T661" s="55"/>
      <c r="U661" s="55"/>
    </row>
    <row r="662" spans="1:21" ht="18.75" hidden="1">
      <c r="A662" s="238"/>
      <c r="B662" s="188"/>
      <c r="C662" s="188"/>
      <c r="D662" s="50"/>
      <c r="E662" s="58" t="s">
        <v>244</v>
      </c>
      <c r="F662" s="50"/>
      <c r="G662" s="52"/>
      <c r="H662" s="165" t="s">
        <v>34</v>
      </c>
      <c r="I662" s="208"/>
      <c r="J662" s="467">
        <v>0</v>
      </c>
      <c r="K662" s="55"/>
      <c r="L662" s="469"/>
      <c r="M662" s="55"/>
      <c r="N662" s="468"/>
      <c r="O662" s="55"/>
      <c r="P662" s="55"/>
      <c r="Q662" s="468"/>
      <c r="R662" s="55"/>
      <c r="S662" s="468"/>
      <c r="T662" s="55"/>
      <c r="U662" s="55"/>
    </row>
    <row r="663" spans="1:21" ht="18.75" hidden="1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67">
        <v>0</v>
      </c>
      <c r="K663" s="55"/>
      <c r="L663" s="469"/>
      <c r="M663" s="55"/>
      <c r="N663" s="468"/>
      <c r="O663" s="55"/>
      <c r="P663" s="55"/>
      <c r="Q663" s="468"/>
      <c r="R663" s="55"/>
      <c r="S663" s="468"/>
      <c r="T663" s="55"/>
      <c r="U663" s="55"/>
    </row>
    <row r="664" spans="1:21" ht="18.75" hidden="1">
      <c r="A664" s="238"/>
      <c r="B664" s="188"/>
      <c r="C664" s="188"/>
      <c r="D664" s="50"/>
      <c r="E664" s="58" t="s">
        <v>245</v>
      </c>
      <c r="F664" s="50"/>
      <c r="G664" s="52"/>
      <c r="H664" s="206"/>
      <c r="I664" s="208"/>
      <c r="J664" s="54"/>
      <c r="K664" s="55"/>
      <c r="L664" s="469"/>
      <c r="M664" s="55"/>
      <c r="N664" s="468"/>
      <c r="O664" s="55"/>
      <c r="P664" s="55"/>
      <c r="Q664" s="468"/>
      <c r="R664" s="55"/>
      <c r="S664" s="468"/>
      <c r="T664" s="55"/>
      <c r="U664" s="55"/>
    </row>
    <row r="665" spans="1:21" ht="18.75" hidden="1">
      <c r="A665" s="238"/>
      <c r="B665" s="188"/>
      <c r="C665" s="188"/>
      <c r="D665" s="50"/>
      <c r="E665" s="50"/>
      <c r="F665" s="58" t="s">
        <v>246</v>
      </c>
      <c r="G665" s="52"/>
      <c r="H665" s="165" t="s">
        <v>35</v>
      </c>
      <c r="I665" s="208"/>
      <c r="J665" s="467">
        <v>0</v>
      </c>
      <c r="K665" s="55"/>
      <c r="L665" s="469"/>
      <c r="M665" s="55"/>
      <c r="N665" s="468"/>
      <c r="O665" s="55"/>
      <c r="P665" s="55"/>
      <c r="Q665" s="468"/>
      <c r="R665" s="55"/>
      <c r="S665" s="468"/>
      <c r="T665" s="55"/>
      <c r="U665" s="55"/>
    </row>
    <row r="666" spans="1:21" ht="18.75" hidden="1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67">
        <v>0</v>
      </c>
      <c r="K666" s="55"/>
      <c r="L666" s="469"/>
      <c r="M666" s="55"/>
      <c r="N666" s="468"/>
      <c r="O666" s="55"/>
      <c r="P666" s="55"/>
      <c r="Q666" s="468"/>
      <c r="R666" s="55"/>
      <c r="S666" s="468"/>
      <c r="T666" s="55"/>
      <c r="U666" s="55"/>
    </row>
    <row r="667" spans="1:21" ht="18.75" hidden="1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67">
        <v>0</v>
      </c>
      <c r="K667" s="55"/>
      <c r="L667" s="469"/>
      <c r="M667" s="55"/>
      <c r="N667" s="468"/>
      <c r="O667" s="55"/>
      <c r="P667" s="55"/>
      <c r="Q667" s="468"/>
      <c r="R667" s="55"/>
      <c r="S667" s="468"/>
      <c r="T667" s="55"/>
      <c r="U667" s="55"/>
    </row>
    <row r="668" spans="1:21" ht="18.75" hidden="1">
      <c r="A668" s="238"/>
      <c r="B668" s="188"/>
      <c r="C668" s="188"/>
      <c r="D668" s="50"/>
      <c r="E668" s="50"/>
      <c r="F668" s="58" t="s">
        <v>247</v>
      </c>
      <c r="G668" s="52"/>
      <c r="H668" s="165" t="s">
        <v>35</v>
      </c>
      <c r="I668" s="208"/>
      <c r="J668" s="467">
        <v>0</v>
      </c>
      <c r="K668" s="55"/>
      <c r="L668" s="469"/>
      <c r="M668" s="55"/>
      <c r="N668" s="468"/>
      <c r="O668" s="55"/>
      <c r="P668" s="55"/>
      <c r="Q668" s="468"/>
      <c r="R668" s="55"/>
      <c r="S668" s="468"/>
      <c r="T668" s="55"/>
      <c r="U668" s="55"/>
    </row>
    <row r="669" spans="1:21" ht="18.75" hidden="1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67">
        <v>0</v>
      </c>
      <c r="K669" s="55"/>
      <c r="L669" s="469"/>
      <c r="M669" s="55"/>
      <c r="N669" s="468"/>
      <c r="O669" s="55"/>
      <c r="P669" s="55"/>
      <c r="Q669" s="468"/>
      <c r="R669" s="55"/>
      <c r="S669" s="468"/>
      <c r="T669" s="55"/>
      <c r="U669" s="55"/>
    </row>
    <row r="670" spans="1:21" ht="18.75" hidden="1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67">
        <v>0</v>
      </c>
      <c r="K670" s="55"/>
      <c r="L670" s="469"/>
      <c r="M670" s="55"/>
      <c r="N670" s="468"/>
      <c r="O670" s="55"/>
      <c r="P670" s="55"/>
      <c r="Q670" s="468"/>
      <c r="R670" s="55"/>
      <c r="S670" s="468"/>
      <c r="T670" s="55"/>
      <c r="U670" s="55"/>
    </row>
    <row r="671" spans="1:21" ht="18.75">
      <c r="A671" s="238"/>
      <c r="B671" s="188"/>
      <c r="C671" s="188"/>
      <c r="D671" s="58" t="s">
        <v>248</v>
      </c>
      <c r="E671" s="50"/>
      <c r="F671" s="50"/>
      <c r="G671" s="52"/>
      <c r="H671" s="165" t="s">
        <v>35</v>
      </c>
      <c r="I671" s="208"/>
      <c r="J671" s="212">
        <f ca="1">IFERROR(__xludf.DUMMYFUNCTION("IMPORTRANGE(""https://docs.google.com/spreadsheets/d/1tdoBKaGub7dwA3U6UFTqxio9LNnvDCQjHKmttSEBsFQ/edit?usp=sharing"",""จัดที่ดิน!AY50"")"),0)</f>
        <v>0</v>
      </c>
      <c r="K671" s="55"/>
      <c r="L671" s="62"/>
      <c r="M671" s="55"/>
      <c r="N671" s="468"/>
      <c r="O671" s="55"/>
      <c r="P671" s="55"/>
      <c r="Q671" s="55"/>
      <c r="R671" s="55"/>
      <c r="S671" s="468"/>
      <c r="T671" s="55"/>
      <c r="U671" s="55"/>
    </row>
    <row r="672" spans="1:21" ht="18.75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212">
        <f ca="1">IFERROR(__xludf.DUMMYFUNCTION("IMPORTRANGE(""https://docs.google.com/spreadsheets/d/1tdoBKaGub7dwA3U6UFTqxio9LNnvDCQjHKmttSEBsFQ/edit?usp=sharing"",""จัดที่ดิน!AZ50"")"),0)</f>
        <v>0</v>
      </c>
      <c r="K672" s="55"/>
      <c r="L672" s="469"/>
      <c r="M672" s="55"/>
      <c r="N672" s="468"/>
      <c r="O672" s="55"/>
      <c r="P672" s="55"/>
      <c r="Q672" s="468"/>
      <c r="R672" s="55"/>
      <c r="S672" s="468"/>
      <c r="T672" s="55"/>
      <c r="U672" s="55"/>
    </row>
    <row r="673" spans="1:21" ht="18.75">
      <c r="A673" s="238"/>
      <c r="B673" s="188"/>
      <c r="C673" s="188"/>
      <c r="D673" s="50"/>
      <c r="E673" s="50"/>
      <c r="F673" s="50"/>
      <c r="G673" s="52"/>
      <c r="H673" s="165" t="s">
        <v>46</v>
      </c>
      <c r="I673" s="570">
        <f ca="1">IFERROR(__xludf.DUMMYFUNCTION("IMPORTRANGE(""https://docs.google.com/spreadsheets/d/1eHaY18a8A9IcSdp1K8H6x8fbOy06t2VsZHhMHf-1x7Y/edit?usp=sharing"",""แผน!IL50"")"),47)</f>
        <v>47</v>
      </c>
      <c r="J673" s="212">
        <f ca="1">IFERROR(__xludf.DUMMYFUNCTION("IMPORTRANGE(""https://docs.google.com/spreadsheets/d/1tdoBKaGub7dwA3U6UFTqxio9LNnvDCQjHKmttSEBsFQ/edit?usp=sharing"",""จัดที่ดิน!BA50"")"),0)</f>
        <v>0</v>
      </c>
      <c r="K673" s="255">
        <f ca="1">IF(I673&gt;0,J673*100/I673,0)</f>
        <v>0</v>
      </c>
      <c r="L673" s="469"/>
      <c r="M673" s="55"/>
      <c r="N673" s="468"/>
      <c r="O673" s="55"/>
      <c r="P673" s="55"/>
      <c r="Q673" s="468"/>
      <c r="R673" s="55"/>
      <c r="S673" s="468"/>
      <c r="T673" s="55"/>
      <c r="U673" s="55"/>
    </row>
    <row r="674" spans="1:21" ht="19.5" hidden="1">
      <c r="A674" s="238"/>
      <c r="B674" s="188"/>
      <c r="C674" s="188"/>
      <c r="D674" s="58" t="s">
        <v>249</v>
      </c>
      <c r="E674" s="50"/>
      <c r="F674" s="50"/>
      <c r="G674" s="52"/>
      <c r="H674" s="461" t="s">
        <v>35</v>
      </c>
      <c r="I674" s="569">
        <f ca="1">IFERROR(__xludf.DUMMYFUNCTION("IMPORTRANGE(""https://docs.google.com/spreadsheets/d/1eHaY18a8A9IcSdp1K8H6x8fbOy06t2VsZHhMHf-1x7Y/edit?usp=sharing"",""แผน!IM50"")"),0)</f>
        <v>0</v>
      </c>
      <c r="J674" s="373">
        <f ca="1">J676+J679</f>
        <v>0</v>
      </c>
      <c r="K674" s="540">
        <f ca="1">IF(I674&gt;0,J674*100/I674,0)</f>
        <v>0</v>
      </c>
      <c r="L674" s="469"/>
      <c r="M674" s="55"/>
      <c r="N674" s="468"/>
      <c r="O674" s="55"/>
      <c r="P674" s="55"/>
      <c r="Q674" s="468"/>
      <c r="R674" s="55"/>
      <c r="S674" s="468"/>
      <c r="T674" s="55"/>
      <c r="U674" s="55"/>
    </row>
    <row r="675" spans="1:21" ht="19.5" hidden="1">
      <c r="A675" s="238"/>
      <c r="B675" s="188"/>
      <c r="C675" s="188"/>
      <c r="D675" s="50"/>
      <c r="E675" s="50"/>
      <c r="F675" s="50"/>
      <c r="G675" s="52"/>
      <c r="H675" s="461" t="s">
        <v>46</v>
      </c>
      <c r="I675" s="569">
        <f ca="1">IFERROR(__xludf.DUMMYFUNCTION("IMPORTRANGE(""https://docs.google.com/spreadsheets/d/1eHaY18a8A9IcSdp1K8H6x8fbOy06t2VsZHhMHf-1x7Y/edit?usp=sharing"",""แผน!IN50"")"),0)</f>
        <v>0</v>
      </c>
      <c r="J675" s="373">
        <f ca="1">J678+J681</f>
        <v>0</v>
      </c>
      <c r="K675" s="540">
        <f ca="1">IF(I675&gt;0,J675*100/I675,0)</f>
        <v>0</v>
      </c>
      <c r="L675" s="62"/>
      <c r="M675" s="55"/>
      <c r="N675" s="468"/>
      <c r="O675" s="55"/>
      <c r="P675" s="55"/>
      <c r="Q675" s="55"/>
      <c r="R675" s="55"/>
      <c r="S675" s="468"/>
      <c r="T675" s="55"/>
      <c r="U675" s="55"/>
    </row>
    <row r="676" spans="1:21" ht="18.75" hidden="1">
      <c r="A676" s="238"/>
      <c r="B676" s="188"/>
      <c r="C676" s="188"/>
      <c r="D676" s="50"/>
      <c r="E676" s="58" t="s">
        <v>250</v>
      </c>
      <c r="F676" s="50"/>
      <c r="G676" s="52"/>
      <c r="H676" s="165" t="s">
        <v>35</v>
      </c>
      <c r="I676" s="570">
        <f ca="1">IFERROR(__xludf.DUMMYFUNCTION("IMPORTRANGE(""https://docs.google.com/spreadsheets/d/1eHaY18a8A9IcSdp1K8H6x8fbOy06t2VsZHhMHf-1x7Y/edit?usp=sharing"",""แผน!IO50"")"),0)</f>
        <v>0</v>
      </c>
      <c r="J676" s="212">
        <f ca="1">IFERROR(__xludf.DUMMYFUNCTION("IMPORTRANGE(""https://docs.google.com/spreadsheets/d/1tdoBKaGub7dwA3U6UFTqxio9LNnvDCQjHKmttSEBsFQ/edit?usp=sharing"",""จัดที่ดิน!BF50"")"),0)</f>
        <v>0</v>
      </c>
      <c r="K676" s="255">
        <f ca="1">IF(I676&gt;0,J676*100/I676,0)</f>
        <v>0</v>
      </c>
      <c r="L676" s="62"/>
      <c r="M676" s="55"/>
      <c r="N676" s="468"/>
      <c r="O676" s="55"/>
      <c r="P676" s="55"/>
      <c r="Q676" s="55"/>
      <c r="R676" s="55"/>
      <c r="S676" s="468"/>
      <c r="T676" s="55"/>
      <c r="U676" s="55"/>
    </row>
    <row r="677" spans="1:21" ht="18.75" hidden="1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212">
        <f ca="1">IFERROR(__xludf.DUMMYFUNCTION("IMPORTRANGE(""https://docs.google.com/spreadsheets/d/1tdoBKaGub7dwA3U6UFTqxio9LNnvDCQjHKmttSEBsFQ/edit?usp=sharing"",""จัดที่ดิน!BG50"")"),0)</f>
        <v>0</v>
      </c>
      <c r="K677" s="55"/>
      <c r="L677" s="469"/>
      <c r="M677" s="55"/>
      <c r="N677" s="468"/>
      <c r="O677" s="55"/>
      <c r="P677" s="55"/>
      <c r="Q677" s="468"/>
      <c r="R677" s="55"/>
      <c r="S677" s="468"/>
      <c r="T677" s="55"/>
      <c r="U677" s="55"/>
    </row>
    <row r="678" spans="1:21" ht="18.75" hidden="1">
      <c r="A678" s="238"/>
      <c r="B678" s="188"/>
      <c r="C678" s="188"/>
      <c r="D678" s="50"/>
      <c r="E678" s="50"/>
      <c r="F678" s="50"/>
      <c r="G678" s="52"/>
      <c r="H678" s="165" t="s">
        <v>46</v>
      </c>
      <c r="I678" s="570">
        <f ca="1">IFERROR(__xludf.DUMMYFUNCTION("IMPORTRANGE(""https://docs.google.com/spreadsheets/d/1eHaY18a8A9IcSdp1K8H6x8fbOy06t2VsZHhMHf-1x7Y/edit?usp=sharing"",""แผน!IP50"")"),0)</f>
        <v>0</v>
      </c>
      <c r="J678" s="212">
        <f ca="1">IFERROR(__xludf.DUMMYFUNCTION("IMPORTRANGE(""https://docs.google.com/spreadsheets/d/1tdoBKaGub7dwA3U6UFTqxio9LNnvDCQjHKmttSEBsFQ/edit?usp=sharing"",""จัดที่ดิน!BH50"")"),0)</f>
        <v>0</v>
      </c>
      <c r="K678" s="255">
        <f ca="1">IF(I678&gt;0,J678*100/I678,0)</f>
        <v>0</v>
      </c>
      <c r="L678" s="469"/>
      <c r="M678" s="55"/>
      <c r="N678" s="468"/>
      <c r="O678" s="55"/>
      <c r="P678" s="55"/>
      <c r="Q678" s="468"/>
      <c r="R678" s="55"/>
      <c r="S678" s="468"/>
      <c r="T678" s="55"/>
      <c r="U678" s="55"/>
    </row>
    <row r="679" spans="1:21" ht="18.75" hidden="1">
      <c r="A679" s="238"/>
      <c r="B679" s="188"/>
      <c r="C679" s="188"/>
      <c r="D679" s="50"/>
      <c r="E679" s="58" t="s">
        <v>251</v>
      </c>
      <c r="F679" s="50"/>
      <c r="G679" s="52"/>
      <c r="H679" s="165" t="s">
        <v>35</v>
      </c>
      <c r="I679" s="570">
        <f ca="1">IFERROR(__xludf.DUMMYFUNCTION("IMPORTRANGE(""https://docs.google.com/spreadsheets/d/1eHaY18a8A9IcSdp1K8H6x8fbOy06t2VsZHhMHf-1x7Y/edit?usp=sharing"",""แผน!IQ50"")"),0)</f>
        <v>0</v>
      </c>
      <c r="J679" s="212">
        <f ca="1">IFERROR(__xludf.DUMMYFUNCTION("IMPORTRANGE(""https://docs.google.com/spreadsheets/d/1tdoBKaGub7dwA3U6UFTqxio9LNnvDCQjHKmttSEBsFQ/edit?usp=sharing"",""จัดที่ดิน!BK50"")"),0)</f>
        <v>0</v>
      </c>
      <c r="K679" s="255">
        <f ca="1">IF(I679&gt;0,J679*100/I679,0)</f>
        <v>0</v>
      </c>
      <c r="L679" s="62"/>
      <c r="M679" s="55"/>
      <c r="N679" s="468"/>
      <c r="O679" s="55"/>
      <c r="P679" s="55"/>
      <c r="Q679" s="55"/>
      <c r="R679" s="55"/>
      <c r="S679" s="468"/>
      <c r="T679" s="55"/>
      <c r="U679" s="55"/>
    </row>
    <row r="680" spans="1:21" ht="18.75" hidden="1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212">
        <f ca="1">IFERROR(__xludf.DUMMYFUNCTION("IMPORTRANGE(""https://docs.google.com/spreadsheets/d/1tdoBKaGub7dwA3U6UFTqxio9LNnvDCQjHKmttSEBsFQ/edit?usp=sharing"",""จัดที่ดิน!BL50"")"),0)</f>
        <v>0</v>
      </c>
      <c r="K680" s="55"/>
      <c r="L680" s="469"/>
      <c r="M680" s="55"/>
      <c r="N680" s="468"/>
      <c r="O680" s="55"/>
      <c r="P680" s="55"/>
      <c r="Q680" s="468"/>
      <c r="R680" s="55"/>
      <c r="S680" s="468"/>
      <c r="T680" s="55"/>
      <c r="U680" s="55"/>
    </row>
    <row r="681" spans="1:21" ht="18.75" hidden="1">
      <c r="A681" s="238"/>
      <c r="B681" s="188"/>
      <c r="C681" s="188"/>
      <c r="D681" s="50"/>
      <c r="E681" s="50"/>
      <c r="F681" s="50"/>
      <c r="G681" s="52"/>
      <c r="H681" s="165" t="s">
        <v>46</v>
      </c>
      <c r="I681" s="570">
        <f ca="1">IFERROR(__xludf.DUMMYFUNCTION("IMPORTRANGE(""https://docs.google.com/spreadsheets/d/1eHaY18a8A9IcSdp1K8H6x8fbOy06t2VsZHhMHf-1x7Y/edit?usp=sharing"",""แผน!IR50"")"),0)</f>
        <v>0</v>
      </c>
      <c r="J681" s="212">
        <f ca="1">IFERROR(__xludf.DUMMYFUNCTION("IMPORTRANGE(""https://docs.google.com/spreadsheets/d/1tdoBKaGub7dwA3U6UFTqxio9LNnvDCQjHKmttSEBsFQ/edit?usp=sharing"",""จัดที่ดิน!BM50"")"),0)</f>
        <v>0</v>
      </c>
      <c r="K681" s="255">
        <f ca="1">IF(I681&gt;0,J681*100/I681,0)</f>
        <v>0</v>
      </c>
      <c r="L681" s="469"/>
      <c r="M681" s="55"/>
      <c r="N681" s="468"/>
      <c r="O681" s="55"/>
      <c r="P681" s="55"/>
      <c r="Q681" s="468"/>
      <c r="R681" s="55"/>
      <c r="S681" s="468"/>
      <c r="T681" s="55"/>
      <c r="U681" s="55"/>
    </row>
    <row r="682" spans="1:21" ht="19.5">
      <c r="A682" s="238"/>
      <c r="B682" s="188"/>
      <c r="C682" s="188"/>
      <c r="D682" s="58" t="s">
        <v>252</v>
      </c>
      <c r="E682" s="50"/>
      <c r="F682" s="50"/>
      <c r="G682" s="52"/>
      <c r="H682" s="461" t="s">
        <v>46</v>
      </c>
      <c r="I682" s="569">
        <f ca="1">IFERROR(__xludf.DUMMYFUNCTION("IMPORTRANGE(""https://docs.google.com/spreadsheets/d/1eHaY18a8A9IcSdp1K8H6x8fbOy06t2VsZHhMHf-1x7Y/edit?usp=sharing"",""แผน!IS50"")"),450)</f>
        <v>450</v>
      </c>
      <c r="J682" s="373">
        <f>J685+J688</f>
        <v>136</v>
      </c>
      <c r="K682" s="540">
        <f ca="1">IF(I682&gt;0,J682*100/I682,0)</f>
        <v>30.222222222222221</v>
      </c>
      <c r="L682" s="62"/>
      <c r="M682" s="55"/>
      <c r="N682" s="468"/>
      <c r="O682" s="55"/>
      <c r="P682" s="55"/>
      <c r="Q682" s="55"/>
      <c r="R682" s="55"/>
      <c r="S682" s="468"/>
      <c r="T682" s="55"/>
      <c r="U682" s="55"/>
    </row>
    <row r="683" spans="1:21" ht="18.75">
      <c r="A683" s="238"/>
      <c r="B683" s="188"/>
      <c r="C683" s="188"/>
      <c r="D683" s="50"/>
      <c r="E683" s="58" t="s">
        <v>253</v>
      </c>
      <c r="F683" s="50"/>
      <c r="G683" s="52"/>
      <c r="H683" s="165" t="s">
        <v>35</v>
      </c>
      <c r="I683" s="208"/>
      <c r="J683" s="467">
        <v>0</v>
      </c>
      <c r="K683" s="55"/>
      <c r="L683" s="469"/>
      <c r="M683" s="55"/>
      <c r="N683" s="468"/>
      <c r="O683" s="55"/>
      <c r="P683" s="55"/>
      <c r="Q683" s="468"/>
      <c r="R683" s="55"/>
      <c r="S683" s="468"/>
      <c r="T683" s="55"/>
      <c r="U683" s="55"/>
    </row>
    <row r="684" spans="1:21" ht="18.75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467">
        <v>0</v>
      </c>
      <c r="K684" s="55"/>
      <c r="L684" s="469"/>
      <c r="M684" s="55"/>
      <c r="N684" s="468"/>
      <c r="O684" s="55"/>
      <c r="P684" s="55"/>
      <c r="Q684" s="468"/>
      <c r="R684" s="55"/>
      <c r="S684" s="468"/>
      <c r="T684" s="55"/>
      <c r="U684" s="55"/>
    </row>
    <row r="685" spans="1:21" ht="18.75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467">
        <v>0</v>
      </c>
      <c r="K685" s="55"/>
      <c r="L685" s="469"/>
      <c r="M685" s="55"/>
      <c r="N685" s="468"/>
      <c r="O685" s="55"/>
      <c r="P685" s="55"/>
      <c r="Q685" s="468"/>
      <c r="R685" s="55"/>
      <c r="S685" s="468"/>
      <c r="T685" s="55"/>
      <c r="U685" s="55"/>
    </row>
    <row r="686" spans="1:21" ht="18.75">
      <c r="A686" s="238"/>
      <c r="B686" s="188"/>
      <c r="C686" s="188"/>
      <c r="D686" s="50"/>
      <c r="E686" s="58" t="s">
        <v>254</v>
      </c>
      <c r="F686" s="50"/>
      <c r="G686" s="52"/>
      <c r="H686" s="165" t="s">
        <v>35</v>
      </c>
      <c r="I686" s="208"/>
      <c r="J686" s="467">
        <v>13</v>
      </c>
      <c r="K686" s="55"/>
      <c r="L686" s="469"/>
      <c r="M686" s="55"/>
      <c r="N686" s="468"/>
      <c r="O686" s="55"/>
      <c r="P686" s="55"/>
      <c r="Q686" s="468"/>
      <c r="R686" s="55"/>
      <c r="S686" s="468"/>
      <c r="T686" s="55"/>
      <c r="U686" s="55"/>
    </row>
    <row r="687" spans="1:21" ht="18.75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467">
        <v>13</v>
      </c>
      <c r="K687" s="55"/>
      <c r="L687" s="469"/>
      <c r="M687" s="55"/>
      <c r="N687" s="468"/>
      <c r="O687" s="55"/>
      <c r="P687" s="55"/>
      <c r="Q687" s="468"/>
      <c r="R687" s="55"/>
      <c r="S687" s="468"/>
      <c r="T687" s="55"/>
      <c r="U687" s="55"/>
    </row>
    <row r="688" spans="1:21" ht="19.5">
      <c r="A688" s="281"/>
      <c r="B688" s="470" t="s">
        <v>255</v>
      </c>
      <c r="C688" s="282"/>
      <c r="D688" s="2"/>
      <c r="E688" s="2"/>
      <c r="F688" s="2"/>
      <c r="G688" s="284"/>
      <c r="H688" s="214" t="s">
        <v>46</v>
      </c>
      <c r="I688" s="375"/>
      <c r="J688" s="538">
        <v>136</v>
      </c>
      <c r="K688" s="6"/>
      <c r="L688" s="472"/>
      <c r="M688" s="6"/>
      <c r="N688" s="471"/>
      <c r="O688" s="6"/>
      <c r="P688" s="6"/>
      <c r="Q688" s="471"/>
      <c r="R688" s="6"/>
      <c r="S688" s="471"/>
      <c r="T688" s="6"/>
      <c r="U688" s="6"/>
    </row>
    <row r="689" spans="1:21" ht="19.5">
      <c r="A689" s="442"/>
      <c r="B689" s="443" t="s">
        <v>256</v>
      </c>
      <c r="C689" s="442"/>
      <c r="D689" s="444"/>
      <c r="E689" s="444"/>
      <c r="F689" s="444"/>
      <c r="G689" s="445"/>
      <c r="H689" s="473" t="s">
        <v>35</v>
      </c>
      <c r="I689" s="544">
        <f ca="1">I707</f>
        <v>620</v>
      </c>
      <c r="J689" s="544">
        <f ca="1">J707</f>
        <v>0</v>
      </c>
      <c r="K689" s="543">
        <f ca="1">IF(I689&gt;0,J689*100/I689,0)</f>
        <v>0</v>
      </c>
      <c r="L689" s="449"/>
      <c r="M689" s="448"/>
      <c r="N689" s="448"/>
      <c r="O689" s="448"/>
      <c r="P689" s="448"/>
      <c r="Q689" s="448"/>
      <c r="R689" s="448"/>
      <c r="S689" s="448"/>
      <c r="T689" s="448"/>
      <c r="U689" s="448"/>
    </row>
    <row r="690" spans="1:21" ht="19.5">
      <c r="A690" s="155"/>
      <c r="B690" s="188"/>
      <c r="C690" s="205" t="s">
        <v>18</v>
      </c>
      <c r="D690" s="542" t="s">
        <v>19</v>
      </c>
      <c r="E690" s="529"/>
      <c r="F690" s="529"/>
      <c r="G690" s="530"/>
      <c r="H690" s="252" t="s">
        <v>14</v>
      </c>
      <c r="I690" s="54"/>
      <c r="J690" s="54"/>
      <c r="K690" s="55"/>
      <c r="L690" s="541">
        <f>L691+L692</f>
        <v>0</v>
      </c>
      <c r="M690" s="540">
        <f>M691+M692</f>
        <v>0</v>
      </c>
      <c r="N690" s="540">
        <f>N691+N692</f>
        <v>0</v>
      </c>
      <c r="O690" s="540">
        <f>IF(L690&gt;0,N690*100/L690,0)</f>
        <v>0</v>
      </c>
      <c r="P690" s="540">
        <f>IF(M690&gt;0,N690*100/M690,0)</f>
        <v>0</v>
      </c>
      <c r="Q690" s="540">
        <f ca="1">Q691+Q692</f>
        <v>523350</v>
      </c>
      <c r="R690" s="540">
        <f ca="1">R691+R692</f>
        <v>523350</v>
      </c>
      <c r="S690" s="540">
        <f ca="1">S691+S692</f>
        <v>165736</v>
      </c>
      <c r="T690" s="540">
        <f ca="1">IF(Q690&gt;0,S690*100/Q690,0)</f>
        <v>31.668290818763733</v>
      </c>
      <c r="U690" s="540">
        <f ca="1">IF(R690&gt;0,S690*100/R690,0)</f>
        <v>31.668290818763733</v>
      </c>
    </row>
    <row r="691" spans="1:21" ht="18.75" hidden="1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103">
        <f>L694+L697</f>
        <v>0</v>
      </c>
      <c r="M691" s="102">
        <f>M694+M697</f>
        <v>0</v>
      </c>
      <c r="N691" s="102">
        <f>N694+N697</f>
        <v>0</v>
      </c>
      <c r="O691" s="102">
        <f>IF(L691&gt;0,N691*100/L691,0)</f>
        <v>0</v>
      </c>
      <c r="P691" s="102">
        <f>IF(M691&gt;0,N691*100/M691,0)</f>
        <v>0</v>
      </c>
      <c r="Q691" s="102">
        <f>Q694+Q697</f>
        <v>0</v>
      </c>
      <c r="R691" s="102">
        <f>R694+R697</f>
        <v>0</v>
      </c>
      <c r="S691" s="102">
        <f>S694+S697</f>
        <v>0</v>
      </c>
      <c r="T691" s="102">
        <f>IF(Q691&gt;0,S691*100/Q691,0)</f>
        <v>0</v>
      </c>
      <c r="U691" s="102">
        <f>IF(R691&gt;0,S691*100/R691,0)</f>
        <v>0</v>
      </c>
    </row>
    <row r="692" spans="1:21" ht="18.75" hidden="1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256">
        <f>L695+L698</f>
        <v>0</v>
      </c>
      <c r="M692" s="255">
        <f>M695+M698</f>
        <v>0</v>
      </c>
      <c r="N692" s="255">
        <f>N695+N698</f>
        <v>0</v>
      </c>
      <c r="O692" s="255">
        <f>IF(L692&gt;0,N692*100/L692,0)</f>
        <v>0</v>
      </c>
      <c r="P692" s="255">
        <f>IF(M692&gt;0,N692*100/M692,0)</f>
        <v>0</v>
      </c>
      <c r="Q692" s="255">
        <f ca="1">Q695+Q698</f>
        <v>523350</v>
      </c>
      <c r="R692" s="255">
        <f ca="1">R695+R698</f>
        <v>523350</v>
      </c>
      <c r="S692" s="255">
        <f ca="1">S695+S698</f>
        <v>165736</v>
      </c>
      <c r="T692" s="255">
        <f ca="1">IF(Q692&gt;0,S692*100/Q692,0)</f>
        <v>31.668290818763733</v>
      </c>
      <c r="U692" s="255">
        <f ca="1">IF(R692&gt;0,S692*100/R692,0)</f>
        <v>31.668290818763733</v>
      </c>
    </row>
    <row r="693" spans="1:21" ht="18.75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256">
        <f>L694+L695</f>
        <v>0</v>
      </c>
      <c r="M693" s="255">
        <f>M694+M695</f>
        <v>0</v>
      </c>
      <c r="N693" s="255">
        <f>N694+N695</f>
        <v>0</v>
      </c>
      <c r="O693" s="255">
        <f>IF(L693&gt;0,N693*100/L693,0)</f>
        <v>0</v>
      </c>
      <c r="P693" s="255">
        <f>IF(M693&gt;0,N693*100/M693,0)</f>
        <v>0</v>
      </c>
      <c r="Q693" s="255">
        <f ca="1">Q694+Q695</f>
        <v>523350</v>
      </c>
      <c r="R693" s="255">
        <f ca="1">R694+R695</f>
        <v>523350</v>
      </c>
      <c r="S693" s="255">
        <f ca="1">S694+S695</f>
        <v>165736</v>
      </c>
      <c r="T693" s="255">
        <f ca="1">IF(Q693&gt;0,S693*100/Q693,0)</f>
        <v>31.668290818763733</v>
      </c>
      <c r="U693" s="255">
        <f ca="1">IF(R693&gt;0,S693*100/R693,0)</f>
        <v>31.668290818763733</v>
      </c>
    </row>
    <row r="694" spans="1:21" ht="18.75" hidden="1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103">
        <v>0</v>
      </c>
      <c r="M694" s="102">
        <v>0</v>
      </c>
      <c r="N694" s="102">
        <v>0</v>
      </c>
      <c r="O694" s="102">
        <f>IF(L694&gt;0,N694*100/L694,0)</f>
        <v>0</v>
      </c>
      <c r="P694" s="102">
        <f>IF(M694&gt;0,N694*100/M694,0)</f>
        <v>0</v>
      </c>
      <c r="Q694" s="102">
        <v>0</v>
      </c>
      <c r="R694" s="102">
        <v>0</v>
      </c>
      <c r="S694" s="102">
        <v>0</v>
      </c>
      <c r="T694" s="102">
        <f>IF(Q694&gt;0,S694*100/Q694,0)</f>
        <v>0</v>
      </c>
      <c r="U694" s="102">
        <f>IF(R694&gt;0,S694*100/R694,0)</f>
        <v>0</v>
      </c>
    </row>
    <row r="695" spans="1:21" ht="18.75" hidden="1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256">
        <v>0</v>
      </c>
      <c r="M695" s="255">
        <v>0</v>
      </c>
      <c r="N695" s="255">
        <v>0</v>
      </c>
      <c r="O695" s="255">
        <f>IF(L695&gt;0,N695*100/L695,0)</f>
        <v>0</v>
      </c>
      <c r="P695" s="255">
        <f>IF(M695&gt;0,N695*100/M695,0)</f>
        <v>0</v>
      </c>
      <c r="Q695" s="255">
        <f ca="1">IFERROR(__xludf.DUMMYFUNCTION("IMPORTRANGE(""https://docs.google.com/spreadsheets/d/1ItG2mGa2ceCfYo0BwxsXqNm01IGEUdYcSSLTEv9YCik/edit?usp=sharing"",""เบิกจ่ายกองทุน!L50"")"),523350)</f>
        <v>523350</v>
      </c>
      <c r="R695" s="255">
        <f ca="1">IFERROR(__xludf.DUMMYFUNCTION("IMPORTRANGE(""https://docs.google.com/spreadsheets/d/1ItG2mGa2ceCfYo0BwxsXqNm01IGEUdYcSSLTEv9YCik/edit?usp=sharing"",""เบิกจ่ายกองทุน!M50"")"),523350)</f>
        <v>523350</v>
      </c>
      <c r="S695" s="255">
        <f ca="1">IFERROR(__xludf.DUMMYFUNCTION("IMPORTRANGE(""https://docs.google.com/spreadsheets/d/1ItG2mGa2ceCfYo0BwxsXqNm01IGEUdYcSSLTEv9YCik/edit?usp=sharing"",""เบิกจ่ายกองทุน!N50"")"),165736)</f>
        <v>165736</v>
      </c>
      <c r="T695" s="255">
        <f ca="1">IF(Q695&gt;0,S695*100/Q695,0)</f>
        <v>31.668290818763733</v>
      </c>
      <c r="U695" s="255">
        <f ca="1">IF(R695&gt;0,S695*100/R695,0)</f>
        <v>31.668290818763733</v>
      </c>
    </row>
    <row r="696" spans="1:21" ht="18.75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256">
        <f>L697+L698</f>
        <v>0</v>
      </c>
      <c r="M696" s="255">
        <f>M697+M698</f>
        <v>0</v>
      </c>
      <c r="N696" s="255">
        <f>N697+N698</f>
        <v>0</v>
      </c>
      <c r="O696" s="255">
        <f>IF(L696&gt;0,N696*100/L696,0)</f>
        <v>0</v>
      </c>
      <c r="P696" s="255">
        <f>IF(M696&gt;0,N696*100/M696,0)</f>
        <v>0</v>
      </c>
      <c r="Q696" s="255">
        <f>Q697+Q698</f>
        <v>0</v>
      </c>
      <c r="R696" s="255">
        <f>R697+R698</f>
        <v>0</v>
      </c>
      <c r="S696" s="255">
        <f>S697+S698</f>
        <v>0</v>
      </c>
      <c r="T696" s="255">
        <f>IF(Q696&gt;0,S696*100/Q696,0)</f>
        <v>0</v>
      </c>
      <c r="U696" s="255">
        <f>IF(R696&gt;0,S696*100/R696,0)</f>
        <v>0</v>
      </c>
    </row>
    <row r="697" spans="1:21" ht="18.75" hidden="1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103">
        <v>0</v>
      </c>
      <c r="M697" s="102">
        <v>0</v>
      </c>
      <c r="N697" s="102">
        <v>0</v>
      </c>
      <c r="O697" s="102">
        <f>IF(L697&gt;0,N697*100/L697,0)</f>
        <v>0</v>
      </c>
      <c r="P697" s="102">
        <f>IF(M697&gt;0,N697*100/M697,0)</f>
        <v>0</v>
      </c>
      <c r="Q697" s="102">
        <v>0</v>
      </c>
      <c r="R697" s="102">
        <v>0</v>
      </c>
      <c r="S697" s="102">
        <v>0</v>
      </c>
      <c r="T697" s="102">
        <f>IF(Q697&gt;0,S697*100/Q697,0)</f>
        <v>0</v>
      </c>
      <c r="U697" s="102">
        <f>IF(R697&gt;0,S697*100/R697,0)</f>
        <v>0</v>
      </c>
    </row>
    <row r="698" spans="1:21" ht="18.75" hidden="1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256">
        <v>0</v>
      </c>
      <c r="M698" s="255">
        <v>0</v>
      </c>
      <c r="N698" s="255">
        <v>0</v>
      </c>
      <c r="O698" s="255">
        <f>IF(L698&gt;0,N698*100/L698,0)</f>
        <v>0</v>
      </c>
      <c r="P698" s="255">
        <f>IF(M698&gt;0,N698*100/M698,0)</f>
        <v>0</v>
      </c>
      <c r="Q698" s="255">
        <v>0</v>
      </c>
      <c r="R698" s="255">
        <v>0</v>
      </c>
      <c r="S698" s="255">
        <v>0</v>
      </c>
      <c r="T698" s="255">
        <f>IF(Q698&gt;0,S698*100/Q698,0)</f>
        <v>0</v>
      </c>
      <c r="U698" s="255">
        <f>IF(R698&gt;0,S698*100/R698,0)</f>
        <v>0</v>
      </c>
    </row>
    <row r="699" spans="1:21" ht="19.5">
      <c r="A699" s="166"/>
      <c r="B699" s="167"/>
      <c r="C699" s="205" t="s">
        <v>18</v>
      </c>
      <c r="D699" s="566" t="s">
        <v>38</v>
      </c>
      <c r="E699" s="169"/>
      <c r="F699" s="169"/>
      <c r="G699" s="169"/>
      <c r="H699" s="206"/>
      <c r="I699" s="163"/>
      <c r="J699" s="163"/>
      <c r="K699" s="164"/>
      <c r="L699" s="62"/>
      <c r="M699" s="55"/>
      <c r="N699" s="55"/>
      <c r="O699" s="55"/>
      <c r="P699" s="55"/>
      <c r="Q699" s="55"/>
      <c r="R699" s="55"/>
      <c r="S699" s="55"/>
      <c r="T699" s="55"/>
      <c r="U699" s="55"/>
    </row>
    <row r="700" spans="1:21" ht="18.75">
      <c r="A700" s="238"/>
      <c r="B700" s="188"/>
      <c r="C700" s="188"/>
      <c r="D700" s="174"/>
      <c r="E700" s="173" t="s">
        <v>257</v>
      </c>
      <c r="F700" s="174"/>
      <c r="G700" s="171"/>
      <c r="H700" s="165" t="s">
        <v>258</v>
      </c>
      <c r="I700" s="212">
        <f ca="1">IFERROR(__xludf.DUMMYFUNCTION("IMPORTRANGE(""https://docs.google.com/spreadsheets/d/1eHaY18a8A9IcSdp1K8H6x8fbOy06t2VsZHhMHf-1x7Y/edit?usp=sharing"",""แผน!LC50"")"),0)</f>
        <v>0</v>
      </c>
      <c r="J700" s="467">
        <v>0</v>
      </c>
      <c r="K700" s="565">
        <f ca="1">IF(I700&gt;0,J700*100/I700,0)</f>
        <v>0</v>
      </c>
      <c r="L700" s="172"/>
      <c r="M700" s="164"/>
      <c r="N700" s="55"/>
      <c r="O700" s="164"/>
      <c r="P700" s="164"/>
      <c r="Q700" s="164"/>
      <c r="R700" s="164"/>
      <c r="S700" s="55"/>
      <c r="T700" s="164"/>
      <c r="U700" s="164"/>
    </row>
    <row r="701" spans="1:21" ht="19.5">
      <c r="A701" s="238"/>
      <c r="B701" s="188"/>
      <c r="C701" s="188"/>
      <c r="D701" s="174"/>
      <c r="E701" s="476" t="s">
        <v>259</v>
      </c>
      <c r="F701" s="174"/>
      <c r="G701" s="171"/>
      <c r="H701" s="158" t="s">
        <v>35</v>
      </c>
      <c r="I701" s="373">
        <f ca="1">I703+I705</f>
        <v>624</v>
      </c>
      <c r="J701" s="373">
        <f ca="1">J703+J705</f>
        <v>0</v>
      </c>
      <c r="K701" s="540">
        <f ca="1">IF(I701&gt;0,J701*100/I701,0)</f>
        <v>0</v>
      </c>
      <c r="L701" s="172"/>
      <c r="M701" s="164"/>
      <c r="N701" s="164"/>
      <c r="O701" s="164"/>
      <c r="P701" s="164"/>
      <c r="Q701" s="164"/>
      <c r="R701" s="164"/>
      <c r="S701" s="164"/>
      <c r="T701" s="164"/>
      <c r="U701" s="164"/>
    </row>
    <row r="702" spans="1:21" ht="19.5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73">
        <v>0</v>
      </c>
      <c r="J702" s="373">
        <f ca="1">J704+J706</f>
        <v>0</v>
      </c>
      <c r="K702" s="540">
        <f>IF(I702&gt;0,J702*100/I702,0)</f>
        <v>0</v>
      </c>
      <c r="L702" s="172"/>
      <c r="M702" s="164"/>
      <c r="N702" s="164"/>
      <c r="O702" s="164"/>
      <c r="P702" s="164"/>
      <c r="Q702" s="164"/>
      <c r="R702" s="164"/>
      <c r="S702" s="164"/>
      <c r="T702" s="164"/>
      <c r="U702" s="164"/>
    </row>
    <row r="703" spans="1:21" ht="18.75">
      <c r="A703" s="238"/>
      <c r="B703" s="188"/>
      <c r="C703" s="188"/>
      <c r="D703" s="174"/>
      <c r="E703" s="174"/>
      <c r="F703" s="173" t="s">
        <v>260</v>
      </c>
      <c r="G703" s="171"/>
      <c r="H703" s="165" t="s">
        <v>35</v>
      </c>
      <c r="I703" s="212">
        <f ca="1">IFERROR(__xludf.DUMMYFUNCTION("IMPORTRANGE(""https://docs.google.com/spreadsheets/d/1eHaY18a8A9IcSdp1K8H6x8fbOy06t2VsZHhMHf-1x7Y/edit?usp=sharing"",""แผน!LJ50"")"),620)</f>
        <v>620</v>
      </c>
      <c r="J703" s="212">
        <f ca="1">IFERROR(__xludf.DUMMYFUNCTION("IMPORTRANGE(""https://docs.google.com/spreadsheets/d/1tdoBKaGub7dwA3U6UFTqxio9LNnvDCQjHKmttSEBsFQ/edit?usp=sharing"",""จัดที่ดิน!AP50"")"),0)</f>
        <v>0</v>
      </c>
      <c r="K703" s="255">
        <f ca="1">IF(I703&gt;0,J703*100/I703,0)</f>
        <v>0</v>
      </c>
      <c r="L703" s="172"/>
      <c r="M703" s="164"/>
      <c r="N703" s="164"/>
      <c r="O703" s="164"/>
      <c r="P703" s="164"/>
      <c r="Q703" s="164"/>
      <c r="R703" s="164"/>
      <c r="S703" s="164"/>
      <c r="T703" s="164"/>
      <c r="U703" s="164"/>
    </row>
    <row r="704" spans="1:21" ht="18.75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212">
        <f ca="1">IFERROR(__xludf.DUMMYFUNCTION("IMPORTRANGE(""https://docs.google.com/spreadsheets/d/1tdoBKaGub7dwA3U6UFTqxio9LNnvDCQjHKmttSEBsFQ/edit?usp=sharing"",""จัดที่ดิน!AQ50"")"),0)</f>
        <v>0</v>
      </c>
      <c r="K704" s="255">
        <f>IF(I704&gt;0,J704*100/I704,0)</f>
        <v>0</v>
      </c>
      <c r="L704" s="172"/>
      <c r="M704" s="164"/>
      <c r="N704" s="164"/>
      <c r="O704" s="164"/>
      <c r="P704" s="164"/>
      <c r="Q704" s="164"/>
      <c r="R704" s="164"/>
      <c r="S704" s="164"/>
      <c r="T704" s="164"/>
      <c r="U704" s="164"/>
    </row>
    <row r="705" spans="1:21" ht="18.75">
      <c r="A705" s="238"/>
      <c r="B705" s="188"/>
      <c r="C705" s="188"/>
      <c r="D705" s="174"/>
      <c r="E705" s="174"/>
      <c r="F705" s="173" t="s">
        <v>261</v>
      </c>
      <c r="G705" s="171"/>
      <c r="H705" s="165" t="s">
        <v>35</v>
      </c>
      <c r="I705" s="212">
        <f ca="1">IFERROR(__xludf.DUMMYFUNCTION("IMPORTRANGE(""https://docs.google.com/spreadsheets/d/1eHaY18a8A9IcSdp1K8H6x8fbOy06t2VsZHhMHf-1x7Y/edit?usp=sharing"",""แผน!LK50"")"),4)</f>
        <v>4</v>
      </c>
      <c r="J705" s="212">
        <f ca="1">IFERROR(__xludf.DUMMYFUNCTION("IMPORTRANGE(""https://docs.google.com/spreadsheets/d/1tdoBKaGub7dwA3U6UFTqxio9LNnvDCQjHKmttSEBsFQ/edit?usp=sharing"",""จัดที่ดิน!AR50"")"),0)</f>
        <v>0</v>
      </c>
      <c r="K705" s="565">
        <f ca="1">IF(I705&gt;0,J705*100/I705,0)</f>
        <v>0</v>
      </c>
      <c r="L705" s="172"/>
      <c r="M705" s="164"/>
      <c r="N705" s="164"/>
      <c r="O705" s="164"/>
      <c r="P705" s="164"/>
      <c r="Q705" s="164"/>
      <c r="R705" s="164"/>
      <c r="S705" s="164"/>
      <c r="T705" s="164"/>
      <c r="U705" s="164"/>
    </row>
    <row r="706" spans="1:21" ht="18.75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212">
        <f ca="1">IFERROR(__xludf.DUMMYFUNCTION("IMPORTRANGE(""https://docs.google.com/spreadsheets/d/1tdoBKaGub7dwA3U6UFTqxio9LNnvDCQjHKmttSEBsFQ/edit?usp=sharing"",""จัดที่ดิน!AS50"")"),0)</f>
        <v>0</v>
      </c>
      <c r="K706" s="255">
        <f>IF(I706&gt;0,J706*100/I706,0)</f>
        <v>0</v>
      </c>
      <c r="L706" s="172"/>
      <c r="M706" s="164"/>
      <c r="N706" s="164"/>
      <c r="O706" s="164"/>
      <c r="P706" s="164"/>
      <c r="Q706" s="164"/>
      <c r="R706" s="164"/>
      <c r="S706" s="164"/>
      <c r="T706" s="164"/>
      <c r="U706" s="164"/>
    </row>
    <row r="707" spans="1:21" ht="18.75">
      <c r="A707" s="238"/>
      <c r="B707" s="188"/>
      <c r="C707" s="188"/>
      <c r="D707" s="174"/>
      <c r="E707" s="173" t="s">
        <v>262</v>
      </c>
      <c r="F707" s="174"/>
      <c r="G707" s="171"/>
      <c r="H707" s="162" t="s">
        <v>35</v>
      </c>
      <c r="I707" s="212">
        <f ca="1">IFERROR(__xludf.DUMMYFUNCTION("IMPORTRANGE(""https://docs.google.com/spreadsheets/d/1eHaY18a8A9IcSdp1K8H6x8fbOy06t2VsZHhMHf-1x7Y/edit?usp=sharing"",""แผน!LJ50"")"),620)</f>
        <v>620</v>
      </c>
      <c r="J707" s="212">
        <f ca="1">IFERROR(__xludf.DUMMYFUNCTION("IMPORTRANGE(""https://docs.google.com/spreadsheets/d/1tdoBKaGub7dwA3U6UFTqxio9LNnvDCQjHKmttSEBsFQ/edit?usp=sharing"",""จัดที่ดิน!BN50"")"),0)</f>
        <v>0</v>
      </c>
      <c r="K707" s="255">
        <f ca="1">IF(I707&gt;0,J707*100/I707,0)</f>
        <v>0</v>
      </c>
      <c r="L707" s="172"/>
      <c r="M707" s="164"/>
      <c r="N707" s="164"/>
      <c r="O707" s="164"/>
      <c r="P707" s="164"/>
      <c r="Q707" s="164"/>
      <c r="R707" s="164"/>
      <c r="S707" s="164"/>
      <c r="T707" s="164"/>
      <c r="U707" s="164"/>
    </row>
    <row r="708" spans="1:21" ht="18.75">
      <c r="A708" s="238"/>
      <c r="B708" s="188"/>
      <c r="C708" s="188"/>
      <c r="D708" s="174"/>
      <c r="E708" s="477" t="s">
        <v>263</v>
      </c>
      <c r="F708" s="174"/>
      <c r="G708" s="171"/>
      <c r="H708" s="162" t="s">
        <v>46</v>
      </c>
      <c r="I708" s="212">
        <v>0</v>
      </c>
      <c r="J708" s="212">
        <f ca="1">IFERROR(__xludf.DUMMYFUNCTION("IMPORTRANGE(""https://docs.google.com/spreadsheets/d/1tdoBKaGub7dwA3U6UFTqxio9LNnvDCQjHKmttSEBsFQ/edit?usp=sharing"",""จัดที่ดิน!BO50"")"),0)</f>
        <v>0</v>
      </c>
      <c r="K708" s="255">
        <f>IF(I708&gt;0,J708*100/I708,0)</f>
        <v>0</v>
      </c>
      <c r="L708" s="172"/>
      <c r="M708" s="164"/>
      <c r="N708" s="164"/>
      <c r="O708" s="164"/>
      <c r="P708" s="164"/>
      <c r="Q708" s="164"/>
      <c r="R708" s="164"/>
      <c r="S708" s="164"/>
      <c r="T708" s="164"/>
      <c r="U708" s="164"/>
    </row>
    <row r="709" spans="1:21" ht="18.75">
      <c r="A709" s="238"/>
      <c r="B709" s="188"/>
      <c r="C709" s="188"/>
      <c r="D709" s="50"/>
      <c r="E709" s="58" t="s">
        <v>264</v>
      </c>
      <c r="F709" s="50"/>
      <c r="G709" s="52"/>
      <c r="H709" s="203" t="s">
        <v>35</v>
      </c>
      <c r="I709" s="212">
        <f ca="1">IFERROR(__xludf.DUMMYFUNCTION("IMPORTRANGE(""https://docs.google.com/spreadsheets/d/1eHaY18a8A9IcSdp1K8H6x8fbOy06t2VsZHhMHf-1x7Y/edit?usp=sharing"",""แผน!LK50"")"),4)</f>
        <v>4</v>
      </c>
      <c r="J709" s="212">
        <f ca="1">IFERROR(__xludf.DUMMYFUNCTION("IMPORTRANGE(""https://docs.google.com/spreadsheets/d/1tdoBKaGub7dwA3U6UFTqxio9LNnvDCQjHKmttSEBsFQ/edit?usp=sharing"",""จัดที่ดิน!BP50"")"),2)</f>
        <v>2</v>
      </c>
      <c r="K709" s="255">
        <f ca="1">IF(I709&gt;0,J709*100/I709,0)</f>
        <v>50</v>
      </c>
      <c r="L709" s="62"/>
      <c r="M709" s="55"/>
      <c r="N709" s="55"/>
      <c r="O709" s="55"/>
      <c r="P709" s="55"/>
      <c r="Q709" s="55"/>
      <c r="R709" s="55"/>
      <c r="S709" s="55"/>
      <c r="T709" s="55"/>
      <c r="U709" s="55"/>
    </row>
    <row r="710" spans="1:21" ht="18.75">
      <c r="A710" s="238"/>
      <c r="B710" s="188"/>
      <c r="C710" s="188"/>
      <c r="D710" s="50"/>
      <c r="E710" s="477" t="s">
        <v>265</v>
      </c>
      <c r="F710" s="50"/>
      <c r="G710" s="52"/>
      <c r="H710" s="203" t="s">
        <v>46</v>
      </c>
      <c r="I710" s="212">
        <v>0</v>
      </c>
      <c r="J710" s="212">
        <f ca="1">IFERROR(__xludf.DUMMYFUNCTION("IMPORTRANGE(""https://docs.google.com/spreadsheets/d/1tdoBKaGub7dwA3U6UFTqxio9LNnvDCQjHKmttSEBsFQ/edit?usp=sharing"",""จัดที่ดิน!BQ50"")"),0)</f>
        <v>0</v>
      </c>
      <c r="K710" s="255">
        <f>IF(I710&gt;0,J710*100/I710,0)</f>
        <v>0</v>
      </c>
      <c r="L710" s="62"/>
      <c r="M710" s="55"/>
      <c r="N710" s="55"/>
      <c r="O710" s="55"/>
      <c r="P710" s="55"/>
      <c r="Q710" s="55"/>
      <c r="R710" s="55"/>
      <c r="S710" s="55"/>
      <c r="T710" s="55"/>
      <c r="U710" s="55"/>
    </row>
    <row r="711" spans="1:21" ht="12.75" hidden="1">
      <c r="A711" s="407"/>
      <c r="B711" s="360"/>
      <c r="C711" s="360"/>
      <c r="D711" s="408"/>
      <c r="E711" s="408"/>
      <c r="F711" s="408"/>
      <c r="G711" s="409"/>
      <c r="H711" s="361"/>
      <c r="I711" s="362"/>
      <c r="J711" s="362"/>
      <c r="K711" s="363"/>
      <c r="L711" s="364"/>
      <c r="M711" s="363"/>
      <c r="N711" s="363"/>
      <c r="O711" s="363"/>
      <c r="P711" s="363"/>
      <c r="Q711" s="363"/>
      <c r="R711" s="363"/>
      <c r="S711" s="363"/>
      <c r="T711" s="363"/>
      <c r="U711" s="363"/>
    </row>
    <row r="712" spans="1:21" ht="19.5" hidden="1">
      <c r="A712" s="442"/>
      <c r="B712" s="478" t="s">
        <v>266</v>
      </c>
      <c r="C712" s="442"/>
      <c r="D712" s="444"/>
      <c r="E712" s="444"/>
      <c r="F712" s="444"/>
      <c r="G712" s="445"/>
      <c r="H712" s="479" t="s">
        <v>46</v>
      </c>
      <c r="I712" s="447"/>
      <c r="J712" s="447">
        <f>J724</f>
        <v>0</v>
      </c>
      <c r="K712" s="564">
        <f>IF(I712&gt;0,J712*100/I712,0)</f>
        <v>0</v>
      </c>
      <c r="L712" s="449"/>
      <c r="M712" s="448"/>
      <c r="N712" s="448"/>
      <c r="O712" s="448"/>
      <c r="P712" s="448"/>
      <c r="Q712" s="448"/>
      <c r="R712" s="448"/>
      <c r="S712" s="448"/>
      <c r="T712" s="448"/>
      <c r="U712" s="448"/>
    </row>
    <row r="713" spans="1:21" ht="19.5" hidden="1">
      <c r="A713" s="442"/>
      <c r="B713" s="478" t="s">
        <v>267</v>
      </c>
      <c r="C713" s="442"/>
      <c r="D713" s="444"/>
      <c r="E713" s="444"/>
      <c r="F713" s="444"/>
      <c r="G713" s="445"/>
      <c r="H713" s="446"/>
      <c r="I713" s="447"/>
      <c r="J713" s="447"/>
      <c r="K713" s="448"/>
      <c r="L713" s="449"/>
      <c r="M713" s="448"/>
      <c r="N713" s="448"/>
      <c r="O713" s="448"/>
      <c r="P713" s="448"/>
      <c r="Q713" s="448"/>
      <c r="R713" s="448"/>
      <c r="S713" s="448"/>
      <c r="T713" s="448"/>
      <c r="U713" s="448"/>
    </row>
    <row r="714" spans="1:21" ht="19.5" hidden="1">
      <c r="A714" s="155"/>
      <c r="B714" s="188"/>
      <c r="C714" s="358" t="s">
        <v>18</v>
      </c>
      <c r="D714" s="563" t="s">
        <v>19</v>
      </c>
      <c r="E714" s="529"/>
      <c r="F714" s="529"/>
      <c r="G714" s="530"/>
      <c r="H714" s="418" t="s">
        <v>14</v>
      </c>
      <c r="I714" s="54"/>
      <c r="J714" s="54"/>
      <c r="K714" s="55"/>
      <c r="L714" s="541">
        <f>L715+L716</f>
        <v>0</v>
      </c>
      <c r="M714" s="540">
        <f>M715+M716</f>
        <v>0</v>
      </c>
      <c r="N714" s="540">
        <f>N715+N716</f>
        <v>0</v>
      </c>
      <c r="O714" s="540">
        <f>IF(L714&gt;0,N714*100/L714,0)</f>
        <v>0</v>
      </c>
      <c r="P714" s="540">
        <f>IF(M714&gt;0,N714*100/M714,0)</f>
        <v>0</v>
      </c>
      <c r="Q714" s="540">
        <f>Q715+Q716</f>
        <v>0</v>
      </c>
      <c r="R714" s="540">
        <f>R715+R716</f>
        <v>0</v>
      </c>
      <c r="S714" s="540">
        <f>S715+S716</f>
        <v>0</v>
      </c>
      <c r="T714" s="540">
        <f>IF(Q714&gt;0,S714*100/Q714,0)</f>
        <v>0</v>
      </c>
      <c r="U714" s="540">
        <f>IF(R714&gt;0,S714*100/R714,0)</f>
        <v>0</v>
      </c>
    </row>
    <row r="715" spans="1:21" ht="18.75" hidden="1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103">
        <f>L718+L721</f>
        <v>0</v>
      </c>
      <c r="M715" s="102">
        <f>M718+M721</f>
        <v>0</v>
      </c>
      <c r="N715" s="102">
        <f>N718+N721</f>
        <v>0</v>
      </c>
      <c r="O715" s="102">
        <f>IF(L715&gt;0,N715*100/L715,0)</f>
        <v>0</v>
      </c>
      <c r="P715" s="102">
        <f>IF(M715&gt;0,N715*100/M715,0)</f>
        <v>0</v>
      </c>
      <c r="Q715" s="102">
        <f>Q718+Q721</f>
        <v>0</v>
      </c>
      <c r="R715" s="102">
        <f>R718+R721</f>
        <v>0</v>
      </c>
      <c r="S715" s="102">
        <f>S718+S721</f>
        <v>0</v>
      </c>
      <c r="T715" s="102">
        <f>IF(Q715&gt;0,S715*100/Q715,0)</f>
        <v>0</v>
      </c>
      <c r="U715" s="102">
        <f>IF(R715&gt;0,S715*100/R715,0)</f>
        <v>0</v>
      </c>
    </row>
    <row r="716" spans="1:21" ht="18.75" hidden="1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256">
        <f>L719+L722</f>
        <v>0</v>
      </c>
      <c r="M716" s="255">
        <f>M719+M722</f>
        <v>0</v>
      </c>
      <c r="N716" s="255">
        <f>N719+N722</f>
        <v>0</v>
      </c>
      <c r="O716" s="255">
        <f>IF(L716&gt;0,N716*100/L716,0)</f>
        <v>0</v>
      </c>
      <c r="P716" s="255">
        <f>IF(M716&gt;0,N716*100/M716,0)</f>
        <v>0</v>
      </c>
      <c r="Q716" s="255">
        <f>Q719+Q722</f>
        <v>0</v>
      </c>
      <c r="R716" s="255">
        <f>R719+R722</f>
        <v>0</v>
      </c>
      <c r="S716" s="255">
        <f>S719+S722</f>
        <v>0</v>
      </c>
      <c r="T716" s="255">
        <f>IF(Q716&gt;0,S716*100/Q716,0)</f>
        <v>0</v>
      </c>
      <c r="U716" s="255">
        <f>IF(R716&gt;0,S716*100/R716,0)</f>
        <v>0</v>
      </c>
    </row>
    <row r="717" spans="1:21" ht="19.5" hidden="1">
      <c r="A717" s="155"/>
      <c r="B717" s="188"/>
      <c r="C717" s="188"/>
      <c r="D717" s="562" t="s">
        <v>22</v>
      </c>
      <c r="E717" s="50"/>
      <c r="F717" s="50"/>
      <c r="G717" s="52"/>
      <c r="H717" s="418" t="s">
        <v>14</v>
      </c>
      <c r="I717" s="163"/>
      <c r="J717" s="163"/>
      <c r="K717" s="164"/>
      <c r="L717" s="256">
        <f>L718+L719</f>
        <v>0</v>
      </c>
      <c r="M717" s="255">
        <f>M718+M719</f>
        <v>0</v>
      </c>
      <c r="N717" s="255">
        <f>N718+N719</f>
        <v>0</v>
      </c>
      <c r="O717" s="255">
        <f>IF(L717&gt;0,N717*100/L717,0)</f>
        <v>0</v>
      </c>
      <c r="P717" s="255">
        <f>IF(M717&gt;0,N717*100/M717,0)</f>
        <v>0</v>
      </c>
      <c r="Q717" s="255">
        <f>Q718+Q719</f>
        <v>0</v>
      </c>
      <c r="R717" s="255">
        <f>R718+R719</f>
        <v>0</v>
      </c>
      <c r="S717" s="255">
        <f>S718+S719</f>
        <v>0</v>
      </c>
      <c r="T717" s="255">
        <f>IF(Q717&gt;0,S717*100/Q717,0)</f>
        <v>0</v>
      </c>
      <c r="U717" s="255">
        <f>IF(R717&gt;0,S717*100/R717,0)</f>
        <v>0</v>
      </c>
    </row>
    <row r="718" spans="1:21" ht="18.75" hidden="1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103">
        <v>0</v>
      </c>
      <c r="M718" s="102">
        <v>0</v>
      </c>
      <c r="N718" s="102">
        <v>0</v>
      </c>
      <c r="O718" s="102">
        <f>IF(L718&gt;0,N718*100/L718,0)</f>
        <v>0</v>
      </c>
      <c r="P718" s="102">
        <f>IF(M718&gt;0,N718*100/M718,0)</f>
        <v>0</v>
      </c>
      <c r="Q718" s="102">
        <v>0</v>
      </c>
      <c r="R718" s="102">
        <v>0</v>
      </c>
      <c r="S718" s="102">
        <v>0</v>
      </c>
      <c r="T718" s="102">
        <f>IF(Q718&gt;0,S718*100/Q718,0)</f>
        <v>0</v>
      </c>
      <c r="U718" s="102">
        <f>IF(R718&gt;0,S718*100/R718,0)</f>
        <v>0</v>
      </c>
    </row>
    <row r="719" spans="1:21" ht="18.75" hidden="1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256">
        <v>0</v>
      </c>
      <c r="M719" s="255">
        <v>0</v>
      </c>
      <c r="N719" s="255">
        <v>0</v>
      </c>
      <c r="O719" s="255">
        <f>IF(L719&gt;0,N719*100/L719,0)</f>
        <v>0</v>
      </c>
      <c r="P719" s="255">
        <f>IF(M719&gt;0,N719*100/M719,0)</f>
        <v>0</v>
      </c>
      <c r="Q719" s="255">
        <v>0</v>
      </c>
      <c r="R719" s="255">
        <v>0</v>
      </c>
      <c r="S719" s="255">
        <v>0</v>
      </c>
      <c r="T719" s="255">
        <f>IF(Q719&gt;0,S719*100/Q719,0)</f>
        <v>0</v>
      </c>
      <c r="U719" s="255">
        <f>IF(R719&gt;0,S719*100/R719,0)</f>
        <v>0</v>
      </c>
    </row>
    <row r="720" spans="1:21" ht="19.5" hidden="1">
      <c r="A720" s="155"/>
      <c r="B720" s="188"/>
      <c r="C720" s="188"/>
      <c r="D720" s="562" t="s">
        <v>23</v>
      </c>
      <c r="E720" s="50"/>
      <c r="F720" s="50"/>
      <c r="G720" s="52"/>
      <c r="H720" s="420" t="s">
        <v>14</v>
      </c>
      <c r="I720" s="163"/>
      <c r="J720" s="163"/>
      <c r="K720" s="164"/>
      <c r="L720" s="256">
        <f>L721+L722</f>
        <v>0</v>
      </c>
      <c r="M720" s="255">
        <f>M721+M722</f>
        <v>0</v>
      </c>
      <c r="N720" s="255">
        <f>N721+N722</f>
        <v>0</v>
      </c>
      <c r="O720" s="255">
        <f>IF(L720&gt;0,N720*100/L720,0)</f>
        <v>0</v>
      </c>
      <c r="P720" s="255">
        <f>IF(M720&gt;0,N720*100/M720,0)</f>
        <v>0</v>
      </c>
      <c r="Q720" s="255">
        <f>Q721+Q722</f>
        <v>0</v>
      </c>
      <c r="R720" s="255">
        <f>R721+R722</f>
        <v>0</v>
      </c>
      <c r="S720" s="255">
        <f>S721+S722</f>
        <v>0</v>
      </c>
      <c r="T720" s="255">
        <f>IF(Q720&gt;0,S720*100/Q720,0)</f>
        <v>0</v>
      </c>
      <c r="U720" s="255">
        <f>IF(R720&gt;0,S720*100/R720,0)</f>
        <v>0</v>
      </c>
    </row>
    <row r="721" spans="1:21" ht="18.75" hidden="1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103">
        <v>0</v>
      </c>
      <c r="M721" s="102">
        <v>0</v>
      </c>
      <c r="N721" s="102">
        <v>0</v>
      </c>
      <c r="O721" s="102">
        <f>IF(L721&gt;0,N721*100/L721,0)</f>
        <v>0</v>
      </c>
      <c r="P721" s="102">
        <f>IF(M721&gt;0,N721*100/M721,0)</f>
        <v>0</v>
      </c>
      <c r="Q721" s="102">
        <v>0</v>
      </c>
      <c r="R721" s="102">
        <v>0</v>
      </c>
      <c r="S721" s="102">
        <v>0</v>
      </c>
      <c r="T721" s="102">
        <f>IF(Q721&gt;0,S721*100/Q721,0)</f>
        <v>0</v>
      </c>
      <c r="U721" s="102">
        <f>IF(R721&gt;0,S721*100/R721,0)</f>
        <v>0</v>
      </c>
    </row>
    <row r="722" spans="1:21" ht="18.75" hidden="1">
      <c r="A722" s="155"/>
      <c r="B722" s="188"/>
      <c r="C722" s="188"/>
      <c r="D722" s="50"/>
      <c r="E722" s="186" t="s">
        <v>21</v>
      </c>
      <c r="F722" s="50"/>
      <c r="G722" s="52"/>
      <c r="H722" s="421" t="s">
        <v>14</v>
      </c>
      <c r="I722" s="163"/>
      <c r="J722" s="163"/>
      <c r="K722" s="164"/>
      <c r="L722" s="256">
        <v>0</v>
      </c>
      <c r="M722" s="255">
        <v>0</v>
      </c>
      <c r="N722" s="255">
        <v>0</v>
      </c>
      <c r="O722" s="255">
        <f>IF(L722&gt;0,N722*100/L722,0)</f>
        <v>0</v>
      </c>
      <c r="P722" s="255">
        <f>IF(M722&gt;0,N722*100/M722,0)</f>
        <v>0</v>
      </c>
      <c r="Q722" s="255">
        <v>0</v>
      </c>
      <c r="R722" s="255">
        <v>0</v>
      </c>
      <c r="S722" s="255">
        <v>0</v>
      </c>
      <c r="T722" s="255">
        <f>IF(Q722&gt;0,S722*100/Q722,0)</f>
        <v>0</v>
      </c>
      <c r="U722" s="255">
        <f>IF(R722&gt;0,S722*100/R722,0)</f>
        <v>0</v>
      </c>
    </row>
    <row r="723" spans="1:21" ht="19.5" hidden="1">
      <c r="A723" s="166"/>
      <c r="B723" s="167"/>
      <c r="C723" s="358" t="s">
        <v>18</v>
      </c>
      <c r="D723" s="561" t="s">
        <v>38</v>
      </c>
      <c r="E723" s="169"/>
      <c r="F723" s="169"/>
      <c r="G723" s="170"/>
      <c r="H723" s="206"/>
      <c r="I723" s="163"/>
      <c r="J723" s="163"/>
      <c r="K723" s="164"/>
      <c r="L723" s="172"/>
      <c r="M723" s="164"/>
      <c r="N723" s="164"/>
      <c r="O723" s="164"/>
      <c r="P723" s="164"/>
      <c r="Q723" s="164"/>
      <c r="R723" s="164"/>
      <c r="S723" s="164"/>
      <c r="T723" s="164"/>
      <c r="U723" s="164"/>
    </row>
    <row r="724" spans="1:21" ht="18.75" hidden="1">
      <c r="A724" s="238"/>
      <c r="B724" s="188"/>
      <c r="C724" s="188"/>
      <c r="D724" s="50"/>
      <c r="E724" s="186" t="s">
        <v>268</v>
      </c>
      <c r="F724" s="50"/>
      <c r="G724" s="52"/>
      <c r="H724" s="189" t="s">
        <v>46</v>
      </c>
      <c r="I724" s="483">
        <v>0</v>
      </c>
      <c r="J724" s="54"/>
      <c r="K724" s="55"/>
      <c r="L724" s="62"/>
      <c r="M724" s="55"/>
      <c r="N724" s="55"/>
      <c r="O724" s="55"/>
      <c r="P724" s="55"/>
      <c r="Q724" s="55"/>
      <c r="R724" s="55"/>
      <c r="S724" s="55"/>
      <c r="T724" s="55"/>
      <c r="U724" s="55"/>
    </row>
    <row r="725" spans="1:21" ht="18.75" hidden="1">
      <c r="A725" s="374"/>
      <c r="B725" s="5"/>
      <c r="C725" s="5"/>
      <c r="D725" s="4"/>
      <c r="E725" s="484" t="s">
        <v>269</v>
      </c>
      <c r="F725" s="4"/>
      <c r="G725" s="65"/>
      <c r="H725" s="485" t="s">
        <v>46</v>
      </c>
      <c r="I725" s="486">
        <v>0</v>
      </c>
      <c r="J725" s="67"/>
      <c r="K725" s="6"/>
      <c r="L725" s="68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>
      <c r="A726" s="442"/>
      <c r="B726" s="443" t="s">
        <v>270</v>
      </c>
      <c r="C726" s="442"/>
      <c r="D726" s="444"/>
      <c r="E726" s="444"/>
      <c r="F726" s="444"/>
      <c r="G726" s="445"/>
      <c r="H726" s="473" t="s">
        <v>35</v>
      </c>
      <c r="I726" s="544">
        <f ca="1">IFERROR(__xludf.DUMMYFUNCTION("IMPORTRANGE(""https://docs.google.com/spreadsheets/d/1eHaY18a8A9IcSdp1K8H6x8fbOy06t2VsZHhMHf-1x7Y/edit?usp=sharing"",""แผน!GA50"")"),128)</f>
        <v>128</v>
      </c>
      <c r="J726" s="544">
        <f>J742+J746+J749</f>
        <v>25</v>
      </c>
      <c r="K726" s="543">
        <f ca="1">IF(I726&gt;0,J726*100/I726,0)</f>
        <v>19.53125</v>
      </c>
      <c r="L726" s="449"/>
      <c r="M726" s="448"/>
      <c r="N726" s="448"/>
      <c r="O726" s="448"/>
      <c r="P726" s="448"/>
      <c r="Q726" s="448"/>
      <c r="R726" s="448"/>
      <c r="S726" s="448"/>
      <c r="T726" s="448"/>
      <c r="U726" s="448"/>
    </row>
    <row r="727" spans="1:21" ht="19.5">
      <c r="A727" s="487"/>
      <c r="B727" s="442"/>
      <c r="C727" s="442"/>
      <c r="D727" s="444"/>
      <c r="E727" s="444"/>
      <c r="F727" s="444"/>
      <c r="G727" s="445"/>
      <c r="H727" s="473" t="s">
        <v>46</v>
      </c>
      <c r="I727" s="544">
        <f ca="1">IFERROR(__xludf.DUMMYFUNCTION("IMPORTRANGE(""https://docs.google.com/spreadsheets/d/1eHaY18a8A9IcSdp1K8H6x8fbOy06t2VsZHhMHf-1x7Y/edit?usp=sharing"",""แผน!FZ50"")"),1250)</f>
        <v>1250</v>
      </c>
      <c r="J727" s="544">
        <f>J752+J755</f>
        <v>0</v>
      </c>
      <c r="K727" s="543">
        <f ca="1">IF(I727&gt;0,J727*100/I727,0)</f>
        <v>0</v>
      </c>
      <c r="L727" s="449"/>
      <c r="M727" s="448"/>
      <c r="N727" s="448"/>
      <c r="O727" s="448"/>
      <c r="P727" s="448"/>
      <c r="Q727" s="448"/>
      <c r="R727" s="448"/>
      <c r="S727" s="448"/>
      <c r="T727" s="448"/>
      <c r="U727" s="448"/>
    </row>
    <row r="728" spans="1:21" ht="19.5">
      <c r="A728" s="155"/>
      <c r="B728" s="188"/>
      <c r="C728" s="205" t="s">
        <v>18</v>
      </c>
      <c r="D728" s="542" t="s">
        <v>19</v>
      </c>
      <c r="E728" s="529"/>
      <c r="F728" s="529"/>
      <c r="G728" s="530"/>
      <c r="H728" s="252" t="s">
        <v>14</v>
      </c>
      <c r="I728" s="54"/>
      <c r="J728" s="54"/>
      <c r="K728" s="55"/>
      <c r="L728" s="541">
        <f>L729+L730</f>
        <v>0</v>
      </c>
      <c r="M728" s="540">
        <f>M729+M730</f>
        <v>0</v>
      </c>
      <c r="N728" s="540">
        <f>N729+N730</f>
        <v>0</v>
      </c>
      <c r="O728" s="540">
        <f>IF(L728&gt;0,N728*100/L728,0)</f>
        <v>0</v>
      </c>
      <c r="P728" s="540">
        <f>IF(M728&gt;0,N728*100/M728,0)</f>
        <v>0</v>
      </c>
      <c r="Q728" s="540">
        <f ca="1">Q729+Q730</f>
        <v>1008470</v>
      </c>
      <c r="R728" s="540">
        <f ca="1">R729+R730</f>
        <v>1008470</v>
      </c>
      <c r="S728" s="540">
        <f ca="1">S729+S730</f>
        <v>103834.96</v>
      </c>
      <c r="T728" s="540">
        <f ca="1">IF(Q728&gt;0,S728*100/Q728,0)</f>
        <v>10.296286453736849</v>
      </c>
      <c r="U728" s="540">
        <f ca="1">IF(R728&gt;0,S728*100/R728,0)</f>
        <v>10.296286453736849</v>
      </c>
    </row>
    <row r="729" spans="1:21" ht="18.75" hidden="1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103">
        <f>L732+L735</f>
        <v>0</v>
      </c>
      <c r="M729" s="102">
        <f>M732+M735</f>
        <v>0</v>
      </c>
      <c r="N729" s="102">
        <f>N732+N735</f>
        <v>0</v>
      </c>
      <c r="O729" s="102">
        <f>IF(L729&gt;0,N729*100/L729,0)</f>
        <v>0</v>
      </c>
      <c r="P729" s="102">
        <f>IF(M729&gt;0,N729*100/M729,0)</f>
        <v>0</v>
      </c>
      <c r="Q729" s="102">
        <f>Q732+Q735</f>
        <v>0</v>
      </c>
      <c r="R729" s="102">
        <f>R732+R735</f>
        <v>0</v>
      </c>
      <c r="S729" s="102">
        <f>S732+S735</f>
        <v>0</v>
      </c>
      <c r="T729" s="102">
        <f>IF(Q729&gt;0,S729*100/Q729,0)</f>
        <v>0</v>
      </c>
      <c r="U729" s="102">
        <f>IF(R729&gt;0,S729*100/R729,0)</f>
        <v>0</v>
      </c>
    </row>
    <row r="730" spans="1:21" ht="18.75" hidden="1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256">
        <f>L733+L736</f>
        <v>0</v>
      </c>
      <c r="M730" s="255">
        <f>M733+M736</f>
        <v>0</v>
      </c>
      <c r="N730" s="255">
        <f>N733+N736</f>
        <v>0</v>
      </c>
      <c r="O730" s="255">
        <f>IF(L730&gt;0,N730*100/L730,0)</f>
        <v>0</v>
      </c>
      <c r="P730" s="255">
        <f>IF(M730&gt;0,N730*100/M730,0)</f>
        <v>0</v>
      </c>
      <c r="Q730" s="255">
        <f ca="1">Q733+Q736</f>
        <v>1008470</v>
      </c>
      <c r="R730" s="255">
        <f ca="1">R733+R736</f>
        <v>1008470</v>
      </c>
      <c r="S730" s="255">
        <f ca="1">S733+S736</f>
        <v>103834.96</v>
      </c>
      <c r="T730" s="255">
        <f ca="1">IF(Q730&gt;0,S730*100/Q730,0)</f>
        <v>10.296286453736849</v>
      </c>
      <c r="U730" s="255">
        <f ca="1">IF(R730&gt;0,S730*100/R730,0)</f>
        <v>10.296286453736849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256">
        <f>L732+L733</f>
        <v>0</v>
      </c>
      <c r="M731" s="255">
        <f>M732+M733</f>
        <v>0</v>
      </c>
      <c r="N731" s="255">
        <f>N732+N733</f>
        <v>0</v>
      </c>
      <c r="O731" s="255">
        <f>IF(L731&gt;0,N731*100/L731,0)</f>
        <v>0</v>
      </c>
      <c r="P731" s="255">
        <f>IF(M731&gt;0,N731*100/M731,0)</f>
        <v>0</v>
      </c>
      <c r="Q731" s="255">
        <f ca="1">Q732+Q733</f>
        <v>1008470</v>
      </c>
      <c r="R731" s="255">
        <f ca="1">R732+R733</f>
        <v>1008470</v>
      </c>
      <c r="S731" s="255">
        <f ca="1">S732+S733</f>
        <v>103834.96</v>
      </c>
      <c r="T731" s="255">
        <f ca="1">IF(Q731&gt;0,S731*100/Q731,0)</f>
        <v>10.296286453736849</v>
      </c>
      <c r="U731" s="255">
        <f ca="1">IF(R731&gt;0,S731*100/R731,0)</f>
        <v>10.296286453736849</v>
      </c>
    </row>
    <row r="732" spans="1:21" ht="18.75" hidden="1">
      <c r="A732" s="155"/>
      <c r="B732" s="188"/>
      <c r="C732" s="188"/>
      <c r="D732" s="174"/>
      <c r="E732" s="186" t="s">
        <v>159</v>
      </c>
      <c r="F732" s="50"/>
      <c r="G732" s="52"/>
      <c r="H732" s="189" t="s">
        <v>14</v>
      </c>
      <c r="I732" s="54"/>
      <c r="J732" s="54"/>
      <c r="K732" s="55"/>
      <c r="L732" s="103">
        <v>0</v>
      </c>
      <c r="M732" s="102">
        <v>0</v>
      </c>
      <c r="N732" s="102">
        <v>0</v>
      </c>
      <c r="O732" s="102">
        <f>IF(L732&gt;0,N732*100/L732,0)</f>
        <v>0</v>
      </c>
      <c r="P732" s="102">
        <f>IF(M732&gt;0,N732*100/M732,0)</f>
        <v>0</v>
      </c>
      <c r="Q732" s="102">
        <v>0</v>
      </c>
      <c r="R732" s="102">
        <v>0</v>
      </c>
      <c r="S732" s="102">
        <v>0</v>
      </c>
      <c r="T732" s="102">
        <f>IF(Q732&gt;0,S732*100/Q732,0)</f>
        <v>0</v>
      </c>
      <c r="U732" s="102">
        <f>IF(R732&gt;0,S732*100/R732,0)</f>
        <v>0</v>
      </c>
    </row>
    <row r="733" spans="1:21" ht="18.75" hidden="1">
      <c r="A733" s="155"/>
      <c r="B733" s="188"/>
      <c r="C733" s="188"/>
      <c r="D733" s="174"/>
      <c r="E733" s="58" t="s">
        <v>160</v>
      </c>
      <c r="F733" s="50"/>
      <c r="G733" s="52"/>
      <c r="H733" s="162" t="s">
        <v>14</v>
      </c>
      <c r="I733" s="54"/>
      <c r="J733" s="54"/>
      <c r="K733" s="55"/>
      <c r="L733" s="256">
        <v>0</v>
      </c>
      <c r="M733" s="255">
        <v>0</v>
      </c>
      <c r="N733" s="255">
        <v>0</v>
      </c>
      <c r="O733" s="255">
        <f>IF(L733&gt;0,N733*100/L733,0)</f>
        <v>0</v>
      </c>
      <c r="P733" s="255">
        <f>IF(M733&gt;0,N733*100/M733,0)</f>
        <v>0</v>
      </c>
      <c r="Q733" s="255">
        <f ca="1">IFERROR(__xludf.DUMMYFUNCTION("IMPORTRANGE(""https://docs.google.com/spreadsheets/d/1ItG2mGa2ceCfYo0BwxsXqNm01IGEUdYcSSLTEv9YCik/edit?usp=sharing"",""เบิกจ่ายกองทุน!O50"")"),1008470)</f>
        <v>1008470</v>
      </c>
      <c r="R733" s="255">
        <f ca="1">IFERROR(__xludf.DUMMYFUNCTION("IMPORTRANGE(""https://docs.google.com/spreadsheets/d/1ItG2mGa2ceCfYo0BwxsXqNm01IGEUdYcSSLTEv9YCik/edit?usp=sharing"",""เบิกจ่ายกองทุน!P50"")"),1008470)</f>
        <v>1008470</v>
      </c>
      <c r="S733" s="255">
        <f ca="1">IFERROR(__xludf.DUMMYFUNCTION("IMPORTRANGE(""https://docs.google.com/spreadsheets/d/1ItG2mGa2ceCfYo0BwxsXqNm01IGEUdYcSSLTEv9YCik/edit?usp=sharing"",""เบิกจ่ายกองทุน!Q50"")"),103834.96)</f>
        <v>103834.96</v>
      </c>
      <c r="T733" s="255">
        <f ca="1">IF(Q733&gt;0,S733*100/Q733,0)</f>
        <v>10.296286453736849</v>
      </c>
      <c r="U733" s="255">
        <f ca="1">IF(R733&gt;0,S733*100/R733,0)</f>
        <v>10.296286453736849</v>
      </c>
    </row>
    <row r="734" spans="1:21" ht="18.75">
      <c r="A734" s="155"/>
      <c r="B734" s="188"/>
      <c r="C734" s="188"/>
      <c r="D734" s="51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256">
        <f>L735+L736</f>
        <v>0</v>
      </c>
      <c r="M734" s="255">
        <f>M735+M736</f>
        <v>0</v>
      </c>
      <c r="N734" s="255">
        <f>N735+N736</f>
        <v>0</v>
      </c>
      <c r="O734" s="255">
        <f>IF(L734&gt;0,N734*100/L734,0)</f>
        <v>0</v>
      </c>
      <c r="P734" s="255">
        <f>IF(M734&gt;0,N734*100/M734,0)</f>
        <v>0</v>
      </c>
      <c r="Q734" s="255">
        <f>Q735+Q736</f>
        <v>0</v>
      </c>
      <c r="R734" s="255">
        <f>R735+R736</f>
        <v>0</v>
      </c>
      <c r="S734" s="255">
        <f>S735+S736</f>
        <v>0</v>
      </c>
      <c r="T734" s="255">
        <f>IF(Q734&gt;0,S734*100/Q734,0)</f>
        <v>0</v>
      </c>
      <c r="U734" s="255">
        <f>IF(R734&gt;0,S734*100/R734,0)</f>
        <v>0</v>
      </c>
    </row>
    <row r="735" spans="1:21" ht="18.75" hidden="1">
      <c r="A735" s="155"/>
      <c r="B735" s="188"/>
      <c r="C735" s="188"/>
      <c r="D735" s="188"/>
      <c r="E735" s="358" t="s">
        <v>20</v>
      </c>
      <c r="F735" s="188"/>
      <c r="G735" s="52"/>
      <c r="H735" s="189" t="s">
        <v>14</v>
      </c>
      <c r="I735" s="163"/>
      <c r="J735" s="163"/>
      <c r="K735" s="164"/>
      <c r="L735" s="103">
        <v>0</v>
      </c>
      <c r="M735" s="102">
        <v>0</v>
      </c>
      <c r="N735" s="102">
        <v>0</v>
      </c>
      <c r="O735" s="102">
        <f>IF(L735&gt;0,N735*100/L735,0)</f>
        <v>0</v>
      </c>
      <c r="P735" s="102">
        <f>IF(M735&gt;0,N735*100/M735,0)</f>
        <v>0</v>
      </c>
      <c r="Q735" s="102">
        <v>0</v>
      </c>
      <c r="R735" s="102">
        <v>0</v>
      </c>
      <c r="S735" s="102">
        <v>0</v>
      </c>
      <c r="T735" s="102">
        <f>IF(Q735&gt;0,S735*100/Q735,0)</f>
        <v>0</v>
      </c>
      <c r="U735" s="102">
        <f>IF(R735&gt;0,S735*100/R735,0)</f>
        <v>0</v>
      </c>
    </row>
    <row r="736" spans="1:21" ht="18.75" hidden="1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256">
        <v>0</v>
      </c>
      <c r="M736" s="255">
        <v>0</v>
      </c>
      <c r="N736" s="255">
        <v>0</v>
      </c>
      <c r="O736" s="255">
        <f>IF(L736&gt;0,N736*100/L736,0)</f>
        <v>0</v>
      </c>
      <c r="P736" s="255">
        <f>IF(M736&gt;0,N736*100/M736,0)</f>
        <v>0</v>
      </c>
      <c r="Q736" s="255">
        <v>0</v>
      </c>
      <c r="R736" s="255">
        <v>0</v>
      </c>
      <c r="S736" s="255">
        <v>0</v>
      </c>
      <c r="T736" s="255">
        <f>IF(Q736&gt;0,S736*100/Q736,0)</f>
        <v>0</v>
      </c>
      <c r="U736" s="255">
        <f>IF(R736&gt;0,S736*100/R736,0)</f>
        <v>0</v>
      </c>
    </row>
    <row r="737" spans="1:21" ht="19.5">
      <c r="A737" s="166"/>
      <c r="B737" s="167"/>
      <c r="C737" s="205" t="s">
        <v>18</v>
      </c>
      <c r="D737" s="560" t="s">
        <v>38</v>
      </c>
      <c r="E737" s="232"/>
      <c r="F737" s="169"/>
      <c r="G737" s="170"/>
      <c r="H737" s="206"/>
      <c r="I737" s="54"/>
      <c r="J737" s="54"/>
      <c r="K737" s="55"/>
      <c r="L737" s="62"/>
      <c r="M737" s="55"/>
      <c r="N737" s="55"/>
      <c r="O737" s="55"/>
      <c r="P737" s="55"/>
      <c r="Q737" s="55"/>
      <c r="R737" s="55"/>
      <c r="S737" s="55"/>
      <c r="T737" s="55"/>
      <c r="U737" s="55"/>
    </row>
    <row r="738" spans="1:21" ht="19.5">
      <c r="A738" s="166"/>
      <c r="B738" s="167"/>
      <c r="C738" s="167"/>
      <c r="D738" s="488" t="s">
        <v>121</v>
      </c>
      <c r="E738" s="167"/>
      <c r="F738" s="167"/>
      <c r="G738" s="171"/>
      <c r="H738" s="208"/>
      <c r="I738" s="54"/>
      <c r="J738" s="54"/>
      <c r="K738" s="55"/>
      <c r="L738" s="62"/>
      <c r="M738" s="55"/>
      <c r="N738" s="55"/>
      <c r="O738" s="55"/>
      <c r="P738" s="55"/>
      <c r="Q738" s="55"/>
      <c r="R738" s="55"/>
      <c r="S738" s="55"/>
      <c r="T738" s="55"/>
      <c r="U738" s="55"/>
    </row>
    <row r="739" spans="1:21" ht="18.75">
      <c r="A739" s="166"/>
      <c r="B739" s="167"/>
      <c r="C739" s="167"/>
      <c r="D739" s="167"/>
      <c r="E739" s="460" t="s">
        <v>271</v>
      </c>
      <c r="F739" s="167"/>
      <c r="G739" s="171"/>
      <c r="H739" s="208"/>
      <c r="I739" s="54"/>
      <c r="J739" s="54"/>
      <c r="K739" s="55"/>
      <c r="L739" s="62"/>
      <c r="M739" s="55"/>
      <c r="N739" s="55"/>
      <c r="O739" s="55"/>
      <c r="P739" s="55"/>
      <c r="Q739" s="55"/>
      <c r="R739" s="55"/>
      <c r="S739" s="55"/>
      <c r="T739" s="55"/>
      <c r="U739" s="55"/>
    </row>
    <row r="740" spans="1:21" ht="18.75">
      <c r="A740" s="166"/>
      <c r="B740" s="167"/>
      <c r="C740" s="167"/>
      <c r="D740" s="167"/>
      <c r="E740" s="167"/>
      <c r="F740" s="460" t="s">
        <v>272</v>
      </c>
      <c r="G740" s="171"/>
      <c r="H740" s="161" t="s">
        <v>46</v>
      </c>
      <c r="I740" s="212">
        <f ca="1">IFERROR(__xludf.DUMMYFUNCTION("IMPORTRANGE(""https://docs.google.com/spreadsheets/d/1eHaY18a8A9IcSdp1K8H6x8fbOy06t2VsZHhMHf-1x7Y/edit?usp=sharing"",""แผน!GB50"")"),1000)</f>
        <v>1000</v>
      </c>
      <c r="J740" s="467">
        <v>0</v>
      </c>
      <c r="K740" s="255">
        <f ca="1">IF(I740&gt;0,J740*100/I740,0)</f>
        <v>0</v>
      </c>
      <c r="L740" s="62"/>
      <c r="M740" s="55"/>
      <c r="N740" s="55"/>
      <c r="O740" s="55"/>
      <c r="P740" s="55"/>
      <c r="Q740" s="55"/>
      <c r="R740" s="55"/>
      <c r="S740" s="55"/>
      <c r="T740" s="55"/>
      <c r="U740" s="55"/>
    </row>
    <row r="741" spans="1:21" ht="18.75">
      <c r="A741" s="554"/>
      <c r="B741" s="553"/>
      <c r="C741" s="553"/>
      <c r="D741" s="553"/>
      <c r="E741" s="553"/>
      <c r="F741" s="558" t="s">
        <v>307</v>
      </c>
      <c r="G741" s="550"/>
      <c r="H741" s="549" t="s">
        <v>35</v>
      </c>
      <c r="I741" s="548"/>
      <c r="J741" s="547">
        <v>0</v>
      </c>
      <c r="K741" s="545"/>
      <c r="L741" s="546"/>
      <c r="M741" s="545"/>
      <c r="N741" s="545"/>
      <c r="O741" s="545"/>
      <c r="P741" s="545"/>
      <c r="Q741" s="545"/>
      <c r="R741" s="545"/>
      <c r="S741" s="545"/>
      <c r="T741" s="545"/>
      <c r="U741" s="545"/>
    </row>
    <row r="742" spans="1:21" ht="18.75">
      <c r="A742" s="554"/>
      <c r="B742" s="553"/>
      <c r="C742" s="553"/>
      <c r="D742" s="553"/>
      <c r="E742" s="553"/>
      <c r="F742" s="558" t="s">
        <v>306</v>
      </c>
      <c r="G742" s="550"/>
      <c r="H742" s="549" t="s">
        <v>35</v>
      </c>
      <c r="I742" s="556">
        <f ca="1">IFERROR(__xludf.DUMMYFUNCTION("IMPORTRANGE(""https://docs.google.com/spreadsheets/d/1eHaY18a8A9IcSdp1K8H6x8fbOy06t2VsZHhMHf-1x7Y/edit?usp=sharing"",""แผน!GC50"")"),100)</f>
        <v>100</v>
      </c>
      <c r="J742" s="547">
        <v>0</v>
      </c>
      <c r="K742" s="555">
        <f ca="1">IF(I742&gt;0,J742*100/I742,0)</f>
        <v>0</v>
      </c>
      <c r="L742" s="546"/>
      <c r="M742" s="545"/>
      <c r="N742" s="545"/>
      <c r="O742" s="545"/>
      <c r="P742" s="545"/>
      <c r="Q742" s="545"/>
      <c r="R742" s="545"/>
      <c r="S742" s="545"/>
      <c r="T742" s="545"/>
      <c r="U742" s="545"/>
    </row>
    <row r="743" spans="1:21" ht="18.75">
      <c r="A743" s="554"/>
      <c r="B743" s="553"/>
      <c r="C743" s="553"/>
      <c r="D743" s="553"/>
      <c r="E743" s="558" t="s">
        <v>275</v>
      </c>
      <c r="F743" s="553"/>
      <c r="G743" s="550"/>
      <c r="H743" s="557"/>
      <c r="I743" s="548"/>
      <c r="J743" s="548"/>
      <c r="K743" s="545"/>
      <c r="L743" s="546"/>
      <c r="M743" s="545"/>
      <c r="N743" s="545"/>
      <c r="O743" s="545"/>
      <c r="P743" s="545"/>
      <c r="Q743" s="545"/>
      <c r="R743" s="545"/>
      <c r="S743" s="545"/>
      <c r="T743" s="545"/>
      <c r="U743" s="545"/>
    </row>
    <row r="744" spans="1:21" ht="18.75">
      <c r="A744" s="554"/>
      <c r="B744" s="553"/>
      <c r="C744" s="553"/>
      <c r="D744" s="553"/>
      <c r="E744" s="553"/>
      <c r="F744" s="558" t="s">
        <v>272</v>
      </c>
      <c r="G744" s="550"/>
      <c r="H744" s="549" t="s">
        <v>46</v>
      </c>
      <c r="I744" s="556">
        <f ca="1">IFERROR(__xludf.DUMMYFUNCTION("IMPORTRANGE(""https://docs.google.com/spreadsheets/d/1eHaY18a8A9IcSdp1K8H6x8fbOy06t2VsZHhMHf-1x7Y/edit?usp=sharing"",""แผน!GD50"")"),250)</f>
        <v>250</v>
      </c>
      <c r="J744" s="547">
        <v>0</v>
      </c>
      <c r="K744" s="555">
        <f ca="1">IF(I744&gt;0,J744*100/I744,0)</f>
        <v>0</v>
      </c>
      <c r="L744" s="546"/>
      <c r="M744" s="545"/>
      <c r="N744" s="545"/>
      <c r="O744" s="545"/>
      <c r="P744" s="545"/>
      <c r="Q744" s="545"/>
      <c r="R744" s="545"/>
      <c r="S744" s="545"/>
      <c r="T744" s="545"/>
      <c r="U744" s="545"/>
    </row>
    <row r="745" spans="1:21" ht="18.75">
      <c r="A745" s="554"/>
      <c r="B745" s="553"/>
      <c r="C745" s="553"/>
      <c r="D745" s="553"/>
      <c r="E745" s="553"/>
      <c r="F745" s="558" t="s">
        <v>305</v>
      </c>
      <c r="G745" s="550"/>
      <c r="H745" s="549" t="s">
        <v>35</v>
      </c>
      <c r="I745" s="548"/>
      <c r="J745" s="547">
        <v>0</v>
      </c>
      <c r="K745" s="545"/>
      <c r="L745" s="546"/>
      <c r="M745" s="545"/>
      <c r="N745" s="545"/>
      <c r="O745" s="545"/>
      <c r="P745" s="545"/>
      <c r="Q745" s="545"/>
      <c r="R745" s="545"/>
      <c r="S745" s="545"/>
      <c r="T745" s="545"/>
      <c r="U745" s="545"/>
    </row>
    <row r="746" spans="1:21" ht="18.75">
      <c r="A746" s="554"/>
      <c r="B746" s="553"/>
      <c r="C746" s="553"/>
      <c r="D746" s="553"/>
      <c r="E746" s="553"/>
      <c r="F746" s="558" t="s">
        <v>304</v>
      </c>
      <c r="G746" s="550"/>
      <c r="H746" s="549" t="s">
        <v>35</v>
      </c>
      <c r="I746" s="556">
        <f ca="1">IFERROR(__xludf.DUMMYFUNCTION("IMPORTRANGE(""https://docs.google.com/spreadsheets/d/1eHaY18a8A9IcSdp1K8H6x8fbOy06t2VsZHhMHf-1x7Y/edit?usp=sharing"",""แผน!GE50"")"),25)</f>
        <v>25</v>
      </c>
      <c r="J746" s="547">
        <v>25</v>
      </c>
      <c r="K746" s="555">
        <f ca="1">IF(I746&gt;0,J746*100/I746,0)</f>
        <v>100</v>
      </c>
      <c r="L746" s="546"/>
      <c r="M746" s="545"/>
      <c r="N746" s="545"/>
      <c r="O746" s="545"/>
      <c r="P746" s="545"/>
      <c r="Q746" s="545"/>
      <c r="R746" s="545"/>
      <c r="S746" s="545"/>
      <c r="T746" s="545"/>
      <c r="U746" s="545"/>
    </row>
    <row r="747" spans="1:21" ht="18.75">
      <c r="A747" s="554"/>
      <c r="B747" s="553"/>
      <c r="C747" s="553"/>
      <c r="D747" s="553"/>
      <c r="E747" s="558" t="s">
        <v>278</v>
      </c>
      <c r="F747" s="552"/>
      <c r="G747" s="550"/>
      <c r="H747" s="557"/>
      <c r="I747" s="548"/>
      <c r="J747" s="548"/>
      <c r="K747" s="545"/>
      <c r="L747" s="546"/>
      <c r="M747" s="545"/>
      <c r="N747" s="545"/>
      <c r="O747" s="545"/>
      <c r="P747" s="545"/>
      <c r="Q747" s="545"/>
      <c r="R747" s="545"/>
      <c r="S747" s="545"/>
      <c r="T747" s="545"/>
      <c r="U747" s="545"/>
    </row>
    <row r="748" spans="1:21" ht="18.75">
      <c r="A748" s="554"/>
      <c r="B748" s="553"/>
      <c r="C748" s="553"/>
      <c r="D748" s="553"/>
      <c r="E748" s="553"/>
      <c r="F748" s="558" t="s">
        <v>303</v>
      </c>
      <c r="G748" s="550"/>
      <c r="H748" s="549" t="s">
        <v>35</v>
      </c>
      <c r="I748" s="548"/>
      <c r="J748" s="547">
        <v>0</v>
      </c>
      <c r="K748" s="545"/>
      <c r="L748" s="546"/>
      <c r="M748" s="545"/>
      <c r="N748" s="545"/>
      <c r="O748" s="545"/>
      <c r="P748" s="545"/>
      <c r="Q748" s="545"/>
      <c r="R748" s="545"/>
      <c r="S748" s="545"/>
      <c r="T748" s="545"/>
      <c r="U748" s="545"/>
    </row>
    <row r="749" spans="1:21" ht="18.75">
      <c r="A749" s="554"/>
      <c r="B749" s="553"/>
      <c r="C749" s="553"/>
      <c r="D749" s="553"/>
      <c r="E749" s="553"/>
      <c r="F749" s="558" t="s">
        <v>302</v>
      </c>
      <c r="G749" s="550"/>
      <c r="H749" s="549" t="s">
        <v>35</v>
      </c>
      <c r="I749" s="556">
        <f ca="1">IFERROR(__xludf.DUMMYFUNCTION("IMPORTRANGE(""https://docs.google.com/spreadsheets/d/1eHaY18a8A9IcSdp1K8H6x8fbOy06t2VsZHhMHf-1x7Y/edit?usp=sharing"",""แผน!GF50"")"),3)</f>
        <v>3</v>
      </c>
      <c r="J749" s="547">
        <v>0</v>
      </c>
      <c r="K749" s="555">
        <f ca="1">IF(I749&gt;0,J749*100/I749,0)</f>
        <v>0</v>
      </c>
      <c r="L749" s="546"/>
      <c r="M749" s="545"/>
      <c r="N749" s="545"/>
      <c r="O749" s="545"/>
      <c r="P749" s="545"/>
      <c r="Q749" s="545"/>
      <c r="R749" s="545"/>
      <c r="S749" s="545"/>
      <c r="T749" s="545"/>
      <c r="U749" s="545"/>
    </row>
    <row r="750" spans="1:21" ht="19.5">
      <c r="A750" s="554"/>
      <c r="B750" s="553"/>
      <c r="C750" s="553"/>
      <c r="D750" s="559" t="s">
        <v>50</v>
      </c>
      <c r="E750" s="553"/>
      <c r="F750" s="552"/>
      <c r="G750" s="550"/>
      <c r="H750" s="557"/>
      <c r="I750" s="548"/>
      <c r="J750" s="548"/>
      <c r="K750" s="545"/>
      <c r="L750" s="546"/>
      <c r="M750" s="545"/>
      <c r="N750" s="545"/>
      <c r="O750" s="545"/>
      <c r="P750" s="545"/>
      <c r="Q750" s="545"/>
      <c r="R750" s="545"/>
      <c r="S750" s="545"/>
      <c r="T750" s="545"/>
      <c r="U750" s="545"/>
    </row>
    <row r="751" spans="1:21" ht="18.75">
      <c r="A751" s="554"/>
      <c r="B751" s="553"/>
      <c r="C751" s="553"/>
      <c r="D751" s="553"/>
      <c r="E751" s="558" t="s">
        <v>271</v>
      </c>
      <c r="F751" s="552"/>
      <c r="G751" s="550"/>
      <c r="H751" s="557"/>
      <c r="I751" s="548"/>
      <c r="J751" s="548"/>
      <c r="K751" s="545"/>
      <c r="L751" s="546"/>
      <c r="M751" s="545"/>
      <c r="N751" s="545"/>
      <c r="O751" s="545"/>
      <c r="P751" s="545"/>
      <c r="Q751" s="545"/>
      <c r="R751" s="545"/>
      <c r="S751" s="545"/>
      <c r="T751" s="545"/>
      <c r="U751" s="545"/>
    </row>
    <row r="752" spans="1:21" ht="18.75">
      <c r="A752" s="554"/>
      <c r="B752" s="553"/>
      <c r="C752" s="553"/>
      <c r="D752" s="553"/>
      <c r="E752" s="553"/>
      <c r="F752" s="551" t="s">
        <v>301</v>
      </c>
      <c r="G752" s="550"/>
      <c r="H752" s="549" t="s">
        <v>46</v>
      </c>
      <c r="I752" s="556">
        <f ca="1">IFERROR(__xludf.DUMMYFUNCTION("IMPORTRANGE(""https://docs.google.com/spreadsheets/d/1eHaY18a8A9IcSdp1K8H6x8fbOy06t2VsZHhMHf-1x7Y/edit?usp=sharing"",""แผน!GB50"")"),1000)</f>
        <v>1000</v>
      </c>
      <c r="J752" s="547">
        <v>0</v>
      </c>
      <c r="K752" s="555">
        <f ca="1">IF(I752&gt;0,J752*100/I752,0)</f>
        <v>0</v>
      </c>
      <c r="L752" s="546"/>
      <c r="M752" s="545"/>
      <c r="N752" s="545"/>
      <c r="O752" s="545"/>
      <c r="P752" s="545"/>
      <c r="Q752" s="545"/>
      <c r="R752" s="545"/>
      <c r="S752" s="545"/>
      <c r="T752" s="545"/>
      <c r="U752" s="545"/>
    </row>
    <row r="753" spans="1:21" ht="18.75">
      <c r="A753" s="554"/>
      <c r="B753" s="553"/>
      <c r="C753" s="553"/>
      <c r="D753" s="553"/>
      <c r="E753" s="553"/>
      <c r="F753" s="551" t="s">
        <v>300</v>
      </c>
      <c r="G753" s="550"/>
      <c r="H753" s="549" t="s">
        <v>46</v>
      </c>
      <c r="I753" s="548"/>
      <c r="J753" s="547">
        <v>0</v>
      </c>
      <c r="K753" s="545"/>
      <c r="L753" s="546"/>
      <c r="M753" s="545"/>
      <c r="N753" s="545"/>
      <c r="O753" s="545"/>
      <c r="P753" s="545"/>
      <c r="Q753" s="545"/>
      <c r="R753" s="545"/>
      <c r="S753" s="545"/>
      <c r="T753" s="545"/>
      <c r="U753" s="545"/>
    </row>
    <row r="754" spans="1:21" ht="18.75">
      <c r="A754" s="554"/>
      <c r="B754" s="553"/>
      <c r="C754" s="553"/>
      <c r="D754" s="553"/>
      <c r="E754" s="558" t="s">
        <v>275</v>
      </c>
      <c r="F754" s="552"/>
      <c r="G754" s="550"/>
      <c r="H754" s="557"/>
      <c r="I754" s="548"/>
      <c r="J754" s="548"/>
      <c r="K754" s="545"/>
      <c r="L754" s="546"/>
      <c r="M754" s="545"/>
      <c r="N754" s="545"/>
      <c r="O754" s="545"/>
      <c r="P754" s="545"/>
      <c r="Q754" s="545"/>
      <c r="R754" s="545"/>
      <c r="S754" s="545"/>
      <c r="T754" s="545"/>
      <c r="U754" s="545"/>
    </row>
    <row r="755" spans="1:21" ht="18.75">
      <c r="A755" s="554"/>
      <c r="B755" s="553"/>
      <c r="C755" s="553"/>
      <c r="D755" s="553"/>
      <c r="E755" s="552"/>
      <c r="F755" s="551" t="s">
        <v>299</v>
      </c>
      <c r="G755" s="550"/>
      <c r="H755" s="549" t="s">
        <v>46</v>
      </c>
      <c r="I755" s="556">
        <f ca="1">IFERROR(__xludf.DUMMYFUNCTION("IMPORTRANGE(""https://docs.google.com/spreadsheets/d/1eHaY18a8A9IcSdp1K8H6x8fbOy06t2VsZHhMHf-1x7Y/edit?usp=sharing"",""แผน!GD50"")"),250)</f>
        <v>250</v>
      </c>
      <c r="J755" s="547">
        <v>0</v>
      </c>
      <c r="K755" s="555">
        <f ca="1">IF(I755&gt;0,J755*100/I755,0)</f>
        <v>0</v>
      </c>
      <c r="L755" s="546"/>
      <c r="M755" s="545"/>
      <c r="N755" s="545"/>
      <c r="O755" s="545"/>
      <c r="P755" s="545"/>
      <c r="Q755" s="545"/>
      <c r="R755" s="545"/>
      <c r="S755" s="545"/>
      <c r="T755" s="545"/>
      <c r="U755" s="545"/>
    </row>
    <row r="756" spans="1:21" ht="18.75">
      <c r="A756" s="554"/>
      <c r="B756" s="553"/>
      <c r="C756" s="553"/>
      <c r="D756" s="553"/>
      <c r="E756" s="552"/>
      <c r="F756" s="551" t="s">
        <v>298</v>
      </c>
      <c r="G756" s="550"/>
      <c r="H756" s="549" t="s">
        <v>46</v>
      </c>
      <c r="I756" s="548"/>
      <c r="J756" s="547">
        <v>0</v>
      </c>
      <c r="K756" s="545"/>
      <c r="L756" s="546"/>
      <c r="M756" s="545"/>
      <c r="N756" s="545"/>
      <c r="O756" s="545"/>
      <c r="P756" s="545"/>
      <c r="Q756" s="545"/>
      <c r="R756" s="545"/>
      <c r="S756" s="545"/>
      <c r="T756" s="545"/>
      <c r="U756" s="545"/>
    </row>
    <row r="757" spans="1:21" ht="18.75">
      <c r="A757" s="489"/>
      <c r="B757" s="489"/>
      <c r="C757" s="489"/>
      <c r="D757" s="489"/>
      <c r="E757" s="490" t="s">
        <v>285</v>
      </c>
      <c r="F757" s="491"/>
      <c r="G757" s="492"/>
      <c r="H757" s="493" t="s">
        <v>35</v>
      </c>
      <c r="I757" s="494"/>
      <c r="J757" s="495">
        <v>0</v>
      </c>
      <c r="K757" s="496"/>
      <c r="L757" s="496"/>
      <c r="M757" s="496"/>
      <c r="N757" s="496"/>
      <c r="O757" s="496"/>
      <c r="P757" s="496"/>
      <c r="Q757" s="496"/>
      <c r="R757" s="496"/>
      <c r="S757" s="496"/>
      <c r="T757" s="496"/>
      <c r="U757" s="496"/>
    </row>
    <row r="758" spans="1:21" ht="19.5">
      <c r="A758" s="442"/>
      <c r="B758" s="443" t="s">
        <v>286</v>
      </c>
      <c r="C758" s="442"/>
      <c r="D758" s="444"/>
      <c r="E758" s="444"/>
      <c r="F758" s="444"/>
      <c r="G758" s="445"/>
      <c r="H758" s="473" t="s">
        <v>35</v>
      </c>
      <c r="I758" s="544">
        <f ca="1">I772</f>
        <v>85</v>
      </c>
      <c r="J758" s="544">
        <f>J772</f>
        <v>60</v>
      </c>
      <c r="K758" s="543">
        <f ca="1">IF(I758&gt;0,J758*100/I758,0)</f>
        <v>70.588235294117652</v>
      </c>
      <c r="L758" s="449"/>
      <c r="M758" s="448"/>
      <c r="N758" s="448"/>
      <c r="O758" s="448"/>
      <c r="P758" s="448"/>
      <c r="Q758" s="448"/>
      <c r="R758" s="448"/>
      <c r="S758" s="448"/>
      <c r="T758" s="448"/>
      <c r="U758" s="448"/>
    </row>
    <row r="759" spans="1:21" ht="19.5">
      <c r="A759" s="487"/>
      <c r="B759" s="442"/>
      <c r="C759" s="442"/>
      <c r="D759" s="444"/>
      <c r="E759" s="444"/>
      <c r="F759" s="444"/>
      <c r="G759" s="445"/>
      <c r="H759" s="473" t="s">
        <v>46</v>
      </c>
      <c r="I759" s="544">
        <f ca="1">I774</f>
        <v>425</v>
      </c>
      <c r="J759" s="544">
        <f>J774</f>
        <v>0</v>
      </c>
      <c r="K759" s="543">
        <f ca="1">IF(I759&gt;0,J759*100/I759,0)</f>
        <v>0</v>
      </c>
      <c r="L759" s="449"/>
      <c r="M759" s="448"/>
      <c r="N759" s="448"/>
      <c r="O759" s="448"/>
      <c r="P759" s="448"/>
      <c r="Q759" s="448"/>
      <c r="R759" s="448"/>
      <c r="S759" s="448"/>
      <c r="T759" s="448"/>
      <c r="U759" s="448"/>
    </row>
    <row r="760" spans="1:21" ht="19.5">
      <c r="A760" s="155"/>
      <c r="B760" s="188"/>
      <c r="C760" s="205" t="s">
        <v>18</v>
      </c>
      <c r="D760" s="542" t="s">
        <v>19</v>
      </c>
      <c r="E760" s="529"/>
      <c r="F760" s="529"/>
      <c r="G760" s="530"/>
      <c r="H760" s="252" t="s">
        <v>14</v>
      </c>
      <c r="I760" s="54"/>
      <c r="J760" s="54"/>
      <c r="K760" s="55"/>
      <c r="L760" s="541">
        <f>L761+L762</f>
        <v>0</v>
      </c>
      <c r="M760" s="540">
        <f>M761+M762</f>
        <v>0</v>
      </c>
      <c r="N760" s="540">
        <f>N761+N762</f>
        <v>0</v>
      </c>
      <c r="O760" s="540">
        <f>IF(L760&gt;0,N760*100/L760,0)</f>
        <v>0</v>
      </c>
      <c r="P760" s="540">
        <f>IF(M760&gt;0,N760*100/M760,0)</f>
        <v>0</v>
      </c>
      <c r="Q760" s="540">
        <f ca="1">Q761+Q762</f>
        <v>830850</v>
      </c>
      <c r="R760" s="540">
        <f ca="1">R761+R762</f>
        <v>830850</v>
      </c>
      <c r="S760" s="540">
        <f ca="1">S761+S762</f>
        <v>170375.17</v>
      </c>
      <c r="T760" s="540">
        <f ca="1">IF(Q760&gt;0,S760*100/Q760,0)</f>
        <v>20.506128663416984</v>
      </c>
      <c r="U760" s="540">
        <f ca="1">IF(R760&gt;0,S760*100/R760,0)</f>
        <v>20.506128663416984</v>
      </c>
    </row>
    <row r="761" spans="1:21" ht="18.75" hidden="1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103">
        <f>L764+L767</f>
        <v>0</v>
      </c>
      <c r="M761" s="102">
        <f>M764+M767</f>
        <v>0</v>
      </c>
      <c r="N761" s="102">
        <f>N764+N767</f>
        <v>0</v>
      </c>
      <c r="O761" s="102">
        <f>IF(L761&gt;0,N761*100/L761,0)</f>
        <v>0</v>
      </c>
      <c r="P761" s="102">
        <f>IF(M761&gt;0,N761*100/M761,0)</f>
        <v>0</v>
      </c>
      <c r="Q761" s="102">
        <f>Q764+Q767</f>
        <v>0</v>
      </c>
      <c r="R761" s="102">
        <f>R764+R767</f>
        <v>0</v>
      </c>
      <c r="S761" s="102">
        <f>S764+S767</f>
        <v>0</v>
      </c>
      <c r="T761" s="102">
        <f>IF(Q761&gt;0,S761*100/Q761,0)</f>
        <v>0</v>
      </c>
      <c r="U761" s="102">
        <f>IF(R761&gt;0,S761*100/R761,0)</f>
        <v>0</v>
      </c>
    </row>
    <row r="762" spans="1:21" ht="18.75" hidden="1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256">
        <f>L765+L768</f>
        <v>0</v>
      </c>
      <c r="M762" s="255">
        <f>M765+M768</f>
        <v>0</v>
      </c>
      <c r="N762" s="255">
        <f>N765+N768</f>
        <v>0</v>
      </c>
      <c r="O762" s="255">
        <f>IF(L762&gt;0,N762*100/L762,0)</f>
        <v>0</v>
      </c>
      <c r="P762" s="255">
        <f>IF(M762&gt;0,N762*100/M762,0)</f>
        <v>0</v>
      </c>
      <c r="Q762" s="255">
        <f ca="1">Q765+Q768</f>
        <v>830850</v>
      </c>
      <c r="R762" s="255">
        <f ca="1">R765+R768</f>
        <v>830850</v>
      </c>
      <c r="S762" s="255">
        <f ca="1">S765+S768</f>
        <v>170375.17</v>
      </c>
      <c r="T762" s="255">
        <f ca="1">IF(Q762&gt;0,S762*100/Q762,0)</f>
        <v>20.506128663416984</v>
      </c>
      <c r="U762" s="255">
        <f ca="1">IF(R762&gt;0,S762*100/R762,0)</f>
        <v>20.506128663416984</v>
      </c>
    </row>
    <row r="763" spans="1:21" ht="18.75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256">
        <f>L764+L765</f>
        <v>0</v>
      </c>
      <c r="M763" s="255">
        <f>M764+M765</f>
        <v>0</v>
      </c>
      <c r="N763" s="255">
        <f>N764+N765</f>
        <v>0</v>
      </c>
      <c r="O763" s="255">
        <f>IF(L763&gt;0,N763*100/L763,0)</f>
        <v>0</v>
      </c>
      <c r="P763" s="255">
        <f>IF(M763&gt;0,N763*100/M763,0)</f>
        <v>0</v>
      </c>
      <c r="Q763" s="255">
        <f ca="1">Q764+Q765</f>
        <v>830850</v>
      </c>
      <c r="R763" s="255">
        <f ca="1">R764+R765</f>
        <v>830850</v>
      </c>
      <c r="S763" s="255">
        <f ca="1">S764+S765</f>
        <v>170375.17</v>
      </c>
      <c r="T763" s="255">
        <f ca="1">IF(Q763&gt;0,S763*100/Q763,0)</f>
        <v>20.506128663416984</v>
      </c>
      <c r="U763" s="255">
        <f ca="1">IF(R763&gt;0,S763*100/R763,0)</f>
        <v>20.506128663416984</v>
      </c>
    </row>
    <row r="764" spans="1:21" ht="18.75" hidden="1">
      <c r="A764" s="155"/>
      <c r="B764" s="188"/>
      <c r="C764" s="202"/>
      <c r="D764" s="174"/>
      <c r="E764" s="186" t="s">
        <v>159</v>
      </c>
      <c r="F764" s="50"/>
      <c r="G764" s="52"/>
      <c r="H764" s="189" t="s">
        <v>14</v>
      </c>
      <c r="I764" s="54"/>
      <c r="J764" s="54"/>
      <c r="K764" s="55"/>
      <c r="L764" s="103">
        <v>0</v>
      </c>
      <c r="M764" s="102">
        <v>0</v>
      </c>
      <c r="N764" s="102">
        <v>0</v>
      </c>
      <c r="O764" s="102">
        <f>IF(L764&gt;0,N764*100/L764,0)</f>
        <v>0</v>
      </c>
      <c r="P764" s="102">
        <f>IF(M764&gt;0,N764*100/M764,0)</f>
        <v>0</v>
      </c>
      <c r="Q764" s="102">
        <v>0</v>
      </c>
      <c r="R764" s="102">
        <v>0</v>
      </c>
      <c r="S764" s="102">
        <v>0</v>
      </c>
      <c r="T764" s="102">
        <f>IF(Q764&gt;0,S764*100/Q764,0)</f>
        <v>0</v>
      </c>
      <c r="U764" s="102">
        <f>IF(R764&gt;0,S764*100/R764,0)</f>
        <v>0</v>
      </c>
    </row>
    <row r="765" spans="1:21" ht="18.75" hidden="1">
      <c r="A765" s="155"/>
      <c r="B765" s="188"/>
      <c r="C765" s="202"/>
      <c r="D765" s="174"/>
      <c r="E765" s="58" t="s">
        <v>160</v>
      </c>
      <c r="F765" s="50"/>
      <c r="G765" s="52"/>
      <c r="H765" s="162" t="s">
        <v>14</v>
      </c>
      <c r="I765" s="54"/>
      <c r="J765" s="54"/>
      <c r="K765" s="55"/>
      <c r="L765" s="256">
        <v>0</v>
      </c>
      <c r="M765" s="255">
        <v>0</v>
      </c>
      <c r="N765" s="255">
        <v>0</v>
      </c>
      <c r="O765" s="255">
        <f>IF(L765&gt;0,N765*100/L765,0)</f>
        <v>0</v>
      </c>
      <c r="P765" s="255">
        <f>IF(M765&gt;0,N765*100/M765,0)</f>
        <v>0</v>
      </c>
      <c r="Q765" s="255">
        <f ca="1">IFERROR(__xludf.DUMMYFUNCTION("IMPORTRANGE(""https://docs.google.com/spreadsheets/d/1ItG2mGa2ceCfYo0BwxsXqNm01IGEUdYcSSLTEv9YCik/edit?usp=sharing"",""เบิกจ่ายกองทุน!U50"")"),830850)</f>
        <v>830850</v>
      </c>
      <c r="R765" s="255">
        <f ca="1">IFERROR(__xludf.DUMMYFUNCTION("IMPORTRANGE(""https://docs.google.com/spreadsheets/d/1ItG2mGa2ceCfYo0BwxsXqNm01IGEUdYcSSLTEv9YCik/edit?usp=sharing"",""เบิกจ่ายกองทุน!V50"")"),830850)</f>
        <v>830850</v>
      </c>
      <c r="S765" s="255">
        <f ca="1">IFERROR(__xludf.DUMMYFUNCTION("IMPORTRANGE(""https://docs.google.com/spreadsheets/d/1ItG2mGa2ceCfYo0BwxsXqNm01IGEUdYcSSLTEv9YCik/edit?usp=sharing"",""เบิกจ่ายกองทุน!W50"")"),170375.17)</f>
        <v>170375.17</v>
      </c>
      <c r="T765" s="255">
        <f ca="1">IF(Q765&gt;0,S765*100/Q765,0)</f>
        <v>20.506128663416984</v>
      </c>
      <c r="U765" s="255">
        <f ca="1">IF(R765&gt;0,S765*100/R765,0)</f>
        <v>20.506128663416984</v>
      </c>
    </row>
    <row r="766" spans="1:21" ht="18.75">
      <c r="A766" s="155"/>
      <c r="B766" s="188"/>
      <c r="C766" s="188"/>
      <c r="D766" s="51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256">
        <f>L767+L768</f>
        <v>0</v>
      </c>
      <c r="M766" s="255">
        <f>M767+M768</f>
        <v>0</v>
      </c>
      <c r="N766" s="255">
        <f>N767+N768</f>
        <v>0</v>
      </c>
      <c r="O766" s="255">
        <f>IF(L766&gt;0,N766*100/L766,0)</f>
        <v>0</v>
      </c>
      <c r="P766" s="255">
        <f>IF(M766&gt;0,N766*100/M766,0)</f>
        <v>0</v>
      </c>
      <c r="Q766" s="255">
        <f>Q767+Q768</f>
        <v>0</v>
      </c>
      <c r="R766" s="255">
        <f>R767+R768</f>
        <v>0</v>
      </c>
      <c r="S766" s="255">
        <f>S767+S768</f>
        <v>0</v>
      </c>
      <c r="T766" s="255">
        <f>IF(Q766&gt;0,S766*100/Q766,0)</f>
        <v>0</v>
      </c>
      <c r="U766" s="255">
        <f>IF(R766&gt;0,S766*100/R766,0)</f>
        <v>0</v>
      </c>
    </row>
    <row r="767" spans="1:21" ht="18.75" hidden="1">
      <c r="A767" s="155"/>
      <c r="B767" s="188"/>
      <c r="C767" s="188"/>
      <c r="D767" s="188"/>
      <c r="E767" s="358" t="s">
        <v>20</v>
      </c>
      <c r="F767" s="50"/>
      <c r="G767" s="52"/>
      <c r="H767" s="189" t="s">
        <v>14</v>
      </c>
      <c r="I767" s="163"/>
      <c r="J767" s="163"/>
      <c r="K767" s="164"/>
      <c r="L767" s="103">
        <v>0</v>
      </c>
      <c r="M767" s="102">
        <v>0</v>
      </c>
      <c r="N767" s="102">
        <v>0</v>
      </c>
      <c r="O767" s="102">
        <f>IF(L767&gt;0,N767*100/L767,0)</f>
        <v>0</v>
      </c>
      <c r="P767" s="102">
        <f>IF(M767&gt;0,N767*100/M767,0)</f>
        <v>0</v>
      </c>
      <c r="Q767" s="102">
        <v>0</v>
      </c>
      <c r="R767" s="102">
        <v>0</v>
      </c>
      <c r="S767" s="102">
        <v>0</v>
      </c>
      <c r="T767" s="102">
        <f>IF(Q767&gt;0,S767*100/Q767,0)</f>
        <v>0</v>
      </c>
      <c r="U767" s="102">
        <f>IF(R767&gt;0,S767*100/R767,0)</f>
        <v>0</v>
      </c>
    </row>
    <row r="768" spans="1:21" ht="18.75" hidden="1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256">
        <v>0</v>
      </c>
      <c r="M768" s="255">
        <v>0</v>
      </c>
      <c r="N768" s="255">
        <v>0</v>
      </c>
      <c r="O768" s="255">
        <f>IF(L768&gt;0,N768*100/L768,0)</f>
        <v>0</v>
      </c>
      <c r="P768" s="255">
        <f>IF(M768&gt;0,N768*100/M768,0)</f>
        <v>0</v>
      </c>
      <c r="Q768" s="255">
        <v>0</v>
      </c>
      <c r="R768" s="255">
        <v>0</v>
      </c>
      <c r="S768" s="255">
        <v>0</v>
      </c>
      <c r="T768" s="255">
        <f>IF(Q768&gt;0,S768*100/Q768,0)</f>
        <v>0</v>
      </c>
      <c r="U768" s="255">
        <f>IF(R768&gt;0,S768*100/R768,0)</f>
        <v>0</v>
      </c>
    </row>
    <row r="769" spans="1:21" ht="19.5">
      <c r="A769" s="166"/>
      <c r="B769" s="167"/>
      <c r="C769" s="497" t="s">
        <v>18</v>
      </c>
      <c r="D769" s="539" t="s">
        <v>38</v>
      </c>
      <c r="E769" s="232"/>
      <c r="F769" s="169"/>
      <c r="G769" s="170"/>
      <c r="H769" s="206"/>
      <c r="I769" s="54"/>
      <c r="J769" s="54"/>
      <c r="K769" s="55"/>
      <c r="L769" s="62"/>
      <c r="M769" s="55"/>
      <c r="N769" s="55"/>
      <c r="O769" s="55"/>
      <c r="P769" s="55"/>
      <c r="Q769" s="55"/>
      <c r="R769" s="55"/>
      <c r="S769" s="55"/>
      <c r="T769" s="55"/>
      <c r="U769" s="55"/>
    </row>
    <row r="770" spans="1:21" ht="18.75" hidden="1">
      <c r="A770" s="166"/>
      <c r="B770" s="167"/>
      <c r="C770" s="167"/>
      <c r="D770" s="423" t="s">
        <v>287</v>
      </c>
      <c r="E770" s="167"/>
      <c r="F770" s="174"/>
      <c r="G770" s="171"/>
      <c r="H770" s="421" t="s">
        <v>35</v>
      </c>
      <c r="I770" s="483">
        <f ca="1">IFERROR(__xludf.DUMMYFUNCTION("IMPORTRANGE(""https://docs.google.com/spreadsheets/d/1eHaY18a8A9IcSdp1K8H6x8fbOy06t2VsZHhMHf-1x7Y/edit?usp=sharing"",""แผน!FI50"")"),0)</f>
        <v>0</v>
      </c>
      <c r="J770" s="483">
        <v>0</v>
      </c>
      <c r="K770" s="102">
        <f ca="1">IF(I770&gt;0,J770*100/I770,0)</f>
        <v>0</v>
      </c>
      <c r="L770" s="62"/>
      <c r="M770" s="55"/>
      <c r="N770" s="55"/>
      <c r="O770" s="55"/>
      <c r="P770" s="55"/>
      <c r="Q770" s="55"/>
      <c r="R770" s="55"/>
      <c r="S770" s="55"/>
      <c r="T770" s="55"/>
      <c r="U770" s="55"/>
    </row>
    <row r="771" spans="1:21" ht="18.75" hidden="1">
      <c r="A771" s="166"/>
      <c r="B771" s="167"/>
      <c r="C771" s="167"/>
      <c r="D771" s="423" t="s">
        <v>288</v>
      </c>
      <c r="E771" s="167"/>
      <c r="F771" s="174"/>
      <c r="G771" s="171"/>
      <c r="H771" s="206"/>
      <c r="I771" s="54"/>
      <c r="J771" s="54"/>
      <c r="K771" s="55"/>
      <c r="L771" s="62"/>
      <c r="M771" s="55"/>
      <c r="N771" s="55"/>
      <c r="O771" s="55"/>
      <c r="P771" s="55"/>
      <c r="Q771" s="55"/>
      <c r="R771" s="55"/>
      <c r="S771" s="55"/>
      <c r="T771" s="55"/>
      <c r="U771" s="55"/>
    </row>
    <row r="772" spans="1:21" ht="18.75">
      <c r="A772" s="166"/>
      <c r="B772" s="167"/>
      <c r="C772" s="167"/>
      <c r="D772" s="460" t="s">
        <v>289</v>
      </c>
      <c r="E772" s="167"/>
      <c r="F772" s="174"/>
      <c r="G772" s="171"/>
      <c r="H772" s="165" t="s">
        <v>35</v>
      </c>
      <c r="I772" s="212">
        <f ca="1">IFERROR(__xludf.DUMMYFUNCTION("IMPORTRANGE(""https://docs.google.com/spreadsheets/d/1eHaY18a8A9IcSdp1K8H6x8fbOy06t2VsZHhMHf-1x7Y/edit?usp=sharing"",""แผน!FQ50"")"),85)</f>
        <v>85</v>
      </c>
      <c r="J772" s="467">
        <v>60</v>
      </c>
      <c r="K772" s="255">
        <f ca="1">IF(I772&gt;0,J772*100/I772,0)</f>
        <v>70.588235294117652</v>
      </c>
      <c r="L772" s="62"/>
      <c r="M772" s="55"/>
      <c r="N772" s="55"/>
      <c r="O772" s="55"/>
      <c r="P772" s="55"/>
      <c r="Q772" s="55"/>
      <c r="R772" s="55"/>
      <c r="S772" s="55"/>
      <c r="T772" s="55"/>
      <c r="U772" s="55"/>
    </row>
    <row r="773" spans="1:21" ht="18.75">
      <c r="A773" s="166"/>
      <c r="B773" s="167"/>
      <c r="C773" s="167"/>
      <c r="D773" s="460" t="s">
        <v>290</v>
      </c>
      <c r="E773" s="167"/>
      <c r="F773" s="174"/>
      <c r="G773" s="171"/>
      <c r="H773" s="206"/>
      <c r="I773" s="54"/>
      <c r="J773" s="54"/>
      <c r="K773" s="55"/>
      <c r="L773" s="62"/>
      <c r="M773" s="55"/>
      <c r="N773" s="55"/>
      <c r="O773" s="55"/>
      <c r="P773" s="55"/>
      <c r="Q773" s="55"/>
      <c r="R773" s="55"/>
      <c r="S773" s="55"/>
      <c r="T773" s="55"/>
      <c r="U773" s="55"/>
    </row>
    <row r="774" spans="1:21" ht="18.75">
      <c r="A774" s="166"/>
      <c r="B774" s="167"/>
      <c r="C774" s="167"/>
      <c r="D774" s="460" t="s">
        <v>291</v>
      </c>
      <c r="E774" s="167"/>
      <c r="F774" s="174"/>
      <c r="G774" s="171"/>
      <c r="H774" s="165" t="s">
        <v>46</v>
      </c>
      <c r="I774" s="212">
        <f ca="1">IFERROR(__xludf.DUMMYFUNCTION("IMPORTRANGE(""https://docs.google.com/spreadsheets/d/1eHaY18a8A9IcSdp1K8H6x8fbOy06t2VsZHhMHf-1x7Y/edit?usp=sharing"",""แผน!FR50"")"),425)</f>
        <v>425</v>
      </c>
      <c r="J774" s="467">
        <v>0</v>
      </c>
      <c r="K774" s="255">
        <f ca="1">IF(I774&gt;0,J774*100/I774,0)</f>
        <v>0</v>
      </c>
      <c r="L774" s="62"/>
      <c r="M774" s="55"/>
      <c r="N774" s="55"/>
      <c r="O774" s="55"/>
      <c r="P774" s="55"/>
      <c r="Q774" s="55"/>
      <c r="R774" s="55"/>
      <c r="S774" s="55"/>
      <c r="T774" s="55"/>
      <c r="U774" s="55"/>
    </row>
    <row r="775" spans="1:21" ht="18.75">
      <c r="A775" s="166"/>
      <c r="B775" s="167"/>
      <c r="C775" s="167"/>
      <c r="D775" s="460" t="s">
        <v>50</v>
      </c>
      <c r="E775" s="174"/>
      <c r="F775" s="50"/>
      <c r="G775" s="52"/>
      <c r="H775" s="165" t="s">
        <v>46</v>
      </c>
      <c r="I775" s="212">
        <f ca="1">IFERROR(__xludf.DUMMYFUNCTION("IMPORTRANGE(""https://docs.google.com/spreadsheets/d/1eHaY18a8A9IcSdp1K8H6x8fbOy06t2VsZHhMHf-1x7Y/edit?usp=sharing"",""แผน!FS50"")"),425)</f>
        <v>425</v>
      </c>
      <c r="J775" s="467">
        <v>0</v>
      </c>
      <c r="K775" s="55"/>
      <c r="L775" s="62"/>
      <c r="M775" s="55"/>
      <c r="N775" s="55"/>
      <c r="O775" s="55"/>
      <c r="P775" s="55"/>
      <c r="Q775" s="55"/>
      <c r="R775" s="55"/>
      <c r="S775" s="55"/>
      <c r="T775" s="55"/>
      <c r="U775" s="55"/>
    </row>
    <row r="776" spans="1:21" ht="18.75">
      <c r="A776" s="281"/>
      <c r="B776" s="282"/>
      <c r="C776" s="282"/>
      <c r="D776" s="282"/>
      <c r="E776" s="2"/>
      <c r="F776" s="2"/>
      <c r="G776" s="65"/>
      <c r="H776" s="214" t="s">
        <v>35</v>
      </c>
      <c r="I776" s="216">
        <f ca="1">IFERROR(__xludf.DUMMYFUNCTION("IMPORTRANGE(""https://docs.google.com/spreadsheets/d/1eHaY18a8A9IcSdp1K8H6x8fbOy06t2VsZHhMHf-1x7Y/edit?usp=sharing"",""แผน!FT50"")"),85)</f>
        <v>85</v>
      </c>
      <c r="J776" s="538">
        <v>0</v>
      </c>
      <c r="K776" s="6"/>
      <c r="L776" s="68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>
      <c r="A777" s="537" t="s">
        <v>292</v>
      </c>
      <c r="B777" s="500"/>
      <c r="C777" s="500"/>
      <c r="D777" s="499"/>
      <c r="E777" s="500"/>
      <c r="F777" s="500"/>
      <c r="G777" s="501"/>
      <c r="H777" s="536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503"/>
      <c r="J777" s="504"/>
      <c r="K777" s="505"/>
      <c r="L777" s="505"/>
      <c r="M777" s="505"/>
      <c r="N777" s="505"/>
      <c r="O777" s="505"/>
      <c r="P777" s="505"/>
      <c r="Q777" s="505"/>
      <c r="R777" s="505"/>
      <c r="S777" s="505"/>
      <c r="T777" s="505"/>
      <c r="U777" s="505"/>
    </row>
    <row r="778" spans="1:21" ht="18.75">
      <c r="A778" s="49"/>
      <c r="B778" s="58" t="s">
        <v>293</v>
      </c>
      <c r="C778" s="50"/>
      <c r="D778" s="188"/>
      <c r="E778" s="50"/>
      <c r="F778" s="50"/>
      <c r="G778" s="52"/>
      <c r="H778" s="53" t="s">
        <v>14</v>
      </c>
      <c r="I778" s="212">
        <f ca="1">IFERROR(__xludf.DUMMYFUNCTION("IMPORTRANGE(""https://docs.google.com/spreadsheets/d/10OvvATaaLtwErnr3qtWFcTmtbfpFEt5Bsqel9sXx0uE/edit?usp=sharing"",""งานกองทุน!D50"")"),4307020.64)</f>
        <v>4307020.6399999997</v>
      </c>
      <c r="J778" s="212">
        <f ca="1">IFERROR(__xludf.DUMMYFUNCTION("IMPORTRANGE(""https://docs.google.com/spreadsheets/d/10OvvATaaLtwErnr3qtWFcTmtbfpFEt5Bsqel9sXx0uE/edit?usp=sharing"",""งานกองทุน!F50"")"),956057.62)</f>
        <v>956057.62</v>
      </c>
      <c r="K778" s="255">
        <f ca="1">IF(I778&gt;0,J778*100/I778,0)</f>
        <v>22.197655871925427</v>
      </c>
      <c r="L778" s="55"/>
      <c r="M778" s="55"/>
      <c r="N778" s="55"/>
      <c r="O778" s="55"/>
      <c r="P778" s="55"/>
      <c r="Q778" s="55"/>
      <c r="R778" s="55"/>
      <c r="S778" s="55"/>
      <c r="T778" s="55"/>
      <c r="U778" s="55"/>
    </row>
    <row r="779" spans="1:21" ht="18.75">
      <c r="A779" s="49"/>
      <c r="B779" s="50"/>
      <c r="C779" s="50"/>
      <c r="D779" s="188"/>
      <c r="E779" s="50"/>
      <c r="F779" s="50"/>
      <c r="G779" s="52"/>
      <c r="H779" s="53" t="s">
        <v>35</v>
      </c>
      <c r="I779" s="212">
        <f ca="1">IFERROR(__xludf.DUMMYFUNCTION("IMPORTRANGE(""https://docs.google.com/spreadsheets/d/10OvvATaaLtwErnr3qtWFcTmtbfpFEt5Bsqel9sXx0uE/edit?usp=sharing"",""งานกองทุน!C50"")"),329)</f>
        <v>329</v>
      </c>
      <c r="J779" s="212">
        <f ca="1">IFERROR(__xludf.DUMMYFUNCTION("IMPORTRANGE(""https://docs.google.com/spreadsheets/d/10OvvATaaLtwErnr3qtWFcTmtbfpFEt5Bsqel9sXx0uE/edit?usp=sharing"",""งานกองทุน!E50"")"),67)</f>
        <v>67</v>
      </c>
      <c r="K779" s="255">
        <f ca="1">IF(I779&gt;0,J779*100/I779,0)</f>
        <v>20.364741641337385</v>
      </c>
      <c r="L779" s="55"/>
      <c r="M779" s="55"/>
      <c r="N779" s="55"/>
      <c r="O779" s="55"/>
      <c r="P779" s="55"/>
      <c r="Q779" s="55"/>
      <c r="R779" s="55"/>
      <c r="S779" s="55"/>
      <c r="T779" s="55"/>
      <c r="U779" s="55"/>
    </row>
    <row r="780" spans="1:21" ht="18.75">
      <c r="A780" s="49"/>
      <c r="B780" s="58" t="s">
        <v>294</v>
      </c>
      <c r="C780" s="50"/>
      <c r="D780" s="188"/>
      <c r="E780" s="50"/>
      <c r="F780" s="50"/>
      <c r="G780" s="52"/>
      <c r="H780" s="53" t="s">
        <v>14</v>
      </c>
      <c r="I780" s="212">
        <f ca="1">IFERROR(__xludf.DUMMYFUNCTION("IMPORTRANGE(""https://docs.google.com/spreadsheets/d/10OvvATaaLtwErnr3qtWFcTmtbfpFEt5Bsqel9sXx0uE/edit?usp=sharing"",""งานกองทุน!I50"")"),3533722.96)</f>
        <v>3533722.96</v>
      </c>
      <c r="J780" s="212">
        <f ca="1">IFERROR(__xludf.DUMMYFUNCTION("IMPORTRANGE(""https://docs.google.com/spreadsheets/d/10OvvATaaLtwErnr3qtWFcTmtbfpFEt5Bsqel9sXx0uE/edit?usp=sharing"",""งานกองทุน!K50"")"),462685.75)</f>
        <v>462685.75</v>
      </c>
      <c r="K780" s="255">
        <f ca="1">IF(I780&gt;0,J780*100/I780,0)</f>
        <v>13.093435881572335</v>
      </c>
      <c r="L780" s="55"/>
      <c r="M780" s="55"/>
      <c r="N780" s="55"/>
      <c r="O780" s="55"/>
      <c r="P780" s="55"/>
      <c r="Q780" s="55"/>
      <c r="R780" s="55"/>
      <c r="S780" s="55"/>
      <c r="T780" s="55"/>
      <c r="U780" s="55"/>
    </row>
    <row r="781" spans="1:21" ht="18.75">
      <c r="A781" s="49"/>
      <c r="B781" s="50"/>
      <c r="C781" s="50"/>
      <c r="D781" s="188"/>
      <c r="E781" s="50"/>
      <c r="F781" s="50"/>
      <c r="G781" s="52"/>
      <c r="H781" s="53" t="s">
        <v>35</v>
      </c>
      <c r="I781" s="212">
        <f ca="1">IFERROR(__xludf.DUMMYFUNCTION("IMPORTRANGE(""https://docs.google.com/spreadsheets/d/10OvvATaaLtwErnr3qtWFcTmtbfpFEt5Bsqel9sXx0uE/edit?usp=sharing"",""งานกองทุน!H50"")"),180)</f>
        <v>180</v>
      </c>
      <c r="J781" s="212">
        <f ca="1">IFERROR(__xludf.DUMMYFUNCTION("IMPORTRANGE(""https://docs.google.com/spreadsheets/d/10OvvATaaLtwErnr3qtWFcTmtbfpFEt5Bsqel9sXx0uE/edit?usp=sharing"",""งานกองทุน!J50"")"),37)</f>
        <v>37</v>
      </c>
      <c r="K781" s="255">
        <f ca="1">IF(I781&gt;0,J781*100/I781,0)</f>
        <v>20.555555555555557</v>
      </c>
      <c r="L781" s="55"/>
      <c r="M781" s="55"/>
      <c r="N781" s="55"/>
      <c r="O781" s="55"/>
      <c r="P781" s="55"/>
      <c r="Q781" s="55"/>
      <c r="R781" s="55"/>
      <c r="S781" s="55"/>
      <c r="T781" s="55"/>
      <c r="U781" s="55"/>
    </row>
    <row r="782" spans="1:21" ht="18.75">
      <c r="A782" s="49"/>
      <c r="B782" s="58" t="s">
        <v>295</v>
      </c>
      <c r="C782" s="50"/>
      <c r="D782" s="188"/>
      <c r="E782" s="50"/>
      <c r="F782" s="50"/>
      <c r="G782" s="52"/>
      <c r="H782" s="53" t="s">
        <v>14</v>
      </c>
      <c r="I782" s="212">
        <f ca="1">IFERROR(__xludf.DUMMYFUNCTION("IMPORTRANGE(""https://docs.google.com/spreadsheets/d/10OvvATaaLtwErnr3qtWFcTmtbfpFEt5Bsqel9sXx0uE/edit?usp=sharing"",""งานกองทุน!N50"")"),114363.57)</f>
        <v>114363.57</v>
      </c>
      <c r="J782" s="212">
        <f ca="1">IFERROR(__xludf.DUMMYFUNCTION("IMPORTRANGE(""https://docs.google.com/spreadsheets/d/10OvvATaaLtwErnr3qtWFcTmtbfpFEt5Bsqel9sXx0uE/edit?usp=sharing"",""งานกองทุน!P50"")"),74485.4)</f>
        <v>74485.399999999994</v>
      </c>
      <c r="K782" s="255">
        <f ca="1">IF(I782&gt;0,J782*100/I782,0)</f>
        <v>65.13035575926844</v>
      </c>
      <c r="L782" s="55"/>
      <c r="M782" s="55"/>
      <c r="N782" s="55"/>
      <c r="O782" s="55"/>
      <c r="P782" s="55"/>
      <c r="Q782" s="55"/>
      <c r="R782" s="55"/>
      <c r="S782" s="55"/>
      <c r="T782" s="55"/>
      <c r="U782" s="55"/>
    </row>
    <row r="783" spans="1:21" ht="18.75">
      <c r="A783" s="49"/>
      <c r="B783" s="50"/>
      <c r="C783" s="50"/>
      <c r="D783" s="188"/>
      <c r="E783" s="50"/>
      <c r="F783" s="50"/>
      <c r="G783" s="52"/>
      <c r="H783" s="53" t="s">
        <v>35</v>
      </c>
      <c r="I783" s="212">
        <f ca="1">IFERROR(__xludf.DUMMYFUNCTION("IMPORTRANGE(""https://docs.google.com/spreadsheets/d/10OvvATaaLtwErnr3qtWFcTmtbfpFEt5Bsqel9sXx0uE/edit?usp=sharing"",""งานกองทุน!M50"")"),54)</f>
        <v>54</v>
      </c>
      <c r="J783" s="212">
        <f ca="1">IFERROR(__xludf.DUMMYFUNCTION("IMPORTRANGE(""https://docs.google.com/spreadsheets/d/10OvvATaaLtwErnr3qtWFcTmtbfpFEt5Bsqel9sXx0uE/edit?usp=sharing"",""งานกองทุน!O50"")"),30)</f>
        <v>30</v>
      </c>
      <c r="K783" s="255">
        <f ca="1">IF(I783&gt;0,J783*100/I783,0)</f>
        <v>55.555555555555557</v>
      </c>
      <c r="L783" s="55"/>
      <c r="M783" s="55"/>
      <c r="N783" s="55"/>
      <c r="O783" s="55"/>
      <c r="P783" s="55"/>
      <c r="Q783" s="55"/>
      <c r="R783" s="55"/>
      <c r="S783" s="55"/>
      <c r="T783" s="55"/>
      <c r="U783" s="55"/>
    </row>
    <row r="784" spans="1:21" ht="18.75">
      <c r="A784" s="49"/>
      <c r="B784" s="58" t="s">
        <v>296</v>
      </c>
      <c r="C784" s="50"/>
      <c r="D784" s="188"/>
      <c r="E784" s="50"/>
      <c r="F784" s="50"/>
      <c r="G784" s="52"/>
      <c r="H784" s="53" t="s">
        <v>14</v>
      </c>
      <c r="I784" s="212">
        <f ca="1">IFERROR(__xludf.DUMMYFUNCTION("IMPORTRANGE(""https://docs.google.com/spreadsheets/d/10OvvATaaLtwErnr3qtWFcTmtbfpFEt5Bsqel9sXx0uE/edit?usp=sharing"",""งานกองทุน!S50"")"),9492000)</f>
        <v>9492000</v>
      </c>
      <c r="J784" s="212">
        <f ca="1">IFERROR(__xludf.DUMMYFUNCTION("IMPORTRANGE(""https://docs.google.com/spreadsheets/d/10OvvATaaLtwErnr3qtWFcTmtbfpFEt5Bsqel9sXx0uE/edit?usp=sharing"",""งานกองทุน!U50"")"),3650000)</f>
        <v>3650000</v>
      </c>
      <c r="K784" s="255">
        <f ca="1">IF(I784&gt;0,J784*100/I784,0)</f>
        <v>38.453434471133583</v>
      </c>
      <c r="L784" s="55"/>
      <c r="M784" s="55"/>
      <c r="N784" s="55"/>
      <c r="O784" s="55"/>
      <c r="P784" s="55"/>
      <c r="Q784" s="55"/>
      <c r="R784" s="55"/>
      <c r="S784" s="55"/>
      <c r="T784" s="55"/>
      <c r="U784" s="55"/>
    </row>
    <row r="785" spans="1:21" ht="18.75">
      <c r="A785" s="63"/>
      <c r="B785" s="4"/>
      <c r="C785" s="4"/>
      <c r="D785" s="5"/>
      <c r="E785" s="4"/>
      <c r="F785" s="4"/>
      <c r="G785" s="65"/>
      <c r="H785" s="66" t="s">
        <v>35</v>
      </c>
      <c r="I785" s="216">
        <f ca="1">IFERROR(__xludf.DUMMYFUNCTION("IMPORTRANGE(""https://docs.google.com/spreadsheets/d/10OvvATaaLtwErnr3qtWFcTmtbfpFEt5Bsqel9sXx0uE/edit?usp=sharing"",""งานกองทุน!R50"")"),339)</f>
        <v>339</v>
      </c>
      <c r="J785" s="216">
        <f ca="1">IFERROR(__xludf.DUMMYFUNCTION("IMPORTRANGE(""https://docs.google.com/spreadsheets/d/10OvvATaaLtwErnr3qtWFcTmtbfpFEt5Bsqel9sXx0uE/edit?usp=sharing"",""งานกองทุน!T50"")"),134)</f>
        <v>134</v>
      </c>
      <c r="K785" s="506">
        <f ca="1">IF(I785&gt;0,J785*100/I785,0)</f>
        <v>39.528023598820056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6.5">
      <c r="A787" s="535" t="s">
        <v>297</v>
      </c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6.5">
      <c r="A788" s="535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</v>
      </c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6.5">
      <c r="A789" s="535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</v>
      </c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</sheetData>
  <mergeCells count="26">
    <mergeCell ref="A1:U1"/>
    <mergeCell ref="A2:U2"/>
    <mergeCell ref="A3:U3"/>
    <mergeCell ref="L4:P4"/>
    <mergeCell ref="Q4:U4"/>
    <mergeCell ref="A5:G6"/>
    <mergeCell ref="H5:H6"/>
    <mergeCell ref="I5:K5"/>
    <mergeCell ref="L5:M5"/>
    <mergeCell ref="N5:P5"/>
    <mergeCell ref="D616:G616"/>
    <mergeCell ref="D642:G642"/>
    <mergeCell ref="D690:G690"/>
    <mergeCell ref="D714:G714"/>
    <mergeCell ref="Q5:R5"/>
    <mergeCell ref="S5:U5"/>
    <mergeCell ref="D728:G728"/>
    <mergeCell ref="D760:G760"/>
    <mergeCell ref="A7:G7"/>
    <mergeCell ref="A17:G17"/>
    <mergeCell ref="A30:G30"/>
    <mergeCell ref="A56:G56"/>
    <mergeCell ref="B57:G57"/>
    <mergeCell ref="D413:G413"/>
    <mergeCell ref="D493:F493"/>
    <mergeCell ref="D599:G599"/>
  </mergeCells>
  <printOptions horizontalCentered="1"/>
  <pageMargins left="0.23622047244094491" right="0.23622047244094491" top="0.55118110236220474" bottom="0.55118110236220474" header="0" footer="0"/>
  <pageSetup paperSize="9" scale="29" fitToHeight="0" pageOrder="overThenDown" orientation="portrait" cellComments="atEnd" horizontalDpi="4294967293" verticalDpi="4294967293" r:id="rId1"/>
  <headerFooter>
    <oddFooter>&amp;Cหน้า &amp;P/&amp;N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CB92CC-0DE4-4F34-ACD8-A421E9BCC900}">
  <sheetPr>
    <outlinePr summaryBelow="0" summaryRight="0"/>
    <pageSetUpPr fitToPage="1"/>
  </sheetPr>
  <dimension ref="A1:U789"/>
  <sheetViews>
    <sheetView tabSelected="1" view="pageBreakPreview" zoomScale="60" zoomScaleNormal="60" workbookViewId="0">
      <pane xSplit="8" ySplit="17" topLeftCell="I18" activePane="bottomRight" state="frozen"/>
      <selection activeCell="T32" sqref="T32"/>
      <selection pane="topRight" activeCell="T32" sqref="T32"/>
      <selection pane="bottomLeft" activeCell="T32" sqref="T32"/>
      <selection pane="bottomRight" activeCell="T32" sqref="T32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bestFit="1" customWidth="1"/>
    <col min="12" max="14" width="21.28515625" bestFit="1" customWidth="1"/>
    <col min="15" max="15" width="20.140625" bestFit="1" customWidth="1"/>
    <col min="16" max="16" width="22" bestFit="1" customWidth="1"/>
    <col min="17" max="18" width="21.28515625" bestFit="1" customWidth="1"/>
    <col min="19" max="19" width="18.7109375" bestFit="1" customWidth="1"/>
    <col min="20" max="20" width="20.140625" bestFit="1" customWidth="1"/>
    <col min="21" max="21" width="22" bestFit="1" customWidth="1"/>
  </cols>
  <sheetData>
    <row r="1" spans="1:21" ht="19.5">
      <c r="A1" s="894" t="s">
        <v>0</v>
      </c>
      <c r="B1" s="894"/>
      <c r="C1" s="894"/>
      <c r="D1" s="894"/>
      <c r="E1" s="894"/>
      <c r="F1" s="894"/>
      <c r="G1" s="894"/>
      <c r="H1" s="894"/>
      <c r="I1" s="894"/>
      <c r="J1" s="894"/>
      <c r="K1" s="894"/>
      <c r="L1" s="894"/>
      <c r="M1" s="894"/>
      <c r="N1" s="894"/>
      <c r="O1" s="894"/>
      <c r="P1" s="894"/>
      <c r="Q1" s="894"/>
      <c r="R1" s="894"/>
      <c r="S1" s="894"/>
      <c r="T1" s="894"/>
      <c r="U1" s="894"/>
    </row>
    <row r="2" spans="1:21" ht="19.5">
      <c r="A2" s="894" t="s">
        <v>338</v>
      </c>
      <c r="B2" s="894"/>
      <c r="C2" s="894"/>
      <c r="D2" s="894"/>
      <c r="E2" s="894"/>
      <c r="F2" s="894"/>
      <c r="G2" s="894"/>
      <c r="H2" s="894"/>
      <c r="I2" s="894"/>
      <c r="J2" s="894"/>
      <c r="K2" s="894"/>
      <c r="L2" s="894"/>
      <c r="M2" s="894"/>
      <c r="N2" s="894"/>
      <c r="O2" s="894"/>
      <c r="P2" s="894"/>
      <c r="Q2" s="894"/>
      <c r="R2" s="894"/>
      <c r="S2" s="894"/>
      <c r="T2" s="894"/>
      <c r="U2" s="894"/>
    </row>
    <row r="3" spans="1:21" ht="19.5">
      <c r="A3" s="894" t="s">
        <v>339</v>
      </c>
      <c r="B3" s="894"/>
      <c r="C3" s="894"/>
      <c r="D3" s="894"/>
      <c r="E3" s="894"/>
      <c r="F3" s="894"/>
      <c r="G3" s="894"/>
      <c r="H3" s="894"/>
      <c r="I3" s="894"/>
      <c r="J3" s="894"/>
      <c r="K3" s="894"/>
      <c r="L3" s="894"/>
      <c r="M3" s="894"/>
      <c r="N3" s="894"/>
      <c r="O3" s="894"/>
      <c r="P3" s="894"/>
      <c r="Q3" s="894"/>
      <c r="R3" s="894"/>
      <c r="S3" s="894"/>
      <c r="T3" s="894"/>
      <c r="U3" s="894"/>
    </row>
    <row r="4" spans="1:21" ht="19.5">
      <c r="A4" s="4"/>
      <c r="B4" s="4"/>
      <c r="C4" s="4"/>
      <c r="D4" s="4"/>
      <c r="E4" s="4"/>
      <c r="F4" s="4"/>
      <c r="G4" s="4"/>
      <c r="H4" s="4"/>
      <c r="I4" s="4"/>
      <c r="J4" s="5"/>
      <c r="K4" s="766"/>
      <c r="L4" s="765" t="s">
        <v>2</v>
      </c>
      <c r="M4" s="514"/>
      <c r="N4" s="514"/>
      <c r="O4" s="514"/>
      <c r="P4" s="512"/>
      <c r="Q4" s="518" t="s">
        <v>3</v>
      </c>
      <c r="R4" s="514"/>
      <c r="S4" s="514"/>
      <c r="T4" s="514"/>
      <c r="U4" s="512"/>
    </row>
    <row r="5" spans="1:21" ht="19.5">
      <c r="A5" s="764" t="s">
        <v>4</v>
      </c>
      <c r="B5" s="516"/>
      <c r="C5" s="516"/>
      <c r="D5" s="516"/>
      <c r="E5" s="516"/>
      <c r="F5" s="516"/>
      <c r="G5" s="763"/>
      <c r="H5" s="772" t="s">
        <v>5</v>
      </c>
      <c r="I5" s="761" t="s">
        <v>6</v>
      </c>
      <c r="J5" s="514"/>
      <c r="K5" s="512"/>
      <c r="L5" s="760" t="s">
        <v>7</v>
      </c>
      <c r="M5" s="512"/>
      <c r="N5" s="513" t="s">
        <v>8</v>
      </c>
      <c r="O5" s="514"/>
      <c r="P5" s="512"/>
      <c r="Q5" s="511" t="s">
        <v>7</v>
      </c>
      <c r="R5" s="512"/>
      <c r="S5" s="513" t="s">
        <v>8</v>
      </c>
      <c r="T5" s="514"/>
      <c r="U5" s="512"/>
    </row>
    <row r="6" spans="1:21" ht="19.5">
      <c r="A6" s="522"/>
      <c r="B6" s="514"/>
      <c r="C6" s="514"/>
      <c r="D6" s="514"/>
      <c r="E6" s="514"/>
      <c r="F6" s="514"/>
      <c r="G6" s="512"/>
      <c r="H6" s="512"/>
      <c r="I6" s="9" t="s">
        <v>9</v>
      </c>
      <c r="J6" s="10" t="s">
        <v>10</v>
      </c>
      <c r="K6" s="9" t="s">
        <v>11</v>
      </c>
      <c r="L6" s="758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 hidden="1">
      <c r="A7" s="750"/>
      <c r="B7" s="514"/>
      <c r="C7" s="514"/>
      <c r="D7" s="514"/>
      <c r="E7" s="514"/>
      <c r="F7" s="514"/>
      <c r="G7" s="512"/>
      <c r="H7" s="17"/>
      <c r="I7" s="18"/>
      <c r="J7" s="18"/>
      <c r="K7" s="19"/>
      <c r="L7" s="28"/>
      <c r="M7" s="19"/>
      <c r="N7" s="19"/>
      <c r="O7" s="19"/>
      <c r="P7" s="19"/>
      <c r="Q7" s="19"/>
      <c r="R7" s="19"/>
      <c r="S7" s="19"/>
      <c r="T7" s="19"/>
      <c r="U7" s="19"/>
    </row>
    <row r="8" spans="1:21" ht="12.75" hidden="1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6"/>
      <c r="M8" s="25"/>
      <c r="N8" s="25"/>
      <c r="O8" s="25"/>
      <c r="P8" s="25"/>
      <c r="Q8" s="25"/>
      <c r="R8" s="25"/>
      <c r="S8" s="25"/>
      <c r="T8" s="25"/>
      <c r="U8" s="25"/>
    </row>
    <row r="9" spans="1:21" ht="12.75" hidden="1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6"/>
      <c r="M9" s="25"/>
      <c r="N9" s="25"/>
      <c r="O9" s="25"/>
      <c r="P9" s="25"/>
      <c r="Q9" s="25"/>
      <c r="R9" s="25"/>
      <c r="S9" s="25"/>
      <c r="T9" s="25"/>
      <c r="U9" s="25"/>
    </row>
    <row r="10" spans="1:21" ht="12.75" hidden="1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6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2.75" hidden="1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6"/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2.75" hidden="1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6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2.75" hidden="1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6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2.75" hidden="1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2.75" hidden="1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6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2.75" hidden="1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28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9.5">
      <c r="A17" s="532" t="s">
        <v>311</v>
      </c>
      <c r="B17" s="514"/>
      <c r="C17" s="514"/>
      <c r="D17" s="514"/>
      <c r="E17" s="514"/>
      <c r="F17" s="514"/>
      <c r="G17" s="512"/>
      <c r="H17" s="29"/>
      <c r="I17" s="30"/>
      <c r="J17" s="30"/>
      <c r="K17" s="31"/>
      <c r="L17" s="32"/>
      <c r="M17" s="31"/>
      <c r="N17" s="31"/>
      <c r="O17" s="31"/>
      <c r="P17" s="31"/>
      <c r="Q17" s="31"/>
      <c r="R17" s="31"/>
      <c r="S17" s="31"/>
      <c r="T17" s="31"/>
      <c r="U17" s="31"/>
    </row>
    <row r="18" spans="1:21" ht="19.5">
      <c r="A18" s="33"/>
      <c r="B18" s="34"/>
      <c r="C18" s="35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757">
        <f ca="1">L19+L20</f>
        <v>2826454</v>
      </c>
      <c r="M18" s="720">
        <f ca="1">M19+M20</f>
        <v>3213077</v>
      </c>
      <c r="N18" s="720">
        <f ca="1">N19+N20</f>
        <v>2678182.44</v>
      </c>
      <c r="O18" s="720">
        <f ca="1">IF(L18&gt;0,N18*100/L18,0)</f>
        <v>94.754149191884949</v>
      </c>
      <c r="P18" s="720">
        <f ca="1">IF(M18&gt;0,N18*100/M18,0)</f>
        <v>83.352575739703724</v>
      </c>
      <c r="Q18" s="720">
        <f ca="1">Q19+Q20</f>
        <v>3807933.99</v>
      </c>
      <c r="R18" s="720">
        <f ca="1">R19+R20</f>
        <v>3821934</v>
      </c>
      <c r="S18" s="720">
        <f ca="1">S19+S20</f>
        <v>522358.66000000003</v>
      </c>
      <c r="T18" s="720">
        <f ca="1">IF(Q18&gt;0,S18*100/Q18,0)</f>
        <v>13.717639574944418</v>
      </c>
      <c r="U18" s="720">
        <f ca="1">IF(R18&gt;0,S18*100/R18,0)</f>
        <v>13.667390907325977</v>
      </c>
    </row>
    <row r="19" spans="1:21" ht="18.75" hidden="1">
      <c r="A19" s="33"/>
      <c r="B19" s="34"/>
      <c r="C19" s="34"/>
      <c r="D19" s="34"/>
      <c r="E19" s="756" t="s">
        <v>20</v>
      </c>
      <c r="F19" s="34"/>
      <c r="G19" s="37"/>
      <c r="H19" s="755" t="s">
        <v>14</v>
      </c>
      <c r="I19" s="39"/>
      <c r="J19" s="39"/>
      <c r="K19" s="40"/>
      <c r="L19" s="754">
        <f>L22+L25</f>
        <v>0</v>
      </c>
      <c r="M19" s="753">
        <f>M22+M25</f>
        <v>0</v>
      </c>
      <c r="N19" s="753">
        <f>N22+N25</f>
        <v>0</v>
      </c>
      <c r="O19" s="753">
        <f>IF(L19&gt;0,N19*100/L19,0)</f>
        <v>0</v>
      </c>
      <c r="P19" s="753">
        <f>IF(M19&gt;0,N19*100/M19,0)</f>
        <v>0</v>
      </c>
      <c r="Q19" s="753">
        <f>Q22+Q25</f>
        <v>0</v>
      </c>
      <c r="R19" s="753">
        <f>R22+R25</f>
        <v>0</v>
      </c>
      <c r="S19" s="753">
        <f>S22+S25</f>
        <v>0</v>
      </c>
      <c r="T19" s="753">
        <f>IF(Q19&gt;0,S19*100/Q19,0)</f>
        <v>0</v>
      </c>
      <c r="U19" s="753">
        <f>IF(R19&gt;0,S19*100/R19,0)</f>
        <v>0</v>
      </c>
    </row>
    <row r="20" spans="1:21" ht="18.75" hidden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752">
        <f ca="1">L23+L26</f>
        <v>2826454</v>
      </c>
      <c r="M20" s="751">
        <f ca="1">M23+M26</f>
        <v>3213077</v>
      </c>
      <c r="N20" s="751">
        <f ca="1">N23+N26</f>
        <v>2678182.44</v>
      </c>
      <c r="O20" s="751">
        <f ca="1">IF(L20&gt;0,N20*100/L20,0)</f>
        <v>94.754149191884949</v>
      </c>
      <c r="P20" s="751">
        <f ca="1">IF(M20&gt;0,N20*100/M20,0)</f>
        <v>83.352575739703724</v>
      </c>
      <c r="Q20" s="751">
        <f ca="1">Q23+Q26</f>
        <v>3807933.99</v>
      </c>
      <c r="R20" s="751">
        <f ca="1">R23+R26</f>
        <v>3821934</v>
      </c>
      <c r="S20" s="751">
        <f ca="1">S23+S26</f>
        <v>522358.66000000003</v>
      </c>
      <c r="T20" s="751">
        <f ca="1">IF(Q20&gt;0,S20*100/Q20,0)</f>
        <v>13.717639574944418</v>
      </c>
      <c r="U20" s="751">
        <f ca="1">IF(R20&gt;0,S20*100/R20,0)</f>
        <v>13.667390907325977</v>
      </c>
    </row>
    <row r="21" spans="1:21" ht="18.75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256">
        <f ca="1">L22+L23</f>
        <v>2826454</v>
      </c>
      <c r="M21" s="255">
        <f ca="1">M22+M23</f>
        <v>3213077</v>
      </c>
      <c r="N21" s="255">
        <f ca="1">N22+N23</f>
        <v>2678182.44</v>
      </c>
      <c r="O21" s="255">
        <f ca="1">IF(L21&gt;0,N21*100/L21,0)</f>
        <v>94.754149191884949</v>
      </c>
      <c r="P21" s="255">
        <f ca="1">IF(M21&gt;0,N21*100/M21,0)</f>
        <v>83.352575739703724</v>
      </c>
      <c r="Q21" s="255">
        <f ca="1">Q22+Q23</f>
        <v>3807933.99</v>
      </c>
      <c r="R21" s="255">
        <f ca="1">R22+R23</f>
        <v>3821934</v>
      </c>
      <c r="S21" s="255">
        <f ca="1">S22+S23</f>
        <v>522358.66000000003</v>
      </c>
      <c r="T21" s="255">
        <f ca="1">IF(Q21&gt;0,S21*100/Q21,0)</f>
        <v>13.717639574944418</v>
      </c>
      <c r="U21" s="255">
        <f ca="1">IF(R21&gt;0,S21*100/R21,0)</f>
        <v>13.667390907325977</v>
      </c>
    </row>
    <row r="22" spans="1:21" ht="18.75" hidden="1">
      <c r="A22" s="49"/>
      <c r="B22" s="50"/>
      <c r="C22" s="50"/>
      <c r="D22" s="50"/>
      <c r="E22" s="186" t="s">
        <v>20</v>
      </c>
      <c r="F22" s="50"/>
      <c r="G22" s="52"/>
      <c r="H22" s="729" t="s">
        <v>14</v>
      </c>
      <c r="I22" s="54"/>
      <c r="J22" s="54"/>
      <c r="K22" s="55"/>
      <c r="L22" s="103">
        <f>L48+L63+L76+L98+L129+L143+L161+L190+L177+L270+L286+L307+L324+L337+L360+L517</f>
        <v>0</v>
      </c>
      <c r="M22" s="102">
        <f>M48+M63+M76+M98+M129+M143+M161+M190+M177+M270+M286+M307+M324+M337+M360+M517</f>
        <v>0</v>
      </c>
      <c r="N22" s="102">
        <f>N48+N63+N76+N98+N129+N143+N161+N190+N177+N270+N286+N307+N324+N337+N360+N517</f>
        <v>0</v>
      </c>
      <c r="O22" s="102">
        <f>IF(L22&gt;0,N22*100/L22,0)</f>
        <v>0</v>
      </c>
      <c r="P22" s="102">
        <f>IF(M22&gt;0,N22*100/M22,0)</f>
        <v>0</v>
      </c>
      <c r="Q22" s="102">
        <f>Q76+Q98+Q121+Q143+Q161+Q177+Q190+Q270+Q286+Q307+Q337+Q379+Q396+Q417+Q497+Q603+Q620+Q646+Q694+Q718+Q732+Q764</f>
        <v>0</v>
      </c>
      <c r="R22" s="102">
        <f>R76+R98+R121+R143+R161+R177+R190+R270+R286+R307+R337+R379+R396+R417+R497+R603+R620+R646+R694+R718+R732+R764</f>
        <v>0</v>
      </c>
      <c r="S22" s="102">
        <f>S76+S98+S121+S143+S161+S177+S190+S270+S286+S307+S337+S379+S396+S417+S497+S603+S620+S646+S694+S718+S732+S764</f>
        <v>0</v>
      </c>
      <c r="T22" s="102">
        <f>IF(Q22&gt;0,S22*100/Q22,0)</f>
        <v>0</v>
      </c>
      <c r="U22" s="102">
        <f>IF(R22&gt;0,S22*100/R22,0)</f>
        <v>0</v>
      </c>
    </row>
    <row r="23" spans="1:21" ht="18.75" hidden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256">
        <f ca="1">L49+L64+L77+L99+L130+L144+L162+L191+L178+L271+L287+L308+L325+L338+L361+L518</f>
        <v>2826454</v>
      </c>
      <c r="M23" s="255">
        <f ca="1">M49+M64+M77+M99+M130+M144+M162+M191+M178+M271+M287+M308+M325+M338+M361+M518</f>
        <v>3213077</v>
      </c>
      <c r="N23" s="255">
        <f ca="1">N49+N64+N77+N99+N130+N144+N162+N191+N178+N271+N287+N308+N325+N338+N361+N518</f>
        <v>2678182.44</v>
      </c>
      <c r="O23" s="255">
        <f ca="1">IF(L23&gt;0,N23*100/L23,0)</f>
        <v>94.754149191884949</v>
      </c>
      <c r="P23" s="255">
        <f ca="1">IF(M23&gt;0,N23*100/M23,0)</f>
        <v>83.352575739703724</v>
      </c>
      <c r="Q23" s="255">
        <f ca="1">Q77+Q99+Q122+Q144+Q162+Q178+Q191+Q271+Q287+Q308+Q338+Q380+Q397+Q418+Q498+Q604+Q621+Q647+Q695+Q719+Q733+Q765</f>
        <v>3807933.99</v>
      </c>
      <c r="R23" s="255">
        <f ca="1">R77+R99+R122+R144+R162+R178+R191+R271+R287+R308+R338+R380+R397+R418+R498+R604+R621+R647+R695+R719+R733+R765</f>
        <v>3821934</v>
      </c>
      <c r="S23" s="255">
        <f ca="1">S77+S99+S122+S144+S162+S178+S191+S271+S287+S308+S338+S380+S397+S418+S498+S604+S621+S647+S695+S719+S733+S765</f>
        <v>522358.66000000003</v>
      </c>
      <c r="T23" s="255">
        <f ca="1">IF(Q23&gt;0,S23*100/Q23,0)</f>
        <v>13.717639574944418</v>
      </c>
      <c r="U23" s="255">
        <f ca="1">IF(R23&gt;0,S23*100/R23,0)</f>
        <v>13.667390907325977</v>
      </c>
    </row>
    <row r="24" spans="1:21" ht="18.75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256">
        <f ca="1">L25+L26</f>
        <v>0</v>
      </c>
      <c r="M24" s="255">
        <f ca="1">M25+M26</f>
        <v>0</v>
      </c>
      <c r="N24" s="255">
        <f ca="1">N25+N26</f>
        <v>0</v>
      </c>
      <c r="O24" s="255">
        <f ca="1">IF(L24&gt;0,N24*100/L24,0)</f>
        <v>0</v>
      </c>
      <c r="P24" s="255">
        <f ca="1">IF(M24&gt;0,N24*100/M24,0)</f>
        <v>0</v>
      </c>
      <c r="Q24" s="255">
        <f>Q25+Q26</f>
        <v>0</v>
      </c>
      <c r="R24" s="255">
        <f>R25+R26</f>
        <v>0</v>
      </c>
      <c r="S24" s="255">
        <f>S25+S26</f>
        <v>0</v>
      </c>
      <c r="T24" s="255">
        <f>IF(Q24&gt;0,S24*100/Q24,0)</f>
        <v>0</v>
      </c>
      <c r="U24" s="255">
        <f>IF(R24&gt;0,S24*100/R24,0)</f>
        <v>0</v>
      </c>
    </row>
    <row r="25" spans="1:21" ht="18.75" hidden="1">
      <c r="A25" s="49"/>
      <c r="B25" s="50"/>
      <c r="C25" s="50"/>
      <c r="D25" s="50"/>
      <c r="E25" s="186" t="s">
        <v>20</v>
      </c>
      <c r="F25" s="50"/>
      <c r="G25" s="52"/>
      <c r="H25" s="729" t="s">
        <v>14</v>
      </c>
      <c r="I25" s="54"/>
      <c r="J25" s="54"/>
      <c r="K25" s="55"/>
      <c r="L25" s="103">
        <f>L51+L66+L79+L101+L132+L146+L164+L193+L180+L273+L289+L310+L327+L340+L363+L520</f>
        <v>0</v>
      </c>
      <c r="M25" s="102">
        <f>M51+M66+M79+M101+M132+M146+M164+M193+M180+M273+M289+M310+M327+M340+M363+M520</f>
        <v>0</v>
      </c>
      <c r="N25" s="102">
        <f>N51+N66+N79+N101+N132+N146+N164+N193+N180+N273+N289+N310+N327+N340+N363+N520</f>
        <v>0</v>
      </c>
      <c r="O25" s="102">
        <f>IF(L25&gt;0,N25*100/L25,0)</f>
        <v>0</v>
      </c>
      <c r="P25" s="102">
        <f>IF(M25&gt;0,N25*100/M25,0)</f>
        <v>0</v>
      </c>
      <c r="Q25" s="102">
        <f>Q79+Q101+Q124+Q146+Q164+Q180+Q193+Q273+Q289+Q310+Q340+Q382+Q399+Q420+Q500+Q606+Q623+Q649+Q697+Q721+Q735+Q767</f>
        <v>0</v>
      </c>
      <c r="R25" s="102">
        <f>R79+R101+R124+R146+R164+R180+R193+R273+R289+R310+R340+R382+R399+R420+R500+R606+R623+R649+R697+R721+R735+R767</f>
        <v>0</v>
      </c>
      <c r="S25" s="102">
        <f>S79+S101+S124+S146+S164+S180+S193+S273+S289+S310+S340+S382+S399+S420+S500+S606+S623+S649+S697+S721+S735+S767</f>
        <v>0</v>
      </c>
      <c r="T25" s="102">
        <f>IF(Q25&gt;0,S25*100/Q25,0)</f>
        <v>0</v>
      </c>
      <c r="U25" s="102">
        <f>IF(R25&gt;0,S25*100/R25,0)</f>
        <v>0</v>
      </c>
    </row>
    <row r="26" spans="1:21" ht="18.75" hidden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256">
        <f ca="1">L52+L67+L80+L102+L133+L147+L165+L194+L181+L274+L290+L311+L328+L341+L364+L521</f>
        <v>0</v>
      </c>
      <c r="M26" s="255">
        <f ca="1">M52+M67+M80+M102+M133+M147+M165+M194+M181+M274+M290+M311+M328+M341+M364+M521</f>
        <v>0</v>
      </c>
      <c r="N26" s="255">
        <f ca="1">N52+N67+N80+N102+N133+N147+N165+N194+N181+N274+N290+N311+N328+N341+N364+N521</f>
        <v>0</v>
      </c>
      <c r="O26" s="255">
        <f ca="1">IF(L26&gt;0,N26*100/L26,0)</f>
        <v>0</v>
      </c>
      <c r="P26" s="255">
        <f ca="1">IF(M26&gt;0,N26*100/M26,0)</f>
        <v>0</v>
      </c>
      <c r="Q26" s="102">
        <f>Q80+Q102+Q125+Q147+Q165+Q181+Q194+Q274+Q290+Q311+Q341+Q383+Q400+Q421+Q501+Q607+Q624+Q650+Q698+Q722+Q736+Q768</f>
        <v>0</v>
      </c>
      <c r="R26" s="102">
        <f>R80+R102+R125+R147+R165+R181+R194+R274+R290+R311+R341+R383+R400+R421+R501+R607+R624+R650+R698+R722+R736+R768</f>
        <v>0</v>
      </c>
      <c r="S26" s="102">
        <f>S80+S102+S125+S147+S165+S181+S194+S274+S290+S311+S341+S383+S400+S421+S501+S607+S624+S650+S698+S722+S736+S768</f>
        <v>0</v>
      </c>
      <c r="T26" s="255">
        <f>IF(Q26&gt;0,S26*100/Q26,0)</f>
        <v>0</v>
      </c>
      <c r="U26" s="255">
        <f>IF(R26&gt;0,S26*100/R26,0)</f>
        <v>0</v>
      </c>
    </row>
    <row r="27" spans="1:21" ht="18.75">
      <c r="A27" s="49"/>
      <c r="B27" s="50"/>
      <c r="C27" s="50"/>
      <c r="D27" s="51" t="s">
        <v>24</v>
      </c>
      <c r="E27" s="50"/>
      <c r="F27" s="50"/>
      <c r="G27" s="52"/>
      <c r="H27" s="53" t="s">
        <v>14</v>
      </c>
      <c r="I27" s="54"/>
      <c r="J27" s="54"/>
      <c r="K27" s="55"/>
      <c r="L27" s="62"/>
      <c r="M27" s="55"/>
      <c r="N27" s="55"/>
      <c r="O27" s="55"/>
      <c r="P27" s="55"/>
      <c r="Q27" s="55"/>
      <c r="R27" s="55"/>
      <c r="S27" s="55"/>
      <c r="T27" s="55"/>
      <c r="U27" s="55"/>
    </row>
    <row r="28" spans="1:21" ht="18.75" hidden="1">
      <c r="A28" s="49"/>
      <c r="B28" s="50"/>
      <c r="C28" s="50"/>
      <c r="D28" s="50"/>
      <c r="E28" s="186" t="s">
        <v>20</v>
      </c>
      <c r="F28" s="50"/>
      <c r="G28" s="52"/>
      <c r="H28" s="729" t="s">
        <v>14</v>
      </c>
      <c r="I28" s="54"/>
      <c r="J28" s="54"/>
      <c r="K28" s="55"/>
      <c r="L28" s="62"/>
      <c r="M28" s="55"/>
      <c r="N28" s="55"/>
      <c r="O28" s="55"/>
      <c r="P28" s="55"/>
      <c r="Q28" s="55"/>
      <c r="R28" s="55"/>
      <c r="S28" s="55"/>
      <c r="T28" s="55"/>
      <c r="U28" s="55"/>
    </row>
    <row r="29" spans="1:21" ht="18.75" hidden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8"/>
      <c r="M29" s="6"/>
      <c r="N29" s="6"/>
      <c r="O29" s="6"/>
      <c r="P29" s="6"/>
      <c r="Q29" s="6"/>
      <c r="R29" s="6"/>
      <c r="S29" s="6"/>
      <c r="T29" s="6"/>
      <c r="U29" s="6"/>
    </row>
    <row r="30" spans="1:21" ht="12.75" hidden="1">
      <c r="A30" s="750"/>
      <c r="B30" s="514"/>
      <c r="C30" s="514"/>
      <c r="D30" s="514"/>
      <c r="E30" s="514"/>
      <c r="F30" s="514"/>
      <c r="G30" s="512"/>
      <c r="H30" s="17"/>
      <c r="I30" s="18"/>
      <c r="J30" s="18"/>
      <c r="K30" s="19"/>
      <c r="L30" s="28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 hidden="1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6"/>
      <c r="M31" s="25"/>
      <c r="N31" s="25"/>
      <c r="O31" s="25"/>
      <c r="P31" s="25"/>
      <c r="Q31" s="25"/>
      <c r="R31" s="25"/>
      <c r="S31" s="25"/>
      <c r="T31" s="25"/>
      <c r="U31" s="25"/>
    </row>
    <row r="32" spans="1:21" ht="12.75" hidden="1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6"/>
      <c r="M32" s="25"/>
      <c r="N32" s="25"/>
      <c r="O32" s="25"/>
      <c r="P32" s="25"/>
      <c r="Q32" s="25"/>
      <c r="R32" s="25"/>
      <c r="S32" s="25"/>
      <c r="T32" s="25"/>
      <c r="U32" s="25"/>
    </row>
    <row r="33" spans="1:21" ht="12.75" hidden="1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6"/>
      <c r="M33" s="25"/>
      <c r="N33" s="25"/>
      <c r="O33" s="25"/>
      <c r="P33" s="25"/>
      <c r="Q33" s="25"/>
      <c r="R33" s="25"/>
      <c r="S33" s="25"/>
      <c r="T33" s="25"/>
      <c r="U33" s="25"/>
    </row>
    <row r="34" spans="1:21" ht="12.75" hidden="1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6"/>
      <c r="M34" s="25"/>
      <c r="N34" s="25"/>
      <c r="O34" s="25"/>
      <c r="P34" s="25"/>
      <c r="Q34" s="25"/>
      <c r="R34" s="25"/>
      <c r="S34" s="25"/>
      <c r="T34" s="25"/>
      <c r="U34" s="25"/>
    </row>
    <row r="35" spans="1:21" ht="12.75" hidden="1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6"/>
      <c r="M35" s="25"/>
      <c r="N35" s="25"/>
      <c r="O35" s="25"/>
      <c r="P35" s="25"/>
      <c r="Q35" s="25"/>
      <c r="R35" s="25"/>
      <c r="S35" s="25"/>
      <c r="T35" s="25"/>
      <c r="U35" s="25"/>
    </row>
    <row r="36" spans="1:21" ht="12.75" hidden="1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6"/>
      <c r="M36" s="25"/>
      <c r="N36" s="25"/>
      <c r="O36" s="25"/>
      <c r="P36" s="25"/>
      <c r="Q36" s="25"/>
      <c r="R36" s="25"/>
      <c r="S36" s="25"/>
      <c r="T36" s="25"/>
      <c r="U36" s="25"/>
    </row>
    <row r="37" spans="1:21" ht="12.75" hidden="1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6"/>
      <c r="M37" s="25"/>
      <c r="N37" s="25"/>
      <c r="O37" s="25"/>
      <c r="P37" s="25"/>
      <c r="Q37" s="25"/>
      <c r="R37" s="25"/>
      <c r="S37" s="25"/>
      <c r="T37" s="25"/>
      <c r="U37" s="25"/>
    </row>
    <row r="38" spans="1:21" ht="12.75" hidden="1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6"/>
      <c r="M38" s="25"/>
      <c r="N38" s="25"/>
      <c r="O38" s="25"/>
      <c r="P38" s="25"/>
      <c r="Q38" s="25"/>
      <c r="R38" s="25"/>
      <c r="S38" s="25"/>
      <c r="T38" s="25"/>
      <c r="U38" s="25"/>
    </row>
    <row r="39" spans="1:21" ht="12.75" hidden="1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28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9.5" hidden="1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749">
        <f ca="1">L44+L59+L72+L94+L125+L139+L157+L173+L186+L266+L282+L303+L320+L333+L356</f>
        <v>2826454</v>
      </c>
      <c r="M40" s="748">
        <f ca="1">M44+M59+M72+M94+M125+M139+M157+M173+M186+M266+M282+M303+M320+M333+M356</f>
        <v>3213077</v>
      </c>
      <c r="N40" s="748">
        <f ca="1">N44+N59+N72+N94+N125+N139+N157+N173+N186+N266+N282+N303+N320+N333+N356</f>
        <v>2678182.44</v>
      </c>
      <c r="O40" s="748">
        <f ca="1">IF(L40&gt;0,N40*100/L40,0)</f>
        <v>94.754149191884949</v>
      </c>
      <c r="P40" s="748">
        <f ca="1">IF(M40&gt;0,N40*100/M40,0)</f>
        <v>83.352575739703724</v>
      </c>
      <c r="Q40" s="73"/>
      <c r="R40" s="73"/>
      <c r="S40" s="73"/>
      <c r="T40" s="73"/>
      <c r="U40" s="73"/>
    </row>
    <row r="41" spans="1:21" ht="19.5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78"/>
      <c r="R41" s="78"/>
      <c r="S41" s="78"/>
      <c r="T41" s="78"/>
      <c r="U41" s="79"/>
    </row>
    <row r="42" spans="1:21" ht="19.5">
      <c r="A42" s="80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5"/>
      <c r="M42" s="84"/>
      <c r="N42" s="84"/>
      <c r="O42" s="84"/>
      <c r="P42" s="84"/>
      <c r="Q42" s="84"/>
      <c r="R42" s="84"/>
      <c r="S42" s="84"/>
      <c r="T42" s="84"/>
      <c r="U42" s="84"/>
    </row>
    <row r="43" spans="1:21" ht="12.75" hidden="1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6"/>
      <c r="M43" s="25"/>
      <c r="N43" s="25"/>
      <c r="O43" s="25"/>
      <c r="P43" s="25"/>
      <c r="Q43" s="25"/>
      <c r="R43" s="25"/>
      <c r="S43" s="25"/>
      <c r="T43" s="25"/>
      <c r="U43" s="25"/>
    </row>
    <row r="44" spans="1:21" ht="19.5">
      <c r="A44" s="86"/>
      <c r="B44" s="87"/>
      <c r="C44" s="88" t="s">
        <v>18</v>
      </c>
      <c r="D44" s="747" t="s">
        <v>19</v>
      </c>
      <c r="E44" s="87"/>
      <c r="F44" s="87"/>
      <c r="G44" s="90"/>
      <c r="H44" s="91" t="s">
        <v>14</v>
      </c>
      <c r="I44" s="92"/>
      <c r="J44" s="92"/>
      <c r="K44" s="93"/>
      <c r="L44" s="746">
        <f ca="1">L45+L46</f>
        <v>324404</v>
      </c>
      <c r="M44" s="745">
        <f ca="1">M45+M46</f>
        <v>478677</v>
      </c>
      <c r="N44" s="745">
        <f ca="1">N45+N46</f>
        <v>370624.83</v>
      </c>
      <c r="O44" s="745">
        <f ca="1">IF(L44&gt;0,N44*100/L44,0)</f>
        <v>114.24792234374422</v>
      </c>
      <c r="P44" s="745">
        <f ca="1">IF(M44&gt;0,N44*100/M44,0)</f>
        <v>77.42691418221473</v>
      </c>
      <c r="Q44" s="745">
        <f>Q45+Q46</f>
        <v>0</v>
      </c>
      <c r="R44" s="745">
        <f>R45+R46</f>
        <v>0</v>
      </c>
      <c r="S44" s="745">
        <f>S45+S46</f>
        <v>0</v>
      </c>
      <c r="T44" s="745">
        <f>IF(Q44&gt;0,S44*100/Q44,0)</f>
        <v>0</v>
      </c>
      <c r="U44" s="745">
        <f>IF(R44&gt;0,S44*100/R44,0)</f>
        <v>0</v>
      </c>
    </row>
    <row r="45" spans="1:21" ht="18.75" hidden="1">
      <c r="A45" s="86"/>
      <c r="B45" s="87"/>
      <c r="C45" s="87"/>
      <c r="D45" s="87"/>
      <c r="E45" s="744" t="s">
        <v>20</v>
      </c>
      <c r="F45" s="87"/>
      <c r="G45" s="90"/>
      <c r="H45" s="743" t="s">
        <v>14</v>
      </c>
      <c r="I45" s="92"/>
      <c r="J45" s="92"/>
      <c r="K45" s="93"/>
      <c r="L45" s="742">
        <f>L48+L51</f>
        <v>0</v>
      </c>
      <c r="M45" s="741">
        <f>M48+M51</f>
        <v>0</v>
      </c>
      <c r="N45" s="741">
        <f>N48+N51</f>
        <v>0</v>
      </c>
      <c r="O45" s="741">
        <f>IF(L45&gt;0,N45*100/L45,0)</f>
        <v>0</v>
      </c>
      <c r="P45" s="741">
        <f>IF(M45&gt;0,N45*100/M45,0)</f>
        <v>0</v>
      </c>
      <c r="Q45" s="741">
        <f>Q48+Q51</f>
        <v>0</v>
      </c>
      <c r="R45" s="741">
        <f>R48+R51</f>
        <v>0</v>
      </c>
      <c r="S45" s="741">
        <f>S48+S51</f>
        <v>0</v>
      </c>
      <c r="T45" s="741">
        <f>IF(Q45&gt;0,S45*100/Q45,0)</f>
        <v>0</v>
      </c>
      <c r="U45" s="741">
        <f>IF(R45&gt;0,S45*100/R45,0)</f>
        <v>0</v>
      </c>
    </row>
    <row r="46" spans="1:21" ht="18.75" hidden="1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740">
        <f ca="1">L49+L52</f>
        <v>324404</v>
      </c>
      <c r="M46" s="739">
        <f ca="1">M49+M52</f>
        <v>478677</v>
      </c>
      <c r="N46" s="739">
        <f ca="1">N49+N52</f>
        <v>370624.83</v>
      </c>
      <c r="O46" s="739">
        <f ca="1">IF(L46&gt;0,N46*100/L46,0)</f>
        <v>114.24792234374422</v>
      </c>
      <c r="P46" s="739">
        <f ca="1">IF(M46&gt;0,N46*100/M46,0)</f>
        <v>77.42691418221473</v>
      </c>
      <c r="Q46" s="739">
        <f>Q49+Q52</f>
        <v>0</v>
      </c>
      <c r="R46" s="739">
        <f>R49+R52</f>
        <v>0</v>
      </c>
      <c r="S46" s="739">
        <f>S49+S52</f>
        <v>0</v>
      </c>
      <c r="T46" s="739">
        <f>IF(Q46&gt;0,S46*100/Q46,0)</f>
        <v>0</v>
      </c>
      <c r="U46" s="739">
        <f>IF(R46&gt;0,S46*100/R46,0)</f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256">
        <f ca="1">L48+L49</f>
        <v>324404</v>
      </c>
      <c r="M47" s="255">
        <f ca="1">M48+M49</f>
        <v>478677</v>
      </c>
      <c r="N47" s="255">
        <f ca="1">N48+N49</f>
        <v>370624.83</v>
      </c>
      <c r="O47" s="255">
        <f ca="1">IF(L47&gt;0,N47*100/L47,0)</f>
        <v>114.24792234374422</v>
      </c>
      <c r="P47" s="255">
        <f ca="1">IF(M47&gt;0,N47*100/M47,0)</f>
        <v>77.42691418221473</v>
      </c>
      <c r="Q47" s="255">
        <f>Q48+Q49</f>
        <v>0</v>
      </c>
      <c r="R47" s="255">
        <f>R48+R49</f>
        <v>0</v>
      </c>
      <c r="S47" s="255">
        <f>S48+S49</f>
        <v>0</v>
      </c>
      <c r="T47" s="255">
        <f>IF(Q47&gt;0,S47*100/Q47,0)</f>
        <v>0</v>
      </c>
      <c r="U47" s="255">
        <f>IF(R47&gt;0,S47*100/R47,0)</f>
        <v>0</v>
      </c>
    </row>
    <row r="48" spans="1:21" ht="18.75" hidden="1">
      <c r="A48" s="49"/>
      <c r="B48" s="50"/>
      <c r="C48" s="50"/>
      <c r="D48" s="50"/>
      <c r="E48" s="186" t="s">
        <v>20</v>
      </c>
      <c r="F48" s="50"/>
      <c r="G48" s="52"/>
      <c r="H48" s="729" t="s">
        <v>14</v>
      </c>
      <c r="I48" s="54"/>
      <c r="J48" s="54"/>
      <c r="K48" s="55"/>
      <c r="L48" s="103">
        <v>0</v>
      </c>
      <c r="M48" s="102">
        <v>0</v>
      </c>
      <c r="N48" s="102">
        <v>0</v>
      </c>
      <c r="O48" s="102">
        <f>IF(L48&gt;0,N48*100/L48,0)</f>
        <v>0</v>
      </c>
      <c r="P48" s="102">
        <f>IF(M48&gt;0,N48*100/M48,0)</f>
        <v>0</v>
      </c>
      <c r="Q48" s="102">
        <v>0</v>
      </c>
      <c r="R48" s="102">
        <v>0</v>
      </c>
      <c r="S48" s="102">
        <v>0</v>
      </c>
      <c r="T48" s="102">
        <f>IF(Q48&gt;0,S48*100/Q48,0)</f>
        <v>0</v>
      </c>
      <c r="U48" s="102">
        <f>IF(R48&gt;0,S48*100/R48,0)</f>
        <v>0</v>
      </c>
    </row>
    <row r="49" spans="1:21" ht="18.75" hidden="1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256">
        <f ca="1">IFERROR(__xludf.DUMMYFUNCTION("IMPORTRANGE(""https://docs.google.com/spreadsheets/d/1-uDff_7J0KD5mKrp0Vvzr7lt3OU09vwQwhkpOPPYv2Y/edit?usp=sharing"",""งบพรบ!P51"")"),324404)</f>
        <v>324404</v>
      </c>
      <c r="M49" s="255">
        <f ca="1">IFERROR(__xludf.DUMMYFUNCTION("IMPORTRANGE(""https://docs.google.com/spreadsheets/d/1-uDff_7J0KD5mKrp0Vvzr7lt3OU09vwQwhkpOPPYv2Y/edit?usp=sharing"",""งบพรบ!V51"")"),478677)</f>
        <v>478677</v>
      </c>
      <c r="N49" s="255">
        <f ca="1">IFERROR(__xludf.DUMMYFUNCTION("IMPORTRANGE(""https://docs.google.com/spreadsheets/d/1-uDff_7J0KD5mKrp0Vvzr7lt3OU09vwQwhkpOPPYv2Y/edit?usp=sharing"",""งบพรบ!Y51"")"),370624.83)</f>
        <v>370624.83</v>
      </c>
      <c r="O49" s="255">
        <f ca="1">IF(L49&gt;0,N49*100/L49,0)</f>
        <v>114.24792234374422</v>
      </c>
      <c r="P49" s="255">
        <f ca="1">IF(M49&gt;0,N49*100/M49,0)</f>
        <v>77.42691418221473</v>
      </c>
      <c r="Q49" s="255">
        <v>0</v>
      </c>
      <c r="R49" s="255">
        <v>0</v>
      </c>
      <c r="S49" s="255">
        <v>0</v>
      </c>
      <c r="T49" s="255">
        <f>IF(Q49&gt;0,S49*100/Q49,0)</f>
        <v>0</v>
      </c>
      <c r="U49" s="255">
        <f>IF(R49&gt;0,S49*100/R49,0)</f>
        <v>0</v>
      </c>
    </row>
    <row r="50" spans="1:21" ht="18.75">
      <c r="A50" s="49"/>
      <c r="B50" s="50"/>
      <c r="C50" s="50"/>
      <c r="D50" s="51" t="s">
        <v>23</v>
      </c>
      <c r="E50" s="50"/>
      <c r="F50" s="50"/>
      <c r="G50" s="52"/>
      <c r="H50" s="53" t="s">
        <v>14</v>
      </c>
      <c r="I50" s="54"/>
      <c r="J50" s="54"/>
      <c r="K50" s="55"/>
      <c r="L50" s="256">
        <f ca="1">L51+L52</f>
        <v>0</v>
      </c>
      <c r="M50" s="255">
        <f ca="1">M51+M52</f>
        <v>0</v>
      </c>
      <c r="N50" s="255">
        <f ca="1">N51+N52</f>
        <v>0</v>
      </c>
      <c r="O50" s="255">
        <f ca="1">IF(L50&gt;0,N50*100/L50,0)</f>
        <v>0</v>
      </c>
      <c r="P50" s="255">
        <f ca="1">IF(M50&gt;0,N50*100/M50,0)</f>
        <v>0</v>
      </c>
      <c r="Q50" s="255">
        <f>Q51+Q52</f>
        <v>0</v>
      </c>
      <c r="R50" s="255">
        <f>R51+R52</f>
        <v>0</v>
      </c>
      <c r="S50" s="255">
        <f>S51+S52</f>
        <v>0</v>
      </c>
      <c r="T50" s="255">
        <f>IF(Q50&gt;0,S50*100/Q50,0)</f>
        <v>0</v>
      </c>
      <c r="U50" s="255">
        <f>IF(R50&gt;0,S50*100/R50,0)</f>
        <v>0</v>
      </c>
    </row>
    <row r="51" spans="1:21" ht="18.75" hidden="1">
      <c r="A51" s="49"/>
      <c r="B51" s="50"/>
      <c r="C51" s="50"/>
      <c r="D51" s="50"/>
      <c r="E51" s="186" t="s">
        <v>20</v>
      </c>
      <c r="F51" s="50"/>
      <c r="G51" s="52"/>
      <c r="H51" s="729" t="s">
        <v>14</v>
      </c>
      <c r="I51" s="54"/>
      <c r="J51" s="54"/>
      <c r="K51" s="55"/>
      <c r="L51" s="103">
        <v>0</v>
      </c>
      <c r="M51" s="102">
        <v>0</v>
      </c>
      <c r="N51" s="102">
        <v>0</v>
      </c>
      <c r="O51" s="102">
        <f>IF(L51&gt;0,N51*100/L51,0)</f>
        <v>0</v>
      </c>
      <c r="P51" s="102">
        <f>IF(M51&gt;0,N51*100/M51,0)</f>
        <v>0</v>
      </c>
      <c r="Q51" s="102">
        <v>0</v>
      </c>
      <c r="R51" s="102">
        <v>0</v>
      </c>
      <c r="S51" s="102">
        <v>0</v>
      </c>
      <c r="T51" s="102">
        <f>IF(Q51&gt;0,S51*100/Q51,0)</f>
        <v>0</v>
      </c>
      <c r="U51" s="102">
        <f>IF(R51&gt;0,S51*100/R51,0)</f>
        <v>0</v>
      </c>
    </row>
    <row r="52" spans="1:21" ht="18.75" hidden="1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256">
        <f ca="1">IFERROR(__xludf.DUMMYFUNCTION("IMPORTRANGE(""https://docs.google.com/spreadsheets/d/1-uDff_7J0KD5mKrp0Vvzr7lt3OU09vwQwhkpOPPYv2Y/edit?usp=sharing"",""งบพรบ!S51"")"),0)</f>
        <v>0</v>
      </c>
      <c r="M52" s="255">
        <f ca="1">IFERROR(__xludf.DUMMYFUNCTION("IMPORTRANGE(""https://docs.google.com/spreadsheets/d/1-uDff_7J0KD5mKrp0Vvzr7lt3OU09vwQwhkpOPPYv2Y/edit?usp=sharing"",""งบพรบ!W51"")"),0)</f>
        <v>0</v>
      </c>
      <c r="N52" s="255">
        <f ca="1">IFERROR(__xludf.DUMMYFUNCTION("IMPORTRANGE(""https://docs.google.com/spreadsheets/d/1-uDff_7J0KD5mKrp0Vvzr7lt3OU09vwQwhkpOPPYv2Y/edit?usp=sharing"",""งบพรบ!Z51"")"),0)</f>
        <v>0</v>
      </c>
      <c r="O52" s="255">
        <f ca="1">IF(L52&gt;0,N52*100/L52,0)</f>
        <v>0</v>
      </c>
      <c r="P52" s="255">
        <f ca="1">IF(M52&gt;0,N52*100/M52,0)</f>
        <v>0</v>
      </c>
      <c r="Q52" s="255">
        <v>0</v>
      </c>
      <c r="R52" s="255">
        <v>0</v>
      </c>
      <c r="S52" s="255">
        <v>0</v>
      </c>
      <c r="T52" s="255">
        <f>IF(Q52&gt;0,S52*100/Q52,0)</f>
        <v>0</v>
      </c>
      <c r="U52" s="255">
        <f>IF(R52&gt;0,S52*100/R52,0)</f>
        <v>0</v>
      </c>
    </row>
    <row r="53" spans="1:21" ht="18.75">
      <c r="A53" s="49"/>
      <c r="B53" s="50"/>
      <c r="C53" s="50"/>
      <c r="D53" s="51" t="s">
        <v>24</v>
      </c>
      <c r="E53" s="50"/>
      <c r="F53" s="50"/>
      <c r="G53" s="52"/>
      <c r="H53" s="53" t="s">
        <v>14</v>
      </c>
      <c r="I53" s="54"/>
      <c r="J53" s="54"/>
      <c r="K53" s="55"/>
      <c r="L53" s="62"/>
      <c r="M53" s="55"/>
      <c r="N53" s="55"/>
      <c r="O53" s="55"/>
      <c r="P53" s="55"/>
      <c r="Q53" s="55"/>
      <c r="R53" s="55"/>
      <c r="S53" s="55"/>
      <c r="T53" s="55"/>
      <c r="U53" s="55"/>
    </row>
    <row r="54" spans="1:21" ht="18.75" hidden="1">
      <c r="A54" s="49"/>
      <c r="B54" s="50"/>
      <c r="C54" s="50"/>
      <c r="D54" s="50"/>
      <c r="E54" s="186" t="s">
        <v>20</v>
      </c>
      <c r="F54" s="50"/>
      <c r="G54" s="52"/>
      <c r="H54" s="729" t="s">
        <v>14</v>
      </c>
      <c r="I54" s="54"/>
      <c r="J54" s="54"/>
      <c r="K54" s="55"/>
      <c r="L54" s="62"/>
      <c r="M54" s="55"/>
      <c r="N54" s="55"/>
      <c r="O54" s="55"/>
      <c r="P54" s="55"/>
      <c r="Q54" s="55"/>
      <c r="R54" s="55"/>
      <c r="S54" s="55"/>
      <c r="T54" s="55"/>
      <c r="U54" s="55"/>
    </row>
    <row r="55" spans="1:21" ht="18.75" hidden="1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8"/>
      <c r="M55" s="6"/>
      <c r="N55" s="6"/>
      <c r="O55" s="6"/>
      <c r="P55" s="6"/>
      <c r="Q55" s="6"/>
      <c r="R55" s="6"/>
      <c r="S55" s="6"/>
      <c r="T55" s="6"/>
      <c r="U55" s="6"/>
    </row>
    <row r="56" spans="1:21" ht="19.5">
      <c r="A56" s="533" t="s">
        <v>28</v>
      </c>
      <c r="B56" s="514"/>
      <c r="C56" s="514"/>
      <c r="D56" s="514"/>
      <c r="E56" s="514"/>
      <c r="F56" s="514"/>
      <c r="G56" s="512"/>
      <c r="H56" s="104"/>
      <c r="I56" s="105"/>
      <c r="J56" s="105"/>
      <c r="K56" s="106"/>
      <c r="L56" s="106"/>
      <c r="M56" s="106"/>
      <c r="N56" s="106"/>
      <c r="O56" s="106"/>
      <c r="P56" s="107"/>
      <c r="Q56" s="106"/>
      <c r="R56" s="106"/>
      <c r="S56" s="106"/>
      <c r="T56" s="106"/>
      <c r="U56" s="107"/>
    </row>
    <row r="57" spans="1:21" ht="19.5">
      <c r="A57" s="108"/>
      <c r="B57" s="534" t="s">
        <v>29</v>
      </c>
      <c r="C57" s="529"/>
      <c r="D57" s="529"/>
      <c r="E57" s="529"/>
      <c r="F57" s="529"/>
      <c r="G57" s="530"/>
      <c r="H57" s="109"/>
      <c r="I57" s="110"/>
      <c r="J57" s="110"/>
      <c r="K57" s="111"/>
      <c r="L57" s="112"/>
      <c r="M57" s="111"/>
      <c r="N57" s="111"/>
      <c r="O57" s="111"/>
      <c r="P57" s="111"/>
      <c r="Q57" s="111"/>
      <c r="R57" s="111"/>
      <c r="S57" s="111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9"/>
      <c r="M58" s="118"/>
      <c r="N58" s="118"/>
      <c r="O58" s="118"/>
      <c r="P58" s="118"/>
      <c r="Q58" s="118"/>
      <c r="R58" s="118"/>
      <c r="S58" s="118"/>
      <c r="T58" s="118"/>
      <c r="U58" s="118"/>
    </row>
    <row r="59" spans="1:21" ht="19.5">
      <c r="A59" s="120"/>
      <c r="B59" s="121"/>
      <c r="C59" s="122" t="s">
        <v>18</v>
      </c>
      <c r="D59" s="738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737">
        <f ca="1">L60+L61</f>
        <v>645300</v>
      </c>
      <c r="M59" s="736">
        <f ca="1">M60+M61</f>
        <v>704840</v>
      </c>
      <c r="N59" s="736">
        <f ca="1">N60+N61</f>
        <v>664148.16</v>
      </c>
      <c r="O59" s="736">
        <f ca="1">IF(L59&gt;0,N59*100/L59,0)</f>
        <v>102.92083682008368</v>
      </c>
      <c r="P59" s="736">
        <f ca="1">IF(M59&gt;0,N59*100/M59,0)</f>
        <v>94.226797571079956</v>
      </c>
      <c r="Q59" s="736">
        <f>Q60+Q61</f>
        <v>0</v>
      </c>
      <c r="R59" s="736">
        <f>R60+R61</f>
        <v>0</v>
      </c>
      <c r="S59" s="736">
        <f>S60+S61</f>
        <v>0</v>
      </c>
      <c r="T59" s="736">
        <f>IF(Q59&gt;0,S59*100/Q59,0)</f>
        <v>0</v>
      </c>
      <c r="U59" s="736">
        <f>IF(R59&gt;0,S59*100/R59,0)</f>
        <v>0</v>
      </c>
    </row>
    <row r="60" spans="1:21" ht="18.75" hidden="1">
      <c r="A60" s="120"/>
      <c r="B60" s="121"/>
      <c r="C60" s="121"/>
      <c r="D60" s="121"/>
      <c r="E60" s="735" t="s">
        <v>20</v>
      </c>
      <c r="F60" s="121"/>
      <c r="G60" s="124"/>
      <c r="H60" s="734" t="s">
        <v>14</v>
      </c>
      <c r="I60" s="126"/>
      <c r="J60" s="126"/>
      <c r="K60" s="127"/>
      <c r="L60" s="733">
        <f>L63+L66</f>
        <v>0</v>
      </c>
      <c r="M60" s="732">
        <f>M63+M66</f>
        <v>0</v>
      </c>
      <c r="N60" s="732">
        <f>N63+N66</f>
        <v>0</v>
      </c>
      <c r="O60" s="732">
        <f>IF(L60&gt;0,N60*100/L60,0)</f>
        <v>0</v>
      </c>
      <c r="P60" s="732">
        <f>IF(M60&gt;0,N60*100/M60,0)</f>
        <v>0</v>
      </c>
      <c r="Q60" s="732">
        <f>Q63+Q66</f>
        <v>0</v>
      </c>
      <c r="R60" s="732">
        <f>R63+R66</f>
        <v>0</v>
      </c>
      <c r="S60" s="732">
        <f>S63+S66</f>
        <v>0</v>
      </c>
      <c r="T60" s="732">
        <f>IF(Q60&gt;0,S60*100/Q60,0)</f>
        <v>0</v>
      </c>
      <c r="U60" s="732">
        <f>IF(R60&gt;0,S60*100/R60,0)</f>
        <v>0</v>
      </c>
    </row>
    <row r="61" spans="1:21" ht="18.75" hidden="1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731">
        <f ca="1">L64+L67</f>
        <v>645300</v>
      </c>
      <c r="M61" s="730">
        <f ca="1">M64+M67</f>
        <v>704840</v>
      </c>
      <c r="N61" s="730">
        <f ca="1">N64+N67</f>
        <v>664148.16</v>
      </c>
      <c r="O61" s="730">
        <f ca="1">IF(L61&gt;0,N61*100/L61,0)</f>
        <v>102.92083682008368</v>
      </c>
      <c r="P61" s="730">
        <f ca="1">IF(M61&gt;0,N61*100/M61,0)</f>
        <v>94.226797571079956</v>
      </c>
      <c r="Q61" s="730">
        <f>Q64+Q67</f>
        <v>0</v>
      </c>
      <c r="R61" s="730">
        <f>R64+R67</f>
        <v>0</v>
      </c>
      <c r="S61" s="730">
        <f>S64+S67</f>
        <v>0</v>
      </c>
      <c r="T61" s="730">
        <f>IF(Q61&gt;0,S61*100/Q61,0)</f>
        <v>0</v>
      </c>
      <c r="U61" s="730">
        <f>IF(R61&gt;0,S61*100/R61,0)</f>
        <v>0</v>
      </c>
    </row>
    <row r="62" spans="1:21" ht="18.75">
      <c r="A62" s="49"/>
      <c r="B62" s="50"/>
      <c r="C62" s="50"/>
      <c r="D62" s="51" t="s">
        <v>22</v>
      </c>
      <c r="E62" s="50"/>
      <c r="F62" s="50"/>
      <c r="G62" s="52"/>
      <c r="H62" s="53" t="s">
        <v>14</v>
      </c>
      <c r="I62" s="54"/>
      <c r="J62" s="54"/>
      <c r="K62" s="55"/>
      <c r="L62" s="256">
        <f ca="1">L63+L64</f>
        <v>645300</v>
      </c>
      <c r="M62" s="255">
        <f ca="1">M63+M64</f>
        <v>704840</v>
      </c>
      <c r="N62" s="255">
        <f ca="1">N63+N64</f>
        <v>664148.16</v>
      </c>
      <c r="O62" s="255">
        <f ca="1">IF(L62&gt;0,N62*100/L62,0)</f>
        <v>102.92083682008368</v>
      </c>
      <c r="P62" s="255">
        <f ca="1">IF(M62&gt;0,N62*100/M62,0)</f>
        <v>94.226797571079956</v>
      </c>
      <c r="Q62" s="255">
        <f>Q63+Q64</f>
        <v>0</v>
      </c>
      <c r="R62" s="255">
        <f>R63+R64</f>
        <v>0</v>
      </c>
      <c r="S62" s="255">
        <f>S63+S64</f>
        <v>0</v>
      </c>
      <c r="T62" s="255">
        <f>IF(Q62&gt;0,S62*100/Q62,0)</f>
        <v>0</v>
      </c>
      <c r="U62" s="255">
        <f>IF(R62&gt;0,S62*100/R62,0)</f>
        <v>0</v>
      </c>
    </row>
    <row r="63" spans="1:21" ht="18.75" hidden="1">
      <c r="A63" s="49"/>
      <c r="B63" s="50"/>
      <c r="C63" s="50"/>
      <c r="D63" s="50"/>
      <c r="E63" s="186" t="s">
        <v>20</v>
      </c>
      <c r="F63" s="50"/>
      <c r="G63" s="52"/>
      <c r="H63" s="729" t="s">
        <v>14</v>
      </c>
      <c r="I63" s="54"/>
      <c r="J63" s="54"/>
      <c r="K63" s="55"/>
      <c r="L63" s="103">
        <v>0</v>
      </c>
      <c r="M63" s="102">
        <v>0</v>
      </c>
      <c r="N63" s="102">
        <v>0</v>
      </c>
      <c r="O63" s="102">
        <f>IF(L63&gt;0,N63*100/L63,0)</f>
        <v>0</v>
      </c>
      <c r="P63" s="102">
        <f>IF(M63&gt;0,N63*100/M63,0)</f>
        <v>0</v>
      </c>
      <c r="Q63" s="102">
        <v>0</v>
      </c>
      <c r="R63" s="102">
        <v>0</v>
      </c>
      <c r="S63" s="102">
        <v>0</v>
      </c>
      <c r="T63" s="102">
        <f>IF(Q63&gt;0,S63*100/Q63,0)</f>
        <v>0</v>
      </c>
      <c r="U63" s="102">
        <f>IF(R63&gt;0,S63*100/R63,0)</f>
        <v>0</v>
      </c>
    </row>
    <row r="64" spans="1:21" ht="18.75" hidden="1">
      <c r="A64" s="49"/>
      <c r="B64" s="50"/>
      <c r="C64" s="50"/>
      <c r="D64" s="50"/>
      <c r="E64" s="58" t="s">
        <v>21</v>
      </c>
      <c r="F64" s="50"/>
      <c r="G64" s="52"/>
      <c r="H64" s="53" t="s">
        <v>14</v>
      </c>
      <c r="I64" s="54"/>
      <c r="J64" s="54"/>
      <c r="K64" s="55"/>
      <c r="L64" s="256">
        <f ca="1">IFERROR(__xludf.DUMMYFUNCTION("IMPORTRANGE(""https://docs.google.com/spreadsheets/d/1-uDff_7J0KD5mKrp0Vvzr7lt3OU09vwQwhkpOPPYv2Y/edit?usp=sharing"",""งบพรบ!AC51"")"),645300)</f>
        <v>645300</v>
      </c>
      <c r="M64" s="255">
        <f ca="1">IFERROR(__xludf.DUMMYFUNCTION("IMPORTRANGE(""https://docs.google.com/spreadsheets/d/1-uDff_7J0KD5mKrp0Vvzr7lt3OU09vwQwhkpOPPYv2Y/edit?usp=sharing"",""งบพรบ!AH51"")"),704840)</f>
        <v>704840</v>
      </c>
      <c r="N64" s="255">
        <f ca="1">IFERROR(__xludf.DUMMYFUNCTION("IMPORTRANGE(""https://docs.google.com/spreadsheets/d/1-uDff_7J0KD5mKrp0Vvzr7lt3OU09vwQwhkpOPPYv2Y/edit?usp=sharing"",""งบพรบ!AJ51"")"),664148.16)</f>
        <v>664148.16</v>
      </c>
      <c r="O64" s="255">
        <f ca="1">IF(L64&gt;0,N64*100/L64,0)</f>
        <v>102.92083682008368</v>
      </c>
      <c r="P64" s="255">
        <f ca="1">IF(M64&gt;0,N64*100/M64,0)</f>
        <v>94.226797571079956</v>
      </c>
      <c r="Q64" s="255">
        <v>0</v>
      </c>
      <c r="R64" s="255">
        <v>0</v>
      </c>
      <c r="S64" s="255">
        <v>0</v>
      </c>
      <c r="T64" s="255">
        <f>IF(Q64&gt;0,S64*100/Q64,0)</f>
        <v>0</v>
      </c>
      <c r="U64" s="255">
        <f>IF(R64&gt;0,S64*100/R64,0)</f>
        <v>0</v>
      </c>
    </row>
    <row r="65" spans="1:21" ht="18.75">
      <c r="A65" s="49"/>
      <c r="B65" s="50"/>
      <c r="C65" s="50"/>
      <c r="D65" s="51" t="s">
        <v>23</v>
      </c>
      <c r="E65" s="50"/>
      <c r="F65" s="50"/>
      <c r="G65" s="52"/>
      <c r="H65" s="53" t="s">
        <v>14</v>
      </c>
      <c r="I65" s="54"/>
      <c r="J65" s="54"/>
      <c r="K65" s="55"/>
      <c r="L65" s="256">
        <f ca="1">L66+L67</f>
        <v>0</v>
      </c>
      <c r="M65" s="255">
        <f ca="1">M66+M67</f>
        <v>0</v>
      </c>
      <c r="N65" s="255">
        <f ca="1">N66+N67</f>
        <v>0</v>
      </c>
      <c r="O65" s="255">
        <f ca="1">IF(L65&gt;0,N65*100/L65,0)</f>
        <v>0</v>
      </c>
      <c r="P65" s="255">
        <f ca="1">IF(M65&gt;0,N65*100/M65,0)</f>
        <v>0</v>
      </c>
      <c r="Q65" s="255">
        <f>Q66+Q67</f>
        <v>0</v>
      </c>
      <c r="R65" s="255">
        <f>R66+R67</f>
        <v>0</v>
      </c>
      <c r="S65" s="255">
        <f>S66+S67</f>
        <v>0</v>
      </c>
      <c r="T65" s="255">
        <f>IF(Q65&gt;0,S65*100/Q65,0)</f>
        <v>0</v>
      </c>
      <c r="U65" s="255">
        <f>IF(R65&gt;0,S65*100/R65,0)</f>
        <v>0</v>
      </c>
    </row>
    <row r="66" spans="1:21" ht="18.75" hidden="1">
      <c r="A66" s="49"/>
      <c r="B66" s="50"/>
      <c r="C66" s="50"/>
      <c r="D66" s="50"/>
      <c r="E66" s="186" t="s">
        <v>20</v>
      </c>
      <c r="F66" s="50"/>
      <c r="G66" s="52"/>
      <c r="H66" s="729" t="s">
        <v>14</v>
      </c>
      <c r="I66" s="54"/>
      <c r="J66" s="54"/>
      <c r="K66" s="55"/>
      <c r="L66" s="103">
        <v>0</v>
      </c>
      <c r="M66" s="102">
        <v>0</v>
      </c>
      <c r="N66" s="102">
        <v>0</v>
      </c>
      <c r="O66" s="102">
        <f>IF(L66&gt;0,N66*100/L66,0)</f>
        <v>0</v>
      </c>
      <c r="P66" s="102">
        <f>IF(M66&gt;0,N66*100/M66,0)</f>
        <v>0</v>
      </c>
      <c r="Q66" s="102">
        <v>0</v>
      </c>
      <c r="R66" s="102">
        <v>0</v>
      </c>
      <c r="S66" s="102">
        <v>0</v>
      </c>
      <c r="T66" s="102">
        <f>IF(Q66&gt;0,S66*100/Q66,0)</f>
        <v>0</v>
      </c>
      <c r="U66" s="102">
        <f>IF(R66&gt;0,S66*100/R66,0)</f>
        <v>0</v>
      </c>
    </row>
    <row r="67" spans="1:21" ht="18.75" hidden="1">
      <c r="A67" s="63"/>
      <c r="B67" s="4"/>
      <c r="C67" s="4"/>
      <c r="D67" s="4"/>
      <c r="E67" s="64" t="s">
        <v>21</v>
      </c>
      <c r="F67" s="4"/>
      <c r="G67" s="65"/>
      <c r="H67" s="66" t="s">
        <v>14</v>
      </c>
      <c r="I67" s="67"/>
      <c r="J67" s="67"/>
      <c r="K67" s="6"/>
      <c r="L67" s="728">
        <f ca="1">IFERROR(__xludf.DUMMYFUNCTION("IMPORTRANGE(""https://docs.google.com/spreadsheets/d/1-uDff_7J0KD5mKrp0Vvzr7lt3OU09vwQwhkpOPPYv2Y/edit?usp=sharing"",""งบพรบ!AF51"")"),0)</f>
        <v>0</v>
      </c>
      <c r="M67" s="506">
        <f ca="1">IFERROR(__xludf.DUMMYFUNCTION("IMPORTRANGE(""https://docs.google.com/spreadsheets/d/1-uDff_7J0KD5mKrp0Vvzr7lt3OU09vwQwhkpOPPYv2Y/edit?usp=sharing"",""งบพรบ!AI51"")"),0)</f>
        <v>0</v>
      </c>
      <c r="N67" s="506">
        <f ca="1">IFERROR(__xludf.DUMMYFUNCTION("IMPORTRANGE(""https://docs.google.com/spreadsheets/d/1-uDff_7J0KD5mKrp0Vvzr7lt3OU09vwQwhkpOPPYv2Y/edit?usp=sharing"",""งบพรบ!AK51"")"),0)</f>
        <v>0</v>
      </c>
      <c r="O67" s="506">
        <f ca="1">IF(L67&gt;0,N67*100/L67,0)</f>
        <v>0</v>
      </c>
      <c r="P67" s="506">
        <f ca="1">IF(M67&gt;0,N67*100/M67,0)</f>
        <v>0</v>
      </c>
      <c r="Q67" s="506">
        <v>0</v>
      </c>
      <c r="R67" s="506">
        <v>0</v>
      </c>
      <c r="S67" s="506">
        <v>0</v>
      </c>
      <c r="T67" s="506">
        <f>IF(Q67&gt;0,S67*100/Q67,0)</f>
        <v>0</v>
      </c>
      <c r="U67" s="506">
        <f>IF(R67&gt;0,S67*100/R67,0)</f>
        <v>0</v>
      </c>
    </row>
    <row r="68" spans="1:21" ht="19.5">
      <c r="A68" s="137" t="s">
        <v>31</v>
      </c>
      <c r="B68" s="138"/>
      <c r="C68" s="138"/>
      <c r="D68" s="138"/>
      <c r="E68" s="139"/>
      <c r="F68" s="139"/>
      <c r="G68" s="139"/>
      <c r="H68" s="139"/>
      <c r="I68" s="140"/>
      <c r="J68" s="140"/>
      <c r="K68" s="141"/>
      <c r="L68" s="141"/>
      <c r="M68" s="141"/>
      <c r="N68" s="141"/>
      <c r="O68" s="141"/>
      <c r="P68" s="142"/>
      <c r="Q68" s="141"/>
      <c r="R68" s="141"/>
      <c r="S68" s="141"/>
      <c r="T68" s="141"/>
      <c r="U68" s="142"/>
    </row>
    <row r="69" spans="1:21" ht="19.5">
      <c r="A69" s="143" t="s">
        <v>32</v>
      </c>
      <c r="B69" s="144"/>
      <c r="C69" s="145"/>
      <c r="D69" s="144"/>
      <c r="E69" s="144"/>
      <c r="F69" s="144"/>
      <c r="G69" s="146"/>
      <c r="H69" s="146"/>
      <c r="I69" s="147"/>
      <c r="J69" s="147"/>
      <c r="K69" s="148"/>
      <c r="L69" s="149"/>
      <c r="M69" s="148"/>
      <c r="N69" s="148"/>
      <c r="O69" s="148"/>
      <c r="P69" s="148"/>
      <c r="Q69" s="148"/>
      <c r="R69" s="148"/>
      <c r="S69" s="148"/>
      <c r="T69" s="148"/>
      <c r="U69" s="148"/>
    </row>
    <row r="70" spans="1:21" ht="19.5">
      <c r="A70" s="150"/>
      <c r="B70" s="35" t="s">
        <v>33</v>
      </c>
      <c r="C70" s="34"/>
      <c r="D70" s="151"/>
      <c r="E70" s="34"/>
      <c r="F70" s="34"/>
      <c r="G70" s="37"/>
      <c r="H70" s="152" t="s">
        <v>34</v>
      </c>
      <c r="I70" s="721">
        <f ca="1">I82</f>
        <v>1</v>
      </c>
      <c r="J70" s="721">
        <f>J82</f>
        <v>0</v>
      </c>
      <c r="K70" s="720">
        <f ca="1">IF(I70&gt;0,J70*100/I70,0)</f>
        <v>0</v>
      </c>
      <c r="L70" s="154"/>
      <c r="M70" s="40"/>
      <c r="N70" s="40"/>
      <c r="O70" s="40"/>
      <c r="P70" s="40"/>
      <c r="Q70" s="40"/>
      <c r="R70" s="40"/>
      <c r="S70" s="40"/>
      <c r="T70" s="40"/>
      <c r="U70" s="40"/>
    </row>
    <row r="71" spans="1:21" ht="19.5">
      <c r="A71" s="150"/>
      <c r="B71" s="34"/>
      <c r="C71" s="34"/>
      <c r="D71" s="151"/>
      <c r="E71" s="34"/>
      <c r="F71" s="34"/>
      <c r="G71" s="37"/>
      <c r="H71" s="152" t="s">
        <v>35</v>
      </c>
      <c r="I71" s="721">
        <f ca="1">I83</f>
        <v>35</v>
      </c>
      <c r="J71" s="721">
        <f>J83</f>
        <v>0</v>
      </c>
      <c r="K71" s="720">
        <f ca="1">IF(I71&gt;0,J71*100/I71,0)</f>
        <v>0</v>
      </c>
      <c r="L71" s="154"/>
      <c r="M71" s="40"/>
      <c r="N71" s="40"/>
      <c r="O71" s="40"/>
      <c r="P71" s="40"/>
      <c r="Q71" s="40"/>
      <c r="R71" s="40"/>
      <c r="S71" s="40"/>
      <c r="T71" s="40"/>
      <c r="U71" s="40"/>
    </row>
    <row r="72" spans="1:21" ht="19.5">
      <c r="A72" s="155"/>
      <c r="B72" s="50"/>
      <c r="C72" s="156" t="s">
        <v>18</v>
      </c>
      <c r="D72" s="575" t="s">
        <v>19</v>
      </c>
      <c r="E72" s="50"/>
      <c r="F72" s="50"/>
      <c r="G72" s="52"/>
      <c r="H72" s="158" t="s">
        <v>14</v>
      </c>
      <c r="I72" s="54"/>
      <c r="J72" s="54"/>
      <c r="K72" s="55"/>
      <c r="L72" s="541">
        <f ca="1">L73+L74</f>
        <v>90000</v>
      </c>
      <c r="M72" s="540">
        <f ca="1">M73+M74</f>
        <v>90000</v>
      </c>
      <c r="N72" s="540">
        <f ca="1">N73+N74</f>
        <v>57208</v>
      </c>
      <c r="O72" s="540">
        <f ca="1">IF(L72&gt;0,N72*100/L72,0)</f>
        <v>63.564444444444447</v>
      </c>
      <c r="P72" s="540">
        <f ca="1">IF(M72&gt;0,N72*100/M72,0)</f>
        <v>63.564444444444447</v>
      </c>
      <c r="Q72" s="540">
        <f ca="1">Q73+Q74</f>
        <v>418300</v>
      </c>
      <c r="R72" s="540">
        <f ca="1">R73+R74</f>
        <v>418300</v>
      </c>
      <c r="S72" s="540">
        <f ca="1">S73+S74</f>
        <v>22574.5</v>
      </c>
      <c r="T72" s="540">
        <f ca="1">IF(Q72&gt;0,S72*100/Q72,0)</f>
        <v>5.3967248386325606</v>
      </c>
      <c r="U72" s="540">
        <f ca="1">IF(R72&gt;0,S72*100/R72,0)</f>
        <v>5.3967248386325606</v>
      </c>
    </row>
    <row r="73" spans="1:21" ht="18.75" hidden="1">
      <c r="A73" s="155"/>
      <c r="B73" s="50"/>
      <c r="C73" s="50"/>
      <c r="D73" s="50"/>
      <c r="E73" s="186" t="s">
        <v>20</v>
      </c>
      <c r="F73" s="50"/>
      <c r="G73" s="52"/>
      <c r="H73" s="187" t="s">
        <v>14</v>
      </c>
      <c r="I73" s="54"/>
      <c r="J73" s="54"/>
      <c r="K73" s="55"/>
      <c r="L73" s="103">
        <f>L76+L79</f>
        <v>0</v>
      </c>
      <c r="M73" s="102">
        <f>M76+M79</f>
        <v>0</v>
      </c>
      <c r="N73" s="102">
        <f>N76+N79</f>
        <v>0</v>
      </c>
      <c r="O73" s="102">
        <f>IF(L73&gt;0,N73*100/L73,0)</f>
        <v>0</v>
      </c>
      <c r="P73" s="102">
        <f>IF(M73&gt;0,N73*100/M73,0)</f>
        <v>0</v>
      </c>
      <c r="Q73" s="102">
        <f>Q76+Q79</f>
        <v>0</v>
      </c>
      <c r="R73" s="102">
        <f>R76+R79</f>
        <v>0</v>
      </c>
      <c r="S73" s="102">
        <f>S76+S79</f>
        <v>0</v>
      </c>
      <c r="T73" s="102">
        <f>IF(Q73&gt;0,S73*100/Q73,0)</f>
        <v>0</v>
      </c>
      <c r="U73" s="102">
        <f>IF(R73&gt;0,S73*100/R73,0)</f>
        <v>0</v>
      </c>
    </row>
    <row r="74" spans="1:21" ht="18.75" hidden="1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256">
        <f ca="1">L77+L80</f>
        <v>90000</v>
      </c>
      <c r="M74" s="255">
        <f ca="1">M77+M80</f>
        <v>90000</v>
      </c>
      <c r="N74" s="255">
        <f ca="1">N77+N80</f>
        <v>57208</v>
      </c>
      <c r="O74" s="255">
        <f ca="1">IF(L74&gt;0,N74*100/L74,0)</f>
        <v>63.564444444444447</v>
      </c>
      <c r="P74" s="255">
        <f ca="1">IF(M74&gt;0,N74*100/M74,0)</f>
        <v>63.564444444444447</v>
      </c>
      <c r="Q74" s="255">
        <f ca="1">Q77+Q80</f>
        <v>418300</v>
      </c>
      <c r="R74" s="255">
        <f ca="1">R77+R80</f>
        <v>418300</v>
      </c>
      <c r="S74" s="255">
        <f ca="1">S77+S80</f>
        <v>22574.5</v>
      </c>
      <c r="T74" s="255">
        <f ca="1">IF(Q74&gt;0,S74*100/Q74,0)</f>
        <v>5.3967248386325606</v>
      </c>
      <c r="U74" s="255">
        <f ca="1">IF(R74&gt;0,S74*100/R74,0)</f>
        <v>5.3967248386325606</v>
      </c>
    </row>
    <row r="75" spans="1:21" ht="18.75">
      <c r="A75" s="155"/>
      <c r="B75" s="50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256">
        <f ca="1">L76+L77</f>
        <v>90000</v>
      </c>
      <c r="M75" s="255">
        <f ca="1">M76+M77</f>
        <v>90000</v>
      </c>
      <c r="N75" s="255">
        <f ca="1">N76+N77</f>
        <v>57208</v>
      </c>
      <c r="O75" s="255">
        <f ca="1">IF(L75&gt;0,N75*100/L75,0)</f>
        <v>63.564444444444447</v>
      </c>
      <c r="P75" s="255">
        <f ca="1">IF(M75&gt;0,N75*100/M75,0)</f>
        <v>63.564444444444447</v>
      </c>
      <c r="Q75" s="255">
        <f ca="1">Q76+Q77</f>
        <v>418300</v>
      </c>
      <c r="R75" s="255">
        <f ca="1">R76+R77</f>
        <v>418300</v>
      </c>
      <c r="S75" s="255">
        <f ca="1">S76+S77</f>
        <v>22574.5</v>
      </c>
      <c r="T75" s="255">
        <f ca="1">IF(Q75&gt;0,S75*100/Q75,0)</f>
        <v>5.3967248386325606</v>
      </c>
      <c r="U75" s="255">
        <f ca="1">IF(R75&gt;0,S75*100/R75,0)</f>
        <v>5.3967248386325606</v>
      </c>
    </row>
    <row r="76" spans="1:21" ht="18.75" hidden="1">
      <c r="A76" s="155"/>
      <c r="B76" s="50"/>
      <c r="C76" s="50"/>
      <c r="D76" s="50"/>
      <c r="E76" s="186" t="s">
        <v>36</v>
      </c>
      <c r="F76" s="50"/>
      <c r="G76" s="52"/>
      <c r="H76" s="189" t="s">
        <v>14</v>
      </c>
      <c r="I76" s="163"/>
      <c r="J76" s="163"/>
      <c r="K76" s="164"/>
      <c r="L76" s="103">
        <v>0</v>
      </c>
      <c r="M76" s="102">
        <v>0</v>
      </c>
      <c r="N76" s="102">
        <v>0</v>
      </c>
      <c r="O76" s="102">
        <f>IF(L76&gt;0,N76*100/L76,0)</f>
        <v>0</v>
      </c>
      <c r="P76" s="102">
        <f>IF(M76&gt;0,N76*100/M76,0)</f>
        <v>0</v>
      </c>
      <c r="Q76" s="102">
        <v>0</v>
      </c>
      <c r="R76" s="102">
        <v>0</v>
      </c>
      <c r="S76" s="102">
        <v>0</v>
      </c>
      <c r="T76" s="102">
        <f>IF(Q76&gt;0,S76*100/Q76,0)</f>
        <v>0</v>
      </c>
      <c r="U76" s="102">
        <f>IF(R76&gt;0,S76*100/R76,0)</f>
        <v>0</v>
      </c>
    </row>
    <row r="77" spans="1:21" ht="18.75" hidden="1">
      <c r="A77" s="155"/>
      <c r="B77" s="50"/>
      <c r="C77" s="50"/>
      <c r="D77" s="50"/>
      <c r="E77" s="58" t="s">
        <v>37</v>
      </c>
      <c r="F77" s="50"/>
      <c r="G77" s="52"/>
      <c r="H77" s="162" t="s">
        <v>14</v>
      </c>
      <c r="I77" s="163"/>
      <c r="J77" s="163"/>
      <c r="K77" s="164"/>
      <c r="L77" s="256">
        <f ca="1">IFERROR(__xludf.DUMMYFUNCTION("IMPORTRANGE(""https://docs.google.com/spreadsheets/d/1-uDff_7J0KD5mKrp0Vvzr7lt3OU09vwQwhkpOPPYv2Y/edit?usp=sharing"",""งบพรบ!AM51"")"),90000)</f>
        <v>90000</v>
      </c>
      <c r="M77" s="255">
        <f ca="1">IFERROR(__xludf.DUMMYFUNCTION("IMPORTRANGE(""https://docs.google.com/spreadsheets/d/1-uDff_7J0KD5mKrp0Vvzr7lt3OU09vwQwhkpOPPYv2Y/edit?usp=sharing"",""งบพรบ!AR51"")"),90000)</f>
        <v>90000</v>
      </c>
      <c r="N77" s="255">
        <f ca="1">IFERROR(__xludf.DUMMYFUNCTION("IMPORTRANGE(""https://docs.google.com/spreadsheets/d/1-uDff_7J0KD5mKrp0Vvzr7lt3OU09vwQwhkpOPPYv2Y/edit?usp=sharing"",""งบพรบ!AT51"")"),57208)</f>
        <v>57208</v>
      </c>
      <c r="O77" s="255">
        <f ca="1">IF(L77&gt;0,N77*100/L77,0)</f>
        <v>63.564444444444447</v>
      </c>
      <c r="P77" s="255">
        <f ca="1">IF(M77&gt;0,N77*100/M77,0)</f>
        <v>63.564444444444447</v>
      </c>
      <c r="Q77" s="255">
        <f ca="1">IFERROR(__xludf.DUMMYFUNCTION("IMPORTRANGE(""https://docs.google.com/spreadsheets/d/1ItG2mGa2ceCfYo0BwxsXqNm01IGEUdYcSSLTEv9YCik/edit?usp=sharing"",""เบิกจ่ายกองทุน!AS51"")"),418300)</f>
        <v>418300</v>
      </c>
      <c r="R77" s="255">
        <f ca="1">IFERROR(__xludf.DUMMYFUNCTION("IMPORTRANGE(""https://docs.google.com/spreadsheets/d/1ItG2mGa2ceCfYo0BwxsXqNm01IGEUdYcSSLTEv9YCik/edit?usp=sharing"",""เบิกจ่ายกองทุน!AT51"")"),418300)</f>
        <v>418300</v>
      </c>
      <c r="S77" s="255">
        <f ca="1">IFERROR(__xludf.DUMMYFUNCTION("IMPORTRANGE(""https://docs.google.com/spreadsheets/d/1ItG2mGa2ceCfYo0BwxsXqNm01IGEUdYcSSLTEv9YCik/edit?usp=sharing"",""เบิกจ่ายกองทุน!AU51"")"),22574.5)</f>
        <v>22574.5</v>
      </c>
      <c r="T77" s="255">
        <f ca="1">IF(Q77&gt;0,S77*100/Q77,0)</f>
        <v>5.3967248386325606</v>
      </c>
      <c r="U77" s="255">
        <f ca="1">IF(R77&gt;0,S77*100/R77,0)</f>
        <v>5.3967248386325606</v>
      </c>
    </row>
    <row r="78" spans="1:21" ht="18.75">
      <c r="A78" s="155"/>
      <c r="B78" s="50"/>
      <c r="C78" s="50"/>
      <c r="D78" s="51" t="s">
        <v>23</v>
      </c>
      <c r="E78" s="50"/>
      <c r="F78" s="50"/>
      <c r="G78" s="52"/>
      <c r="H78" s="165" t="s">
        <v>14</v>
      </c>
      <c r="I78" s="163"/>
      <c r="J78" s="163"/>
      <c r="K78" s="164"/>
      <c r="L78" s="256">
        <f ca="1">L79+L80</f>
        <v>0</v>
      </c>
      <c r="M78" s="255">
        <f ca="1">M79+M80</f>
        <v>0</v>
      </c>
      <c r="N78" s="255">
        <f ca="1">N79+N80</f>
        <v>0</v>
      </c>
      <c r="O78" s="255">
        <f ca="1">IF(L78&gt;0,N78*100/L78,0)</f>
        <v>0</v>
      </c>
      <c r="P78" s="255">
        <f ca="1">IF(M78&gt;0,N78*100/M78,0)</f>
        <v>0</v>
      </c>
      <c r="Q78" s="255">
        <f>Q79+Q80</f>
        <v>0</v>
      </c>
      <c r="R78" s="255">
        <f>R79+R80</f>
        <v>0</v>
      </c>
      <c r="S78" s="255">
        <f>S79+S80</f>
        <v>0</v>
      </c>
      <c r="T78" s="255">
        <f>IF(Q78&gt;0,S78*100/Q78,0)</f>
        <v>0</v>
      </c>
      <c r="U78" s="255">
        <f>IF(R78&gt;0,S78*100/R78,0)</f>
        <v>0</v>
      </c>
    </row>
    <row r="79" spans="1:21" ht="18.75" hidden="1">
      <c r="A79" s="155"/>
      <c r="B79" s="50"/>
      <c r="C79" s="50"/>
      <c r="D79" s="50"/>
      <c r="E79" s="186" t="s">
        <v>20</v>
      </c>
      <c r="F79" s="50"/>
      <c r="G79" s="52"/>
      <c r="H79" s="189" t="s">
        <v>14</v>
      </c>
      <c r="I79" s="163"/>
      <c r="J79" s="163"/>
      <c r="K79" s="164"/>
      <c r="L79" s="103">
        <v>0</v>
      </c>
      <c r="M79" s="255">
        <v>0</v>
      </c>
      <c r="N79" s="255">
        <v>0</v>
      </c>
      <c r="O79" s="102">
        <f>IF(L79&gt;0,N79*100/L79,0)</f>
        <v>0</v>
      </c>
      <c r="P79" s="102">
        <f>IF(M79&gt;0,N79*100/M79,0)</f>
        <v>0</v>
      </c>
      <c r="Q79" s="102">
        <v>0</v>
      </c>
      <c r="R79" s="255">
        <v>0</v>
      </c>
      <c r="S79" s="255">
        <v>0</v>
      </c>
      <c r="T79" s="102">
        <f>IF(Q79&gt;0,S79*100/Q79,0)</f>
        <v>0</v>
      </c>
      <c r="U79" s="102">
        <f>IF(R79&gt;0,S79*100/R79,0)</f>
        <v>0</v>
      </c>
    </row>
    <row r="80" spans="1:21" ht="18.75" hidden="1">
      <c r="A80" s="155"/>
      <c r="B80" s="50"/>
      <c r="C80" s="50"/>
      <c r="D80" s="50"/>
      <c r="E80" s="58" t="s">
        <v>21</v>
      </c>
      <c r="F80" s="50"/>
      <c r="G80" s="52"/>
      <c r="H80" s="165" t="s">
        <v>14</v>
      </c>
      <c r="I80" s="163"/>
      <c r="J80" s="163"/>
      <c r="K80" s="164"/>
      <c r="L80" s="256">
        <f ca="1">IFERROR(__xludf.DUMMYFUNCTION("IMPORTRANGE(""https://docs.google.com/spreadsheets/d/1-uDff_7J0KD5mKrp0Vvzr7lt3OU09vwQwhkpOPPYv2Y/edit?usp=sharing"",""งบพรบ!AP51"")"),0)</f>
        <v>0</v>
      </c>
      <c r="M80" s="255">
        <f ca="1">IFERROR(__xludf.DUMMYFUNCTION("IMPORTRANGE(""https://docs.google.com/spreadsheets/d/1-uDff_7J0KD5mKrp0Vvzr7lt3OU09vwQwhkpOPPYv2Y/edit?usp=sharing"",""งบพรบ!AS51"")"),0)</f>
        <v>0</v>
      </c>
      <c r="N80" s="255">
        <f ca="1">IFERROR(__xludf.DUMMYFUNCTION("IMPORTRANGE(""https://docs.google.com/spreadsheets/d/1-uDff_7J0KD5mKrp0Vvzr7lt3OU09vwQwhkpOPPYv2Y/edit?usp=sharing"",""งบพรบ!AU51"")"),0)</f>
        <v>0</v>
      </c>
      <c r="O80" s="255">
        <f ca="1">IF(L80&gt;0,N80*100/L80,0)</f>
        <v>0</v>
      </c>
      <c r="P80" s="255">
        <f ca="1">IF(M80&gt;0,N80*100/M80,0)</f>
        <v>0</v>
      </c>
      <c r="Q80" s="255">
        <v>0</v>
      </c>
      <c r="R80" s="255">
        <v>0</v>
      </c>
      <c r="S80" s="255">
        <v>0</v>
      </c>
      <c r="T80" s="255">
        <f>IF(Q80&gt;0,S80*100/Q80,0)</f>
        <v>0</v>
      </c>
      <c r="U80" s="255">
        <f>IF(R80&gt;0,S80*100/R80,0)</f>
        <v>0</v>
      </c>
    </row>
    <row r="81" spans="1:21" ht="19.5">
      <c r="A81" s="166"/>
      <c r="B81" s="167"/>
      <c r="C81" s="156" t="s">
        <v>18</v>
      </c>
      <c r="D81" s="566" t="s">
        <v>38</v>
      </c>
      <c r="E81" s="169"/>
      <c r="F81" s="169"/>
      <c r="G81" s="170"/>
      <c r="H81" s="171"/>
      <c r="I81" s="163"/>
      <c r="J81" s="163"/>
      <c r="K81" s="164"/>
      <c r="L81" s="172"/>
      <c r="M81" s="164"/>
      <c r="N81" s="164"/>
      <c r="O81" s="164"/>
      <c r="P81" s="164"/>
      <c r="Q81" s="164"/>
      <c r="R81" s="164"/>
      <c r="S81" s="164"/>
      <c r="T81" s="164"/>
      <c r="U81" s="164"/>
    </row>
    <row r="82" spans="1:21" ht="19.5">
      <c r="A82" s="166"/>
      <c r="B82" s="167"/>
      <c r="C82" s="167"/>
      <c r="D82" s="173" t="s">
        <v>39</v>
      </c>
      <c r="E82" s="174"/>
      <c r="F82" s="174"/>
      <c r="G82" s="171"/>
      <c r="H82" s="175" t="s">
        <v>34</v>
      </c>
      <c r="I82" s="373">
        <f ca="1">I84+I86+I88</f>
        <v>1</v>
      </c>
      <c r="J82" s="373">
        <f>J84+J86+J88</f>
        <v>0</v>
      </c>
      <c r="K82" s="642">
        <f ca="1">IF(I82&gt;0,J82*100/I82,0)</f>
        <v>0</v>
      </c>
      <c r="L82" s="172"/>
      <c r="M82" s="164"/>
      <c r="N82" s="164"/>
      <c r="O82" s="164"/>
      <c r="P82" s="164"/>
      <c r="Q82" s="164"/>
      <c r="R82" s="164"/>
      <c r="S82" s="164"/>
      <c r="T82" s="164"/>
      <c r="U82" s="164"/>
    </row>
    <row r="83" spans="1:21" ht="19.5">
      <c r="A83" s="166"/>
      <c r="B83" s="167"/>
      <c r="C83" s="167"/>
      <c r="D83" s="167"/>
      <c r="E83" s="174"/>
      <c r="F83" s="174"/>
      <c r="G83" s="171"/>
      <c r="H83" s="175" t="s">
        <v>35</v>
      </c>
      <c r="I83" s="373">
        <f ca="1">I85+I87+I89</f>
        <v>35</v>
      </c>
      <c r="J83" s="373">
        <f>J85+J87+J89</f>
        <v>0</v>
      </c>
      <c r="K83" s="642">
        <f ca="1">IF(I83&gt;0,J83*100/I83,0)</f>
        <v>0</v>
      </c>
      <c r="L83" s="172"/>
      <c r="M83" s="164"/>
      <c r="N83" s="164"/>
      <c r="O83" s="164"/>
      <c r="P83" s="164"/>
      <c r="Q83" s="164"/>
      <c r="R83" s="164"/>
      <c r="S83" s="164"/>
      <c r="T83" s="164"/>
      <c r="U83" s="164"/>
    </row>
    <row r="84" spans="1:21" ht="18.75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641">
        <f ca="1">IFERROR(__xludf.DUMMYFUNCTION("IMPORTRANGE(""https://docs.google.com/spreadsheets/d/1eHaY18a8A9IcSdp1K8H6x8fbOy06t2VsZHhMHf-1x7Y/edit?usp=sharing"",""แผน!H51"")"),0)</f>
        <v>0</v>
      </c>
      <c r="J84" s="467">
        <v>0</v>
      </c>
      <c r="K84" s="565">
        <f ca="1">IF(I84&gt;0,J84*100/I84,0)</f>
        <v>0</v>
      </c>
      <c r="L84" s="172"/>
      <c r="M84" s="164"/>
      <c r="N84" s="164"/>
      <c r="O84" s="164"/>
      <c r="P84" s="164"/>
      <c r="Q84" s="164"/>
      <c r="R84" s="164"/>
      <c r="S84" s="164"/>
      <c r="T84" s="164"/>
      <c r="U84" s="164"/>
    </row>
    <row r="85" spans="1:21" ht="18.75">
      <c r="A85" s="166"/>
      <c r="B85" s="167"/>
      <c r="C85" s="167"/>
      <c r="D85" s="167"/>
      <c r="E85" s="174"/>
      <c r="F85" s="174"/>
      <c r="G85" s="171"/>
      <c r="H85" s="179" t="s">
        <v>35</v>
      </c>
      <c r="I85" s="641">
        <f ca="1">IFERROR(__xludf.DUMMYFUNCTION("IMPORTRANGE(""https://docs.google.com/spreadsheets/d/1eHaY18a8A9IcSdp1K8H6x8fbOy06t2VsZHhMHf-1x7Y/edit?usp=sharing"",""แผน!I51"")"),0)</f>
        <v>0</v>
      </c>
      <c r="J85" s="467">
        <v>0</v>
      </c>
      <c r="K85" s="565">
        <f ca="1">IF(I85&gt;0,J85*100/I85,0)</f>
        <v>0</v>
      </c>
      <c r="L85" s="172"/>
      <c r="M85" s="164"/>
      <c r="N85" s="164"/>
      <c r="O85" s="164"/>
      <c r="P85" s="164"/>
      <c r="Q85" s="164"/>
      <c r="R85" s="164"/>
      <c r="S85" s="164"/>
      <c r="T85" s="164"/>
      <c r="U85" s="164"/>
    </row>
    <row r="86" spans="1:21" ht="18.75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641">
        <f ca="1">IFERROR(__xludf.DUMMYFUNCTION("IMPORTRANGE(""https://docs.google.com/spreadsheets/d/1eHaY18a8A9IcSdp1K8H6x8fbOy06t2VsZHhMHf-1x7Y/edit?usp=sharing"",""แผน!F51"")"),1)</f>
        <v>1</v>
      </c>
      <c r="J86" s="467">
        <v>0</v>
      </c>
      <c r="K86" s="565">
        <f ca="1">IF(I86&gt;0,J86*100/I86,0)</f>
        <v>0</v>
      </c>
      <c r="L86" s="172"/>
      <c r="M86" s="164"/>
      <c r="N86" s="164"/>
      <c r="O86" s="164"/>
      <c r="P86" s="164"/>
      <c r="Q86" s="164"/>
      <c r="R86" s="164"/>
      <c r="S86" s="164"/>
      <c r="T86" s="164"/>
      <c r="U86" s="164"/>
    </row>
    <row r="87" spans="1:21" ht="18.75">
      <c r="A87" s="166"/>
      <c r="B87" s="167"/>
      <c r="C87" s="167"/>
      <c r="D87" s="167"/>
      <c r="E87" s="174"/>
      <c r="F87" s="174"/>
      <c r="G87" s="171"/>
      <c r="H87" s="179" t="s">
        <v>35</v>
      </c>
      <c r="I87" s="641">
        <f ca="1">IFERROR(__xludf.DUMMYFUNCTION("IMPORTRANGE(""https://docs.google.com/spreadsheets/d/1eHaY18a8A9IcSdp1K8H6x8fbOy06t2VsZHhMHf-1x7Y/edit?usp=sharing"",""แผน!G51"")"),35)</f>
        <v>35</v>
      </c>
      <c r="J87" s="467">
        <v>0</v>
      </c>
      <c r="K87" s="565">
        <f ca="1">IF(I87&gt;0,J87*100/I87,0)</f>
        <v>0</v>
      </c>
      <c r="L87" s="172"/>
      <c r="M87" s="164"/>
      <c r="N87" s="164"/>
      <c r="O87" s="164"/>
      <c r="P87" s="164"/>
      <c r="Q87" s="164"/>
      <c r="R87" s="164"/>
      <c r="S87" s="164"/>
      <c r="T87" s="164"/>
      <c r="U87" s="164"/>
    </row>
    <row r="88" spans="1:21" ht="18.75">
      <c r="A88" s="166"/>
      <c r="B88" s="167"/>
      <c r="C88" s="167"/>
      <c r="D88" s="167"/>
      <c r="E88" s="178" t="s">
        <v>42</v>
      </c>
      <c r="F88" s="174"/>
      <c r="G88" s="171"/>
      <c r="H88" s="179" t="s">
        <v>34</v>
      </c>
      <c r="I88" s="641">
        <f ca="1">IFERROR(__xludf.DUMMYFUNCTION("IMPORTRANGE(""https://docs.google.com/spreadsheets/d/1eHaY18a8A9IcSdp1K8H6x8fbOy06t2VsZHhMHf-1x7Y/edit?usp=sharing"",""แผน!D51"")"),0)</f>
        <v>0</v>
      </c>
      <c r="J88" s="467">
        <v>0</v>
      </c>
      <c r="K88" s="565">
        <f ca="1">IF(I88&gt;0,J88*100/I88,0)</f>
        <v>0</v>
      </c>
      <c r="L88" s="172"/>
      <c r="M88" s="164"/>
      <c r="N88" s="164"/>
      <c r="O88" s="164"/>
      <c r="P88" s="164"/>
      <c r="Q88" s="164"/>
      <c r="R88" s="164"/>
      <c r="S88" s="164"/>
      <c r="T88" s="164"/>
      <c r="U88" s="164"/>
    </row>
    <row r="89" spans="1:21" ht="18.75">
      <c r="A89" s="166"/>
      <c r="B89" s="167"/>
      <c r="C89" s="167"/>
      <c r="D89" s="167"/>
      <c r="E89" s="174"/>
      <c r="F89" s="174"/>
      <c r="G89" s="171"/>
      <c r="H89" s="179" t="s">
        <v>35</v>
      </c>
      <c r="I89" s="641">
        <f ca="1">IFERROR(__xludf.DUMMYFUNCTION("IMPORTRANGE(""https://docs.google.com/spreadsheets/d/1eHaY18a8A9IcSdp1K8H6x8fbOy06t2VsZHhMHf-1x7Y/edit?usp=sharing"",""แผน!E51"")"),0)</f>
        <v>0</v>
      </c>
      <c r="J89" s="467">
        <v>0</v>
      </c>
      <c r="K89" s="565">
        <f ca="1">IF(I89&gt;0,J89*100/I89,0)</f>
        <v>0</v>
      </c>
      <c r="L89" s="172"/>
      <c r="M89" s="164"/>
      <c r="N89" s="164"/>
      <c r="O89" s="164"/>
      <c r="P89" s="164"/>
      <c r="Q89" s="164"/>
      <c r="R89" s="164"/>
      <c r="S89" s="164"/>
      <c r="T89" s="164"/>
      <c r="U89" s="164"/>
    </row>
    <row r="90" spans="1:21" ht="18.75">
      <c r="A90" s="166"/>
      <c r="B90" s="167"/>
      <c r="C90" s="167"/>
      <c r="D90" s="173" t="s">
        <v>43</v>
      </c>
      <c r="E90" s="174"/>
      <c r="F90" s="174"/>
      <c r="G90" s="171"/>
      <c r="H90" s="183" t="s">
        <v>34</v>
      </c>
      <c r="I90" s="641">
        <f ca="1">IFERROR(__xludf.DUMMYFUNCTION("IMPORTRANGE(""https://docs.google.com/spreadsheets/d/1eHaY18a8A9IcSdp1K8H6x8fbOy06t2VsZHhMHf-1x7Y/edit?usp=sharing"",""แผน!J51"")"),1)</f>
        <v>1</v>
      </c>
      <c r="J90" s="467">
        <v>0</v>
      </c>
      <c r="K90" s="565">
        <f ca="1">IF(I90&gt;0,J90*100/I90,0)</f>
        <v>0</v>
      </c>
      <c r="L90" s="172"/>
      <c r="M90" s="164"/>
      <c r="N90" s="164"/>
      <c r="O90" s="164"/>
      <c r="P90" s="164"/>
      <c r="Q90" s="164"/>
      <c r="R90" s="164"/>
      <c r="S90" s="164"/>
      <c r="T90" s="164"/>
      <c r="U90" s="164"/>
    </row>
    <row r="91" spans="1:21" ht="19.5" hidden="1">
      <c r="A91" s="143" t="s">
        <v>44</v>
      </c>
      <c r="B91" s="144"/>
      <c r="C91" s="145"/>
      <c r="D91" s="144"/>
      <c r="E91" s="144"/>
      <c r="F91" s="144"/>
      <c r="G91" s="146"/>
      <c r="H91" s="146"/>
      <c r="I91" s="147"/>
      <c r="J91" s="147"/>
      <c r="K91" s="148"/>
      <c r="L91" s="149"/>
      <c r="M91" s="148"/>
      <c r="N91" s="148"/>
      <c r="O91" s="148"/>
      <c r="P91" s="148"/>
      <c r="Q91" s="148"/>
      <c r="R91" s="148"/>
      <c r="S91" s="148"/>
      <c r="T91" s="148"/>
      <c r="U91" s="148"/>
    </row>
    <row r="92" spans="1:21" ht="19.5" hidden="1">
      <c r="A92" s="150"/>
      <c r="B92" s="35" t="s">
        <v>45</v>
      </c>
      <c r="C92" s="34"/>
      <c r="D92" s="151"/>
      <c r="E92" s="34"/>
      <c r="F92" s="34"/>
      <c r="G92" s="37"/>
      <c r="H92" s="152" t="s">
        <v>46</v>
      </c>
      <c r="I92" s="721">
        <f ca="1">I108</f>
        <v>0</v>
      </c>
      <c r="J92" s="721">
        <f>J108</f>
        <v>0</v>
      </c>
      <c r="K92" s="720">
        <f ca="1">IF(I92&gt;0,J92*100/I92,0)</f>
        <v>0</v>
      </c>
      <c r="L92" s="154"/>
      <c r="M92" s="40"/>
      <c r="N92" s="40"/>
      <c r="O92" s="40"/>
      <c r="P92" s="40"/>
      <c r="Q92" s="40"/>
      <c r="R92" s="40"/>
      <c r="S92" s="40"/>
      <c r="T92" s="40"/>
      <c r="U92" s="40"/>
    </row>
    <row r="93" spans="1:21" ht="19.5" hidden="1">
      <c r="A93" s="150"/>
      <c r="B93" s="34"/>
      <c r="C93" s="34"/>
      <c r="D93" s="151"/>
      <c r="E93" s="34"/>
      <c r="F93" s="34"/>
      <c r="G93" s="37"/>
      <c r="H93" s="152" t="s">
        <v>35</v>
      </c>
      <c r="I93" s="721">
        <f ca="1">I109</f>
        <v>0</v>
      </c>
      <c r="J93" s="721">
        <f>J109</f>
        <v>0</v>
      </c>
      <c r="K93" s="720">
        <f ca="1">IF(I93&gt;0,J93*100/I93,0)</f>
        <v>0</v>
      </c>
      <c r="L93" s="154"/>
      <c r="M93" s="40"/>
      <c r="N93" s="40"/>
      <c r="O93" s="40"/>
      <c r="P93" s="40"/>
      <c r="Q93" s="40"/>
      <c r="R93" s="40"/>
      <c r="S93" s="40"/>
      <c r="T93" s="40"/>
      <c r="U93" s="40"/>
    </row>
    <row r="94" spans="1:21" ht="19.5" hidden="1">
      <c r="A94" s="155"/>
      <c r="B94" s="50"/>
      <c r="C94" s="156" t="s">
        <v>18</v>
      </c>
      <c r="D94" s="575" t="s">
        <v>19</v>
      </c>
      <c r="E94" s="50"/>
      <c r="F94" s="50"/>
      <c r="G94" s="52"/>
      <c r="H94" s="158" t="s">
        <v>14</v>
      </c>
      <c r="I94" s="54"/>
      <c r="J94" s="54"/>
      <c r="K94" s="55"/>
      <c r="L94" s="541">
        <f ca="1">L95+L96</f>
        <v>0</v>
      </c>
      <c r="M94" s="540">
        <f ca="1">M95+M96</f>
        <v>0</v>
      </c>
      <c r="N94" s="540">
        <f ca="1">N95+N96</f>
        <v>0</v>
      </c>
      <c r="O94" s="540">
        <f ca="1">IF(L94&gt;0,N94*100/L94,0)</f>
        <v>0</v>
      </c>
      <c r="P94" s="540">
        <f ca="1">IF(M94&gt;0,N94*100/M94,0)</f>
        <v>0</v>
      </c>
      <c r="Q94" s="540">
        <f ca="1">Q95+Q96</f>
        <v>0</v>
      </c>
      <c r="R94" s="540">
        <f ca="1">R95+R96</f>
        <v>0</v>
      </c>
      <c r="S94" s="540">
        <f ca="1">S95+S96</f>
        <v>0</v>
      </c>
      <c r="T94" s="540">
        <f ca="1">IF(Q94&gt;0,S94*100/Q94,0)</f>
        <v>0</v>
      </c>
      <c r="U94" s="540">
        <f ca="1">IF(R94&gt;0,S94*100/R94,0)</f>
        <v>0</v>
      </c>
    </row>
    <row r="95" spans="1:21" ht="18.75" hidden="1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103">
        <f>L98+L101</f>
        <v>0</v>
      </c>
      <c r="M95" s="102">
        <f>M98+M101</f>
        <v>0</v>
      </c>
      <c r="N95" s="102">
        <f>N98+N101</f>
        <v>0</v>
      </c>
      <c r="O95" s="102">
        <f>IF(L95&gt;0,N95*100/L95,0)</f>
        <v>0</v>
      </c>
      <c r="P95" s="102">
        <f>IF(M95&gt;0,N95*100/M95,0)</f>
        <v>0</v>
      </c>
      <c r="Q95" s="102">
        <f>Q98+Q101</f>
        <v>0</v>
      </c>
      <c r="R95" s="102">
        <f>R98+R101</f>
        <v>0</v>
      </c>
      <c r="S95" s="102">
        <f>S98+S101</f>
        <v>0</v>
      </c>
      <c r="T95" s="102">
        <f>IF(Q95&gt;0,S95*100/Q95,0)</f>
        <v>0</v>
      </c>
      <c r="U95" s="102">
        <f>IF(R95&gt;0,S95*100/R95,0)</f>
        <v>0</v>
      </c>
    </row>
    <row r="96" spans="1:21" ht="18.75" hidden="1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256">
        <f ca="1">L99+L102</f>
        <v>0</v>
      </c>
      <c r="M96" s="255">
        <f ca="1">M99+M102</f>
        <v>0</v>
      </c>
      <c r="N96" s="255">
        <f ca="1">N99+N102</f>
        <v>0</v>
      </c>
      <c r="O96" s="255">
        <f ca="1">IF(L96&gt;0,N96*100/L96,0)</f>
        <v>0</v>
      </c>
      <c r="P96" s="255">
        <f ca="1">IF(M96&gt;0,N96*100/M96,0)</f>
        <v>0</v>
      </c>
      <c r="Q96" s="255">
        <f ca="1">Q99+Q102</f>
        <v>0</v>
      </c>
      <c r="R96" s="255">
        <f ca="1">R99+R102</f>
        <v>0</v>
      </c>
      <c r="S96" s="255">
        <f ca="1">S99+S102</f>
        <v>0</v>
      </c>
      <c r="T96" s="255">
        <f ca="1">IF(Q96&gt;0,S96*100/Q96,0)</f>
        <v>0</v>
      </c>
      <c r="U96" s="255">
        <f ca="1">IF(R96&gt;0,S96*100/R96,0)</f>
        <v>0</v>
      </c>
    </row>
    <row r="97" spans="1:21" ht="18.75" hidden="1">
      <c r="A97" s="155"/>
      <c r="B97" s="50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256">
        <f ca="1">L98+L99</f>
        <v>0</v>
      </c>
      <c r="M97" s="255">
        <f ca="1">M98+M99</f>
        <v>0</v>
      </c>
      <c r="N97" s="255">
        <f ca="1">N98+N99</f>
        <v>0</v>
      </c>
      <c r="O97" s="255">
        <f ca="1">IF(L97&gt;0,N97*100/L97,0)</f>
        <v>0</v>
      </c>
      <c r="P97" s="255">
        <f ca="1">IF(M97&gt;0,N97*100/M97,0)</f>
        <v>0</v>
      </c>
      <c r="Q97" s="255">
        <f ca="1">Q98+Q99</f>
        <v>0</v>
      </c>
      <c r="R97" s="255">
        <f ca="1">R98+R99</f>
        <v>0</v>
      </c>
      <c r="S97" s="255">
        <f ca="1">S98+S99</f>
        <v>0</v>
      </c>
      <c r="T97" s="255">
        <f ca="1">IF(Q97&gt;0,S97*100/Q97,0)</f>
        <v>0</v>
      </c>
      <c r="U97" s="255">
        <f ca="1">IF(R97&gt;0,S97*100/R97,0)</f>
        <v>0</v>
      </c>
    </row>
    <row r="98" spans="1:21" ht="18.75" hidden="1">
      <c r="A98" s="155"/>
      <c r="B98" s="50"/>
      <c r="C98" s="50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103">
        <v>0</v>
      </c>
      <c r="M98" s="102">
        <v>0</v>
      </c>
      <c r="N98" s="102">
        <v>0</v>
      </c>
      <c r="O98" s="102">
        <f>IF(L98&gt;0,N98*100/L98,0)</f>
        <v>0</v>
      </c>
      <c r="P98" s="102">
        <f>IF(M98&gt;0,N98*100/M98,0)</f>
        <v>0</v>
      </c>
      <c r="Q98" s="102">
        <v>0</v>
      </c>
      <c r="R98" s="102">
        <v>0</v>
      </c>
      <c r="S98" s="102">
        <v>0</v>
      </c>
      <c r="T98" s="102">
        <f>IF(Q98&gt;0,S98*100/Q98,0)</f>
        <v>0</v>
      </c>
      <c r="U98" s="102">
        <f>IF(R98&gt;0,S98*100/R98,0)</f>
        <v>0</v>
      </c>
    </row>
    <row r="99" spans="1:21" ht="18.75" hidden="1">
      <c r="A99" s="155"/>
      <c r="B99" s="50"/>
      <c r="C99" s="50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256">
        <f ca="1">IFERROR(__xludf.DUMMYFUNCTION("IMPORTRANGE(""https://docs.google.com/spreadsheets/d/1-uDff_7J0KD5mKrp0Vvzr7lt3OU09vwQwhkpOPPYv2Y/edit?usp=sharing"",""งบพรบ!AW51"")"),0)</f>
        <v>0</v>
      </c>
      <c r="M99" s="255">
        <f ca="1">IFERROR(__xludf.DUMMYFUNCTION("IMPORTRANGE(""https://docs.google.com/spreadsheets/d/1-uDff_7J0KD5mKrp0Vvzr7lt3OU09vwQwhkpOPPYv2Y/edit?usp=sharing"",""งบพรบ!BB51"")"),0)</f>
        <v>0</v>
      </c>
      <c r="N99" s="255">
        <f ca="1">IFERROR(__xludf.DUMMYFUNCTION("IMPORTRANGE(""https://docs.google.com/spreadsheets/d/1-uDff_7J0KD5mKrp0Vvzr7lt3OU09vwQwhkpOPPYv2Y/edit?usp=sharing"",""งบพรบ!BD51"")"),0)</f>
        <v>0</v>
      </c>
      <c r="O99" s="255">
        <f ca="1">IF(L99&gt;0,N99*100/L99,0)</f>
        <v>0</v>
      </c>
      <c r="P99" s="255">
        <f ca="1">IF(M99&gt;0,N99*100/M99,0)</f>
        <v>0</v>
      </c>
      <c r="Q99" s="255">
        <f ca="1">IFERROR(__xludf.DUMMYFUNCTION("IMPORTRANGE(""https://docs.google.com/spreadsheets/d/1ItG2mGa2ceCfYo0BwxsXqNm01IGEUdYcSSLTEv9YCik/edit?usp=sharing"",""เบิกจ่ายกองทุน!AD51"")"),0)</f>
        <v>0</v>
      </c>
      <c r="R99" s="255">
        <f ca="1">IFERROR(__xludf.DUMMYFUNCTION("IMPORTRANGE(""https://docs.google.com/spreadsheets/d/1ItG2mGa2ceCfYo0BwxsXqNm01IGEUdYcSSLTEv9YCik/edit?usp=sharing"",""เบิกจ่ายกองทุน!AE51"")"),0)</f>
        <v>0</v>
      </c>
      <c r="S99" s="255">
        <f ca="1">IFERROR(__xludf.DUMMYFUNCTION("IMPORTRANGE(""https://docs.google.com/spreadsheets/d/1ItG2mGa2ceCfYo0BwxsXqNm01IGEUdYcSSLTEv9YCik/edit?usp=sharing"",""เบิกจ่ายกองทุน!AF51"")"),0)</f>
        <v>0</v>
      </c>
      <c r="T99" s="255">
        <f ca="1">IF(Q99&gt;0,S99*100/Q99,0)</f>
        <v>0</v>
      </c>
      <c r="U99" s="255">
        <f ca="1">IF(R99&gt;0,S99*100/R99,0)</f>
        <v>0</v>
      </c>
    </row>
    <row r="100" spans="1:21" ht="18.75" hidden="1">
      <c r="A100" s="155"/>
      <c r="B100" s="50"/>
      <c r="C100" s="50"/>
      <c r="D100" s="51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256">
        <f ca="1">L101+L102</f>
        <v>0</v>
      </c>
      <c r="M100" s="255">
        <f ca="1">M101+M102</f>
        <v>0</v>
      </c>
      <c r="N100" s="255">
        <f ca="1">N101+N102</f>
        <v>0</v>
      </c>
      <c r="O100" s="255">
        <f ca="1">IF(L100&gt;0,N100*100/L100,0)</f>
        <v>0</v>
      </c>
      <c r="P100" s="255">
        <f ca="1">IF(M100&gt;0,N100*100/M100,0)</f>
        <v>0</v>
      </c>
      <c r="Q100" s="255">
        <f>Q101+Q102</f>
        <v>0</v>
      </c>
      <c r="R100" s="255">
        <f>R101+R102</f>
        <v>0</v>
      </c>
      <c r="S100" s="255">
        <f>S101+S102</f>
        <v>0</v>
      </c>
      <c r="T100" s="255">
        <f>IF(Q100&gt;0,S100*100/Q100,0)</f>
        <v>0</v>
      </c>
      <c r="U100" s="255">
        <f>IF(R100&gt;0,S100*100/R100,0)</f>
        <v>0</v>
      </c>
    </row>
    <row r="101" spans="1:21" ht="18.75" hidden="1">
      <c r="A101" s="155"/>
      <c r="B101" s="50"/>
      <c r="C101" s="50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103">
        <v>0</v>
      </c>
      <c r="M101" s="102">
        <v>0</v>
      </c>
      <c r="N101" s="102">
        <v>0</v>
      </c>
      <c r="O101" s="102">
        <f>IF(L101&gt;0,N101*100/L101,0)</f>
        <v>0</v>
      </c>
      <c r="P101" s="102">
        <f>IF(M101&gt;0,N101*100/M101,0)</f>
        <v>0</v>
      </c>
      <c r="Q101" s="102">
        <v>0</v>
      </c>
      <c r="R101" s="102">
        <v>0</v>
      </c>
      <c r="S101" s="102">
        <v>0</v>
      </c>
      <c r="T101" s="102">
        <f>IF(Q101&gt;0,S101*100/Q101,0)</f>
        <v>0</v>
      </c>
      <c r="U101" s="102">
        <f>IF(R101&gt;0,S101*100/R101,0)</f>
        <v>0</v>
      </c>
    </row>
    <row r="102" spans="1:21" ht="18.75" hidden="1">
      <c r="A102" s="155"/>
      <c r="B102" s="50"/>
      <c r="C102" s="50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256">
        <f ca="1">IFERROR(__xludf.DUMMYFUNCTION("IMPORTRANGE(""https://docs.google.com/spreadsheets/d/1-uDff_7J0KD5mKrp0Vvzr7lt3OU09vwQwhkpOPPYv2Y/edit?usp=sharing"",""งบพรบ!AZ51"")"),0)</f>
        <v>0</v>
      </c>
      <c r="M102" s="255">
        <f ca="1">IFERROR(__xludf.DUMMYFUNCTION("IMPORTRANGE(""https://docs.google.com/spreadsheets/d/1-uDff_7J0KD5mKrp0Vvzr7lt3OU09vwQwhkpOPPYv2Y/edit?usp=sharing"",""งบพรบ!BC51"")"),0)</f>
        <v>0</v>
      </c>
      <c r="N102" s="255">
        <f ca="1">IFERROR(__xludf.DUMMYFUNCTION("IMPORTRANGE(""https://docs.google.com/spreadsheets/d/1-uDff_7J0KD5mKrp0Vvzr7lt3OU09vwQwhkpOPPYv2Y/edit?usp=sharing"",""งบพรบ!BE51"")"),0)</f>
        <v>0</v>
      </c>
      <c r="O102" s="255">
        <f ca="1">IF(L102&gt;0,N102*100/L102,0)</f>
        <v>0</v>
      </c>
      <c r="P102" s="255">
        <f ca="1">IF(M102&gt;0,N102*100/M102,0)</f>
        <v>0</v>
      </c>
      <c r="Q102" s="255">
        <v>0</v>
      </c>
      <c r="R102" s="255">
        <v>0</v>
      </c>
      <c r="S102" s="255">
        <v>0</v>
      </c>
      <c r="T102" s="255">
        <f>IF(Q102&gt;0,S102*100/Q102,0)</f>
        <v>0</v>
      </c>
      <c r="U102" s="255">
        <f>IF(R102&gt;0,S102*100/R102,0)</f>
        <v>0</v>
      </c>
    </row>
    <row r="103" spans="1:21" ht="19.5" hidden="1">
      <c r="A103" s="166"/>
      <c r="B103" s="167"/>
      <c r="C103" s="156" t="s">
        <v>18</v>
      </c>
      <c r="D103" s="566" t="s">
        <v>38</v>
      </c>
      <c r="E103" s="169"/>
      <c r="F103" s="169"/>
      <c r="G103" s="170"/>
      <c r="H103" s="171"/>
      <c r="I103" s="163"/>
      <c r="J103" s="54"/>
      <c r="K103" s="55"/>
      <c r="L103" s="62"/>
      <c r="M103" s="55"/>
      <c r="N103" s="55"/>
      <c r="O103" s="164"/>
      <c r="P103" s="164"/>
      <c r="Q103" s="55"/>
      <c r="R103" s="55"/>
      <c r="S103" s="55"/>
      <c r="T103" s="164"/>
      <c r="U103" s="164"/>
    </row>
    <row r="104" spans="1:21" ht="12.75" hidden="1">
      <c r="A104" s="192"/>
      <c r="B104" s="193"/>
      <c r="C104" s="193"/>
      <c r="D104" s="22"/>
      <c r="E104" s="22"/>
      <c r="F104" s="22"/>
      <c r="G104" s="23"/>
      <c r="H104" s="23"/>
      <c r="I104" s="24"/>
      <c r="J104" s="24"/>
      <c r="K104" s="25"/>
      <c r="L104" s="26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2.75" hidden="1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6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2.75" hidden="1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9.5" hidden="1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62"/>
      <c r="M107" s="55"/>
      <c r="N107" s="55"/>
      <c r="O107" s="164"/>
      <c r="P107" s="164"/>
      <c r="Q107" s="55"/>
      <c r="R107" s="55"/>
      <c r="S107" s="55"/>
      <c r="T107" s="164"/>
      <c r="U107" s="164"/>
    </row>
    <row r="108" spans="1:21" ht="18.75" hidden="1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212">
        <f ca="1">IFERROR(__xludf.DUMMYFUNCTION("IMPORTRANGE(""https://docs.google.com/spreadsheets/d/1eHaY18a8A9IcSdp1K8H6x8fbOy06t2VsZHhMHf-1x7Y/edit?usp=sharing"",""แผน!N51"")"),0)</f>
        <v>0</v>
      </c>
      <c r="J108" s="467">
        <v>0</v>
      </c>
      <c r="K108" s="255">
        <f ca="1">IF(I108&gt;0,J108*100/I108,0)</f>
        <v>0</v>
      </c>
      <c r="L108" s="62"/>
      <c r="M108" s="55"/>
      <c r="N108" s="55"/>
      <c r="O108" s="164"/>
      <c r="P108" s="164"/>
      <c r="Q108" s="55"/>
      <c r="R108" s="55"/>
      <c r="S108" s="55"/>
      <c r="T108" s="164"/>
      <c r="U108" s="164"/>
    </row>
    <row r="109" spans="1:21" ht="18.75" hidden="1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212">
        <f ca="1">IFERROR(__xludf.DUMMYFUNCTION("IMPORTRANGE(""https://docs.google.com/spreadsheets/d/1eHaY18a8A9IcSdp1K8H6x8fbOy06t2VsZHhMHf-1x7Y/edit?usp=sharing"",""แผน!O51"")"),0)</f>
        <v>0</v>
      </c>
      <c r="J109" s="467">
        <v>0</v>
      </c>
      <c r="K109" s="255">
        <f ca="1">IF(I109&gt;0,J109*100/I109,0)</f>
        <v>0</v>
      </c>
      <c r="L109" s="62"/>
      <c r="M109" s="55"/>
      <c r="N109" s="55"/>
      <c r="O109" s="164"/>
      <c r="P109" s="164"/>
      <c r="Q109" s="55"/>
      <c r="R109" s="55"/>
      <c r="S109" s="55"/>
      <c r="T109" s="164"/>
      <c r="U109" s="164"/>
    </row>
    <row r="110" spans="1:21" ht="12.75" hidden="1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6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2.75" hidden="1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6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2.75" hidden="1">
      <c r="A112" s="192"/>
      <c r="B112" s="193"/>
      <c r="C112" s="193"/>
      <c r="D112" s="22"/>
      <c r="E112" s="22"/>
      <c r="F112" s="22"/>
      <c r="G112" s="23"/>
      <c r="H112" s="23"/>
      <c r="I112" s="24"/>
      <c r="J112" s="24"/>
      <c r="K112" s="25"/>
      <c r="L112" s="26"/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2.75" hidden="1">
      <c r="A113" s="192"/>
      <c r="B113" s="193"/>
      <c r="C113" s="193"/>
      <c r="D113" s="22"/>
      <c r="E113" s="22"/>
      <c r="F113" s="22"/>
      <c r="G113" s="23"/>
      <c r="H113" s="23"/>
      <c r="I113" s="24">
        <v>0</v>
      </c>
      <c r="J113" s="24">
        <v>0</v>
      </c>
      <c r="K113" s="25"/>
      <c r="L113" s="26"/>
      <c r="M113" s="25"/>
      <c r="N113" s="25"/>
      <c r="O113" s="25"/>
      <c r="P113" s="25"/>
      <c r="Q113" s="25"/>
      <c r="R113" s="25"/>
      <c r="S113" s="25"/>
      <c r="T113" s="25"/>
      <c r="U113" s="25"/>
    </row>
    <row r="114" spans="1:21" ht="18.75" hidden="1">
      <c r="A114" s="166"/>
      <c r="B114" s="167"/>
      <c r="C114" s="167"/>
      <c r="D114" s="178" t="s">
        <v>50</v>
      </c>
      <c r="E114" s="174"/>
      <c r="F114" s="174"/>
      <c r="G114" s="171"/>
      <c r="H114" s="179" t="s">
        <v>35</v>
      </c>
      <c r="I114" s="641">
        <f ca="1">IFERROR(__xludf.DUMMYFUNCTION("IMPORTRANGE(""https://docs.google.com/spreadsheets/d/1eHaY18a8A9IcSdp1K8H6x8fbOy06t2VsZHhMHf-1x7Y/edit?usp=sharing"",""แผน!R51"")"),0)</f>
        <v>0</v>
      </c>
      <c r="J114" s="467">
        <v>0</v>
      </c>
      <c r="K114" s="255">
        <f ca="1">IF(I114&gt;0,J114*100/I114,0)</f>
        <v>0</v>
      </c>
      <c r="L114" s="62"/>
      <c r="M114" s="55"/>
      <c r="N114" s="55"/>
      <c r="O114" s="164"/>
      <c r="P114" s="164"/>
      <c r="Q114" s="55"/>
      <c r="R114" s="55"/>
      <c r="S114" s="55"/>
      <c r="T114" s="164"/>
      <c r="U114" s="164"/>
    </row>
    <row r="115" spans="1:21" ht="19.5">
      <c r="A115" s="727" t="s">
        <v>51</v>
      </c>
      <c r="B115" s="724"/>
      <c r="C115" s="726"/>
      <c r="D115" s="725"/>
      <c r="E115" s="725"/>
      <c r="F115" s="725"/>
      <c r="G115" s="725"/>
      <c r="H115" s="724"/>
      <c r="I115" s="723"/>
      <c r="J115" s="723"/>
      <c r="K115" s="722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721">
        <f ca="1">I127</f>
        <v>20</v>
      </c>
      <c r="J116" s="721">
        <f>J127</f>
        <v>20</v>
      </c>
      <c r="K116" s="720">
        <f ca="1">IF(I116&gt;0,J116*100/I116,0)</f>
        <v>100</v>
      </c>
      <c r="L116" s="154"/>
      <c r="M116" s="40"/>
      <c r="N116" s="40"/>
      <c r="O116" s="40"/>
      <c r="P116" s="40"/>
      <c r="Q116" s="40"/>
      <c r="R116" s="40"/>
      <c r="S116" s="40"/>
      <c r="T116" s="40"/>
      <c r="U116" s="40"/>
    </row>
    <row r="117" spans="1:21" ht="19.5">
      <c r="A117" s="155"/>
      <c r="B117" s="188"/>
      <c r="C117" s="191" t="s">
        <v>18</v>
      </c>
      <c r="D117" s="575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541">
        <f ca="1">L118+L119</f>
        <v>0</v>
      </c>
      <c r="M117" s="540">
        <f ca="1">M118+M119</f>
        <v>0</v>
      </c>
      <c r="N117" s="540">
        <f ca="1">N118+N119</f>
        <v>0</v>
      </c>
      <c r="O117" s="540">
        <f ca="1">IF(L117&gt;0,N117*100/L117,0)</f>
        <v>0</v>
      </c>
      <c r="P117" s="540">
        <f ca="1">IF(M117&gt;0,N117*100/M117,0)</f>
        <v>0</v>
      </c>
      <c r="Q117" s="540">
        <f ca="1">Q118+Q119</f>
        <v>209360</v>
      </c>
      <c r="R117" s="540">
        <f ca="1">R118+R119</f>
        <v>209360</v>
      </c>
      <c r="S117" s="540">
        <f ca="1">S118+S119</f>
        <v>106151.76</v>
      </c>
      <c r="T117" s="540">
        <f ca="1">IF(Q117&gt;0,S117*100/Q117,0)</f>
        <v>50.702980512036682</v>
      </c>
      <c r="U117" s="540">
        <f ca="1">IF(R117&gt;0,S117*100/R117,0)</f>
        <v>50.702980512036682</v>
      </c>
    </row>
    <row r="118" spans="1:21" ht="18.75" hidden="1">
      <c r="A118" s="155"/>
      <c r="B118" s="188"/>
      <c r="C118" s="188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103">
        <f>L121+L124</f>
        <v>0</v>
      </c>
      <c r="M118" s="102">
        <f>M121+M124</f>
        <v>0</v>
      </c>
      <c r="N118" s="102">
        <f>N121+N124</f>
        <v>0</v>
      </c>
      <c r="O118" s="102">
        <f>IF(L118&gt;0,N118*100/L118,0)</f>
        <v>0</v>
      </c>
      <c r="P118" s="102">
        <f>IF(M118&gt;0,N118*100/M118,0)</f>
        <v>0</v>
      </c>
      <c r="Q118" s="102">
        <f>Q121+Q124</f>
        <v>0</v>
      </c>
      <c r="R118" s="102">
        <f>R121+R124</f>
        <v>0</v>
      </c>
      <c r="S118" s="102">
        <f>S121+S124</f>
        <v>0</v>
      </c>
      <c r="T118" s="102">
        <f>IF(Q118&gt;0,S118*100/Q118,0)</f>
        <v>0</v>
      </c>
      <c r="U118" s="102">
        <f>IF(R118&gt;0,S118*100/R118,0)</f>
        <v>0</v>
      </c>
    </row>
    <row r="119" spans="1:21" ht="18.75" hidden="1">
      <c r="A119" s="155"/>
      <c r="B119" s="188"/>
      <c r="C119" s="188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256">
        <f ca="1">L122+L125</f>
        <v>0</v>
      </c>
      <c r="M119" s="255">
        <f ca="1">M122+M125</f>
        <v>0</v>
      </c>
      <c r="N119" s="255">
        <f ca="1">N122+N125</f>
        <v>0</v>
      </c>
      <c r="O119" s="255">
        <f ca="1">IF(L119&gt;0,N119*100/L119,0)</f>
        <v>0</v>
      </c>
      <c r="P119" s="255">
        <f ca="1">IF(M119&gt;0,N119*100/M119,0)</f>
        <v>0</v>
      </c>
      <c r="Q119" s="255">
        <f ca="1">Q122+Q125</f>
        <v>209360</v>
      </c>
      <c r="R119" s="255">
        <f ca="1">R122+R125</f>
        <v>209360</v>
      </c>
      <c r="S119" s="255">
        <f ca="1">S122+S125</f>
        <v>106151.76</v>
      </c>
      <c r="T119" s="255">
        <f ca="1">IF(Q119&gt;0,S119*100/Q119,0)</f>
        <v>50.702980512036682</v>
      </c>
      <c r="U119" s="255">
        <f ca="1">IF(R119&gt;0,S119*100/R119,0)</f>
        <v>50.702980512036682</v>
      </c>
    </row>
    <row r="120" spans="1:21" ht="18.75">
      <c r="A120" s="155"/>
      <c r="B120" s="188"/>
      <c r="C120" s="202"/>
      <c r="D120" s="602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256">
        <f ca="1">L121+L122</f>
        <v>0</v>
      </c>
      <c r="M120" s="255">
        <f ca="1">M121+M122</f>
        <v>0</v>
      </c>
      <c r="N120" s="255">
        <f ca="1">N121+N122</f>
        <v>0</v>
      </c>
      <c r="O120" s="255">
        <f ca="1">IF(L120&gt;0,N120*100/L120,0)</f>
        <v>0</v>
      </c>
      <c r="P120" s="255">
        <f ca="1">IF(M120&gt;0,N120*100/M120,0)</f>
        <v>0</v>
      </c>
      <c r="Q120" s="255">
        <f ca="1">Q121+Q122</f>
        <v>209360</v>
      </c>
      <c r="R120" s="255">
        <f ca="1">R121+R122</f>
        <v>209360</v>
      </c>
      <c r="S120" s="255">
        <f ca="1">S121+S122</f>
        <v>106151.76</v>
      </c>
      <c r="T120" s="255">
        <f ca="1">IF(Q120&gt;0,S120*100/Q120,0)</f>
        <v>50.702980512036682</v>
      </c>
      <c r="U120" s="255">
        <f ca="1">IF(R120&gt;0,S120*100/R120,0)</f>
        <v>50.702980512036682</v>
      </c>
    </row>
    <row r="121" spans="1:21" ht="18.75" hidden="1">
      <c r="A121" s="155"/>
      <c r="B121" s="188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103">
        <v>0</v>
      </c>
      <c r="M121" s="102">
        <v>0</v>
      </c>
      <c r="N121" s="102">
        <v>0</v>
      </c>
      <c r="O121" s="102">
        <f>IF(L121&gt;0,N121*100/L121,0)</f>
        <v>0</v>
      </c>
      <c r="P121" s="102">
        <f>IF(M121&gt;0,N121*100/M121,0)</f>
        <v>0</v>
      </c>
      <c r="Q121" s="102">
        <v>0</v>
      </c>
      <c r="R121" s="102">
        <v>0</v>
      </c>
      <c r="S121" s="102">
        <v>0</v>
      </c>
      <c r="T121" s="102">
        <f>IF(Q121&gt;0,S121*100/Q121,0)</f>
        <v>0</v>
      </c>
      <c r="U121" s="102">
        <f>IF(R121&gt;0,S121*100/R121,0)</f>
        <v>0</v>
      </c>
    </row>
    <row r="122" spans="1:21" ht="18.75" hidden="1">
      <c r="A122" s="155"/>
      <c r="B122" s="188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256">
        <f ca="1">IFERROR(__xludf.DUMMYFUNCTION("IMPORTRANGE(""https://docs.google.com/spreadsheets/d/1-uDff_7J0KD5mKrp0Vvzr7lt3OU09vwQwhkpOPPYv2Y/edit?usp=sharing"",""งบพรบ!BG51"")"),0)</f>
        <v>0</v>
      </c>
      <c r="M122" s="255">
        <f ca="1">IFERROR(__xludf.DUMMYFUNCTION("IMPORTRANGE(""https://docs.google.com/spreadsheets/d/1-uDff_7J0KD5mKrp0Vvzr7lt3OU09vwQwhkpOPPYv2Y/edit?usp=sharing"",""งบพรบ!BL51"")"),0)</f>
        <v>0</v>
      </c>
      <c r="N122" s="255">
        <f ca="1">IFERROR(__xludf.DUMMYFUNCTION("IMPORTRANGE(""https://docs.google.com/spreadsheets/d/1-uDff_7J0KD5mKrp0Vvzr7lt3OU09vwQwhkpOPPYv2Y/edit?usp=sharing"",""งบพรบ!BN51"")"),0)</f>
        <v>0</v>
      </c>
      <c r="O122" s="255">
        <f ca="1">IF(L122&gt;0,N122*100/L122,0)</f>
        <v>0</v>
      </c>
      <c r="P122" s="255">
        <f ca="1">IF(M122&gt;0,N122*100/M122,0)</f>
        <v>0</v>
      </c>
      <c r="Q122" s="255">
        <f ca="1">IFERROR(__xludf.DUMMYFUNCTION("IMPORTRANGE(""https://docs.google.com/spreadsheets/d/1ItG2mGa2ceCfYo0BwxsXqNm01IGEUdYcSSLTEv9YCik/edit?usp=sharing"",""เบิกจ่ายกองทุน!R51"")"),209360)</f>
        <v>209360</v>
      </c>
      <c r="R122" s="255">
        <f ca="1">IFERROR(__xludf.DUMMYFUNCTION("IMPORTRANGE(""https://docs.google.com/spreadsheets/d/1ItG2mGa2ceCfYo0BwxsXqNm01IGEUdYcSSLTEv9YCik/edit?usp=sharing"",""เบิกจ่ายกองทุน!S51"")"),209360)</f>
        <v>209360</v>
      </c>
      <c r="S122" s="255">
        <f ca="1">IFERROR(__xludf.DUMMYFUNCTION("IMPORTRANGE(""https://docs.google.com/spreadsheets/d/1ItG2mGa2ceCfYo0BwxsXqNm01IGEUdYcSSLTEv9YCik/edit?usp=sharing"",""เบิกจ่ายกองทุน!T51"")"),106151.76)</f>
        <v>106151.76</v>
      </c>
      <c r="T122" s="255">
        <f ca="1">IF(Q122&gt;0,S122*100/Q122,0)</f>
        <v>50.702980512036682</v>
      </c>
      <c r="U122" s="255">
        <f ca="1">IF(R122&gt;0,S122*100/R122,0)</f>
        <v>50.702980512036682</v>
      </c>
    </row>
    <row r="123" spans="1:21" ht="18.75">
      <c r="A123" s="155"/>
      <c r="B123" s="50"/>
      <c r="C123" s="202"/>
      <c r="D123" s="602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256">
        <f ca="1">L124+L125</f>
        <v>0</v>
      </c>
      <c r="M123" s="255">
        <f ca="1">M124+M125</f>
        <v>0</v>
      </c>
      <c r="N123" s="255">
        <f ca="1">N124+N125</f>
        <v>0</v>
      </c>
      <c r="O123" s="255">
        <f ca="1">IF(L123&gt;0,N123*100/L123,0)</f>
        <v>0</v>
      </c>
      <c r="P123" s="255">
        <f ca="1">IF(M123&gt;0,N123*100/M123,0)</f>
        <v>0</v>
      </c>
      <c r="Q123" s="255">
        <f>Q124+Q125</f>
        <v>0</v>
      </c>
      <c r="R123" s="255">
        <f>R124+R125</f>
        <v>0</v>
      </c>
      <c r="S123" s="255">
        <f>S124+S125</f>
        <v>0</v>
      </c>
      <c r="T123" s="255">
        <f>IF(Q123&gt;0,S123*100/Q123,0)</f>
        <v>0</v>
      </c>
      <c r="U123" s="255">
        <f>IF(R123&gt;0,S123*100/R123,0)</f>
        <v>0</v>
      </c>
    </row>
    <row r="124" spans="1:21" ht="18.75" hidden="1">
      <c r="A124" s="155"/>
      <c r="B124" s="50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103">
        <v>0</v>
      </c>
      <c r="M124" s="102">
        <v>0</v>
      </c>
      <c r="N124" s="102">
        <v>0</v>
      </c>
      <c r="O124" s="102">
        <f>IF(L124&gt;0,N124*100/L124,0)</f>
        <v>0</v>
      </c>
      <c r="P124" s="102">
        <f>IF(M124&gt;0,N124*100/M124,0)</f>
        <v>0</v>
      </c>
      <c r="Q124" s="102">
        <v>0</v>
      </c>
      <c r="R124" s="102">
        <v>0</v>
      </c>
      <c r="S124" s="102">
        <v>0</v>
      </c>
      <c r="T124" s="102">
        <f>IF(Q124&gt;0,S124*100/Q124,0)</f>
        <v>0</v>
      </c>
      <c r="U124" s="102">
        <f>IF(R124&gt;0,S124*100/R124,0)</f>
        <v>0</v>
      </c>
    </row>
    <row r="125" spans="1:21" ht="18.75" hidden="1">
      <c r="A125" s="155"/>
      <c r="B125" s="50"/>
      <c r="C125" s="50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256">
        <f ca="1">IFERROR(__xludf.DUMMYFUNCTION("IMPORTRANGE(""https://docs.google.com/spreadsheets/d/1-uDff_7J0KD5mKrp0Vvzr7lt3OU09vwQwhkpOPPYv2Y/edit?usp=sharing"",""งบพรบ!BJ51"")"),0)</f>
        <v>0</v>
      </c>
      <c r="M125" s="255">
        <f ca="1">IFERROR(__xludf.DUMMYFUNCTION("IMPORTRANGE(""https://docs.google.com/spreadsheets/d/1-uDff_7J0KD5mKrp0Vvzr7lt3OU09vwQwhkpOPPYv2Y/edit?usp=sharing"",""งบพรบ!BM51"")"),0)</f>
        <v>0</v>
      </c>
      <c r="N125" s="255">
        <f ca="1">IFERROR(__xludf.DUMMYFUNCTION("IMPORTRANGE(""https://docs.google.com/spreadsheets/d/1-uDff_7J0KD5mKrp0Vvzr7lt3OU09vwQwhkpOPPYv2Y/edit?usp=sharing"",""งบพรบ!BO51"")"),0)</f>
        <v>0</v>
      </c>
      <c r="O125" s="255">
        <f ca="1">IF(L125&gt;0,N125*100/L125,0)</f>
        <v>0</v>
      </c>
      <c r="P125" s="255">
        <f ca="1">IF(M125&gt;0,N125*100/M125,0)</f>
        <v>0</v>
      </c>
      <c r="Q125" s="255">
        <v>0</v>
      </c>
      <c r="R125" s="255">
        <v>0</v>
      </c>
      <c r="S125" s="255">
        <v>0</v>
      </c>
      <c r="T125" s="255">
        <f>IF(Q125&gt;0,S125*100/Q125,0)</f>
        <v>0</v>
      </c>
      <c r="U125" s="255">
        <f>IF(R125&gt;0,S125*100/R125,0)</f>
        <v>0</v>
      </c>
    </row>
    <row r="126" spans="1:21" ht="19.5">
      <c r="A126" s="166"/>
      <c r="B126" s="167"/>
      <c r="C126" s="205" t="s">
        <v>18</v>
      </c>
      <c r="D126" s="566" t="s">
        <v>38</v>
      </c>
      <c r="E126" s="169"/>
      <c r="F126" s="169"/>
      <c r="G126" s="170"/>
      <c r="H126" s="206"/>
      <c r="I126" s="54"/>
      <c r="J126" s="54"/>
      <c r="K126" s="55"/>
      <c r="L126" s="62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212">
        <f ca="1">IFERROR(__xludf.DUMMYFUNCTION("IMPORTRANGE(""https://docs.google.com/spreadsheets/d/1eHaY18a8A9IcSdp1K8H6x8fbOy06t2VsZHhMHf-1x7Y/edit?usp=sharing"",""แผน!FF51"")"),20)</f>
        <v>20</v>
      </c>
      <c r="J127" s="467">
        <v>20</v>
      </c>
      <c r="K127" s="255">
        <f ca="1">IF(I127&gt;0,J127*100/I127,0)</f>
        <v>100</v>
      </c>
      <c r="L127" s="62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212">
        <f ca="1">IFERROR(__xludf.DUMMYFUNCTION("IMPORTRANGE(""https://docs.google.com/spreadsheets/d/1eHaY18a8A9IcSdp1K8H6x8fbOy06t2VsZHhMHf-1x7Y/edit?usp=sharing"",""แผน!FG51"")"),0)</f>
        <v>0</v>
      </c>
      <c r="J128" s="467">
        <v>0</v>
      </c>
      <c r="K128" s="255">
        <f ca="1">IF(I128&gt;0,J128*100/I128,0)</f>
        <v>0</v>
      </c>
      <c r="L128" s="62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212">
        <f ca="1">IFERROR(__xludf.DUMMYFUNCTION("IMPORTRANGE(""https://docs.google.com/spreadsheets/d/1eHaY18a8A9IcSdp1K8H6x8fbOy06t2VsZHhMHf-1x7Y/edit?usp=sharing"",""แผน!FH51"")"),20)</f>
        <v>20</v>
      </c>
      <c r="J129" s="467">
        <v>20</v>
      </c>
      <c r="K129" s="255">
        <f ca="1">IF(I129&gt;0,J129*100/I129,0)</f>
        <v>100</v>
      </c>
      <c r="L129" s="62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212">
        <f ca="1">IFERROR(__xludf.DUMMYFUNCTION("IMPORTRANGE(""https://docs.google.com/spreadsheets/d/1eHaY18a8A9IcSdp1K8H6x8fbOy06t2VsZHhMHf-1x7Y/edit?usp=sharing"",""แผน!FI51"")"),0)</f>
        <v>0</v>
      </c>
      <c r="J130" s="467">
        <v>0</v>
      </c>
      <c r="K130" s="255">
        <f ca="1">IF(I130&gt;0,J130*100/I130,0)</f>
        <v>0</v>
      </c>
      <c r="L130" s="62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8.75" hidden="1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62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8.75" hidden="1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62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2.75" hidden="1">
      <c r="A133" s="192"/>
      <c r="B133" s="193"/>
      <c r="C133" s="193"/>
      <c r="D133" s="22"/>
      <c r="E133" s="22"/>
      <c r="F133" s="22"/>
      <c r="G133" s="23"/>
      <c r="H133" s="209"/>
      <c r="I133" s="24"/>
      <c r="J133" s="24"/>
      <c r="K133" s="25"/>
      <c r="L133" s="26"/>
      <c r="M133" s="25"/>
      <c r="N133" s="25"/>
      <c r="O133" s="25"/>
      <c r="P133" s="25"/>
      <c r="Q133" s="25"/>
      <c r="R133" s="25"/>
      <c r="S133" s="25"/>
      <c r="T133" s="25"/>
      <c r="U133" s="25"/>
    </row>
    <row r="134" spans="1:21" ht="19.5">
      <c r="A134" s="143" t="s">
        <v>58</v>
      </c>
      <c r="B134" s="144"/>
      <c r="C134" s="196"/>
      <c r="D134" s="144"/>
      <c r="E134" s="144"/>
      <c r="F134" s="144"/>
      <c r="G134" s="144"/>
      <c r="H134" s="144"/>
      <c r="I134" s="197"/>
      <c r="J134" s="197"/>
      <c r="K134" s="19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</row>
    <row r="135" spans="1:21" ht="19.5">
      <c r="A135" s="150"/>
      <c r="B135" s="35" t="s">
        <v>59</v>
      </c>
      <c r="C135" s="200"/>
      <c r="D135" s="151"/>
      <c r="E135" s="34"/>
      <c r="F135" s="34"/>
      <c r="G135" s="34"/>
      <c r="H135" s="34"/>
      <c r="I135" s="210"/>
      <c r="J135" s="39"/>
      <c r="K135" s="40"/>
      <c r="L135" s="154"/>
      <c r="M135" s="40"/>
      <c r="N135" s="40"/>
      <c r="O135" s="40"/>
      <c r="P135" s="40"/>
      <c r="Q135" s="40"/>
      <c r="R135" s="40"/>
      <c r="S135" s="40"/>
      <c r="T135" s="40"/>
      <c r="U135" s="40"/>
    </row>
    <row r="136" spans="1:21" ht="19.5">
      <c r="A136" s="150"/>
      <c r="B136" s="34"/>
      <c r="C136" s="211" t="s">
        <v>60</v>
      </c>
      <c r="D136" s="151"/>
      <c r="E136" s="34"/>
      <c r="F136" s="34"/>
      <c r="G136" s="37"/>
      <c r="H136" s="152" t="s">
        <v>61</v>
      </c>
      <c r="I136" s="721">
        <f ca="1">I154</f>
        <v>0</v>
      </c>
      <c r="J136" s="721">
        <f>J154</f>
        <v>0</v>
      </c>
      <c r="K136" s="720">
        <f ca="1">IF(I136&gt;0,J136*100/I136,0)</f>
        <v>0</v>
      </c>
      <c r="L136" s="154"/>
      <c r="M136" s="40"/>
      <c r="N136" s="40"/>
      <c r="O136" s="40"/>
      <c r="P136" s="40"/>
      <c r="Q136" s="40"/>
      <c r="R136" s="40"/>
      <c r="S136" s="40"/>
      <c r="T136" s="40"/>
      <c r="U136" s="40"/>
    </row>
    <row r="137" spans="1:21" ht="19.5">
      <c r="A137" s="150"/>
      <c r="B137" s="34"/>
      <c r="C137" s="211" t="s">
        <v>62</v>
      </c>
      <c r="D137" s="151"/>
      <c r="E137" s="34"/>
      <c r="F137" s="34"/>
      <c r="G137" s="37"/>
      <c r="H137" s="152" t="s">
        <v>35</v>
      </c>
      <c r="I137" s="721">
        <f ca="1">I152</f>
        <v>10</v>
      </c>
      <c r="J137" s="721">
        <f>J152</f>
        <v>10</v>
      </c>
      <c r="K137" s="720">
        <f ca="1">IF(I137&gt;0,J137*100/I137,0)</f>
        <v>100</v>
      </c>
      <c r="L137" s="154"/>
      <c r="M137" s="40"/>
      <c r="N137" s="40"/>
      <c r="O137" s="40"/>
      <c r="P137" s="40"/>
      <c r="Q137" s="40"/>
      <c r="R137" s="40"/>
      <c r="S137" s="40"/>
      <c r="T137" s="40"/>
      <c r="U137" s="40"/>
    </row>
    <row r="138" spans="1:21" ht="19.5">
      <c r="A138" s="150"/>
      <c r="B138" s="34"/>
      <c r="C138" s="200"/>
      <c r="D138" s="151"/>
      <c r="E138" s="34"/>
      <c r="F138" s="34"/>
      <c r="G138" s="37"/>
      <c r="H138" s="152" t="s">
        <v>54</v>
      </c>
      <c r="I138" s="721">
        <f ca="1">I153</f>
        <v>1</v>
      </c>
      <c r="J138" s="721">
        <f>J153</f>
        <v>1</v>
      </c>
      <c r="K138" s="720">
        <f ca="1">IF(I138&gt;0,J138*100/I138,0)</f>
        <v>100</v>
      </c>
      <c r="L138" s="154"/>
      <c r="M138" s="40"/>
      <c r="N138" s="40"/>
      <c r="O138" s="40"/>
      <c r="P138" s="40"/>
      <c r="Q138" s="40"/>
      <c r="R138" s="40"/>
      <c r="S138" s="40"/>
      <c r="T138" s="40"/>
      <c r="U138" s="40"/>
    </row>
    <row r="139" spans="1:21" ht="19.5">
      <c r="A139" s="155"/>
      <c r="B139" s="50"/>
      <c r="C139" s="156" t="s">
        <v>18</v>
      </c>
      <c r="D139" s="575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541">
        <f ca="1">L140+L141</f>
        <v>113800</v>
      </c>
      <c r="M139" s="540">
        <f ca="1">M140+M141</f>
        <v>108800</v>
      </c>
      <c r="N139" s="540">
        <f ca="1">N140+N141</f>
        <v>83055.399999999994</v>
      </c>
      <c r="O139" s="540">
        <f ca="1">IF(L139&gt;0,N139*100/L139,0)</f>
        <v>72.98365553602811</v>
      </c>
      <c r="P139" s="540">
        <f ca="1">IF(M139&gt;0,N139*100/M139,0)</f>
        <v>76.337683823529403</v>
      </c>
      <c r="Q139" s="540">
        <f ca="1">Q140+Q141</f>
        <v>0</v>
      </c>
      <c r="R139" s="540">
        <f ca="1">R140+R141</f>
        <v>0</v>
      </c>
      <c r="S139" s="540">
        <f ca="1">S140+S141</f>
        <v>0</v>
      </c>
      <c r="T139" s="540">
        <f ca="1">IF(Q139&gt;0,S139*100/Q139,0)</f>
        <v>0</v>
      </c>
      <c r="U139" s="540">
        <f ca="1">IF(R139&gt;0,S139*100/R139,0)</f>
        <v>0</v>
      </c>
    </row>
    <row r="140" spans="1:21" ht="18.75" hidden="1">
      <c r="A140" s="155"/>
      <c r="B140" s="50"/>
      <c r="C140" s="50"/>
      <c r="D140" s="50"/>
      <c r="E140" s="186" t="s">
        <v>20</v>
      </c>
      <c r="F140" s="50"/>
      <c r="G140" s="52"/>
      <c r="H140" s="187" t="s">
        <v>14</v>
      </c>
      <c r="I140" s="54"/>
      <c r="J140" s="54"/>
      <c r="K140" s="55"/>
      <c r="L140" s="103">
        <f>L143+L146</f>
        <v>0</v>
      </c>
      <c r="M140" s="102">
        <f>M143+M146</f>
        <v>0</v>
      </c>
      <c r="N140" s="102">
        <f>N143+N146</f>
        <v>0</v>
      </c>
      <c r="O140" s="102">
        <f>IF(L140&gt;0,N140*100/L140,0)</f>
        <v>0</v>
      </c>
      <c r="P140" s="102">
        <f>IF(M140&gt;0,N140*100/M140,0)</f>
        <v>0</v>
      </c>
      <c r="Q140" s="102">
        <f>Q143+Q146</f>
        <v>0</v>
      </c>
      <c r="R140" s="102">
        <f>R143+R146</f>
        <v>0</v>
      </c>
      <c r="S140" s="102">
        <f>S143+S146</f>
        <v>0</v>
      </c>
      <c r="T140" s="102">
        <f>IF(Q140&gt;0,S140*100/Q140,0)</f>
        <v>0</v>
      </c>
      <c r="U140" s="102">
        <f>IF(R140&gt;0,S140*100/R140,0)</f>
        <v>0</v>
      </c>
    </row>
    <row r="141" spans="1:21" ht="18.75" hidden="1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256">
        <f ca="1">L144+L147</f>
        <v>113800</v>
      </c>
      <c r="M141" s="255">
        <f ca="1">M144+M147</f>
        <v>108800</v>
      </c>
      <c r="N141" s="255">
        <f ca="1">N144+N147</f>
        <v>83055.399999999994</v>
      </c>
      <c r="O141" s="255">
        <f ca="1">IF(L141&gt;0,N141*100/L141,0)</f>
        <v>72.98365553602811</v>
      </c>
      <c r="P141" s="255">
        <f ca="1">IF(M141&gt;0,N141*100/M141,0)</f>
        <v>76.337683823529403</v>
      </c>
      <c r="Q141" s="255">
        <f ca="1">Q144+Q147</f>
        <v>0</v>
      </c>
      <c r="R141" s="255">
        <f ca="1">R144+R147</f>
        <v>0</v>
      </c>
      <c r="S141" s="255">
        <f ca="1">S144+S147</f>
        <v>0</v>
      </c>
      <c r="T141" s="255">
        <f ca="1">IF(Q141&gt;0,S141*100/Q141,0)</f>
        <v>0</v>
      </c>
      <c r="U141" s="255">
        <f ca="1">IF(R141&gt;0,S141*100/R141,0)</f>
        <v>0</v>
      </c>
    </row>
    <row r="142" spans="1:21" ht="18.75">
      <c r="A142" s="155"/>
      <c r="B142" s="50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256">
        <f ca="1">L143+L144</f>
        <v>113800</v>
      </c>
      <c r="M142" s="255">
        <f ca="1">M143+M144</f>
        <v>108800</v>
      </c>
      <c r="N142" s="255">
        <f ca="1">N143+N144</f>
        <v>83055.399999999994</v>
      </c>
      <c r="O142" s="255">
        <f ca="1">IF(L142&gt;0,N142*100/L142,0)</f>
        <v>72.98365553602811</v>
      </c>
      <c r="P142" s="255">
        <f ca="1">IF(M142&gt;0,N142*100/M142,0)</f>
        <v>76.337683823529403</v>
      </c>
      <c r="Q142" s="255">
        <f ca="1">Q143+Q144</f>
        <v>0</v>
      </c>
      <c r="R142" s="255">
        <f ca="1">R143+R144</f>
        <v>0</v>
      </c>
      <c r="S142" s="255">
        <f ca="1">S143+S144</f>
        <v>0</v>
      </c>
      <c r="T142" s="255">
        <f ca="1">IF(Q142&gt;0,S142*100/Q142,0)</f>
        <v>0</v>
      </c>
      <c r="U142" s="255">
        <f ca="1">IF(R142&gt;0,S142*100/R142,0)</f>
        <v>0</v>
      </c>
    </row>
    <row r="143" spans="1:21" ht="18.75" hidden="1">
      <c r="A143" s="155"/>
      <c r="B143" s="50"/>
      <c r="C143" s="50"/>
      <c r="D143" s="50"/>
      <c r="E143" s="186" t="s">
        <v>36</v>
      </c>
      <c r="F143" s="50"/>
      <c r="G143" s="52"/>
      <c r="H143" s="189" t="s">
        <v>14</v>
      </c>
      <c r="I143" s="163"/>
      <c r="J143" s="163"/>
      <c r="K143" s="164"/>
      <c r="L143" s="103">
        <v>0</v>
      </c>
      <c r="M143" s="102">
        <v>0</v>
      </c>
      <c r="N143" s="102">
        <v>0</v>
      </c>
      <c r="O143" s="102">
        <f>IF(L143&gt;0,N143*100/L143,0)</f>
        <v>0</v>
      </c>
      <c r="P143" s="102">
        <f>IF(M143&gt;0,N143*100/M143,0)</f>
        <v>0</v>
      </c>
      <c r="Q143" s="102">
        <v>0</v>
      </c>
      <c r="R143" s="102">
        <v>0</v>
      </c>
      <c r="S143" s="102">
        <v>0</v>
      </c>
      <c r="T143" s="102">
        <f>IF(Q143&gt;0,S143*100/Q143,0)</f>
        <v>0</v>
      </c>
      <c r="U143" s="102">
        <f>IF(R143&gt;0,S143*100/R143,0)</f>
        <v>0</v>
      </c>
    </row>
    <row r="144" spans="1:21" ht="18.75" hidden="1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256">
        <f ca="1">IFERROR(__xludf.DUMMYFUNCTION("IMPORTRANGE(""https://docs.google.com/spreadsheets/d/1-uDff_7J0KD5mKrp0Vvzr7lt3OU09vwQwhkpOPPYv2Y/edit?usp=sharing"",""งบพรบ!BQ51"")"),113800)</f>
        <v>113800</v>
      </c>
      <c r="M144" s="255">
        <f ca="1">IFERROR(__xludf.DUMMYFUNCTION("IMPORTRANGE(""https://docs.google.com/spreadsheets/d/1-uDff_7J0KD5mKrp0Vvzr7lt3OU09vwQwhkpOPPYv2Y/edit?usp=sharing"",""งบพรบ!BV51"")"),108800)</f>
        <v>108800</v>
      </c>
      <c r="N144" s="255">
        <f ca="1">IFERROR(__xludf.DUMMYFUNCTION("IMPORTRANGE(""https://docs.google.com/spreadsheets/d/1-uDff_7J0KD5mKrp0Vvzr7lt3OU09vwQwhkpOPPYv2Y/edit?usp=sharing"",""งบพรบ!BX51"")"),83055.4)</f>
        <v>83055.399999999994</v>
      </c>
      <c r="O144" s="255">
        <f ca="1">IF(L144&gt;0,N144*100/L144,0)</f>
        <v>72.98365553602811</v>
      </c>
      <c r="P144" s="255">
        <f ca="1">IF(M144&gt;0,N144*100/M144,0)</f>
        <v>76.337683823529403</v>
      </c>
      <c r="Q144" s="255">
        <f ca="1">IFERROR(__xludf.DUMMYFUNCTION("IMPORTRANGE(""https://docs.google.com/spreadsheets/d/1ItG2mGa2ceCfYo0BwxsXqNm01IGEUdYcSSLTEv9YCik/edit?usp=sharing"",""เบิกจ่ายกองทุน!BB51"")"),0)</f>
        <v>0</v>
      </c>
      <c r="R144" s="255">
        <f ca="1">IFERROR(__xludf.DUMMYFUNCTION("IMPORTRANGE(""https://docs.google.com/spreadsheets/d/1ItG2mGa2ceCfYo0BwxsXqNm01IGEUdYcSSLTEv9YCik/edit?usp=sharing"",""เบิกจ่ายกองทุน!BC51"")"),0)</f>
        <v>0</v>
      </c>
      <c r="S144" s="255">
        <f ca="1">IFERROR(__xludf.DUMMYFUNCTION("IMPORTRANGE(""https://docs.google.com/spreadsheets/d/1ItG2mGa2ceCfYo0BwxsXqNm01IGEUdYcSSLTEv9YCik/edit?usp=sharing"",""เบิกจ่ายกองทุน!BD51"")"),0)</f>
        <v>0</v>
      </c>
      <c r="T144" s="255">
        <f ca="1">IF(Q144&gt;0,S144*100/Q144,0)</f>
        <v>0</v>
      </c>
      <c r="U144" s="255">
        <f ca="1">IF(R144&gt;0,S144*100/R144,0)</f>
        <v>0</v>
      </c>
    </row>
    <row r="145" spans="1:21" ht="18.75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256">
        <f ca="1">L146+L147</f>
        <v>0</v>
      </c>
      <c r="M145" s="255">
        <f ca="1">M146+M147</f>
        <v>0</v>
      </c>
      <c r="N145" s="255">
        <f ca="1">N146+N147</f>
        <v>0</v>
      </c>
      <c r="O145" s="255">
        <f ca="1">IF(L145&gt;0,N145*100/L145,0)</f>
        <v>0</v>
      </c>
      <c r="P145" s="255">
        <f ca="1">IF(M145&gt;0,N145*100/M145,0)</f>
        <v>0</v>
      </c>
      <c r="Q145" s="255">
        <f>Q146+Q147</f>
        <v>0</v>
      </c>
      <c r="R145" s="255">
        <f>R146+R147</f>
        <v>0</v>
      </c>
      <c r="S145" s="255">
        <f>S146+S147</f>
        <v>0</v>
      </c>
      <c r="T145" s="255">
        <f>IF(Q145&gt;0,S145*100/Q145,0)</f>
        <v>0</v>
      </c>
      <c r="U145" s="255">
        <f>IF(R145&gt;0,S145*100/R145,0)</f>
        <v>0</v>
      </c>
    </row>
    <row r="146" spans="1:21" ht="18.75" hidden="1">
      <c r="A146" s="155"/>
      <c r="B146" s="50"/>
      <c r="C146" s="50"/>
      <c r="D146" s="50"/>
      <c r="E146" s="186" t="s">
        <v>20</v>
      </c>
      <c r="F146" s="50"/>
      <c r="G146" s="52"/>
      <c r="H146" s="189" t="s">
        <v>14</v>
      </c>
      <c r="I146" s="163"/>
      <c r="J146" s="163"/>
      <c r="K146" s="164"/>
      <c r="L146" s="103">
        <v>0</v>
      </c>
      <c r="M146" s="102">
        <v>0</v>
      </c>
      <c r="N146" s="102">
        <v>0</v>
      </c>
      <c r="O146" s="102">
        <f>IF(L146&gt;0,N146*100/L146,0)</f>
        <v>0</v>
      </c>
      <c r="P146" s="102">
        <f>IF(M146&gt;0,N146*100/M146,0)</f>
        <v>0</v>
      </c>
      <c r="Q146" s="102">
        <v>0</v>
      </c>
      <c r="R146" s="102">
        <v>0</v>
      </c>
      <c r="S146" s="102">
        <v>0</v>
      </c>
      <c r="T146" s="102">
        <f>IF(Q146&gt;0,S146*100/Q146,0)</f>
        <v>0</v>
      </c>
      <c r="U146" s="102">
        <f>IF(R146&gt;0,S146*100/R146,0)</f>
        <v>0</v>
      </c>
    </row>
    <row r="147" spans="1:21" ht="18.75" hidden="1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256">
        <f ca="1">IFERROR(__xludf.DUMMYFUNCTION("IMPORTRANGE(""https://docs.google.com/spreadsheets/d/1-uDff_7J0KD5mKrp0Vvzr7lt3OU09vwQwhkpOPPYv2Y/edit?usp=sharing"",""งบพรบ!BT51"")"),0)</f>
        <v>0</v>
      </c>
      <c r="M147" s="255">
        <f ca="1">IFERROR(__xludf.DUMMYFUNCTION("IMPORTRANGE(""https://docs.google.com/spreadsheets/d/1-uDff_7J0KD5mKrp0Vvzr7lt3OU09vwQwhkpOPPYv2Y/edit?usp=sharing"",""งบพรบ!BW51"")"),0)</f>
        <v>0</v>
      </c>
      <c r="N147" s="255">
        <f ca="1">IFERROR(__xludf.DUMMYFUNCTION("IMPORTRANGE(""https://docs.google.com/spreadsheets/d/1-uDff_7J0KD5mKrp0Vvzr7lt3OU09vwQwhkpOPPYv2Y/edit?usp=sharing"",""งบพรบ!BY51"")"),0)</f>
        <v>0</v>
      </c>
      <c r="O147" s="255">
        <f ca="1">IF(L147&gt;0,N147*100/L147,0)</f>
        <v>0</v>
      </c>
      <c r="P147" s="255">
        <f ca="1">IF(M147&gt;0,N147*100/M147,0)</f>
        <v>0</v>
      </c>
      <c r="Q147" s="255">
        <v>0</v>
      </c>
      <c r="R147" s="255">
        <v>0</v>
      </c>
      <c r="S147" s="255">
        <v>0</v>
      </c>
      <c r="T147" s="255">
        <f>IF(Q147&gt;0,S147*100/Q147,0)</f>
        <v>0</v>
      </c>
      <c r="U147" s="255">
        <f>IF(R147&gt;0,S147*100/R147,0)</f>
        <v>0</v>
      </c>
    </row>
    <row r="148" spans="1:21" ht="19.5">
      <c r="A148" s="166"/>
      <c r="B148" s="167"/>
      <c r="C148" s="156" t="s">
        <v>18</v>
      </c>
      <c r="D148" s="566" t="s">
        <v>38</v>
      </c>
      <c r="E148" s="169"/>
      <c r="F148" s="169"/>
      <c r="G148" s="170"/>
      <c r="H148" s="206"/>
      <c r="I148" s="54"/>
      <c r="J148" s="54"/>
      <c r="K148" s="55"/>
      <c r="L148" s="62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8.75">
      <c r="A149" s="155"/>
      <c r="B149" s="50"/>
      <c r="C149" s="50"/>
      <c r="D149" s="58" t="s">
        <v>63</v>
      </c>
      <c r="E149" s="50"/>
      <c r="F149" s="50"/>
      <c r="G149" s="52"/>
      <c r="H149" s="206"/>
      <c r="I149" s="54"/>
      <c r="J149" s="467">
        <v>0</v>
      </c>
      <c r="K149" s="55"/>
      <c r="L149" s="62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9.5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212">
        <f ca="1">IFERROR(__xludf.DUMMYFUNCTION("IMPORTRANGE(""https://docs.google.com/spreadsheets/d/1eHaY18a8A9IcSdp1K8H6x8fbOy06t2VsZHhMHf-1x7Y/edit?usp=sharing"",""แผน!U51"")"),0)</f>
        <v>0</v>
      </c>
      <c r="J150" s="467">
        <v>0</v>
      </c>
      <c r="K150" s="255">
        <f ca="1">IF(I150&gt;0,J150*100/I150,0)</f>
        <v>0</v>
      </c>
      <c r="L150" s="62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8.75">
      <c r="A151" s="155"/>
      <c r="B151" s="50"/>
      <c r="C151" s="50"/>
      <c r="D151" s="174"/>
      <c r="E151" s="50"/>
      <c r="F151" s="50"/>
      <c r="G151" s="52"/>
      <c r="H151" s="165" t="s">
        <v>54</v>
      </c>
      <c r="I151" s="212">
        <f ca="1">IFERROR(__xludf.DUMMYFUNCTION("IMPORTRANGE(""https://docs.google.com/spreadsheets/d/1eHaY18a8A9IcSdp1K8H6x8fbOy06t2VsZHhMHf-1x7Y/edit?usp=sharing"",""แผน!V51"")"),0)</f>
        <v>0</v>
      </c>
      <c r="J151" s="467">
        <v>0</v>
      </c>
      <c r="K151" s="255">
        <f ca="1">IF(I151&gt;0,J151*100/I151,0)</f>
        <v>0</v>
      </c>
      <c r="L151" s="62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9.5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212">
        <f ca="1">IFERROR(__xludf.DUMMYFUNCTION("IMPORTRANGE(""https://docs.google.com/spreadsheets/d/1eHaY18a8A9IcSdp1K8H6x8fbOy06t2VsZHhMHf-1x7Y/edit?usp=sharing"",""แผน!W51"")"),10)</f>
        <v>10</v>
      </c>
      <c r="J152" s="467">
        <v>10</v>
      </c>
      <c r="K152" s="255">
        <f ca="1">IF(I152&gt;0,J152*100/I152,0)</f>
        <v>100</v>
      </c>
      <c r="L152" s="62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8.75">
      <c r="A153" s="155"/>
      <c r="B153" s="50"/>
      <c r="C153" s="50"/>
      <c r="D153" s="50"/>
      <c r="E153" s="50"/>
      <c r="F153" s="50"/>
      <c r="G153" s="52"/>
      <c r="H153" s="165" t="s">
        <v>54</v>
      </c>
      <c r="I153" s="212">
        <f ca="1">IFERROR(__xludf.DUMMYFUNCTION("IMPORTRANGE(""https://docs.google.com/spreadsheets/d/1eHaY18a8A9IcSdp1K8H6x8fbOy06t2VsZHhMHf-1x7Y/edit?usp=sharing"",""แผน!X51"")"),1)</f>
        <v>1</v>
      </c>
      <c r="J153" s="467">
        <v>1</v>
      </c>
      <c r="K153" s="255">
        <f ca="1">IF(I153&gt;0,J153*100/I153,0)</f>
        <v>100</v>
      </c>
      <c r="L153" s="62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8.75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212">
        <f ca="1">IFERROR(__xludf.DUMMYFUNCTION("IMPORTRANGE(""https://docs.google.com/spreadsheets/d/1eHaY18a8A9IcSdp1K8H6x8fbOy06t2VsZHhMHf-1x7Y/edit?usp=sharing"",""แผน!Y51"")"),0)</f>
        <v>0</v>
      </c>
      <c r="J154" s="467">
        <v>0</v>
      </c>
      <c r="K154" s="255">
        <f ca="1">IF(I154&gt;0,J154*100/I154,0)</f>
        <v>0</v>
      </c>
      <c r="L154" s="62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9.5" hidden="1">
      <c r="A155" s="143" t="s">
        <v>67</v>
      </c>
      <c r="B155" s="144"/>
      <c r="C155" s="196"/>
      <c r="D155" s="144"/>
      <c r="E155" s="144"/>
      <c r="F155" s="144"/>
      <c r="G155" s="144"/>
      <c r="H155" s="144"/>
      <c r="I155" s="197"/>
      <c r="J155" s="197"/>
      <c r="K155" s="19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</row>
    <row r="156" spans="1:21" ht="19.5" hidden="1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721">
        <f ca="1">I169</f>
        <v>0</v>
      </c>
      <c r="J156" s="721">
        <f>J169</f>
        <v>0</v>
      </c>
      <c r="K156" s="720">
        <f ca="1">IF(I156&gt;0,J156*100/I156,0)</f>
        <v>0</v>
      </c>
      <c r="L156" s="154"/>
      <c r="M156" s="40"/>
      <c r="N156" s="40"/>
      <c r="O156" s="40"/>
      <c r="P156" s="40"/>
      <c r="Q156" s="40"/>
      <c r="R156" s="40"/>
      <c r="S156" s="40"/>
      <c r="T156" s="40"/>
      <c r="U156" s="40"/>
    </row>
    <row r="157" spans="1:21" ht="19.5" hidden="1">
      <c r="A157" s="155"/>
      <c r="B157" s="50"/>
      <c r="C157" s="156" t="s">
        <v>18</v>
      </c>
      <c r="D157" s="575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541">
        <f ca="1">L158+L159</f>
        <v>0</v>
      </c>
      <c r="M157" s="540">
        <f ca="1">M158+M159</f>
        <v>0</v>
      </c>
      <c r="N157" s="540">
        <f ca="1">N158+N159</f>
        <v>0</v>
      </c>
      <c r="O157" s="540">
        <f ca="1">IF(L157&gt;0,N157*100/L157,0)</f>
        <v>0</v>
      </c>
      <c r="P157" s="540">
        <f ca="1">IF(M157&gt;0,N157*100/M157,0)</f>
        <v>0</v>
      </c>
      <c r="Q157" s="540">
        <f ca="1">Q158+Q159</f>
        <v>0</v>
      </c>
      <c r="R157" s="540">
        <f ca="1">R158+R159</f>
        <v>0</v>
      </c>
      <c r="S157" s="540">
        <f ca="1">S158+S159</f>
        <v>0</v>
      </c>
      <c r="T157" s="540">
        <f ca="1">IF(Q157&gt;0,S157*100/Q157,0)</f>
        <v>0</v>
      </c>
      <c r="U157" s="540">
        <f ca="1">IF(R157&gt;0,S157*100/R157,0)</f>
        <v>0</v>
      </c>
    </row>
    <row r="158" spans="1:21" ht="18.75" hidden="1">
      <c r="A158" s="155"/>
      <c r="B158" s="50"/>
      <c r="C158" s="50"/>
      <c r="D158" s="50"/>
      <c r="E158" s="186" t="s">
        <v>20</v>
      </c>
      <c r="F158" s="50"/>
      <c r="G158" s="52"/>
      <c r="H158" s="187" t="s">
        <v>14</v>
      </c>
      <c r="I158" s="54"/>
      <c r="J158" s="54"/>
      <c r="K158" s="55"/>
      <c r="L158" s="103">
        <f>L161+L164</f>
        <v>0</v>
      </c>
      <c r="M158" s="102">
        <f>M161+M164</f>
        <v>0</v>
      </c>
      <c r="N158" s="102">
        <f>N161+N164</f>
        <v>0</v>
      </c>
      <c r="O158" s="102">
        <f>IF(L158&gt;0,N158*100/L158,0)</f>
        <v>0</v>
      </c>
      <c r="P158" s="102">
        <f>IF(M158&gt;0,N158*100/M158,0)</f>
        <v>0</v>
      </c>
      <c r="Q158" s="102">
        <f>Q161+Q164</f>
        <v>0</v>
      </c>
      <c r="R158" s="102">
        <f>R161+R164</f>
        <v>0</v>
      </c>
      <c r="S158" s="102">
        <f>S161+S164</f>
        <v>0</v>
      </c>
      <c r="T158" s="102">
        <f>IF(Q158&gt;0,S158*100/Q158,0)</f>
        <v>0</v>
      </c>
      <c r="U158" s="102">
        <f>IF(R158&gt;0,S158*100/R158,0)</f>
        <v>0</v>
      </c>
    </row>
    <row r="159" spans="1:21" ht="18.75" hidden="1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256">
        <f ca="1">L162+L165</f>
        <v>0</v>
      </c>
      <c r="M159" s="255">
        <f ca="1">M162+M165</f>
        <v>0</v>
      </c>
      <c r="N159" s="255">
        <f ca="1">N162+N165</f>
        <v>0</v>
      </c>
      <c r="O159" s="255">
        <f ca="1">IF(L159&gt;0,N159*100/L159,0)</f>
        <v>0</v>
      </c>
      <c r="P159" s="255">
        <f ca="1">IF(M159&gt;0,N159*100/M159,0)</f>
        <v>0</v>
      </c>
      <c r="Q159" s="255">
        <f ca="1">Q162+Q165</f>
        <v>0</v>
      </c>
      <c r="R159" s="255">
        <f ca="1">R162+R165</f>
        <v>0</v>
      </c>
      <c r="S159" s="255">
        <f ca="1">S162+S165</f>
        <v>0</v>
      </c>
      <c r="T159" s="255">
        <f ca="1">IF(Q159&gt;0,S159*100/Q159,0)</f>
        <v>0</v>
      </c>
      <c r="U159" s="255">
        <f ca="1">IF(R159&gt;0,S159*100/R159,0)</f>
        <v>0</v>
      </c>
    </row>
    <row r="160" spans="1:21" ht="18.75" hidden="1">
      <c r="A160" s="155"/>
      <c r="B160" s="50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256">
        <f ca="1">L161+L162</f>
        <v>0</v>
      </c>
      <c r="M160" s="255">
        <f ca="1">M161+M162</f>
        <v>0</v>
      </c>
      <c r="N160" s="255">
        <f ca="1">N161+N162</f>
        <v>0</v>
      </c>
      <c r="O160" s="255">
        <f ca="1">IF(L160&gt;0,N160*100/L160,0)</f>
        <v>0</v>
      </c>
      <c r="P160" s="255">
        <f ca="1">IF(M160&gt;0,N160*100/M160,0)</f>
        <v>0</v>
      </c>
      <c r="Q160" s="255">
        <f ca="1">Q161+Q162</f>
        <v>0</v>
      </c>
      <c r="R160" s="255">
        <f ca="1">R161+R162</f>
        <v>0</v>
      </c>
      <c r="S160" s="255">
        <f ca="1">S161+S162</f>
        <v>0</v>
      </c>
      <c r="T160" s="255">
        <f ca="1">IF(Q160&gt;0,S160*100/Q160,0)</f>
        <v>0</v>
      </c>
      <c r="U160" s="255">
        <f ca="1">IF(R160&gt;0,S160*100/R160,0)</f>
        <v>0</v>
      </c>
    </row>
    <row r="161" spans="1:21" ht="18.75" hidden="1">
      <c r="A161" s="155"/>
      <c r="B161" s="50"/>
      <c r="C161" s="50"/>
      <c r="D161" s="50"/>
      <c r="E161" s="186" t="s">
        <v>36</v>
      </c>
      <c r="F161" s="50"/>
      <c r="G161" s="52"/>
      <c r="H161" s="189" t="s">
        <v>14</v>
      </c>
      <c r="I161" s="163"/>
      <c r="J161" s="163"/>
      <c r="K161" s="164"/>
      <c r="L161" s="103">
        <v>0</v>
      </c>
      <c r="M161" s="102">
        <v>0</v>
      </c>
      <c r="N161" s="102">
        <v>0</v>
      </c>
      <c r="O161" s="102">
        <f>IF(L161&gt;0,N161*100/L161,0)</f>
        <v>0</v>
      </c>
      <c r="P161" s="102">
        <f>IF(M161&gt;0,N161*100/M161,0)</f>
        <v>0</v>
      </c>
      <c r="Q161" s="102">
        <v>0</v>
      </c>
      <c r="R161" s="102">
        <v>0</v>
      </c>
      <c r="S161" s="102">
        <v>0</v>
      </c>
      <c r="T161" s="102">
        <f>IF(Q161&gt;0,S161*100/Q161,0)</f>
        <v>0</v>
      </c>
      <c r="U161" s="102">
        <f>IF(R161&gt;0,S161*100/R161,0)</f>
        <v>0</v>
      </c>
    </row>
    <row r="162" spans="1:21" ht="18.75" hidden="1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256">
        <f ca="1">IFERROR(__xludf.DUMMYFUNCTION("IMPORTRANGE(""https://docs.google.com/spreadsheets/d/1-uDff_7J0KD5mKrp0Vvzr7lt3OU09vwQwhkpOPPYv2Y/edit?usp=sharing"",""งบพรบ!CA51"")"),0)</f>
        <v>0</v>
      </c>
      <c r="M162" s="255">
        <f ca="1">IFERROR(__xludf.DUMMYFUNCTION("IMPORTRANGE(""https://docs.google.com/spreadsheets/d/1-uDff_7J0KD5mKrp0Vvzr7lt3OU09vwQwhkpOPPYv2Y/edit?usp=sharing"",""งบพรบ!CF51"")"),0)</f>
        <v>0</v>
      </c>
      <c r="N162" s="255">
        <f ca="1">IFERROR(__xludf.DUMMYFUNCTION("IMPORTRANGE(""https://docs.google.com/spreadsheets/d/1-uDff_7J0KD5mKrp0Vvzr7lt3OU09vwQwhkpOPPYv2Y/edit?usp=sharing"",""งบพรบ!CH51"")"),0)</f>
        <v>0</v>
      </c>
      <c r="O162" s="255">
        <f ca="1">IF(L162&gt;0,N162*100/L162,0)</f>
        <v>0</v>
      </c>
      <c r="P162" s="255">
        <f ca="1">IF(M162&gt;0,N162*100/M162,0)</f>
        <v>0</v>
      </c>
      <c r="Q162" s="255">
        <f ca="1">IFERROR(__xludf.DUMMYFUNCTION("IMPORTRANGE(""https://docs.google.com/spreadsheets/d/1ItG2mGa2ceCfYo0BwxsXqNm01IGEUdYcSSLTEv9YCik/edit?usp=sharing"",""เบิกจ่ายกองทุน!AG51"")"),0)</f>
        <v>0</v>
      </c>
      <c r="R162" s="255">
        <f ca="1">IFERROR(__xludf.DUMMYFUNCTION("IMPORTRANGE(""https://docs.google.com/spreadsheets/d/1ItG2mGa2ceCfYo0BwxsXqNm01IGEUdYcSSLTEv9YCik/edit?usp=sharing"",""เบิกจ่ายกองทุน!AH51"")"),0)</f>
        <v>0</v>
      </c>
      <c r="S162" s="255">
        <f ca="1">IFERROR(__xludf.DUMMYFUNCTION("IMPORTRANGE(""https://docs.google.com/spreadsheets/d/1ItG2mGa2ceCfYo0BwxsXqNm01IGEUdYcSSLTEv9YCik/edit?usp=sharing"",""เบิกจ่ายกองทุน!AI51"")"),0)</f>
        <v>0</v>
      </c>
      <c r="T162" s="255">
        <f ca="1">IF(Q162&gt;0,S162*100/Q162,0)</f>
        <v>0</v>
      </c>
      <c r="U162" s="255">
        <f ca="1">IF(R162&gt;0,S162*100/R162,0)</f>
        <v>0</v>
      </c>
    </row>
    <row r="163" spans="1:21" ht="18.75" hidden="1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256">
        <f ca="1">L164+L165</f>
        <v>0</v>
      </c>
      <c r="M163" s="255">
        <f ca="1">M164+M165</f>
        <v>0</v>
      </c>
      <c r="N163" s="255">
        <f ca="1">N164+N165</f>
        <v>0</v>
      </c>
      <c r="O163" s="255">
        <f ca="1">IF(L163&gt;0,N163*100/L163,0)</f>
        <v>0</v>
      </c>
      <c r="P163" s="255">
        <f ca="1">IF(M163&gt;0,N163*100/M163,0)</f>
        <v>0</v>
      </c>
      <c r="Q163" s="255">
        <f>Q164+Q165</f>
        <v>0</v>
      </c>
      <c r="R163" s="255">
        <f>R164+R165</f>
        <v>0</v>
      </c>
      <c r="S163" s="255">
        <f>S164+S165</f>
        <v>0</v>
      </c>
      <c r="T163" s="255">
        <f>IF(Q163&gt;0,S163*100/Q163,0)</f>
        <v>0</v>
      </c>
      <c r="U163" s="255">
        <f>IF(R163&gt;0,S163*100/R163,0)</f>
        <v>0</v>
      </c>
    </row>
    <row r="164" spans="1:21" ht="18.75" hidden="1">
      <c r="A164" s="155"/>
      <c r="B164" s="50"/>
      <c r="C164" s="50"/>
      <c r="D164" s="50"/>
      <c r="E164" s="186" t="s">
        <v>20</v>
      </c>
      <c r="F164" s="50"/>
      <c r="G164" s="52"/>
      <c r="H164" s="189" t="s">
        <v>14</v>
      </c>
      <c r="I164" s="163"/>
      <c r="J164" s="163"/>
      <c r="K164" s="164"/>
      <c r="L164" s="103">
        <v>0</v>
      </c>
      <c r="M164" s="102">
        <v>0</v>
      </c>
      <c r="N164" s="102">
        <v>0</v>
      </c>
      <c r="O164" s="102">
        <f>IF(L164&gt;0,N164*100/L164,0)</f>
        <v>0</v>
      </c>
      <c r="P164" s="102">
        <f>IF(M164&gt;0,N164*100/M164,0)</f>
        <v>0</v>
      </c>
      <c r="Q164" s="102">
        <v>0</v>
      </c>
      <c r="R164" s="102">
        <v>0</v>
      </c>
      <c r="S164" s="102">
        <v>0</v>
      </c>
      <c r="T164" s="102">
        <f>IF(Q164&gt;0,S164*100/Q164,0)</f>
        <v>0</v>
      </c>
      <c r="U164" s="102">
        <f>IF(R164&gt;0,S164*100/R164,0)</f>
        <v>0</v>
      </c>
    </row>
    <row r="165" spans="1:21" ht="18.75" hidden="1">
      <c r="A165" s="155"/>
      <c r="B165" s="50"/>
      <c r="C165" s="50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256">
        <f ca="1">IFERROR(__xludf.DUMMYFUNCTION("IMPORTRANGE(""https://docs.google.com/spreadsheets/d/1-uDff_7J0KD5mKrp0Vvzr7lt3OU09vwQwhkpOPPYv2Y/edit?usp=sharing"",""งบพรบ!CD51"")"),0)</f>
        <v>0</v>
      </c>
      <c r="M165" s="255">
        <f ca="1">IFERROR(__xludf.DUMMYFUNCTION("IMPORTRANGE(""https://docs.google.com/spreadsheets/d/1-uDff_7J0KD5mKrp0Vvzr7lt3OU09vwQwhkpOPPYv2Y/edit?usp=sharing"",""งบพรบ!CG51"")"),0)</f>
        <v>0</v>
      </c>
      <c r="N165" s="255">
        <f ca="1">IFERROR(__xludf.DUMMYFUNCTION("IMPORTRANGE(""https://docs.google.com/spreadsheets/d/1-uDff_7J0KD5mKrp0Vvzr7lt3OU09vwQwhkpOPPYv2Y/edit?usp=sharing"",""งบพรบ!CI51"")"),0)</f>
        <v>0</v>
      </c>
      <c r="O165" s="255">
        <f ca="1">IF(L165&gt;0,N165*100/L165,0)</f>
        <v>0</v>
      </c>
      <c r="P165" s="255">
        <f ca="1">IF(M165&gt;0,N165*100/M165,0)</f>
        <v>0</v>
      </c>
      <c r="Q165" s="255">
        <v>0</v>
      </c>
      <c r="R165" s="255">
        <v>0</v>
      </c>
      <c r="S165" s="255">
        <v>0</v>
      </c>
      <c r="T165" s="255">
        <f>IF(Q165&gt;0,S165*100/Q165,0)</f>
        <v>0</v>
      </c>
      <c r="U165" s="255">
        <f>IF(R165&gt;0,S165*100/R165,0)</f>
        <v>0</v>
      </c>
    </row>
    <row r="166" spans="1:21" ht="19.5" hidden="1">
      <c r="A166" s="166"/>
      <c r="B166" s="167"/>
      <c r="C166" s="156" t="s">
        <v>18</v>
      </c>
      <c r="D166" s="566" t="s">
        <v>38</v>
      </c>
      <c r="E166" s="169"/>
      <c r="F166" s="169"/>
      <c r="G166" s="170"/>
      <c r="H166" s="206"/>
      <c r="I166" s="54"/>
      <c r="J166" s="54"/>
      <c r="K166" s="55"/>
      <c r="L166" s="62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8.75" hidden="1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212">
        <f ca="1">IFERROR(__xludf.DUMMYFUNCTION("IMPORTRANGE(""https://docs.google.com/spreadsheets/d/1eHaY18a8A9IcSdp1K8H6x8fbOy06t2VsZHhMHf-1x7Y/edit?usp=sharing"",""แผน!Z51"")"),0)</f>
        <v>0</v>
      </c>
      <c r="J167" s="467">
        <v>0</v>
      </c>
      <c r="K167" s="255">
        <f ca="1">IF(I167&gt;0,J167*100/I167,0)</f>
        <v>0</v>
      </c>
      <c r="L167" s="62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8.75" hidden="1">
      <c r="A168" s="155"/>
      <c r="B168" s="50"/>
      <c r="C168" s="50"/>
      <c r="D168" s="186" t="s">
        <v>70</v>
      </c>
      <c r="E168" s="50"/>
      <c r="F168" s="50"/>
      <c r="G168" s="52"/>
      <c r="H168" s="421" t="s">
        <v>35</v>
      </c>
      <c r="I168" s="483">
        <f ca="1">IFERROR(__xludf.DUMMYFUNCTION("IMPORTRANGE(""https://docs.google.com/spreadsheets/d/1eHaY18a8A9IcSdp1K8H6x8fbOy06t2VsZHhMHf-1x7Y/edit?usp=sharing"",""แผน!Z51"")"),0)</f>
        <v>0</v>
      </c>
      <c r="J168" s="589">
        <v>0</v>
      </c>
      <c r="K168" s="102">
        <f ca="1">IF(I168&gt;0,J168*100/I168,0)</f>
        <v>0</v>
      </c>
      <c r="L168" s="62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8.75" hidden="1">
      <c r="A169" s="213"/>
      <c r="B169" s="4"/>
      <c r="C169" s="4"/>
      <c r="D169" s="484" t="s">
        <v>71</v>
      </c>
      <c r="E169" s="4"/>
      <c r="F169" s="4"/>
      <c r="G169" s="65"/>
      <c r="H169" s="719" t="s">
        <v>35</v>
      </c>
      <c r="I169" s="486">
        <f ca="1">IFERROR(__xludf.DUMMYFUNCTION("IMPORTRANGE(""https://docs.google.com/spreadsheets/d/1eHaY18a8A9IcSdp1K8H6x8fbOy06t2VsZHhMHf-1x7Y/edit?usp=sharing"",""แผน!Z51"")"),0)</f>
        <v>0</v>
      </c>
      <c r="J169" s="586">
        <v>0</v>
      </c>
      <c r="K169" s="585">
        <f ca="1">IF(I169&gt;0,J169*100/I169,0)</f>
        <v>0</v>
      </c>
      <c r="L169" s="68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9"/>
      <c r="I170" s="220"/>
      <c r="J170" s="220"/>
      <c r="K170" s="221"/>
      <c r="L170" s="221"/>
      <c r="M170" s="221"/>
      <c r="N170" s="221"/>
      <c r="O170" s="221"/>
      <c r="P170" s="222"/>
      <c r="Q170" s="221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226"/>
      <c r="I171" s="227"/>
      <c r="J171" s="227"/>
      <c r="K171" s="228"/>
      <c r="L171" s="229"/>
      <c r="M171" s="228"/>
      <c r="N171" s="228"/>
      <c r="O171" s="228"/>
      <c r="P171" s="228"/>
      <c r="Q171" s="228"/>
      <c r="R171" s="228"/>
      <c r="S171" s="228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233" t="s">
        <v>35</v>
      </c>
      <c r="I172" s="718">
        <f ca="1">I183+I184</f>
        <v>7</v>
      </c>
      <c r="J172" s="718">
        <f>J183+J184</f>
        <v>7</v>
      </c>
      <c r="K172" s="717">
        <f ca="1">IF(I172&gt;0,J172*100/I172,0)</f>
        <v>100</v>
      </c>
      <c r="L172" s="237"/>
      <c r="M172" s="236"/>
      <c r="N172" s="236"/>
      <c r="O172" s="236"/>
      <c r="P172" s="236"/>
      <c r="Q172" s="236"/>
      <c r="R172" s="236"/>
      <c r="S172" s="236"/>
      <c r="T172" s="236"/>
      <c r="U172" s="236"/>
    </row>
    <row r="173" spans="1:21" ht="19.5">
      <c r="A173" s="155"/>
      <c r="B173" s="50"/>
      <c r="C173" s="156" t="s">
        <v>18</v>
      </c>
      <c r="D173" s="575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541">
        <f ca="1">L174+L175</f>
        <v>19590</v>
      </c>
      <c r="M173" s="540">
        <f ca="1">M174+M175</f>
        <v>35540</v>
      </c>
      <c r="N173" s="540">
        <f ca="1">N174+N175</f>
        <v>32445</v>
      </c>
      <c r="O173" s="540">
        <f ca="1">IF(L173&gt;0,N173*100/L173,0)</f>
        <v>165.62021439509954</v>
      </c>
      <c r="P173" s="540">
        <f ca="1">IF(M173&gt;0,N173*100/M173,0)</f>
        <v>91.29150253235791</v>
      </c>
      <c r="Q173" s="540">
        <f ca="1">Q174+Q175</f>
        <v>0</v>
      </c>
      <c r="R173" s="540">
        <f ca="1">R174+R175</f>
        <v>0</v>
      </c>
      <c r="S173" s="540">
        <f ca="1">S174+S175</f>
        <v>0</v>
      </c>
      <c r="T173" s="540">
        <f ca="1">IF(Q173&gt;0,S173*100/Q173,0)</f>
        <v>0</v>
      </c>
      <c r="U173" s="540">
        <f ca="1">IF(R173&gt;0,S173*100/R173,0)</f>
        <v>0</v>
      </c>
    </row>
    <row r="174" spans="1:21" ht="18.75" hidden="1">
      <c r="A174" s="155"/>
      <c r="B174" s="50"/>
      <c r="C174" s="50"/>
      <c r="D174" s="50"/>
      <c r="E174" s="186" t="s">
        <v>20</v>
      </c>
      <c r="F174" s="50"/>
      <c r="G174" s="52"/>
      <c r="H174" s="187" t="s">
        <v>14</v>
      </c>
      <c r="I174" s="54"/>
      <c r="J174" s="54"/>
      <c r="K174" s="55"/>
      <c r="L174" s="103">
        <f>L177+L180</f>
        <v>0</v>
      </c>
      <c r="M174" s="102">
        <f>M177+M180</f>
        <v>0</v>
      </c>
      <c r="N174" s="102">
        <f>N177+N180</f>
        <v>0</v>
      </c>
      <c r="O174" s="102">
        <f>IF(L174&gt;0,N174*100/L174,0)</f>
        <v>0</v>
      </c>
      <c r="P174" s="102">
        <f>IF(M174&gt;0,N174*100/M174,0)</f>
        <v>0</v>
      </c>
      <c r="Q174" s="102">
        <f>Q177+Q180</f>
        <v>0</v>
      </c>
      <c r="R174" s="102">
        <f>R177+R180</f>
        <v>0</v>
      </c>
      <c r="S174" s="102">
        <f>S177+S180</f>
        <v>0</v>
      </c>
      <c r="T174" s="102">
        <f>IF(Q174&gt;0,S174*100/Q174,0)</f>
        <v>0</v>
      </c>
      <c r="U174" s="102">
        <f>IF(R174&gt;0,S174*100/R174,0)</f>
        <v>0</v>
      </c>
    </row>
    <row r="175" spans="1:21" ht="18.75" hidden="1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256">
        <f ca="1">L178+L181</f>
        <v>19590</v>
      </c>
      <c r="M175" s="255">
        <f ca="1">M178+M181</f>
        <v>35540</v>
      </c>
      <c r="N175" s="255">
        <f ca="1">N178+N181</f>
        <v>32445</v>
      </c>
      <c r="O175" s="255">
        <f ca="1">IF(L175&gt;0,N175*100/L175,0)</f>
        <v>165.62021439509954</v>
      </c>
      <c r="P175" s="255">
        <f ca="1">IF(M175&gt;0,N175*100/M175,0)</f>
        <v>91.29150253235791</v>
      </c>
      <c r="Q175" s="255">
        <f ca="1">Q178+Q181</f>
        <v>0</v>
      </c>
      <c r="R175" s="255">
        <f ca="1">R178+R181</f>
        <v>0</v>
      </c>
      <c r="S175" s="255">
        <f ca="1">S178+S181</f>
        <v>0</v>
      </c>
      <c r="T175" s="255">
        <f ca="1">IF(Q175&gt;0,S175*100/Q175,0)</f>
        <v>0</v>
      </c>
      <c r="U175" s="255">
        <f ca="1">IF(R175&gt;0,S175*100/R175,0)</f>
        <v>0</v>
      </c>
    </row>
    <row r="176" spans="1:21" ht="18.75">
      <c r="A176" s="155"/>
      <c r="B176" s="50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256">
        <f ca="1">L177+L178</f>
        <v>19590</v>
      </c>
      <c r="M176" s="255">
        <f ca="1">M177+M178</f>
        <v>35540</v>
      </c>
      <c r="N176" s="255">
        <f ca="1">N177+N178</f>
        <v>32445</v>
      </c>
      <c r="O176" s="255">
        <f ca="1">IF(L176&gt;0,N176*100/L176,0)</f>
        <v>165.62021439509954</v>
      </c>
      <c r="P176" s="255">
        <f ca="1">IF(M176&gt;0,N176*100/M176,0)</f>
        <v>91.29150253235791</v>
      </c>
      <c r="Q176" s="255">
        <f ca="1">Q177+Q178</f>
        <v>0</v>
      </c>
      <c r="R176" s="255">
        <f ca="1">R177+R178</f>
        <v>0</v>
      </c>
      <c r="S176" s="255">
        <f ca="1">S177+S178</f>
        <v>0</v>
      </c>
      <c r="T176" s="255">
        <f ca="1">IF(Q176&gt;0,S176*100/Q176,0)</f>
        <v>0</v>
      </c>
      <c r="U176" s="255">
        <f ca="1">IF(R176&gt;0,S176*100/R176,0)</f>
        <v>0</v>
      </c>
    </row>
    <row r="177" spans="1:21" ht="18.75" hidden="1">
      <c r="A177" s="155"/>
      <c r="B177" s="50"/>
      <c r="C177" s="50"/>
      <c r="D177" s="50"/>
      <c r="E177" s="186" t="s">
        <v>36</v>
      </c>
      <c r="F177" s="50"/>
      <c r="G177" s="52"/>
      <c r="H177" s="189" t="s">
        <v>14</v>
      </c>
      <c r="I177" s="163"/>
      <c r="J177" s="163"/>
      <c r="K177" s="164"/>
      <c r="L177" s="103">
        <v>0</v>
      </c>
      <c r="M177" s="102">
        <v>0</v>
      </c>
      <c r="N177" s="102">
        <v>0</v>
      </c>
      <c r="O177" s="102">
        <f>IF(L177&gt;0,N177*100/L177,0)</f>
        <v>0</v>
      </c>
      <c r="P177" s="102">
        <f>IF(M177&gt;0,N177*100/M177,0)</f>
        <v>0</v>
      </c>
      <c r="Q177" s="102">
        <v>0</v>
      </c>
      <c r="R177" s="102">
        <v>0</v>
      </c>
      <c r="S177" s="102">
        <v>0</v>
      </c>
      <c r="T177" s="102">
        <f>IF(Q177&gt;0,S177*100/Q177,0)</f>
        <v>0</v>
      </c>
      <c r="U177" s="102">
        <f>IF(R177&gt;0,S177*100/R177,0)</f>
        <v>0</v>
      </c>
    </row>
    <row r="178" spans="1:21" ht="18.75" hidden="1">
      <c r="A178" s="155"/>
      <c r="B178" s="50"/>
      <c r="C178" s="50"/>
      <c r="D178" s="50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256">
        <f ca="1">IFERROR(__xludf.DUMMYFUNCTION("IMPORTRANGE(""https://docs.google.com/spreadsheets/d/1-uDff_7J0KD5mKrp0Vvzr7lt3OU09vwQwhkpOPPYv2Y/edit?usp=sharing"",""งบพรบ!CK51"")"),19590)</f>
        <v>19590</v>
      </c>
      <c r="M178" s="255">
        <f ca="1">IFERROR(__xludf.DUMMYFUNCTION("IMPORTRANGE(""https://docs.google.com/spreadsheets/d/1-uDff_7J0KD5mKrp0Vvzr7lt3OU09vwQwhkpOPPYv2Y/edit?usp=sharing"",""งบพรบ!CP51"")"),35540)</f>
        <v>35540</v>
      </c>
      <c r="N178" s="255">
        <f ca="1">IFERROR(__xludf.DUMMYFUNCTION("IMPORTRANGE(""https://docs.google.com/spreadsheets/d/1-uDff_7J0KD5mKrp0Vvzr7lt3OU09vwQwhkpOPPYv2Y/edit?usp=sharing"",""งบพรบ!CR51"")"),32445)</f>
        <v>32445</v>
      </c>
      <c r="O178" s="255">
        <f ca="1">IF(L178&gt;0,N178*100/L178,0)</f>
        <v>165.62021439509954</v>
      </c>
      <c r="P178" s="255">
        <f ca="1">IF(M178&gt;0,N178*100/M178,0)</f>
        <v>91.29150253235791</v>
      </c>
      <c r="Q178" s="255">
        <f ca="1">IFERROR(__xludf.DUMMYFUNCTION("IMPORTRANGE(""https://docs.google.com/spreadsheets/d/1ItG2mGa2ceCfYo0BwxsXqNm01IGEUdYcSSLTEv9YCik/edit?usp=sharing"",""เบิกจ่ายกองทุน!BE51"")"),0)</f>
        <v>0</v>
      </c>
      <c r="R178" s="255">
        <f ca="1">IFERROR(__xludf.DUMMYFUNCTION("IMPORTRANGE(""https://docs.google.com/spreadsheets/d/1ItG2mGa2ceCfYo0BwxsXqNm01IGEUdYcSSLTEv9YCik/edit?usp=sharing"",""เบิกจ่ายกองทุน!BF51"")"),0)</f>
        <v>0</v>
      </c>
      <c r="S178" s="255">
        <f ca="1">IFERROR(__xludf.DUMMYFUNCTION("IMPORTRANGE(""https://docs.google.com/spreadsheets/d/1ItG2mGa2ceCfYo0BwxsXqNm01IGEUdYcSSLTEv9YCik/edit?usp=sharing"",""เบิกจ่ายกองทุน!BG51"")"),0)</f>
        <v>0</v>
      </c>
      <c r="T178" s="255">
        <f ca="1">IF(Q178&gt;0,S178*100/Q178,0)</f>
        <v>0</v>
      </c>
      <c r="U178" s="255">
        <f ca="1">IF(R178&gt;0,S178*100/R178,0)</f>
        <v>0</v>
      </c>
    </row>
    <row r="179" spans="1:21" ht="18.75">
      <c r="A179" s="155"/>
      <c r="B179" s="50"/>
      <c r="C179" s="50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256">
        <f ca="1">L180+L181</f>
        <v>0</v>
      </c>
      <c r="M179" s="255">
        <f ca="1">M180+M181</f>
        <v>0</v>
      </c>
      <c r="N179" s="255">
        <f ca="1">N180+N181</f>
        <v>0</v>
      </c>
      <c r="O179" s="255">
        <f ca="1">IF(L179&gt;0,N179*100/L179,0)</f>
        <v>0</v>
      </c>
      <c r="P179" s="255">
        <f ca="1">IF(M179&gt;0,N179*100/M179,0)</f>
        <v>0</v>
      </c>
      <c r="Q179" s="255">
        <f>Q180+Q181</f>
        <v>0</v>
      </c>
      <c r="R179" s="255">
        <f>R180+R181</f>
        <v>0</v>
      </c>
      <c r="S179" s="255">
        <f>S180+S181</f>
        <v>0</v>
      </c>
      <c r="T179" s="255">
        <f>IF(Q179&gt;0,S179*100/Q179,0)</f>
        <v>0</v>
      </c>
      <c r="U179" s="255">
        <f>IF(R179&gt;0,S179*100/R179,0)</f>
        <v>0</v>
      </c>
    </row>
    <row r="180" spans="1:21" ht="18.75" hidden="1">
      <c r="A180" s="155"/>
      <c r="B180" s="50"/>
      <c r="C180" s="50"/>
      <c r="D180" s="50"/>
      <c r="E180" s="186" t="s">
        <v>20</v>
      </c>
      <c r="F180" s="50"/>
      <c r="G180" s="52"/>
      <c r="H180" s="189" t="s">
        <v>14</v>
      </c>
      <c r="I180" s="163"/>
      <c r="J180" s="163"/>
      <c r="K180" s="164"/>
      <c r="L180" s="103">
        <v>0</v>
      </c>
      <c r="M180" s="102">
        <v>0</v>
      </c>
      <c r="N180" s="102">
        <v>0</v>
      </c>
      <c r="O180" s="102">
        <f>IF(L180&gt;0,N180*100/L180,0)</f>
        <v>0</v>
      </c>
      <c r="P180" s="102">
        <f>IF(M180&gt;0,N180*100/M180,0)</f>
        <v>0</v>
      </c>
      <c r="Q180" s="102">
        <v>0</v>
      </c>
      <c r="R180" s="102">
        <v>0</v>
      </c>
      <c r="S180" s="102">
        <v>0</v>
      </c>
      <c r="T180" s="102">
        <f>IF(Q180&gt;0,S180*100/Q180,0)</f>
        <v>0</v>
      </c>
      <c r="U180" s="102">
        <f>IF(R180&gt;0,S180*100/R180,0)</f>
        <v>0</v>
      </c>
    </row>
    <row r="181" spans="1:21" ht="18.75" hidden="1">
      <c r="A181" s="155"/>
      <c r="B181" s="50"/>
      <c r="C181" s="50"/>
      <c r="D181" s="50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256">
        <f ca="1">IFERROR(__xludf.DUMMYFUNCTION("IMPORTRANGE(""https://docs.google.com/spreadsheets/d/1-uDff_7J0KD5mKrp0Vvzr7lt3OU09vwQwhkpOPPYv2Y/edit?usp=sharing"",""งบพรบ!CN51"")"),0)</f>
        <v>0</v>
      </c>
      <c r="M181" s="255">
        <f ca="1">IFERROR(__xludf.DUMMYFUNCTION("IMPORTRANGE(""https://docs.google.com/spreadsheets/d/1-uDff_7J0KD5mKrp0Vvzr7lt3OU09vwQwhkpOPPYv2Y/edit?usp=sharing"",""งบพรบ!CQ51"")"),0)</f>
        <v>0</v>
      </c>
      <c r="N181" s="255">
        <f ca="1">IFERROR(__xludf.DUMMYFUNCTION("IMPORTRANGE(""https://docs.google.com/spreadsheets/d/1-uDff_7J0KD5mKrp0Vvzr7lt3OU09vwQwhkpOPPYv2Y/edit?usp=sharing"",""งบพรบ!CS51"")"),0)</f>
        <v>0</v>
      </c>
      <c r="O181" s="255">
        <f ca="1">IF(L181&gt;0,N181*100/L181,0)</f>
        <v>0</v>
      </c>
      <c r="P181" s="255">
        <f ca="1">IF(M181&gt;0,N181*100/M181,0)</f>
        <v>0</v>
      </c>
      <c r="Q181" s="255">
        <v>0</v>
      </c>
      <c r="R181" s="255">
        <v>0</v>
      </c>
      <c r="S181" s="255">
        <v>0</v>
      </c>
      <c r="T181" s="255">
        <f>IF(Q181&gt;0,S181*100/Q181,0)</f>
        <v>0</v>
      </c>
      <c r="U181" s="255">
        <f>IF(R181&gt;0,S181*100/R181,0)</f>
        <v>0</v>
      </c>
    </row>
    <row r="182" spans="1:21" ht="19.5">
      <c r="A182" s="166"/>
      <c r="B182" s="167"/>
      <c r="C182" s="156" t="s">
        <v>18</v>
      </c>
      <c r="D182" s="566" t="s">
        <v>38</v>
      </c>
      <c r="E182" s="169"/>
      <c r="F182" s="169"/>
      <c r="G182" s="170"/>
      <c r="H182" s="206"/>
      <c r="I182" s="54"/>
      <c r="J182" s="54"/>
      <c r="K182" s="55"/>
      <c r="L182" s="62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40" t="s">
        <v>35</v>
      </c>
      <c r="I183" s="212">
        <f ca="1">IFERROR(__xludf.DUMMYFUNCTION("IMPORTRANGE(""https://docs.google.com/spreadsheets/d/1eHaY18a8A9IcSdp1K8H6x8fbOy06t2VsZHhMHf-1x7Y/edit?usp=sharing"",""แผน!AA51"")"),7)</f>
        <v>7</v>
      </c>
      <c r="J183" s="467">
        <v>7</v>
      </c>
      <c r="K183" s="255">
        <f ca="1">IF(I183&gt;0,J183*100/I183,0)</f>
        <v>100</v>
      </c>
      <c r="L183" s="62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8.75" hidden="1">
      <c r="A184" s="238"/>
      <c r="B184" s="188"/>
      <c r="C184" s="188"/>
      <c r="D184" s="358" t="s">
        <v>76</v>
      </c>
      <c r="E184" s="50"/>
      <c r="F184" s="50"/>
      <c r="G184" s="52"/>
      <c r="H184" s="590" t="s">
        <v>35</v>
      </c>
      <c r="I184" s="483">
        <v>0</v>
      </c>
      <c r="J184" s="483">
        <v>0</v>
      </c>
      <c r="K184" s="102">
        <f>IF(I184&gt;0,J184*100/I184,0)</f>
        <v>0</v>
      </c>
      <c r="L184" s="62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233" t="s">
        <v>35</v>
      </c>
      <c r="I185" s="718">
        <f ca="1">I230+I231</f>
        <v>40</v>
      </c>
      <c r="J185" s="718">
        <f>J230+J231</f>
        <v>40</v>
      </c>
      <c r="K185" s="717">
        <f ca="1">IF(I185&gt;0,J185*100/I185,0)</f>
        <v>100</v>
      </c>
      <c r="L185" s="237"/>
      <c r="M185" s="236"/>
      <c r="N185" s="236"/>
      <c r="O185" s="236"/>
      <c r="P185" s="236"/>
      <c r="Q185" s="236"/>
      <c r="R185" s="236"/>
      <c r="S185" s="236"/>
      <c r="T185" s="236"/>
      <c r="U185" s="236"/>
    </row>
    <row r="186" spans="1:21" ht="19.5">
      <c r="A186" s="155"/>
      <c r="B186" s="50"/>
      <c r="C186" s="156" t="s">
        <v>18</v>
      </c>
      <c r="D186" s="575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541">
        <f ca="1">L187+L188</f>
        <v>433500</v>
      </c>
      <c r="M186" s="540">
        <f ca="1">M187+M188</f>
        <v>420260</v>
      </c>
      <c r="N186" s="540">
        <f ca="1">N187+N188</f>
        <v>345512</v>
      </c>
      <c r="O186" s="540">
        <f ca="1">IF(L186&gt;0,N186*100/L186,0)</f>
        <v>79.70288350634371</v>
      </c>
      <c r="P186" s="540">
        <f ca="1">IF(M186&gt;0,N186*100/M186,0)</f>
        <v>82.213867605767859</v>
      </c>
      <c r="Q186" s="540">
        <f ca="1">Q187+Q188</f>
        <v>141400</v>
      </c>
      <c r="R186" s="540">
        <f ca="1">R187+R188</f>
        <v>155400</v>
      </c>
      <c r="S186" s="540">
        <f ca="1">S187+S188</f>
        <v>0</v>
      </c>
      <c r="T186" s="540">
        <f ca="1">IF(Q186&gt;0,S186*100/Q186,0)</f>
        <v>0</v>
      </c>
      <c r="U186" s="540">
        <f ca="1">IF(R186&gt;0,S186*100/R186,0)</f>
        <v>0</v>
      </c>
    </row>
    <row r="187" spans="1:21" ht="18.75" hidden="1">
      <c r="A187" s="155"/>
      <c r="B187" s="50"/>
      <c r="C187" s="50"/>
      <c r="D187" s="50"/>
      <c r="E187" s="186" t="s">
        <v>20</v>
      </c>
      <c r="F187" s="50"/>
      <c r="G187" s="52"/>
      <c r="H187" s="187" t="s">
        <v>14</v>
      </c>
      <c r="I187" s="54"/>
      <c r="J187" s="54"/>
      <c r="K187" s="55"/>
      <c r="L187" s="103">
        <f>L190+L193</f>
        <v>0</v>
      </c>
      <c r="M187" s="102">
        <f>M190+M193</f>
        <v>0</v>
      </c>
      <c r="N187" s="102">
        <f>N190+N193</f>
        <v>0</v>
      </c>
      <c r="O187" s="102">
        <f>IF(L187&gt;0,N187*100/L187,0)</f>
        <v>0</v>
      </c>
      <c r="P187" s="102">
        <f>IF(M187&gt;0,N187*100/M187,0)</f>
        <v>0</v>
      </c>
      <c r="Q187" s="102">
        <f>Q190+Q193</f>
        <v>0</v>
      </c>
      <c r="R187" s="102">
        <f>R190+R193</f>
        <v>0</v>
      </c>
      <c r="S187" s="102">
        <f>S190+S193</f>
        <v>0</v>
      </c>
      <c r="T187" s="102">
        <f>IF(Q187&gt;0,S187*100/Q187,0)</f>
        <v>0</v>
      </c>
      <c r="U187" s="102">
        <f>IF(R187&gt;0,S187*100/R187,0)</f>
        <v>0</v>
      </c>
    </row>
    <row r="188" spans="1:21" ht="18.75" hidden="1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256">
        <f ca="1">L191+L194</f>
        <v>433500</v>
      </c>
      <c r="M188" s="255">
        <f ca="1">M191+M194</f>
        <v>420260</v>
      </c>
      <c r="N188" s="255">
        <f ca="1">N191+N194</f>
        <v>345512</v>
      </c>
      <c r="O188" s="255">
        <f ca="1">IF(L188&gt;0,N188*100/L188,0)</f>
        <v>79.70288350634371</v>
      </c>
      <c r="P188" s="255">
        <f ca="1">IF(M188&gt;0,N188*100/M188,0)</f>
        <v>82.213867605767859</v>
      </c>
      <c r="Q188" s="255">
        <f ca="1">Q191+Q194</f>
        <v>141400</v>
      </c>
      <c r="R188" s="255">
        <f ca="1">R191+R194</f>
        <v>155400</v>
      </c>
      <c r="S188" s="255">
        <f ca="1">S191+S194</f>
        <v>0</v>
      </c>
      <c r="T188" s="255">
        <f ca="1">IF(Q188&gt;0,S188*100/Q188,0)</f>
        <v>0</v>
      </c>
      <c r="U188" s="255">
        <f ca="1">IF(R188&gt;0,S188*100/R188,0)</f>
        <v>0</v>
      </c>
    </row>
    <row r="189" spans="1:21" ht="18.75">
      <c r="A189" s="155"/>
      <c r="B189" s="50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256">
        <f ca="1">L190+L191</f>
        <v>433500</v>
      </c>
      <c r="M189" s="255">
        <f ca="1">M190+M191</f>
        <v>420260</v>
      </c>
      <c r="N189" s="255">
        <f ca="1">N190+N191</f>
        <v>345512</v>
      </c>
      <c r="O189" s="255">
        <f ca="1">IF(L189&gt;0,N189*100/L189,0)</f>
        <v>79.70288350634371</v>
      </c>
      <c r="P189" s="255">
        <f ca="1">IF(M189&gt;0,N189*100/M189,0)</f>
        <v>82.213867605767859</v>
      </c>
      <c r="Q189" s="255">
        <f ca="1">Q190+Q191</f>
        <v>141400</v>
      </c>
      <c r="R189" s="255">
        <f ca="1">R190+R191</f>
        <v>155400</v>
      </c>
      <c r="S189" s="255">
        <f ca="1">S190+S191</f>
        <v>0</v>
      </c>
      <c r="T189" s="255">
        <f ca="1">IF(Q189&gt;0,S189*100/Q189,0)</f>
        <v>0</v>
      </c>
      <c r="U189" s="255">
        <f ca="1">IF(R189&gt;0,S189*100/R189,0)</f>
        <v>0</v>
      </c>
    </row>
    <row r="190" spans="1:21" ht="18.75" hidden="1">
      <c r="A190" s="155"/>
      <c r="B190" s="50"/>
      <c r="C190" s="50"/>
      <c r="D190" s="50"/>
      <c r="E190" s="186" t="s">
        <v>36</v>
      </c>
      <c r="F190" s="50"/>
      <c r="G190" s="52"/>
      <c r="H190" s="189" t="s">
        <v>14</v>
      </c>
      <c r="I190" s="163"/>
      <c r="J190" s="163"/>
      <c r="K190" s="164"/>
      <c r="L190" s="103">
        <v>0</v>
      </c>
      <c r="M190" s="102">
        <v>0</v>
      </c>
      <c r="N190" s="102">
        <v>0</v>
      </c>
      <c r="O190" s="102">
        <f>IF(L190&gt;0,N190*100/L190,0)</f>
        <v>0</v>
      </c>
      <c r="P190" s="102">
        <f>IF(M190&gt;0,N190*100/M190,0)</f>
        <v>0</v>
      </c>
      <c r="Q190" s="102">
        <v>0</v>
      </c>
      <c r="R190" s="102">
        <v>0</v>
      </c>
      <c r="S190" s="102">
        <v>0</v>
      </c>
      <c r="T190" s="102">
        <f>IF(Q190&gt;0,S190*100/Q190,0)</f>
        <v>0</v>
      </c>
      <c r="U190" s="102">
        <f>IF(R190&gt;0,S190*100/R190,0)</f>
        <v>0</v>
      </c>
    </row>
    <row r="191" spans="1:21" ht="18.75" hidden="1">
      <c r="A191" s="155"/>
      <c r="B191" s="50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256">
        <f ca="1">IFERROR(__xludf.DUMMYFUNCTION("IMPORTRANGE(""https://docs.google.com/spreadsheets/d/1-uDff_7J0KD5mKrp0Vvzr7lt3OU09vwQwhkpOPPYv2Y/edit?usp=sharing"",""งบพรบ!CU51"")"),433500)</f>
        <v>433500</v>
      </c>
      <c r="M191" s="255">
        <f ca="1">IFERROR(__xludf.DUMMYFUNCTION("IMPORTRANGE(""https://docs.google.com/spreadsheets/d/1-uDff_7J0KD5mKrp0Vvzr7lt3OU09vwQwhkpOPPYv2Y/edit?usp=sharing"",""งบพรบ!CZ51"")"),420260)</f>
        <v>420260</v>
      </c>
      <c r="N191" s="255">
        <f ca="1">IFERROR(__xludf.DUMMYFUNCTION("IMPORTRANGE(""https://docs.google.com/spreadsheets/d/1-uDff_7J0KD5mKrp0Vvzr7lt3OU09vwQwhkpOPPYv2Y/edit?usp=sharing"",""งบพรบ!DB51"")"),345512)</f>
        <v>345512</v>
      </c>
      <c r="O191" s="255">
        <f ca="1">IF(L191&gt;0,N191*100/L191,0)</f>
        <v>79.70288350634371</v>
      </c>
      <c r="P191" s="255">
        <f ca="1">IF(M191&gt;0,N191*100/M191,0)</f>
        <v>82.213867605767859</v>
      </c>
      <c r="Q191" s="255">
        <f ca="1">IFERROR(__xludf.DUMMYFUNCTION("IMPORTRANGE(""https://docs.google.com/spreadsheets/d/1ItG2mGa2ceCfYo0BwxsXqNm01IGEUdYcSSLTEv9YCik/edit?usp=sharing"",""เบิกจ่ายกองทุน!AV51"")"),141400)</f>
        <v>141400</v>
      </c>
      <c r="R191" s="255">
        <f ca="1">IFERROR(__xludf.DUMMYFUNCTION("IMPORTRANGE(""https://docs.google.com/spreadsheets/d/1ItG2mGa2ceCfYo0BwxsXqNm01IGEUdYcSSLTEv9YCik/edit?usp=sharing"",""เบิกจ่ายกองทุน!AW51"")"),155400)</f>
        <v>155400</v>
      </c>
      <c r="S191" s="255">
        <f ca="1">IFERROR(__xludf.DUMMYFUNCTION("IMPORTRANGE(""https://docs.google.com/spreadsheets/d/1ItG2mGa2ceCfYo0BwxsXqNm01IGEUdYcSSLTEv9YCik/edit?usp=sharing"",""เบิกจ่ายกองทุน!AX51"")"),0)</f>
        <v>0</v>
      </c>
      <c r="T191" s="255">
        <f ca="1">IF(Q191&gt;0,S191*100/Q191,0)</f>
        <v>0</v>
      </c>
      <c r="U191" s="255">
        <f ca="1">IF(R191&gt;0,S191*100/R191,0)</f>
        <v>0</v>
      </c>
    </row>
    <row r="192" spans="1:21" ht="18.75">
      <c r="A192" s="155"/>
      <c r="B192" s="50"/>
      <c r="C192" s="50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256">
        <f ca="1">L193+L194</f>
        <v>0</v>
      </c>
      <c r="M192" s="255">
        <f ca="1">M193+M194</f>
        <v>0</v>
      </c>
      <c r="N192" s="255">
        <f ca="1">N193+N194</f>
        <v>0</v>
      </c>
      <c r="O192" s="255">
        <f ca="1">IF(L192&gt;0,N192*100/L192,0)</f>
        <v>0</v>
      </c>
      <c r="P192" s="255">
        <f ca="1">IF(M192&gt;0,N192*100/M192,0)</f>
        <v>0</v>
      </c>
      <c r="Q192" s="255">
        <f>Q193+Q194</f>
        <v>0</v>
      </c>
      <c r="R192" s="255">
        <f>R193+R194</f>
        <v>0</v>
      </c>
      <c r="S192" s="255">
        <f>S193+S194</f>
        <v>0</v>
      </c>
      <c r="T192" s="255">
        <f>IF(Q192&gt;0,S192*100/Q192,0)</f>
        <v>0</v>
      </c>
      <c r="U192" s="255">
        <f>IF(R192&gt;0,S192*100/R192,0)</f>
        <v>0</v>
      </c>
    </row>
    <row r="193" spans="1:21" ht="18.75" hidden="1">
      <c r="A193" s="155"/>
      <c r="B193" s="50"/>
      <c r="C193" s="50"/>
      <c r="D193" s="50"/>
      <c r="E193" s="186" t="s">
        <v>20</v>
      </c>
      <c r="F193" s="50"/>
      <c r="G193" s="52"/>
      <c r="H193" s="189" t="s">
        <v>14</v>
      </c>
      <c r="I193" s="163"/>
      <c r="J193" s="163"/>
      <c r="K193" s="164"/>
      <c r="L193" s="103">
        <v>0</v>
      </c>
      <c r="M193" s="102">
        <v>0</v>
      </c>
      <c r="N193" s="102">
        <v>0</v>
      </c>
      <c r="O193" s="102">
        <f>IF(L193&gt;0,N193*100/L193,0)</f>
        <v>0</v>
      </c>
      <c r="P193" s="102">
        <f>IF(M193&gt;0,N193*100/M193,0)</f>
        <v>0</v>
      </c>
      <c r="Q193" s="102">
        <v>0</v>
      </c>
      <c r="R193" s="102">
        <v>0</v>
      </c>
      <c r="S193" s="102">
        <v>0</v>
      </c>
      <c r="T193" s="102">
        <f>IF(Q193&gt;0,S193*100/Q193,0)</f>
        <v>0</v>
      </c>
      <c r="U193" s="102">
        <f>IF(R193&gt;0,S193*100/R193,0)</f>
        <v>0</v>
      </c>
    </row>
    <row r="194" spans="1:21" ht="18.75" hidden="1">
      <c r="A194" s="155"/>
      <c r="B194" s="50"/>
      <c r="C194" s="50"/>
      <c r="D194" s="50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256">
        <f ca="1">IFERROR(__xludf.DUMMYFUNCTION("IMPORTRANGE(""https://docs.google.com/spreadsheets/d/1-uDff_7J0KD5mKrp0Vvzr7lt3OU09vwQwhkpOPPYv2Y/edit?usp=sharing"",""งบพรบ!CX51"")"),0)</f>
        <v>0</v>
      </c>
      <c r="M194" s="255">
        <f ca="1">IFERROR(__xludf.DUMMYFUNCTION("IMPORTRANGE(""https://docs.google.com/spreadsheets/d/1-uDff_7J0KD5mKrp0Vvzr7lt3OU09vwQwhkpOPPYv2Y/edit?usp=sharing"",""งบพรบ!DA51"")"),0)</f>
        <v>0</v>
      </c>
      <c r="N194" s="255">
        <f ca="1">IFERROR(__xludf.DUMMYFUNCTION("IMPORTRANGE(""https://docs.google.com/spreadsheets/d/1-uDff_7J0KD5mKrp0Vvzr7lt3OU09vwQwhkpOPPYv2Y/edit?usp=sharing"",""งบพรบ!DC51"")"),0)</f>
        <v>0</v>
      </c>
      <c r="O194" s="255">
        <f ca="1">IF(L194&gt;0,N194*100/L194,0)</f>
        <v>0</v>
      </c>
      <c r="P194" s="255">
        <f ca="1">IF(M194&gt;0,N194*100/M194,0)</f>
        <v>0</v>
      </c>
      <c r="Q194" s="255">
        <v>0</v>
      </c>
      <c r="R194" s="255">
        <v>0</v>
      </c>
      <c r="S194" s="255">
        <v>0</v>
      </c>
      <c r="T194" s="255">
        <f>IF(Q194&gt;0,S194*100/Q194,0)</f>
        <v>0</v>
      </c>
      <c r="U194" s="255">
        <f>IF(R194&gt;0,S194*100/R194,0)</f>
        <v>0</v>
      </c>
    </row>
    <row r="195" spans="1:21" ht="19.5">
      <c r="A195" s="241"/>
      <c r="B195" s="242"/>
      <c r="C195" s="243" t="s">
        <v>78</v>
      </c>
      <c r="D195" s="244"/>
      <c r="E195" s="244"/>
      <c r="F195" s="244"/>
      <c r="G195" s="245"/>
      <c r="H195" s="246" t="s">
        <v>79</v>
      </c>
      <c r="I195" s="339">
        <f ca="1">I198</f>
        <v>4</v>
      </c>
      <c r="J195" s="339">
        <f>J198</f>
        <v>2</v>
      </c>
      <c r="K195" s="340">
        <f ca="1">IF(I195&gt;0,J195*100/I195,0)</f>
        <v>50</v>
      </c>
      <c r="L195" s="250"/>
      <c r="M195" s="249"/>
      <c r="N195" s="249"/>
      <c r="O195" s="249"/>
      <c r="P195" s="249"/>
      <c r="Q195" s="249"/>
      <c r="R195" s="249"/>
      <c r="S195" s="249"/>
      <c r="T195" s="249"/>
      <c r="U195" s="249"/>
    </row>
    <row r="196" spans="1:21" ht="19.5">
      <c r="A196" s="155"/>
      <c r="B196" s="50"/>
      <c r="C196" s="156" t="s">
        <v>18</v>
      </c>
      <c r="D196" s="713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541">
        <f ca="1">IFERROR(__xludf.DUMMYFUNCTION("IMPORTRANGE(""https://docs.google.com/spreadsheets/d/1eHaY18a8A9IcSdp1K8H6x8fbOy06t2VsZHhMHf-1x7Y/edit?usp=sharing"",""แผน!AB51"")"),6000)</f>
        <v>6000</v>
      </c>
      <c r="M196" s="55"/>
      <c r="N196" s="716">
        <v>0</v>
      </c>
      <c r="O196" s="540">
        <f ca="1">IF(L196&gt;0,N196*100/L196,0)</f>
        <v>0</v>
      </c>
      <c r="P196" s="540">
        <f>IF(M196&gt;0,N196*100/M196,0)</f>
        <v>0</v>
      </c>
      <c r="Q196" s="55"/>
      <c r="R196" s="55"/>
      <c r="S196" s="55"/>
      <c r="T196" s="55"/>
      <c r="U196" s="55"/>
    </row>
    <row r="197" spans="1:21" ht="19.5">
      <c r="A197" s="166"/>
      <c r="B197" s="167"/>
      <c r="C197" s="156" t="s">
        <v>18</v>
      </c>
      <c r="D197" s="566" t="s">
        <v>38</v>
      </c>
      <c r="E197" s="169"/>
      <c r="F197" s="169"/>
      <c r="G197" s="170"/>
      <c r="H197" s="171"/>
      <c r="I197" s="54"/>
      <c r="J197" s="54"/>
      <c r="K197" s="55"/>
      <c r="L197" s="62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8.75">
      <c r="A198" s="166"/>
      <c r="B198" s="167"/>
      <c r="C198" s="167"/>
      <c r="D198" s="178" t="s">
        <v>80</v>
      </c>
      <c r="E198" s="174"/>
      <c r="F198" s="174"/>
      <c r="G198" s="171"/>
      <c r="H198" s="179" t="s">
        <v>79</v>
      </c>
      <c r="I198" s="212">
        <f ca="1">IFERROR(__xludf.DUMMYFUNCTION("IMPORTRANGE(""https://docs.google.com/spreadsheets/d/1eHaY18a8A9IcSdp1K8H6x8fbOy06t2VsZHhMHf-1x7Y/edit?usp=sharing"",""แผน!AE51"")"),4)</f>
        <v>4</v>
      </c>
      <c r="J198" s="467">
        <v>2</v>
      </c>
      <c r="K198" s="255">
        <f ca="1">IF(I198&gt;0,J198*100/I198,0)</f>
        <v>50</v>
      </c>
      <c r="L198" s="62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8.75">
      <c r="A199" s="166"/>
      <c r="B199" s="167"/>
      <c r="C199" s="167"/>
      <c r="D199" s="178" t="s">
        <v>81</v>
      </c>
      <c r="E199" s="174"/>
      <c r="F199" s="174"/>
      <c r="G199" s="171"/>
      <c r="H199" s="240" t="s">
        <v>35</v>
      </c>
      <c r="I199" s="54"/>
      <c r="J199" s="212">
        <f>J200+J201</f>
        <v>152</v>
      </c>
      <c r="K199" s="55"/>
      <c r="L199" s="62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467">
        <v>152</v>
      </c>
      <c r="K200" s="55"/>
      <c r="L200" s="62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40" t="s">
        <v>35</v>
      </c>
      <c r="I201" s="54"/>
      <c r="J201" s="467">
        <v>0</v>
      </c>
      <c r="K201" s="55"/>
      <c r="L201" s="62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254" t="s">
        <v>85</v>
      </c>
      <c r="I202" s="339">
        <f ca="1">I209</f>
        <v>3</v>
      </c>
      <c r="J202" s="339">
        <f>J209</f>
        <v>0</v>
      </c>
      <c r="K202" s="340">
        <f ca="1">IF(I202&gt;0,J202*100/I202,0)</f>
        <v>0</v>
      </c>
      <c r="L202" s="250"/>
      <c r="M202" s="249"/>
      <c r="N202" s="249"/>
      <c r="O202" s="249"/>
      <c r="P202" s="249"/>
      <c r="Q202" s="249"/>
      <c r="R202" s="249"/>
      <c r="S202" s="249"/>
      <c r="T202" s="249"/>
      <c r="U202" s="249"/>
    </row>
    <row r="203" spans="1:21" ht="19.5">
      <c r="A203" s="155"/>
      <c r="B203" s="50"/>
      <c r="C203" s="156" t="s">
        <v>18</v>
      </c>
      <c r="D203" s="713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541">
        <f ca="1">L204+L205+L206+L207</f>
        <v>10000</v>
      </c>
      <c r="M203" s="55"/>
      <c r="N203" s="540">
        <f>N204+N205+N206+N207</f>
        <v>0</v>
      </c>
      <c r="O203" s="540">
        <f ca="1">IF(L203&gt;0,N203*100/L203,0)</f>
        <v>0</v>
      </c>
      <c r="P203" s="540">
        <f>IF(M203&gt;0,N203*100/M203,0)</f>
        <v>0</v>
      </c>
      <c r="Q203" s="715">
        <f ca="1">Q204+Q205+Q206+Q207</f>
        <v>42000</v>
      </c>
      <c r="R203" s="350"/>
      <c r="S203" s="714">
        <f>S204+S205+S206+S207</f>
        <v>0</v>
      </c>
      <c r="T203" s="714">
        <f ca="1">IF(Q203&gt;0,S203*100/Q203,0)</f>
        <v>0</v>
      </c>
      <c r="U203" s="714">
        <f>IF(R203&gt;0,S203*100/R203,0)</f>
        <v>0</v>
      </c>
    </row>
    <row r="204" spans="1:21" ht="18.75">
      <c r="A204" s="155"/>
      <c r="B204" s="188"/>
      <c r="C204" s="50"/>
      <c r="D204" s="712" t="s">
        <v>310</v>
      </c>
      <c r="E204" s="50"/>
      <c r="F204" s="50"/>
      <c r="G204" s="52"/>
      <c r="H204" s="162" t="s">
        <v>14</v>
      </c>
      <c r="I204" s="163"/>
      <c r="J204" s="163"/>
      <c r="K204" s="164"/>
      <c r="L204" s="256">
        <f ca="1">IFERROR(__xludf.DUMMYFUNCTION("IMPORTRANGE(""https://docs.google.com/spreadsheets/d/1eHaY18a8A9IcSdp1K8H6x8fbOy06t2VsZHhMHf-1x7Y/edit?usp=sharing"",""แผน!AG51"")"),2000)</f>
        <v>2000</v>
      </c>
      <c r="M204" s="55"/>
      <c r="N204" s="702">
        <v>0</v>
      </c>
      <c r="O204" s="164"/>
      <c r="P204" s="55"/>
      <c r="Q204" s="256">
        <v>0</v>
      </c>
      <c r="R204" s="55"/>
      <c r="S204" s="255">
        <v>0</v>
      </c>
      <c r="T204" s="164"/>
      <c r="U204" s="55"/>
    </row>
    <row r="205" spans="1:21" ht="18.75">
      <c r="A205" s="238"/>
      <c r="B205" s="188"/>
      <c r="C205" s="50"/>
      <c r="D205" s="58" t="s">
        <v>308</v>
      </c>
      <c r="E205" s="50"/>
      <c r="F205" s="50"/>
      <c r="G205" s="52"/>
      <c r="H205" s="53" t="s">
        <v>14</v>
      </c>
      <c r="I205" s="54"/>
      <c r="J205" s="54"/>
      <c r="K205" s="55"/>
      <c r="L205" s="256">
        <f ca="1">IFERROR(__xludf.DUMMYFUNCTION("IMPORTRANGE(""https://docs.google.com/spreadsheets/d/1eHaY18a8A9IcSdp1K8H6x8fbOy06t2VsZHhMHf-1x7Y/edit?usp=sharing"",""แผน!AH51"")"),0)</f>
        <v>0</v>
      </c>
      <c r="M205" s="55"/>
      <c r="N205" s="702">
        <v>0</v>
      </c>
      <c r="O205" s="164"/>
      <c r="P205" s="55"/>
      <c r="Q205" s="256">
        <v>0</v>
      </c>
      <c r="R205" s="55"/>
      <c r="S205" s="255">
        <v>0</v>
      </c>
      <c r="T205" s="164"/>
      <c r="U205" s="55"/>
    </row>
    <row r="206" spans="1:21" ht="18.75">
      <c r="A206" s="238"/>
      <c r="B206" s="188"/>
      <c r="C206" s="50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256">
        <f ca="1">IFERROR(__xludf.DUMMYFUNCTION("IMPORTRANGE(""https://docs.google.com/spreadsheets/d/1eHaY18a8A9IcSdp1K8H6x8fbOy06t2VsZHhMHf-1x7Y/edit?usp=sharing"",""แผน!AI51"")"),0)</f>
        <v>0</v>
      </c>
      <c r="M206" s="55"/>
      <c r="N206" s="702">
        <v>0</v>
      </c>
      <c r="O206" s="164"/>
      <c r="P206" s="55"/>
      <c r="Q206" s="256">
        <f ca="1">IFERROR(__xludf.DUMMYFUNCTION("IMPORTRANGE(""https://docs.google.com/spreadsheets/d/1eHaY18a8A9IcSdp1K8H6x8fbOy06t2VsZHhMHf-1x7Y/edit?usp=sharing"",""แผน!LV51"")"),42000)</f>
        <v>42000</v>
      </c>
      <c r="R206" s="55"/>
      <c r="S206" s="702">
        <v>0</v>
      </c>
      <c r="T206" s="164"/>
      <c r="U206" s="55"/>
    </row>
    <row r="207" spans="1:21" ht="18.75">
      <c r="A207" s="238"/>
      <c r="B207" s="188"/>
      <c r="C207" s="50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256">
        <f ca="1">IFERROR(__xludf.DUMMYFUNCTION("IMPORTRANGE(""https://docs.google.com/spreadsheets/d/1eHaY18a8A9IcSdp1K8H6x8fbOy06t2VsZHhMHf-1x7Y/edit?usp=sharing"",""แผน!AJ51"")"),8000)</f>
        <v>8000</v>
      </c>
      <c r="M207" s="55"/>
      <c r="N207" s="702">
        <v>0</v>
      </c>
      <c r="O207" s="164"/>
      <c r="P207" s="55"/>
      <c r="Q207" s="256">
        <v>0</v>
      </c>
      <c r="R207" s="55"/>
      <c r="S207" s="255">
        <v>0</v>
      </c>
      <c r="T207" s="164"/>
      <c r="U207" s="55"/>
    </row>
    <row r="208" spans="1:21" ht="19.5">
      <c r="A208" s="166"/>
      <c r="B208" s="167"/>
      <c r="C208" s="156" t="s">
        <v>18</v>
      </c>
      <c r="D208" s="566" t="s">
        <v>38</v>
      </c>
      <c r="E208" s="169"/>
      <c r="F208" s="169"/>
      <c r="G208" s="170"/>
      <c r="H208" s="171"/>
      <c r="I208" s="163"/>
      <c r="J208" s="163"/>
      <c r="K208" s="164"/>
      <c r="L208" s="172"/>
      <c r="M208" s="164"/>
      <c r="N208" s="164"/>
      <c r="O208" s="164"/>
      <c r="P208" s="164"/>
      <c r="Q208" s="172"/>
      <c r="R208" s="164"/>
      <c r="S208" s="164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257" t="s">
        <v>85</v>
      </c>
      <c r="I209" s="212">
        <f ca="1">IFERROR(__xludf.DUMMYFUNCTION("IMPORTRANGE(""https://docs.google.com/spreadsheets/d/1eHaY18a8A9IcSdp1K8H6x8fbOy06t2VsZHhMHf-1x7Y/edit?usp=sharing"",""แผน!AK51"")"),3)</f>
        <v>3</v>
      </c>
      <c r="J209" s="467">
        <v>0</v>
      </c>
      <c r="K209" s="565">
        <f ca="1">IF(I209&gt;0,J209*100/I209,0)</f>
        <v>0</v>
      </c>
      <c r="L209" s="62"/>
      <c r="M209" s="55"/>
      <c r="N209" s="55"/>
      <c r="O209" s="55"/>
      <c r="P209" s="55"/>
      <c r="Q209" s="62"/>
      <c r="R209" s="55"/>
      <c r="S209" s="55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171"/>
      <c r="I210" s="54"/>
      <c r="J210" s="54"/>
      <c r="K210" s="164"/>
      <c r="L210" s="62"/>
      <c r="M210" s="55"/>
      <c r="N210" s="55"/>
      <c r="O210" s="55"/>
      <c r="P210" s="55"/>
      <c r="Q210" s="62"/>
      <c r="R210" s="55"/>
      <c r="S210" s="55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257" t="s">
        <v>85</v>
      </c>
      <c r="I211" s="212">
        <f ca="1">IFERROR(__xludf.DUMMYFUNCTION("IMPORTRANGE(""https://docs.google.com/spreadsheets/d/1eHaY18a8A9IcSdp1K8H6x8fbOy06t2VsZHhMHf-1x7Y/edit?usp=sharing"",""แผน!JX51"")"),2)</f>
        <v>2</v>
      </c>
      <c r="J211" s="467">
        <v>0</v>
      </c>
      <c r="K211" s="565">
        <f ca="1">IF(I211&gt;0,J211*100/I211,0)</f>
        <v>0</v>
      </c>
      <c r="L211" s="62"/>
      <c r="M211" s="55"/>
      <c r="N211" s="55"/>
      <c r="O211" s="55"/>
      <c r="P211" s="55"/>
      <c r="Q211" s="62"/>
      <c r="R211" s="55"/>
      <c r="S211" s="55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79" t="s">
        <v>93</v>
      </c>
      <c r="I212" s="212">
        <f ca="1">IFERROR(__xludf.DUMMYFUNCTION("IMPORTRANGE(""https://docs.google.com/spreadsheets/d/1eHaY18a8A9IcSdp1K8H6x8fbOy06t2VsZHhMHf-1x7Y/edit?usp=sharing"",""แผน!JY51"")"),0)</f>
        <v>0</v>
      </c>
      <c r="J212" s="467">
        <v>0</v>
      </c>
      <c r="K212" s="565">
        <f ca="1">IF(I212&gt;0,J212*100/I212,0)</f>
        <v>0</v>
      </c>
      <c r="L212" s="62"/>
      <c r="M212" s="55"/>
      <c r="N212" s="55"/>
      <c r="O212" s="55"/>
      <c r="P212" s="55"/>
      <c r="Q212" s="62"/>
      <c r="R212" s="55"/>
      <c r="S212" s="55"/>
      <c r="T212" s="55"/>
      <c r="U212" s="55"/>
    </row>
    <row r="213" spans="1:21" ht="19.5">
      <c r="A213" s="241"/>
      <c r="B213" s="242"/>
      <c r="C213" s="243" t="s">
        <v>94</v>
      </c>
      <c r="D213" s="244"/>
      <c r="E213" s="244"/>
      <c r="F213" s="244"/>
      <c r="G213" s="245"/>
      <c r="H213" s="254" t="s">
        <v>85</v>
      </c>
      <c r="I213" s="339">
        <f ca="1">I220</f>
        <v>2</v>
      </c>
      <c r="J213" s="339">
        <f>J220</f>
        <v>0</v>
      </c>
      <c r="K213" s="340">
        <f ca="1">IF(I213&gt;0,J213*100/I213,0)</f>
        <v>0</v>
      </c>
      <c r="L213" s="250"/>
      <c r="M213" s="249"/>
      <c r="N213" s="249"/>
      <c r="O213" s="249"/>
      <c r="P213" s="249"/>
      <c r="Q213" s="250"/>
      <c r="R213" s="249"/>
      <c r="S213" s="249"/>
      <c r="T213" s="249"/>
      <c r="U213" s="249"/>
    </row>
    <row r="214" spans="1:21" ht="19.5">
      <c r="A214" s="155"/>
      <c r="B214" s="50"/>
      <c r="C214" s="156" t="s">
        <v>18</v>
      </c>
      <c r="D214" s="713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541">
        <f ca="1">L215+L216+L217</f>
        <v>12000</v>
      </c>
      <c r="M214" s="55"/>
      <c r="N214" s="540">
        <f>N215+N216+N217</f>
        <v>0</v>
      </c>
      <c r="O214" s="540">
        <f ca="1">IF(L214&gt;0,N214*100/L214,0)</f>
        <v>0</v>
      </c>
      <c r="P214" s="540">
        <f>IF(M214&gt;0,N214*100/M214,0)</f>
        <v>0</v>
      </c>
      <c r="Q214" s="541">
        <f ca="1">Q215+Q216+Q217</f>
        <v>99400</v>
      </c>
      <c r="R214" s="55"/>
      <c r="S214" s="540">
        <f>S215+S216+S217</f>
        <v>0</v>
      </c>
      <c r="T214" s="540">
        <f ca="1">IF(Q214&gt;0,S214*100/Q214,0)</f>
        <v>0</v>
      </c>
      <c r="U214" s="540">
        <f>IF(R214&gt;0,S214*100/R214,0)</f>
        <v>0</v>
      </c>
    </row>
    <row r="215" spans="1:21" ht="18.75">
      <c r="A215" s="155"/>
      <c r="B215" s="188"/>
      <c r="C215" s="50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256">
        <f ca="1">IFERROR(__xludf.DUMMYFUNCTION("IMPORTRANGE(""https://docs.google.com/spreadsheets/d/1eHaY18a8A9IcSdp1K8H6x8fbOy06t2VsZHhMHf-1x7Y/edit?usp=sharing"",""แผน!AM51"")"),2000)</f>
        <v>2000</v>
      </c>
      <c r="M215" s="55"/>
      <c r="N215" s="702">
        <v>0</v>
      </c>
      <c r="O215" s="164"/>
      <c r="P215" s="55"/>
      <c r="Q215" s="256">
        <v>0</v>
      </c>
      <c r="R215" s="55"/>
      <c r="S215" s="255">
        <v>0</v>
      </c>
      <c r="T215" s="164"/>
      <c r="U215" s="55"/>
    </row>
    <row r="216" spans="1:21" ht="18.75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256">
        <f ca="1">IFERROR(__xludf.DUMMYFUNCTION("IMPORTRANGE(""https://docs.google.com/spreadsheets/d/1eHaY18a8A9IcSdp1K8H6x8fbOy06t2VsZHhMHf-1x7Y/edit?usp=sharing"",""แผน!AN51"")"),10000)</f>
        <v>10000</v>
      </c>
      <c r="M216" s="55"/>
      <c r="N216" s="702">
        <v>0</v>
      </c>
      <c r="O216" s="164"/>
      <c r="P216" s="55"/>
      <c r="Q216" s="256">
        <v>0</v>
      </c>
      <c r="R216" s="55"/>
      <c r="S216" s="255">
        <v>0</v>
      </c>
      <c r="T216" s="164"/>
      <c r="U216" s="55"/>
    </row>
    <row r="217" spans="1:21" ht="18.75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256">
        <f ca="1">IFERROR(__xludf.DUMMYFUNCTION("IMPORTRANGE(""https://docs.google.com/spreadsheets/d/1eHaY18a8A9IcSdp1K8H6x8fbOy06t2VsZHhMHf-1x7Y/edit?usp=sharing"",""แผน!AO51"")"),0)</f>
        <v>0</v>
      </c>
      <c r="M217" s="55"/>
      <c r="N217" s="702">
        <v>0</v>
      </c>
      <c r="O217" s="164"/>
      <c r="P217" s="55"/>
      <c r="Q217" s="256">
        <f ca="1">IFERROR(__xludf.DUMMYFUNCTION("IMPORTRANGE(""https://docs.google.com/spreadsheets/d/1eHaY18a8A9IcSdp1K8H6x8fbOy06t2VsZHhMHf-1x7Y/edit?usp=sharing"",""แผน!LY51"")"),99400)</f>
        <v>99400</v>
      </c>
      <c r="R217" s="55"/>
      <c r="S217" s="702">
        <v>0</v>
      </c>
      <c r="T217" s="164"/>
      <c r="U217" s="55"/>
    </row>
    <row r="218" spans="1:21" ht="19.5">
      <c r="A218" s="166"/>
      <c r="B218" s="167"/>
      <c r="C218" s="191" t="s">
        <v>18</v>
      </c>
      <c r="D218" s="566" t="s">
        <v>38</v>
      </c>
      <c r="E218" s="169"/>
      <c r="F218" s="169"/>
      <c r="G218" s="170"/>
      <c r="H218" s="171"/>
      <c r="I218" s="163"/>
      <c r="J218" s="54"/>
      <c r="K218" s="55"/>
      <c r="L218" s="62"/>
      <c r="M218" s="55"/>
      <c r="N218" s="55"/>
      <c r="O218" s="164"/>
      <c r="P218" s="164"/>
      <c r="Q218" s="62"/>
      <c r="R218" s="55"/>
      <c r="S218" s="55"/>
      <c r="T218" s="164"/>
      <c r="U218" s="164"/>
    </row>
    <row r="219" spans="1:21" ht="18.75">
      <c r="A219" s="166"/>
      <c r="B219" s="167"/>
      <c r="C219" s="167"/>
      <c r="D219" s="173" t="s">
        <v>96</v>
      </c>
      <c r="E219" s="174"/>
      <c r="F219" s="174"/>
      <c r="G219" s="171"/>
      <c r="H219" s="257" t="s">
        <v>85</v>
      </c>
      <c r="I219" s="212">
        <f ca="1">IFERROR(__xludf.DUMMYFUNCTION("IMPORTRANGE(""https://docs.google.com/spreadsheets/d/1eHaY18a8A9IcSdp1K8H6x8fbOy06t2VsZHhMHf-1x7Y/edit?usp=sharing"",""แผน!AP51"")"),2)</f>
        <v>2</v>
      </c>
      <c r="J219" s="467">
        <v>0</v>
      </c>
      <c r="K219" s="255">
        <f ca="1">IF(I219&gt;0,J219*100/I219,0)</f>
        <v>0</v>
      </c>
      <c r="L219" s="62"/>
      <c r="M219" s="55"/>
      <c r="N219" s="55"/>
      <c r="O219" s="55"/>
      <c r="P219" s="55"/>
      <c r="Q219" s="62"/>
      <c r="R219" s="55"/>
      <c r="S219" s="55"/>
      <c r="T219" s="55"/>
      <c r="U219" s="55"/>
    </row>
    <row r="220" spans="1:21" ht="18.75">
      <c r="A220" s="166"/>
      <c r="B220" s="167"/>
      <c r="C220" s="167"/>
      <c r="D220" s="173" t="s">
        <v>97</v>
      </c>
      <c r="E220" s="174"/>
      <c r="F220" s="174"/>
      <c r="G220" s="171"/>
      <c r="H220" s="257" t="s">
        <v>85</v>
      </c>
      <c r="I220" s="212">
        <f ca="1">IFERROR(__xludf.DUMMYFUNCTION("IMPORTRANGE(""https://docs.google.com/spreadsheets/d/1eHaY18a8A9IcSdp1K8H6x8fbOy06t2VsZHhMHf-1x7Y/edit?usp=sharing"",""แผน!AP51"")"),2)</f>
        <v>2</v>
      </c>
      <c r="J220" s="467">
        <v>0</v>
      </c>
      <c r="K220" s="255">
        <f ca="1">IF(I220&gt;0,J220*100/I220,0)</f>
        <v>0</v>
      </c>
      <c r="L220" s="62"/>
      <c r="M220" s="55"/>
      <c r="N220" s="55"/>
      <c r="O220" s="55"/>
      <c r="P220" s="55"/>
      <c r="Q220" s="62"/>
      <c r="R220" s="55"/>
      <c r="S220" s="55"/>
      <c r="T220" s="55"/>
      <c r="U220" s="55"/>
    </row>
    <row r="221" spans="1:21" ht="19.5">
      <c r="A221" s="241"/>
      <c r="B221" s="242"/>
      <c r="C221" s="243" t="s">
        <v>98</v>
      </c>
      <c r="D221" s="244"/>
      <c r="E221" s="244"/>
      <c r="F221" s="244"/>
      <c r="G221" s="245"/>
      <c r="H221" s="246" t="s">
        <v>99</v>
      </c>
      <c r="I221" s="339">
        <f ca="1">I229</f>
        <v>30000</v>
      </c>
      <c r="J221" s="339">
        <f>J229</f>
        <v>0</v>
      </c>
      <c r="K221" s="340">
        <f ca="1">IF(I221&gt;0,J221*100/I221,0)</f>
        <v>0</v>
      </c>
      <c r="L221" s="250"/>
      <c r="M221" s="249"/>
      <c r="N221" s="249"/>
      <c r="O221" s="249"/>
      <c r="P221" s="249"/>
      <c r="Q221" s="249"/>
      <c r="R221" s="249"/>
      <c r="S221" s="249"/>
      <c r="T221" s="249"/>
      <c r="U221" s="249"/>
    </row>
    <row r="222" spans="1:21" ht="19.5">
      <c r="A222" s="155"/>
      <c r="B222" s="50"/>
      <c r="C222" s="156" t="s">
        <v>18</v>
      </c>
      <c r="D222" s="713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541">
        <f ca="1">L223+L224+L225</f>
        <v>6500</v>
      </c>
      <c r="M222" s="55"/>
      <c r="N222" s="540">
        <f>N223+N224+N225</f>
        <v>0</v>
      </c>
      <c r="O222" s="540">
        <f ca="1">IF(L222&gt;0,N222*100/L222,0)</f>
        <v>0</v>
      </c>
      <c r="P222" s="540">
        <f>IF(M222&gt;0,N222*100/M222,0)</f>
        <v>0</v>
      </c>
      <c r="Q222" s="55"/>
      <c r="R222" s="55"/>
      <c r="S222" s="55"/>
      <c r="T222" s="55"/>
      <c r="U222" s="55"/>
    </row>
    <row r="223" spans="1:21" ht="18.75">
      <c r="A223" s="155"/>
      <c r="B223" s="188"/>
      <c r="C223" s="50"/>
      <c r="D223" s="58" t="s">
        <v>86</v>
      </c>
      <c r="E223" s="50"/>
      <c r="F223" s="50"/>
      <c r="G223" s="52"/>
      <c r="H223" s="162" t="s">
        <v>14</v>
      </c>
      <c r="I223" s="163"/>
      <c r="J223" s="163"/>
      <c r="K223" s="164"/>
      <c r="L223" s="256">
        <f ca="1">IFERROR(__xludf.DUMMYFUNCTION("IMPORTRANGE(""https://docs.google.com/spreadsheets/d/1eHaY18a8A9IcSdp1K8H6x8fbOy06t2VsZHhMHf-1x7Y/edit?usp=sharing"",""แผน!AR51"")"),2500)</f>
        <v>2500</v>
      </c>
      <c r="M223" s="55"/>
      <c r="N223" s="702">
        <v>0</v>
      </c>
      <c r="O223" s="164"/>
      <c r="P223" s="55"/>
      <c r="Q223" s="55"/>
      <c r="R223" s="55"/>
      <c r="S223" s="55"/>
      <c r="T223" s="164"/>
      <c r="U223" s="55"/>
    </row>
    <row r="224" spans="1:21" ht="18.75">
      <c r="A224" s="238"/>
      <c r="B224" s="188"/>
      <c r="C224" s="188"/>
      <c r="D224" s="58" t="s">
        <v>308</v>
      </c>
      <c r="E224" s="50"/>
      <c r="F224" s="50"/>
      <c r="G224" s="52"/>
      <c r="H224" s="162" t="s">
        <v>14</v>
      </c>
      <c r="I224" s="54"/>
      <c r="J224" s="54"/>
      <c r="K224" s="55"/>
      <c r="L224" s="256">
        <f ca="1">IFERROR(__xludf.DUMMYFUNCTION("IMPORTRANGE(""https://docs.google.com/spreadsheets/d/1eHaY18a8A9IcSdp1K8H6x8fbOy06t2VsZHhMHf-1x7Y/edit?usp=sharing"",""แผน!AS51"")"),4000)</f>
        <v>4000</v>
      </c>
      <c r="M224" s="55"/>
      <c r="N224" s="702">
        <v>0</v>
      </c>
      <c r="O224" s="164"/>
      <c r="P224" s="55"/>
      <c r="Q224" s="55"/>
      <c r="R224" s="55"/>
      <c r="S224" s="55"/>
      <c r="T224" s="164"/>
      <c r="U224" s="55"/>
    </row>
    <row r="225" spans="1:21" ht="18.75">
      <c r="A225" s="238"/>
      <c r="B225" s="188"/>
      <c r="C225" s="188"/>
      <c r="D225" s="58" t="s">
        <v>88</v>
      </c>
      <c r="E225" s="50"/>
      <c r="F225" s="50"/>
      <c r="G225" s="52"/>
      <c r="H225" s="162" t="s">
        <v>14</v>
      </c>
      <c r="I225" s="54"/>
      <c r="J225" s="54"/>
      <c r="K225" s="55"/>
      <c r="L225" s="256">
        <f ca="1">IFERROR(__xludf.DUMMYFUNCTION("IMPORTRANGE(""https://docs.google.com/spreadsheets/d/1eHaY18a8A9IcSdp1K8H6x8fbOy06t2VsZHhMHf-1x7Y/edit?usp=sharing"",""แผน!AT51"")"),0)</f>
        <v>0</v>
      </c>
      <c r="M225" s="55"/>
      <c r="N225" s="702">
        <v>0</v>
      </c>
      <c r="O225" s="164"/>
      <c r="P225" s="55"/>
      <c r="Q225" s="55"/>
      <c r="R225" s="55"/>
      <c r="S225" s="55"/>
      <c r="T225" s="164"/>
      <c r="U225" s="55"/>
    </row>
    <row r="226" spans="1:21" ht="19.5">
      <c r="A226" s="166"/>
      <c r="B226" s="167"/>
      <c r="C226" s="191" t="s">
        <v>18</v>
      </c>
      <c r="D226" s="566" t="s">
        <v>38</v>
      </c>
      <c r="E226" s="169"/>
      <c r="F226" s="169"/>
      <c r="G226" s="170"/>
      <c r="H226" s="171"/>
      <c r="I226" s="163"/>
      <c r="J226" s="163"/>
      <c r="K226" s="164"/>
      <c r="L226" s="172"/>
      <c r="M226" s="164"/>
      <c r="N226" s="164"/>
      <c r="O226" s="164"/>
      <c r="P226" s="164"/>
      <c r="Q226" s="164"/>
      <c r="R226" s="164"/>
      <c r="S226" s="164"/>
      <c r="T226" s="164"/>
      <c r="U226" s="164"/>
    </row>
    <row r="227" spans="1:21" ht="18.75">
      <c r="A227" s="166"/>
      <c r="B227" s="167"/>
      <c r="C227" s="167"/>
      <c r="D227" s="58" t="s">
        <v>101</v>
      </c>
      <c r="E227" s="174"/>
      <c r="F227" s="174"/>
      <c r="G227" s="171"/>
      <c r="H227" s="171"/>
      <c r="I227" s="54"/>
      <c r="J227" s="54"/>
      <c r="K227" s="164"/>
      <c r="L227" s="172"/>
      <c r="M227" s="164"/>
      <c r="N227" s="164"/>
      <c r="O227" s="164"/>
      <c r="P227" s="164"/>
      <c r="Q227" s="164"/>
      <c r="R227" s="164"/>
      <c r="S227" s="164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79" t="s">
        <v>99</v>
      </c>
      <c r="I228" s="212">
        <f ca="1">IFERROR(__xludf.DUMMYFUNCTION("IMPORTRANGE(""https://docs.google.com/spreadsheets/d/1eHaY18a8A9IcSdp1K8H6x8fbOy06t2VsZHhMHf-1x7Y/edit?usp=sharing"",""แผน!AV51"")"),30000)</f>
        <v>30000</v>
      </c>
      <c r="J228" s="467">
        <v>0</v>
      </c>
      <c r="K228" s="565">
        <f ca="1">IF(I228&gt;0,J228*100/I228,0)</f>
        <v>0</v>
      </c>
      <c r="L228" s="172"/>
      <c r="M228" s="164"/>
      <c r="N228" s="164"/>
      <c r="O228" s="164"/>
      <c r="P228" s="164"/>
      <c r="Q228" s="164"/>
      <c r="R228" s="164"/>
      <c r="S228" s="164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79" t="s">
        <v>99</v>
      </c>
      <c r="I229" s="212">
        <f ca="1">IFERROR(__xludf.DUMMYFUNCTION("IMPORTRANGE(""https://docs.google.com/spreadsheets/d/1eHaY18a8A9IcSdp1K8H6x8fbOy06t2VsZHhMHf-1x7Y/edit?usp=sharing"",""แผน!AV51"")"),30000)</f>
        <v>30000</v>
      </c>
      <c r="J229" s="467">
        <v>0</v>
      </c>
      <c r="K229" s="565">
        <f ca="1">IF(I229&gt;0,J229*100/I229,0)</f>
        <v>0</v>
      </c>
      <c r="L229" s="62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79" t="s">
        <v>35</v>
      </c>
      <c r="I230" s="212">
        <f ca="1">IFERROR(__xludf.DUMMYFUNCTION("IMPORTRANGE(""https://docs.google.com/spreadsheets/d/1eHaY18a8A9IcSdp1K8H6x8fbOy06t2VsZHhMHf-1x7Y/edit?usp=sharing"",""แผน!AU51"")"),0)</f>
        <v>0</v>
      </c>
      <c r="J230" s="467">
        <v>0</v>
      </c>
      <c r="K230" s="565">
        <f ca="1">IF(I230&gt;0,J230*100/I230,0)</f>
        <v>0</v>
      </c>
      <c r="L230" s="62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9.5" hidden="1">
      <c r="A231" s="812"/>
      <c r="B231" s="811"/>
      <c r="C231" s="707" t="s">
        <v>105</v>
      </c>
      <c r="D231" s="810"/>
      <c r="E231" s="810"/>
      <c r="F231" s="810"/>
      <c r="G231" s="809"/>
      <c r="H231" s="706" t="s">
        <v>35</v>
      </c>
      <c r="I231" s="705">
        <f ca="1">I242+I253</f>
        <v>40</v>
      </c>
      <c r="J231" s="705">
        <f>J242+J253</f>
        <v>40</v>
      </c>
      <c r="K231" s="704">
        <f ca="1">IF(I231&gt;0,J231*100/I231,0)</f>
        <v>100</v>
      </c>
      <c r="L231" s="893"/>
      <c r="M231" s="839"/>
      <c r="N231" s="839"/>
      <c r="O231" s="839"/>
      <c r="P231" s="839"/>
      <c r="Q231" s="839"/>
      <c r="R231" s="839"/>
      <c r="S231" s="839"/>
      <c r="T231" s="839"/>
      <c r="U231" s="839"/>
    </row>
    <row r="232" spans="1:21" ht="19.5" hidden="1">
      <c r="A232" s="673"/>
      <c r="B232" s="672"/>
      <c r="C232" s="591" t="s">
        <v>18</v>
      </c>
      <c r="D232" s="562" t="s">
        <v>19</v>
      </c>
      <c r="E232" s="672"/>
      <c r="F232" s="672"/>
      <c r="G232" s="671"/>
      <c r="H232" s="418" t="s">
        <v>14</v>
      </c>
      <c r="I232" s="670"/>
      <c r="J232" s="670"/>
      <c r="K232" s="669"/>
      <c r="L232" s="711">
        <f ca="1">L243+L254</f>
        <v>185000</v>
      </c>
      <c r="M232" s="676"/>
      <c r="N232" s="710">
        <f>N243+N254</f>
        <v>81000</v>
      </c>
      <c r="O232" s="676"/>
      <c r="P232" s="676"/>
      <c r="Q232" s="676"/>
      <c r="R232" s="676"/>
      <c r="S232" s="676"/>
      <c r="T232" s="676"/>
      <c r="U232" s="676"/>
    </row>
    <row r="233" spans="1:21" ht="18.75" hidden="1">
      <c r="A233" s="673"/>
      <c r="B233" s="807"/>
      <c r="C233" s="672"/>
      <c r="D233" s="892" t="s">
        <v>310</v>
      </c>
      <c r="E233" s="672"/>
      <c r="F233" s="672"/>
      <c r="G233" s="671"/>
      <c r="H233" s="189" t="s">
        <v>14</v>
      </c>
      <c r="I233" s="670"/>
      <c r="J233" s="670"/>
      <c r="K233" s="669"/>
      <c r="L233" s="103">
        <f ca="1">L244+L255</f>
        <v>13000</v>
      </c>
      <c r="M233" s="676"/>
      <c r="N233" s="102">
        <f>N244+N255</f>
        <v>0</v>
      </c>
      <c r="O233" s="676"/>
      <c r="P233" s="676"/>
      <c r="Q233" s="709">
        <v>0</v>
      </c>
      <c r="R233" s="708">
        <v>0</v>
      </c>
      <c r="S233" s="708">
        <v>0</v>
      </c>
      <c r="T233" s="676"/>
      <c r="U233" s="676"/>
    </row>
    <row r="234" spans="1:21" ht="18.75" hidden="1">
      <c r="A234" s="808"/>
      <c r="B234" s="807"/>
      <c r="C234" s="807"/>
      <c r="D234" s="186" t="s">
        <v>87</v>
      </c>
      <c r="E234" s="672"/>
      <c r="F234" s="672"/>
      <c r="G234" s="671"/>
      <c r="H234" s="189" t="s">
        <v>14</v>
      </c>
      <c r="I234" s="677"/>
      <c r="J234" s="677"/>
      <c r="K234" s="676"/>
      <c r="L234" s="103">
        <f ca="1">L245+L256</f>
        <v>91000</v>
      </c>
      <c r="M234" s="676"/>
      <c r="N234" s="102">
        <f>N245+N256</f>
        <v>0</v>
      </c>
      <c r="O234" s="676"/>
      <c r="P234" s="676"/>
      <c r="Q234" s="256">
        <v>0</v>
      </c>
      <c r="R234" s="255">
        <v>0</v>
      </c>
      <c r="S234" s="255">
        <v>0</v>
      </c>
      <c r="T234" s="676"/>
      <c r="U234" s="676"/>
    </row>
    <row r="235" spans="1:21" ht="18.75" hidden="1">
      <c r="A235" s="808"/>
      <c r="B235" s="807"/>
      <c r="C235" s="807"/>
      <c r="D235" s="186" t="s">
        <v>88</v>
      </c>
      <c r="E235" s="672"/>
      <c r="F235" s="672"/>
      <c r="G235" s="671"/>
      <c r="H235" s="189" t="s">
        <v>14</v>
      </c>
      <c r="I235" s="677"/>
      <c r="J235" s="677"/>
      <c r="K235" s="676"/>
      <c r="L235" s="103">
        <f ca="1">L246+L257</f>
        <v>48000</v>
      </c>
      <c r="M235" s="676"/>
      <c r="N235" s="102">
        <f>N246+N257</f>
        <v>48000</v>
      </c>
      <c r="O235" s="676"/>
      <c r="P235" s="676"/>
      <c r="Q235" s="256">
        <v>0</v>
      </c>
      <c r="R235" s="255">
        <v>0</v>
      </c>
      <c r="S235" s="255">
        <v>0</v>
      </c>
      <c r="T235" s="676"/>
      <c r="U235" s="676"/>
    </row>
    <row r="236" spans="1:21" ht="18.75" hidden="1">
      <c r="A236" s="808"/>
      <c r="B236" s="807"/>
      <c r="C236" s="807"/>
      <c r="D236" s="186" t="s">
        <v>89</v>
      </c>
      <c r="E236" s="672"/>
      <c r="F236" s="672"/>
      <c r="G236" s="671"/>
      <c r="H236" s="189" t="s">
        <v>14</v>
      </c>
      <c r="I236" s="677"/>
      <c r="J236" s="677"/>
      <c r="K236" s="676"/>
      <c r="L236" s="103">
        <f ca="1">L247+L258</f>
        <v>33000</v>
      </c>
      <c r="M236" s="676"/>
      <c r="N236" s="102">
        <f>N247+N258</f>
        <v>33000</v>
      </c>
      <c r="O236" s="676"/>
      <c r="P236" s="676"/>
      <c r="Q236" s="256">
        <v>0</v>
      </c>
      <c r="R236" s="255">
        <v>0</v>
      </c>
      <c r="S236" s="255">
        <v>0</v>
      </c>
      <c r="T236" s="676"/>
      <c r="U236" s="676"/>
    </row>
    <row r="237" spans="1:21" ht="19.5" hidden="1">
      <c r="A237" s="804"/>
      <c r="B237" s="803"/>
      <c r="C237" s="701" t="s">
        <v>18</v>
      </c>
      <c r="D237" s="574" t="s">
        <v>38</v>
      </c>
      <c r="E237" s="806"/>
      <c r="F237" s="806"/>
      <c r="G237" s="805"/>
      <c r="H237" s="801"/>
      <c r="I237" s="670"/>
      <c r="J237" s="677"/>
      <c r="K237" s="676"/>
      <c r="L237" s="891"/>
      <c r="M237" s="676"/>
      <c r="N237" s="676"/>
      <c r="O237" s="669"/>
      <c r="P237" s="669"/>
      <c r="Q237" s="676"/>
      <c r="R237" s="676"/>
      <c r="S237" s="676"/>
      <c r="T237" s="669"/>
      <c r="U237" s="669"/>
    </row>
    <row r="238" spans="1:21" ht="18.75" hidden="1">
      <c r="A238" s="804"/>
      <c r="B238" s="803"/>
      <c r="C238" s="803"/>
      <c r="D238" s="207" t="s">
        <v>108</v>
      </c>
      <c r="E238" s="802"/>
      <c r="F238" s="802"/>
      <c r="G238" s="801"/>
      <c r="H238" s="698" t="s">
        <v>35</v>
      </c>
      <c r="I238" s="483">
        <f ca="1">I249+I260</f>
        <v>40</v>
      </c>
      <c r="J238" s="483">
        <f>J249+J260</f>
        <v>40</v>
      </c>
      <c r="K238" s="102">
        <f ca="1">IF(I238&gt;0,J238*100/I238,0)</f>
        <v>100</v>
      </c>
      <c r="L238" s="891"/>
      <c r="M238" s="676"/>
      <c r="N238" s="676"/>
      <c r="O238" s="676"/>
      <c r="P238" s="676"/>
      <c r="Q238" s="676"/>
      <c r="R238" s="676"/>
      <c r="S238" s="676"/>
      <c r="T238" s="676"/>
      <c r="U238" s="676"/>
    </row>
    <row r="239" spans="1:21" ht="18.75" hidden="1">
      <c r="A239" s="804"/>
      <c r="B239" s="803"/>
      <c r="C239" s="803"/>
      <c r="D239" s="700" t="s">
        <v>43</v>
      </c>
      <c r="E239" s="802"/>
      <c r="F239" s="802"/>
      <c r="G239" s="801"/>
      <c r="H239" s="801"/>
      <c r="I239" s="677"/>
      <c r="J239" s="677"/>
      <c r="K239" s="676"/>
      <c r="L239" s="891"/>
      <c r="M239" s="676"/>
      <c r="N239" s="676"/>
      <c r="O239" s="669"/>
      <c r="P239" s="669"/>
      <c r="Q239" s="676"/>
      <c r="R239" s="676"/>
      <c r="S239" s="676"/>
      <c r="T239" s="669"/>
      <c r="U239" s="669"/>
    </row>
    <row r="240" spans="1:21" ht="18.75" hidden="1">
      <c r="A240" s="804"/>
      <c r="B240" s="803"/>
      <c r="C240" s="803"/>
      <c r="D240" s="803"/>
      <c r="E240" s="699" t="s">
        <v>109</v>
      </c>
      <c r="F240" s="802"/>
      <c r="G240" s="801"/>
      <c r="H240" s="698" t="s">
        <v>35</v>
      </c>
      <c r="I240" s="483">
        <f ca="1">I251+I262</f>
        <v>40</v>
      </c>
      <c r="J240" s="483">
        <f>J251+J262</f>
        <v>0</v>
      </c>
      <c r="K240" s="102">
        <f ca="1">IF(I240&gt;0,J240*100/I240,0)</f>
        <v>0</v>
      </c>
      <c r="L240" s="891"/>
      <c r="M240" s="676"/>
      <c r="N240" s="676"/>
      <c r="O240" s="676"/>
      <c r="P240" s="676"/>
      <c r="Q240" s="676"/>
      <c r="R240" s="676"/>
      <c r="S240" s="676"/>
      <c r="T240" s="676"/>
      <c r="U240" s="676"/>
    </row>
    <row r="241" spans="1:21" ht="18.75" hidden="1">
      <c r="A241" s="804"/>
      <c r="B241" s="803"/>
      <c r="C241" s="803"/>
      <c r="D241" s="803"/>
      <c r="E241" s="699" t="s">
        <v>110</v>
      </c>
      <c r="F241" s="802"/>
      <c r="G241" s="801"/>
      <c r="H241" s="698" t="s">
        <v>61</v>
      </c>
      <c r="I241" s="483">
        <f ca="1">I252+I263</f>
        <v>1</v>
      </c>
      <c r="J241" s="483">
        <f>J252+J263</f>
        <v>0</v>
      </c>
      <c r="K241" s="102">
        <f ca="1">IF(I241&gt;0,J241*100/I241,0)</f>
        <v>0</v>
      </c>
      <c r="L241" s="891"/>
      <c r="M241" s="676"/>
      <c r="N241" s="676"/>
      <c r="O241" s="676"/>
      <c r="P241" s="676"/>
      <c r="Q241" s="676"/>
      <c r="R241" s="676"/>
      <c r="S241" s="676"/>
      <c r="T241" s="676"/>
      <c r="U241" s="676"/>
    </row>
    <row r="242" spans="1:21" ht="19.5">
      <c r="A242" s="800"/>
      <c r="B242" s="799"/>
      <c r="C242" s="798" t="s">
        <v>337</v>
      </c>
      <c r="D242" s="797"/>
      <c r="E242" s="797"/>
      <c r="F242" s="797"/>
      <c r="G242" s="796"/>
      <c r="H242" s="795" t="s">
        <v>35</v>
      </c>
      <c r="I242" s="794">
        <f ca="1">I249</f>
        <v>40</v>
      </c>
      <c r="J242" s="794">
        <f>J249</f>
        <v>40</v>
      </c>
      <c r="K242" s="793">
        <f ca="1">IF(I242&gt;0,J242*100/I242,0)</f>
        <v>100</v>
      </c>
      <c r="L242" s="250"/>
      <c r="M242" s="249"/>
      <c r="N242" s="249"/>
      <c r="O242" s="249"/>
      <c r="P242" s="249"/>
      <c r="Q242" s="249"/>
      <c r="R242" s="249"/>
      <c r="S242" s="249"/>
      <c r="T242" s="249"/>
      <c r="U242" s="249"/>
    </row>
    <row r="243" spans="1:21" ht="19.5">
      <c r="A243" s="668"/>
      <c r="B243" s="667"/>
      <c r="C243" s="682" t="s">
        <v>18</v>
      </c>
      <c r="D243" s="681" t="s">
        <v>19</v>
      </c>
      <c r="E243" s="667"/>
      <c r="F243" s="667"/>
      <c r="G243" s="666"/>
      <c r="H243" s="792" t="s">
        <v>14</v>
      </c>
      <c r="I243" s="659"/>
      <c r="J243" s="659"/>
      <c r="K243" s="657"/>
      <c r="L243" s="541">
        <f ca="1">L244+L245+L246+L247</f>
        <v>185000</v>
      </c>
      <c r="M243" s="55"/>
      <c r="N243" s="540">
        <f>N244+N245+N246+N247</f>
        <v>81000</v>
      </c>
      <c r="O243" s="540">
        <f ca="1">IF(L243&gt;0,N243*100/L243,0)</f>
        <v>43.783783783783782</v>
      </c>
      <c r="P243" s="540">
        <f>IF(M243&gt;0,N243*100/M243,0)</f>
        <v>0</v>
      </c>
      <c r="Q243" s="55"/>
      <c r="R243" s="55"/>
      <c r="S243" s="55"/>
      <c r="T243" s="55"/>
      <c r="U243" s="55"/>
    </row>
    <row r="244" spans="1:21" ht="18.75">
      <c r="A244" s="668"/>
      <c r="B244" s="609"/>
      <c r="C244" s="667"/>
      <c r="D244" s="712" t="s">
        <v>310</v>
      </c>
      <c r="E244" s="667"/>
      <c r="F244" s="667"/>
      <c r="G244" s="666"/>
      <c r="H244" s="675" t="s">
        <v>14</v>
      </c>
      <c r="I244" s="659"/>
      <c r="J244" s="659"/>
      <c r="K244" s="657"/>
      <c r="L244" s="256">
        <f ca="1">IFERROR(__xludf.DUMMYFUNCTION("IMPORTRANGE(""https://docs.google.com/spreadsheets/d/1eHaY18a8A9IcSdp1K8H6x8fbOy06t2VsZHhMHf-1x7Y/edit?usp=sharing"",""แผน!AX51"")"),13000)</f>
        <v>13000</v>
      </c>
      <c r="M244" s="55"/>
      <c r="N244" s="702">
        <v>0</v>
      </c>
      <c r="O244" s="55"/>
      <c r="P244" s="55"/>
      <c r="Q244" s="55"/>
      <c r="R244" s="55"/>
      <c r="S244" s="55"/>
      <c r="T244" s="55"/>
      <c r="U244" s="55"/>
    </row>
    <row r="245" spans="1:21" ht="18.75">
      <c r="A245" s="789"/>
      <c r="B245" s="609"/>
      <c r="C245" s="609"/>
      <c r="D245" s="58" t="s">
        <v>308</v>
      </c>
      <c r="E245" s="667"/>
      <c r="F245" s="667"/>
      <c r="G245" s="666"/>
      <c r="H245" s="675" t="s">
        <v>14</v>
      </c>
      <c r="I245" s="548"/>
      <c r="J245" s="548"/>
      <c r="K245" s="545"/>
      <c r="L245" s="256">
        <f ca="1">IFERROR(__xludf.DUMMYFUNCTION("IMPORTRANGE(""https://docs.google.com/spreadsheets/d/1eHaY18a8A9IcSdp1K8H6x8fbOy06t2VsZHhMHf-1x7Y/edit?usp=sharing"",""แผน!AY51"")"),91000)</f>
        <v>91000</v>
      </c>
      <c r="M245" s="55"/>
      <c r="N245" s="702">
        <v>0</v>
      </c>
      <c r="O245" s="55"/>
      <c r="P245" s="55"/>
      <c r="Q245" s="55"/>
      <c r="R245" s="55"/>
      <c r="S245" s="55"/>
      <c r="T245" s="55"/>
      <c r="U245" s="55"/>
    </row>
    <row r="246" spans="1:21" ht="18.75">
      <c r="A246" s="789"/>
      <c r="B246" s="609"/>
      <c r="C246" s="609"/>
      <c r="D246" s="58" t="s">
        <v>88</v>
      </c>
      <c r="E246" s="667"/>
      <c r="F246" s="667"/>
      <c r="G246" s="666"/>
      <c r="H246" s="675" t="s">
        <v>14</v>
      </c>
      <c r="I246" s="548"/>
      <c r="J246" s="548"/>
      <c r="K246" s="545"/>
      <c r="L246" s="256">
        <f ca="1">IFERROR(__xludf.DUMMYFUNCTION("IMPORTRANGE(""https://docs.google.com/spreadsheets/d/1eHaY18a8A9IcSdp1K8H6x8fbOy06t2VsZHhMHf-1x7Y/edit?usp=sharing"",""แผน!AZ51"")"),48000)</f>
        <v>48000</v>
      </c>
      <c r="M246" s="55"/>
      <c r="N246" s="702">
        <v>48000</v>
      </c>
      <c r="O246" s="55"/>
      <c r="P246" s="55"/>
      <c r="Q246" s="55"/>
      <c r="R246" s="55"/>
      <c r="S246" s="55"/>
      <c r="T246" s="55"/>
      <c r="U246" s="55"/>
    </row>
    <row r="247" spans="1:21" ht="18.75">
      <c r="A247" s="789"/>
      <c r="B247" s="609"/>
      <c r="C247" s="609"/>
      <c r="D247" s="58" t="s">
        <v>89</v>
      </c>
      <c r="E247" s="667"/>
      <c r="F247" s="667"/>
      <c r="G247" s="666"/>
      <c r="H247" s="675" t="s">
        <v>14</v>
      </c>
      <c r="I247" s="548"/>
      <c r="J247" s="548"/>
      <c r="K247" s="545"/>
      <c r="L247" s="256">
        <f ca="1">IFERROR(__xludf.DUMMYFUNCTION("IMPORTRANGE(""https://docs.google.com/spreadsheets/d/1eHaY18a8A9IcSdp1K8H6x8fbOy06t2VsZHhMHf-1x7Y/edit?usp=sharing"",""แผน!BA51"")"),33000)</f>
        <v>33000</v>
      </c>
      <c r="M247" s="55"/>
      <c r="N247" s="702">
        <v>33000</v>
      </c>
      <c r="O247" s="55"/>
      <c r="P247" s="55"/>
      <c r="Q247" s="55"/>
      <c r="R247" s="55"/>
      <c r="S247" s="55"/>
      <c r="T247" s="55"/>
      <c r="U247" s="55"/>
    </row>
    <row r="248" spans="1:21" ht="19.5">
      <c r="A248" s="554"/>
      <c r="B248" s="553"/>
      <c r="C248" s="788" t="s">
        <v>18</v>
      </c>
      <c r="D248" s="662" t="s">
        <v>38</v>
      </c>
      <c r="E248" s="661"/>
      <c r="F248" s="661"/>
      <c r="G248" s="660"/>
      <c r="H248" s="550"/>
      <c r="I248" s="659"/>
      <c r="J248" s="548"/>
      <c r="K248" s="545"/>
      <c r="L248" s="62"/>
      <c r="M248" s="55"/>
      <c r="N248" s="55"/>
      <c r="O248" s="164"/>
      <c r="P248" s="164"/>
      <c r="Q248" s="55"/>
      <c r="R248" s="55"/>
      <c r="S248" s="55"/>
      <c r="T248" s="164"/>
      <c r="U248" s="164"/>
    </row>
    <row r="249" spans="1:21" ht="18.75">
      <c r="A249" s="554"/>
      <c r="B249" s="553"/>
      <c r="C249" s="553"/>
      <c r="D249" s="551" t="s">
        <v>108</v>
      </c>
      <c r="E249" s="552"/>
      <c r="F249" s="552"/>
      <c r="G249" s="550"/>
      <c r="H249" s="786" t="s">
        <v>35</v>
      </c>
      <c r="I249" s="556">
        <f ca="1">IFERROR(__xludf.DUMMYFUNCTION("IMPORTRANGE(""https://docs.google.com/spreadsheets/d/1eHaY18a8A9IcSdp1K8H6x8fbOy06t2VsZHhMHf-1x7Y/edit?usp=sharing"",""แผน!BG51"")"),40)</f>
        <v>40</v>
      </c>
      <c r="J249" s="547">
        <v>40</v>
      </c>
      <c r="K249" s="555">
        <f ca="1">IF(I249&gt;0,J249*100/I249,0)</f>
        <v>100</v>
      </c>
      <c r="L249" s="62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8.75">
      <c r="A250" s="554"/>
      <c r="B250" s="553"/>
      <c r="C250" s="553"/>
      <c r="D250" s="787" t="s">
        <v>43</v>
      </c>
      <c r="E250" s="552"/>
      <c r="F250" s="552"/>
      <c r="G250" s="550"/>
      <c r="H250" s="550"/>
      <c r="I250" s="548"/>
      <c r="J250" s="548"/>
      <c r="K250" s="545"/>
      <c r="L250" s="62"/>
      <c r="M250" s="55"/>
      <c r="N250" s="55"/>
      <c r="O250" s="164"/>
      <c r="P250" s="164"/>
      <c r="Q250" s="55"/>
      <c r="R250" s="55"/>
      <c r="S250" s="55"/>
      <c r="T250" s="164"/>
      <c r="U250" s="164"/>
    </row>
    <row r="251" spans="1:21" ht="18.75">
      <c r="A251" s="554"/>
      <c r="B251" s="553"/>
      <c r="C251" s="553"/>
      <c r="D251" s="553"/>
      <c r="E251" s="352" t="s">
        <v>109</v>
      </c>
      <c r="F251" s="552"/>
      <c r="G251" s="550"/>
      <c r="H251" s="786" t="s">
        <v>35</v>
      </c>
      <c r="I251" s="556">
        <f ca="1">IFERROR(__xludf.DUMMYFUNCTION("IMPORTRANGE(""https://docs.google.com/spreadsheets/d/1eHaY18a8A9IcSdp1K8H6x8fbOy06t2VsZHhMHf-1x7Y/edit?usp=sharing"",""แผน!KJ51"")"),40)</f>
        <v>40</v>
      </c>
      <c r="J251" s="547">
        <v>0</v>
      </c>
      <c r="K251" s="555">
        <f ca="1">IF(I251&gt;0,J251*100/I251,0)</f>
        <v>0</v>
      </c>
      <c r="L251" s="62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8.75">
      <c r="A252" s="554"/>
      <c r="B252" s="553"/>
      <c r="C252" s="553"/>
      <c r="D252" s="553"/>
      <c r="E252" s="352" t="s">
        <v>110</v>
      </c>
      <c r="F252" s="552"/>
      <c r="G252" s="550"/>
      <c r="H252" s="786" t="s">
        <v>61</v>
      </c>
      <c r="I252" s="556">
        <f ca="1">IFERROR(__xludf.DUMMYFUNCTION("IMPORTRANGE(""https://docs.google.com/spreadsheets/d/1eHaY18a8A9IcSdp1K8H6x8fbOy06t2VsZHhMHf-1x7Y/edit?usp=sharing"",""แผน!KK51"")"),1)</f>
        <v>1</v>
      </c>
      <c r="J252" s="547">
        <v>0</v>
      </c>
      <c r="K252" s="555">
        <f ca="1">IF(I252&gt;0,J252*100/I252,0)</f>
        <v>0</v>
      </c>
      <c r="L252" s="62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9.5" hidden="1">
      <c r="A253" s="241"/>
      <c r="B253" s="242"/>
      <c r="C253" s="707" t="s">
        <v>112</v>
      </c>
      <c r="D253" s="244"/>
      <c r="E253" s="244"/>
      <c r="F253" s="244"/>
      <c r="G253" s="245"/>
      <c r="H253" s="706" t="s">
        <v>35</v>
      </c>
      <c r="I253" s="705">
        <f ca="1">I260</f>
        <v>0</v>
      </c>
      <c r="J253" s="705">
        <f>J260</f>
        <v>0</v>
      </c>
      <c r="K253" s="704">
        <f ca="1">IF(I253&gt;0,J253*100/I253,0)</f>
        <v>0</v>
      </c>
      <c r="L253" s="250"/>
      <c r="M253" s="249"/>
      <c r="N253" s="249"/>
      <c r="O253" s="249"/>
      <c r="P253" s="249"/>
      <c r="Q253" s="249"/>
      <c r="R253" s="249"/>
      <c r="S253" s="249"/>
      <c r="T253" s="249"/>
      <c r="U253" s="249"/>
    </row>
    <row r="254" spans="1:21" ht="19.5" hidden="1">
      <c r="A254" s="155"/>
      <c r="B254" s="50"/>
      <c r="C254" s="591" t="s">
        <v>18</v>
      </c>
      <c r="D254" s="703" t="s">
        <v>19</v>
      </c>
      <c r="E254" s="50"/>
      <c r="F254" s="50"/>
      <c r="G254" s="52"/>
      <c r="H254" s="418" t="s">
        <v>14</v>
      </c>
      <c r="I254" s="163"/>
      <c r="J254" s="163"/>
      <c r="K254" s="164"/>
      <c r="L254" s="541">
        <f ca="1">L255+L256+L257+L258</f>
        <v>0</v>
      </c>
      <c r="M254" s="55"/>
      <c r="N254" s="540">
        <f>N255+N256+N257+N258</f>
        <v>0</v>
      </c>
      <c r="O254" s="540">
        <f ca="1">IF(L254&gt;0,N254*100/L254,0)</f>
        <v>0</v>
      </c>
      <c r="P254" s="540">
        <f>IF(M254&gt;0,N254*100/M254,0)</f>
        <v>0</v>
      </c>
      <c r="Q254" s="55"/>
      <c r="R254" s="55"/>
      <c r="S254" s="55"/>
      <c r="T254" s="55"/>
      <c r="U254" s="55"/>
    </row>
    <row r="255" spans="1:21" ht="18.75" hidden="1">
      <c r="A255" s="155"/>
      <c r="B255" s="188"/>
      <c r="C255" s="50"/>
      <c r="D255" s="712" t="s">
        <v>310</v>
      </c>
      <c r="E255" s="50"/>
      <c r="F255" s="50"/>
      <c r="G255" s="52"/>
      <c r="H255" s="189" t="s">
        <v>14</v>
      </c>
      <c r="I255" s="163"/>
      <c r="J255" s="163"/>
      <c r="K255" s="164"/>
      <c r="L255" s="256">
        <f ca="1">IFERROR(__xludf.DUMMYFUNCTION("IMPORTRANGE(""https://docs.google.com/spreadsheets/d/1eHaY18a8A9IcSdp1K8H6x8fbOy06t2VsZHhMHf-1x7Y/edit?usp=sharing"",""แผน!BB51"")"),0)</f>
        <v>0</v>
      </c>
      <c r="M255" s="55"/>
      <c r="N255" s="702">
        <v>0</v>
      </c>
      <c r="O255" s="55"/>
      <c r="P255" s="55"/>
      <c r="Q255" s="55"/>
      <c r="R255" s="55"/>
      <c r="S255" s="55"/>
      <c r="T255" s="55"/>
      <c r="U255" s="55"/>
    </row>
    <row r="256" spans="1:21" ht="18.75" hidden="1">
      <c r="A256" s="238"/>
      <c r="B256" s="188"/>
      <c r="C256" s="188"/>
      <c r="D256" s="58" t="s">
        <v>87</v>
      </c>
      <c r="E256" s="50"/>
      <c r="F256" s="50"/>
      <c r="G256" s="52"/>
      <c r="H256" s="189" t="s">
        <v>14</v>
      </c>
      <c r="I256" s="54"/>
      <c r="J256" s="54"/>
      <c r="K256" s="55"/>
      <c r="L256" s="256">
        <f ca="1">IFERROR(__xludf.DUMMYFUNCTION("IMPORTRANGE(""https://docs.google.com/spreadsheets/d/1eHaY18a8A9IcSdp1K8H6x8fbOy06t2VsZHhMHf-1x7Y/edit?usp=sharing"",""แผน!BC51"")"),0)</f>
        <v>0</v>
      </c>
      <c r="M256" s="55"/>
      <c r="N256" s="702">
        <v>0</v>
      </c>
      <c r="O256" s="55"/>
      <c r="P256" s="55"/>
      <c r="Q256" s="55"/>
      <c r="R256" s="55"/>
      <c r="S256" s="55"/>
      <c r="T256" s="55"/>
      <c r="U256" s="55"/>
    </row>
    <row r="257" spans="1:21" ht="18.75" hidden="1">
      <c r="A257" s="238"/>
      <c r="B257" s="188"/>
      <c r="C257" s="188"/>
      <c r="D257" s="58" t="s">
        <v>88</v>
      </c>
      <c r="E257" s="50"/>
      <c r="F257" s="50"/>
      <c r="G257" s="52"/>
      <c r="H257" s="189" t="s">
        <v>14</v>
      </c>
      <c r="I257" s="54"/>
      <c r="J257" s="54"/>
      <c r="K257" s="55"/>
      <c r="L257" s="256">
        <f ca="1">IFERROR(__xludf.DUMMYFUNCTION("IMPORTRANGE(""https://docs.google.com/spreadsheets/d/1eHaY18a8A9IcSdp1K8H6x8fbOy06t2VsZHhMHf-1x7Y/edit?usp=sharing"",""แผน!BD51"")"),0)</f>
        <v>0</v>
      </c>
      <c r="M257" s="55"/>
      <c r="N257" s="702">
        <v>0</v>
      </c>
      <c r="O257" s="55"/>
      <c r="P257" s="55"/>
      <c r="Q257" s="55"/>
      <c r="R257" s="55"/>
      <c r="S257" s="55"/>
      <c r="T257" s="55"/>
      <c r="U257" s="55"/>
    </row>
    <row r="258" spans="1:21" ht="18.75" hidden="1">
      <c r="A258" s="238"/>
      <c r="B258" s="188"/>
      <c r="C258" s="188"/>
      <c r="D258" s="58" t="s">
        <v>89</v>
      </c>
      <c r="E258" s="50"/>
      <c r="F258" s="50"/>
      <c r="G258" s="52"/>
      <c r="H258" s="189" t="s">
        <v>14</v>
      </c>
      <c r="I258" s="54"/>
      <c r="J258" s="54"/>
      <c r="K258" s="55"/>
      <c r="L258" s="256">
        <f ca="1">IFERROR(__xludf.DUMMYFUNCTION("IMPORTRANGE(""https://docs.google.com/spreadsheets/d/1eHaY18a8A9IcSdp1K8H6x8fbOy06t2VsZHhMHf-1x7Y/edit?usp=sharing"",""แผน!BE51"")"),0)</f>
        <v>0</v>
      </c>
      <c r="M258" s="55"/>
      <c r="N258" s="702">
        <v>0</v>
      </c>
      <c r="O258" s="55"/>
      <c r="P258" s="55"/>
      <c r="Q258" s="55"/>
      <c r="R258" s="55"/>
      <c r="S258" s="55"/>
      <c r="T258" s="55"/>
      <c r="U258" s="55"/>
    </row>
    <row r="259" spans="1:21" ht="19.5" hidden="1">
      <c r="A259" s="166"/>
      <c r="B259" s="167"/>
      <c r="C259" s="701" t="s">
        <v>18</v>
      </c>
      <c r="D259" s="574" t="s">
        <v>38</v>
      </c>
      <c r="E259" s="169"/>
      <c r="F259" s="169"/>
      <c r="G259" s="170"/>
      <c r="H259" s="171"/>
      <c r="I259" s="163"/>
      <c r="J259" s="54"/>
      <c r="K259" s="55"/>
      <c r="L259" s="62"/>
      <c r="M259" s="55"/>
      <c r="N259" s="55"/>
      <c r="O259" s="164"/>
      <c r="P259" s="164"/>
      <c r="Q259" s="55"/>
      <c r="R259" s="55"/>
      <c r="S259" s="55"/>
      <c r="T259" s="164"/>
      <c r="U259" s="164"/>
    </row>
    <row r="260" spans="1:21" ht="18.75" hidden="1">
      <c r="A260" s="166"/>
      <c r="B260" s="167"/>
      <c r="C260" s="167"/>
      <c r="D260" s="207" t="s">
        <v>108</v>
      </c>
      <c r="E260" s="174"/>
      <c r="F260" s="174"/>
      <c r="G260" s="171"/>
      <c r="H260" s="698" t="s">
        <v>35</v>
      </c>
      <c r="I260" s="483">
        <f ca="1">IFERROR(__xludf.DUMMYFUNCTION("IMPORTRANGE(""https://docs.google.com/spreadsheets/d/1eHaY18a8A9IcSdp1K8H6x8fbOy06t2VsZHhMHf-1x7Y/edit?usp=sharing"",""แผน!BH51"")"),0)</f>
        <v>0</v>
      </c>
      <c r="J260" s="589">
        <v>0</v>
      </c>
      <c r="K260" s="102">
        <f ca="1">IF(I260&gt;0,J260*100/I260,0)</f>
        <v>0</v>
      </c>
      <c r="L260" s="62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8.75" hidden="1">
      <c r="A261" s="166"/>
      <c r="B261" s="167"/>
      <c r="C261" s="167"/>
      <c r="D261" s="700" t="s">
        <v>43</v>
      </c>
      <c r="E261" s="174"/>
      <c r="F261" s="174"/>
      <c r="G261" s="171"/>
      <c r="H261" s="171"/>
      <c r="I261" s="54"/>
      <c r="J261" s="54"/>
      <c r="K261" s="55"/>
      <c r="L261" s="62"/>
      <c r="M261" s="55"/>
      <c r="N261" s="55"/>
      <c r="O261" s="164"/>
      <c r="P261" s="164"/>
      <c r="Q261" s="55"/>
      <c r="R261" s="55"/>
      <c r="S261" s="55"/>
      <c r="T261" s="164"/>
      <c r="U261" s="164"/>
    </row>
    <row r="262" spans="1:21" ht="18.75" hidden="1">
      <c r="A262" s="166"/>
      <c r="B262" s="167"/>
      <c r="C262" s="167"/>
      <c r="D262" s="167"/>
      <c r="E262" s="699" t="s">
        <v>109</v>
      </c>
      <c r="F262" s="174"/>
      <c r="G262" s="171"/>
      <c r="H262" s="698" t="s">
        <v>35</v>
      </c>
      <c r="I262" s="54"/>
      <c r="J262" s="589">
        <v>0</v>
      </c>
      <c r="K262" s="102">
        <f>IF(I262&gt;0,J262*100/I262,0)</f>
        <v>0</v>
      </c>
      <c r="L262" s="62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8.75" hidden="1">
      <c r="A263" s="166"/>
      <c r="B263" s="167"/>
      <c r="C263" s="167"/>
      <c r="D263" s="167"/>
      <c r="E263" s="699" t="s">
        <v>110</v>
      </c>
      <c r="F263" s="174"/>
      <c r="G263" s="171"/>
      <c r="H263" s="698" t="s">
        <v>61</v>
      </c>
      <c r="I263" s="54"/>
      <c r="J263" s="589">
        <v>0</v>
      </c>
      <c r="K263" s="102">
        <f>IF(I263&gt;0,J263*100/I263,0)</f>
        <v>0</v>
      </c>
      <c r="L263" s="62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9.5">
      <c r="A264" s="697" t="s">
        <v>113</v>
      </c>
      <c r="B264" s="696"/>
      <c r="C264" s="696"/>
      <c r="D264" s="695"/>
      <c r="E264" s="695"/>
      <c r="F264" s="695"/>
      <c r="G264" s="694"/>
      <c r="H264" s="694"/>
      <c r="I264" s="693"/>
      <c r="J264" s="693"/>
      <c r="K264" s="691"/>
      <c r="L264" s="692"/>
      <c r="M264" s="691"/>
      <c r="N264" s="691"/>
      <c r="O264" s="691"/>
      <c r="P264" s="691"/>
      <c r="Q264" s="691"/>
      <c r="R264" s="691"/>
      <c r="S264" s="691"/>
      <c r="T264" s="691"/>
      <c r="U264" s="691"/>
    </row>
    <row r="265" spans="1:21" ht="19.5">
      <c r="A265" s="690"/>
      <c r="B265" s="689" t="s">
        <v>114</v>
      </c>
      <c r="C265" s="688"/>
      <c r="D265" s="661"/>
      <c r="E265" s="661"/>
      <c r="F265" s="661"/>
      <c r="G265" s="660"/>
      <c r="H265" s="687" t="s">
        <v>35</v>
      </c>
      <c r="I265" s="686">
        <f ca="1">I276</f>
        <v>22</v>
      </c>
      <c r="J265" s="686">
        <f>J276</f>
        <v>22</v>
      </c>
      <c r="K265" s="685">
        <f ca="1">IF(I265&gt;0,J265*100/I265,0)</f>
        <v>100</v>
      </c>
      <c r="L265" s="684"/>
      <c r="M265" s="683"/>
      <c r="N265" s="683"/>
      <c r="O265" s="683"/>
      <c r="P265" s="683"/>
      <c r="Q265" s="683"/>
      <c r="R265" s="683"/>
      <c r="S265" s="683"/>
      <c r="T265" s="683"/>
      <c r="U265" s="683"/>
    </row>
    <row r="266" spans="1:21" ht="19.5">
      <c r="A266" s="668"/>
      <c r="B266" s="667"/>
      <c r="C266" s="682" t="s">
        <v>18</v>
      </c>
      <c r="D266" s="681" t="s">
        <v>19</v>
      </c>
      <c r="E266" s="667"/>
      <c r="F266" s="667"/>
      <c r="G266" s="666"/>
      <c r="H266" s="680" t="s">
        <v>14</v>
      </c>
      <c r="I266" s="548"/>
      <c r="J266" s="548"/>
      <c r="K266" s="545"/>
      <c r="L266" s="679">
        <f ca="1">L267+L268</f>
        <v>0</v>
      </c>
      <c r="M266" s="678">
        <f ca="1">M267+M268</f>
        <v>5000</v>
      </c>
      <c r="N266" s="678">
        <f ca="1">N267+N268</f>
        <v>5000</v>
      </c>
      <c r="O266" s="678">
        <f ca="1">IF(L266&gt;0,N266*100/L266,0)</f>
        <v>0</v>
      </c>
      <c r="P266" s="678">
        <f ca="1">IF(M266&gt;0,N266*100/M266,0)</f>
        <v>100</v>
      </c>
      <c r="Q266" s="678">
        <f ca="1">Q267+Q268</f>
        <v>50660</v>
      </c>
      <c r="R266" s="678">
        <f ca="1">R267+R268</f>
        <v>50660</v>
      </c>
      <c r="S266" s="678">
        <f ca="1">S267+S268</f>
        <v>42136</v>
      </c>
      <c r="T266" s="678">
        <f ca="1">IF(Q266&gt;0,S266*100/Q266,0)</f>
        <v>83.174101855507303</v>
      </c>
      <c r="U266" s="678">
        <f ca="1">IF(R266&gt;0,S266*100/R266,0)</f>
        <v>83.174101855507303</v>
      </c>
    </row>
    <row r="267" spans="1:21" ht="18.75" hidden="1">
      <c r="A267" s="673"/>
      <c r="B267" s="672"/>
      <c r="C267" s="672"/>
      <c r="D267" s="672"/>
      <c r="E267" s="186" t="s">
        <v>20</v>
      </c>
      <c r="F267" s="672"/>
      <c r="G267" s="671"/>
      <c r="H267" s="187" t="s">
        <v>14</v>
      </c>
      <c r="I267" s="677"/>
      <c r="J267" s="677"/>
      <c r="K267" s="676"/>
      <c r="L267" s="103">
        <f>L270+L273</f>
        <v>0</v>
      </c>
      <c r="M267" s="102">
        <f>M270+M273</f>
        <v>0</v>
      </c>
      <c r="N267" s="102">
        <f>N270+N273</f>
        <v>0</v>
      </c>
      <c r="O267" s="102">
        <f>IF(L267&gt;0,N267*100/L267,0)</f>
        <v>0</v>
      </c>
      <c r="P267" s="102">
        <f>IF(M267&gt;0,N267*100/M267,0)</f>
        <v>0</v>
      </c>
      <c r="Q267" s="102">
        <f>Q270+Q273</f>
        <v>0</v>
      </c>
      <c r="R267" s="102">
        <f>R270+R273</f>
        <v>0</v>
      </c>
      <c r="S267" s="102">
        <f>S270+S273</f>
        <v>0</v>
      </c>
      <c r="T267" s="102">
        <f>IF(Q267&gt;0,S267*100/Q267,0)</f>
        <v>0</v>
      </c>
      <c r="U267" s="102">
        <f>IF(R267&gt;0,S267*100/R267,0)</f>
        <v>0</v>
      </c>
    </row>
    <row r="268" spans="1:21" ht="18.75" hidden="1">
      <c r="A268" s="668"/>
      <c r="B268" s="667"/>
      <c r="C268" s="667"/>
      <c r="D268" s="667"/>
      <c r="E268" s="663" t="s">
        <v>21</v>
      </c>
      <c r="F268" s="667"/>
      <c r="G268" s="666"/>
      <c r="H268" s="549" t="s">
        <v>14</v>
      </c>
      <c r="I268" s="548"/>
      <c r="J268" s="548"/>
      <c r="K268" s="545"/>
      <c r="L268" s="664">
        <f ca="1">L271+L274</f>
        <v>0</v>
      </c>
      <c r="M268" s="555">
        <f ca="1">M271+M274</f>
        <v>5000</v>
      </c>
      <c r="N268" s="555">
        <f ca="1">N271+N274</f>
        <v>5000</v>
      </c>
      <c r="O268" s="555">
        <f ca="1">IF(L268&gt;0,N268*100/L268,0)</f>
        <v>0</v>
      </c>
      <c r="P268" s="555">
        <f ca="1">IF(M268&gt;0,N268*100/M268,0)</f>
        <v>100</v>
      </c>
      <c r="Q268" s="555">
        <f ca="1">Q271+Q274</f>
        <v>50660</v>
      </c>
      <c r="R268" s="555">
        <f ca="1">R271+R274</f>
        <v>50660</v>
      </c>
      <c r="S268" s="555">
        <f ca="1">S271+S274</f>
        <v>42136</v>
      </c>
      <c r="T268" s="555">
        <f ca="1">IF(Q268&gt;0,S268*100/Q268,0)</f>
        <v>83.174101855507303</v>
      </c>
      <c r="U268" s="555">
        <f ca="1">IF(R268&gt;0,S268*100/R268,0)</f>
        <v>83.174101855507303</v>
      </c>
    </row>
    <row r="269" spans="1:21" ht="18.75">
      <c r="A269" s="668"/>
      <c r="B269" s="667"/>
      <c r="C269" s="667"/>
      <c r="D269" s="674" t="s">
        <v>22</v>
      </c>
      <c r="E269" s="667"/>
      <c r="F269" s="667"/>
      <c r="G269" s="666"/>
      <c r="H269" s="675" t="s">
        <v>14</v>
      </c>
      <c r="I269" s="659"/>
      <c r="J269" s="659"/>
      <c r="K269" s="657"/>
      <c r="L269" s="664">
        <f ca="1">L270+L271</f>
        <v>0</v>
      </c>
      <c r="M269" s="555">
        <f ca="1">M270+M271</f>
        <v>5000</v>
      </c>
      <c r="N269" s="555">
        <f ca="1">N270+N271</f>
        <v>5000</v>
      </c>
      <c r="O269" s="555">
        <f ca="1">IF(L269&gt;0,N269*100/L269,0)</f>
        <v>0</v>
      </c>
      <c r="P269" s="555">
        <f ca="1">IF(M269&gt;0,N269*100/M269,0)</f>
        <v>100</v>
      </c>
      <c r="Q269" s="555">
        <f ca="1">Q270+Q271</f>
        <v>50660</v>
      </c>
      <c r="R269" s="555">
        <f ca="1">R270+R271</f>
        <v>50660</v>
      </c>
      <c r="S269" s="555">
        <f ca="1">S270+S271</f>
        <v>42136</v>
      </c>
      <c r="T269" s="555">
        <f ca="1">IF(Q269&gt;0,S269*100/Q269,0)</f>
        <v>83.174101855507303</v>
      </c>
      <c r="U269" s="555">
        <f ca="1">IF(R269&gt;0,S269*100/R269,0)</f>
        <v>83.174101855507303</v>
      </c>
    </row>
    <row r="270" spans="1:21" ht="18.75" hidden="1">
      <c r="A270" s="673"/>
      <c r="B270" s="672"/>
      <c r="C270" s="672"/>
      <c r="D270" s="672"/>
      <c r="E270" s="186" t="s">
        <v>36</v>
      </c>
      <c r="F270" s="672"/>
      <c r="G270" s="671"/>
      <c r="H270" s="189" t="s">
        <v>14</v>
      </c>
      <c r="I270" s="670"/>
      <c r="J270" s="670"/>
      <c r="K270" s="669"/>
      <c r="L270" s="103">
        <v>0</v>
      </c>
      <c r="M270" s="102">
        <v>0</v>
      </c>
      <c r="N270" s="102">
        <v>0</v>
      </c>
      <c r="O270" s="102">
        <f>IF(L270&gt;0,N270*100/L270,0)</f>
        <v>0</v>
      </c>
      <c r="P270" s="102">
        <f>IF(M270&gt;0,N270*100/M270,0)</f>
        <v>0</v>
      </c>
      <c r="Q270" s="102">
        <v>0</v>
      </c>
      <c r="R270" s="102">
        <v>0</v>
      </c>
      <c r="S270" s="102">
        <v>0</v>
      </c>
      <c r="T270" s="102">
        <f>IF(Q270&gt;0,S270*100/Q270,0)</f>
        <v>0</v>
      </c>
      <c r="U270" s="102">
        <f>IF(R270&gt;0,S270*100/R270,0)</f>
        <v>0</v>
      </c>
    </row>
    <row r="271" spans="1:21" ht="18.75" hidden="1">
      <c r="A271" s="668"/>
      <c r="B271" s="667"/>
      <c r="C271" s="667"/>
      <c r="D271" s="667"/>
      <c r="E271" s="663" t="s">
        <v>37</v>
      </c>
      <c r="F271" s="667"/>
      <c r="G271" s="666"/>
      <c r="H271" s="675" t="s">
        <v>14</v>
      </c>
      <c r="I271" s="659"/>
      <c r="J271" s="659"/>
      <c r="K271" s="657"/>
      <c r="L271" s="664">
        <f ca="1">IFERROR(__xludf.DUMMYFUNCTION("IMPORTRANGE(""https://docs.google.com/spreadsheets/d/1-uDff_7J0KD5mKrp0Vvzr7lt3OU09vwQwhkpOPPYv2Y/edit?usp=sharing"",""งบพรบ!DE51"")"),0)</f>
        <v>0</v>
      </c>
      <c r="M271" s="555">
        <f ca="1">IFERROR(__xludf.DUMMYFUNCTION("IMPORTRANGE(""https://docs.google.com/spreadsheets/d/1-uDff_7J0KD5mKrp0Vvzr7lt3OU09vwQwhkpOPPYv2Y/edit?usp=sharing"",""งบพรบ!DJ51"")"),5000)</f>
        <v>5000</v>
      </c>
      <c r="N271" s="555">
        <f ca="1">IFERROR(__xludf.DUMMYFUNCTION("IMPORTRANGE(""https://docs.google.com/spreadsheets/d/1-uDff_7J0KD5mKrp0Vvzr7lt3OU09vwQwhkpOPPYv2Y/edit?usp=sharing"",""งบพรบ!DL51"")"),5000)</f>
        <v>5000</v>
      </c>
      <c r="O271" s="555">
        <f ca="1">IF(L271&gt;0,N271*100/L271,0)</f>
        <v>0</v>
      </c>
      <c r="P271" s="555">
        <f ca="1">IF(M271&gt;0,N271*100/M271,0)</f>
        <v>100</v>
      </c>
      <c r="Q271" s="555">
        <f ca="1">IFERROR(__xludf.DUMMYFUNCTION("IMPORTRANGE(""https://docs.google.com/spreadsheets/d/1ItG2mGa2ceCfYo0BwxsXqNm01IGEUdYcSSLTEv9YCik/edit?usp=sharing"",""เบิกจ่ายกองทุน!AJ51"")"),50660)</f>
        <v>50660</v>
      </c>
      <c r="R271" s="555">
        <f ca="1">IFERROR(__xludf.DUMMYFUNCTION("IMPORTRANGE(""https://docs.google.com/spreadsheets/d/1ItG2mGa2ceCfYo0BwxsXqNm01IGEUdYcSSLTEv9YCik/edit?usp=sharing"",""เบิกจ่ายกองทุน!AK51"")"),50660)</f>
        <v>50660</v>
      </c>
      <c r="S271" s="555">
        <f ca="1">IFERROR(__xludf.DUMMYFUNCTION("IMPORTRANGE(""https://docs.google.com/spreadsheets/d/1ItG2mGa2ceCfYo0BwxsXqNm01IGEUdYcSSLTEv9YCik/edit?usp=sharing"",""เบิกจ่ายกองทุน!AL51"")"),42136)</f>
        <v>42136</v>
      </c>
      <c r="T271" s="555">
        <f ca="1">IF(Q271&gt;0,S271*100/Q271,0)</f>
        <v>83.174101855507303</v>
      </c>
      <c r="U271" s="555">
        <f ca="1">IF(R271&gt;0,S271*100/R271,0)</f>
        <v>83.174101855507303</v>
      </c>
    </row>
    <row r="272" spans="1:21" ht="18.75">
      <c r="A272" s="668"/>
      <c r="B272" s="667"/>
      <c r="C272" s="667"/>
      <c r="D272" s="674" t="s">
        <v>23</v>
      </c>
      <c r="E272" s="667"/>
      <c r="F272" s="667"/>
      <c r="G272" s="666"/>
      <c r="H272" s="665" t="s">
        <v>14</v>
      </c>
      <c r="I272" s="659"/>
      <c r="J272" s="659"/>
      <c r="K272" s="657"/>
      <c r="L272" s="664">
        <f ca="1">L273+L274</f>
        <v>0</v>
      </c>
      <c r="M272" s="555">
        <f ca="1">M273+M274</f>
        <v>0</v>
      </c>
      <c r="N272" s="555">
        <f ca="1">N273+N274</f>
        <v>0</v>
      </c>
      <c r="O272" s="555">
        <f ca="1">IF(L272&gt;0,N272*100/L272,0)</f>
        <v>0</v>
      </c>
      <c r="P272" s="555">
        <f ca="1">IF(M272&gt;0,N272*100/M272,0)</f>
        <v>0</v>
      </c>
      <c r="Q272" s="555">
        <f>Q273+Q274</f>
        <v>0</v>
      </c>
      <c r="R272" s="555">
        <f>R273+R274</f>
        <v>0</v>
      </c>
      <c r="S272" s="555">
        <f>S273+S274</f>
        <v>0</v>
      </c>
      <c r="T272" s="555">
        <f>IF(Q272&gt;0,S272*100/Q272,0)</f>
        <v>0</v>
      </c>
      <c r="U272" s="555">
        <f>IF(R272&gt;0,S272*100/R272,0)</f>
        <v>0</v>
      </c>
    </row>
    <row r="273" spans="1:21" ht="18.75" hidden="1">
      <c r="A273" s="673"/>
      <c r="B273" s="672"/>
      <c r="C273" s="672"/>
      <c r="D273" s="672"/>
      <c r="E273" s="186" t="s">
        <v>20</v>
      </c>
      <c r="F273" s="672"/>
      <c r="G273" s="671"/>
      <c r="H273" s="189" t="s">
        <v>14</v>
      </c>
      <c r="I273" s="670"/>
      <c r="J273" s="670"/>
      <c r="K273" s="669"/>
      <c r="L273" s="103">
        <v>0</v>
      </c>
      <c r="M273" s="102">
        <v>0</v>
      </c>
      <c r="N273" s="102">
        <v>0</v>
      </c>
      <c r="O273" s="102">
        <f>IF(L273&gt;0,N273*100/L273,0)</f>
        <v>0</v>
      </c>
      <c r="P273" s="102">
        <f>IF(M273&gt;0,N273*100/M273,0)</f>
        <v>0</v>
      </c>
      <c r="Q273" s="102">
        <v>0</v>
      </c>
      <c r="R273" s="102">
        <v>0</v>
      </c>
      <c r="S273" s="102">
        <v>0</v>
      </c>
      <c r="T273" s="102">
        <f>IF(Q273&gt;0,S273*100/Q273,0)</f>
        <v>0</v>
      </c>
      <c r="U273" s="102">
        <f>IF(R273&gt;0,S273*100/R273,0)</f>
        <v>0</v>
      </c>
    </row>
    <row r="274" spans="1:21" ht="18.75" hidden="1">
      <c r="A274" s="668"/>
      <c r="B274" s="667"/>
      <c r="C274" s="667"/>
      <c r="D274" s="667"/>
      <c r="E274" s="663" t="s">
        <v>21</v>
      </c>
      <c r="F274" s="667"/>
      <c r="G274" s="666"/>
      <c r="H274" s="665" t="s">
        <v>14</v>
      </c>
      <c r="I274" s="659"/>
      <c r="J274" s="659"/>
      <c r="K274" s="657"/>
      <c r="L274" s="664">
        <f ca="1">IFERROR(__xludf.DUMMYFUNCTION("IMPORTRANGE(""https://docs.google.com/spreadsheets/d/1-uDff_7J0KD5mKrp0Vvzr7lt3OU09vwQwhkpOPPYv2Y/edit?usp=sharing"",""งบพรบ!DH51"")"),0)</f>
        <v>0</v>
      </c>
      <c r="M274" s="555">
        <f ca="1">IFERROR(__xludf.DUMMYFUNCTION("IMPORTRANGE(""https://docs.google.com/spreadsheets/d/1-uDff_7J0KD5mKrp0Vvzr7lt3OU09vwQwhkpOPPYv2Y/edit?usp=sharing"",""งบพรบ!DK51"")"),0)</f>
        <v>0</v>
      </c>
      <c r="N274" s="555">
        <f ca="1">IFERROR(__xludf.DUMMYFUNCTION("IMPORTRANGE(""https://docs.google.com/spreadsheets/d/1-uDff_7J0KD5mKrp0Vvzr7lt3OU09vwQwhkpOPPYv2Y/edit?usp=sharing"",""งบพรบ!DM51"")"),0)</f>
        <v>0</v>
      </c>
      <c r="O274" s="555">
        <f ca="1">IF(L274&gt;0,N274*100/L274,0)</f>
        <v>0</v>
      </c>
      <c r="P274" s="555">
        <f ca="1">IF(M274&gt;0,N274*100/M274,0)</f>
        <v>0</v>
      </c>
      <c r="Q274" s="555">
        <v>0</v>
      </c>
      <c r="R274" s="555">
        <v>0</v>
      </c>
      <c r="S274" s="555">
        <v>0</v>
      </c>
      <c r="T274" s="555">
        <f>IF(Q274&gt;0,S274*100/Q274,0)</f>
        <v>0</v>
      </c>
      <c r="U274" s="555">
        <f>IF(R274&gt;0,S274*100/R274,0)</f>
        <v>0</v>
      </c>
    </row>
    <row r="275" spans="1:21" ht="19.5">
      <c r="A275" s="554"/>
      <c r="B275" s="553"/>
      <c r="C275" s="663" t="s">
        <v>18</v>
      </c>
      <c r="D275" s="662" t="s">
        <v>38</v>
      </c>
      <c r="E275" s="661"/>
      <c r="F275" s="661"/>
      <c r="G275" s="660"/>
      <c r="H275" s="550"/>
      <c r="I275" s="659"/>
      <c r="J275" s="659"/>
      <c r="K275" s="657"/>
      <c r="L275" s="658"/>
      <c r="M275" s="657"/>
      <c r="N275" s="657"/>
      <c r="O275" s="657"/>
      <c r="P275" s="657"/>
      <c r="Q275" s="657"/>
      <c r="R275" s="657"/>
      <c r="S275" s="657"/>
      <c r="T275" s="657"/>
      <c r="U275" s="657"/>
    </row>
    <row r="276" spans="1:21" ht="18.75">
      <c r="A276" s="783"/>
      <c r="B276" s="343"/>
      <c r="C276" s="343"/>
      <c r="D276" s="782" t="s">
        <v>115</v>
      </c>
      <c r="E276" s="344"/>
      <c r="F276" s="344"/>
      <c r="G276" s="346"/>
      <c r="H276" s="347" t="s">
        <v>35</v>
      </c>
      <c r="I276" s="349">
        <f ca="1">IFERROR(__xludf.DUMMYFUNCTION("IMPORTRANGE(""https://docs.google.com/spreadsheets/d/1eHaY18a8A9IcSdp1K8H6x8fbOy06t2VsZHhMHf-1x7Y/edit?usp=sharing"",""แผน!EC51"")"),22)</f>
        <v>22</v>
      </c>
      <c r="J276" s="495">
        <v>22</v>
      </c>
      <c r="K276" s="708">
        <f ca="1">IF(I276&gt;0,J276*100/I276,0)</f>
        <v>100</v>
      </c>
      <c r="L276" s="62"/>
      <c r="M276" s="55"/>
      <c r="N276" s="55"/>
      <c r="O276" s="55"/>
      <c r="P276" s="55"/>
      <c r="Q276" s="55"/>
      <c r="R276" s="55"/>
      <c r="S276" s="55"/>
      <c r="T276" s="55"/>
      <c r="U276" s="55"/>
    </row>
    <row r="277" spans="1:21" ht="18.75" hidden="1">
      <c r="A277" s="281"/>
      <c r="B277" s="282"/>
      <c r="C277" s="282"/>
      <c r="D277" s="647" t="s">
        <v>116</v>
      </c>
      <c r="E277" s="2"/>
      <c r="F277" s="2"/>
      <c r="G277" s="284"/>
      <c r="H277" s="646" t="s">
        <v>35</v>
      </c>
      <c r="I277" s="486">
        <v>0</v>
      </c>
      <c r="J277" s="486">
        <v>0</v>
      </c>
      <c r="K277" s="645">
        <v>0</v>
      </c>
      <c r="L277" s="287"/>
      <c r="M277" s="286"/>
      <c r="N277" s="286"/>
      <c r="O277" s="286"/>
      <c r="P277" s="286"/>
      <c r="Q277" s="286"/>
      <c r="R277" s="286"/>
      <c r="S277" s="286"/>
      <c r="T277" s="286"/>
      <c r="U277" s="286"/>
    </row>
    <row r="278" spans="1:21" ht="19.5" hidden="1">
      <c r="A278" s="288" t="s">
        <v>117</v>
      </c>
      <c r="B278" s="289"/>
      <c r="C278" s="289"/>
      <c r="D278" s="289"/>
      <c r="E278" s="290"/>
      <c r="F278" s="290"/>
      <c r="G278" s="290"/>
      <c r="H278" s="290"/>
      <c r="I278" s="291"/>
      <c r="J278" s="291"/>
      <c r="K278" s="292"/>
      <c r="L278" s="292"/>
      <c r="M278" s="292"/>
      <c r="N278" s="292"/>
      <c r="O278" s="292"/>
      <c r="P278" s="293"/>
      <c r="Q278" s="292"/>
      <c r="R278" s="292"/>
      <c r="S278" s="292"/>
      <c r="T278" s="292"/>
      <c r="U278" s="293"/>
    </row>
    <row r="279" spans="1:21" ht="19.5" hidden="1">
      <c r="A279" s="294" t="s">
        <v>118</v>
      </c>
      <c r="B279" s="295"/>
      <c r="C279" s="296"/>
      <c r="D279" s="295"/>
      <c r="E279" s="295"/>
      <c r="F279" s="295"/>
      <c r="G279" s="295"/>
      <c r="H279" s="295"/>
      <c r="I279" s="297"/>
      <c r="J279" s="298"/>
      <c r="K279" s="299"/>
      <c r="L279" s="300"/>
      <c r="M279" s="299"/>
      <c r="N279" s="299"/>
      <c r="O279" s="299"/>
      <c r="P279" s="299"/>
      <c r="Q279" s="299"/>
      <c r="R279" s="299"/>
      <c r="S279" s="299"/>
      <c r="T279" s="299"/>
      <c r="U279" s="299"/>
    </row>
    <row r="280" spans="1:21" ht="19.5" hidden="1">
      <c r="A280" s="301"/>
      <c r="B280" s="302" t="s">
        <v>119</v>
      </c>
      <c r="C280" s="303"/>
      <c r="D280" s="304"/>
      <c r="E280" s="303"/>
      <c r="F280" s="303"/>
      <c r="G280" s="305"/>
      <c r="H280" s="306" t="s">
        <v>35</v>
      </c>
      <c r="I280" s="644">
        <f ca="1">I293</f>
        <v>0</v>
      </c>
      <c r="J280" s="644">
        <f>J293</f>
        <v>0</v>
      </c>
      <c r="K280" s="643">
        <f ca="1">IF(I280&gt;0,J280*100/I280,0)</f>
        <v>0</v>
      </c>
      <c r="L280" s="310"/>
      <c r="M280" s="309"/>
      <c r="N280" s="309"/>
      <c r="O280" s="309"/>
      <c r="P280" s="309"/>
      <c r="Q280" s="309"/>
      <c r="R280" s="309"/>
      <c r="S280" s="309"/>
      <c r="T280" s="309"/>
      <c r="U280" s="309"/>
    </row>
    <row r="281" spans="1:21" ht="19.5" hidden="1">
      <c r="A281" s="301"/>
      <c r="B281" s="303"/>
      <c r="C281" s="303"/>
      <c r="D281" s="304"/>
      <c r="E281" s="303"/>
      <c r="F281" s="303"/>
      <c r="G281" s="305"/>
      <c r="H281" s="306" t="s">
        <v>46</v>
      </c>
      <c r="I281" s="644">
        <f ca="1">I292</f>
        <v>0</v>
      </c>
      <c r="J281" s="644">
        <f>J292</f>
        <v>0</v>
      </c>
      <c r="K281" s="643">
        <f ca="1">IF(I281&gt;0,J281*100/I281,0)</f>
        <v>0</v>
      </c>
      <c r="L281" s="310"/>
      <c r="M281" s="309"/>
      <c r="N281" s="309"/>
      <c r="O281" s="309"/>
      <c r="P281" s="309"/>
      <c r="Q281" s="309"/>
      <c r="R281" s="309"/>
      <c r="S281" s="309"/>
      <c r="T281" s="309"/>
      <c r="U281" s="309"/>
    </row>
    <row r="282" spans="1:21" ht="19.5" hidden="1">
      <c r="A282" s="155"/>
      <c r="B282" s="50"/>
      <c r="C282" s="156" t="s">
        <v>18</v>
      </c>
      <c r="D282" s="575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541">
        <f ca="1">L283+L284</f>
        <v>0</v>
      </c>
      <c r="M282" s="540">
        <f ca="1">M283+M284</f>
        <v>0</v>
      </c>
      <c r="N282" s="540">
        <f ca="1">N283+N284</f>
        <v>0</v>
      </c>
      <c r="O282" s="540">
        <f ca="1">IF(L282&gt;0,N282*100/L282,0)</f>
        <v>0</v>
      </c>
      <c r="P282" s="540">
        <f ca="1">IF(M282&gt;0,N282*100/M282,0)</f>
        <v>0</v>
      </c>
      <c r="Q282" s="540">
        <f>Q283+Q284</f>
        <v>0</v>
      </c>
      <c r="R282" s="540">
        <f>R283+R284</f>
        <v>0</v>
      </c>
      <c r="S282" s="540">
        <f>S283+S284</f>
        <v>0</v>
      </c>
      <c r="T282" s="540">
        <f>IF(Q282&gt;0,S282*100/Q282,0)</f>
        <v>0</v>
      </c>
      <c r="U282" s="540">
        <f>IF(R282&gt;0,S282*100/R282,0)</f>
        <v>0</v>
      </c>
    </row>
    <row r="283" spans="1:21" ht="18.75" hidden="1">
      <c r="A283" s="155"/>
      <c r="B283" s="50"/>
      <c r="C283" s="50"/>
      <c r="D283" s="50"/>
      <c r="E283" s="186" t="s">
        <v>20</v>
      </c>
      <c r="F283" s="50"/>
      <c r="G283" s="52"/>
      <c r="H283" s="187" t="s">
        <v>14</v>
      </c>
      <c r="I283" s="54"/>
      <c r="J283" s="54"/>
      <c r="K283" s="55"/>
      <c r="L283" s="103">
        <f>L286+L289</f>
        <v>0</v>
      </c>
      <c r="M283" s="102">
        <f>M286+M289</f>
        <v>0</v>
      </c>
      <c r="N283" s="102">
        <f>N286+N289</f>
        <v>0</v>
      </c>
      <c r="O283" s="102">
        <f>IF(L283&gt;0,N283*100/L283,0)</f>
        <v>0</v>
      </c>
      <c r="P283" s="102">
        <f>IF(M283&gt;0,N283*100/M283,0)</f>
        <v>0</v>
      </c>
      <c r="Q283" s="102">
        <f>Q286+Q289</f>
        <v>0</v>
      </c>
      <c r="R283" s="102">
        <f>R286+R289</f>
        <v>0</v>
      </c>
      <c r="S283" s="102">
        <f>S286+S289</f>
        <v>0</v>
      </c>
      <c r="T283" s="102">
        <f>IF(Q283&gt;0,S283*100/Q283,0)</f>
        <v>0</v>
      </c>
      <c r="U283" s="102">
        <f>IF(R283&gt;0,S283*100/R283,0)</f>
        <v>0</v>
      </c>
    </row>
    <row r="284" spans="1:21" ht="18.75" hidden="1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256">
        <f ca="1">L287+L290</f>
        <v>0</v>
      </c>
      <c r="M284" s="255">
        <f ca="1">M287+M290</f>
        <v>0</v>
      </c>
      <c r="N284" s="255">
        <f ca="1">N287+N290</f>
        <v>0</v>
      </c>
      <c r="O284" s="255">
        <f ca="1">IF(L284&gt;0,N284*100/L284,0)</f>
        <v>0</v>
      </c>
      <c r="P284" s="255">
        <f ca="1">IF(M284&gt;0,N284*100/M284,0)</f>
        <v>0</v>
      </c>
      <c r="Q284" s="255">
        <f>Q287+Q290</f>
        <v>0</v>
      </c>
      <c r="R284" s="255">
        <f>R287+R290</f>
        <v>0</v>
      </c>
      <c r="S284" s="255">
        <f>S287+S290</f>
        <v>0</v>
      </c>
      <c r="T284" s="255">
        <f>IF(Q284&gt;0,S284*100/Q284,0)</f>
        <v>0</v>
      </c>
      <c r="U284" s="255">
        <f>IF(R284&gt;0,S284*100/R284,0)</f>
        <v>0</v>
      </c>
    </row>
    <row r="285" spans="1:21" ht="18.75" hidden="1">
      <c r="A285" s="155"/>
      <c r="B285" s="50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256">
        <f ca="1">L286+L287</f>
        <v>0</v>
      </c>
      <c r="M285" s="255">
        <f ca="1">M286+M287</f>
        <v>0</v>
      </c>
      <c r="N285" s="255">
        <f ca="1">N286+N287</f>
        <v>0</v>
      </c>
      <c r="O285" s="255">
        <f ca="1">IF(L285&gt;0,N285*100/L285,0)</f>
        <v>0</v>
      </c>
      <c r="P285" s="255">
        <f ca="1">IF(M285&gt;0,N285*100/M285,0)</f>
        <v>0</v>
      </c>
      <c r="Q285" s="255">
        <f>Q286+Q287</f>
        <v>0</v>
      </c>
      <c r="R285" s="255">
        <f>R286+R287</f>
        <v>0</v>
      </c>
      <c r="S285" s="255">
        <f>S286+S287</f>
        <v>0</v>
      </c>
      <c r="T285" s="255">
        <f>IF(Q285&gt;0,S285*100/Q285,0)</f>
        <v>0</v>
      </c>
      <c r="U285" s="255">
        <f>IF(R285&gt;0,S285*100/R285,0)</f>
        <v>0</v>
      </c>
    </row>
    <row r="286" spans="1:21" ht="18.75" hidden="1">
      <c r="A286" s="155"/>
      <c r="B286" s="50"/>
      <c r="C286" s="50"/>
      <c r="D286" s="50"/>
      <c r="E286" s="186" t="s">
        <v>36</v>
      </c>
      <c r="F286" s="50"/>
      <c r="G286" s="52"/>
      <c r="H286" s="189" t="s">
        <v>14</v>
      </c>
      <c r="I286" s="163"/>
      <c r="J286" s="163"/>
      <c r="K286" s="164"/>
      <c r="L286" s="103">
        <v>0</v>
      </c>
      <c r="M286" s="102">
        <v>0</v>
      </c>
      <c r="N286" s="102">
        <v>0</v>
      </c>
      <c r="O286" s="102">
        <f>IF(L286&gt;0,N286*100/L286,0)</f>
        <v>0</v>
      </c>
      <c r="P286" s="102">
        <f>IF(M286&gt;0,N286*100/M286,0)</f>
        <v>0</v>
      </c>
      <c r="Q286" s="102">
        <v>0</v>
      </c>
      <c r="R286" s="102">
        <v>0</v>
      </c>
      <c r="S286" s="102">
        <v>0</v>
      </c>
      <c r="T286" s="102">
        <f>IF(Q286&gt;0,S286*100/Q286,0)</f>
        <v>0</v>
      </c>
      <c r="U286" s="102">
        <f>IF(R286&gt;0,S286*100/R286,0)</f>
        <v>0</v>
      </c>
    </row>
    <row r="287" spans="1:21" ht="18.75" hidden="1">
      <c r="A287" s="155"/>
      <c r="B287" s="50"/>
      <c r="C287" s="50"/>
      <c r="D287" s="50"/>
      <c r="E287" s="58" t="s">
        <v>37</v>
      </c>
      <c r="F287" s="50"/>
      <c r="G287" s="52"/>
      <c r="H287" s="162" t="s">
        <v>14</v>
      </c>
      <c r="I287" s="163"/>
      <c r="J287" s="163"/>
      <c r="K287" s="164"/>
      <c r="L287" s="256">
        <f ca="1">IFERROR(__xludf.DUMMYFUNCTION("IMPORTRANGE(""https://docs.google.com/spreadsheets/d/1-uDff_7J0KD5mKrp0Vvzr7lt3OU09vwQwhkpOPPYv2Y/edit?usp=sharing"",""งบพรบ!DO51"")"),0)</f>
        <v>0</v>
      </c>
      <c r="M287" s="255">
        <f ca="1">IFERROR(__xludf.DUMMYFUNCTION("IMPORTRANGE(""https://docs.google.com/spreadsheets/d/1-uDff_7J0KD5mKrp0Vvzr7lt3OU09vwQwhkpOPPYv2Y/edit?usp=sharing"",""งบพรบ!DT51"")"),0)</f>
        <v>0</v>
      </c>
      <c r="N287" s="255">
        <f ca="1">IFERROR(__xludf.DUMMYFUNCTION("IMPORTRANGE(""https://docs.google.com/spreadsheets/d/1-uDff_7J0KD5mKrp0Vvzr7lt3OU09vwQwhkpOPPYv2Y/edit?usp=sharing"",""งบพรบ!DV51"")"),0)</f>
        <v>0</v>
      </c>
      <c r="O287" s="255">
        <f ca="1">IF(L287&gt;0,N287*100/L287,0)</f>
        <v>0</v>
      </c>
      <c r="P287" s="255">
        <f ca="1">IF(M287&gt;0,N287*100/M287,0)</f>
        <v>0</v>
      </c>
      <c r="Q287" s="255">
        <v>0</v>
      </c>
      <c r="R287" s="255">
        <v>0</v>
      </c>
      <c r="S287" s="255">
        <v>0</v>
      </c>
      <c r="T287" s="102">
        <f>IF(Q287&gt;0,S287*100/Q287,0)</f>
        <v>0</v>
      </c>
      <c r="U287" s="102">
        <f>IF(R287&gt;0,S287*100/R287,0)</f>
        <v>0</v>
      </c>
    </row>
    <row r="288" spans="1:21" ht="18.75" hidden="1">
      <c r="A288" s="155"/>
      <c r="B288" s="50"/>
      <c r="C288" s="50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256">
        <f ca="1">L289+L290</f>
        <v>0</v>
      </c>
      <c r="M288" s="255">
        <f ca="1">M289+M290</f>
        <v>0</v>
      </c>
      <c r="N288" s="255">
        <f ca="1">N289+N290</f>
        <v>0</v>
      </c>
      <c r="O288" s="255">
        <f ca="1">IF(L288&gt;0,N288*100/L288,0)</f>
        <v>0</v>
      </c>
      <c r="P288" s="255">
        <f ca="1">IF(M288&gt;0,N288*100/M288,0)</f>
        <v>0</v>
      </c>
      <c r="Q288" s="255">
        <f>Q289+Q290</f>
        <v>0</v>
      </c>
      <c r="R288" s="255">
        <f>R289+R290</f>
        <v>0</v>
      </c>
      <c r="S288" s="255">
        <f>S289+S290</f>
        <v>0</v>
      </c>
      <c r="T288" s="255">
        <f>IF(Q288&gt;0,S288*100/Q288,0)</f>
        <v>0</v>
      </c>
      <c r="U288" s="255">
        <f>IF(R288&gt;0,S288*100/R288,0)</f>
        <v>0</v>
      </c>
    </row>
    <row r="289" spans="1:21" ht="18.75" hidden="1">
      <c r="A289" s="155"/>
      <c r="B289" s="50"/>
      <c r="C289" s="50"/>
      <c r="D289" s="50"/>
      <c r="E289" s="186" t="s">
        <v>20</v>
      </c>
      <c r="F289" s="50"/>
      <c r="G289" s="52"/>
      <c r="H289" s="189" t="s">
        <v>14</v>
      </c>
      <c r="I289" s="163"/>
      <c r="J289" s="163"/>
      <c r="K289" s="164"/>
      <c r="L289" s="103">
        <v>0</v>
      </c>
      <c r="M289" s="102">
        <v>0</v>
      </c>
      <c r="N289" s="102">
        <v>0</v>
      </c>
      <c r="O289" s="102">
        <f>IF(L289&gt;0,N289*100/L289,0)</f>
        <v>0</v>
      </c>
      <c r="P289" s="102">
        <f>IF(M289&gt;0,N289*100/M289,0)</f>
        <v>0</v>
      </c>
      <c r="Q289" s="102">
        <v>0</v>
      </c>
      <c r="R289" s="102">
        <v>0</v>
      </c>
      <c r="S289" s="102">
        <v>0</v>
      </c>
      <c r="T289" s="102">
        <f>IF(Q289&gt;0,S289*100/Q289,0)</f>
        <v>0</v>
      </c>
      <c r="U289" s="102">
        <f>IF(R289&gt;0,S289*100/R289,0)</f>
        <v>0</v>
      </c>
    </row>
    <row r="290" spans="1:21" ht="18.75" hidden="1">
      <c r="A290" s="155"/>
      <c r="B290" s="50"/>
      <c r="C290" s="50"/>
      <c r="D290" s="50"/>
      <c r="E290" s="58" t="s">
        <v>21</v>
      </c>
      <c r="F290" s="50"/>
      <c r="G290" s="52"/>
      <c r="H290" s="165" t="s">
        <v>14</v>
      </c>
      <c r="I290" s="163"/>
      <c r="J290" s="163"/>
      <c r="K290" s="164"/>
      <c r="L290" s="256">
        <f ca="1">IFERROR(__xludf.DUMMYFUNCTION("IMPORTRANGE(""https://docs.google.com/spreadsheets/d/1-uDff_7J0KD5mKrp0Vvzr7lt3OU09vwQwhkpOPPYv2Y/edit?usp=sharing"",""งบพรบ!DR51"")"),0)</f>
        <v>0</v>
      </c>
      <c r="M290" s="255">
        <f ca="1">IFERROR(__xludf.DUMMYFUNCTION("IMPORTRANGE(""https://docs.google.com/spreadsheets/d/1-uDff_7J0KD5mKrp0Vvzr7lt3OU09vwQwhkpOPPYv2Y/edit?usp=sharing"",""งบพรบ!DU51"")"),0)</f>
        <v>0</v>
      </c>
      <c r="N290" s="255">
        <f ca="1">IFERROR(__xludf.DUMMYFUNCTION("IMPORTRANGE(""https://docs.google.com/spreadsheets/d/1-uDff_7J0KD5mKrp0Vvzr7lt3OU09vwQwhkpOPPYv2Y/edit?usp=sharing"",""งบพรบ!DW51"")"),0)</f>
        <v>0</v>
      </c>
      <c r="O290" s="255">
        <f ca="1">IF(L290&gt;0,N290*100/L290,0)</f>
        <v>0</v>
      </c>
      <c r="P290" s="255">
        <f ca="1">IF(M290&gt;0,N290*100/M290,0)</f>
        <v>0</v>
      </c>
      <c r="Q290" s="255">
        <v>0</v>
      </c>
      <c r="R290" s="255">
        <v>0</v>
      </c>
      <c r="S290" s="255">
        <v>0</v>
      </c>
      <c r="T290" s="255">
        <f>IF(Q290&gt;0,S290*100/Q290,0)</f>
        <v>0</v>
      </c>
      <c r="U290" s="255">
        <f>IF(R290&gt;0,S290*100/R290,0)</f>
        <v>0</v>
      </c>
    </row>
    <row r="291" spans="1:21" ht="19.5" hidden="1">
      <c r="A291" s="166"/>
      <c r="B291" s="167"/>
      <c r="C291" s="156" t="s">
        <v>18</v>
      </c>
      <c r="D291" s="566" t="s">
        <v>38</v>
      </c>
      <c r="E291" s="169"/>
      <c r="F291" s="169"/>
      <c r="G291" s="170"/>
      <c r="H291" s="171"/>
      <c r="I291" s="163"/>
      <c r="J291" s="163"/>
      <c r="K291" s="164"/>
      <c r="L291" s="172"/>
      <c r="M291" s="164"/>
      <c r="N291" s="164"/>
      <c r="O291" s="164"/>
      <c r="P291" s="164"/>
      <c r="Q291" s="164"/>
      <c r="R291" s="164"/>
      <c r="S291" s="164"/>
      <c r="T291" s="164"/>
      <c r="U291" s="164"/>
    </row>
    <row r="292" spans="1:21" ht="18.75" hidden="1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212">
        <f ca="1">IFERROR(__xludf.DUMMYFUNCTION("IMPORTRANGE(""https://docs.google.com/spreadsheets/d/1eHaY18a8A9IcSdp1K8H6x8fbOy06t2VsZHhMHf-1x7Y/edit?usp=sharing"",""แผน!EE51"")"),0)</f>
        <v>0</v>
      </c>
      <c r="J292" s="467">
        <v>0</v>
      </c>
      <c r="K292" s="565">
        <f ca="1">IF(I292&gt;0,J292*100/I292,0)</f>
        <v>0</v>
      </c>
      <c r="L292" s="172"/>
      <c r="M292" s="164"/>
      <c r="N292" s="164"/>
      <c r="O292" s="164"/>
      <c r="P292" s="164"/>
      <c r="Q292" s="164"/>
      <c r="R292" s="164"/>
      <c r="S292" s="164"/>
      <c r="T292" s="164"/>
      <c r="U292" s="164"/>
    </row>
    <row r="293" spans="1:21" ht="19.5" hidden="1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373">
        <f ca="1">IFERROR(__xludf.DUMMYFUNCTION("IMPORTRANGE(""https://docs.google.com/spreadsheets/d/1eHaY18a8A9IcSdp1K8H6x8fbOy06t2VsZHhMHf-1x7Y/edit?usp=sharing"",""แผน!ED51"")"),0)</f>
        <v>0</v>
      </c>
      <c r="J293" s="373">
        <f>J296</f>
        <v>0</v>
      </c>
      <c r="K293" s="642">
        <f ca="1">IF(I293&gt;0,J293*100/I293,0)</f>
        <v>0</v>
      </c>
      <c r="L293" s="172"/>
      <c r="M293" s="164"/>
      <c r="N293" s="164"/>
      <c r="O293" s="164"/>
      <c r="P293" s="164"/>
      <c r="Q293" s="164"/>
      <c r="R293" s="164"/>
      <c r="S293" s="164"/>
      <c r="T293" s="164"/>
      <c r="U293" s="164"/>
    </row>
    <row r="294" spans="1:21" ht="19.5" hidden="1">
      <c r="A294" s="166"/>
      <c r="B294" s="167"/>
      <c r="C294" s="167"/>
      <c r="D294" s="174"/>
      <c r="E294" s="194" t="s">
        <v>122</v>
      </c>
      <c r="F294" s="174"/>
      <c r="G294" s="171"/>
      <c r="H294" s="171"/>
      <c r="I294" s="163"/>
      <c r="J294" s="54"/>
      <c r="K294" s="164"/>
      <c r="L294" s="172"/>
      <c r="M294" s="164"/>
      <c r="N294" s="164"/>
      <c r="O294" s="164"/>
      <c r="P294" s="164"/>
      <c r="Q294" s="164"/>
      <c r="R294" s="164"/>
      <c r="S294" s="164"/>
      <c r="T294" s="164"/>
      <c r="U294" s="164"/>
    </row>
    <row r="295" spans="1:21" ht="19.5" hidden="1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641">
        <f ca="1">IFERROR(__xludf.DUMMYFUNCTION("IMPORTRANGE(""https://docs.google.com/spreadsheets/d/1eHaY18a8A9IcSdp1K8H6x8fbOy06t2VsZHhMHf-1x7Y/edit?usp=sharing"",""แผน!ED51"")"),0)</f>
        <v>0</v>
      </c>
      <c r="J295" s="467">
        <v>0</v>
      </c>
      <c r="K295" s="565">
        <f ca="1">IF(I295&gt;0,J295*100/I295,0)</f>
        <v>0</v>
      </c>
      <c r="L295" s="172"/>
      <c r="M295" s="164"/>
      <c r="N295" s="164"/>
      <c r="O295" s="164"/>
      <c r="P295" s="164"/>
      <c r="Q295" s="164"/>
      <c r="R295" s="164"/>
      <c r="S295" s="164"/>
      <c r="T295" s="164"/>
      <c r="U295" s="164"/>
    </row>
    <row r="296" spans="1:21" ht="19.5" hidden="1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641">
        <f ca="1">IFERROR(__xludf.DUMMYFUNCTION("IMPORTRANGE(""https://docs.google.com/spreadsheets/d/1eHaY18a8A9IcSdp1K8H6x8fbOy06t2VsZHhMHf-1x7Y/edit?usp=sharing"",""แผน!ED51"")"),0)</f>
        <v>0</v>
      </c>
      <c r="J296" s="467">
        <v>0</v>
      </c>
      <c r="K296" s="565">
        <f ca="1">IF(I296&gt;0,J296*100/I296,0)</f>
        <v>0</v>
      </c>
      <c r="L296" s="172"/>
      <c r="M296" s="164"/>
      <c r="N296" s="164"/>
      <c r="O296" s="164"/>
      <c r="P296" s="164"/>
      <c r="Q296" s="164"/>
      <c r="R296" s="164"/>
      <c r="S296" s="164"/>
      <c r="T296" s="164"/>
      <c r="U296" s="164"/>
    </row>
    <row r="297" spans="1:21" ht="12.75" hidden="1">
      <c r="A297" s="192"/>
      <c r="B297" s="193"/>
      <c r="C297" s="193"/>
      <c r="D297" s="22"/>
      <c r="E297" s="22"/>
      <c r="F297" s="22"/>
      <c r="G297" s="23"/>
      <c r="H297" s="23"/>
      <c r="I297" s="24"/>
      <c r="J297" s="24"/>
      <c r="K297" s="25"/>
      <c r="L297" s="26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2.75" hidden="1">
      <c r="A298" s="192"/>
      <c r="B298" s="193"/>
      <c r="C298" s="193"/>
      <c r="D298" s="22"/>
      <c r="E298" s="22"/>
      <c r="F298" s="22"/>
      <c r="G298" s="23"/>
      <c r="H298" s="23"/>
      <c r="I298" s="24"/>
      <c r="J298" s="24"/>
      <c r="K298" s="25"/>
      <c r="L298" s="26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2.75" hidden="1">
      <c r="A299" s="311"/>
      <c r="B299" s="312"/>
      <c r="C299" s="312"/>
      <c r="D299" s="27"/>
      <c r="E299" s="27"/>
      <c r="F299" s="27"/>
      <c r="G299" s="17"/>
      <c r="H299" s="17"/>
      <c r="I299" s="18"/>
      <c r="J299" s="18"/>
      <c r="K299" s="19"/>
      <c r="L299" s="28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>
      <c r="A300" s="313" t="s">
        <v>125</v>
      </c>
      <c r="B300" s="314"/>
      <c r="C300" s="314"/>
      <c r="D300" s="314"/>
      <c r="E300" s="315"/>
      <c r="F300" s="315"/>
      <c r="G300" s="315"/>
      <c r="H300" s="315"/>
      <c r="I300" s="316"/>
      <c r="J300" s="316"/>
      <c r="K300" s="317"/>
      <c r="L300" s="317"/>
      <c r="M300" s="317"/>
      <c r="N300" s="317"/>
      <c r="O300" s="317"/>
      <c r="P300" s="318"/>
      <c r="Q300" s="317"/>
      <c r="R300" s="317"/>
      <c r="S300" s="317"/>
      <c r="T300" s="317"/>
      <c r="U300" s="318"/>
    </row>
    <row r="301" spans="1:21" ht="19.5">
      <c r="A301" s="319" t="s">
        <v>126</v>
      </c>
      <c r="B301" s="320"/>
      <c r="C301" s="320"/>
      <c r="D301" s="321"/>
      <c r="E301" s="321"/>
      <c r="F301" s="321"/>
      <c r="G301" s="322"/>
      <c r="H301" s="322"/>
      <c r="I301" s="323"/>
      <c r="J301" s="323"/>
      <c r="K301" s="324"/>
      <c r="L301" s="325"/>
      <c r="M301" s="324"/>
      <c r="N301" s="324"/>
      <c r="O301" s="324"/>
      <c r="P301" s="324"/>
      <c r="Q301" s="324"/>
      <c r="R301" s="324"/>
      <c r="S301" s="324"/>
      <c r="T301" s="324"/>
      <c r="U301" s="324"/>
    </row>
    <row r="302" spans="1:21" ht="19.5">
      <c r="A302" s="326"/>
      <c r="B302" s="327" t="s">
        <v>127</v>
      </c>
      <c r="C302" s="328"/>
      <c r="D302" s="328"/>
      <c r="E302" s="328"/>
      <c r="F302" s="328"/>
      <c r="G302" s="329"/>
      <c r="H302" s="330" t="s">
        <v>35</v>
      </c>
      <c r="I302" s="605">
        <f ca="1">I314</f>
        <v>50</v>
      </c>
      <c r="J302" s="605">
        <f>J314</f>
        <v>50</v>
      </c>
      <c r="K302" s="604">
        <f ca="1">IF(I302&gt;0,J302*100/I302,0)</f>
        <v>100</v>
      </c>
      <c r="L302" s="334"/>
      <c r="M302" s="333"/>
      <c r="N302" s="333"/>
      <c r="O302" s="333"/>
      <c r="P302" s="333"/>
      <c r="Q302" s="333"/>
      <c r="R302" s="333"/>
      <c r="S302" s="333"/>
      <c r="T302" s="333"/>
      <c r="U302" s="333"/>
    </row>
    <row r="303" spans="1:21" ht="19.5">
      <c r="A303" s="155"/>
      <c r="B303" s="50"/>
      <c r="C303" s="156" t="s">
        <v>18</v>
      </c>
      <c r="D303" s="575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541">
        <f ca="1">L304+L305</f>
        <v>0</v>
      </c>
      <c r="M303" s="540">
        <f ca="1">M304+M305</f>
        <v>0</v>
      </c>
      <c r="N303" s="540">
        <f ca="1">N304+N305</f>
        <v>0</v>
      </c>
      <c r="O303" s="540">
        <f ca="1">IF(L303&gt;0,N303*100/L303,0)</f>
        <v>0</v>
      </c>
      <c r="P303" s="540">
        <f ca="1">IF(M303&gt;0,N303*100/M303,0)</f>
        <v>0</v>
      </c>
      <c r="Q303" s="540">
        <f ca="1">Q304+Q305</f>
        <v>384158.99</v>
      </c>
      <c r="R303" s="540">
        <f ca="1">R304+R305</f>
        <v>384159</v>
      </c>
      <c r="S303" s="540">
        <f ca="1">S304+S305</f>
        <v>50720</v>
      </c>
      <c r="T303" s="540">
        <f ca="1">IF(Q303&gt;0,S303*100/Q303,0)</f>
        <v>13.202866865096663</v>
      </c>
      <c r="U303" s="540">
        <f ca="1">IF(R303&gt;0,S303*100/R303,0)</f>
        <v>13.202866521414311</v>
      </c>
    </row>
    <row r="304" spans="1:21" ht="18.75" hidden="1">
      <c r="A304" s="155"/>
      <c r="B304" s="50"/>
      <c r="C304" s="50"/>
      <c r="D304" s="50"/>
      <c r="E304" s="186" t="s">
        <v>20</v>
      </c>
      <c r="F304" s="50"/>
      <c r="G304" s="52"/>
      <c r="H304" s="187" t="s">
        <v>14</v>
      </c>
      <c r="I304" s="54"/>
      <c r="J304" s="54"/>
      <c r="K304" s="55"/>
      <c r="L304" s="103">
        <f>L307+L310</f>
        <v>0</v>
      </c>
      <c r="M304" s="102">
        <f>M307+M310</f>
        <v>0</v>
      </c>
      <c r="N304" s="102">
        <f>N307+N310</f>
        <v>0</v>
      </c>
      <c r="O304" s="102">
        <f>IF(L304&gt;0,N304*100/L304,0)</f>
        <v>0</v>
      </c>
      <c r="P304" s="102">
        <f>IF(M304&gt;0,N304*100/M304,0)</f>
        <v>0</v>
      </c>
      <c r="Q304" s="102">
        <f>Q307+Q310</f>
        <v>0</v>
      </c>
      <c r="R304" s="102">
        <f>R307+R310</f>
        <v>0</v>
      </c>
      <c r="S304" s="102">
        <f>S307+S310</f>
        <v>0</v>
      </c>
      <c r="T304" s="102">
        <f>IF(Q304&gt;0,S304*100/Q304,0)</f>
        <v>0</v>
      </c>
      <c r="U304" s="102">
        <f>IF(R304&gt;0,S304*100/R304,0)</f>
        <v>0</v>
      </c>
    </row>
    <row r="305" spans="1:21" ht="18.75" hidden="1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256">
        <f ca="1">L308+L311</f>
        <v>0</v>
      </c>
      <c r="M305" s="255">
        <f ca="1">M308+M311</f>
        <v>0</v>
      </c>
      <c r="N305" s="255">
        <f ca="1">N308+N311</f>
        <v>0</v>
      </c>
      <c r="O305" s="255">
        <f ca="1">IF(L305&gt;0,N305*100/L305,0)</f>
        <v>0</v>
      </c>
      <c r="P305" s="255">
        <f ca="1">IF(M305&gt;0,N305*100/M305,0)</f>
        <v>0</v>
      </c>
      <c r="Q305" s="255">
        <f ca="1">Q308+Q311</f>
        <v>384158.99</v>
      </c>
      <c r="R305" s="255">
        <f ca="1">R308+R311</f>
        <v>384159</v>
      </c>
      <c r="S305" s="255">
        <f ca="1">S308+S311</f>
        <v>50720</v>
      </c>
      <c r="T305" s="255">
        <f ca="1">IF(Q305&gt;0,S305*100/Q305,0)</f>
        <v>13.202866865096663</v>
      </c>
      <c r="U305" s="255">
        <f ca="1">IF(R305&gt;0,S305*100/R305,0)</f>
        <v>13.202866521414311</v>
      </c>
    </row>
    <row r="306" spans="1:21" ht="18.75">
      <c r="A306" s="155"/>
      <c r="B306" s="50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256">
        <f ca="1">L307+L308</f>
        <v>0</v>
      </c>
      <c r="M306" s="255">
        <f ca="1">M307+M308</f>
        <v>0</v>
      </c>
      <c r="N306" s="255">
        <f ca="1">N307+N308</f>
        <v>0</v>
      </c>
      <c r="O306" s="255">
        <f ca="1">IF(L306&gt;0,N306*100/L306,0)</f>
        <v>0</v>
      </c>
      <c r="P306" s="255">
        <f ca="1">IF(M306&gt;0,N306*100/M306,0)</f>
        <v>0</v>
      </c>
      <c r="Q306" s="255">
        <f ca="1">Q307+Q308</f>
        <v>384158.99</v>
      </c>
      <c r="R306" s="255">
        <f ca="1">R307+R308</f>
        <v>384159</v>
      </c>
      <c r="S306" s="255">
        <f ca="1">S307+S308</f>
        <v>50720</v>
      </c>
      <c r="T306" s="255">
        <f ca="1">IF(Q306&gt;0,S306*100/Q306,0)</f>
        <v>13.202866865096663</v>
      </c>
      <c r="U306" s="255">
        <f ca="1">IF(R306&gt;0,S306*100/R306,0)</f>
        <v>13.202866521414311</v>
      </c>
    </row>
    <row r="307" spans="1:21" ht="18.75" hidden="1">
      <c r="A307" s="155"/>
      <c r="B307" s="50"/>
      <c r="C307" s="50"/>
      <c r="D307" s="50"/>
      <c r="E307" s="186" t="s">
        <v>36</v>
      </c>
      <c r="F307" s="50"/>
      <c r="G307" s="52"/>
      <c r="H307" s="189" t="s">
        <v>14</v>
      </c>
      <c r="I307" s="163"/>
      <c r="J307" s="163"/>
      <c r="K307" s="164"/>
      <c r="L307" s="103">
        <v>0</v>
      </c>
      <c r="M307" s="102">
        <v>0</v>
      </c>
      <c r="N307" s="102">
        <v>0</v>
      </c>
      <c r="O307" s="102">
        <f>IF(L307&gt;0,N307*100/L307,0)</f>
        <v>0</v>
      </c>
      <c r="P307" s="102">
        <f>IF(M307&gt;0,N307*100/M307,0)</f>
        <v>0</v>
      </c>
      <c r="Q307" s="102">
        <v>0</v>
      </c>
      <c r="R307" s="102">
        <v>0</v>
      </c>
      <c r="S307" s="102">
        <v>0</v>
      </c>
      <c r="T307" s="102">
        <f>IF(Q307&gt;0,S307*100/Q307,0)</f>
        <v>0</v>
      </c>
      <c r="U307" s="102">
        <f>IF(R307&gt;0,S307*100/R307,0)</f>
        <v>0</v>
      </c>
    </row>
    <row r="308" spans="1:21" ht="18.75" hidden="1">
      <c r="A308" s="155"/>
      <c r="B308" s="50"/>
      <c r="C308" s="50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256">
        <f ca="1">IFERROR(__xludf.DUMMYFUNCTION("IMPORTRANGE(""https://docs.google.com/spreadsheets/d/1-uDff_7J0KD5mKrp0Vvzr7lt3OU09vwQwhkpOPPYv2Y/edit?usp=sharing"",""งบพรบ!DY51"")"),0)</f>
        <v>0</v>
      </c>
      <c r="M308" s="255">
        <f ca="1">IFERROR(__xludf.DUMMYFUNCTION("IMPORTRANGE(""https://docs.google.com/spreadsheets/d/1-uDff_7J0KD5mKrp0Vvzr7lt3OU09vwQwhkpOPPYv2Y/edit?usp=sharing"",""งบพรบ!ED51"")"),0)</f>
        <v>0</v>
      </c>
      <c r="N308" s="255">
        <f ca="1">IFERROR(__xludf.DUMMYFUNCTION("IMPORTRANGE(""https://docs.google.com/spreadsheets/d/1-uDff_7J0KD5mKrp0Vvzr7lt3OU09vwQwhkpOPPYv2Y/edit?usp=sharing"",""งบพรบ!EF51"")"),0)</f>
        <v>0</v>
      </c>
      <c r="O308" s="255">
        <f ca="1">IF(L308&gt;0,N308*100/L308,0)</f>
        <v>0</v>
      </c>
      <c r="P308" s="255">
        <f ca="1">IF(M308&gt;0,N308*100/M308,0)</f>
        <v>0</v>
      </c>
      <c r="Q308" s="255">
        <f ca="1">IFERROR(__xludf.DUMMYFUNCTION("IMPORTRANGE(""https://docs.google.com/spreadsheets/d/1ItG2mGa2ceCfYo0BwxsXqNm01IGEUdYcSSLTEv9YCik/edit?usp=sharing"",""เบิกจ่ายกองทุน!AP51"")"),384158.99)</f>
        <v>384158.99</v>
      </c>
      <c r="R308" s="255">
        <f ca="1">IFERROR(__xludf.DUMMYFUNCTION("IMPORTRANGE(""https://docs.google.com/spreadsheets/d/1ItG2mGa2ceCfYo0BwxsXqNm01IGEUdYcSSLTEv9YCik/edit?usp=sharing"",""เบิกจ่ายกองทุน!AQ51"")"),384159)</f>
        <v>384159</v>
      </c>
      <c r="S308" s="255">
        <f ca="1">IFERROR(__xludf.DUMMYFUNCTION("IMPORTRANGE(""https://docs.google.com/spreadsheets/d/1ItG2mGa2ceCfYo0BwxsXqNm01IGEUdYcSSLTEv9YCik/edit?usp=sharing"",""เบิกจ่ายกองทุน!AR51"")"),50720)</f>
        <v>50720</v>
      </c>
      <c r="T308" s="255">
        <f ca="1">IF(Q308&gt;0,S308*100/Q308,0)</f>
        <v>13.202866865096663</v>
      </c>
      <c r="U308" s="255">
        <f ca="1">IF(R308&gt;0,S308*100/R308,0)</f>
        <v>13.202866521414311</v>
      </c>
    </row>
    <row r="309" spans="1:21" ht="18.75">
      <c r="A309" s="155"/>
      <c r="B309" s="50"/>
      <c r="C309" s="50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256">
        <f ca="1">L310+L311</f>
        <v>0</v>
      </c>
      <c r="M309" s="255">
        <f ca="1">M310+M311</f>
        <v>0</v>
      </c>
      <c r="N309" s="255">
        <f ca="1">N310+N311</f>
        <v>0</v>
      </c>
      <c r="O309" s="255">
        <f ca="1">IF(L309&gt;0,N309*100/L309,0)</f>
        <v>0</v>
      </c>
      <c r="P309" s="255">
        <f ca="1">IF(M309&gt;0,N309*100/M309,0)</f>
        <v>0</v>
      </c>
      <c r="Q309" s="255">
        <f>Q310+Q311</f>
        <v>0</v>
      </c>
      <c r="R309" s="255">
        <f>R310+R311</f>
        <v>0</v>
      </c>
      <c r="S309" s="255">
        <f>S310+S311</f>
        <v>0</v>
      </c>
      <c r="T309" s="255">
        <f>IF(Q309&gt;0,S309*100/Q309,0)</f>
        <v>0</v>
      </c>
      <c r="U309" s="255">
        <f>IF(R309&gt;0,S309*100/R309,0)</f>
        <v>0</v>
      </c>
    </row>
    <row r="310" spans="1:21" ht="18.75" hidden="1">
      <c r="A310" s="155"/>
      <c r="B310" s="50"/>
      <c r="C310" s="50"/>
      <c r="D310" s="50"/>
      <c r="E310" s="186" t="s">
        <v>20</v>
      </c>
      <c r="F310" s="50"/>
      <c r="G310" s="52"/>
      <c r="H310" s="189" t="s">
        <v>14</v>
      </c>
      <c r="I310" s="163"/>
      <c r="J310" s="163"/>
      <c r="K310" s="164"/>
      <c r="L310" s="103">
        <v>0</v>
      </c>
      <c r="M310" s="102">
        <v>0</v>
      </c>
      <c r="N310" s="102">
        <v>0</v>
      </c>
      <c r="O310" s="102">
        <f>IF(L310&gt;0,N310*100/L310,0)</f>
        <v>0</v>
      </c>
      <c r="P310" s="102">
        <f>IF(M310&gt;0,N310*100/M310,0)</f>
        <v>0</v>
      </c>
      <c r="Q310" s="102">
        <v>0</v>
      </c>
      <c r="R310" s="102">
        <v>0</v>
      </c>
      <c r="S310" s="102">
        <v>0</v>
      </c>
      <c r="T310" s="102">
        <f>IF(Q310&gt;0,S310*100/Q310,0)</f>
        <v>0</v>
      </c>
      <c r="U310" s="102">
        <f>IF(R310&gt;0,S310*100/R310,0)</f>
        <v>0</v>
      </c>
    </row>
    <row r="311" spans="1:21" ht="18.75" hidden="1">
      <c r="A311" s="155"/>
      <c r="B311" s="50"/>
      <c r="C311" s="50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256">
        <f ca="1">IFERROR(__xludf.DUMMYFUNCTION("IMPORTRANGE(""https://docs.google.com/spreadsheets/d/1-uDff_7J0KD5mKrp0Vvzr7lt3OU09vwQwhkpOPPYv2Y/edit?usp=sharing"",""งบพรบ!EB51"")"),0)</f>
        <v>0</v>
      </c>
      <c r="M311" s="255">
        <f ca="1">IFERROR(__xludf.DUMMYFUNCTION("IMPORTRANGE(""https://docs.google.com/spreadsheets/d/1-uDff_7J0KD5mKrp0Vvzr7lt3OU09vwQwhkpOPPYv2Y/edit?usp=sharing"",""งบพรบ!EE51"")"),0)</f>
        <v>0</v>
      </c>
      <c r="N311" s="255">
        <f ca="1">IFERROR(__xludf.DUMMYFUNCTION("IMPORTRANGE(""https://docs.google.com/spreadsheets/d/1-uDff_7J0KD5mKrp0Vvzr7lt3OU09vwQwhkpOPPYv2Y/edit?usp=sharing"",""งบพรบ!EG51"")"),0)</f>
        <v>0</v>
      </c>
      <c r="O311" s="255">
        <f ca="1">IF(L311&gt;0,N311*100/L311,0)</f>
        <v>0</v>
      </c>
      <c r="P311" s="255">
        <f ca="1">IF(M311&gt;0,N311*100/M311,0)</f>
        <v>0</v>
      </c>
      <c r="Q311" s="255">
        <v>0</v>
      </c>
      <c r="R311" s="255">
        <v>0</v>
      </c>
      <c r="S311" s="255">
        <v>0</v>
      </c>
      <c r="T311" s="255">
        <f>IF(Q311&gt;0,S311*100/Q311,0)</f>
        <v>0</v>
      </c>
      <c r="U311" s="255">
        <f>IF(R311&gt;0,S311*100/R311,0)</f>
        <v>0</v>
      </c>
    </row>
    <row r="312" spans="1:21" ht="19.5">
      <c r="A312" s="166"/>
      <c r="B312" s="167"/>
      <c r="C312" s="156" t="s">
        <v>18</v>
      </c>
      <c r="D312" s="566" t="s">
        <v>38</v>
      </c>
      <c r="E312" s="169"/>
      <c r="F312" s="169"/>
      <c r="G312" s="170"/>
      <c r="H312" s="171"/>
      <c r="I312" s="54"/>
      <c r="J312" s="54"/>
      <c r="K312" s="55"/>
      <c r="L312" s="62"/>
      <c r="M312" s="55"/>
      <c r="N312" s="55"/>
      <c r="O312" s="55"/>
      <c r="P312" s="55"/>
      <c r="Q312" s="55"/>
      <c r="R312" s="55"/>
      <c r="S312" s="55"/>
      <c r="T312" s="55"/>
      <c r="U312" s="55"/>
    </row>
    <row r="313" spans="1:21" ht="18.75" hidden="1">
      <c r="A313" s="192"/>
      <c r="B313" s="193"/>
      <c r="C313" s="193"/>
      <c r="D313" s="640"/>
      <c r="E313" s="22"/>
      <c r="F313" s="22"/>
      <c r="G313" s="23"/>
      <c r="H313" s="23"/>
      <c r="I313" s="24"/>
      <c r="J313" s="638"/>
      <c r="K313" s="25"/>
      <c r="L313" s="26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8.75">
      <c r="A314" s="166"/>
      <c r="B314" s="167"/>
      <c r="C314" s="167"/>
      <c r="D314" s="178" t="s">
        <v>121</v>
      </c>
      <c r="E314" s="174"/>
      <c r="F314" s="174"/>
      <c r="G314" s="171"/>
      <c r="H314" s="179" t="s">
        <v>35</v>
      </c>
      <c r="I314" s="212">
        <f ca="1">IFERROR(__xludf.DUMMYFUNCTION("IMPORTRANGE(""https://docs.google.com/spreadsheets/d/1eHaY18a8A9IcSdp1K8H6x8fbOy06t2VsZHhMHf-1x7Y/edit?usp=sharing"",""แผน!EF51"")"),50)</f>
        <v>50</v>
      </c>
      <c r="J314" s="467">
        <v>50</v>
      </c>
      <c r="K314" s="255">
        <f ca="1">IF(I314&gt;0,J314*100/I314,0)</f>
        <v>100</v>
      </c>
      <c r="L314" s="62"/>
      <c r="M314" s="55"/>
      <c r="N314" s="55"/>
      <c r="O314" s="55"/>
      <c r="P314" s="55"/>
      <c r="Q314" s="55"/>
      <c r="R314" s="55"/>
      <c r="S314" s="55"/>
      <c r="T314" s="55"/>
      <c r="U314" s="55"/>
    </row>
    <row r="315" spans="1:21" ht="18.75" hidden="1">
      <c r="A315" s="192"/>
      <c r="B315" s="193"/>
      <c r="C315" s="193"/>
      <c r="D315" s="640"/>
      <c r="E315" s="22"/>
      <c r="F315" s="22"/>
      <c r="G315" s="23"/>
      <c r="H315" s="639"/>
      <c r="I315" s="638"/>
      <c r="J315" s="638"/>
      <c r="K315" s="637"/>
      <c r="L315" s="26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8.75" hidden="1">
      <c r="A316" s="192"/>
      <c r="B316" s="193"/>
      <c r="C316" s="193"/>
      <c r="D316" s="640"/>
      <c r="E316" s="22"/>
      <c r="F316" s="22"/>
      <c r="G316" s="23"/>
      <c r="H316" s="639"/>
      <c r="I316" s="638"/>
      <c r="J316" s="638"/>
      <c r="K316" s="637"/>
      <c r="L316" s="26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8.75" hidden="1">
      <c r="A317" s="192"/>
      <c r="B317" s="193"/>
      <c r="C317" s="193"/>
      <c r="D317" s="636"/>
      <c r="E317" s="22"/>
      <c r="F317" s="22"/>
      <c r="G317" s="23"/>
      <c r="H317" s="635"/>
      <c r="I317" s="638"/>
      <c r="J317" s="634"/>
      <c r="K317" s="633"/>
      <c r="L317" s="26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9.5" hidden="1">
      <c r="A318" s="319" t="s">
        <v>131</v>
      </c>
      <c r="B318" s="320"/>
      <c r="C318" s="320"/>
      <c r="D318" s="321"/>
      <c r="E318" s="320"/>
      <c r="F318" s="320"/>
      <c r="G318" s="320"/>
      <c r="H318" s="321"/>
      <c r="I318" s="323"/>
      <c r="J318" s="323"/>
      <c r="K318" s="324"/>
      <c r="L318" s="325"/>
      <c r="M318" s="324"/>
      <c r="N318" s="324"/>
      <c r="O318" s="324"/>
      <c r="P318" s="324"/>
      <c r="Q318" s="324"/>
      <c r="R318" s="324"/>
      <c r="S318" s="324"/>
      <c r="T318" s="324"/>
      <c r="U318" s="324"/>
    </row>
    <row r="319" spans="1:21" ht="19.5" hidden="1">
      <c r="A319" s="335"/>
      <c r="B319" s="327" t="s">
        <v>132</v>
      </c>
      <c r="C319" s="336"/>
      <c r="D319" s="337"/>
      <c r="E319" s="328"/>
      <c r="F319" s="328"/>
      <c r="G319" s="329"/>
      <c r="H319" s="330" t="s">
        <v>133</v>
      </c>
      <c r="I319" s="605">
        <f ca="1">I330</f>
        <v>0</v>
      </c>
      <c r="J319" s="605">
        <f>J330</f>
        <v>0</v>
      </c>
      <c r="K319" s="604">
        <f ca="1">IF(I319&gt;0,J319*100/I319,0)</f>
        <v>0</v>
      </c>
      <c r="L319" s="334"/>
      <c r="M319" s="333"/>
      <c r="N319" s="333"/>
      <c r="O319" s="333"/>
      <c r="P319" s="333"/>
      <c r="Q319" s="333"/>
      <c r="R319" s="333"/>
      <c r="S319" s="333"/>
      <c r="T319" s="333"/>
      <c r="U319" s="333"/>
    </row>
    <row r="320" spans="1:21" ht="19.5" hidden="1">
      <c r="A320" s="155"/>
      <c r="B320" s="50"/>
      <c r="C320" s="156" t="s">
        <v>18</v>
      </c>
      <c r="D320" s="575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541">
        <f ca="1">L321+L322</f>
        <v>0</v>
      </c>
      <c r="M320" s="540">
        <f ca="1">M321+M322</f>
        <v>0</v>
      </c>
      <c r="N320" s="540">
        <f ca="1">N321+N322</f>
        <v>0</v>
      </c>
      <c r="O320" s="540">
        <f ca="1">IF(L320&gt;0,N320*100/L320,0)</f>
        <v>0</v>
      </c>
      <c r="P320" s="540">
        <f ca="1">IF(M320&gt;0,N320*100/M320,0)</f>
        <v>0</v>
      </c>
      <c r="Q320" s="540">
        <f>Q321+Q322</f>
        <v>0</v>
      </c>
      <c r="R320" s="540">
        <f>R321+R322</f>
        <v>0</v>
      </c>
      <c r="S320" s="540">
        <f>S321+S322</f>
        <v>0</v>
      </c>
      <c r="T320" s="540">
        <f>IF(Q320&gt;0,S320*100/Q320,0)</f>
        <v>0</v>
      </c>
      <c r="U320" s="540">
        <f>IF(R320&gt;0,S320*100/R320,0)</f>
        <v>0</v>
      </c>
    </row>
    <row r="321" spans="1:21" ht="18.75" hidden="1">
      <c r="A321" s="155"/>
      <c r="B321" s="50"/>
      <c r="C321" s="50"/>
      <c r="D321" s="50"/>
      <c r="E321" s="186" t="s">
        <v>20</v>
      </c>
      <c r="F321" s="50"/>
      <c r="G321" s="52"/>
      <c r="H321" s="187" t="s">
        <v>14</v>
      </c>
      <c r="I321" s="54"/>
      <c r="J321" s="54"/>
      <c r="K321" s="55"/>
      <c r="L321" s="103">
        <f>L324+L327</f>
        <v>0</v>
      </c>
      <c r="M321" s="102">
        <f>M324+M327</f>
        <v>0</v>
      </c>
      <c r="N321" s="102">
        <f>N324+N327</f>
        <v>0</v>
      </c>
      <c r="O321" s="102">
        <f>IF(L321&gt;0,N321*100/L321,0)</f>
        <v>0</v>
      </c>
      <c r="P321" s="102">
        <f>IF(M321&gt;0,N321*100/M321,0)</f>
        <v>0</v>
      </c>
      <c r="Q321" s="102">
        <f>Q324+Q327</f>
        <v>0</v>
      </c>
      <c r="R321" s="102">
        <f>R324+R327</f>
        <v>0</v>
      </c>
      <c r="S321" s="102">
        <f>S324+S327</f>
        <v>0</v>
      </c>
      <c r="T321" s="102">
        <f>IF(Q321&gt;0,S321*100/Q321,0)</f>
        <v>0</v>
      </c>
      <c r="U321" s="102">
        <f>IF(R321&gt;0,S321*100/R321,0)</f>
        <v>0</v>
      </c>
    </row>
    <row r="322" spans="1:21" ht="18.75" hidden="1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256">
        <f ca="1">L325+L328</f>
        <v>0</v>
      </c>
      <c r="M322" s="255">
        <f ca="1">M325+M328</f>
        <v>0</v>
      </c>
      <c r="N322" s="255">
        <f ca="1">N325+N328</f>
        <v>0</v>
      </c>
      <c r="O322" s="255">
        <f ca="1">IF(L322&gt;0,N322*100/L322,0)</f>
        <v>0</v>
      </c>
      <c r="P322" s="255">
        <f ca="1">IF(M322&gt;0,N322*100/M322,0)</f>
        <v>0</v>
      </c>
      <c r="Q322" s="255">
        <f>Q325+Q328</f>
        <v>0</v>
      </c>
      <c r="R322" s="255">
        <f>R325+R328</f>
        <v>0</v>
      </c>
      <c r="S322" s="255">
        <f>S325+S328</f>
        <v>0</v>
      </c>
      <c r="T322" s="255">
        <f>IF(Q322&gt;0,S322*100/Q322,0)</f>
        <v>0</v>
      </c>
      <c r="U322" s="255">
        <f>IF(R322&gt;0,S322*100/R322,0)</f>
        <v>0</v>
      </c>
    </row>
    <row r="323" spans="1:21" ht="18.75" hidden="1">
      <c r="A323" s="155"/>
      <c r="B323" s="50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256">
        <f ca="1">L324+L325</f>
        <v>0</v>
      </c>
      <c r="M323" s="255">
        <f ca="1">M324+M325</f>
        <v>0</v>
      </c>
      <c r="N323" s="255">
        <f ca="1">N324+N325</f>
        <v>0</v>
      </c>
      <c r="O323" s="255">
        <f ca="1">IF(L323&gt;0,N323*100/L323,0)</f>
        <v>0</v>
      </c>
      <c r="P323" s="255">
        <f ca="1">IF(M323&gt;0,N323*100/M323,0)</f>
        <v>0</v>
      </c>
      <c r="Q323" s="255">
        <f>Q324+Q325</f>
        <v>0</v>
      </c>
      <c r="R323" s="255">
        <f>R324+R325</f>
        <v>0</v>
      </c>
      <c r="S323" s="255">
        <f>S324+S325</f>
        <v>0</v>
      </c>
      <c r="T323" s="255">
        <f>IF(Q323&gt;0,S323*100/Q323,0)</f>
        <v>0</v>
      </c>
      <c r="U323" s="255">
        <f>IF(R323&gt;0,S323*100/R323,0)</f>
        <v>0</v>
      </c>
    </row>
    <row r="324" spans="1:21" ht="18.75" hidden="1">
      <c r="A324" s="155"/>
      <c r="B324" s="50"/>
      <c r="C324" s="50"/>
      <c r="D324" s="50"/>
      <c r="E324" s="186" t="s">
        <v>36</v>
      </c>
      <c r="F324" s="50"/>
      <c r="G324" s="52"/>
      <c r="H324" s="189" t="s">
        <v>14</v>
      </c>
      <c r="I324" s="163"/>
      <c r="J324" s="163"/>
      <c r="K324" s="164"/>
      <c r="L324" s="103">
        <v>0</v>
      </c>
      <c r="M324" s="102">
        <v>0</v>
      </c>
      <c r="N324" s="102">
        <v>0</v>
      </c>
      <c r="O324" s="102">
        <f>IF(L324&gt;0,N324*100/L324,0)</f>
        <v>0</v>
      </c>
      <c r="P324" s="102">
        <f>IF(M324&gt;0,N324*100/M324,0)</f>
        <v>0</v>
      </c>
      <c r="Q324" s="102">
        <v>0</v>
      </c>
      <c r="R324" s="102">
        <v>0</v>
      </c>
      <c r="S324" s="102">
        <v>0</v>
      </c>
      <c r="T324" s="102">
        <f>IF(Q324&gt;0,S324*100/Q324,0)</f>
        <v>0</v>
      </c>
      <c r="U324" s="102">
        <f>IF(R324&gt;0,S324*100/R324,0)</f>
        <v>0</v>
      </c>
    </row>
    <row r="325" spans="1:21" ht="18.75" hidden="1">
      <c r="A325" s="155"/>
      <c r="B325" s="50"/>
      <c r="C325" s="50"/>
      <c r="D325" s="50"/>
      <c r="E325" s="58" t="s">
        <v>37</v>
      </c>
      <c r="F325" s="50"/>
      <c r="G325" s="52"/>
      <c r="H325" s="162" t="s">
        <v>14</v>
      </c>
      <c r="I325" s="163"/>
      <c r="J325" s="163"/>
      <c r="K325" s="164"/>
      <c r="L325" s="256">
        <f ca="1">IFERROR(__xludf.DUMMYFUNCTION("IMPORTRANGE(""https://docs.google.com/spreadsheets/d/1-uDff_7J0KD5mKrp0Vvzr7lt3OU09vwQwhkpOPPYv2Y/edit?usp=sharing"",""งบพรบ!EI51"")"),0)</f>
        <v>0</v>
      </c>
      <c r="M325" s="255">
        <f ca="1">IFERROR(__xludf.DUMMYFUNCTION("IMPORTRANGE(""https://docs.google.com/spreadsheets/d/1-uDff_7J0KD5mKrp0Vvzr7lt3OU09vwQwhkpOPPYv2Y/edit?usp=sharing"",""งบพรบ!EN51"")"),0)</f>
        <v>0</v>
      </c>
      <c r="N325" s="255">
        <f ca="1">IFERROR(__xludf.DUMMYFUNCTION("IMPORTRANGE(""https://docs.google.com/spreadsheets/d/1-uDff_7J0KD5mKrp0Vvzr7lt3OU09vwQwhkpOPPYv2Y/edit?usp=sharing"",""งบพรบ!EP51"")"),0)</f>
        <v>0</v>
      </c>
      <c r="O325" s="255">
        <f ca="1">IF(L325&gt;0,N325*100/L325,0)</f>
        <v>0</v>
      </c>
      <c r="P325" s="255">
        <f ca="1">IF(M325&gt;0,N325*100/M325,0)</f>
        <v>0</v>
      </c>
      <c r="Q325" s="255">
        <v>0</v>
      </c>
      <c r="R325" s="255">
        <v>0</v>
      </c>
      <c r="S325" s="255">
        <v>0</v>
      </c>
      <c r="T325" s="255">
        <f>IF(Q325&gt;0,S325*100/Q325,0)</f>
        <v>0</v>
      </c>
      <c r="U325" s="255">
        <f>IF(R325&gt;0,S325*100/R325,0)</f>
        <v>0</v>
      </c>
    </row>
    <row r="326" spans="1:21" ht="18.75" hidden="1">
      <c r="A326" s="155"/>
      <c r="B326" s="50"/>
      <c r="C326" s="50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256">
        <f ca="1">L327+L328</f>
        <v>0</v>
      </c>
      <c r="M326" s="255">
        <f ca="1">M327+M328</f>
        <v>0</v>
      </c>
      <c r="N326" s="255">
        <f ca="1">N327+N328</f>
        <v>0</v>
      </c>
      <c r="O326" s="255">
        <f ca="1">IF(L326&gt;0,N326*100/L326,0)</f>
        <v>0</v>
      </c>
      <c r="P326" s="255">
        <f ca="1">IF(M326&gt;0,N326*100/M326,0)</f>
        <v>0</v>
      </c>
      <c r="Q326" s="255">
        <f>Q327+Q328</f>
        <v>0</v>
      </c>
      <c r="R326" s="255">
        <f>R327+R328</f>
        <v>0</v>
      </c>
      <c r="S326" s="255">
        <f>S327+S328</f>
        <v>0</v>
      </c>
      <c r="T326" s="255">
        <f>IF(Q326&gt;0,S326*100/Q326,0)</f>
        <v>0</v>
      </c>
      <c r="U326" s="255">
        <f>IF(R326&gt;0,S326*100/R326,0)</f>
        <v>0</v>
      </c>
    </row>
    <row r="327" spans="1:21" ht="18.75" hidden="1">
      <c r="A327" s="155"/>
      <c r="B327" s="50"/>
      <c r="C327" s="50"/>
      <c r="D327" s="50"/>
      <c r="E327" s="186" t="s">
        <v>20</v>
      </c>
      <c r="F327" s="50"/>
      <c r="G327" s="52"/>
      <c r="H327" s="189" t="s">
        <v>14</v>
      </c>
      <c r="I327" s="163"/>
      <c r="J327" s="163"/>
      <c r="K327" s="164"/>
      <c r="L327" s="103">
        <v>0</v>
      </c>
      <c r="M327" s="102">
        <v>0</v>
      </c>
      <c r="N327" s="102">
        <v>0</v>
      </c>
      <c r="O327" s="102">
        <f>IF(L327&gt;0,N327*100/L327,0)</f>
        <v>0</v>
      </c>
      <c r="P327" s="102">
        <f>IF(M327&gt;0,N327*100/M327,0)</f>
        <v>0</v>
      </c>
      <c r="Q327" s="102">
        <v>0</v>
      </c>
      <c r="R327" s="102">
        <v>0</v>
      </c>
      <c r="S327" s="102">
        <v>0</v>
      </c>
      <c r="T327" s="102">
        <f>IF(Q327&gt;0,S327*100/Q327,0)</f>
        <v>0</v>
      </c>
      <c r="U327" s="102">
        <f>IF(R327&gt;0,S327*100/R327,0)</f>
        <v>0</v>
      </c>
    </row>
    <row r="328" spans="1:21" ht="18.75" hidden="1">
      <c r="A328" s="155"/>
      <c r="B328" s="50"/>
      <c r="C328" s="50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256">
        <f ca="1">IFERROR(__xludf.DUMMYFUNCTION("IMPORTRANGE(""https://docs.google.com/spreadsheets/d/1-uDff_7J0KD5mKrp0Vvzr7lt3OU09vwQwhkpOPPYv2Y/edit?usp=sharing"",""งบพรบ!EL51"")"),0)</f>
        <v>0</v>
      </c>
      <c r="M328" s="255">
        <f ca="1">IFERROR(__xludf.DUMMYFUNCTION("IMPORTRANGE(""https://docs.google.com/spreadsheets/d/1-uDff_7J0KD5mKrp0Vvzr7lt3OU09vwQwhkpOPPYv2Y/edit?usp=sharing"",""งบพรบ!EO51"")"),0)</f>
        <v>0</v>
      </c>
      <c r="N328" s="255">
        <f ca="1">IFERROR(__xludf.DUMMYFUNCTION("IMPORTRANGE(""https://docs.google.com/spreadsheets/d/1-uDff_7J0KD5mKrp0Vvzr7lt3OU09vwQwhkpOPPYv2Y/edit?usp=sharing"",""งบพรบ!EQ51"")"),0)</f>
        <v>0</v>
      </c>
      <c r="O328" s="255">
        <f ca="1">IF(L328&gt;0,N328*100/L328,0)</f>
        <v>0</v>
      </c>
      <c r="P328" s="255">
        <f ca="1">IF(M328&gt;0,N328*100/M328,0)</f>
        <v>0</v>
      </c>
      <c r="Q328" s="255">
        <v>0</v>
      </c>
      <c r="R328" s="255">
        <v>0</v>
      </c>
      <c r="S328" s="255">
        <v>0</v>
      </c>
      <c r="T328" s="255">
        <f>IF(Q328&gt;0,S328*100/Q328,0)</f>
        <v>0</v>
      </c>
      <c r="U328" s="255">
        <f>IF(R328&gt;0,S328*100/R328,0)</f>
        <v>0</v>
      </c>
    </row>
    <row r="329" spans="1:21" ht="19.5" hidden="1">
      <c r="A329" s="166"/>
      <c r="B329" s="167"/>
      <c r="C329" s="156" t="s">
        <v>18</v>
      </c>
      <c r="D329" s="566" t="s">
        <v>38</v>
      </c>
      <c r="E329" s="169"/>
      <c r="F329" s="169"/>
      <c r="G329" s="170"/>
      <c r="H329" s="171"/>
      <c r="I329" s="163"/>
      <c r="J329" s="54"/>
      <c r="K329" s="55"/>
      <c r="L329" s="62"/>
      <c r="M329" s="55"/>
      <c r="N329" s="55"/>
      <c r="O329" s="164"/>
      <c r="P329" s="164"/>
      <c r="Q329" s="55"/>
      <c r="R329" s="55"/>
      <c r="S329" s="55"/>
      <c r="T329" s="164"/>
      <c r="U329" s="164"/>
    </row>
    <row r="330" spans="1:21" ht="18.75" hidden="1">
      <c r="A330" s="166"/>
      <c r="B330" s="167"/>
      <c r="C330" s="167"/>
      <c r="D330" s="173" t="s">
        <v>134</v>
      </c>
      <c r="E330" s="174"/>
      <c r="F330" s="174"/>
      <c r="G330" s="171"/>
      <c r="H330" s="53" t="s">
        <v>133</v>
      </c>
      <c r="I330" s="212">
        <f ca="1">IFERROR(__xludf.DUMMYFUNCTION("IMPORTRANGE(""https://docs.google.com/spreadsheets/d/1eHaY18a8A9IcSdp1K8H6x8fbOy06t2VsZHhMHf-1x7Y/edit?usp=sharing"",""แผน!EJ51"")"),0)</f>
        <v>0</v>
      </c>
      <c r="J330" s="467">
        <v>0</v>
      </c>
      <c r="K330" s="255">
        <f ca="1">IF(I330&gt;0,J330*100/I330,0)</f>
        <v>0</v>
      </c>
      <c r="L330" s="62"/>
      <c r="M330" s="55"/>
      <c r="N330" s="55"/>
      <c r="O330" s="164"/>
      <c r="P330" s="164"/>
      <c r="Q330" s="55"/>
      <c r="R330" s="55"/>
      <c r="S330" s="55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1"/>
      <c r="I331" s="323"/>
      <c r="J331" s="323"/>
      <c r="K331" s="324"/>
      <c r="L331" s="325"/>
      <c r="M331" s="324"/>
      <c r="N331" s="324"/>
      <c r="O331" s="324"/>
      <c r="P331" s="324"/>
      <c r="Q331" s="324"/>
      <c r="R331" s="324"/>
      <c r="S331" s="324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30" t="s">
        <v>35</v>
      </c>
      <c r="I332" s="632">
        <f ca="1">I344</f>
        <v>4340</v>
      </c>
      <c r="J332" s="631">
        <f ca="1">J344+J347+J348+J349+J353</f>
        <v>13770</v>
      </c>
      <c r="K332" s="630">
        <f ca="1">IF(I332&gt;0,J332*100/I332,0)</f>
        <v>317.28110599078343</v>
      </c>
      <c r="L332" s="334"/>
      <c r="M332" s="333"/>
      <c r="N332" s="333"/>
      <c r="O332" s="333"/>
      <c r="P332" s="333"/>
      <c r="Q332" s="333"/>
      <c r="R332" s="333"/>
      <c r="S332" s="333"/>
      <c r="T332" s="333"/>
      <c r="U332" s="333"/>
    </row>
    <row r="333" spans="1:21" ht="19.5">
      <c r="A333" s="155"/>
      <c r="B333" s="50"/>
      <c r="C333" s="156" t="s">
        <v>18</v>
      </c>
      <c r="D333" s="575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541">
        <f ca="1">L334+L335</f>
        <v>120000</v>
      </c>
      <c r="M333" s="540">
        <f ca="1">M334+M335</f>
        <v>125000</v>
      </c>
      <c r="N333" s="540">
        <f ca="1">N334+N335</f>
        <v>111081</v>
      </c>
      <c r="O333" s="540">
        <f ca="1">IF(L333&gt;0,N333*100/L333,0)</f>
        <v>92.567499999999995</v>
      </c>
      <c r="P333" s="540">
        <f ca="1">IF(M333&gt;0,N333*100/M333,0)</f>
        <v>88.864800000000002</v>
      </c>
      <c r="Q333" s="540">
        <f>Q334+Q335</f>
        <v>0</v>
      </c>
      <c r="R333" s="540">
        <f>R334+R335</f>
        <v>0</v>
      </c>
      <c r="S333" s="540">
        <f>S334+S335</f>
        <v>0</v>
      </c>
      <c r="T333" s="540">
        <f>IF(Q333&gt;0,S333*100/Q333,0)</f>
        <v>0</v>
      </c>
      <c r="U333" s="540">
        <f>IF(R333&gt;0,S333*100/R333,0)</f>
        <v>0</v>
      </c>
    </row>
    <row r="334" spans="1:21" ht="18.75" hidden="1">
      <c r="A334" s="155"/>
      <c r="B334" s="50"/>
      <c r="C334" s="50"/>
      <c r="D334" s="50"/>
      <c r="E334" s="186" t="s">
        <v>20</v>
      </c>
      <c r="F334" s="50"/>
      <c r="G334" s="52"/>
      <c r="H334" s="187" t="s">
        <v>14</v>
      </c>
      <c r="I334" s="54"/>
      <c r="J334" s="54"/>
      <c r="K334" s="55"/>
      <c r="L334" s="103">
        <f>L337+L340</f>
        <v>0</v>
      </c>
      <c r="M334" s="102">
        <f>M337+M340</f>
        <v>0</v>
      </c>
      <c r="N334" s="102">
        <f>N337+N340</f>
        <v>0</v>
      </c>
      <c r="O334" s="102">
        <f>IF(L334&gt;0,N334*100/L334,0)</f>
        <v>0</v>
      </c>
      <c r="P334" s="102">
        <f>IF(M334&gt;0,N334*100/M334,0)</f>
        <v>0</v>
      </c>
      <c r="Q334" s="102">
        <f>Q337+Q340</f>
        <v>0</v>
      </c>
      <c r="R334" s="102">
        <f>R337+R340</f>
        <v>0</v>
      </c>
      <c r="S334" s="102">
        <f>S337+S340</f>
        <v>0</v>
      </c>
      <c r="T334" s="102">
        <f>IF(Q334&gt;0,S334*100/Q334,0)</f>
        <v>0</v>
      </c>
      <c r="U334" s="102">
        <f>IF(R334&gt;0,S334*100/R334,0)</f>
        <v>0</v>
      </c>
    </row>
    <row r="335" spans="1:21" ht="18.75" hidden="1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256">
        <f ca="1">L338+L341</f>
        <v>120000</v>
      </c>
      <c r="M335" s="255">
        <f ca="1">M338+M341</f>
        <v>125000</v>
      </c>
      <c r="N335" s="255">
        <f ca="1">N338+N341</f>
        <v>111081</v>
      </c>
      <c r="O335" s="255">
        <f ca="1">IF(L335&gt;0,N335*100/L335,0)</f>
        <v>92.567499999999995</v>
      </c>
      <c r="P335" s="255">
        <f ca="1">IF(M335&gt;0,N335*100/M335,0)</f>
        <v>88.864800000000002</v>
      </c>
      <c r="Q335" s="255">
        <f>Q338+Q341</f>
        <v>0</v>
      </c>
      <c r="R335" s="255">
        <f>R338+R341</f>
        <v>0</v>
      </c>
      <c r="S335" s="255">
        <f>S338+S341</f>
        <v>0</v>
      </c>
      <c r="T335" s="255">
        <f>IF(Q335&gt;0,S335*100/Q335,0)</f>
        <v>0</v>
      </c>
      <c r="U335" s="255">
        <f>IF(R335&gt;0,S335*100/R335,0)</f>
        <v>0</v>
      </c>
    </row>
    <row r="336" spans="1:21" ht="18.75">
      <c r="A336" s="155"/>
      <c r="B336" s="50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256">
        <f ca="1">L337+L338</f>
        <v>120000</v>
      </c>
      <c r="M336" s="255">
        <f ca="1">M337+M338</f>
        <v>125000</v>
      </c>
      <c r="N336" s="255">
        <f ca="1">N337+N338</f>
        <v>111081</v>
      </c>
      <c r="O336" s="255">
        <f ca="1">IF(L336&gt;0,N336*100/L336,0)</f>
        <v>92.567499999999995</v>
      </c>
      <c r="P336" s="255">
        <f ca="1">IF(M336&gt;0,N336*100/M336,0)</f>
        <v>88.864800000000002</v>
      </c>
      <c r="Q336" s="255">
        <f>Q337+Q338</f>
        <v>0</v>
      </c>
      <c r="R336" s="255">
        <f>R337+R338</f>
        <v>0</v>
      </c>
      <c r="S336" s="255">
        <f>S337+S338</f>
        <v>0</v>
      </c>
      <c r="T336" s="255">
        <f>IF(Q336&gt;0,S336*100/Q336,0)</f>
        <v>0</v>
      </c>
      <c r="U336" s="255">
        <f>IF(R336&gt;0,S336*100/R336,0)</f>
        <v>0</v>
      </c>
    </row>
    <row r="337" spans="1:21" ht="18.75" hidden="1">
      <c r="A337" s="155"/>
      <c r="B337" s="50"/>
      <c r="C337" s="50"/>
      <c r="D337" s="50"/>
      <c r="E337" s="186" t="s">
        <v>36</v>
      </c>
      <c r="F337" s="50"/>
      <c r="G337" s="52"/>
      <c r="H337" s="189" t="s">
        <v>14</v>
      </c>
      <c r="I337" s="163"/>
      <c r="J337" s="163"/>
      <c r="K337" s="164"/>
      <c r="L337" s="103">
        <v>0</v>
      </c>
      <c r="M337" s="102">
        <v>0</v>
      </c>
      <c r="N337" s="102">
        <v>0</v>
      </c>
      <c r="O337" s="102">
        <f>IF(L337&gt;0,N337*100/L337,0)</f>
        <v>0</v>
      </c>
      <c r="P337" s="102">
        <f>IF(M337&gt;0,N337*100/M337,0)</f>
        <v>0</v>
      </c>
      <c r="Q337" s="102">
        <v>0</v>
      </c>
      <c r="R337" s="102">
        <v>0</v>
      </c>
      <c r="S337" s="102">
        <v>0</v>
      </c>
      <c r="T337" s="102">
        <f>IF(Q337&gt;0,S337*100/Q337,0)</f>
        <v>0</v>
      </c>
      <c r="U337" s="102">
        <f>IF(R337&gt;0,S337*100/R337,0)</f>
        <v>0</v>
      </c>
    </row>
    <row r="338" spans="1:21" ht="18.75" hidden="1">
      <c r="A338" s="155"/>
      <c r="B338" s="50"/>
      <c r="C338" s="50"/>
      <c r="D338" s="50"/>
      <c r="E338" s="58" t="s">
        <v>37</v>
      </c>
      <c r="F338" s="50"/>
      <c r="G338" s="52"/>
      <c r="H338" s="162" t="s">
        <v>14</v>
      </c>
      <c r="I338" s="163"/>
      <c r="J338" s="163"/>
      <c r="K338" s="164"/>
      <c r="L338" s="256">
        <f ca="1">IFERROR(__xludf.DUMMYFUNCTION("IMPORTRANGE(""https://docs.google.com/spreadsheets/d/1-uDff_7J0KD5mKrp0Vvzr7lt3OU09vwQwhkpOPPYv2Y/edit?usp=sharing"",""งบพรบ!ES51"")"),120000)</f>
        <v>120000</v>
      </c>
      <c r="M338" s="255">
        <f ca="1">IFERROR(__xludf.DUMMYFUNCTION("IMPORTRANGE(""https://docs.google.com/spreadsheets/d/1-uDff_7J0KD5mKrp0Vvzr7lt3OU09vwQwhkpOPPYv2Y/edit?usp=sharing"",""งบพรบ!EX51"")"),125000)</f>
        <v>125000</v>
      </c>
      <c r="N338" s="255">
        <f ca="1">IFERROR(__xludf.DUMMYFUNCTION("IMPORTRANGE(""https://docs.google.com/spreadsheets/d/1-uDff_7J0KD5mKrp0Vvzr7lt3OU09vwQwhkpOPPYv2Y/edit?usp=sharing"",""งบพรบ!EZ51"")"),111081)</f>
        <v>111081</v>
      </c>
      <c r="O338" s="255">
        <f ca="1">IF(L338&gt;0,N338*100/L338,0)</f>
        <v>92.567499999999995</v>
      </c>
      <c r="P338" s="255">
        <f ca="1">IF(M338&gt;0,N338*100/M338,0)</f>
        <v>88.864800000000002</v>
      </c>
      <c r="Q338" s="255">
        <v>0</v>
      </c>
      <c r="R338" s="255">
        <v>0</v>
      </c>
      <c r="S338" s="255">
        <v>0</v>
      </c>
      <c r="T338" s="255">
        <f>IF(Q338&gt;0,S338*100/Q338,0)</f>
        <v>0</v>
      </c>
      <c r="U338" s="255">
        <f>IF(R338&gt;0,S338*100/R338,0)</f>
        <v>0</v>
      </c>
    </row>
    <row r="339" spans="1:21" ht="18.75">
      <c r="A339" s="155"/>
      <c r="B339" s="50"/>
      <c r="C339" s="50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256">
        <f ca="1">L340+L341</f>
        <v>0</v>
      </c>
      <c r="M339" s="255">
        <f ca="1">M340+M341</f>
        <v>0</v>
      </c>
      <c r="N339" s="255">
        <f ca="1">N340+N341</f>
        <v>0</v>
      </c>
      <c r="O339" s="255">
        <f ca="1">IF(L339&gt;0,N339*100/L339,0)</f>
        <v>0</v>
      </c>
      <c r="P339" s="255">
        <f ca="1">IF(M339&gt;0,N339*100/M339,0)</f>
        <v>0</v>
      </c>
      <c r="Q339" s="255">
        <f>Q340+Q341</f>
        <v>0</v>
      </c>
      <c r="R339" s="255">
        <f>R340+R341</f>
        <v>0</v>
      </c>
      <c r="S339" s="255">
        <f>S340+S341</f>
        <v>0</v>
      </c>
      <c r="T339" s="255">
        <f>IF(Q339&gt;0,S339*100/Q339,0)</f>
        <v>0</v>
      </c>
      <c r="U339" s="255">
        <f>IF(R339&gt;0,S339*100/R339,0)</f>
        <v>0</v>
      </c>
    </row>
    <row r="340" spans="1:21" ht="18.75" hidden="1">
      <c r="A340" s="155"/>
      <c r="B340" s="50"/>
      <c r="C340" s="50"/>
      <c r="D340" s="50"/>
      <c r="E340" s="186" t="s">
        <v>20</v>
      </c>
      <c r="F340" s="50"/>
      <c r="G340" s="52"/>
      <c r="H340" s="189" t="s">
        <v>14</v>
      </c>
      <c r="I340" s="163"/>
      <c r="J340" s="163"/>
      <c r="K340" s="164"/>
      <c r="L340" s="103">
        <v>0</v>
      </c>
      <c r="M340" s="102">
        <v>0</v>
      </c>
      <c r="N340" s="102">
        <v>0</v>
      </c>
      <c r="O340" s="102">
        <f>IF(L340&gt;0,N340*100/L340,0)</f>
        <v>0</v>
      </c>
      <c r="P340" s="102">
        <f>IF(M340&gt;0,N340*100/M340,0)</f>
        <v>0</v>
      </c>
      <c r="Q340" s="102">
        <v>0</v>
      </c>
      <c r="R340" s="102">
        <v>0</v>
      </c>
      <c r="S340" s="102">
        <v>0</v>
      </c>
      <c r="T340" s="102">
        <f>IF(Q340&gt;0,S340*100/Q340,0)</f>
        <v>0</v>
      </c>
      <c r="U340" s="102">
        <f>IF(R340&gt;0,S340*100/R340,0)</f>
        <v>0</v>
      </c>
    </row>
    <row r="341" spans="1:21" ht="18.75" hidden="1">
      <c r="A341" s="155"/>
      <c r="B341" s="50"/>
      <c r="C341" s="50"/>
      <c r="D341" s="50"/>
      <c r="E341" s="58" t="s">
        <v>21</v>
      </c>
      <c r="F341" s="50"/>
      <c r="G341" s="52"/>
      <c r="H341" s="165" t="s">
        <v>14</v>
      </c>
      <c r="I341" s="163"/>
      <c r="J341" s="163"/>
      <c r="K341" s="164"/>
      <c r="L341" s="256">
        <f ca="1">IFERROR(__xludf.DUMMYFUNCTION("IMPORTRANGE(""https://docs.google.com/spreadsheets/d/1-uDff_7J0KD5mKrp0Vvzr7lt3OU09vwQwhkpOPPYv2Y/edit?usp=sharing"",""งบพรบ!EV51"")"),0)</f>
        <v>0</v>
      </c>
      <c r="M341" s="255">
        <f ca="1">IFERROR(__xludf.DUMMYFUNCTION("IMPORTRANGE(""https://docs.google.com/spreadsheets/d/1-uDff_7J0KD5mKrp0Vvzr7lt3OU09vwQwhkpOPPYv2Y/edit?usp=sharing"",""งบพรบ!EY51"")"),0)</f>
        <v>0</v>
      </c>
      <c r="N341" s="255">
        <f ca="1">IFERROR(__xludf.DUMMYFUNCTION("IMPORTRANGE(""https://docs.google.com/spreadsheets/d/1-uDff_7J0KD5mKrp0Vvzr7lt3OU09vwQwhkpOPPYv2Y/edit?usp=sharing"",""งบพรบ!FA51"")"),0)</f>
        <v>0</v>
      </c>
      <c r="O341" s="255">
        <f ca="1">IF(L341&gt;0,N341*100/L341,0)</f>
        <v>0</v>
      </c>
      <c r="P341" s="255">
        <f ca="1">IF(M341&gt;0,N341*100/M341,0)</f>
        <v>0</v>
      </c>
      <c r="Q341" s="255">
        <v>0</v>
      </c>
      <c r="R341" s="255">
        <v>0</v>
      </c>
      <c r="S341" s="255">
        <v>0</v>
      </c>
      <c r="T341" s="255">
        <f>IF(Q341&gt;0,S341*100/Q341,0)</f>
        <v>0</v>
      </c>
      <c r="U341" s="255">
        <f>IF(R341&gt;0,S341*100/R341,0)</f>
        <v>0</v>
      </c>
    </row>
    <row r="342" spans="1:21" ht="19.5">
      <c r="A342" s="166"/>
      <c r="B342" s="167"/>
      <c r="C342" s="156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62"/>
      <c r="M342" s="55"/>
      <c r="N342" s="55"/>
      <c r="O342" s="164"/>
      <c r="P342" s="164"/>
      <c r="Q342" s="55"/>
      <c r="R342" s="55"/>
      <c r="S342" s="55"/>
      <c r="T342" s="164"/>
      <c r="U342" s="164"/>
    </row>
    <row r="343" spans="1:21" ht="19.5">
      <c r="A343" s="629"/>
      <c r="B343" s="626"/>
      <c r="C343" s="628"/>
      <c r="D343" s="626"/>
      <c r="E343" s="627" t="s">
        <v>137</v>
      </c>
      <c r="F343" s="626"/>
      <c r="G343" s="625"/>
      <c r="H343" s="624" t="s">
        <v>35</v>
      </c>
      <c r="I343" s="623">
        <v>0</v>
      </c>
      <c r="J343" s="623">
        <f ca="1">J344+J347+J348+J349</f>
        <v>4678</v>
      </c>
      <c r="K343" s="622">
        <v>0</v>
      </c>
      <c r="L343" s="250"/>
      <c r="M343" s="249"/>
      <c r="N343" s="249"/>
      <c r="O343" s="249"/>
      <c r="P343" s="249"/>
      <c r="Q343" s="249"/>
      <c r="R343" s="249"/>
      <c r="S343" s="249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40" t="s">
        <v>35</v>
      </c>
      <c r="I344" s="212">
        <f ca="1">IFERROR(__xludf.DUMMYFUNCTION("IMPORTRANGE(""https://docs.google.com/spreadsheets/d/1eHaY18a8A9IcSdp1K8H6x8fbOy06t2VsZHhMHf-1x7Y/edit?usp=sharing"",""แผน!EK51"")"),4340)</f>
        <v>4340</v>
      </c>
      <c r="J344" s="212">
        <f ca="1">IFERROR(__xludf.DUMMYFUNCTION("IMPORTRANGE(""https://docs.google.com/spreadsheets/d/1awYsYK3VOup2i3Pq_Yjnu8DRu_mYwSBnCR2QPthd0rU/edit?usp=sharing"",""ศูนย์ยกเว้นโฉนด!D51"")"),4519)</f>
        <v>4519</v>
      </c>
      <c r="K344" s="255">
        <f ca="1">IF(I344&gt;0,J344*100/I344,0)</f>
        <v>104.12442396313364</v>
      </c>
      <c r="L344" s="62"/>
      <c r="M344" s="55"/>
      <c r="N344" s="55"/>
      <c r="O344" s="55"/>
      <c r="P344" s="55"/>
      <c r="Q344" s="55"/>
      <c r="R344" s="55"/>
      <c r="S344" s="55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62"/>
      <c r="M345" s="55"/>
      <c r="N345" s="55"/>
      <c r="O345" s="55"/>
      <c r="P345" s="55"/>
      <c r="Q345" s="55"/>
      <c r="R345" s="55"/>
      <c r="S345" s="55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212">
        <f ca="1">IFERROR(__xludf.DUMMYFUNCTION("IMPORTRANGE(""https://docs.google.com/spreadsheets/d/1eHaY18a8A9IcSdp1K8H6x8fbOy06t2VsZHhMHf-1x7Y/edit?usp=sharing"",""แผน!EL51"")"),7)</f>
        <v>7</v>
      </c>
      <c r="J346" s="212">
        <f ca="1">IFERROR(__xludf.DUMMYFUNCTION("IMPORTRANGE(""https://docs.google.com/spreadsheets/d/1awYsYK3VOup2i3Pq_Yjnu8DRu_mYwSBnCR2QPthd0rU/edit?usp=sharing"",""ศูนย์รวม!E51"")"),7)</f>
        <v>7</v>
      </c>
      <c r="K346" s="255">
        <f ca="1">IF(I346&gt;0,J346*100/I346,0)</f>
        <v>100</v>
      </c>
      <c r="L346" s="62"/>
      <c r="M346" s="55"/>
      <c r="N346" s="55"/>
      <c r="O346" s="55"/>
      <c r="P346" s="55"/>
      <c r="Q346" s="55"/>
      <c r="R346" s="55"/>
      <c r="S346" s="55"/>
      <c r="T346" s="55"/>
      <c r="U346" s="55"/>
    </row>
    <row r="347" spans="1:21" ht="18.75">
      <c r="A347" s="238"/>
      <c r="B347" s="50"/>
      <c r="C347" s="188"/>
      <c r="D347" s="174"/>
      <c r="E347" s="174"/>
      <c r="F347" s="178" t="s">
        <v>142</v>
      </c>
      <c r="G347" s="52"/>
      <c r="H347" s="203" t="s">
        <v>35</v>
      </c>
      <c r="I347" s="54"/>
      <c r="J347" s="212">
        <f ca="1">IFERROR(__xludf.DUMMYFUNCTION("IMPORTRANGE(""https://docs.google.com/spreadsheets/d/1awYsYK3VOup2i3Pq_Yjnu8DRu_mYwSBnCR2QPthd0rU/edit?usp=sharing"",""ศูนย์ยกเว้นโฉนด!F51"")"),65)</f>
        <v>65</v>
      </c>
      <c r="K347" s="55"/>
      <c r="L347" s="62"/>
      <c r="M347" s="55"/>
      <c r="N347" s="55"/>
      <c r="O347" s="55"/>
      <c r="P347" s="55"/>
      <c r="Q347" s="55"/>
      <c r="R347" s="55"/>
      <c r="S347" s="55"/>
      <c r="T347" s="55"/>
      <c r="U347" s="55"/>
    </row>
    <row r="348" spans="1:21" ht="18.75">
      <c r="A348" s="238"/>
      <c r="B348" s="50"/>
      <c r="C348" s="188"/>
      <c r="D348" s="174"/>
      <c r="E348" s="178" t="s">
        <v>143</v>
      </c>
      <c r="F348" s="174"/>
      <c r="G348" s="52"/>
      <c r="H348" s="203" t="s">
        <v>35</v>
      </c>
      <c r="I348" s="54"/>
      <c r="J348" s="212">
        <f ca="1">IFERROR(__xludf.DUMMYFUNCTION("IMPORTRANGE(""https://docs.google.com/spreadsheets/d/1awYsYK3VOup2i3Pq_Yjnu8DRu_mYwSBnCR2QPthd0rU/edit?usp=sharing"",""ศูนย์ยกเว้นโฉนด!G51"")"),80)</f>
        <v>80</v>
      </c>
      <c r="K348" s="55"/>
      <c r="L348" s="62"/>
      <c r="M348" s="55"/>
      <c r="N348" s="55"/>
      <c r="O348" s="55"/>
      <c r="P348" s="55"/>
      <c r="Q348" s="55"/>
      <c r="R348" s="55"/>
      <c r="S348" s="55"/>
      <c r="T348" s="55"/>
      <c r="U348" s="55"/>
    </row>
    <row r="349" spans="1:21" ht="18.75">
      <c r="A349" s="238"/>
      <c r="B349" s="50"/>
      <c r="C349" s="188"/>
      <c r="D349" s="167"/>
      <c r="E349" s="178" t="s">
        <v>144</v>
      </c>
      <c r="F349" s="174"/>
      <c r="G349" s="52"/>
      <c r="H349" s="203" t="s">
        <v>35</v>
      </c>
      <c r="I349" s="54"/>
      <c r="J349" s="212">
        <f ca="1">IFERROR(__xludf.DUMMYFUNCTION("IMPORTRANGE(""https://docs.google.com/spreadsheets/d/1awYsYK3VOup2i3Pq_Yjnu8DRu_mYwSBnCR2QPthd0rU/edit?usp=sharing"",""ศูนย์ยกเว้นโฉนด!H51"")"),14)</f>
        <v>14</v>
      </c>
      <c r="K349" s="55"/>
      <c r="L349" s="62"/>
      <c r="M349" s="55"/>
      <c r="N349" s="55"/>
      <c r="O349" s="55"/>
      <c r="P349" s="55"/>
      <c r="Q349" s="55"/>
      <c r="R349" s="55"/>
      <c r="S349" s="55"/>
      <c r="T349" s="55"/>
      <c r="U349" s="55"/>
    </row>
    <row r="350" spans="1:21" ht="16.5">
      <c r="A350" s="18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0" s="50"/>
      <c r="F350" s="50"/>
      <c r="G350" s="52"/>
      <c r="H350" s="208"/>
      <c r="I350" s="54"/>
      <c r="J350" s="54"/>
      <c r="K350" s="55"/>
      <c r="L350" s="62"/>
      <c r="M350" s="55"/>
      <c r="N350" s="55"/>
      <c r="O350" s="55"/>
      <c r="P350" s="55"/>
      <c r="Q350" s="55"/>
      <c r="R350" s="55"/>
      <c r="S350" s="55"/>
      <c r="T350" s="55"/>
      <c r="U350" s="55"/>
    </row>
    <row r="351" spans="1:21" ht="19.5">
      <c r="A351" s="241"/>
      <c r="B351" s="244"/>
      <c r="C351" s="242"/>
      <c r="D351" s="244"/>
      <c r="E351" s="621" t="s">
        <v>145</v>
      </c>
      <c r="F351" s="244"/>
      <c r="G351" s="245"/>
      <c r="H351" s="246" t="s">
        <v>35</v>
      </c>
      <c r="I351" s="339">
        <v>0</v>
      </c>
      <c r="J351" s="339">
        <f ca="1">J352+J353</f>
        <v>11645</v>
      </c>
      <c r="K351" s="340">
        <v>0</v>
      </c>
      <c r="L351" s="250"/>
      <c r="M351" s="249"/>
      <c r="N351" s="249"/>
      <c r="O351" s="249"/>
      <c r="P351" s="249"/>
      <c r="Q351" s="249"/>
      <c r="R351" s="249"/>
      <c r="S351" s="249"/>
      <c r="T351" s="249"/>
      <c r="U351" s="249"/>
    </row>
    <row r="352" spans="1:21" ht="18.75">
      <c r="A352" s="188"/>
      <c r="B352" s="50"/>
      <c r="C352" s="188"/>
      <c r="D352" s="174"/>
      <c r="E352" s="178" t="s">
        <v>146</v>
      </c>
      <c r="F352" s="50"/>
      <c r="G352" s="52"/>
      <c r="H352" s="161" t="s">
        <v>35</v>
      </c>
      <c r="I352" s="54"/>
      <c r="J352" s="212">
        <f ca="1">IFERROR(__xludf.DUMMYFUNCTION("IMPORTRANGE(""https://docs.google.com/spreadsheets/d/1awYsYK3VOup2i3Pq_Yjnu8DRu_mYwSBnCR2QPthd0rU/edit?usp=sharing"",""โฉนดM3!G51"")"),2553)</f>
        <v>2553</v>
      </c>
      <c r="K352" s="55"/>
      <c r="L352" s="62"/>
      <c r="M352" s="55"/>
      <c r="N352" s="55"/>
      <c r="O352" s="55"/>
      <c r="P352" s="55"/>
      <c r="Q352" s="55"/>
      <c r="R352" s="55"/>
      <c r="S352" s="55"/>
      <c r="T352" s="55"/>
      <c r="U352" s="55"/>
    </row>
    <row r="353" spans="1:21" ht="18.75">
      <c r="A353" s="18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212">
        <f ca="1">IFERROR(__xludf.DUMMYFUNCTION("IMPORTRANGE(""https://docs.google.com/spreadsheets/d/1awYsYK3VOup2i3Pq_Yjnu8DRu_mYwSBnCR2QPthd0rU/edit?usp=sharing"",""โฉนดM3!H51"")"),9092)</f>
        <v>9092</v>
      </c>
      <c r="K353" s="55"/>
      <c r="L353" s="62"/>
      <c r="M353" s="55"/>
      <c r="N353" s="55"/>
      <c r="O353" s="55"/>
      <c r="P353" s="55"/>
      <c r="Q353" s="55"/>
      <c r="R353" s="55"/>
      <c r="S353" s="55"/>
      <c r="T353" s="55"/>
      <c r="U353" s="55"/>
    </row>
    <row r="354" spans="1:21" ht="16.5">
      <c r="A354" s="188"/>
      <c r="B354" s="50"/>
      <c r="C354" s="188"/>
      <c r="D354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4" s="50"/>
      <c r="F354" s="50"/>
      <c r="G354" s="52"/>
      <c r="H354" s="208"/>
      <c r="I354" s="54"/>
      <c r="J354" s="54"/>
      <c r="K354" s="55"/>
      <c r="L354" s="62"/>
      <c r="M354" s="55"/>
      <c r="N354" s="55"/>
      <c r="O354" s="55"/>
      <c r="P354" s="55"/>
      <c r="Q354" s="55"/>
      <c r="R354" s="55"/>
      <c r="S354" s="55"/>
      <c r="T354" s="55"/>
      <c r="U354" s="55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29"/>
      <c r="I355" s="351"/>
      <c r="J355" s="351"/>
      <c r="K355" s="333"/>
      <c r="L355" s="334"/>
      <c r="M355" s="333"/>
      <c r="N355" s="333"/>
      <c r="O355" s="333"/>
      <c r="P355" s="333"/>
      <c r="Q355" s="333"/>
      <c r="R355" s="333"/>
      <c r="S355" s="333"/>
      <c r="T355" s="333"/>
      <c r="U355" s="333"/>
    </row>
    <row r="356" spans="1:21" ht="19.5">
      <c r="A356" s="155"/>
      <c r="B356" s="50"/>
      <c r="C356" s="156" t="s">
        <v>18</v>
      </c>
      <c r="D356" s="575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541">
        <f ca="1">L357+L358</f>
        <v>1079860</v>
      </c>
      <c r="M356" s="540">
        <f ca="1">M357+M358</f>
        <v>1244960</v>
      </c>
      <c r="N356" s="540">
        <f ca="1">N357+N358</f>
        <v>1009108.05</v>
      </c>
      <c r="O356" s="540">
        <f ca="1">IF(L356&gt;0,N356*100/L356,0)</f>
        <v>93.448044190913635</v>
      </c>
      <c r="P356" s="540">
        <f ca="1">IF(M356&gt;0,N356*100/M356,0)</f>
        <v>81.055459613160266</v>
      </c>
      <c r="Q356" s="540">
        <f>Q357+Q358</f>
        <v>0</v>
      </c>
      <c r="R356" s="540">
        <f>R357+R358</f>
        <v>0</v>
      </c>
      <c r="S356" s="540">
        <f>S357+S358</f>
        <v>0</v>
      </c>
      <c r="T356" s="540">
        <f>IF(Q356&gt;0,S356*100/Q356,0)</f>
        <v>0</v>
      </c>
      <c r="U356" s="540">
        <f>IF(R356&gt;0,S356*100/R356,0)</f>
        <v>0</v>
      </c>
    </row>
    <row r="357" spans="1:21" ht="18.75" hidden="1">
      <c r="A357" s="155"/>
      <c r="B357" s="50"/>
      <c r="C357" s="50"/>
      <c r="D357" s="50"/>
      <c r="E357" s="186" t="s">
        <v>20</v>
      </c>
      <c r="F357" s="50"/>
      <c r="G357" s="52"/>
      <c r="H357" s="187" t="s">
        <v>14</v>
      </c>
      <c r="I357" s="54"/>
      <c r="J357" s="54"/>
      <c r="K357" s="55"/>
      <c r="L357" s="103">
        <f>L360+L363</f>
        <v>0</v>
      </c>
      <c r="M357" s="102">
        <f>M360+M363</f>
        <v>0</v>
      </c>
      <c r="N357" s="102">
        <f>N360+N363</f>
        <v>0</v>
      </c>
      <c r="O357" s="102">
        <f>IF(L357&gt;0,N357*100/L357,0)</f>
        <v>0</v>
      </c>
      <c r="P357" s="102">
        <f>IF(M357&gt;0,N357*100/M357,0)</f>
        <v>0</v>
      </c>
      <c r="Q357" s="102">
        <f>Q360+Q363</f>
        <v>0</v>
      </c>
      <c r="R357" s="102">
        <f>R360+R363</f>
        <v>0</v>
      </c>
      <c r="S357" s="102">
        <f>S360+S363</f>
        <v>0</v>
      </c>
      <c r="T357" s="102">
        <f>IF(Q357&gt;0,S357*100/Q357,0)</f>
        <v>0</v>
      </c>
      <c r="U357" s="102">
        <f>IF(R357&gt;0,S357*100/R357,0)</f>
        <v>0</v>
      </c>
    </row>
    <row r="358" spans="1:21" ht="18.75" hidden="1">
      <c r="A358" s="155"/>
      <c r="B358" s="50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256">
        <f ca="1">L361+L364</f>
        <v>1079860</v>
      </c>
      <c r="M358" s="255">
        <f ca="1">M361+M364</f>
        <v>1244960</v>
      </c>
      <c r="N358" s="255">
        <f ca="1">N361+N364</f>
        <v>1009108.05</v>
      </c>
      <c r="O358" s="255">
        <f ca="1">IF(L358&gt;0,N358*100/L358,0)</f>
        <v>93.448044190913635</v>
      </c>
      <c r="P358" s="255">
        <f ca="1">IF(M358&gt;0,N358*100/M358,0)</f>
        <v>81.055459613160266</v>
      </c>
      <c r="Q358" s="255">
        <f>Q361+Q364</f>
        <v>0</v>
      </c>
      <c r="R358" s="255">
        <f>R361+R364</f>
        <v>0</v>
      </c>
      <c r="S358" s="255">
        <f>S361+S364</f>
        <v>0</v>
      </c>
      <c r="T358" s="255">
        <f>IF(Q358&gt;0,S358*100/Q358,0)</f>
        <v>0</v>
      </c>
      <c r="U358" s="255">
        <f>IF(R358&gt;0,S358*100/R358,0)</f>
        <v>0</v>
      </c>
    </row>
    <row r="359" spans="1:21" ht="18.75">
      <c r="A359" s="155"/>
      <c r="B359" s="50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256">
        <f ca="1">L360+L361</f>
        <v>1079860</v>
      </c>
      <c r="M359" s="255">
        <f ca="1">M360+M361</f>
        <v>1244960</v>
      </c>
      <c r="N359" s="255">
        <f ca="1">N360+N361</f>
        <v>1009108.05</v>
      </c>
      <c r="O359" s="255">
        <f ca="1">IF(L359&gt;0,N359*100/L359,0)</f>
        <v>93.448044190913635</v>
      </c>
      <c r="P359" s="255">
        <f ca="1">IF(M359&gt;0,N359*100/M359,0)</f>
        <v>81.055459613160266</v>
      </c>
      <c r="Q359" s="255">
        <f>Q360+Q361</f>
        <v>0</v>
      </c>
      <c r="R359" s="255">
        <f>R360+R361</f>
        <v>0</v>
      </c>
      <c r="S359" s="255">
        <f>S360+S361</f>
        <v>0</v>
      </c>
      <c r="T359" s="255">
        <f>IF(Q359&gt;0,S359*100/Q359,0)</f>
        <v>0</v>
      </c>
      <c r="U359" s="255">
        <f>IF(R359&gt;0,S359*100/R359,0)</f>
        <v>0</v>
      </c>
    </row>
    <row r="360" spans="1:21" ht="18.75" hidden="1">
      <c r="A360" s="155"/>
      <c r="B360" s="50"/>
      <c r="C360" s="50"/>
      <c r="D360" s="50"/>
      <c r="E360" s="186" t="s">
        <v>36</v>
      </c>
      <c r="F360" s="50"/>
      <c r="G360" s="52"/>
      <c r="H360" s="189" t="s">
        <v>14</v>
      </c>
      <c r="I360" s="163"/>
      <c r="J360" s="163"/>
      <c r="K360" s="164"/>
      <c r="L360" s="103">
        <v>0</v>
      </c>
      <c r="M360" s="102">
        <v>0</v>
      </c>
      <c r="N360" s="102">
        <v>0</v>
      </c>
      <c r="O360" s="102">
        <f>IF(L360&gt;0,N360*100/L360,0)</f>
        <v>0</v>
      </c>
      <c r="P360" s="102">
        <f>IF(M360&gt;0,N360*100/M360,0)</f>
        <v>0</v>
      </c>
      <c r="Q360" s="102">
        <v>0</v>
      </c>
      <c r="R360" s="102">
        <v>0</v>
      </c>
      <c r="S360" s="102">
        <v>0</v>
      </c>
      <c r="T360" s="102">
        <f>IF(Q360&gt;0,S360*100/Q360,0)</f>
        <v>0</v>
      </c>
      <c r="U360" s="102">
        <f>IF(R360&gt;0,S360*100/R360,0)</f>
        <v>0</v>
      </c>
    </row>
    <row r="361" spans="1:21" ht="18.75" hidden="1">
      <c r="A361" s="155"/>
      <c r="B361" s="50"/>
      <c r="C361" s="50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256">
        <f ca="1">IFERROR(__xludf.DUMMYFUNCTION("IMPORTRANGE(""https://docs.google.com/spreadsheets/d/1-uDff_7J0KD5mKrp0Vvzr7lt3OU09vwQwhkpOPPYv2Y/edit?usp=sharing"",""งบพรบ!FC51"")"),1079860)</f>
        <v>1079860</v>
      </c>
      <c r="M361" s="255">
        <f ca="1">IFERROR(__xludf.DUMMYFUNCTION("IMPORTRANGE(""https://docs.google.com/spreadsheets/d/1-uDff_7J0KD5mKrp0Vvzr7lt3OU09vwQwhkpOPPYv2Y/edit?usp=sharing"",""งบพรบ!FH51"")"),1244960)</f>
        <v>1244960</v>
      </c>
      <c r="N361" s="255">
        <f ca="1">IFERROR(__xludf.DUMMYFUNCTION("IMPORTRANGE(""https://docs.google.com/spreadsheets/d/1-uDff_7J0KD5mKrp0Vvzr7lt3OU09vwQwhkpOPPYv2Y/edit?usp=sharing"",""งบพรบ!FJ51"")"),1009108.05)</f>
        <v>1009108.05</v>
      </c>
      <c r="O361" s="255">
        <f ca="1">IF(L361&gt;0,N361*100/L361,0)</f>
        <v>93.448044190913635</v>
      </c>
      <c r="P361" s="255">
        <f ca="1">IF(M361&gt;0,N361*100/M361,0)</f>
        <v>81.055459613160266</v>
      </c>
      <c r="Q361" s="255">
        <v>0</v>
      </c>
      <c r="R361" s="255">
        <v>0</v>
      </c>
      <c r="S361" s="255">
        <v>0</v>
      </c>
      <c r="T361" s="255">
        <f>IF(Q361&gt;0,S361*100/Q361,0)</f>
        <v>0</v>
      </c>
      <c r="U361" s="255">
        <f>IF(R361&gt;0,S361*100/R361,0)</f>
        <v>0</v>
      </c>
    </row>
    <row r="362" spans="1:21" ht="18.75">
      <c r="A362" s="155"/>
      <c r="B362" s="50"/>
      <c r="C362" s="50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256">
        <f ca="1">L363+L364</f>
        <v>0</v>
      </c>
      <c r="M362" s="255">
        <f ca="1">M363+M364</f>
        <v>0</v>
      </c>
      <c r="N362" s="255">
        <f ca="1">N363+N364</f>
        <v>0</v>
      </c>
      <c r="O362" s="255">
        <f ca="1">IF(L362&gt;0,N362*100/L362,0)</f>
        <v>0</v>
      </c>
      <c r="P362" s="255">
        <f ca="1">IF(M362&gt;0,N362*100/M362,0)</f>
        <v>0</v>
      </c>
      <c r="Q362" s="255">
        <f>Q363+Q364</f>
        <v>0</v>
      </c>
      <c r="R362" s="255">
        <f>R363+R364</f>
        <v>0</v>
      </c>
      <c r="S362" s="255">
        <f>S363+S364</f>
        <v>0</v>
      </c>
      <c r="T362" s="255">
        <f>IF(Q362&gt;0,S362*100/Q362,0)</f>
        <v>0</v>
      </c>
      <c r="U362" s="255">
        <f>IF(R362&gt;0,S362*100/R362,0)</f>
        <v>0</v>
      </c>
    </row>
    <row r="363" spans="1:21" ht="18.75" hidden="1">
      <c r="A363" s="155"/>
      <c r="B363" s="50"/>
      <c r="C363" s="50"/>
      <c r="D363" s="50"/>
      <c r="E363" s="186" t="s">
        <v>20</v>
      </c>
      <c r="F363" s="50"/>
      <c r="G363" s="52"/>
      <c r="H363" s="189" t="s">
        <v>14</v>
      </c>
      <c r="I363" s="163"/>
      <c r="J363" s="163"/>
      <c r="K363" s="164"/>
      <c r="L363" s="103">
        <v>0</v>
      </c>
      <c r="M363" s="102">
        <v>0</v>
      </c>
      <c r="N363" s="102">
        <v>0</v>
      </c>
      <c r="O363" s="102">
        <f>IF(L363&gt;0,N363*100/L363,0)</f>
        <v>0</v>
      </c>
      <c r="P363" s="102">
        <f>IF(M363&gt;0,N363*100/M363,0)</f>
        <v>0</v>
      </c>
      <c r="Q363" s="102">
        <v>0</v>
      </c>
      <c r="R363" s="102">
        <v>0</v>
      </c>
      <c r="S363" s="102">
        <v>0</v>
      </c>
      <c r="T363" s="102">
        <f>IF(Q363&gt;0,S363*100/Q363,0)</f>
        <v>0</v>
      </c>
      <c r="U363" s="102">
        <f>IF(R363&gt;0,S363*100/R363,0)</f>
        <v>0</v>
      </c>
    </row>
    <row r="364" spans="1:21" ht="18.75" hidden="1">
      <c r="A364" s="155"/>
      <c r="B364" s="50"/>
      <c r="C364" s="50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256">
        <f ca="1">IFERROR(__xludf.DUMMYFUNCTION("IMPORTRANGE(""https://docs.google.com/spreadsheets/d/1-uDff_7J0KD5mKrp0Vvzr7lt3OU09vwQwhkpOPPYv2Y/edit?usp=sharing"",""งบพรบ!FF51"")"),0)</f>
        <v>0</v>
      </c>
      <c r="M364" s="255">
        <f ca="1">IFERROR(__xludf.DUMMYFUNCTION("IMPORTRANGE(""https://docs.google.com/spreadsheets/d/1-uDff_7J0KD5mKrp0Vvzr7lt3OU09vwQwhkpOPPYv2Y/edit?usp=sharing"",""งบพรบ!FI51"")"),0)</f>
        <v>0</v>
      </c>
      <c r="N364" s="255">
        <f ca="1">IFERROR(__xludf.DUMMYFUNCTION("IMPORTRANGE(""https://docs.google.com/spreadsheets/d/1-uDff_7J0KD5mKrp0Vvzr7lt3OU09vwQwhkpOPPYv2Y/edit?usp=sharing"",""งบพรบ!FK51"")"),0)</f>
        <v>0</v>
      </c>
      <c r="O364" s="255">
        <f ca="1">IF(L364&gt;0,N364*100/L364,0)</f>
        <v>0</v>
      </c>
      <c r="P364" s="255">
        <f ca="1">IF(M364&gt;0,N364*100/M364,0)</f>
        <v>0</v>
      </c>
      <c r="Q364" s="255">
        <v>0</v>
      </c>
      <c r="R364" s="255">
        <v>0</v>
      </c>
      <c r="S364" s="255">
        <v>0</v>
      </c>
      <c r="T364" s="255">
        <f>IF(Q364&gt;0,S364*100/Q364,0)</f>
        <v>0</v>
      </c>
      <c r="U364" s="255">
        <f>IF(R364&gt;0,S364*100/R364,0)</f>
        <v>0</v>
      </c>
    </row>
    <row r="365" spans="1:21" ht="19.5">
      <c r="A365" s="241"/>
      <c r="B365" s="242"/>
      <c r="C365" s="244"/>
      <c r="D365" s="621" t="s">
        <v>150</v>
      </c>
      <c r="E365" s="244"/>
      <c r="F365" s="244"/>
      <c r="G365" s="245"/>
      <c r="H365" s="254" t="s">
        <v>35</v>
      </c>
      <c r="I365" s="339">
        <f ca="1">I371</f>
        <v>733</v>
      </c>
      <c r="J365" s="339">
        <f ca="1">J371</f>
        <v>880</v>
      </c>
      <c r="K365" s="340">
        <f ca="1">IF(I365&gt;0,J365*100/I365,0)</f>
        <v>120.05457025920873</v>
      </c>
      <c r="L365" s="250"/>
      <c r="M365" s="249"/>
      <c r="N365" s="249"/>
      <c r="O365" s="249"/>
      <c r="P365" s="249"/>
      <c r="Q365" s="249"/>
      <c r="R365" s="249"/>
      <c r="S365" s="249"/>
      <c r="T365" s="249"/>
      <c r="U365" s="249"/>
    </row>
    <row r="366" spans="1:21" ht="19.5">
      <c r="A366" s="166"/>
      <c r="B366" s="167"/>
      <c r="C366" s="156" t="s">
        <v>18</v>
      </c>
      <c r="D366" s="566" t="s">
        <v>38</v>
      </c>
      <c r="E366" s="169"/>
      <c r="F366" s="169"/>
      <c r="G366" s="170"/>
      <c r="H366" s="171"/>
      <c r="I366" s="54"/>
      <c r="J366" s="54"/>
      <c r="K366" s="55"/>
      <c r="L366" s="172"/>
      <c r="M366" s="164"/>
      <c r="N366" s="164"/>
      <c r="O366" s="164"/>
      <c r="P366" s="164"/>
      <c r="Q366" s="164"/>
      <c r="R366" s="164"/>
      <c r="S366" s="164"/>
      <c r="T366" s="164"/>
      <c r="U366" s="164"/>
    </row>
    <row r="367" spans="1:21" ht="18.75">
      <c r="A367" s="166"/>
      <c r="B367" s="174"/>
      <c r="C367" s="167"/>
      <c r="D367" s="174"/>
      <c r="E367" s="173" t="s">
        <v>151</v>
      </c>
      <c r="F367" s="174"/>
      <c r="G367" s="171"/>
      <c r="H367" s="183" t="s">
        <v>35</v>
      </c>
      <c r="I367" s="212">
        <v>0</v>
      </c>
      <c r="J367" s="212">
        <f ca="1">IFERROR(__xludf.DUMMYFUNCTION("IMPORTRANGE(""https://docs.google.com/spreadsheets/d/1tdoBKaGub7dwA3U6UFTqxio9LNnvDCQjHKmttSEBsFQ/edit?usp=sharing"",""จัดที่ดิน!AB51"")"),636)</f>
        <v>636</v>
      </c>
      <c r="K367" s="255">
        <f>IF(I367&gt;0,J367*100/I367,0)</f>
        <v>0</v>
      </c>
      <c r="L367" s="172"/>
      <c r="M367" s="164"/>
      <c r="N367" s="164"/>
      <c r="O367" s="164"/>
      <c r="P367" s="164"/>
      <c r="Q367" s="164"/>
      <c r="R367" s="164"/>
      <c r="S367" s="164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212">
        <f ca="1">IFERROR(__xludf.DUMMYFUNCTION("IMPORTRANGE(""https://docs.google.com/spreadsheets/d/1eHaY18a8A9IcSdp1K8H6x8fbOy06t2VsZHhMHf-1x7Y/edit?usp=sharing"",""แผน!EW51"")"),3815)</f>
        <v>3815</v>
      </c>
      <c r="J368" s="620">
        <f ca="1">IFERROR(__xludf.DUMMYFUNCTION("IMPORTRANGE(""https://docs.google.com/spreadsheets/d/1tdoBKaGub7dwA3U6UFTqxio9LNnvDCQjHKmttSEBsFQ/edit?usp=sharing"",""จัดที่ดิน!AC51"")"),4676.32)</f>
        <v>4676.32</v>
      </c>
      <c r="K368" s="255">
        <f ca="1">IF(I368&gt;0,J368*100/I368,0)</f>
        <v>122.57719528178244</v>
      </c>
      <c r="L368" s="172"/>
      <c r="M368" s="164"/>
      <c r="N368" s="164"/>
      <c r="O368" s="164"/>
      <c r="P368" s="164"/>
      <c r="Q368" s="164"/>
      <c r="R368" s="164"/>
      <c r="S368" s="164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79" t="s">
        <v>35</v>
      </c>
      <c r="I369" s="212">
        <f ca="1">IFERROR(__xludf.DUMMYFUNCTION("IMPORTRANGE(""https://docs.google.com/spreadsheets/d/1eHaY18a8A9IcSdp1K8H6x8fbOy06t2VsZHhMHf-1x7Y/edit?usp=sharing"",""แผน!EX51"")"),733)</f>
        <v>733</v>
      </c>
      <c r="J369" s="212">
        <f ca="1">IFERROR(__xludf.DUMMYFUNCTION("IMPORTRANGE(""https://docs.google.com/spreadsheets/d/1tdoBKaGub7dwA3U6UFTqxio9LNnvDCQjHKmttSEBsFQ/edit?usp=sharing"",""จัดที่ดิน!AD51"")"),977)</f>
        <v>977</v>
      </c>
      <c r="K369" s="255">
        <f ca="1">IF(I369&gt;0,J369*100/I369,0)</f>
        <v>133.28785811732607</v>
      </c>
      <c r="L369" s="172"/>
      <c r="M369" s="164"/>
      <c r="N369" s="164"/>
      <c r="O369" s="164"/>
      <c r="P369" s="164"/>
      <c r="Q369" s="164"/>
      <c r="R369" s="164"/>
      <c r="S369" s="164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79" t="s">
        <v>46</v>
      </c>
      <c r="I370" s="212">
        <v>0</v>
      </c>
      <c r="J370" s="620">
        <f ca="1">IFERROR(__xludf.DUMMYFUNCTION("IMPORTRANGE(""https://docs.google.com/spreadsheets/d/1tdoBKaGub7dwA3U6UFTqxio9LNnvDCQjHKmttSEBsFQ/edit?usp=sharing"",""จัดที่ดิน!AE51"")"),8393.52999999999)</f>
        <v>8393.5299999999897</v>
      </c>
      <c r="K370" s="255">
        <f>IF(I370&gt;0,J370*100/I370,0)</f>
        <v>0</v>
      </c>
      <c r="L370" s="172"/>
      <c r="M370" s="164"/>
      <c r="N370" s="164"/>
      <c r="O370" s="164"/>
      <c r="P370" s="164"/>
      <c r="Q370" s="164"/>
      <c r="R370" s="164"/>
      <c r="S370" s="164"/>
      <c r="T370" s="164"/>
      <c r="U370" s="164"/>
    </row>
    <row r="371" spans="1:21" ht="18.75">
      <c r="A371" s="166"/>
      <c r="B371" s="174"/>
      <c r="C371" s="167"/>
      <c r="D371" s="174"/>
      <c r="E371" s="352" t="s">
        <v>153</v>
      </c>
      <c r="F371" s="174"/>
      <c r="G371" s="171"/>
      <c r="H371" s="179" t="s">
        <v>35</v>
      </c>
      <c r="I371" s="212">
        <f ca="1">IFERROR(__xludf.DUMMYFUNCTION("IMPORTRANGE(""https://docs.google.com/spreadsheets/d/1eHaY18a8A9IcSdp1K8H6x8fbOy06t2VsZHhMHf-1x7Y/edit?usp=sharing"",""แผน!EY51"")"),733)</f>
        <v>733</v>
      </c>
      <c r="J371" s="212">
        <f ca="1">IFERROR(__xludf.DUMMYFUNCTION("IMPORTRANGE(""https://docs.google.com/spreadsheets/d/1tdoBKaGub7dwA3U6UFTqxio9LNnvDCQjHKmttSEBsFQ/edit?usp=sharing"",""จัดที่ดิน!AF51"")"),880)</f>
        <v>880</v>
      </c>
      <c r="K371" s="255">
        <f ca="1">IF(I371&gt;0,J371*100/I371,0)</f>
        <v>120.05457025920873</v>
      </c>
      <c r="L371" s="172"/>
      <c r="M371" s="164"/>
      <c r="N371" s="164"/>
      <c r="O371" s="164"/>
      <c r="P371" s="164"/>
      <c r="Q371" s="164"/>
      <c r="R371" s="164"/>
      <c r="S371" s="164"/>
      <c r="T371" s="164"/>
      <c r="U371" s="164"/>
    </row>
    <row r="372" spans="1:21" ht="18.75">
      <c r="A372" s="166"/>
      <c r="B372" s="174"/>
      <c r="C372" s="167"/>
      <c r="D372" s="174"/>
      <c r="E372" s="174"/>
      <c r="F372" s="174"/>
      <c r="G372" s="171"/>
      <c r="H372" s="179" t="s">
        <v>46</v>
      </c>
      <c r="I372" s="212">
        <v>0</v>
      </c>
      <c r="J372" s="620">
        <f ca="1">IFERROR(__xludf.DUMMYFUNCTION("IMPORTRANGE(""https://docs.google.com/spreadsheets/d/1tdoBKaGub7dwA3U6UFTqxio9LNnvDCQjHKmttSEBsFQ/edit?usp=sharing"",""จัดที่ดิน!AG51"")"),7521.99)</f>
        <v>7521.99</v>
      </c>
      <c r="K372" s="255">
        <f>IF(I372&gt;0,J372*100/I372,0)</f>
        <v>0</v>
      </c>
      <c r="L372" s="172"/>
      <c r="M372" s="164"/>
      <c r="N372" s="164"/>
      <c r="O372" s="164"/>
      <c r="P372" s="164"/>
      <c r="Q372" s="164"/>
      <c r="R372" s="164"/>
      <c r="S372" s="164"/>
      <c r="T372" s="164"/>
      <c r="U372" s="164"/>
    </row>
    <row r="373" spans="1:21" ht="16.5">
      <c r="A373" s="5"/>
      <c r="B373" s="4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พ.ค. 67 เวลา 07.29 น.]")</f>
        <v xml:space="preserve"> [ข้อมูลจาก ระบบ ALRO Land Online ข้อมูล ณ 1 พ.ค. 67 เวลา 07.29 น.]</v>
      </c>
      <c r="E373" s="4"/>
      <c r="F373" s="4"/>
      <c r="G373" s="65"/>
      <c r="H373" s="65"/>
      <c r="I373" s="67"/>
      <c r="J373" s="67"/>
      <c r="K373" s="6"/>
      <c r="L373" s="68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>
      <c r="A374" s="619"/>
      <c r="B374" s="618" t="s">
        <v>154</v>
      </c>
      <c r="C374" s="617"/>
      <c r="D374" s="616"/>
      <c r="E374" s="615"/>
      <c r="F374" s="615"/>
      <c r="G374" s="614"/>
      <c r="H374" s="613" t="s">
        <v>46</v>
      </c>
      <c r="I374" s="612">
        <f ca="1">I386+I388</f>
        <v>10000</v>
      </c>
      <c r="J374" s="612">
        <f ca="1">J386+J388</f>
        <v>11</v>
      </c>
      <c r="K374" s="611">
        <f ca="1">IF(I374&gt;0,J374*100/I374,0)</f>
        <v>0.11</v>
      </c>
      <c r="L374" s="334"/>
      <c r="M374" s="333"/>
      <c r="N374" s="333"/>
      <c r="O374" s="333"/>
      <c r="P374" s="333"/>
      <c r="Q374" s="333"/>
      <c r="R374" s="333"/>
      <c r="S374" s="333"/>
      <c r="T374" s="333"/>
      <c r="U374" s="333"/>
    </row>
    <row r="375" spans="1:21" ht="19.5">
      <c r="A375" s="155"/>
      <c r="B375" s="188"/>
      <c r="C375" s="191" t="s">
        <v>18</v>
      </c>
      <c r="D375" s="608" t="s">
        <v>19</v>
      </c>
      <c r="E375" s="50"/>
      <c r="F375" s="50"/>
      <c r="G375" s="52"/>
      <c r="H375" s="158" t="s">
        <v>14</v>
      </c>
      <c r="I375" s="54"/>
      <c r="J375" s="54"/>
      <c r="K375" s="55"/>
      <c r="L375" s="541">
        <f>L376+L377</f>
        <v>0</v>
      </c>
      <c r="M375" s="540">
        <f>M376+M377</f>
        <v>0</v>
      </c>
      <c r="N375" s="540">
        <f>N376+N377</f>
        <v>0</v>
      </c>
      <c r="O375" s="540">
        <f>IF(L375&gt;0,N375*100/L375,0)</f>
        <v>0</v>
      </c>
      <c r="P375" s="540">
        <f>IF(M375&gt;0,N375*100/M375,0)</f>
        <v>0</v>
      </c>
      <c r="Q375" s="540">
        <f ca="1">Q376+Q377</f>
        <v>625000</v>
      </c>
      <c r="R375" s="540">
        <f ca="1">R376+R377</f>
        <v>625000</v>
      </c>
      <c r="S375" s="540">
        <f ca="1">S376+S377</f>
        <v>0</v>
      </c>
      <c r="T375" s="540">
        <f ca="1">IF(Q375&gt;0,S375*100/Q375,0)</f>
        <v>0</v>
      </c>
      <c r="U375" s="540">
        <f ca="1">IF(R375&gt;0,S375*100/R375,0)</f>
        <v>0</v>
      </c>
    </row>
    <row r="376" spans="1:21" ht="18.75" hidden="1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103">
        <f>L379+L382</f>
        <v>0</v>
      </c>
      <c r="M376" s="102">
        <f>M379+M382</f>
        <v>0</v>
      </c>
      <c r="N376" s="102">
        <f>N379+N382</f>
        <v>0</v>
      </c>
      <c r="O376" s="102">
        <f>IF(L376&gt;0,N376*100/L376,0)</f>
        <v>0</v>
      </c>
      <c r="P376" s="102">
        <f>IF(M376&gt;0,N376*100/M376,0)</f>
        <v>0</v>
      </c>
      <c r="Q376" s="102">
        <f>Q379+Q382</f>
        <v>0</v>
      </c>
      <c r="R376" s="102">
        <f>R379+R382</f>
        <v>0</v>
      </c>
      <c r="S376" s="102">
        <f>S379+S382</f>
        <v>0</v>
      </c>
      <c r="T376" s="102">
        <f>IF(Q376&gt;0,S376*100/Q376,0)</f>
        <v>0</v>
      </c>
      <c r="U376" s="102">
        <f>IF(R376&gt;0,S376*100/R376,0)</f>
        <v>0</v>
      </c>
    </row>
    <row r="377" spans="1:21" ht="18.75" hidden="1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256">
        <f>L380+L383</f>
        <v>0</v>
      </c>
      <c r="M377" s="255">
        <f>M380+M383</f>
        <v>0</v>
      </c>
      <c r="N377" s="255">
        <f>N380+N383</f>
        <v>0</v>
      </c>
      <c r="O377" s="255">
        <f>IF(L377&gt;0,N377*100/L377,0)</f>
        <v>0</v>
      </c>
      <c r="P377" s="255">
        <f>IF(M377&gt;0,N377*100/M377,0)</f>
        <v>0</v>
      </c>
      <c r="Q377" s="255">
        <f ca="1">Q380+Q383</f>
        <v>625000</v>
      </c>
      <c r="R377" s="255">
        <f ca="1">R380+R383</f>
        <v>625000</v>
      </c>
      <c r="S377" s="255">
        <f ca="1">S380+S383</f>
        <v>0</v>
      </c>
      <c r="T377" s="255">
        <f ca="1">IF(Q377&gt;0,S377*100/Q377,0)</f>
        <v>0</v>
      </c>
      <c r="U377" s="255">
        <f ca="1">IF(R377&gt;0,S377*100/R377,0)</f>
        <v>0</v>
      </c>
    </row>
    <row r="378" spans="1:21" ht="18.75">
      <c r="A378" s="155"/>
      <c r="B378" s="188"/>
      <c r="C378" s="188"/>
      <c r="D378" s="602" t="s">
        <v>22</v>
      </c>
      <c r="E378" s="50"/>
      <c r="F378" s="50"/>
      <c r="G378" s="52"/>
      <c r="H378" s="162" t="s">
        <v>14</v>
      </c>
      <c r="I378" s="163"/>
      <c r="J378" s="163"/>
      <c r="K378" s="164"/>
      <c r="L378" s="256">
        <f>L379+L380</f>
        <v>0</v>
      </c>
      <c r="M378" s="255">
        <f>M379+M380</f>
        <v>0</v>
      </c>
      <c r="N378" s="255">
        <f>N379+N380</f>
        <v>0</v>
      </c>
      <c r="O378" s="255">
        <f>IF(L378&gt;0,N378*100/L378,0)</f>
        <v>0</v>
      </c>
      <c r="P378" s="255">
        <f>IF(M378&gt;0,N378*100/M378,0)</f>
        <v>0</v>
      </c>
      <c r="Q378" s="255">
        <f ca="1">Q379+Q380</f>
        <v>625000</v>
      </c>
      <c r="R378" s="255">
        <f ca="1">R379+R380</f>
        <v>625000</v>
      </c>
      <c r="S378" s="255">
        <f ca="1">S379+S380</f>
        <v>0</v>
      </c>
      <c r="T378" s="255">
        <f ca="1">IF(Q378&gt;0,S378*100/Q378,0)</f>
        <v>0</v>
      </c>
      <c r="U378" s="255">
        <f ca="1">IF(R378&gt;0,S378*100/R378,0)</f>
        <v>0</v>
      </c>
    </row>
    <row r="379" spans="1:21" ht="18.75" hidden="1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103">
        <v>0</v>
      </c>
      <c r="M379" s="102">
        <v>0</v>
      </c>
      <c r="N379" s="102">
        <v>0</v>
      </c>
      <c r="O379" s="102">
        <f>IF(L379&gt;0,N379*100/L379,0)</f>
        <v>0</v>
      </c>
      <c r="P379" s="102">
        <f>IF(M379&gt;0,N379*100/M379,0)</f>
        <v>0</v>
      </c>
      <c r="Q379" s="102">
        <v>0</v>
      </c>
      <c r="R379" s="102">
        <v>0</v>
      </c>
      <c r="S379" s="102">
        <v>0</v>
      </c>
      <c r="T379" s="102">
        <f>IF(Q379&gt;0,S379*100/Q379,0)</f>
        <v>0</v>
      </c>
      <c r="U379" s="102">
        <f>IF(R379&gt;0,S379*100/R379,0)</f>
        <v>0</v>
      </c>
    </row>
    <row r="380" spans="1:21" ht="18.75" hidden="1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256">
        <v>0</v>
      </c>
      <c r="M380" s="255">
        <v>0</v>
      </c>
      <c r="N380" s="255">
        <v>0</v>
      </c>
      <c r="O380" s="255">
        <f>IF(L380&gt;0,N380*100/L380,0)</f>
        <v>0</v>
      </c>
      <c r="P380" s="255">
        <f>IF(M380&gt;0,N380*100/M380,0)</f>
        <v>0</v>
      </c>
      <c r="Q380" s="255">
        <f ca="1">IFERROR(__xludf.DUMMYFUNCTION("IMPORTRANGE(""https://docs.google.com/spreadsheets/d/1ItG2mGa2ceCfYo0BwxsXqNm01IGEUdYcSSLTEv9YCik/edit?usp=sharing"",""เบิกจ่ายกองทุน!AY51"")"),625000)</f>
        <v>625000</v>
      </c>
      <c r="R380" s="255">
        <f ca="1">IFERROR(__xludf.DUMMYFUNCTION("IMPORTRANGE(""https://docs.google.com/spreadsheets/d/1ItG2mGa2ceCfYo0BwxsXqNm01IGEUdYcSSLTEv9YCik/edit?usp=sharing"",""เบิกจ่ายกองทุน!AZ51"")"),625000)</f>
        <v>625000</v>
      </c>
      <c r="S380" s="255">
        <f ca="1">IFERROR(__xludf.DUMMYFUNCTION("IMPORTRANGE(""https://docs.google.com/spreadsheets/d/1ItG2mGa2ceCfYo0BwxsXqNm01IGEUdYcSSLTEv9YCik/edit?usp=sharing"",""เบิกจ่ายกองทุน!BA51"")"),0)</f>
        <v>0</v>
      </c>
      <c r="T380" s="255">
        <f ca="1">IF(Q380&gt;0,S380*100/Q380,0)</f>
        <v>0</v>
      </c>
      <c r="U380" s="255">
        <f ca="1">IF(R380&gt;0,S380*100/R380,0)</f>
        <v>0</v>
      </c>
    </row>
    <row r="381" spans="1:21" ht="18.75">
      <c r="A381" s="155"/>
      <c r="B381" s="188"/>
      <c r="C381" s="188"/>
      <c r="D381" s="602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256">
        <f>L382+L383</f>
        <v>0</v>
      </c>
      <c r="M381" s="255">
        <f>M382+M383</f>
        <v>0</v>
      </c>
      <c r="N381" s="255">
        <f>N382+N383</f>
        <v>0</v>
      </c>
      <c r="O381" s="255">
        <f>IF(L381&gt;0,N381*100/L381,0)</f>
        <v>0</v>
      </c>
      <c r="P381" s="255">
        <f>IF(M381&gt;0,N381*100/M381,0)</f>
        <v>0</v>
      </c>
      <c r="Q381" s="255">
        <f>Q382+Q383</f>
        <v>0</v>
      </c>
      <c r="R381" s="255">
        <f>R382+R383</f>
        <v>0</v>
      </c>
      <c r="S381" s="255">
        <f>S382+S383</f>
        <v>0</v>
      </c>
      <c r="T381" s="255">
        <f>IF(Q381&gt;0,S381*100/Q381,0)</f>
        <v>0</v>
      </c>
      <c r="U381" s="255">
        <f>IF(R381&gt;0,S381*100/R381,0)</f>
        <v>0</v>
      </c>
    </row>
    <row r="382" spans="1:21" ht="18.75" hidden="1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103">
        <v>0</v>
      </c>
      <c r="M382" s="102">
        <v>0</v>
      </c>
      <c r="N382" s="102">
        <v>0</v>
      </c>
      <c r="O382" s="102">
        <f>IF(L382&gt;0,N382*100/L382,0)</f>
        <v>0</v>
      </c>
      <c r="P382" s="102">
        <f>IF(M382&gt;0,N382*100/M382,0)</f>
        <v>0</v>
      </c>
      <c r="Q382" s="102">
        <v>0</v>
      </c>
      <c r="R382" s="102">
        <v>0</v>
      </c>
      <c r="S382" s="102">
        <v>0</v>
      </c>
      <c r="T382" s="102">
        <f>IF(Q382&gt;0,S382*100/Q382,0)</f>
        <v>0</v>
      </c>
      <c r="U382" s="102">
        <f>IF(R382&gt;0,S382*100/R382,0)</f>
        <v>0</v>
      </c>
    </row>
    <row r="383" spans="1:21" ht="18.75" hidden="1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256">
        <v>0</v>
      </c>
      <c r="M383" s="255">
        <v>0</v>
      </c>
      <c r="N383" s="255">
        <v>0</v>
      </c>
      <c r="O383" s="255">
        <f>IF(L383&gt;0,N383*100/L383,0)</f>
        <v>0</v>
      </c>
      <c r="P383" s="255">
        <f>IF(M383&gt;0,N383*100/M383,0)</f>
        <v>0</v>
      </c>
      <c r="Q383" s="255">
        <v>0</v>
      </c>
      <c r="R383" s="255">
        <v>0</v>
      </c>
      <c r="S383" s="255">
        <v>0</v>
      </c>
      <c r="T383" s="255">
        <f>IF(Q383&gt;0,S383*100/Q383,0)</f>
        <v>0</v>
      </c>
      <c r="U383" s="255">
        <f>IF(R383&gt;0,S383*100/R383,0)</f>
        <v>0</v>
      </c>
    </row>
    <row r="384" spans="1:21" ht="19.5">
      <c r="A384" s="166"/>
      <c r="B384" s="167"/>
      <c r="C384" s="191" t="s">
        <v>18</v>
      </c>
      <c r="D384" s="560" t="s">
        <v>38</v>
      </c>
      <c r="E384" s="169"/>
      <c r="F384" s="169"/>
      <c r="G384" s="170"/>
      <c r="H384" s="206"/>
      <c r="I384" s="163"/>
      <c r="J384" s="54"/>
      <c r="K384" s="55"/>
      <c r="L384" s="62"/>
      <c r="M384" s="55"/>
      <c r="N384" s="55"/>
      <c r="O384" s="164"/>
      <c r="P384" s="164"/>
      <c r="Q384" s="55"/>
      <c r="R384" s="55"/>
      <c r="S384" s="55"/>
      <c r="T384" s="164"/>
      <c r="U384" s="164"/>
    </row>
    <row r="385" spans="1:21" ht="18.75">
      <c r="A385" s="238"/>
      <c r="B385" s="188"/>
      <c r="C385" s="188"/>
      <c r="D385" s="188"/>
      <c r="E385" s="58" t="s">
        <v>155</v>
      </c>
      <c r="F385" s="50"/>
      <c r="G385" s="52"/>
      <c r="H385" s="161" t="s">
        <v>34</v>
      </c>
      <c r="I385" s="212">
        <v>0</v>
      </c>
      <c r="J385" s="212">
        <f ca="1">IFERROR(__xludf.DUMMYFUNCTION("IMPORTRANGE(""https://docs.google.com/spreadsheets/d/1w5rwWK1o49a35cNtocGL0gxDwhFSTZUQu90BiH9_zqM/edit?usp=sharing"",""RTK!H51"")"),1)</f>
        <v>1</v>
      </c>
      <c r="K385" s="255">
        <f>IF(I385&gt;0,J385*100/I385,0)</f>
        <v>0</v>
      </c>
      <c r="L385" s="62"/>
      <c r="M385" s="55"/>
      <c r="N385" s="55"/>
      <c r="O385" s="55"/>
      <c r="P385" s="55"/>
      <c r="Q385" s="55"/>
      <c r="R385" s="55"/>
      <c r="S385" s="55"/>
      <c r="T385" s="55"/>
      <c r="U385" s="55"/>
    </row>
    <row r="386" spans="1:21" ht="18.75">
      <c r="A386" s="188"/>
      <c r="B386" s="188"/>
      <c r="C386" s="188"/>
      <c r="D386" s="188"/>
      <c r="E386" s="188"/>
      <c r="F386" s="188"/>
      <c r="G386" s="208"/>
      <c r="H386" s="161" t="s">
        <v>46</v>
      </c>
      <c r="I386" s="212">
        <f ca="1">IFERROR(__xludf.DUMMYFUNCTION("IMPORTRANGE(""https://docs.google.com/spreadsheets/d/1w5rwWK1o49a35cNtocGL0gxDwhFSTZUQu90BiH9_zqM/edit?usp=sharing"",""RTK!G51"")"),10000)</f>
        <v>10000</v>
      </c>
      <c r="J386" s="212">
        <f ca="1">IFERROR(__xludf.DUMMYFUNCTION("IMPORTRANGE(""https://docs.google.com/spreadsheets/d/1w5rwWK1o49a35cNtocGL0gxDwhFSTZUQu90BiH9_zqM/edit?usp=sharing"",""RTK!I51"")"),11)</f>
        <v>11</v>
      </c>
      <c r="K386" s="255">
        <f ca="1">IF(I386&gt;0,J386*100/I386,0)</f>
        <v>0.11</v>
      </c>
      <c r="L386" s="62"/>
      <c r="M386" s="55"/>
      <c r="N386" s="55"/>
      <c r="O386" s="55"/>
      <c r="P386" s="55"/>
      <c r="Q386" s="55"/>
      <c r="R386" s="55"/>
      <c r="S386" s="55"/>
      <c r="T386" s="55"/>
      <c r="U386" s="55"/>
    </row>
    <row r="387" spans="1:21" ht="18.75">
      <c r="A387" s="609"/>
      <c r="B387" s="609"/>
      <c r="C387" s="609"/>
      <c r="D387" s="609"/>
      <c r="E387" s="610" t="s">
        <v>156</v>
      </c>
      <c r="F387" s="609"/>
      <c r="G387" s="557"/>
      <c r="H387" s="549" t="s">
        <v>34</v>
      </c>
      <c r="I387" s="556">
        <v>0</v>
      </c>
      <c r="J387" s="556">
        <f ca="1">IFERROR(__xludf.DUMMYFUNCTION("IMPORTRANGE(""https://docs.google.com/spreadsheets/d/1w5rwWK1o49a35cNtocGL0gxDwhFSTZUQu90BiH9_zqM/edit?usp=sharing"",""RTK!L51"")"),0)</f>
        <v>0</v>
      </c>
      <c r="K387" s="555">
        <f>IF(I387&gt;0,J387*100/I387,0)</f>
        <v>0</v>
      </c>
      <c r="L387" s="546"/>
      <c r="M387" s="545"/>
      <c r="N387" s="545"/>
      <c r="O387" s="545"/>
      <c r="P387" s="545"/>
      <c r="Q387" s="545"/>
      <c r="R387" s="545"/>
      <c r="S387" s="545"/>
      <c r="T387" s="545"/>
      <c r="U387" s="545"/>
    </row>
    <row r="388" spans="1:21" ht="18.75">
      <c r="A388" s="609"/>
      <c r="B388" s="609"/>
      <c r="C388" s="609"/>
      <c r="D388" s="609"/>
      <c r="E388" s="609"/>
      <c r="F388" s="609"/>
      <c r="G388" s="557"/>
      <c r="H388" s="549" t="s">
        <v>46</v>
      </c>
      <c r="I388" s="556">
        <f ca="1">IFERROR(__xludf.DUMMYFUNCTION("IMPORTRANGE(""https://docs.google.com/spreadsheets/d/1w5rwWK1o49a35cNtocGL0gxDwhFSTZUQu90BiH9_zqM/edit?usp=sharing"",""RTK!K51"")"),0)</f>
        <v>0</v>
      </c>
      <c r="J388" s="556">
        <f ca="1">IFERROR(__xludf.DUMMYFUNCTION("IMPORTRANGE(""https://docs.google.com/spreadsheets/d/1w5rwWK1o49a35cNtocGL0gxDwhFSTZUQu90BiH9_zqM/edit?usp=sharing"",""RTK!M51"")"),0)</f>
        <v>0</v>
      </c>
      <c r="K388" s="555">
        <f ca="1">IF(I388&gt;0,J388*100/I388,0)</f>
        <v>0</v>
      </c>
      <c r="L388" s="546"/>
      <c r="M388" s="545"/>
      <c r="N388" s="545"/>
      <c r="O388" s="545"/>
      <c r="P388" s="545"/>
      <c r="Q388" s="545"/>
      <c r="R388" s="545"/>
      <c r="S388" s="545"/>
      <c r="T388" s="545"/>
      <c r="U388" s="545"/>
    </row>
    <row r="389" spans="1:21" ht="12.75" hidden="1">
      <c r="A389" s="259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5"/>
      <c r="M389" s="264"/>
      <c r="N389" s="264"/>
      <c r="O389" s="264"/>
      <c r="P389" s="264"/>
      <c r="Q389" s="264"/>
      <c r="R389" s="264"/>
      <c r="S389" s="264"/>
      <c r="T389" s="264"/>
      <c r="U389" s="264"/>
    </row>
    <row r="390" spans="1:21" ht="12.75" hidden="1">
      <c r="A390" s="360"/>
      <c r="B390" s="360"/>
      <c r="C390" s="360"/>
      <c r="D390" s="360"/>
      <c r="E390" s="360"/>
      <c r="F390" s="360"/>
      <c r="G390" s="361"/>
      <c r="H390" s="361"/>
      <c r="I390" s="362"/>
      <c r="J390" s="362"/>
      <c r="K390" s="363"/>
      <c r="L390" s="364"/>
      <c r="M390" s="363"/>
      <c r="N390" s="363"/>
      <c r="O390" s="363"/>
      <c r="P390" s="363"/>
      <c r="Q390" s="363"/>
      <c r="R390" s="363"/>
      <c r="S390" s="363"/>
      <c r="T390" s="363"/>
      <c r="U390" s="363"/>
    </row>
    <row r="391" spans="1:21" ht="19.5" hidden="1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51">
        <f>I402</f>
        <v>0</v>
      </c>
      <c r="J391" s="351">
        <f>J402</f>
        <v>0</v>
      </c>
      <c r="K391" s="604">
        <f>IF(I391&gt;0,J391*100/I391,0)</f>
        <v>0</v>
      </c>
      <c r="L391" s="334"/>
      <c r="M391" s="333"/>
      <c r="N391" s="333"/>
      <c r="O391" s="333"/>
      <c r="P391" s="333"/>
      <c r="Q391" s="333"/>
      <c r="R391" s="333"/>
      <c r="S391" s="333"/>
      <c r="T391" s="333"/>
      <c r="U391" s="333"/>
    </row>
    <row r="392" spans="1:21" ht="19.5" hidden="1">
      <c r="A392" s="155"/>
      <c r="B392" s="188"/>
      <c r="C392" s="191" t="s">
        <v>18</v>
      </c>
      <c r="D392" s="608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541">
        <f>L393+L394</f>
        <v>0</v>
      </c>
      <c r="M392" s="540">
        <f>M393+M394</f>
        <v>0</v>
      </c>
      <c r="N392" s="540">
        <f>N393+N394</f>
        <v>0</v>
      </c>
      <c r="O392" s="540">
        <f>IF(L392&gt;0,N392*100/L392,0)</f>
        <v>0</v>
      </c>
      <c r="P392" s="540">
        <f>IF(M392&gt;0,N392*100/M392,0)</f>
        <v>0</v>
      </c>
      <c r="Q392" s="540">
        <f>Q393+Q394</f>
        <v>0</v>
      </c>
      <c r="R392" s="540">
        <f>R393+R394</f>
        <v>0</v>
      </c>
      <c r="S392" s="540">
        <f>S393+S394</f>
        <v>0</v>
      </c>
      <c r="T392" s="540">
        <f>IF(Q392&gt;0,S392*100/Q392,0)</f>
        <v>0</v>
      </c>
      <c r="U392" s="540">
        <f>IF(R392&gt;0,S392*100/R392,0)</f>
        <v>0</v>
      </c>
    </row>
    <row r="393" spans="1:21" ht="18.75" hidden="1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103">
        <f>L396+L399</f>
        <v>0</v>
      </c>
      <c r="M393" s="102">
        <f>M396+M399</f>
        <v>0</v>
      </c>
      <c r="N393" s="102">
        <f>N396+N399</f>
        <v>0</v>
      </c>
      <c r="O393" s="102">
        <f>IF(L393&gt;0,N393*100/L393,0)</f>
        <v>0</v>
      </c>
      <c r="P393" s="102">
        <f>IF(M393&gt;0,N393*100/M393,0)</f>
        <v>0</v>
      </c>
      <c r="Q393" s="102">
        <f>Q396+Q399</f>
        <v>0</v>
      </c>
      <c r="R393" s="102">
        <f>R396+R399</f>
        <v>0</v>
      </c>
      <c r="S393" s="102">
        <f>S396+S399</f>
        <v>0</v>
      </c>
      <c r="T393" s="102">
        <f>IF(Q393&gt;0,S393*100/Q393,0)</f>
        <v>0</v>
      </c>
      <c r="U393" s="102">
        <f>IF(R393&gt;0,S393*100/R393,0)</f>
        <v>0</v>
      </c>
    </row>
    <row r="394" spans="1:21" ht="18.75" hidden="1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256">
        <f>L397+L400</f>
        <v>0</v>
      </c>
      <c r="M394" s="255">
        <f>M397+M400</f>
        <v>0</v>
      </c>
      <c r="N394" s="255">
        <f>N397+N400</f>
        <v>0</v>
      </c>
      <c r="O394" s="255">
        <f>IF(L394&gt;0,N394*100/L394,0)</f>
        <v>0</v>
      </c>
      <c r="P394" s="255">
        <f>IF(M394&gt;0,N394*100/M394,0)</f>
        <v>0</v>
      </c>
      <c r="Q394" s="255">
        <f>Q397+Q400</f>
        <v>0</v>
      </c>
      <c r="R394" s="255">
        <f>R397+R400</f>
        <v>0</v>
      </c>
      <c r="S394" s="255">
        <f>S397+S400</f>
        <v>0</v>
      </c>
      <c r="T394" s="255">
        <f>IF(Q394&gt;0,S394*100/Q394,0)</f>
        <v>0</v>
      </c>
      <c r="U394" s="255">
        <f>IF(R394&gt;0,S394*100/R394,0)</f>
        <v>0</v>
      </c>
    </row>
    <row r="395" spans="1:21" ht="18.75" hidden="1">
      <c r="A395" s="155"/>
      <c r="B395" s="188"/>
      <c r="C395" s="188"/>
      <c r="D395" s="602" t="s">
        <v>22</v>
      </c>
      <c r="E395" s="50"/>
      <c r="F395" s="50"/>
      <c r="G395" s="52"/>
      <c r="H395" s="162" t="s">
        <v>14</v>
      </c>
      <c r="I395" s="163"/>
      <c r="J395" s="163"/>
      <c r="K395" s="164"/>
      <c r="L395" s="256">
        <f>L396+L397</f>
        <v>0</v>
      </c>
      <c r="M395" s="255">
        <f>M396+M397</f>
        <v>0</v>
      </c>
      <c r="N395" s="255">
        <f>N396+N397</f>
        <v>0</v>
      </c>
      <c r="O395" s="255">
        <f>IF(L395&gt;0,N395*100/L395,0)</f>
        <v>0</v>
      </c>
      <c r="P395" s="255">
        <f>IF(M395&gt;0,N395*100/M395,0)</f>
        <v>0</v>
      </c>
      <c r="Q395" s="255">
        <f>Q396+Q397</f>
        <v>0</v>
      </c>
      <c r="R395" s="255">
        <f>R396+R397</f>
        <v>0</v>
      </c>
      <c r="S395" s="255">
        <f>S396+S397</f>
        <v>0</v>
      </c>
      <c r="T395" s="255">
        <f>IF(Q395&gt;0,S395*100/Q395,0)</f>
        <v>0</v>
      </c>
      <c r="U395" s="255">
        <f>IF(R395&gt;0,S395*100/R395,0)</f>
        <v>0</v>
      </c>
    </row>
    <row r="396" spans="1:21" ht="18.75" hidden="1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103">
        <v>0</v>
      </c>
      <c r="M396" s="102">
        <v>0</v>
      </c>
      <c r="N396" s="102">
        <v>0</v>
      </c>
      <c r="O396" s="102">
        <f>IF(L396&gt;0,N396*100/L396,0)</f>
        <v>0</v>
      </c>
      <c r="P396" s="102">
        <f>IF(M396&gt;0,N396*100/M396,0)</f>
        <v>0</v>
      </c>
      <c r="Q396" s="102">
        <v>0</v>
      </c>
      <c r="R396" s="102">
        <v>0</v>
      </c>
      <c r="S396" s="102">
        <v>0</v>
      </c>
      <c r="T396" s="102">
        <f>IF(Q396&gt;0,S396*100/Q396,0)</f>
        <v>0</v>
      </c>
      <c r="U396" s="102">
        <f>IF(R396&gt;0,S396*100/R396,0)</f>
        <v>0</v>
      </c>
    </row>
    <row r="397" spans="1:21" ht="18.75" hidden="1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256">
        <v>0</v>
      </c>
      <c r="M397" s="255">
        <v>0</v>
      </c>
      <c r="N397" s="255">
        <v>0</v>
      </c>
      <c r="O397" s="255">
        <f>IF(L397&gt;0,N397*100/L397,0)</f>
        <v>0</v>
      </c>
      <c r="P397" s="255">
        <f>IF(M397&gt;0,N397*100/M397,0)</f>
        <v>0</v>
      </c>
      <c r="Q397" s="255">
        <v>0</v>
      </c>
      <c r="R397" s="255">
        <v>0</v>
      </c>
      <c r="S397" s="255">
        <v>0</v>
      </c>
      <c r="T397" s="255">
        <f>IF(Q397&gt;0,S397*100/Q397,0)</f>
        <v>0</v>
      </c>
      <c r="U397" s="255">
        <f>IF(R397&gt;0,S397*100/R397,0)</f>
        <v>0</v>
      </c>
    </row>
    <row r="398" spans="1:21" ht="18.75" hidden="1">
      <c r="A398" s="155"/>
      <c r="B398" s="188"/>
      <c r="C398" s="188"/>
      <c r="D398" s="602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256">
        <f>L399+L400</f>
        <v>0</v>
      </c>
      <c r="M398" s="255">
        <f>M399+M400</f>
        <v>0</v>
      </c>
      <c r="N398" s="255">
        <f>N399+N400</f>
        <v>0</v>
      </c>
      <c r="O398" s="255">
        <f>IF(L398&gt;0,N398*100/L398,0)</f>
        <v>0</v>
      </c>
      <c r="P398" s="255">
        <f>IF(M398&gt;0,N398*100/M398,0)</f>
        <v>0</v>
      </c>
      <c r="Q398" s="255">
        <f>Q399+Q400</f>
        <v>0</v>
      </c>
      <c r="R398" s="255">
        <f>R399+R400</f>
        <v>0</v>
      </c>
      <c r="S398" s="255">
        <f>S399+S400</f>
        <v>0</v>
      </c>
      <c r="T398" s="255">
        <f>IF(Q398&gt;0,S398*100/Q398,0)</f>
        <v>0</v>
      </c>
      <c r="U398" s="255">
        <f>IF(R398&gt;0,S398*100/R398,0)</f>
        <v>0</v>
      </c>
    </row>
    <row r="399" spans="1:21" ht="18.75" hidden="1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103">
        <v>0</v>
      </c>
      <c r="M399" s="102">
        <v>0</v>
      </c>
      <c r="N399" s="102">
        <v>0</v>
      </c>
      <c r="O399" s="102">
        <f>IF(L399&gt;0,N399*100/L399,0)</f>
        <v>0</v>
      </c>
      <c r="P399" s="102">
        <f>IF(M399&gt;0,N399*100/M399,0)</f>
        <v>0</v>
      </c>
      <c r="Q399" s="102">
        <v>0</v>
      </c>
      <c r="R399" s="102">
        <v>0</v>
      </c>
      <c r="S399" s="102">
        <v>0</v>
      </c>
      <c r="T399" s="102">
        <f>IF(Q399&gt;0,S399*100/Q399,0)</f>
        <v>0</v>
      </c>
      <c r="U399" s="102">
        <f>IF(R399&gt;0,S399*100/R399,0)</f>
        <v>0</v>
      </c>
    </row>
    <row r="400" spans="1:21" ht="18.75" hidden="1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256">
        <v>0</v>
      </c>
      <c r="M400" s="255">
        <v>0</v>
      </c>
      <c r="N400" s="255">
        <v>0</v>
      </c>
      <c r="O400" s="255">
        <f>IF(L400&gt;0,N400*100/L400,0)</f>
        <v>0</v>
      </c>
      <c r="P400" s="255">
        <f>IF(M400&gt;0,N400*100/M400,0)</f>
        <v>0</v>
      </c>
      <c r="Q400" s="255">
        <v>0</v>
      </c>
      <c r="R400" s="255">
        <v>0</v>
      </c>
      <c r="S400" s="255">
        <v>0</v>
      </c>
      <c r="T400" s="255">
        <f>IF(Q400&gt;0,S400*100/Q400,0)</f>
        <v>0</v>
      </c>
      <c r="U400" s="255">
        <f>IF(R400&gt;0,S400*100/R400,0)</f>
        <v>0</v>
      </c>
    </row>
    <row r="401" spans="1:21" ht="19.5" hidden="1">
      <c r="A401" s="166"/>
      <c r="B401" s="167"/>
      <c r="C401" s="191" t="s">
        <v>18</v>
      </c>
      <c r="D401" s="560" t="s">
        <v>38</v>
      </c>
      <c r="E401" s="169"/>
      <c r="F401" s="169"/>
      <c r="G401" s="170"/>
      <c r="H401" s="206"/>
      <c r="I401" s="163"/>
      <c r="J401" s="54"/>
      <c r="K401" s="55"/>
      <c r="L401" s="62"/>
      <c r="M401" s="55"/>
      <c r="N401" s="55"/>
      <c r="O401" s="164"/>
      <c r="P401" s="164"/>
      <c r="Q401" s="55"/>
      <c r="R401" s="55"/>
      <c r="S401" s="55"/>
      <c r="T401" s="164"/>
      <c r="U401" s="164"/>
    </row>
    <row r="402" spans="1:21" ht="12.75" hidden="1">
      <c r="A402" s="258"/>
      <c r="B402" s="259"/>
      <c r="C402" s="259"/>
      <c r="D402" s="259"/>
      <c r="E402" s="260"/>
      <c r="F402" s="260"/>
      <c r="G402" s="261"/>
      <c r="H402" s="262"/>
      <c r="I402" s="263"/>
      <c r="J402" s="263"/>
      <c r="K402" s="264"/>
      <c r="L402" s="265"/>
      <c r="M402" s="264"/>
      <c r="N402" s="264"/>
      <c r="O402" s="264"/>
      <c r="P402" s="264"/>
      <c r="Q402" s="264"/>
      <c r="R402" s="264"/>
      <c r="S402" s="264"/>
      <c r="T402" s="264"/>
      <c r="U402" s="264"/>
    </row>
    <row r="403" spans="1:21" ht="12.75" hidden="1">
      <c r="A403" s="259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5"/>
      <c r="M403" s="264"/>
      <c r="N403" s="264"/>
      <c r="O403" s="264"/>
      <c r="P403" s="264"/>
      <c r="Q403" s="264"/>
      <c r="R403" s="264"/>
      <c r="S403" s="264"/>
      <c r="T403" s="264"/>
      <c r="U403" s="264"/>
    </row>
    <row r="404" spans="1:21" ht="12.75" hidden="1">
      <c r="A404" s="259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5"/>
      <c r="M404" s="264"/>
      <c r="N404" s="264"/>
      <c r="O404" s="264"/>
      <c r="P404" s="264"/>
      <c r="Q404" s="264"/>
      <c r="R404" s="264"/>
      <c r="S404" s="264"/>
      <c r="T404" s="264"/>
      <c r="U404" s="264"/>
    </row>
    <row r="405" spans="1:21" ht="12.75" hidden="1">
      <c r="A405" s="259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5"/>
      <c r="M405" s="264"/>
      <c r="N405" s="264"/>
      <c r="O405" s="264"/>
      <c r="P405" s="264"/>
      <c r="Q405" s="264"/>
      <c r="R405" s="264"/>
      <c r="S405" s="264"/>
      <c r="T405" s="264"/>
      <c r="U405" s="264"/>
    </row>
    <row r="406" spans="1:21" ht="12.75" hidden="1">
      <c r="A406" s="259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5"/>
      <c r="M406" s="264"/>
      <c r="N406" s="264"/>
      <c r="O406" s="264"/>
      <c r="P406" s="264"/>
      <c r="Q406" s="264"/>
      <c r="R406" s="264"/>
      <c r="S406" s="264"/>
      <c r="T406" s="264"/>
      <c r="U406" s="264"/>
    </row>
    <row r="407" spans="1:21" ht="12.75" hidden="1">
      <c r="A407" s="259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5"/>
      <c r="M407" s="264"/>
      <c r="N407" s="264"/>
      <c r="O407" s="264"/>
      <c r="P407" s="264"/>
      <c r="Q407" s="264"/>
      <c r="R407" s="264"/>
      <c r="S407" s="264"/>
      <c r="T407" s="264"/>
      <c r="U407" s="264"/>
    </row>
    <row r="408" spans="1:21" ht="12.75" hidden="1">
      <c r="A408" s="259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5"/>
      <c r="M408" s="264"/>
      <c r="N408" s="264"/>
      <c r="O408" s="264"/>
      <c r="P408" s="264"/>
      <c r="Q408" s="264"/>
      <c r="R408" s="264"/>
      <c r="S408" s="264"/>
      <c r="T408" s="264"/>
      <c r="U408" s="264"/>
    </row>
    <row r="409" spans="1:21" ht="12.75" hidden="1">
      <c r="A409" s="259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5"/>
      <c r="M409" s="264"/>
      <c r="N409" s="264"/>
      <c r="O409" s="264"/>
      <c r="P409" s="264"/>
      <c r="Q409" s="264"/>
      <c r="R409" s="264"/>
      <c r="S409" s="264"/>
      <c r="T409" s="264"/>
      <c r="U409" s="264"/>
    </row>
    <row r="410" spans="1:21" ht="12.75" hidden="1">
      <c r="A410" s="259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5"/>
      <c r="M410" s="264"/>
      <c r="N410" s="264"/>
      <c r="O410" s="264"/>
      <c r="P410" s="264"/>
      <c r="Q410" s="264"/>
      <c r="R410" s="264"/>
      <c r="S410" s="264"/>
      <c r="T410" s="264"/>
      <c r="U410" s="264"/>
    </row>
    <row r="411" spans="1:21" ht="12.75" hidden="1">
      <c r="A411" s="360"/>
      <c r="B411" s="360"/>
      <c r="C411" s="360"/>
      <c r="D411" s="360"/>
      <c r="E411" s="360"/>
      <c r="F411" s="360"/>
      <c r="G411" s="361"/>
      <c r="H411" s="361"/>
      <c r="I411" s="362"/>
      <c r="J411" s="362"/>
      <c r="K411" s="363"/>
      <c r="L411" s="364"/>
      <c r="M411" s="363"/>
      <c r="N411" s="363"/>
      <c r="O411" s="363"/>
      <c r="P411" s="363"/>
      <c r="Q411" s="363"/>
      <c r="R411" s="363"/>
      <c r="S411" s="363"/>
      <c r="T411" s="363"/>
      <c r="U411" s="363"/>
    </row>
    <row r="412" spans="1:21" ht="19.5" hidden="1">
      <c r="A412" s="337"/>
      <c r="B412" s="354" t="s">
        <v>158</v>
      </c>
      <c r="C412" s="337"/>
      <c r="D412" s="337"/>
      <c r="E412" s="337"/>
      <c r="F412" s="337"/>
      <c r="G412" s="365"/>
      <c r="H412" s="366" t="s">
        <v>46</v>
      </c>
      <c r="I412" s="605">
        <f ca="1">I423</f>
        <v>0</v>
      </c>
      <c r="J412" s="605">
        <f>J423</f>
        <v>0</v>
      </c>
      <c r="K412" s="604">
        <f ca="1">IF(I412&gt;0,J412*100/I412,0)</f>
        <v>0</v>
      </c>
      <c r="L412" s="334"/>
      <c r="M412" s="333"/>
      <c r="N412" s="333"/>
      <c r="O412" s="333"/>
      <c r="P412" s="333"/>
      <c r="Q412" s="333"/>
      <c r="R412" s="333"/>
      <c r="S412" s="333"/>
      <c r="T412" s="333"/>
      <c r="U412" s="333"/>
    </row>
    <row r="413" spans="1:21" ht="19.5" hidden="1">
      <c r="A413" s="155"/>
      <c r="B413" s="188"/>
      <c r="C413" s="367" t="s">
        <v>18</v>
      </c>
      <c r="D413" s="603" t="s">
        <v>19</v>
      </c>
      <c r="E413" s="514"/>
      <c r="F413" s="514"/>
      <c r="G413" s="512"/>
      <c r="H413" s="368" t="s">
        <v>14</v>
      </c>
      <c r="I413" s="54"/>
      <c r="J413" s="54"/>
      <c r="K413" s="55"/>
      <c r="L413" s="541">
        <f>L414+L415</f>
        <v>0</v>
      </c>
      <c r="M413" s="540">
        <f>M414+M415</f>
        <v>0</v>
      </c>
      <c r="N413" s="540">
        <f>N414+N415</f>
        <v>0</v>
      </c>
      <c r="O413" s="540">
        <f>IF(L413&gt;0,N413*100/L413,0)</f>
        <v>0</v>
      </c>
      <c r="P413" s="540">
        <f>IF(M413&gt;0,N413*100/M413,0)</f>
        <v>0</v>
      </c>
      <c r="Q413" s="540">
        <f ca="1">Q414+Q415</f>
        <v>0</v>
      </c>
      <c r="R413" s="540">
        <f ca="1">R414+R415</f>
        <v>0</v>
      </c>
      <c r="S413" s="540">
        <f ca="1">S414+S415</f>
        <v>0</v>
      </c>
      <c r="T413" s="540">
        <f ca="1">IF(Q413&gt;0,S413*100/Q413,0)</f>
        <v>0</v>
      </c>
      <c r="U413" s="540">
        <f ca="1">IF(R413&gt;0,S413*100/R413,0)</f>
        <v>0</v>
      </c>
    </row>
    <row r="414" spans="1:21" ht="18.75" hidden="1">
      <c r="A414" s="155"/>
      <c r="B414" s="188"/>
      <c r="C414" s="188"/>
      <c r="D414" s="188"/>
      <c r="E414" s="358" t="s">
        <v>159</v>
      </c>
      <c r="F414" s="188"/>
      <c r="G414" s="208"/>
      <c r="H414" s="204" t="s">
        <v>14</v>
      </c>
      <c r="I414" s="54"/>
      <c r="J414" s="54"/>
      <c r="K414" s="55"/>
      <c r="L414" s="103">
        <f>L417+L420</f>
        <v>0</v>
      </c>
      <c r="M414" s="102">
        <f>M417+M420</f>
        <v>0</v>
      </c>
      <c r="N414" s="102">
        <f>N417+N420</f>
        <v>0</v>
      </c>
      <c r="O414" s="102">
        <f>IF(L414&gt;0,N414*100/L414,0)</f>
        <v>0</v>
      </c>
      <c r="P414" s="102">
        <f>IF(M414&gt;0,N414*100/M414,0)</f>
        <v>0</v>
      </c>
      <c r="Q414" s="102">
        <f>Q417+Q420</f>
        <v>0</v>
      </c>
      <c r="R414" s="102">
        <f>R417+R420</f>
        <v>0</v>
      </c>
      <c r="S414" s="102">
        <f>S417+S420</f>
        <v>0</v>
      </c>
      <c r="T414" s="102">
        <f>IF(Q414&gt;0,S414*100/Q414,0)</f>
        <v>0</v>
      </c>
      <c r="U414" s="102">
        <f>IF(R414&gt;0,S414*100/R414,0)</f>
        <v>0</v>
      </c>
    </row>
    <row r="415" spans="1:21" ht="18.75" hidden="1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256">
        <f>L418+L421</f>
        <v>0</v>
      </c>
      <c r="M415" s="255">
        <f>M418+M421</f>
        <v>0</v>
      </c>
      <c r="N415" s="255">
        <f>N418+N421</f>
        <v>0</v>
      </c>
      <c r="O415" s="255">
        <f>IF(L415&gt;0,N415*100/L415,0)</f>
        <v>0</v>
      </c>
      <c r="P415" s="255">
        <f>IF(M415&gt;0,N415*100/M415,0)</f>
        <v>0</v>
      </c>
      <c r="Q415" s="255">
        <f ca="1">Q418+Q421</f>
        <v>0</v>
      </c>
      <c r="R415" s="255">
        <f ca="1">R418+R421</f>
        <v>0</v>
      </c>
      <c r="S415" s="255">
        <f ca="1">S418+S421</f>
        <v>0</v>
      </c>
      <c r="T415" s="255">
        <f ca="1">IF(Q415&gt;0,S415*100/Q415,0)</f>
        <v>0</v>
      </c>
      <c r="U415" s="255">
        <f ca="1">IF(R415&gt;0,S415*100/R415,0)</f>
        <v>0</v>
      </c>
    </row>
    <row r="416" spans="1:21" ht="19.5" hidden="1">
      <c r="A416" s="155"/>
      <c r="B416" s="188"/>
      <c r="C416" s="188"/>
      <c r="D416" s="608" t="s">
        <v>22</v>
      </c>
      <c r="E416" s="188"/>
      <c r="F416" s="188"/>
      <c r="G416" s="208"/>
      <c r="H416" s="368" t="s">
        <v>14</v>
      </c>
      <c r="I416" s="54"/>
      <c r="J416" s="54"/>
      <c r="K416" s="55"/>
      <c r="L416" s="256">
        <f>L417+L418</f>
        <v>0</v>
      </c>
      <c r="M416" s="255">
        <f>M417+M418</f>
        <v>0</v>
      </c>
      <c r="N416" s="255">
        <f>N417+N418</f>
        <v>0</v>
      </c>
      <c r="O416" s="255">
        <f>IF(L416&gt;0,N416*100/L416,0)</f>
        <v>0</v>
      </c>
      <c r="P416" s="255">
        <f>IF(M416&gt;0,N416*100/M416,0)</f>
        <v>0</v>
      </c>
      <c r="Q416" s="255">
        <f ca="1">Q417+Q418</f>
        <v>0</v>
      </c>
      <c r="R416" s="255">
        <f ca="1">R417+R418</f>
        <v>0</v>
      </c>
      <c r="S416" s="255">
        <f ca="1">S417+S418</f>
        <v>0</v>
      </c>
      <c r="T416" s="255">
        <f ca="1">IF(Q416&gt;0,S416*100/Q416,0)</f>
        <v>0</v>
      </c>
      <c r="U416" s="255">
        <f ca="1">IF(R416&gt;0,S416*100/R416,0)</f>
        <v>0</v>
      </c>
    </row>
    <row r="417" spans="1:21" ht="18.75" hidden="1">
      <c r="A417" s="155"/>
      <c r="B417" s="188"/>
      <c r="C417" s="188"/>
      <c r="D417" s="188"/>
      <c r="E417" s="358" t="s">
        <v>159</v>
      </c>
      <c r="F417" s="188"/>
      <c r="G417" s="208"/>
      <c r="H417" s="204" t="s">
        <v>14</v>
      </c>
      <c r="I417" s="54"/>
      <c r="J417" s="54"/>
      <c r="K417" s="55"/>
      <c r="L417" s="103">
        <v>0</v>
      </c>
      <c r="M417" s="102">
        <v>0</v>
      </c>
      <c r="N417" s="102">
        <v>0</v>
      </c>
      <c r="O417" s="102">
        <f>IF(L417&gt;0,N417*100/L417,0)</f>
        <v>0</v>
      </c>
      <c r="P417" s="102">
        <f>IF(M417&gt;0,N417*100/M417,0)</f>
        <v>0</v>
      </c>
      <c r="Q417" s="102">
        <v>0</v>
      </c>
      <c r="R417" s="102">
        <v>0</v>
      </c>
      <c r="S417" s="102">
        <v>0</v>
      </c>
      <c r="T417" s="102">
        <f>IF(Q417&gt;0,S417*100/Q417,0)</f>
        <v>0</v>
      </c>
      <c r="U417" s="102">
        <f>IF(R417&gt;0,S417*100/R417,0)</f>
        <v>0</v>
      </c>
    </row>
    <row r="418" spans="1:21" ht="18.75" hidden="1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256">
        <v>0</v>
      </c>
      <c r="M418" s="255">
        <v>0</v>
      </c>
      <c r="N418" s="255">
        <v>0</v>
      </c>
      <c r="O418" s="255">
        <f>IF(L418&gt;0,N418*100/L418,0)</f>
        <v>0</v>
      </c>
      <c r="P418" s="255">
        <f>IF(M418&gt;0,N418*100/M418,0)</f>
        <v>0</v>
      </c>
      <c r="Q418" s="255">
        <f ca="1">IFERROR(__xludf.DUMMYFUNCTION("IMPORTRANGE(""https://docs.google.com/spreadsheets/d/1ItG2mGa2ceCfYo0BwxsXqNm01IGEUdYcSSLTEv9YCik/edit?usp=sharing"",""เบิกจ่ายกองทุน!BH51"")"),0)</f>
        <v>0</v>
      </c>
      <c r="R418" s="255">
        <f ca="1">IFERROR(__xludf.DUMMYFUNCTION("IMPORTRANGE(""https://docs.google.com/spreadsheets/d/1ItG2mGa2ceCfYo0BwxsXqNm01IGEUdYcSSLTEv9YCik/edit?usp=sharing"",""เบิกจ่ายกองทุน!BI51"")"),0)</f>
        <v>0</v>
      </c>
      <c r="S418" s="255">
        <f ca="1">IFERROR(__xludf.DUMMYFUNCTION("IMPORTRANGE(""https://docs.google.com/spreadsheets/d/1ItG2mGa2ceCfYo0BwxsXqNm01IGEUdYcSSLTEv9YCik/edit?usp=sharing"",""เบิกจ่ายกองทุน!BJ51"")"),0)</f>
        <v>0</v>
      </c>
      <c r="T418" s="255">
        <f ca="1">IF(Q418&gt;0,S418*100/Q418,0)</f>
        <v>0</v>
      </c>
      <c r="U418" s="255">
        <f ca="1">IF(R418&gt;0,S418*100/R418,0)</f>
        <v>0</v>
      </c>
    </row>
    <row r="419" spans="1:21" ht="19.5" hidden="1">
      <c r="A419" s="155"/>
      <c r="B419" s="188"/>
      <c r="C419" s="188"/>
      <c r="D419" s="608" t="s">
        <v>23</v>
      </c>
      <c r="E419" s="188"/>
      <c r="F419" s="188"/>
      <c r="G419" s="208"/>
      <c r="H419" s="158" t="s">
        <v>14</v>
      </c>
      <c r="I419" s="54"/>
      <c r="J419" s="54"/>
      <c r="K419" s="55"/>
      <c r="L419" s="256">
        <f>L420+L421</f>
        <v>0</v>
      </c>
      <c r="M419" s="255">
        <f>M420+M421</f>
        <v>0</v>
      </c>
      <c r="N419" s="255">
        <f>N420+N421</f>
        <v>0</v>
      </c>
      <c r="O419" s="255">
        <f>IF(L419&gt;0,N419*100/L419,0)</f>
        <v>0</v>
      </c>
      <c r="P419" s="255">
        <f>IF(M419&gt;0,N419*100/M419,0)</f>
        <v>0</v>
      </c>
      <c r="Q419" s="255">
        <f>Q420+Q421</f>
        <v>0</v>
      </c>
      <c r="R419" s="255">
        <f>R420+R421</f>
        <v>0</v>
      </c>
      <c r="S419" s="255">
        <f>S420+S421</f>
        <v>0</v>
      </c>
      <c r="T419" s="255">
        <f>IF(Q419&gt;0,S419*100/Q419,0)</f>
        <v>0</v>
      </c>
      <c r="U419" s="255">
        <f>IF(R419&gt;0,S419*100/R419,0)</f>
        <v>0</v>
      </c>
    </row>
    <row r="420" spans="1:21" ht="18.75" hidden="1">
      <c r="A420" s="155"/>
      <c r="B420" s="188"/>
      <c r="C420" s="188"/>
      <c r="D420" s="188"/>
      <c r="E420" s="358" t="s">
        <v>20</v>
      </c>
      <c r="F420" s="188"/>
      <c r="G420" s="208"/>
      <c r="H420" s="204" t="s">
        <v>14</v>
      </c>
      <c r="I420" s="54"/>
      <c r="J420" s="54"/>
      <c r="K420" s="55"/>
      <c r="L420" s="103">
        <v>0</v>
      </c>
      <c r="M420" s="102">
        <v>0</v>
      </c>
      <c r="N420" s="102">
        <v>0</v>
      </c>
      <c r="O420" s="102">
        <f>IF(L420&gt;0,N420*100/L420,0)</f>
        <v>0</v>
      </c>
      <c r="P420" s="102">
        <f>IF(M420&gt;0,N420*100/M420,0)</f>
        <v>0</v>
      </c>
      <c r="Q420" s="102">
        <v>0</v>
      </c>
      <c r="R420" s="102">
        <v>0</v>
      </c>
      <c r="S420" s="102">
        <v>0</v>
      </c>
      <c r="T420" s="102">
        <f>IF(Q420&gt;0,S420*100/Q420,0)</f>
        <v>0</v>
      </c>
      <c r="U420" s="102">
        <f>IF(R420&gt;0,S420*100/R420,0)</f>
        <v>0</v>
      </c>
    </row>
    <row r="421" spans="1:21" ht="18.75" hidden="1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256">
        <v>0</v>
      </c>
      <c r="M421" s="255">
        <v>0</v>
      </c>
      <c r="N421" s="255">
        <v>0</v>
      </c>
      <c r="O421" s="255">
        <f>IF(L421&gt;0,N421*100/L421,0)</f>
        <v>0</v>
      </c>
      <c r="P421" s="255">
        <f>IF(M421&gt;0,N421*100/M421,0)</f>
        <v>0</v>
      </c>
      <c r="Q421" s="255">
        <v>0</v>
      </c>
      <c r="R421" s="255">
        <v>0</v>
      </c>
      <c r="S421" s="255">
        <v>0</v>
      </c>
      <c r="T421" s="255">
        <f>IF(Q421&gt;0,S421*100/Q421,0)</f>
        <v>0</v>
      </c>
      <c r="U421" s="255">
        <f>IF(R421&gt;0,S421*100/R421,0)</f>
        <v>0</v>
      </c>
    </row>
    <row r="422" spans="1:21" ht="19.5" hidden="1">
      <c r="A422" s="238"/>
      <c r="B422" s="188"/>
      <c r="C422" s="367" t="s">
        <v>18</v>
      </c>
      <c r="D422" s="607" t="s">
        <v>38</v>
      </c>
      <c r="E422" s="188"/>
      <c r="F422" s="188"/>
      <c r="G422" s="208"/>
      <c r="H422" s="208"/>
      <c r="I422" s="54"/>
      <c r="J422" s="54"/>
      <c r="K422" s="55"/>
      <c r="L422" s="62"/>
      <c r="M422" s="55"/>
      <c r="N422" s="55"/>
      <c r="O422" s="55"/>
      <c r="P422" s="55"/>
      <c r="Q422" s="55"/>
      <c r="R422" s="55"/>
      <c r="S422" s="55"/>
      <c r="T422" s="55"/>
      <c r="U422" s="55"/>
    </row>
    <row r="423" spans="1:21" ht="19.5" hidden="1">
      <c r="A423" s="238"/>
      <c r="B423" s="191" t="s">
        <v>161</v>
      </c>
      <c r="C423" s="188"/>
      <c r="D423" s="188"/>
      <c r="E423" s="188"/>
      <c r="F423" s="188"/>
      <c r="G423" s="208"/>
      <c r="H423" s="368" t="s">
        <v>46</v>
      </c>
      <c r="I423" s="373">
        <f ca="1">I440</f>
        <v>0</v>
      </c>
      <c r="J423" s="373">
        <f>J440</f>
        <v>0</v>
      </c>
      <c r="K423" s="540">
        <f ca="1">IF(I423&gt;0,J423*100/I423,0)</f>
        <v>0</v>
      </c>
      <c r="L423" s="62"/>
      <c r="M423" s="55"/>
      <c r="N423" s="55"/>
      <c r="O423" s="55"/>
      <c r="P423" s="55"/>
      <c r="Q423" s="55"/>
      <c r="R423" s="55"/>
      <c r="S423" s="55"/>
      <c r="T423" s="55"/>
      <c r="U423" s="55"/>
    </row>
    <row r="424" spans="1:21" ht="19.5" hidden="1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373">
        <f ca="1">IFERROR(__xludf.DUMMYFUNCTION("IMPORTRANGE(""https://docs.google.com/spreadsheets/d/1eHaY18a8A9IcSdp1K8H6x8fbOy06t2VsZHhMHf-1x7Y/edit?usp=sharing"",""แผน!HJ51"")"),0)</f>
        <v>0</v>
      </c>
      <c r="J424" s="373">
        <f>J426+J428+J430</f>
        <v>0</v>
      </c>
      <c r="K424" s="540">
        <f ca="1">IF(I424&gt;0,J424*100/I424,0)</f>
        <v>0</v>
      </c>
      <c r="L424" s="62"/>
      <c r="M424" s="55"/>
      <c r="N424" s="55"/>
      <c r="O424" s="55"/>
      <c r="P424" s="55"/>
      <c r="Q424" s="55"/>
      <c r="R424" s="55"/>
      <c r="S424" s="55"/>
      <c r="T424" s="55"/>
      <c r="U424" s="55"/>
    </row>
    <row r="425" spans="1:21" ht="19.5" hidden="1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373">
        <f ca="1">IFERROR(__xludf.DUMMYFUNCTION("IMPORTRANGE(""https://docs.google.com/spreadsheets/d/1eHaY18a8A9IcSdp1K8H6x8fbOy06t2VsZHhMHf-1x7Y/edit?usp=sharing"",""แผน!HK51"")"),0)</f>
        <v>0</v>
      </c>
      <c r="J425" s="373">
        <f>J427+J429+J431</f>
        <v>0</v>
      </c>
      <c r="K425" s="540">
        <f ca="1">IF(I425&gt;0,J425*100/I425,0)</f>
        <v>0</v>
      </c>
      <c r="L425" s="62"/>
      <c r="M425" s="55"/>
      <c r="N425" s="55"/>
      <c r="O425" s="55"/>
      <c r="P425" s="55"/>
      <c r="Q425" s="55"/>
      <c r="R425" s="55"/>
      <c r="S425" s="55"/>
      <c r="T425" s="55"/>
      <c r="U425" s="55"/>
    </row>
    <row r="426" spans="1:21" ht="18.75" hidden="1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54"/>
      <c r="K426" s="55"/>
      <c r="L426" s="62"/>
      <c r="M426" s="55"/>
      <c r="N426" s="55"/>
      <c r="O426" s="55"/>
      <c r="P426" s="55"/>
      <c r="Q426" s="55"/>
      <c r="R426" s="55"/>
      <c r="S426" s="55"/>
      <c r="T426" s="55"/>
      <c r="U426" s="55"/>
    </row>
    <row r="427" spans="1:21" ht="18.75" hidden="1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54"/>
      <c r="K427" s="55"/>
      <c r="L427" s="62"/>
      <c r="M427" s="55"/>
      <c r="N427" s="55"/>
      <c r="O427" s="55"/>
      <c r="P427" s="55"/>
      <c r="Q427" s="55"/>
      <c r="R427" s="55"/>
      <c r="S427" s="55"/>
      <c r="T427" s="55"/>
      <c r="U427" s="55"/>
    </row>
    <row r="428" spans="1:21" ht="18.75" hidden="1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54"/>
      <c r="K428" s="55"/>
      <c r="L428" s="62"/>
      <c r="M428" s="55"/>
      <c r="N428" s="55"/>
      <c r="O428" s="55"/>
      <c r="P428" s="55"/>
      <c r="Q428" s="55"/>
      <c r="R428" s="55"/>
      <c r="S428" s="55"/>
      <c r="T428" s="55"/>
      <c r="U428" s="55"/>
    </row>
    <row r="429" spans="1:21" ht="18.75" hidden="1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54"/>
      <c r="K429" s="55"/>
      <c r="L429" s="62"/>
      <c r="M429" s="55"/>
      <c r="N429" s="55"/>
      <c r="O429" s="55"/>
      <c r="P429" s="55"/>
      <c r="Q429" s="55"/>
      <c r="R429" s="55"/>
      <c r="S429" s="55"/>
      <c r="T429" s="55"/>
      <c r="U429" s="55"/>
    </row>
    <row r="430" spans="1:21" ht="18.75" hidden="1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54"/>
      <c r="K430" s="55"/>
      <c r="L430" s="62"/>
      <c r="M430" s="55"/>
      <c r="N430" s="55"/>
      <c r="O430" s="55"/>
      <c r="P430" s="55"/>
      <c r="Q430" s="55"/>
      <c r="R430" s="55"/>
      <c r="S430" s="55"/>
      <c r="T430" s="55"/>
      <c r="U430" s="55"/>
    </row>
    <row r="431" spans="1:21" ht="18.75" hidden="1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54"/>
      <c r="K431" s="55"/>
      <c r="L431" s="62"/>
      <c r="M431" s="55"/>
      <c r="N431" s="55"/>
      <c r="O431" s="55"/>
      <c r="P431" s="55"/>
      <c r="Q431" s="55"/>
      <c r="R431" s="55"/>
      <c r="S431" s="55"/>
      <c r="T431" s="55"/>
      <c r="U431" s="55"/>
    </row>
    <row r="432" spans="1:21" ht="19.5" hidden="1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373">
        <f ca="1">IFERROR(__xludf.DUMMYFUNCTION("IMPORTRANGE(""https://docs.google.com/spreadsheets/d/1eHaY18a8A9IcSdp1K8H6x8fbOy06t2VsZHhMHf-1x7Y/edit?usp=sharing"",""แผน!HJ51"")"),0)</f>
        <v>0</v>
      </c>
      <c r="J432" s="373">
        <f>J434+J436+J438</f>
        <v>0</v>
      </c>
      <c r="K432" s="540">
        <f ca="1">IF(I432&gt;0,J432*100/I432,0)</f>
        <v>0</v>
      </c>
      <c r="L432" s="62"/>
      <c r="M432" s="55"/>
      <c r="N432" s="55"/>
      <c r="O432" s="55"/>
      <c r="P432" s="55"/>
      <c r="Q432" s="55"/>
      <c r="R432" s="55"/>
      <c r="S432" s="55"/>
      <c r="T432" s="55"/>
      <c r="U432" s="55"/>
    </row>
    <row r="433" spans="1:21" ht="19.5" hidden="1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373">
        <f ca="1">IFERROR(__xludf.DUMMYFUNCTION("IMPORTRANGE(""https://docs.google.com/spreadsheets/d/1eHaY18a8A9IcSdp1K8H6x8fbOy06t2VsZHhMHf-1x7Y/edit?usp=sharing"",""แผน!HK51"")"),0)</f>
        <v>0</v>
      </c>
      <c r="J433" s="373">
        <f>J435+J437+J439</f>
        <v>0</v>
      </c>
      <c r="K433" s="540">
        <f ca="1">IF(I433&gt;0,J433*100/I433,0)</f>
        <v>0</v>
      </c>
      <c r="L433" s="62"/>
      <c r="M433" s="55"/>
      <c r="N433" s="55"/>
      <c r="O433" s="55"/>
      <c r="P433" s="55"/>
      <c r="Q433" s="55"/>
      <c r="R433" s="55"/>
      <c r="S433" s="55"/>
      <c r="T433" s="55"/>
      <c r="U433" s="55"/>
    </row>
    <row r="434" spans="1:21" ht="18.75" hidden="1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54"/>
      <c r="K434" s="55"/>
      <c r="L434" s="62"/>
      <c r="M434" s="55"/>
      <c r="N434" s="55"/>
      <c r="O434" s="55"/>
      <c r="P434" s="55"/>
      <c r="Q434" s="55"/>
      <c r="R434" s="55"/>
      <c r="S434" s="55"/>
      <c r="T434" s="55"/>
      <c r="U434" s="55"/>
    </row>
    <row r="435" spans="1:21" ht="18.75" hidden="1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54"/>
      <c r="K435" s="55"/>
      <c r="L435" s="62"/>
      <c r="M435" s="55"/>
      <c r="N435" s="55"/>
      <c r="O435" s="55"/>
      <c r="P435" s="55"/>
      <c r="Q435" s="55"/>
      <c r="R435" s="55"/>
      <c r="S435" s="55"/>
      <c r="T435" s="55"/>
      <c r="U435" s="55"/>
    </row>
    <row r="436" spans="1:21" ht="18.75" hidden="1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54"/>
      <c r="K436" s="55"/>
      <c r="L436" s="62"/>
      <c r="M436" s="55"/>
      <c r="N436" s="55"/>
      <c r="O436" s="55"/>
      <c r="P436" s="55"/>
      <c r="Q436" s="55"/>
      <c r="R436" s="55"/>
      <c r="S436" s="55"/>
      <c r="T436" s="55"/>
      <c r="U436" s="55"/>
    </row>
    <row r="437" spans="1:21" ht="18.75" hidden="1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54"/>
      <c r="K437" s="55"/>
      <c r="L437" s="62"/>
      <c r="M437" s="55"/>
      <c r="N437" s="55"/>
      <c r="O437" s="55"/>
      <c r="P437" s="55"/>
      <c r="Q437" s="55"/>
      <c r="R437" s="55"/>
      <c r="S437" s="55"/>
      <c r="T437" s="55"/>
      <c r="U437" s="55"/>
    </row>
    <row r="438" spans="1:21" ht="18.75" hidden="1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54"/>
      <c r="K438" s="55"/>
      <c r="L438" s="62"/>
      <c r="M438" s="55"/>
      <c r="N438" s="55"/>
      <c r="O438" s="55"/>
      <c r="P438" s="55"/>
      <c r="Q438" s="55"/>
      <c r="R438" s="55"/>
      <c r="S438" s="55"/>
      <c r="T438" s="55"/>
      <c r="U438" s="55"/>
    </row>
    <row r="439" spans="1:21" ht="18.75" hidden="1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54"/>
      <c r="K439" s="55"/>
      <c r="L439" s="62"/>
      <c r="M439" s="55"/>
      <c r="N439" s="55"/>
      <c r="O439" s="55"/>
      <c r="P439" s="55"/>
      <c r="Q439" s="55"/>
      <c r="R439" s="55"/>
      <c r="S439" s="55"/>
      <c r="T439" s="55"/>
      <c r="U439" s="55"/>
    </row>
    <row r="440" spans="1:21" ht="19.5" hidden="1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373">
        <f ca="1">IFERROR(__xludf.DUMMYFUNCTION("IMPORTRANGE(""https://docs.google.com/spreadsheets/d/1eHaY18a8A9IcSdp1K8H6x8fbOy06t2VsZHhMHf-1x7Y/edit?usp=sharing"",""แผน!HJ51"")"),0)</f>
        <v>0</v>
      </c>
      <c r="J440" s="373">
        <f>J442+J444+J446+J452+J454</f>
        <v>0</v>
      </c>
      <c r="K440" s="540">
        <f ca="1">IF(I440&gt;0,J440*100/I440,0)</f>
        <v>0</v>
      </c>
      <c r="L440" s="62"/>
      <c r="M440" s="55"/>
      <c r="N440" s="55"/>
      <c r="O440" s="55"/>
      <c r="P440" s="55"/>
      <c r="Q440" s="55"/>
      <c r="R440" s="55"/>
      <c r="S440" s="55"/>
      <c r="T440" s="55"/>
      <c r="U440" s="55"/>
    </row>
    <row r="441" spans="1:21" ht="19.5" hidden="1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373">
        <f ca="1">IFERROR(__xludf.DUMMYFUNCTION("IMPORTRANGE(""https://docs.google.com/spreadsheets/d/1eHaY18a8A9IcSdp1K8H6x8fbOy06t2VsZHhMHf-1x7Y/edit?usp=sharing"",""แผน!HK51"")"),0)</f>
        <v>0</v>
      </c>
      <c r="J441" s="373">
        <f>J443+J445+J447+J453+J455</f>
        <v>0</v>
      </c>
      <c r="K441" s="540">
        <f ca="1">IF(I441&gt;0,J441*100/I441,0)</f>
        <v>0</v>
      </c>
      <c r="L441" s="62"/>
      <c r="M441" s="55"/>
      <c r="N441" s="55"/>
      <c r="O441" s="55"/>
      <c r="P441" s="55"/>
      <c r="Q441" s="55"/>
      <c r="R441" s="55"/>
      <c r="S441" s="55"/>
      <c r="T441" s="55"/>
      <c r="U441" s="55"/>
    </row>
    <row r="442" spans="1:21" ht="18.75" hidden="1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54"/>
      <c r="K442" s="55"/>
      <c r="L442" s="62"/>
      <c r="M442" s="55"/>
      <c r="N442" s="55"/>
      <c r="O442" s="55"/>
      <c r="P442" s="55"/>
      <c r="Q442" s="55"/>
      <c r="R442" s="55"/>
      <c r="S442" s="55"/>
      <c r="T442" s="55"/>
      <c r="U442" s="55"/>
    </row>
    <row r="443" spans="1:21" ht="18.75" hidden="1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54"/>
      <c r="K443" s="55"/>
      <c r="L443" s="62"/>
      <c r="M443" s="55"/>
      <c r="N443" s="55"/>
      <c r="O443" s="55"/>
      <c r="P443" s="55"/>
      <c r="Q443" s="55"/>
      <c r="R443" s="55"/>
      <c r="S443" s="55"/>
      <c r="T443" s="55"/>
      <c r="U443" s="55"/>
    </row>
    <row r="444" spans="1:21" ht="18.75" hidden="1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54"/>
      <c r="K444" s="55"/>
      <c r="L444" s="62"/>
      <c r="M444" s="55"/>
      <c r="N444" s="55"/>
      <c r="O444" s="55"/>
      <c r="P444" s="55"/>
      <c r="Q444" s="55"/>
      <c r="R444" s="55"/>
      <c r="S444" s="55"/>
      <c r="T444" s="55"/>
      <c r="U444" s="55"/>
    </row>
    <row r="445" spans="1:21" ht="18.75" hidden="1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54"/>
      <c r="K445" s="55"/>
      <c r="L445" s="62"/>
      <c r="M445" s="55"/>
      <c r="N445" s="55"/>
      <c r="O445" s="55"/>
      <c r="P445" s="55"/>
      <c r="Q445" s="55"/>
      <c r="R445" s="55"/>
      <c r="S445" s="55"/>
      <c r="T445" s="55"/>
      <c r="U445" s="55"/>
    </row>
    <row r="446" spans="1:21" ht="19.5" hidden="1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373">
        <f>J448+J450</f>
        <v>0</v>
      </c>
      <c r="K446" s="55"/>
      <c r="L446" s="62"/>
      <c r="M446" s="55"/>
      <c r="N446" s="55"/>
      <c r="O446" s="55"/>
      <c r="P446" s="55"/>
      <c r="Q446" s="55"/>
      <c r="R446" s="55"/>
      <c r="S446" s="55"/>
      <c r="T446" s="55"/>
      <c r="U446" s="55"/>
    </row>
    <row r="447" spans="1:21" ht="19.5" hidden="1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373">
        <f>J449+J451</f>
        <v>0</v>
      </c>
      <c r="K447" s="55"/>
      <c r="L447" s="62"/>
      <c r="M447" s="55"/>
      <c r="N447" s="55"/>
      <c r="O447" s="55"/>
      <c r="P447" s="55"/>
      <c r="Q447" s="55"/>
      <c r="R447" s="55"/>
      <c r="S447" s="55"/>
      <c r="T447" s="55"/>
      <c r="U447" s="55"/>
    </row>
    <row r="448" spans="1:21" ht="18.75" hidden="1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54"/>
      <c r="K448" s="55"/>
      <c r="L448" s="62"/>
      <c r="M448" s="55"/>
      <c r="N448" s="55"/>
      <c r="O448" s="55"/>
      <c r="P448" s="55"/>
      <c r="Q448" s="55"/>
      <c r="R448" s="55"/>
      <c r="S448" s="55"/>
      <c r="T448" s="55"/>
      <c r="U448" s="55"/>
    </row>
    <row r="449" spans="1:21" ht="18.75" hidden="1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54"/>
      <c r="K449" s="55"/>
      <c r="L449" s="62"/>
      <c r="M449" s="55"/>
      <c r="N449" s="55"/>
      <c r="O449" s="55"/>
      <c r="P449" s="55"/>
      <c r="Q449" s="55"/>
      <c r="R449" s="55"/>
      <c r="S449" s="55"/>
      <c r="T449" s="55"/>
      <c r="U449" s="55"/>
    </row>
    <row r="450" spans="1:21" ht="18.75" hidden="1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54"/>
      <c r="K450" s="55"/>
      <c r="L450" s="62"/>
      <c r="M450" s="55"/>
      <c r="N450" s="55"/>
      <c r="O450" s="55"/>
      <c r="P450" s="55"/>
      <c r="Q450" s="55"/>
      <c r="R450" s="55"/>
      <c r="S450" s="55"/>
      <c r="T450" s="55"/>
      <c r="U450" s="55"/>
    </row>
    <row r="451" spans="1:21" ht="18.75" hidden="1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54"/>
      <c r="K451" s="55"/>
      <c r="L451" s="62"/>
      <c r="M451" s="55"/>
      <c r="N451" s="55"/>
      <c r="O451" s="55"/>
      <c r="P451" s="55"/>
      <c r="Q451" s="55"/>
      <c r="R451" s="55"/>
      <c r="S451" s="55"/>
      <c r="T451" s="55"/>
      <c r="U451" s="55"/>
    </row>
    <row r="452" spans="1:21" ht="18.75" hidden="1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54"/>
      <c r="K452" s="55"/>
      <c r="L452" s="62"/>
      <c r="M452" s="55"/>
      <c r="N452" s="55"/>
      <c r="O452" s="55"/>
      <c r="P452" s="55"/>
      <c r="Q452" s="55"/>
      <c r="R452" s="55"/>
      <c r="S452" s="55"/>
      <c r="T452" s="55"/>
      <c r="U452" s="55"/>
    </row>
    <row r="453" spans="1:21" ht="18.75" hidden="1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54"/>
      <c r="K453" s="55"/>
      <c r="L453" s="62"/>
      <c r="M453" s="55"/>
      <c r="N453" s="55"/>
      <c r="O453" s="55"/>
      <c r="P453" s="55"/>
      <c r="Q453" s="55"/>
      <c r="R453" s="55"/>
      <c r="S453" s="55"/>
      <c r="T453" s="55"/>
      <c r="U453" s="55"/>
    </row>
    <row r="454" spans="1:21" ht="18.75" hidden="1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606"/>
      <c r="K454" s="55"/>
      <c r="L454" s="62"/>
      <c r="M454" s="55"/>
      <c r="N454" s="55"/>
      <c r="O454" s="55"/>
      <c r="P454" s="55"/>
      <c r="Q454" s="55"/>
      <c r="R454" s="55"/>
      <c r="S454" s="55"/>
      <c r="T454" s="55"/>
      <c r="U454" s="55"/>
    </row>
    <row r="455" spans="1:21" ht="18.75" hidden="1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54"/>
      <c r="K455" s="55"/>
      <c r="L455" s="62"/>
      <c r="M455" s="55"/>
      <c r="N455" s="55"/>
      <c r="O455" s="55"/>
      <c r="P455" s="55"/>
      <c r="Q455" s="55"/>
      <c r="R455" s="55"/>
      <c r="S455" s="55"/>
      <c r="T455" s="55"/>
      <c r="U455" s="55"/>
    </row>
    <row r="456" spans="1:21" ht="19.5" hidden="1">
      <c r="A456" s="238"/>
      <c r="B456" s="191" t="s">
        <v>178</v>
      </c>
      <c r="C456" s="188"/>
      <c r="D456" s="188"/>
      <c r="E456" s="188"/>
      <c r="F456" s="188"/>
      <c r="G456" s="208"/>
      <c r="H456" s="368" t="s">
        <v>46</v>
      </c>
      <c r="I456" s="373">
        <f ca="1">I457</f>
        <v>0</v>
      </c>
      <c r="J456" s="373">
        <f>J457</f>
        <v>0</v>
      </c>
      <c r="K456" s="540">
        <f ca="1">IF(I456&gt;0,J456*100/I456,0)</f>
        <v>0</v>
      </c>
      <c r="L456" s="62"/>
      <c r="M456" s="55"/>
      <c r="N456" s="55"/>
      <c r="O456" s="55"/>
      <c r="P456" s="55"/>
      <c r="Q456" s="55"/>
      <c r="R456" s="55"/>
      <c r="S456" s="55"/>
      <c r="T456" s="55"/>
      <c r="U456" s="55"/>
    </row>
    <row r="457" spans="1:21" ht="19.5" hidden="1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373">
        <f ca="1">IFERROR(__xludf.DUMMYFUNCTION("IMPORTRANGE(""https://docs.google.com/spreadsheets/d/1eHaY18a8A9IcSdp1K8H6x8fbOy06t2VsZHhMHf-1x7Y/edit?usp=sharing"",""แผน!HL51"")"),0)</f>
        <v>0</v>
      </c>
      <c r="J457" s="373">
        <f>J459+J467+J473</f>
        <v>0</v>
      </c>
      <c r="K457" s="540">
        <f ca="1">IF(I457&gt;0,J457*100/I457,0)</f>
        <v>0</v>
      </c>
      <c r="L457" s="62"/>
      <c r="M457" s="55"/>
      <c r="N457" s="55"/>
      <c r="O457" s="55"/>
      <c r="P457" s="55"/>
      <c r="Q457" s="55"/>
      <c r="R457" s="55"/>
      <c r="S457" s="55"/>
      <c r="T457" s="55"/>
      <c r="U457" s="55"/>
    </row>
    <row r="458" spans="1:21" ht="19.5" hidden="1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373">
        <f ca="1">IFERROR(__xludf.DUMMYFUNCTION("IMPORTRANGE(""https://docs.google.com/spreadsheets/d/1eHaY18a8A9IcSdp1K8H6x8fbOy06t2VsZHhMHf-1x7Y/edit?usp=sharing"",""แผน!HM51"")"),0)</f>
        <v>0</v>
      </c>
      <c r="J458" s="373">
        <f>J460+J468+J474</f>
        <v>0</v>
      </c>
      <c r="K458" s="540">
        <f ca="1">IF(I458&gt;0,J458*100/I458,0)</f>
        <v>0</v>
      </c>
      <c r="L458" s="62"/>
      <c r="M458" s="55"/>
      <c r="N458" s="55"/>
      <c r="O458" s="55"/>
      <c r="P458" s="55"/>
      <c r="Q458" s="55"/>
      <c r="R458" s="55"/>
      <c r="S458" s="55"/>
      <c r="T458" s="55"/>
      <c r="U458" s="55"/>
    </row>
    <row r="459" spans="1:21" ht="18.75" hidden="1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212">
        <f>J461+J463</f>
        <v>0</v>
      </c>
      <c r="K459" s="55"/>
      <c r="L459" s="62"/>
      <c r="M459" s="55"/>
      <c r="N459" s="55"/>
      <c r="O459" s="55"/>
      <c r="P459" s="55"/>
      <c r="Q459" s="55"/>
      <c r="R459" s="55"/>
      <c r="S459" s="55"/>
      <c r="T459" s="55"/>
      <c r="U459" s="55"/>
    </row>
    <row r="460" spans="1:21" ht="18.75" hidden="1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212">
        <f>J462+J464</f>
        <v>0</v>
      </c>
      <c r="K460" s="55"/>
      <c r="L460" s="62"/>
      <c r="M460" s="55"/>
      <c r="N460" s="55"/>
      <c r="O460" s="55"/>
      <c r="P460" s="55"/>
      <c r="Q460" s="55"/>
      <c r="R460" s="55"/>
      <c r="S460" s="55"/>
      <c r="T460" s="55"/>
      <c r="U460" s="55"/>
    </row>
    <row r="461" spans="1:21" ht="18.75" hidden="1">
      <c r="A461" s="238"/>
      <c r="B461" s="188"/>
      <c r="C461" s="188"/>
      <c r="D461" s="371" t="s">
        <v>181</v>
      </c>
      <c r="E461" s="188"/>
      <c r="F461" s="188"/>
      <c r="G461" s="208"/>
      <c r="H461" s="161" t="s">
        <v>46</v>
      </c>
      <c r="I461" s="54"/>
      <c r="J461" s="54"/>
      <c r="K461" s="55"/>
      <c r="L461" s="62"/>
      <c r="M461" s="55"/>
      <c r="N461" s="55"/>
      <c r="O461" s="55"/>
      <c r="P461" s="55"/>
      <c r="Q461" s="55"/>
      <c r="R461" s="55"/>
      <c r="S461" s="55"/>
      <c r="T461" s="55"/>
      <c r="U461" s="55"/>
    </row>
    <row r="462" spans="1:21" ht="18.75" hidden="1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54"/>
      <c r="K462" s="55"/>
      <c r="L462" s="62"/>
      <c r="M462" s="55"/>
      <c r="N462" s="55"/>
      <c r="O462" s="55"/>
      <c r="P462" s="55"/>
      <c r="Q462" s="55"/>
      <c r="R462" s="55"/>
      <c r="S462" s="55"/>
      <c r="T462" s="55"/>
      <c r="U462" s="55"/>
    </row>
    <row r="463" spans="1:21" ht="18.75" hidden="1">
      <c r="A463" s="238"/>
      <c r="B463" s="188"/>
      <c r="C463" s="188"/>
      <c r="D463" s="371" t="s">
        <v>182</v>
      </c>
      <c r="E463" s="188"/>
      <c r="F463" s="188"/>
      <c r="G463" s="208"/>
      <c r="H463" s="161" t="s">
        <v>46</v>
      </c>
      <c r="I463" s="54"/>
      <c r="J463" s="54"/>
      <c r="K463" s="55"/>
      <c r="L463" s="62"/>
      <c r="M463" s="55"/>
      <c r="N463" s="55"/>
      <c r="O463" s="55"/>
      <c r="P463" s="55"/>
      <c r="Q463" s="55"/>
      <c r="R463" s="55"/>
      <c r="S463" s="55"/>
      <c r="T463" s="55"/>
      <c r="U463" s="55"/>
    </row>
    <row r="464" spans="1:21" ht="18.75" hidden="1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54"/>
      <c r="K464" s="55"/>
      <c r="L464" s="62"/>
      <c r="M464" s="55"/>
      <c r="N464" s="55"/>
      <c r="O464" s="55"/>
      <c r="P464" s="55"/>
      <c r="Q464" s="55"/>
      <c r="R464" s="55"/>
      <c r="S464" s="55"/>
      <c r="T464" s="55"/>
      <c r="U464" s="55"/>
    </row>
    <row r="465" spans="1:21" ht="18.75" hidden="1">
      <c r="A465" s="238"/>
      <c r="B465" s="188"/>
      <c r="C465" s="188"/>
      <c r="D465" s="371" t="s">
        <v>183</v>
      </c>
      <c r="E465" s="188"/>
      <c r="F465" s="188"/>
      <c r="G465" s="208"/>
      <c r="H465" s="161" t="s">
        <v>46</v>
      </c>
      <c r="I465" s="54"/>
      <c r="J465" s="54"/>
      <c r="K465" s="55"/>
      <c r="L465" s="62"/>
      <c r="M465" s="55"/>
      <c r="N465" s="55"/>
      <c r="O465" s="55"/>
      <c r="P465" s="55"/>
      <c r="Q465" s="55"/>
      <c r="R465" s="55"/>
      <c r="S465" s="55"/>
      <c r="T465" s="55"/>
      <c r="U465" s="55"/>
    </row>
    <row r="466" spans="1:21" ht="18.75" hidden="1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54"/>
      <c r="K466" s="55"/>
      <c r="L466" s="62"/>
      <c r="M466" s="55"/>
      <c r="N466" s="55"/>
      <c r="O466" s="55"/>
      <c r="P466" s="55"/>
      <c r="Q466" s="55"/>
      <c r="R466" s="55"/>
      <c r="S466" s="55"/>
      <c r="T466" s="55"/>
      <c r="U466" s="55"/>
    </row>
    <row r="467" spans="1:21" ht="18.75" hidden="1">
      <c r="A467" s="238"/>
      <c r="B467" s="188"/>
      <c r="C467" s="371" t="s">
        <v>184</v>
      </c>
      <c r="D467" s="188"/>
      <c r="E467" s="188"/>
      <c r="F467" s="188"/>
      <c r="G467" s="208"/>
      <c r="H467" s="161" t="s">
        <v>46</v>
      </c>
      <c r="I467" s="54"/>
      <c r="J467" s="212">
        <f>J469+J471</f>
        <v>0</v>
      </c>
      <c r="K467" s="55"/>
      <c r="L467" s="62"/>
      <c r="M467" s="55"/>
      <c r="N467" s="55"/>
      <c r="O467" s="55"/>
      <c r="P467" s="55"/>
      <c r="Q467" s="55"/>
      <c r="R467" s="55"/>
      <c r="S467" s="55"/>
      <c r="T467" s="55"/>
      <c r="U467" s="55"/>
    </row>
    <row r="468" spans="1:21" ht="18.75" hidden="1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212">
        <f>J470+J472</f>
        <v>0</v>
      </c>
      <c r="K468" s="55"/>
      <c r="L468" s="62"/>
      <c r="M468" s="55"/>
      <c r="N468" s="55"/>
      <c r="O468" s="55"/>
      <c r="P468" s="55"/>
      <c r="Q468" s="55"/>
      <c r="R468" s="55"/>
      <c r="S468" s="55"/>
      <c r="T468" s="55"/>
      <c r="U468" s="55"/>
    </row>
    <row r="469" spans="1:21" ht="18.75" hidden="1">
      <c r="A469" s="238"/>
      <c r="B469" s="188"/>
      <c r="C469" s="188"/>
      <c r="D469" s="371" t="s">
        <v>185</v>
      </c>
      <c r="E469" s="188"/>
      <c r="F469" s="188"/>
      <c r="G469" s="208"/>
      <c r="H469" s="161" t="s">
        <v>46</v>
      </c>
      <c r="I469" s="54"/>
      <c r="J469" s="54"/>
      <c r="K469" s="55"/>
      <c r="L469" s="62"/>
      <c r="M469" s="55"/>
      <c r="N469" s="55"/>
      <c r="O469" s="55"/>
      <c r="P469" s="55"/>
      <c r="Q469" s="55"/>
      <c r="R469" s="55"/>
      <c r="S469" s="55"/>
      <c r="T469" s="55"/>
      <c r="U469" s="55"/>
    </row>
    <row r="470" spans="1:21" ht="18.75" hidden="1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54"/>
      <c r="K470" s="55"/>
      <c r="L470" s="62"/>
      <c r="M470" s="55"/>
      <c r="N470" s="55"/>
      <c r="O470" s="55"/>
      <c r="P470" s="55"/>
      <c r="Q470" s="55"/>
      <c r="R470" s="55"/>
      <c r="S470" s="55"/>
      <c r="T470" s="55"/>
      <c r="U470" s="55"/>
    </row>
    <row r="471" spans="1:21" ht="18.75" hidden="1">
      <c r="A471" s="238"/>
      <c r="B471" s="188"/>
      <c r="C471" s="188"/>
      <c r="D471" s="371" t="s">
        <v>186</v>
      </c>
      <c r="E471" s="188"/>
      <c r="F471" s="188"/>
      <c r="G471" s="208"/>
      <c r="H471" s="161" t="s">
        <v>46</v>
      </c>
      <c r="I471" s="54"/>
      <c r="J471" s="54"/>
      <c r="K471" s="55"/>
      <c r="L471" s="62"/>
      <c r="M471" s="55"/>
      <c r="N471" s="55"/>
      <c r="O471" s="55"/>
      <c r="P471" s="55"/>
      <c r="Q471" s="55"/>
      <c r="R471" s="55"/>
      <c r="S471" s="55"/>
      <c r="T471" s="55"/>
      <c r="U471" s="55"/>
    </row>
    <row r="472" spans="1:21" ht="18.75" hidden="1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54"/>
      <c r="K472" s="55"/>
      <c r="L472" s="62"/>
      <c r="M472" s="55"/>
      <c r="N472" s="55"/>
      <c r="O472" s="55"/>
      <c r="P472" s="55"/>
      <c r="Q472" s="55"/>
      <c r="R472" s="55"/>
      <c r="S472" s="55"/>
      <c r="T472" s="55"/>
      <c r="U472" s="55"/>
    </row>
    <row r="473" spans="1:21" ht="18.75" hidden="1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54"/>
      <c r="K473" s="55"/>
      <c r="L473" s="62"/>
      <c r="M473" s="55"/>
      <c r="N473" s="55"/>
      <c r="O473" s="55"/>
      <c r="P473" s="55"/>
      <c r="Q473" s="55"/>
      <c r="R473" s="55"/>
      <c r="S473" s="55"/>
      <c r="T473" s="55"/>
      <c r="U473" s="55"/>
    </row>
    <row r="474" spans="1:21" ht="18.75" hidden="1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54"/>
      <c r="K474" s="55"/>
      <c r="L474" s="62"/>
      <c r="M474" s="55"/>
      <c r="N474" s="55"/>
      <c r="O474" s="55"/>
      <c r="P474" s="55"/>
      <c r="Q474" s="55"/>
      <c r="R474" s="55"/>
      <c r="S474" s="55"/>
      <c r="T474" s="55"/>
      <c r="U474" s="55"/>
    </row>
    <row r="475" spans="1:21" ht="19.5" hidden="1">
      <c r="A475" s="238"/>
      <c r="B475" s="372" t="s">
        <v>188</v>
      </c>
      <c r="C475" s="188"/>
      <c r="D475" s="188"/>
      <c r="E475" s="188"/>
      <c r="F475" s="188"/>
      <c r="G475" s="208"/>
      <c r="H475" s="158" t="s">
        <v>46</v>
      </c>
      <c r="I475" s="373">
        <v>0</v>
      </c>
      <c r="J475" s="373">
        <f>J478+J480</f>
        <v>0</v>
      </c>
      <c r="K475" s="540">
        <f>IF(I475&gt;0,J475*100/I475,0)</f>
        <v>0</v>
      </c>
      <c r="L475" s="62"/>
      <c r="M475" s="55"/>
      <c r="N475" s="55"/>
      <c r="O475" s="55"/>
      <c r="P475" s="55"/>
      <c r="Q475" s="55"/>
      <c r="R475" s="55"/>
      <c r="S475" s="55"/>
      <c r="T475" s="55"/>
      <c r="U475" s="55"/>
    </row>
    <row r="476" spans="1:21" ht="19.5" hidden="1">
      <c r="A476" s="238"/>
      <c r="B476" s="188"/>
      <c r="C476" s="191" t="s">
        <v>189</v>
      </c>
      <c r="D476" s="188"/>
      <c r="E476" s="188"/>
      <c r="F476" s="188"/>
      <c r="G476" s="208"/>
      <c r="H476" s="158" t="s">
        <v>46</v>
      </c>
      <c r="I476" s="373">
        <v>0</v>
      </c>
      <c r="J476" s="373">
        <f>J478+J480</f>
        <v>0</v>
      </c>
      <c r="K476" s="540">
        <f>IF(I476&gt;0,J476*100/I476,0)</f>
        <v>0</v>
      </c>
      <c r="L476" s="62"/>
      <c r="M476" s="55"/>
      <c r="N476" s="55"/>
      <c r="O476" s="55"/>
      <c r="P476" s="55"/>
      <c r="Q476" s="55"/>
      <c r="R476" s="55"/>
      <c r="S476" s="55"/>
      <c r="T476" s="55"/>
      <c r="U476" s="55"/>
    </row>
    <row r="477" spans="1:21" ht="19.5" hidden="1">
      <c r="A477" s="238"/>
      <c r="B477" s="188"/>
      <c r="C477" s="239" t="s">
        <v>190</v>
      </c>
      <c r="D477" s="188"/>
      <c r="E477" s="188"/>
      <c r="F477" s="188"/>
      <c r="G477" s="208"/>
      <c r="H477" s="158" t="s">
        <v>34</v>
      </c>
      <c r="I477" s="373">
        <v>0</v>
      </c>
      <c r="J477" s="373">
        <f>J479+J481</f>
        <v>0</v>
      </c>
      <c r="K477" s="540">
        <f>IF(I477&gt;0,J477*100/I477,0)</f>
        <v>0</v>
      </c>
      <c r="L477" s="62"/>
      <c r="M477" s="55"/>
      <c r="N477" s="55"/>
      <c r="O477" s="55"/>
      <c r="P477" s="55"/>
      <c r="Q477" s="55"/>
      <c r="R477" s="55"/>
      <c r="S477" s="55"/>
      <c r="T477" s="55"/>
      <c r="U477" s="55"/>
    </row>
    <row r="478" spans="1:21" ht="18.75" hidden="1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54"/>
      <c r="K478" s="55"/>
      <c r="L478" s="62"/>
      <c r="M478" s="55"/>
      <c r="N478" s="55"/>
      <c r="O478" s="55"/>
      <c r="P478" s="55"/>
      <c r="Q478" s="55"/>
      <c r="R478" s="55"/>
      <c r="S478" s="55"/>
      <c r="T478" s="55"/>
      <c r="U478" s="55"/>
    </row>
    <row r="479" spans="1:21" ht="18.75" hidden="1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54"/>
      <c r="K479" s="55"/>
      <c r="L479" s="62"/>
      <c r="M479" s="55"/>
      <c r="N479" s="55"/>
      <c r="O479" s="55"/>
      <c r="P479" s="55"/>
      <c r="Q479" s="55"/>
      <c r="R479" s="55"/>
      <c r="S479" s="55"/>
      <c r="T479" s="55"/>
      <c r="U479" s="55"/>
    </row>
    <row r="480" spans="1:21" ht="18.75" hidden="1">
      <c r="A480" s="238"/>
      <c r="B480" s="188"/>
      <c r="C480" s="188"/>
      <c r="D480" s="371" t="s">
        <v>192</v>
      </c>
      <c r="E480" s="188"/>
      <c r="F480" s="188"/>
      <c r="G480" s="208"/>
      <c r="H480" s="161" t="s">
        <v>46</v>
      </c>
      <c r="I480" s="54"/>
      <c r="J480" s="54"/>
      <c r="K480" s="55"/>
      <c r="L480" s="62"/>
      <c r="M480" s="55"/>
      <c r="N480" s="55"/>
      <c r="O480" s="55"/>
      <c r="P480" s="55"/>
      <c r="Q480" s="55"/>
      <c r="R480" s="55"/>
      <c r="S480" s="55"/>
      <c r="T480" s="55"/>
      <c r="U480" s="55"/>
    </row>
    <row r="481" spans="1:21" ht="18.75" hidden="1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54"/>
      <c r="K481" s="55"/>
      <c r="L481" s="62"/>
      <c r="M481" s="55"/>
      <c r="N481" s="55"/>
      <c r="O481" s="55"/>
      <c r="P481" s="55"/>
      <c r="Q481" s="55"/>
      <c r="R481" s="55"/>
      <c r="S481" s="55"/>
      <c r="T481" s="55"/>
      <c r="U481" s="55"/>
    </row>
    <row r="482" spans="1:21" ht="18.75" hidden="1">
      <c r="A482" s="238"/>
      <c r="B482" s="188"/>
      <c r="C482" s="188"/>
      <c r="D482" s="371" t="s">
        <v>193</v>
      </c>
      <c r="E482" s="188"/>
      <c r="F482" s="188"/>
      <c r="G482" s="208"/>
      <c r="H482" s="161" t="s">
        <v>46</v>
      </c>
      <c r="I482" s="54"/>
      <c r="J482" s="212">
        <f ca="1">IFERROR(__xludf.DUMMYFUNCTION("IMPORTRANGE(""https://docs.google.com/spreadsheets/d/1eHaY18a8A9IcSdp1K8H6x8fbOy06t2VsZHhMHf-1x7Y/edit?usp=sharing"",""แผน!HN51"")"),0)</f>
        <v>0</v>
      </c>
      <c r="K482" s="55"/>
      <c r="L482" s="62"/>
      <c r="M482" s="55"/>
      <c r="N482" s="55"/>
      <c r="O482" s="55"/>
      <c r="P482" s="55"/>
      <c r="Q482" s="55"/>
      <c r="R482" s="55"/>
      <c r="S482" s="55"/>
      <c r="T482" s="55"/>
      <c r="U482" s="55"/>
    </row>
    <row r="483" spans="1:21" ht="18.75" hidden="1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212">
        <f ca="1">IFERROR(__xludf.DUMMYFUNCTION("IMPORTRANGE(""https://docs.google.com/spreadsheets/d/1eHaY18a8A9IcSdp1K8H6x8fbOy06t2VsZHhMHf-1x7Y/edit?usp=sharing"",""แผน!HO51"")"),0)</f>
        <v>0</v>
      </c>
      <c r="K483" s="55"/>
      <c r="L483" s="62"/>
      <c r="M483" s="55"/>
      <c r="N483" s="55"/>
      <c r="O483" s="55"/>
      <c r="P483" s="55"/>
      <c r="Q483" s="55"/>
      <c r="R483" s="55"/>
      <c r="S483" s="55"/>
      <c r="T483" s="55"/>
      <c r="U483" s="55"/>
    </row>
    <row r="484" spans="1:21" ht="19.5" hidden="1">
      <c r="A484" s="238"/>
      <c r="B484" s="188"/>
      <c r="C484" s="191" t="s">
        <v>194</v>
      </c>
      <c r="D484" s="188"/>
      <c r="E484" s="188"/>
      <c r="F484" s="188"/>
      <c r="G484" s="208"/>
      <c r="H484" s="158" t="s">
        <v>46</v>
      </c>
      <c r="I484" s="54">
        <f>J480</f>
        <v>0</v>
      </c>
      <c r="J484" s="373">
        <f>J486+J488+J490</f>
        <v>0</v>
      </c>
      <c r="K484" s="540">
        <f>IF(I484&gt;0,J484*100/I484,0)</f>
        <v>0</v>
      </c>
      <c r="L484" s="62"/>
      <c r="M484" s="55"/>
      <c r="N484" s="55"/>
      <c r="O484" s="55"/>
      <c r="P484" s="55"/>
      <c r="Q484" s="55"/>
      <c r="R484" s="55"/>
      <c r="S484" s="55"/>
      <c r="T484" s="55"/>
      <c r="U484" s="55"/>
    </row>
    <row r="485" spans="1:21" ht="19.5" hidden="1">
      <c r="A485" s="238"/>
      <c r="B485" s="188"/>
      <c r="C485" s="239" t="s">
        <v>195</v>
      </c>
      <c r="D485" s="188"/>
      <c r="E485" s="188"/>
      <c r="F485" s="188"/>
      <c r="G485" s="208"/>
      <c r="H485" s="158" t="s">
        <v>34</v>
      </c>
      <c r="I485" s="54">
        <f>J481</f>
        <v>0</v>
      </c>
      <c r="J485" s="373">
        <f>J487+J489+J491</f>
        <v>0</v>
      </c>
      <c r="K485" s="540">
        <f>IF(I485&gt;0,J485*100/I485,0)</f>
        <v>0</v>
      </c>
      <c r="L485" s="62"/>
      <c r="M485" s="55"/>
      <c r="N485" s="55"/>
      <c r="O485" s="55"/>
      <c r="P485" s="55"/>
      <c r="Q485" s="55"/>
      <c r="R485" s="55"/>
      <c r="S485" s="55"/>
      <c r="T485" s="55"/>
      <c r="U485" s="55"/>
    </row>
    <row r="486" spans="1:21" ht="18.75" hidden="1">
      <c r="A486" s="238"/>
      <c r="B486" s="188"/>
      <c r="C486" s="188"/>
      <c r="D486" s="371" t="s">
        <v>196</v>
      </c>
      <c r="E486" s="188"/>
      <c r="F486" s="188"/>
      <c r="G486" s="208"/>
      <c r="H486" s="161" t="s">
        <v>46</v>
      </c>
      <c r="I486" s="54"/>
      <c r="J486" s="54"/>
      <c r="K486" s="55"/>
      <c r="L486" s="62"/>
      <c r="M486" s="55"/>
      <c r="N486" s="55"/>
      <c r="O486" s="55"/>
      <c r="P486" s="55"/>
      <c r="Q486" s="55"/>
      <c r="R486" s="55"/>
      <c r="S486" s="55"/>
      <c r="T486" s="55"/>
      <c r="U486" s="55"/>
    </row>
    <row r="487" spans="1:21" ht="18.75" hidden="1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54"/>
      <c r="K487" s="55"/>
      <c r="L487" s="62"/>
      <c r="M487" s="55"/>
      <c r="N487" s="55"/>
      <c r="O487" s="55"/>
      <c r="P487" s="55"/>
      <c r="Q487" s="55"/>
      <c r="R487" s="55"/>
      <c r="S487" s="55"/>
      <c r="T487" s="55"/>
      <c r="U487" s="55"/>
    </row>
    <row r="488" spans="1:21" ht="18.75" hidden="1">
      <c r="A488" s="238"/>
      <c r="B488" s="188"/>
      <c r="C488" s="188"/>
      <c r="D488" s="371" t="s">
        <v>197</v>
      </c>
      <c r="E488" s="188"/>
      <c r="F488" s="188"/>
      <c r="G488" s="208"/>
      <c r="H488" s="161" t="s">
        <v>46</v>
      </c>
      <c r="I488" s="54"/>
      <c r="J488" s="54"/>
      <c r="K488" s="55"/>
      <c r="L488" s="62"/>
      <c r="M488" s="55"/>
      <c r="N488" s="55"/>
      <c r="O488" s="55"/>
      <c r="P488" s="55"/>
      <c r="Q488" s="55"/>
      <c r="R488" s="55"/>
      <c r="S488" s="55"/>
      <c r="T488" s="55"/>
      <c r="U488" s="55"/>
    </row>
    <row r="489" spans="1:21" ht="18.75" hidden="1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54"/>
      <c r="K489" s="55"/>
      <c r="L489" s="62"/>
      <c r="M489" s="55"/>
      <c r="N489" s="55"/>
      <c r="O489" s="55"/>
      <c r="P489" s="55"/>
      <c r="Q489" s="55"/>
      <c r="R489" s="55"/>
      <c r="S489" s="55"/>
      <c r="T489" s="55"/>
      <c r="U489" s="55"/>
    </row>
    <row r="490" spans="1:21" ht="18.75" hidden="1">
      <c r="A490" s="238"/>
      <c r="B490" s="188"/>
      <c r="C490" s="188"/>
      <c r="D490" s="371" t="s">
        <v>198</v>
      </c>
      <c r="E490" s="188"/>
      <c r="F490" s="188"/>
      <c r="G490" s="208"/>
      <c r="H490" s="161" t="s">
        <v>46</v>
      </c>
      <c r="I490" s="54"/>
      <c r="J490" s="54"/>
      <c r="K490" s="55"/>
      <c r="L490" s="62"/>
      <c r="M490" s="55"/>
      <c r="N490" s="55"/>
      <c r="O490" s="55"/>
      <c r="P490" s="55"/>
      <c r="Q490" s="55"/>
      <c r="R490" s="55"/>
      <c r="S490" s="55"/>
      <c r="T490" s="55"/>
      <c r="U490" s="55"/>
    </row>
    <row r="491" spans="1:21" ht="18.75" hidden="1">
      <c r="A491" s="374"/>
      <c r="B491" s="5"/>
      <c r="C491" s="5"/>
      <c r="D491" s="5"/>
      <c r="E491" s="5"/>
      <c r="F491" s="5"/>
      <c r="G491" s="375"/>
      <c r="H491" s="376" t="s">
        <v>34</v>
      </c>
      <c r="I491" s="67"/>
      <c r="J491" s="67"/>
      <c r="K491" s="6"/>
      <c r="L491" s="68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 hidden="1">
      <c r="A492" s="335"/>
      <c r="B492" s="354" t="s">
        <v>199</v>
      </c>
      <c r="C492" s="337"/>
      <c r="D492" s="337"/>
      <c r="E492" s="328"/>
      <c r="F492" s="328"/>
      <c r="G492" s="329"/>
      <c r="H492" s="366" t="s">
        <v>35</v>
      </c>
      <c r="I492" s="605">
        <f ca="1">I503</f>
        <v>0</v>
      </c>
      <c r="J492" s="605">
        <f ca="1">J503</f>
        <v>0</v>
      </c>
      <c r="K492" s="604">
        <f ca="1">IF(I492&gt;0,J492*100/I492,0)</f>
        <v>0</v>
      </c>
      <c r="L492" s="334"/>
      <c r="M492" s="333"/>
      <c r="N492" s="333"/>
      <c r="O492" s="333"/>
      <c r="P492" s="333"/>
      <c r="Q492" s="333"/>
      <c r="R492" s="333"/>
      <c r="S492" s="333"/>
      <c r="T492" s="333"/>
      <c r="U492" s="333"/>
    </row>
    <row r="493" spans="1:21" ht="19.5" hidden="1">
      <c r="A493" s="155"/>
      <c r="B493" s="188"/>
      <c r="C493" s="205" t="s">
        <v>18</v>
      </c>
      <c r="D493" s="603" t="s">
        <v>19</v>
      </c>
      <c r="E493" s="514"/>
      <c r="F493" s="514"/>
      <c r="G493" s="52"/>
      <c r="H493" s="252" t="s">
        <v>14</v>
      </c>
      <c r="I493" s="54"/>
      <c r="J493" s="54"/>
      <c r="K493" s="55"/>
      <c r="L493" s="541">
        <f>L494+L495</f>
        <v>0</v>
      </c>
      <c r="M493" s="540">
        <f>M494+M495</f>
        <v>0</v>
      </c>
      <c r="N493" s="540">
        <f>N494+N495</f>
        <v>0</v>
      </c>
      <c r="O493" s="540">
        <f>IF(L493&gt;0,N493*100/L493,0)</f>
        <v>0</v>
      </c>
      <c r="P493" s="540">
        <f>IF(M493&gt;0,N493*100/M493,0)</f>
        <v>0</v>
      </c>
      <c r="Q493" s="540">
        <f ca="1">Q494+Q495</f>
        <v>0</v>
      </c>
      <c r="R493" s="540">
        <f ca="1">R494+R495</f>
        <v>0</v>
      </c>
      <c r="S493" s="540">
        <f ca="1">S494+S495</f>
        <v>0</v>
      </c>
      <c r="T493" s="540">
        <f ca="1">IF(Q493&gt;0,S493*100/Q493,0)</f>
        <v>0</v>
      </c>
      <c r="U493" s="540">
        <f ca="1">IF(R493&gt;0,S493*100/R493,0)</f>
        <v>0</v>
      </c>
    </row>
    <row r="494" spans="1:21" ht="18.75" hidden="1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103">
        <f>L497+L500</f>
        <v>0</v>
      </c>
      <c r="M494" s="102">
        <f>M497+M500</f>
        <v>0</v>
      </c>
      <c r="N494" s="102">
        <f>N497+N500</f>
        <v>0</v>
      </c>
      <c r="O494" s="102">
        <f>IF(L494&gt;0,N494*100/L494,0)</f>
        <v>0</v>
      </c>
      <c r="P494" s="102">
        <f>IF(M494&gt;0,N494*100/M494,0)</f>
        <v>0</v>
      </c>
      <c r="Q494" s="102">
        <f>Q497+Q500</f>
        <v>0</v>
      </c>
      <c r="R494" s="102">
        <f>R497+R500</f>
        <v>0</v>
      </c>
      <c r="S494" s="102">
        <f>S497+S500</f>
        <v>0</v>
      </c>
      <c r="T494" s="102">
        <f>IF(Q494&gt;0,S494*100/Q494,0)</f>
        <v>0</v>
      </c>
      <c r="U494" s="102">
        <f>IF(R494&gt;0,S494*100/R494,0)</f>
        <v>0</v>
      </c>
    </row>
    <row r="495" spans="1:21" ht="18.75" hidden="1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256">
        <f>L498+L501</f>
        <v>0</v>
      </c>
      <c r="M495" s="255">
        <f>M498+M501</f>
        <v>0</v>
      </c>
      <c r="N495" s="255">
        <f>N498+N501</f>
        <v>0</v>
      </c>
      <c r="O495" s="255">
        <f>IF(L495&gt;0,N495*100/L495,0)</f>
        <v>0</v>
      </c>
      <c r="P495" s="255">
        <f>IF(M495&gt;0,N495*100/M495,0)</f>
        <v>0</v>
      </c>
      <c r="Q495" s="255">
        <f ca="1">Q498+Q501</f>
        <v>0</v>
      </c>
      <c r="R495" s="255">
        <f ca="1">R498+R501</f>
        <v>0</v>
      </c>
      <c r="S495" s="255">
        <f ca="1">S498+S501</f>
        <v>0</v>
      </c>
      <c r="T495" s="255">
        <f ca="1">IF(Q495&gt;0,S495*100/Q495,0)</f>
        <v>0</v>
      </c>
      <c r="U495" s="255">
        <f ca="1">IF(R495&gt;0,S495*100/R495,0)</f>
        <v>0</v>
      </c>
    </row>
    <row r="496" spans="1:21" ht="18.75" hidden="1">
      <c r="A496" s="155"/>
      <c r="B496" s="188"/>
      <c r="C496" s="188"/>
      <c r="D496" s="602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256">
        <f>L497+L498</f>
        <v>0</v>
      </c>
      <c r="M496" s="255">
        <f>M497+M498</f>
        <v>0</v>
      </c>
      <c r="N496" s="255">
        <f>N497+N498</f>
        <v>0</v>
      </c>
      <c r="O496" s="255">
        <f>IF(L496&gt;0,N496*100/L496,0)</f>
        <v>0</v>
      </c>
      <c r="P496" s="255">
        <f>IF(M496&gt;0,N496*100/M496,0)</f>
        <v>0</v>
      </c>
      <c r="Q496" s="255">
        <f ca="1">Q497+Q498</f>
        <v>0</v>
      </c>
      <c r="R496" s="255">
        <f ca="1">R497+R498</f>
        <v>0</v>
      </c>
      <c r="S496" s="255">
        <f ca="1">S497+S498</f>
        <v>0</v>
      </c>
      <c r="T496" s="255">
        <f ca="1">IF(Q496&gt;0,S496*100/Q496,0)</f>
        <v>0</v>
      </c>
      <c r="U496" s="255">
        <f ca="1">IF(R496&gt;0,S496*100/R496,0)</f>
        <v>0</v>
      </c>
    </row>
    <row r="497" spans="1:21" ht="18.75" hidden="1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103">
        <v>0</v>
      </c>
      <c r="M497" s="102">
        <v>0</v>
      </c>
      <c r="N497" s="102">
        <v>0</v>
      </c>
      <c r="O497" s="102">
        <f>IF(L497&gt;0,N497*100/L497,0)</f>
        <v>0</v>
      </c>
      <c r="P497" s="102">
        <f>IF(M497&gt;0,N497*100/M497,0)</f>
        <v>0</v>
      </c>
      <c r="Q497" s="102">
        <v>0</v>
      </c>
      <c r="R497" s="102">
        <v>0</v>
      </c>
      <c r="S497" s="102">
        <v>0</v>
      </c>
      <c r="T497" s="102">
        <f>IF(Q497&gt;0,S497*100/Q497,0)</f>
        <v>0</v>
      </c>
      <c r="U497" s="102">
        <f>IF(R497&gt;0,S497*100/R497,0)</f>
        <v>0</v>
      </c>
    </row>
    <row r="498" spans="1:21" ht="18.75" hidden="1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256">
        <v>0</v>
      </c>
      <c r="M498" s="255">
        <v>0</v>
      </c>
      <c r="N498" s="255">
        <v>0</v>
      </c>
      <c r="O498" s="255">
        <f>IF(L498&gt;0,N498*100/L498,0)</f>
        <v>0</v>
      </c>
      <c r="P498" s="255">
        <f>IF(M498&gt;0,N498*100/M498,0)</f>
        <v>0</v>
      </c>
      <c r="Q498" s="255">
        <f ca="1">IFERROR(__xludf.DUMMYFUNCTION("IMPORTRANGE(""https://docs.google.com/spreadsheets/d/1ItG2mGa2ceCfYo0BwxsXqNm01IGEUdYcSSLTEv9YCik/edit?usp=sharing"",""เบิกจ่ายกองทุน!X51"")"),0)</f>
        <v>0</v>
      </c>
      <c r="R498" s="255">
        <f ca="1">IFERROR(__xludf.DUMMYFUNCTION("IMPORTRANGE(""https://docs.google.com/spreadsheets/d/1ItG2mGa2ceCfYo0BwxsXqNm01IGEUdYcSSLTEv9YCik/edit?usp=sharing"",""เบิกจ่ายกองทุน!Y51"")"),0)</f>
        <v>0</v>
      </c>
      <c r="S498" s="255">
        <f ca="1">IFERROR(__xludf.DUMMYFUNCTION("IMPORTRANGE(""https://docs.google.com/spreadsheets/d/1ItG2mGa2ceCfYo0BwxsXqNm01IGEUdYcSSLTEv9YCik/edit?usp=sharing"",""เบิกจ่ายกองทุน!Z51"")"),0)</f>
        <v>0</v>
      </c>
      <c r="T498" s="255">
        <f ca="1">IF(Q498&gt;0,S498*100/Q498,0)</f>
        <v>0</v>
      </c>
      <c r="U498" s="255">
        <f ca="1">IF(R498&gt;0,S498*100/R498,0)</f>
        <v>0</v>
      </c>
    </row>
    <row r="499" spans="1:21" ht="18.75" hidden="1">
      <c r="A499" s="155"/>
      <c r="B499" s="188"/>
      <c r="C499" s="188"/>
      <c r="D499" s="602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256">
        <f>L500+L501</f>
        <v>0</v>
      </c>
      <c r="M499" s="255">
        <f>M500+M501</f>
        <v>0</v>
      </c>
      <c r="N499" s="255">
        <f>N500+N501</f>
        <v>0</v>
      </c>
      <c r="O499" s="255">
        <f>IF(L499&gt;0,N499*100/L499,0)</f>
        <v>0</v>
      </c>
      <c r="P499" s="255">
        <f>IF(M499&gt;0,N499*100/M499,0)</f>
        <v>0</v>
      </c>
      <c r="Q499" s="255">
        <f>Q500+Q501</f>
        <v>0</v>
      </c>
      <c r="R499" s="255">
        <f>R500+R501</f>
        <v>0</v>
      </c>
      <c r="S499" s="255">
        <f>S500+S501</f>
        <v>0</v>
      </c>
      <c r="T499" s="255">
        <f>IF(Q499&gt;0,S499*100/Q499,0)</f>
        <v>0</v>
      </c>
      <c r="U499" s="255">
        <f>IF(R499&gt;0,S499*100/R499,0)</f>
        <v>0</v>
      </c>
    </row>
    <row r="500" spans="1:21" ht="18.75" hidden="1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103">
        <v>0</v>
      </c>
      <c r="M500" s="102">
        <v>0</v>
      </c>
      <c r="N500" s="102">
        <v>0</v>
      </c>
      <c r="O500" s="102">
        <f>IF(L500&gt;0,N500*100/L500,0)</f>
        <v>0</v>
      </c>
      <c r="P500" s="102">
        <f>IF(M500&gt;0,N500*100/M500,0)</f>
        <v>0</v>
      </c>
      <c r="Q500" s="102">
        <v>0</v>
      </c>
      <c r="R500" s="102">
        <v>0</v>
      </c>
      <c r="S500" s="102">
        <v>0</v>
      </c>
      <c r="T500" s="102">
        <f>IF(Q500&gt;0,S500*100/Q500,0)</f>
        <v>0</v>
      </c>
      <c r="U500" s="102">
        <f>IF(R500&gt;0,S500*100/R500,0)</f>
        <v>0</v>
      </c>
    </row>
    <row r="501" spans="1:21" ht="18.75" hidden="1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256">
        <v>0</v>
      </c>
      <c r="M501" s="255">
        <v>0</v>
      </c>
      <c r="N501" s="255">
        <v>0</v>
      </c>
      <c r="O501" s="255">
        <f>IF(L501&gt;0,N501*100/L501,0)</f>
        <v>0</v>
      </c>
      <c r="P501" s="255">
        <f>IF(M501&gt;0,N501*100/M501,0)</f>
        <v>0</v>
      </c>
      <c r="Q501" s="255">
        <v>0</v>
      </c>
      <c r="R501" s="255">
        <v>0</v>
      </c>
      <c r="S501" s="255">
        <v>0</v>
      </c>
      <c r="T501" s="255">
        <f>IF(Q501&gt;0,S501*100/Q501,0)</f>
        <v>0</v>
      </c>
      <c r="U501" s="255">
        <f>IF(R501&gt;0,S501*100/R501,0)</f>
        <v>0</v>
      </c>
    </row>
    <row r="502" spans="1:21" ht="19.5" hidden="1">
      <c r="A502" s="166"/>
      <c r="B502" s="167"/>
      <c r="C502" s="205" t="s">
        <v>18</v>
      </c>
      <c r="D502" s="560" t="s">
        <v>38</v>
      </c>
      <c r="E502" s="169"/>
      <c r="F502" s="169"/>
      <c r="G502" s="170"/>
      <c r="H502" s="206"/>
      <c r="I502" s="163"/>
      <c r="J502" s="163"/>
      <c r="K502" s="164"/>
      <c r="L502" s="172"/>
      <c r="M502" s="164"/>
      <c r="N502" s="164"/>
      <c r="O502" s="164"/>
      <c r="P502" s="164"/>
      <c r="Q502" s="164"/>
      <c r="R502" s="164"/>
      <c r="S502" s="164"/>
      <c r="T502" s="164"/>
      <c r="U502" s="164"/>
    </row>
    <row r="503" spans="1:21" ht="19.5" hidden="1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373">
        <f ca="1">IFERROR(__xludf.DUMMYFUNCTION("IMPORTRANGE(""https://docs.google.com/spreadsheets/d/1eHaY18a8A9IcSdp1K8H6x8fbOy06t2VsZHhMHf-1x7Y/edit?usp=sharing"",""แผน!GX51"")"),0)</f>
        <v>0</v>
      </c>
      <c r="J503" s="373">
        <f ca="1">IF(AND(J504=I504,J505=I505,J506=I506,J507=I507),I503,0)</f>
        <v>0</v>
      </c>
      <c r="K503" s="540">
        <f ca="1">IF(I503&gt;0,J503*100/I503,0)</f>
        <v>0</v>
      </c>
      <c r="L503" s="62"/>
      <c r="M503" s="55"/>
      <c r="N503" s="55"/>
      <c r="O503" s="55"/>
      <c r="P503" s="55"/>
      <c r="Q503" s="55"/>
      <c r="R503" s="55"/>
      <c r="S503" s="55"/>
      <c r="T503" s="55"/>
      <c r="U503" s="55"/>
    </row>
    <row r="504" spans="1:21" ht="18.75" hidden="1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212">
        <f ca="1">IFERROR(__xludf.DUMMYFUNCTION("IMPORTRANGE(""https://docs.google.com/spreadsheets/d/1eHaY18a8A9IcSdp1K8H6x8fbOy06t2VsZHhMHf-1x7Y/edit?usp=sharing"",""แผน!GY51"")"),0)</f>
        <v>0</v>
      </c>
      <c r="J504" s="467">
        <v>0</v>
      </c>
      <c r="K504" s="255">
        <f ca="1">IF(I504&gt;0,J504*100/I504,0)</f>
        <v>0</v>
      </c>
      <c r="L504" s="62"/>
      <c r="M504" s="55"/>
      <c r="N504" s="55"/>
      <c r="O504" s="55"/>
      <c r="P504" s="55"/>
      <c r="Q504" s="55"/>
      <c r="R504" s="55"/>
      <c r="S504" s="55"/>
      <c r="T504" s="55"/>
      <c r="U504" s="55"/>
    </row>
    <row r="505" spans="1:21" ht="18.75" hidden="1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212">
        <f ca="1">IFERROR(__xludf.DUMMYFUNCTION("IMPORTRANGE(""https://docs.google.com/spreadsheets/d/1eHaY18a8A9IcSdp1K8H6x8fbOy06t2VsZHhMHf-1x7Y/edit?usp=sharing"",""แผน!GZ51"")"),0)</f>
        <v>0</v>
      </c>
      <c r="J505" s="467">
        <v>0</v>
      </c>
      <c r="K505" s="255">
        <f ca="1">IF(I505&gt;0,J505*100/I505,0)</f>
        <v>0</v>
      </c>
      <c r="L505" s="62"/>
      <c r="M505" s="55"/>
      <c r="N505" s="55"/>
      <c r="O505" s="55"/>
      <c r="P505" s="55"/>
      <c r="Q505" s="55"/>
      <c r="R505" s="55"/>
      <c r="S505" s="55"/>
      <c r="T505" s="55"/>
      <c r="U505" s="55"/>
    </row>
    <row r="506" spans="1:21" ht="18.75" hidden="1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212">
        <f ca="1">IFERROR(__xludf.DUMMYFUNCTION("IMPORTRANGE(""https://docs.google.com/spreadsheets/d/1eHaY18a8A9IcSdp1K8H6x8fbOy06t2VsZHhMHf-1x7Y/edit?usp=sharing"",""แผน!HA51"")"),0)</f>
        <v>0</v>
      </c>
      <c r="J506" s="467">
        <v>0</v>
      </c>
      <c r="K506" s="255">
        <f ca="1">IF(I506&gt;0,J506*100/I506,0)</f>
        <v>0</v>
      </c>
      <c r="L506" s="62"/>
      <c r="M506" s="55"/>
      <c r="N506" s="55"/>
      <c r="O506" s="55"/>
      <c r="P506" s="55"/>
      <c r="Q506" s="55"/>
      <c r="R506" s="55"/>
      <c r="S506" s="55"/>
      <c r="T506" s="55"/>
      <c r="U506" s="55"/>
    </row>
    <row r="507" spans="1:21" ht="18.75" hidden="1">
      <c r="A507" s="238"/>
      <c r="B507" s="188"/>
      <c r="C507" s="188"/>
      <c r="D507" s="188"/>
      <c r="E507" s="377" t="s">
        <v>204</v>
      </c>
      <c r="F507" s="50"/>
      <c r="G507" s="52"/>
      <c r="H507" s="161" t="s">
        <v>35</v>
      </c>
      <c r="I507" s="212">
        <f ca="1">IFERROR(__xludf.DUMMYFUNCTION("IMPORTRANGE(""https://docs.google.com/spreadsheets/d/1eHaY18a8A9IcSdp1K8H6x8fbOy06t2VsZHhMHf-1x7Y/edit?usp=sharing"",""แผน!HB51"")"),0)</f>
        <v>0</v>
      </c>
      <c r="J507" s="467">
        <v>0</v>
      </c>
      <c r="K507" s="255">
        <f ca="1">IF(I507&gt;0,J507*100/I507,0)</f>
        <v>0</v>
      </c>
      <c r="L507" s="62"/>
      <c r="M507" s="55"/>
      <c r="N507" s="55"/>
      <c r="O507" s="55"/>
      <c r="P507" s="55"/>
      <c r="Q507" s="55"/>
      <c r="R507" s="55"/>
      <c r="S507" s="55"/>
      <c r="T507" s="55"/>
      <c r="U507" s="55"/>
    </row>
    <row r="508" spans="1:21" ht="18.75" hidden="1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255">
        <f>IF(I508&gt;0,J508*100/I508,0)</f>
        <v>0</v>
      </c>
      <c r="L508" s="62"/>
      <c r="M508" s="55"/>
      <c r="N508" s="55"/>
      <c r="O508" s="55"/>
      <c r="P508" s="55"/>
      <c r="Q508" s="55"/>
      <c r="R508" s="55"/>
      <c r="S508" s="55"/>
      <c r="T508" s="55"/>
      <c r="U508" s="55"/>
    </row>
    <row r="509" spans="1:21" ht="19.5" hidden="1">
      <c r="A509" s="374"/>
      <c r="B509" s="5"/>
      <c r="C509" s="5"/>
      <c r="D509" s="378" t="s">
        <v>50</v>
      </c>
      <c r="E509" s="4"/>
      <c r="F509" s="4"/>
      <c r="G509" s="65"/>
      <c r="H509" s="376" t="s">
        <v>35</v>
      </c>
      <c r="I509" s="216">
        <f ca="1">IFERROR(__xludf.DUMMYFUNCTION("IMPORTRANGE(""https://docs.google.com/spreadsheets/d/1eHaY18a8A9IcSdp1K8H6x8fbOy06t2VsZHhMHf-1x7Y/edit?usp=sharing"",""แผน!HC51"")"),0)</f>
        <v>0</v>
      </c>
      <c r="J509" s="538">
        <v>0</v>
      </c>
      <c r="K509" s="506">
        <f ca="1">IF(I509&gt;0,J509*100/I509,0)</f>
        <v>0</v>
      </c>
      <c r="L509" s="68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 hidden="1">
      <c r="A510" s="601" t="s">
        <v>206</v>
      </c>
      <c r="B510" s="381"/>
      <c r="C510" s="381"/>
      <c r="D510" s="381"/>
      <c r="E510" s="382"/>
      <c r="F510" s="382"/>
      <c r="G510" s="382"/>
      <c r="H510" s="382"/>
      <c r="I510" s="383"/>
      <c r="J510" s="383"/>
      <c r="K510" s="384"/>
      <c r="L510" s="600"/>
      <c r="M510" s="386"/>
      <c r="N510" s="386"/>
      <c r="O510" s="386"/>
      <c r="P510" s="386"/>
      <c r="Q510" s="386"/>
      <c r="R510" s="386"/>
      <c r="S510" s="386"/>
      <c r="T510" s="386"/>
      <c r="U510" s="386"/>
    </row>
    <row r="511" spans="1:21" ht="19.5" hidden="1">
      <c r="A511" s="599" t="s">
        <v>207</v>
      </c>
      <c r="B511" s="388"/>
      <c r="C511" s="388"/>
      <c r="D511" s="389"/>
      <c r="E511" s="388"/>
      <c r="F511" s="388"/>
      <c r="G511" s="388"/>
      <c r="H511" s="390"/>
      <c r="I511" s="391"/>
      <c r="J511" s="391"/>
      <c r="K511" s="392"/>
      <c r="L511" s="598"/>
      <c r="M511" s="394"/>
      <c r="N511" s="394"/>
      <c r="O511" s="394"/>
      <c r="P511" s="394"/>
      <c r="Q511" s="394"/>
      <c r="R511" s="394"/>
      <c r="S511" s="394"/>
      <c r="T511" s="394"/>
      <c r="U511" s="394"/>
    </row>
    <row r="512" spans="1:21" ht="19.5" hidden="1">
      <c r="A512" s="395"/>
      <c r="B512" s="597" t="s">
        <v>208</v>
      </c>
      <c r="C512" s="397"/>
      <c r="D512" s="398"/>
      <c r="E512" s="398"/>
      <c r="F512" s="398"/>
      <c r="G512" s="399"/>
      <c r="H512" s="596" t="s">
        <v>61</v>
      </c>
      <c r="I512" s="595">
        <f>I524</f>
        <v>0</v>
      </c>
      <c r="J512" s="595">
        <f>J524</f>
        <v>0</v>
      </c>
      <c r="K512" s="594">
        <f>IF(I512&gt;0,J512*100/I512,0)</f>
        <v>0</v>
      </c>
      <c r="L512" s="404"/>
      <c r="M512" s="403"/>
      <c r="N512" s="403"/>
      <c r="O512" s="403"/>
      <c r="P512" s="403"/>
      <c r="Q512" s="403"/>
      <c r="R512" s="403"/>
      <c r="S512" s="403"/>
      <c r="T512" s="403"/>
      <c r="U512" s="403"/>
    </row>
    <row r="513" spans="1:21" ht="19.5" hidden="1">
      <c r="A513" s="155"/>
      <c r="B513" s="50"/>
      <c r="C513" s="591" t="s">
        <v>18</v>
      </c>
      <c r="D513" s="562" t="s">
        <v>19</v>
      </c>
      <c r="E513" s="50"/>
      <c r="F513" s="50"/>
      <c r="G513" s="52"/>
      <c r="H513" s="593" t="s">
        <v>14</v>
      </c>
      <c r="I513" s="54"/>
      <c r="J513" s="54"/>
      <c r="K513" s="55"/>
      <c r="L513" s="541">
        <f ca="1">L514+L515</f>
        <v>0</v>
      </c>
      <c r="M513" s="540">
        <f ca="1">M514+M515</f>
        <v>0</v>
      </c>
      <c r="N513" s="540">
        <f ca="1">N514+N515</f>
        <v>0</v>
      </c>
      <c r="O513" s="540">
        <f ca="1">IF(L513&gt;0,N513*100/L513,0)</f>
        <v>0</v>
      </c>
      <c r="P513" s="540">
        <f ca="1">IF(M513&gt;0,N513*100/M513,0)</f>
        <v>0</v>
      </c>
      <c r="Q513" s="540">
        <f>Q514+Q515</f>
        <v>0</v>
      </c>
      <c r="R513" s="540">
        <f>R514+R515</f>
        <v>0</v>
      </c>
      <c r="S513" s="540">
        <f>S514+S515</f>
        <v>0</v>
      </c>
      <c r="T513" s="540">
        <f>IF(Q513&gt;0,S513*100/Q513,0)</f>
        <v>0</v>
      </c>
      <c r="U513" s="540">
        <f>IF(R513&gt;0,S513*100/R513,0)</f>
        <v>0</v>
      </c>
    </row>
    <row r="514" spans="1:21" ht="18.75" hidden="1">
      <c r="A514" s="155"/>
      <c r="B514" s="50"/>
      <c r="C514" s="50"/>
      <c r="D514" s="50"/>
      <c r="E514" s="186" t="s">
        <v>20</v>
      </c>
      <c r="F514" s="50"/>
      <c r="G514" s="52"/>
      <c r="H514" s="187" t="s">
        <v>14</v>
      </c>
      <c r="I514" s="54"/>
      <c r="J514" s="54"/>
      <c r="K514" s="55"/>
      <c r="L514" s="103">
        <f>L517+L520</f>
        <v>0</v>
      </c>
      <c r="M514" s="102">
        <f>M517+M520</f>
        <v>0</v>
      </c>
      <c r="N514" s="102">
        <f>N517+N520</f>
        <v>0</v>
      </c>
      <c r="O514" s="102">
        <f>IF(L514&gt;0,N514*100/L514,0)</f>
        <v>0</v>
      </c>
      <c r="P514" s="102">
        <f>IF(M514&gt;0,N514*100/M514,0)</f>
        <v>0</v>
      </c>
      <c r="Q514" s="102">
        <f>Q517+Q520</f>
        <v>0</v>
      </c>
      <c r="R514" s="102">
        <f>R517+R520</f>
        <v>0</v>
      </c>
      <c r="S514" s="102">
        <f>S517+S520</f>
        <v>0</v>
      </c>
      <c r="T514" s="102">
        <f>IF(Q514&gt;0,S514*100/Q514,0)</f>
        <v>0</v>
      </c>
      <c r="U514" s="102">
        <f>IF(R514&gt;0,S514*100/R514,0)</f>
        <v>0</v>
      </c>
    </row>
    <row r="515" spans="1:21" ht="18.75" hidden="1">
      <c r="A515" s="155"/>
      <c r="B515" s="50"/>
      <c r="C515" s="50"/>
      <c r="D515" s="50"/>
      <c r="E515" s="186" t="s">
        <v>21</v>
      </c>
      <c r="F515" s="50"/>
      <c r="G515" s="52"/>
      <c r="H515" s="187" t="s">
        <v>14</v>
      </c>
      <c r="I515" s="54"/>
      <c r="J515" s="54"/>
      <c r="K515" s="55"/>
      <c r="L515" s="256">
        <f ca="1">L518+L521</f>
        <v>0</v>
      </c>
      <c r="M515" s="255">
        <f ca="1">M518+M521</f>
        <v>0</v>
      </c>
      <c r="N515" s="255">
        <f ca="1">N518+N521</f>
        <v>0</v>
      </c>
      <c r="O515" s="255">
        <f ca="1">IF(L515&gt;0,N515*100/L515,0)</f>
        <v>0</v>
      </c>
      <c r="P515" s="255">
        <f ca="1">IF(M515&gt;0,N515*100/M515,0)</f>
        <v>0</v>
      </c>
      <c r="Q515" s="255">
        <f>Q518+Q521</f>
        <v>0</v>
      </c>
      <c r="R515" s="255">
        <f>R518+R521</f>
        <v>0</v>
      </c>
      <c r="S515" s="255">
        <f>S518+S521</f>
        <v>0</v>
      </c>
      <c r="T515" s="255">
        <f>IF(Q515&gt;0,S515*100/Q515,0)</f>
        <v>0</v>
      </c>
      <c r="U515" s="255">
        <f>IF(R515&gt;0,S515*100/R515,0)</f>
        <v>0</v>
      </c>
    </row>
    <row r="516" spans="1:21" ht="18.75" hidden="1">
      <c r="A516" s="155"/>
      <c r="B516" s="50"/>
      <c r="C516" s="50"/>
      <c r="D516" s="592" t="s">
        <v>22</v>
      </c>
      <c r="E516" s="50"/>
      <c r="F516" s="50"/>
      <c r="G516" s="52"/>
      <c r="H516" s="189" t="s">
        <v>14</v>
      </c>
      <c r="I516" s="163"/>
      <c r="J516" s="163"/>
      <c r="K516" s="164"/>
      <c r="L516" s="256">
        <f ca="1">L517+L518</f>
        <v>0</v>
      </c>
      <c r="M516" s="255">
        <f ca="1">M517+M518</f>
        <v>0</v>
      </c>
      <c r="N516" s="255">
        <f ca="1">N517+N518</f>
        <v>0</v>
      </c>
      <c r="O516" s="255">
        <f ca="1">IF(L516&gt;0,N516*100/L516,0)</f>
        <v>0</v>
      </c>
      <c r="P516" s="255">
        <f ca="1">IF(M516&gt;0,N516*100/M516,0)</f>
        <v>0</v>
      </c>
      <c r="Q516" s="255">
        <f>Q517+Q518</f>
        <v>0</v>
      </c>
      <c r="R516" s="255">
        <f>R517+R518</f>
        <v>0</v>
      </c>
      <c r="S516" s="255">
        <f>S517+S518</f>
        <v>0</v>
      </c>
      <c r="T516" s="255">
        <f>IF(Q516&gt;0,S516*100/Q516,0)</f>
        <v>0</v>
      </c>
      <c r="U516" s="255">
        <f>IF(R516&gt;0,S516*100/R516,0)</f>
        <v>0</v>
      </c>
    </row>
    <row r="517" spans="1:21" ht="18.75" hidden="1">
      <c r="A517" s="155"/>
      <c r="B517" s="50"/>
      <c r="C517" s="50"/>
      <c r="D517" s="50"/>
      <c r="E517" s="186" t="s">
        <v>36</v>
      </c>
      <c r="F517" s="50"/>
      <c r="G517" s="52"/>
      <c r="H517" s="189" t="s">
        <v>14</v>
      </c>
      <c r="I517" s="163"/>
      <c r="J517" s="163"/>
      <c r="K517" s="164"/>
      <c r="L517" s="103">
        <v>0</v>
      </c>
      <c r="M517" s="102">
        <v>0</v>
      </c>
      <c r="N517" s="102">
        <v>0</v>
      </c>
      <c r="O517" s="102">
        <f>IF(L517&gt;0,N517*100/L517,0)</f>
        <v>0</v>
      </c>
      <c r="P517" s="102">
        <f>IF(M517&gt;0,N517*100/M517,0)</f>
        <v>0</v>
      </c>
      <c r="Q517" s="102">
        <v>0</v>
      </c>
      <c r="R517" s="102">
        <v>0</v>
      </c>
      <c r="S517" s="102">
        <v>0</v>
      </c>
      <c r="T517" s="102">
        <f>IF(Q517&gt;0,S517*100/Q517,0)</f>
        <v>0</v>
      </c>
      <c r="U517" s="102">
        <f>IF(R517&gt;0,S517*100/R517,0)</f>
        <v>0</v>
      </c>
    </row>
    <row r="518" spans="1:21" ht="18.75" hidden="1">
      <c r="A518" s="155"/>
      <c r="B518" s="50"/>
      <c r="C518" s="50"/>
      <c r="D518" s="50"/>
      <c r="E518" s="186" t="s">
        <v>37</v>
      </c>
      <c r="F518" s="50"/>
      <c r="G518" s="52"/>
      <c r="H518" s="189" t="s">
        <v>14</v>
      </c>
      <c r="I518" s="163"/>
      <c r="J518" s="163"/>
      <c r="K518" s="164"/>
      <c r="L518" s="256">
        <f ca="1">IFERROR(__xludf.DUMMYFUNCTION("IMPORTRANGE(""https://docs.google.com/spreadsheets/d/1-uDff_7J0KD5mKrp0Vvzr7lt3OU09vwQwhkpOPPYv2Y/edit?usp=sharing"",""งบพรบ!FM51"")"),0)</f>
        <v>0</v>
      </c>
      <c r="M518" s="255">
        <f ca="1">IFERROR(__xludf.DUMMYFUNCTION("IMPORTRANGE(""https://docs.google.com/spreadsheets/d/1-uDff_7J0KD5mKrp0Vvzr7lt3OU09vwQwhkpOPPYv2Y/edit?usp=sharing"",""งบพรบ!FR51"")"),0)</f>
        <v>0</v>
      </c>
      <c r="N518" s="255">
        <f ca="1">IFERROR(__xludf.DUMMYFUNCTION("IMPORTRANGE(""https://docs.google.com/spreadsheets/d/1-uDff_7J0KD5mKrp0Vvzr7lt3OU09vwQwhkpOPPYv2Y/edit?usp=sharing"",""งบพรบ!FT51"")"),0)</f>
        <v>0</v>
      </c>
      <c r="O518" s="255">
        <f ca="1">IF(L518&gt;0,N518*100/L518,0)</f>
        <v>0</v>
      </c>
      <c r="P518" s="255">
        <f ca="1">IF(M518&gt;0,N518*100/M518,0)</f>
        <v>0</v>
      </c>
      <c r="Q518" s="255">
        <v>0</v>
      </c>
      <c r="R518" s="255">
        <v>0</v>
      </c>
      <c r="S518" s="255">
        <v>0</v>
      </c>
      <c r="T518" s="255">
        <f>IF(Q518&gt;0,S518*100/Q518,0)</f>
        <v>0</v>
      </c>
      <c r="U518" s="255">
        <f>IF(R518&gt;0,S518*100/R518,0)</f>
        <v>0</v>
      </c>
    </row>
    <row r="519" spans="1:21" ht="18.75" hidden="1">
      <c r="A519" s="155"/>
      <c r="B519" s="50"/>
      <c r="C519" s="50"/>
      <c r="D519" s="592" t="s">
        <v>23</v>
      </c>
      <c r="E519" s="50"/>
      <c r="F519" s="50"/>
      <c r="G519" s="52"/>
      <c r="H519" s="421" t="s">
        <v>14</v>
      </c>
      <c r="I519" s="163"/>
      <c r="J519" s="163"/>
      <c r="K519" s="164"/>
      <c r="L519" s="256">
        <f ca="1">L520+L521</f>
        <v>0</v>
      </c>
      <c r="M519" s="255">
        <f ca="1">M520+M521</f>
        <v>0</v>
      </c>
      <c r="N519" s="255">
        <f ca="1">N520+N521</f>
        <v>0</v>
      </c>
      <c r="O519" s="255">
        <f ca="1">IF(L519&gt;0,N519*100/L519,0)</f>
        <v>0</v>
      </c>
      <c r="P519" s="255">
        <f ca="1">IF(M519&gt;0,N519*100/M519,0)</f>
        <v>0</v>
      </c>
      <c r="Q519" s="255">
        <f>Q520+Q521</f>
        <v>0</v>
      </c>
      <c r="R519" s="255">
        <f>R520+R521</f>
        <v>0</v>
      </c>
      <c r="S519" s="255">
        <f>S520+S521</f>
        <v>0</v>
      </c>
      <c r="T519" s="255">
        <f>IF(Q519&gt;0,S519*100/Q519,0)</f>
        <v>0</v>
      </c>
      <c r="U519" s="255">
        <f>IF(R519&gt;0,S519*100/R519,0)</f>
        <v>0</v>
      </c>
    </row>
    <row r="520" spans="1:21" ht="18.75" hidden="1">
      <c r="A520" s="155"/>
      <c r="B520" s="50"/>
      <c r="C520" s="50"/>
      <c r="D520" s="50"/>
      <c r="E520" s="186" t="s">
        <v>20</v>
      </c>
      <c r="F520" s="50"/>
      <c r="G520" s="52"/>
      <c r="H520" s="189" t="s">
        <v>14</v>
      </c>
      <c r="I520" s="163"/>
      <c r="J520" s="163"/>
      <c r="K520" s="164"/>
      <c r="L520" s="103">
        <v>0</v>
      </c>
      <c r="M520" s="102">
        <v>0</v>
      </c>
      <c r="N520" s="102">
        <v>0</v>
      </c>
      <c r="O520" s="102">
        <f>IF(L520&gt;0,N520*100/L520,0)</f>
        <v>0</v>
      </c>
      <c r="P520" s="102">
        <f>IF(M520&gt;0,N520*100/M520,0)</f>
        <v>0</v>
      </c>
      <c r="Q520" s="102">
        <v>0</v>
      </c>
      <c r="R520" s="102">
        <v>0</v>
      </c>
      <c r="S520" s="102">
        <v>0</v>
      </c>
      <c r="T520" s="102">
        <f>IF(Q520&gt;0,S520*100/Q520,0)</f>
        <v>0</v>
      </c>
      <c r="U520" s="102">
        <f>IF(R520&gt;0,S520*100/R520,0)</f>
        <v>0</v>
      </c>
    </row>
    <row r="521" spans="1:21" ht="18.75" hidden="1">
      <c r="A521" s="155"/>
      <c r="B521" s="50"/>
      <c r="C521" s="50"/>
      <c r="D521" s="50"/>
      <c r="E521" s="186" t="s">
        <v>21</v>
      </c>
      <c r="F521" s="50"/>
      <c r="G521" s="52"/>
      <c r="H521" s="421" t="s">
        <v>14</v>
      </c>
      <c r="I521" s="163"/>
      <c r="J521" s="163"/>
      <c r="K521" s="164"/>
      <c r="L521" s="256">
        <f ca="1">IFERROR(__xludf.DUMMYFUNCTION("IMPORTRANGE(""https://docs.google.com/spreadsheets/d/1-uDff_7J0KD5mKrp0Vvzr7lt3OU09vwQwhkpOPPYv2Y/edit?usp=sharing"",""งบพรบ!FP51"")"),0)</f>
        <v>0</v>
      </c>
      <c r="M521" s="255">
        <f ca="1">IFERROR(__xludf.DUMMYFUNCTION("IMPORTRANGE(""https://docs.google.com/spreadsheets/d/1-uDff_7J0KD5mKrp0Vvzr7lt3OU09vwQwhkpOPPYv2Y/edit?usp=sharing"",""งบพรบ!FS51"")"),0)</f>
        <v>0</v>
      </c>
      <c r="N521" s="255">
        <f ca="1">IFERROR(__xludf.DUMMYFUNCTION("IMPORTRANGE(""https://docs.google.com/spreadsheets/d/1-uDff_7J0KD5mKrp0Vvzr7lt3OU09vwQwhkpOPPYv2Y/edit?usp=sharing"",""งบพรบ!FU51"")"),0)</f>
        <v>0</v>
      </c>
      <c r="O521" s="255">
        <f ca="1">IF(L521&gt;0,N521*100/L521,0)</f>
        <v>0</v>
      </c>
      <c r="P521" s="255">
        <f ca="1">IF(M521&gt;0,N521*100/M521,0)</f>
        <v>0</v>
      </c>
      <c r="Q521" s="255">
        <v>0</v>
      </c>
      <c r="R521" s="255">
        <v>0</v>
      </c>
      <c r="S521" s="255">
        <v>0</v>
      </c>
      <c r="T521" s="255">
        <f>IF(Q521&gt;0,S521*100/Q521,0)</f>
        <v>0</v>
      </c>
      <c r="U521" s="255">
        <f>IF(R521&gt;0,S521*100/R521,0)</f>
        <v>0</v>
      </c>
    </row>
    <row r="522" spans="1:21" ht="19.5" hidden="1">
      <c r="A522" s="166"/>
      <c r="B522" s="167"/>
      <c r="C522" s="591" t="s">
        <v>18</v>
      </c>
      <c r="D522" s="574" t="s">
        <v>38</v>
      </c>
      <c r="E522" s="169"/>
      <c r="F522" s="169"/>
      <c r="G522" s="170"/>
      <c r="H522" s="171"/>
      <c r="I522" s="163"/>
      <c r="J522" s="54"/>
      <c r="K522" s="55"/>
      <c r="L522" s="62"/>
      <c r="M522" s="55"/>
      <c r="N522" s="55"/>
      <c r="O522" s="164"/>
      <c r="P522" s="164"/>
      <c r="Q522" s="55"/>
      <c r="R522" s="55"/>
      <c r="S522" s="55"/>
      <c r="T522" s="164"/>
      <c r="U522" s="164"/>
    </row>
    <row r="523" spans="1:21" ht="18.75" hidden="1">
      <c r="A523" s="238"/>
      <c r="B523" s="50"/>
      <c r="C523" s="188"/>
      <c r="D523" s="207" t="s">
        <v>209</v>
      </c>
      <c r="E523" s="167"/>
      <c r="F523" s="50"/>
      <c r="G523" s="52"/>
      <c r="H523" s="590" t="s">
        <v>11</v>
      </c>
      <c r="I523" s="483">
        <v>0</v>
      </c>
      <c r="J523" s="589">
        <v>0</v>
      </c>
      <c r="K523" s="102">
        <f>IF(I523&gt;0,J523*100/I523,0)</f>
        <v>0</v>
      </c>
      <c r="L523" s="62"/>
      <c r="M523" s="55"/>
      <c r="N523" s="55"/>
      <c r="O523" s="55"/>
      <c r="P523" s="55"/>
      <c r="Q523" s="55"/>
      <c r="R523" s="55"/>
      <c r="S523" s="55"/>
      <c r="T523" s="55"/>
      <c r="U523" s="55"/>
    </row>
    <row r="524" spans="1:21" ht="18.75" hidden="1">
      <c r="A524" s="374"/>
      <c r="B524" s="4"/>
      <c r="C524" s="5"/>
      <c r="D524" s="588" t="s">
        <v>210</v>
      </c>
      <c r="E524" s="282"/>
      <c r="F524" s="4"/>
      <c r="G524" s="65"/>
      <c r="H524" s="587" t="s">
        <v>61</v>
      </c>
      <c r="I524" s="486">
        <v>0</v>
      </c>
      <c r="J524" s="586">
        <v>0</v>
      </c>
      <c r="K524" s="585">
        <f>IF(I524&gt;0,J524*100/I524,0)</f>
        <v>0</v>
      </c>
      <c r="L524" s="62"/>
      <c r="M524" s="55"/>
      <c r="N524" s="55"/>
      <c r="O524" s="55"/>
      <c r="P524" s="55"/>
      <c r="Q524" s="55"/>
      <c r="R524" s="55"/>
      <c r="S524" s="55"/>
      <c r="T524" s="55"/>
      <c r="U524" s="55"/>
    </row>
    <row r="525" spans="1:21" ht="12.75" hidden="1">
      <c r="A525" s="584"/>
      <c r="B525" s="583"/>
      <c r="C525" s="583"/>
      <c r="D525" s="582"/>
      <c r="E525" s="582"/>
      <c r="F525" s="582"/>
      <c r="G525" s="581"/>
      <c r="H525" s="580"/>
      <c r="I525" s="579"/>
      <c r="J525" s="579"/>
      <c r="K525" s="578"/>
      <c r="L525" s="265"/>
      <c r="M525" s="264"/>
      <c r="N525" s="264"/>
      <c r="O525" s="264"/>
      <c r="P525" s="264"/>
      <c r="Q525" s="264"/>
      <c r="R525" s="264"/>
      <c r="S525" s="264"/>
      <c r="T525" s="264"/>
      <c r="U525" s="264"/>
    </row>
    <row r="526" spans="1:21" ht="12.75" hidden="1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5"/>
      <c r="M526" s="264"/>
      <c r="N526" s="264"/>
      <c r="O526" s="264"/>
      <c r="P526" s="264"/>
      <c r="Q526" s="264"/>
      <c r="R526" s="264"/>
      <c r="S526" s="264"/>
      <c r="T526" s="264"/>
      <c r="U526" s="264"/>
    </row>
    <row r="527" spans="1:21" ht="12.75" hidden="1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5"/>
      <c r="M527" s="264"/>
      <c r="N527" s="264"/>
      <c r="O527" s="264"/>
      <c r="P527" s="264"/>
      <c r="Q527" s="264"/>
      <c r="R527" s="264"/>
      <c r="S527" s="264"/>
      <c r="T527" s="264"/>
      <c r="U527" s="264"/>
    </row>
    <row r="528" spans="1:21" ht="12.75" hidden="1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5"/>
      <c r="M528" s="264"/>
      <c r="N528" s="264"/>
      <c r="O528" s="264"/>
      <c r="P528" s="264"/>
      <c r="Q528" s="264"/>
      <c r="R528" s="264"/>
      <c r="S528" s="264"/>
      <c r="T528" s="264"/>
      <c r="U528" s="264"/>
    </row>
    <row r="529" spans="1:21" ht="12.75" hidden="1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5"/>
      <c r="M529" s="264"/>
      <c r="N529" s="264"/>
      <c r="O529" s="264"/>
      <c r="P529" s="264"/>
      <c r="Q529" s="264"/>
      <c r="R529" s="264"/>
      <c r="S529" s="264"/>
      <c r="T529" s="264"/>
      <c r="U529" s="264"/>
    </row>
    <row r="530" spans="1:21" ht="12.75" hidden="1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5"/>
      <c r="M530" s="264"/>
      <c r="N530" s="264"/>
      <c r="O530" s="264"/>
      <c r="P530" s="264"/>
      <c r="Q530" s="264"/>
      <c r="R530" s="264"/>
      <c r="S530" s="264"/>
      <c r="T530" s="264"/>
      <c r="U530" s="264"/>
    </row>
    <row r="531" spans="1:21" ht="12.75" hidden="1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5"/>
      <c r="M531" s="264"/>
      <c r="N531" s="264"/>
      <c r="O531" s="264"/>
      <c r="P531" s="264"/>
      <c r="Q531" s="264"/>
      <c r="R531" s="264"/>
      <c r="S531" s="264"/>
      <c r="T531" s="264"/>
      <c r="U531" s="264"/>
    </row>
    <row r="532" spans="1:21" ht="12.75" hidden="1">
      <c r="A532" s="407"/>
      <c r="B532" s="360"/>
      <c r="C532" s="360"/>
      <c r="D532" s="408"/>
      <c r="E532" s="408"/>
      <c r="F532" s="408"/>
      <c r="G532" s="409"/>
      <c r="H532" s="361"/>
      <c r="I532" s="362"/>
      <c r="J532" s="362"/>
      <c r="K532" s="363"/>
      <c r="L532" s="364"/>
      <c r="M532" s="363"/>
      <c r="N532" s="363"/>
      <c r="O532" s="363"/>
      <c r="P532" s="363"/>
      <c r="Q532" s="363"/>
      <c r="R532" s="363"/>
      <c r="S532" s="363"/>
      <c r="T532" s="363"/>
      <c r="U532" s="363"/>
    </row>
    <row r="533" spans="1:21" ht="19.5" hidden="1">
      <c r="A533" s="395"/>
      <c r="B533" s="396" t="s">
        <v>211</v>
      </c>
      <c r="C533" s="397"/>
      <c r="D533" s="398"/>
      <c r="E533" s="398"/>
      <c r="F533" s="398"/>
      <c r="G533" s="399"/>
      <c r="H533" s="410" t="s">
        <v>61</v>
      </c>
      <c r="I533" s="577">
        <f>I545</f>
        <v>0</v>
      </c>
      <c r="J533" s="577">
        <f>J545</f>
        <v>0</v>
      </c>
      <c r="K533" s="576">
        <f>IF(I533&gt;0,J533*100/I533,0)</f>
        <v>0</v>
      </c>
      <c r="L533" s="404"/>
      <c r="M533" s="403"/>
      <c r="N533" s="403"/>
      <c r="O533" s="403"/>
      <c r="P533" s="403"/>
      <c r="Q533" s="403"/>
      <c r="R533" s="403"/>
      <c r="S533" s="403"/>
      <c r="T533" s="403"/>
      <c r="U533" s="403"/>
    </row>
    <row r="534" spans="1:21" ht="19.5" hidden="1">
      <c r="A534" s="155"/>
      <c r="B534" s="50"/>
      <c r="C534" s="156" t="s">
        <v>18</v>
      </c>
      <c r="D534" s="575" t="s">
        <v>19</v>
      </c>
      <c r="E534" s="50"/>
      <c r="F534" s="50"/>
      <c r="G534" s="52"/>
      <c r="H534" s="158" t="s">
        <v>14</v>
      </c>
      <c r="I534" s="54"/>
      <c r="J534" s="54"/>
      <c r="K534" s="55"/>
      <c r="L534" s="541">
        <f>L535+L536</f>
        <v>0</v>
      </c>
      <c r="M534" s="540">
        <f>M535+M536</f>
        <v>0</v>
      </c>
      <c r="N534" s="540">
        <f>N535+N536</f>
        <v>0</v>
      </c>
      <c r="O534" s="540">
        <f>IF(L534&gt;0,N534*100/L534,0)</f>
        <v>0</v>
      </c>
      <c r="P534" s="540">
        <f>IF(M534&gt;0,N534*100/M534,0)</f>
        <v>0</v>
      </c>
      <c r="Q534" s="540">
        <f>Q535+Q536</f>
        <v>0</v>
      </c>
      <c r="R534" s="540">
        <f>R535+R536</f>
        <v>0</v>
      </c>
      <c r="S534" s="540">
        <f>S535+S536</f>
        <v>0</v>
      </c>
      <c r="T534" s="540">
        <f>IF(Q534&gt;0,S534*100/Q534,0)</f>
        <v>0</v>
      </c>
      <c r="U534" s="540">
        <f>IF(R534&gt;0,S534*100/R534,0)</f>
        <v>0</v>
      </c>
    </row>
    <row r="535" spans="1:21" ht="18.75" hidden="1">
      <c r="A535" s="155"/>
      <c r="B535" s="188"/>
      <c r="C535" s="50"/>
      <c r="D535" s="50"/>
      <c r="E535" s="186" t="s">
        <v>20</v>
      </c>
      <c r="F535" s="50"/>
      <c r="G535" s="52"/>
      <c r="H535" s="187" t="s">
        <v>14</v>
      </c>
      <c r="I535" s="54"/>
      <c r="J535" s="54"/>
      <c r="K535" s="55"/>
      <c r="L535" s="103">
        <f>L538+L541</f>
        <v>0</v>
      </c>
      <c r="M535" s="102">
        <f>M538+M541</f>
        <v>0</v>
      </c>
      <c r="N535" s="102">
        <f>N538+N541</f>
        <v>0</v>
      </c>
      <c r="O535" s="102">
        <f>IF(L535&gt;0,N535*100/L535,0)</f>
        <v>0</v>
      </c>
      <c r="P535" s="102">
        <f>IF(M535&gt;0,N535*100/M535,0)</f>
        <v>0</v>
      </c>
      <c r="Q535" s="102">
        <f>Q538+Q541</f>
        <v>0</v>
      </c>
      <c r="R535" s="102">
        <f>R538+R541</f>
        <v>0</v>
      </c>
      <c r="S535" s="102">
        <f>S538+S541</f>
        <v>0</v>
      </c>
      <c r="T535" s="102">
        <f>IF(Q535&gt;0,S535*100/Q535,0)</f>
        <v>0</v>
      </c>
      <c r="U535" s="102">
        <f>IF(R535&gt;0,S535*100/R535,0)</f>
        <v>0</v>
      </c>
    </row>
    <row r="536" spans="1:21" ht="18.75" hidden="1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256">
        <f>L539+L542</f>
        <v>0</v>
      </c>
      <c r="M536" s="255">
        <f>M539+M542</f>
        <v>0</v>
      </c>
      <c r="N536" s="255">
        <f>N539+N542</f>
        <v>0</v>
      </c>
      <c r="O536" s="255">
        <f>IF(L536&gt;0,N536*100/L536,0)</f>
        <v>0</v>
      </c>
      <c r="P536" s="255">
        <f>IF(M536&gt;0,N536*100/M536,0)</f>
        <v>0</v>
      </c>
      <c r="Q536" s="255">
        <f>Q539+Q542</f>
        <v>0</v>
      </c>
      <c r="R536" s="255">
        <f>R539+R542</f>
        <v>0</v>
      </c>
      <c r="S536" s="255">
        <f>S539+S542</f>
        <v>0</v>
      </c>
      <c r="T536" s="255">
        <f>IF(Q536&gt;0,S536*100/Q536,0)</f>
        <v>0</v>
      </c>
      <c r="U536" s="255">
        <f>IF(R536&gt;0,S536*100/R536,0)</f>
        <v>0</v>
      </c>
    </row>
    <row r="537" spans="1:21" ht="18.75" hidden="1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256">
        <f>L538+L539</f>
        <v>0</v>
      </c>
      <c r="M537" s="255">
        <f>M538+M539</f>
        <v>0</v>
      </c>
      <c r="N537" s="255">
        <f>N538+N539</f>
        <v>0</v>
      </c>
      <c r="O537" s="255">
        <f>IF(L537&gt;0,N537*100/L537,0)</f>
        <v>0</v>
      </c>
      <c r="P537" s="255">
        <f>IF(M537&gt;0,N537*100/M537,0)</f>
        <v>0</v>
      </c>
      <c r="Q537" s="255">
        <f>Q538+Q539</f>
        <v>0</v>
      </c>
      <c r="R537" s="255">
        <f>R538+R539</f>
        <v>0</v>
      </c>
      <c r="S537" s="255">
        <f>S538+S539</f>
        <v>0</v>
      </c>
      <c r="T537" s="255">
        <f>IF(Q537&gt;0,S537*100/Q537,0)</f>
        <v>0</v>
      </c>
      <c r="U537" s="255">
        <f>IF(R537&gt;0,S537*100/R537,0)</f>
        <v>0</v>
      </c>
    </row>
    <row r="538" spans="1:21" ht="18.75" hidden="1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103">
        <v>0</v>
      </c>
      <c r="M538" s="102">
        <v>0</v>
      </c>
      <c r="N538" s="102">
        <v>0</v>
      </c>
      <c r="O538" s="102">
        <f>IF(L538&gt;0,N538*100/L538,0)</f>
        <v>0</v>
      </c>
      <c r="P538" s="102">
        <f>IF(M538&gt;0,N538*100/M538,0)</f>
        <v>0</v>
      </c>
      <c r="Q538" s="102">
        <v>0</v>
      </c>
      <c r="R538" s="102">
        <v>0</v>
      </c>
      <c r="S538" s="102">
        <v>0</v>
      </c>
      <c r="T538" s="102">
        <f>IF(Q538&gt;0,S538*100/Q538,0)</f>
        <v>0</v>
      </c>
      <c r="U538" s="102">
        <f>IF(R538&gt;0,S538*100/R538,0)</f>
        <v>0</v>
      </c>
    </row>
    <row r="539" spans="1:21" ht="18.75" hidden="1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256">
        <v>0</v>
      </c>
      <c r="M539" s="255">
        <v>0</v>
      </c>
      <c r="N539" s="255">
        <v>0</v>
      </c>
      <c r="O539" s="255">
        <f>IF(L539&gt;0,N539*100/L539,0)</f>
        <v>0</v>
      </c>
      <c r="P539" s="255">
        <f>IF(M539&gt;0,N539*100/M539,0)</f>
        <v>0</v>
      </c>
      <c r="Q539" s="255">
        <v>0</v>
      </c>
      <c r="R539" s="255">
        <v>0</v>
      </c>
      <c r="S539" s="255">
        <v>0</v>
      </c>
      <c r="T539" s="255">
        <f>IF(Q539&gt;0,S539*100/Q539,0)</f>
        <v>0</v>
      </c>
      <c r="U539" s="255">
        <f>IF(R539&gt;0,S539*100/R539,0)</f>
        <v>0</v>
      </c>
    </row>
    <row r="540" spans="1:21" ht="18.75" hidden="1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256">
        <f>L541+L542</f>
        <v>0</v>
      </c>
      <c r="M540" s="255">
        <f>M541+M542</f>
        <v>0</v>
      </c>
      <c r="N540" s="255">
        <f>N541+N542</f>
        <v>0</v>
      </c>
      <c r="O540" s="255">
        <f>IF(L540&gt;0,N540*100/L540,0)</f>
        <v>0</v>
      </c>
      <c r="P540" s="255">
        <f>IF(M540&gt;0,N540*100/M540,0)</f>
        <v>0</v>
      </c>
      <c r="Q540" s="255">
        <f>Q541+Q542</f>
        <v>0</v>
      </c>
      <c r="R540" s="255">
        <f>R541+R542</f>
        <v>0</v>
      </c>
      <c r="S540" s="255">
        <f>S541+S542</f>
        <v>0</v>
      </c>
      <c r="T540" s="255">
        <f>IF(Q540&gt;0,S540*100/Q540,0)</f>
        <v>0</v>
      </c>
      <c r="U540" s="255">
        <f>IF(R540&gt;0,S540*100/R540,0)</f>
        <v>0</v>
      </c>
    </row>
    <row r="541" spans="1:21" ht="18.75" hidden="1">
      <c r="A541" s="155"/>
      <c r="B541" s="50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103">
        <v>0</v>
      </c>
      <c r="M541" s="102">
        <v>0</v>
      </c>
      <c r="N541" s="102">
        <v>0</v>
      </c>
      <c r="O541" s="102">
        <f>IF(L541&gt;0,N541*100/L541,0)</f>
        <v>0</v>
      </c>
      <c r="P541" s="102">
        <f>IF(M541&gt;0,N541*100/M541,0)</f>
        <v>0</v>
      </c>
      <c r="Q541" s="102">
        <v>0</v>
      </c>
      <c r="R541" s="102">
        <v>0</v>
      </c>
      <c r="S541" s="102">
        <v>0</v>
      </c>
      <c r="T541" s="102">
        <f>IF(Q541&gt;0,S541*100/Q541,0)</f>
        <v>0</v>
      </c>
      <c r="U541" s="102">
        <f>IF(R541&gt;0,S541*100/R541,0)</f>
        <v>0</v>
      </c>
    </row>
    <row r="542" spans="1:21" ht="18.75" hidden="1">
      <c r="A542" s="155"/>
      <c r="B542" s="50"/>
      <c r="C542" s="50"/>
      <c r="D542" s="50"/>
      <c r="E542" s="58" t="s">
        <v>21</v>
      </c>
      <c r="F542" s="50"/>
      <c r="G542" s="52"/>
      <c r="H542" s="165" t="s">
        <v>14</v>
      </c>
      <c r="I542" s="163"/>
      <c r="J542" s="163"/>
      <c r="K542" s="164"/>
      <c r="L542" s="256">
        <v>0</v>
      </c>
      <c r="M542" s="255">
        <v>0</v>
      </c>
      <c r="N542" s="255">
        <v>0</v>
      </c>
      <c r="O542" s="255">
        <f>IF(L542&gt;0,N542*100/L542,0)</f>
        <v>0</v>
      </c>
      <c r="P542" s="255">
        <f>IF(M542&gt;0,N542*100/M542,0)</f>
        <v>0</v>
      </c>
      <c r="Q542" s="255">
        <v>0</v>
      </c>
      <c r="R542" s="255">
        <v>0</v>
      </c>
      <c r="S542" s="255">
        <v>0</v>
      </c>
      <c r="T542" s="255">
        <f>IF(Q542&gt;0,S542*100/Q542,0)</f>
        <v>0</v>
      </c>
      <c r="U542" s="255">
        <f>IF(R542&gt;0,S542*100/R542,0)</f>
        <v>0</v>
      </c>
    </row>
    <row r="543" spans="1:21" ht="19.5" hidden="1">
      <c r="A543" s="166"/>
      <c r="B543" s="167"/>
      <c r="C543" s="411" t="s">
        <v>18</v>
      </c>
      <c r="D543" s="566" t="s">
        <v>38</v>
      </c>
      <c r="E543" s="169"/>
      <c r="F543" s="169"/>
      <c r="G543" s="170"/>
      <c r="H543" s="171"/>
      <c r="I543" s="163"/>
      <c r="J543" s="54"/>
      <c r="K543" s="55"/>
      <c r="L543" s="62"/>
      <c r="M543" s="55"/>
      <c r="N543" s="55"/>
      <c r="O543" s="164"/>
      <c r="P543" s="164"/>
      <c r="Q543" s="55"/>
      <c r="R543" s="55"/>
      <c r="S543" s="55"/>
      <c r="T543" s="164"/>
      <c r="U543" s="164"/>
    </row>
    <row r="544" spans="1:21" ht="12.75" hidden="1">
      <c r="A544" s="258"/>
      <c r="B544" s="260"/>
      <c r="C544" s="259"/>
      <c r="D544" s="260"/>
      <c r="E544" s="259"/>
      <c r="F544" s="260"/>
      <c r="G544" s="261"/>
      <c r="H544" s="261"/>
      <c r="I544" s="263"/>
      <c r="J544" s="263"/>
      <c r="K544" s="264"/>
      <c r="L544" s="265"/>
      <c r="M544" s="264"/>
      <c r="N544" s="264"/>
      <c r="O544" s="264"/>
      <c r="P544" s="264"/>
      <c r="Q544" s="264"/>
      <c r="R544" s="264"/>
      <c r="S544" s="264"/>
      <c r="T544" s="264"/>
      <c r="U544" s="264"/>
    </row>
    <row r="545" spans="1:21" ht="12.75" hidden="1">
      <c r="A545" s="258"/>
      <c r="B545" s="260"/>
      <c r="C545" s="259"/>
      <c r="D545" s="260"/>
      <c r="E545" s="259"/>
      <c r="F545" s="260"/>
      <c r="G545" s="261"/>
      <c r="H545" s="261"/>
      <c r="I545" s="263"/>
      <c r="J545" s="263"/>
      <c r="K545" s="264"/>
      <c r="L545" s="265"/>
      <c r="M545" s="264"/>
      <c r="N545" s="264"/>
      <c r="O545" s="264"/>
      <c r="P545" s="264"/>
      <c r="Q545" s="264"/>
      <c r="R545" s="264"/>
      <c r="S545" s="264"/>
      <c r="T545" s="264"/>
      <c r="U545" s="264"/>
    </row>
    <row r="546" spans="1:21" ht="12.75" hidden="1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5"/>
      <c r="M546" s="264"/>
      <c r="N546" s="264"/>
      <c r="O546" s="264"/>
      <c r="P546" s="264"/>
      <c r="Q546" s="264"/>
      <c r="R546" s="264"/>
      <c r="S546" s="264"/>
      <c r="T546" s="264"/>
      <c r="U546" s="264"/>
    </row>
    <row r="547" spans="1:21" ht="12.75" hidden="1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5"/>
      <c r="M547" s="264"/>
      <c r="N547" s="264"/>
      <c r="O547" s="264"/>
      <c r="P547" s="264"/>
      <c r="Q547" s="264"/>
      <c r="R547" s="264"/>
      <c r="S547" s="264"/>
      <c r="T547" s="264"/>
      <c r="U547" s="264"/>
    </row>
    <row r="548" spans="1:21" ht="12.75" hidden="1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5"/>
      <c r="M548" s="264"/>
      <c r="N548" s="264"/>
      <c r="O548" s="264"/>
      <c r="P548" s="264"/>
      <c r="Q548" s="264"/>
      <c r="R548" s="264"/>
      <c r="S548" s="264"/>
      <c r="T548" s="264"/>
      <c r="U548" s="264"/>
    </row>
    <row r="549" spans="1:21" ht="12.75" hidden="1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5"/>
      <c r="M549" s="264"/>
      <c r="N549" s="264"/>
      <c r="O549" s="264"/>
      <c r="P549" s="264"/>
      <c r="Q549" s="264"/>
      <c r="R549" s="264"/>
      <c r="S549" s="264"/>
      <c r="T549" s="264"/>
      <c r="U549" s="264"/>
    </row>
    <row r="550" spans="1:21" ht="12.75" hidden="1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5"/>
      <c r="M550" s="264"/>
      <c r="N550" s="264"/>
      <c r="O550" s="264"/>
      <c r="P550" s="264"/>
      <c r="Q550" s="264"/>
      <c r="R550" s="264"/>
      <c r="S550" s="264"/>
      <c r="T550" s="264"/>
      <c r="U550" s="264"/>
    </row>
    <row r="551" spans="1:21" ht="12.75" hidden="1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5"/>
      <c r="M551" s="264"/>
      <c r="N551" s="264"/>
      <c r="O551" s="264"/>
      <c r="P551" s="264"/>
      <c r="Q551" s="264"/>
      <c r="R551" s="264"/>
      <c r="S551" s="264"/>
      <c r="T551" s="264"/>
      <c r="U551" s="264"/>
    </row>
    <row r="552" spans="1:21" ht="12.75" hidden="1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5"/>
      <c r="M552" s="264"/>
      <c r="N552" s="264"/>
      <c r="O552" s="264"/>
      <c r="P552" s="264"/>
      <c r="Q552" s="264"/>
      <c r="R552" s="264"/>
      <c r="S552" s="264"/>
      <c r="T552" s="264"/>
      <c r="U552" s="264"/>
    </row>
    <row r="553" spans="1:21" ht="12.75" hidden="1">
      <c r="A553" s="407"/>
      <c r="B553" s="360"/>
      <c r="C553" s="360"/>
      <c r="D553" s="408"/>
      <c r="E553" s="408"/>
      <c r="F553" s="408"/>
      <c r="G553" s="409"/>
      <c r="H553" s="361"/>
      <c r="I553" s="362"/>
      <c r="J553" s="362"/>
      <c r="K553" s="363"/>
      <c r="L553" s="364"/>
      <c r="M553" s="363"/>
      <c r="N553" s="363"/>
      <c r="O553" s="363"/>
      <c r="P553" s="363"/>
      <c r="Q553" s="363"/>
      <c r="R553" s="363"/>
      <c r="S553" s="363"/>
      <c r="T553" s="363"/>
      <c r="U553" s="363"/>
    </row>
    <row r="554" spans="1:21" ht="19.5" hidden="1">
      <c r="A554" s="395"/>
      <c r="B554" s="396" t="s">
        <v>212</v>
      </c>
      <c r="C554" s="397"/>
      <c r="D554" s="398"/>
      <c r="E554" s="398"/>
      <c r="F554" s="398"/>
      <c r="G554" s="399"/>
      <c r="H554" s="410" t="s">
        <v>61</v>
      </c>
      <c r="I554" s="577">
        <f>I566</f>
        <v>0</v>
      </c>
      <c r="J554" s="577">
        <f>J566</f>
        <v>0</v>
      </c>
      <c r="K554" s="576">
        <f>IF(I554&gt;0,J554*100/I554,0)</f>
        <v>0</v>
      </c>
      <c r="L554" s="404"/>
      <c r="M554" s="403"/>
      <c r="N554" s="403"/>
      <c r="O554" s="403"/>
      <c r="P554" s="403"/>
      <c r="Q554" s="403"/>
      <c r="R554" s="403"/>
      <c r="S554" s="403"/>
      <c r="T554" s="403"/>
      <c r="U554" s="403"/>
    </row>
    <row r="555" spans="1:21" ht="19.5" hidden="1">
      <c r="A555" s="155"/>
      <c r="B555" s="50"/>
      <c r="C555" s="156" t="s">
        <v>18</v>
      </c>
      <c r="D555" s="575" t="s">
        <v>19</v>
      </c>
      <c r="E555" s="50"/>
      <c r="F555" s="50"/>
      <c r="G555" s="52"/>
      <c r="H555" s="158" t="s">
        <v>14</v>
      </c>
      <c r="I555" s="54"/>
      <c r="J555" s="54"/>
      <c r="K555" s="55"/>
      <c r="L555" s="541">
        <f>L556+L557</f>
        <v>0</v>
      </c>
      <c r="M555" s="540">
        <f>M556+M557</f>
        <v>0</v>
      </c>
      <c r="N555" s="540">
        <f>N556+N557</f>
        <v>0</v>
      </c>
      <c r="O555" s="540">
        <f>IF(L555&gt;0,N555*100/L555,0)</f>
        <v>0</v>
      </c>
      <c r="P555" s="540">
        <f>IF(M555&gt;0,N555*100/M555,0)</f>
        <v>0</v>
      </c>
      <c r="Q555" s="540">
        <f>Q556+Q557</f>
        <v>0</v>
      </c>
      <c r="R555" s="540">
        <f>R556+R557</f>
        <v>0</v>
      </c>
      <c r="S555" s="540">
        <f>S556+S557</f>
        <v>0</v>
      </c>
      <c r="T555" s="540">
        <f>IF(Q555&gt;0,S555*100/Q555,0)</f>
        <v>0</v>
      </c>
      <c r="U555" s="540">
        <f>IF(R555&gt;0,S555*100/R555,0)</f>
        <v>0</v>
      </c>
    </row>
    <row r="556" spans="1:21" ht="18.75" hidden="1">
      <c r="A556" s="155"/>
      <c r="B556" s="188"/>
      <c r="C556" s="50"/>
      <c r="D556" s="50"/>
      <c r="E556" s="186" t="s">
        <v>20</v>
      </c>
      <c r="F556" s="50"/>
      <c r="G556" s="52"/>
      <c r="H556" s="187" t="s">
        <v>14</v>
      </c>
      <c r="I556" s="54"/>
      <c r="J556" s="54"/>
      <c r="K556" s="55"/>
      <c r="L556" s="103">
        <f>L559+L562</f>
        <v>0</v>
      </c>
      <c r="M556" s="102">
        <f>M559+M562</f>
        <v>0</v>
      </c>
      <c r="N556" s="102">
        <f>N559+N562</f>
        <v>0</v>
      </c>
      <c r="O556" s="102">
        <f>IF(L556&gt;0,N556*100/L556,0)</f>
        <v>0</v>
      </c>
      <c r="P556" s="102">
        <f>IF(M556&gt;0,N556*100/M556,0)</f>
        <v>0</v>
      </c>
      <c r="Q556" s="102">
        <f>Q559+Q562</f>
        <v>0</v>
      </c>
      <c r="R556" s="102">
        <f>R559+R562</f>
        <v>0</v>
      </c>
      <c r="S556" s="102">
        <f>S559+S562</f>
        <v>0</v>
      </c>
      <c r="T556" s="102">
        <f>IF(Q556&gt;0,S556*100/Q556,0)</f>
        <v>0</v>
      </c>
      <c r="U556" s="102">
        <f>IF(R556&gt;0,S556*100/R556,0)</f>
        <v>0</v>
      </c>
    </row>
    <row r="557" spans="1:21" ht="18.75" hidden="1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256">
        <f>L560+L563</f>
        <v>0</v>
      </c>
      <c r="M557" s="255">
        <f>M560+M563</f>
        <v>0</v>
      </c>
      <c r="N557" s="255">
        <f>N560+N563</f>
        <v>0</v>
      </c>
      <c r="O557" s="255">
        <f>IF(L557&gt;0,N557*100/L557,0)</f>
        <v>0</v>
      </c>
      <c r="P557" s="255">
        <f>IF(M557&gt;0,N557*100/M557,0)</f>
        <v>0</v>
      </c>
      <c r="Q557" s="255">
        <f>Q560+Q563</f>
        <v>0</v>
      </c>
      <c r="R557" s="255">
        <f>R560+R563</f>
        <v>0</v>
      </c>
      <c r="S557" s="255">
        <f>S560+S563</f>
        <v>0</v>
      </c>
      <c r="T557" s="255">
        <f>IF(Q557&gt;0,S557*100/Q557,0)</f>
        <v>0</v>
      </c>
      <c r="U557" s="255">
        <f>IF(R557&gt;0,S557*100/R557,0)</f>
        <v>0</v>
      </c>
    </row>
    <row r="558" spans="1:21" ht="18.75" hidden="1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256">
        <f>L559+L560</f>
        <v>0</v>
      </c>
      <c r="M558" s="255">
        <f>M559+M560</f>
        <v>0</v>
      </c>
      <c r="N558" s="255">
        <f>N559+N560</f>
        <v>0</v>
      </c>
      <c r="O558" s="255">
        <f>IF(L558&gt;0,N558*100/L558,0)</f>
        <v>0</v>
      </c>
      <c r="P558" s="255">
        <f>IF(M558&gt;0,N558*100/M558,0)</f>
        <v>0</v>
      </c>
      <c r="Q558" s="255">
        <f>Q559+Q560</f>
        <v>0</v>
      </c>
      <c r="R558" s="255">
        <f>R559+R560</f>
        <v>0</v>
      </c>
      <c r="S558" s="255">
        <f>S559+S560</f>
        <v>0</v>
      </c>
      <c r="T558" s="255">
        <f>IF(Q558&gt;0,S558*100/Q558,0)</f>
        <v>0</v>
      </c>
      <c r="U558" s="255">
        <f>IF(R558&gt;0,S558*100/R558,0)</f>
        <v>0</v>
      </c>
    </row>
    <row r="559" spans="1:21" ht="18.75" hidden="1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103">
        <v>0</v>
      </c>
      <c r="M559" s="102">
        <v>0</v>
      </c>
      <c r="N559" s="102">
        <v>0</v>
      </c>
      <c r="O559" s="102">
        <f>IF(L559&gt;0,N559*100/L559,0)</f>
        <v>0</v>
      </c>
      <c r="P559" s="102">
        <f>IF(M559&gt;0,N559*100/M559,0)</f>
        <v>0</v>
      </c>
      <c r="Q559" s="102">
        <v>0</v>
      </c>
      <c r="R559" s="102">
        <v>0</v>
      </c>
      <c r="S559" s="102">
        <v>0</v>
      </c>
      <c r="T559" s="102">
        <f>IF(Q559&gt;0,S559*100/Q559,0)</f>
        <v>0</v>
      </c>
      <c r="U559" s="102">
        <f>IF(R559&gt;0,S559*100/R559,0)</f>
        <v>0</v>
      </c>
    </row>
    <row r="560" spans="1:21" ht="18.75" hidden="1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256">
        <v>0</v>
      </c>
      <c r="M560" s="255">
        <v>0</v>
      </c>
      <c r="N560" s="255">
        <v>0</v>
      </c>
      <c r="O560" s="255">
        <f>IF(L560&gt;0,N560*100/L560,0)</f>
        <v>0</v>
      </c>
      <c r="P560" s="255">
        <f>IF(M560&gt;0,N560*100/M560,0)</f>
        <v>0</v>
      </c>
      <c r="Q560" s="255">
        <v>0</v>
      </c>
      <c r="R560" s="255">
        <v>0</v>
      </c>
      <c r="S560" s="255">
        <v>0</v>
      </c>
      <c r="T560" s="255">
        <f>IF(Q560&gt;0,S560*100/Q560,0)</f>
        <v>0</v>
      </c>
      <c r="U560" s="255">
        <f>IF(R560&gt;0,S560*100/R560,0)</f>
        <v>0</v>
      </c>
    </row>
    <row r="561" spans="1:21" ht="18.75" hidden="1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256">
        <f>L562+L563</f>
        <v>0</v>
      </c>
      <c r="M561" s="255">
        <f>M562+M563</f>
        <v>0</v>
      </c>
      <c r="N561" s="255">
        <f>N562+N563</f>
        <v>0</v>
      </c>
      <c r="O561" s="255">
        <f>IF(L561&gt;0,N561*100/L561,0)</f>
        <v>0</v>
      </c>
      <c r="P561" s="255">
        <f>IF(M561&gt;0,N561*100/M561,0)</f>
        <v>0</v>
      </c>
      <c r="Q561" s="255">
        <f>Q562+Q563</f>
        <v>0</v>
      </c>
      <c r="R561" s="255">
        <f>R562+R563</f>
        <v>0</v>
      </c>
      <c r="S561" s="255">
        <f>S562+S563</f>
        <v>0</v>
      </c>
      <c r="T561" s="255">
        <f>IF(Q561&gt;0,S561*100/Q561,0)</f>
        <v>0</v>
      </c>
      <c r="U561" s="255">
        <f>IF(R561&gt;0,S561*100/R561,0)</f>
        <v>0</v>
      </c>
    </row>
    <row r="562" spans="1:21" ht="18.75" hidden="1">
      <c r="A562" s="155"/>
      <c r="B562" s="50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103">
        <v>0</v>
      </c>
      <c r="M562" s="102">
        <v>0</v>
      </c>
      <c r="N562" s="102">
        <v>0</v>
      </c>
      <c r="O562" s="102">
        <f>IF(L562&gt;0,N562*100/L562,0)</f>
        <v>0</v>
      </c>
      <c r="P562" s="102">
        <f>IF(M562&gt;0,N562*100/M562,0)</f>
        <v>0</v>
      </c>
      <c r="Q562" s="102">
        <v>0</v>
      </c>
      <c r="R562" s="102">
        <v>0</v>
      </c>
      <c r="S562" s="102">
        <v>0</v>
      </c>
      <c r="T562" s="102">
        <f>IF(Q562&gt;0,S562*100/Q562,0)</f>
        <v>0</v>
      </c>
      <c r="U562" s="102">
        <f>IF(R562&gt;0,S562*100/R562,0)</f>
        <v>0</v>
      </c>
    </row>
    <row r="563" spans="1:21" ht="18.75" hidden="1">
      <c r="A563" s="155"/>
      <c r="B563" s="50"/>
      <c r="C563" s="50"/>
      <c r="D563" s="50"/>
      <c r="E563" s="58" t="s">
        <v>21</v>
      </c>
      <c r="F563" s="50"/>
      <c r="G563" s="52"/>
      <c r="H563" s="165" t="s">
        <v>14</v>
      </c>
      <c r="I563" s="163"/>
      <c r="J563" s="163"/>
      <c r="K563" s="164"/>
      <c r="L563" s="256">
        <v>0</v>
      </c>
      <c r="M563" s="255">
        <v>0</v>
      </c>
      <c r="N563" s="255">
        <v>0</v>
      </c>
      <c r="O563" s="255">
        <f>IF(L563&gt;0,N563*100/L563,0)</f>
        <v>0</v>
      </c>
      <c r="P563" s="255">
        <f>IF(M563&gt;0,N563*100/M563,0)</f>
        <v>0</v>
      </c>
      <c r="Q563" s="255">
        <v>0</v>
      </c>
      <c r="R563" s="255">
        <v>0</v>
      </c>
      <c r="S563" s="255">
        <v>0</v>
      </c>
      <c r="T563" s="255">
        <f>IF(Q563&gt;0,S563*100/Q563,0)</f>
        <v>0</v>
      </c>
      <c r="U563" s="255">
        <f>IF(R563&gt;0,S563*100/R563,0)</f>
        <v>0</v>
      </c>
    </row>
    <row r="564" spans="1:21" ht="19.5" hidden="1">
      <c r="A564" s="166"/>
      <c r="B564" s="167"/>
      <c r="C564" s="411" t="s">
        <v>18</v>
      </c>
      <c r="D564" s="566" t="s">
        <v>38</v>
      </c>
      <c r="E564" s="169"/>
      <c r="F564" s="169"/>
      <c r="G564" s="170"/>
      <c r="H564" s="171"/>
      <c r="I564" s="163"/>
      <c r="J564" s="54"/>
      <c r="K564" s="55"/>
      <c r="L564" s="62"/>
      <c r="M564" s="55"/>
      <c r="N564" s="55"/>
      <c r="O564" s="164"/>
      <c r="P564" s="164"/>
      <c r="Q564" s="55"/>
      <c r="R564" s="55"/>
      <c r="S564" s="55"/>
      <c r="T564" s="164"/>
      <c r="U564" s="164"/>
    </row>
    <row r="565" spans="1:21" ht="12.75" hidden="1">
      <c r="A565" s="258"/>
      <c r="B565" s="260"/>
      <c r="C565" s="259"/>
      <c r="D565" s="260"/>
      <c r="E565" s="259"/>
      <c r="F565" s="260"/>
      <c r="G565" s="261"/>
      <c r="H565" s="261"/>
      <c r="I565" s="263"/>
      <c r="J565" s="263"/>
      <c r="K565" s="264"/>
      <c r="L565" s="265"/>
      <c r="M565" s="264"/>
      <c r="N565" s="264"/>
      <c r="O565" s="264"/>
      <c r="P565" s="264"/>
      <c r="Q565" s="264"/>
      <c r="R565" s="264"/>
      <c r="S565" s="264"/>
      <c r="T565" s="264"/>
      <c r="U565" s="264"/>
    </row>
    <row r="566" spans="1:21" ht="12.75" hidden="1">
      <c r="A566" s="258"/>
      <c r="B566" s="260"/>
      <c r="C566" s="259"/>
      <c r="D566" s="260"/>
      <c r="E566" s="259"/>
      <c r="F566" s="260"/>
      <c r="G566" s="261"/>
      <c r="H566" s="261"/>
      <c r="I566" s="263"/>
      <c r="J566" s="263"/>
      <c r="K566" s="264"/>
      <c r="L566" s="265"/>
      <c r="M566" s="264"/>
      <c r="N566" s="264"/>
      <c r="O566" s="264"/>
      <c r="P566" s="264"/>
      <c r="Q566" s="264"/>
      <c r="R566" s="264"/>
      <c r="S566" s="264"/>
      <c r="T566" s="264"/>
      <c r="U566" s="264"/>
    </row>
    <row r="567" spans="1:21" ht="12.75" hidden="1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5"/>
      <c r="M567" s="264"/>
      <c r="N567" s="264"/>
      <c r="O567" s="264"/>
      <c r="P567" s="264"/>
      <c r="Q567" s="264"/>
      <c r="R567" s="264"/>
      <c r="S567" s="264"/>
      <c r="T567" s="264"/>
      <c r="U567" s="264"/>
    </row>
    <row r="568" spans="1:21" ht="12.75" hidden="1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5"/>
      <c r="M568" s="264"/>
      <c r="N568" s="264"/>
      <c r="O568" s="264"/>
      <c r="P568" s="264"/>
      <c r="Q568" s="264"/>
      <c r="R568" s="264"/>
      <c r="S568" s="264"/>
      <c r="T568" s="264"/>
      <c r="U568" s="264"/>
    </row>
    <row r="569" spans="1:21" ht="12.75" hidden="1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5"/>
      <c r="M569" s="264"/>
      <c r="N569" s="264"/>
      <c r="O569" s="264"/>
      <c r="P569" s="264"/>
      <c r="Q569" s="264"/>
      <c r="R569" s="264"/>
      <c r="S569" s="264"/>
      <c r="T569" s="264"/>
      <c r="U569" s="264"/>
    </row>
    <row r="570" spans="1:21" ht="12.75" hidden="1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5"/>
      <c r="M570" s="264"/>
      <c r="N570" s="264"/>
      <c r="O570" s="264"/>
      <c r="P570" s="264"/>
      <c r="Q570" s="264"/>
      <c r="R570" s="264"/>
      <c r="S570" s="264"/>
      <c r="T570" s="264"/>
      <c r="U570" s="264"/>
    </row>
    <row r="571" spans="1:21" ht="12.75" hidden="1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5"/>
      <c r="M571" s="264"/>
      <c r="N571" s="264"/>
      <c r="O571" s="264"/>
      <c r="P571" s="264"/>
      <c r="Q571" s="264"/>
      <c r="R571" s="264"/>
      <c r="S571" s="264"/>
      <c r="T571" s="264"/>
      <c r="U571" s="264"/>
    </row>
    <row r="572" spans="1:21" ht="12.75" hidden="1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5"/>
      <c r="M572" s="264"/>
      <c r="N572" s="264"/>
      <c r="O572" s="264"/>
      <c r="P572" s="264"/>
      <c r="Q572" s="264"/>
      <c r="R572" s="264"/>
      <c r="S572" s="264"/>
      <c r="T572" s="264"/>
      <c r="U572" s="264"/>
    </row>
    <row r="573" spans="1:21" ht="12.75" hidden="1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5"/>
      <c r="M573" s="264"/>
      <c r="N573" s="264"/>
      <c r="O573" s="264"/>
      <c r="P573" s="264"/>
      <c r="Q573" s="264"/>
      <c r="R573" s="264"/>
      <c r="S573" s="264"/>
      <c r="T573" s="264"/>
      <c r="U573" s="264"/>
    </row>
    <row r="574" spans="1:21" ht="12.75" hidden="1">
      <c r="A574" s="407"/>
      <c r="B574" s="360"/>
      <c r="C574" s="360"/>
      <c r="D574" s="408"/>
      <c r="E574" s="408"/>
      <c r="F574" s="408"/>
      <c r="G574" s="409"/>
      <c r="H574" s="361"/>
      <c r="I574" s="362"/>
      <c r="J574" s="362"/>
      <c r="K574" s="363"/>
      <c r="L574" s="364"/>
      <c r="M574" s="363"/>
      <c r="N574" s="363"/>
      <c r="O574" s="363"/>
      <c r="P574" s="363"/>
      <c r="Q574" s="363"/>
      <c r="R574" s="363"/>
      <c r="S574" s="363"/>
      <c r="T574" s="363"/>
      <c r="U574" s="363"/>
    </row>
    <row r="575" spans="1:21" ht="19.5" hidden="1">
      <c r="A575" s="395"/>
      <c r="B575" s="396" t="s">
        <v>213</v>
      </c>
      <c r="C575" s="397"/>
      <c r="D575" s="398"/>
      <c r="E575" s="398"/>
      <c r="F575" s="398"/>
      <c r="G575" s="399"/>
      <c r="H575" s="410" t="s">
        <v>61</v>
      </c>
      <c r="I575" s="577">
        <f>I587</f>
        <v>0</v>
      </c>
      <c r="J575" s="577">
        <f>J587</f>
        <v>0</v>
      </c>
      <c r="K575" s="576">
        <f>IF(I575&gt;0,J575*100/I575,0)</f>
        <v>0</v>
      </c>
      <c r="L575" s="404"/>
      <c r="M575" s="403"/>
      <c r="N575" s="403"/>
      <c r="O575" s="403"/>
      <c r="P575" s="403"/>
      <c r="Q575" s="403"/>
      <c r="R575" s="403"/>
      <c r="S575" s="403"/>
      <c r="T575" s="403"/>
      <c r="U575" s="403"/>
    </row>
    <row r="576" spans="1:21" ht="19.5" hidden="1">
      <c r="A576" s="155"/>
      <c r="B576" s="50"/>
      <c r="C576" s="156" t="s">
        <v>18</v>
      </c>
      <c r="D576" s="575" t="s">
        <v>19</v>
      </c>
      <c r="E576" s="50"/>
      <c r="F576" s="50"/>
      <c r="G576" s="52"/>
      <c r="H576" s="158" t="s">
        <v>14</v>
      </c>
      <c r="I576" s="54"/>
      <c r="J576" s="54"/>
      <c r="K576" s="55"/>
      <c r="L576" s="541">
        <f>L577+L578</f>
        <v>0</v>
      </c>
      <c r="M576" s="540">
        <f>M577+M578</f>
        <v>0</v>
      </c>
      <c r="N576" s="540">
        <f>N577+N578</f>
        <v>0</v>
      </c>
      <c r="O576" s="540">
        <f>IF(L576&gt;0,N576*100/L576,0)</f>
        <v>0</v>
      </c>
      <c r="P576" s="540">
        <f>IF(M576&gt;0,N576*100/M576,0)</f>
        <v>0</v>
      </c>
      <c r="Q576" s="540">
        <f>Q577+Q578</f>
        <v>0</v>
      </c>
      <c r="R576" s="540">
        <f>R577+R578</f>
        <v>0</v>
      </c>
      <c r="S576" s="540">
        <f>S577+S578</f>
        <v>0</v>
      </c>
      <c r="T576" s="540">
        <f>IF(Q576&gt;0,S576*100/Q576,0)</f>
        <v>0</v>
      </c>
      <c r="U576" s="540">
        <f>IF(R576&gt;0,S576*100/R576,0)</f>
        <v>0</v>
      </c>
    </row>
    <row r="577" spans="1:21" ht="18.75" hidden="1">
      <c r="A577" s="155"/>
      <c r="B577" s="188"/>
      <c r="C577" s="50"/>
      <c r="D577" s="50"/>
      <c r="E577" s="186" t="s">
        <v>20</v>
      </c>
      <c r="F577" s="50"/>
      <c r="G577" s="52"/>
      <c r="H577" s="187" t="s">
        <v>14</v>
      </c>
      <c r="I577" s="54"/>
      <c r="J577" s="54"/>
      <c r="K577" s="55"/>
      <c r="L577" s="103">
        <f>L580+L583</f>
        <v>0</v>
      </c>
      <c r="M577" s="102">
        <f>M580+M583</f>
        <v>0</v>
      </c>
      <c r="N577" s="102">
        <f>N580+N583</f>
        <v>0</v>
      </c>
      <c r="O577" s="102">
        <f>IF(L577&gt;0,N577*100/L577,0)</f>
        <v>0</v>
      </c>
      <c r="P577" s="102">
        <f>IF(M577&gt;0,N577*100/M577,0)</f>
        <v>0</v>
      </c>
      <c r="Q577" s="102">
        <f>Q580+Q583</f>
        <v>0</v>
      </c>
      <c r="R577" s="102">
        <f>R580+R583</f>
        <v>0</v>
      </c>
      <c r="S577" s="102">
        <f>S580+S583</f>
        <v>0</v>
      </c>
      <c r="T577" s="102">
        <f>IF(Q577&gt;0,S577*100/Q577,0)</f>
        <v>0</v>
      </c>
      <c r="U577" s="102">
        <f>IF(R577&gt;0,S577*100/R577,0)</f>
        <v>0</v>
      </c>
    </row>
    <row r="578" spans="1:21" ht="18.75" hidden="1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256">
        <f>L581+L584</f>
        <v>0</v>
      </c>
      <c r="M578" s="255">
        <f>M581+M584</f>
        <v>0</v>
      </c>
      <c r="N578" s="255">
        <f>N581+N584</f>
        <v>0</v>
      </c>
      <c r="O578" s="255">
        <f>IF(L578&gt;0,N578*100/L578,0)</f>
        <v>0</v>
      </c>
      <c r="P578" s="255">
        <f>IF(M578&gt;0,N578*100/M578,0)</f>
        <v>0</v>
      </c>
      <c r="Q578" s="255">
        <f>Q581+Q584</f>
        <v>0</v>
      </c>
      <c r="R578" s="255">
        <f>R581+R584</f>
        <v>0</v>
      </c>
      <c r="S578" s="255">
        <f>S581+S584</f>
        <v>0</v>
      </c>
      <c r="T578" s="255">
        <f>IF(Q578&gt;0,S578*100/Q578,0)</f>
        <v>0</v>
      </c>
      <c r="U578" s="255">
        <f>IF(R578&gt;0,S578*100/R578,0)</f>
        <v>0</v>
      </c>
    </row>
    <row r="579" spans="1:21" ht="18.75" hidden="1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256">
        <f>L580+L581</f>
        <v>0</v>
      </c>
      <c r="M579" s="255">
        <f>M580+M581</f>
        <v>0</v>
      </c>
      <c r="N579" s="255">
        <f>N580+N581</f>
        <v>0</v>
      </c>
      <c r="O579" s="255">
        <f>IF(L579&gt;0,N579*100/L579,0)</f>
        <v>0</v>
      </c>
      <c r="P579" s="255">
        <f>IF(M579&gt;0,N579*100/M579,0)</f>
        <v>0</v>
      </c>
      <c r="Q579" s="255">
        <f>Q580+Q581</f>
        <v>0</v>
      </c>
      <c r="R579" s="255">
        <f>R580+R581</f>
        <v>0</v>
      </c>
      <c r="S579" s="255">
        <f>S580+S581</f>
        <v>0</v>
      </c>
      <c r="T579" s="255">
        <f>IF(Q579&gt;0,S579*100/Q579,0)</f>
        <v>0</v>
      </c>
      <c r="U579" s="255">
        <f>IF(R579&gt;0,S579*100/R579,0)</f>
        <v>0</v>
      </c>
    </row>
    <row r="580" spans="1:21" ht="18.75" hidden="1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103">
        <v>0</v>
      </c>
      <c r="M580" s="102">
        <v>0</v>
      </c>
      <c r="N580" s="102">
        <v>0</v>
      </c>
      <c r="O580" s="102">
        <f>IF(L580&gt;0,N580*100/L580,0)</f>
        <v>0</v>
      </c>
      <c r="P580" s="102">
        <f>IF(M580&gt;0,N580*100/M580,0)</f>
        <v>0</v>
      </c>
      <c r="Q580" s="102">
        <v>0</v>
      </c>
      <c r="R580" s="102">
        <v>0</v>
      </c>
      <c r="S580" s="102">
        <v>0</v>
      </c>
      <c r="T580" s="102">
        <f>IF(Q580&gt;0,S580*100/Q580,0)</f>
        <v>0</v>
      </c>
      <c r="U580" s="102">
        <f>IF(R580&gt;0,S580*100/R580,0)</f>
        <v>0</v>
      </c>
    </row>
    <row r="581" spans="1:21" ht="18.75" hidden="1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256">
        <v>0</v>
      </c>
      <c r="M581" s="255">
        <v>0</v>
      </c>
      <c r="N581" s="255">
        <v>0</v>
      </c>
      <c r="O581" s="255">
        <f>IF(L581&gt;0,N581*100/L581,0)</f>
        <v>0</v>
      </c>
      <c r="P581" s="255">
        <f>IF(M581&gt;0,N581*100/M581,0)</f>
        <v>0</v>
      </c>
      <c r="Q581" s="255">
        <v>0</v>
      </c>
      <c r="R581" s="255">
        <v>0</v>
      </c>
      <c r="S581" s="255">
        <v>0</v>
      </c>
      <c r="T581" s="255">
        <f>IF(Q581&gt;0,S581*100/Q581,0)</f>
        <v>0</v>
      </c>
      <c r="U581" s="255">
        <f>IF(R581&gt;0,S581*100/R581,0)</f>
        <v>0</v>
      </c>
    </row>
    <row r="582" spans="1:21" ht="18.75" hidden="1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256">
        <f>L583+L584</f>
        <v>0</v>
      </c>
      <c r="M582" s="255">
        <f>M583+M584</f>
        <v>0</v>
      </c>
      <c r="N582" s="255">
        <f>N583+N584</f>
        <v>0</v>
      </c>
      <c r="O582" s="255">
        <f>IF(L582&gt;0,N582*100/L582,0)</f>
        <v>0</v>
      </c>
      <c r="P582" s="255">
        <f>IF(M582&gt;0,N582*100/M582,0)</f>
        <v>0</v>
      </c>
      <c r="Q582" s="255">
        <f>Q583+Q584</f>
        <v>0</v>
      </c>
      <c r="R582" s="255">
        <f>R583+R584</f>
        <v>0</v>
      </c>
      <c r="S582" s="255">
        <f>S583+S584</f>
        <v>0</v>
      </c>
      <c r="T582" s="255">
        <f>IF(Q582&gt;0,S582*100/Q582,0)</f>
        <v>0</v>
      </c>
      <c r="U582" s="255">
        <f>IF(R582&gt;0,S582*100/R582,0)</f>
        <v>0</v>
      </c>
    </row>
    <row r="583" spans="1:21" ht="18.75" hidden="1">
      <c r="A583" s="155"/>
      <c r="B583" s="50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103">
        <v>0</v>
      </c>
      <c r="M583" s="102">
        <v>0</v>
      </c>
      <c r="N583" s="102">
        <v>0</v>
      </c>
      <c r="O583" s="102">
        <f>IF(L583&gt;0,N583*100/L583,0)</f>
        <v>0</v>
      </c>
      <c r="P583" s="102">
        <f>IF(M583&gt;0,N583*100/M583,0)</f>
        <v>0</v>
      </c>
      <c r="Q583" s="102">
        <v>0</v>
      </c>
      <c r="R583" s="102">
        <v>0</v>
      </c>
      <c r="S583" s="102">
        <v>0</v>
      </c>
      <c r="T583" s="102">
        <f>IF(Q583&gt;0,S583*100/Q583,0)</f>
        <v>0</v>
      </c>
      <c r="U583" s="102">
        <f>IF(R583&gt;0,S583*100/R583,0)</f>
        <v>0</v>
      </c>
    </row>
    <row r="584" spans="1:21" ht="18.75" hidden="1">
      <c r="A584" s="155"/>
      <c r="B584" s="50"/>
      <c r="C584" s="50"/>
      <c r="D584" s="50"/>
      <c r="E584" s="58" t="s">
        <v>21</v>
      </c>
      <c r="F584" s="50"/>
      <c r="G584" s="52"/>
      <c r="H584" s="165" t="s">
        <v>14</v>
      </c>
      <c r="I584" s="163"/>
      <c r="J584" s="163"/>
      <c r="K584" s="164"/>
      <c r="L584" s="256">
        <v>0</v>
      </c>
      <c r="M584" s="255">
        <v>0</v>
      </c>
      <c r="N584" s="255">
        <v>0</v>
      </c>
      <c r="O584" s="255">
        <f>IF(L584&gt;0,N584*100/L584,0)</f>
        <v>0</v>
      </c>
      <c r="P584" s="255">
        <f>IF(M584&gt;0,N584*100/M584,0)</f>
        <v>0</v>
      </c>
      <c r="Q584" s="255">
        <v>0</v>
      </c>
      <c r="R584" s="255">
        <v>0</v>
      </c>
      <c r="S584" s="255">
        <v>0</v>
      </c>
      <c r="T584" s="255">
        <f>IF(Q584&gt;0,S584*100/Q584,0)</f>
        <v>0</v>
      </c>
      <c r="U584" s="255">
        <f>IF(R584&gt;0,S584*100/R584,0)</f>
        <v>0</v>
      </c>
    </row>
    <row r="585" spans="1:21" ht="19.5" hidden="1">
      <c r="A585" s="166"/>
      <c r="B585" s="167"/>
      <c r="C585" s="411" t="s">
        <v>18</v>
      </c>
      <c r="D585" s="566" t="s">
        <v>38</v>
      </c>
      <c r="E585" s="169"/>
      <c r="F585" s="169"/>
      <c r="G585" s="170"/>
      <c r="H585" s="171"/>
      <c r="I585" s="163"/>
      <c r="J585" s="54"/>
      <c r="K585" s="55"/>
      <c r="L585" s="62"/>
      <c r="M585" s="55"/>
      <c r="N585" s="55"/>
      <c r="O585" s="164"/>
      <c r="P585" s="164"/>
      <c r="Q585" s="55"/>
      <c r="R585" s="55"/>
      <c r="S585" s="55"/>
      <c r="T585" s="164"/>
      <c r="U585" s="164"/>
    </row>
    <row r="586" spans="1:21" ht="12.75" hidden="1">
      <c r="A586" s="258"/>
      <c r="B586" s="260"/>
      <c r="C586" s="259"/>
      <c r="D586" s="260"/>
      <c r="E586" s="259"/>
      <c r="F586" s="260"/>
      <c r="G586" s="261"/>
      <c r="H586" s="261"/>
      <c r="I586" s="263"/>
      <c r="J586" s="263"/>
      <c r="K586" s="264"/>
      <c r="L586" s="265"/>
      <c r="M586" s="264"/>
      <c r="N586" s="264"/>
      <c r="O586" s="264"/>
      <c r="P586" s="264"/>
      <c r="Q586" s="264"/>
      <c r="R586" s="264"/>
      <c r="S586" s="264"/>
      <c r="T586" s="264"/>
      <c r="U586" s="264"/>
    </row>
    <row r="587" spans="1:21" ht="12.75" hidden="1">
      <c r="A587" s="258"/>
      <c r="B587" s="260"/>
      <c r="C587" s="259"/>
      <c r="D587" s="260"/>
      <c r="E587" s="259"/>
      <c r="F587" s="260"/>
      <c r="G587" s="261"/>
      <c r="H587" s="261"/>
      <c r="I587" s="263"/>
      <c r="J587" s="263"/>
      <c r="K587" s="264"/>
      <c r="L587" s="265"/>
      <c r="M587" s="264"/>
      <c r="N587" s="264"/>
      <c r="O587" s="264"/>
      <c r="P587" s="264"/>
      <c r="Q587" s="264"/>
      <c r="R587" s="264"/>
      <c r="S587" s="264"/>
      <c r="T587" s="264"/>
      <c r="U587" s="264"/>
    </row>
    <row r="588" spans="1:21" ht="12.75" hidden="1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5"/>
      <c r="M588" s="264"/>
      <c r="N588" s="264"/>
      <c r="O588" s="264"/>
      <c r="P588" s="264"/>
      <c r="Q588" s="264"/>
      <c r="R588" s="264"/>
      <c r="S588" s="264"/>
      <c r="T588" s="264"/>
      <c r="U588" s="264"/>
    </row>
    <row r="589" spans="1:21" ht="12.75" hidden="1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5"/>
      <c r="M589" s="264"/>
      <c r="N589" s="264"/>
      <c r="O589" s="264"/>
      <c r="P589" s="264"/>
      <c r="Q589" s="264"/>
      <c r="R589" s="264"/>
      <c r="S589" s="264"/>
      <c r="T589" s="264"/>
      <c r="U589" s="264"/>
    </row>
    <row r="590" spans="1:21" ht="12.75" hidden="1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5"/>
      <c r="M590" s="264"/>
      <c r="N590" s="264"/>
      <c r="O590" s="264"/>
      <c r="P590" s="264"/>
      <c r="Q590" s="264"/>
      <c r="R590" s="264"/>
      <c r="S590" s="264"/>
      <c r="T590" s="264"/>
      <c r="U590" s="264"/>
    </row>
    <row r="591" spans="1:21" ht="12.75" hidden="1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5"/>
      <c r="M591" s="264"/>
      <c r="N591" s="264"/>
      <c r="O591" s="264"/>
      <c r="P591" s="264"/>
      <c r="Q591" s="264"/>
      <c r="R591" s="264"/>
      <c r="S591" s="264"/>
      <c r="T591" s="264"/>
      <c r="U591" s="264"/>
    </row>
    <row r="592" spans="1:21" ht="12.75" hidden="1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5"/>
      <c r="M592" s="264"/>
      <c r="N592" s="264"/>
      <c r="O592" s="264"/>
      <c r="P592" s="264"/>
      <c r="Q592" s="264"/>
      <c r="R592" s="264"/>
      <c r="S592" s="264"/>
      <c r="T592" s="264"/>
      <c r="U592" s="264"/>
    </row>
    <row r="593" spans="1:21" ht="12.75" hidden="1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5"/>
      <c r="M593" s="264"/>
      <c r="N593" s="264"/>
      <c r="O593" s="264"/>
      <c r="P593" s="264"/>
      <c r="Q593" s="264"/>
      <c r="R593" s="264"/>
      <c r="S593" s="264"/>
      <c r="T593" s="264"/>
      <c r="U593" s="264"/>
    </row>
    <row r="594" spans="1:21" ht="12.75" hidden="1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5"/>
      <c r="M594" s="264"/>
      <c r="N594" s="264"/>
      <c r="O594" s="264"/>
      <c r="P594" s="264"/>
      <c r="Q594" s="264"/>
      <c r="R594" s="264"/>
      <c r="S594" s="264"/>
      <c r="T594" s="264"/>
      <c r="U594" s="264"/>
    </row>
    <row r="595" spans="1:21" ht="12.75" hidden="1">
      <c r="A595" s="407"/>
      <c r="B595" s="360"/>
      <c r="C595" s="360"/>
      <c r="D595" s="408"/>
      <c r="E595" s="408"/>
      <c r="F595" s="408"/>
      <c r="G595" s="409"/>
      <c r="H595" s="361"/>
      <c r="I595" s="362"/>
      <c r="J595" s="362"/>
      <c r="K595" s="363"/>
      <c r="L595" s="364"/>
      <c r="M595" s="363"/>
      <c r="N595" s="363"/>
      <c r="O595" s="363"/>
      <c r="P595" s="363"/>
      <c r="Q595" s="363"/>
      <c r="R595" s="363"/>
      <c r="S595" s="363"/>
      <c r="T595" s="363"/>
      <c r="U595" s="363"/>
    </row>
    <row r="596" spans="1:21" ht="19.5" hidden="1">
      <c r="A596" s="412" t="s">
        <v>214</v>
      </c>
      <c r="B596" s="144"/>
      <c r="C596" s="196"/>
      <c r="D596" s="144"/>
      <c r="E596" s="144"/>
      <c r="F596" s="144"/>
      <c r="G596" s="144"/>
      <c r="H596" s="145"/>
      <c r="I596" s="197"/>
      <c r="J596" s="197"/>
      <c r="K596" s="19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8"/>
    </row>
    <row r="597" spans="1:21" ht="19.5" hidden="1">
      <c r="A597" s="150"/>
      <c r="B597" s="413" t="s">
        <v>215</v>
      </c>
      <c r="C597" s="200"/>
      <c r="D597" s="151"/>
      <c r="E597" s="34"/>
      <c r="F597" s="34"/>
      <c r="G597" s="34"/>
      <c r="H597" s="414" t="s">
        <v>99</v>
      </c>
      <c r="I597" s="210"/>
      <c r="J597" s="39"/>
      <c r="K597" s="40"/>
      <c r="L597" s="154"/>
      <c r="M597" s="40"/>
      <c r="N597" s="40"/>
      <c r="O597" s="40"/>
      <c r="P597" s="40"/>
      <c r="Q597" s="40"/>
      <c r="R597" s="40"/>
      <c r="S597" s="40"/>
      <c r="T597" s="40"/>
      <c r="U597" s="40"/>
    </row>
    <row r="598" spans="1:21" ht="19.5" hidden="1">
      <c r="A598" s="415"/>
      <c r="B598" s="416" t="s">
        <v>216</v>
      </c>
      <c r="C598" s="151"/>
      <c r="D598" s="34"/>
      <c r="E598" s="34"/>
      <c r="F598" s="34"/>
      <c r="G598" s="37"/>
      <c r="H598" s="417" t="s">
        <v>35</v>
      </c>
      <c r="I598" s="39"/>
      <c r="J598" s="39"/>
      <c r="K598" s="40"/>
      <c r="L598" s="154"/>
      <c r="M598" s="40"/>
      <c r="N598" s="40"/>
      <c r="O598" s="40"/>
      <c r="P598" s="40"/>
      <c r="Q598" s="40"/>
      <c r="R598" s="40"/>
      <c r="S598" s="40"/>
      <c r="T598" s="40"/>
      <c r="U598" s="40"/>
    </row>
    <row r="599" spans="1:21" ht="19.5" hidden="1">
      <c r="A599" s="155"/>
      <c r="B599" s="188"/>
      <c r="C599" s="205" t="s">
        <v>18</v>
      </c>
      <c r="D599" s="563" t="s">
        <v>19</v>
      </c>
      <c r="E599" s="529"/>
      <c r="F599" s="529"/>
      <c r="G599" s="530"/>
      <c r="H599" s="418" t="s">
        <v>14</v>
      </c>
      <c r="I599" s="54"/>
      <c r="J599" s="54"/>
      <c r="K599" s="55"/>
      <c r="L599" s="541">
        <f>L600+L601</f>
        <v>0</v>
      </c>
      <c r="M599" s="540">
        <f>M600+M601</f>
        <v>0</v>
      </c>
      <c r="N599" s="540">
        <f>N600+N601</f>
        <v>0</v>
      </c>
      <c r="O599" s="540">
        <f>IF(L599&gt;0,N599*100/L599,0)</f>
        <v>0</v>
      </c>
      <c r="P599" s="540">
        <f>IF(M599&gt;0,N599*100/M599,0)</f>
        <v>0</v>
      </c>
      <c r="Q599" s="540">
        <f>Q600+Q601</f>
        <v>0</v>
      </c>
      <c r="R599" s="540">
        <f>R600+R601</f>
        <v>0</v>
      </c>
      <c r="S599" s="540">
        <f>S600+S601</f>
        <v>0</v>
      </c>
      <c r="T599" s="540">
        <f>IF(Q599&gt;0,S599*100/Q599,0)</f>
        <v>0</v>
      </c>
      <c r="U599" s="540">
        <f>IF(R599&gt;0,S599*100/R599,0)</f>
        <v>0</v>
      </c>
    </row>
    <row r="600" spans="1:21" ht="18.75" hidden="1">
      <c r="A600" s="155"/>
      <c r="B600" s="188"/>
      <c r="C600" s="188"/>
      <c r="D600" s="174"/>
      <c r="E600" s="186" t="s">
        <v>159</v>
      </c>
      <c r="F600" s="50"/>
      <c r="G600" s="52"/>
      <c r="H600" s="189" t="s">
        <v>14</v>
      </c>
      <c r="I600" s="54"/>
      <c r="J600" s="54"/>
      <c r="K600" s="55"/>
      <c r="L600" s="103">
        <f>L603+L606</f>
        <v>0</v>
      </c>
      <c r="M600" s="102">
        <f>M603+M606</f>
        <v>0</v>
      </c>
      <c r="N600" s="102">
        <f>N603+N606</f>
        <v>0</v>
      </c>
      <c r="O600" s="102">
        <f>IF(L600&gt;0,N600*100/L600,0)</f>
        <v>0</v>
      </c>
      <c r="P600" s="102">
        <f>IF(M600&gt;0,N600*100/M600,0)</f>
        <v>0</v>
      </c>
      <c r="Q600" s="102">
        <f>Q603+Q606</f>
        <v>0</v>
      </c>
      <c r="R600" s="102">
        <f>R603+R606</f>
        <v>0</v>
      </c>
      <c r="S600" s="102">
        <f>S603+S606</f>
        <v>0</v>
      </c>
      <c r="T600" s="102">
        <f>IF(Q600&gt;0,S600*100/Q600,0)</f>
        <v>0</v>
      </c>
      <c r="U600" s="102">
        <f>IF(R600&gt;0,S600*100/R600,0)</f>
        <v>0</v>
      </c>
    </row>
    <row r="601" spans="1:21" ht="18.75" hidden="1">
      <c r="A601" s="155"/>
      <c r="B601" s="188"/>
      <c r="C601" s="188"/>
      <c r="D601" s="174"/>
      <c r="E601" s="186" t="s">
        <v>160</v>
      </c>
      <c r="F601" s="50"/>
      <c r="G601" s="52"/>
      <c r="H601" s="189" t="s">
        <v>14</v>
      </c>
      <c r="I601" s="54"/>
      <c r="J601" s="54"/>
      <c r="K601" s="55"/>
      <c r="L601" s="256">
        <f>L604+L607</f>
        <v>0</v>
      </c>
      <c r="M601" s="255">
        <f>M604+M607</f>
        <v>0</v>
      </c>
      <c r="N601" s="255">
        <f>N604+N607</f>
        <v>0</v>
      </c>
      <c r="O601" s="255">
        <f>IF(L601&gt;0,N601*100/L601,0)</f>
        <v>0</v>
      </c>
      <c r="P601" s="255">
        <f>IF(M601&gt;0,N601*100/M601,0)</f>
        <v>0</v>
      </c>
      <c r="Q601" s="255">
        <f>Q604+Q607</f>
        <v>0</v>
      </c>
      <c r="R601" s="255">
        <f>R604+R607</f>
        <v>0</v>
      </c>
      <c r="S601" s="255">
        <f>S604+S607</f>
        <v>0</v>
      </c>
      <c r="T601" s="255">
        <f>IF(Q601&gt;0,S601*100/Q601,0)</f>
        <v>0</v>
      </c>
      <c r="U601" s="255">
        <f>IF(R601&gt;0,S601*100/R601,0)</f>
        <v>0</v>
      </c>
    </row>
    <row r="602" spans="1:21" ht="19.5" hidden="1">
      <c r="A602" s="155"/>
      <c r="B602" s="188"/>
      <c r="C602" s="188"/>
      <c r="D602" s="562" t="s">
        <v>22</v>
      </c>
      <c r="E602" s="50"/>
      <c r="F602" s="50"/>
      <c r="G602" s="52"/>
      <c r="H602" s="418" t="s">
        <v>14</v>
      </c>
      <c r="I602" s="163"/>
      <c r="J602" s="163"/>
      <c r="K602" s="164"/>
      <c r="L602" s="256">
        <f>L603+L604</f>
        <v>0</v>
      </c>
      <c r="M602" s="255">
        <f>M603+M604</f>
        <v>0</v>
      </c>
      <c r="N602" s="255">
        <f>N603+N604</f>
        <v>0</v>
      </c>
      <c r="O602" s="255">
        <f>IF(L602&gt;0,N602*100/L602,0)</f>
        <v>0</v>
      </c>
      <c r="P602" s="255">
        <f>IF(M602&gt;0,N602*100/M602,0)</f>
        <v>0</v>
      </c>
      <c r="Q602" s="255">
        <f>Q603+Q604</f>
        <v>0</v>
      </c>
      <c r="R602" s="255">
        <f>R603+R604</f>
        <v>0</v>
      </c>
      <c r="S602" s="255">
        <f>S603+S604</f>
        <v>0</v>
      </c>
      <c r="T602" s="255">
        <f>IF(Q602&gt;0,S602*100/Q602,0)</f>
        <v>0</v>
      </c>
      <c r="U602" s="255">
        <f>IF(R602&gt;0,S602*100/R602,0)</f>
        <v>0</v>
      </c>
    </row>
    <row r="603" spans="1:21" ht="18.75" hidden="1">
      <c r="A603" s="155"/>
      <c r="B603" s="188"/>
      <c r="C603" s="188"/>
      <c r="D603" s="174"/>
      <c r="E603" s="186" t="s">
        <v>159</v>
      </c>
      <c r="F603" s="50"/>
      <c r="G603" s="52"/>
      <c r="H603" s="189" t="s">
        <v>14</v>
      </c>
      <c r="I603" s="54"/>
      <c r="J603" s="54"/>
      <c r="K603" s="55"/>
      <c r="L603" s="103">
        <v>0</v>
      </c>
      <c r="M603" s="102">
        <v>0</v>
      </c>
      <c r="N603" s="102">
        <v>0</v>
      </c>
      <c r="O603" s="102">
        <f>IF(L603&gt;0,N603*100/L603,0)</f>
        <v>0</v>
      </c>
      <c r="P603" s="102">
        <f>IF(M603&gt;0,N603*100/M603,0)</f>
        <v>0</v>
      </c>
      <c r="Q603" s="102">
        <v>0</v>
      </c>
      <c r="R603" s="102">
        <v>0</v>
      </c>
      <c r="S603" s="102">
        <v>0</v>
      </c>
      <c r="T603" s="102">
        <f>IF(Q603&gt;0,S603*100/Q603,0)</f>
        <v>0</v>
      </c>
      <c r="U603" s="102">
        <f>IF(R603&gt;0,S603*100/R603,0)</f>
        <v>0</v>
      </c>
    </row>
    <row r="604" spans="1:21" ht="18.75" hidden="1">
      <c r="A604" s="155"/>
      <c r="B604" s="188"/>
      <c r="C604" s="188"/>
      <c r="D604" s="174"/>
      <c r="E604" s="186" t="s">
        <v>160</v>
      </c>
      <c r="F604" s="50"/>
      <c r="G604" s="52"/>
      <c r="H604" s="189" t="s">
        <v>14</v>
      </c>
      <c r="I604" s="54"/>
      <c r="J604" s="54"/>
      <c r="K604" s="55"/>
      <c r="L604" s="256">
        <v>0</v>
      </c>
      <c r="M604" s="255">
        <v>0</v>
      </c>
      <c r="N604" s="255">
        <v>0</v>
      </c>
      <c r="O604" s="255">
        <f>IF(L604&gt;0,N604*100/L604,0)</f>
        <v>0</v>
      </c>
      <c r="P604" s="255">
        <f>IF(M604&gt;0,N604*100/M604,0)</f>
        <v>0</v>
      </c>
      <c r="Q604" s="255">
        <v>0</v>
      </c>
      <c r="R604" s="255">
        <v>0</v>
      </c>
      <c r="S604" s="255">
        <v>0</v>
      </c>
      <c r="T604" s="255">
        <f>IF(Q604&gt;0,S604*100/Q604,0)</f>
        <v>0</v>
      </c>
      <c r="U604" s="255">
        <f>IF(R604&gt;0,S604*100/R604,0)</f>
        <v>0</v>
      </c>
    </row>
    <row r="605" spans="1:21" ht="19.5" hidden="1">
      <c r="A605" s="155"/>
      <c r="B605" s="188"/>
      <c r="C605" s="188"/>
      <c r="D605" s="562" t="s">
        <v>23</v>
      </c>
      <c r="E605" s="188"/>
      <c r="F605" s="50"/>
      <c r="G605" s="52"/>
      <c r="H605" s="420" t="s">
        <v>14</v>
      </c>
      <c r="I605" s="163"/>
      <c r="J605" s="163"/>
      <c r="K605" s="164"/>
      <c r="L605" s="256">
        <f>L606+L607</f>
        <v>0</v>
      </c>
      <c r="M605" s="255">
        <f>M606+M607</f>
        <v>0</v>
      </c>
      <c r="N605" s="255">
        <f>N606+N607</f>
        <v>0</v>
      </c>
      <c r="O605" s="255">
        <f>IF(L605&gt;0,N605*100/L605,0)</f>
        <v>0</v>
      </c>
      <c r="P605" s="255">
        <f>IF(M605&gt;0,N605*100/M605,0)</f>
        <v>0</v>
      </c>
      <c r="Q605" s="255">
        <f>Q606+Q607</f>
        <v>0</v>
      </c>
      <c r="R605" s="255">
        <f>R606+R607</f>
        <v>0</v>
      </c>
      <c r="S605" s="255">
        <f>S606+S607</f>
        <v>0</v>
      </c>
      <c r="T605" s="255">
        <f>IF(Q605&gt;0,S605*100/Q605,0)</f>
        <v>0</v>
      </c>
      <c r="U605" s="255">
        <f>IF(R605&gt;0,S605*100/R605,0)</f>
        <v>0</v>
      </c>
    </row>
    <row r="606" spans="1:21" ht="18.75" hidden="1">
      <c r="A606" s="155"/>
      <c r="B606" s="188"/>
      <c r="C606" s="188"/>
      <c r="D606" s="188"/>
      <c r="E606" s="358" t="s">
        <v>20</v>
      </c>
      <c r="F606" s="50"/>
      <c r="G606" s="52"/>
      <c r="H606" s="189" t="s">
        <v>14</v>
      </c>
      <c r="I606" s="163"/>
      <c r="J606" s="163"/>
      <c r="K606" s="164"/>
      <c r="L606" s="103">
        <v>0</v>
      </c>
      <c r="M606" s="102">
        <v>0</v>
      </c>
      <c r="N606" s="102">
        <v>0</v>
      </c>
      <c r="O606" s="102">
        <f>IF(L606&gt;0,N606*100/L606,0)</f>
        <v>0</v>
      </c>
      <c r="P606" s="102">
        <f>IF(M606&gt;0,N606*100/M606,0)</f>
        <v>0</v>
      </c>
      <c r="Q606" s="102">
        <v>0</v>
      </c>
      <c r="R606" s="102">
        <v>0</v>
      </c>
      <c r="S606" s="102">
        <v>0</v>
      </c>
      <c r="T606" s="102">
        <f>IF(Q606&gt;0,S606*100/Q606,0)</f>
        <v>0</v>
      </c>
      <c r="U606" s="102">
        <f>IF(R606&gt;0,S606*100/R606,0)</f>
        <v>0</v>
      </c>
    </row>
    <row r="607" spans="1:21" ht="18.75" hidden="1">
      <c r="A607" s="155"/>
      <c r="B607" s="188"/>
      <c r="C607" s="188"/>
      <c r="D607" s="50"/>
      <c r="E607" s="358" t="s">
        <v>21</v>
      </c>
      <c r="F607" s="50"/>
      <c r="G607" s="52"/>
      <c r="H607" s="421" t="s">
        <v>14</v>
      </c>
      <c r="I607" s="163"/>
      <c r="J607" s="163"/>
      <c r="K607" s="164"/>
      <c r="L607" s="256">
        <v>0</v>
      </c>
      <c r="M607" s="255">
        <v>0</v>
      </c>
      <c r="N607" s="255">
        <v>0</v>
      </c>
      <c r="O607" s="255">
        <f>IF(L607&gt;0,N607*100/L607,0)</f>
        <v>0</v>
      </c>
      <c r="P607" s="255">
        <f>IF(M607&gt;0,N607*100/M607,0)</f>
        <v>0</v>
      </c>
      <c r="Q607" s="255">
        <v>0</v>
      </c>
      <c r="R607" s="255">
        <v>0</v>
      </c>
      <c r="S607" s="255">
        <v>0</v>
      </c>
      <c r="T607" s="255">
        <f>IF(Q607&gt;0,S607*100/Q607,0)</f>
        <v>0</v>
      </c>
      <c r="U607" s="255">
        <f>IF(R607&gt;0,S607*100/R607,0)</f>
        <v>0</v>
      </c>
    </row>
    <row r="608" spans="1:21" ht="19.5" hidden="1">
      <c r="A608" s="166"/>
      <c r="B608" s="167"/>
      <c r="C608" s="205" t="s">
        <v>18</v>
      </c>
      <c r="D608" s="574" t="s">
        <v>38</v>
      </c>
      <c r="E608" s="169"/>
      <c r="F608" s="169"/>
      <c r="G608" s="170"/>
      <c r="H608" s="206"/>
      <c r="I608" s="163"/>
      <c r="J608" s="163"/>
      <c r="K608" s="164"/>
      <c r="L608" s="62"/>
      <c r="M608" s="55"/>
      <c r="N608" s="55"/>
      <c r="O608" s="55"/>
      <c r="P608" s="55"/>
      <c r="Q608" s="55"/>
      <c r="R608" s="55"/>
      <c r="S608" s="55"/>
      <c r="T608" s="55"/>
      <c r="U608" s="55"/>
    </row>
    <row r="609" spans="1:21" ht="18.75" hidden="1">
      <c r="A609" s="166"/>
      <c r="B609" s="167"/>
      <c r="C609" s="167"/>
      <c r="D609" s="423" t="s">
        <v>217</v>
      </c>
      <c r="E609" s="174"/>
      <c r="F609" s="174"/>
      <c r="G609" s="171"/>
      <c r="H609" s="189" t="s">
        <v>99</v>
      </c>
      <c r="I609" s="54"/>
      <c r="J609" s="54"/>
      <c r="K609" s="164"/>
      <c r="L609" s="62"/>
      <c r="M609" s="55"/>
      <c r="N609" s="55"/>
      <c r="O609" s="55"/>
      <c r="P609" s="55"/>
      <c r="Q609" s="55"/>
      <c r="R609" s="55"/>
      <c r="S609" s="55"/>
      <c r="T609" s="55"/>
      <c r="U609" s="55"/>
    </row>
    <row r="610" spans="1:21" ht="19.5" hidden="1">
      <c r="A610" s="166"/>
      <c r="B610" s="167"/>
      <c r="C610" s="167"/>
      <c r="D610" s="423" t="s">
        <v>218</v>
      </c>
      <c r="E610" s="174"/>
      <c r="F610" s="174"/>
      <c r="G610" s="171"/>
      <c r="H610" s="418" t="s">
        <v>35</v>
      </c>
      <c r="I610" s="54"/>
      <c r="J610" s="54"/>
      <c r="K610" s="164"/>
      <c r="L610" s="62"/>
      <c r="M610" s="55"/>
      <c r="N610" s="55"/>
      <c r="O610" s="55"/>
      <c r="P610" s="55"/>
      <c r="Q610" s="55"/>
      <c r="R610" s="55"/>
      <c r="S610" s="55"/>
      <c r="T610" s="55"/>
      <c r="U610" s="55"/>
    </row>
    <row r="611" spans="1:21" ht="18.75" hidden="1">
      <c r="A611" s="166"/>
      <c r="B611" s="167"/>
      <c r="C611" s="167"/>
      <c r="D611" s="167"/>
      <c r="E611" s="423" t="s">
        <v>219</v>
      </c>
      <c r="F611" s="174"/>
      <c r="G611" s="171"/>
      <c r="H611" s="421" t="s">
        <v>35</v>
      </c>
      <c r="I611" s="54"/>
      <c r="J611" s="54"/>
      <c r="K611" s="164"/>
      <c r="L611" s="62"/>
      <c r="M611" s="55"/>
      <c r="N611" s="55"/>
      <c r="O611" s="55"/>
      <c r="P611" s="55"/>
      <c r="Q611" s="55"/>
      <c r="R611" s="55"/>
      <c r="S611" s="55"/>
      <c r="T611" s="55"/>
      <c r="U611" s="55"/>
    </row>
    <row r="612" spans="1:21" ht="19.5" hidden="1" thickBot="1">
      <c r="A612" s="424"/>
      <c r="B612" s="425"/>
      <c r="C612" s="425"/>
      <c r="D612" s="425"/>
      <c r="E612" s="426" t="s">
        <v>220</v>
      </c>
      <c r="F612" s="427"/>
      <c r="G612" s="428"/>
      <c r="H612" s="429" t="s">
        <v>35</v>
      </c>
      <c r="I612" s="430"/>
      <c r="J612" s="430"/>
      <c r="K612" s="431"/>
      <c r="L612" s="433"/>
      <c r="M612" s="432"/>
      <c r="N612" s="432"/>
      <c r="O612" s="432"/>
      <c r="P612" s="432"/>
      <c r="Q612" s="432"/>
      <c r="R612" s="432"/>
      <c r="S612" s="432"/>
      <c r="T612" s="432"/>
      <c r="U612" s="432"/>
    </row>
    <row r="613" spans="1:21" ht="19.5" hidden="1">
      <c r="A613" s="434" t="s">
        <v>221</v>
      </c>
      <c r="B613" s="435"/>
      <c r="C613" s="435"/>
      <c r="D613" s="436"/>
      <c r="E613" s="436"/>
      <c r="F613" s="436"/>
      <c r="G613" s="437"/>
      <c r="H613" s="438"/>
      <c r="I613" s="439"/>
      <c r="J613" s="439"/>
      <c r="K613" s="440"/>
      <c r="L613" s="441"/>
      <c r="M613" s="440"/>
      <c r="N613" s="440"/>
      <c r="O613" s="440"/>
      <c r="P613" s="440"/>
      <c r="Q613" s="440"/>
      <c r="R613" s="440"/>
      <c r="S613" s="440"/>
      <c r="T613" s="440"/>
      <c r="U613" s="440"/>
    </row>
    <row r="614" spans="1:21" ht="19.5">
      <c r="A614" s="442"/>
      <c r="B614" s="443" t="s">
        <v>222</v>
      </c>
      <c r="C614" s="442"/>
      <c r="D614" s="444"/>
      <c r="E614" s="444"/>
      <c r="F614" s="444"/>
      <c r="G614" s="445"/>
      <c r="H614" s="446"/>
      <c r="I614" s="447"/>
      <c r="J614" s="447"/>
      <c r="K614" s="448"/>
      <c r="L614" s="449"/>
      <c r="M614" s="448"/>
      <c r="N614" s="448"/>
      <c r="O614" s="448"/>
      <c r="P614" s="448"/>
      <c r="Q614" s="448"/>
      <c r="R614" s="448"/>
      <c r="S614" s="448"/>
      <c r="T614" s="448"/>
      <c r="U614" s="448"/>
    </row>
    <row r="615" spans="1:21" ht="19.5">
      <c r="A615" s="450"/>
      <c r="B615" s="451" t="s">
        <v>223</v>
      </c>
      <c r="C615" s="450"/>
      <c r="D615" s="452"/>
      <c r="E615" s="452"/>
      <c r="F615" s="452"/>
      <c r="G615" s="453"/>
      <c r="H615" s="454" t="s">
        <v>46</v>
      </c>
      <c r="I615" s="573">
        <f ca="1">I626</f>
        <v>50</v>
      </c>
      <c r="J615" s="573">
        <f>J626</f>
        <v>0</v>
      </c>
      <c r="K615" s="572">
        <f ca="1">IF(I615&gt;0,J615*100/I615,0)</f>
        <v>0</v>
      </c>
      <c r="L615" s="458"/>
      <c r="M615" s="457"/>
      <c r="N615" s="457"/>
      <c r="O615" s="457"/>
      <c r="P615" s="457"/>
      <c r="Q615" s="457"/>
      <c r="R615" s="457"/>
      <c r="S615" s="457"/>
      <c r="T615" s="457"/>
      <c r="U615" s="457"/>
    </row>
    <row r="616" spans="1:21" ht="19.5">
      <c r="A616" s="155"/>
      <c r="B616" s="188"/>
      <c r="C616" s="205" t="s">
        <v>18</v>
      </c>
      <c r="D616" s="542" t="s">
        <v>19</v>
      </c>
      <c r="E616" s="529"/>
      <c r="F616" s="529"/>
      <c r="G616" s="530"/>
      <c r="H616" s="252" t="s">
        <v>14</v>
      </c>
      <c r="I616" s="54"/>
      <c r="J616" s="54"/>
      <c r="K616" s="55"/>
      <c r="L616" s="541">
        <f>L617+L618</f>
        <v>0</v>
      </c>
      <c r="M616" s="540">
        <f>M617+M618</f>
        <v>0</v>
      </c>
      <c r="N616" s="540">
        <f>N617+N618</f>
        <v>0</v>
      </c>
      <c r="O616" s="540">
        <f>IF(L616&gt;0,N616*100/L616,0)</f>
        <v>0</v>
      </c>
      <c r="P616" s="540">
        <f>IF(M616&gt;0,N616*100/M616,0)</f>
        <v>0</v>
      </c>
      <c r="Q616" s="540">
        <f ca="1">Q617+Q618</f>
        <v>7125</v>
      </c>
      <c r="R616" s="540">
        <f ca="1">R617+R618</f>
        <v>7125</v>
      </c>
      <c r="S616" s="540">
        <f ca="1">S617+S618</f>
        <v>0</v>
      </c>
      <c r="T616" s="540">
        <f ca="1">IF(Q616&gt;0,S616*100/Q616,0)</f>
        <v>0</v>
      </c>
      <c r="U616" s="540">
        <f ca="1">IF(R616&gt;0,S616*100/R616,0)</f>
        <v>0</v>
      </c>
    </row>
    <row r="617" spans="1:21" ht="18.75" hidden="1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103">
        <f>L620+L623</f>
        <v>0</v>
      </c>
      <c r="M617" s="102">
        <f>M620+M623</f>
        <v>0</v>
      </c>
      <c r="N617" s="102">
        <f>N620+N623</f>
        <v>0</v>
      </c>
      <c r="O617" s="102">
        <f>IF(L617&gt;0,N617*100/L617,0)</f>
        <v>0</v>
      </c>
      <c r="P617" s="102">
        <f>IF(M617&gt;0,N617*100/M617,0)</f>
        <v>0</v>
      </c>
      <c r="Q617" s="102">
        <f>Q620+Q623</f>
        <v>0</v>
      </c>
      <c r="R617" s="102">
        <f>R620+R623</f>
        <v>0</v>
      </c>
      <c r="S617" s="102">
        <f>S620+S623</f>
        <v>0</v>
      </c>
      <c r="T617" s="102">
        <f>IF(Q617&gt;0,S617*100/Q617,0)</f>
        <v>0</v>
      </c>
      <c r="U617" s="102">
        <f>IF(R617&gt;0,S617*100/R617,0)</f>
        <v>0</v>
      </c>
    </row>
    <row r="618" spans="1:21" ht="18.75" hidden="1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256">
        <f>L621+L624</f>
        <v>0</v>
      </c>
      <c r="M618" s="255">
        <f>M621+M624</f>
        <v>0</v>
      </c>
      <c r="N618" s="255">
        <f>N621+N624</f>
        <v>0</v>
      </c>
      <c r="O618" s="255">
        <f>IF(L618&gt;0,N618*100/L618,0)</f>
        <v>0</v>
      </c>
      <c r="P618" s="255">
        <f>IF(M618&gt;0,N618*100/M618,0)</f>
        <v>0</v>
      </c>
      <c r="Q618" s="255">
        <f ca="1">Q621+Q624</f>
        <v>7125</v>
      </c>
      <c r="R618" s="255">
        <f ca="1">R621+R624</f>
        <v>7125</v>
      </c>
      <c r="S618" s="255">
        <f ca="1">S621+S624</f>
        <v>0</v>
      </c>
      <c r="T618" s="255">
        <f ca="1">IF(Q618&gt;0,S618*100/Q618,0)</f>
        <v>0</v>
      </c>
      <c r="U618" s="255">
        <f ca="1">IF(R618&gt;0,S618*100/R618,0)</f>
        <v>0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256">
        <f>L620+L621</f>
        <v>0</v>
      </c>
      <c r="M619" s="255">
        <f>M620+M621</f>
        <v>0</v>
      </c>
      <c r="N619" s="255">
        <f>N620+N621</f>
        <v>0</v>
      </c>
      <c r="O619" s="255">
        <f>IF(L619&gt;0,N619*100/L619,0)</f>
        <v>0</v>
      </c>
      <c r="P619" s="255">
        <f>IF(M619&gt;0,N619*100/M619,0)</f>
        <v>0</v>
      </c>
      <c r="Q619" s="255">
        <f ca="1">Q620+Q621</f>
        <v>7125</v>
      </c>
      <c r="R619" s="255">
        <f ca="1">R620+R621</f>
        <v>7125</v>
      </c>
      <c r="S619" s="255">
        <f ca="1">S620+S621</f>
        <v>0</v>
      </c>
      <c r="T619" s="255">
        <f ca="1">IF(Q619&gt;0,S619*100/Q619,0)</f>
        <v>0</v>
      </c>
      <c r="U619" s="255">
        <f ca="1">IF(R619&gt;0,S619*100/R619,0)</f>
        <v>0</v>
      </c>
    </row>
    <row r="620" spans="1:21" ht="18.75" hidden="1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103">
        <v>0</v>
      </c>
      <c r="M620" s="102">
        <v>0</v>
      </c>
      <c r="N620" s="102">
        <v>0</v>
      </c>
      <c r="O620" s="102">
        <f>IF(L620&gt;0,N620*100/L620,0)</f>
        <v>0</v>
      </c>
      <c r="P620" s="102">
        <f>IF(M620&gt;0,N620*100/M620,0)</f>
        <v>0</v>
      </c>
      <c r="Q620" s="102">
        <v>0</v>
      </c>
      <c r="R620" s="102">
        <v>0</v>
      </c>
      <c r="S620" s="102">
        <v>0</v>
      </c>
      <c r="T620" s="102">
        <f>IF(Q620&gt;0,S620*100/Q620,0)</f>
        <v>0</v>
      </c>
      <c r="U620" s="102">
        <f>IF(R620&gt;0,S620*100/R620,0)</f>
        <v>0</v>
      </c>
    </row>
    <row r="621" spans="1:21" ht="18.75" hidden="1">
      <c r="A621" s="155"/>
      <c r="B621" s="188"/>
      <c r="C621" s="188"/>
      <c r="D621" s="174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256">
        <v>0</v>
      </c>
      <c r="M621" s="255">
        <v>0</v>
      </c>
      <c r="N621" s="255">
        <v>0</v>
      </c>
      <c r="O621" s="255">
        <f>IF(L621&gt;0,N621*100/L621,0)</f>
        <v>0</v>
      </c>
      <c r="P621" s="255">
        <f>IF(M621&gt;0,N621*100/M621,0)</f>
        <v>0</v>
      </c>
      <c r="Q621" s="255">
        <f ca="1">IFERROR(__xludf.DUMMYFUNCTION("IMPORTRANGE(""https://docs.google.com/spreadsheets/d/1ItG2mGa2ceCfYo0BwxsXqNm01IGEUdYcSSLTEv9YCik/edit?usp=sharing"",""เบิกจ่ายกองทุน!F51"")"),7125)</f>
        <v>7125</v>
      </c>
      <c r="R621" s="255">
        <f ca="1">IFERROR(__xludf.DUMMYFUNCTION("IMPORTRANGE(""https://docs.google.com/spreadsheets/d/1ItG2mGa2ceCfYo0BwxsXqNm01IGEUdYcSSLTEv9YCik/edit?usp=sharing"",""เบิกจ่ายกองทุน!G51"")"),7125)</f>
        <v>7125</v>
      </c>
      <c r="S621" s="255">
        <f ca="1">IFERROR(__xludf.DUMMYFUNCTION("IMPORTRANGE(""https://docs.google.com/spreadsheets/d/1ItG2mGa2ceCfYo0BwxsXqNm01IGEUdYcSSLTEv9YCik/edit?usp=sharing"",""เบิกจ่ายกองทุน!H51"")"),0)</f>
        <v>0</v>
      </c>
      <c r="T621" s="255">
        <f ca="1">IF(Q621&gt;0,S621*100/Q621,0)</f>
        <v>0</v>
      </c>
      <c r="U621" s="255">
        <f ca="1">IF(R621&gt;0,S621*100/R621,0)</f>
        <v>0</v>
      </c>
    </row>
    <row r="622" spans="1:21" ht="18.75">
      <c r="A622" s="155"/>
      <c r="B622" s="188"/>
      <c r="C622" s="188"/>
      <c r="D622" s="51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256">
        <f>L623+L624</f>
        <v>0</v>
      </c>
      <c r="M622" s="255">
        <f>M623+M624</f>
        <v>0</v>
      </c>
      <c r="N622" s="255">
        <f>N623+N624</f>
        <v>0</v>
      </c>
      <c r="O622" s="255">
        <f>IF(L622&gt;0,N622*100/L622,0)</f>
        <v>0</v>
      </c>
      <c r="P622" s="255">
        <f>IF(M622&gt;0,N622*100/M622,0)</f>
        <v>0</v>
      </c>
      <c r="Q622" s="255">
        <f>Q623+Q624</f>
        <v>0</v>
      </c>
      <c r="R622" s="255">
        <f>R623+R624</f>
        <v>0</v>
      </c>
      <c r="S622" s="255">
        <f>S623+S624</f>
        <v>0</v>
      </c>
      <c r="T622" s="255">
        <f>IF(Q622&gt;0,S622*100/Q622,0)</f>
        <v>0</v>
      </c>
      <c r="U622" s="255">
        <f>IF(R622&gt;0,S622*100/R622,0)</f>
        <v>0</v>
      </c>
    </row>
    <row r="623" spans="1:21" ht="18.75" hidden="1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103">
        <v>0</v>
      </c>
      <c r="M623" s="102">
        <v>0</v>
      </c>
      <c r="N623" s="102">
        <v>0</v>
      </c>
      <c r="O623" s="102">
        <f>IF(L623&gt;0,N623*100/L623,0)</f>
        <v>0</v>
      </c>
      <c r="P623" s="102">
        <f>IF(M623&gt;0,N623*100/M623,0)</f>
        <v>0</v>
      </c>
      <c r="Q623" s="102">
        <v>0</v>
      </c>
      <c r="R623" s="102">
        <v>0</v>
      </c>
      <c r="S623" s="102">
        <v>0</v>
      </c>
      <c r="T623" s="102">
        <f>IF(Q623&gt;0,S623*100/Q623,0)</f>
        <v>0</v>
      </c>
      <c r="U623" s="102">
        <f>IF(R623&gt;0,S623*100/R623,0)</f>
        <v>0</v>
      </c>
    </row>
    <row r="624" spans="1:21" ht="18.75" hidden="1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256">
        <v>0</v>
      </c>
      <c r="M624" s="255">
        <v>0</v>
      </c>
      <c r="N624" s="255">
        <v>0</v>
      </c>
      <c r="O624" s="255">
        <f>IF(L624&gt;0,N624*100/L624,0)</f>
        <v>0</v>
      </c>
      <c r="P624" s="255">
        <f>IF(M624&gt;0,N624*100/M624,0)</f>
        <v>0</v>
      </c>
      <c r="Q624" s="255">
        <v>0</v>
      </c>
      <c r="R624" s="255">
        <v>0</v>
      </c>
      <c r="S624" s="255">
        <v>0</v>
      </c>
      <c r="T624" s="255">
        <f>IF(Q624&gt;0,S624*100/Q624,0)</f>
        <v>0</v>
      </c>
      <c r="U624" s="255">
        <f>IF(R624&gt;0,S624*100/R624,0)</f>
        <v>0</v>
      </c>
    </row>
    <row r="625" spans="1:21" ht="19.5">
      <c r="A625" s="166"/>
      <c r="B625" s="167"/>
      <c r="C625" s="205" t="s">
        <v>18</v>
      </c>
      <c r="D625" s="539" t="s">
        <v>38</v>
      </c>
      <c r="E625" s="169"/>
      <c r="F625" s="169"/>
      <c r="G625" s="170"/>
      <c r="H625" s="206"/>
      <c r="I625" s="163"/>
      <c r="J625" s="163"/>
      <c r="K625" s="164"/>
      <c r="L625" s="172"/>
      <c r="M625" s="164"/>
      <c r="N625" s="164"/>
      <c r="O625" s="164"/>
      <c r="P625" s="164"/>
      <c r="Q625" s="164"/>
      <c r="R625" s="164"/>
      <c r="S625" s="164"/>
      <c r="T625" s="164"/>
      <c r="U625" s="164"/>
    </row>
    <row r="626" spans="1:21" ht="19.5">
      <c r="A626" s="166"/>
      <c r="B626" s="167"/>
      <c r="C626" s="167"/>
      <c r="D626" s="460" t="s">
        <v>224</v>
      </c>
      <c r="E626" s="174"/>
      <c r="F626" s="174"/>
      <c r="G626" s="171"/>
      <c r="H626" s="461" t="s">
        <v>46</v>
      </c>
      <c r="I626" s="373">
        <f ca="1">IFERROR(__xludf.DUMMYFUNCTION("IMPORTRANGE(""https://docs.google.com/spreadsheets/d/1eHaY18a8A9IcSdp1K8H6x8fbOy06t2VsZHhMHf-1x7Y/edit?usp=sharing"",""แผน!ID51"")"),50)</f>
        <v>50</v>
      </c>
      <c r="J626" s="373">
        <f>J632</f>
        <v>0</v>
      </c>
      <c r="K626" s="540">
        <f ca="1">IF(I626&gt;0,J626*100/I626,0)</f>
        <v>0</v>
      </c>
      <c r="L626" s="172"/>
      <c r="M626" s="164"/>
      <c r="N626" s="164"/>
      <c r="O626" s="164"/>
      <c r="P626" s="164"/>
      <c r="Q626" s="164"/>
      <c r="R626" s="164"/>
      <c r="S626" s="164"/>
      <c r="T626" s="164"/>
      <c r="U626" s="164"/>
    </row>
    <row r="627" spans="1:21" ht="18.75">
      <c r="A627" s="166"/>
      <c r="B627" s="167"/>
      <c r="C627" s="167"/>
      <c r="D627" s="167"/>
      <c r="E627" s="178" t="s">
        <v>225</v>
      </c>
      <c r="F627" s="174"/>
      <c r="G627" s="171"/>
      <c r="H627" s="165" t="s">
        <v>61</v>
      </c>
      <c r="I627" s="212">
        <f ca="1">IFERROR(__xludf.DUMMYFUNCTION("IMPORTRANGE(""https://docs.google.com/spreadsheets/d/1eHaY18a8A9IcSdp1K8H6x8fbOy06t2VsZHhMHf-1x7Y/edit?usp=sharing"",""แผน!IC51"")"),0)</f>
        <v>0</v>
      </c>
      <c r="J627" s="467">
        <v>0</v>
      </c>
      <c r="K627" s="255">
        <f ca="1">IF(I627&gt;0,(J627*100)/I627,0)</f>
        <v>0</v>
      </c>
      <c r="L627" s="172"/>
      <c r="M627" s="164"/>
      <c r="N627" s="164"/>
      <c r="O627" s="164"/>
      <c r="P627" s="164"/>
      <c r="Q627" s="164"/>
      <c r="R627" s="164"/>
      <c r="S627" s="164"/>
      <c r="T627" s="164"/>
      <c r="U627" s="164"/>
    </row>
    <row r="628" spans="1:21" ht="18.75">
      <c r="A628" s="166"/>
      <c r="B628" s="167"/>
      <c r="C628" s="167"/>
      <c r="D628" s="167"/>
      <c r="E628" s="178" t="s">
        <v>226</v>
      </c>
      <c r="F628" s="174"/>
      <c r="G628" s="171"/>
      <c r="H628" s="165" t="s">
        <v>61</v>
      </c>
      <c r="I628" s="212">
        <f ca="1">IFERROR(__xludf.DUMMYFUNCTION("IMPORTRANGE(""https://docs.google.com/spreadsheets/d/1eHaY18a8A9IcSdp1K8H6x8fbOy06t2VsZHhMHf-1x7Y/edit?usp=sharing"",""แผน!IC51"")"),0)</f>
        <v>0</v>
      </c>
      <c r="J628" s="467">
        <v>11</v>
      </c>
      <c r="K628" s="255">
        <f ca="1">IF(I628&gt;0,(J628*100)/I628,0)</f>
        <v>0</v>
      </c>
      <c r="L628" s="172"/>
      <c r="M628" s="164"/>
      <c r="N628" s="164"/>
      <c r="O628" s="164"/>
      <c r="P628" s="164"/>
      <c r="Q628" s="164"/>
      <c r="R628" s="164"/>
      <c r="S628" s="164"/>
      <c r="T628" s="164"/>
      <c r="U628" s="164"/>
    </row>
    <row r="629" spans="1:21" ht="18.75">
      <c r="A629" s="166"/>
      <c r="B629" s="167"/>
      <c r="C629" s="167"/>
      <c r="D629" s="167"/>
      <c r="E629" s="178" t="s">
        <v>227</v>
      </c>
      <c r="F629" s="174"/>
      <c r="G629" s="171"/>
      <c r="H629" s="165" t="s">
        <v>46</v>
      </c>
      <c r="I629" s="54"/>
      <c r="J629" s="467">
        <v>160</v>
      </c>
      <c r="K629" s="255">
        <f ca="1">IF(I$626&gt;0,J629*100/I$626,0)</f>
        <v>320</v>
      </c>
      <c r="L629" s="172"/>
      <c r="M629" s="164"/>
      <c r="N629" s="164"/>
      <c r="O629" s="164"/>
      <c r="P629" s="164"/>
      <c r="Q629" s="164"/>
      <c r="R629" s="164"/>
      <c r="S629" s="164"/>
      <c r="T629" s="164"/>
      <c r="U629" s="164"/>
    </row>
    <row r="630" spans="1:21" ht="18.75">
      <c r="A630" s="166"/>
      <c r="B630" s="167"/>
      <c r="C630" s="167"/>
      <c r="D630" s="167"/>
      <c r="E630" s="178" t="s">
        <v>228</v>
      </c>
      <c r="F630" s="174"/>
      <c r="G630" s="171"/>
      <c r="H630" s="165" t="s">
        <v>46</v>
      </c>
      <c r="I630" s="54"/>
      <c r="J630" s="467">
        <v>0</v>
      </c>
      <c r="K630" s="255">
        <f ca="1">IF(I$626&gt;0,J630*100/I$626,0)</f>
        <v>0</v>
      </c>
      <c r="L630" s="172"/>
      <c r="M630" s="164"/>
      <c r="N630" s="164"/>
      <c r="O630" s="164"/>
      <c r="P630" s="164"/>
      <c r="Q630" s="164"/>
      <c r="R630" s="164"/>
      <c r="S630" s="164"/>
      <c r="T630" s="164"/>
      <c r="U630" s="164"/>
    </row>
    <row r="631" spans="1:21" ht="18.75">
      <c r="A631" s="166"/>
      <c r="B631" s="167"/>
      <c r="C631" s="167"/>
      <c r="D631" s="167"/>
      <c r="E631" s="178" t="s">
        <v>229</v>
      </c>
      <c r="F631" s="174"/>
      <c r="G631" s="171"/>
      <c r="H631" s="165" t="s">
        <v>46</v>
      </c>
      <c r="I631" s="54"/>
      <c r="J631" s="467">
        <v>0</v>
      </c>
      <c r="K631" s="255">
        <f ca="1">IF(I$626&gt;0,J631*100/I$626,0)</f>
        <v>0</v>
      </c>
      <c r="L631" s="172"/>
      <c r="M631" s="164"/>
      <c r="N631" s="164"/>
      <c r="O631" s="164"/>
      <c r="P631" s="164"/>
      <c r="Q631" s="164"/>
      <c r="R631" s="164"/>
      <c r="S631" s="164"/>
      <c r="T631" s="164"/>
      <c r="U631" s="164"/>
    </row>
    <row r="632" spans="1:21" ht="19.5">
      <c r="A632" s="166"/>
      <c r="B632" s="167"/>
      <c r="C632" s="167"/>
      <c r="D632" s="167"/>
      <c r="E632" s="178" t="s">
        <v>230</v>
      </c>
      <c r="F632" s="174"/>
      <c r="G632" s="171"/>
      <c r="H632" s="165" t="s">
        <v>46</v>
      </c>
      <c r="I632" s="54"/>
      <c r="J632" s="373">
        <f>J633+J634</f>
        <v>0</v>
      </c>
      <c r="K632" s="540">
        <f ca="1">IF(I626&gt;0,J632*100/I626,0)</f>
        <v>0</v>
      </c>
      <c r="L632" s="172"/>
      <c r="M632" s="164"/>
      <c r="N632" s="164"/>
      <c r="O632" s="164"/>
      <c r="P632" s="164"/>
      <c r="Q632" s="164"/>
      <c r="R632" s="164"/>
      <c r="S632" s="164"/>
      <c r="T632" s="164"/>
      <c r="U632" s="164"/>
    </row>
    <row r="633" spans="1:21" ht="18.75">
      <c r="A633" s="166"/>
      <c r="B633" s="167"/>
      <c r="C633" s="167"/>
      <c r="D633" s="167"/>
      <c r="E633" s="174"/>
      <c r="F633" s="178" t="s">
        <v>231</v>
      </c>
      <c r="G633" s="171"/>
      <c r="H633" s="165" t="s">
        <v>46</v>
      </c>
      <c r="I633" s="54"/>
      <c r="J633" s="467">
        <v>0</v>
      </c>
      <c r="K633" s="55"/>
      <c r="L633" s="172"/>
      <c r="M633" s="164"/>
      <c r="N633" s="164"/>
      <c r="O633" s="164"/>
      <c r="P633" s="164"/>
      <c r="Q633" s="164"/>
      <c r="R633" s="164"/>
      <c r="S633" s="164"/>
      <c r="T633" s="164"/>
      <c r="U633" s="164"/>
    </row>
    <row r="634" spans="1:21" ht="18.75">
      <c r="A634" s="166"/>
      <c r="B634" s="167"/>
      <c r="C634" s="167"/>
      <c r="D634" s="167"/>
      <c r="E634" s="174"/>
      <c r="F634" s="178" t="s">
        <v>232</v>
      </c>
      <c r="G634" s="171"/>
      <c r="H634" s="165" t="s">
        <v>46</v>
      </c>
      <c r="I634" s="54"/>
      <c r="J634" s="467">
        <v>0</v>
      </c>
      <c r="K634" s="55"/>
      <c r="L634" s="172"/>
      <c r="M634" s="164"/>
      <c r="N634" s="164"/>
      <c r="O634" s="164"/>
      <c r="P634" s="164"/>
      <c r="Q634" s="164"/>
      <c r="R634" s="164"/>
      <c r="S634" s="164"/>
      <c r="T634" s="164"/>
      <c r="U634" s="164"/>
    </row>
    <row r="635" spans="1:21" ht="19.5">
      <c r="A635" s="166"/>
      <c r="B635" s="167"/>
      <c r="C635" s="167"/>
      <c r="D635" s="460" t="s">
        <v>233</v>
      </c>
      <c r="E635" s="174"/>
      <c r="F635" s="174"/>
      <c r="G635" s="171"/>
      <c r="H635" s="165" t="s">
        <v>46</v>
      </c>
      <c r="I635" s="373">
        <f ca="1">IFERROR(__xludf.DUMMYFUNCTION("IMPORTRANGE(""https://docs.google.com/spreadsheets/d/1eHaY18a8A9IcSdp1K8H6x8fbOy06t2VsZHhMHf-1x7Y/edit?usp=sharing"",""แผน!IE51"")"),0)</f>
        <v>0</v>
      </c>
      <c r="J635" s="373">
        <f>J636</f>
        <v>0</v>
      </c>
      <c r="K635" s="540">
        <f ca="1">IF(I635&gt;0,J635*100/I635,0)</f>
        <v>0</v>
      </c>
      <c r="L635" s="172"/>
      <c r="M635" s="164"/>
      <c r="N635" s="164"/>
      <c r="O635" s="164"/>
      <c r="P635" s="164"/>
      <c r="Q635" s="164"/>
      <c r="R635" s="164"/>
      <c r="S635" s="164"/>
      <c r="T635" s="164"/>
      <c r="U635" s="164"/>
    </row>
    <row r="636" spans="1:21" ht="18.75">
      <c r="A636" s="166"/>
      <c r="B636" s="167"/>
      <c r="C636" s="167"/>
      <c r="D636" s="167"/>
      <c r="E636" s="178" t="s">
        <v>234</v>
      </c>
      <c r="F636" s="174"/>
      <c r="G636" s="171"/>
      <c r="H636" s="165" t="s">
        <v>46</v>
      </c>
      <c r="I636" s="54"/>
      <c r="J636" s="212">
        <f>J637+J638</f>
        <v>0</v>
      </c>
      <c r="K636" s="55"/>
      <c r="L636" s="172"/>
      <c r="M636" s="164"/>
      <c r="N636" s="164"/>
      <c r="O636" s="164"/>
      <c r="P636" s="164"/>
      <c r="Q636" s="164"/>
      <c r="R636" s="164"/>
      <c r="S636" s="164"/>
      <c r="T636" s="164"/>
      <c r="U636" s="164"/>
    </row>
    <row r="637" spans="1:21" ht="18.75">
      <c r="A637" s="166"/>
      <c r="B637" s="167"/>
      <c r="C637" s="167"/>
      <c r="D637" s="167"/>
      <c r="E637" s="174"/>
      <c r="F637" s="178" t="s">
        <v>231</v>
      </c>
      <c r="G637" s="171"/>
      <c r="H637" s="165" t="s">
        <v>46</v>
      </c>
      <c r="I637" s="54"/>
      <c r="J637" s="467">
        <v>0</v>
      </c>
      <c r="K637" s="55"/>
      <c r="L637" s="172"/>
      <c r="M637" s="164"/>
      <c r="N637" s="164"/>
      <c r="O637" s="164"/>
      <c r="P637" s="164"/>
      <c r="Q637" s="164"/>
      <c r="R637" s="164"/>
      <c r="S637" s="164"/>
      <c r="T637" s="164"/>
      <c r="U637" s="164"/>
    </row>
    <row r="638" spans="1:21" ht="18.75">
      <c r="A638" s="166"/>
      <c r="B638" s="167"/>
      <c r="C638" s="167"/>
      <c r="D638" s="167"/>
      <c r="E638" s="174"/>
      <c r="F638" s="178" t="s">
        <v>232</v>
      </c>
      <c r="G638" s="171"/>
      <c r="H638" s="165" t="s">
        <v>46</v>
      </c>
      <c r="I638" s="54"/>
      <c r="J638" s="467">
        <v>0</v>
      </c>
      <c r="K638" s="55"/>
      <c r="L638" s="172"/>
      <c r="M638" s="164"/>
      <c r="N638" s="164"/>
      <c r="O638" s="164"/>
      <c r="P638" s="164"/>
      <c r="Q638" s="164"/>
      <c r="R638" s="164"/>
      <c r="S638" s="164"/>
      <c r="T638" s="164"/>
      <c r="U638" s="164"/>
    </row>
    <row r="639" spans="1:21" ht="18.75">
      <c r="A639" s="166"/>
      <c r="B639" s="167"/>
      <c r="C639" s="167"/>
      <c r="D639" s="167"/>
      <c r="E639" s="178" t="s">
        <v>235</v>
      </c>
      <c r="F639" s="174"/>
      <c r="G639" s="171"/>
      <c r="H639" s="165" t="s">
        <v>46</v>
      </c>
      <c r="I639" s="54"/>
      <c r="J639" s="467">
        <v>0</v>
      </c>
      <c r="K639" s="55"/>
      <c r="L639" s="172"/>
      <c r="M639" s="164"/>
      <c r="N639" s="164"/>
      <c r="O639" s="164"/>
      <c r="P639" s="164"/>
      <c r="Q639" s="164"/>
      <c r="R639" s="164"/>
      <c r="S639" s="164"/>
      <c r="T639" s="164"/>
      <c r="U639" s="164"/>
    </row>
    <row r="640" spans="1:21" ht="18.75">
      <c r="A640" s="166"/>
      <c r="B640" s="167"/>
      <c r="C640" s="167"/>
      <c r="D640" s="167"/>
      <c r="E640" s="174"/>
      <c r="F640" s="178" t="s">
        <v>236</v>
      </c>
      <c r="G640" s="171"/>
      <c r="H640" s="165" t="s">
        <v>46</v>
      </c>
      <c r="I640" s="54"/>
      <c r="J640" s="467">
        <v>0</v>
      </c>
      <c r="K640" s="55"/>
      <c r="L640" s="172"/>
      <c r="M640" s="164"/>
      <c r="N640" s="164"/>
      <c r="O640" s="164"/>
      <c r="P640" s="164"/>
      <c r="Q640" s="164"/>
      <c r="R640" s="164"/>
      <c r="S640" s="164"/>
      <c r="T640" s="164"/>
      <c r="U640" s="164"/>
    </row>
    <row r="641" spans="1:21" ht="19.5">
      <c r="A641" s="450"/>
      <c r="B641" s="451" t="s">
        <v>237</v>
      </c>
      <c r="C641" s="450"/>
      <c r="D641" s="452"/>
      <c r="E641" s="452"/>
      <c r="F641" s="452"/>
      <c r="G641" s="453"/>
      <c r="H641" s="462"/>
      <c r="I641" s="463"/>
      <c r="J641" s="463"/>
      <c r="K641" s="457"/>
      <c r="L641" s="458"/>
      <c r="M641" s="457"/>
      <c r="N641" s="457"/>
      <c r="O641" s="457"/>
      <c r="P641" s="457"/>
      <c r="Q641" s="457"/>
      <c r="R641" s="457"/>
      <c r="S641" s="457"/>
      <c r="T641" s="457"/>
      <c r="U641" s="457"/>
    </row>
    <row r="642" spans="1:21" ht="19.5">
      <c r="A642" s="155"/>
      <c r="B642" s="188"/>
      <c r="C642" s="239" t="s">
        <v>18</v>
      </c>
      <c r="D642" s="542" t="s">
        <v>19</v>
      </c>
      <c r="E642" s="529"/>
      <c r="F642" s="529"/>
      <c r="G642" s="530"/>
      <c r="H642" s="252" t="s">
        <v>14</v>
      </c>
      <c r="I642" s="54"/>
      <c r="J642" s="54"/>
      <c r="K642" s="55"/>
      <c r="L642" s="541">
        <f>L643+L644</f>
        <v>0</v>
      </c>
      <c r="M642" s="540">
        <f>M643+M644</f>
        <v>0</v>
      </c>
      <c r="N642" s="540">
        <f>N643+N644</f>
        <v>0</v>
      </c>
      <c r="O642" s="540">
        <f>IF(L642&gt;0,N642*100/L642,0)</f>
        <v>0</v>
      </c>
      <c r="P642" s="540">
        <f>IF(M642&gt;0,N642*100/M642,0)</f>
        <v>0</v>
      </c>
      <c r="Q642" s="540">
        <f ca="1">Q643+Q644</f>
        <v>2240</v>
      </c>
      <c r="R642" s="540">
        <f ca="1">R643+R644</f>
        <v>2240</v>
      </c>
      <c r="S642" s="540">
        <f ca="1">S643+S644</f>
        <v>0</v>
      </c>
      <c r="T642" s="540">
        <f ca="1">IF(Q642&gt;0,S642*100/Q642,0)</f>
        <v>0</v>
      </c>
      <c r="U642" s="540">
        <f ca="1">IF(R642&gt;0,S642*100/R642,0)</f>
        <v>0</v>
      </c>
    </row>
    <row r="643" spans="1:21" ht="18.75" hidden="1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103">
        <f>L646+L649</f>
        <v>0</v>
      </c>
      <c r="M643" s="102">
        <f>M646+M649</f>
        <v>0</v>
      </c>
      <c r="N643" s="102">
        <f>N646+N649</f>
        <v>0</v>
      </c>
      <c r="O643" s="102">
        <f>IF(L643&gt;0,N643*100/L643,0)</f>
        <v>0</v>
      </c>
      <c r="P643" s="102">
        <f>IF(M643&gt;0,N643*100/M643,0)</f>
        <v>0</v>
      </c>
      <c r="Q643" s="102">
        <f>Q646+Q649</f>
        <v>0</v>
      </c>
      <c r="R643" s="102">
        <f>R646+R649</f>
        <v>0</v>
      </c>
      <c r="S643" s="102">
        <f>S646+S649</f>
        <v>0</v>
      </c>
      <c r="T643" s="102">
        <f>IF(Q643&gt;0,S643*100/Q643,0)</f>
        <v>0</v>
      </c>
      <c r="U643" s="102">
        <f>IF(R643&gt;0,S643*100/R643,0)</f>
        <v>0</v>
      </c>
    </row>
    <row r="644" spans="1:21" ht="18.75" hidden="1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256">
        <f>L647+L650</f>
        <v>0</v>
      </c>
      <c r="M644" s="255">
        <f>M647+M650</f>
        <v>0</v>
      </c>
      <c r="N644" s="255">
        <f>N647+N650</f>
        <v>0</v>
      </c>
      <c r="O644" s="255">
        <f>IF(L644&gt;0,N644*100/L644,0)</f>
        <v>0</v>
      </c>
      <c r="P644" s="255">
        <f>IF(M644&gt;0,N644*100/M644,0)</f>
        <v>0</v>
      </c>
      <c r="Q644" s="255">
        <f ca="1">Q647+Q650</f>
        <v>2240</v>
      </c>
      <c r="R644" s="255">
        <f ca="1">R647+R650</f>
        <v>2240</v>
      </c>
      <c r="S644" s="255">
        <f ca="1">S647+S650</f>
        <v>0</v>
      </c>
      <c r="T644" s="255">
        <f ca="1">IF(Q644&gt;0,S644*100/Q644,0)</f>
        <v>0</v>
      </c>
      <c r="U644" s="255">
        <f ca="1">IF(R644&gt;0,S644*100/R644,0)</f>
        <v>0</v>
      </c>
    </row>
    <row r="645" spans="1:21" ht="18.75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256">
        <f>L646+L647</f>
        <v>0</v>
      </c>
      <c r="M645" s="255">
        <f>M646+M647</f>
        <v>0</v>
      </c>
      <c r="N645" s="255">
        <f>N646+N647</f>
        <v>0</v>
      </c>
      <c r="O645" s="255">
        <f>IF(L645&gt;0,N645*100/L645,0)</f>
        <v>0</v>
      </c>
      <c r="P645" s="255">
        <f>IF(M645&gt;0,N645*100/M645,0)</f>
        <v>0</v>
      </c>
      <c r="Q645" s="255">
        <f ca="1">Q646+Q647</f>
        <v>2240</v>
      </c>
      <c r="R645" s="255">
        <f ca="1">R646+R647</f>
        <v>2240</v>
      </c>
      <c r="S645" s="255">
        <f ca="1">S646+S647</f>
        <v>0</v>
      </c>
      <c r="T645" s="255">
        <f ca="1">IF(Q645&gt;0,S645*100/Q645,0)</f>
        <v>0</v>
      </c>
      <c r="U645" s="255">
        <f ca="1">IF(R645&gt;0,S645*100/R645,0)</f>
        <v>0</v>
      </c>
    </row>
    <row r="646" spans="1:21" ht="18.75" hidden="1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103">
        <v>0</v>
      </c>
      <c r="M646" s="102">
        <v>0</v>
      </c>
      <c r="N646" s="102">
        <v>0</v>
      </c>
      <c r="O646" s="102">
        <f>IF(L646&gt;0,N646*100/L646,0)</f>
        <v>0</v>
      </c>
      <c r="P646" s="102">
        <f>IF(M646&gt;0,N646*100/M646,0)</f>
        <v>0</v>
      </c>
      <c r="Q646" s="102">
        <v>0</v>
      </c>
      <c r="R646" s="102">
        <v>0</v>
      </c>
      <c r="S646" s="102">
        <v>0</v>
      </c>
      <c r="T646" s="102">
        <f>IF(Q646&gt;0,S646*100/Q646,0)</f>
        <v>0</v>
      </c>
      <c r="U646" s="102">
        <f>IF(R646&gt;0,S646*100/R646,0)</f>
        <v>0</v>
      </c>
    </row>
    <row r="647" spans="1:21" ht="18.75" hidden="1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256">
        <v>0</v>
      </c>
      <c r="M647" s="255">
        <v>0</v>
      </c>
      <c r="N647" s="255">
        <v>0</v>
      </c>
      <c r="O647" s="255">
        <f>IF(L647&gt;0,N647*100/L647,0)</f>
        <v>0</v>
      </c>
      <c r="P647" s="255">
        <f>IF(M647&gt;0,N647*100/M647,0)</f>
        <v>0</v>
      </c>
      <c r="Q647" s="255">
        <f ca="1">IFERROR(__xludf.DUMMYFUNCTION("IMPORTRANGE(""https://docs.google.com/spreadsheets/d/1ItG2mGa2ceCfYo0BwxsXqNm01IGEUdYcSSLTEv9YCik/edit?usp=sharing"",""เบิกจ่ายกองทุน!I51"")"),2240)</f>
        <v>2240</v>
      </c>
      <c r="R647" s="255">
        <f ca="1">IFERROR(__xludf.DUMMYFUNCTION("IMPORTRANGE(""https://docs.google.com/spreadsheets/d/1ItG2mGa2ceCfYo0BwxsXqNm01IGEUdYcSSLTEv9YCik/edit?usp=sharing"",""เบิกจ่ายกองทุน!J51"")"),2240)</f>
        <v>2240</v>
      </c>
      <c r="S647" s="255">
        <f ca="1">IFERROR(__xludf.DUMMYFUNCTION("IMPORTRANGE(""https://docs.google.com/spreadsheets/d/1ItG2mGa2ceCfYo0BwxsXqNm01IGEUdYcSSLTEv9YCik/edit?usp=sharing"",""เบิกจ่ายกองทุน!K51"")"),0)</f>
        <v>0</v>
      </c>
      <c r="T647" s="255">
        <f ca="1">IF(Q647&gt;0,S647*100/Q647,0)</f>
        <v>0</v>
      </c>
      <c r="U647" s="255">
        <f ca="1">IF(R647&gt;0,S647*100/R647,0)</f>
        <v>0</v>
      </c>
    </row>
    <row r="648" spans="1:21" ht="18.75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256">
        <f>L649+L650</f>
        <v>0</v>
      </c>
      <c r="M648" s="255">
        <f>M649+M650</f>
        <v>0</v>
      </c>
      <c r="N648" s="255">
        <f>N649+N650</f>
        <v>0</v>
      </c>
      <c r="O648" s="255">
        <f>IF(L648&gt;0,N648*100/L648,0)</f>
        <v>0</v>
      </c>
      <c r="P648" s="255">
        <f>IF(M648&gt;0,N648*100/M648,0)</f>
        <v>0</v>
      </c>
      <c r="Q648" s="255">
        <f>Q649+Q650</f>
        <v>0</v>
      </c>
      <c r="R648" s="255">
        <f>R649+R650</f>
        <v>0</v>
      </c>
      <c r="S648" s="255">
        <f>S649+S650</f>
        <v>0</v>
      </c>
      <c r="T648" s="255">
        <f>IF(Q648&gt;0,S648*100/Q648,0)</f>
        <v>0</v>
      </c>
      <c r="U648" s="255">
        <f>IF(R648&gt;0,S648*100/R648,0)</f>
        <v>0</v>
      </c>
    </row>
    <row r="649" spans="1:21" ht="18.75" hidden="1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103">
        <v>0</v>
      </c>
      <c r="M649" s="102">
        <v>0</v>
      </c>
      <c r="N649" s="102">
        <v>0</v>
      </c>
      <c r="O649" s="102">
        <f>IF(L649&gt;0,N649*100/L649,0)</f>
        <v>0</v>
      </c>
      <c r="P649" s="102">
        <f>IF(M649&gt;0,N649*100/M649,0)</f>
        <v>0</v>
      </c>
      <c r="Q649" s="102">
        <v>0</v>
      </c>
      <c r="R649" s="102">
        <v>0</v>
      </c>
      <c r="S649" s="102">
        <v>0</v>
      </c>
      <c r="T649" s="102">
        <f>IF(Q649&gt;0,S649*100/Q649,0)</f>
        <v>0</v>
      </c>
      <c r="U649" s="102">
        <f>IF(R649&gt;0,S649*100/R649,0)</f>
        <v>0</v>
      </c>
    </row>
    <row r="650" spans="1:21" ht="18.75" hidden="1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256">
        <v>0</v>
      </c>
      <c r="M650" s="255">
        <v>0</v>
      </c>
      <c r="N650" s="255">
        <v>0</v>
      </c>
      <c r="O650" s="255">
        <f>IF(L650&gt;0,N650*100/L650,0)</f>
        <v>0</v>
      </c>
      <c r="P650" s="255">
        <f>IF(M650&gt;0,N650*100/M650,0)</f>
        <v>0</v>
      </c>
      <c r="Q650" s="255">
        <v>0</v>
      </c>
      <c r="R650" s="255">
        <v>0</v>
      </c>
      <c r="S650" s="255">
        <v>0</v>
      </c>
      <c r="T650" s="255">
        <f>IF(Q650&gt;0,S650*100/Q650,0)</f>
        <v>0</v>
      </c>
      <c r="U650" s="255">
        <f>IF(R650&gt;0,S650*100/R650,0)</f>
        <v>0</v>
      </c>
    </row>
    <row r="651" spans="1:21" ht="19.5">
      <c r="A651" s="166"/>
      <c r="B651" s="167"/>
      <c r="C651" s="239" t="s">
        <v>18</v>
      </c>
      <c r="D651" s="571" t="s">
        <v>38</v>
      </c>
      <c r="E651" s="169"/>
      <c r="F651" s="169"/>
      <c r="G651" s="170"/>
      <c r="H651" s="206"/>
      <c r="I651" s="163"/>
      <c r="J651" s="163"/>
      <c r="K651" s="164"/>
      <c r="L651" s="172"/>
      <c r="M651" s="164"/>
      <c r="N651" s="164"/>
      <c r="O651" s="164"/>
      <c r="P651" s="164"/>
      <c r="Q651" s="55"/>
      <c r="R651" s="55"/>
      <c r="S651" s="55"/>
      <c r="T651" s="164"/>
      <c r="U651" s="164"/>
    </row>
    <row r="652" spans="1:21" ht="18.75">
      <c r="A652" s="238"/>
      <c r="B652" s="188"/>
      <c r="C652" s="188"/>
      <c r="D652" s="58" t="s">
        <v>238</v>
      </c>
      <c r="E652" s="50"/>
      <c r="F652" s="50"/>
      <c r="G652" s="52"/>
      <c r="H652" s="165" t="s">
        <v>46</v>
      </c>
      <c r="I652" s="570">
        <f ca="1">IFERROR(__xludf.DUMMYFUNCTION("IMPORTRANGE(""https://docs.google.com/spreadsheets/d/1eHaY18a8A9IcSdp1K8H6x8fbOy06t2VsZHhMHf-1x7Y/edit?usp=sharing"",""แผน!IF51"")"),10)</f>
        <v>10</v>
      </c>
      <c r="J652" s="212">
        <f ca="1">IFERROR(__xludf.DUMMYFUNCTION("IMPORTRANGE(""https://docs.google.com/spreadsheets/d/1tdoBKaGub7dwA3U6UFTqxio9LNnvDCQjHKmttSEBsFQ/edit?usp=sharing"",""จัดที่ดิน!AU51"")"),0)</f>
        <v>0</v>
      </c>
      <c r="K652" s="255">
        <f ca="1">IF(I652&gt;0,J652*100/I652,0)</f>
        <v>0</v>
      </c>
      <c r="L652" s="62"/>
      <c r="M652" s="55"/>
      <c r="N652" s="468"/>
      <c r="O652" s="55"/>
      <c r="P652" s="55"/>
      <c r="Q652" s="55"/>
      <c r="R652" s="55"/>
      <c r="S652" s="468"/>
      <c r="T652" s="55"/>
      <c r="U652" s="55"/>
    </row>
    <row r="653" spans="1:21" ht="18.75">
      <c r="A653" s="238"/>
      <c r="B653" s="188"/>
      <c r="C653" s="188"/>
      <c r="D653" s="58" t="s">
        <v>239</v>
      </c>
      <c r="E653" s="50"/>
      <c r="F653" s="50"/>
      <c r="G653" s="52"/>
      <c r="H653" s="165" t="s">
        <v>35</v>
      </c>
      <c r="I653" s="570">
        <f ca="1">IFERROR(__xludf.DUMMYFUNCTION("IMPORTRANGE(""https://docs.google.com/spreadsheets/d/1eHaY18a8A9IcSdp1K8H6x8fbOy06t2VsZHhMHf-1x7Y/edit?usp=sharing"",""แผน!IG51"")"),2)</f>
        <v>2</v>
      </c>
      <c r="J653" s="212">
        <f ca="1">IFERROR(__xludf.DUMMYFUNCTION("IMPORTRANGE(""https://docs.google.com/spreadsheets/d/1tdoBKaGub7dwA3U6UFTqxio9LNnvDCQjHKmttSEBsFQ/edit?usp=sharing"",""จัดที่ดิน!AW51"")"),0)</f>
        <v>0</v>
      </c>
      <c r="K653" s="255">
        <f ca="1">IF(I653&gt;0,J653*100/I653,0)</f>
        <v>0</v>
      </c>
      <c r="L653" s="62"/>
      <c r="M653" s="55"/>
      <c r="N653" s="468"/>
      <c r="O653" s="55"/>
      <c r="P653" s="55"/>
      <c r="Q653" s="55"/>
      <c r="R653" s="55"/>
      <c r="S653" s="468"/>
      <c r="T653" s="55"/>
      <c r="U653" s="55"/>
    </row>
    <row r="654" spans="1:21" ht="19.5" hidden="1">
      <c r="A654" s="238"/>
      <c r="B654" s="188"/>
      <c r="C654" s="188"/>
      <c r="D654" s="58" t="s">
        <v>240</v>
      </c>
      <c r="E654" s="50"/>
      <c r="F654" s="50"/>
      <c r="G654" s="52"/>
      <c r="H654" s="461" t="s">
        <v>46</v>
      </c>
      <c r="I654" s="569">
        <f ca="1">IFERROR(__xludf.DUMMYFUNCTION("IMPORTRANGE(""https://docs.google.com/spreadsheets/d/1eHaY18a8A9IcSdp1K8H6x8fbOy06t2VsZHhMHf-1x7Y/edit?usp=sharing"",""แผน!IH51"")"),0)</f>
        <v>0</v>
      </c>
      <c r="J654" s="373">
        <f>J657+J660</f>
        <v>0</v>
      </c>
      <c r="K654" s="540">
        <f ca="1">IF(I654&gt;0,J654*100/I654,0)</f>
        <v>0</v>
      </c>
      <c r="L654" s="62"/>
      <c r="M654" s="55"/>
      <c r="N654" s="468"/>
      <c r="O654" s="55"/>
      <c r="P654" s="55"/>
      <c r="Q654" s="55"/>
      <c r="R654" s="55"/>
      <c r="S654" s="468"/>
      <c r="T654" s="55"/>
      <c r="U654" s="55"/>
    </row>
    <row r="655" spans="1:21" ht="18.75" hidden="1">
      <c r="A655" s="238"/>
      <c r="B655" s="188"/>
      <c r="C655" s="188"/>
      <c r="D655" s="50"/>
      <c r="E655" s="58" t="s">
        <v>241</v>
      </c>
      <c r="F655" s="50"/>
      <c r="G655" s="52"/>
      <c r="H655" s="165" t="s">
        <v>35</v>
      </c>
      <c r="I655" s="208"/>
      <c r="J655" s="467">
        <v>0</v>
      </c>
      <c r="K655" s="55"/>
      <c r="L655" s="62"/>
      <c r="M655" s="55"/>
      <c r="N655" s="468"/>
      <c r="O655" s="55"/>
      <c r="P655" s="55"/>
      <c r="Q655" s="55"/>
      <c r="R655" s="55"/>
      <c r="S655" s="468"/>
      <c r="T655" s="55"/>
      <c r="U655" s="55"/>
    </row>
    <row r="656" spans="1:21" ht="18.75" hidden="1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67">
        <v>0</v>
      </c>
      <c r="K656" s="55"/>
      <c r="L656" s="62"/>
      <c r="M656" s="55"/>
      <c r="N656" s="468"/>
      <c r="O656" s="55"/>
      <c r="P656" s="55"/>
      <c r="Q656" s="55"/>
      <c r="R656" s="55"/>
      <c r="S656" s="468"/>
      <c r="T656" s="55"/>
      <c r="U656" s="55"/>
    </row>
    <row r="657" spans="1:21" ht="18.75" hidden="1">
      <c r="A657" s="238"/>
      <c r="B657" s="188"/>
      <c r="C657" s="188"/>
      <c r="D657" s="50"/>
      <c r="E657" s="50"/>
      <c r="F657" s="50"/>
      <c r="G657" s="52"/>
      <c r="H657" s="165" t="s">
        <v>46</v>
      </c>
      <c r="I657" s="570">
        <f ca="1">IFERROR(__xludf.DUMMYFUNCTION("IMPORTRANGE(""https://docs.google.com/spreadsheets/d/1eHaY18a8A9IcSdp1K8H6x8fbOy06t2VsZHhMHf-1x7Y/edit?usp=sharing"",""แผน!II51"")"),0)</f>
        <v>0</v>
      </c>
      <c r="J657" s="467">
        <v>0</v>
      </c>
      <c r="K657" s="55"/>
      <c r="L657" s="62"/>
      <c r="M657" s="55"/>
      <c r="N657" s="468"/>
      <c r="O657" s="55"/>
      <c r="P657" s="55"/>
      <c r="Q657" s="55"/>
      <c r="R657" s="55"/>
      <c r="S657" s="468"/>
      <c r="T657" s="55"/>
      <c r="U657" s="55"/>
    </row>
    <row r="658" spans="1:21" ht="18.75" hidden="1">
      <c r="A658" s="238"/>
      <c r="B658" s="188"/>
      <c r="C658" s="188"/>
      <c r="D658" s="50"/>
      <c r="E658" s="58" t="s">
        <v>242</v>
      </c>
      <c r="F658" s="50"/>
      <c r="G658" s="52"/>
      <c r="H658" s="165" t="s">
        <v>35</v>
      </c>
      <c r="I658" s="208"/>
      <c r="J658" s="467">
        <v>0</v>
      </c>
      <c r="K658" s="55"/>
      <c r="L658" s="62"/>
      <c r="M658" s="55"/>
      <c r="N658" s="468"/>
      <c r="O658" s="55"/>
      <c r="P658" s="55"/>
      <c r="Q658" s="55"/>
      <c r="R658" s="55"/>
      <c r="S658" s="468"/>
      <c r="T658" s="55"/>
      <c r="U658" s="55"/>
    </row>
    <row r="659" spans="1:21" ht="18.75" hidden="1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67">
        <v>0</v>
      </c>
      <c r="K659" s="55"/>
      <c r="L659" s="62"/>
      <c r="M659" s="55"/>
      <c r="N659" s="468"/>
      <c r="O659" s="55"/>
      <c r="P659" s="55"/>
      <c r="Q659" s="55"/>
      <c r="R659" s="55"/>
      <c r="S659" s="468"/>
      <c r="T659" s="55"/>
      <c r="U659" s="55"/>
    </row>
    <row r="660" spans="1:21" ht="18.75" hidden="1">
      <c r="A660" s="238"/>
      <c r="B660" s="188"/>
      <c r="C660" s="188"/>
      <c r="D660" s="50"/>
      <c r="E660" s="50"/>
      <c r="F660" s="50"/>
      <c r="G660" s="52"/>
      <c r="H660" s="165" t="s">
        <v>46</v>
      </c>
      <c r="I660" s="570">
        <f ca="1">IFERROR(__xludf.DUMMYFUNCTION("IMPORTRANGE(""https://docs.google.com/spreadsheets/d/1eHaY18a8A9IcSdp1K8H6x8fbOy06t2VsZHhMHf-1x7Y/edit?usp=sharing"",""แผน!IJ51"")"),0)</f>
        <v>0</v>
      </c>
      <c r="J660" s="467">
        <v>0</v>
      </c>
      <c r="K660" s="55"/>
      <c r="L660" s="62"/>
      <c r="M660" s="55"/>
      <c r="N660" s="468"/>
      <c r="O660" s="55"/>
      <c r="P660" s="55"/>
      <c r="Q660" s="55"/>
      <c r="R660" s="55"/>
      <c r="S660" s="468"/>
      <c r="T660" s="55"/>
      <c r="U660" s="55"/>
    </row>
    <row r="661" spans="1:21" ht="19.5" hidden="1">
      <c r="A661" s="238"/>
      <c r="B661" s="188"/>
      <c r="C661" s="188"/>
      <c r="D661" s="377" t="s">
        <v>243</v>
      </c>
      <c r="E661" s="50"/>
      <c r="F661" s="50"/>
      <c r="G661" s="52"/>
      <c r="H661" s="461" t="s">
        <v>46</v>
      </c>
      <c r="I661" s="569">
        <f ca="1">IFERROR(__xludf.DUMMYFUNCTION("IMPORTRANGE(""https://docs.google.com/spreadsheets/d/1eHaY18a8A9IcSdp1K8H6x8fbOy06t2VsZHhMHf-1x7Y/edit?usp=sharing"",""แผน!IK51"")"),0)</f>
        <v>0</v>
      </c>
      <c r="J661" s="373">
        <f>J667+J670</f>
        <v>0</v>
      </c>
      <c r="K661" s="540">
        <f ca="1">IF(I661&gt;0,J661*100/I661,0)</f>
        <v>0</v>
      </c>
      <c r="L661" s="62"/>
      <c r="M661" s="55"/>
      <c r="N661" s="468"/>
      <c r="O661" s="55"/>
      <c r="P661" s="55"/>
      <c r="Q661" s="55"/>
      <c r="R661" s="55"/>
      <c r="S661" s="468"/>
      <c r="T661" s="55"/>
      <c r="U661" s="55"/>
    </row>
    <row r="662" spans="1:21" ht="18.75" hidden="1">
      <c r="A662" s="238"/>
      <c r="B662" s="188"/>
      <c r="C662" s="188"/>
      <c r="D662" s="50"/>
      <c r="E662" s="58" t="s">
        <v>244</v>
      </c>
      <c r="F662" s="50"/>
      <c r="G662" s="52"/>
      <c r="H662" s="165" t="s">
        <v>34</v>
      </c>
      <c r="I662" s="208"/>
      <c r="J662" s="467">
        <v>0</v>
      </c>
      <c r="K662" s="55"/>
      <c r="L662" s="469"/>
      <c r="M662" s="55"/>
      <c r="N662" s="468"/>
      <c r="O662" s="55"/>
      <c r="P662" s="55"/>
      <c r="Q662" s="468"/>
      <c r="R662" s="55"/>
      <c r="S662" s="468"/>
      <c r="T662" s="55"/>
      <c r="U662" s="55"/>
    </row>
    <row r="663" spans="1:21" ht="18.75" hidden="1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67">
        <v>0</v>
      </c>
      <c r="K663" s="55"/>
      <c r="L663" s="469"/>
      <c r="M663" s="55"/>
      <c r="N663" s="468"/>
      <c r="O663" s="55"/>
      <c r="P663" s="55"/>
      <c r="Q663" s="468"/>
      <c r="R663" s="55"/>
      <c r="S663" s="468"/>
      <c r="T663" s="55"/>
      <c r="U663" s="55"/>
    </row>
    <row r="664" spans="1:21" ht="18.75" hidden="1">
      <c r="A664" s="238"/>
      <c r="B664" s="188"/>
      <c r="C664" s="188"/>
      <c r="D664" s="50"/>
      <c r="E664" s="58" t="s">
        <v>245</v>
      </c>
      <c r="F664" s="50"/>
      <c r="G664" s="52"/>
      <c r="H664" s="206"/>
      <c r="I664" s="208"/>
      <c r="J664" s="54"/>
      <c r="K664" s="55"/>
      <c r="L664" s="469"/>
      <c r="M664" s="55"/>
      <c r="N664" s="468"/>
      <c r="O664" s="55"/>
      <c r="P664" s="55"/>
      <c r="Q664" s="468"/>
      <c r="R664" s="55"/>
      <c r="S664" s="468"/>
      <c r="T664" s="55"/>
      <c r="U664" s="55"/>
    </row>
    <row r="665" spans="1:21" ht="18.75" hidden="1">
      <c r="A665" s="238"/>
      <c r="B665" s="188"/>
      <c r="C665" s="188"/>
      <c r="D665" s="50"/>
      <c r="E665" s="50"/>
      <c r="F665" s="58" t="s">
        <v>246</v>
      </c>
      <c r="G665" s="52"/>
      <c r="H665" s="165" t="s">
        <v>35</v>
      </c>
      <c r="I665" s="208"/>
      <c r="J665" s="467">
        <v>0</v>
      </c>
      <c r="K665" s="55"/>
      <c r="L665" s="469"/>
      <c r="M665" s="55"/>
      <c r="N665" s="468"/>
      <c r="O665" s="55"/>
      <c r="P665" s="55"/>
      <c r="Q665" s="468"/>
      <c r="R665" s="55"/>
      <c r="S665" s="468"/>
      <c r="T665" s="55"/>
      <c r="U665" s="55"/>
    </row>
    <row r="666" spans="1:21" ht="18.75" hidden="1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67">
        <v>0</v>
      </c>
      <c r="K666" s="55"/>
      <c r="L666" s="469"/>
      <c r="M666" s="55"/>
      <c r="N666" s="468"/>
      <c r="O666" s="55"/>
      <c r="P666" s="55"/>
      <c r="Q666" s="468"/>
      <c r="R666" s="55"/>
      <c r="S666" s="468"/>
      <c r="T666" s="55"/>
      <c r="U666" s="55"/>
    </row>
    <row r="667" spans="1:21" ht="18.75" hidden="1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67">
        <v>0</v>
      </c>
      <c r="K667" s="55"/>
      <c r="L667" s="469"/>
      <c r="M667" s="55"/>
      <c r="N667" s="468"/>
      <c r="O667" s="55"/>
      <c r="P667" s="55"/>
      <c r="Q667" s="468"/>
      <c r="R667" s="55"/>
      <c r="S667" s="468"/>
      <c r="T667" s="55"/>
      <c r="U667" s="55"/>
    </row>
    <row r="668" spans="1:21" ht="18.75" hidden="1">
      <c r="A668" s="238"/>
      <c r="B668" s="188"/>
      <c r="C668" s="188"/>
      <c r="D668" s="50"/>
      <c r="E668" s="50"/>
      <c r="F668" s="58" t="s">
        <v>247</v>
      </c>
      <c r="G668" s="52"/>
      <c r="H668" s="165" t="s">
        <v>35</v>
      </c>
      <c r="I668" s="208"/>
      <c r="J668" s="467">
        <v>0</v>
      </c>
      <c r="K668" s="55"/>
      <c r="L668" s="469"/>
      <c r="M668" s="55"/>
      <c r="N668" s="468"/>
      <c r="O668" s="55"/>
      <c r="P668" s="55"/>
      <c r="Q668" s="468"/>
      <c r="R668" s="55"/>
      <c r="S668" s="468"/>
      <c r="T668" s="55"/>
      <c r="U668" s="55"/>
    </row>
    <row r="669" spans="1:21" ht="18.75" hidden="1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67">
        <v>0</v>
      </c>
      <c r="K669" s="55"/>
      <c r="L669" s="469"/>
      <c r="M669" s="55"/>
      <c r="N669" s="468"/>
      <c r="O669" s="55"/>
      <c r="P669" s="55"/>
      <c r="Q669" s="468"/>
      <c r="R669" s="55"/>
      <c r="S669" s="468"/>
      <c r="T669" s="55"/>
      <c r="U669" s="55"/>
    </row>
    <row r="670" spans="1:21" ht="18.75" hidden="1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67">
        <v>0</v>
      </c>
      <c r="K670" s="55"/>
      <c r="L670" s="469"/>
      <c r="M670" s="55"/>
      <c r="N670" s="468"/>
      <c r="O670" s="55"/>
      <c r="P670" s="55"/>
      <c r="Q670" s="468"/>
      <c r="R670" s="55"/>
      <c r="S670" s="468"/>
      <c r="T670" s="55"/>
      <c r="U670" s="55"/>
    </row>
    <row r="671" spans="1:21" ht="18.75" hidden="1">
      <c r="A671" s="238"/>
      <c r="B671" s="188"/>
      <c r="C671" s="188"/>
      <c r="D671" s="58" t="s">
        <v>248</v>
      </c>
      <c r="E671" s="50"/>
      <c r="F671" s="50"/>
      <c r="G671" s="52"/>
      <c r="H671" s="165" t="s">
        <v>35</v>
      </c>
      <c r="I671" s="208"/>
      <c r="J671" s="212">
        <f ca="1">IFERROR(__xludf.DUMMYFUNCTION("IMPORTRANGE(""https://docs.google.com/spreadsheets/d/1tdoBKaGub7dwA3U6UFTqxio9LNnvDCQjHKmttSEBsFQ/edit?usp=sharing"",""จัดที่ดิน!AY51"")"),0)</f>
        <v>0</v>
      </c>
      <c r="K671" s="55"/>
      <c r="L671" s="62"/>
      <c r="M671" s="55"/>
      <c r="N671" s="468"/>
      <c r="O671" s="55"/>
      <c r="P671" s="55"/>
      <c r="Q671" s="55"/>
      <c r="R671" s="55"/>
      <c r="S671" s="468"/>
      <c r="T671" s="55"/>
      <c r="U671" s="55"/>
    </row>
    <row r="672" spans="1:21" ht="18.75" hidden="1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212">
        <f ca="1">IFERROR(__xludf.DUMMYFUNCTION("IMPORTRANGE(""https://docs.google.com/spreadsheets/d/1tdoBKaGub7dwA3U6UFTqxio9LNnvDCQjHKmttSEBsFQ/edit?usp=sharing"",""จัดที่ดิน!AZ51"")"),0)</f>
        <v>0</v>
      </c>
      <c r="K672" s="55"/>
      <c r="L672" s="469"/>
      <c r="M672" s="55"/>
      <c r="N672" s="468"/>
      <c r="O672" s="55"/>
      <c r="P672" s="55"/>
      <c r="Q672" s="468"/>
      <c r="R672" s="55"/>
      <c r="S672" s="468"/>
      <c r="T672" s="55"/>
      <c r="U672" s="55"/>
    </row>
    <row r="673" spans="1:21" ht="18.75" hidden="1">
      <c r="A673" s="238"/>
      <c r="B673" s="188"/>
      <c r="C673" s="188"/>
      <c r="D673" s="50"/>
      <c r="E673" s="50"/>
      <c r="F673" s="50"/>
      <c r="G673" s="52"/>
      <c r="H673" s="165" t="s">
        <v>46</v>
      </c>
      <c r="I673" s="570">
        <f ca="1">IFERROR(__xludf.DUMMYFUNCTION("IMPORTRANGE(""https://docs.google.com/spreadsheets/d/1eHaY18a8A9IcSdp1K8H6x8fbOy06t2VsZHhMHf-1x7Y/edit?usp=sharing"",""แผน!IL51"")"),0)</f>
        <v>0</v>
      </c>
      <c r="J673" s="212">
        <f ca="1">IFERROR(__xludf.DUMMYFUNCTION("IMPORTRANGE(""https://docs.google.com/spreadsheets/d/1tdoBKaGub7dwA3U6UFTqxio9LNnvDCQjHKmttSEBsFQ/edit?usp=sharing"",""จัดที่ดิน!BA51"")"),0)</f>
        <v>0</v>
      </c>
      <c r="K673" s="255">
        <f ca="1">IF(I673&gt;0,J673*100/I673,0)</f>
        <v>0</v>
      </c>
      <c r="L673" s="469"/>
      <c r="M673" s="55"/>
      <c r="N673" s="468"/>
      <c r="O673" s="55"/>
      <c r="P673" s="55"/>
      <c r="Q673" s="468"/>
      <c r="R673" s="55"/>
      <c r="S673" s="468"/>
      <c r="T673" s="55"/>
      <c r="U673" s="55"/>
    </row>
    <row r="674" spans="1:21" ht="19.5" hidden="1">
      <c r="A674" s="238"/>
      <c r="B674" s="188"/>
      <c r="C674" s="188"/>
      <c r="D674" s="58" t="s">
        <v>249</v>
      </c>
      <c r="E674" s="50"/>
      <c r="F674" s="50"/>
      <c r="G674" s="52"/>
      <c r="H674" s="461" t="s">
        <v>35</v>
      </c>
      <c r="I674" s="569">
        <f ca="1">IFERROR(__xludf.DUMMYFUNCTION("IMPORTRANGE(""https://docs.google.com/spreadsheets/d/1eHaY18a8A9IcSdp1K8H6x8fbOy06t2VsZHhMHf-1x7Y/edit?usp=sharing"",""แผน!IM51"")"),0)</f>
        <v>0</v>
      </c>
      <c r="J674" s="373">
        <f ca="1">J676+J679</f>
        <v>0</v>
      </c>
      <c r="K674" s="540">
        <f ca="1">IF(I674&gt;0,J674*100/I674,0)</f>
        <v>0</v>
      </c>
      <c r="L674" s="469"/>
      <c r="M674" s="55"/>
      <c r="N674" s="468"/>
      <c r="O674" s="55"/>
      <c r="P674" s="55"/>
      <c r="Q674" s="468"/>
      <c r="R674" s="55"/>
      <c r="S674" s="468"/>
      <c r="T674" s="55"/>
      <c r="U674" s="55"/>
    </row>
    <row r="675" spans="1:21" ht="19.5" hidden="1">
      <c r="A675" s="238"/>
      <c r="B675" s="188"/>
      <c r="C675" s="188"/>
      <c r="D675" s="50"/>
      <c r="E675" s="50"/>
      <c r="F675" s="50"/>
      <c r="G675" s="52"/>
      <c r="H675" s="461" t="s">
        <v>46</v>
      </c>
      <c r="I675" s="569">
        <f ca="1">IFERROR(__xludf.DUMMYFUNCTION("IMPORTRANGE(""https://docs.google.com/spreadsheets/d/1eHaY18a8A9IcSdp1K8H6x8fbOy06t2VsZHhMHf-1x7Y/edit?usp=sharing"",""แผน!IN51"")"),0)</f>
        <v>0</v>
      </c>
      <c r="J675" s="373">
        <f ca="1">J678+J681</f>
        <v>0</v>
      </c>
      <c r="K675" s="540">
        <f ca="1">IF(I675&gt;0,J675*100/I675,0)</f>
        <v>0</v>
      </c>
      <c r="L675" s="62"/>
      <c r="M675" s="55"/>
      <c r="N675" s="468"/>
      <c r="O675" s="55"/>
      <c r="P675" s="55"/>
      <c r="Q675" s="55"/>
      <c r="R675" s="55"/>
      <c r="S675" s="468"/>
      <c r="T675" s="55"/>
      <c r="U675" s="55"/>
    </row>
    <row r="676" spans="1:21" ht="18.75" hidden="1">
      <c r="A676" s="238"/>
      <c r="B676" s="188"/>
      <c r="C676" s="188"/>
      <c r="D676" s="50"/>
      <c r="E676" s="58" t="s">
        <v>250</v>
      </c>
      <c r="F676" s="50"/>
      <c r="G676" s="52"/>
      <c r="H676" s="165" t="s">
        <v>35</v>
      </c>
      <c r="I676" s="570">
        <f ca="1">IFERROR(__xludf.DUMMYFUNCTION("IMPORTRANGE(""https://docs.google.com/spreadsheets/d/1eHaY18a8A9IcSdp1K8H6x8fbOy06t2VsZHhMHf-1x7Y/edit?usp=sharing"",""แผน!IO51"")"),0)</f>
        <v>0</v>
      </c>
      <c r="J676" s="212">
        <f ca="1">IFERROR(__xludf.DUMMYFUNCTION("IMPORTRANGE(""https://docs.google.com/spreadsheets/d/1tdoBKaGub7dwA3U6UFTqxio9LNnvDCQjHKmttSEBsFQ/edit?usp=sharing"",""จัดที่ดิน!BF51"")"),0)</f>
        <v>0</v>
      </c>
      <c r="K676" s="255">
        <f ca="1">IF(I676&gt;0,J676*100/I676,0)</f>
        <v>0</v>
      </c>
      <c r="L676" s="62"/>
      <c r="M676" s="55"/>
      <c r="N676" s="468"/>
      <c r="O676" s="55"/>
      <c r="P676" s="55"/>
      <c r="Q676" s="55"/>
      <c r="R676" s="55"/>
      <c r="S676" s="468"/>
      <c r="T676" s="55"/>
      <c r="U676" s="55"/>
    </row>
    <row r="677" spans="1:21" ht="18.75" hidden="1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212">
        <f ca="1">IFERROR(__xludf.DUMMYFUNCTION("IMPORTRANGE(""https://docs.google.com/spreadsheets/d/1tdoBKaGub7dwA3U6UFTqxio9LNnvDCQjHKmttSEBsFQ/edit?usp=sharing"",""จัดที่ดิน!BG51"")"),0)</f>
        <v>0</v>
      </c>
      <c r="K677" s="55"/>
      <c r="L677" s="469"/>
      <c r="M677" s="55"/>
      <c r="N677" s="468"/>
      <c r="O677" s="55"/>
      <c r="P677" s="55"/>
      <c r="Q677" s="468"/>
      <c r="R677" s="55"/>
      <c r="S677" s="468"/>
      <c r="T677" s="55"/>
      <c r="U677" s="55"/>
    </row>
    <row r="678" spans="1:21" ht="18.75" hidden="1">
      <c r="A678" s="238"/>
      <c r="B678" s="188"/>
      <c r="C678" s="188"/>
      <c r="D678" s="50"/>
      <c r="E678" s="50"/>
      <c r="F678" s="50"/>
      <c r="G678" s="52"/>
      <c r="H678" s="165" t="s">
        <v>46</v>
      </c>
      <c r="I678" s="570">
        <f ca="1">IFERROR(__xludf.DUMMYFUNCTION("IMPORTRANGE(""https://docs.google.com/spreadsheets/d/1eHaY18a8A9IcSdp1K8H6x8fbOy06t2VsZHhMHf-1x7Y/edit?usp=sharing"",""แผน!IP51"")"),0)</f>
        <v>0</v>
      </c>
      <c r="J678" s="212">
        <f ca="1">IFERROR(__xludf.DUMMYFUNCTION("IMPORTRANGE(""https://docs.google.com/spreadsheets/d/1tdoBKaGub7dwA3U6UFTqxio9LNnvDCQjHKmttSEBsFQ/edit?usp=sharing"",""จัดที่ดิน!BH51"")"),0)</f>
        <v>0</v>
      </c>
      <c r="K678" s="255">
        <f ca="1">IF(I678&gt;0,J678*100/I678,0)</f>
        <v>0</v>
      </c>
      <c r="L678" s="469"/>
      <c r="M678" s="55"/>
      <c r="N678" s="468"/>
      <c r="O678" s="55"/>
      <c r="P678" s="55"/>
      <c r="Q678" s="468"/>
      <c r="R678" s="55"/>
      <c r="S678" s="468"/>
      <c r="T678" s="55"/>
      <c r="U678" s="55"/>
    </row>
    <row r="679" spans="1:21" ht="18.75" hidden="1">
      <c r="A679" s="238"/>
      <c r="B679" s="188"/>
      <c r="C679" s="188"/>
      <c r="D679" s="50"/>
      <c r="E679" s="58" t="s">
        <v>251</v>
      </c>
      <c r="F679" s="50"/>
      <c r="G679" s="52"/>
      <c r="H679" s="165" t="s">
        <v>35</v>
      </c>
      <c r="I679" s="570">
        <f ca="1">IFERROR(__xludf.DUMMYFUNCTION("IMPORTRANGE(""https://docs.google.com/spreadsheets/d/1eHaY18a8A9IcSdp1K8H6x8fbOy06t2VsZHhMHf-1x7Y/edit?usp=sharing"",""แผน!IQ51"")"),0)</f>
        <v>0</v>
      </c>
      <c r="J679" s="212">
        <f ca="1">IFERROR(__xludf.DUMMYFUNCTION("IMPORTRANGE(""https://docs.google.com/spreadsheets/d/1tdoBKaGub7dwA3U6UFTqxio9LNnvDCQjHKmttSEBsFQ/edit?usp=sharing"",""จัดที่ดิน!BK51"")"),0)</f>
        <v>0</v>
      </c>
      <c r="K679" s="255">
        <f ca="1">IF(I679&gt;0,J679*100/I679,0)</f>
        <v>0</v>
      </c>
      <c r="L679" s="62"/>
      <c r="M679" s="55"/>
      <c r="N679" s="468"/>
      <c r="O679" s="55"/>
      <c r="P679" s="55"/>
      <c r="Q679" s="55"/>
      <c r="R679" s="55"/>
      <c r="S679" s="468"/>
      <c r="T679" s="55"/>
      <c r="U679" s="55"/>
    </row>
    <row r="680" spans="1:21" ht="18.75" hidden="1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212">
        <f ca="1">IFERROR(__xludf.DUMMYFUNCTION("IMPORTRANGE(""https://docs.google.com/spreadsheets/d/1tdoBKaGub7dwA3U6UFTqxio9LNnvDCQjHKmttSEBsFQ/edit?usp=sharing"",""จัดที่ดิน!BL51"")"),0)</f>
        <v>0</v>
      </c>
      <c r="K680" s="55"/>
      <c r="L680" s="469"/>
      <c r="M680" s="55"/>
      <c r="N680" s="468"/>
      <c r="O680" s="55"/>
      <c r="P680" s="55"/>
      <c r="Q680" s="468"/>
      <c r="R680" s="55"/>
      <c r="S680" s="468"/>
      <c r="T680" s="55"/>
      <c r="U680" s="55"/>
    </row>
    <row r="681" spans="1:21" ht="18.75" hidden="1">
      <c r="A681" s="238"/>
      <c r="B681" s="188"/>
      <c r="C681" s="188"/>
      <c r="D681" s="50"/>
      <c r="E681" s="50"/>
      <c r="F681" s="50"/>
      <c r="G681" s="52"/>
      <c r="H681" s="165" t="s">
        <v>46</v>
      </c>
      <c r="I681" s="570">
        <f ca="1">IFERROR(__xludf.DUMMYFUNCTION("IMPORTRANGE(""https://docs.google.com/spreadsheets/d/1eHaY18a8A9IcSdp1K8H6x8fbOy06t2VsZHhMHf-1x7Y/edit?usp=sharing"",""แผน!IR51"")"),0)</f>
        <v>0</v>
      </c>
      <c r="J681" s="212">
        <f ca="1">IFERROR(__xludf.DUMMYFUNCTION("IMPORTRANGE(""https://docs.google.com/spreadsheets/d/1tdoBKaGub7dwA3U6UFTqxio9LNnvDCQjHKmttSEBsFQ/edit?usp=sharing"",""จัดที่ดิน!BM51"")"),0)</f>
        <v>0</v>
      </c>
      <c r="K681" s="255">
        <f ca="1">IF(I681&gt;0,J681*100/I681,0)</f>
        <v>0</v>
      </c>
      <c r="L681" s="469"/>
      <c r="M681" s="55"/>
      <c r="N681" s="468"/>
      <c r="O681" s="55"/>
      <c r="P681" s="55"/>
      <c r="Q681" s="468"/>
      <c r="R681" s="55"/>
      <c r="S681" s="468"/>
      <c r="T681" s="55"/>
      <c r="U681" s="55"/>
    </row>
    <row r="682" spans="1:21" ht="19.5" hidden="1">
      <c r="A682" s="238"/>
      <c r="B682" s="188"/>
      <c r="C682" s="188"/>
      <c r="D682" s="58" t="s">
        <v>252</v>
      </c>
      <c r="E682" s="50"/>
      <c r="F682" s="50"/>
      <c r="G682" s="52"/>
      <c r="H682" s="461" t="s">
        <v>46</v>
      </c>
      <c r="I682" s="569">
        <f ca="1">IFERROR(__xludf.DUMMYFUNCTION("IMPORTRANGE(""https://docs.google.com/spreadsheets/d/1eHaY18a8A9IcSdp1K8H6x8fbOy06t2VsZHhMHf-1x7Y/edit?usp=sharing"",""แผน!IS51"")"),0)</f>
        <v>0</v>
      </c>
      <c r="J682" s="373">
        <f>J685+J688</f>
        <v>0</v>
      </c>
      <c r="K682" s="540">
        <f ca="1">IF(I682&gt;0,J682*100/I682,0)</f>
        <v>0</v>
      </c>
      <c r="L682" s="62"/>
      <c r="M682" s="55"/>
      <c r="N682" s="468"/>
      <c r="O682" s="55"/>
      <c r="P682" s="55"/>
      <c r="Q682" s="55"/>
      <c r="R682" s="55"/>
      <c r="S682" s="468"/>
      <c r="T682" s="55"/>
      <c r="U682" s="55"/>
    </row>
    <row r="683" spans="1:21" ht="18.75" hidden="1">
      <c r="A683" s="238"/>
      <c r="B683" s="188"/>
      <c r="C683" s="188"/>
      <c r="D683" s="50"/>
      <c r="E683" s="58" t="s">
        <v>253</v>
      </c>
      <c r="F683" s="50"/>
      <c r="G683" s="52"/>
      <c r="H683" s="165" t="s">
        <v>35</v>
      </c>
      <c r="I683" s="208"/>
      <c r="J683" s="467">
        <v>0</v>
      </c>
      <c r="K683" s="55"/>
      <c r="L683" s="469"/>
      <c r="M683" s="55"/>
      <c r="N683" s="468"/>
      <c r="O683" s="55"/>
      <c r="P683" s="55"/>
      <c r="Q683" s="468"/>
      <c r="R683" s="55"/>
      <c r="S683" s="468"/>
      <c r="T683" s="55"/>
      <c r="U683" s="55"/>
    </row>
    <row r="684" spans="1:21" ht="18.75" hidden="1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467">
        <v>0</v>
      </c>
      <c r="K684" s="55"/>
      <c r="L684" s="469"/>
      <c r="M684" s="55"/>
      <c r="N684" s="468"/>
      <c r="O684" s="55"/>
      <c r="P684" s="55"/>
      <c r="Q684" s="468"/>
      <c r="R684" s="55"/>
      <c r="S684" s="468"/>
      <c r="T684" s="55"/>
      <c r="U684" s="55"/>
    </row>
    <row r="685" spans="1:21" ht="18.75" hidden="1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467">
        <v>0</v>
      </c>
      <c r="K685" s="55"/>
      <c r="L685" s="469"/>
      <c r="M685" s="55"/>
      <c r="N685" s="468"/>
      <c r="O685" s="55"/>
      <c r="P685" s="55"/>
      <c r="Q685" s="468"/>
      <c r="R685" s="55"/>
      <c r="S685" s="468"/>
      <c r="T685" s="55"/>
      <c r="U685" s="55"/>
    </row>
    <row r="686" spans="1:21" ht="18.75" hidden="1">
      <c r="A686" s="238"/>
      <c r="B686" s="188"/>
      <c r="C686" s="188"/>
      <c r="D686" s="50"/>
      <c r="E686" s="58" t="s">
        <v>254</v>
      </c>
      <c r="F686" s="50"/>
      <c r="G686" s="52"/>
      <c r="H686" s="165" t="s">
        <v>35</v>
      </c>
      <c r="I686" s="208"/>
      <c r="J686" s="467">
        <v>0</v>
      </c>
      <c r="K686" s="55"/>
      <c r="L686" s="469"/>
      <c r="M686" s="55"/>
      <c r="N686" s="468"/>
      <c r="O686" s="55"/>
      <c r="P686" s="55"/>
      <c r="Q686" s="468"/>
      <c r="R686" s="55"/>
      <c r="S686" s="468"/>
      <c r="T686" s="55"/>
      <c r="U686" s="55"/>
    </row>
    <row r="687" spans="1:21" ht="18.75" hidden="1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467">
        <v>0</v>
      </c>
      <c r="K687" s="55"/>
      <c r="L687" s="469"/>
      <c r="M687" s="55"/>
      <c r="N687" s="468"/>
      <c r="O687" s="55"/>
      <c r="P687" s="55"/>
      <c r="Q687" s="468"/>
      <c r="R687" s="55"/>
      <c r="S687" s="468"/>
      <c r="T687" s="55"/>
      <c r="U687" s="55"/>
    </row>
    <row r="688" spans="1:21" ht="19.5" hidden="1">
      <c r="A688" s="281"/>
      <c r="B688" s="470" t="s">
        <v>255</v>
      </c>
      <c r="C688" s="282"/>
      <c r="D688" s="2"/>
      <c r="E688" s="2"/>
      <c r="F688" s="2"/>
      <c r="G688" s="284"/>
      <c r="H688" s="214" t="s">
        <v>46</v>
      </c>
      <c r="I688" s="375"/>
      <c r="J688" s="538">
        <v>0</v>
      </c>
      <c r="K688" s="6"/>
      <c r="L688" s="472"/>
      <c r="M688" s="6"/>
      <c r="N688" s="471"/>
      <c r="O688" s="6"/>
      <c r="P688" s="6"/>
      <c r="Q688" s="471"/>
      <c r="R688" s="6"/>
      <c r="S688" s="471"/>
      <c r="T688" s="6"/>
      <c r="U688" s="6"/>
    </row>
    <row r="689" spans="1:21" ht="19.5">
      <c r="A689" s="442"/>
      <c r="B689" s="443" t="s">
        <v>256</v>
      </c>
      <c r="C689" s="442"/>
      <c r="D689" s="444"/>
      <c r="E689" s="444"/>
      <c r="F689" s="444"/>
      <c r="G689" s="445"/>
      <c r="H689" s="473" t="s">
        <v>35</v>
      </c>
      <c r="I689" s="544">
        <f ca="1">I707</f>
        <v>110</v>
      </c>
      <c r="J689" s="544">
        <f ca="1">J707</f>
        <v>0</v>
      </c>
      <c r="K689" s="543">
        <f ca="1">IF(I689&gt;0,J689*100/I689,0)</f>
        <v>0</v>
      </c>
      <c r="L689" s="449"/>
      <c r="M689" s="448"/>
      <c r="N689" s="448"/>
      <c r="O689" s="448"/>
      <c r="P689" s="448"/>
      <c r="Q689" s="448"/>
      <c r="R689" s="448"/>
      <c r="S689" s="448"/>
      <c r="T689" s="448"/>
      <c r="U689" s="448"/>
    </row>
    <row r="690" spans="1:21" ht="19.5">
      <c r="A690" s="155"/>
      <c r="B690" s="188"/>
      <c r="C690" s="205" t="s">
        <v>18</v>
      </c>
      <c r="D690" s="542" t="s">
        <v>19</v>
      </c>
      <c r="E690" s="529"/>
      <c r="F690" s="529"/>
      <c r="G690" s="530"/>
      <c r="H690" s="252" t="s">
        <v>14</v>
      </c>
      <c r="I690" s="54"/>
      <c r="J690" s="54"/>
      <c r="K690" s="55"/>
      <c r="L690" s="541">
        <f>L691+L692</f>
        <v>0</v>
      </c>
      <c r="M690" s="540">
        <f>M691+M692</f>
        <v>0</v>
      </c>
      <c r="N690" s="540">
        <f>N691+N692</f>
        <v>0</v>
      </c>
      <c r="O690" s="540">
        <f>IF(L690&gt;0,N690*100/L690,0)</f>
        <v>0</v>
      </c>
      <c r="P690" s="540">
        <f>IF(M690&gt;0,N690*100/M690,0)</f>
        <v>0</v>
      </c>
      <c r="Q690" s="540">
        <f ca="1">Q691+Q692</f>
        <v>286220</v>
      </c>
      <c r="R690" s="540">
        <f ca="1">R691+R692</f>
        <v>286220</v>
      </c>
      <c r="S690" s="540">
        <f ca="1">S691+S692</f>
        <v>101465.4</v>
      </c>
      <c r="T690" s="540">
        <f ca="1">IF(Q690&gt;0,S690*100/Q690,0)</f>
        <v>35.450143246453777</v>
      </c>
      <c r="U690" s="540">
        <f ca="1">IF(R690&gt;0,S690*100/R690,0)</f>
        <v>35.450143246453777</v>
      </c>
    </row>
    <row r="691" spans="1:21" ht="18.75" hidden="1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103">
        <f>L694+L697</f>
        <v>0</v>
      </c>
      <c r="M691" s="102">
        <f>M694+M697</f>
        <v>0</v>
      </c>
      <c r="N691" s="102">
        <f>N694+N697</f>
        <v>0</v>
      </c>
      <c r="O691" s="102">
        <f>IF(L691&gt;0,N691*100/L691,0)</f>
        <v>0</v>
      </c>
      <c r="P691" s="102">
        <f>IF(M691&gt;0,N691*100/M691,0)</f>
        <v>0</v>
      </c>
      <c r="Q691" s="102">
        <f>Q694+Q697</f>
        <v>0</v>
      </c>
      <c r="R691" s="102">
        <f>R694+R697</f>
        <v>0</v>
      </c>
      <c r="S691" s="102">
        <f>S694+S697</f>
        <v>0</v>
      </c>
      <c r="T691" s="102">
        <f>IF(Q691&gt;0,S691*100/Q691,0)</f>
        <v>0</v>
      </c>
      <c r="U691" s="102">
        <f>IF(R691&gt;0,S691*100/R691,0)</f>
        <v>0</v>
      </c>
    </row>
    <row r="692" spans="1:21" ht="18.75" hidden="1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256">
        <f>L695+L698</f>
        <v>0</v>
      </c>
      <c r="M692" s="255">
        <f>M695+M698</f>
        <v>0</v>
      </c>
      <c r="N692" s="255">
        <f>N695+N698</f>
        <v>0</v>
      </c>
      <c r="O692" s="255">
        <f>IF(L692&gt;0,N692*100/L692,0)</f>
        <v>0</v>
      </c>
      <c r="P692" s="255">
        <f>IF(M692&gt;0,N692*100/M692,0)</f>
        <v>0</v>
      </c>
      <c r="Q692" s="255">
        <f ca="1">Q695+Q698</f>
        <v>286220</v>
      </c>
      <c r="R692" s="255">
        <f ca="1">R695+R698</f>
        <v>286220</v>
      </c>
      <c r="S692" s="255">
        <f ca="1">S695+S698</f>
        <v>101465.4</v>
      </c>
      <c r="T692" s="255">
        <f ca="1">IF(Q692&gt;0,S692*100/Q692,0)</f>
        <v>35.450143246453777</v>
      </c>
      <c r="U692" s="255">
        <f ca="1">IF(R692&gt;0,S692*100/R692,0)</f>
        <v>35.450143246453777</v>
      </c>
    </row>
    <row r="693" spans="1:21" ht="18.75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256">
        <f>L694+L695</f>
        <v>0</v>
      </c>
      <c r="M693" s="255">
        <f>M694+M695</f>
        <v>0</v>
      </c>
      <c r="N693" s="255">
        <f>N694+N695</f>
        <v>0</v>
      </c>
      <c r="O693" s="255">
        <f>IF(L693&gt;0,N693*100/L693,0)</f>
        <v>0</v>
      </c>
      <c r="P693" s="255">
        <f>IF(M693&gt;0,N693*100/M693,0)</f>
        <v>0</v>
      </c>
      <c r="Q693" s="255">
        <f ca="1">Q694+Q695</f>
        <v>286220</v>
      </c>
      <c r="R693" s="255">
        <f ca="1">R694+R695</f>
        <v>286220</v>
      </c>
      <c r="S693" s="255">
        <f ca="1">S694+S695</f>
        <v>101465.4</v>
      </c>
      <c r="T693" s="255">
        <f ca="1">IF(Q693&gt;0,S693*100/Q693,0)</f>
        <v>35.450143246453777</v>
      </c>
      <c r="U693" s="255">
        <f ca="1">IF(R693&gt;0,S693*100/R693,0)</f>
        <v>35.450143246453777</v>
      </c>
    </row>
    <row r="694" spans="1:21" ht="18.75" hidden="1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103">
        <v>0</v>
      </c>
      <c r="M694" s="102">
        <v>0</v>
      </c>
      <c r="N694" s="102">
        <v>0</v>
      </c>
      <c r="O694" s="102">
        <f>IF(L694&gt;0,N694*100/L694,0)</f>
        <v>0</v>
      </c>
      <c r="P694" s="102">
        <f>IF(M694&gt;0,N694*100/M694,0)</f>
        <v>0</v>
      </c>
      <c r="Q694" s="102">
        <v>0</v>
      </c>
      <c r="R694" s="102">
        <v>0</v>
      </c>
      <c r="S694" s="102">
        <v>0</v>
      </c>
      <c r="T694" s="102">
        <f>IF(Q694&gt;0,S694*100/Q694,0)</f>
        <v>0</v>
      </c>
      <c r="U694" s="102">
        <f>IF(R694&gt;0,S694*100/R694,0)</f>
        <v>0</v>
      </c>
    </row>
    <row r="695" spans="1:21" ht="18.75" hidden="1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256">
        <v>0</v>
      </c>
      <c r="M695" s="255">
        <v>0</v>
      </c>
      <c r="N695" s="255">
        <v>0</v>
      </c>
      <c r="O695" s="255">
        <f>IF(L695&gt;0,N695*100/L695,0)</f>
        <v>0</v>
      </c>
      <c r="P695" s="255">
        <f>IF(M695&gt;0,N695*100/M695,0)</f>
        <v>0</v>
      </c>
      <c r="Q695" s="255">
        <f ca="1">IFERROR(__xludf.DUMMYFUNCTION("IMPORTRANGE(""https://docs.google.com/spreadsheets/d/1ItG2mGa2ceCfYo0BwxsXqNm01IGEUdYcSSLTEv9YCik/edit?usp=sharing"",""เบิกจ่ายกองทุน!L51"")"),286220)</f>
        <v>286220</v>
      </c>
      <c r="R695" s="255">
        <f ca="1">IFERROR(__xludf.DUMMYFUNCTION("IMPORTRANGE(""https://docs.google.com/spreadsheets/d/1ItG2mGa2ceCfYo0BwxsXqNm01IGEUdYcSSLTEv9YCik/edit?usp=sharing"",""เบิกจ่ายกองทุน!M51"")"),286220)</f>
        <v>286220</v>
      </c>
      <c r="S695" s="255">
        <f ca="1">IFERROR(__xludf.DUMMYFUNCTION("IMPORTRANGE(""https://docs.google.com/spreadsheets/d/1ItG2mGa2ceCfYo0BwxsXqNm01IGEUdYcSSLTEv9YCik/edit?usp=sharing"",""เบิกจ่ายกองทุน!N51"")"),101465.4)</f>
        <v>101465.4</v>
      </c>
      <c r="T695" s="255">
        <f ca="1">IF(Q695&gt;0,S695*100/Q695,0)</f>
        <v>35.450143246453777</v>
      </c>
      <c r="U695" s="255">
        <f ca="1">IF(R695&gt;0,S695*100/R695,0)</f>
        <v>35.450143246453777</v>
      </c>
    </row>
    <row r="696" spans="1:21" ht="18.75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256">
        <f>L697+L698</f>
        <v>0</v>
      </c>
      <c r="M696" s="255">
        <f>M697+M698</f>
        <v>0</v>
      </c>
      <c r="N696" s="255">
        <f>N697+N698</f>
        <v>0</v>
      </c>
      <c r="O696" s="255">
        <f>IF(L696&gt;0,N696*100/L696,0)</f>
        <v>0</v>
      </c>
      <c r="P696" s="255">
        <f>IF(M696&gt;0,N696*100/M696,0)</f>
        <v>0</v>
      </c>
      <c r="Q696" s="255">
        <f>Q697+Q698</f>
        <v>0</v>
      </c>
      <c r="R696" s="255">
        <f>R697+R698</f>
        <v>0</v>
      </c>
      <c r="S696" s="255">
        <f>S697+S698</f>
        <v>0</v>
      </c>
      <c r="T696" s="255">
        <f>IF(Q696&gt;0,S696*100/Q696,0)</f>
        <v>0</v>
      </c>
      <c r="U696" s="255">
        <f>IF(R696&gt;0,S696*100/R696,0)</f>
        <v>0</v>
      </c>
    </row>
    <row r="697" spans="1:21" ht="18.75" hidden="1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103">
        <v>0</v>
      </c>
      <c r="M697" s="102">
        <v>0</v>
      </c>
      <c r="N697" s="102">
        <v>0</v>
      </c>
      <c r="O697" s="102">
        <f>IF(L697&gt;0,N697*100/L697,0)</f>
        <v>0</v>
      </c>
      <c r="P697" s="102">
        <f>IF(M697&gt;0,N697*100/M697,0)</f>
        <v>0</v>
      </c>
      <c r="Q697" s="102">
        <v>0</v>
      </c>
      <c r="R697" s="102">
        <v>0</v>
      </c>
      <c r="S697" s="102">
        <v>0</v>
      </c>
      <c r="T697" s="102">
        <f>IF(Q697&gt;0,S697*100/Q697,0)</f>
        <v>0</v>
      </c>
      <c r="U697" s="102">
        <f>IF(R697&gt;0,S697*100/R697,0)</f>
        <v>0</v>
      </c>
    </row>
    <row r="698" spans="1:21" ht="18.75" hidden="1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256">
        <v>0</v>
      </c>
      <c r="M698" s="255">
        <v>0</v>
      </c>
      <c r="N698" s="255">
        <v>0</v>
      </c>
      <c r="O698" s="255">
        <f>IF(L698&gt;0,N698*100/L698,0)</f>
        <v>0</v>
      </c>
      <c r="P698" s="255">
        <f>IF(M698&gt;0,N698*100/M698,0)</f>
        <v>0</v>
      </c>
      <c r="Q698" s="255">
        <v>0</v>
      </c>
      <c r="R698" s="255">
        <v>0</v>
      </c>
      <c r="S698" s="255">
        <v>0</v>
      </c>
      <c r="T698" s="255">
        <f>IF(Q698&gt;0,S698*100/Q698,0)</f>
        <v>0</v>
      </c>
      <c r="U698" s="255">
        <f>IF(R698&gt;0,S698*100/R698,0)</f>
        <v>0</v>
      </c>
    </row>
    <row r="699" spans="1:21" ht="19.5">
      <c r="A699" s="166"/>
      <c r="B699" s="167"/>
      <c r="C699" s="205" t="s">
        <v>18</v>
      </c>
      <c r="D699" s="566" t="s">
        <v>38</v>
      </c>
      <c r="E699" s="169"/>
      <c r="F699" s="169"/>
      <c r="G699" s="169"/>
      <c r="H699" s="206"/>
      <c r="I699" s="163"/>
      <c r="J699" s="163"/>
      <c r="K699" s="164"/>
      <c r="L699" s="62"/>
      <c r="M699" s="55"/>
      <c r="N699" s="55"/>
      <c r="O699" s="55"/>
      <c r="P699" s="55"/>
      <c r="Q699" s="55"/>
      <c r="R699" s="55"/>
      <c r="S699" s="55"/>
      <c r="T699" s="55"/>
      <c r="U699" s="55"/>
    </row>
    <row r="700" spans="1:21" ht="18.75">
      <c r="A700" s="238"/>
      <c r="B700" s="188"/>
      <c r="C700" s="188"/>
      <c r="D700" s="174"/>
      <c r="E700" s="173" t="s">
        <v>257</v>
      </c>
      <c r="F700" s="174"/>
      <c r="G700" s="171"/>
      <c r="H700" s="165" t="s">
        <v>258</v>
      </c>
      <c r="I700" s="212">
        <f ca="1">IFERROR(__xludf.DUMMYFUNCTION("IMPORTRANGE(""https://docs.google.com/spreadsheets/d/1eHaY18a8A9IcSdp1K8H6x8fbOy06t2VsZHhMHf-1x7Y/edit?usp=sharing"",""แผน!LC51"")"),1)</f>
        <v>1</v>
      </c>
      <c r="J700" s="467">
        <v>0</v>
      </c>
      <c r="K700" s="565">
        <f ca="1">IF(I700&gt;0,J700*100/I700,0)</f>
        <v>0</v>
      </c>
      <c r="L700" s="172"/>
      <c r="M700" s="164"/>
      <c r="N700" s="55"/>
      <c r="O700" s="164"/>
      <c r="P700" s="164"/>
      <c r="Q700" s="164"/>
      <c r="R700" s="164"/>
      <c r="S700" s="55"/>
      <c r="T700" s="164"/>
      <c r="U700" s="164"/>
    </row>
    <row r="701" spans="1:21" ht="19.5">
      <c r="A701" s="238"/>
      <c r="B701" s="188"/>
      <c r="C701" s="188"/>
      <c r="D701" s="174"/>
      <c r="E701" s="476" t="s">
        <v>259</v>
      </c>
      <c r="F701" s="174"/>
      <c r="G701" s="171"/>
      <c r="H701" s="158" t="s">
        <v>35</v>
      </c>
      <c r="I701" s="373">
        <f ca="1">I703+I705</f>
        <v>116</v>
      </c>
      <c r="J701" s="373">
        <f ca="1">J703+J705</f>
        <v>2</v>
      </c>
      <c r="K701" s="540">
        <f ca="1">IF(I701&gt;0,J701*100/I701,0)</f>
        <v>1.7241379310344827</v>
      </c>
      <c r="L701" s="172"/>
      <c r="M701" s="164"/>
      <c r="N701" s="164"/>
      <c r="O701" s="164"/>
      <c r="P701" s="164"/>
      <c r="Q701" s="164"/>
      <c r="R701" s="164"/>
      <c r="S701" s="164"/>
      <c r="T701" s="164"/>
      <c r="U701" s="164"/>
    </row>
    <row r="702" spans="1:21" ht="19.5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73">
        <v>0</v>
      </c>
      <c r="J702" s="373">
        <f ca="1">J704+J706</f>
        <v>0.31</v>
      </c>
      <c r="K702" s="540">
        <f>IF(I702&gt;0,J702*100/I702,0)</f>
        <v>0</v>
      </c>
      <c r="L702" s="172"/>
      <c r="M702" s="164"/>
      <c r="N702" s="164"/>
      <c r="O702" s="164"/>
      <c r="P702" s="164"/>
      <c r="Q702" s="164"/>
      <c r="R702" s="164"/>
      <c r="S702" s="164"/>
      <c r="T702" s="164"/>
      <c r="U702" s="164"/>
    </row>
    <row r="703" spans="1:21" ht="18.75">
      <c r="A703" s="238"/>
      <c r="B703" s="188"/>
      <c r="C703" s="188"/>
      <c r="D703" s="174"/>
      <c r="E703" s="174"/>
      <c r="F703" s="173" t="s">
        <v>260</v>
      </c>
      <c r="G703" s="171"/>
      <c r="H703" s="165" t="s">
        <v>35</v>
      </c>
      <c r="I703" s="212">
        <f ca="1">IFERROR(__xludf.DUMMYFUNCTION("IMPORTRANGE(""https://docs.google.com/spreadsheets/d/1eHaY18a8A9IcSdp1K8H6x8fbOy06t2VsZHhMHf-1x7Y/edit?usp=sharing"",""แผน!LJ51"")"),110)</f>
        <v>110</v>
      </c>
      <c r="J703" s="212">
        <f ca="1">IFERROR(__xludf.DUMMYFUNCTION("IMPORTRANGE(""https://docs.google.com/spreadsheets/d/1tdoBKaGub7dwA3U6UFTqxio9LNnvDCQjHKmttSEBsFQ/edit?usp=sharing"",""จัดที่ดิน!AP51"")"),2)</f>
        <v>2</v>
      </c>
      <c r="K703" s="255">
        <f ca="1">IF(I703&gt;0,J703*100/I703,0)</f>
        <v>1.8181818181818181</v>
      </c>
      <c r="L703" s="172"/>
      <c r="M703" s="164"/>
      <c r="N703" s="164"/>
      <c r="O703" s="164"/>
      <c r="P703" s="164"/>
      <c r="Q703" s="164"/>
      <c r="R703" s="164"/>
      <c r="S703" s="164"/>
      <c r="T703" s="164"/>
      <c r="U703" s="164"/>
    </row>
    <row r="704" spans="1:21" ht="18.75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212">
        <f ca="1">IFERROR(__xludf.DUMMYFUNCTION("IMPORTRANGE(""https://docs.google.com/spreadsheets/d/1tdoBKaGub7dwA3U6UFTqxio9LNnvDCQjHKmttSEBsFQ/edit?usp=sharing"",""จัดที่ดิน!AQ51"")"),0.31)</f>
        <v>0.31</v>
      </c>
      <c r="K704" s="255">
        <f>IF(I704&gt;0,J704*100/I704,0)</f>
        <v>0</v>
      </c>
      <c r="L704" s="172"/>
      <c r="M704" s="164"/>
      <c r="N704" s="164"/>
      <c r="O704" s="164"/>
      <c r="P704" s="164"/>
      <c r="Q704" s="164"/>
      <c r="R704" s="164"/>
      <c r="S704" s="164"/>
      <c r="T704" s="164"/>
      <c r="U704" s="164"/>
    </row>
    <row r="705" spans="1:21" ht="18.75">
      <c r="A705" s="238"/>
      <c r="B705" s="188"/>
      <c r="C705" s="188"/>
      <c r="D705" s="174"/>
      <c r="E705" s="174"/>
      <c r="F705" s="173" t="s">
        <v>261</v>
      </c>
      <c r="G705" s="171"/>
      <c r="H705" s="165" t="s">
        <v>35</v>
      </c>
      <c r="I705" s="212">
        <f ca="1">IFERROR(__xludf.DUMMYFUNCTION("IMPORTRANGE(""https://docs.google.com/spreadsheets/d/1eHaY18a8A9IcSdp1K8H6x8fbOy06t2VsZHhMHf-1x7Y/edit?usp=sharing"",""แผน!LK51"")"),6)</f>
        <v>6</v>
      </c>
      <c r="J705" s="212">
        <f ca="1">IFERROR(__xludf.DUMMYFUNCTION("IMPORTRANGE(""https://docs.google.com/spreadsheets/d/1tdoBKaGub7dwA3U6UFTqxio9LNnvDCQjHKmttSEBsFQ/edit?usp=sharing"",""จัดที่ดิน!AR51"")"),0)</f>
        <v>0</v>
      </c>
      <c r="K705" s="565">
        <f ca="1">IF(I705&gt;0,J705*100/I705,0)</f>
        <v>0</v>
      </c>
      <c r="L705" s="172"/>
      <c r="M705" s="164"/>
      <c r="N705" s="164"/>
      <c r="O705" s="164"/>
      <c r="P705" s="164"/>
      <c r="Q705" s="164"/>
      <c r="R705" s="164"/>
      <c r="S705" s="164"/>
      <c r="T705" s="164"/>
      <c r="U705" s="164"/>
    </row>
    <row r="706" spans="1:21" ht="18.75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212">
        <f ca="1">IFERROR(__xludf.DUMMYFUNCTION("IMPORTRANGE(""https://docs.google.com/spreadsheets/d/1tdoBKaGub7dwA3U6UFTqxio9LNnvDCQjHKmttSEBsFQ/edit?usp=sharing"",""จัดที่ดิน!AS51"")"),0)</f>
        <v>0</v>
      </c>
      <c r="K706" s="255">
        <f>IF(I706&gt;0,J706*100/I706,0)</f>
        <v>0</v>
      </c>
      <c r="L706" s="172"/>
      <c r="M706" s="164"/>
      <c r="N706" s="164"/>
      <c r="O706" s="164"/>
      <c r="P706" s="164"/>
      <c r="Q706" s="164"/>
      <c r="R706" s="164"/>
      <c r="S706" s="164"/>
      <c r="T706" s="164"/>
      <c r="U706" s="164"/>
    </row>
    <row r="707" spans="1:21" ht="18.75">
      <c r="A707" s="238"/>
      <c r="B707" s="188"/>
      <c r="C707" s="188"/>
      <c r="D707" s="174"/>
      <c r="E707" s="173" t="s">
        <v>262</v>
      </c>
      <c r="F707" s="174"/>
      <c r="G707" s="171"/>
      <c r="H707" s="162" t="s">
        <v>35</v>
      </c>
      <c r="I707" s="212">
        <f ca="1">IFERROR(__xludf.DUMMYFUNCTION("IMPORTRANGE(""https://docs.google.com/spreadsheets/d/1eHaY18a8A9IcSdp1K8H6x8fbOy06t2VsZHhMHf-1x7Y/edit?usp=sharing"",""แผน!LJ51"")"),110)</f>
        <v>110</v>
      </c>
      <c r="J707" s="212">
        <f ca="1">IFERROR(__xludf.DUMMYFUNCTION("IMPORTRANGE(""https://docs.google.com/spreadsheets/d/1tdoBKaGub7dwA3U6UFTqxio9LNnvDCQjHKmttSEBsFQ/edit?usp=sharing"",""จัดที่ดิน!BN51"")"),0)</f>
        <v>0</v>
      </c>
      <c r="K707" s="255">
        <f ca="1">IF(I707&gt;0,J707*100/I707,0)</f>
        <v>0</v>
      </c>
      <c r="L707" s="172"/>
      <c r="M707" s="164"/>
      <c r="N707" s="164"/>
      <c r="O707" s="164"/>
      <c r="P707" s="164"/>
      <c r="Q707" s="164"/>
      <c r="R707" s="164"/>
      <c r="S707" s="164"/>
      <c r="T707" s="164"/>
      <c r="U707" s="164"/>
    </row>
    <row r="708" spans="1:21" ht="18.75">
      <c r="A708" s="238"/>
      <c r="B708" s="188"/>
      <c r="C708" s="188"/>
      <c r="D708" s="174"/>
      <c r="E708" s="477" t="s">
        <v>263</v>
      </c>
      <c r="F708" s="174"/>
      <c r="G708" s="171"/>
      <c r="H708" s="162" t="s">
        <v>46</v>
      </c>
      <c r="I708" s="212">
        <v>0</v>
      </c>
      <c r="J708" s="212">
        <f ca="1">IFERROR(__xludf.DUMMYFUNCTION("IMPORTRANGE(""https://docs.google.com/spreadsheets/d/1tdoBKaGub7dwA3U6UFTqxio9LNnvDCQjHKmttSEBsFQ/edit?usp=sharing"",""จัดที่ดิน!BO51"")"),0)</f>
        <v>0</v>
      </c>
      <c r="K708" s="255">
        <f>IF(I708&gt;0,J708*100/I708,0)</f>
        <v>0</v>
      </c>
      <c r="L708" s="172"/>
      <c r="M708" s="164"/>
      <c r="N708" s="164"/>
      <c r="O708" s="164"/>
      <c r="P708" s="164"/>
      <c r="Q708" s="164"/>
      <c r="R708" s="164"/>
      <c r="S708" s="164"/>
      <c r="T708" s="164"/>
      <c r="U708" s="164"/>
    </row>
    <row r="709" spans="1:21" ht="18.75">
      <c r="A709" s="238"/>
      <c r="B709" s="188"/>
      <c r="C709" s="188"/>
      <c r="D709" s="50"/>
      <c r="E709" s="58" t="s">
        <v>264</v>
      </c>
      <c r="F709" s="50"/>
      <c r="G709" s="52"/>
      <c r="H709" s="203" t="s">
        <v>35</v>
      </c>
      <c r="I709" s="212">
        <f ca="1">IFERROR(__xludf.DUMMYFUNCTION("IMPORTRANGE(""https://docs.google.com/spreadsheets/d/1eHaY18a8A9IcSdp1K8H6x8fbOy06t2VsZHhMHf-1x7Y/edit?usp=sharing"",""แผน!LK51"")"),6)</f>
        <v>6</v>
      </c>
      <c r="J709" s="212">
        <f ca="1">IFERROR(__xludf.DUMMYFUNCTION("IMPORTRANGE(""https://docs.google.com/spreadsheets/d/1tdoBKaGub7dwA3U6UFTqxio9LNnvDCQjHKmttSEBsFQ/edit?usp=sharing"",""จัดที่ดิน!BP51"")"),0)</f>
        <v>0</v>
      </c>
      <c r="K709" s="255">
        <f ca="1">IF(I709&gt;0,J709*100/I709,0)</f>
        <v>0</v>
      </c>
      <c r="L709" s="62"/>
      <c r="M709" s="55"/>
      <c r="N709" s="55"/>
      <c r="O709" s="55"/>
      <c r="P709" s="55"/>
      <c r="Q709" s="55"/>
      <c r="R709" s="55"/>
      <c r="S709" s="55"/>
      <c r="T709" s="55"/>
      <c r="U709" s="55"/>
    </row>
    <row r="710" spans="1:21" ht="18.75">
      <c r="A710" s="238"/>
      <c r="B710" s="188"/>
      <c r="C710" s="188"/>
      <c r="D710" s="50"/>
      <c r="E710" s="477" t="s">
        <v>265</v>
      </c>
      <c r="F710" s="50"/>
      <c r="G710" s="52"/>
      <c r="H710" s="203" t="s">
        <v>46</v>
      </c>
      <c r="I710" s="212">
        <v>0</v>
      </c>
      <c r="J710" s="212">
        <f ca="1">IFERROR(__xludf.DUMMYFUNCTION("IMPORTRANGE(""https://docs.google.com/spreadsheets/d/1tdoBKaGub7dwA3U6UFTqxio9LNnvDCQjHKmttSEBsFQ/edit?usp=sharing"",""จัดที่ดิน!BQ51"")"),0)</f>
        <v>0</v>
      </c>
      <c r="K710" s="255">
        <f>IF(I710&gt;0,J710*100/I710,0)</f>
        <v>0</v>
      </c>
      <c r="L710" s="62"/>
      <c r="M710" s="55"/>
      <c r="N710" s="55"/>
      <c r="O710" s="55"/>
      <c r="P710" s="55"/>
      <c r="Q710" s="55"/>
      <c r="R710" s="55"/>
      <c r="S710" s="55"/>
      <c r="T710" s="55"/>
      <c r="U710" s="55"/>
    </row>
    <row r="711" spans="1:21" ht="12.75" hidden="1">
      <c r="A711" s="407"/>
      <c r="B711" s="360"/>
      <c r="C711" s="360"/>
      <c r="D711" s="408"/>
      <c r="E711" s="408"/>
      <c r="F711" s="408"/>
      <c r="G711" s="409"/>
      <c r="H711" s="361"/>
      <c r="I711" s="362"/>
      <c r="J711" s="362"/>
      <c r="K711" s="363"/>
      <c r="L711" s="364"/>
      <c r="M711" s="363"/>
      <c r="N711" s="363"/>
      <c r="O711" s="363"/>
      <c r="P711" s="363"/>
      <c r="Q711" s="363"/>
      <c r="R711" s="363"/>
      <c r="S711" s="363"/>
      <c r="T711" s="363"/>
      <c r="U711" s="363"/>
    </row>
    <row r="712" spans="1:21" ht="19.5" hidden="1">
      <c r="A712" s="442"/>
      <c r="B712" s="478" t="s">
        <v>266</v>
      </c>
      <c r="C712" s="442"/>
      <c r="D712" s="444"/>
      <c r="E712" s="444"/>
      <c r="F712" s="444"/>
      <c r="G712" s="445"/>
      <c r="H712" s="479" t="s">
        <v>46</v>
      </c>
      <c r="I712" s="447"/>
      <c r="J712" s="447">
        <f>J724</f>
        <v>0</v>
      </c>
      <c r="K712" s="564">
        <f>IF(I712&gt;0,J712*100/I712,0)</f>
        <v>0</v>
      </c>
      <c r="L712" s="449"/>
      <c r="M712" s="448"/>
      <c r="N712" s="448"/>
      <c r="O712" s="448"/>
      <c r="P712" s="448"/>
      <c r="Q712" s="448"/>
      <c r="R712" s="448"/>
      <c r="S712" s="448"/>
      <c r="T712" s="448"/>
      <c r="U712" s="448"/>
    </row>
    <row r="713" spans="1:21" ht="19.5" hidden="1">
      <c r="A713" s="442"/>
      <c r="B713" s="478" t="s">
        <v>267</v>
      </c>
      <c r="C713" s="442"/>
      <c r="D713" s="444"/>
      <c r="E713" s="444"/>
      <c r="F713" s="444"/>
      <c r="G713" s="445"/>
      <c r="H713" s="446"/>
      <c r="I713" s="447"/>
      <c r="J713" s="447"/>
      <c r="K713" s="448"/>
      <c r="L713" s="449"/>
      <c r="M713" s="448"/>
      <c r="N713" s="448"/>
      <c r="O713" s="448"/>
      <c r="P713" s="448"/>
      <c r="Q713" s="448"/>
      <c r="R713" s="448"/>
      <c r="S713" s="448"/>
      <c r="T713" s="448"/>
      <c r="U713" s="448"/>
    </row>
    <row r="714" spans="1:21" ht="19.5" hidden="1">
      <c r="A714" s="155"/>
      <c r="B714" s="188"/>
      <c r="C714" s="358" t="s">
        <v>18</v>
      </c>
      <c r="D714" s="563" t="s">
        <v>19</v>
      </c>
      <c r="E714" s="529"/>
      <c r="F714" s="529"/>
      <c r="G714" s="530"/>
      <c r="H714" s="418" t="s">
        <v>14</v>
      </c>
      <c r="I714" s="54"/>
      <c r="J714" s="54"/>
      <c r="K714" s="55"/>
      <c r="L714" s="541">
        <f>L715+L716</f>
        <v>0</v>
      </c>
      <c r="M714" s="540">
        <f>M715+M716</f>
        <v>0</v>
      </c>
      <c r="N714" s="540">
        <f>N715+N716</f>
        <v>0</v>
      </c>
      <c r="O714" s="540">
        <f>IF(L714&gt;0,N714*100/L714,0)</f>
        <v>0</v>
      </c>
      <c r="P714" s="540">
        <f>IF(M714&gt;0,N714*100/M714,0)</f>
        <v>0</v>
      </c>
      <c r="Q714" s="540">
        <f>Q715+Q716</f>
        <v>0</v>
      </c>
      <c r="R714" s="540">
        <f>R715+R716</f>
        <v>0</v>
      </c>
      <c r="S714" s="540">
        <f>S715+S716</f>
        <v>0</v>
      </c>
      <c r="T714" s="540">
        <f>IF(Q714&gt;0,S714*100/Q714,0)</f>
        <v>0</v>
      </c>
      <c r="U714" s="540">
        <f>IF(R714&gt;0,S714*100/R714,0)</f>
        <v>0</v>
      </c>
    </row>
    <row r="715" spans="1:21" ht="18.75" hidden="1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103">
        <f>L718+L721</f>
        <v>0</v>
      </c>
      <c r="M715" s="102">
        <f>M718+M721</f>
        <v>0</v>
      </c>
      <c r="N715" s="102">
        <f>N718+N721</f>
        <v>0</v>
      </c>
      <c r="O715" s="102">
        <f>IF(L715&gt;0,N715*100/L715,0)</f>
        <v>0</v>
      </c>
      <c r="P715" s="102">
        <f>IF(M715&gt;0,N715*100/M715,0)</f>
        <v>0</v>
      </c>
      <c r="Q715" s="102">
        <f>Q718+Q721</f>
        <v>0</v>
      </c>
      <c r="R715" s="102">
        <f>R718+R721</f>
        <v>0</v>
      </c>
      <c r="S715" s="102">
        <f>S718+S721</f>
        <v>0</v>
      </c>
      <c r="T715" s="102">
        <f>IF(Q715&gt;0,S715*100/Q715,0)</f>
        <v>0</v>
      </c>
      <c r="U715" s="102">
        <f>IF(R715&gt;0,S715*100/R715,0)</f>
        <v>0</v>
      </c>
    </row>
    <row r="716" spans="1:21" ht="18.75" hidden="1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256">
        <f>L719+L722</f>
        <v>0</v>
      </c>
      <c r="M716" s="255">
        <f>M719+M722</f>
        <v>0</v>
      </c>
      <c r="N716" s="255">
        <f>N719+N722</f>
        <v>0</v>
      </c>
      <c r="O716" s="255">
        <f>IF(L716&gt;0,N716*100/L716,0)</f>
        <v>0</v>
      </c>
      <c r="P716" s="255">
        <f>IF(M716&gt;0,N716*100/M716,0)</f>
        <v>0</v>
      </c>
      <c r="Q716" s="255">
        <f>Q719+Q722</f>
        <v>0</v>
      </c>
      <c r="R716" s="255">
        <f>R719+R722</f>
        <v>0</v>
      </c>
      <c r="S716" s="255">
        <f>S719+S722</f>
        <v>0</v>
      </c>
      <c r="T716" s="255">
        <f>IF(Q716&gt;0,S716*100/Q716,0)</f>
        <v>0</v>
      </c>
      <c r="U716" s="255">
        <f>IF(R716&gt;0,S716*100/R716,0)</f>
        <v>0</v>
      </c>
    </row>
    <row r="717" spans="1:21" ht="19.5" hidden="1">
      <c r="A717" s="155"/>
      <c r="B717" s="188"/>
      <c r="C717" s="188"/>
      <c r="D717" s="562" t="s">
        <v>22</v>
      </c>
      <c r="E717" s="50"/>
      <c r="F717" s="50"/>
      <c r="G717" s="52"/>
      <c r="H717" s="418" t="s">
        <v>14</v>
      </c>
      <c r="I717" s="163"/>
      <c r="J717" s="163"/>
      <c r="K717" s="164"/>
      <c r="L717" s="256">
        <f>L718+L719</f>
        <v>0</v>
      </c>
      <c r="M717" s="255">
        <f>M718+M719</f>
        <v>0</v>
      </c>
      <c r="N717" s="255">
        <f>N718+N719</f>
        <v>0</v>
      </c>
      <c r="O717" s="255">
        <f>IF(L717&gt;0,N717*100/L717,0)</f>
        <v>0</v>
      </c>
      <c r="P717" s="255">
        <f>IF(M717&gt;0,N717*100/M717,0)</f>
        <v>0</v>
      </c>
      <c r="Q717" s="255">
        <f>Q718+Q719</f>
        <v>0</v>
      </c>
      <c r="R717" s="255">
        <f>R718+R719</f>
        <v>0</v>
      </c>
      <c r="S717" s="255">
        <f>S718+S719</f>
        <v>0</v>
      </c>
      <c r="T717" s="255">
        <f>IF(Q717&gt;0,S717*100/Q717,0)</f>
        <v>0</v>
      </c>
      <c r="U717" s="255">
        <f>IF(R717&gt;0,S717*100/R717,0)</f>
        <v>0</v>
      </c>
    </row>
    <row r="718" spans="1:21" ht="18.75" hidden="1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103">
        <v>0</v>
      </c>
      <c r="M718" s="102">
        <v>0</v>
      </c>
      <c r="N718" s="102">
        <v>0</v>
      </c>
      <c r="O718" s="102">
        <f>IF(L718&gt;0,N718*100/L718,0)</f>
        <v>0</v>
      </c>
      <c r="P718" s="102">
        <f>IF(M718&gt;0,N718*100/M718,0)</f>
        <v>0</v>
      </c>
      <c r="Q718" s="102">
        <v>0</v>
      </c>
      <c r="R718" s="102">
        <v>0</v>
      </c>
      <c r="S718" s="102">
        <v>0</v>
      </c>
      <c r="T718" s="102">
        <f>IF(Q718&gt;0,S718*100/Q718,0)</f>
        <v>0</v>
      </c>
      <c r="U718" s="102">
        <f>IF(R718&gt;0,S718*100/R718,0)</f>
        <v>0</v>
      </c>
    </row>
    <row r="719" spans="1:21" ht="18.75" hidden="1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256">
        <v>0</v>
      </c>
      <c r="M719" s="255">
        <v>0</v>
      </c>
      <c r="N719" s="255">
        <v>0</v>
      </c>
      <c r="O719" s="255">
        <f>IF(L719&gt;0,N719*100/L719,0)</f>
        <v>0</v>
      </c>
      <c r="P719" s="255">
        <f>IF(M719&gt;0,N719*100/M719,0)</f>
        <v>0</v>
      </c>
      <c r="Q719" s="255">
        <v>0</v>
      </c>
      <c r="R719" s="255">
        <v>0</v>
      </c>
      <c r="S719" s="255">
        <v>0</v>
      </c>
      <c r="T719" s="255">
        <f>IF(Q719&gt;0,S719*100/Q719,0)</f>
        <v>0</v>
      </c>
      <c r="U719" s="255">
        <f>IF(R719&gt;0,S719*100/R719,0)</f>
        <v>0</v>
      </c>
    </row>
    <row r="720" spans="1:21" ht="19.5" hidden="1">
      <c r="A720" s="155"/>
      <c r="B720" s="188"/>
      <c r="C720" s="188"/>
      <c r="D720" s="562" t="s">
        <v>23</v>
      </c>
      <c r="E720" s="50"/>
      <c r="F720" s="50"/>
      <c r="G720" s="52"/>
      <c r="H720" s="420" t="s">
        <v>14</v>
      </c>
      <c r="I720" s="163"/>
      <c r="J720" s="163"/>
      <c r="K720" s="164"/>
      <c r="L720" s="256">
        <f>L721+L722</f>
        <v>0</v>
      </c>
      <c r="M720" s="255">
        <f>M721+M722</f>
        <v>0</v>
      </c>
      <c r="N720" s="255">
        <f>N721+N722</f>
        <v>0</v>
      </c>
      <c r="O720" s="255">
        <f>IF(L720&gt;0,N720*100/L720,0)</f>
        <v>0</v>
      </c>
      <c r="P720" s="255">
        <f>IF(M720&gt;0,N720*100/M720,0)</f>
        <v>0</v>
      </c>
      <c r="Q720" s="255">
        <f>Q721+Q722</f>
        <v>0</v>
      </c>
      <c r="R720" s="255">
        <f>R721+R722</f>
        <v>0</v>
      </c>
      <c r="S720" s="255">
        <f>S721+S722</f>
        <v>0</v>
      </c>
      <c r="T720" s="255">
        <f>IF(Q720&gt;0,S720*100/Q720,0)</f>
        <v>0</v>
      </c>
      <c r="U720" s="255">
        <f>IF(R720&gt;0,S720*100/R720,0)</f>
        <v>0</v>
      </c>
    </row>
    <row r="721" spans="1:21" ht="18.75" hidden="1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103">
        <v>0</v>
      </c>
      <c r="M721" s="102">
        <v>0</v>
      </c>
      <c r="N721" s="102">
        <v>0</v>
      </c>
      <c r="O721" s="102">
        <f>IF(L721&gt;0,N721*100/L721,0)</f>
        <v>0</v>
      </c>
      <c r="P721" s="102">
        <f>IF(M721&gt;0,N721*100/M721,0)</f>
        <v>0</v>
      </c>
      <c r="Q721" s="102">
        <v>0</v>
      </c>
      <c r="R721" s="102">
        <v>0</v>
      </c>
      <c r="S721" s="102">
        <v>0</v>
      </c>
      <c r="T721" s="102">
        <f>IF(Q721&gt;0,S721*100/Q721,0)</f>
        <v>0</v>
      </c>
      <c r="U721" s="102">
        <f>IF(R721&gt;0,S721*100/R721,0)</f>
        <v>0</v>
      </c>
    </row>
    <row r="722" spans="1:21" ht="18.75" hidden="1">
      <c r="A722" s="155"/>
      <c r="B722" s="188"/>
      <c r="C722" s="188"/>
      <c r="D722" s="50"/>
      <c r="E722" s="186" t="s">
        <v>21</v>
      </c>
      <c r="F722" s="50"/>
      <c r="G722" s="52"/>
      <c r="H722" s="421" t="s">
        <v>14</v>
      </c>
      <c r="I722" s="163"/>
      <c r="J722" s="163"/>
      <c r="K722" s="164"/>
      <c r="L722" s="256">
        <v>0</v>
      </c>
      <c r="M722" s="255">
        <v>0</v>
      </c>
      <c r="N722" s="255">
        <v>0</v>
      </c>
      <c r="O722" s="255">
        <f>IF(L722&gt;0,N722*100/L722,0)</f>
        <v>0</v>
      </c>
      <c r="P722" s="255">
        <f>IF(M722&gt;0,N722*100/M722,0)</f>
        <v>0</v>
      </c>
      <c r="Q722" s="255">
        <v>0</v>
      </c>
      <c r="R722" s="255">
        <v>0</v>
      </c>
      <c r="S722" s="255">
        <v>0</v>
      </c>
      <c r="T722" s="255">
        <f>IF(Q722&gt;0,S722*100/Q722,0)</f>
        <v>0</v>
      </c>
      <c r="U722" s="255">
        <f>IF(R722&gt;0,S722*100/R722,0)</f>
        <v>0</v>
      </c>
    </row>
    <row r="723" spans="1:21" ht="19.5" hidden="1">
      <c r="A723" s="166"/>
      <c r="B723" s="167"/>
      <c r="C723" s="358" t="s">
        <v>18</v>
      </c>
      <c r="D723" s="561" t="s">
        <v>38</v>
      </c>
      <c r="E723" s="169"/>
      <c r="F723" s="169"/>
      <c r="G723" s="170"/>
      <c r="H723" s="206"/>
      <c r="I723" s="163"/>
      <c r="J723" s="163"/>
      <c r="K723" s="164"/>
      <c r="L723" s="172"/>
      <c r="M723" s="164"/>
      <c r="N723" s="164"/>
      <c r="O723" s="164"/>
      <c r="P723" s="164"/>
      <c r="Q723" s="164"/>
      <c r="R723" s="164"/>
      <c r="S723" s="164"/>
      <c r="T723" s="164"/>
      <c r="U723" s="164"/>
    </row>
    <row r="724" spans="1:21" ht="18.75" hidden="1">
      <c r="A724" s="238"/>
      <c r="B724" s="188"/>
      <c r="C724" s="188"/>
      <c r="D724" s="50"/>
      <c r="E724" s="186" t="s">
        <v>268</v>
      </c>
      <c r="F724" s="50"/>
      <c r="G724" s="52"/>
      <c r="H724" s="189" t="s">
        <v>46</v>
      </c>
      <c r="I724" s="483">
        <v>0</v>
      </c>
      <c r="J724" s="54"/>
      <c r="K724" s="55"/>
      <c r="L724" s="62"/>
      <c r="M724" s="55"/>
      <c r="N724" s="55"/>
      <c r="O724" s="55"/>
      <c r="P724" s="55"/>
      <c r="Q724" s="55"/>
      <c r="R724" s="55"/>
      <c r="S724" s="55"/>
      <c r="T724" s="55"/>
      <c r="U724" s="55"/>
    </row>
    <row r="725" spans="1:21" ht="18.75" hidden="1">
      <c r="A725" s="374"/>
      <c r="B725" s="5"/>
      <c r="C725" s="5"/>
      <c r="D725" s="4"/>
      <c r="E725" s="484" t="s">
        <v>269</v>
      </c>
      <c r="F725" s="4"/>
      <c r="G725" s="65"/>
      <c r="H725" s="485" t="s">
        <v>46</v>
      </c>
      <c r="I725" s="486">
        <v>0</v>
      </c>
      <c r="J725" s="67"/>
      <c r="K725" s="6"/>
      <c r="L725" s="68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>
      <c r="A726" s="442"/>
      <c r="B726" s="443" t="s">
        <v>270</v>
      </c>
      <c r="C726" s="442"/>
      <c r="D726" s="444"/>
      <c r="E726" s="444"/>
      <c r="F726" s="444"/>
      <c r="G726" s="445"/>
      <c r="H726" s="473" t="s">
        <v>35</v>
      </c>
      <c r="I726" s="544">
        <f ca="1">IFERROR(__xludf.DUMMYFUNCTION("IMPORTRANGE(""https://docs.google.com/spreadsheets/d/1eHaY18a8A9IcSdp1K8H6x8fbOy06t2VsZHhMHf-1x7Y/edit?usp=sharing"",""แผน!GA51"")"),128)</f>
        <v>128</v>
      </c>
      <c r="J726" s="544">
        <f>J742+J746+J749</f>
        <v>125</v>
      </c>
      <c r="K726" s="543">
        <f ca="1">IF(I726&gt;0,J726*100/I726,0)</f>
        <v>97.65625</v>
      </c>
      <c r="L726" s="449"/>
      <c r="M726" s="448"/>
      <c r="N726" s="448"/>
      <c r="O726" s="448"/>
      <c r="P726" s="448"/>
      <c r="Q726" s="448"/>
      <c r="R726" s="448"/>
      <c r="S726" s="448"/>
      <c r="T726" s="448"/>
      <c r="U726" s="448"/>
    </row>
    <row r="727" spans="1:21" ht="19.5">
      <c r="A727" s="487"/>
      <c r="B727" s="442"/>
      <c r="C727" s="442"/>
      <c r="D727" s="444"/>
      <c r="E727" s="444"/>
      <c r="F727" s="444"/>
      <c r="G727" s="445"/>
      <c r="H727" s="473" t="s">
        <v>46</v>
      </c>
      <c r="I727" s="544">
        <f ca="1">IFERROR(__xludf.DUMMYFUNCTION("IMPORTRANGE(""https://docs.google.com/spreadsheets/d/1eHaY18a8A9IcSdp1K8H6x8fbOy06t2VsZHhMHf-1x7Y/edit?usp=sharing"",""แผน!FZ51"")"),1250)</f>
        <v>1250</v>
      </c>
      <c r="J727" s="544">
        <f>J752+J755</f>
        <v>0</v>
      </c>
      <c r="K727" s="543">
        <f ca="1">IF(I727&gt;0,J727*100/I727,0)</f>
        <v>0</v>
      </c>
      <c r="L727" s="449"/>
      <c r="M727" s="448"/>
      <c r="N727" s="448"/>
      <c r="O727" s="448"/>
      <c r="P727" s="448"/>
      <c r="Q727" s="448"/>
      <c r="R727" s="448"/>
      <c r="S727" s="448"/>
      <c r="T727" s="448"/>
      <c r="U727" s="448"/>
    </row>
    <row r="728" spans="1:21" ht="19.5">
      <c r="A728" s="155"/>
      <c r="B728" s="188"/>
      <c r="C728" s="205" t="s">
        <v>18</v>
      </c>
      <c r="D728" s="542" t="s">
        <v>19</v>
      </c>
      <c r="E728" s="529"/>
      <c r="F728" s="529"/>
      <c r="G728" s="530"/>
      <c r="H728" s="252" t="s">
        <v>14</v>
      </c>
      <c r="I728" s="54"/>
      <c r="J728" s="54"/>
      <c r="K728" s="55"/>
      <c r="L728" s="541">
        <f>L729+L730</f>
        <v>0</v>
      </c>
      <c r="M728" s="540">
        <f>M729+M730</f>
        <v>0</v>
      </c>
      <c r="N728" s="540">
        <f>N729+N730</f>
        <v>0</v>
      </c>
      <c r="O728" s="540">
        <f>IF(L728&gt;0,N728*100/L728,0)</f>
        <v>0</v>
      </c>
      <c r="P728" s="540">
        <f>IF(M728&gt;0,N728*100/M728,0)</f>
        <v>0</v>
      </c>
      <c r="Q728" s="540">
        <f ca="1">Q729+Q730</f>
        <v>1008470</v>
      </c>
      <c r="R728" s="540">
        <f ca="1">R729+R730</f>
        <v>1008470</v>
      </c>
      <c r="S728" s="540">
        <f ca="1">S729+S730</f>
        <v>110633</v>
      </c>
      <c r="T728" s="540">
        <f ca="1">IF(Q728&gt;0,S728*100/Q728,0)</f>
        <v>10.970380873997243</v>
      </c>
      <c r="U728" s="540">
        <f ca="1">IF(R728&gt;0,S728*100/R728,0)</f>
        <v>10.970380873997243</v>
      </c>
    </row>
    <row r="729" spans="1:21" ht="18.75" hidden="1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103">
        <f>L732+L735</f>
        <v>0</v>
      </c>
      <c r="M729" s="102">
        <f>M732+M735</f>
        <v>0</v>
      </c>
      <c r="N729" s="102">
        <f>N732+N735</f>
        <v>0</v>
      </c>
      <c r="O729" s="102">
        <f>IF(L729&gt;0,N729*100/L729,0)</f>
        <v>0</v>
      </c>
      <c r="P729" s="102">
        <f>IF(M729&gt;0,N729*100/M729,0)</f>
        <v>0</v>
      </c>
      <c r="Q729" s="102">
        <f>Q732+Q735</f>
        <v>0</v>
      </c>
      <c r="R729" s="102">
        <f>R732+R735</f>
        <v>0</v>
      </c>
      <c r="S729" s="102">
        <f>S732+S735</f>
        <v>0</v>
      </c>
      <c r="T729" s="102">
        <f>IF(Q729&gt;0,S729*100/Q729,0)</f>
        <v>0</v>
      </c>
      <c r="U729" s="102">
        <f>IF(R729&gt;0,S729*100/R729,0)</f>
        <v>0</v>
      </c>
    </row>
    <row r="730" spans="1:21" ht="18.75" hidden="1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256">
        <f>L733+L736</f>
        <v>0</v>
      </c>
      <c r="M730" s="255">
        <f>M733+M736</f>
        <v>0</v>
      </c>
      <c r="N730" s="255">
        <f>N733+N736</f>
        <v>0</v>
      </c>
      <c r="O730" s="255">
        <f>IF(L730&gt;0,N730*100/L730,0)</f>
        <v>0</v>
      </c>
      <c r="P730" s="255">
        <f>IF(M730&gt;0,N730*100/M730,0)</f>
        <v>0</v>
      </c>
      <c r="Q730" s="255">
        <f ca="1">Q733+Q736</f>
        <v>1008470</v>
      </c>
      <c r="R730" s="255">
        <f ca="1">R733+R736</f>
        <v>1008470</v>
      </c>
      <c r="S730" s="255">
        <f ca="1">S733+S736</f>
        <v>110633</v>
      </c>
      <c r="T730" s="255">
        <f ca="1">IF(Q730&gt;0,S730*100/Q730,0)</f>
        <v>10.970380873997243</v>
      </c>
      <c r="U730" s="255">
        <f ca="1">IF(R730&gt;0,S730*100/R730,0)</f>
        <v>10.970380873997243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256">
        <f>L732+L733</f>
        <v>0</v>
      </c>
      <c r="M731" s="255">
        <f>M732+M733</f>
        <v>0</v>
      </c>
      <c r="N731" s="255">
        <f>N732+N733</f>
        <v>0</v>
      </c>
      <c r="O731" s="255">
        <f>IF(L731&gt;0,N731*100/L731,0)</f>
        <v>0</v>
      </c>
      <c r="P731" s="255">
        <f>IF(M731&gt;0,N731*100/M731,0)</f>
        <v>0</v>
      </c>
      <c r="Q731" s="255">
        <f ca="1">Q732+Q733</f>
        <v>1008470</v>
      </c>
      <c r="R731" s="255">
        <f ca="1">R732+R733</f>
        <v>1008470</v>
      </c>
      <c r="S731" s="255">
        <f ca="1">S732+S733</f>
        <v>110633</v>
      </c>
      <c r="T731" s="255">
        <f ca="1">IF(Q731&gt;0,S731*100/Q731,0)</f>
        <v>10.970380873997243</v>
      </c>
      <c r="U731" s="255">
        <f ca="1">IF(R731&gt;0,S731*100/R731,0)</f>
        <v>10.970380873997243</v>
      </c>
    </row>
    <row r="732" spans="1:21" ht="18.75" hidden="1">
      <c r="A732" s="155"/>
      <c r="B732" s="188"/>
      <c r="C732" s="188"/>
      <c r="D732" s="174"/>
      <c r="E732" s="186" t="s">
        <v>159</v>
      </c>
      <c r="F732" s="50"/>
      <c r="G732" s="52"/>
      <c r="H732" s="189" t="s">
        <v>14</v>
      </c>
      <c r="I732" s="54"/>
      <c r="J732" s="54"/>
      <c r="K732" s="55"/>
      <c r="L732" s="103">
        <v>0</v>
      </c>
      <c r="M732" s="102">
        <v>0</v>
      </c>
      <c r="N732" s="102">
        <v>0</v>
      </c>
      <c r="O732" s="102">
        <f>IF(L732&gt;0,N732*100/L732,0)</f>
        <v>0</v>
      </c>
      <c r="P732" s="102">
        <f>IF(M732&gt;0,N732*100/M732,0)</f>
        <v>0</v>
      </c>
      <c r="Q732" s="102">
        <v>0</v>
      </c>
      <c r="R732" s="102">
        <v>0</v>
      </c>
      <c r="S732" s="102">
        <v>0</v>
      </c>
      <c r="T732" s="102">
        <f>IF(Q732&gt;0,S732*100/Q732,0)</f>
        <v>0</v>
      </c>
      <c r="U732" s="102">
        <f>IF(R732&gt;0,S732*100/R732,0)</f>
        <v>0</v>
      </c>
    </row>
    <row r="733" spans="1:21" ht="18.75" hidden="1">
      <c r="A733" s="155"/>
      <c r="B733" s="188"/>
      <c r="C733" s="188"/>
      <c r="D733" s="174"/>
      <c r="E733" s="58" t="s">
        <v>160</v>
      </c>
      <c r="F733" s="50"/>
      <c r="G733" s="52"/>
      <c r="H733" s="162" t="s">
        <v>14</v>
      </c>
      <c r="I733" s="54"/>
      <c r="J733" s="54"/>
      <c r="K733" s="55"/>
      <c r="L733" s="256">
        <v>0</v>
      </c>
      <c r="M733" s="255">
        <v>0</v>
      </c>
      <c r="N733" s="255">
        <v>0</v>
      </c>
      <c r="O733" s="255">
        <f>IF(L733&gt;0,N733*100/L733,0)</f>
        <v>0</v>
      </c>
      <c r="P733" s="255">
        <f>IF(M733&gt;0,N733*100/M733,0)</f>
        <v>0</v>
      </c>
      <c r="Q733" s="255">
        <f ca="1">IFERROR(__xludf.DUMMYFUNCTION("IMPORTRANGE(""https://docs.google.com/spreadsheets/d/1ItG2mGa2ceCfYo0BwxsXqNm01IGEUdYcSSLTEv9YCik/edit?usp=sharing"",""เบิกจ่ายกองทุน!O51"")"),1008470)</f>
        <v>1008470</v>
      </c>
      <c r="R733" s="255">
        <f ca="1">IFERROR(__xludf.DUMMYFUNCTION("IMPORTRANGE(""https://docs.google.com/spreadsheets/d/1ItG2mGa2ceCfYo0BwxsXqNm01IGEUdYcSSLTEv9YCik/edit?usp=sharing"",""เบิกจ่ายกองทุน!P51"")"),1008470)</f>
        <v>1008470</v>
      </c>
      <c r="S733" s="255">
        <f ca="1">IFERROR(__xludf.DUMMYFUNCTION("IMPORTRANGE(""https://docs.google.com/spreadsheets/d/1ItG2mGa2ceCfYo0BwxsXqNm01IGEUdYcSSLTEv9YCik/edit?usp=sharing"",""เบิกจ่ายกองทุน!Q51"")"),110633)</f>
        <v>110633</v>
      </c>
      <c r="T733" s="255">
        <f ca="1">IF(Q733&gt;0,S733*100/Q733,0)</f>
        <v>10.970380873997243</v>
      </c>
      <c r="U733" s="255">
        <f ca="1">IF(R733&gt;0,S733*100/R733,0)</f>
        <v>10.970380873997243</v>
      </c>
    </row>
    <row r="734" spans="1:21" ht="18.75">
      <c r="A734" s="155"/>
      <c r="B734" s="188"/>
      <c r="C734" s="188"/>
      <c r="D734" s="51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256">
        <f>L735+L736</f>
        <v>0</v>
      </c>
      <c r="M734" s="255">
        <f>M735+M736</f>
        <v>0</v>
      </c>
      <c r="N734" s="255">
        <f>N735+N736</f>
        <v>0</v>
      </c>
      <c r="O734" s="255">
        <f>IF(L734&gt;0,N734*100/L734,0)</f>
        <v>0</v>
      </c>
      <c r="P734" s="255">
        <f>IF(M734&gt;0,N734*100/M734,0)</f>
        <v>0</v>
      </c>
      <c r="Q734" s="255">
        <f>Q735+Q736</f>
        <v>0</v>
      </c>
      <c r="R734" s="255">
        <f>R735+R736</f>
        <v>0</v>
      </c>
      <c r="S734" s="255">
        <f>S735+S736</f>
        <v>0</v>
      </c>
      <c r="T734" s="255">
        <f>IF(Q734&gt;0,S734*100/Q734,0)</f>
        <v>0</v>
      </c>
      <c r="U734" s="255">
        <f>IF(R734&gt;0,S734*100/R734,0)</f>
        <v>0</v>
      </c>
    </row>
    <row r="735" spans="1:21" ht="18.75" hidden="1">
      <c r="A735" s="155"/>
      <c r="B735" s="188"/>
      <c r="C735" s="188"/>
      <c r="D735" s="188"/>
      <c r="E735" s="358" t="s">
        <v>20</v>
      </c>
      <c r="F735" s="188"/>
      <c r="G735" s="52"/>
      <c r="H735" s="189" t="s">
        <v>14</v>
      </c>
      <c r="I735" s="163"/>
      <c r="J735" s="163"/>
      <c r="K735" s="164"/>
      <c r="L735" s="103">
        <v>0</v>
      </c>
      <c r="M735" s="102">
        <v>0</v>
      </c>
      <c r="N735" s="102">
        <v>0</v>
      </c>
      <c r="O735" s="102">
        <f>IF(L735&gt;0,N735*100/L735,0)</f>
        <v>0</v>
      </c>
      <c r="P735" s="102">
        <f>IF(M735&gt;0,N735*100/M735,0)</f>
        <v>0</v>
      </c>
      <c r="Q735" s="102">
        <v>0</v>
      </c>
      <c r="R735" s="102">
        <v>0</v>
      </c>
      <c r="S735" s="102">
        <v>0</v>
      </c>
      <c r="T735" s="102">
        <f>IF(Q735&gt;0,S735*100/Q735,0)</f>
        <v>0</v>
      </c>
      <c r="U735" s="102">
        <f>IF(R735&gt;0,S735*100/R735,0)</f>
        <v>0</v>
      </c>
    </row>
    <row r="736" spans="1:21" ht="18.75" hidden="1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256">
        <v>0</v>
      </c>
      <c r="M736" s="255">
        <v>0</v>
      </c>
      <c r="N736" s="255">
        <v>0</v>
      </c>
      <c r="O736" s="255">
        <f>IF(L736&gt;0,N736*100/L736,0)</f>
        <v>0</v>
      </c>
      <c r="P736" s="255">
        <f>IF(M736&gt;0,N736*100/M736,0)</f>
        <v>0</v>
      </c>
      <c r="Q736" s="255">
        <v>0</v>
      </c>
      <c r="R736" s="255">
        <v>0</v>
      </c>
      <c r="S736" s="255">
        <v>0</v>
      </c>
      <c r="T736" s="255">
        <f>IF(Q736&gt;0,S736*100/Q736,0)</f>
        <v>0</v>
      </c>
      <c r="U736" s="255">
        <f>IF(R736&gt;0,S736*100/R736,0)</f>
        <v>0</v>
      </c>
    </row>
    <row r="737" spans="1:21" ht="19.5">
      <c r="A737" s="166"/>
      <c r="B737" s="167"/>
      <c r="C737" s="205" t="s">
        <v>18</v>
      </c>
      <c r="D737" s="560" t="s">
        <v>38</v>
      </c>
      <c r="E737" s="232"/>
      <c r="F737" s="169"/>
      <c r="G737" s="170"/>
      <c r="H737" s="206"/>
      <c r="I737" s="54"/>
      <c r="J737" s="54"/>
      <c r="K737" s="55"/>
      <c r="L737" s="62"/>
      <c r="M737" s="55"/>
      <c r="N737" s="55"/>
      <c r="O737" s="55"/>
      <c r="P737" s="55"/>
      <c r="Q737" s="55"/>
      <c r="R737" s="55"/>
      <c r="S737" s="55"/>
      <c r="T737" s="55"/>
      <c r="U737" s="55"/>
    </row>
    <row r="738" spans="1:21" ht="19.5">
      <c r="A738" s="166"/>
      <c r="B738" s="167"/>
      <c r="C738" s="167"/>
      <c r="D738" s="488" t="s">
        <v>121</v>
      </c>
      <c r="E738" s="167"/>
      <c r="F738" s="167"/>
      <c r="G738" s="171"/>
      <c r="H738" s="208"/>
      <c r="I738" s="54"/>
      <c r="J738" s="54"/>
      <c r="K738" s="55"/>
      <c r="L738" s="62"/>
      <c r="M738" s="55"/>
      <c r="N738" s="55"/>
      <c r="O738" s="55"/>
      <c r="P738" s="55"/>
      <c r="Q738" s="55"/>
      <c r="R738" s="55"/>
      <c r="S738" s="55"/>
      <c r="T738" s="55"/>
      <c r="U738" s="55"/>
    </row>
    <row r="739" spans="1:21" ht="18.75">
      <c r="A739" s="166"/>
      <c r="B739" s="167"/>
      <c r="C739" s="167"/>
      <c r="D739" s="167"/>
      <c r="E739" s="460" t="s">
        <v>271</v>
      </c>
      <c r="F739" s="167"/>
      <c r="G739" s="171"/>
      <c r="H739" s="208"/>
      <c r="I739" s="54"/>
      <c r="J739" s="54"/>
      <c r="K739" s="55"/>
      <c r="L739" s="62"/>
      <c r="M739" s="55"/>
      <c r="N739" s="55"/>
      <c r="O739" s="55"/>
      <c r="P739" s="55"/>
      <c r="Q739" s="55"/>
      <c r="R739" s="55"/>
      <c r="S739" s="55"/>
      <c r="T739" s="55"/>
      <c r="U739" s="55"/>
    </row>
    <row r="740" spans="1:21" ht="18.75">
      <c r="A740" s="554"/>
      <c r="B740" s="553"/>
      <c r="C740" s="553"/>
      <c r="D740" s="553"/>
      <c r="E740" s="553"/>
      <c r="F740" s="558" t="s">
        <v>272</v>
      </c>
      <c r="G740" s="550"/>
      <c r="H740" s="549" t="s">
        <v>46</v>
      </c>
      <c r="I740" s="556">
        <f ca="1">IFERROR(__xludf.DUMMYFUNCTION("IMPORTRANGE(""https://docs.google.com/spreadsheets/d/1eHaY18a8A9IcSdp1K8H6x8fbOy06t2VsZHhMHf-1x7Y/edit?usp=sharing"",""แผน!GB51"")"),1000)</f>
        <v>1000</v>
      </c>
      <c r="J740" s="547">
        <v>1000</v>
      </c>
      <c r="K740" s="555">
        <f ca="1">IF(I740&gt;0,J740*100/I740,0)</f>
        <v>100</v>
      </c>
      <c r="L740" s="546"/>
      <c r="M740" s="545"/>
      <c r="N740" s="545"/>
      <c r="O740" s="545"/>
      <c r="P740" s="545"/>
      <c r="Q740" s="545"/>
      <c r="R740" s="545"/>
      <c r="S740" s="545"/>
      <c r="T740" s="545"/>
      <c r="U740" s="545"/>
    </row>
    <row r="741" spans="1:21" ht="18.75">
      <c r="A741" s="554"/>
      <c r="B741" s="553"/>
      <c r="C741" s="553"/>
      <c r="D741" s="553"/>
      <c r="E741" s="553"/>
      <c r="F741" s="558" t="s">
        <v>307</v>
      </c>
      <c r="G741" s="550"/>
      <c r="H741" s="549" t="s">
        <v>35</v>
      </c>
      <c r="I741" s="548"/>
      <c r="J741" s="547">
        <v>0</v>
      </c>
      <c r="K741" s="545"/>
      <c r="L741" s="546"/>
      <c r="M741" s="545"/>
      <c r="N741" s="545"/>
      <c r="O741" s="545"/>
      <c r="P741" s="545"/>
      <c r="Q741" s="545"/>
      <c r="R741" s="545"/>
      <c r="S741" s="545"/>
      <c r="T741" s="545"/>
      <c r="U741" s="545"/>
    </row>
    <row r="742" spans="1:21" ht="18.75">
      <c r="A742" s="554"/>
      <c r="B742" s="553"/>
      <c r="C742" s="553"/>
      <c r="D742" s="553"/>
      <c r="E742" s="553"/>
      <c r="F742" s="558" t="s">
        <v>306</v>
      </c>
      <c r="G742" s="550"/>
      <c r="H742" s="549" t="s">
        <v>35</v>
      </c>
      <c r="I742" s="556">
        <f ca="1">IFERROR(__xludf.DUMMYFUNCTION("IMPORTRANGE(""https://docs.google.com/spreadsheets/d/1eHaY18a8A9IcSdp1K8H6x8fbOy06t2VsZHhMHf-1x7Y/edit?usp=sharing"",""แผน!GC51"")"),100)</f>
        <v>100</v>
      </c>
      <c r="J742" s="547">
        <v>100</v>
      </c>
      <c r="K742" s="555">
        <f ca="1">IF(I742&gt;0,J742*100/I742,0)</f>
        <v>100</v>
      </c>
      <c r="L742" s="546"/>
      <c r="M742" s="545"/>
      <c r="N742" s="545"/>
      <c r="O742" s="545"/>
      <c r="P742" s="545"/>
      <c r="Q742" s="545"/>
      <c r="R742" s="545"/>
      <c r="S742" s="545"/>
      <c r="T742" s="545"/>
      <c r="U742" s="545"/>
    </row>
    <row r="743" spans="1:21" ht="18.75">
      <c r="A743" s="554"/>
      <c r="B743" s="553"/>
      <c r="C743" s="553"/>
      <c r="D743" s="553"/>
      <c r="E743" s="558" t="s">
        <v>275</v>
      </c>
      <c r="F743" s="553"/>
      <c r="G743" s="550"/>
      <c r="H743" s="557"/>
      <c r="I743" s="548"/>
      <c r="J743" s="548"/>
      <c r="K743" s="545"/>
      <c r="L743" s="546"/>
      <c r="M743" s="545"/>
      <c r="N743" s="545"/>
      <c r="O743" s="545"/>
      <c r="P743" s="545"/>
      <c r="Q743" s="545"/>
      <c r="R743" s="545"/>
      <c r="S743" s="545"/>
      <c r="T743" s="545"/>
      <c r="U743" s="545"/>
    </row>
    <row r="744" spans="1:21" ht="18.75">
      <c r="A744" s="554"/>
      <c r="B744" s="553"/>
      <c r="C744" s="553"/>
      <c r="D744" s="553"/>
      <c r="E744" s="553"/>
      <c r="F744" s="558" t="s">
        <v>272</v>
      </c>
      <c r="G744" s="550"/>
      <c r="H744" s="549" t="s">
        <v>46</v>
      </c>
      <c r="I744" s="556">
        <f ca="1">IFERROR(__xludf.DUMMYFUNCTION("IMPORTRANGE(""https://docs.google.com/spreadsheets/d/1eHaY18a8A9IcSdp1K8H6x8fbOy06t2VsZHhMHf-1x7Y/edit?usp=sharing"",""แผน!GD51"")"),250)</f>
        <v>250</v>
      </c>
      <c r="J744" s="547">
        <v>250</v>
      </c>
      <c r="K744" s="555">
        <f ca="1">IF(I744&gt;0,J744*100/I744,0)</f>
        <v>100</v>
      </c>
      <c r="L744" s="546"/>
      <c r="M744" s="545"/>
      <c r="N744" s="545"/>
      <c r="O744" s="545"/>
      <c r="P744" s="545"/>
      <c r="Q744" s="545"/>
      <c r="R744" s="545"/>
      <c r="S744" s="545"/>
      <c r="T744" s="545"/>
      <c r="U744" s="545"/>
    </row>
    <row r="745" spans="1:21" ht="18.75">
      <c r="A745" s="554"/>
      <c r="B745" s="553"/>
      <c r="C745" s="553"/>
      <c r="D745" s="553"/>
      <c r="E745" s="553"/>
      <c r="F745" s="558" t="s">
        <v>305</v>
      </c>
      <c r="G745" s="550"/>
      <c r="H745" s="549" t="s">
        <v>35</v>
      </c>
      <c r="I745" s="548"/>
      <c r="J745" s="547">
        <v>0</v>
      </c>
      <c r="K745" s="545"/>
      <c r="L745" s="546"/>
      <c r="M745" s="545"/>
      <c r="N745" s="545"/>
      <c r="O745" s="545"/>
      <c r="P745" s="545"/>
      <c r="Q745" s="545"/>
      <c r="R745" s="545"/>
      <c r="S745" s="545"/>
      <c r="T745" s="545"/>
      <c r="U745" s="545"/>
    </row>
    <row r="746" spans="1:21" ht="18.75">
      <c r="A746" s="554"/>
      <c r="B746" s="553"/>
      <c r="C746" s="553"/>
      <c r="D746" s="553"/>
      <c r="E746" s="553"/>
      <c r="F746" s="558" t="s">
        <v>304</v>
      </c>
      <c r="G746" s="550"/>
      <c r="H746" s="549" t="s">
        <v>35</v>
      </c>
      <c r="I746" s="556">
        <f ca="1">IFERROR(__xludf.DUMMYFUNCTION("IMPORTRANGE(""https://docs.google.com/spreadsheets/d/1eHaY18a8A9IcSdp1K8H6x8fbOy06t2VsZHhMHf-1x7Y/edit?usp=sharing"",""แผน!GE51"")"),25)</f>
        <v>25</v>
      </c>
      <c r="J746" s="547">
        <v>25</v>
      </c>
      <c r="K746" s="555">
        <f ca="1">IF(I746&gt;0,J746*100/I746,0)</f>
        <v>100</v>
      </c>
      <c r="L746" s="546"/>
      <c r="M746" s="545"/>
      <c r="N746" s="545"/>
      <c r="O746" s="545"/>
      <c r="P746" s="545"/>
      <c r="Q746" s="545"/>
      <c r="R746" s="545"/>
      <c r="S746" s="545"/>
      <c r="T746" s="545"/>
      <c r="U746" s="545"/>
    </row>
    <row r="747" spans="1:21" ht="18.75">
      <c r="A747" s="554"/>
      <c r="B747" s="553"/>
      <c r="C747" s="553"/>
      <c r="D747" s="553"/>
      <c r="E747" s="558" t="s">
        <v>278</v>
      </c>
      <c r="F747" s="552"/>
      <c r="G747" s="550"/>
      <c r="H747" s="557"/>
      <c r="I747" s="548"/>
      <c r="J747" s="548"/>
      <c r="K747" s="545"/>
      <c r="L747" s="546"/>
      <c r="M747" s="545"/>
      <c r="N747" s="545"/>
      <c r="O747" s="545"/>
      <c r="P747" s="545"/>
      <c r="Q747" s="545"/>
      <c r="R747" s="545"/>
      <c r="S747" s="545"/>
      <c r="T747" s="545"/>
      <c r="U747" s="545"/>
    </row>
    <row r="748" spans="1:21" ht="18.75">
      <c r="A748" s="554"/>
      <c r="B748" s="553"/>
      <c r="C748" s="553"/>
      <c r="D748" s="553"/>
      <c r="E748" s="553"/>
      <c r="F748" s="558" t="s">
        <v>303</v>
      </c>
      <c r="G748" s="550"/>
      <c r="H748" s="549" t="s">
        <v>35</v>
      </c>
      <c r="I748" s="548"/>
      <c r="J748" s="547">
        <v>0</v>
      </c>
      <c r="K748" s="545"/>
      <c r="L748" s="546"/>
      <c r="M748" s="545"/>
      <c r="N748" s="545"/>
      <c r="O748" s="545"/>
      <c r="P748" s="545"/>
      <c r="Q748" s="545"/>
      <c r="R748" s="545"/>
      <c r="S748" s="545"/>
      <c r="T748" s="545"/>
      <c r="U748" s="545"/>
    </row>
    <row r="749" spans="1:21" ht="18.75">
      <c r="A749" s="554"/>
      <c r="B749" s="553"/>
      <c r="C749" s="553"/>
      <c r="D749" s="553"/>
      <c r="E749" s="553"/>
      <c r="F749" s="558" t="s">
        <v>302</v>
      </c>
      <c r="G749" s="550"/>
      <c r="H749" s="549" t="s">
        <v>35</v>
      </c>
      <c r="I749" s="556">
        <f ca="1">IFERROR(__xludf.DUMMYFUNCTION("IMPORTRANGE(""https://docs.google.com/spreadsheets/d/1eHaY18a8A9IcSdp1K8H6x8fbOy06t2VsZHhMHf-1x7Y/edit?usp=sharing"",""แผน!GF51"")"),3)</f>
        <v>3</v>
      </c>
      <c r="J749" s="547">
        <v>0</v>
      </c>
      <c r="K749" s="555">
        <f ca="1">IF(I749&gt;0,J749*100/I749,0)</f>
        <v>0</v>
      </c>
      <c r="L749" s="546"/>
      <c r="M749" s="545"/>
      <c r="N749" s="545"/>
      <c r="O749" s="545"/>
      <c r="P749" s="545"/>
      <c r="Q749" s="545"/>
      <c r="R749" s="545"/>
      <c r="S749" s="545"/>
      <c r="T749" s="545"/>
      <c r="U749" s="545"/>
    </row>
    <row r="750" spans="1:21" ht="19.5">
      <c r="A750" s="554"/>
      <c r="B750" s="553"/>
      <c r="C750" s="553"/>
      <c r="D750" s="559" t="s">
        <v>50</v>
      </c>
      <c r="E750" s="553"/>
      <c r="F750" s="552"/>
      <c r="G750" s="550"/>
      <c r="H750" s="557"/>
      <c r="I750" s="548"/>
      <c r="J750" s="548"/>
      <c r="K750" s="545"/>
      <c r="L750" s="546"/>
      <c r="M750" s="545"/>
      <c r="N750" s="545"/>
      <c r="O750" s="545"/>
      <c r="P750" s="545"/>
      <c r="Q750" s="545"/>
      <c r="R750" s="545"/>
      <c r="S750" s="545"/>
      <c r="T750" s="545"/>
      <c r="U750" s="545"/>
    </row>
    <row r="751" spans="1:21" ht="18.75">
      <c r="A751" s="554"/>
      <c r="B751" s="553"/>
      <c r="C751" s="553"/>
      <c r="D751" s="553"/>
      <c r="E751" s="558" t="s">
        <v>271</v>
      </c>
      <c r="F751" s="552"/>
      <c r="G751" s="550"/>
      <c r="H751" s="557"/>
      <c r="I751" s="548"/>
      <c r="J751" s="548"/>
      <c r="K751" s="545"/>
      <c r="L751" s="546"/>
      <c r="M751" s="545"/>
      <c r="N751" s="545"/>
      <c r="O751" s="545"/>
      <c r="P751" s="545"/>
      <c r="Q751" s="545"/>
      <c r="R751" s="545"/>
      <c r="S751" s="545"/>
      <c r="T751" s="545"/>
      <c r="U751" s="545"/>
    </row>
    <row r="752" spans="1:21" ht="18.75">
      <c r="A752" s="554"/>
      <c r="B752" s="553"/>
      <c r="C752" s="553"/>
      <c r="D752" s="553"/>
      <c r="E752" s="553"/>
      <c r="F752" s="551" t="s">
        <v>301</v>
      </c>
      <c r="G752" s="550"/>
      <c r="H752" s="549" t="s">
        <v>46</v>
      </c>
      <c r="I752" s="556">
        <f ca="1">IFERROR(__xludf.DUMMYFUNCTION("IMPORTRANGE(""https://docs.google.com/spreadsheets/d/1eHaY18a8A9IcSdp1K8H6x8fbOy06t2VsZHhMHf-1x7Y/edit?usp=sharing"",""แผน!GB51"")"),1000)</f>
        <v>1000</v>
      </c>
      <c r="J752" s="547">
        <v>0</v>
      </c>
      <c r="K752" s="555">
        <f ca="1">IF(I752&gt;0,J752*100/I752,0)</f>
        <v>0</v>
      </c>
      <c r="L752" s="546"/>
      <c r="M752" s="545"/>
      <c r="N752" s="545"/>
      <c r="O752" s="545"/>
      <c r="P752" s="545"/>
      <c r="Q752" s="545"/>
      <c r="R752" s="545"/>
      <c r="S752" s="545"/>
      <c r="T752" s="545"/>
      <c r="U752" s="545"/>
    </row>
    <row r="753" spans="1:21" ht="18.75">
      <c r="A753" s="554"/>
      <c r="B753" s="553"/>
      <c r="C753" s="553"/>
      <c r="D753" s="553"/>
      <c r="E753" s="553"/>
      <c r="F753" s="551" t="s">
        <v>300</v>
      </c>
      <c r="G753" s="550"/>
      <c r="H753" s="549" t="s">
        <v>46</v>
      </c>
      <c r="I753" s="548"/>
      <c r="J753" s="547">
        <v>0</v>
      </c>
      <c r="K753" s="545"/>
      <c r="L753" s="546"/>
      <c r="M753" s="545"/>
      <c r="N753" s="545"/>
      <c r="O753" s="545"/>
      <c r="P753" s="545"/>
      <c r="Q753" s="545"/>
      <c r="R753" s="545"/>
      <c r="S753" s="545"/>
      <c r="T753" s="545"/>
      <c r="U753" s="545"/>
    </row>
    <row r="754" spans="1:21" ht="18.75">
      <c r="A754" s="554"/>
      <c r="B754" s="553"/>
      <c r="C754" s="553"/>
      <c r="D754" s="553"/>
      <c r="E754" s="558" t="s">
        <v>275</v>
      </c>
      <c r="F754" s="552"/>
      <c r="G754" s="550"/>
      <c r="H754" s="557"/>
      <c r="I754" s="548"/>
      <c r="J754" s="548"/>
      <c r="K754" s="545"/>
      <c r="L754" s="546"/>
      <c r="M754" s="545"/>
      <c r="N754" s="545"/>
      <c r="O754" s="545"/>
      <c r="P754" s="545"/>
      <c r="Q754" s="545"/>
      <c r="R754" s="545"/>
      <c r="S754" s="545"/>
      <c r="T754" s="545"/>
      <c r="U754" s="545"/>
    </row>
    <row r="755" spans="1:21" ht="18.75">
      <c r="A755" s="554"/>
      <c r="B755" s="553"/>
      <c r="C755" s="553"/>
      <c r="D755" s="553"/>
      <c r="E755" s="552"/>
      <c r="F755" s="551" t="s">
        <v>299</v>
      </c>
      <c r="G755" s="550"/>
      <c r="H755" s="549" t="s">
        <v>46</v>
      </c>
      <c r="I755" s="556">
        <f ca="1">IFERROR(__xludf.DUMMYFUNCTION("IMPORTRANGE(""https://docs.google.com/spreadsheets/d/1eHaY18a8A9IcSdp1K8H6x8fbOy06t2VsZHhMHf-1x7Y/edit?usp=sharing"",""แผน!GD51"")"),250)</f>
        <v>250</v>
      </c>
      <c r="J755" s="547">
        <v>0</v>
      </c>
      <c r="K755" s="555">
        <f ca="1">IF(I755&gt;0,J755*100/I755,0)</f>
        <v>0</v>
      </c>
      <c r="L755" s="546"/>
      <c r="M755" s="545"/>
      <c r="N755" s="545"/>
      <c r="O755" s="545"/>
      <c r="P755" s="545"/>
      <c r="Q755" s="545"/>
      <c r="R755" s="545"/>
      <c r="S755" s="545"/>
      <c r="T755" s="545"/>
      <c r="U755" s="545"/>
    </row>
    <row r="756" spans="1:21" ht="18.75">
      <c r="A756" s="554"/>
      <c r="B756" s="553"/>
      <c r="C756" s="553"/>
      <c r="D756" s="553"/>
      <c r="E756" s="552"/>
      <c r="F756" s="551" t="s">
        <v>298</v>
      </c>
      <c r="G756" s="550"/>
      <c r="H756" s="549" t="s">
        <v>46</v>
      </c>
      <c r="I756" s="548"/>
      <c r="J756" s="547">
        <v>0</v>
      </c>
      <c r="K756" s="545"/>
      <c r="L756" s="546"/>
      <c r="M756" s="545"/>
      <c r="N756" s="545"/>
      <c r="O756" s="545"/>
      <c r="P756" s="545"/>
      <c r="Q756" s="545"/>
      <c r="R756" s="545"/>
      <c r="S756" s="545"/>
      <c r="T756" s="545"/>
      <c r="U756" s="545"/>
    </row>
    <row r="757" spans="1:21" ht="18.75">
      <c r="A757" s="489"/>
      <c r="B757" s="489"/>
      <c r="C757" s="489"/>
      <c r="D757" s="489"/>
      <c r="E757" s="490" t="s">
        <v>285</v>
      </c>
      <c r="F757" s="491"/>
      <c r="G757" s="492"/>
      <c r="H757" s="493" t="s">
        <v>35</v>
      </c>
      <c r="I757" s="494"/>
      <c r="J757" s="495">
        <v>0</v>
      </c>
      <c r="K757" s="496"/>
      <c r="L757" s="496"/>
      <c r="M757" s="496"/>
      <c r="N757" s="496"/>
      <c r="O757" s="496"/>
      <c r="P757" s="496"/>
      <c r="Q757" s="496"/>
      <c r="R757" s="496"/>
      <c r="S757" s="496"/>
      <c r="T757" s="496"/>
      <c r="U757" s="496"/>
    </row>
    <row r="758" spans="1:21" ht="19.5">
      <c r="A758" s="442"/>
      <c r="B758" s="443" t="s">
        <v>286</v>
      </c>
      <c r="C758" s="442"/>
      <c r="D758" s="444"/>
      <c r="E758" s="444"/>
      <c r="F758" s="444"/>
      <c r="G758" s="445"/>
      <c r="H758" s="473" t="s">
        <v>35</v>
      </c>
      <c r="I758" s="544">
        <f ca="1">I772</f>
        <v>90</v>
      </c>
      <c r="J758" s="544">
        <f>J772</f>
        <v>90</v>
      </c>
      <c r="K758" s="543">
        <f ca="1">IF(I758&gt;0,J758*100/I758,0)</f>
        <v>100</v>
      </c>
      <c r="L758" s="449"/>
      <c r="M758" s="448"/>
      <c r="N758" s="448"/>
      <c r="O758" s="448"/>
      <c r="P758" s="448"/>
      <c r="Q758" s="448"/>
      <c r="R758" s="448"/>
      <c r="S758" s="448"/>
      <c r="T758" s="448"/>
      <c r="U758" s="448"/>
    </row>
    <row r="759" spans="1:21" ht="19.5">
      <c r="A759" s="487"/>
      <c r="B759" s="442"/>
      <c r="C759" s="442"/>
      <c r="D759" s="444"/>
      <c r="E759" s="444"/>
      <c r="F759" s="444"/>
      <c r="G759" s="445"/>
      <c r="H759" s="473" t="s">
        <v>46</v>
      </c>
      <c r="I759" s="544">
        <f ca="1">I774</f>
        <v>300</v>
      </c>
      <c r="J759" s="544">
        <f>J774</f>
        <v>300</v>
      </c>
      <c r="K759" s="543">
        <f ca="1">IF(I759&gt;0,J759*100/I759,0)</f>
        <v>100</v>
      </c>
      <c r="L759" s="449"/>
      <c r="M759" s="448"/>
      <c r="N759" s="448"/>
      <c r="O759" s="448"/>
      <c r="P759" s="448"/>
      <c r="Q759" s="448"/>
      <c r="R759" s="448"/>
      <c r="S759" s="448"/>
      <c r="T759" s="448"/>
      <c r="U759" s="448"/>
    </row>
    <row r="760" spans="1:21" ht="19.5">
      <c r="A760" s="155"/>
      <c r="B760" s="188"/>
      <c r="C760" s="205" t="s">
        <v>18</v>
      </c>
      <c r="D760" s="542" t="s">
        <v>19</v>
      </c>
      <c r="E760" s="529"/>
      <c r="F760" s="529"/>
      <c r="G760" s="530"/>
      <c r="H760" s="252" t="s">
        <v>14</v>
      </c>
      <c r="I760" s="54"/>
      <c r="J760" s="54"/>
      <c r="K760" s="55"/>
      <c r="L760" s="541">
        <f>L761+L762</f>
        <v>0</v>
      </c>
      <c r="M760" s="540">
        <f>M761+M762</f>
        <v>0</v>
      </c>
      <c r="N760" s="540">
        <f>N761+N762</f>
        <v>0</v>
      </c>
      <c r="O760" s="540">
        <f>IF(L760&gt;0,N760*100/L760,0)</f>
        <v>0</v>
      </c>
      <c r="P760" s="540">
        <f>IF(M760&gt;0,N760*100/M760,0)</f>
        <v>0</v>
      </c>
      <c r="Q760" s="540">
        <f ca="1">Q761+Q762</f>
        <v>675000</v>
      </c>
      <c r="R760" s="540">
        <f ca="1">R761+R762</f>
        <v>675000</v>
      </c>
      <c r="S760" s="540">
        <f ca="1">S761+S762</f>
        <v>88678</v>
      </c>
      <c r="T760" s="540">
        <f ca="1">IF(Q760&gt;0,S760*100/Q760,0)</f>
        <v>13.137481481481482</v>
      </c>
      <c r="U760" s="540">
        <f ca="1">IF(R760&gt;0,S760*100/R760,0)</f>
        <v>13.137481481481482</v>
      </c>
    </row>
    <row r="761" spans="1:21" ht="18.75" hidden="1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103">
        <f>L764+L767</f>
        <v>0</v>
      </c>
      <c r="M761" s="102">
        <f>M764+M767</f>
        <v>0</v>
      </c>
      <c r="N761" s="102">
        <f>N764+N767</f>
        <v>0</v>
      </c>
      <c r="O761" s="102">
        <f>IF(L761&gt;0,N761*100/L761,0)</f>
        <v>0</v>
      </c>
      <c r="P761" s="102">
        <f>IF(M761&gt;0,N761*100/M761,0)</f>
        <v>0</v>
      </c>
      <c r="Q761" s="102">
        <f>Q764+Q767</f>
        <v>0</v>
      </c>
      <c r="R761" s="102">
        <f>R764+R767</f>
        <v>0</v>
      </c>
      <c r="S761" s="102">
        <f>S764+S767</f>
        <v>0</v>
      </c>
      <c r="T761" s="102">
        <f>IF(Q761&gt;0,S761*100/Q761,0)</f>
        <v>0</v>
      </c>
      <c r="U761" s="102">
        <f>IF(R761&gt;0,S761*100/R761,0)</f>
        <v>0</v>
      </c>
    </row>
    <row r="762" spans="1:21" ht="18.75" hidden="1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256">
        <f>L765+L768</f>
        <v>0</v>
      </c>
      <c r="M762" s="255">
        <f>M765+M768</f>
        <v>0</v>
      </c>
      <c r="N762" s="255">
        <f>N765+N768</f>
        <v>0</v>
      </c>
      <c r="O762" s="255">
        <f>IF(L762&gt;0,N762*100/L762,0)</f>
        <v>0</v>
      </c>
      <c r="P762" s="255">
        <f>IF(M762&gt;0,N762*100/M762,0)</f>
        <v>0</v>
      </c>
      <c r="Q762" s="255">
        <f ca="1">Q765+Q768</f>
        <v>675000</v>
      </c>
      <c r="R762" s="255">
        <f ca="1">R765+R768</f>
        <v>675000</v>
      </c>
      <c r="S762" s="255">
        <f ca="1">S765+S768</f>
        <v>88678</v>
      </c>
      <c r="T762" s="255">
        <f ca="1">IF(Q762&gt;0,S762*100/Q762,0)</f>
        <v>13.137481481481482</v>
      </c>
      <c r="U762" s="255">
        <f ca="1">IF(R762&gt;0,S762*100/R762,0)</f>
        <v>13.137481481481482</v>
      </c>
    </row>
    <row r="763" spans="1:21" ht="18.75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256">
        <f>L764+L765</f>
        <v>0</v>
      </c>
      <c r="M763" s="255">
        <f>M764+M765</f>
        <v>0</v>
      </c>
      <c r="N763" s="255">
        <f>N764+N765</f>
        <v>0</v>
      </c>
      <c r="O763" s="255">
        <f>IF(L763&gt;0,N763*100/L763,0)</f>
        <v>0</v>
      </c>
      <c r="P763" s="255">
        <f>IF(M763&gt;0,N763*100/M763,0)</f>
        <v>0</v>
      </c>
      <c r="Q763" s="255">
        <f ca="1">Q764+Q765</f>
        <v>675000</v>
      </c>
      <c r="R763" s="255">
        <f ca="1">R764+R765</f>
        <v>675000</v>
      </c>
      <c r="S763" s="255">
        <f ca="1">S764+S765</f>
        <v>88678</v>
      </c>
      <c r="T763" s="255">
        <f ca="1">IF(Q763&gt;0,S763*100/Q763,0)</f>
        <v>13.137481481481482</v>
      </c>
      <c r="U763" s="255">
        <f ca="1">IF(R763&gt;0,S763*100/R763,0)</f>
        <v>13.137481481481482</v>
      </c>
    </row>
    <row r="764" spans="1:21" ht="18.75" hidden="1">
      <c r="A764" s="155"/>
      <c r="B764" s="188"/>
      <c r="C764" s="202"/>
      <c r="D764" s="174"/>
      <c r="E764" s="186" t="s">
        <v>159</v>
      </c>
      <c r="F764" s="50"/>
      <c r="G764" s="52"/>
      <c r="H764" s="189" t="s">
        <v>14</v>
      </c>
      <c r="I764" s="54"/>
      <c r="J764" s="54"/>
      <c r="K764" s="55"/>
      <c r="L764" s="103">
        <v>0</v>
      </c>
      <c r="M764" s="102">
        <v>0</v>
      </c>
      <c r="N764" s="102">
        <v>0</v>
      </c>
      <c r="O764" s="102">
        <f>IF(L764&gt;0,N764*100/L764,0)</f>
        <v>0</v>
      </c>
      <c r="P764" s="102">
        <f>IF(M764&gt;0,N764*100/M764,0)</f>
        <v>0</v>
      </c>
      <c r="Q764" s="102">
        <v>0</v>
      </c>
      <c r="R764" s="102">
        <v>0</v>
      </c>
      <c r="S764" s="102">
        <v>0</v>
      </c>
      <c r="T764" s="102">
        <f>IF(Q764&gt;0,S764*100/Q764,0)</f>
        <v>0</v>
      </c>
      <c r="U764" s="102">
        <f>IF(R764&gt;0,S764*100/R764,0)</f>
        <v>0</v>
      </c>
    </row>
    <row r="765" spans="1:21" ht="18.75" hidden="1">
      <c r="A765" s="155"/>
      <c r="B765" s="188"/>
      <c r="C765" s="202"/>
      <c r="D765" s="174"/>
      <c r="E765" s="58" t="s">
        <v>160</v>
      </c>
      <c r="F765" s="50"/>
      <c r="G765" s="52"/>
      <c r="H765" s="162" t="s">
        <v>14</v>
      </c>
      <c r="I765" s="54"/>
      <c r="J765" s="54"/>
      <c r="K765" s="55"/>
      <c r="L765" s="256">
        <v>0</v>
      </c>
      <c r="M765" s="255">
        <v>0</v>
      </c>
      <c r="N765" s="255">
        <v>0</v>
      </c>
      <c r="O765" s="255">
        <f>IF(L765&gt;0,N765*100/L765,0)</f>
        <v>0</v>
      </c>
      <c r="P765" s="255">
        <f>IF(M765&gt;0,N765*100/M765,0)</f>
        <v>0</v>
      </c>
      <c r="Q765" s="255">
        <f ca="1">IFERROR(__xludf.DUMMYFUNCTION("IMPORTRANGE(""https://docs.google.com/spreadsheets/d/1ItG2mGa2ceCfYo0BwxsXqNm01IGEUdYcSSLTEv9YCik/edit?usp=sharing"",""เบิกจ่ายกองทุน!U51"")"),675000)</f>
        <v>675000</v>
      </c>
      <c r="R765" s="255">
        <f ca="1">IFERROR(__xludf.DUMMYFUNCTION("IMPORTRANGE(""https://docs.google.com/spreadsheets/d/1ItG2mGa2ceCfYo0BwxsXqNm01IGEUdYcSSLTEv9YCik/edit?usp=sharing"",""เบิกจ่ายกองทุน!V51"")"),675000)</f>
        <v>675000</v>
      </c>
      <c r="S765" s="255">
        <f ca="1">IFERROR(__xludf.DUMMYFUNCTION("IMPORTRANGE(""https://docs.google.com/spreadsheets/d/1ItG2mGa2ceCfYo0BwxsXqNm01IGEUdYcSSLTEv9YCik/edit?usp=sharing"",""เบิกจ่ายกองทุน!W51"")"),88678)</f>
        <v>88678</v>
      </c>
      <c r="T765" s="255">
        <f ca="1">IF(Q765&gt;0,S765*100/Q765,0)</f>
        <v>13.137481481481482</v>
      </c>
      <c r="U765" s="255">
        <f ca="1">IF(R765&gt;0,S765*100/R765,0)</f>
        <v>13.137481481481482</v>
      </c>
    </row>
    <row r="766" spans="1:21" ht="18.75">
      <c r="A766" s="155"/>
      <c r="B766" s="188"/>
      <c r="C766" s="188"/>
      <c r="D766" s="51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256">
        <f>L767+L768</f>
        <v>0</v>
      </c>
      <c r="M766" s="255">
        <f>M767+M768</f>
        <v>0</v>
      </c>
      <c r="N766" s="255">
        <f>N767+N768</f>
        <v>0</v>
      </c>
      <c r="O766" s="255">
        <f>IF(L766&gt;0,N766*100/L766,0)</f>
        <v>0</v>
      </c>
      <c r="P766" s="255">
        <f>IF(M766&gt;0,N766*100/M766,0)</f>
        <v>0</v>
      </c>
      <c r="Q766" s="255">
        <f>Q767+Q768</f>
        <v>0</v>
      </c>
      <c r="R766" s="255">
        <f>R767+R768</f>
        <v>0</v>
      </c>
      <c r="S766" s="255">
        <f>S767+S768</f>
        <v>0</v>
      </c>
      <c r="T766" s="255">
        <f>IF(Q766&gt;0,S766*100/Q766,0)</f>
        <v>0</v>
      </c>
      <c r="U766" s="255">
        <f>IF(R766&gt;0,S766*100/R766,0)</f>
        <v>0</v>
      </c>
    </row>
    <row r="767" spans="1:21" ht="18.75" hidden="1">
      <c r="A767" s="155"/>
      <c r="B767" s="188"/>
      <c r="C767" s="188"/>
      <c r="D767" s="188"/>
      <c r="E767" s="358" t="s">
        <v>20</v>
      </c>
      <c r="F767" s="50"/>
      <c r="G767" s="52"/>
      <c r="H767" s="189" t="s">
        <v>14</v>
      </c>
      <c r="I767" s="163"/>
      <c r="J767" s="163"/>
      <c r="K767" s="164"/>
      <c r="L767" s="103">
        <v>0</v>
      </c>
      <c r="M767" s="102">
        <v>0</v>
      </c>
      <c r="N767" s="102">
        <v>0</v>
      </c>
      <c r="O767" s="102">
        <f>IF(L767&gt;0,N767*100/L767,0)</f>
        <v>0</v>
      </c>
      <c r="P767" s="102">
        <f>IF(M767&gt;0,N767*100/M767,0)</f>
        <v>0</v>
      </c>
      <c r="Q767" s="102">
        <v>0</v>
      </c>
      <c r="R767" s="102">
        <v>0</v>
      </c>
      <c r="S767" s="102">
        <v>0</v>
      </c>
      <c r="T767" s="102">
        <f>IF(Q767&gt;0,S767*100/Q767,0)</f>
        <v>0</v>
      </c>
      <c r="U767" s="102">
        <f>IF(R767&gt;0,S767*100/R767,0)</f>
        <v>0</v>
      </c>
    </row>
    <row r="768" spans="1:21" ht="18.75" hidden="1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256">
        <v>0</v>
      </c>
      <c r="M768" s="255">
        <v>0</v>
      </c>
      <c r="N768" s="255">
        <v>0</v>
      </c>
      <c r="O768" s="255">
        <f>IF(L768&gt;0,N768*100/L768,0)</f>
        <v>0</v>
      </c>
      <c r="P768" s="255">
        <f>IF(M768&gt;0,N768*100/M768,0)</f>
        <v>0</v>
      </c>
      <c r="Q768" s="255">
        <v>0</v>
      </c>
      <c r="R768" s="255">
        <v>0</v>
      </c>
      <c r="S768" s="255">
        <v>0</v>
      </c>
      <c r="T768" s="255">
        <f>IF(Q768&gt;0,S768*100/Q768,0)</f>
        <v>0</v>
      </c>
      <c r="U768" s="255">
        <f>IF(R768&gt;0,S768*100/R768,0)</f>
        <v>0</v>
      </c>
    </row>
    <row r="769" spans="1:21" ht="19.5">
      <c r="A769" s="166"/>
      <c r="B769" s="167"/>
      <c r="C769" s="497" t="s">
        <v>18</v>
      </c>
      <c r="D769" s="539" t="s">
        <v>38</v>
      </c>
      <c r="E769" s="232"/>
      <c r="F769" s="169"/>
      <c r="G769" s="170"/>
      <c r="H769" s="206"/>
      <c r="I769" s="54"/>
      <c r="J769" s="54"/>
      <c r="K769" s="55"/>
      <c r="L769" s="62"/>
      <c r="M769" s="55"/>
      <c r="N769" s="55"/>
      <c r="O769" s="55"/>
      <c r="P769" s="55"/>
      <c r="Q769" s="55"/>
      <c r="R769" s="55"/>
      <c r="S769" s="55"/>
      <c r="T769" s="55"/>
      <c r="U769" s="55"/>
    </row>
    <row r="770" spans="1:21" ht="18.75" hidden="1">
      <c r="A770" s="166"/>
      <c r="B770" s="167"/>
      <c r="C770" s="167"/>
      <c r="D770" s="423" t="s">
        <v>287</v>
      </c>
      <c r="E770" s="167"/>
      <c r="F770" s="174"/>
      <c r="G770" s="171"/>
      <c r="H770" s="421" t="s">
        <v>35</v>
      </c>
      <c r="I770" s="483">
        <f ca="1">IFERROR(__xludf.DUMMYFUNCTION("IMPORTRANGE(""https://docs.google.com/spreadsheets/d/1eHaY18a8A9IcSdp1K8H6x8fbOy06t2VsZHhMHf-1x7Y/edit?usp=sharing"",""แผน!FI51"")"),0)</f>
        <v>0</v>
      </c>
      <c r="J770" s="483">
        <v>0</v>
      </c>
      <c r="K770" s="102">
        <f ca="1">IF(I770&gt;0,J770*100/I770,0)</f>
        <v>0</v>
      </c>
      <c r="L770" s="62"/>
      <c r="M770" s="55"/>
      <c r="N770" s="55"/>
      <c r="O770" s="55"/>
      <c r="P770" s="55"/>
      <c r="Q770" s="55"/>
      <c r="R770" s="55"/>
      <c r="S770" s="55"/>
      <c r="T770" s="55"/>
      <c r="U770" s="55"/>
    </row>
    <row r="771" spans="1:21" ht="18.75" hidden="1">
      <c r="A771" s="166"/>
      <c r="B771" s="167"/>
      <c r="C771" s="167"/>
      <c r="D771" s="423" t="s">
        <v>288</v>
      </c>
      <c r="E771" s="167"/>
      <c r="F771" s="174"/>
      <c r="G771" s="171"/>
      <c r="H771" s="206"/>
      <c r="I771" s="54"/>
      <c r="J771" s="54"/>
      <c r="K771" s="55"/>
      <c r="L771" s="62"/>
      <c r="M771" s="55"/>
      <c r="N771" s="55"/>
      <c r="O771" s="55"/>
      <c r="P771" s="55"/>
      <c r="Q771" s="55"/>
      <c r="R771" s="55"/>
      <c r="S771" s="55"/>
      <c r="T771" s="55"/>
      <c r="U771" s="55"/>
    </row>
    <row r="772" spans="1:21" ht="18.75">
      <c r="A772" s="166"/>
      <c r="B772" s="167"/>
      <c r="C772" s="167"/>
      <c r="D772" s="460" t="s">
        <v>289</v>
      </c>
      <c r="E772" s="167"/>
      <c r="F772" s="174"/>
      <c r="G772" s="171"/>
      <c r="H772" s="165" t="s">
        <v>35</v>
      </c>
      <c r="I772" s="212">
        <f ca="1">IFERROR(__xludf.DUMMYFUNCTION("IMPORTRANGE(""https://docs.google.com/spreadsheets/d/1eHaY18a8A9IcSdp1K8H6x8fbOy06t2VsZHhMHf-1x7Y/edit?usp=sharing"",""แผน!FQ51"")"),90)</f>
        <v>90</v>
      </c>
      <c r="J772" s="467">
        <v>90</v>
      </c>
      <c r="K772" s="255">
        <f ca="1">IF(I772&gt;0,J772*100/I772,0)</f>
        <v>100</v>
      </c>
      <c r="L772" s="62"/>
      <c r="M772" s="55"/>
      <c r="N772" s="55"/>
      <c r="O772" s="55"/>
      <c r="P772" s="55"/>
      <c r="Q772" s="55"/>
      <c r="R772" s="55"/>
      <c r="S772" s="55"/>
      <c r="T772" s="55"/>
      <c r="U772" s="55"/>
    </row>
    <row r="773" spans="1:21" ht="18.75">
      <c r="A773" s="166"/>
      <c r="B773" s="167"/>
      <c r="C773" s="167"/>
      <c r="D773" s="460" t="s">
        <v>290</v>
      </c>
      <c r="E773" s="167"/>
      <c r="F773" s="174"/>
      <c r="G773" s="171"/>
      <c r="H773" s="206"/>
      <c r="I773" s="54"/>
      <c r="J773" s="54"/>
      <c r="K773" s="55"/>
      <c r="L773" s="62"/>
      <c r="M773" s="55"/>
      <c r="N773" s="55"/>
      <c r="O773" s="55"/>
      <c r="P773" s="55"/>
      <c r="Q773" s="55"/>
      <c r="R773" s="55"/>
      <c r="S773" s="55"/>
      <c r="T773" s="55"/>
      <c r="U773" s="55"/>
    </row>
    <row r="774" spans="1:21" ht="18.75">
      <c r="A774" s="166"/>
      <c r="B774" s="167"/>
      <c r="C774" s="167"/>
      <c r="D774" s="460" t="s">
        <v>291</v>
      </c>
      <c r="E774" s="167"/>
      <c r="F774" s="174"/>
      <c r="G774" s="171"/>
      <c r="H774" s="165" t="s">
        <v>46</v>
      </c>
      <c r="I774" s="212">
        <f ca="1">IFERROR(__xludf.DUMMYFUNCTION("IMPORTRANGE(""https://docs.google.com/spreadsheets/d/1eHaY18a8A9IcSdp1K8H6x8fbOy06t2VsZHhMHf-1x7Y/edit?usp=sharing"",""แผน!FR51"")"),300)</f>
        <v>300</v>
      </c>
      <c r="J774" s="467">
        <v>300</v>
      </c>
      <c r="K774" s="255">
        <f ca="1">IF(I774&gt;0,J774*100/I774,0)</f>
        <v>100</v>
      </c>
      <c r="L774" s="62"/>
      <c r="M774" s="55"/>
      <c r="N774" s="55"/>
      <c r="O774" s="55"/>
      <c r="P774" s="55"/>
      <c r="Q774" s="55"/>
      <c r="R774" s="55"/>
      <c r="S774" s="55"/>
      <c r="T774" s="55"/>
      <c r="U774" s="55"/>
    </row>
    <row r="775" spans="1:21" ht="18.75">
      <c r="A775" s="166"/>
      <c r="B775" s="167"/>
      <c r="C775" s="167"/>
      <c r="D775" s="460" t="s">
        <v>50</v>
      </c>
      <c r="E775" s="174"/>
      <c r="F775" s="50"/>
      <c r="G775" s="52"/>
      <c r="H775" s="165" t="s">
        <v>46</v>
      </c>
      <c r="I775" s="212">
        <f ca="1">IFERROR(__xludf.DUMMYFUNCTION("IMPORTRANGE(""https://docs.google.com/spreadsheets/d/1eHaY18a8A9IcSdp1K8H6x8fbOy06t2VsZHhMHf-1x7Y/edit?usp=sharing"",""แผน!FS51"")"),300)</f>
        <v>300</v>
      </c>
      <c r="J775" s="467">
        <v>0</v>
      </c>
      <c r="K775" s="55"/>
      <c r="L775" s="62"/>
      <c r="M775" s="55"/>
      <c r="N775" s="55"/>
      <c r="O775" s="55"/>
      <c r="P775" s="55"/>
      <c r="Q775" s="55"/>
      <c r="R775" s="55"/>
      <c r="S775" s="55"/>
      <c r="T775" s="55"/>
      <c r="U775" s="55"/>
    </row>
    <row r="776" spans="1:21" ht="18.75">
      <c r="A776" s="281"/>
      <c r="B776" s="282"/>
      <c r="C776" s="282"/>
      <c r="D776" s="282"/>
      <c r="E776" s="2"/>
      <c r="F776" s="2"/>
      <c r="G776" s="65"/>
      <c r="H776" s="214" t="s">
        <v>35</v>
      </c>
      <c r="I776" s="216">
        <f ca="1">IFERROR(__xludf.DUMMYFUNCTION("IMPORTRANGE(""https://docs.google.com/spreadsheets/d/1eHaY18a8A9IcSdp1K8H6x8fbOy06t2VsZHhMHf-1x7Y/edit?usp=sharing"",""แผน!FT51"")"),90)</f>
        <v>90</v>
      </c>
      <c r="J776" s="538">
        <v>0</v>
      </c>
      <c r="K776" s="6"/>
      <c r="L776" s="68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>
      <c r="A777" s="537" t="s">
        <v>292</v>
      </c>
      <c r="B777" s="500"/>
      <c r="C777" s="500"/>
      <c r="D777" s="499"/>
      <c r="E777" s="500"/>
      <c r="F777" s="500"/>
      <c r="G777" s="501"/>
      <c r="H777" s="536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503"/>
      <c r="J777" s="504"/>
      <c r="K777" s="505"/>
      <c r="L777" s="505"/>
      <c r="M777" s="505"/>
      <c r="N777" s="505"/>
      <c r="O777" s="505"/>
      <c r="P777" s="505"/>
      <c r="Q777" s="505"/>
      <c r="R777" s="505"/>
      <c r="S777" s="505"/>
      <c r="T777" s="505"/>
      <c r="U777" s="505"/>
    </row>
    <row r="778" spans="1:21" ht="18.75">
      <c r="A778" s="49"/>
      <c r="B778" s="58" t="s">
        <v>293</v>
      </c>
      <c r="C778" s="50"/>
      <c r="D778" s="188"/>
      <c r="E778" s="50"/>
      <c r="F778" s="50"/>
      <c r="G778" s="52"/>
      <c r="H778" s="53" t="s">
        <v>14</v>
      </c>
      <c r="I778" s="212">
        <f ca="1">IFERROR(__xludf.DUMMYFUNCTION("IMPORTRANGE(""https://docs.google.com/spreadsheets/d/10OvvATaaLtwErnr3qtWFcTmtbfpFEt5Bsqel9sXx0uE/edit?usp=sharing"",""งานกองทุน!D51"")"),6762771.92)</f>
        <v>6762771.9199999999</v>
      </c>
      <c r="J778" s="212">
        <f ca="1">IFERROR(__xludf.DUMMYFUNCTION("IMPORTRANGE(""https://docs.google.com/spreadsheets/d/10OvvATaaLtwErnr3qtWFcTmtbfpFEt5Bsqel9sXx0uE/edit?usp=sharing"",""งานกองทุน!F51"")"),3484207.27)</f>
        <v>3484207.27</v>
      </c>
      <c r="K778" s="255">
        <f ca="1">IF(I778&gt;0,J778*100/I778,0)</f>
        <v>51.520401859124064</v>
      </c>
      <c r="L778" s="55"/>
      <c r="M778" s="55"/>
      <c r="N778" s="55"/>
      <c r="O778" s="55"/>
      <c r="P778" s="55"/>
      <c r="Q778" s="55"/>
      <c r="R778" s="55"/>
      <c r="S778" s="55"/>
      <c r="T778" s="55"/>
      <c r="U778" s="55"/>
    </row>
    <row r="779" spans="1:21" ht="18.75">
      <c r="A779" s="49"/>
      <c r="B779" s="50"/>
      <c r="C779" s="50"/>
      <c r="D779" s="188"/>
      <c r="E779" s="50"/>
      <c r="F779" s="50"/>
      <c r="G779" s="52"/>
      <c r="H779" s="53" t="s">
        <v>35</v>
      </c>
      <c r="I779" s="212">
        <f ca="1">IFERROR(__xludf.DUMMYFUNCTION("IMPORTRANGE(""https://docs.google.com/spreadsheets/d/10OvvATaaLtwErnr3qtWFcTmtbfpFEt5Bsqel9sXx0uE/edit?usp=sharing"",""งานกองทุน!C51"")"),383)</f>
        <v>383</v>
      </c>
      <c r="J779" s="212">
        <f ca="1">IFERROR(__xludf.DUMMYFUNCTION("IMPORTRANGE(""https://docs.google.com/spreadsheets/d/10OvvATaaLtwErnr3qtWFcTmtbfpFEt5Bsqel9sXx0uE/edit?usp=sharing"",""งานกองทุน!E51"")"),199)</f>
        <v>199</v>
      </c>
      <c r="K779" s="255">
        <f ca="1">IF(I779&gt;0,J779*100/I779,0)</f>
        <v>51.958224543080938</v>
      </c>
      <c r="L779" s="55"/>
      <c r="M779" s="55"/>
      <c r="N779" s="55"/>
      <c r="O779" s="55"/>
      <c r="P779" s="55"/>
      <c r="Q779" s="55"/>
      <c r="R779" s="55"/>
      <c r="S779" s="55"/>
      <c r="T779" s="55"/>
      <c r="U779" s="55"/>
    </row>
    <row r="780" spans="1:21" ht="18.75">
      <c r="A780" s="49"/>
      <c r="B780" s="58" t="s">
        <v>294</v>
      </c>
      <c r="C780" s="50"/>
      <c r="D780" s="188"/>
      <c r="E780" s="50"/>
      <c r="F780" s="50"/>
      <c r="G780" s="52"/>
      <c r="H780" s="53" t="s">
        <v>14</v>
      </c>
      <c r="I780" s="212">
        <f ca="1">IFERROR(__xludf.DUMMYFUNCTION("IMPORTRANGE(""https://docs.google.com/spreadsheets/d/10OvvATaaLtwErnr3qtWFcTmtbfpFEt5Bsqel9sXx0uE/edit?usp=sharing"",""งานกองทุน!I51"")"),4991802.1)</f>
        <v>4991802.0999999996</v>
      </c>
      <c r="J780" s="212">
        <f ca="1">IFERROR(__xludf.DUMMYFUNCTION("IMPORTRANGE(""https://docs.google.com/spreadsheets/d/10OvvATaaLtwErnr3qtWFcTmtbfpFEt5Bsqel9sXx0uE/edit?usp=sharing"",""งานกองทุน!K51"")"),544762.13)</f>
        <v>544762.13</v>
      </c>
      <c r="K780" s="255">
        <f ca="1">IF(I780&gt;0,J780*100/I780,0)</f>
        <v>10.913135558799498</v>
      </c>
      <c r="L780" s="55"/>
      <c r="M780" s="55"/>
      <c r="N780" s="55"/>
      <c r="O780" s="55"/>
      <c r="P780" s="55"/>
      <c r="Q780" s="55"/>
      <c r="R780" s="55"/>
      <c r="S780" s="55"/>
      <c r="T780" s="55"/>
      <c r="U780" s="55"/>
    </row>
    <row r="781" spans="1:21" ht="18.75">
      <c r="A781" s="49"/>
      <c r="B781" s="50"/>
      <c r="C781" s="50"/>
      <c r="D781" s="188"/>
      <c r="E781" s="50"/>
      <c r="F781" s="50"/>
      <c r="G781" s="52"/>
      <c r="H781" s="53" t="s">
        <v>35</v>
      </c>
      <c r="I781" s="212">
        <f ca="1">IFERROR(__xludf.DUMMYFUNCTION("IMPORTRANGE(""https://docs.google.com/spreadsheets/d/10OvvATaaLtwErnr3qtWFcTmtbfpFEt5Bsqel9sXx0uE/edit?usp=sharing"",""งานกองทุน!H51"")"),252)</f>
        <v>252</v>
      </c>
      <c r="J781" s="212">
        <f ca="1">IFERROR(__xludf.DUMMYFUNCTION("IMPORTRANGE(""https://docs.google.com/spreadsheets/d/10OvvATaaLtwErnr3qtWFcTmtbfpFEt5Bsqel9sXx0uE/edit?usp=sharing"",""งานกองทุน!J51"")"),79)</f>
        <v>79</v>
      </c>
      <c r="K781" s="255">
        <f ca="1">IF(I781&gt;0,J781*100/I781,0)</f>
        <v>31.349206349206348</v>
      </c>
      <c r="L781" s="55"/>
      <c r="M781" s="55"/>
      <c r="N781" s="55"/>
      <c r="O781" s="55"/>
      <c r="P781" s="55"/>
      <c r="Q781" s="55"/>
      <c r="R781" s="55"/>
      <c r="S781" s="55"/>
      <c r="T781" s="55"/>
      <c r="U781" s="55"/>
    </row>
    <row r="782" spans="1:21" ht="18.75">
      <c r="A782" s="49"/>
      <c r="B782" s="58" t="s">
        <v>295</v>
      </c>
      <c r="C782" s="50"/>
      <c r="D782" s="188"/>
      <c r="E782" s="50"/>
      <c r="F782" s="50"/>
      <c r="G782" s="52"/>
      <c r="H782" s="53" t="s">
        <v>14</v>
      </c>
      <c r="I782" s="212">
        <f ca="1">IFERROR(__xludf.DUMMYFUNCTION("IMPORTRANGE(""https://docs.google.com/spreadsheets/d/10OvvATaaLtwErnr3qtWFcTmtbfpFEt5Bsqel9sXx0uE/edit?usp=sharing"",""งานกองทุน!N51"")"),384166.33)</f>
        <v>384166.33</v>
      </c>
      <c r="J782" s="212">
        <f ca="1">IFERROR(__xludf.DUMMYFUNCTION("IMPORTRANGE(""https://docs.google.com/spreadsheets/d/10OvvATaaLtwErnr3qtWFcTmtbfpFEt5Bsqel9sXx0uE/edit?usp=sharing"",""งานกองทุน!P51"")"),153714.91)</f>
        <v>153714.91</v>
      </c>
      <c r="K782" s="255">
        <f ca="1">IF(I782&gt;0,J782*100/I782,0)</f>
        <v>40.012592982836367</v>
      </c>
      <c r="L782" s="55"/>
      <c r="M782" s="55"/>
      <c r="N782" s="55"/>
      <c r="O782" s="55"/>
      <c r="P782" s="55"/>
      <c r="Q782" s="55"/>
      <c r="R782" s="55"/>
      <c r="S782" s="55"/>
      <c r="T782" s="55"/>
      <c r="U782" s="55"/>
    </row>
    <row r="783" spans="1:21" ht="18.75">
      <c r="A783" s="49"/>
      <c r="B783" s="50"/>
      <c r="C783" s="50"/>
      <c r="D783" s="188"/>
      <c r="E783" s="50"/>
      <c r="F783" s="50"/>
      <c r="G783" s="52"/>
      <c r="H783" s="53" t="s">
        <v>35</v>
      </c>
      <c r="I783" s="212">
        <f ca="1">IFERROR(__xludf.DUMMYFUNCTION("IMPORTRANGE(""https://docs.google.com/spreadsheets/d/10OvvATaaLtwErnr3qtWFcTmtbfpFEt5Bsqel9sXx0uE/edit?usp=sharing"",""งานกองทุน!M51"")"),191)</f>
        <v>191</v>
      </c>
      <c r="J783" s="212">
        <f ca="1">IFERROR(__xludf.DUMMYFUNCTION("IMPORTRANGE(""https://docs.google.com/spreadsheets/d/10OvvATaaLtwErnr3qtWFcTmtbfpFEt5Bsqel9sXx0uE/edit?usp=sharing"",""งานกองทุน!O51"")"),144)</f>
        <v>144</v>
      </c>
      <c r="K783" s="255">
        <f ca="1">IF(I783&gt;0,J783*100/I783,0)</f>
        <v>75.392670157068068</v>
      </c>
      <c r="L783" s="55"/>
      <c r="M783" s="55"/>
      <c r="N783" s="55"/>
      <c r="O783" s="55"/>
      <c r="P783" s="55"/>
      <c r="Q783" s="55"/>
      <c r="R783" s="55"/>
      <c r="S783" s="55"/>
      <c r="T783" s="55"/>
      <c r="U783" s="55"/>
    </row>
    <row r="784" spans="1:21" ht="18.75">
      <c r="A784" s="49"/>
      <c r="B784" s="58" t="s">
        <v>296</v>
      </c>
      <c r="C784" s="50"/>
      <c r="D784" s="188"/>
      <c r="E784" s="50"/>
      <c r="F784" s="50"/>
      <c r="G784" s="52"/>
      <c r="H784" s="53" t="s">
        <v>14</v>
      </c>
      <c r="I784" s="212">
        <f ca="1">IFERROR(__xludf.DUMMYFUNCTION("IMPORTRANGE(""https://docs.google.com/spreadsheets/d/10OvvATaaLtwErnr3qtWFcTmtbfpFEt5Bsqel9sXx0uE/edit?usp=sharing"",""งานกองทุน!S51"")"),13720000)</f>
        <v>13720000</v>
      </c>
      <c r="J784" s="212">
        <f ca="1">IFERROR(__xludf.DUMMYFUNCTION("IMPORTRANGE(""https://docs.google.com/spreadsheets/d/10OvvATaaLtwErnr3qtWFcTmtbfpFEt5Bsqel9sXx0uE/edit?usp=sharing"",""งานกองทุน!U51"")"),0)</f>
        <v>0</v>
      </c>
      <c r="K784" s="255">
        <f ca="1">IF(I784&gt;0,J784*100/I784,0)</f>
        <v>0</v>
      </c>
      <c r="L784" s="55"/>
      <c r="M784" s="55"/>
      <c r="N784" s="55"/>
      <c r="O784" s="55"/>
      <c r="P784" s="55"/>
      <c r="Q784" s="55"/>
      <c r="R784" s="55"/>
      <c r="S784" s="55"/>
      <c r="T784" s="55"/>
      <c r="U784" s="55"/>
    </row>
    <row r="785" spans="1:21" ht="18.75">
      <c r="A785" s="63"/>
      <c r="B785" s="4"/>
      <c r="C785" s="4"/>
      <c r="D785" s="5"/>
      <c r="E785" s="4"/>
      <c r="F785" s="4"/>
      <c r="G785" s="65"/>
      <c r="H785" s="66" t="s">
        <v>35</v>
      </c>
      <c r="I785" s="216">
        <f ca="1">IFERROR(__xludf.DUMMYFUNCTION("IMPORTRANGE(""https://docs.google.com/spreadsheets/d/10OvvATaaLtwErnr3qtWFcTmtbfpFEt5Bsqel9sXx0uE/edit?usp=sharing"",""งานกองทุน!R51"")"),490)</f>
        <v>490</v>
      </c>
      <c r="J785" s="216">
        <f ca="1">IFERROR(__xludf.DUMMYFUNCTION("IMPORTRANGE(""https://docs.google.com/spreadsheets/d/10OvvATaaLtwErnr3qtWFcTmtbfpFEt5Bsqel9sXx0uE/edit?usp=sharing"",""งานกองทุน!T51"")"),0)</f>
        <v>0</v>
      </c>
      <c r="K785" s="506">
        <f ca="1">IF(I785&gt;0,J785*100/I785,0)</f>
        <v>0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6.5">
      <c r="A787" s="535" t="s">
        <v>297</v>
      </c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6.5">
      <c r="A788" s="535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</v>
      </c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6.5">
      <c r="A789" s="535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</v>
      </c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</sheetData>
  <mergeCells count="26">
    <mergeCell ref="A1:U1"/>
    <mergeCell ref="A2:U2"/>
    <mergeCell ref="A3:U3"/>
    <mergeCell ref="L4:P4"/>
    <mergeCell ref="Q4:U4"/>
    <mergeCell ref="A5:G6"/>
    <mergeCell ref="H5:H6"/>
    <mergeCell ref="I5:K5"/>
    <mergeCell ref="L5:M5"/>
    <mergeCell ref="N5:P5"/>
    <mergeCell ref="D616:G616"/>
    <mergeCell ref="D642:G642"/>
    <mergeCell ref="D690:G690"/>
    <mergeCell ref="D714:G714"/>
    <mergeCell ref="Q5:R5"/>
    <mergeCell ref="S5:U5"/>
    <mergeCell ref="D728:G728"/>
    <mergeCell ref="D760:G760"/>
    <mergeCell ref="A7:G7"/>
    <mergeCell ref="A17:G17"/>
    <mergeCell ref="A30:G30"/>
    <mergeCell ref="A56:G56"/>
    <mergeCell ref="B57:G57"/>
    <mergeCell ref="D413:G413"/>
    <mergeCell ref="D493:F493"/>
    <mergeCell ref="D599:G599"/>
  </mergeCells>
  <printOptions horizontalCentered="1"/>
  <pageMargins left="0.23622047244094491" right="0.23622047244094491" top="0.55118110236220474" bottom="0.55118110236220474" header="0" footer="0"/>
  <pageSetup paperSize="9" scale="29" fitToHeight="0" pageOrder="overThenDown" orientation="portrait" cellComments="atEnd" horizontalDpi="4294967293" verticalDpi="4294967293" r:id="rId1"/>
  <headerFooter>
    <oddFooter>&amp;Cหน้า 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FB635-E084-4BBF-981B-D1003080D8F4}">
  <sheetPr>
    <outlinePr summaryBelow="0" summaryRight="0"/>
    <pageSetUpPr fitToPage="1"/>
  </sheetPr>
  <dimension ref="A1:U789"/>
  <sheetViews>
    <sheetView view="pageBreakPreview" zoomScale="60" zoomScaleNormal="60" workbookViewId="0">
      <pane xSplit="8" ySplit="17" topLeftCell="I18" activePane="bottomRight" state="frozen"/>
      <selection activeCell="T32" sqref="T32"/>
      <selection pane="topRight" activeCell="T32" sqref="T32"/>
      <selection pane="bottomLeft" activeCell="T32" sqref="T32"/>
      <selection pane="bottomRight" activeCell="T32" sqref="T32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bestFit="1" customWidth="1"/>
    <col min="12" max="14" width="21.28515625" bestFit="1" customWidth="1"/>
    <col min="15" max="15" width="20.140625" bestFit="1" customWidth="1"/>
    <col min="16" max="16" width="22" bestFit="1" customWidth="1"/>
    <col min="17" max="18" width="21.28515625" bestFit="1" customWidth="1"/>
    <col min="19" max="19" width="16.85546875" bestFit="1" customWidth="1"/>
    <col min="20" max="20" width="20.140625" bestFit="1" customWidth="1"/>
    <col min="21" max="21" width="22" bestFit="1" customWidth="1"/>
  </cols>
  <sheetData>
    <row r="1" spans="1:21" ht="19.5">
      <c r="A1" s="894" t="s">
        <v>0</v>
      </c>
      <c r="B1" s="894"/>
      <c r="C1" s="894"/>
      <c r="D1" s="894"/>
      <c r="E1" s="894"/>
      <c r="F1" s="894"/>
      <c r="G1" s="894"/>
      <c r="H1" s="894"/>
      <c r="I1" s="894"/>
      <c r="J1" s="894"/>
      <c r="K1" s="894"/>
      <c r="L1" s="894"/>
      <c r="M1" s="894"/>
      <c r="N1" s="894"/>
      <c r="O1" s="894"/>
      <c r="P1" s="894"/>
      <c r="Q1" s="894"/>
      <c r="R1" s="894"/>
      <c r="S1" s="894"/>
      <c r="T1" s="894"/>
      <c r="U1" s="894"/>
    </row>
    <row r="2" spans="1:21" ht="19.5">
      <c r="A2" s="894" t="s">
        <v>313</v>
      </c>
      <c r="B2" s="894"/>
      <c r="C2" s="894"/>
      <c r="D2" s="894"/>
      <c r="E2" s="894"/>
      <c r="F2" s="894"/>
      <c r="G2" s="894"/>
      <c r="H2" s="894"/>
      <c r="I2" s="894"/>
      <c r="J2" s="894"/>
      <c r="K2" s="894"/>
      <c r="L2" s="894"/>
      <c r="M2" s="894"/>
      <c r="N2" s="894"/>
      <c r="O2" s="894"/>
      <c r="P2" s="894"/>
      <c r="Q2" s="894"/>
      <c r="R2" s="894"/>
      <c r="S2" s="894"/>
      <c r="T2" s="894"/>
      <c r="U2" s="894"/>
    </row>
    <row r="3" spans="1:21" ht="19.5">
      <c r="A3" s="894" t="s">
        <v>339</v>
      </c>
      <c r="B3" s="894"/>
      <c r="C3" s="894"/>
      <c r="D3" s="894"/>
      <c r="E3" s="894"/>
      <c r="F3" s="894"/>
      <c r="G3" s="894"/>
      <c r="H3" s="894"/>
      <c r="I3" s="894"/>
      <c r="J3" s="894"/>
      <c r="K3" s="894"/>
      <c r="L3" s="894"/>
      <c r="M3" s="894"/>
      <c r="N3" s="894"/>
      <c r="O3" s="894"/>
      <c r="P3" s="894"/>
      <c r="Q3" s="894"/>
      <c r="R3" s="894"/>
      <c r="S3" s="894"/>
      <c r="T3" s="894"/>
      <c r="U3" s="894"/>
    </row>
    <row r="4" spans="1:21" ht="19.5">
      <c r="A4" s="4"/>
      <c r="B4" s="4"/>
      <c r="C4" s="4"/>
      <c r="D4" s="4"/>
      <c r="E4" s="4"/>
      <c r="F4" s="4"/>
      <c r="G4" s="4"/>
      <c r="H4" s="4"/>
      <c r="I4" s="4"/>
      <c r="J4" s="5"/>
      <c r="K4" s="766"/>
      <c r="L4" s="765" t="s">
        <v>2</v>
      </c>
      <c r="M4" s="514"/>
      <c r="N4" s="514"/>
      <c r="O4" s="514"/>
      <c r="P4" s="512"/>
      <c r="Q4" s="518" t="s">
        <v>3</v>
      </c>
      <c r="R4" s="514"/>
      <c r="S4" s="514"/>
      <c r="T4" s="514"/>
      <c r="U4" s="512"/>
    </row>
    <row r="5" spans="1:21" ht="19.5">
      <c r="A5" s="764" t="s">
        <v>4</v>
      </c>
      <c r="B5" s="516"/>
      <c r="C5" s="516"/>
      <c r="D5" s="516"/>
      <c r="E5" s="516"/>
      <c r="F5" s="516"/>
      <c r="G5" s="763"/>
      <c r="H5" s="772" t="s">
        <v>5</v>
      </c>
      <c r="I5" s="761" t="s">
        <v>6</v>
      </c>
      <c r="J5" s="514"/>
      <c r="K5" s="512"/>
      <c r="L5" s="760" t="s">
        <v>7</v>
      </c>
      <c r="M5" s="512"/>
      <c r="N5" s="513" t="s">
        <v>8</v>
      </c>
      <c r="O5" s="514"/>
      <c r="P5" s="512"/>
      <c r="Q5" s="511" t="s">
        <v>7</v>
      </c>
      <c r="R5" s="512"/>
      <c r="S5" s="513" t="s">
        <v>8</v>
      </c>
      <c r="T5" s="514"/>
      <c r="U5" s="512"/>
    </row>
    <row r="6" spans="1:21" ht="19.5">
      <c r="A6" s="522"/>
      <c r="B6" s="514"/>
      <c r="C6" s="514"/>
      <c r="D6" s="514"/>
      <c r="E6" s="514"/>
      <c r="F6" s="514"/>
      <c r="G6" s="512"/>
      <c r="H6" s="512"/>
      <c r="I6" s="9" t="s">
        <v>9</v>
      </c>
      <c r="J6" s="10" t="s">
        <v>10</v>
      </c>
      <c r="K6" s="9" t="s">
        <v>11</v>
      </c>
      <c r="L6" s="758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 hidden="1">
      <c r="A7" s="750"/>
      <c r="B7" s="514"/>
      <c r="C7" s="514"/>
      <c r="D7" s="514"/>
      <c r="E7" s="514"/>
      <c r="F7" s="514"/>
      <c r="G7" s="512"/>
      <c r="H7" s="17"/>
      <c r="I7" s="18"/>
      <c r="J7" s="18"/>
      <c r="K7" s="19"/>
      <c r="L7" s="28"/>
      <c r="M7" s="19"/>
      <c r="N7" s="19"/>
      <c r="O7" s="19"/>
      <c r="P7" s="19"/>
      <c r="Q7" s="19"/>
      <c r="R7" s="19"/>
      <c r="S7" s="19"/>
      <c r="T7" s="19"/>
      <c r="U7" s="19"/>
    </row>
    <row r="8" spans="1:21" ht="12.75" hidden="1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6"/>
      <c r="M8" s="25"/>
      <c r="N8" s="25"/>
      <c r="O8" s="25"/>
      <c r="P8" s="25"/>
      <c r="Q8" s="25"/>
      <c r="R8" s="25"/>
      <c r="S8" s="25"/>
      <c r="T8" s="25"/>
      <c r="U8" s="25"/>
    </row>
    <row r="9" spans="1:21" ht="12.75" hidden="1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6"/>
      <c r="M9" s="25"/>
      <c r="N9" s="25"/>
      <c r="O9" s="25"/>
      <c r="P9" s="25"/>
      <c r="Q9" s="25"/>
      <c r="R9" s="25"/>
      <c r="S9" s="25"/>
      <c r="T9" s="25"/>
      <c r="U9" s="25"/>
    </row>
    <row r="10" spans="1:21" ht="12.75" hidden="1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6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2.75" hidden="1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6"/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2.75" hidden="1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6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2.75" hidden="1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6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2.75" hidden="1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2.75" hidden="1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6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2.75" hidden="1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28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9.5">
      <c r="A17" s="532" t="s">
        <v>311</v>
      </c>
      <c r="B17" s="514"/>
      <c r="C17" s="514"/>
      <c r="D17" s="514"/>
      <c r="E17" s="514"/>
      <c r="F17" s="514"/>
      <c r="G17" s="512"/>
      <c r="H17" s="29"/>
      <c r="I17" s="30"/>
      <c r="J17" s="30"/>
      <c r="K17" s="31"/>
      <c r="L17" s="32"/>
      <c r="M17" s="31"/>
      <c r="N17" s="31"/>
      <c r="O17" s="31"/>
      <c r="P17" s="31"/>
      <c r="Q17" s="31"/>
      <c r="R17" s="31"/>
      <c r="S17" s="31"/>
      <c r="T17" s="31"/>
      <c r="U17" s="31"/>
    </row>
    <row r="18" spans="1:21" ht="19.5">
      <c r="A18" s="33"/>
      <c r="B18" s="34"/>
      <c r="C18" s="35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757">
        <f ca="1">L19+L20</f>
        <v>2695778</v>
      </c>
      <c r="M18" s="720">
        <f ca="1">M19+M20</f>
        <v>2707329</v>
      </c>
      <c r="N18" s="720">
        <f ca="1">N19+N20</f>
        <v>2258048.21</v>
      </c>
      <c r="O18" s="720">
        <f ca="1">IF(L18&gt;0,N18*100/L18,0)</f>
        <v>83.762394752090117</v>
      </c>
      <c r="P18" s="720">
        <f ca="1">IF(M18&gt;0,N18*100/M18,0)</f>
        <v>83.405016900421046</v>
      </c>
      <c r="Q18" s="720">
        <f ca="1">Q19+Q20</f>
        <v>2975914.39</v>
      </c>
      <c r="R18" s="720">
        <f ca="1">R19+R20</f>
        <v>2913414</v>
      </c>
      <c r="S18" s="720">
        <f ca="1">S19+S20</f>
        <v>94728</v>
      </c>
      <c r="T18" s="720">
        <f ca="1">IF(Q18&gt;0,S18*100/Q18,0)</f>
        <v>3.1831560853469307</v>
      </c>
      <c r="U18" s="720">
        <f ca="1">IF(R18&gt;0,S18*100/R18,0)</f>
        <v>3.2514431522605438</v>
      </c>
    </row>
    <row r="19" spans="1:21" ht="18.75" hidden="1">
      <c r="A19" s="33"/>
      <c r="B19" s="34"/>
      <c r="C19" s="34"/>
      <c r="D19" s="34"/>
      <c r="E19" s="756" t="s">
        <v>20</v>
      </c>
      <c r="F19" s="34"/>
      <c r="G19" s="37"/>
      <c r="H19" s="755" t="s">
        <v>14</v>
      </c>
      <c r="I19" s="39"/>
      <c r="J19" s="39"/>
      <c r="K19" s="40"/>
      <c r="L19" s="754">
        <f>L22+L25</f>
        <v>0</v>
      </c>
      <c r="M19" s="753">
        <f>M22+M25</f>
        <v>0</v>
      </c>
      <c r="N19" s="753">
        <f>N22+N25</f>
        <v>0</v>
      </c>
      <c r="O19" s="753">
        <f>IF(L19&gt;0,N19*100/L19,0)</f>
        <v>0</v>
      </c>
      <c r="P19" s="753">
        <f>IF(M19&gt;0,N19*100/M19,0)</f>
        <v>0</v>
      </c>
      <c r="Q19" s="753">
        <f>Q22+Q25</f>
        <v>0</v>
      </c>
      <c r="R19" s="753">
        <f>R22+R25</f>
        <v>0</v>
      </c>
      <c r="S19" s="753">
        <f>S22+S25</f>
        <v>0</v>
      </c>
      <c r="T19" s="753">
        <f>IF(Q19&gt;0,S19*100/Q19,0)</f>
        <v>0</v>
      </c>
      <c r="U19" s="753">
        <f>IF(R19&gt;0,S19*100/R19,0)</f>
        <v>0</v>
      </c>
    </row>
    <row r="20" spans="1:21" ht="18.75" hidden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752">
        <f ca="1">L23+L26</f>
        <v>2695778</v>
      </c>
      <c r="M20" s="751">
        <f ca="1">M23+M26</f>
        <v>2707329</v>
      </c>
      <c r="N20" s="751">
        <f ca="1">N23+N26</f>
        <v>2258048.21</v>
      </c>
      <c r="O20" s="751">
        <f ca="1">IF(L20&gt;0,N20*100/L20,0)</f>
        <v>83.762394752090117</v>
      </c>
      <c r="P20" s="751">
        <f ca="1">IF(M20&gt;0,N20*100/M20,0)</f>
        <v>83.405016900421046</v>
      </c>
      <c r="Q20" s="751">
        <f ca="1">Q23+Q26</f>
        <v>2975914.39</v>
      </c>
      <c r="R20" s="751">
        <f ca="1">R23+R26</f>
        <v>2913414</v>
      </c>
      <c r="S20" s="751">
        <f ca="1">S23+S26</f>
        <v>94728</v>
      </c>
      <c r="T20" s="751">
        <f ca="1">IF(Q20&gt;0,S20*100/Q20,0)</f>
        <v>3.1831560853469307</v>
      </c>
      <c r="U20" s="751">
        <f ca="1">IF(R20&gt;0,S20*100/R20,0)</f>
        <v>3.2514431522605438</v>
      </c>
    </row>
    <row r="21" spans="1:21" ht="18.75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256">
        <f ca="1">L22+L23</f>
        <v>2695778</v>
      </c>
      <c r="M21" s="255">
        <f ca="1">M22+M23</f>
        <v>2707329</v>
      </c>
      <c r="N21" s="255">
        <f ca="1">N22+N23</f>
        <v>2258048.21</v>
      </c>
      <c r="O21" s="255">
        <f ca="1">IF(L21&gt;0,N21*100/L21,0)</f>
        <v>83.762394752090117</v>
      </c>
      <c r="P21" s="255">
        <f ca="1">IF(M21&gt;0,N21*100/M21,0)</f>
        <v>83.405016900421046</v>
      </c>
      <c r="Q21" s="255">
        <f ca="1">Q22+Q23</f>
        <v>2975914.39</v>
      </c>
      <c r="R21" s="255">
        <f ca="1">R22+R23</f>
        <v>2913414</v>
      </c>
      <c r="S21" s="255">
        <f ca="1">S22+S23</f>
        <v>94728</v>
      </c>
      <c r="T21" s="255">
        <f ca="1">IF(Q21&gt;0,S21*100/Q21,0)</f>
        <v>3.1831560853469307</v>
      </c>
      <c r="U21" s="255">
        <f ca="1">IF(R21&gt;0,S21*100/R21,0)</f>
        <v>3.2514431522605438</v>
      </c>
    </row>
    <row r="22" spans="1:21" ht="18.75" hidden="1">
      <c r="A22" s="49"/>
      <c r="B22" s="50"/>
      <c r="C22" s="50"/>
      <c r="D22" s="50"/>
      <c r="E22" s="186" t="s">
        <v>20</v>
      </c>
      <c r="F22" s="50"/>
      <c r="G22" s="52"/>
      <c r="H22" s="729" t="s">
        <v>14</v>
      </c>
      <c r="I22" s="54"/>
      <c r="J22" s="54"/>
      <c r="K22" s="55"/>
      <c r="L22" s="103">
        <f>L48+L63+L76+L98+L129+L143+L161+L190+L177+L270+L286+L307+L324+L337+L360+L517</f>
        <v>0</v>
      </c>
      <c r="M22" s="102">
        <f>M48+M63+M76+M98+M129+M143+M161+M190+M177+M270+M286+M307+M324+M337+M360+M517</f>
        <v>0</v>
      </c>
      <c r="N22" s="102">
        <f>N48+N63+N76+N98+N129+N143+N161+N190+N177+N270+N286+N307+N324+N337+N360+N517</f>
        <v>0</v>
      </c>
      <c r="O22" s="102">
        <f>IF(L22&gt;0,N22*100/L22,0)</f>
        <v>0</v>
      </c>
      <c r="P22" s="102">
        <f>IF(M22&gt;0,N22*100/M22,0)</f>
        <v>0</v>
      </c>
      <c r="Q22" s="102">
        <f>Q76+Q98+Q121+Q143+Q161+Q177+Q190+Q270+Q286+Q307+Q337+Q379+Q396+Q417+Q497+Q603+Q620+Q646+Q694+Q718+Q732+Q764</f>
        <v>0</v>
      </c>
      <c r="R22" s="102">
        <f>R76+R98+R121+R143+R161+R177+R190+R270+R286+R307+R337+R379+R396+R417+R497+R603+R620+R646+R694+R718+R732+R764</f>
        <v>0</v>
      </c>
      <c r="S22" s="102">
        <f>S76+S98+S121+S143+S161+S177+S190+S270+S286+S307+S337+S379+S396+S417+S497+S603+S620+S646+S694+S718+S732+S764</f>
        <v>0</v>
      </c>
      <c r="T22" s="102">
        <f>IF(Q22&gt;0,S22*100/Q22,0)</f>
        <v>0</v>
      </c>
      <c r="U22" s="102">
        <f>IF(R22&gt;0,S22*100/R22,0)</f>
        <v>0</v>
      </c>
    </row>
    <row r="23" spans="1:21" ht="18.75" hidden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256">
        <f ca="1">L49+L64+L77+L99+L130+L144+L162+L191+L178+L271+L287+L308+L325+L338+L361+L518</f>
        <v>2695778</v>
      </c>
      <c r="M23" s="255">
        <f ca="1">M49+M64+M77+M99+M130+M144+M162+M191+M178+M271+M287+M308+M325+M338+M361+M518</f>
        <v>2707329</v>
      </c>
      <c r="N23" s="255">
        <f ca="1">N49+N64+N77+N99+N130+N144+N162+N191+N178+N271+N287+N308+N325+N338+N361+N518</f>
        <v>2258048.21</v>
      </c>
      <c r="O23" s="255">
        <f ca="1">IF(L23&gt;0,N23*100/L23,0)</f>
        <v>83.762394752090117</v>
      </c>
      <c r="P23" s="255">
        <f ca="1">IF(M23&gt;0,N23*100/M23,0)</f>
        <v>83.405016900421046</v>
      </c>
      <c r="Q23" s="255">
        <f ca="1">Q77+Q99+Q122+Q144+Q162+Q178+Q191+Q271+Q287+Q308+Q338+Q380+Q397+Q418+Q498+Q604+Q621+Q647+Q695+Q719+Q733+Q765</f>
        <v>2975914.39</v>
      </c>
      <c r="R23" s="255">
        <f ca="1">R77+R99+R122+R144+R162+R178+R191+R271+R287+R308+R338+R380+R397+R418+R498+R604+R621+R647+R695+R719+R733+R765</f>
        <v>2913414</v>
      </c>
      <c r="S23" s="255">
        <f ca="1">S77+S99+S122+S144+S162+S178+S191+S271+S287+S308+S338+S380+S397+S418+S498+S604+S621+S647+S695+S719+S733+S765</f>
        <v>94728</v>
      </c>
      <c r="T23" s="255">
        <f ca="1">IF(Q23&gt;0,S23*100/Q23,0)</f>
        <v>3.1831560853469307</v>
      </c>
      <c r="U23" s="255">
        <f ca="1">IF(R23&gt;0,S23*100/R23,0)</f>
        <v>3.2514431522605438</v>
      </c>
    </row>
    <row r="24" spans="1:21" ht="18.75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256">
        <f ca="1">L25+L26</f>
        <v>0</v>
      </c>
      <c r="M24" s="255">
        <f ca="1">M25+M26</f>
        <v>0</v>
      </c>
      <c r="N24" s="255">
        <f ca="1">N25+N26</f>
        <v>0</v>
      </c>
      <c r="O24" s="255">
        <f ca="1">IF(L24&gt;0,N24*100/L24,0)</f>
        <v>0</v>
      </c>
      <c r="P24" s="255">
        <f ca="1">IF(M24&gt;0,N24*100/M24,0)</f>
        <v>0</v>
      </c>
      <c r="Q24" s="255">
        <f>Q25+Q26</f>
        <v>0</v>
      </c>
      <c r="R24" s="255">
        <f>R25+R26</f>
        <v>0</v>
      </c>
      <c r="S24" s="255">
        <f>S25+S26</f>
        <v>0</v>
      </c>
      <c r="T24" s="255">
        <f>IF(Q24&gt;0,S24*100/Q24,0)</f>
        <v>0</v>
      </c>
      <c r="U24" s="255">
        <f>IF(R24&gt;0,S24*100/R24,0)</f>
        <v>0</v>
      </c>
    </row>
    <row r="25" spans="1:21" ht="18.75" hidden="1">
      <c r="A25" s="49"/>
      <c r="B25" s="50"/>
      <c r="C25" s="50"/>
      <c r="D25" s="50"/>
      <c r="E25" s="186" t="s">
        <v>20</v>
      </c>
      <c r="F25" s="50"/>
      <c r="G25" s="52"/>
      <c r="H25" s="729" t="s">
        <v>14</v>
      </c>
      <c r="I25" s="54"/>
      <c r="J25" s="54"/>
      <c r="K25" s="55"/>
      <c r="L25" s="103">
        <f>L51+L66+L79+L101+L132+L146+L164+L193+L180+L273+L289+L310+L327+L340+L363+L520</f>
        <v>0</v>
      </c>
      <c r="M25" s="102">
        <f>M51+M66+M79+M101+M132+M146+M164+M193+M180+M273+M289+M310+M327+M340+M363+M520</f>
        <v>0</v>
      </c>
      <c r="N25" s="102">
        <f>N51+N66+N79+N101+N132+N146+N164+N193+N180+N273+N289+N310+N327+N340+N363+N520</f>
        <v>0</v>
      </c>
      <c r="O25" s="102">
        <f>IF(L25&gt;0,N25*100/L25,0)</f>
        <v>0</v>
      </c>
      <c r="P25" s="102">
        <f>IF(M25&gt;0,N25*100/M25,0)</f>
        <v>0</v>
      </c>
      <c r="Q25" s="102">
        <f>Q79+Q101+Q124+Q146+Q164+Q180+Q193+Q273+Q289+Q310+Q340+Q382+Q399+Q420+Q500+Q606+Q623+Q649+Q697+Q721+Q735+Q767</f>
        <v>0</v>
      </c>
      <c r="R25" s="102">
        <f>R79+R101+R124+R146+R164+R180+R193+R273+R289+R310+R340+R382+R399+R420+R500+R606+R623+R649+R697+R721+R735+R767</f>
        <v>0</v>
      </c>
      <c r="S25" s="102">
        <f>S79+S101+S124+S146+S164+S180+S193+S273+S289+S310+S340+S382+S399+S420+S500+S606+S623+S649+S697+S721+S735+S767</f>
        <v>0</v>
      </c>
      <c r="T25" s="102">
        <f>IF(Q25&gt;0,S25*100/Q25,0)</f>
        <v>0</v>
      </c>
      <c r="U25" s="102">
        <f>IF(R25&gt;0,S25*100/R25,0)</f>
        <v>0</v>
      </c>
    </row>
    <row r="26" spans="1:21" ht="18.75" hidden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256">
        <f ca="1">L52+L67+L80+L102+L133+L147+L165+L194+L181+L274+L290+L311+L328+L341+L364+L521</f>
        <v>0</v>
      </c>
      <c r="M26" s="255">
        <f ca="1">M52+M67+M80+M102+M133+M147+M165+M194+M181+M274+M290+M311+M328+M341+M364+M521</f>
        <v>0</v>
      </c>
      <c r="N26" s="255">
        <f ca="1">N52+N67+N80+N102+N133+N147+N165+N194+N181+N274+N290+N311+N328+N341+N364+N521</f>
        <v>0</v>
      </c>
      <c r="O26" s="255">
        <f ca="1">IF(L26&gt;0,N26*100/L26,0)</f>
        <v>0</v>
      </c>
      <c r="P26" s="255">
        <f ca="1">IF(M26&gt;0,N26*100/M26,0)</f>
        <v>0</v>
      </c>
      <c r="Q26" s="102">
        <f>Q80+Q102+Q125+Q147+Q165+Q181+Q194+Q274+Q290+Q311+Q341+Q383+Q400+Q421+Q501+Q607+Q624+Q650+Q698+Q722+Q736+Q768</f>
        <v>0</v>
      </c>
      <c r="R26" s="102">
        <f>R80+R102+R125+R147+R165+R181+R194+R274+R290+R311+R341+R383+R400+R421+R501+R607+R624+R650+R698+R722+R736+R768</f>
        <v>0</v>
      </c>
      <c r="S26" s="102">
        <f>S80+S102+S125+S147+S165+S181+S194+S274+S290+S311+S341+S383+S400+S421+S501+S607+S624+S650+S698+S722+S736+S768</f>
        <v>0</v>
      </c>
      <c r="T26" s="255">
        <f>IF(Q26&gt;0,S26*100/Q26,0)</f>
        <v>0</v>
      </c>
      <c r="U26" s="255">
        <f>IF(R26&gt;0,S26*100/R26,0)</f>
        <v>0</v>
      </c>
    </row>
    <row r="27" spans="1:21" ht="18.75">
      <c r="A27" s="49"/>
      <c r="B27" s="50"/>
      <c r="C27" s="50"/>
      <c r="D27" s="51" t="s">
        <v>24</v>
      </c>
      <c r="E27" s="50"/>
      <c r="F27" s="50"/>
      <c r="G27" s="52"/>
      <c r="H27" s="53" t="s">
        <v>14</v>
      </c>
      <c r="I27" s="54"/>
      <c r="J27" s="54"/>
      <c r="K27" s="55"/>
      <c r="L27" s="62"/>
      <c r="M27" s="55"/>
      <c r="N27" s="55"/>
      <c r="O27" s="55"/>
      <c r="P27" s="55"/>
      <c r="Q27" s="55"/>
      <c r="R27" s="55"/>
      <c r="S27" s="55"/>
      <c r="T27" s="55"/>
      <c r="U27" s="55"/>
    </row>
    <row r="28" spans="1:21" ht="18.75" hidden="1">
      <c r="A28" s="49"/>
      <c r="B28" s="50"/>
      <c r="C28" s="50"/>
      <c r="D28" s="50"/>
      <c r="E28" s="186" t="s">
        <v>20</v>
      </c>
      <c r="F28" s="50"/>
      <c r="G28" s="52"/>
      <c r="H28" s="729" t="s">
        <v>14</v>
      </c>
      <c r="I28" s="54"/>
      <c r="J28" s="54"/>
      <c r="K28" s="55"/>
      <c r="L28" s="62"/>
      <c r="M28" s="55"/>
      <c r="N28" s="55"/>
      <c r="O28" s="55"/>
      <c r="P28" s="55"/>
      <c r="Q28" s="55"/>
      <c r="R28" s="55"/>
      <c r="S28" s="55"/>
      <c r="T28" s="55"/>
      <c r="U28" s="55"/>
    </row>
    <row r="29" spans="1:21" ht="18.75" hidden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8"/>
      <c r="M29" s="6"/>
      <c r="N29" s="6"/>
      <c r="O29" s="6"/>
      <c r="P29" s="6"/>
      <c r="Q29" s="6"/>
      <c r="R29" s="6"/>
      <c r="S29" s="6"/>
      <c r="T29" s="6"/>
      <c r="U29" s="6"/>
    </row>
    <row r="30" spans="1:21" ht="15" hidden="1" customHeight="1">
      <c r="A30" s="750"/>
      <c r="B30" s="514"/>
      <c r="C30" s="514"/>
      <c r="D30" s="514"/>
      <c r="E30" s="514"/>
      <c r="F30" s="514"/>
      <c r="G30" s="512"/>
      <c r="H30" s="17"/>
      <c r="I30" s="18"/>
      <c r="J30" s="18"/>
      <c r="K30" s="19"/>
      <c r="L30" s="28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 hidden="1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6"/>
      <c r="M31" s="25"/>
      <c r="N31" s="25"/>
      <c r="O31" s="25"/>
      <c r="P31" s="25"/>
      <c r="Q31" s="25"/>
      <c r="R31" s="25"/>
      <c r="S31" s="25"/>
      <c r="T31" s="25"/>
      <c r="U31" s="25"/>
    </row>
    <row r="32" spans="1:21" ht="12.75" hidden="1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6"/>
      <c r="M32" s="25"/>
      <c r="N32" s="25"/>
      <c r="O32" s="25"/>
      <c r="P32" s="25"/>
      <c r="Q32" s="25"/>
      <c r="R32" s="25"/>
      <c r="S32" s="25"/>
      <c r="T32" s="25"/>
      <c r="U32" s="25"/>
    </row>
    <row r="33" spans="1:21" ht="12.75" hidden="1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6"/>
      <c r="M33" s="25"/>
      <c r="N33" s="25"/>
      <c r="O33" s="25"/>
      <c r="P33" s="25"/>
      <c r="Q33" s="25"/>
      <c r="R33" s="25"/>
      <c r="S33" s="25"/>
      <c r="T33" s="25"/>
      <c r="U33" s="25"/>
    </row>
    <row r="34" spans="1:21" ht="12.75" hidden="1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6"/>
      <c r="M34" s="25"/>
      <c r="N34" s="25"/>
      <c r="O34" s="25"/>
      <c r="P34" s="25"/>
      <c r="Q34" s="25"/>
      <c r="R34" s="25"/>
      <c r="S34" s="25"/>
      <c r="T34" s="25"/>
      <c r="U34" s="25"/>
    </row>
    <row r="35" spans="1:21" ht="12.75" hidden="1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6"/>
      <c r="M35" s="25"/>
      <c r="N35" s="25"/>
      <c r="O35" s="25"/>
      <c r="P35" s="25"/>
      <c r="Q35" s="25"/>
      <c r="R35" s="25"/>
      <c r="S35" s="25"/>
      <c r="T35" s="25"/>
      <c r="U35" s="25"/>
    </row>
    <row r="36" spans="1:21" ht="12.75" hidden="1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6"/>
      <c r="M36" s="25"/>
      <c r="N36" s="25"/>
      <c r="O36" s="25"/>
      <c r="P36" s="25"/>
      <c r="Q36" s="25"/>
      <c r="R36" s="25"/>
      <c r="S36" s="25"/>
      <c r="T36" s="25"/>
      <c r="U36" s="25"/>
    </row>
    <row r="37" spans="1:21" ht="12.75" hidden="1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6"/>
      <c r="M37" s="25"/>
      <c r="N37" s="25"/>
      <c r="O37" s="25"/>
      <c r="P37" s="25"/>
      <c r="Q37" s="25"/>
      <c r="R37" s="25"/>
      <c r="S37" s="25"/>
      <c r="T37" s="25"/>
      <c r="U37" s="25"/>
    </row>
    <row r="38" spans="1:21" ht="12.75" hidden="1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6"/>
      <c r="M38" s="25"/>
      <c r="N38" s="25"/>
      <c r="O38" s="25"/>
      <c r="P38" s="25"/>
      <c r="Q38" s="25"/>
      <c r="R38" s="25"/>
      <c r="S38" s="25"/>
      <c r="T38" s="25"/>
      <c r="U38" s="25"/>
    </row>
    <row r="39" spans="1:21" ht="12.75" hidden="1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28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9.5" hidden="1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749">
        <f ca="1">L44+L59+L72+L94+L125+L139+L157+L173+L186+L266+L282+L303+L320+L333+L356</f>
        <v>2695778</v>
      </c>
      <c r="M40" s="748">
        <f ca="1">M44+M59+M72+M94+M125+M139+M157+M173+M186+M266+M282+M303+M320+M333+M356</f>
        <v>2707329</v>
      </c>
      <c r="N40" s="748">
        <f ca="1">N44+N59+N72+N94+N125+N139+N157+N173+N186+N266+N282+N303+N320+N333+N356</f>
        <v>2258048.21</v>
      </c>
      <c r="O40" s="748">
        <f ca="1">IF(L40&gt;0,N40*100/L40,0)</f>
        <v>83.762394752090117</v>
      </c>
      <c r="P40" s="748">
        <f ca="1">IF(M40&gt;0,N40*100/M40,0)</f>
        <v>83.405016900421046</v>
      </c>
      <c r="Q40" s="73"/>
      <c r="R40" s="73"/>
      <c r="S40" s="73"/>
      <c r="T40" s="73"/>
      <c r="U40" s="73"/>
    </row>
    <row r="41" spans="1:21" ht="19.5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78"/>
      <c r="R41" s="78"/>
      <c r="S41" s="78"/>
      <c r="T41" s="78"/>
      <c r="U41" s="79"/>
    </row>
    <row r="42" spans="1:21" ht="19.5">
      <c r="A42" s="80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5"/>
      <c r="M42" s="84"/>
      <c r="N42" s="84"/>
      <c r="O42" s="84"/>
      <c r="P42" s="84"/>
      <c r="Q42" s="84"/>
      <c r="R42" s="84"/>
      <c r="S42" s="84"/>
      <c r="T42" s="84"/>
      <c r="U42" s="84"/>
    </row>
    <row r="43" spans="1:21" ht="12.75" hidden="1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6"/>
      <c r="M43" s="25"/>
      <c r="N43" s="25"/>
      <c r="O43" s="25"/>
      <c r="P43" s="25"/>
      <c r="Q43" s="25"/>
      <c r="R43" s="25"/>
      <c r="S43" s="25"/>
      <c r="T43" s="25"/>
      <c r="U43" s="25"/>
    </row>
    <row r="44" spans="1:21" ht="19.5">
      <c r="A44" s="86"/>
      <c r="B44" s="87"/>
      <c r="C44" s="88" t="s">
        <v>18</v>
      </c>
      <c r="D44" s="747" t="s">
        <v>19</v>
      </c>
      <c r="E44" s="87"/>
      <c r="F44" s="87"/>
      <c r="G44" s="90"/>
      <c r="H44" s="91" t="s">
        <v>14</v>
      </c>
      <c r="I44" s="92"/>
      <c r="J44" s="92"/>
      <c r="K44" s="93"/>
      <c r="L44" s="746">
        <f ca="1">L45+L46</f>
        <v>528543</v>
      </c>
      <c r="M44" s="745">
        <f ca="1">M45+M46</f>
        <v>536374</v>
      </c>
      <c r="N44" s="745">
        <f ca="1">N45+N46</f>
        <v>512302</v>
      </c>
      <c r="O44" s="745">
        <f ca="1">IF(L44&gt;0,N44*100/L44,0)</f>
        <v>96.927213112272796</v>
      </c>
      <c r="P44" s="745">
        <f ca="1">IF(M44&gt;0,N44*100/M44,0)</f>
        <v>95.512086715612611</v>
      </c>
      <c r="Q44" s="745">
        <f>Q45+Q46</f>
        <v>0</v>
      </c>
      <c r="R44" s="745">
        <f>R45+R46</f>
        <v>0</v>
      </c>
      <c r="S44" s="745">
        <f>S45+S46</f>
        <v>0</v>
      </c>
      <c r="T44" s="745">
        <f>IF(Q44&gt;0,S44*100/Q44,0)</f>
        <v>0</v>
      </c>
      <c r="U44" s="745">
        <f>IF(R44&gt;0,S44*100/R44,0)</f>
        <v>0</v>
      </c>
    </row>
    <row r="45" spans="1:21" ht="18.75" hidden="1">
      <c r="A45" s="86"/>
      <c r="B45" s="87"/>
      <c r="C45" s="87"/>
      <c r="D45" s="87"/>
      <c r="E45" s="744" t="s">
        <v>20</v>
      </c>
      <c r="F45" s="87"/>
      <c r="G45" s="90"/>
      <c r="H45" s="743" t="s">
        <v>14</v>
      </c>
      <c r="I45" s="92"/>
      <c r="J45" s="92"/>
      <c r="K45" s="93"/>
      <c r="L45" s="742">
        <f>L48+L51</f>
        <v>0</v>
      </c>
      <c r="M45" s="741">
        <f>M48+M51</f>
        <v>0</v>
      </c>
      <c r="N45" s="741">
        <f>N48+N51</f>
        <v>0</v>
      </c>
      <c r="O45" s="741">
        <f>IF(L45&gt;0,N45*100/L45,0)</f>
        <v>0</v>
      </c>
      <c r="P45" s="741">
        <f>IF(M45&gt;0,N45*100/M45,0)</f>
        <v>0</v>
      </c>
      <c r="Q45" s="741">
        <f>Q48+Q51</f>
        <v>0</v>
      </c>
      <c r="R45" s="741">
        <f>R48+R51</f>
        <v>0</v>
      </c>
      <c r="S45" s="741">
        <f>S48+S51</f>
        <v>0</v>
      </c>
      <c r="T45" s="741">
        <f>IF(Q45&gt;0,S45*100/Q45,0)</f>
        <v>0</v>
      </c>
      <c r="U45" s="741">
        <f>IF(R45&gt;0,S45*100/R45,0)</f>
        <v>0</v>
      </c>
    </row>
    <row r="46" spans="1:21" ht="18.75" hidden="1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740">
        <f ca="1">L49+L52</f>
        <v>528543</v>
      </c>
      <c r="M46" s="739">
        <f ca="1">M49+M52</f>
        <v>536374</v>
      </c>
      <c r="N46" s="739">
        <f ca="1">N49+N52</f>
        <v>512302</v>
      </c>
      <c r="O46" s="739">
        <f ca="1">IF(L46&gt;0,N46*100/L46,0)</f>
        <v>96.927213112272796</v>
      </c>
      <c r="P46" s="739">
        <f ca="1">IF(M46&gt;0,N46*100/M46,0)</f>
        <v>95.512086715612611</v>
      </c>
      <c r="Q46" s="739">
        <f>Q49+Q52</f>
        <v>0</v>
      </c>
      <c r="R46" s="739">
        <f>R49+R52</f>
        <v>0</v>
      </c>
      <c r="S46" s="739">
        <f>S49+S52</f>
        <v>0</v>
      </c>
      <c r="T46" s="739">
        <f>IF(Q46&gt;0,S46*100/Q46,0)</f>
        <v>0</v>
      </c>
      <c r="U46" s="739">
        <f>IF(R46&gt;0,S46*100/R46,0)</f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256">
        <f ca="1">L48+L49</f>
        <v>528543</v>
      </c>
      <c r="M47" s="255">
        <f ca="1">M48+M49</f>
        <v>536374</v>
      </c>
      <c r="N47" s="255">
        <f ca="1">N48+N49</f>
        <v>512302</v>
      </c>
      <c r="O47" s="255">
        <f ca="1">IF(L47&gt;0,N47*100/L47,0)</f>
        <v>96.927213112272796</v>
      </c>
      <c r="P47" s="255">
        <f ca="1">IF(M47&gt;0,N47*100/M47,0)</f>
        <v>95.512086715612611</v>
      </c>
      <c r="Q47" s="255">
        <f>Q48+Q49</f>
        <v>0</v>
      </c>
      <c r="R47" s="255">
        <f>R48+R49</f>
        <v>0</v>
      </c>
      <c r="S47" s="255">
        <f>S48+S49</f>
        <v>0</v>
      </c>
      <c r="T47" s="255">
        <f>IF(Q47&gt;0,S47*100/Q47,0)</f>
        <v>0</v>
      </c>
      <c r="U47" s="255">
        <f>IF(R47&gt;0,S47*100/R47,0)</f>
        <v>0</v>
      </c>
    </row>
    <row r="48" spans="1:21" ht="18.75" hidden="1">
      <c r="A48" s="49"/>
      <c r="B48" s="50"/>
      <c r="C48" s="50"/>
      <c r="D48" s="50"/>
      <c r="E48" s="186" t="s">
        <v>20</v>
      </c>
      <c r="F48" s="50"/>
      <c r="G48" s="52"/>
      <c r="H48" s="729" t="s">
        <v>14</v>
      </c>
      <c r="I48" s="54"/>
      <c r="J48" s="54"/>
      <c r="K48" s="55"/>
      <c r="L48" s="103">
        <v>0</v>
      </c>
      <c r="M48" s="102">
        <v>0</v>
      </c>
      <c r="N48" s="102">
        <v>0</v>
      </c>
      <c r="O48" s="102">
        <f>IF(L48&gt;0,N48*100/L48,0)</f>
        <v>0</v>
      </c>
      <c r="P48" s="102">
        <f>IF(M48&gt;0,N48*100/M48,0)</f>
        <v>0</v>
      </c>
      <c r="Q48" s="102">
        <v>0</v>
      </c>
      <c r="R48" s="102">
        <v>0</v>
      </c>
      <c r="S48" s="102">
        <v>0</v>
      </c>
      <c r="T48" s="102">
        <f>IF(Q48&gt;0,S48*100/Q48,0)</f>
        <v>0</v>
      </c>
      <c r="U48" s="102">
        <f>IF(R48&gt;0,S48*100/R48,0)</f>
        <v>0</v>
      </c>
    </row>
    <row r="49" spans="1:21" ht="18.75" hidden="1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256">
        <f ca="1">IFERROR(__xludf.DUMMYFUNCTION("IMPORTRANGE(""https://docs.google.com/spreadsheets/d/1-uDff_7J0KD5mKrp0Vvzr7lt3OU09vwQwhkpOPPYv2Y/edit?usp=sharing"",""งบพรบ!P33"")"),528543)</f>
        <v>528543</v>
      </c>
      <c r="M49" s="255">
        <f ca="1">IFERROR(__xludf.DUMMYFUNCTION("IMPORTRANGE(""https://docs.google.com/spreadsheets/d/1-uDff_7J0KD5mKrp0Vvzr7lt3OU09vwQwhkpOPPYv2Y/edit?usp=sharing"",""งบพรบ!V33"")"),536374)</f>
        <v>536374</v>
      </c>
      <c r="N49" s="255">
        <f ca="1">IFERROR(__xludf.DUMMYFUNCTION("IMPORTRANGE(""https://docs.google.com/spreadsheets/d/1-uDff_7J0KD5mKrp0Vvzr7lt3OU09vwQwhkpOPPYv2Y/edit?usp=sharing"",""งบพรบ!Y33"")"),512302)</f>
        <v>512302</v>
      </c>
      <c r="O49" s="255">
        <f ca="1">IF(L49&gt;0,N49*100/L49,0)</f>
        <v>96.927213112272796</v>
      </c>
      <c r="P49" s="255">
        <f ca="1">IF(M49&gt;0,N49*100/M49,0)</f>
        <v>95.512086715612611</v>
      </c>
      <c r="Q49" s="255">
        <v>0</v>
      </c>
      <c r="R49" s="255">
        <v>0</v>
      </c>
      <c r="S49" s="255">
        <v>0</v>
      </c>
      <c r="T49" s="255">
        <f>IF(Q49&gt;0,S49*100/Q49,0)</f>
        <v>0</v>
      </c>
      <c r="U49" s="255">
        <f>IF(R49&gt;0,S49*100/R49,0)</f>
        <v>0</v>
      </c>
    </row>
    <row r="50" spans="1:21" ht="18.75">
      <c r="A50" s="49"/>
      <c r="B50" s="50"/>
      <c r="C50" s="50"/>
      <c r="D50" s="51" t="s">
        <v>23</v>
      </c>
      <c r="E50" s="50"/>
      <c r="F50" s="50"/>
      <c r="G50" s="52"/>
      <c r="H50" s="53" t="s">
        <v>14</v>
      </c>
      <c r="I50" s="54"/>
      <c r="J50" s="54"/>
      <c r="K50" s="55"/>
      <c r="L50" s="256">
        <f ca="1">L51+L52</f>
        <v>0</v>
      </c>
      <c r="M50" s="255">
        <f ca="1">M51+M52</f>
        <v>0</v>
      </c>
      <c r="N50" s="255">
        <f ca="1">N51+N52</f>
        <v>0</v>
      </c>
      <c r="O50" s="255">
        <f ca="1">IF(L50&gt;0,N50*100/L50,0)</f>
        <v>0</v>
      </c>
      <c r="P50" s="255">
        <f ca="1">IF(M50&gt;0,N50*100/M50,0)</f>
        <v>0</v>
      </c>
      <c r="Q50" s="255">
        <f>Q51+Q52</f>
        <v>0</v>
      </c>
      <c r="R50" s="255">
        <f>R51+R52</f>
        <v>0</v>
      </c>
      <c r="S50" s="255">
        <f>S51+S52</f>
        <v>0</v>
      </c>
      <c r="T50" s="255">
        <f>IF(Q50&gt;0,S50*100/Q50,0)</f>
        <v>0</v>
      </c>
      <c r="U50" s="255">
        <f>IF(R50&gt;0,S50*100/R50,0)</f>
        <v>0</v>
      </c>
    </row>
    <row r="51" spans="1:21" ht="18.75" hidden="1">
      <c r="A51" s="49"/>
      <c r="B51" s="50"/>
      <c r="C51" s="50"/>
      <c r="D51" s="50"/>
      <c r="E51" s="186" t="s">
        <v>20</v>
      </c>
      <c r="F51" s="50"/>
      <c r="G51" s="52"/>
      <c r="H51" s="729" t="s">
        <v>14</v>
      </c>
      <c r="I51" s="54"/>
      <c r="J51" s="54"/>
      <c r="K51" s="55"/>
      <c r="L51" s="103">
        <v>0</v>
      </c>
      <c r="M51" s="102">
        <v>0</v>
      </c>
      <c r="N51" s="102">
        <v>0</v>
      </c>
      <c r="O51" s="102">
        <f>IF(L51&gt;0,N51*100/L51,0)</f>
        <v>0</v>
      </c>
      <c r="P51" s="102">
        <f>IF(M51&gt;0,N51*100/M51,0)</f>
        <v>0</v>
      </c>
      <c r="Q51" s="102">
        <v>0</v>
      </c>
      <c r="R51" s="102">
        <v>0</v>
      </c>
      <c r="S51" s="102">
        <v>0</v>
      </c>
      <c r="T51" s="102">
        <f>IF(Q51&gt;0,S51*100/Q51,0)</f>
        <v>0</v>
      </c>
      <c r="U51" s="102">
        <f>IF(R51&gt;0,S51*100/R51,0)</f>
        <v>0</v>
      </c>
    </row>
    <row r="52" spans="1:21" ht="18.75" hidden="1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256">
        <f ca="1">IFERROR(__xludf.DUMMYFUNCTION("IMPORTRANGE(""https://docs.google.com/spreadsheets/d/1-uDff_7J0KD5mKrp0Vvzr7lt3OU09vwQwhkpOPPYv2Y/edit?usp=sharing"",""งบพรบ!S33"")"),0)</f>
        <v>0</v>
      </c>
      <c r="M52" s="255">
        <f ca="1">IFERROR(__xludf.DUMMYFUNCTION("IMPORTRANGE(""https://docs.google.com/spreadsheets/d/1-uDff_7J0KD5mKrp0Vvzr7lt3OU09vwQwhkpOPPYv2Y/edit?usp=sharing"",""งบพรบ!W33"")"),0)</f>
        <v>0</v>
      </c>
      <c r="N52" s="255">
        <f ca="1">IFERROR(__xludf.DUMMYFUNCTION("IMPORTRANGE(""https://docs.google.com/spreadsheets/d/1-uDff_7J0KD5mKrp0Vvzr7lt3OU09vwQwhkpOPPYv2Y/edit?usp=sharing"",""งบพรบ!Z33"")"),0)</f>
        <v>0</v>
      </c>
      <c r="O52" s="255">
        <f ca="1">IF(L52&gt;0,N52*100/L52,0)</f>
        <v>0</v>
      </c>
      <c r="P52" s="255">
        <f ca="1">IF(M52&gt;0,N52*100/M52,0)</f>
        <v>0</v>
      </c>
      <c r="Q52" s="255">
        <v>0</v>
      </c>
      <c r="R52" s="255">
        <v>0</v>
      </c>
      <c r="S52" s="255">
        <v>0</v>
      </c>
      <c r="T52" s="255">
        <f>IF(Q52&gt;0,S52*100/Q52,0)</f>
        <v>0</v>
      </c>
      <c r="U52" s="255">
        <f>IF(R52&gt;0,S52*100/R52,0)</f>
        <v>0</v>
      </c>
    </row>
    <row r="53" spans="1:21" ht="18.75">
      <c r="A53" s="49"/>
      <c r="B53" s="50"/>
      <c r="C53" s="50"/>
      <c r="D53" s="51" t="s">
        <v>24</v>
      </c>
      <c r="E53" s="50"/>
      <c r="F53" s="50"/>
      <c r="G53" s="52"/>
      <c r="H53" s="53" t="s">
        <v>14</v>
      </c>
      <c r="I53" s="54"/>
      <c r="J53" s="54"/>
      <c r="K53" s="55"/>
      <c r="L53" s="62"/>
      <c r="M53" s="55"/>
      <c r="N53" s="55"/>
      <c r="O53" s="55"/>
      <c r="P53" s="55"/>
      <c r="Q53" s="55"/>
      <c r="R53" s="55"/>
      <c r="S53" s="55"/>
      <c r="T53" s="55"/>
      <c r="U53" s="55"/>
    </row>
    <row r="54" spans="1:21" ht="18.75" hidden="1">
      <c r="A54" s="49"/>
      <c r="B54" s="50"/>
      <c r="C54" s="50"/>
      <c r="D54" s="50"/>
      <c r="E54" s="186" t="s">
        <v>20</v>
      </c>
      <c r="F54" s="50"/>
      <c r="G54" s="52"/>
      <c r="H54" s="729" t="s">
        <v>14</v>
      </c>
      <c r="I54" s="54"/>
      <c r="J54" s="54"/>
      <c r="K54" s="55"/>
      <c r="L54" s="62"/>
      <c r="M54" s="55"/>
      <c r="N54" s="55"/>
      <c r="O54" s="55"/>
      <c r="P54" s="55"/>
      <c r="Q54" s="55"/>
      <c r="R54" s="55"/>
      <c r="S54" s="55"/>
      <c r="T54" s="55"/>
      <c r="U54" s="55"/>
    </row>
    <row r="55" spans="1:21" ht="18.75" hidden="1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8"/>
      <c r="M55" s="6"/>
      <c r="N55" s="6"/>
      <c r="O55" s="6"/>
      <c r="P55" s="6"/>
      <c r="Q55" s="6"/>
      <c r="R55" s="6"/>
      <c r="S55" s="6"/>
      <c r="T55" s="6"/>
      <c r="U55" s="6"/>
    </row>
    <row r="56" spans="1:21" ht="19.5">
      <c r="A56" s="533" t="s">
        <v>28</v>
      </c>
      <c r="B56" s="514"/>
      <c r="C56" s="514"/>
      <c r="D56" s="514"/>
      <c r="E56" s="514"/>
      <c r="F56" s="514"/>
      <c r="G56" s="512"/>
      <c r="H56" s="104"/>
      <c r="I56" s="105"/>
      <c r="J56" s="105"/>
      <c r="K56" s="106"/>
      <c r="L56" s="106"/>
      <c r="M56" s="106"/>
      <c r="N56" s="106"/>
      <c r="O56" s="106"/>
      <c r="P56" s="107"/>
      <c r="Q56" s="106"/>
      <c r="R56" s="106"/>
      <c r="S56" s="106"/>
      <c r="T56" s="106"/>
      <c r="U56" s="107"/>
    </row>
    <row r="57" spans="1:21" ht="19.5">
      <c r="A57" s="108"/>
      <c r="B57" s="534" t="s">
        <v>29</v>
      </c>
      <c r="C57" s="529"/>
      <c r="D57" s="529"/>
      <c r="E57" s="529"/>
      <c r="F57" s="529"/>
      <c r="G57" s="530"/>
      <c r="H57" s="109"/>
      <c r="I57" s="110"/>
      <c r="J57" s="110"/>
      <c r="K57" s="111"/>
      <c r="L57" s="112"/>
      <c r="M57" s="111"/>
      <c r="N57" s="111"/>
      <c r="O57" s="111"/>
      <c r="P57" s="111"/>
      <c r="Q57" s="111"/>
      <c r="R57" s="111"/>
      <c r="S57" s="111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9"/>
      <c r="M58" s="118"/>
      <c r="N58" s="118"/>
      <c r="O58" s="118"/>
      <c r="P58" s="118"/>
      <c r="Q58" s="118"/>
      <c r="R58" s="118"/>
      <c r="S58" s="118"/>
      <c r="T58" s="118"/>
      <c r="U58" s="118"/>
    </row>
    <row r="59" spans="1:21" ht="19.5">
      <c r="A59" s="120"/>
      <c r="B59" s="121"/>
      <c r="C59" s="122" t="s">
        <v>18</v>
      </c>
      <c r="D59" s="738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737">
        <f ca="1">L60+L61</f>
        <v>602100</v>
      </c>
      <c r="M59" s="736">
        <f ca="1">M60+M61</f>
        <v>602100</v>
      </c>
      <c r="N59" s="736">
        <f ca="1">N60+N61</f>
        <v>531887.12</v>
      </c>
      <c r="O59" s="736">
        <f ca="1">IF(L59&gt;0,N59*100/L59,0)</f>
        <v>88.33866799534961</v>
      </c>
      <c r="P59" s="736">
        <f ca="1">IF(M59&gt;0,N59*100/M59,0)</f>
        <v>88.33866799534961</v>
      </c>
      <c r="Q59" s="736">
        <f>Q60+Q61</f>
        <v>0</v>
      </c>
      <c r="R59" s="736">
        <f>R60+R61</f>
        <v>0</v>
      </c>
      <c r="S59" s="736">
        <f>S60+S61</f>
        <v>0</v>
      </c>
      <c r="T59" s="736">
        <f>IF(Q59&gt;0,S59*100/Q59,0)</f>
        <v>0</v>
      </c>
      <c r="U59" s="736">
        <f>IF(R59&gt;0,S59*100/R59,0)</f>
        <v>0</v>
      </c>
    </row>
    <row r="60" spans="1:21" ht="18.75" hidden="1">
      <c r="A60" s="120"/>
      <c r="B60" s="121"/>
      <c r="C60" s="121"/>
      <c r="D60" s="121"/>
      <c r="E60" s="735" t="s">
        <v>20</v>
      </c>
      <c r="F60" s="121"/>
      <c r="G60" s="124"/>
      <c r="H60" s="734" t="s">
        <v>14</v>
      </c>
      <c r="I60" s="126"/>
      <c r="J60" s="126"/>
      <c r="K60" s="127"/>
      <c r="L60" s="733">
        <f>L63+L66</f>
        <v>0</v>
      </c>
      <c r="M60" s="732">
        <f>M63+M66</f>
        <v>0</v>
      </c>
      <c r="N60" s="732">
        <f>N63+N66</f>
        <v>0</v>
      </c>
      <c r="O60" s="732">
        <f>IF(L60&gt;0,N60*100/L60,0)</f>
        <v>0</v>
      </c>
      <c r="P60" s="732">
        <f>IF(M60&gt;0,N60*100/M60,0)</f>
        <v>0</v>
      </c>
      <c r="Q60" s="732">
        <f>Q63+Q66</f>
        <v>0</v>
      </c>
      <c r="R60" s="732">
        <f>R63+R66</f>
        <v>0</v>
      </c>
      <c r="S60" s="732">
        <f>S63+S66</f>
        <v>0</v>
      </c>
      <c r="T60" s="732">
        <f>IF(Q60&gt;0,S60*100/Q60,0)</f>
        <v>0</v>
      </c>
      <c r="U60" s="732">
        <f>IF(R60&gt;0,S60*100/R60,0)</f>
        <v>0</v>
      </c>
    </row>
    <row r="61" spans="1:21" ht="18.75" hidden="1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731">
        <f ca="1">L64+L67</f>
        <v>602100</v>
      </c>
      <c r="M61" s="730">
        <f ca="1">M64+M67</f>
        <v>602100</v>
      </c>
      <c r="N61" s="730">
        <f ca="1">N64+N67</f>
        <v>531887.12</v>
      </c>
      <c r="O61" s="730">
        <f ca="1">IF(L61&gt;0,N61*100/L61,0)</f>
        <v>88.33866799534961</v>
      </c>
      <c r="P61" s="730">
        <f ca="1">IF(M61&gt;0,N61*100/M61,0)</f>
        <v>88.33866799534961</v>
      </c>
      <c r="Q61" s="730">
        <f>Q64+Q67</f>
        <v>0</v>
      </c>
      <c r="R61" s="730">
        <f>R64+R67</f>
        <v>0</v>
      </c>
      <c r="S61" s="730">
        <f>S64+S67</f>
        <v>0</v>
      </c>
      <c r="T61" s="730">
        <f>IF(Q61&gt;0,S61*100/Q61,0)</f>
        <v>0</v>
      </c>
      <c r="U61" s="730">
        <f>IF(R61&gt;0,S61*100/R61,0)</f>
        <v>0</v>
      </c>
    </row>
    <row r="62" spans="1:21" ht="18.75">
      <c r="A62" s="49"/>
      <c r="B62" s="50"/>
      <c r="C62" s="50"/>
      <c r="D62" s="51" t="s">
        <v>22</v>
      </c>
      <c r="E62" s="50"/>
      <c r="F62" s="50"/>
      <c r="G62" s="52"/>
      <c r="H62" s="53" t="s">
        <v>14</v>
      </c>
      <c r="I62" s="54"/>
      <c r="J62" s="54"/>
      <c r="K62" s="55"/>
      <c r="L62" s="256">
        <f ca="1">L63+L64</f>
        <v>602100</v>
      </c>
      <c r="M62" s="255">
        <f ca="1">M63+M64</f>
        <v>602100</v>
      </c>
      <c r="N62" s="255">
        <f ca="1">N63+N64</f>
        <v>531887.12</v>
      </c>
      <c r="O62" s="255">
        <f ca="1">IF(L62&gt;0,N62*100/L62,0)</f>
        <v>88.33866799534961</v>
      </c>
      <c r="P62" s="255">
        <f ca="1">IF(M62&gt;0,N62*100/M62,0)</f>
        <v>88.33866799534961</v>
      </c>
      <c r="Q62" s="255">
        <f>Q63+Q64</f>
        <v>0</v>
      </c>
      <c r="R62" s="255">
        <f>R63+R64</f>
        <v>0</v>
      </c>
      <c r="S62" s="255">
        <f>S63+S64</f>
        <v>0</v>
      </c>
      <c r="T62" s="255">
        <f>IF(Q62&gt;0,S62*100/Q62,0)</f>
        <v>0</v>
      </c>
      <c r="U62" s="255">
        <f>IF(R62&gt;0,S62*100/R62,0)</f>
        <v>0</v>
      </c>
    </row>
    <row r="63" spans="1:21" ht="18.75" hidden="1">
      <c r="A63" s="49"/>
      <c r="B63" s="50"/>
      <c r="C63" s="50"/>
      <c r="D63" s="50"/>
      <c r="E63" s="186" t="s">
        <v>20</v>
      </c>
      <c r="F63" s="50"/>
      <c r="G63" s="52"/>
      <c r="H63" s="729" t="s">
        <v>14</v>
      </c>
      <c r="I63" s="54"/>
      <c r="J63" s="54"/>
      <c r="K63" s="55"/>
      <c r="L63" s="103">
        <v>0</v>
      </c>
      <c r="M63" s="102">
        <v>0</v>
      </c>
      <c r="N63" s="102">
        <v>0</v>
      </c>
      <c r="O63" s="102">
        <f>IF(L63&gt;0,N63*100/L63,0)</f>
        <v>0</v>
      </c>
      <c r="P63" s="102">
        <f>IF(M63&gt;0,N63*100/M63,0)</f>
        <v>0</v>
      </c>
      <c r="Q63" s="102">
        <v>0</v>
      </c>
      <c r="R63" s="102">
        <v>0</v>
      </c>
      <c r="S63" s="102">
        <v>0</v>
      </c>
      <c r="T63" s="102">
        <f>IF(Q63&gt;0,S63*100/Q63,0)</f>
        <v>0</v>
      </c>
      <c r="U63" s="102">
        <f>IF(R63&gt;0,S63*100/R63,0)</f>
        <v>0</v>
      </c>
    </row>
    <row r="64" spans="1:21" ht="18.75" hidden="1">
      <c r="A64" s="49"/>
      <c r="B64" s="50"/>
      <c r="C64" s="50"/>
      <c r="D64" s="50"/>
      <c r="E64" s="58" t="s">
        <v>21</v>
      </c>
      <c r="F64" s="50"/>
      <c r="G64" s="52"/>
      <c r="H64" s="53" t="s">
        <v>14</v>
      </c>
      <c r="I64" s="54"/>
      <c r="J64" s="54"/>
      <c r="K64" s="55"/>
      <c r="L64" s="256">
        <f ca="1">IFERROR(__xludf.DUMMYFUNCTION("IMPORTRANGE(""https://docs.google.com/spreadsheets/d/1-uDff_7J0KD5mKrp0Vvzr7lt3OU09vwQwhkpOPPYv2Y/edit?usp=sharing"",""งบพรบ!AC33"")"),602100)</f>
        <v>602100</v>
      </c>
      <c r="M64" s="255">
        <f ca="1">IFERROR(__xludf.DUMMYFUNCTION("IMPORTRANGE(""https://docs.google.com/spreadsheets/d/1-uDff_7J0KD5mKrp0Vvzr7lt3OU09vwQwhkpOPPYv2Y/edit?usp=sharing"",""งบพรบ!AH33"")"),602100)</f>
        <v>602100</v>
      </c>
      <c r="N64" s="255">
        <f ca="1">IFERROR(__xludf.DUMMYFUNCTION("IMPORTRANGE(""https://docs.google.com/spreadsheets/d/1-uDff_7J0KD5mKrp0Vvzr7lt3OU09vwQwhkpOPPYv2Y/edit?usp=sharing"",""งบพรบ!AJ33"")"),531887.12)</f>
        <v>531887.12</v>
      </c>
      <c r="O64" s="255">
        <f ca="1">IF(L64&gt;0,N64*100/L64,0)</f>
        <v>88.33866799534961</v>
      </c>
      <c r="P64" s="255">
        <f ca="1">IF(M64&gt;0,N64*100/M64,0)</f>
        <v>88.33866799534961</v>
      </c>
      <c r="Q64" s="255">
        <v>0</v>
      </c>
      <c r="R64" s="255">
        <v>0</v>
      </c>
      <c r="S64" s="255">
        <v>0</v>
      </c>
      <c r="T64" s="255">
        <f>IF(Q64&gt;0,S64*100/Q64,0)</f>
        <v>0</v>
      </c>
      <c r="U64" s="255">
        <f>IF(R64&gt;0,S64*100/R64,0)</f>
        <v>0</v>
      </c>
    </row>
    <row r="65" spans="1:21" ht="18.75">
      <c r="A65" s="49"/>
      <c r="B65" s="50"/>
      <c r="C65" s="50"/>
      <c r="D65" s="51" t="s">
        <v>23</v>
      </c>
      <c r="E65" s="50"/>
      <c r="F65" s="50"/>
      <c r="G65" s="52"/>
      <c r="H65" s="53" t="s">
        <v>14</v>
      </c>
      <c r="I65" s="54"/>
      <c r="J65" s="54"/>
      <c r="K65" s="55"/>
      <c r="L65" s="256">
        <f ca="1">L66+L67</f>
        <v>0</v>
      </c>
      <c r="M65" s="255">
        <f ca="1">M66+M67</f>
        <v>0</v>
      </c>
      <c r="N65" s="255">
        <f ca="1">N66+N67</f>
        <v>0</v>
      </c>
      <c r="O65" s="255">
        <f ca="1">IF(L65&gt;0,N65*100/L65,0)</f>
        <v>0</v>
      </c>
      <c r="P65" s="255">
        <f ca="1">IF(M65&gt;0,N65*100/M65,0)</f>
        <v>0</v>
      </c>
      <c r="Q65" s="255">
        <f>Q66+Q67</f>
        <v>0</v>
      </c>
      <c r="R65" s="255">
        <f>R66+R67</f>
        <v>0</v>
      </c>
      <c r="S65" s="255">
        <f>S66+S67</f>
        <v>0</v>
      </c>
      <c r="T65" s="255">
        <f>IF(Q65&gt;0,S65*100/Q65,0)</f>
        <v>0</v>
      </c>
      <c r="U65" s="255">
        <f>IF(R65&gt;0,S65*100/R65,0)</f>
        <v>0</v>
      </c>
    </row>
    <row r="66" spans="1:21" ht="18.75" hidden="1">
      <c r="A66" s="49"/>
      <c r="B66" s="50"/>
      <c r="C66" s="50"/>
      <c r="D66" s="50"/>
      <c r="E66" s="186" t="s">
        <v>20</v>
      </c>
      <c r="F66" s="50"/>
      <c r="G66" s="52"/>
      <c r="H66" s="729" t="s">
        <v>14</v>
      </c>
      <c r="I66" s="54"/>
      <c r="J66" s="54"/>
      <c r="K66" s="55"/>
      <c r="L66" s="103">
        <v>0</v>
      </c>
      <c r="M66" s="102">
        <v>0</v>
      </c>
      <c r="N66" s="102">
        <v>0</v>
      </c>
      <c r="O66" s="102">
        <f>IF(L66&gt;0,N66*100/L66,0)</f>
        <v>0</v>
      </c>
      <c r="P66" s="102">
        <f>IF(M66&gt;0,N66*100/M66,0)</f>
        <v>0</v>
      </c>
      <c r="Q66" s="102">
        <v>0</v>
      </c>
      <c r="R66" s="102">
        <v>0</v>
      </c>
      <c r="S66" s="102">
        <v>0</v>
      </c>
      <c r="T66" s="102">
        <f>IF(Q66&gt;0,S66*100/Q66,0)</f>
        <v>0</v>
      </c>
      <c r="U66" s="102">
        <f>IF(R66&gt;0,S66*100/R66,0)</f>
        <v>0</v>
      </c>
    </row>
    <row r="67" spans="1:21" ht="18.75" hidden="1">
      <c r="A67" s="63"/>
      <c r="B67" s="4"/>
      <c r="C67" s="4"/>
      <c r="D67" s="4"/>
      <c r="E67" s="64" t="s">
        <v>21</v>
      </c>
      <c r="F67" s="4"/>
      <c r="G67" s="65"/>
      <c r="H67" s="66" t="s">
        <v>14</v>
      </c>
      <c r="I67" s="67"/>
      <c r="J67" s="67"/>
      <c r="K67" s="6"/>
      <c r="L67" s="728">
        <f ca="1">IFERROR(__xludf.DUMMYFUNCTION("IMPORTRANGE(""https://docs.google.com/spreadsheets/d/1-uDff_7J0KD5mKrp0Vvzr7lt3OU09vwQwhkpOPPYv2Y/edit?usp=sharing"",""งบพรบ!AF33"")"),0)</f>
        <v>0</v>
      </c>
      <c r="M67" s="506">
        <f ca="1">IFERROR(__xludf.DUMMYFUNCTION("IMPORTRANGE(""https://docs.google.com/spreadsheets/d/1-uDff_7J0KD5mKrp0Vvzr7lt3OU09vwQwhkpOPPYv2Y/edit?usp=sharing"",""งบพรบ!AI33"")"),0)</f>
        <v>0</v>
      </c>
      <c r="N67" s="506">
        <f ca="1">IFERROR(__xludf.DUMMYFUNCTION("IMPORTRANGE(""https://docs.google.com/spreadsheets/d/1-uDff_7J0KD5mKrp0Vvzr7lt3OU09vwQwhkpOPPYv2Y/edit?usp=sharing"",""งบพรบ!AK33"")"),0)</f>
        <v>0</v>
      </c>
      <c r="O67" s="506">
        <f ca="1">IF(L67&gt;0,N67*100/L67,0)</f>
        <v>0</v>
      </c>
      <c r="P67" s="506">
        <f ca="1">IF(M67&gt;0,N67*100/M67,0)</f>
        <v>0</v>
      </c>
      <c r="Q67" s="506">
        <v>0</v>
      </c>
      <c r="R67" s="506">
        <v>0</v>
      </c>
      <c r="S67" s="506">
        <v>0</v>
      </c>
      <c r="T67" s="506">
        <f>IF(Q67&gt;0,S67*100/Q67,0)</f>
        <v>0</v>
      </c>
      <c r="U67" s="506">
        <f>IF(R67&gt;0,S67*100/R67,0)</f>
        <v>0</v>
      </c>
    </row>
    <row r="68" spans="1:21" ht="19.5">
      <c r="A68" s="137" t="s">
        <v>31</v>
      </c>
      <c r="B68" s="138"/>
      <c r="C68" s="138"/>
      <c r="D68" s="138"/>
      <c r="E68" s="139"/>
      <c r="F68" s="139"/>
      <c r="G68" s="139"/>
      <c r="H68" s="139"/>
      <c r="I68" s="140"/>
      <c r="J68" s="140"/>
      <c r="K68" s="141"/>
      <c r="L68" s="141"/>
      <c r="M68" s="141"/>
      <c r="N68" s="141"/>
      <c r="O68" s="141"/>
      <c r="P68" s="142"/>
      <c r="Q68" s="141"/>
      <c r="R68" s="141"/>
      <c r="S68" s="141"/>
      <c r="T68" s="141"/>
      <c r="U68" s="142"/>
    </row>
    <row r="69" spans="1:21" ht="19.5">
      <c r="A69" s="143" t="s">
        <v>32</v>
      </c>
      <c r="B69" s="144"/>
      <c r="C69" s="145"/>
      <c r="D69" s="144"/>
      <c r="E69" s="144"/>
      <c r="F69" s="144"/>
      <c r="G69" s="146"/>
      <c r="H69" s="146"/>
      <c r="I69" s="147"/>
      <c r="J69" s="147"/>
      <c r="K69" s="148"/>
      <c r="L69" s="149"/>
      <c r="M69" s="148"/>
      <c r="N69" s="148"/>
      <c r="O69" s="148"/>
      <c r="P69" s="148"/>
      <c r="Q69" s="148"/>
      <c r="R69" s="148"/>
      <c r="S69" s="148"/>
      <c r="T69" s="148"/>
      <c r="U69" s="148"/>
    </row>
    <row r="70" spans="1:21" ht="19.5">
      <c r="A70" s="150"/>
      <c r="B70" s="35" t="s">
        <v>33</v>
      </c>
      <c r="C70" s="34"/>
      <c r="D70" s="151"/>
      <c r="E70" s="34"/>
      <c r="F70" s="34"/>
      <c r="G70" s="37"/>
      <c r="H70" s="152" t="s">
        <v>34</v>
      </c>
      <c r="I70" s="721">
        <f ca="1">I82</f>
        <v>1</v>
      </c>
      <c r="J70" s="721">
        <f>J82</f>
        <v>1</v>
      </c>
      <c r="K70" s="720">
        <f ca="1">IF(I70&gt;0,J70*100/I70,0)</f>
        <v>100</v>
      </c>
      <c r="L70" s="154"/>
      <c r="M70" s="40"/>
      <c r="N70" s="40"/>
      <c r="O70" s="40"/>
      <c r="P70" s="40"/>
      <c r="Q70" s="40"/>
      <c r="R70" s="40"/>
      <c r="S70" s="40"/>
      <c r="T70" s="40"/>
      <c r="U70" s="40"/>
    </row>
    <row r="71" spans="1:21" ht="19.5">
      <c r="A71" s="150"/>
      <c r="B71" s="34"/>
      <c r="C71" s="34"/>
      <c r="D71" s="151"/>
      <c r="E71" s="34"/>
      <c r="F71" s="34"/>
      <c r="G71" s="37"/>
      <c r="H71" s="152" t="s">
        <v>35</v>
      </c>
      <c r="I71" s="721">
        <f ca="1">I83</f>
        <v>34</v>
      </c>
      <c r="J71" s="721">
        <f>J83</f>
        <v>34</v>
      </c>
      <c r="K71" s="720">
        <f ca="1">IF(I71&gt;0,J71*100/I71,0)</f>
        <v>100</v>
      </c>
      <c r="L71" s="154"/>
      <c r="M71" s="40"/>
      <c r="N71" s="40"/>
      <c r="O71" s="40"/>
      <c r="P71" s="40"/>
      <c r="Q71" s="40"/>
      <c r="R71" s="40"/>
      <c r="S71" s="40"/>
      <c r="T71" s="40"/>
      <c r="U71" s="40"/>
    </row>
    <row r="72" spans="1:21" ht="19.5">
      <c r="A72" s="155"/>
      <c r="B72" s="50"/>
      <c r="C72" s="156" t="s">
        <v>18</v>
      </c>
      <c r="D72" s="575" t="s">
        <v>19</v>
      </c>
      <c r="E72" s="50"/>
      <c r="F72" s="50"/>
      <c r="G72" s="52"/>
      <c r="H72" s="158" t="s">
        <v>14</v>
      </c>
      <c r="I72" s="54"/>
      <c r="J72" s="54"/>
      <c r="K72" s="55"/>
      <c r="L72" s="541">
        <f ca="1">L73+L74</f>
        <v>415100</v>
      </c>
      <c r="M72" s="540">
        <f ca="1">M73+M74</f>
        <v>415100</v>
      </c>
      <c r="N72" s="540">
        <f ca="1">N73+N74</f>
        <v>392840</v>
      </c>
      <c r="O72" s="540">
        <f ca="1">IF(L72&gt;0,N72*100/L72,0)</f>
        <v>94.637436762225974</v>
      </c>
      <c r="P72" s="540">
        <f ca="1">IF(M72&gt;0,N72*100/M72,0)</f>
        <v>94.637436762225974</v>
      </c>
      <c r="Q72" s="540">
        <f ca="1">Q73+Q74</f>
        <v>518360</v>
      </c>
      <c r="R72" s="540">
        <f ca="1">R73+R74</f>
        <v>518360</v>
      </c>
      <c r="S72" s="540">
        <f ca="1">S73+S74</f>
        <v>0</v>
      </c>
      <c r="T72" s="540">
        <f ca="1">IF(Q72&gt;0,S72*100/Q72,0)</f>
        <v>0</v>
      </c>
      <c r="U72" s="540">
        <f ca="1">IF(R72&gt;0,S72*100/R72,0)</f>
        <v>0</v>
      </c>
    </row>
    <row r="73" spans="1:21" ht="18.75" hidden="1">
      <c r="A73" s="155"/>
      <c r="B73" s="50"/>
      <c r="C73" s="50"/>
      <c r="D73" s="50"/>
      <c r="E73" s="186" t="s">
        <v>20</v>
      </c>
      <c r="F73" s="50"/>
      <c r="G73" s="52"/>
      <c r="H73" s="187" t="s">
        <v>14</v>
      </c>
      <c r="I73" s="54"/>
      <c r="J73" s="54"/>
      <c r="K73" s="55"/>
      <c r="L73" s="103">
        <f>L76+L79</f>
        <v>0</v>
      </c>
      <c r="M73" s="102">
        <f>M76+M79</f>
        <v>0</v>
      </c>
      <c r="N73" s="102">
        <f>N76+N79</f>
        <v>0</v>
      </c>
      <c r="O73" s="102">
        <f>IF(L73&gt;0,N73*100/L73,0)</f>
        <v>0</v>
      </c>
      <c r="P73" s="102">
        <f>IF(M73&gt;0,N73*100/M73,0)</f>
        <v>0</v>
      </c>
      <c r="Q73" s="102">
        <f>Q76+Q79</f>
        <v>0</v>
      </c>
      <c r="R73" s="102">
        <f>R76+R79</f>
        <v>0</v>
      </c>
      <c r="S73" s="102">
        <f>S76+S79</f>
        <v>0</v>
      </c>
      <c r="T73" s="102">
        <f>IF(Q73&gt;0,S73*100/Q73,0)</f>
        <v>0</v>
      </c>
      <c r="U73" s="102">
        <f>IF(R73&gt;0,S73*100/R73,0)</f>
        <v>0</v>
      </c>
    </row>
    <row r="74" spans="1:21" ht="18.75" hidden="1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256">
        <f ca="1">L77+L80</f>
        <v>415100</v>
      </c>
      <c r="M74" s="255">
        <f ca="1">M77+M80</f>
        <v>415100</v>
      </c>
      <c r="N74" s="255">
        <f ca="1">N77+N80</f>
        <v>392840</v>
      </c>
      <c r="O74" s="255">
        <f ca="1">IF(L74&gt;0,N74*100/L74,0)</f>
        <v>94.637436762225974</v>
      </c>
      <c r="P74" s="255">
        <f ca="1">IF(M74&gt;0,N74*100/M74,0)</f>
        <v>94.637436762225974</v>
      </c>
      <c r="Q74" s="255">
        <f ca="1">Q77+Q80</f>
        <v>518360</v>
      </c>
      <c r="R74" s="255">
        <f ca="1">R77+R80</f>
        <v>518360</v>
      </c>
      <c r="S74" s="255">
        <f ca="1">S77+S80</f>
        <v>0</v>
      </c>
      <c r="T74" s="255">
        <f ca="1">IF(Q74&gt;0,S74*100/Q74,0)</f>
        <v>0</v>
      </c>
      <c r="U74" s="255">
        <f ca="1">IF(R74&gt;0,S74*100/R74,0)</f>
        <v>0</v>
      </c>
    </row>
    <row r="75" spans="1:21" ht="18.75">
      <c r="A75" s="155"/>
      <c r="B75" s="50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256">
        <f ca="1">L76+L77</f>
        <v>415100</v>
      </c>
      <c r="M75" s="255">
        <f ca="1">M76+M77</f>
        <v>415100</v>
      </c>
      <c r="N75" s="255">
        <f ca="1">N76+N77</f>
        <v>392840</v>
      </c>
      <c r="O75" s="255">
        <f ca="1">IF(L75&gt;0,N75*100/L75,0)</f>
        <v>94.637436762225974</v>
      </c>
      <c r="P75" s="255">
        <f ca="1">IF(M75&gt;0,N75*100/M75,0)</f>
        <v>94.637436762225974</v>
      </c>
      <c r="Q75" s="255">
        <f ca="1">Q76+Q77</f>
        <v>518360</v>
      </c>
      <c r="R75" s="255">
        <f ca="1">R76+R77</f>
        <v>518360</v>
      </c>
      <c r="S75" s="255">
        <f ca="1">S76+S77</f>
        <v>0</v>
      </c>
      <c r="T75" s="255">
        <f ca="1">IF(Q75&gt;0,S75*100/Q75,0)</f>
        <v>0</v>
      </c>
      <c r="U75" s="255">
        <f ca="1">IF(R75&gt;0,S75*100/R75,0)</f>
        <v>0</v>
      </c>
    </row>
    <row r="76" spans="1:21" ht="18.75" hidden="1">
      <c r="A76" s="155"/>
      <c r="B76" s="50"/>
      <c r="C76" s="50"/>
      <c r="D76" s="50"/>
      <c r="E76" s="186" t="s">
        <v>36</v>
      </c>
      <c r="F76" s="50"/>
      <c r="G76" s="52"/>
      <c r="H76" s="189" t="s">
        <v>14</v>
      </c>
      <c r="I76" s="163"/>
      <c r="J76" s="163"/>
      <c r="K76" s="164"/>
      <c r="L76" s="103">
        <v>0</v>
      </c>
      <c r="M76" s="102">
        <v>0</v>
      </c>
      <c r="N76" s="102">
        <v>0</v>
      </c>
      <c r="O76" s="102">
        <f>IF(L76&gt;0,N76*100/L76,0)</f>
        <v>0</v>
      </c>
      <c r="P76" s="102">
        <f>IF(M76&gt;0,N76*100/M76,0)</f>
        <v>0</v>
      </c>
      <c r="Q76" s="102">
        <v>0</v>
      </c>
      <c r="R76" s="102">
        <v>0</v>
      </c>
      <c r="S76" s="102">
        <v>0</v>
      </c>
      <c r="T76" s="102">
        <f>IF(Q76&gt;0,S76*100/Q76,0)</f>
        <v>0</v>
      </c>
      <c r="U76" s="102">
        <f>IF(R76&gt;0,S76*100/R76,0)</f>
        <v>0</v>
      </c>
    </row>
    <row r="77" spans="1:21" ht="18.75" hidden="1">
      <c r="A77" s="155"/>
      <c r="B77" s="50"/>
      <c r="C77" s="50"/>
      <c r="D77" s="50"/>
      <c r="E77" s="58" t="s">
        <v>37</v>
      </c>
      <c r="F77" s="50"/>
      <c r="G77" s="52"/>
      <c r="H77" s="162" t="s">
        <v>14</v>
      </c>
      <c r="I77" s="163"/>
      <c r="J77" s="163"/>
      <c r="K77" s="164"/>
      <c r="L77" s="256">
        <f ca="1">IFERROR(__xludf.DUMMYFUNCTION("IMPORTRANGE(""https://docs.google.com/spreadsheets/d/1-uDff_7J0KD5mKrp0Vvzr7lt3OU09vwQwhkpOPPYv2Y/edit?usp=sharing"",""งบพรบ!AM33"")"),415100)</f>
        <v>415100</v>
      </c>
      <c r="M77" s="255">
        <f ca="1">IFERROR(__xludf.DUMMYFUNCTION("IMPORTRANGE(""https://docs.google.com/spreadsheets/d/1-uDff_7J0KD5mKrp0Vvzr7lt3OU09vwQwhkpOPPYv2Y/edit?usp=sharing"",""งบพรบ!AR33"")"),415100)</f>
        <v>415100</v>
      </c>
      <c r="N77" s="255">
        <f ca="1">IFERROR(__xludf.DUMMYFUNCTION("IMPORTRANGE(""https://docs.google.com/spreadsheets/d/1-uDff_7J0KD5mKrp0Vvzr7lt3OU09vwQwhkpOPPYv2Y/edit?usp=sharing"",""งบพรบ!AT33"")"),392840)</f>
        <v>392840</v>
      </c>
      <c r="O77" s="255">
        <f ca="1">IF(L77&gt;0,N77*100/L77,0)</f>
        <v>94.637436762225974</v>
      </c>
      <c r="P77" s="255">
        <f ca="1">IF(M77&gt;0,N77*100/M77,0)</f>
        <v>94.637436762225974</v>
      </c>
      <c r="Q77" s="255">
        <f ca="1">IFERROR(__xludf.DUMMYFUNCTION("IMPORTRANGE(""https://docs.google.com/spreadsheets/d/1ItG2mGa2ceCfYo0BwxsXqNm01IGEUdYcSSLTEv9YCik/edit?usp=sharing"",""เบิกจ่ายกองทุน!AS33"")"),518360)</f>
        <v>518360</v>
      </c>
      <c r="R77" s="255">
        <f ca="1">IFERROR(__xludf.DUMMYFUNCTION("IMPORTRANGE(""https://docs.google.com/spreadsheets/d/1ItG2mGa2ceCfYo0BwxsXqNm01IGEUdYcSSLTEv9YCik/edit?usp=sharing"",""เบิกจ่ายกองทุน!AT33"")"),518360)</f>
        <v>518360</v>
      </c>
      <c r="S77" s="255">
        <f ca="1">IFERROR(__xludf.DUMMYFUNCTION("IMPORTRANGE(""https://docs.google.com/spreadsheets/d/1ItG2mGa2ceCfYo0BwxsXqNm01IGEUdYcSSLTEv9YCik/edit?usp=sharing"",""เบิกจ่ายกองทุน!AU33"")"),0)</f>
        <v>0</v>
      </c>
      <c r="T77" s="255">
        <f ca="1">IF(Q77&gt;0,S77*100/Q77,0)</f>
        <v>0</v>
      </c>
      <c r="U77" s="255">
        <f ca="1">IF(R77&gt;0,S77*100/R77,0)</f>
        <v>0</v>
      </c>
    </row>
    <row r="78" spans="1:21" ht="18.75">
      <c r="A78" s="155"/>
      <c r="B78" s="50"/>
      <c r="C78" s="50"/>
      <c r="D78" s="51" t="s">
        <v>23</v>
      </c>
      <c r="E78" s="50"/>
      <c r="F78" s="50"/>
      <c r="G78" s="52"/>
      <c r="H78" s="165" t="s">
        <v>14</v>
      </c>
      <c r="I78" s="163"/>
      <c r="J78" s="163"/>
      <c r="K78" s="164"/>
      <c r="L78" s="256">
        <f ca="1">L79+L80</f>
        <v>0</v>
      </c>
      <c r="M78" s="255">
        <f ca="1">M79+M80</f>
        <v>0</v>
      </c>
      <c r="N78" s="255">
        <f ca="1">N79+N80</f>
        <v>0</v>
      </c>
      <c r="O78" s="255">
        <f ca="1">IF(L78&gt;0,N78*100/L78,0)</f>
        <v>0</v>
      </c>
      <c r="P78" s="255">
        <f ca="1">IF(M78&gt;0,N78*100/M78,0)</f>
        <v>0</v>
      </c>
      <c r="Q78" s="255">
        <f>Q79+Q80</f>
        <v>0</v>
      </c>
      <c r="R78" s="255">
        <f>R79+R80</f>
        <v>0</v>
      </c>
      <c r="S78" s="255">
        <f>S79+S80</f>
        <v>0</v>
      </c>
      <c r="T78" s="255">
        <f>IF(Q78&gt;0,S78*100/Q78,0)</f>
        <v>0</v>
      </c>
      <c r="U78" s="255">
        <f>IF(R78&gt;0,S78*100/R78,0)</f>
        <v>0</v>
      </c>
    </row>
    <row r="79" spans="1:21" ht="18.75" hidden="1">
      <c r="A79" s="155"/>
      <c r="B79" s="50"/>
      <c r="C79" s="50"/>
      <c r="D79" s="50"/>
      <c r="E79" s="186" t="s">
        <v>20</v>
      </c>
      <c r="F79" s="50"/>
      <c r="G79" s="52"/>
      <c r="H79" s="189" t="s">
        <v>14</v>
      </c>
      <c r="I79" s="163"/>
      <c r="J79" s="163"/>
      <c r="K79" s="164"/>
      <c r="L79" s="103">
        <v>0</v>
      </c>
      <c r="M79" s="255">
        <v>0</v>
      </c>
      <c r="N79" s="255">
        <v>0</v>
      </c>
      <c r="O79" s="102">
        <f>IF(L79&gt;0,N79*100/L79,0)</f>
        <v>0</v>
      </c>
      <c r="P79" s="102">
        <f>IF(M79&gt;0,N79*100/M79,0)</f>
        <v>0</v>
      </c>
      <c r="Q79" s="102">
        <v>0</v>
      </c>
      <c r="R79" s="255">
        <v>0</v>
      </c>
      <c r="S79" s="255">
        <v>0</v>
      </c>
      <c r="T79" s="102">
        <f>IF(Q79&gt;0,S79*100/Q79,0)</f>
        <v>0</v>
      </c>
      <c r="U79" s="102">
        <f>IF(R79&gt;0,S79*100/R79,0)</f>
        <v>0</v>
      </c>
    </row>
    <row r="80" spans="1:21" ht="18.75" hidden="1">
      <c r="A80" s="155"/>
      <c r="B80" s="50"/>
      <c r="C80" s="50"/>
      <c r="D80" s="50"/>
      <c r="E80" s="58" t="s">
        <v>21</v>
      </c>
      <c r="F80" s="50"/>
      <c r="G80" s="52"/>
      <c r="H80" s="165" t="s">
        <v>14</v>
      </c>
      <c r="I80" s="163"/>
      <c r="J80" s="163"/>
      <c r="K80" s="164"/>
      <c r="L80" s="256">
        <f ca="1">IFERROR(__xludf.DUMMYFUNCTION("IMPORTRANGE(""https://docs.google.com/spreadsheets/d/1-uDff_7J0KD5mKrp0Vvzr7lt3OU09vwQwhkpOPPYv2Y/edit?usp=sharing"",""งบพรบ!AP33"")"),0)</f>
        <v>0</v>
      </c>
      <c r="M80" s="255">
        <f ca="1">IFERROR(__xludf.DUMMYFUNCTION("IMPORTRANGE(""https://docs.google.com/spreadsheets/d/1-uDff_7J0KD5mKrp0Vvzr7lt3OU09vwQwhkpOPPYv2Y/edit?usp=sharing"",""งบพรบ!AS33"")"),0)</f>
        <v>0</v>
      </c>
      <c r="N80" s="255">
        <f ca="1">IFERROR(__xludf.DUMMYFUNCTION("IMPORTRANGE(""https://docs.google.com/spreadsheets/d/1-uDff_7J0KD5mKrp0Vvzr7lt3OU09vwQwhkpOPPYv2Y/edit?usp=sharing"",""งบพรบ!AU33"")"),0)</f>
        <v>0</v>
      </c>
      <c r="O80" s="255">
        <f ca="1">IF(L80&gt;0,N80*100/L80,0)</f>
        <v>0</v>
      </c>
      <c r="P80" s="255">
        <f ca="1">IF(M80&gt;0,N80*100/M80,0)</f>
        <v>0</v>
      </c>
      <c r="Q80" s="255">
        <v>0</v>
      </c>
      <c r="R80" s="255">
        <v>0</v>
      </c>
      <c r="S80" s="255">
        <v>0</v>
      </c>
      <c r="T80" s="255">
        <f>IF(Q80&gt;0,S80*100/Q80,0)</f>
        <v>0</v>
      </c>
      <c r="U80" s="255">
        <f>IF(R80&gt;0,S80*100/R80,0)</f>
        <v>0</v>
      </c>
    </row>
    <row r="81" spans="1:21" ht="19.5">
      <c r="A81" s="166"/>
      <c r="B81" s="167"/>
      <c r="C81" s="156" t="s">
        <v>18</v>
      </c>
      <c r="D81" s="566" t="s">
        <v>38</v>
      </c>
      <c r="E81" s="169"/>
      <c r="F81" s="169"/>
      <c r="G81" s="170"/>
      <c r="H81" s="171"/>
      <c r="I81" s="163"/>
      <c r="J81" s="163"/>
      <c r="K81" s="164"/>
      <c r="L81" s="172"/>
      <c r="M81" s="164"/>
      <c r="N81" s="164"/>
      <c r="O81" s="164"/>
      <c r="P81" s="164"/>
      <c r="Q81" s="164"/>
      <c r="R81" s="164"/>
      <c r="S81" s="164"/>
      <c r="T81" s="164"/>
      <c r="U81" s="164"/>
    </row>
    <row r="82" spans="1:21" ht="19.5">
      <c r="A82" s="166"/>
      <c r="B82" s="167"/>
      <c r="C82" s="167"/>
      <c r="D82" s="173" t="s">
        <v>39</v>
      </c>
      <c r="E82" s="174"/>
      <c r="F82" s="174"/>
      <c r="G82" s="171"/>
      <c r="H82" s="175" t="s">
        <v>34</v>
      </c>
      <c r="I82" s="373">
        <f ca="1">I84+I86+I88</f>
        <v>1</v>
      </c>
      <c r="J82" s="373">
        <f>J84+J86+J88</f>
        <v>1</v>
      </c>
      <c r="K82" s="642">
        <f ca="1">IF(I82&gt;0,J82*100/I82,0)</f>
        <v>100</v>
      </c>
      <c r="L82" s="172"/>
      <c r="M82" s="164"/>
      <c r="N82" s="164"/>
      <c r="O82" s="164"/>
      <c r="P82" s="164"/>
      <c r="Q82" s="164"/>
      <c r="R82" s="164"/>
      <c r="S82" s="164"/>
      <c r="T82" s="164"/>
      <c r="U82" s="164"/>
    </row>
    <row r="83" spans="1:21" ht="19.5">
      <c r="A83" s="166"/>
      <c r="B83" s="167"/>
      <c r="C83" s="167"/>
      <c r="D83" s="167"/>
      <c r="E83" s="174"/>
      <c r="F83" s="174"/>
      <c r="G83" s="171"/>
      <c r="H83" s="175" t="s">
        <v>35</v>
      </c>
      <c r="I83" s="373">
        <f ca="1">I85+I87+I89</f>
        <v>34</v>
      </c>
      <c r="J83" s="373">
        <f>J85+J87+J89</f>
        <v>34</v>
      </c>
      <c r="K83" s="642">
        <f ca="1">IF(I83&gt;0,J83*100/I83,0)</f>
        <v>100</v>
      </c>
      <c r="L83" s="172"/>
      <c r="M83" s="164"/>
      <c r="N83" s="164"/>
      <c r="O83" s="164"/>
      <c r="P83" s="164"/>
      <c r="Q83" s="164"/>
      <c r="R83" s="164"/>
      <c r="S83" s="164"/>
      <c r="T83" s="164"/>
      <c r="U83" s="164"/>
    </row>
    <row r="84" spans="1:21" ht="18.75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641">
        <f ca="1">IFERROR(__xludf.DUMMYFUNCTION("IMPORTRANGE(""https://docs.google.com/spreadsheets/d/1eHaY18a8A9IcSdp1K8H6x8fbOy06t2VsZHhMHf-1x7Y/edit?usp=sharing"",""แผน!H33"")"),0)</f>
        <v>0</v>
      </c>
      <c r="J84" s="467">
        <v>0</v>
      </c>
      <c r="K84" s="565">
        <f ca="1">IF(I84&gt;0,J84*100/I84,0)</f>
        <v>0</v>
      </c>
      <c r="L84" s="172"/>
      <c r="M84" s="164"/>
      <c r="N84" s="164"/>
      <c r="O84" s="164"/>
      <c r="P84" s="164"/>
      <c r="Q84" s="164"/>
      <c r="R84" s="164"/>
      <c r="S84" s="164"/>
      <c r="T84" s="164"/>
      <c r="U84" s="164"/>
    </row>
    <row r="85" spans="1:21" ht="18.75">
      <c r="A85" s="166"/>
      <c r="B85" s="167"/>
      <c r="C85" s="167"/>
      <c r="D85" s="167"/>
      <c r="E85" s="174"/>
      <c r="F85" s="174"/>
      <c r="G85" s="171"/>
      <c r="H85" s="179" t="s">
        <v>35</v>
      </c>
      <c r="I85" s="641">
        <f ca="1">IFERROR(__xludf.DUMMYFUNCTION("IMPORTRANGE(""https://docs.google.com/spreadsheets/d/1eHaY18a8A9IcSdp1K8H6x8fbOy06t2VsZHhMHf-1x7Y/edit?usp=sharing"",""แผน!I33"")"),0)</f>
        <v>0</v>
      </c>
      <c r="J85" s="467">
        <v>0</v>
      </c>
      <c r="K85" s="565">
        <f ca="1">IF(I85&gt;0,J85*100/I85,0)</f>
        <v>0</v>
      </c>
      <c r="L85" s="172"/>
      <c r="M85" s="164"/>
      <c r="N85" s="164"/>
      <c r="O85" s="164"/>
      <c r="P85" s="164"/>
      <c r="Q85" s="164"/>
      <c r="R85" s="164"/>
      <c r="S85" s="164"/>
      <c r="T85" s="164"/>
      <c r="U85" s="164"/>
    </row>
    <row r="86" spans="1:21" ht="18.75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641">
        <f ca="1">IFERROR(__xludf.DUMMYFUNCTION("IMPORTRANGE(""https://docs.google.com/spreadsheets/d/1eHaY18a8A9IcSdp1K8H6x8fbOy06t2VsZHhMHf-1x7Y/edit?usp=sharing"",""แผน!F33"")"),0)</f>
        <v>0</v>
      </c>
      <c r="J86" s="467">
        <v>0</v>
      </c>
      <c r="K86" s="565">
        <f ca="1">IF(I86&gt;0,J86*100/I86,0)</f>
        <v>0</v>
      </c>
      <c r="L86" s="172"/>
      <c r="M86" s="164"/>
      <c r="N86" s="164"/>
      <c r="O86" s="164"/>
      <c r="P86" s="164"/>
      <c r="Q86" s="164"/>
      <c r="R86" s="164"/>
      <c r="S86" s="164"/>
      <c r="T86" s="164"/>
      <c r="U86" s="164"/>
    </row>
    <row r="87" spans="1:21" ht="18.75">
      <c r="A87" s="166"/>
      <c r="B87" s="167"/>
      <c r="C87" s="167"/>
      <c r="D87" s="167"/>
      <c r="E87" s="174"/>
      <c r="F87" s="174"/>
      <c r="G87" s="171"/>
      <c r="H87" s="179" t="s">
        <v>35</v>
      </c>
      <c r="I87" s="641">
        <f ca="1">IFERROR(__xludf.DUMMYFUNCTION("IMPORTRANGE(""https://docs.google.com/spreadsheets/d/1eHaY18a8A9IcSdp1K8H6x8fbOy06t2VsZHhMHf-1x7Y/edit?usp=sharing"",""แผน!G33"")"),0)</f>
        <v>0</v>
      </c>
      <c r="J87" s="467">
        <v>0</v>
      </c>
      <c r="K87" s="565">
        <f ca="1">IF(I87&gt;0,J87*100/I87,0)</f>
        <v>0</v>
      </c>
      <c r="L87" s="172"/>
      <c r="M87" s="164"/>
      <c r="N87" s="164"/>
      <c r="O87" s="164"/>
      <c r="P87" s="164"/>
      <c r="Q87" s="164"/>
      <c r="R87" s="164"/>
      <c r="S87" s="164"/>
      <c r="T87" s="164"/>
      <c r="U87" s="164"/>
    </row>
    <row r="88" spans="1:21" ht="18.75">
      <c r="A88" s="166"/>
      <c r="B88" s="167"/>
      <c r="C88" s="167"/>
      <c r="D88" s="167"/>
      <c r="E88" s="178" t="s">
        <v>42</v>
      </c>
      <c r="F88" s="174"/>
      <c r="G88" s="171"/>
      <c r="H88" s="179" t="s">
        <v>34</v>
      </c>
      <c r="I88" s="641">
        <f ca="1">IFERROR(__xludf.DUMMYFUNCTION("IMPORTRANGE(""https://docs.google.com/spreadsheets/d/1eHaY18a8A9IcSdp1K8H6x8fbOy06t2VsZHhMHf-1x7Y/edit?usp=sharing"",""แผน!D33"")"),1)</f>
        <v>1</v>
      </c>
      <c r="J88" s="467">
        <v>1</v>
      </c>
      <c r="K88" s="565">
        <f ca="1">IF(I88&gt;0,J88*100/I88,0)</f>
        <v>100</v>
      </c>
      <c r="L88" s="172"/>
      <c r="M88" s="164"/>
      <c r="N88" s="164"/>
      <c r="O88" s="164"/>
      <c r="P88" s="164"/>
      <c r="Q88" s="164"/>
      <c r="R88" s="164"/>
      <c r="S88" s="164"/>
      <c r="T88" s="164"/>
      <c r="U88" s="164"/>
    </row>
    <row r="89" spans="1:21" ht="18.75">
      <c r="A89" s="166"/>
      <c r="B89" s="167"/>
      <c r="C89" s="167"/>
      <c r="D89" s="167"/>
      <c r="E89" s="174"/>
      <c r="F89" s="174"/>
      <c r="G89" s="171"/>
      <c r="H89" s="179" t="s">
        <v>35</v>
      </c>
      <c r="I89" s="641">
        <f ca="1">IFERROR(__xludf.DUMMYFUNCTION("IMPORTRANGE(""https://docs.google.com/spreadsheets/d/1eHaY18a8A9IcSdp1K8H6x8fbOy06t2VsZHhMHf-1x7Y/edit?usp=sharing"",""แผน!E33"")"),34)</f>
        <v>34</v>
      </c>
      <c r="J89" s="467">
        <v>34</v>
      </c>
      <c r="K89" s="565">
        <f ca="1">IF(I89&gt;0,J89*100/I89,0)</f>
        <v>100</v>
      </c>
      <c r="L89" s="172"/>
      <c r="M89" s="164"/>
      <c r="N89" s="164"/>
      <c r="O89" s="164"/>
      <c r="P89" s="164"/>
      <c r="Q89" s="164"/>
      <c r="R89" s="164"/>
      <c r="S89" s="164"/>
      <c r="T89" s="164"/>
      <c r="U89" s="164"/>
    </row>
    <row r="90" spans="1:21" ht="18.75">
      <c r="A90" s="166"/>
      <c r="B90" s="167"/>
      <c r="C90" s="167"/>
      <c r="D90" s="173" t="s">
        <v>43</v>
      </c>
      <c r="E90" s="174"/>
      <c r="F90" s="174"/>
      <c r="G90" s="171"/>
      <c r="H90" s="183" t="s">
        <v>34</v>
      </c>
      <c r="I90" s="641">
        <f ca="1">IFERROR(__xludf.DUMMYFUNCTION("IMPORTRANGE(""https://docs.google.com/spreadsheets/d/1eHaY18a8A9IcSdp1K8H6x8fbOy06t2VsZHhMHf-1x7Y/edit?usp=sharing"",""แผน!J33"")"),1)</f>
        <v>1</v>
      </c>
      <c r="J90" s="467">
        <v>0</v>
      </c>
      <c r="K90" s="565">
        <f ca="1">IF(I90&gt;0,J90*100/I90,0)</f>
        <v>0</v>
      </c>
      <c r="L90" s="172"/>
      <c r="M90" s="164"/>
      <c r="N90" s="164"/>
      <c r="O90" s="164"/>
      <c r="P90" s="164"/>
      <c r="Q90" s="164"/>
      <c r="R90" s="164"/>
      <c r="S90" s="164"/>
      <c r="T90" s="164"/>
      <c r="U90" s="164"/>
    </row>
    <row r="91" spans="1:21" ht="19.5">
      <c r="A91" s="143" t="s">
        <v>44</v>
      </c>
      <c r="B91" s="144"/>
      <c r="C91" s="145"/>
      <c r="D91" s="144"/>
      <c r="E91" s="144"/>
      <c r="F91" s="144"/>
      <c r="G91" s="146"/>
      <c r="H91" s="146"/>
      <c r="I91" s="147"/>
      <c r="J91" s="147"/>
      <c r="K91" s="148"/>
      <c r="L91" s="149"/>
      <c r="M91" s="148"/>
      <c r="N91" s="148"/>
      <c r="O91" s="148"/>
      <c r="P91" s="148"/>
      <c r="Q91" s="148"/>
      <c r="R91" s="148"/>
      <c r="S91" s="148"/>
      <c r="T91" s="148"/>
      <c r="U91" s="148"/>
    </row>
    <row r="92" spans="1:21" ht="19.5">
      <c r="A92" s="150"/>
      <c r="B92" s="35" t="s">
        <v>45</v>
      </c>
      <c r="C92" s="34"/>
      <c r="D92" s="151"/>
      <c r="E92" s="34"/>
      <c r="F92" s="34"/>
      <c r="G92" s="37"/>
      <c r="H92" s="152" t="s">
        <v>46</v>
      </c>
      <c r="I92" s="721">
        <f ca="1">I108</f>
        <v>54</v>
      </c>
      <c r="J92" s="721">
        <f>J108</f>
        <v>0</v>
      </c>
      <c r="K92" s="720">
        <f ca="1">IF(I92&gt;0,J92*100/I92,0)</f>
        <v>0</v>
      </c>
      <c r="L92" s="154"/>
      <c r="M92" s="40"/>
      <c r="N92" s="40"/>
      <c r="O92" s="40"/>
      <c r="P92" s="40"/>
      <c r="Q92" s="40"/>
      <c r="R92" s="40"/>
      <c r="S92" s="40"/>
      <c r="T92" s="40"/>
      <c r="U92" s="40"/>
    </row>
    <row r="93" spans="1:21" ht="19.5">
      <c r="A93" s="150"/>
      <c r="B93" s="34"/>
      <c r="C93" s="34"/>
      <c r="D93" s="151"/>
      <c r="E93" s="34"/>
      <c r="F93" s="34"/>
      <c r="G93" s="37"/>
      <c r="H93" s="152" t="s">
        <v>35</v>
      </c>
      <c r="I93" s="721">
        <f ca="1">I109</f>
        <v>18</v>
      </c>
      <c r="J93" s="721">
        <f>J109</f>
        <v>0</v>
      </c>
      <c r="K93" s="720">
        <f ca="1">IF(I93&gt;0,J93*100/I93,0)</f>
        <v>0</v>
      </c>
      <c r="L93" s="154"/>
      <c r="M93" s="40"/>
      <c r="N93" s="40"/>
      <c r="O93" s="40"/>
      <c r="P93" s="40"/>
      <c r="Q93" s="40"/>
      <c r="R93" s="40"/>
      <c r="S93" s="40"/>
      <c r="T93" s="40"/>
      <c r="U93" s="40"/>
    </row>
    <row r="94" spans="1:21" ht="19.5">
      <c r="A94" s="155"/>
      <c r="B94" s="50"/>
      <c r="C94" s="156" t="s">
        <v>18</v>
      </c>
      <c r="D94" s="575" t="s">
        <v>19</v>
      </c>
      <c r="E94" s="50"/>
      <c r="F94" s="50"/>
      <c r="G94" s="52"/>
      <c r="H94" s="158" t="s">
        <v>14</v>
      </c>
      <c r="I94" s="54"/>
      <c r="J94" s="54"/>
      <c r="K94" s="55"/>
      <c r="L94" s="541">
        <f ca="1">L95+L96</f>
        <v>72600</v>
      </c>
      <c r="M94" s="540">
        <f ca="1">M95+M96</f>
        <v>37540</v>
      </c>
      <c r="N94" s="540">
        <f ca="1">N95+N96</f>
        <v>2440</v>
      </c>
      <c r="O94" s="540">
        <f ca="1">IF(L94&gt;0,N94*100/L94,0)</f>
        <v>3.3608815426997247</v>
      </c>
      <c r="P94" s="540">
        <f ca="1">IF(M94&gt;0,N94*100/M94,0)</f>
        <v>6.4997336174746936</v>
      </c>
      <c r="Q94" s="540">
        <f ca="1">Q95+Q96</f>
        <v>116856</v>
      </c>
      <c r="R94" s="540">
        <f ca="1">R95+R96</f>
        <v>116856</v>
      </c>
      <c r="S94" s="540">
        <f ca="1">S95+S96</f>
        <v>0</v>
      </c>
      <c r="T94" s="540">
        <f ca="1">IF(Q94&gt;0,S94*100/Q94,0)</f>
        <v>0</v>
      </c>
      <c r="U94" s="540">
        <f ca="1">IF(R94&gt;0,S94*100/R94,0)</f>
        <v>0</v>
      </c>
    </row>
    <row r="95" spans="1:21" ht="18.75" hidden="1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103">
        <f>L98+L101</f>
        <v>0</v>
      </c>
      <c r="M95" s="102">
        <f>M98+M101</f>
        <v>0</v>
      </c>
      <c r="N95" s="102">
        <f>N98+N101</f>
        <v>0</v>
      </c>
      <c r="O95" s="102">
        <f>IF(L95&gt;0,N95*100/L95,0)</f>
        <v>0</v>
      </c>
      <c r="P95" s="102">
        <f>IF(M95&gt;0,N95*100/M95,0)</f>
        <v>0</v>
      </c>
      <c r="Q95" s="102">
        <f>Q98+Q101</f>
        <v>0</v>
      </c>
      <c r="R95" s="102">
        <f>R98+R101</f>
        <v>0</v>
      </c>
      <c r="S95" s="102">
        <f>S98+S101</f>
        <v>0</v>
      </c>
      <c r="T95" s="102">
        <f>IF(Q95&gt;0,S95*100/Q95,0)</f>
        <v>0</v>
      </c>
      <c r="U95" s="102">
        <f>IF(R95&gt;0,S95*100/R95,0)</f>
        <v>0</v>
      </c>
    </row>
    <row r="96" spans="1:21" ht="18.75" hidden="1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256">
        <f ca="1">L99+L102</f>
        <v>72600</v>
      </c>
      <c r="M96" s="255">
        <f ca="1">M99+M102</f>
        <v>37540</v>
      </c>
      <c r="N96" s="255">
        <f ca="1">N99+N102</f>
        <v>2440</v>
      </c>
      <c r="O96" s="255">
        <f ca="1">IF(L96&gt;0,N96*100/L96,0)</f>
        <v>3.3608815426997247</v>
      </c>
      <c r="P96" s="255">
        <f ca="1">IF(M96&gt;0,N96*100/M96,0)</f>
        <v>6.4997336174746936</v>
      </c>
      <c r="Q96" s="255">
        <f ca="1">Q99+Q102</f>
        <v>116856</v>
      </c>
      <c r="R96" s="255">
        <f ca="1">R99+R102</f>
        <v>116856</v>
      </c>
      <c r="S96" s="255">
        <f ca="1">S99+S102</f>
        <v>0</v>
      </c>
      <c r="T96" s="255">
        <f ca="1">IF(Q96&gt;0,S96*100/Q96,0)</f>
        <v>0</v>
      </c>
      <c r="U96" s="255">
        <f ca="1">IF(R96&gt;0,S96*100/R96,0)</f>
        <v>0</v>
      </c>
    </row>
    <row r="97" spans="1:21" ht="18.75">
      <c r="A97" s="155"/>
      <c r="B97" s="50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256">
        <f ca="1">L98+L99</f>
        <v>72600</v>
      </c>
      <c r="M97" s="255">
        <f ca="1">M98+M99</f>
        <v>37540</v>
      </c>
      <c r="N97" s="255">
        <f ca="1">N98+N99</f>
        <v>2440</v>
      </c>
      <c r="O97" s="255">
        <f ca="1">IF(L97&gt;0,N97*100/L97,0)</f>
        <v>3.3608815426997247</v>
      </c>
      <c r="P97" s="255">
        <f ca="1">IF(M97&gt;0,N97*100/M97,0)</f>
        <v>6.4997336174746936</v>
      </c>
      <c r="Q97" s="255">
        <f ca="1">Q98+Q99</f>
        <v>116856</v>
      </c>
      <c r="R97" s="255">
        <f ca="1">R98+R99</f>
        <v>116856</v>
      </c>
      <c r="S97" s="255">
        <f ca="1">S98+S99</f>
        <v>0</v>
      </c>
      <c r="T97" s="255">
        <f ca="1">IF(Q97&gt;0,S97*100/Q97,0)</f>
        <v>0</v>
      </c>
      <c r="U97" s="255">
        <f ca="1">IF(R97&gt;0,S97*100/R97,0)</f>
        <v>0</v>
      </c>
    </row>
    <row r="98" spans="1:21" ht="18.75" hidden="1">
      <c r="A98" s="155"/>
      <c r="B98" s="50"/>
      <c r="C98" s="50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103">
        <v>0</v>
      </c>
      <c r="M98" s="102">
        <v>0</v>
      </c>
      <c r="N98" s="102">
        <v>0</v>
      </c>
      <c r="O98" s="102">
        <f>IF(L98&gt;0,N98*100/L98,0)</f>
        <v>0</v>
      </c>
      <c r="P98" s="102">
        <f>IF(M98&gt;0,N98*100/M98,0)</f>
        <v>0</v>
      </c>
      <c r="Q98" s="102">
        <v>0</v>
      </c>
      <c r="R98" s="102">
        <v>0</v>
      </c>
      <c r="S98" s="102">
        <v>0</v>
      </c>
      <c r="T98" s="102">
        <f>IF(Q98&gt;0,S98*100/Q98,0)</f>
        <v>0</v>
      </c>
      <c r="U98" s="102">
        <f>IF(R98&gt;0,S98*100/R98,0)</f>
        <v>0</v>
      </c>
    </row>
    <row r="99" spans="1:21" ht="18.75" hidden="1">
      <c r="A99" s="155"/>
      <c r="B99" s="50"/>
      <c r="C99" s="50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256">
        <f ca="1">IFERROR(__xludf.DUMMYFUNCTION("IMPORTRANGE(""https://docs.google.com/spreadsheets/d/1-uDff_7J0KD5mKrp0Vvzr7lt3OU09vwQwhkpOPPYv2Y/edit?usp=sharing"",""งบพรบ!AW33"")"),72600)</f>
        <v>72600</v>
      </c>
      <c r="M99" s="255">
        <f ca="1">IFERROR(__xludf.DUMMYFUNCTION("IMPORTRANGE(""https://docs.google.com/spreadsheets/d/1-uDff_7J0KD5mKrp0Vvzr7lt3OU09vwQwhkpOPPYv2Y/edit?usp=sharing"",""งบพรบ!BB33"")"),37540)</f>
        <v>37540</v>
      </c>
      <c r="N99" s="255">
        <f ca="1">IFERROR(__xludf.DUMMYFUNCTION("IMPORTRANGE(""https://docs.google.com/spreadsheets/d/1-uDff_7J0KD5mKrp0Vvzr7lt3OU09vwQwhkpOPPYv2Y/edit?usp=sharing"",""งบพรบ!BD33"")"),2440)</f>
        <v>2440</v>
      </c>
      <c r="O99" s="255">
        <f ca="1">IF(L99&gt;0,N99*100/L99,0)</f>
        <v>3.3608815426997247</v>
      </c>
      <c r="P99" s="255">
        <f ca="1">IF(M99&gt;0,N99*100/M99,0)</f>
        <v>6.4997336174746936</v>
      </c>
      <c r="Q99" s="255">
        <f ca="1">IFERROR(__xludf.DUMMYFUNCTION("IMPORTRANGE(""https://docs.google.com/spreadsheets/d/1ItG2mGa2ceCfYo0BwxsXqNm01IGEUdYcSSLTEv9YCik/edit?usp=sharing"",""เบิกจ่ายกองทุน!AD33"")"),116856)</f>
        <v>116856</v>
      </c>
      <c r="R99" s="255">
        <f ca="1">IFERROR(__xludf.DUMMYFUNCTION("IMPORTRANGE(""https://docs.google.com/spreadsheets/d/1ItG2mGa2ceCfYo0BwxsXqNm01IGEUdYcSSLTEv9YCik/edit?usp=sharing"",""เบิกจ่ายกองทุน!AE33"")"),116856)</f>
        <v>116856</v>
      </c>
      <c r="S99" s="255">
        <f ca="1">IFERROR(__xludf.DUMMYFUNCTION("IMPORTRANGE(""https://docs.google.com/spreadsheets/d/1ItG2mGa2ceCfYo0BwxsXqNm01IGEUdYcSSLTEv9YCik/edit?usp=sharing"",""เบิกจ่ายกองทุน!AF33"")"),0)</f>
        <v>0</v>
      </c>
      <c r="T99" s="255">
        <f ca="1">IF(Q99&gt;0,S99*100/Q99,0)</f>
        <v>0</v>
      </c>
      <c r="U99" s="255">
        <f ca="1">IF(R99&gt;0,S99*100/R99,0)</f>
        <v>0</v>
      </c>
    </row>
    <row r="100" spans="1:21" ht="18.75">
      <c r="A100" s="155"/>
      <c r="B100" s="50"/>
      <c r="C100" s="50"/>
      <c r="D100" s="51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256">
        <f ca="1">L101+L102</f>
        <v>0</v>
      </c>
      <c r="M100" s="255">
        <f ca="1">M101+M102</f>
        <v>0</v>
      </c>
      <c r="N100" s="255">
        <f ca="1">N101+N102</f>
        <v>0</v>
      </c>
      <c r="O100" s="255">
        <f ca="1">IF(L100&gt;0,N100*100/L100,0)</f>
        <v>0</v>
      </c>
      <c r="P100" s="255">
        <f ca="1">IF(M100&gt;0,N100*100/M100,0)</f>
        <v>0</v>
      </c>
      <c r="Q100" s="255">
        <f>Q101+Q102</f>
        <v>0</v>
      </c>
      <c r="R100" s="255">
        <f>R101+R102</f>
        <v>0</v>
      </c>
      <c r="S100" s="255">
        <f>S101+S102</f>
        <v>0</v>
      </c>
      <c r="T100" s="255">
        <f>IF(Q100&gt;0,S100*100/Q100,0)</f>
        <v>0</v>
      </c>
      <c r="U100" s="255">
        <f>IF(R100&gt;0,S100*100/R100,0)</f>
        <v>0</v>
      </c>
    </row>
    <row r="101" spans="1:21" ht="18.75" hidden="1">
      <c r="A101" s="155"/>
      <c r="B101" s="50"/>
      <c r="C101" s="50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103">
        <v>0</v>
      </c>
      <c r="M101" s="102">
        <v>0</v>
      </c>
      <c r="N101" s="102">
        <v>0</v>
      </c>
      <c r="O101" s="102">
        <f>IF(L101&gt;0,N101*100/L101,0)</f>
        <v>0</v>
      </c>
      <c r="P101" s="102">
        <f>IF(M101&gt;0,N101*100/M101,0)</f>
        <v>0</v>
      </c>
      <c r="Q101" s="102">
        <v>0</v>
      </c>
      <c r="R101" s="102">
        <v>0</v>
      </c>
      <c r="S101" s="102">
        <v>0</v>
      </c>
      <c r="T101" s="102">
        <f>IF(Q101&gt;0,S101*100/Q101,0)</f>
        <v>0</v>
      </c>
      <c r="U101" s="102">
        <f>IF(R101&gt;0,S101*100/R101,0)</f>
        <v>0</v>
      </c>
    </row>
    <row r="102" spans="1:21" ht="18.75" hidden="1">
      <c r="A102" s="155"/>
      <c r="B102" s="50"/>
      <c r="C102" s="50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256">
        <f ca="1">IFERROR(__xludf.DUMMYFUNCTION("IMPORTRANGE(""https://docs.google.com/spreadsheets/d/1-uDff_7J0KD5mKrp0Vvzr7lt3OU09vwQwhkpOPPYv2Y/edit?usp=sharing"",""งบพรบ!AZ33"")"),0)</f>
        <v>0</v>
      </c>
      <c r="M102" s="255">
        <f ca="1">IFERROR(__xludf.DUMMYFUNCTION("IMPORTRANGE(""https://docs.google.com/spreadsheets/d/1-uDff_7J0KD5mKrp0Vvzr7lt3OU09vwQwhkpOPPYv2Y/edit?usp=sharing"",""งบพรบ!BC33"")"),0)</f>
        <v>0</v>
      </c>
      <c r="N102" s="255">
        <f ca="1">IFERROR(__xludf.DUMMYFUNCTION("IMPORTRANGE(""https://docs.google.com/spreadsheets/d/1-uDff_7J0KD5mKrp0Vvzr7lt3OU09vwQwhkpOPPYv2Y/edit?usp=sharing"",""งบพรบ!BE33"")"),0)</f>
        <v>0</v>
      </c>
      <c r="O102" s="255">
        <f ca="1">IF(L102&gt;0,N102*100/L102,0)</f>
        <v>0</v>
      </c>
      <c r="P102" s="255">
        <f ca="1">IF(M102&gt;0,N102*100/M102,0)</f>
        <v>0</v>
      </c>
      <c r="Q102" s="255">
        <v>0</v>
      </c>
      <c r="R102" s="255">
        <v>0</v>
      </c>
      <c r="S102" s="255">
        <v>0</v>
      </c>
      <c r="T102" s="255">
        <f>IF(Q102&gt;0,S102*100/Q102,0)</f>
        <v>0</v>
      </c>
      <c r="U102" s="255">
        <f>IF(R102&gt;0,S102*100/R102,0)</f>
        <v>0</v>
      </c>
    </row>
    <row r="103" spans="1:21" ht="19.5">
      <c r="A103" s="166"/>
      <c r="B103" s="167"/>
      <c r="C103" s="156" t="s">
        <v>18</v>
      </c>
      <c r="D103" s="566" t="s">
        <v>38</v>
      </c>
      <c r="E103" s="169"/>
      <c r="F103" s="169"/>
      <c r="G103" s="170"/>
      <c r="H103" s="171"/>
      <c r="I103" s="163"/>
      <c r="J103" s="54"/>
      <c r="K103" s="55"/>
      <c r="L103" s="62"/>
      <c r="M103" s="55"/>
      <c r="N103" s="55"/>
      <c r="O103" s="164"/>
      <c r="P103" s="164"/>
      <c r="Q103" s="55"/>
      <c r="R103" s="55"/>
      <c r="S103" s="55"/>
      <c r="T103" s="164"/>
      <c r="U103" s="164"/>
    </row>
    <row r="104" spans="1:21" ht="12.75" hidden="1">
      <c r="A104" s="192"/>
      <c r="B104" s="193"/>
      <c r="C104" s="193"/>
      <c r="D104" s="22"/>
      <c r="E104" s="22"/>
      <c r="F104" s="22"/>
      <c r="G104" s="23"/>
      <c r="H104" s="23"/>
      <c r="I104" s="24"/>
      <c r="J104" s="24"/>
      <c r="K104" s="25"/>
      <c r="L104" s="26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2.75" hidden="1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6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2.75" hidden="1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9.5" hidden="1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62"/>
      <c r="M107" s="55"/>
      <c r="N107" s="55"/>
      <c r="O107" s="164"/>
      <c r="P107" s="164"/>
      <c r="Q107" s="55"/>
      <c r="R107" s="55"/>
      <c r="S107" s="55"/>
      <c r="T107" s="164"/>
      <c r="U107" s="164"/>
    </row>
    <row r="108" spans="1:21" ht="18.75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212">
        <f ca="1">IFERROR(__xludf.DUMMYFUNCTION("IMPORTRANGE(""https://docs.google.com/spreadsheets/d/1eHaY18a8A9IcSdp1K8H6x8fbOy06t2VsZHhMHf-1x7Y/edit?usp=sharing"",""แผน!N33"")"),54)</f>
        <v>54</v>
      </c>
      <c r="J108" s="467">
        <v>0</v>
      </c>
      <c r="K108" s="255">
        <f ca="1">IF(I108&gt;0,J108*100/I108,0)</f>
        <v>0</v>
      </c>
      <c r="L108" s="62"/>
      <c r="M108" s="55"/>
      <c r="N108" s="55"/>
      <c r="O108" s="164"/>
      <c r="P108" s="164"/>
      <c r="Q108" s="55"/>
      <c r="R108" s="55"/>
      <c r="S108" s="55"/>
      <c r="T108" s="164"/>
      <c r="U108" s="164"/>
    </row>
    <row r="109" spans="1:21" ht="18.75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212">
        <f ca="1">IFERROR(__xludf.DUMMYFUNCTION("IMPORTRANGE(""https://docs.google.com/spreadsheets/d/1eHaY18a8A9IcSdp1K8H6x8fbOy06t2VsZHhMHf-1x7Y/edit?usp=sharing"",""แผน!O33"")"),18)</f>
        <v>18</v>
      </c>
      <c r="J109" s="467">
        <v>0</v>
      </c>
      <c r="K109" s="255">
        <f ca="1">IF(I109&gt;0,J109*100/I109,0)</f>
        <v>0</v>
      </c>
      <c r="L109" s="62"/>
      <c r="M109" s="55"/>
      <c r="N109" s="55"/>
      <c r="O109" s="164"/>
      <c r="P109" s="164"/>
      <c r="Q109" s="55"/>
      <c r="R109" s="55"/>
      <c r="S109" s="55"/>
      <c r="T109" s="164"/>
      <c r="U109" s="164"/>
    </row>
    <row r="110" spans="1:21" ht="12.75" hidden="1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6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2.75" hidden="1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6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2.75" hidden="1">
      <c r="A112" s="192"/>
      <c r="B112" s="193"/>
      <c r="C112" s="193"/>
      <c r="D112" s="22"/>
      <c r="E112" s="22"/>
      <c r="F112" s="22"/>
      <c r="G112" s="23"/>
      <c r="H112" s="23"/>
      <c r="I112" s="24"/>
      <c r="J112" s="24"/>
      <c r="K112" s="25"/>
      <c r="L112" s="26"/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8.75">
      <c r="A113" s="771"/>
      <c r="B113" s="489"/>
      <c r="C113" s="489"/>
      <c r="D113" s="345" t="s">
        <v>50</v>
      </c>
      <c r="E113" s="491"/>
      <c r="F113" s="491"/>
      <c r="G113" s="492"/>
      <c r="H113" s="770" t="s">
        <v>46</v>
      </c>
      <c r="I113" s="769">
        <f ca="1">IFERROR(__xludf.DUMMYFUNCTION("IMPORTRANGE(""https://docs.google.com/spreadsheets/d/1eHaY18a8A9IcSdp1K8H6x8fbOy06t2VsZHhMHf-1x7Y/edit?usp=sharing"",""แผน!N33"")"),54)</f>
        <v>54</v>
      </c>
      <c r="J113" s="495">
        <v>0</v>
      </c>
      <c r="K113" s="708">
        <f ca="1">IF(I113&gt;0,J113*100/I113,0)</f>
        <v>0</v>
      </c>
      <c r="L113" s="350"/>
      <c r="M113" s="350"/>
      <c r="N113" s="350"/>
      <c r="O113" s="496"/>
      <c r="P113" s="496"/>
      <c r="Q113" s="350"/>
      <c r="R113" s="350"/>
      <c r="S113" s="350"/>
      <c r="T113" s="496"/>
      <c r="U113" s="496"/>
    </row>
    <row r="114" spans="1:21" ht="18.75">
      <c r="A114" s="166"/>
      <c r="B114" s="167"/>
      <c r="C114" s="167"/>
      <c r="D114" s="174"/>
      <c r="E114" s="174"/>
      <c r="F114" s="174"/>
      <c r="G114" s="171"/>
      <c r="H114" s="179" t="s">
        <v>35</v>
      </c>
      <c r="I114" s="641">
        <f ca="1">IFERROR(__xludf.DUMMYFUNCTION("IMPORTRANGE(""https://docs.google.com/spreadsheets/d/1eHaY18a8A9IcSdp1K8H6x8fbOy06t2VsZHhMHf-1x7Y/edit?usp=sharing"",""แผน!O33"")"),18)</f>
        <v>18</v>
      </c>
      <c r="J114" s="467">
        <v>0</v>
      </c>
      <c r="K114" s="255">
        <f ca="1">IF(I114&gt;0,J114*100/I114,0)</f>
        <v>0</v>
      </c>
      <c r="L114" s="55"/>
      <c r="M114" s="55"/>
      <c r="N114" s="55"/>
      <c r="O114" s="164"/>
      <c r="P114" s="164"/>
      <c r="Q114" s="55"/>
      <c r="R114" s="55"/>
      <c r="S114" s="55"/>
      <c r="T114" s="164"/>
      <c r="U114" s="164"/>
    </row>
    <row r="115" spans="1:21" ht="19.5">
      <c r="A115" s="727" t="s">
        <v>51</v>
      </c>
      <c r="B115" s="724"/>
      <c r="C115" s="726"/>
      <c r="D115" s="725"/>
      <c r="E115" s="725"/>
      <c r="F115" s="725"/>
      <c r="G115" s="725"/>
      <c r="H115" s="724"/>
      <c r="I115" s="723"/>
      <c r="J115" s="723"/>
      <c r="K115" s="722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721">
        <f ca="1">I127</f>
        <v>20</v>
      </c>
      <c r="J116" s="721">
        <f>J127</f>
        <v>20</v>
      </c>
      <c r="K116" s="720">
        <f ca="1">IF(I116&gt;0,J116*100/I116,0)</f>
        <v>100</v>
      </c>
      <c r="L116" s="154"/>
      <c r="M116" s="40"/>
      <c r="N116" s="40"/>
      <c r="O116" s="40"/>
      <c r="P116" s="40"/>
      <c r="Q116" s="40"/>
      <c r="R116" s="40"/>
      <c r="S116" s="40"/>
      <c r="T116" s="40"/>
      <c r="U116" s="40"/>
    </row>
    <row r="117" spans="1:21" ht="19.5">
      <c r="A117" s="155"/>
      <c r="B117" s="188"/>
      <c r="C117" s="191" t="s">
        <v>18</v>
      </c>
      <c r="D117" s="575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541">
        <f ca="1">L118+L119</f>
        <v>0</v>
      </c>
      <c r="M117" s="540">
        <f ca="1">M118+M119</f>
        <v>0</v>
      </c>
      <c r="N117" s="540">
        <f ca="1">N118+N119</f>
        <v>0</v>
      </c>
      <c r="O117" s="540">
        <f ca="1">IF(L117&gt;0,N117*100/L117,0)</f>
        <v>0</v>
      </c>
      <c r="P117" s="540">
        <f ca="1">IF(M117&gt;0,N117*100/M117,0)</f>
        <v>0</v>
      </c>
      <c r="Q117" s="540">
        <f ca="1">Q118+Q119</f>
        <v>209360</v>
      </c>
      <c r="R117" s="540">
        <f ca="1">R118+R119</f>
        <v>209360</v>
      </c>
      <c r="S117" s="540">
        <f ca="1">S118+S119</f>
        <v>38445</v>
      </c>
      <c r="T117" s="540">
        <f ca="1">IF(Q117&gt;0,S117*100/Q117,0)</f>
        <v>18.36310661062285</v>
      </c>
      <c r="U117" s="540">
        <f ca="1">IF(R117&gt;0,S117*100/R117,0)</f>
        <v>18.36310661062285</v>
      </c>
    </row>
    <row r="118" spans="1:21" ht="18.75" hidden="1">
      <c r="A118" s="155"/>
      <c r="B118" s="188"/>
      <c r="C118" s="188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103">
        <f>L121+L124</f>
        <v>0</v>
      </c>
      <c r="M118" s="102">
        <f>M121+M124</f>
        <v>0</v>
      </c>
      <c r="N118" s="102">
        <f>N121+N124</f>
        <v>0</v>
      </c>
      <c r="O118" s="102">
        <f>IF(L118&gt;0,N118*100/L118,0)</f>
        <v>0</v>
      </c>
      <c r="P118" s="102">
        <f>IF(M118&gt;0,N118*100/M118,0)</f>
        <v>0</v>
      </c>
      <c r="Q118" s="102">
        <f>Q121+Q124</f>
        <v>0</v>
      </c>
      <c r="R118" s="102">
        <f>R121+R124</f>
        <v>0</v>
      </c>
      <c r="S118" s="102">
        <f>S121+S124</f>
        <v>0</v>
      </c>
      <c r="T118" s="102">
        <f>IF(Q118&gt;0,S118*100/Q118,0)</f>
        <v>0</v>
      </c>
      <c r="U118" s="102">
        <f>IF(R118&gt;0,S118*100/R118,0)</f>
        <v>0</v>
      </c>
    </row>
    <row r="119" spans="1:21" ht="18.75" hidden="1">
      <c r="A119" s="155"/>
      <c r="B119" s="188"/>
      <c r="C119" s="188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256">
        <f ca="1">L122+L125</f>
        <v>0</v>
      </c>
      <c r="M119" s="255">
        <f ca="1">M122+M125</f>
        <v>0</v>
      </c>
      <c r="N119" s="255">
        <f ca="1">N122+N125</f>
        <v>0</v>
      </c>
      <c r="O119" s="255">
        <f ca="1">IF(L119&gt;0,N119*100/L119,0)</f>
        <v>0</v>
      </c>
      <c r="P119" s="255">
        <f ca="1">IF(M119&gt;0,N119*100/M119,0)</f>
        <v>0</v>
      </c>
      <c r="Q119" s="255">
        <f ca="1">Q122+Q125</f>
        <v>209360</v>
      </c>
      <c r="R119" s="255">
        <f ca="1">R122+R125</f>
        <v>209360</v>
      </c>
      <c r="S119" s="255">
        <f ca="1">S122+S125</f>
        <v>38445</v>
      </c>
      <c r="T119" s="255">
        <f ca="1">IF(Q119&gt;0,S119*100/Q119,0)</f>
        <v>18.36310661062285</v>
      </c>
      <c r="U119" s="255">
        <f ca="1">IF(R119&gt;0,S119*100/R119,0)</f>
        <v>18.36310661062285</v>
      </c>
    </row>
    <row r="120" spans="1:21" ht="18.75">
      <c r="A120" s="155"/>
      <c r="B120" s="188"/>
      <c r="C120" s="202"/>
      <c r="D120" s="602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256">
        <f ca="1">L121+L122</f>
        <v>0</v>
      </c>
      <c r="M120" s="255">
        <f ca="1">M121+M122</f>
        <v>0</v>
      </c>
      <c r="N120" s="255">
        <f ca="1">N121+N122</f>
        <v>0</v>
      </c>
      <c r="O120" s="255">
        <f ca="1">IF(L120&gt;0,N120*100/L120,0)</f>
        <v>0</v>
      </c>
      <c r="P120" s="255">
        <f ca="1">IF(M120&gt;0,N120*100/M120,0)</f>
        <v>0</v>
      </c>
      <c r="Q120" s="255">
        <f ca="1">Q121+Q122</f>
        <v>209360</v>
      </c>
      <c r="R120" s="255">
        <f ca="1">R121+R122</f>
        <v>209360</v>
      </c>
      <c r="S120" s="255">
        <f ca="1">S121+S122</f>
        <v>38445</v>
      </c>
      <c r="T120" s="255">
        <f ca="1">IF(Q120&gt;0,S120*100/Q120,0)</f>
        <v>18.36310661062285</v>
      </c>
      <c r="U120" s="255">
        <f ca="1">IF(R120&gt;0,S120*100/R120,0)</f>
        <v>18.36310661062285</v>
      </c>
    </row>
    <row r="121" spans="1:21" ht="18.75" hidden="1">
      <c r="A121" s="155"/>
      <c r="B121" s="188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103">
        <v>0</v>
      </c>
      <c r="M121" s="102">
        <v>0</v>
      </c>
      <c r="N121" s="102">
        <v>0</v>
      </c>
      <c r="O121" s="102">
        <f>IF(L121&gt;0,N121*100/L121,0)</f>
        <v>0</v>
      </c>
      <c r="P121" s="102">
        <f>IF(M121&gt;0,N121*100/M121,0)</f>
        <v>0</v>
      </c>
      <c r="Q121" s="102">
        <v>0</v>
      </c>
      <c r="R121" s="102">
        <v>0</v>
      </c>
      <c r="S121" s="102">
        <v>0</v>
      </c>
      <c r="T121" s="102">
        <f>IF(Q121&gt;0,S121*100/Q121,0)</f>
        <v>0</v>
      </c>
      <c r="U121" s="102">
        <f>IF(R121&gt;0,S121*100/R121,0)</f>
        <v>0</v>
      </c>
    </row>
    <row r="122" spans="1:21" ht="18.75" hidden="1">
      <c r="A122" s="155"/>
      <c r="B122" s="188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256">
        <f ca="1">IFERROR(__xludf.DUMMYFUNCTION("IMPORTRANGE(""https://docs.google.com/spreadsheets/d/1-uDff_7J0KD5mKrp0Vvzr7lt3OU09vwQwhkpOPPYv2Y/edit?usp=sharing"",""งบพรบ!BG33"")"),0)</f>
        <v>0</v>
      </c>
      <c r="M122" s="255">
        <f ca="1">IFERROR(__xludf.DUMMYFUNCTION("IMPORTRANGE(""https://docs.google.com/spreadsheets/d/1-uDff_7J0KD5mKrp0Vvzr7lt3OU09vwQwhkpOPPYv2Y/edit?usp=sharing"",""งบพรบ!BL33"")"),0)</f>
        <v>0</v>
      </c>
      <c r="N122" s="255">
        <f ca="1">IFERROR(__xludf.DUMMYFUNCTION("IMPORTRANGE(""https://docs.google.com/spreadsheets/d/1-uDff_7J0KD5mKrp0Vvzr7lt3OU09vwQwhkpOPPYv2Y/edit?usp=sharing"",""งบพรบ!BN33"")"),0)</f>
        <v>0</v>
      </c>
      <c r="O122" s="255">
        <f ca="1">IF(L122&gt;0,N122*100/L122,0)</f>
        <v>0</v>
      </c>
      <c r="P122" s="255">
        <f ca="1">IF(M122&gt;0,N122*100/M122,0)</f>
        <v>0</v>
      </c>
      <c r="Q122" s="255">
        <f ca="1">IFERROR(__xludf.DUMMYFUNCTION("IMPORTRANGE(""https://docs.google.com/spreadsheets/d/1ItG2mGa2ceCfYo0BwxsXqNm01IGEUdYcSSLTEv9YCik/edit?usp=sharing"",""เบิกจ่ายกองทุน!R33"")"),209360)</f>
        <v>209360</v>
      </c>
      <c r="R122" s="255">
        <f ca="1">IFERROR(__xludf.DUMMYFUNCTION("IMPORTRANGE(""https://docs.google.com/spreadsheets/d/1ItG2mGa2ceCfYo0BwxsXqNm01IGEUdYcSSLTEv9YCik/edit?usp=sharing"",""เบิกจ่ายกองทุน!S33"")"),209360)</f>
        <v>209360</v>
      </c>
      <c r="S122" s="255">
        <f ca="1">IFERROR(__xludf.DUMMYFUNCTION("IMPORTRANGE(""https://docs.google.com/spreadsheets/d/1ItG2mGa2ceCfYo0BwxsXqNm01IGEUdYcSSLTEv9YCik/edit?usp=sharing"",""เบิกจ่ายกองทุน!T33"")"),38445)</f>
        <v>38445</v>
      </c>
      <c r="T122" s="255">
        <f ca="1">IF(Q122&gt;0,S122*100/Q122,0)</f>
        <v>18.36310661062285</v>
      </c>
      <c r="U122" s="255">
        <f ca="1">IF(R122&gt;0,S122*100/R122,0)</f>
        <v>18.36310661062285</v>
      </c>
    </row>
    <row r="123" spans="1:21" ht="18.75">
      <c r="A123" s="155"/>
      <c r="B123" s="50"/>
      <c r="C123" s="202"/>
      <c r="D123" s="602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256">
        <f ca="1">L124+L125</f>
        <v>0</v>
      </c>
      <c r="M123" s="255">
        <f ca="1">M124+M125</f>
        <v>0</v>
      </c>
      <c r="N123" s="255">
        <f ca="1">N124+N125</f>
        <v>0</v>
      </c>
      <c r="O123" s="255">
        <f ca="1">IF(L123&gt;0,N123*100/L123,0)</f>
        <v>0</v>
      </c>
      <c r="P123" s="255">
        <f ca="1">IF(M123&gt;0,N123*100/M123,0)</f>
        <v>0</v>
      </c>
      <c r="Q123" s="255">
        <f>Q124+Q125</f>
        <v>0</v>
      </c>
      <c r="R123" s="255">
        <f>R124+R125</f>
        <v>0</v>
      </c>
      <c r="S123" s="255">
        <f>S124+S125</f>
        <v>0</v>
      </c>
      <c r="T123" s="255">
        <f>IF(Q123&gt;0,S123*100/Q123,0)</f>
        <v>0</v>
      </c>
      <c r="U123" s="255">
        <f>IF(R123&gt;0,S123*100/R123,0)</f>
        <v>0</v>
      </c>
    </row>
    <row r="124" spans="1:21" ht="18.75" hidden="1">
      <c r="A124" s="155"/>
      <c r="B124" s="50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103">
        <v>0</v>
      </c>
      <c r="M124" s="102">
        <v>0</v>
      </c>
      <c r="N124" s="102">
        <v>0</v>
      </c>
      <c r="O124" s="102">
        <f>IF(L124&gt;0,N124*100/L124,0)</f>
        <v>0</v>
      </c>
      <c r="P124" s="102">
        <f>IF(M124&gt;0,N124*100/M124,0)</f>
        <v>0</v>
      </c>
      <c r="Q124" s="102">
        <v>0</v>
      </c>
      <c r="R124" s="102">
        <v>0</v>
      </c>
      <c r="S124" s="102">
        <v>0</v>
      </c>
      <c r="T124" s="102">
        <f>IF(Q124&gt;0,S124*100/Q124,0)</f>
        <v>0</v>
      </c>
      <c r="U124" s="102">
        <f>IF(R124&gt;0,S124*100/R124,0)</f>
        <v>0</v>
      </c>
    </row>
    <row r="125" spans="1:21" ht="18.75" hidden="1">
      <c r="A125" s="155"/>
      <c r="B125" s="50"/>
      <c r="C125" s="50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256">
        <f ca="1">IFERROR(__xludf.DUMMYFUNCTION("IMPORTRANGE(""https://docs.google.com/spreadsheets/d/1-uDff_7J0KD5mKrp0Vvzr7lt3OU09vwQwhkpOPPYv2Y/edit?usp=sharing"",""งบพรบ!BJ33"")"),0)</f>
        <v>0</v>
      </c>
      <c r="M125" s="255">
        <f ca="1">IFERROR(__xludf.DUMMYFUNCTION("IMPORTRANGE(""https://docs.google.com/spreadsheets/d/1-uDff_7J0KD5mKrp0Vvzr7lt3OU09vwQwhkpOPPYv2Y/edit?usp=sharing"",""งบพรบ!BM33"")"),0)</f>
        <v>0</v>
      </c>
      <c r="N125" s="255">
        <f ca="1">IFERROR(__xludf.DUMMYFUNCTION("IMPORTRANGE(""https://docs.google.com/spreadsheets/d/1-uDff_7J0KD5mKrp0Vvzr7lt3OU09vwQwhkpOPPYv2Y/edit?usp=sharing"",""งบพรบ!BO33"")"),0)</f>
        <v>0</v>
      </c>
      <c r="O125" s="255">
        <f ca="1">IF(L125&gt;0,N125*100/L125,0)</f>
        <v>0</v>
      </c>
      <c r="P125" s="255">
        <f ca="1">IF(M125&gt;0,N125*100/M125,0)</f>
        <v>0</v>
      </c>
      <c r="Q125" s="255">
        <v>0</v>
      </c>
      <c r="R125" s="255">
        <v>0</v>
      </c>
      <c r="S125" s="255">
        <v>0</v>
      </c>
      <c r="T125" s="255">
        <f>IF(Q125&gt;0,S125*100/Q125,0)</f>
        <v>0</v>
      </c>
      <c r="U125" s="255">
        <f>IF(R125&gt;0,S125*100/R125,0)</f>
        <v>0</v>
      </c>
    </row>
    <row r="126" spans="1:21" ht="19.5">
      <c r="A126" s="166"/>
      <c r="B126" s="167"/>
      <c r="C126" s="768" t="s">
        <v>18</v>
      </c>
      <c r="D126" s="566" t="s">
        <v>38</v>
      </c>
      <c r="E126" s="169"/>
      <c r="F126" s="169"/>
      <c r="G126" s="170"/>
      <c r="H126" s="206"/>
      <c r="I126" s="54"/>
      <c r="J126" s="54"/>
      <c r="K126" s="55"/>
      <c r="L126" s="62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212">
        <f ca="1">IFERROR(__xludf.DUMMYFUNCTION("IMPORTRANGE(""https://docs.google.com/spreadsheets/d/1eHaY18a8A9IcSdp1K8H6x8fbOy06t2VsZHhMHf-1x7Y/edit?usp=sharing"",""แผน!FF33"")"),20)</f>
        <v>20</v>
      </c>
      <c r="J127" s="467">
        <v>20</v>
      </c>
      <c r="K127" s="255">
        <f ca="1">IF(I127&gt;0,J127*100/I127,0)</f>
        <v>100</v>
      </c>
      <c r="L127" s="62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212">
        <f ca="1">IFERROR(__xludf.DUMMYFUNCTION("IMPORTRANGE(""https://docs.google.com/spreadsheets/d/1eHaY18a8A9IcSdp1K8H6x8fbOy06t2VsZHhMHf-1x7Y/edit?usp=sharing"",""แผน!FG33"")"),0)</f>
        <v>0</v>
      </c>
      <c r="J128" s="467">
        <v>0</v>
      </c>
      <c r="K128" s="255">
        <f ca="1">IF(I128&gt;0,J128*100/I128,0)</f>
        <v>0</v>
      </c>
      <c r="L128" s="62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212">
        <f ca="1">IFERROR(__xludf.DUMMYFUNCTION("IMPORTRANGE(""https://docs.google.com/spreadsheets/d/1eHaY18a8A9IcSdp1K8H6x8fbOy06t2VsZHhMHf-1x7Y/edit?usp=sharing"",""แผน!FH33"")"),20)</f>
        <v>20</v>
      </c>
      <c r="J129" s="467">
        <v>20</v>
      </c>
      <c r="K129" s="255">
        <f ca="1">IF(I129&gt;0,J129*100/I129,0)</f>
        <v>100</v>
      </c>
      <c r="L129" s="62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212">
        <f ca="1">IFERROR(__xludf.DUMMYFUNCTION("IMPORTRANGE(""https://docs.google.com/spreadsheets/d/1eHaY18a8A9IcSdp1K8H6x8fbOy06t2VsZHhMHf-1x7Y/edit?usp=sharing"",""แผน!FI33"")"),0)</f>
        <v>0</v>
      </c>
      <c r="J130" s="467">
        <v>0</v>
      </c>
      <c r="K130" s="255">
        <f ca="1">IF(I130&gt;0,J130*100/I130,0)</f>
        <v>0</v>
      </c>
      <c r="L130" s="62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8.75" hidden="1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62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8.75" hidden="1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62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2.75" hidden="1">
      <c r="A133" s="192"/>
      <c r="B133" s="193"/>
      <c r="C133" s="193"/>
      <c r="D133" s="22"/>
      <c r="E133" s="22"/>
      <c r="F133" s="22"/>
      <c r="G133" s="23"/>
      <c r="H133" s="209"/>
      <c r="I133" s="24"/>
      <c r="J133" s="24"/>
      <c r="K133" s="25"/>
      <c r="L133" s="26"/>
      <c r="M133" s="25"/>
      <c r="N133" s="25"/>
      <c r="O133" s="25"/>
      <c r="P133" s="25"/>
      <c r="Q133" s="25"/>
      <c r="R133" s="25"/>
      <c r="S133" s="25"/>
      <c r="T133" s="25"/>
      <c r="U133" s="25"/>
    </row>
    <row r="134" spans="1:21" ht="19.5">
      <c r="A134" s="143" t="s">
        <v>58</v>
      </c>
      <c r="B134" s="144"/>
      <c r="C134" s="196"/>
      <c r="D134" s="144"/>
      <c r="E134" s="144"/>
      <c r="F134" s="144"/>
      <c r="G134" s="144"/>
      <c r="H134" s="144"/>
      <c r="I134" s="197"/>
      <c r="J134" s="197"/>
      <c r="K134" s="19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</row>
    <row r="135" spans="1:21" ht="19.5">
      <c r="A135" s="150"/>
      <c r="B135" s="35" t="s">
        <v>59</v>
      </c>
      <c r="C135" s="200"/>
      <c r="D135" s="151"/>
      <c r="E135" s="34"/>
      <c r="F135" s="34"/>
      <c r="G135" s="34"/>
      <c r="H135" s="34"/>
      <c r="I135" s="210"/>
      <c r="J135" s="39"/>
      <c r="K135" s="40"/>
      <c r="L135" s="154"/>
      <c r="M135" s="40"/>
      <c r="N135" s="40"/>
      <c r="O135" s="40"/>
      <c r="P135" s="40"/>
      <c r="Q135" s="40"/>
      <c r="R135" s="40"/>
      <c r="S135" s="40"/>
      <c r="T135" s="40"/>
      <c r="U135" s="40"/>
    </row>
    <row r="136" spans="1:21" ht="19.5">
      <c r="A136" s="150"/>
      <c r="B136" s="34"/>
      <c r="C136" s="211" t="s">
        <v>60</v>
      </c>
      <c r="D136" s="151"/>
      <c r="E136" s="34"/>
      <c r="F136" s="34"/>
      <c r="G136" s="37"/>
      <c r="H136" s="152" t="s">
        <v>61</v>
      </c>
      <c r="I136" s="721">
        <f ca="1">I154</f>
        <v>0</v>
      </c>
      <c r="J136" s="721">
        <f>J154</f>
        <v>0</v>
      </c>
      <c r="K136" s="720">
        <f ca="1">IF(I136&gt;0,J136*100/I136,0)</f>
        <v>0</v>
      </c>
      <c r="L136" s="154"/>
      <c r="M136" s="40"/>
      <c r="N136" s="40"/>
      <c r="O136" s="40"/>
      <c r="P136" s="40"/>
      <c r="Q136" s="40"/>
      <c r="R136" s="40"/>
      <c r="S136" s="40"/>
      <c r="T136" s="40"/>
      <c r="U136" s="40"/>
    </row>
    <row r="137" spans="1:21" ht="19.5">
      <c r="A137" s="150"/>
      <c r="B137" s="34"/>
      <c r="C137" s="211" t="s">
        <v>62</v>
      </c>
      <c r="D137" s="151"/>
      <c r="E137" s="34"/>
      <c r="F137" s="34"/>
      <c r="G137" s="37"/>
      <c r="H137" s="152" t="s">
        <v>35</v>
      </c>
      <c r="I137" s="721">
        <f ca="1">I152</f>
        <v>10</v>
      </c>
      <c r="J137" s="721">
        <f>J152</f>
        <v>10</v>
      </c>
      <c r="K137" s="720">
        <f ca="1">IF(I137&gt;0,J137*100/I137,0)</f>
        <v>100</v>
      </c>
      <c r="L137" s="154"/>
      <c r="M137" s="40"/>
      <c r="N137" s="40"/>
      <c r="O137" s="40"/>
      <c r="P137" s="40"/>
      <c r="Q137" s="40"/>
      <c r="R137" s="40"/>
      <c r="S137" s="40"/>
      <c r="T137" s="40"/>
      <c r="U137" s="40"/>
    </row>
    <row r="138" spans="1:21" ht="19.5">
      <c r="A138" s="150"/>
      <c r="B138" s="34"/>
      <c r="C138" s="200"/>
      <c r="D138" s="151"/>
      <c r="E138" s="34"/>
      <c r="F138" s="34"/>
      <c r="G138" s="37"/>
      <c r="H138" s="152" t="s">
        <v>54</v>
      </c>
      <c r="I138" s="721">
        <f ca="1">I153</f>
        <v>1</v>
      </c>
      <c r="J138" s="721">
        <f>J153</f>
        <v>1</v>
      </c>
      <c r="K138" s="720">
        <f ca="1">IF(I138&gt;0,J138*100/I138,0)</f>
        <v>100</v>
      </c>
      <c r="L138" s="154"/>
      <c r="M138" s="40"/>
      <c r="N138" s="40"/>
      <c r="O138" s="40"/>
      <c r="P138" s="40"/>
      <c r="Q138" s="40"/>
      <c r="R138" s="40"/>
      <c r="S138" s="40"/>
      <c r="T138" s="40"/>
      <c r="U138" s="40"/>
    </row>
    <row r="139" spans="1:21" ht="19.5">
      <c r="A139" s="155"/>
      <c r="B139" s="50"/>
      <c r="C139" s="156" t="s">
        <v>18</v>
      </c>
      <c r="D139" s="575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541">
        <f ca="1">L140+L141</f>
        <v>23300</v>
      </c>
      <c r="M139" s="540">
        <f ca="1">M140+M141</f>
        <v>18300</v>
      </c>
      <c r="N139" s="540">
        <f ca="1">N140+N141</f>
        <v>16180</v>
      </c>
      <c r="O139" s="540">
        <f ca="1">IF(L139&gt;0,N139*100/L139,0)</f>
        <v>69.442060085836914</v>
      </c>
      <c r="P139" s="540">
        <f ca="1">IF(M139&gt;0,N139*100/M139,0)</f>
        <v>88.415300546448094</v>
      </c>
      <c r="Q139" s="540">
        <f ca="1">Q140+Q141</f>
        <v>0</v>
      </c>
      <c r="R139" s="540">
        <f ca="1">R140+R141</f>
        <v>0</v>
      </c>
      <c r="S139" s="540">
        <f ca="1">S140+S141</f>
        <v>0</v>
      </c>
      <c r="T139" s="540">
        <f ca="1">IF(Q139&gt;0,S139*100/Q139,0)</f>
        <v>0</v>
      </c>
      <c r="U139" s="540">
        <f ca="1">IF(R139&gt;0,S139*100/R139,0)</f>
        <v>0</v>
      </c>
    </row>
    <row r="140" spans="1:21" ht="18.75" hidden="1">
      <c r="A140" s="155"/>
      <c r="B140" s="50"/>
      <c r="C140" s="50"/>
      <c r="D140" s="50"/>
      <c r="E140" s="186" t="s">
        <v>20</v>
      </c>
      <c r="F140" s="50"/>
      <c r="G140" s="52"/>
      <c r="H140" s="187" t="s">
        <v>14</v>
      </c>
      <c r="I140" s="54"/>
      <c r="J140" s="54"/>
      <c r="K140" s="55"/>
      <c r="L140" s="103">
        <f>L143+L146</f>
        <v>0</v>
      </c>
      <c r="M140" s="102">
        <f>M143+M146</f>
        <v>0</v>
      </c>
      <c r="N140" s="102">
        <f>N143+N146</f>
        <v>0</v>
      </c>
      <c r="O140" s="102">
        <f>IF(L140&gt;0,N140*100/L140,0)</f>
        <v>0</v>
      </c>
      <c r="P140" s="102">
        <f>IF(M140&gt;0,N140*100/M140,0)</f>
        <v>0</v>
      </c>
      <c r="Q140" s="102">
        <f>Q143+Q146</f>
        <v>0</v>
      </c>
      <c r="R140" s="102">
        <f>R143+R146</f>
        <v>0</v>
      </c>
      <c r="S140" s="102">
        <f>S143+S146</f>
        <v>0</v>
      </c>
      <c r="T140" s="102">
        <f>IF(Q140&gt;0,S140*100/Q140,0)</f>
        <v>0</v>
      </c>
      <c r="U140" s="102">
        <f>IF(R140&gt;0,S140*100/R140,0)</f>
        <v>0</v>
      </c>
    </row>
    <row r="141" spans="1:21" ht="18.75" hidden="1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256">
        <f ca="1">L144+L147</f>
        <v>23300</v>
      </c>
      <c r="M141" s="255">
        <f ca="1">M144+M147</f>
        <v>18300</v>
      </c>
      <c r="N141" s="255">
        <f ca="1">N144+N147</f>
        <v>16180</v>
      </c>
      <c r="O141" s="255">
        <f ca="1">IF(L141&gt;0,N141*100/L141,0)</f>
        <v>69.442060085836914</v>
      </c>
      <c r="P141" s="255">
        <f ca="1">IF(M141&gt;0,N141*100/M141,0)</f>
        <v>88.415300546448094</v>
      </c>
      <c r="Q141" s="255">
        <f ca="1">Q144+Q147</f>
        <v>0</v>
      </c>
      <c r="R141" s="255">
        <f ca="1">R144+R147</f>
        <v>0</v>
      </c>
      <c r="S141" s="255">
        <f ca="1">S144+S147</f>
        <v>0</v>
      </c>
      <c r="T141" s="255">
        <f ca="1">IF(Q141&gt;0,S141*100/Q141,0)</f>
        <v>0</v>
      </c>
      <c r="U141" s="255">
        <f ca="1">IF(R141&gt;0,S141*100/R141,0)</f>
        <v>0</v>
      </c>
    </row>
    <row r="142" spans="1:21" ht="18.75">
      <c r="A142" s="155"/>
      <c r="B142" s="50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256">
        <f ca="1">L143+L144</f>
        <v>23300</v>
      </c>
      <c r="M142" s="255">
        <f ca="1">M143+M144</f>
        <v>18300</v>
      </c>
      <c r="N142" s="255">
        <f ca="1">N143+N144</f>
        <v>16180</v>
      </c>
      <c r="O142" s="255">
        <f ca="1">IF(L142&gt;0,N142*100/L142,0)</f>
        <v>69.442060085836914</v>
      </c>
      <c r="P142" s="255">
        <f ca="1">IF(M142&gt;0,N142*100/M142,0)</f>
        <v>88.415300546448094</v>
      </c>
      <c r="Q142" s="255">
        <f ca="1">Q143+Q144</f>
        <v>0</v>
      </c>
      <c r="R142" s="255">
        <f ca="1">R143+R144</f>
        <v>0</v>
      </c>
      <c r="S142" s="255">
        <f ca="1">S143+S144</f>
        <v>0</v>
      </c>
      <c r="T142" s="255">
        <f ca="1">IF(Q142&gt;0,S142*100/Q142,0)</f>
        <v>0</v>
      </c>
      <c r="U142" s="255">
        <f ca="1">IF(R142&gt;0,S142*100/R142,0)</f>
        <v>0</v>
      </c>
    </row>
    <row r="143" spans="1:21" ht="18.75" hidden="1">
      <c r="A143" s="155"/>
      <c r="B143" s="50"/>
      <c r="C143" s="50"/>
      <c r="D143" s="50"/>
      <c r="E143" s="186" t="s">
        <v>36</v>
      </c>
      <c r="F143" s="50"/>
      <c r="G143" s="52"/>
      <c r="H143" s="189" t="s">
        <v>14</v>
      </c>
      <c r="I143" s="163"/>
      <c r="J143" s="163"/>
      <c r="K143" s="164"/>
      <c r="L143" s="103">
        <v>0</v>
      </c>
      <c r="M143" s="102">
        <v>0</v>
      </c>
      <c r="N143" s="102">
        <v>0</v>
      </c>
      <c r="O143" s="102">
        <f>IF(L143&gt;0,N143*100/L143,0)</f>
        <v>0</v>
      </c>
      <c r="P143" s="102">
        <f>IF(M143&gt;0,N143*100/M143,0)</f>
        <v>0</v>
      </c>
      <c r="Q143" s="102">
        <v>0</v>
      </c>
      <c r="R143" s="102">
        <v>0</v>
      </c>
      <c r="S143" s="102">
        <v>0</v>
      </c>
      <c r="T143" s="102">
        <f>IF(Q143&gt;0,S143*100/Q143,0)</f>
        <v>0</v>
      </c>
      <c r="U143" s="102">
        <f>IF(R143&gt;0,S143*100/R143,0)</f>
        <v>0</v>
      </c>
    </row>
    <row r="144" spans="1:21" ht="18.75" hidden="1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256">
        <f ca="1">IFERROR(__xludf.DUMMYFUNCTION("IMPORTRANGE(""https://docs.google.com/spreadsheets/d/1-uDff_7J0KD5mKrp0Vvzr7lt3OU09vwQwhkpOPPYv2Y/edit?usp=sharing"",""งบพรบ!BQ33"")"),23300)</f>
        <v>23300</v>
      </c>
      <c r="M144" s="255">
        <f ca="1">IFERROR(__xludf.DUMMYFUNCTION("IMPORTRANGE(""https://docs.google.com/spreadsheets/d/1-uDff_7J0KD5mKrp0Vvzr7lt3OU09vwQwhkpOPPYv2Y/edit?usp=sharing"",""งบพรบ!BV33"")"),18300)</f>
        <v>18300</v>
      </c>
      <c r="N144" s="255">
        <f ca="1">IFERROR(__xludf.DUMMYFUNCTION("IMPORTRANGE(""https://docs.google.com/spreadsheets/d/1-uDff_7J0KD5mKrp0Vvzr7lt3OU09vwQwhkpOPPYv2Y/edit?usp=sharing"",""งบพรบ!BX33"")"),16180)</f>
        <v>16180</v>
      </c>
      <c r="O144" s="255">
        <f ca="1">IF(L144&gt;0,N144*100/L144,0)</f>
        <v>69.442060085836914</v>
      </c>
      <c r="P144" s="255">
        <f ca="1">IF(M144&gt;0,N144*100/M144,0)</f>
        <v>88.415300546448094</v>
      </c>
      <c r="Q144" s="255">
        <f ca="1">IFERROR(__xludf.DUMMYFUNCTION("IMPORTRANGE(""https://docs.google.com/spreadsheets/d/1ItG2mGa2ceCfYo0BwxsXqNm01IGEUdYcSSLTEv9YCik/edit?usp=sharing"",""เบิกจ่ายกองทุน!BB33"")"),0)</f>
        <v>0</v>
      </c>
      <c r="R144" s="255">
        <f ca="1">IFERROR(__xludf.DUMMYFUNCTION("IMPORTRANGE(""https://docs.google.com/spreadsheets/d/1ItG2mGa2ceCfYo0BwxsXqNm01IGEUdYcSSLTEv9YCik/edit?usp=sharing"",""เบิกจ่ายกองทุน!BC33"")"),0)</f>
        <v>0</v>
      </c>
      <c r="S144" s="255">
        <f ca="1">IFERROR(__xludf.DUMMYFUNCTION("IMPORTRANGE(""https://docs.google.com/spreadsheets/d/1ItG2mGa2ceCfYo0BwxsXqNm01IGEUdYcSSLTEv9YCik/edit?usp=sharing"",""เบิกจ่ายกองทุน!BD33"")"),0)</f>
        <v>0</v>
      </c>
      <c r="T144" s="255">
        <f ca="1">IF(Q144&gt;0,S144*100/Q144,0)</f>
        <v>0</v>
      </c>
      <c r="U144" s="255">
        <f ca="1">IF(R144&gt;0,S144*100/R144,0)</f>
        <v>0</v>
      </c>
    </row>
    <row r="145" spans="1:21" ht="18.75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256">
        <f ca="1">L146+L147</f>
        <v>0</v>
      </c>
      <c r="M145" s="255">
        <f ca="1">M146+M147</f>
        <v>0</v>
      </c>
      <c r="N145" s="255">
        <f ca="1">N146+N147</f>
        <v>0</v>
      </c>
      <c r="O145" s="255">
        <f ca="1">IF(L145&gt;0,N145*100/L145,0)</f>
        <v>0</v>
      </c>
      <c r="P145" s="255">
        <f ca="1">IF(M145&gt;0,N145*100/M145,0)</f>
        <v>0</v>
      </c>
      <c r="Q145" s="255">
        <f>Q146+Q147</f>
        <v>0</v>
      </c>
      <c r="R145" s="255">
        <f>R146+R147</f>
        <v>0</v>
      </c>
      <c r="S145" s="255">
        <f>S146+S147</f>
        <v>0</v>
      </c>
      <c r="T145" s="255">
        <f>IF(Q145&gt;0,S145*100/Q145,0)</f>
        <v>0</v>
      </c>
      <c r="U145" s="255">
        <f>IF(R145&gt;0,S145*100/R145,0)</f>
        <v>0</v>
      </c>
    </row>
    <row r="146" spans="1:21" ht="18.75" hidden="1">
      <c r="A146" s="155"/>
      <c r="B146" s="50"/>
      <c r="C146" s="50"/>
      <c r="D146" s="50"/>
      <c r="E146" s="186" t="s">
        <v>20</v>
      </c>
      <c r="F146" s="50"/>
      <c r="G146" s="52"/>
      <c r="H146" s="189" t="s">
        <v>14</v>
      </c>
      <c r="I146" s="163"/>
      <c r="J146" s="163"/>
      <c r="K146" s="164"/>
      <c r="L146" s="103">
        <v>0</v>
      </c>
      <c r="M146" s="102">
        <v>0</v>
      </c>
      <c r="N146" s="102">
        <v>0</v>
      </c>
      <c r="O146" s="102">
        <f>IF(L146&gt;0,N146*100/L146,0)</f>
        <v>0</v>
      </c>
      <c r="P146" s="102">
        <f>IF(M146&gt;0,N146*100/M146,0)</f>
        <v>0</v>
      </c>
      <c r="Q146" s="102">
        <v>0</v>
      </c>
      <c r="R146" s="102">
        <v>0</v>
      </c>
      <c r="S146" s="102">
        <v>0</v>
      </c>
      <c r="T146" s="102">
        <f>IF(Q146&gt;0,S146*100/Q146,0)</f>
        <v>0</v>
      </c>
      <c r="U146" s="102">
        <f>IF(R146&gt;0,S146*100/R146,0)</f>
        <v>0</v>
      </c>
    </row>
    <row r="147" spans="1:21" ht="18.75" hidden="1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256">
        <f ca="1">IFERROR(__xludf.DUMMYFUNCTION("IMPORTRANGE(""https://docs.google.com/spreadsheets/d/1-uDff_7J0KD5mKrp0Vvzr7lt3OU09vwQwhkpOPPYv2Y/edit?usp=sharing"",""งบพรบ!BT33"")"),0)</f>
        <v>0</v>
      </c>
      <c r="M147" s="255">
        <f ca="1">IFERROR(__xludf.DUMMYFUNCTION("IMPORTRANGE(""https://docs.google.com/spreadsheets/d/1-uDff_7J0KD5mKrp0Vvzr7lt3OU09vwQwhkpOPPYv2Y/edit?usp=sharing"",""งบพรบ!BW33"")"),0)</f>
        <v>0</v>
      </c>
      <c r="N147" s="255">
        <f ca="1">IFERROR(__xludf.DUMMYFUNCTION("IMPORTRANGE(""https://docs.google.com/spreadsheets/d/1-uDff_7J0KD5mKrp0Vvzr7lt3OU09vwQwhkpOPPYv2Y/edit?usp=sharing"",""งบพรบ!BY33"")"),0)</f>
        <v>0</v>
      </c>
      <c r="O147" s="255">
        <f ca="1">IF(L147&gt;0,N147*100/L147,0)</f>
        <v>0</v>
      </c>
      <c r="P147" s="255">
        <f ca="1">IF(M147&gt;0,N147*100/M147,0)</f>
        <v>0</v>
      </c>
      <c r="Q147" s="255">
        <v>0</v>
      </c>
      <c r="R147" s="255">
        <v>0</v>
      </c>
      <c r="S147" s="255">
        <v>0</v>
      </c>
      <c r="T147" s="255">
        <f>IF(Q147&gt;0,S147*100/Q147,0)</f>
        <v>0</v>
      </c>
      <c r="U147" s="255">
        <f>IF(R147&gt;0,S147*100/R147,0)</f>
        <v>0</v>
      </c>
    </row>
    <row r="148" spans="1:21" ht="19.5">
      <c r="A148" s="166"/>
      <c r="B148" s="167"/>
      <c r="C148" s="156" t="s">
        <v>18</v>
      </c>
      <c r="D148" s="566" t="s">
        <v>38</v>
      </c>
      <c r="E148" s="169"/>
      <c r="F148" s="169"/>
      <c r="G148" s="170"/>
      <c r="H148" s="206"/>
      <c r="I148" s="54"/>
      <c r="J148" s="54"/>
      <c r="K148" s="55"/>
      <c r="L148" s="62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8.75">
      <c r="A149" s="155"/>
      <c r="B149" s="50"/>
      <c r="C149" s="50"/>
      <c r="D149" s="58" t="s">
        <v>63</v>
      </c>
      <c r="E149" s="50"/>
      <c r="F149" s="50"/>
      <c r="G149" s="52"/>
      <c r="H149" s="206"/>
      <c r="I149" s="54"/>
      <c r="J149" s="467">
        <v>0</v>
      </c>
      <c r="K149" s="55"/>
      <c r="L149" s="62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9.5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212">
        <f ca="1">IFERROR(__xludf.DUMMYFUNCTION("IMPORTRANGE(""https://docs.google.com/spreadsheets/d/1eHaY18a8A9IcSdp1K8H6x8fbOy06t2VsZHhMHf-1x7Y/edit?usp=sharing"",""แผน!U33"")"),0)</f>
        <v>0</v>
      </c>
      <c r="J150" s="467">
        <v>0</v>
      </c>
      <c r="K150" s="255">
        <f ca="1">IF(I150&gt;0,J150*100/I150,0)</f>
        <v>0</v>
      </c>
      <c r="L150" s="62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8.75">
      <c r="A151" s="155"/>
      <c r="B151" s="50"/>
      <c r="C151" s="50"/>
      <c r="D151" s="174"/>
      <c r="E151" s="50"/>
      <c r="F151" s="50"/>
      <c r="G151" s="52"/>
      <c r="H151" s="165" t="s">
        <v>54</v>
      </c>
      <c r="I151" s="212">
        <f ca="1">IFERROR(__xludf.DUMMYFUNCTION("IMPORTRANGE(""https://docs.google.com/spreadsheets/d/1eHaY18a8A9IcSdp1K8H6x8fbOy06t2VsZHhMHf-1x7Y/edit?usp=sharing"",""แผน!V33"")"),0)</f>
        <v>0</v>
      </c>
      <c r="J151" s="467">
        <v>0</v>
      </c>
      <c r="K151" s="255">
        <f ca="1">IF(I151&gt;0,J151*100/I151,0)</f>
        <v>0</v>
      </c>
      <c r="L151" s="62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9.5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212">
        <f ca="1">IFERROR(__xludf.DUMMYFUNCTION("IMPORTRANGE(""https://docs.google.com/spreadsheets/d/1eHaY18a8A9IcSdp1K8H6x8fbOy06t2VsZHhMHf-1x7Y/edit?usp=sharing"",""แผน!W33"")"),10)</f>
        <v>10</v>
      </c>
      <c r="J152" s="467">
        <v>10</v>
      </c>
      <c r="K152" s="255">
        <f ca="1">IF(I152&gt;0,J152*100/I152,0)</f>
        <v>100</v>
      </c>
      <c r="L152" s="62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8.75">
      <c r="A153" s="155"/>
      <c r="B153" s="50"/>
      <c r="C153" s="50"/>
      <c r="D153" s="50"/>
      <c r="E153" s="50"/>
      <c r="F153" s="50"/>
      <c r="G153" s="52"/>
      <c r="H153" s="165" t="s">
        <v>54</v>
      </c>
      <c r="I153" s="212">
        <f ca="1">IFERROR(__xludf.DUMMYFUNCTION("IMPORTRANGE(""https://docs.google.com/spreadsheets/d/1eHaY18a8A9IcSdp1K8H6x8fbOy06t2VsZHhMHf-1x7Y/edit?usp=sharing"",""แผน!X33"")"),1)</f>
        <v>1</v>
      </c>
      <c r="J153" s="467">
        <v>1</v>
      </c>
      <c r="K153" s="255">
        <f ca="1">IF(I153&gt;0,J153*100/I153,0)</f>
        <v>100</v>
      </c>
      <c r="L153" s="62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8.75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212">
        <f ca="1">IFERROR(__xludf.DUMMYFUNCTION("IMPORTRANGE(""https://docs.google.com/spreadsheets/d/1eHaY18a8A9IcSdp1K8H6x8fbOy06t2VsZHhMHf-1x7Y/edit?usp=sharing"",""แผน!Y33"")"),0)</f>
        <v>0</v>
      </c>
      <c r="J154" s="467">
        <v>0</v>
      </c>
      <c r="K154" s="255">
        <f ca="1">IF(I154&gt;0,J154*100/I154,0)</f>
        <v>0</v>
      </c>
      <c r="L154" s="62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9.5" hidden="1">
      <c r="A155" s="143" t="s">
        <v>67</v>
      </c>
      <c r="B155" s="144"/>
      <c r="C155" s="196"/>
      <c r="D155" s="144"/>
      <c r="E155" s="144"/>
      <c r="F155" s="144"/>
      <c r="G155" s="144"/>
      <c r="H155" s="144"/>
      <c r="I155" s="197"/>
      <c r="J155" s="197"/>
      <c r="K155" s="19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</row>
    <row r="156" spans="1:21" ht="19.5" hidden="1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721">
        <f ca="1">I169</f>
        <v>0</v>
      </c>
      <c r="J156" s="721">
        <f>J169</f>
        <v>0</v>
      </c>
      <c r="K156" s="720">
        <f ca="1">IF(I156&gt;0,J156*100/I156,0)</f>
        <v>0</v>
      </c>
      <c r="L156" s="154"/>
      <c r="M156" s="40"/>
      <c r="N156" s="40"/>
      <c r="O156" s="40"/>
      <c r="P156" s="40"/>
      <c r="Q156" s="40"/>
      <c r="R156" s="40"/>
      <c r="S156" s="40"/>
      <c r="T156" s="40"/>
      <c r="U156" s="40"/>
    </row>
    <row r="157" spans="1:21" ht="19.5" hidden="1">
      <c r="A157" s="155"/>
      <c r="B157" s="50"/>
      <c r="C157" s="156" t="s">
        <v>18</v>
      </c>
      <c r="D157" s="575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541">
        <f ca="1">L158+L159</f>
        <v>0</v>
      </c>
      <c r="M157" s="540">
        <f ca="1">M158+M159</f>
        <v>0</v>
      </c>
      <c r="N157" s="540">
        <f ca="1">N158+N159</f>
        <v>0</v>
      </c>
      <c r="O157" s="540">
        <f ca="1">IF(L157&gt;0,N157*100/L157,0)</f>
        <v>0</v>
      </c>
      <c r="P157" s="540">
        <f ca="1">IF(M157&gt;0,N157*100/M157,0)</f>
        <v>0</v>
      </c>
      <c r="Q157" s="540">
        <f ca="1">Q158+Q159</f>
        <v>0</v>
      </c>
      <c r="R157" s="540">
        <f ca="1">R158+R159</f>
        <v>0</v>
      </c>
      <c r="S157" s="540">
        <f ca="1">S158+S159</f>
        <v>0</v>
      </c>
      <c r="T157" s="540">
        <f ca="1">IF(Q157&gt;0,S157*100/Q157,0)</f>
        <v>0</v>
      </c>
      <c r="U157" s="540">
        <f ca="1">IF(R157&gt;0,S157*100/R157,0)</f>
        <v>0</v>
      </c>
    </row>
    <row r="158" spans="1:21" ht="18.75" hidden="1">
      <c r="A158" s="155"/>
      <c r="B158" s="50"/>
      <c r="C158" s="50"/>
      <c r="D158" s="50"/>
      <c r="E158" s="186" t="s">
        <v>20</v>
      </c>
      <c r="F158" s="50"/>
      <c r="G158" s="52"/>
      <c r="H158" s="187" t="s">
        <v>14</v>
      </c>
      <c r="I158" s="54"/>
      <c r="J158" s="54"/>
      <c r="K158" s="55"/>
      <c r="L158" s="103">
        <f>L161+L164</f>
        <v>0</v>
      </c>
      <c r="M158" s="102">
        <f>M161+M164</f>
        <v>0</v>
      </c>
      <c r="N158" s="102">
        <f>N161+N164</f>
        <v>0</v>
      </c>
      <c r="O158" s="102">
        <f>IF(L158&gt;0,N158*100/L158,0)</f>
        <v>0</v>
      </c>
      <c r="P158" s="102">
        <f>IF(M158&gt;0,N158*100/M158,0)</f>
        <v>0</v>
      </c>
      <c r="Q158" s="102">
        <f>Q161+Q164</f>
        <v>0</v>
      </c>
      <c r="R158" s="102">
        <f>R161+R164</f>
        <v>0</v>
      </c>
      <c r="S158" s="102">
        <f>S161+S164</f>
        <v>0</v>
      </c>
      <c r="T158" s="102">
        <f>IF(Q158&gt;0,S158*100/Q158,0)</f>
        <v>0</v>
      </c>
      <c r="U158" s="102">
        <f>IF(R158&gt;0,S158*100/R158,0)</f>
        <v>0</v>
      </c>
    </row>
    <row r="159" spans="1:21" ht="18.75" hidden="1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256">
        <f ca="1">L162+L165</f>
        <v>0</v>
      </c>
      <c r="M159" s="255">
        <f ca="1">M162+M165</f>
        <v>0</v>
      </c>
      <c r="N159" s="255">
        <f ca="1">N162+N165</f>
        <v>0</v>
      </c>
      <c r="O159" s="255">
        <f ca="1">IF(L159&gt;0,N159*100/L159,0)</f>
        <v>0</v>
      </c>
      <c r="P159" s="255">
        <f ca="1">IF(M159&gt;0,N159*100/M159,0)</f>
        <v>0</v>
      </c>
      <c r="Q159" s="255">
        <f ca="1">Q162+Q165</f>
        <v>0</v>
      </c>
      <c r="R159" s="255">
        <f ca="1">R162+R165</f>
        <v>0</v>
      </c>
      <c r="S159" s="255">
        <f ca="1">S162+S165</f>
        <v>0</v>
      </c>
      <c r="T159" s="255">
        <f ca="1">IF(Q159&gt;0,S159*100/Q159,0)</f>
        <v>0</v>
      </c>
      <c r="U159" s="255">
        <f ca="1">IF(R159&gt;0,S159*100/R159,0)</f>
        <v>0</v>
      </c>
    </row>
    <row r="160" spans="1:21" ht="18.75" hidden="1">
      <c r="A160" s="155"/>
      <c r="B160" s="50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256">
        <f ca="1">L161+L162</f>
        <v>0</v>
      </c>
      <c r="M160" s="255">
        <f ca="1">M161+M162</f>
        <v>0</v>
      </c>
      <c r="N160" s="255">
        <f ca="1">N161+N162</f>
        <v>0</v>
      </c>
      <c r="O160" s="255">
        <f ca="1">IF(L160&gt;0,N160*100/L160,0)</f>
        <v>0</v>
      </c>
      <c r="P160" s="255">
        <f ca="1">IF(M160&gt;0,N160*100/M160,0)</f>
        <v>0</v>
      </c>
      <c r="Q160" s="255">
        <f ca="1">Q161+Q162</f>
        <v>0</v>
      </c>
      <c r="R160" s="255">
        <f ca="1">R161+R162</f>
        <v>0</v>
      </c>
      <c r="S160" s="255">
        <f ca="1">S161+S162</f>
        <v>0</v>
      </c>
      <c r="T160" s="255">
        <f ca="1">IF(Q160&gt;0,S160*100/Q160,0)</f>
        <v>0</v>
      </c>
      <c r="U160" s="255">
        <f ca="1">IF(R160&gt;0,S160*100/R160,0)</f>
        <v>0</v>
      </c>
    </row>
    <row r="161" spans="1:21" ht="18.75" hidden="1">
      <c r="A161" s="155"/>
      <c r="B161" s="50"/>
      <c r="C161" s="50"/>
      <c r="D161" s="50"/>
      <c r="E161" s="186" t="s">
        <v>36</v>
      </c>
      <c r="F161" s="50"/>
      <c r="G161" s="52"/>
      <c r="H161" s="189" t="s">
        <v>14</v>
      </c>
      <c r="I161" s="163"/>
      <c r="J161" s="163"/>
      <c r="K161" s="164"/>
      <c r="L161" s="103">
        <v>0</v>
      </c>
      <c r="M161" s="102">
        <v>0</v>
      </c>
      <c r="N161" s="102">
        <v>0</v>
      </c>
      <c r="O161" s="102">
        <f>IF(L161&gt;0,N161*100/L161,0)</f>
        <v>0</v>
      </c>
      <c r="P161" s="102">
        <f>IF(M161&gt;0,N161*100/M161,0)</f>
        <v>0</v>
      </c>
      <c r="Q161" s="102">
        <v>0</v>
      </c>
      <c r="R161" s="102">
        <v>0</v>
      </c>
      <c r="S161" s="102">
        <v>0</v>
      </c>
      <c r="T161" s="102">
        <f>IF(Q161&gt;0,S161*100/Q161,0)</f>
        <v>0</v>
      </c>
      <c r="U161" s="102">
        <f>IF(R161&gt;0,S161*100/R161,0)</f>
        <v>0</v>
      </c>
    </row>
    <row r="162" spans="1:21" ht="18.75" hidden="1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256">
        <f ca="1">IFERROR(__xludf.DUMMYFUNCTION("IMPORTRANGE(""https://docs.google.com/spreadsheets/d/1-uDff_7J0KD5mKrp0Vvzr7lt3OU09vwQwhkpOPPYv2Y/edit?usp=sharing"",""งบพรบ!CA33"")"),0)</f>
        <v>0</v>
      </c>
      <c r="M162" s="255">
        <f ca="1">IFERROR(__xludf.DUMMYFUNCTION("IMPORTRANGE(""https://docs.google.com/spreadsheets/d/1-uDff_7J0KD5mKrp0Vvzr7lt3OU09vwQwhkpOPPYv2Y/edit?usp=sharing"",""งบพรบ!CF33"")"),0)</f>
        <v>0</v>
      </c>
      <c r="N162" s="255">
        <f ca="1">IFERROR(__xludf.DUMMYFUNCTION("IMPORTRANGE(""https://docs.google.com/spreadsheets/d/1-uDff_7J0KD5mKrp0Vvzr7lt3OU09vwQwhkpOPPYv2Y/edit?usp=sharing"",""งบพรบ!CH33"")"),0)</f>
        <v>0</v>
      </c>
      <c r="O162" s="255">
        <f ca="1">IF(L162&gt;0,N162*100/L162,0)</f>
        <v>0</v>
      </c>
      <c r="P162" s="255">
        <f ca="1">IF(M162&gt;0,N162*100/M162,0)</f>
        <v>0</v>
      </c>
      <c r="Q162" s="255">
        <f ca="1">IFERROR(__xludf.DUMMYFUNCTION("IMPORTRANGE(""https://docs.google.com/spreadsheets/d/1ItG2mGa2ceCfYo0BwxsXqNm01IGEUdYcSSLTEv9YCik/edit?usp=sharing"",""เบิกจ่ายกองทุน!AG33"")"),0)</f>
        <v>0</v>
      </c>
      <c r="R162" s="255">
        <f ca="1">IFERROR(__xludf.DUMMYFUNCTION("IMPORTRANGE(""https://docs.google.com/spreadsheets/d/1ItG2mGa2ceCfYo0BwxsXqNm01IGEUdYcSSLTEv9YCik/edit?usp=sharing"",""เบิกจ่ายกองทุน!AH33"")"),0)</f>
        <v>0</v>
      </c>
      <c r="S162" s="255">
        <f ca="1">IFERROR(__xludf.DUMMYFUNCTION("IMPORTRANGE(""https://docs.google.com/spreadsheets/d/1ItG2mGa2ceCfYo0BwxsXqNm01IGEUdYcSSLTEv9YCik/edit?usp=sharing"",""เบิกจ่ายกองทุน!AI33"")"),0)</f>
        <v>0</v>
      </c>
      <c r="T162" s="255">
        <f ca="1">IF(Q162&gt;0,S162*100/Q162,0)</f>
        <v>0</v>
      </c>
      <c r="U162" s="255">
        <f ca="1">IF(R162&gt;0,S162*100/R162,0)</f>
        <v>0</v>
      </c>
    </row>
    <row r="163" spans="1:21" ht="18.75" hidden="1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256">
        <f ca="1">L164+L165</f>
        <v>0</v>
      </c>
      <c r="M163" s="255">
        <f ca="1">M164+M165</f>
        <v>0</v>
      </c>
      <c r="N163" s="255">
        <f ca="1">N164+N165</f>
        <v>0</v>
      </c>
      <c r="O163" s="255">
        <f ca="1">IF(L163&gt;0,N163*100/L163,0)</f>
        <v>0</v>
      </c>
      <c r="P163" s="255">
        <f ca="1">IF(M163&gt;0,N163*100/M163,0)</f>
        <v>0</v>
      </c>
      <c r="Q163" s="255">
        <f>Q164+Q165</f>
        <v>0</v>
      </c>
      <c r="R163" s="255">
        <f>R164+R165</f>
        <v>0</v>
      </c>
      <c r="S163" s="255">
        <f>S164+S165</f>
        <v>0</v>
      </c>
      <c r="T163" s="255">
        <f>IF(Q163&gt;0,S163*100/Q163,0)</f>
        <v>0</v>
      </c>
      <c r="U163" s="255">
        <f>IF(R163&gt;0,S163*100/R163,0)</f>
        <v>0</v>
      </c>
    </row>
    <row r="164" spans="1:21" ht="18.75" hidden="1">
      <c r="A164" s="155"/>
      <c r="B164" s="50"/>
      <c r="C164" s="50"/>
      <c r="D164" s="50"/>
      <c r="E164" s="186" t="s">
        <v>20</v>
      </c>
      <c r="F164" s="50"/>
      <c r="G164" s="52"/>
      <c r="H164" s="189" t="s">
        <v>14</v>
      </c>
      <c r="I164" s="163"/>
      <c r="J164" s="163"/>
      <c r="K164" s="164"/>
      <c r="L164" s="103">
        <v>0</v>
      </c>
      <c r="M164" s="102">
        <v>0</v>
      </c>
      <c r="N164" s="102">
        <v>0</v>
      </c>
      <c r="O164" s="102">
        <f>IF(L164&gt;0,N164*100/L164,0)</f>
        <v>0</v>
      </c>
      <c r="P164" s="102">
        <f>IF(M164&gt;0,N164*100/M164,0)</f>
        <v>0</v>
      </c>
      <c r="Q164" s="102">
        <v>0</v>
      </c>
      <c r="R164" s="102">
        <v>0</v>
      </c>
      <c r="S164" s="102">
        <v>0</v>
      </c>
      <c r="T164" s="102">
        <f>IF(Q164&gt;0,S164*100/Q164,0)</f>
        <v>0</v>
      </c>
      <c r="U164" s="102">
        <f>IF(R164&gt;0,S164*100/R164,0)</f>
        <v>0</v>
      </c>
    </row>
    <row r="165" spans="1:21" ht="18.75" hidden="1">
      <c r="A165" s="155"/>
      <c r="B165" s="50"/>
      <c r="C165" s="50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256">
        <f ca="1">IFERROR(__xludf.DUMMYFUNCTION("IMPORTRANGE(""https://docs.google.com/spreadsheets/d/1-uDff_7J0KD5mKrp0Vvzr7lt3OU09vwQwhkpOPPYv2Y/edit?usp=sharing"",""งบพรบ!CD33"")"),0)</f>
        <v>0</v>
      </c>
      <c r="M165" s="255">
        <f ca="1">IFERROR(__xludf.DUMMYFUNCTION("IMPORTRANGE(""https://docs.google.com/spreadsheets/d/1-uDff_7J0KD5mKrp0Vvzr7lt3OU09vwQwhkpOPPYv2Y/edit?usp=sharing"",""งบพรบ!CG33"")"),0)</f>
        <v>0</v>
      </c>
      <c r="N165" s="255">
        <f ca="1">IFERROR(__xludf.DUMMYFUNCTION("IMPORTRANGE(""https://docs.google.com/spreadsheets/d/1-uDff_7J0KD5mKrp0Vvzr7lt3OU09vwQwhkpOPPYv2Y/edit?usp=sharing"",""งบพรบ!CI33"")"),0)</f>
        <v>0</v>
      </c>
      <c r="O165" s="255">
        <f ca="1">IF(L165&gt;0,N165*100/L165,0)</f>
        <v>0</v>
      </c>
      <c r="P165" s="255">
        <f ca="1">IF(M165&gt;0,N165*100/M165,0)</f>
        <v>0</v>
      </c>
      <c r="Q165" s="255">
        <v>0</v>
      </c>
      <c r="R165" s="255">
        <v>0</v>
      </c>
      <c r="S165" s="255">
        <v>0</v>
      </c>
      <c r="T165" s="255">
        <f>IF(Q165&gt;0,S165*100/Q165,0)</f>
        <v>0</v>
      </c>
      <c r="U165" s="255">
        <f>IF(R165&gt;0,S165*100/R165,0)</f>
        <v>0</v>
      </c>
    </row>
    <row r="166" spans="1:21" ht="19.5" hidden="1">
      <c r="A166" s="166"/>
      <c r="B166" s="167"/>
      <c r="C166" s="156" t="s">
        <v>18</v>
      </c>
      <c r="D166" s="566" t="s">
        <v>38</v>
      </c>
      <c r="E166" s="169"/>
      <c r="F166" s="169"/>
      <c r="G166" s="170"/>
      <c r="H166" s="206"/>
      <c r="I166" s="54"/>
      <c r="J166" s="54"/>
      <c r="K166" s="55"/>
      <c r="L166" s="62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8.75" hidden="1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212">
        <f ca="1">IFERROR(__xludf.DUMMYFUNCTION("IMPORTRANGE(""https://docs.google.com/spreadsheets/d/1eHaY18a8A9IcSdp1K8H6x8fbOy06t2VsZHhMHf-1x7Y/edit?usp=sharing"",""แผน!Z33"")"),0)</f>
        <v>0</v>
      </c>
      <c r="J167" s="467">
        <v>0</v>
      </c>
      <c r="K167" s="255">
        <f ca="1">IF(I167&gt;0,J167*100/I167,0)</f>
        <v>0</v>
      </c>
      <c r="L167" s="62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8.75" hidden="1">
      <c r="A168" s="155"/>
      <c r="B168" s="50"/>
      <c r="C168" s="50"/>
      <c r="D168" s="186" t="s">
        <v>70</v>
      </c>
      <c r="E168" s="50"/>
      <c r="F168" s="50"/>
      <c r="G168" s="52"/>
      <c r="H168" s="421" t="s">
        <v>35</v>
      </c>
      <c r="I168" s="483">
        <f ca="1">IFERROR(__xludf.DUMMYFUNCTION("IMPORTRANGE(""https://docs.google.com/spreadsheets/d/1eHaY18a8A9IcSdp1K8H6x8fbOy06t2VsZHhMHf-1x7Y/edit?usp=sharing"",""แผน!Z33"")"),0)</f>
        <v>0</v>
      </c>
      <c r="J168" s="589">
        <v>0</v>
      </c>
      <c r="K168" s="102">
        <f ca="1">IF(I168&gt;0,J168*100/I168,0)</f>
        <v>0</v>
      </c>
      <c r="L168" s="62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8.75" hidden="1">
      <c r="A169" s="213"/>
      <c r="B169" s="4"/>
      <c r="C169" s="4"/>
      <c r="D169" s="484" t="s">
        <v>71</v>
      </c>
      <c r="E169" s="4"/>
      <c r="F169" s="4"/>
      <c r="G169" s="65"/>
      <c r="H169" s="719" t="s">
        <v>35</v>
      </c>
      <c r="I169" s="486">
        <f ca="1">IFERROR(__xludf.DUMMYFUNCTION("IMPORTRANGE(""https://docs.google.com/spreadsheets/d/1eHaY18a8A9IcSdp1K8H6x8fbOy06t2VsZHhMHf-1x7Y/edit?usp=sharing"",""แผน!Z33"")"),0)</f>
        <v>0</v>
      </c>
      <c r="J169" s="586">
        <v>0</v>
      </c>
      <c r="K169" s="585">
        <f ca="1">IF(I169&gt;0,J169*100/I169,0)</f>
        <v>0</v>
      </c>
      <c r="L169" s="68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9"/>
      <c r="I170" s="220"/>
      <c r="J170" s="220"/>
      <c r="K170" s="221"/>
      <c r="L170" s="221"/>
      <c r="M170" s="221"/>
      <c r="N170" s="221"/>
      <c r="O170" s="221"/>
      <c r="P170" s="222"/>
      <c r="Q170" s="221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226"/>
      <c r="I171" s="227"/>
      <c r="J171" s="227"/>
      <c r="K171" s="228"/>
      <c r="L171" s="229"/>
      <c r="M171" s="228"/>
      <c r="N171" s="228"/>
      <c r="O171" s="228"/>
      <c r="P171" s="228"/>
      <c r="Q171" s="228"/>
      <c r="R171" s="228"/>
      <c r="S171" s="228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233" t="s">
        <v>35</v>
      </c>
      <c r="I172" s="718">
        <f ca="1">I183+I184</f>
        <v>7</v>
      </c>
      <c r="J172" s="718">
        <f>J183+J184</f>
        <v>7</v>
      </c>
      <c r="K172" s="717">
        <f ca="1">IF(I172&gt;0,J172*100/I172,0)</f>
        <v>100</v>
      </c>
      <c r="L172" s="237"/>
      <c r="M172" s="236"/>
      <c r="N172" s="236"/>
      <c r="O172" s="236"/>
      <c r="P172" s="236"/>
      <c r="Q172" s="236"/>
      <c r="R172" s="236"/>
      <c r="S172" s="236"/>
      <c r="T172" s="236"/>
      <c r="U172" s="236"/>
    </row>
    <row r="173" spans="1:21" ht="19.5">
      <c r="A173" s="155"/>
      <c r="B173" s="50"/>
      <c r="C173" s="156" t="s">
        <v>18</v>
      </c>
      <c r="D173" s="575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541">
        <f ca="1">L174+L175</f>
        <v>19590</v>
      </c>
      <c r="M173" s="540">
        <f ca="1">M174+M175</f>
        <v>34370</v>
      </c>
      <c r="N173" s="540">
        <f ca="1">N174+N175</f>
        <v>33770</v>
      </c>
      <c r="O173" s="540">
        <f ca="1">IF(L173&gt;0,N173*100/L173,0)</f>
        <v>172.38386932108219</v>
      </c>
      <c r="P173" s="540">
        <f ca="1">IF(M173&gt;0,N173*100/M173,0)</f>
        <v>98.254291533313932</v>
      </c>
      <c r="Q173" s="540">
        <f ca="1">Q174+Q175</f>
        <v>0</v>
      </c>
      <c r="R173" s="540">
        <f ca="1">R174+R175</f>
        <v>0</v>
      </c>
      <c r="S173" s="540">
        <f ca="1">S174+S175</f>
        <v>0</v>
      </c>
      <c r="T173" s="540">
        <f ca="1">IF(Q173&gt;0,S173*100/Q173,0)</f>
        <v>0</v>
      </c>
      <c r="U173" s="540">
        <f ca="1">IF(R173&gt;0,S173*100/R173,0)</f>
        <v>0</v>
      </c>
    </row>
    <row r="174" spans="1:21" ht="18.75" hidden="1">
      <c r="A174" s="155"/>
      <c r="B174" s="50"/>
      <c r="C174" s="50"/>
      <c r="D174" s="50"/>
      <c r="E174" s="186" t="s">
        <v>20</v>
      </c>
      <c r="F174" s="50"/>
      <c r="G174" s="52"/>
      <c r="H174" s="187" t="s">
        <v>14</v>
      </c>
      <c r="I174" s="54"/>
      <c r="J174" s="54"/>
      <c r="K174" s="55"/>
      <c r="L174" s="103">
        <f>L177+L180</f>
        <v>0</v>
      </c>
      <c r="M174" s="102">
        <f>M177+M180</f>
        <v>0</v>
      </c>
      <c r="N174" s="102">
        <f>N177+N180</f>
        <v>0</v>
      </c>
      <c r="O174" s="102">
        <f>IF(L174&gt;0,N174*100/L174,0)</f>
        <v>0</v>
      </c>
      <c r="P174" s="102">
        <f>IF(M174&gt;0,N174*100/M174,0)</f>
        <v>0</v>
      </c>
      <c r="Q174" s="102">
        <f>Q177+Q180</f>
        <v>0</v>
      </c>
      <c r="R174" s="102">
        <f>R177+R180</f>
        <v>0</v>
      </c>
      <c r="S174" s="102">
        <f>S177+S180</f>
        <v>0</v>
      </c>
      <c r="T174" s="102">
        <f>IF(Q174&gt;0,S174*100/Q174,0)</f>
        <v>0</v>
      </c>
      <c r="U174" s="102">
        <f>IF(R174&gt;0,S174*100/R174,0)</f>
        <v>0</v>
      </c>
    </row>
    <row r="175" spans="1:21" ht="18.75" hidden="1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256">
        <f ca="1">L178+L181</f>
        <v>19590</v>
      </c>
      <c r="M175" s="255">
        <f ca="1">M178+M181</f>
        <v>34370</v>
      </c>
      <c r="N175" s="255">
        <f ca="1">N178+N181</f>
        <v>33770</v>
      </c>
      <c r="O175" s="255">
        <f ca="1">IF(L175&gt;0,N175*100/L175,0)</f>
        <v>172.38386932108219</v>
      </c>
      <c r="P175" s="255">
        <f ca="1">IF(M175&gt;0,N175*100/M175,0)</f>
        <v>98.254291533313932</v>
      </c>
      <c r="Q175" s="255">
        <f ca="1">Q178+Q181</f>
        <v>0</v>
      </c>
      <c r="R175" s="255">
        <f ca="1">R178+R181</f>
        <v>0</v>
      </c>
      <c r="S175" s="255">
        <f ca="1">S178+S181</f>
        <v>0</v>
      </c>
      <c r="T175" s="255">
        <f ca="1">IF(Q175&gt;0,S175*100/Q175,0)</f>
        <v>0</v>
      </c>
      <c r="U175" s="255">
        <f ca="1">IF(R175&gt;0,S175*100/R175,0)</f>
        <v>0</v>
      </c>
    </row>
    <row r="176" spans="1:21" ht="18.75">
      <c r="A176" s="155"/>
      <c r="B176" s="50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256">
        <f ca="1">L177+L178</f>
        <v>19590</v>
      </c>
      <c r="M176" s="255">
        <f ca="1">M177+M178</f>
        <v>34370</v>
      </c>
      <c r="N176" s="255">
        <f ca="1">N177+N178</f>
        <v>33770</v>
      </c>
      <c r="O176" s="255">
        <f ca="1">IF(L176&gt;0,N176*100/L176,0)</f>
        <v>172.38386932108219</v>
      </c>
      <c r="P176" s="255">
        <f ca="1">IF(M176&gt;0,N176*100/M176,0)</f>
        <v>98.254291533313932</v>
      </c>
      <c r="Q176" s="255">
        <f ca="1">Q177+Q178</f>
        <v>0</v>
      </c>
      <c r="R176" s="255">
        <f ca="1">R177+R178</f>
        <v>0</v>
      </c>
      <c r="S176" s="255">
        <f ca="1">S177+S178</f>
        <v>0</v>
      </c>
      <c r="T176" s="255">
        <f ca="1">IF(Q176&gt;0,S176*100/Q176,0)</f>
        <v>0</v>
      </c>
      <c r="U176" s="255">
        <f ca="1">IF(R176&gt;0,S176*100/R176,0)</f>
        <v>0</v>
      </c>
    </row>
    <row r="177" spans="1:21" ht="18.75" hidden="1">
      <c r="A177" s="155"/>
      <c r="B177" s="50"/>
      <c r="C177" s="50"/>
      <c r="D177" s="50"/>
      <c r="E177" s="186" t="s">
        <v>36</v>
      </c>
      <c r="F177" s="50"/>
      <c r="G177" s="52"/>
      <c r="H177" s="189" t="s">
        <v>14</v>
      </c>
      <c r="I177" s="163"/>
      <c r="J177" s="163"/>
      <c r="K177" s="164"/>
      <c r="L177" s="103">
        <v>0</v>
      </c>
      <c r="M177" s="102">
        <v>0</v>
      </c>
      <c r="N177" s="102">
        <v>0</v>
      </c>
      <c r="O177" s="102">
        <f>IF(L177&gt;0,N177*100/L177,0)</f>
        <v>0</v>
      </c>
      <c r="P177" s="102">
        <f>IF(M177&gt;0,N177*100/M177,0)</f>
        <v>0</v>
      </c>
      <c r="Q177" s="102">
        <v>0</v>
      </c>
      <c r="R177" s="102">
        <v>0</v>
      </c>
      <c r="S177" s="102">
        <v>0</v>
      </c>
      <c r="T177" s="102">
        <f>IF(Q177&gt;0,S177*100/Q177,0)</f>
        <v>0</v>
      </c>
      <c r="U177" s="102">
        <f>IF(R177&gt;0,S177*100/R177,0)</f>
        <v>0</v>
      </c>
    </row>
    <row r="178" spans="1:21" ht="18.75" hidden="1">
      <c r="A178" s="155"/>
      <c r="B178" s="50"/>
      <c r="C178" s="50"/>
      <c r="D178" s="50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256">
        <f ca="1">IFERROR(__xludf.DUMMYFUNCTION("IMPORTRANGE(""https://docs.google.com/spreadsheets/d/1-uDff_7J0KD5mKrp0Vvzr7lt3OU09vwQwhkpOPPYv2Y/edit?usp=sharing"",""งบพรบ!CK33"")"),19590)</f>
        <v>19590</v>
      </c>
      <c r="M178" s="255">
        <f ca="1">IFERROR(__xludf.DUMMYFUNCTION("IMPORTRANGE(""https://docs.google.com/spreadsheets/d/1-uDff_7J0KD5mKrp0Vvzr7lt3OU09vwQwhkpOPPYv2Y/edit?usp=sharing"",""งบพรบ!CP33"")"),34370)</f>
        <v>34370</v>
      </c>
      <c r="N178" s="255">
        <f ca="1">IFERROR(__xludf.DUMMYFUNCTION("IMPORTRANGE(""https://docs.google.com/spreadsheets/d/1-uDff_7J0KD5mKrp0Vvzr7lt3OU09vwQwhkpOPPYv2Y/edit?usp=sharing"",""งบพรบ!CR33"")"),33770)</f>
        <v>33770</v>
      </c>
      <c r="O178" s="255">
        <f ca="1">IF(L178&gt;0,N178*100/L178,0)</f>
        <v>172.38386932108219</v>
      </c>
      <c r="P178" s="255">
        <f ca="1">IF(M178&gt;0,N178*100/M178,0)</f>
        <v>98.254291533313932</v>
      </c>
      <c r="Q178" s="255">
        <f ca="1">IFERROR(__xludf.DUMMYFUNCTION("IMPORTRANGE(""https://docs.google.com/spreadsheets/d/1ItG2mGa2ceCfYo0BwxsXqNm01IGEUdYcSSLTEv9YCik/edit?usp=sharing"",""เบิกจ่ายกองทุน!BE33"")"),0)</f>
        <v>0</v>
      </c>
      <c r="R178" s="255">
        <f ca="1">IFERROR(__xludf.DUMMYFUNCTION("IMPORTRANGE(""https://docs.google.com/spreadsheets/d/1ItG2mGa2ceCfYo0BwxsXqNm01IGEUdYcSSLTEv9YCik/edit?usp=sharing"",""เบิกจ่ายกองทุน!BF33"")"),0)</f>
        <v>0</v>
      </c>
      <c r="S178" s="255">
        <f ca="1">IFERROR(__xludf.DUMMYFUNCTION("IMPORTRANGE(""https://docs.google.com/spreadsheets/d/1ItG2mGa2ceCfYo0BwxsXqNm01IGEUdYcSSLTEv9YCik/edit?usp=sharing"",""เบิกจ่ายกองทุน!BG33"")"),0)</f>
        <v>0</v>
      </c>
      <c r="T178" s="255">
        <f ca="1">IF(Q178&gt;0,S178*100/Q178,0)</f>
        <v>0</v>
      </c>
      <c r="U178" s="255">
        <f ca="1">IF(R178&gt;0,S178*100/R178,0)</f>
        <v>0</v>
      </c>
    </row>
    <row r="179" spans="1:21" ht="18.75">
      <c r="A179" s="155"/>
      <c r="B179" s="50"/>
      <c r="C179" s="50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256">
        <f ca="1">L180+L181</f>
        <v>0</v>
      </c>
      <c r="M179" s="255">
        <f ca="1">M180+M181</f>
        <v>0</v>
      </c>
      <c r="N179" s="255">
        <f ca="1">N180+N181</f>
        <v>0</v>
      </c>
      <c r="O179" s="255">
        <f ca="1">IF(L179&gt;0,N179*100/L179,0)</f>
        <v>0</v>
      </c>
      <c r="P179" s="255">
        <f ca="1">IF(M179&gt;0,N179*100/M179,0)</f>
        <v>0</v>
      </c>
      <c r="Q179" s="255">
        <f>Q180+Q181</f>
        <v>0</v>
      </c>
      <c r="R179" s="255">
        <f>R180+R181</f>
        <v>0</v>
      </c>
      <c r="S179" s="255">
        <f>S180+S181</f>
        <v>0</v>
      </c>
      <c r="T179" s="255">
        <f>IF(Q179&gt;0,S179*100/Q179,0)</f>
        <v>0</v>
      </c>
      <c r="U179" s="255">
        <f>IF(R179&gt;0,S179*100/R179,0)</f>
        <v>0</v>
      </c>
    </row>
    <row r="180" spans="1:21" ht="18.75" hidden="1">
      <c r="A180" s="155"/>
      <c r="B180" s="50"/>
      <c r="C180" s="50"/>
      <c r="D180" s="50"/>
      <c r="E180" s="186" t="s">
        <v>20</v>
      </c>
      <c r="F180" s="50"/>
      <c r="G180" s="52"/>
      <c r="H180" s="189" t="s">
        <v>14</v>
      </c>
      <c r="I180" s="163"/>
      <c r="J180" s="163"/>
      <c r="K180" s="164"/>
      <c r="L180" s="103">
        <v>0</v>
      </c>
      <c r="M180" s="102">
        <v>0</v>
      </c>
      <c r="N180" s="102">
        <v>0</v>
      </c>
      <c r="O180" s="102">
        <f>IF(L180&gt;0,N180*100/L180,0)</f>
        <v>0</v>
      </c>
      <c r="P180" s="102">
        <f>IF(M180&gt;0,N180*100/M180,0)</f>
        <v>0</v>
      </c>
      <c r="Q180" s="102">
        <v>0</v>
      </c>
      <c r="R180" s="102">
        <v>0</v>
      </c>
      <c r="S180" s="102">
        <v>0</v>
      </c>
      <c r="T180" s="102">
        <f>IF(Q180&gt;0,S180*100/Q180,0)</f>
        <v>0</v>
      </c>
      <c r="U180" s="102">
        <f>IF(R180&gt;0,S180*100/R180,0)</f>
        <v>0</v>
      </c>
    </row>
    <row r="181" spans="1:21" ht="18.75" hidden="1">
      <c r="A181" s="155"/>
      <c r="B181" s="50"/>
      <c r="C181" s="50"/>
      <c r="D181" s="50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256">
        <f ca="1">IFERROR(__xludf.DUMMYFUNCTION("IMPORTRANGE(""https://docs.google.com/spreadsheets/d/1-uDff_7J0KD5mKrp0Vvzr7lt3OU09vwQwhkpOPPYv2Y/edit?usp=sharing"",""งบพรบ!CN33"")"),0)</f>
        <v>0</v>
      </c>
      <c r="M181" s="255">
        <f ca="1">IFERROR(__xludf.DUMMYFUNCTION("IMPORTRANGE(""https://docs.google.com/spreadsheets/d/1-uDff_7J0KD5mKrp0Vvzr7lt3OU09vwQwhkpOPPYv2Y/edit?usp=sharing"",""งบพรบ!CQ33"")"),0)</f>
        <v>0</v>
      </c>
      <c r="N181" s="255">
        <f ca="1">IFERROR(__xludf.DUMMYFUNCTION("IMPORTRANGE(""https://docs.google.com/spreadsheets/d/1-uDff_7J0KD5mKrp0Vvzr7lt3OU09vwQwhkpOPPYv2Y/edit?usp=sharing"",""งบพรบ!CS33"")"),0)</f>
        <v>0</v>
      </c>
      <c r="O181" s="255">
        <f ca="1">IF(L181&gt;0,N181*100/L181,0)</f>
        <v>0</v>
      </c>
      <c r="P181" s="255">
        <f ca="1">IF(M181&gt;0,N181*100/M181,0)</f>
        <v>0</v>
      </c>
      <c r="Q181" s="255">
        <v>0</v>
      </c>
      <c r="R181" s="255">
        <v>0</v>
      </c>
      <c r="S181" s="255">
        <v>0</v>
      </c>
      <c r="T181" s="255">
        <f>IF(Q181&gt;0,S181*100/Q181,0)</f>
        <v>0</v>
      </c>
      <c r="U181" s="255">
        <f>IF(R181&gt;0,S181*100/R181,0)</f>
        <v>0</v>
      </c>
    </row>
    <row r="182" spans="1:21" ht="19.5">
      <c r="A182" s="166"/>
      <c r="B182" s="167"/>
      <c r="C182" s="156" t="s">
        <v>18</v>
      </c>
      <c r="D182" s="566" t="s">
        <v>38</v>
      </c>
      <c r="E182" s="169"/>
      <c r="F182" s="169"/>
      <c r="G182" s="170"/>
      <c r="H182" s="206"/>
      <c r="I182" s="54"/>
      <c r="J182" s="54"/>
      <c r="K182" s="55"/>
      <c r="L182" s="62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40" t="s">
        <v>35</v>
      </c>
      <c r="I183" s="212">
        <f ca="1">IFERROR(__xludf.DUMMYFUNCTION("IMPORTRANGE(""https://docs.google.com/spreadsheets/d/1eHaY18a8A9IcSdp1K8H6x8fbOy06t2VsZHhMHf-1x7Y/edit?usp=sharing"",""แผน!AA33"")"),7)</f>
        <v>7</v>
      </c>
      <c r="J183" s="467">
        <v>7</v>
      </c>
      <c r="K183" s="255">
        <f ca="1">IF(I183&gt;0,J183*100/I183,0)</f>
        <v>100</v>
      </c>
      <c r="L183" s="62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8.75" hidden="1">
      <c r="A184" s="238"/>
      <c r="B184" s="188"/>
      <c r="C184" s="188"/>
      <c r="D184" s="358" t="s">
        <v>76</v>
      </c>
      <c r="E184" s="50"/>
      <c r="F184" s="50"/>
      <c r="G184" s="52"/>
      <c r="H184" s="590" t="s">
        <v>35</v>
      </c>
      <c r="I184" s="483">
        <v>0</v>
      </c>
      <c r="J184" s="483">
        <v>0</v>
      </c>
      <c r="K184" s="102">
        <f>IF(I184&gt;0,J184*100/I184,0)</f>
        <v>0</v>
      </c>
      <c r="L184" s="62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233" t="s">
        <v>35</v>
      </c>
      <c r="I185" s="718">
        <f ca="1">I230+I231</f>
        <v>0</v>
      </c>
      <c r="J185" s="718">
        <f>J230+J231</f>
        <v>0</v>
      </c>
      <c r="K185" s="717">
        <f ca="1">IF(I185&gt;0,J185*100/I185,0)</f>
        <v>0</v>
      </c>
      <c r="L185" s="237"/>
      <c r="M185" s="236"/>
      <c r="N185" s="236"/>
      <c r="O185" s="236"/>
      <c r="P185" s="236"/>
      <c r="Q185" s="236"/>
      <c r="R185" s="236"/>
      <c r="S185" s="236"/>
      <c r="T185" s="236"/>
      <c r="U185" s="236"/>
    </row>
    <row r="186" spans="1:21" ht="19.5">
      <c r="A186" s="155"/>
      <c r="B186" s="50"/>
      <c r="C186" s="156" t="s">
        <v>18</v>
      </c>
      <c r="D186" s="575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541">
        <f ca="1">L187+L188</f>
        <v>40500</v>
      </c>
      <c r="M186" s="540">
        <f ca="1">M187+M188</f>
        <v>24500</v>
      </c>
      <c r="N186" s="540">
        <f ca="1">N187+N188</f>
        <v>2280</v>
      </c>
      <c r="O186" s="540">
        <f ca="1">IF(L186&gt;0,N186*100/L186,0)</f>
        <v>5.6296296296296298</v>
      </c>
      <c r="P186" s="540">
        <f ca="1">IF(M186&gt;0,N186*100/M186,0)</f>
        <v>9.3061224489795915</v>
      </c>
      <c r="Q186" s="540">
        <f ca="1">Q187+Q188</f>
        <v>42000</v>
      </c>
      <c r="R186" s="540">
        <f ca="1">R187+R188</f>
        <v>42000</v>
      </c>
      <c r="S186" s="540">
        <f ca="1">S187+S188</f>
        <v>0</v>
      </c>
      <c r="T186" s="540">
        <f ca="1">IF(Q186&gt;0,S186*100/Q186,0)</f>
        <v>0</v>
      </c>
      <c r="U186" s="540">
        <f ca="1">IF(R186&gt;0,S186*100/R186,0)</f>
        <v>0</v>
      </c>
    </row>
    <row r="187" spans="1:21" ht="18.75" hidden="1">
      <c r="A187" s="155"/>
      <c r="B187" s="50"/>
      <c r="C187" s="50"/>
      <c r="D187" s="50"/>
      <c r="E187" s="186" t="s">
        <v>20</v>
      </c>
      <c r="F187" s="50"/>
      <c r="G187" s="52"/>
      <c r="H187" s="187" t="s">
        <v>14</v>
      </c>
      <c r="I187" s="54"/>
      <c r="J187" s="54"/>
      <c r="K187" s="55"/>
      <c r="L187" s="103">
        <f>L190+L193</f>
        <v>0</v>
      </c>
      <c r="M187" s="102">
        <f>M190+M193</f>
        <v>0</v>
      </c>
      <c r="N187" s="102">
        <f>N190+N193</f>
        <v>0</v>
      </c>
      <c r="O187" s="102">
        <f>IF(L187&gt;0,N187*100/L187,0)</f>
        <v>0</v>
      </c>
      <c r="P187" s="102">
        <f>IF(M187&gt;0,N187*100/M187,0)</f>
        <v>0</v>
      </c>
      <c r="Q187" s="102">
        <f>Q190+Q193</f>
        <v>0</v>
      </c>
      <c r="R187" s="102">
        <f>R190+R193</f>
        <v>0</v>
      </c>
      <c r="S187" s="102">
        <f>S190+S193</f>
        <v>0</v>
      </c>
      <c r="T187" s="102">
        <f>IF(Q187&gt;0,S187*100/Q187,0)</f>
        <v>0</v>
      </c>
      <c r="U187" s="102">
        <f>IF(R187&gt;0,S187*100/R187,0)</f>
        <v>0</v>
      </c>
    </row>
    <row r="188" spans="1:21" ht="18.75" hidden="1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256">
        <f ca="1">L191+L194</f>
        <v>40500</v>
      </c>
      <c r="M188" s="255">
        <f ca="1">M191+M194</f>
        <v>24500</v>
      </c>
      <c r="N188" s="255">
        <f ca="1">N191+N194</f>
        <v>2280</v>
      </c>
      <c r="O188" s="255">
        <f ca="1">IF(L188&gt;0,N188*100/L188,0)</f>
        <v>5.6296296296296298</v>
      </c>
      <c r="P188" s="255">
        <f ca="1">IF(M188&gt;0,N188*100/M188,0)</f>
        <v>9.3061224489795915</v>
      </c>
      <c r="Q188" s="255">
        <f ca="1">Q191+Q194</f>
        <v>42000</v>
      </c>
      <c r="R188" s="255">
        <f ca="1">R191+R194</f>
        <v>42000</v>
      </c>
      <c r="S188" s="255">
        <f ca="1">S191+S194</f>
        <v>0</v>
      </c>
      <c r="T188" s="255">
        <f ca="1">IF(Q188&gt;0,S188*100/Q188,0)</f>
        <v>0</v>
      </c>
      <c r="U188" s="255">
        <f ca="1">IF(R188&gt;0,S188*100/R188,0)</f>
        <v>0</v>
      </c>
    </row>
    <row r="189" spans="1:21" ht="18.75">
      <c r="A189" s="155"/>
      <c r="B189" s="50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256">
        <f ca="1">L190+L191</f>
        <v>40500</v>
      </c>
      <c r="M189" s="255">
        <f ca="1">M190+M191</f>
        <v>24500</v>
      </c>
      <c r="N189" s="255">
        <f ca="1">N190+N191</f>
        <v>2280</v>
      </c>
      <c r="O189" s="255">
        <f ca="1">IF(L189&gt;0,N189*100/L189,0)</f>
        <v>5.6296296296296298</v>
      </c>
      <c r="P189" s="255">
        <f ca="1">IF(M189&gt;0,N189*100/M189,0)</f>
        <v>9.3061224489795915</v>
      </c>
      <c r="Q189" s="255">
        <f ca="1">Q190+Q191</f>
        <v>42000</v>
      </c>
      <c r="R189" s="255">
        <f ca="1">R190+R191</f>
        <v>42000</v>
      </c>
      <c r="S189" s="255">
        <f ca="1">S190+S191</f>
        <v>0</v>
      </c>
      <c r="T189" s="255">
        <f ca="1">IF(Q189&gt;0,S189*100/Q189,0)</f>
        <v>0</v>
      </c>
      <c r="U189" s="255">
        <f ca="1">IF(R189&gt;0,S189*100/R189,0)</f>
        <v>0</v>
      </c>
    </row>
    <row r="190" spans="1:21" ht="18.75" hidden="1">
      <c r="A190" s="155"/>
      <c r="B190" s="50"/>
      <c r="C190" s="50"/>
      <c r="D190" s="50"/>
      <c r="E190" s="186" t="s">
        <v>36</v>
      </c>
      <c r="F190" s="50"/>
      <c r="G190" s="52"/>
      <c r="H190" s="189" t="s">
        <v>14</v>
      </c>
      <c r="I190" s="163"/>
      <c r="J190" s="163"/>
      <c r="K190" s="164"/>
      <c r="L190" s="103">
        <v>0</v>
      </c>
      <c r="M190" s="102">
        <v>0</v>
      </c>
      <c r="N190" s="102">
        <v>0</v>
      </c>
      <c r="O190" s="102">
        <f>IF(L190&gt;0,N190*100/L190,0)</f>
        <v>0</v>
      </c>
      <c r="P190" s="102">
        <f>IF(M190&gt;0,N190*100/M190,0)</f>
        <v>0</v>
      </c>
      <c r="Q190" s="102">
        <v>0</v>
      </c>
      <c r="R190" s="102">
        <v>0</v>
      </c>
      <c r="S190" s="102">
        <v>0</v>
      </c>
      <c r="T190" s="102">
        <f>IF(Q190&gt;0,S190*100/Q190,0)</f>
        <v>0</v>
      </c>
      <c r="U190" s="102">
        <f>IF(R190&gt;0,S190*100/R190,0)</f>
        <v>0</v>
      </c>
    </row>
    <row r="191" spans="1:21" ht="18.75" hidden="1">
      <c r="A191" s="155"/>
      <c r="B191" s="50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256">
        <f ca="1">IFERROR(__xludf.DUMMYFUNCTION("IMPORTRANGE(""https://docs.google.com/spreadsheets/d/1-uDff_7J0KD5mKrp0Vvzr7lt3OU09vwQwhkpOPPYv2Y/edit?usp=sharing"",""งบพรบ!CU33"")"),40500)</f>
        <v>40500</v>
      </c>
      <c r="M191" s="255">
        <f ca="1">IFERROR(__xludf.DUMMYFUNCTION("IMPORTRANGE(""https://docs.google.com/spreadsheets/d/1-uDff_7J0KD5mKrp0Vvzr7lt3OU09vwQwhkpOPPYv2Y/edit?usp=sharing"",""งบพรบ!CZ33"")"),24500)</f>
        <v>24500</v>
      </c>
      <c r="N191" s="255">
        <f ca="1">IFERROR(__xludf.DUMMYFUNCTION("IMPORTRANGE(""https://docs.google.com/spreadsheets/d/1-uDff_7J0KD5mKrp0Vvzr7lt3OU09vwQwhkpOPPYv2Y/edit?usp=sharing"",""งบพรบ!DB33"")"),2280)</f>
        <v>2280</v>
      </c>
      <c r="O191" s="255">
        <f ca="1">IF(L191&gt;0,N191*100/L191,0)</f>
        <v>5.6296296296296298</v>
      </c>
      <c r="P191" s="255">
        <f ca="1">IF(M191&gt;0,N191*100/M191,0)</f>
        <v>9.3061224489795915</v>
      </c>
      <c r="Q191" s="255">
        <f ca="1">IFERROR(__xludf.DUMMYFUNCTION("IMPORTRANGE(""https://docs.google.com/spreadsheets/d/1ItG2mGa2ceCfYo0BwxsXqNm01IGEUdYcSSLTEv9YCik/edit?usp=sharing"",""เบิกจ่ายกองทุน!AV33"")"),42000)</f>
        <v>42000</v>
      </c>
      <c r="R191" s="255">
        <f ca="1">IFERROR(__xludf.DUMMYFUNCTION("IMPORTRANGE(""https://docs.google.com/spreadsheets/d/1ItG2mGa2ceCfYo0BwxsXqNm01IGEUdYcSSLTEv9YCik/edit?usp=sharing"",""เบิกจ่ายกองทุน!AW33"")"),42000)</f>
        <v>42000</v>
      </c>
      <c r="S191" s="255">
        <f ca="1">IFERROR(__xludf.DUMMYFUNCTION("IMPORTRANGE(""https://docs.google.com/spreadsheets/d/1ItG2mGa2ceCfYo0BwxsXqNm01IGEUdYcSSLTEv9YCik/edit?usp=sharing"",""เบิกจ่ายกองทุน!AX33"")"),0)</f>
        <v>0</v>
      </c>
      <c r="T191" s="255">
        <f ca="1">IF(Q191&gt;0,S191*100/Q191,0)</f>
        <v>0</v>
      </c>
      <c r="U191" s="255">
        <f ca="1">IF(R191&gt;0,S191*100/R191,0)</f>
        <v>0</v>
      </c>
    </row>
    <row r="192" spans="1:21" ht="18.75">
      <c r="A192" s="155"/>
      <c r="B192" s="50"/>
      <c r="C192" s="50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256">
        <f ca="1">L193+L194</f>
        <v>0</v>
      </c>
      <c r="M192" s="255">
        <f ca="1">M193+M194</f>
        <v>0</v>
      </c>
      <c r="N192" s="255">
        <f ca="1">N193+N194</f>
        <v>0</v>
      </c>
      <c r="O192" s="255">
        <f ca="1">IF(L192&gt;0,N192*100/L192,0)</f>
        <v>0</v>
      </c>
      <c r="P192" s="255">
        <f ca="1">IF(M192&gt;0,N192*100/M192,0)</f>
        <v>0</v>
      </c>
      <c r="Q192" s="255">
        <f>Q193+Q194</f>
        <v>0</v>
      </c>
      <c r="R192" s="255">
        <f>R193+R194</f>
        <v>0</v>
      </c>
      <c r="S192" s="255">
        <f>S193+S194</f>
        <v>0</v>
      </c>
      <c r="T192" s="255">
        <f>IF(Q192&gt;0,S192*100/Q192,0)</f>
        <v>0</v>
      </c>
      <c r="U192" s="255">
        <f>IF(R192&gt;0,S192*100/R192,0)</f>
        <v>0</v>
      </c>
    </row>
    <row r="193" spans="1:21" ht="18.75" hidden="1">
      <c r="A193" s="155"/>
      <c r="B193" s="50"/>
      <c r="C193" s="50"/>
      <c r="D193" s="50"/>
      <c r="E193" s="186" t="s">
        <v>20</v>
      </c>
      <c r="F193" s="50"/>
      <c r="G193" s="52"/>
      <c r="H193" s="189" t="s">
        <v>14</v>
      </c>
      <c r="I193" s="163"/>
      <c r="J193" s="163"/>
      <c r="K193" s="164"/>
      <c r="L193" s="103">
        <v>0</v>
      </c>
      <c r="M193" s="102">
        <v>0</v>
      </c>
      <c r="N193" s="102">
        <v>0</v>
      </c>
      <c r="O193" s="102">
        <f>IF(L193&gt;0,N193*100/L193,0)</f>
        <v>0</v>
      </c>
      <c r="P193" s="102">
        <f>IF(M193&gt;0,N193*100/M193,0)</f>
        <v>0</v>
      </c>
      <c r="Q193" s="102">
        <v>0</v>
      </c>
      <c r="R193" s="102">
        <v>0</v>
      </c>
      <c r="S193" s="102">
        <v>0</v>
      </c>
      <c r="T193" s="102">
        <f>IF(Q193&gt;0,S193*100/Q193,0)</f>
        <v>0</v>
      </c>
      <c r="U193" s="102">
        <f>IF(R193&gt;0,S193*100/R193,0)</f>
        <v>0</v>
      </c>
    </row>
    <row r="194" spans="1:21" ht="18.75" hidden="1">
      <c r="A194" s="155"/>
      <c r="B194" s="50"/>
      <c r="C194" s="50"/>
      <c r="D194" s="50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256">
        <f ca="1">IFERROR(__xludf.DUMMYFUNCTION("IMPORTRANGE(""https://docs.google.com/spreadsheets/d/1-uDff_7J0KD5mKrp0Vvzr7lt3OU09vwQwhkpOPPYv2Y/edit?usp=sharing"",""งบพรบ!CX33"")"),0)</f>
        <v>0</v>
      </c>
      <c r="M194" s="255">
        <f ca="1">IFERROR(__xludf.DUMMYFUNCTION("IMPORTRANGE(""https://docs.google.com/spreadsheets/d/1-uDff_7J0KD5mKrp0Vvzr7lt3OU09vwQwhkpOPPYv2Y/edit?usp=sharing"",""งบพรบ!DA33"")"),0)</f>
        <v>0</v>
      </c>
      <c r="N194" s="255">
        <f ca="1">IFERROR(__xludf.DUMMYFUNCTION("IMPORTRANGE(""https://docs.google.com/spreadsheets/d/1-uDff_7J0KD5mKrp0Vvzr7lt3OU09vwQwhkpOPPYv2Y/edit?usp=sharing"",""งบพรบ!DC33"")"),0)</f>
        <v>0</v>
      </c>
      <c r="O194" s="255">
        <f ca="1">IF(L194&gt;0,N194*100/L194,0)</f>
        <v>0</v>
      </c>
      <c r="P194" s="255">
        <f ca="1">IF(M194&gt;0,N194*100/M194,0)</f>
        <v>0</v>
      </c>
      <c r="Q194" s="255">
        <v>0</v>
      </c>
      <c r="R194" s="255">
        <v>0</v>
      </c>
      <c r="S194" s="255">
        <v>0</v>
      </c>
      <c r="T194" s="255">
        <f>IF(Q194&gt;0,S194*100/Q194,0)</f>
        <v>0</v>
      </c>
      <c r="U194" s="255">
        <f>IF(R194&gt;0,S194*100/R194,0)</f>
        <v>0</v>
      </c>
    </row>
    <row r="195" spans="1:21" ht="19.5">
      <c r="A195" s="241"/>
      <c r="B195" s="242"/>
      <c r="C195" s="243" t="s">
        <v>78</v>
      </c>
      <c r="D195" s="244"/>
      <c r="E195" s="244"/>
      <c r="F195" s="244"/>
      <c r="G195" s="245"/>
      <c r="H195" s="246" t="s">
        <v>79</v>
      </c>
      <c r="I195" s="339">
        <f ca="1">I198</f>
        <v>4</v>
      </c>
      <c r="J195" s="339">
        <f>J198</f>
        <v>2</v>
      </c>
      <c r="K195" s="340">
        <f ca="1">IF(I195&gt;0,J195*100/I195,0)</f>
        <v>50</v>
      </c>
      <c r="L195" s="250"/>
      <c r="M195" s="249"/>
      <c r="N195" s="249"/>
      <c r="O195" s="249"/>
      <c r="P195" s="249"/>
      <c r="Q195" s="249"/>
      <c r="R195" s="249"/>
      <c r="S195" s="249"/>
      <c r="T195" s="249"/>
      <c r="U195" s="249"/>
    </row>
    <row r="196" spans="1:21" ht="19.5">
      <c r="A196" s="155"/>
      <c r="B196" s="50"/>
      <c r="C196" s="156" t="s">
        <v>18</v>
      </c>
      <c r="D196" s="713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541">
        <f ca="1">IFERROR(__xludf.DUMMYFUNCTION("IMPORTRANGE(""https://docs.google.com/spreadsheets/d/1eHaY18a8A9IcSdp1K8H6x8fbOy06t2VsZHhMHf-1x7Y/edit?usp=sharing"",""แผน!AB33"")"),6000)</f>
        <v>6000</v>
      </c>
      <c r="M196" s="55"/>
      <c r="N196" s="716">
        <v>0</v>
      </c>
      <c r="O196" s="540">
        <f ca="1">IF(L196&gt;0,N196*100/L196,0)</f>
        <v>0</v>
      </c>
      <c r="P196" s="540">
        <f>IF(M196&gt;0,N196*100/M196,0)</f>
        <v>0</v>
      </c>
      <c r="Q196" s="55"/>
      <c r="R196" s="55"/>
      <c r="S196" s="55"/>
      <c r="T196" s="55"/>
      <c r="U196" s="55"/>
    </row>
    <row r="197" spans="1:21" ht="19.5">
      <c r="A197" s="166"/>
      <c r="B197" s="167"/>
      <c r="C197" s="156" t="s">
        <v>18</v>
      </c>
      <c r="D197" s="566" t="s">
        <v>38</v>
      </c>
      <c r="E197" s="169"/>
      <c r="F197" s="169"/>
      <c r="G197" s="170"/>
      <c r="H197" s="171"/>
      <c r="I197" s="54"/>
      <c r="J197" s="54"/>
      <c r="K197" s="55"/>
      <c r="L197" s="62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8.75">
      <c r="A198" s="166"/>
      <c r="B198" s="167"/>
      <c r="C198" s="167"/>
      <c r="D198" s="178" t="s">
        <v>80</v>
      </c>
      <c r="E198" s="174"/>
      <c r="F198" s="174"/>
      <c r="G198" s="171"/>
      <c r="H198" s="179" t="s">
        <v>79</v>
      </c>
      <c r="I198" s="212">
        <f ca="1">IFERROR(__xludf.DUMMYFUNCTION("IMPORTRANGE(""https://docs.google.com/spreadsheets/d/1eHaY18a8A9IcSdp1K8H6x8fbOy06t2VsZHhMHf-1x7Y/edit?usp=sharing"",""แผน!AE33"")"),4)</f>
        <v>4</v>
      </c>
      <c r="J198" s="467">
        <v>2</v>
      </c>
      <c r="K198" s="255">
        <f ca="1">IF(I198&gt;0,J198*100/I198,0)</f>
        <v>50</v>
      </c>
      <c r="L198" s="62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8.75">
      <c r="A199" s="166"/>
      <c r="B199" s="167"/>
      <c r="C199" s="167"/>
      <c r="D199" s="178" t="s">
        <v>81</v>
      </c>
      <c r="E199" s="174"/>
      <c r="F199" s="174"/>
      <c r="G199" s="171"/>
      <c r="H199" s="240" t="s">
        <v>35</v>
      </c>
      <c r="I199" s="54"/>
      <c r="J199" s="212">
        <f>J200+J201</f>
        <v>0</v>
      </c>
      <c r="K199" s="55"/>
      <c r="L199" s="62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467">
        <v>0</v>
      </c>
      <c r="K200" s="55"/>
      <c r="L200" s="62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40" t="s">
        <v>35</v>
      </c>
      <c r="I201" s="54"/>
      <c r="J201" s="467">
        <v>0</v>
      </c>
      <c r="K201" s="55"/>
      <c r="L201" s="62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254" t="s">
        <v>85</v>
      </c>
      <c r="I202" s="339">
        <f ca="1">I209</f>
        <v>3</v>
      </c>
      <c r="J202" s="339">
        <f>J209</f>
        <v>0</v>
      </c>
      <c r="K202" s="340">
        <f ca="1">IF(I202&gt;0,J202*100/I202,0)</f>
        <v>0</v>
      </c>
      <c r="L202" s="250"/>
      <c r="M202" s="249"/>
      <c r="N202" s="249"/>
      <c r="O202" s="249"/>
      <c r="P202" s="249"/>
      <c r="Q202" s="249"/>
      <c r="R202" s="249"/>
      <c r="S202" s="249"/>
      <c r="T202" s="249"/>
      <c r="U202" s="249"/>
    </row>
    <row r="203" spans="1:21" ht="19.5">
      <c r="A203" s="155"/>
      <c r="B203" s="50"/>
      <c r="C203" s="156" t="s">
        <v>18</v>
      </c>
      <c r="D203" s="713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541">
        <f ca="1">L204+L205+L206+L207</f>
        <v>10000</v>
      </c>
      <c r="M203" s="55"/>
      <c r="N203" s="540">
        <f>N204+N205+N206+N207</f>
        <v>0</v>
      </c>
      <c r="O203" s="540">
        <f ca="1">IF(L203&gt;0,N203*100/L203,0)</f>
        <v>0</v>
      </c>
      <c r="P203" s="540">
        <f>IF(M203&gt;0,N203*100/M203,0)</f>
        <v>0</v>
      </c>
      <c r="Q203" s="715">
        <f ca="1">Q204+Q205+Q206+Q207</f>
        <v>42000</v>
      </c>
      <c r="R203" s="350"/>
      <c r="S203" s="714">
        <f>S204+S205+S206+S207</f>
        <v>0</v>
      </c>
      <c r="T203" s="714">
        <f ca="1">IF(Q203&gt;0,S203*100/Q203,0)</f>
        <v>0</v>
      </c>
      <c r="U203" s="714">
        <f>IF(R203&gt;0,S203*100/R203,0)</f>
        <v>0</v>
      </c>
    </row>
    <row r="204" spans="1:21" ht="18.75">
      <c r="A204" s="155"/>
      <c r="B204" s="188"/>
      <c r="C204" s="50"/>
      <c r="D204" s="712" t="s">
        <v>310</v>
      </c>
      <c r="E204" s="50"/>
      <c r="F204" s="50"/>
      <c r="G204" s="52"/>
      <c r="H204" s="162" t="s">
        <v>14</v>
      </c>
      <c r="I204" s="163"/>
      <c r="J204" s="163"/>
      <c r="K204" s="164"/>
      <c r="L204" s="256">
        <f ca="1">IFERROR(__xludf.DUMMYFUNCTION("IMPORTRANGE(""https://docs.google.com/spreadsheets/d/1eHaY18a8A9IcSdp1K8H6x8fbOy06t2VsZHhMHf-1x7Y/edit?usp=sharing"",""แผน!AG33"")"),2000)</f>
        <v>2000</v>
      </c>
      <c r="M204" s="55"/>
      <c r="N204" s="702">
        <v>0</v>
      </c>
      <c r="O204" s="164"/>
      <c r="P204" s="55"/>
      <c r="Q204" s="256">
        <v>0</v>
      </c>
      <c r="R204" s="55"/>
      <c r="S204" s="255">
        <v>0</v>
      </c>
      <c r="T204" s="164"/>
      <c r="U204" s="55"/>
    </row>
    <row r="205" spans="1:21" ht="18.75">
      <c r="A205" s="238"/>
      <c r="B205" s="188"/>
      <c r="C205" s="50"/>
      <c r="D205" s="58" t="s">
        <v>308</v>
      </c>
      <c r="E205" s="50"/>
      <c r="F205" s="50"/>
      <c r="G205" s="52"/>
      <c r="H205" s="53" t="s">
        <v>14</v>
      </c>
      <c r="I205" s="54"/>
      <c r="J205" s="54"/>
      <c r="K205" s="55"/>
      <c r="L205" s="256">
        <f ca="1">IFERROR(__xludf.DUMMYFUNCTION("IMPORTRANGE(""https://docs.google.com/spreadsheets/d/1eHaY18a8A9IcSdp1K8H6x8fbOy06t2VsZHhMHf-1x7Y/edit?usp=sharing"",""แผน!AH33"")"),0)</f>
        <v>0</v>
      </c>
      <c r="M205" s="55"/>
      <c r="N205" s="702">
        <v>0</v>
      </c>
      <c r="O205" s="164"/>
      <c r="P205" s="55"/>
      <c r="Q205" s="256">
        <v>0</v>
      </c>
      <c r="R205" s="55"/>
      <c r="S205" s="255">
        <v>0</v>
      </c>
      <c r="T205" s="164"/>
      <c r="U205" s="55"/>
    </row>
    <row r="206" spans="1:21" ht="18.75">
      <c r="A206" s="238"/>
      <c r="B206" s="188"/>
      <c r="C206" s="50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256">
        <f ca="1">IFERROR(__xludf.DUMMYFUNCTION("IMPORTRANGE(""https://docs.google.com/spreadsheets/d/1eHaY18a8A9IcSdp1K8H6x8fbOy06t2VsZHhMHf-1x7Y/edit?usp=sharing"",""แผน!AI33"")"),0)</f>
        <v>0</v>
      </c>
      <c r="M206" s="55"/>
      <c r="N206" s="702">
        <v>0</v>
      </c>
      <c r="O206" s="164"/>
      <c r="P206" s="55"/>
      <c r="Q206" s="256">
        <f ca="1">IFERROR(__xludf.DUMMYFUNCTION("IMPORTRANGE(""https://docs.google.com/spreadsheets/d/1eHaY18a8A9IcSdp1K8H6x8fbOy06t2VsZHhMHf-1x7Y/edit?usp=sharing"",""แผน!LV33"")"),42000)</f>
        <v>42000</v>
      </c>
      <c r="R206" s="55"/>
      <c r="S206" s="702">
        <v>0</v>
      </c>
      <c r="T206" s="164"/>
      <c r="U206" s="55"/>
    </row>
    <row r="207" spans="1:21" ht="18.75">
      <c r="A207" s="238"/>
      <c r="B207" s="188"/>
      <c r="C207" s="50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256">
        <f ca="1">IFERROR(__xludf.DUMMYFUNCTION("IMPORTRANGE(""https://docs.google.com/spreadsheets/d/1eHaY18a8A9IcSdp1K8H6x8fbOy06t2VsZHhMHf-1x7Y/edit?usp=sharing"",""แผน!AJ33"")"),8000)</f>
        <v>8000</v>
      </c>
      <c r="M207" s="55"/>
      <c r="N207" s="702">
        <v>0</v>
      </c>
      <c r="O207" s="164"/>
      <c r="P207" s="55"/>
      <c r="Q207" s="256">
        <v>0</v>
      </c>
      <c r="R207" s="55"/>
      <c r="S207" s="255">
        <v>0</v>
      </c>
      <c r="T207" s="164"/>
      <c r="U207" s="55"/>
    </row>
    <row r="208" spans="1:21" ht="19.5">
      <c r="A208" s="166"/>
      <c r="B208" s="167"/>
      <c r="C208" s="156" t="s">
        <v>18</v>
      </c>
      <c r="D208" s="566" t="s">
        <v>38</v>
      </c>
      <c r="E208" s="169"/>
      <c r="F208" s="169"/>
      <c r="G208" s="170"/>
      <c r="H208" s="171"/>
      <c r="I208" s="163"/>
      <c r="J208" s="163"/>
      <c r="K208" s="164"/>
      <c r="L208" s="172"/>
      <c r="M208" s="164"/>
      <c r="N208" s="164"/>
      <c r="O208" s="164"/>
      <c r="P208" s="164"/>
      <c r="Q208" s="172"/>
      <c r="R208" s="164"/>
      <c r="S208" s="164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257" t="s">
        <v>85</v>
      </c>
      <c r="I209" s="212">
        <f ca="1">IFERROR(__xludf.DUMMYFUNCTION("IMPORTRANGE(""https://docs.google.com/spreadsheets/d/1eHaY18a8A9IcSdp1K8H6x8fbOy06t2VsZHhMHf-1x7Y/edit?usp=sharing"",""แผน!AK33"")"),3)</f>
        <v>3</v>
      </c>
      <c r="J209" s="467">
        <v>0</v>
      </c>
      <c r="K209" s="565">
        <f ca="1">IF(I209&gt;0,J209*100/I209,0)</f>
        <v>0</v>
      </c>
      <c r="L209" s="62"/>
      <c r="M209" s="55"/>
      <c r="N209" s="55"/>
      <c r="O209" s="55"/>
      <c r="P209" s="55"/>
      <c r="Q209" s="62"/>
      <c r="R209" s="55"/>
      <c r="S209" s="55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171"/>
      <c r="I210" s="54"/>
      <c r="J210" s="54"/>
      <c r="K210" s="164"/>
      <c r="L210" s="62"/>
      <c r="M210" s="55"/>
      <c r="N210" s="55"/>
      <c r="O210" s="55"/>
      <c r="P210" s="55"/>
      <c r="Q210" s="62"/>
      <c r="R210" s="55"/>
      <c r="S210" s="55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257" t="s">
        <v>85</v>
      </c>
      <c r="I211" s="212">
        <f ca="1">IFERROR(__xludf.DUMMYFUNCTION("IMPORTRANGE(""https://docs.google.com/spreadsheets/d/1eHaY18a8A9IcSdp1K8H6x8fbOy06t2VsZHhMHf-1x7Y/edit?usp=sharing"",""แผน!JX33"")"),2)</f>
        <v>2</v>
      </c>
      <c r="J211" s="467">
        <v>0</v>
      </c>
      <c r="K211" s="565">
        <f ca="1">IF(I211&gt;0,J211*100/I211,0)</f>
        <v>0</v>
      </c>
      <c r="L211" s="62"/>
      <c r="M211" s="55"/>
      <c r="N211" s="55"/>
      <c r="O211" s="55"/>
      <c r="P211" s="55"/>
      <c r="Q211" s="62"/>
      <c r="R211" s="55"/>
      <c r="S211" s="55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79" t="s">
        <v>93</v>
      </c>
      <c r="I212" s="212">
        <f ca="1">IFERROR(__xludf.DUMMYFUNCTION("IMPORTRANGE(""https://docs.google.com/spreadsheets/d/1eHaY18a8A9IcSdp1K8H6x8fbOy06t2VsZHhMHf-1x7Y/edit?usp=sharing"",""แผน!JY33"")"),0)</f>
        <v>0</v>
      </c>
      <c r="J212" s="467">
        <v>0</v>
      </c>
      <c r="K212" s="565">
        <f ca="1">IF(I212&gt;0,J212*100/I212,0)</f>
        <v>0</v>
      </c>
      <c r="L212" s="62"/>
      <c r="M212" s="55"/>
      <c r="N212" s="55"/>
      <c r="O212" s="55"/>
      <c r="P212" s="55"/>
      <c r="Q212" s="62"/>
      <c r="R212" s="55"/>
      <c r="S212" s="55"/>
      <c r="T212" s="55"/>
      <c r="U212" s="55"/>
    </row>
    <row r="213" spans="1:21" ht="19.5" hidden="1">
      <c r="A213" s="241"/>
      <c r="B213" s="242"/>
      <c r="C213" s="243" t="s">
        <v>94</v>
      </c>
      <c r="D213" s="244"/>
      <c r="E213" s="244"/>
      <c r="F213" s="244"/>
      <c r="G213" s="245"/>
      <c r="H213" s="254" t="s">
        <v>85</v>
      </c>
      <c r="I213" s="339">
        <f ca="1">I220</f>
        <v>0</v>
      </c>
      <c r="J213" s="339">
        <f>J220</f>
        <v>0</v>
      </c>
      <c r="K213" s="340">
        <f ca="1">IF(I213&gt;0,J213*100/I213,0)</f>
        <v>0</v>
      </c>
      <c r="L213" s="250"/>
      <c r="M213" s="249"/>
      <c r="N213" s="249"/>
      <c r="O213" s="249"/>
      <c r="P213" s="249"/>
      <c r="Q213" s="250"/>
      <c r="R213" s="249"/>
      <c r="S213" s="249"/>
      <c r="T213" s="249"/>
      <c r="U213" s="249"/>
    </row>
    <row r="214" spans="1:21" ht="19.5" hidden="1">
      <c r="A214" s="155"/>
      <c r="B214" s="50"/>
      <c r="C214" s="156" t="s">
        <v>18</v>
      </c>
      <c r="D214" s="713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541">
        <f ca="1">L215+L216+L217</f>
        <v>0</v>
      </c>
      <c r="M214" s="55"/>
      <c r="N214" s="540">
        <f>N215+N216+N217</f>
        <v>0</v>
      </c>
      <c r="O214" s="540">
        <f ca="1">IF(L214&gt;0,N214*100/L214,0)</f>
        <v>0</v>
      </c>
      <c r="P214" s="540">
        <f>IF(M214&gt;0,N214*100/M214,0)</f>
        <v>0</v>
      </c>
      <c r="Q214" s="541">
        <f ca="1">Q215+Q216+Q217</f>
        <v>0</v>
      </c>
      <c r="R214" s="55"/>
      <c r="S214" s="540">
        <f>S215+S216+S217</f>
        <v>0</v>
      </c>
      <c r="T214" s="540">
        <f ca="1">IF(Q214&gt;0,S214*100/Q214,0)</f>
        <v>0</v>
      </c>
      <c r="U214" s="540">
        <f>IF(R214&gt;0,S214*100/R214,0)</f>
        <v>0</v>
      </c>
    </row>
    <row r="215" spans="1:21" ht="18.75" hidden="1">
      <c r="A215" s="155"/>
      <c r="B215" s="188"/>
      <c r="C215" s="50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256">
        <f ca="1">IFERROR(__xludf.DUMMYFUNCTION("IMPORTRANGE(""https://docs.google.com/spreadsheets/d/1eHaY18a8A9IcSdp1K8H6x8fbOy06t2VsZHhMHf-1x7Y/edit?usp=sharing"",""แผน!AM33"")"),0)</f>
        <v>0</v>
      </c>
      <c r="M215" s="55"/>
      <c r="N215" s="702">
        <v>0</v>
      </c>
      <c r="O215" s="164"/>
      <c r="P215" s="55"/>
      <c r="Q215" s="256">
        <v>0</v>
      </c>
      <c r="R215" s="55"/>
      <c r="S215" s="255">
        <v>0</v>
      </c>
      <c r="T215" s="164"/>
      <c r="U215" s="55"/>
    </row>
    <row r="216" spans="1:21" ht="18.75" hidden="1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256">
        <f ca="1">IFERROR(__xludf.DUMMYFUNCTION("IMPORTRANGE(""https://docs.google.com/spreadsheets/d/1eHaY18a8A9IcSdp1K8H6x8fbOy06t2VsZHhMHf-1x7Y/edit?usp=sharing"",""แผน!AN33"")"),0)</f>
        <v>0</v>
      </c>
      <c r="M216" s="55"/>
      <c r="N216" s="702">
        <v>0</v>
      </c>
      <c r="O216" s="164"/>
      <c r="P216" s="55"/>
      <c r="Q216" s="256">
        <v>0</v>
      </c>
      <c r="R216" s="55"/>
      <c r="S216" s="255">
        <v>0</v>
      </c>
      <c r="T216" s="164"/>
      <c r="U216" s="55"/>
    </row>
    <row r="217" spans="1:21" ht="18.75" hidden="1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256">
        <f ca="1">IFERROR(__xludf.DUMMYFUNCTION("IMPORTRANGE(""https://docs.google.com/spreadsheets/d/1eHaY18a8A9IcSdp1K8H6x8fbOy06t2VsZHhMHf-1x7Y/edit?usp=sharing"",""แผน!AO33"")"),0)</f>
        <v>0</v>
      </c>
      <c r="M217" s="55"/>
      <c r="N217" s="702">
        <v>0</v>
      </c>
      <c r="O217" s="164"/>
      <c r="P217" s="55"/>
      <c r="Q217" s="256">
        <f ca="1">IFERROR(__xludf.DUMMYFUNCTION("IMPORTRANGE(""https://docs.google.com/spreadsheets/d/1eHaY18a8A9IcSdp1K8H6x8fbOy06t2VsZHhMHf-1x7Y/edit?usp=sharing"",""แผน!LY33"")"),0)</f>
        <v>0</v>
      </c>
      <c r="R217" s="55"/>
      <c r="S217" s="702">
        <v>0</v>
      </c>
      <c r="T217" s="164"/>
      <c r="U217" s="55"/>
    </row>
    <row r="218" spans="1:21" ht="19.5" hidden="1">
      <c r="A218" s="166"/>
      <c r="B218" s="167"/>
      <c r="C218" s="191" t="s">
        <v>18</v>
      </c>
      <c r="D218" s="566" t="s">
        <v>38</v>
      </c>
      <c r="E218" s="169"/>
      <c r="F218" s="169"/>
      <c r="G218" s="170"/>
      <c r="H218" s="171"/>
      <c r="I218" s="163"/>
      <c r="J218" s="54"/>
      <c r="K218" s="55"/>
      <c r="L218" s="62"/>
      <c r="M218" s="55"/>
      <c r="N218" s="55"/>
      <c r="O218" s="164"/>
      <c r="P218" s="164"/>
      <c r="Q218" s="62"/>
      <c r="R218" s="55"/>
      <c r="S218" s="55"/>
      <c r="T218" s="164"/>
      <c r="U218" s="164"/>
    </row>
    <row r="219" spans="1:21" ht="18.75" hidden="1">
      <c r="A219" s="166"/>
      <c r="B219" s="167"/>
      <c r="C219" s="167"/>
      <c r="D219" s="173" t="s">
        <v>96</v>
      </c>
      <c r="E219" s="174"/>
      <c r="F219" s="174"/>
      <c r="G219" s="171"/>
      <c r="H219" s="257" t="s">
        <v>85</v>
      </c>
      <c r="I219" s="212">
        <f ca="1">IFERROR(__xludf.DUMMYFUNCTION("IMPORTRANGE(""https://docs.google.com/spreadsheets/d/1eHaY18a8A9IcSdp1K8H6x8fbOy06t2VsZHhMHf-1x7Y/edit?usp=sharing"",""แผน!AP33"")"),0)</f>
        <v>0</v>
      </c>
      <c r="J219" s="467">
        <v>0</v>
      </c>
      <c r="K219" s="255">
        <f ca="1">IF(I219&gt;0,J219*100/I219,0)</f>
        <v>0</v>
      </c>
      <c r="L219" s="62"/>
      <c r="M219" s="55"/>
      <c r="N219" s="55"/>
      <c r="O219" s="55"/>
      <c r="P219" s="55"/>
      <c r="Q219" s="62"/>
      <c r="R219" s="55"/>
      <c r="S219" s="55"/>
      <c r="T219" s="55"/>
      <c r="U219" s="55"/>
    </row>
    <row r="220" spans="1:21" ht="18.75" hidden="1">
      <c r="A220" s="166"/>
      <c r="B220" s="167"/>
      <c r="C220" s="167"/>
      <c r="D220" s="173" t="s">
        <v>97</v>
      </c>
      <c r="E220" s="174"/>
      <c r="F220" s="174"/>
      <c r="G220" s="171"/>
      <c r="H220" s="257" t="s">
        <v>85</v>
      </c>
      <c r="I220" s="212">
        <f ca="1">IFERROR(__xludf.DUMMYFUNCTION("IMPORTRANGE(""https://docs.google.com/spreadsheets/d/1eHaY18a8A9IcSdp1K8H6x8fbOy06t2VsZHhMHf-1x7Y/edit?usp=sharing"",""แผน!AP33"")"),0)</f>
        <v>0</v>
      </c>
      <c r="J220" s="467">
        <v>0</v>
      </c>
      <c r="K220" s="255">
        <f ca="1">IF(I220&gt;0,J220*100/I220,0)</f>
        <v>0</v>
      </c>
      <c r="L220" s="62"/>
      <c r="M220" s="55"/>
      <c r="N220" s="55"/>
      <c r="O220" s="55"/>
      <c r="P220" s="55"/>
      <c r="Q220" s="62"/>
      <c r="R220" s="55"/>
      <c r="S220" s="55"/>
      <c r="T220" s="55"/>
      <c r="U220" s="55"/>
    </row>
    <row r="221" spans="1:21" ht="19.5">
      <c r="A221" s="241"/>
      <c r="B221" s="242"/>
      <c r="C221" s="243" t="s">
        <v>98</v>
      </c>
      <c r="D221" s="244"/>
      <c r="E221" s="244"/>
      <c r="F221" s="244"/>
      <c r="G221" s="245"/>
      <c r="H221" s="246" t="s">
        <v>99</v>
      </c>
      <c r="I221" s="339">
        <f ca="1">I229</f>
        <v>50000</v>
      </c>
      <c r="J221" s="339">
        <f>J229</f>
        <v>0</v>
      </c>
      <c r="K221" s="340">
        <f ca="1">IF(I221&gt;0,J221*100/I221,0)</f>
        <v>0</v>
      </c>
      <c r="L221" s="250"/>
      <c r="M221" s="249"/>
      <c r="N221" s="249"/>
      <c r="O221" s="249"/>
      <c r="P221" s="249"/>
      <c r="Q221" s="249"/>
      <c r="R221" s="249"/>
      <c r="S221" s="249"/>
      <c r="T221" s="249"/>
      <c r="U221" s="249"/>
    </row>
    <row r="222" spans="1:21" ht="19.5">
      <c r="A222" s="155"/>
      <c r="B222" s="50"/>
      <c r="C222" s="156" t="s">
        <v>18</v>
      </c>
      <c r="D222" s="713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541">
        <f ca="1">L223+L224+L225</f>
        <v>8500</v>
      </c>
      <c r="M222" s="55"/>
      <c r="N222" s="540">
        <f>N223+N224+N225</f>
        <v>0</v>
      </c>
      <c r="O222" s="540">
        <f ca="1">IF(L222&gt;0,N222*100/L222,0)</f>
        <v>0</v>
      </c>
      <c r="P222" s="540">
        <f>IF(M222&gt;0,N222*100/M222,0)</f>
        <v>0</v>
      </c>
      <c r="Q222" s="55"/>
      <c r="R222" s="55"/>
      <c r="S222" s="55"/>
      <c r="T222" s="55"/>
      <c r="U222" s="55"/>
    </row>
    <row r="223" spans="1:21" ht="18.75">
      <c r="A223" s="155"/>
      <c r="B223" s="188"/>
      <c r="C223" s="50"/>
      <c r="D223" s="712" t="s">
        <v>309</v>
      </c>
      <c r="E223" s="50"/>
      <c r="F223" s="50"/>
      <c r="G223" s="52"/>
      <c r="H223" s="162" t="s">
        <v>14</v>
      </c>
      <c r="I223" s="163"/>
      <c r="J223" s="163"/>
      <c r="K223" s="164"/>
      <c r="L223" s="256">
        <f ca="1">IFERROR(__xludf.DUMMYFUNCTION("IMPORTRANGE(""https://docs.google.com/spreadsheets/d/1eHaY18a8A9IcSdp1K8H6x8fbOy06t2VsZHhMHf-1x7Y/edit?usp=sharing"",""แผน!AR33"")"),2500)</f>
        <v>2500</v>
      </c>
      <c r="M223" s="55"/>
      <c r="N223" s="702">
        <v>0</v>
      </c>
      <c r="O223" s="164"/>
      <c r="P223" s="55"/>
      <c r="Q223" s="55"/>
      <c r="R223" s="55"/>
      <c r="S223" s="55"/>
      <c r="T223" s="164"/>
      <c r="U223" s="55"/>
    </row>
    <row r="224" spans="1:21" ht="18.75">
      <c r="A224" s="238"/>
      <c r="B224" s="188"/>
      <c r="C224" s="188"/>
      <c r="D224" s="58" t="s">
        <v>308</v>
      </c>
      <c r="E224" s="50"/>
      <c r="F224" s="50"/>
      <c r="G224" s="52"/>
      <c r="H224" s="162" t="s">
        <v>14</v>
      </c>
      <c r="I224" s="54"/>
      <c r="J224" s="54"/>
      <c r="K224" s="55"/>
      <c r="L224" s="256">
        <f ca="1">IFERROR(__xludf.DUMMYFUNCTION("IMPORTRANGE(""https://docs.google.com/spreadsheets/d/1eHaY18a8A9IcSdp1K8H6x8fbOy06t2VsZHhMHf-1x7Y/edit?usp=sharing"",""แผน!AS33"")"),6000)</f>
        <v>6000</v>
      </c>
      <c r="M224" s="55"/>
      <c r="N224" s="702">
        <v>0</v>
      </c>
      <c r="O224" s="164"/>
      <c r="P224" s="55"/>
      <c r="Q224" s="55"/>
      <c r="R224" s="55"/>
      <c r="S224" s="55"/>
      <c r="T224" s="164"/>
      <c r="U224" s="55"/>
    </row>
    <row r="225" spans="1:21" ht="18.75">
      <c r="A225" s="238"/>
      <c r="B225" s="188"/>
      <c r="C225" s="188"/>
      <c r="D225" s="58" t="s">
        <v>88</v>
      </c>
      <c r="E225" s="50"/>
      <c r="F225" s="50"/>
      <c r="G225" s="52"/>
      <c r="H225" s="162" t="s">
        <v>14</v>
      </c>
      <c r="I225" s="54"/>
      <c r="J225" s="54"/>
      <c r="K225" s="55"/>
      <c r="L225" s="256">
        <f ca="1">IFERROR(__xludf.DUMMYFUNCTION("IMPORTRANGE(""https://docs.google.com/spreadsheets/d/1eHaY18a8A9IcSdp1K8H6x8fbOy06t2VsZHhMHf-1x7Y/edit?usp=sharing"",""แผน!AT33"")"),0)</f>
        <v>0</v>
      </c>
      <c r="M225" s="55"/>
      <c r="N225" s="702">
        <v>0</v>
      </c>
      <c r="O225" s="164"/>
      <c r="P225" s="55"/>
      <c r="Q225" s="55"/>
      <c r="R225" s="55"/>
      <c r="S225" s="55"/>
      <c r="T225" s="164"/>
      <c r="U225" s="55"/>
    </row>
    <row r="226" spans="1:21" ht="19.5">
      <c r="A226" s="166"/>
      <c r="B226" s="167"/>
      <c r="C226" s="191" t="s">
        <v>18</v>
      </c>
      <c r="D226" s="566" t="s">
        <v>38</v>
      </c>
      <c r="E226" s="169"/>
      <c r="F226" s="169"/>
      <c r="G226" s="170"/>
      <c r="H226" s="171"/>
      <c r="I226" s="163"/>
      <c r="J226" s="163"/>
      <c r="K226" s="164"/>
      <c r="L226" s="172"/>
      <c r="M226" s="164"/>
      <c r="N226" s="164"/>
      <c r="O226" s="164"/>
      <c r="P226" s="164"/>
      <c r="Q226" s="164"/>
      <c r="R226" s="164"/>
      <c r="S226" s="164"/>
      <c r="T226" s="164"/>
      <c r="U226" s="164"/>
    </row>
    <row r="227" spans="1:21" ht="18.75">
      <c r="A227" s="166"/>
      <c r="B227" s="167"/>
      <c r="C227" s="167"/>
      <c r="D227" s="58" t="s">
        <v>101</v>
      </c>
      <c r="E227" s="174"/>
      <c r="F227" s="174"/>
      <c r="G227" s="171"/>
      <c r="H227" s="171"/>
      <c r="I227" s="54"/>
      <c r="J227" s="54"/>
      <c r="K227" s="164"/>
      <c r="L227" s="172"/>
      <c r="M227" s="164"/>
      <c r="N227" s="164"/>
      <c r="O227" s="164"/>
      <c r="P227" s="164"/>
      <c r="Q227" s="164"/>
      <c r="R227" s="164"/>
      <c r="S227" s="164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79" t="s">
        <v>99</v>
      </c>
      <c r="I228" s="212">
        <f ca="1">IFERROR(__xludf.DUMMYFUNCTION("IMPORTRANGE(""https://docs.google.com/spreadsheets/d/1eHaY18a8A9IcSdp1K8H6x8fbOy06t2VsZHhMHf-1x7Y/edit?usp=sharing"",""แผน!AV33"")"),50000)</f>
        <v>50000</v>
      </c>
      <c r="J228" s="467">
        <v>0</v>
      </c>
      <c r="K228" s="565">
        <f ca="1">IF(I228&gt;0,J228*100/I228,0)</f>
        <v>0</v>
      </c>
      <c r="L228" s="172"/>
      <c r="M228" s="164"/>
      <c r="N228" s="164"/>
      <c r="O228" s="164"/>
      <c r="P228" s="164"/>
      <c r="Q228" s="164"/>
      <c r="R228" s="164"/>
      <c r="S228" s="164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79" t="s">
        <v>99</v>
      </c>
      <c r="I229" s="212">
        <f ca="1">IFERROR(__xludf.DUMMYFUNCTION("IMPORTRANGE(""https://docs.google.com/spreadsheets/d/1eHaY18a8A9IcSdp1K8H6x8fbOy06t2VsZHhMHf-1x7Y/edit?usp=sharing"",""แผน!AV33"")"),50000)</f>
        <v>50000</v>
      </c>
      <c r="J229" s="467">
        <v>0</v>
      </c>
      <c r="K229" s="565">
        <f ca="1">IF(I229&gt;0,J229*100/I229,0)</f>
        <v>0</v>
      </c>
      <c r="L229" s="62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79" t="s">
        <v>35</v>
      </c>
      <c r="I230" s="212">
        <f ca="1">IFERROR(__xludf.DUMMYFUNCTION("IMPORTRANGE(""https://docs.google.com/spreadsheets/d/1eHaY18a8A9IcSdp1K8H6x8fbOy06t2VsZHhMHf-1x7Y/edit?usp=sharing"",""แผน!AU33"")"),0)</f>
        <v>0</v>
      </c>
      <c r="J230" s="467">
        <v>0</v>
      </c>
      <c r="K230" s="565">
        <f ca="1">IF(I230&gt;0,J230*100/I230,0)</f>
        <v>0</v>
      </c>
      <c r="L230" s="62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9.5" hidden="1">
      <c r="A231" s="241"/>
      <c r="B231" s="242"/>
      <c r="C231" s="243" t="s">
        <v>105</v>
      </c>
      <c r="D231" s="244"/>
      <c r="E231" s="244"/>
      <c r="F231" s="244"/>
      <c r="G231" s="245"/>
      <c r="H231" s="246" t="s">
        <v>35</v>
      </c>
      <c r="I231" s="339">
        <f ca="1">I242+I253</f>
        <v>0</v>
      </c>
      <c r="J231" s="339">
        <f>J242+J253</f>
        <v>0</v>
      </c>
      <c r="K231" s="340">
        <f ca="1">IF(I231&gt;0,J231*100/I231,0)</f>
        <v>0</v>
      </c>
      <c r="L231" s="250"/>
      <c r="M231" s="249"/>
      <c r="N231" s="249"/>
      <c r="O231" s="249"/>
      <c r="P231" s="249"/>
      <c r="Q231" s="249"/>
      <c r="R231" s="249"/>
      <c r="S231" s="249"/>
      <c r="T231" s="249"/>
      <c r="U231" s="249"/>
    </row>
    <row r="232" spans="1:21" ht="19.5" hidden="1">
      <c r="A232" s="155"/>
      <c r="B232" s="50"/>
      <c r="C232" s="156" t="s">
        <v>18</v>
      </c>
      <c r="D232" s="575" t="s">
        <v>19</v>
      </c>
      <c r="E232" s="50"/>
      <c r="F232" s="50"/>
      <c r="G232" s="52"/>
      <c r="H232" s="252" t="s">
        <v>14</v>
      </c>
      <c r="I232" s="163"/>
      <c r="J232" s="163"/>
      <c r="K232" s="164"/>
      <c r="L232" s="711">
        <f ca="1">L243+L254</f>
        <v>0</v>
      </c>
      <c r="M232" s="55"/>
      <c r="N232" s="710">
        <f>N243+N254</f>
        <v>0</v>
      </c>
      <c r="O232" s="55"/>
      <c r="P232" s="55"/>
      <c r="Q232" s="55"/>
      <c r="R232" s="55"/>
      <c r="S232" s="55"/>
      <c r="T232" s="55"/>
      <c r="U232" s="55"/>
    </row>
    <row r="233" spans="1:21" ht="18.75" hidden="1">
      <c r="A233" s="155"/>
      <c r="B233" s="188"/>
      <c r="C233" s="50"/>
      <c r="D233" s="58" t="s">
        <v>86</v>
      </c>
      <c r="E233" s="50"/>
      <c r="F233" s="50"/>
      <c r="G233" s="52"/>
      <c r="H233" s="162" t="s">
        <v>14</v>
      </c>
      <c r="I233" s="163"/>
      <c r="J233" s="163"/>
      <c r="K233" s="164"/>
      <c r="L233" s="103">
        <f ca="1">L244+L255</f>
        <v>0</v>
      </c>
      <c r="M233" s="55"/>
      <c r="N233" s="102">
        <f>N244+N255</f>
        <v>0</v>
      </c>
      <c r="O233" s="55"/>
      <c r="P233" s="55"/>
      <c r="Q233" s="709">
        <v>0</v>
      </c>
      <c r="R233" s="708">
        <v>0</v>
      </c>
      <c r="S233" s="708">
        <v>0</v>
      </c>
      <c r="T233" s="55"/>
      <c r="U233" s="55"/>
    </row>
    <row r="234" spans="1:21" ht="18.75" hidden="1">
      <c r="A234" s="238"/>
      <c r="B234" s="188"/>
      <c r="C234" s="188"/>
      <c r="D234" s="58" t="s">
        <v>88</v>
      </c>
      <c r="E234" s="50"/>
      <c r="F234" s="50"/>
      <c r="G234" s="52"/>
      <c r="H234" s="162" t="s">
        <v>14</v>
      </c>
      <c r="I234" s="54"/>
      <c r="J234" s="54"/>
      <c r="K234" s="55"/>
      <c r="L234" s="103">
        <f ca="1">L245+L256</f>
        <v>0</v>
      </c>
      <c r="M234" s="55"/>
      <c r="N234" s="102">
        <f>N245+N256</f>
        <v>0</v>
      </c>
      <c r="O234" s="55"/>
      <c r="P234" s="55"/>
      <c r="Q234" s="256">
        <v>0</v>
      </c>
      <c r="R234" s="255">
        <v>0</v>
      </c>
      <c r="S234" s="255">
        <v>0</v>
      </c>
      <c r="T234" s="55"/>
      <c r="U234" s="55"/>
    </row>
    <row r="235" spans="1:21" ht="18.75" hidden="1">
      <c r="A235" s="238"/>
      <c r="B235" s="188"/>
      <c r="C235" s="188"/>
      <c r="D235" s="58" t="s">
        <v>106</v>
      </c>
      <c r="E235" s="50"/>
      <c r="F235" s="50"/>
      <c r="G235" s="52"/>
      <c r="H235" s="162" t="s">
        <v>14</v>
      </c>
      <c r="I235" s="54"/>
      <c r="J235" s="54"/>
      <c r="K235" s="55"/>
      <c r="L235" s="103">
        <f ca="1">L246+L257</f>
        <v>0</v>
      </c>
      <c r="M235" s="55"/>
      <c r="N235" s="102">
        <f>N246+N257</f>
        <v>0</v>
      </c>
      <c r="O235" s="55"/>
      <c r="P235" s="55"/>
      <c r="Q235" s="256">
        <v>0</v>
      </c>
      <c r="R235" s="255">
        <v>0</v>
      </c>
      <c r="S235" s="255">
        <v>0</v>
      </c>
      <c r="T235" s="55"/>
      <c r="U235" s="55"/>
    </row>
    <row r="236" spans="1:21" ht="18.75" hidden="1">
      <c r="A236" s="238"/>
      <c r="B236" s="188"/>
      <c r="C236" s="188"/>
      <c r="D236" s="58" t="s">
        <v>107</v>
      </c>
      <c r="E236" s="50"/>
      <c r="F236" s="50"/>
      <c r="G236" s="52"/>
      <c r="H236" s="162" t="s">
        <v>14</v>
      </c>
      <c r="I236" s="54"/>
      <c r="J236" s="54"/>
      <c r="K236" s="55"/>
      <c r="L236" s="103">
        <f ca="1">L247+L258</f>
        <v>0</v>
      </c>
      <c r="M236" s="55"/>
      <c r="N236" s="102">
        <f>N247+N258</f>
        <v>0</v>
      </c>
      <c r="O236" s="55"/>
      <c r="P236" s="55"/>
      <c r="Q236" s="256">
        <v>0</v>
      </c>
      <c r="R236" s="255">
        <v>0</v>
      </c>
      <c r="S236" s="255">
        <v>0</v>
      </c>
      <c r="T236" s="55"/>
      <c r="U236" s="55"/>
    </row>
    <row r="237" spans="1:21" ht="19.5" hidden="1">
      <c r="A237" s="166"/>
      <c r="B237" s="167"/>
      <c r="C237" s="191" t="s">
        <v>18</v>
      </c>
      <c r="D237" s="566" t="s">
        <v>38</v>
      </c>
      <c r="E237" s="169"/>
      <c r="F237" s="169"/>
      <c r="G237" s="170"/>
      <c r="H237" s="171"/>
      <c r="I237" s="163"/>
      <c r="J237" s="54"/>
      <c r="K237" s="55"/>
      <c r="L237" s="62"/>
      <c r="M237" s="55"/>
      <c r="N237" s="55"/>
      <c r="O237" s="164"/>
      <c r="P237" s="164"/>
      <c r="Q237" s="55"/>
      <c r="R237" s="55"/>
      <c r="S237" s="55"/>
      <c r="T237" s="164"/>
      <c r="U237" s="164"/>
    </row>
    <row r="238" spans="1:21" ht="18.75" hidden="1">
      <c r="A238" s="166"/>
      <c r="B238" s="167"/>
      <c r="C238" s="167"/>
      <c r="D238" s="178" t="s">
        <v>108</v>
      </c>
      <c r="E238" s="174"/>
      <c r="F238" s="174"/>
      <c r="G238" s="171"/>
      <c r="H238" s="179" t="s">
        <v>35</v>
      </c>
      <c r="I238" s="212">
        <f ca="1">I249+I260</f>
        <v>0</v>
      </c>
      <c r="J238" s="212">
        <f>J249+J260</f>
        <v>0</v>
      </c>
      <c r="K238" s="255">
        <f ca="1">IF(I238&gt;0,J238*100/I238,0)</f>
        <v>0</v>
      </c>
      <c r="L238" s="62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ht="18.75" hidden="1">
      <c r="A239" s="166"/>
      <c r="B239" s="167"/>
      <c r="C239" s="167"/>
      <c r="D239" s="266" t="s">
        <v>43</v>
      </c>
      <c r="E239" s="174"/>
      <c r="F239" s="174"/>
      <c r="G239" s="171"/>
      <c r="H239" s="171"/>
      <c r="I239" s="54"/>
      <c r="J239" s="54"/>
      <c r="K239" s="55"/>
      <c r="L239" s="62"/>
      <c r="M239" s="55"/>
      <c r="N239" s="55"/>
      <c r="O239" s="164"/>
      <c r="P239" s="164"/>
      <c r="Q239" s="55"/>
      <c r="R239" s="55"/>
      <c r="S239" s="55"/>
      <c r="T239" s="164"/>
      <c r="U239" s="164"/>
    </row>
    <row r="240" spans="1:21" ht="18.75" hidden="1">
      <c r="A240" s="166"/>
      <c r="B240" s="167"/>
      <c r="C240" s="167"/>
      <c r="D240" s="167"/>
      <c r="E240" s="173" t="s">
        <v>109</v>
      </c>
      <c r="F240" s="174"/>
      <c r="G240" s="171"/>
      <c r="H240" s="179" t="s">
        <v>35</v>
      </c>
      <c r="I240" s="212">
        <f>I251+I262</f>
        <v>0</v>
      </c>
      <c r="J240" s="212">
        <f>J251+J262</f>
        <v>0</v>
      </c>
      <c r="K240" s="255">
        <f>IF(I240&gt;0,J240*100/I240,0)</f>
        <v>0</v>
      </c>
      <c r="L240" s="62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ht="18.75" hidden="1">
      <c r="A241" s="166"/>
      <c r="B241" s="167"/>
      <c r="C241" s="167"/>
      <c r="D241" s="167"/>
      <c r="E241" s="173" t="s">
        <v>110</v>
      </c>
      <c r="F241" s="174"/>
      <c r="G241" s="171"/>
      <c r="H241" s="179" t="s">
        <v>61</v>
      </c>
      <c r="I241" s="212">
        <f>I252+I263</f>
        <v>0</v>
      </c>
      <c r="J241" s="212">
        <f>J252+J263</f>
        <v>0</v>
      </c>
      <c r="K241" s="255">
        <f>IF(I241&gt;0,J241*100/I241,0)</f>
        <v>0</v>
      </c>
      <c r="L241" s="62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ht="19.5" hidden="1">
      <c r="A242" s="241"/>
      <c r="B242" s="242"/>
      <c r="C242" s="707" t="s">
        <v>111</v>
      </c>
      <c r="D242" s="244"/>
      <c r="E242" s="244"/>
      <c r="F242" s="244"/>
      <c r="G242" s="245"/>
      <c r="H242" s="706" t="s">
        <v>35</v>
      </c>
      <c r="I242" s="705">
        <f ca="1">I249</f>
        <v>0</v>
      </c>
      <c r="J242" s="705">
        <f>J249</f>
        <v>0</v>
      </c>
      <c r="K242" s="704">
        <f ca="1">IF(I242&gt;0,J242*100/I242,0)</f>
        <v>0</v>
      </c>
      <c r="L242" s="250"/>
      <c r="M242" s="249"/>
      <c r="N242" s="249"/>
      <c r="O242" s="249"/>
      <c r="P242" s="249"/>
      <c r="Q242" s="249"/>
      <c r="R242" s="249"/>
      <c r="S242" s="249"/>
      <c r="T242" s="249"/>
      <c r="U242" s="249"/>
    </row>
    <row r="243" spans="1:21" ht="19.5" hidden="1">
      <c r="A243" s="155"/>
      <c r="B243" s="50"/>
      <c r="C243" s="591" t="s">
        <v>18</v>
      </c>
      <c r="D243" s="562" t="s">
        <v>19</v>
      </c>
      <c r="E243" s="50"/>
      <c r="F243" s="50"/>
      <c r="G243" s="52"/>
      <c r="H243" s="418" t="s">
        <v>14</v>
      </c>
      <c r="I243" s="163"/>
      <c r="J243" s="163"/>
      <c r="K243" s="164"/>
      <c r="L243" s="541">
        <f ca="1">L244+L245+L246+L247</f>
        <v>0</v>
      </c>
      <c r="M243" s="55"/>
      <c r="N243" s="540">
        <f>N244+N245+N246+N247</f>
        <v>0</v>
      </c>
      <c r="O243" s="540">
        <f ca="1">IF(L243&gt;0,N243*100/L243,0)</f>
        <v>0</v>
      </c>
      <c r="P243" s="540">
        <f>IF(M243&gt;0,N243*100/M243,0)</f>
        <v>0</v>
      </c>
      <c r="Q243" s="55"/>
      <c r="R243" s="55"/>
      <c r="S243" s="55"/>
      <c r="T243" s="55"/>
      <c r="U243" s="55"/>
    </row>
    <row r="244" spans="1:21" ht="18.75" hidden="1">
      <c r="A244" s="155"/>
      <c r="B244" s="188"/>
      <c r="C244" s="50"/>
      <c r="D244" s="186" t="s">
        <v>86</v>
      </c>
      <c r="E244" s="50"/>
      <c r="F244" s="50"/>
      <c r="G244" s="52"/>
      <c r="H244" s="189" t="s">
        <v>14</v>
      </c>
      <c r="I244" s="163"/>
      <c r="J244" s="163"/>
      <c r="K244" s="164"/>
      <c r="L244" s="256">
        <f ca="1">IFERROR(__xludf.DUMMYFUNCTION("IMPORTRANGE(""https://docs.google.com/spreadsheets/d/1eHaY18a8A9IcSdp1K8H6x8fbOy06t2VsZHhMHf-1x7Y/edit?usp=sharing"",""แผน!AX33"")"),0)</f>
        <v>0</v>
      </c>
      <c r="M244" s="55"/>
      <c r="N244" s="702">
        <v>0</v>
      </c>
      <c r="O244" s="55"/>
      <c r="P244" s="55"/>
      <c r="Q244" s="55"/>
      <c r="R244" s="55"/>
      <c r="S244" s="55"/>
      <c r="T244" s="55"/>
      <c r="U244" s="55"/>
    </row>
    <row r="245" spans="1:21" ht="18.75" hidden="1">
      <c r="A245" s="238"/>
      <c r="B245" s="188"/>
      <c r="C245" s="188"/>
      <c r="D245" s="186" t="s">
        <v>88</v>
      </c>
      <c r="E245" s="50"/>
      <c r="F245" s="50"/>
      <c r="G245" s="52"/>
      <c r="H245" s="189" t="s">
        <v>14</v>
      </c>
      <c r="I245" s="54"/>
      <c r="J245" s="54"/>
      <c r="K245" s="55"/>
      <c r="L245" s="256">
        <f ca="1">IFERROR(__xludf.DUMMYFUNCTION("IMPORTRANGE(""https://docs.google.com/spreadsheets/d/1eHaY18a8A9IcSdp1K8H6x8fbOy06t2VsZHhMHf-1x7Y/edit?usp=sharing"",""แผน!AY33"")"),0)</f>
        <v>0</v>
      </c>
      <c r="M245" s="55"/>
      <c r="N245" s="702">
        <v>0</v>
      </c>
      <c r="O245" s="55"/>
      <c r="P245" s="55"/>
      <c r="Q245" s="55"/>
      <c r="R245" s="55"/>
      <c r="S245" s="55"/>
      <c r="T245" s="55"/>
      <c r="U245" s="55"/>
    </row>
    <row r="246" spans="1:21" ht="18.75" hidden="1">
      <c r="A246" s="238"/>
      <c r="B246" s="188"/>
      <c r="C246" s="188"/>
      <c r="D246" s="186" t="s">
        <v>106</v>
      </c>
      <c r="E246" s="50"/>
      <c r="F246" s="50"/>
      <c r="G246" s="52"/>
      <c r="H246" s="189" t="s">
        <v>14</v>
      </c>
      <c r="I246" s="54"/>
      <c r="J246" s="54"/>
      <c r="K246" s="55"/>
      <c r="L246" s="256">
        <f ca="1">IFERROR(__xludf.DUMMYFUNCTION("IMPORTRANGE(""https://docs.google.com/spreadsheets/d/1eHaY18a8A9IcSdp1K8H6x8fbOy06t2VsZHhMHf-1x7Y/edit?usp=sharing"",""แผน!AZ33"")"),0)</f>
        <v>0</v>
      </c>
      <c r="M246" s="55"/>
      <c r="N246" s="702">
        <v>0</v>
      </c>
      <c r="O246" s="55"/>
      <c r="P246" s="55"/>
      <c r="Q246" s="55"/>
      <c r="R246" s="55"/>
      <c r="S246" s="55"/>
      <c r="T246" s="55"/>
      <c r="U246" s="55"/>
    </row>
    <row r="247" spans="1:21" ht="18.75" hidden="1">
      <c r="A247" s="238"/>
      <c r="B247" s="188"/>
      <c r="C247" s="188"/>
      <c r="D247" s="186" t="s">
        <v>107</v>
      </c>
      <c r="E247" s="50"/>
      <c r="F247" s="50"/>
      <c r="G247" s="52"/>
      <c r="H247" s="189" t="s">
        <v>14</v>
      </c>
      <c r="I247" s="54"/>
      <c r="J247" s="54"/>
      <c r="K247" s="55"/>
      <c r="L247" s="256">
        <f ca="1">IFERROR(__xludf.DUMMYFUNCTION("IMPORTRANGE(""https://docs.google.com/spreadsheets/d/1eHaY18a8A9IcSdp1K8H6x8fbOy06t2VsZHhMHf-1x7Y/edit?usp=sharing"",""แผน!BA33"")"),0)</f>
        <v>0</v>
      </c>
      <c r="M247" s="55"/>
      <c r="N247" s="702">
        <v>0</v>
      </c>
      <c r="O247" s="55"/>
      <c r="P247" s="55"/>
      <c r="Q247" s="55"/>
      <c r="R247" s="55"/>
      <c r="S247" s="55"/>
      <c r="T247" s="55"/>
      <c r="U247" s="55"/>
    </row>
    <row r="248" spans="1:21" ht="19.5" hidden="1">
      <c r="A248" s="166"/>
      <c r="B248" s="167"/>
      <c r="C248" s="701" t="s">
        <v>18</v>
      </c>
      <c r="D248" s="574" t="s">
        <v>38</v>
      </c>
      <c r="E248" s="169"/>
      <c r="F248" s="169"/>
      <c r="G248" s="170"/>
      <c r="H248" s="171"/>
      <c r="I248" s="163"/>
      <c r="J248" s="54"/>
      <c r="K248" s="55"/>
      <c r="L248" s="62"/>
      <c r="M248" s="55"/>
      <c r="N248" s="55"/>
      <c r="O248" s="164"/>
      <c r="P248" s="164"/>
      <c r="Q248" s="55"/>
      <c r="R248" s="55"/>
      <c r="S248" s="55"/>
      <c r="T248" s="164"/>
      <c r="U248" s="164"/>
    </row>
    <row r="249" spans="1:21" ht="18.75" hidden="1">
      <c r="A249" s="166"/>
      <c r="B249" s="167"/>
      <c r="C249" s="167"/>
      <c r="D249" s="207" t="s">
        <v>108</v>
      </c>
      <c r="E249" s="174"/>
      <c r="F249" s="174"/>
      <c r="G249" s="171"/>
      <c r="H249" s="698" t="s">
        <v>35</v>
      </c>
      <c r="I249" s="483">
        <f ca="1">IFERROR(__xludf.DUMMYFUNCTION("IMPORTRANGE(""https://docs.google.com/spreadsheets/d/1eHaY18a8A9IcSdp1K8H6x8fbOy06t2VsZHhMHf-1x7Y/edit?usp=sharing"",""แผน!BG33"")"),0)</f>
        <v>0</v>
      </c>
      <c r="J249" s="589">
        <v>0</v>
      </c>
      <c r="K249" s="102">
        <f ca="1">IF(I249&gt;0,J249*100/I249,0)</f>
        <v>0</v>
      </c>
      <c r="L249" s="62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8.75" hidden="1">
      <c r="A250" s="166"/>
      <c r="B250" s="167"/>
      <c r="C250" s="167"/>
      <c r="D250" s="700" t="s">
        <v>43</v>
      </c>
      <c r="E250" s="174"/>
      <c r="F250" s="174"/>
      <c r="G250" s="171"/>
      <c r="H250" s="171"/>
      <c r="I250" s="54"/>
      <c r="J250" s="54"/>
      <c r="K250" s="55"/>
      <c r="L250" s="62"/>
      <c r="M250" s="55"/>
      <c r="N250" s="55"/>
      <c r="O250" s="164"/>
      <c r="P250" s="164"/>
      <c r="Q250" s="55"/>
      <c r="R250" s="55"/>
      <c r="S250" s="55"/>
      <c r="T250" s="164"/>
      <c r="U250" s="164"/>
    </row>
    <row r="251" spans="1:21" ht="18.75" hidden="1">
      <c r="A251" s="166"/>
      <c r="B251" s="167"/>
      <c r="C251" s="167"/>
      <c r="D251" s="167"/>
      <c r="E251" s="699" t="s">
        <v>109</v>
      </c>
      <c r="F251" s="174"/>
      <c r="G251" s="171"/>
      <c r="H251" s="698" t="s">
        <v>35</v>
      </c>
      <c r="I251" s="483">
        <v>0</v>
      </c>
      <c r="J251" s="589">
        <v>0</v>
      </c>
      <c r="K251" s="102">
        <f>IF(I251&gt;0,J251*100/I251,0)</f>
        <v>0</v>
      </c>
      <c r="L251" s="62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8.75" hidden="1">
      <c r="A252" s="166"/>
      <c r="B252" s="167"/>
      <c r="C252" s="167"/>
      <c r="D252" s="167"/>
      <c r="E252" s="699" t="s">
        <v>110</v>
      </c>
      <c r="F252" s="174"/>
      <c r="G252" s="171"/>
      <c r="H252" s="698" t="s">
        <v>61</v>
      </c>
      <c r="I252" s="483">
        <v>0</v>
      </c>
      <c r="J252" s="589">
        <v>0</v>
      </c>
      <c r="K252" s="102">
        <f>IF(I252&gt;0,J252*100/I252,0)</f>
        <v>0</v>
      </c>
      <c r="L252" s="62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9.5" hidden="1">
      <c r="A253" s="241"/>
      <c r="B253" s="242"/>
      <c r="C253" s="707" t="s">
        <v>112</v>
      </c>
      <c r="D253" s="244"/>
      <c r="E253" s="244"/>
      <c r="F253" s="244"/>
      <c r="G253" s="245"/>
      <c r="H253" s="706" t="s">
        <v>35</v>
      </c>
      <c r="I253" s="705">
        <f ca="1">I260</f>
        <v>0</v>
      </c>
      <c r="J253" s="705">
        <f>J260</f>
        <v>0</v>
      </c>
      <c r="K253" s="704">
        <f ca="1">IF(I253&gt;0,J253*100/I253,0)</f>
        <v>0</v>
      </c>
      <c r="L253" s="250"/>
      <c r="M253" s="249"/>
      <c r="N253" s="249"/>
      <c r="O253" s="249"/>
      <c r="P253" s="249"/>
      <c r="Q253" s="249"/>
      <c r="R253" s="249"/>
      <c r="S253" s="249"/>
      <c r="T253" s="249"/>
      <c r="U253" s="249"/>
    </row>
    <row r="254" spans="1:21" ht="19.5" hidden="1">
      <c r="A254" s="155"/>
      <c r="B254" s="50"/>
      <c r="C254" s="591" t="s">
        <v>18</v>
      </c>
      <c r="D254" s="703" t="s">
        <v>19</v>
      </c>
      <c r="E254" s="50"/>
      <c r="F254" s="50"/>
      <c r="G254" s="52"/>
      <c r="H254" s="418" t="s">
        <v>14</v>
      </c>
      <c r="I254" s="163"/>
      <c r="J254" s="163"/>
      <c r="K254" s="164"/>
      <c r="L254" s="541">
        <f ca="1">L255+L256+L257+L258</f>
        <v>0</v>
      </c>
      <c r="M254" s="55"/>
      <c r="N254" s="540">
        <f>N255+N256+N257+N258</f>
        <v>0</v>
      </c>
      <c r="O254" s="540">
        <f ca="1">IF(L254&gt;0,N254*100/L254,0)</f>
        <v>0</v>
      </c>
      <c r="P254" s="540">
        <f>IF(M254&gt;0,N254*100/M254,0)</f>
        <v>0</v>
      </c>
      <c r="Q254" s="55"/>
      <c r="R254" s="55"/>
      <c r="S254" s="55"/>
      <c r="T254" s="55"/>
      <c r="U254" s="55"/>
    </row>
    <row r="255" spans="1:21" ht="18.75" hidden="1">
      <c r="A255" s="155"/>
      <c r="B255" s="188"/>
      <c r="C255" s="50"/>
      <c r="D255" s="186" t="s">
        <v>86</v>
      </c>
      <c r="E255" s="50"/>
      <c r="F255" s="50"/>
      <c r="G255" s="52"/>
      <c r="H255" s="189" t="s">
        <v>14</v>
      </c>
      <c r="I255" s="163"/>
      <c r="J255" s="163"/>
      <c r="K255" s="164"/>
      <c r="L255" s="256">
        <f ca="1">IFERROR(__xludf.DUMMYFUNCTION("IMPORTRANGE(""https://docs.google.com/spreadsheets/d/1eHaY18a8A9IcSdp1K8H6x8fbOy06t2VsZHhMHf-1x7Y/edit?usp=sharing"",""แผน!BB33"")"),0)</f>
        <v>0</v>
      </c>
      <c r="M255" s="55"/>
      <c r="N255" s="702">
        <v>0</v>
      </c>
      <c r="O255" s="55"/>
      <c r="P255" s="55"/>
      <c r="Q255" s="55"/>
      <c r="R255" s="55"/>
      <c r="S255" s="55"/>
      <c r="T255" s="55"/>
      <c r="U255" s="55"/>
    </row>
    <row r="256" spans="1:21" ht="18.75" hidden="1">
      <c r="A256" s="238"/>
      <c r="B256" s="188"/>
      <c r="C256" s="188"/>
      <c r="D256" s="186" t="s">
        <v>88</v>
      </c>
      <c r="E256" s="50"/>
      <c r="F256" s="50"/>
      <c r="G256" s="52"/>
      <c r="H256" s="189" t="s">
        <v>14</v>
      </c>
      <c r="I256" s="54"/>
      <c r="J256" s="54"/>
      <c r="K256" s="55"/>
      <c r="L256" s="256">
        <f ca="1">IFERROR(__xludf.DUMMYFUNCTION("IMPORTRANGE(""https://docs.google.com/spreadsheets/d/1eHaY18a8A9IcSdp1K8H6x8fbOy06t2VsZHhMHf-1x7Y/edit?usp=sharing"",""แผน!BC33"")"),0)</f>
        <v>0</v>
      </c>
      <c r="M256" s="55"/>
      <c r="N256" s="702">
        <v>0</v>
      </c>
      <c r="O256" s="55"/>
      <c r="P256" s="55"/>
      <c r="Q256" s="55"/>
      <c r="R256" s="55"/>
      <c r="S256" s="55"/>
      <c r="T256" s="55"/>
      <c r="U256" s="55"/>
    </row>
    <row r="257" spans="1:21" ht="18.75" hidden="1">
      <c r="A257" s="238"/>
      <c r="B257" s="188"/>
      <c r="C257" s="188"/>
      <c r="D257" s="186" t="s">
        <v>106</v>
      </c>
      <c r="E257" s="50"/>
      <c r="F257" s="50"/>
      <c r="G257" s="52"/>
      <c r="H257" s="189" t="s">
        <v>14</v>
      </c>
      <c r="I257" s="54"/>
      <c r="J257" s="54"/>
      <c r="K257" s="55"/>
      <c r="L257" s="256">
        <f ca="1">IFERROR(__xludf.DUMMYFUNCTION("IMPORTRANGE(""https://docs.google.com/spreadsheets/d/1eHaY18a8A9IcSdp1K8H6x8fbOy06t2VsZHhMHf-1x7Y/edit?usp=sharing"",""แผน!BD33"")"),0)</f>
        <v>0</v>
      </c>
      <c r="M257" s="55"/>
      <c r="N257" s="702">
        <v>0</v>
      </c>
      <c r="O257" s="55"/>
      <c r="P257" s="55"/>
      <c r="Q257" s="55"/>
      <c r="R257" s="55"/>
      <c r="S257" s="55"/>
      <c r="T257" s="55"/>
      <c r="U257" s="55"/>
    </row>
    <row r="258" spans="1:21" ht="18.75" hidden="1">
      <c r="A258" s="238"/>
      <c r="B258" s="188"/>
      <c r="C258" s="188"/>
      <c r="D258" s="186" t="s">
        <v>107</v>
      </c>
      <c r="E258" s="50"/>
      <c r="F258" s="50"/>
      <c r="G258" s="52"/>
      <c r="H258" s="189" t="s">
        <v>14</v>
      </c>
      <c r="I258" s="54"/>
      <c r="J258" s="54"/>
      <c r="K258" s="55"/>
      <c r="L258" s="256">
        <f ca="1">IFERROR(__xludf.DUMMYFUNCTION("IMPORTRANGE(""https://docs.google.com/spreadsheets/d/1eHaY18a8A9IcSdp1K8H6x8fbOy06t2VsZHhMHf-1x7Y/edit?usp=sharing"",""แผน!BE33"")"),0)</f>
        <v>0</v>
      </c>
      <c r="M258" s="55"/>
      <c r="N258" s="702">
        <v>0</v>
      </c>
      <c r="O258" s="55"/>
      <c r="P258" s="55"/>
      <c r="Q258" s="55"/>
      <c r="R258" s="55"/>
      <c r="S258" s="55"/>
      <c r="T258" s="55"/>
      <c r="U258" s="55"/>
    </row>
    <row r="259" spans="1:21" ht="19.5" hidden="1">
      <c r="A259" s="166"/>
      <c r="B259" s="167"/>
      <c r="C259" s="701" t="s">
        <v>18</v>
      </c>
      <c r="D259" s="574" t="s">
        <v>38</v>
      </c>
      <c r="E259" s="169"/>
      <c r="F259" s="169"/>
      <c r="G259" s="170"/>
      <c r="H259" s="171"/>
      <c r="I259" s="163"/>
      <c r="J259" s="54"/>
      <c r="K259" s="55"/>
      <c r="L259" s="62"/>
      <c r="M259" s="55"/>
      <c r="N259" s="55"/>
      <c r="O259" s="164"/>
      <c r="P259" s="164"/>
      <c r="Q259" s="55"/>
      <c r="R259" s="55"/>
      <c r="S259" s="55"/>
      <c r="T259" s="164"/>
      <c r="U259" s="164"/>
    </row>
    <row r="260" spans="1:21" ht="18.75" hidden="1">
      <c r="A260" s="166"/>
      <c r="B260" s="167"/>
      <c r="C260" s="167"/>
      <c r="D260" s="207" t="s">
        <v>108</v>
      </c>
      <c r="E260" s="174"/>
      <c r="F260" s="174"/>
      <c r="G260" s="171"/>
      <c r="H260" s="698" t="s">
        <v>35</v>
      </c>
      <c r="I260" s="483">
        <f ca="1">IFERROR(__xludf.DUMMYFUNCTION("IMPORTRANGE(""https://docs.google.com/spreadsheets/d/1eHaY18a8A9IcSdp1K8H6x8fbOy06t2VsZHhMHf-1x7Y/edit?usp=sharing"",""แผน!BH33"")"),0)</f>
        <v>0</v>
      </c>
      <c r="J260" s="589">
        <v>0</v>
      </c>
      <c r="K260" s="102">
        <f ca="1">IF(I260&gt;0,J260*100/I260,0)</f>
        <v>0</v>
      </c>
      <c r="L260" s="62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8.75" hidden="1">
      <c r="A261" s="166"/>
      <c r="B261" s="167"/>
      <c r="C261" s="167"/>
      <c r="D261" s="700" t="s">
        <v>43</v>
      </c>
      <c r="E261" s="174"/>
      <c r="F261" s="174"/>
      <c r="G261" s="171"/>
      <c r="H261" s="171"/>
      <c r="I261" s="54"/>
      <c r="J261" s="54"/>
      <c r="K261" s="55"/>
      <c r="L261" s="62"/>
      <c r="M261" s="55"/>
      <c r="N261" s="55"/>
      <c r="O261" s="164"/>
      <c r="P261" s="164"/>
      <c r="Q261" s="55"/>
      <c r="R261" s="55"/>
      <c r="S261" s="55"/>
      <c r="T261" s="164"/>
      <c r="U261" s="164"/>
    </row>
    <row r="262" spans="1:21" ht="18.75" hidden="1">
      <c r="A262" s="166"/>
      <c r="B262" s="167"/>
      <c r="C262" s="167"/>
      <c r="D262" s="167"/>
      <c r="E262" s="699" t="s">
        <v>109</v>
      </c>
      <c r="F262" s="174"/>
      <c r="G262" s="171"/>
      <c r="H262" s="698" t="s">
        <v>35</v>
      </c>
      <c r="I262" s="54"/>
      <c r="J262" s="589">
        <v>0</v>
      </c>
      <c r="K262" s="102">
        <f>IF(I262&gt;0,J262*100/I262,0)</f>
        <v>0</v>
      </c>
      <c r="L262" s="62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8.75" hidden="1">
      <c r="A263" s="166"/>
      <c r="B263" s="167"/>
      <c r="C263" s="167"/>
      <c r="D263" s="167"/>
      <c r="E263" s="699" t="s">
        <v>110</v>
      </c>
      <c r="F263" s="174"/>
      <c r="G263" s="171"/>
      <c r="H263" s="698" t="s">
        <v>61</v>
      </c>
      <c r="I263" s="54"/>
      <c r="J263" s="589">
        <v>0</v>
      </c>
      <c r="K263" s="102">
        <f>IF(I263&gt;0,J263*100/I263,0)</f>
        <v>0</v>
      </c>
      <c r="L263" s="62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9.5">
      <c r="A264" s="697" t="s">
        <v>113</v>
      </c>
      <c r="B264" s="696"/>
      <c r="C264" s="696"/>
      <c r="D264" s="695"/>
      <c r="E264" s="695"/>
      <c r="F264" s="695"/>
      <c r="G264" s="694"/>
      <c r="H264" s="694"/>
      <c r="I264" s="693"/>
      <c r="J264" s="693"/>
      <c r="K264" s="691"/>
      <c r="L264" s="692"/>
      <c r="M264" s="691"/>
      <c r="N264" s="691"/>
      <c r="O264" s="691"/>
      <c r="P264" s="691"/>
      <c r="Q264" s="691"/>
      <c r="R264" s="691"/>
      <c r="S264" s="691"/>
      <c r="T264" s="691"/>
      <c r="U264" s="691"/>
    </row>
    <row r="265" spans="1:21" ht="19.5">
      <c r="A265" s="690"/>
      <c r="B265" s="689" t="s">
        <v>114</v>
      </c>
      <c r="C265" s="688"/>
      <c r="D265" s="661"/>
      <c r="E265" s="661"/>
      <c r="F265" s="661"/>
      <c r="G265" s="660"/>
      <c r="H265" s="687" t="s">
        <v>35</v>
      </c>
      <c r="I265" s="686">
        <f ca="1">I276</f>
        <v>24</v>
      </c>
      <c r="J265" s="686">
        <f>J276</f>
        <v>0</v>
      </c>
      <c r="K265" s="685">
        <f ca="1">IF(I265&gt;0,J265*100/I265,0)</f>
        <v>0</v>
      </c>
      <c r="L265" s="684"/>
      <c r="M265" s="683"/>
      <c r="N265" s="683"/>
      <c r="O265" s="683"/>
      <c r="P265" s="683"/>
      <c r="Q265" s="683"/>
      <c r="R265" s="683"/>
      <c r="S265" s="683"/>
      <c r="T265" s="683"/>
      <c r="U265" s="683"/>
    </row>
    <row r="266" spans="1:21" ht="19.5">
      <c r="A266" s="668"/>
      <c r="B266" s="667"/>
      <c r="C266" s="682" t="s">
        <v>18</v>
      </c>
      <c r="D266" s="681" t="s">
        <v>19</v>
      </c>
      <c r="E266" s="667"/>
      <c r="F266" s="667"/>
      <c r="G266" s="666"/>
      <c r="H266" s="680" t="s">
        <v>14</v>
      </c>
      <c r="I266" s="548"/>
      <c r="J266" s="548"/>
      <c r="K266" s="545"/>
      <c r="L266" s="679">
        <f ca="1">L267+L268</f>
        <v>0</v>
      </c>
      <c r="M266" s="678">
        <f ca="1">M267+M268</f>
        <v>5000</v>
      </c>
      <c r="N266" s="678">
        <f ca="1">N267+N268</f>
        <v>0</v>
      </c>
      <c r="O266" s="678">
        <f ca="1">IF(L266&gt;0,N266*100/L266,0)</f>
        <v>0</v>
      </c>
      <c r="P266" s="678">
        <f ca="1">IF(M266&gt;0,N266*100/M266,0)</f>
        <v>0</v>
      </c>
      <c r="Q266" s="678">
        <f ca="1">Q267+Q268</f>
        <v>53440</v>
      </c>
      <c r="R266" s="678">
        <f ca="1">R267+R268</f>
        <v>53440</v>
      </c>
      <c r="S266" s="678">
        <f ca="1">S267+S268</f>
        <v>0</v>
      </c>
      <c r="T266" s="678">
        <f ca="1">IF(Q266&gt;0,S266*100/Q266,0)</f>
        <v>0</v>
      </c>
      <c r="U266" s="678">
        <f ca="1">IF(R266&gt;0,S266*100/R266,0)</f>
        <v>0</v>
      </c>
    </row>
    <row r="267" spans="1:21" ht="18.75" hidden="1">
      <c r="A267" s="673"/>
      <c r="B267" s="672"/>
      <c r="C267" s="672"/>
      <c r="D267" s="672"/>
      <c r="E267" s="186" t="s">
        <v>20</v>
      </c>
      <c r="F267" s="672"/>
      <c r="G267" s="671"/>
      <c r="H267" s="187" t="s">
        <v>14</v>
      </c>
      <c r="I267" s="677"/>
      <c r="J267" s="677"/>
      <c r="K267" s="676"/>
      <c r="L267" s="103">
        <f>L270+L273</f>
        <v>0</v>
      </c>
      <c r="M267" s="102">
        <f>M270+M273</f>
        <v>0</v>
      </c>
      <c r="N267" s="102">
        <f>N270+N273</f>
        <v>0</v>
      </c>
      <c r="O267" s="102">
        <f>IF(L267&gt;0,N267*100/L267,0)</f>
        <v>0</v>
      </c>
      <c r="P267" s="102">
        <f>IF(M267&gt;0,N267*100/M267,0)</f>
        <v>0</v>
      </c>
      <c r="Q267" s="102">
        <f>Q270+Q273</f>
        <v>0</v>
      </c>
      <c r="R267" s="102">
        <f>R270+R273</f>
        <v>0</v>
      </c>
      <c r="S267" s="102">
        <f>S270+S273</f>
        <v>0</v>
      </c>
      <c r="T267" s="102">
        <f>IF(Q267&gt;0,S267*100/Q267,0)</f>
        <v>0</v>
      </c>
      <c r="U267" s="102">
        <f>IF(R267&gt;0,S267*100/R267,0)</f>
        <v>0</v>
      </c>
    </row>
    <row r="268" spans="1:21" ht="18.75" hidden="1">
      <c r="A268" s="668"/>
      <c r="B268" s="667"/>
      <c r="C268" s="667"/>
      <c r="D268" s="667"/>
      <c r="E268" s="663" t="s">
        <v>21</v>
      </c>
      <c r="F268" s="667"/>
      <c r="G268" s="666"/>
      <c r="H268" s="549" t="s">
        <v>14</v>
      </c>
      <c r="I268" s="548"/>
      <c r="J268" s="548"/>
      <c r="K268" s="545"/>
      <c r="L268" s="664">
        <f ca="1">L271+L274</f>
        <v>0</v>
      </c>
      <c r="M268" s="555">
        <f ca="1">M271+M274</f>
        <v>5000</v>
      </c>
      <c r="N268" s="555">
        <f ca="1">N271+N274</f>
        <v>0</v>
      </c>
      <c r="O268" s="555">
        <f ca="1">IF(L268&gt;0,N268*100/L268,0)</f>
        <v>0</v>
      </c>
      <c r="P268" s="555">
        <f ca="1">IF(M268&gt;0,N268*100/M268,0)</f>
        <v>0</v>
      </c>
      <c r="Q268" s="555">
        <f ca="1">Q271+Q274</f>
        <v>53440</v>
      </c>
      <c r="R268" s="555">
        <f ca="1">R271+R274</f>
        <v>53440</v>
      </c>
      <c r="S268" s="555">
        <f ca="1">S271+S274</f>
        <v>0</v>
      </c>
      <c r="T268" s="555">
        <f ca="1">IF(Q268&gt;0,S268*100/Q268,0)</f>
        <v>0</v>
      </c>
      <c r="U268" s="555">
        <f ca="1">IF(R268&gt;0,S268*100/R268,0)</f>
        <v>0</v>
      </c>
    </row>
    <row r="269" spans="1:21" ht="18.75">
      <c r="A269" s="668"/>
      <c r="B269" s="667"/>
      <c r="C269" s="667"/>
      <c r="D269" s="674" t="s">
        <v>22</v>
      </c>
      <c r="E269" s="667"/>
      <c r="F269" s="667"/>
      <c r="G269" s="666"/>
      <c r="H269" s="675" t="s">
        <v>14</v>
      </c>
      <c r="I269" s="659"/>
      <c r="J269" s="659"/>
      <c r="K269" s="657"/>
      <c r="L269" s="664">
        <f ca="1">L270+L271</f>
        <v>0</v>
      </c>
      <c r="M269" s="555">
        <f ca="1">M270+M271</f>
        <v>5000</v>
      </c>
      <c r="N269" s="555">
        <f ca="1">N270+N271</f>
        <v>0</v>
      </c>
      <c r="O269" s="555">
        <f ca="1">IF(L269&gt;0,N269*100/L269,0)</f>
        <v>0</v>
      </c>
      <c r="P269" s="555">
        <f ca="1">IF(M269&gt;0,N269*100/M269,0)</f>
        <v>0</v>
      </c>
      <c r="Q269" s="555">
        <f ca="1">Q270+Q271</f>
        <v>53440</v>
      </c>
      <c r="R269" s="555">
        <f ca="1">R270+R271</f>
        <v>53440</v>
      </c>
      <c r="S269" s="555">
        <f ca="1">S270+S271</f>
        <v>0</v>
      </c>
      <c r="T269" s="555">
        <f ca="1">IF(Q269&gt;0,S269*100/Q269,0)</f>
        <v>0</v>
      </c>
      <c r="U269" s="555">
        <f ca="1">IF(R269&gt;0,S269*100/R269,0)</f>
        <v>0</v>
      </c>
    </row>
    <row r="270" spans="1:21" ht="18.75" hidden="1">
      <c r="A270" s="673"/>
      <c r="B270" s="672"/>
      <c r="C270" s="672"/>
      <c r="D270" s="672"/>
      <c r="E270" s="186" t="s">
        <v>36</v>
      </c>
      <c r="F270" s="672"/>
      <c r="G270" s="671"/>
      <c r="H270" s="189" t="s">
        <v>14</v>
      </c>
      <c r="I270" s="670"/>
      <c r="J270" s="670"/>
      <c r="K270" s="669"/>
      <c r="L270" s="103">
        <v>0</v>
      </c>
      <c r="M270" s="102">
        <v>0</v>
      </c>
      <c r="N270" s="102">
        <v>0</v>
      </c>
      <c r="O270" s="102">
        <f>IF(L270&gt;0,N270*100/L270,0)</f>
        <v>0</v>
      </c>
      <c r="P270" s="102">
        <f>IF(M270&gt;0,N270*100/M270,0)</f>
        <v>0</v>
      </c>
      <c r="Q270" s="102">
        <v>0</v>
      </c>
      <c r="R270" s="102">
        <v>0</v>
      </c>
      <c r="S270" s="102">
        <v>0</v>
      </c>
      <c r="T270" s="102">
        <f>IF(Q270&gt;0,S270*100/Q270,0)</f>
        <v>0</v>
      </c>
      <c r="U270" s="102">
        <f>IF(R270&gt;0,S270*100/R270,0)</f>
        <v>0</v>
      </c>
    </row>
    <row r="271" spans="1:21" ht="18.75" hidden="1">
      <c r="A271" s="668"/>
      <c r="B271" s="667"/>
      <c r="C271" s="667"/>
      <c r="D271" s="667"/>
      <c r="E271" s="663" t="s">
        <v>37</v>
      </c>
      <c r="F271" s="667"/>
      <c r="G271" s="666"/>
      <c r="H271" s="675" t="s">
        <v>14</v>
      </c>
      <c r="I271" s="659"/>
      <c r="J271" s="659"/>
      <c r="K271" s="657"/>
      <c r="L271" s="664">
        <f ca="1">IFERROR(__xludf.DUMMYFUNCTION("IMPORTRANGE(""https://docs.google.com/spreadsheets/d/1-uDff_7J0KD5mKrp0Vvzr7lt3OU09vwQwhkpOPPYv2Y/edit?usp=sharing"",""งบพรบ!DE33"")"),0)</f>
        <v>0</v>
      </c>
      <c r="M271" s="555">
        <f ca="1">IFERROR(__xludf.DUMMYFUNCTION("IMPORTRANGE(""https://docs.google.com/spreadsheets/d/1-uDff_7J0KD5mKrp0Vvzr7lt3OU09vwQwhkpOPPYv2Y/edit?usp=sharing"",""งบพรบ!DJ33"")"),5000)</f>
        <v>5000</v>
      </c>
      <c r="N271" s="555">
        <f ca="1">IFERROR(__xludf.DUMMYFUNCTION("IMPORTRANGE(""https://docs.google.com/spreadsheets/d/1-uDff_7J0KD5mKrp0Vvzr7lt3OU09vwQwhkpOPPYv2Y/edit?usp=sharing"",""งบพรบ!DL33"")"),0)</f>
        <v>0</v>
      </c>
      <c r="O271" s="555">
        <f ca="1">IF(L271&gt;0,N271*100/L271,0)</f>
        <v>0</v>
      </c>
      <c r="P271" s="555">
        <f ca="1">IF(M271&gt;0,N271*100/M271,0)</f>
        <v>0</v>
      </c>
      <c r="Q271" s="555">
        <f ca="1">IFERROR(__xludf.DUMMYFUNCTION("IMPORTRANGE(""https://docs.google.com/spreadsheets/d/1ItG2mGa2ceCfYo0BwxsXqNm01IGEUdYcSSLTEv9YCik/edit?usp=sharing"",""เบิกจ่ายกองทุน!AJ33"")"),53440)</f>
        <v>53440</v>
      </c>
      <c r="R271" s="555">
        <f ca="1">IFERROR(__xludf.DUMMYFUNCTION("IMPORTRANGE(""https://docs.google.com/spreadsheets/d/1ItG2mGa2ceCfYo0BwxsXqNm01IGEUdYcSSLTEv9YCik/edit?usp=sharing"",""เบิกจ่ายกองทุน!AK33"")"),53440)</f>
        <v>53440</v>
      </c>
      <c r="S271" s="555">
        <f ca="1">IFERROR(__xludf.DUMMYFUNCTION("IMPORTRANGE(""https://docs.google.com/spreadsheets/d/1ItG2mGa2ceCfYo0BwxsXqNm01IGEUdYcSSLTEv9YCik/edit?usp=sharing"",""เบิกจ่ายกองทุน!AL33"")"),0)</f>
        <v>0</v>
      </c>
      <c r="T271" s="555">
        <f ca="1">IF(Q271&gt;0,S271*100/Q271,0)</f>
        <v>0</v>
      </c>
      <c r="U271" s="555">
        <f ca="1">IF(R271&gt;0,S271*100/R271,0)</f>
        <v>0</v>
      </c>
    </row>
    <row r="272" spans="1:21" ht="18.75">
      <c r="A272" s="668"/>
      <c r="B272" s="667"/>
      <c r="C272" s="667"/>
      <c r="D272" s="674" t="s">
        <v>23</v>
      </c>
      <c r="E272" s="667"/>
      <c r="F272" s="667"/>
      <c r="G272" s="666"/>
      <c r="H272" s="665" t="s">
        <v>14</v>
      </c>
      <c r="I272" s="659"/>
      <c r="J272" s="659"/>
      <c r="K272" s="657"/>
      <c r="L272" s="664">
        <f ca="1">L273+L274</f>
        <v>0</v>
      </c>
      <c r="M272" s="555">
        <f ca="1">M273+M274</f>
        <v>0</v>
      </c>
      <c r="N272" s="555">
        <f ca="1">N273+N274</f>
        <v>0</v>
      </c>
      <c r="O272" s="555">
        <f ca="1">IF(L272&gt;0,N272*100/L272,0)</f>
        <v>0</v>
      </c>
      <c r="P272" s="555">
        <f ca="1">IF(M272&gt;0,N272*100/M272,0)</f>
        <v>0</v>
      </c>
      <c r="Q272" s="555">
        <f>Q273+Q274</f>
        <v>0</v>
      </c>
      <c r="R272" s="555">
        <f>R273+R274</f>
        <v>0</v>
      </c>
      <c r="S272" s="555">
        <f>S273+S274</f>
        <v>0</v>
      </c>
      <c r="T272" s="555">
        <f>IF(Q272&gt;0,S272*100/Q272,0)</f>
        <v>0</v>
      </c>
      <c r="U272" s="555">
        <f>IF(R272&gt;0,S272*100/R272,0)</f>
        <v>0</v>
      </c>
    </row>
    <row r="273" spans="1:21" ht="18.75" hidden="1">
      <c r="A273" s="673"/>
      <c r="B273" s="672"/>
      <c r="C273" s="672"/>
      <c r="D273" s="672"/>
      <c r="E273" s="186" t="s">
        <v>20</v>
      </c>
      <c r="F273" s="672"/>
      <c r="G273" s="671"/>
      <c r="H273" s="189" t="s">
        <v>14</v>
      </c>
      <c r="I273" s="670"/>
      <c r="J273" s="670"/>
      <c r="K273" s="669"/>
      <c r="L273" s="103">
        <v>0</v>
      </c>
      <c r="M273" s="102">
        <v>0</v>
      </c>
      <c r="N273" s="102">
        <v>0</v>
      </c>
      <c r="O273" s="102">
        <f>IF(L273&gt;0,N273*100/L273,0)</f>
        <v>0</v>
      </c>
      <c r="P273" s="102">
        <f>IF(M273&gt;0,N273*100/M273,0)</f>
        <v>0</v>
      </c>
      <c r="Q273" s="102">
        <v>0</v>
      </c>
      <c r="R273" s="102">
        <v>0</v>
      </c>
      <c r="S273" s="102">
        <v>0</v>
      </c>
      <c r="T273" s="102">
        <f>IF(Q273&gt;0,S273*100/Q273,0)</f>
        <v>0</v>
      </c>
      <c r="U273" s="102">
        <f>IF(R273&gt;0,S273*100/R273,0)</f>
        <v>0</v>
      </c>
    </row>
    <row r="274" spans="1:21" ht="18.75" hidden="1">
      <c r="A274" s="668"/>
      <c r="B274" s="667"/>
      <c r="C274" s="667"/>
      <c r="D274" s="667"/>
      <c r="E274" s="663" t="s">
        <v>21</v>
      </c>
      <c r="F274" s="667"/>
      <c r="G274" s="666"/>
      <c r="H274" s="665" t="s">
        <v>14</v>
      </c>
      <c r="I274" s="659"/>
      <c r="J274" s="659"/>
      <c r="K274" s="657"/>
      <c r="L274" s="664">
        <f ca="1">IFERROR(__xludf.DUMMYFUNCTION("IMPORTRANGE(""https://docs.google.com/spreadsheets/d/1-uDff_7J0KD5mKrp0Vvzr7lt3OU09vwQwhkpOPPYv2Y/edit?usp=sharing"",""งบพรบ!DH33"")"),0)</f>
        <v>0</v>
      </c>
      <c r="M274" s="555">
        <f ca="1">IFERROR(__xludf.DUMMYFUNCTION("IMPORTRANGE(""https://docs.google.com/spreadsheets/d/1-uDff_7J0KD5mKrp0Vvzr7lt3OU09vwQwhkpOPPYv2Y/edit?usp=sharing"",""งบพรบ!DK33"")"),0)</f>
        <v>0</v>
      </c>
      <c r="N274" s="555">
        <f ca="1">IFERROR(__xludf.DUMMYFUNCTION("IMPORTRANGE(""https://docs.google.com/spreadsheets/d/1-uDff_7J0KD5mKrp0Vvzr7lt3OU09vwQwhkpOPPYv2Y/edit?usp=sharing"",""งบพรบ!DM33"")"),0)</f>
        <v>0</v>
      </c>
      <c r="O274" s="555">
        <f ca="1">IF(L274&gt;0,N274*100/L274,0)</f>
        <v>0</v>
      </c>
      <c r="P274" s="555">
        <f ca="1">IF(M274&gt;0,N274*100/M274,0)</f>
        <v>0</v>
      </c>
      <c r="Q274" s="555">
        <v>0</v>
      </c>
      <c r="R274" s="555">
        <v>0</v>
      </c>
      <c r="S274" s="555">
        <v>0</v>
      </c>
      <c r="T274" s="555">
        <f>IF(Q274&gt;0,S274*100/Q274,0)</f>
        <v>0</v>
      </c>
      <c r="U274" s="555">
        <f>IF(R274&gt;0,S274*100/R274,0)</f>
        <v>0</v>
      </c>
    </row>
    <row r="275" spans="1:21" ht="19.5">
      <c r="A275" s="554"/>
      <c r="B275" s="553"/>
      <c r="C275" s="663" t="s">
        <v>18</v>
      </c>
      <c r="D275" s="662" t="s">
        <v>38</v>
      </c>
      <c r="E275" s="661"/>
      <c r="F275" s="661"/>
      <c r="G275" s="660"/>
      <c r="H275" s="550"/>
      <c r="I275" s="659"/>
      <c r="J275" s="659"/>
      <c r="K275" s="657"/>
      <c r="L275" s="658"/>
      <c r="M275" s="657"/>
      <c r="N275" s="657"/>
      <c r="O275" s="657"/>
      <c r="P275" s="657"/>
      <c r="Q275" s="657"/>
      <c r="R275" s="657"/>
      <c r="S275" s="657"/>
      <c r="T275" s="657"/>
      <c r="U275" s="657"/>
    </row>
    <row r="276" spans="1:21" ht="18.75">
      <c r="A276" s="656"/>
      <c r="B276" s="655"/>
      <c r="C276" s="655"/>
      <c r="D276" s="654" t="s">
        <v>115</v>
      </c>
      <c r="E276" s="653"/>
      <c r="F276" s="653"/>
      <c r="G276" s="652"/>
      <c r="H276" s="651" t="s">
        <v>35</v>
      </c>
      <c r="I276" s="650">
        <f ca="1">IFERROR(__xludf.DUMMYFUNCTION("IMPORTRANGE(""https://docs.google.com/spreadsheets/d/1eHaY18a8A9IcSdp1K8H6x8fbOy06t2VsZHhMHf-1x7Y/edit?usp=sharing"",""แผน!EC33"")"),24)</f>
        <v>24</v>
      </c>
      <c r="J276" s="649">
        <v>0</v>
      </c>
      <c r="K276" s="648">
        <f ca="1">IF(I276&gt;0,J276*100/I276,0)</f>
        <v>0</v>
      </c>
      <c r="L276" s="546"/>
      <c r="M276" s="545"/>
      <c r="N276" s="545"/>
      <c r="O276" s="545"/>
      <c r="P276" s="545"/>
      <c r="Q276" s="545"/>
      <c r="R276" s="545"/>
      <c r="S276" s="545"/>
      <c r="T276" s="545"/>
      <c r="U276" s="545"/>
    </row>
    <row r="277" spans="1:21" ht="18.75" hidden="1">
      <c r="A277" s="281"/>
      <c r="B277" s="282"/>
      <c r="C277" s="282"/>
      <c r="D277" s="647" t="s">
        <v>116</v>
      </c>
      <c r="E277" s="2"/>
      <c r="F277" s="2"/>
      <c r="G277" s="284"/>
      <c r="H277" s="646" t="s">
        <v>35</v>
      </c>
      <c r="I277" s="486">
        <v>0</v>
      </c>
      <c r="J277" s="486">
        <v>0</v>
      </c>
      <c r="K277" s="645">
        <v>0</v>
      </c>
      <c r="L277" s="287"/>
      <c r="M277" s="286"/>
      <c r="N277" s="286"/>
      <c r="O277" s="286"/>
      <c r="P277" s="286"/>
      <c r="Q277" s="286"/>
      <c r="R277" s="286"/>
      <c r="S277" s="286"/>
      <c r="T277" s="286"/>
      <c r="U277" s="286"/>
    </row>
    <row r="278" spans="1:21" ht="19.5" hidden="1">
      <c r="A278" s="288" t="s">
        <v>117</v>
      </c>
      <c r="B278" s="289"/>
      <c r="C278" s="289"/>
      <c r="D278" s="289"/>
      <c r="E278" s="290"/>
      <c r="F278" s="290"/>
      <c r="G278" s="290"/>
      <c r="H278" s="290"/>
      <c r="I278" s="291"/>
      <c r="J278" s="291"/>
      <c r="K278" s="292"/>
      <c r="L278" s="292"/>
      <c r="M278" s="292"/>
      <c r="N278" s="292"/>
      <c r="O278" s="292"/>
      <c r="P278" s="293"/>
      <c r="Q278" s="292"/>
      <c r="R278" s="292"/>
      <c r="S278" s="292"/>
      <c r="T278" s="292"/>
      <c r="U278" s="293"/>
    </row>
    <row r="279" spans="1:21" ht="19.5" hidden="1">
      <c r="A279" s="294" t="s">
        <v>118</v>
      </c>
      <c r="B279" s="295"/>
      <c r="C279" s="296"/>
      <c r="D279" s="295"/>
      <c r="E279" s="295"/>
      <c r="F279" s="295"/>
      <c r="G279" s="295"/>
      <c r="H279" s="295"/>
      <c r="I279" s="297"/>
      <c r="J279" s="298"/>
      <c r="K279" s="299"/>
      <c r="L279" s="300"/>
      <c r="M279" s="299"/>
      <c r="N279" s="299"/>
      <c r="O279" s="299"/>
      <c r="P279" s="299"/>
      <c r="Q279" s="299"/>
      <c r="R279" s="299"/>
      <c r="S279" s="299"/>
      <c r="T279" s="299"/>
      <c r="U279" s="299"/>
    </row>
    <row r="280" spans="1:21" ht="19.5" hidden="1">
      <c r="A280" s="301"/>
      <c r="B280" s="302" t="s">
        <v>119</v>
      </c>
      <c r="C280" s="303"/>
      <c r="D280" s="304"/>
      <c r="E280" s="303"/>
      <c r="F280" s="303"/>
      <c r="G280" s="305"/>
      <c r="H280" s="306" t="s">
        <v>35</v>
      </c>
      <c r="I280" s="644">
        <f ca="1">I293</f>
        <v>0</v>
      </c>
      <c r="J280" s="644">
        <f>J293</f>
        <v>0</v>
      </c>
      <c r="K280" s="643">
        <f ca="1">IF(I280&gt;0,J280*100/I280,0)</f>
        <v>0</v>
      </c>
      <c r="L280" s="310"/>
      <c r="M280" s="309"/>
      <c r="N280" s="309"/>
      <c r="O280" s="309"/>
      <c r="P280" s="309"/>
      <c r="Q280" s="309"/>
      <c r="R280" s="309"/>
      <c r="S280" s="309"/>
      <c r="T280" s="309"/>
      <c r="U280" s="309"/>
    </row>
    <row r="281" spans="1:21" ht="19.5" hidden="1">
      <c r="A281" s="301"/>
      <c r="B281" s="303"/>
      <c r="C281" s="303"/>
      <c r="D281" s="304"/>
      <c r="E281" s="303"/>
      <c r="F281" s="303"/>
      <c r="G281" s="305"/>
      <c r="H281" s="306" t="s">
        <v>46</v>
      </c>
      <c r="I281" s="644">
        <f ca="1">I292</f>
        <v>0</v>
      </c>
      <c r="J281" s="644">
        <f>J292</f>
        <v>0</v>
      </c>
      <c r="K281" s="643">
        <f ca="1">IF(I281&gt;0,J281*100/I281,0)</f>
        <v>0</v>
      </c>
      <c r="L281" s="310"/>
      <c r="M281" s="309"/>
      <c r="N281" s="309"/>
      <c r="O281" s="309"/>
      <c r="P281" s="309"/>
      <c r="Q281" s="309"/>
      <c r="R281" s="309"/>
      <c r="S281" s="309"/>
      <c r="T281" s="309"/>
      <c r="U281" s="309"/>
    </row>
    <row r="282" spans="1:21" ht="19.5" hidden="1">
      <c r="A282" s="155"/>
      <c r="B282" s="50"/>
      <c r="C282" s="156" t="s">
        <v>18</v>
      </c>
      <c r="D282" s="575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541">
        <f ca="1">L283+L284</f>
        <v>0</v>
      </c>
      <c r="M282" s="540">
        <f ca="1">M283+M284</f>
        <v>0</v>
      </c>
      <c r="N282" s="540">
        <f ca="1">N283+N284</f>
        <v>0</v>
      </c>
      <c r="O282" s="540">
        <f ca="1">IF(L282&gt;0,N282*100/L282,0)</f>
        <v>0</v>
      </c>
      <c r="P282" s="540">
        <f ca="1">IF(M282&gt;0,N282*100/M282,0)</f>
        <v>0</v>
      </c>
      <c r="Q282" s="540">
        <f>Q283+Q284</f>
        <v>0</v>
      </c>
      <c r="R282" s="540">
        <f>R283+R284</f>
        <v>0</v>
      </c>
      <c r="S282" s="540">
        <f>S283+S284</f>
        <v>0</v>
      </c>
      <c r="T282" s="540">
        <f>IF(Q282&gt;0,S282*100/Q282,0)</f>
        <v>0</v>
      </c>
      <c r="U282" s="540">
        <f>IF(R282&gt;0,S282*100/R282,0)</f>
        <v>0</v>
      </c>
    </row>
    <row r="283" spans="1:21" ht="18.75" hidden="1">
      <c r="A283" s="155"/>
      <c r="B283" s="50"/>
      <c r="C283" s="50"/>
      <c r="D283" s="50"/>
      <c r="E283" s="186" t="s">
        <v>20</v>
      </c>
      <c r="F283" s="50"/>
      <c r="G283" s="52"/>
      <c r="H283" s="187" t="s">
        <v>14</v>
      </c>
      <c r="I283" s="54"/>
      <c r="J283" s="54"/>
      <c r="K283" s="55"/>
      <c r="L283" s="103">
        <f>L286+L289</f>
        <v>0</v>
      </c>
      <c r="M283" s="102">
        <f>M286+M289</f>
        <v>0</v>
      </c>
      <c r="N283" s="102">
        <f>N286+N289</f>
        <v>0</v>
      </c>
      <c r="O283" s="102">
        <f>IF(L283&gt;0,N283*100/L283,0)</f>
        <v>0</v>
      </c>
      <c r="P283" s="102">
        <f>IF(M283&gt;0,N283*100/M283,0)</f>
        <v>0</v>
      </c>
      <c r="Q283" s="102">
        <f>Q286+Q289</f>
        <v>0</v>
      </c>
      <c r="R283" s="102">
        <f>R286+R289</f>
        <v>0</v>
      </c>
      <c r="S283" s="102">
        <f>S286+S289</f>
        <v>0</v>
      </c>
      <c r="T283" s="102">
        <f>IF(Q283&gt;0,S283*100/Q283,0)</f>
        <v>0</v>
      </c>
      <c r="U283" s="102">
        <f>IF(R283&gt;0,S283*100/R283,0)</f>
        <v>0</v>
      </c>
    </row>
    <row r="284" spans="1:21" ht="18.75" hidden="1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256">
        <f ca="1">L287+L290</f>
        <v>0</v>
      </c>
      <c r="M284" s="255">
        <f ca="1">M287+M290</f>
        <v>0</v>
      </c>
      <c r="N284" s="255">
        <f ca="1">N287+N290</f>
        <v>0</v>
      </c>
      <c r="O284" s="255">
        <f ca="1">IF(L284&gt;0,N284*100/L284,0)</f>
        <v>0</v>
      </c>
      <c r="P284" s="255">
        <f ca="1">IF(M284&gt;0,N284*100/M284,0)</f>
        <v>0</v>
      </c>
      <c r="Q284" s="255">
        <f>Q287+Q290</f>
        <v>0</v>
      </c>
      <c r="R284" s="255">
        <f>R287+R290</f>
        <v>0</v>
      </c>
      <c r="S284" s="255">
        <f>S287+S290</f>
        <v>0</v>
      </c>
      <c r="T284" s="255">
        <f>IF(Q284&gt;0,S284*100/Q284,0)</f>
        <v>0</v>
      </c>
      <c r="U284" s="255">
        <f>IF(R284&gt;0,S284*100/R284,0)</f>
        <v>0</v>
      </c>
    </row>
    <row r="285" spans="1:21" ht="18.75" hidden="1">
      <c r="A285" s="155"/>
      <c r="B285" s="50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256">
        <f ca="1">L286+L287</f>
        <v>0</v>
      </c>
      <c r="M285" s="255">
        <f ca="1">M286+M287</f>
        <v>0</v>
      </c>
      <c r="N285" s="255">
        <f ca="1">N286+N287</f>
        <v>0</v>
      </c>
      <c r="O285" s="255">
        <f ca="1">IF(L285&gt;0,N285*100/L285,0)</f>
        <v>0</v>
      </c>
      <c r="P285" s="255">
        <f ca="1">IF(M285&gt;0,N285*100/M285,0)</f>
        <v>0</v>
      </c>
      <c r="Q285" s="255">
        <f>Q286+Q287</f>
        <v>0</v>
      </c>
      <c r="R285" s="255">
        <f>R286+R287</f>
        <v>0</v>
      </c>
      <c r="S285" s="255">
        <f>S286+S287</f>
        <v>0</v>
      </c>
      <c r="T285" s="255">
        <f>IF(Q285&gt;0,S285*100/Q285,0)</f>
        <v>0</v>
      </c>
      <c r="U285" s="255">
        <f>IF(R285&gt;0,S285*100/R285,0)</f>
        <v>0</v>
      </c>
    </row>
    <row r="286" spans="1:21" ht="18.75" hidden="1">
      <c r="A286" s="155"/>
      <c r="B286" s="50"/>
      <c r="C286" s="50"/>
      <c r="D286" s="50"/>
      <c r="E286" s="186" t="s">
        <v>36</v>
      </c>
      <c r="F286" s="50"/>
      <c r="G286" s="52"/>
      <c r="H286" s="189" t="s">
        <v>14</v>
      </c>
      <c r="I286" s="163"/>
      <c r="J286" s="163"/>
      <c r="K286" s="164"/>
      <c r="L286" s="103">
        <v>0</v>
      </c>
      <c r="M286" s="102">
        <v>0</v>
      </c>
      <c r="N286" s="102">
        <v>0</v>
      </c>
      <c r="O286" s="102">
        <f>IF(L286&gt;0,N286*100/L286,0)</f>
        <v>0</v>
      </c>
      <c r="P286" s="102">
        <f>IF(M286&gt;0,N286*100/M286,0)</f>
        <v>0</v>
      </c>
      <c r="Q286" s="102">
        <v>0</v>
      </c>
      <c r="R286" s="102">
        <v>0</v>
      </c>
      <c r="S286" s="102">
        <v>0</v>
      </c>
      <c r="T286" s="102">
        <f>IF(Q286&gt;0,S286*100/Q286,0)</f>
        <v>0</v>
      </c>
      <c r="U286" s="102">
        <f>IF(R286&gt;0,S286*100/R286,0)</f>
        <v>0</v>
      </c>
    </row>
    <row r="287" spans="1:21" ht="18.75" hidden="1">
      <c r="A287" s="155"/>
      <c r="B287" s="50"/>
      <c r="C287" s="50"/>
      <c r="D287" s="50"/>
      <c r="E287" s="58" t="s">
        <v>37</v>
      </c>
      <c r="F287" s="50"/>
      <c r="G287" s="52"/>
      <c r="H287" s="162" t="s">
        <v>14</v>
      </c>
      <c r="I287" s="163"/>
      <c r="J287" s="163"/>
      <c r="K287" s="164"/>
      <c r="L287" s="256">
        <f ca="1">IFERROR(__xludf.DUMMYFUNCTION("IMPORTRANGE(""https://docs.google.com/spreadsheets/d/1-uDff_7J0KD5mKrp0Vvzr7lt3OU09vwQwhkpOPPYv2Y/edit?usp=sharing"",""งบพรบ!DO33"")"),0)</f>
        <v>0</v>
      </c>
      <c r="M287" s="255">
        <f ca="1">IFERROR(__xludf.DUMMYFUNCTION("IMPORTRANGE(""https://docs.google.com/spreadsheets/d/1-uDff_7J0KD5mKrp0Vvzr7lt3OU09vwQwhkpOPPYv2Y/edit?usp=sharing"",""งบพรบ!DT33"")"),0)</f>
        <v>0</v>
      </c>
      <c r="N287" s="255">
        <f ca="1">IFERROR(__xludf.DUMMYFUNCTION("IMPORTRANGE(""https://docs.google.com/spreadsheets/d/1-uDff_7J0KD5mKrp0Vvzr7lt3OU09vwQwhkpOPPYv2Y/edit?usp=sharing"",""งบพรบ!DV33"")"),0)</f>
        <v>0</v>
      </c>
      <c r="O287" s="255">
        <f ca="1">IF(L287&gt;0,N287*100/L287,0)</f>
        <v>0</v>
      </c>
      <c r="P287" s="255">
        <f ca="1">IF(M287&gt;0,N287*100/M287,0)</f>
        <v>0</v>
      </c>
      <c r="Q287" s="255">
        <v>0</v>
      </c>
      <c r="R287" s="255">
        <v>0</v>
      </c>
      <c r="S287" s="255">
        <v>0</v>
      </c>
      <c r="T287" s="102">
        <f>IF(Q287&gt;0,S287*100/Q287,0)</f>
        <v>0</v>
      </c>
      <c r="U287" s="102">
        <f>IF(R287&gt;0,S287*100/R287,0)</f>
        <v>0</v>
      </c>
    </row>
    <row r="288" spans="1:21" ht="18.75" hidden="1">
      <c r="A288" s="155"/>
      <c r="B288" s="50"/>
      <c r="C288" s="50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256">
        <f ca="1">L289+L290</f>
        <v>0</v>
      </c>
      <c r="M288" s="255">
        <f ca="1">M289+M290</f>
        <v>0</v>
      </c>
      <c r="N288" s="255">
        <f ca="1">N289+N290</f>
        <v>0</v>
      </c>
      <c r="O288" s="255">
        <f ca="1">IF(L288&gt;0,N288*100/L288,0)</f>
        <v>0</v>
      </c>
      <c r="P288" s="255">
        <f ca="1">IF(M288&gt;0,N288*100/M288,0)</f>
        <v>0</v>
      </c>
      <c r="Q288" s="255">
        <f>Q289+Q290</f>
        <v>0</v>
      </c>
      <c r="R288" s="255">
        <f>R289+R290</f>
        <v>0</v>
      </c>
      <c r="S288" s="255">
        <f>S289+S290</f>
        <v>0</v>
      </c>
      <c r="T288" s="255">
        <f>IF(Q288&gt;0,S288*100/Q288,0)</f>
        <v>0</v>
      </c>
      <c r="U288" s="255">
        <f>IF(R288&gt;0,S288*100/R288,0)</f>
        <v>0</v>
      </c>
    </row>
    <row r="289" spans="1:21" ht="18.75" hidden="1">
      <c r="A289" s="155"/>
      <c r="B289" s="50"/>
      <c r="C289" s="50"/>
      <c r="D289" s="50"/>
      <c r="E289" s="186" t="s">
        <v>20</v>
      </c>
      <c r="F289" s="50"/>
      <c r="G289" s="52"/>
      <c r="H289" s="189" t="s">
        <v>14</v>
      </c>
      <c r="I289" s="163"/>
      <c r="J289" s="163"/>
      <c r="K289" s="164"/>
      <c r="L289" s="103">
        <v>0</v>
      </c>
      <c r="M289" s="102">
        <v>0</v>
      </c>
      <c r="N289" s="102">
        <v>0</v>
      </c>
      <c r="O289" s="102">
        <f>IF(L289&gt;0,N289*100/L289,0)</f>
        <v>0</v>
      </c>
      <c r="P289" s="102">
        <f>IF(M289&gt;0,N289*100/M289,0)</f>
        <v>0</v>
      </c>
      <c r="Q289" s="102">
        <v>0</v>
      </c>
      <c r="R289" s="102">
        <v>0</v>
      </c>
      <c r="S289" s="102">
        <v>0</v>
      </c>
      <c r="T289" s="102">
        <f>IF(Q289&gt;0,S289*100/Q289,0)</f>
        <v>0</v>
      </c>
      <c r="U289" s="102">
        <f>IF(R289&gt;0,S289*100/R289,0)</f>
        <v>0</v>
      </c>
    </row>
    <row r="290" spans="1:21" ht="18.75" hidden="1">
      <c r="A290" s="155"/>
      <c r="B290" s="50"/>
      <c r="C290" s="50"/>
      <c r="D290" s="50"/>
      <c r="E290" s="58" t="s">
        <v>21</v>
      </c>
      <c r="F290" s="50"/>
      <c r="G290" s="52"/>
      <c r="H290" s="165" t="s">
        <v>14</v>
      </c>
      <c r="I290" s="163"/>
      <c r="J290" s="163"/>
      <c r="K290" s="164"/>
      <c r="L290" s="256">
        <f ca="1">IFERROR(__xludf.DUMMYFUNCTION("IMPORTRANGE(""https://docs.google.com/spreadsheets/d/1-uDff_7J0KD5mKrp0Vvzr7lt3OU09vwQwhkpOPPYv2Y/edit?usp=sharing"",""งบพรบ!DR33"")"),0)</f>
        <v>0</v>
      </c>
      <c r="M290" s="255">
        <f ca="1">IFERROR(__xludf.DUMMYFUNCTION("IMPORTRANGE(""https://docs.google.com/spreadsheets/d/1-uDff_7J0KD5mKrp0Vvzr7lt3OU09vwQwhkpOPPYv2Y/edit?usp=sharing"",""งบพรบ!DU33"")"),0)</f>
        <v>0</v>
      </c>
      <c r="N290" s="255">
        <f ca="1">IFERROR(__xludf.DUMMYFUNCTION("IMPORTRANGE(""https://docs.google.com/spreadsheets/d/1-uDff_7J0KD5mKrp0Vvzr7lt3OU09vwQwhkpOPPYv2Y/edit?usp=sharing"",""งบพรบ!DW33"")"),0)</f>
        <v>0</v>
      </c>
      <c r="O290" s="255">
        <f ca="1">IF(L290&gt;0,N290*100/L290,0)</f>
        <v>0</v>
      </c>
      <c r="P290" s="255">
        <f ca="1">IF(M290&gt;0,N290*100/M290,0)</f>
        <v>0</v>
      </c>
      <c r="Q290" s="255">
        <v>0</v>
      </c>
      <c r="R290" s="255">
        <v>0</v>
      </c>
      <c r="S290" s="255">
        <v>0</v>
      </c>
      <c r="T290" s="255">
        <f>IF(Q290&gt;0,S290*100/Q290,0)</f>
        <v>0</v>
      </c>
      <c r="U290" s="255">
        <f>IF(R290&gt;0,S290*100/R290,0)</f>
        <v>0</v>
      </c>
    </row>
    <row r="291" spans="1:21" ht="19.5" hidden="1">
      <c r="A291" s="166"/>
      <c r="B291" s="167"/>
      <c r="C291" s="156" t="s">
        <v>18</v>
      </c>
      <c r="D291" s="566" t="s">
        <v>38</v>
      </c>
      <c r="E291" s="169"/>
      <c r="F291" s="169"/>
      <c r="G291" s="170"/>
      <c r="H291" s="171"/>
      <c r="I291" s="163"/>
      <c r="J291" s="163"/>
      <c r="K291" s="164"/>
      <c r="L291" s="172"/>
      <c r="M291" s="164"/>
      <c r="N291" s="164"/>
      <c r="O291" s="164"/>
      <c r="P291" s="164"/>
      <c r="Q291" s="164"/>
      <c r="R291" s="164"/>
      <c r="S291" s="164"/>
      <c r="T291" s="164"/>
      <c r="U291" s="164"/>
    </row>
    <row r="292" spans="1:21" ht="18.75" hidden="1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212">
        <f ca="1">IFERROR(__xludf.DUMMYFUNCTION("IMPORTRANGE(""https://docs.google.com/spreadsheets/d/1eHaY18a8A9IcSdp1K8H6x8fbOy06t2VsZHhMHf-1x7Y/edit?usp=sharing"",""แผน!EE33"")"),0)</f>
        <v>0</v>
      </c>
      <c r="J292" s="467">
        <v>0</v>
      </c>
      <c r="K292" s="565">
        <f ca="1">IF(I292&gt;0,J292*100/I292,0)</f>
        <v>0</v>
      </c>
      <c r="L292" s="172"/>
      <c r="M292" s="164"/>
      <c r="N292" s="164"/>
      <c r="O292" s="164"/>
      <c r="P292" s="164"/>
      <c r="Q292" s="164"/>
      <c r="R292" s="164"/>
      <c r="S292" s="164"/>
      <c r="T292" s="164"/>
      <c r="U292" s="164"/>
    </row>
    <row r="293" spans="1:21" ht="19.5" hidden="1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373">
        <f ca="1">IFERROR(__xludf.DUMMYFUNCTION("IMPORTRANGE(""https://docs.google.com/spreadsheets/d/1eHaY18a8A9IcSdp1K8H6x8fbOy06t2VsZHhMHf-1x7Y/edit?usp=sharing"",""แผน!ED33"")"),0)</f>
        <v>0</v>
      </c>
      <c r="J293" s="373">
        <f>J296</f>
        <v>0</v>
      </c>
      <c r="K293" s="642">
        <f ca="1">IF(I293&gt;0,J293*100/I293,0)</f>
        <v>0</v>
      </c>
      <c r="L293" s="172"/>
      <c r="M293" s="164"/>
      <c r="N293" s="164"/>
      <c r="O293" s="164"/>
      <c r="P293" s="164"/>
      <c r="Q293" s="164"/>
      <c r="R293" s="164"/>
      <c r="S293" s="164"/>
      <c r="T293" s="164"/>
      <c r="U293" s="164"/>
    </row>
    <row r="294" spans="1:21" ht="19.5" hidden="1">
      <c r="A294" s="166"/>
      <c r="B294" s="167"/>
      <c r="C294" s="167"/>
      <c r="D294" s="174"/>
      <c r="E294" s="194" t="s">
        <v>122</v>
      </c>
      <c r="F294" s="174"/>
      <c r="G294" s="171"/>
      <c r="H294" s="171"/>
      <c r="I294" s="163"/>
      <c r="J294" s="54"/>
      <c r="K294" s="164"/>
      <c r="L294" s="172"/>
      <c r="M294" s="164"/>
      <c r="N294" s="164"/>
      <c r="O294" s="164"/>
      <c r="P294" s="164"/>
      <c r="Q294" s="164"/>
      <c r="R294" s="164"/>
      <c r="S294" s="164"/>
      <c r="T294" s="164"/>
      <c r="U294" s="164"/>
    </row>
    <row r="295" spans="1:21" ht="19.5" hidden="1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641">
        <f ca="1">IFERROR(__xludf.DUMMYFUNCTION("IMPORTRANGE(""https://docs.google.com/spreadsheets/d/1eHaY18a8A9IcSdp1K8H6x8fbOy06t2VsZHhMHf-1x7Y/edit?usp=sharing"",""แผน!ED33"")"),0)</f>
        <v>0</v>
      </c>
      <c r="J295" s="467">
        <v>0</v>
      </c>
      <c r="K295" s="565">
        <f ca="1">IF(I295&gt;0,J295*100/I295,0)</f>
        <v>0</v>
      </c>
      <c r="L295" s="172"/>
      <c r="M295" s="164"/>
      <c r="N295" s="164"/>
      <c r="O295" s="164"/>
      <c r="P295" s="164"/>
      <c r="Q295" s="164"/>
      <c r="R295" s="164"/>
      <c r="S295" s="164"/>
      <c r="T295" s="164"/>
      <c r="U295" s="164"/>
    </row>
    <row r="296" spans="1:21" ht="19.5" hidden="1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641">
        <f ca="1">IFERROR(__xludf.DUMMYFUNCTION("IMPORTRANGE(""https://docs.google.com/spreadsheets/d/1eHaY18a8A9IcSdp1K8H6x8fbOy06t2VsZHhMHf-1x7Y/edit?usp=sharing"",""แผน!ED33"")"),0)</f>
        <v>0</v>
      </c>
      <c r="J296" s="467">
        <v>0</v>
      </c>
      <c r="K296" s="565">
        <f ca="1">IF(I296&gt;0,J296*100/I296,0)</f>
        <v>0</v>
      </c>
      <c r="L296" s="172"/>
      <c r="M296" s="164"/>
      <c r="N296" s="164"/>
      <c r="O296" s="164"/>
      <c r="P296" s="164"/>
      <c r="Q296" s="164"/>
      <c r="R296" s="164"/>
      <c r="S296" s="164"/>
      <c r="T296" s="164"/>
      <c r="U296" s="164"/>
    </row>
    <row r="297" spans="1:21" ht="12.75" hidden="1">
      <c r="A297" s="192"/>
      <c r="B297" s="193"/>
      <c r="C297" s="193"/>
      <c r="D297" s="22"/>
      <c r="E297" s="22"/>
      <c r="F297" s="22"/>
      <c r="G297" s="23"/>
      <c r="H297" s="23"/>
      <c r="I297" s="24"/>
      <c r="J297" s="24"/>
      <c r="K297" s="25"/>
      <c r="L297" s="26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2.75" hidden="1">
      <c r="A298" s="192"/>
      <c r="B298" s="193"/>
      <c r="C298" s="193"/>
      <c r="D298" s="22"/>
      <c r="E298" s="22"/>
      <c r="F298" s="22"/>
      <c r="G298" s="23"/>
      <c r="H298" s="23"/>
      <c r="I298" s="24"/>
      <c r="J298" s="24"/>
      <c r="K298" s="25"/>
      <c r="L298" s="26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2.75" hidden="1">
      <c r="A299" s="311"/>
      <c r="B299" s="312"/>
      <c r="C299" s="312"/>
      <c r="D299" s="27"/>
      <c r="E299" s="27"/>
      <c r="F299" s="27"/>
      <c r="G299" s="17"/>
      <c r="H299" s="17"/>
      <c r="I299" s="18"/>
      <c r="J299" s="18"/>
      <c r="K299" s="19"/>
      <c r="L299" s="28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>
      <c r="A300" s="313" t="s">
        <v>125</v>
      </c>
      <c r="B300" s="314"/>
      <c r="C300" s="314"/>
      <c r="D300" s="314"/>
      <c r="E300" s="315"/>
      <c r="F300" s="315"/>
      <c r="G300" s="315"/>
      <c r="H300" s="315"/>
      <c r="I300" s="316"/>
      <c r="J300" s="316"/>
      <c r="K300" s="317"/>
      <c r="L300" s="317"/>
      <c r="M300" s="317"/>
      <c r="N300" s="317"/>
      <c r="O300" s="317"/>
      <c r="P300" s="318"/>
      <c r="Q300" s="317"/>
      <c r="R300" s="317"/>
      <c r="S300" s="317"/>
      <c r="T300" s="317"/>
      <c r="U300" s="318"/>
    </row>
    <row r="301" spans="1:21" ht="19.5">
      <c r="A301" s="319" t="s">
        <v>126</v>
      </c>
      <c r="B301" s="320"/>
      <c r="C301" s="320"/>
      <c r="D301" s="321"/>
      <c r="E301" s="321"/>
      <c r="F301" s="321"/>
      <c r="G301" s="322"/>
      <c r="H301" s="322"/>
      <c r="I301" s="323"/>
      <c r="J301" s="323"/>
      <c r="K301" s="324"/>
      <c r="L301" s="325"/>
      <c r="M301" s="324"/>
      <c r="N301" s="324"/>
      <c r="O301" s="324"/>
      <c r="P301" s="324"/>
      <c r="Q301" s="324"/>
      <c r="R301" s="324"/>
      <c r="S301" s="324"/>
      <c r="T301" s="324"/>
      <c r="U301" s="324"/>
    </row>
    <row r="302" spans="1:21" ht="19.5">
      <c r="A302" s="326"/>
      <c r="B302" s="327" t="s">
        <v>127</v>
      </c>
      <c r="C302" s="328"/>
      <c r="D302" s="328"/>
      <c r="E302" s="328"/>
      <c r="F302" s="328"/>
      <c r="G302" s="329"/>
      <c r="H302" s="330" t="s">
        <v>35</v>
      </c>
      <c r="I302" s="605">
        <f ca="1">I314</f>
        <v>30</v>
      </c>
      <c r="J302" s="605">
        <f>J314</f>
        <v>0</v>
      </c>
      <c r="K302" s="604">
        <f ca="1">IF(I302&gt;0,J302*100/I302,0)</f>
        <v>0</v>
      </c>
      <c r="L302" s="334"/>
      <c r="M302" s="333"/>
      <c r="N302" s="333"/>
      <c r="O302" s="333"/>
      <c r="P302" s="333"/>
      <c r="Q302" s="333"/>
      <c r="R302" s="333"/>
      <c r="S302" s="333"/>
      <c r="T302" s="333"/>
      <c r="U302" s="333"/>
    </row>
    <row r="303" spans="1:21" ht="19.5">
      <c r="A303" s="155"/>
      <c r="B303" s="50"/>
      <c r="C303" s="156" t="s">
        <v>18</v>
      </c>
      <c r="D303" s="575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541">
        <f ca="1">L304+L305</f>
        <v>0</v>
      </c>
      <c r="M303" s="540">
        <f ca="1">M304+M305</f>
        <v>0</v>
      </c>
      <c r="N303" s="540">
        <f ca="1">N304+N305</f>
        <v>0</v>
      </c>
      <c r="O303" s="540">
        <f ca="1">IF(L303&gt;0,N303*100/L303,0)</f>
        <v>0</v>
      </c>
      <c r="P303" s="540">
        <f ca="1">IF(M303&gt;0,N303*100/M303,0)</f>
        <v>0</v>
      </c>
      <c r="Q303" s="540">
        <f ca="1">Q304+Q305</f>
        <v>260958.39</v>
      </c>
      <c r="R303" s="540">
        <f ca="1">R304+R305</f>
        <v>260958</v>
      </c>
      <c r="S303" s="540">
        <f ca="1">S304+S305</f>
        <v>0</v>
      </c>
      <c r="T303" s="540">
        <f ca="1">IF(Q303&gt;0,S303*100/Q303,0)</f>
        <v>0</v>
      </c>
      <c r="U303" s="540">
        <f ca="1">IF(R303&gt;0,S303*100/R303,0)</f>
        <v>0</v>
      </c>
    </row>
    <row r="304" spans="1:21" ht="18.75" hidden="1">
      <c r="A304" s="155"/>
      <c r="B304" s="50"/>
      <c r="C304" s="50"/>
      <c r="D304" s="50"/>
      <c r="E304" s="186" t="s">
        <v>20</v>
      </c>
      <c r="F304" s="50"/>
      <c r="G304" s="52"/>
      <c r="H304" s="187" t="s">
        <v>14</v>
      </c>
      <c r="I304" s="54"/>
      <c r="J304" s="54"/>
      <c r="K304" s="55"/>
      <c r="L304" s="103">
        <f>L307+L310</f>
        <v>0</v>
      </c>
      <c r="M304" s="102">
        <f>M307+M310</f>
        <v>0</v>
      </c>
      <c r="N304" s="102">
        <f>N307+N310</f>
        <v>0</v>
      </c>
      <c r="O304" s="102">
        <f>IF(L304&gt;0,N304*100/L304,0)</f>
        <v>0</v>
      </c>
      <c r="P304" s="102">
        <f>IF(M304&gt;0,N304*100/M304,0)</f>
        <v>0</v>
      </c>
      <c r="Q304" s="102">
        <f>Q307+Q310</f>
        <v>0</v>
      </c>
      <c r="R304" s="102">
        <f>R307+R310</f>
        <v>0</v>
      </c>
      <c r="S304" s="102">
        <f>S307+S310</f>
        <v>0</v>
      </c>
      <c r="T304" s="102">
        <f>IF(Q304&gt;0,S304*100/Q304,0)</f>
        <v>0</v>
      </c>
      <c r="U304" s="102">
        <f>IF(R304&gt;0,S304*100/R304,0)</f>
        <v>0</v>
      </c>
    </row>
    <row r="305" spans="1:21" ht="18.75" hidden="1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256">
        <f ca="1">L308+L311</f>
        <v>0</v>
      </c>
      <c r="M305" s="255">
        <f ca="1">M308+M311</f>
        <v>0</v>
      </c>
      <c r="N305" s="255">
        <f ca="1">N308+N311</f>
        <v>0</v>
      </c>
      <c r="O305" s="255">
        <f ca="1">IF(L305&gt;0,N305*100/L305,0)</f>
        <v>0</v>
      </c>
      <c r="P305" s="255">
        <f ca="1">IF(M305&gt;0,N305*100/M305,0)</f>
        <v>0</v>
      </c>
      <c r="Q305" s="255">
        <f ca="1">Q308+Q311</f>
        <v>260958.39</v>
      </c>
      <c r="R305" s="255">
        <f ca="1">R308+R311</f>
        <v>260958</v>
      </c>
      <c r="S305" s="255">
        <f ca="1">S308+S311</f>
        <v>0</v>
      </c>
      <c r="T305" s="255">
        <f ca="1">IF(Q305&gt;0,S305*100/Q305,0)</f>
        <v>0</v>
      </c>
      <c r="U305" s="255">
        <f ca="1">IF(R305&gt;0,S305*100/R305,0)</f>
        <v>0</v>
      </c>
    </row>
    <row r="306" spans="1:21" ht="18.75">
      <c r="A306" s="155"/>
      <c r="B306" s="50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256">
        <f ca="1">L307+L308</f>
        <v>0</v>
      </c>
      <c r="M306" s="255">
        <f ca="1">M307+M308</f>
        <v>0</v>
      </c>
      <c r="N306" s="255">
        <f ca="1">N307+N308</f>
        <v>0</v>
      </c>
      <c r="O306" s="255">
        <f ca="1">IF(L306&gt;0,N306*100/L306,0)</f>
        <v>0</v>
      </c>
      <c r="P306" s="255">
        <f ca="1">IF(M306&gt;0,N306*100/M306,0)</f>
        <v>0</v>
      </c>
      <c r="Q306" s="255">
        <f ca="1">Q307+Q308</f>
        <v>260958.39</v>
      </c>
      <c r="R306" s="255">
        <f ca="1">R307+R308</f>
        <v>260958</v>
      </c>
      <c r="S306" s="255">
        <f ca="1">S307+S308</f>
        <v>0</v>
      </c>
      <c r="T306" s="255">
        <f ca="1">IF(Q306&gt;0,S306*100/Q306,0)</f>
        <v>0</v>
      </c>
      <c r="U306" s="255">
        <f ca="1">IF(R306&gt;0,S306*100/R306,0)</f>
        <v>0</v>
      </c>
    </row>
    <row r="307" spans="1:21" ht="18.75" hidden="1">
      <c r="A307" s="155"/>
      <c r="B307" s="50"/>
      <c r="C307" s="50"/>
      <c r="D307" s="50"/>
      <c r="E307" s="186" t="s">
        <v>36</v>
      </c>
      <c r="F307" s="50"/>
      <c r="G307" s="52"/>
      <c r="H307" s="189" t="s">
        <v>14</v>
      </c>
      <c r="I307" s="163"/>
      <c r="J307" s="163"/>
      <c r="K307" s="164"/>
      <c r="L307" s="103">
        <v>0</v>
      </c>
      <c r="M307" s="102">
        <v>0</v>
      </c>
      <c r="N307" s="102">
        <v>0</v>
      </c>
      <c r="O307" s="102">
        <f>IF(L307&gt;0,N307*100/L307,0)</f>
        <v>0</v>
      </c>
      <c r="P307" s="102">
        <f>IF(M307&gt;0,N307*100/M307,0)</f>
        <v>0</v>
      </c>
      <c r="Q307" s="102">
        <v>0</v>
      </c>
      <c r="R307" s="102">
        <v>0</v>
      </c>
      <c r="S307" s="102">
        <v>0</v>
      </c>
      <c r="T307" s="102">
        <f>IF(Q307&gt;0,S307*100/Q307,0)</f>
        <v>0</v>
      </c>
      <c r="U307" s="102">
        <f>IF(R307&gt;0,S307*100/R307,0)</f>
        <v>0</v>
      </c>
    </row>
    <row r="308" spans="1:21" ht="18.75" hidden="1">
      <c r="A308" s="155"/>
      <c r="B308" s="50"/>
      <c r="C308" s="50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256">
        <f ca="1">IFERROR(__xludf.DUMMYFUNCTION("IMPORTRANGE(""https://docs.google.com/spreadsheets/d/1-uDff_7J0KD5mKrp0Vvzr7lt3OU09vwQwhkpOPPYv2Y/edit?usp=sharing"",""งบพรบ!DY33"")"),0)</f>
        <v>0</v>
      </c>
      <c r="M308" s="255">
        <f ca="1">IFERROR(__xludf.DUMMYFUNCTION("IMPORTRANGE(""https://docs.google.com/spreadsheets/d/1-uDff_7J0KD5mKrp0Vvzr7lt3OU09vwQwhkpOPPYv2Y/edit?usp=sharing"",""งบพรบ!ED33"")"),0)</f>
        <v>0</v>
      </c>
      <c r="N308" s="255">
        <f ca="1">IFERROR(__xludf.DUMMYFUNCTION("IMPORTRANGE(""https://docs.google.com/spreadsheets/d/1-uDff_7J0KD5mKrp0Vvzr7lt3OU09vwQwhkpOPPYv2Y/edit?usp=sharing"",""งบพรบ!EF33"")"),0)</f>
        <v>0</v>
      </c>
      <c r="O308" s="255">
        <f ca="1">IF(L308&gt;0,N308*100/L308,0)</f>
        <v>0</v>
      </c>
      <c r="P308" s="255">
        <f ca="1">IF(M308&gt;0,N308*100/M308,0)</f>
        <v>0</v>
      </c>
      <c r="Q308" s="255">
        <f ca="1">IFERROR(__xludf.DUMMYFUNCTION("IMPORTRANGE(""https://docs.google.com/spreadsheets/d/1ItG2mGa2ceCfYo0BwxsXqNm01IGEUdYcSSLTEv9YCik/edit?usp=sharing"",""เบิกจ่ายกองทุน!AP33"")"),260958.39)</f>
        <v>260958.39</v>
      </c>
      <c r="R308" s="255">
        <f ca="1">IFERROR(__xludf.DUMMYFUNCTION("IMPORTRANGE(""https://docs.google.com/spreadsheets/d/1ItG2mGa2ceCfYo0BwxsXqNm01IGEUdYcSSLTEv9YCik/edit?usp=sharing"",""เบิกจ่ายกองทุน!AQ33"")"),260958)</f>
        <v>260958</v>
      </c>
      <c r="S308" s="255">
        <f ca="1">IFERROR(__xludf.DUMMYFUNCTION("IMPORTRANGE(""https://docs.google.com/spreadsheets/d/1ItG2mGa2ceCfYo0BwxsXqNm01IGEUdYcSSLTEv9YCik/edit?usp=sharing"",""เบิกจ่ายกองทุน!AR33"")"),0)</f>
        <v>0</v>
      </c>
      <c r="T308" s="255">
        <f ca="1">IF(Q308&gt;0,S308*100/Q308,0)</f>
        <v>0</v>
      </c>
      <c r="U308" s="255">
        <f ca="1">IF(R308&gt;0,S308*100/R308,0)</f>
        <v>0</v>
      </c>
    </row>
    <row r="309" spans="1:21" ht="18.75">
      <c r="A309" s="155"/>
      <c r="B309" s="50"/>
      <c r="C309" s="50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256">
        <f ca="1">L310+L311</f>
        <v>0</v>
      </c>
      <c r="M309" s="255">
        <f ca="1">M310+M311</f>
        <v>0</v>
      </c>
      <c r="N309" s="255">
        <f ca="1">N310+N311</f>
        <v>0</v>
      </c>
      <c r="O309" s="255">
        <f ca="1">IF(L309&gt;0,N309*100/L309,0)</f>
        <v>0</v>
      </c>
      <c r="P309" s="255">
        <f ca="1">IF(M309&gt;0,N309*100/M309,0)</f>
        <v>0</v>
      </c>
      <c r="Q309" s="255">
        <f>Q310+Q311</f>
        <v>0</v>
      </c>
      <c r="R309" s="255">
        <f>R310+R311</f>
        <v>0</v>
      </c>
      <c r="S309" s="255">
        <f>S310+S311</f>
        <v>0</v>
      </c>
      <c r="T309" s="255">
        <f>IF(Q309&gt;0,S309*100/Q309,0)</f>
        <v>0</v>
      </c>
      <c r="U309" s="255">
        <f>IF(R309&gt;0,S309*100/R309,0)</f>
        <v>0</v>
      </c>
    </row>
    <row r="310" spans="1:21" ht="18.75" hidden="1">
      <c r="A310" s="155"/>
      <c r="B310" s="50"/>
      <c r="C310" s="50"/>
      <c r="D310" s="50"/>
      <c r="E310" s="186" t="s">
        <v>20</v>
      </c>
      <c r="F310" s="50"/>
      <c r="G310" s="52"/>
      <c r="H310" s="189" t="s">
        <v>14</v>
      </c>
      <c r="I310" s="163"/>
      <c r="J310" s="163"/>
      <c r="K310" s="164"/>
      <c r="L310" s="103">
        <v>0</v>
      </c>
      <c r="M310" s="102">
        <v>0</v>
      </c>
      <c r="N310" s="102">
        <v>0</v>
      </c>
      <c r="O310" s="102">
        <f>IF(L310&gt;0,N310*100/L310,0)</f>
        <v>0</v>
      </c>
      <c r="P310" s="102">
        <f>IF(M310&gt;0,N310*100/M310,0)</f>
        <v>0</v>
      </c>
      <c r="Q310" s="102">
        <v>0</v>
      </c>
      <c r="R310" s="102">
        <v>0</v>
      </c>
      <c r="S310" s="102">
        <v>0</v>
      </c>
      <c r="T310" s="102">
        <f>IF(Q310&gt;0,S310*100/Q310,0)</f>
        <v>0</v>
      </c>
      <c r="U310" s="102">
        <f>IF(R310&gt;0,S310*100/R310,0)</f>
        <v>0</v>
      </c>
    </row>
    <row r="311" spans="1:21" ht="18.75" hidden="1">
      <c r="A311" s="155"/>
      <c r="B311" s="50"/>
      <c r="C311" s="50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256">
        <f ca="1">IFERROR(__xludf.DUMMYFUNCTION("IMPORTRANGE(""https://docs.google.com/spreadsheets/d/1-uDff_7J0KD5mKrp0Vvzr7lt3OU09vwQwhkpOPPYv2Y/edit?usp=sharing"",""งบพรบ!EB33"")"),0)</f>
        <v>0</v>
      </c>
      <c r="M311" s="255">
        <f ca="1">IFERROR(__xludf.DUMMYFUNCTION("IMPORTRANGE(""https://docs.google.com/spreadsheets/d/1-uDff_7J0KD5mKrp0Vvzr7lt3OU09vwQwhkpOPPYv2Y/edit?usp=sharing"",""งบพรบ!EE33"")"),0)</f>
        <v>0</v>
      </c>
      <c r="N311" s="255">
        <f ca="1">IFERROR(__xludf.DUMMYFUNCTION("IMPORTRANGE(""https://docs.google.com/spreadsheets/d/1-uDff_7J0KD5mKrp0Vvzr7lt3OU09vwQwhkpOPPYv2Y/edit?usp=sharing"",""งบพรบ!EG33"")"),0)</f>
        <v>0</v>
      </c>
      <c r="O311" s="255">
        <f ca="1">IF(L311&gt;0,N311*100/L311,0)</f>
        <v>0</v>
      </c>
      <c r="P311" s="255">
        <f ca="1">IF(M311&gt;0,N311*100/M311,0)</f>
        <v>0</v>
      </c>
      <c r="Q311" s="255">
        <v>0</v>
      </c>
      <c r="R311" s="255">
        <v>0</v>
      </c>
      <c r="S311" s="255">
        <v>0</v>
      </c>
      <c r="T311" s="255">
        <f>IF(Q311&gt;0,S311*100/Q311,0)</f>
        <v>0</v>
      </c>
      <c r="U311" s="255">
        <f>IF(R311&gt;0,S311*100/R311,0)</f>
        <v>0</v>
      </c>
    </row>
    <row r="312" spans="1:21" ht="19.5">
      <c r="A312" s="166"/>
      <c r="B312" s="167"/>
      <c r="C312" s="156" t="s">
        <v>18</v>
      </c>
      <c r="D312" s="566" t="s">
        <v>38</v>
      </c>
      <c r="E312" s="169"/>
      <c r="F312" s="169"/>
      <c r="G312" s="170"/>
      <c r="H312" s="171"/>
      <c r="I312" s="54"/>
      <c r="J312" s="54"/>
      <c r="K312" s="55"/>
      <c r="L312" s="62"/>
      <c r="M312" s="55"/>
      <c r="N312" s="55"/>
      <c r="O312" s="55"/>
      <c r="P312" s="55"/>
      <c r="Q312" s="55"/>
      <c r="R312" s="55"/>
      <c r="S312" s="55"/>
      <c r="T312" s="55"/>
      <c r="U312" s="55"/>
    </row>
    <row r="313" spans="1:21" ht="18.75" hidden="1">
      <c r="A313" s="192"/>
      <c r="B313" s="193"/>
      <c r="C313" s="193"/>
      <c r="D313" s="640"/>
      <c r="E313" s="22"/>
      <c r="F313" s="22"/>
      <c r="G313" s="23"/>
      <c r="H313" s="23"/>
      <c r="I313" s="24"/>
      <c r="J313" s="638"/>
      <c r="K313" s="25"/>
      <c r="L313" s="26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8.75">
      <c r="A314" s="166"/>
      <c r="B314" s="167"/>
      <c r="C314" s="167"/>
      <c r="D314" s="178" t="s">
        <v>121</v>
      </c>
      <c r="E314" s="174"/>
      <c r="F314" s="174"/>
      <c r="G314" s="171"/>
      <c r="H314" s="179" t="s">
        <v>35</v>
      </c>
      <c r="I314" s="212">
        <f ca="1">IFERROR(__xludf.DUMMYFUNCTION("IMPORTRANGE(""https://docs.google.com/spreadsheets/d/1eHaY18a8A9IcSdp1K8H6x8fbOy06t2VsZHhMHf-1x7Y/edit?usp=sharing"",""แผน!EF33"")"),30)</f>
        <v>30</v>
      </c>
      <c r="J314" s="467">
        <v>0</v>
      </c>
      <c r="K314" s="255">
        <f ca="1">IF(I314&gt;0,J314*100/I314,0)</f>
        <v>0</v>
      </c>
      <c r="L314" s="62"/>
      <c r="M314" s="55"/>
      <c r="N314" s="55"/>
      <c r="O314" s="55"/>
      <c r="P314" s="55"/>
      <c r="Q314" s="55"/>
      <c r="R314" s="55"/>
      <c r="S314" s="55"/>
      <c r="T314" s="55"/>
      <c r="U314" s="55"/>
    </row>
    <row r="315" spans="1:21" ht="18.75" hidden="1">
      <c r="A315" s="192"/>
      <c r="B315" s="193"/>
      <c r="C315" s="193"/>
      <c r="D315" s="640"/>
      <c r="E315" s="22"/>
      <c r="F315" s="22"/>
      <c r="G315" s="23"/>
      <c r="H315" s="639"/>
      <c r="I315" s="638"/>
      <c r="J315" s="638"/>
      <c r="K315" s="637"/>
      <c r="L315" s="26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8.75" hidden="1">
      <c r="A316" s="192"/>
      <c r="B316" s="193"/>
      <c r="C316" s="193"/>
      <c r="D316" s="640"/>
      <c r="E316" s="22"/>
      <c r="F316" s="22"/>
      <c r="G316" s="23"/>
      <c r="H316" s="639"/>
      <c r="I316" s="638"/>
      <c r="J316" s="638"/>
      <c r="K316" s="637"/>
      <c r="L316" s="26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8.75" hidden="1">
      <c r="A317" s="192"/>
      <c r="B317" s="193"/>
      <c r="C317" s="193"/>
      <c r="D317" s="636"/>
      <c r="E317" s="22"/>
      <c r="F317" s="22"/>
      <c r="G317" s="23"/>
      <c r="H317" s="635"/>
      <c r="I317" s="634"/>
      <c r="J317" s="634"/>
      <c r="K317" s="633"/>
      <c r="L317" s="26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9.5" hidden="1">
      <c r="A318" s="319" t="s">
        <v>131</v>
      </c>
      <c r="B318" s="320"/>
      <c r="C318" s="320"/>
      <c r="D318" s="321"/>
      <c r="E318" s="320"/>
      <c r="F318" s="320"/>
      <c r="G318" s="320"/>
      <c r="H318" s="321"/>
      <c r="I318" s="323"/>
      <c r="J318" s="323"/>
      <c r="K318" s="324"/>
      <c r="L318" s="325"/>
      <c r="M318" s="324"/>
      <c r="N318" s="324"/>
      <c r="O318" s="324"/>
      <c r="P318" s="324"/>
      <c r="Q318" s="324"/>
      <c r="R318" s="324"/>
      <c r="S318" s="324"/>
      <c r="T318" s="324"/>
      <c r="U318" s="324"/>
    </row>
    <row r="319" spans="1:21" ht="19.5" hidden="1">
      <c r="A319" s="335"/>
      <c r="B319" s="327" t="s">
        <v>132</v>
      </c>
      <c r="C319" s="336"/>
      <c r="D319" s="337"/>
      <c r="E319" s="328"/>
      <c r="F319" s="328"/>
      <c r="G319" s="329"/>
      <c r="H319" s="330" t="s">
        <v>133</v>
      </c>
      <c r="I319" s="605">
        <f ca="1">I330</f>
        <v>0</v>
      </c>
      <c r="J319" s="605">
        <f>J330</f>
        <v>0</v>
      </c>
      <c r="K319" s="604">
        <f ca="1">IF(I319&gt;0,J319*100/I319,0)</f>
        <v>0</v>
      </c>
      <c r="L319" s="334"/>
      <c r="M319" s="333"/>
      <c r="N319" s="333"/>
      <c r="O319" s="333"/>
      <c r="P319" s="333"/>
      <c r="Q319" s="333"/>
      <c r="R319" s="333"/>
      <c r="S319" s="333"/>
      <c r="T319" s="333"/>
      <c r="U319" s="333"/>
    </row>
    <row r="320" spans="1:21" ht="19.5" hidden="1">
      <c r="A320" s="155"/>
      <c r="B320" s="50"/>
      <c r="C320" s="156" t="s">
        <v>18</v>
      </c>
      <c r="D320" s="575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541">
        <f ca="1">L321+L322</f>
        <v>0</v>
      </c>
      <c r="M320" s="540">
        <f ca="1">M321+M322</f>
        <v>0</v>
      </c>
      <c r="N320" s="540">
        <f ca="1">N321+N322</f>
        <v>0</v>
      </c>
      <c r="O320" s="540">
        <f ca="1">IF(L320&gt;0,N320*100/L320,0)</f>
        <v>0</v>
      </c>
      <c r="P320" s="540">
        <f ca="1">IF(M320&gt;0,N320*100/M320,0)</f>
        <v>0</v>
      </c>
      <c r="Q320" s="540">
        <f>Q321+Q322</f>
        <v>0</v>
      </c>
      <c r="R320" s="540">
        <f>R321+R322</f>
        <v>0</v>
      </c>
      <c r="S320" s="540">
        <f>S321+S322</f>
        <v>0</v>
      </c>
      <c r="T320" s="540">
        <f>IF(Q320&gt;0,S320*100/Q320,0)</f>
        <v>0</v>
      </c>
      <c r="U320" s="540">
        <f>IF(R320&gt;0,S320*100/R320,0)</f>
        <v>0</v>
      </c>
    </row>
    <row r="321" spans="1:21" ht="18.75" hidden="1">
      <c r="A321" s="155"/>
      <c r="B321" s="50"/>
      <c r="C321" s="50"/>
      <c r="D321" s="50"/>
      <c r="E321" s="186" t="s">
        <v>20</v>
      </c>
      <c r="F321" s="50"/>
      <c r="G321" s="52"/>
      <c r="H321" s="187" t="s">
        <v>14</v>
      </c>
      <c r="I321" s="54"/>
      <c r="J321" s="54"/>
      <c r="K321" s="55"/>
      <c r="L321" s="103">
        <f>L324+L327</f>
        <v>0</v>
      </c>
      <c r="M321" s="102">
        <f>M324+M327</f>
        <v>0</v>
      </c>
      <c r="N321" s="102">
        <f>N324+N327</f>
        <v>0</v>
      </c>
      <c r="O321" s="102">
        <f>IF(L321&gt;0,N321*100/L321,0)</f>
        <v>0</v>
      </c>
      <c r="P321" s="102">
        <f>IF(M321&gt;0,N321*100/M321,0)</f>
        <v>0</v>
      </c>
      <c r="Q321" s="102">
        <f>Q324+Q327</f>
        <v>0</v>
      </c>
      <c r="R321" s="102">
        <f>R324+R327</f>
        <v>0</v>
      </c>
      <c r="S321" s="102">
        <f>S324+S327</f>
        <v>0</v>
      </c>
      <c r="T321" s="102">
        <f>IF(Q321&gt;0,S321*100/Q321,0)</f>
        <v>0</v>
      </c>
      <c r="U321" s="102">
        <f>IF(R321&gt;0,S321*100/R321,0)</f>
        <v>0</v>
      </c>
    </row>
    <row r="322" spans="1:21" ht="18.75" hidden="1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256">
        <f ca="1">L325+L328</f>
        <v>0</v>
      </c>
      <c r="M322" s="255">
        <f ca="1">M325+M328</f>
        <v>0</v>
      </c>
      <c r="N322" s="255">
        <f ca="1">N325+N328</f>
        <v>0</v>
      </c>
      <c r="O322" s="255">
        <f ca="1">IF(L322&gt;0,N322*100/L322,0)</f>
        <v>0</v>
      </c>
      <c r="P322" s="255">
        <f ca="1">IF(M322&gt;0,N322*100/M322,0)</f>
        <v>0</v>
      </c>
      <c r="Q322" s="255">
        <f>Q325+Q328</f>
        <v>0</v>
      </c>
      <c r="R322" s="255">
        <f>R325+R328</f>
        <v>0</v>
      </c>
      <c r="S322" s="255">
        <f>S325+S328</f>
        <v>0</v>
      </c>
      <c r="T322" s="255">
        <f>IF(Q322&gt;0,S322*100/Q322,0)</f>
        <v>0</v>
      </c>
      <c r="U322" s="255">
        <f>IF(R322&gt;0,S322*100/R322,0)</f>
        <v>0</v>
      </c>
    </row>
    <row r="323" spans="1:21" ht="18.75" hidden="1">
      <c r="A323" s="155"/>
      <c r="B323" s="50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256">
        <f ca="1">L324+L325</f>
        <v>0</v>
      </c>
      <c r="M323" s="255">
        <f ca="1">M324+M325</f>
        <v>0</v>
      </c>
      <c r="N323" s="255">
        <f ca="1">N324+N325</f>
        <v>0</v>
      </c>
      <c r="O323" s="255">
        <f ca="1">IF(L323&gt;0,N323*100/L323,0)</f>
        <v>0</v>
      </c>
      <c r="P323" s="255">
        <f ca="1">IF(M323&gt;0,N323*100/M323,0)</f>
        <v>0</v>
      </c>
      <c r="Q323" s="255">
        <f>Q324+Q325</f>
        <v>0</v>
      </c>
      <c r="R323" s="255">
        <f>R324+R325</f>
        <v>0</v>
      </c>
      <c r="S323" s="255">
        <f>S324+S325</f>
        <v>0</v>
      </c>
      <c r="T323" s="255">
        <f>IF(Q323&gt;0,S323*100/Q323,0)</f>
        <v>0</v>
      </c>
      <c r="U323" s="255">
        <f>IF(R323&gt;0,S323*100/R323,0)</f>
        <v>0</v>
      </c>
    </row>
    <row r="324" spans="1:21" ht="18.75" hidden="1">
      <c r="A324" s="155"/>
      <c r="B324" s="50"/>
      <c r="C324" s="50"/>
      <c r="D324" s="50"/>
      <c r="E324" s="186" t="s">
        <v>36</v>
      </c>
      <c r="F324" s="50"/>
      <c r="G324" s="52"/>
      <c r="H324" s="189" t="s">
        <v>14</v>
      </c>
      <c r="I324" s="163"/>
      <c r="J324" s="163"/>
      <c r="K324" s="164"/>
      <c r="L324" s="103">
        <v>0</v>
      </c>
      <c r="M324" s="102">
        <v>0</v>
      </c>
      <c r="N324" s="102">
        <v>0</v>
      </c>
      <c r="O324" s="102">
        <f>IF(L324&gt;0,N324*100/L324,0)</f>
        <v>0</v>
      </c>
      <c r="P324" s="102">
        <f>IF(M324&gt;0,N324*100/M324,0)</f>
        <v>0</v>
      </c>
      <c r="Q324" s="102">
        <v>0</v>
      </c>
      <c r="R324" s="102">
        <v>0</v>
      </c>
      <c r="S324" s="102">
        <v>0</v>
      </c>
      <c r="T324" s="102">
        <f>IF(Q324&gt;0,S324*100/Q324,0)</f>
        <v>0</v>
      </c>
      <c r="U324" s="102">
        <f>IF(R324&gt;0,S324*100/R324,0)</f>
        <v>0</v>
      </c>
    </row>
    <row r="325" spans="1:21" ht="18.75" hidden="1">
      <c r="A325" s="155"/>
      <c r="B325" s="50"/>
      <c r="C325" s="50"/>
      <c r="D325" s="50"/>
      <c r="E325" s="58" t="s">
        <v>37</v>
      </c>
      <c r="F325" s="50"/>
      <c r="G325" s="52"/>
      <c r="H325" s="162" t="s">
        <v>14</v>
      </c>
      <c r="I325" s="163"/>
      <c r="J325" s="163"/>
      <c r="K325" s="164"/>
      <c r="L325" s="256">
        <f ca="1">IFERROR(__xludf.DUMMYFUNCTION("IMPORTRANGE(""https://docs.google.com/spreadsheets/d/1-uDff_7J0KD5mKrp0Vvzr7lt3OU09vwQwhkpOPPYv2Y/edit?usp=sharing"",""งบพรบ!EI33"")"),0)</f>
        <v>0</v>
      </c>
      <c r="M325" s="255">
        <f ca="1">IFERROR(__xludf.DUMMYFUNCTION("IMPORTRANGE(""https://docs.google.com/spreadsheets/d/1-uDff_7J0KD5mKrp0Vvzr7lt3OU09vwQwhkpOPPYv2Y/edit?usp=sharing"",""งบพรบ!EN33"")"),0)</f>
        <v>0</v>
      </c>
      <c r="N325" s="255">
        <f ca="1">IFERROR(__xludf.DUMMYFUNCTION("IMPORTRANGE(""https://docs.google.com/spreadsheets/d/1-uDff_7J0KD5mKrp0Vvzr7lt3OU09vwQwhkpOPPYv2Y/edit?usp=sharing"",""งบพรบ!EP33"")"),0)</f>
        <v>0</v>
      </c>
      <c r="O325" s="255">
        <f ca="1">IF(L325&gt;0,N325*100/L325,0)</f>
        <v>0</v>
      </c>
      <c r="P325" s="255">
        <f ca="1">IF(M325&gt;0,N325*100/M325,0)</f>
        <v>0</v>
      </c>
      <c r="Q325" s="255">
        <v>0</v>
      </c>
      <c r="R325" s="255">
        <v>0</v>
      </c>
      <c r="S325" s="255">
        <v>0</v>
      </c>
      <c r="T325" s="255">
        <f>IF(Q325&gt;0,S325*100/Q325,0)</f>
        <v>0</v>
      </c>
      <c r="U325" s="255">
        <f>IF(R325&gt;0,S325*100/R325,0)</f>
        <v>0</v>
      </c>
    </row>
    <row r="326" spans="1:21" ht="18.75" hidden="1">
      <c r="A326" s="155"/>
      <c r="B326" s="50"/>
      <c r="C326" s="50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256">
        <f ca="1">L327+L328</f>
        <v>0</v>
      </c>
      <c r="M326" s="255">
        <f ca="1">M327+M328</f>
        <v>0</v>
      </c>
      <c r="N326" s="255">
        <f ca="1">N327+N328</f>
        <v>0</v>
      </c>
      <c r="O326" s="255">
        <f ca="1">IF(L326&gt;0,N326*100/L326,0)</f>
        <v>0</v>
      </c>
      <c r="P326" s="255">
        <f ca="1">IF(M326&gt;0,N326*100/M326,0)</f>
        <v>0</v>
      </c>
      <c r="Q326" s="255">
        <f>Q327+Q328</f>
        <v>0</v>
      </c>
      <c r="R326" s="255">
        <f>R327+R328</f>
        <v>0</v>
      </c>
      <c r="S326" s="255">
        <f>S327+S328</f>
        <v>0</v>
      </c>
      <c r="T326" s="255">
        <f>IF(Q326&gt;0,S326*100/Q326,0)</f>
        <v>0</v>
      </c>
      <c r="U326" s="255">
        <f>IF(R326&gt;0,S326*100/R326,0)</f>
        <v>0</v>
      </c>
    </row>
    <row r="327" spans="1:21" ht="18.75" hidden="1">
      <c r="A327" s="155"/>
      <c r="B327" s="50"/>
      <c r="C327" s="50"/>
      <c r="D327" s="50"/>
      <c r="E327" s="186" t="s">
        <v>20</v>
      </c>
      <c r="F327" s="50"/>
      <c r="G327" s="52"/>
      <c r="H327" s="189" t="s">
        <v>14</v>
      </c>
      <c r="I327" s="163"/>
      <c r="J327" s="163"/>
      <c r="K327" s="164"/>
      <c r="L327" s="103">
        <v>0</v>
      </c>
      <c r="M327" s="102">
        <v>0</v>
      </c>
      <c r="N327" s="102">
        <v>0</v>
      </c>
      <c r="O327" s="102">
        <f>IF(L327&gt;0,N327*100/L327,0)</f>
        <v>0</v>
      </c>
      <c r="P327" s="102">
        <f>IF(M327&gt;0,N327*100/M327,0)</f>
        <v>0</v>
      </c>
      <c r="Q327" s="102">
        <v>0</v>
      </c>
      <c r="R327" s="102">
        <v>0</v>
      </c>
      <c r="S327" s="102">
        <v>0</v>
      </c>
      <c r="T327" s="102">
        <f>IF(Q327&gt;0,S327*100/Q327,0)</f>
        <v>0</v>
      </c>
      <c r="U327" s="102">
        <f>IF(R327&gt;0,S327*100/R327,0)</f>
        <v>0</v>
      </c>
    </row>
    <row r="328" spans="1:21" ht="18.75" hidden="1">
      <c r="A328" s="155"/>
      <c r="B328" s="50"/>
      <c r="C328" s="50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256">
        <f ca="1">IFERROR(__xludf.DUMMYFUNCTION("IMPORTRANGE(""https://docs.google.com/spreadsheets/d/1-uDff_7J0KD5mKrp0Vvzr7lt3OU09vwQwhkpOPPYv2Y/edit?usp=sharing"",""งบพรบ!EL33"")"),0)</f>
        <v>0</v>
      </c>
      <c r="M328" s="255">
        <f ca="1">IFERROR(__xludf.DUMMYFUNCTION("IMPORTRANGE(""https://docs.google.com/spreadsheets/d/1-uDff_7J0KD5mKrp0Vvzr7lt3OU09vwQwhkpOPPYv2Y/edit?usp=sharing"",""งบพรบ!EO33"")"),0)</f>
        <v>0</v>
      </c>
      <c r="N328" s="255">
        <f ca="1">IFERROR(__xludf.DUMMYFUNCTION("IMPORTRANGE(""https://docs.google.com/spreadsheets/d/1-uDff_7J0KD5mKrp0Vvzr7lt3OU09vwQwhkpOPPYv2Y/edit?usp=sharing"",""งบพรบ!EQ33"")"),0)</f>
        <v>0</v>
      </c>
      <c r="O328" s="255">
        <f ca="1">IF(L328&gt;0,N328*100/L328,0)</f>
        <v>0</v>
      </c>
      <c r="P328" s="255">
        <f ca="1">IF(M328&gt;0,N328*100/M328,0)</f>
        <v>0</v>
      </c>
      <c r="Q328" s="255">
        <v>0</v>
      </c>
      <c r="R328" s="255">
        <v>0</v>
      </c>
      <c r="S328" s="255">
        <v>0</v>
      </c>
      <c r="T328" s="255">
        <f>IF(Q328&gt;0,S328*100/Q328,0)</f>
        <v>0</v>
      </c>
      <c r="U328" s="255">
        <f>IF(R328&gt;0,S328*100/R328,0)</f>
        <v>0</v>
      </c>
    </row>
    <row r="329" spans="1:21" ht="19.5" hidden="1">
      <c r="A329" s="166"/>
      <c r="B329" s="167"/>
      <c r="C329" s="156" t="s">
        <v>18</v>
      </c>
      <c r="D329" s="566" t="s">
        <v>38</v>
      </c>
      <c r="E329" s="169"/>
      <c r="F329" s="169"/>
      <c r="G329" s="170"/>
      <c r="H329" s="171"/>
      <c r="I329" s="163"/>
      <c r="J329" s="54"/>
      <c r="K329" s="55"/>
      <c r="L329" s="62"/>
      <c r="M329" s="55"/>
      <c r="N329" s="55"/>
      <c r="O329" s="164"/>
      <c r="P329" s="164"/>
      <c r="Q329" s="55"/>
      <c r="R329" s="55"/>
      <c r="S329" s="55"/>
      <c r="T329" s="164"/>
      <c r="U329" s="164"/>
    </row>
    <row r="330" spans="1:21" ht="18.75" hidden="1">
      <c r="A330" s="166"/>
      <c r="B330" s="167"/>
      <c r="C330" s="167"/>
      <c r="D330" s="173" t="s">
        <v>134</v>
      </c>
      <c r="E330" s="174"/>
      <c r="F330" s="174"/>
      <c r="G330" s="171"/>
      <c r="H330" s="53" t="s">
        <v>133</v>
      </c>
      <c r="I330" s="212">
        <f ca="1">IFERROR(__xludf.DUMMYFUNCTION("IMPORTRANGE(""https://docs.google.com/spreadsheets/d/1eHaY18a8A9IcSdp1K8H6x8fbOy06t2VsZHhMHf-1x7Y/edit?usp=sharing"",""แผน!EJ33"")"),0)</f>
        <v>0</v>
      </c>
      <c r="J330" s="467">
        <v>0</v>
      </c>
      <c r="K330" s="255">
        <f ca="1">IF(I330&gt;0,J330*100/I330,0)</f>
        <v>0</v>
      </c>
      <c r="L330" s="62"/>
      <c r="M330" s="55"/>
      <c r="N330" s="55"/>
      <c r="O330" s="164"/>
      <c r="P330" s="164"/>
      <c r="Q330" s="55"/>
      <c r="R330" s="55"/>
      <c r="S330" s="55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1"/>
      <c r="I331" s="323"/>
      <c r="J331" s="323"/>
      <c r="K331" s="324"/>
      <c r="L331" s="325"/>
      <c r="M331" s="324"/>
      <c r="N331" s="324"/>
      <c r="O331" s="324"/>
      <c r="P331" s="324"/>
      <c r="Q331" s="324"/>
      <c r="R331" s="324"/>
      <c r="S331" s="324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30" t="s">
        <v>35</v>
      </c>
      <c r="I332" s="632">
        <f ca="1">I344</f>
        <v>2860</v>
      </c>
      <c r="J332" s="631">
        <f ca="1">J344+J347+J348+J349+J353+J354</f>
        <v>12265</v>
      </c>
      <c r="K332" s="630">
        <f ca="1">IF(I332&gt;0,J332*100/I332,0)</f>
        <v>428.84615384615387</v>
      </c>
      <c r="L332" s="334"/>
      <c r="M332" s="333"/>
      <c r="N332" s="333"/>
      <c r="O332" s="333"/>
      <c r="P332" s="333"/>
      <c r="Q332" s="333"/>
      <c r="R332" s="333"/>
      <c r="S332" s="333"/>
      <c r="T332" s="333"/>
      <c r="U332" s="333"/>
    </row>
    <row r="333" spans="1:21" ht="19.5">
      <c r="A333" s="155"/>
      <c r="B333" s="50"/>
      <c r="C333" s="156" t="s">
        <v>18</v>
      </c>
      <c r="D333" s="575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541">
        <f ca="1">L334+L335</f>
        <v>117000</v>
      </c>
      <c r="M333" s="540">
        <f ca="1">M334+M335</f>
        <v>122000</v>
      </c>
      <c r="N333" s="540">
        <f ca="1">N334+N335</f>
        <v>62031</v>
      </c>
      <c r="O333" s="540">
        <f ca="1">IF(L333&gt;0,N333*100/L333,0)</f>
        <v>53.01794871794872</v>
      </c>
      <c r="P333" s="540">
        <f ca="1">IF(M333&gt;0,N333*100/M333,0)</f>
        <v>50.845081967213112</v>
      </c>
      <c r="Q333" s="540">
        <f>Q334+Q335</f>
        <v>0</v>
      </c>
      <c r="R333" s="540">
        <f>R334+R335</f>
        <v>0</v>
      </c>
      <c r="S333" s="540">
        <f>S334+S335</f>
        <v>0</v>
      </c>
      <c r="T333" s="540">
        <f>IF(Q333&gt;0,S333*100/Q333,0)</f>
        <v>0</v>
      </c>
      <c r="U333" s="540">
        <f>IF(R333&gt;0,S333*100/R333,0)</f>
        <v>0</v>
      </c>
    </row>
    <row r="334" spans="1:21" ht="18.75" hidden="1">
      <c r="A334" s="155"/>
      <c r="B334" s="50"/>
      <c r="C334" s="50"/>
      <c r="D334" s="50"/>
      <c r="E334" s="186" t="s">
        <v>20</v>
      </c>
      <c r="F334" s="50"/>
      <c r="G334" s="52"/>
      <c r="H334" s="187" t="s">
        <v>14</v>
      </c>
      <c r="I334" s="54"/>
      <c r="J334" s="54"/>
      <c r="K334" s="55"/>
      <c r="L334" s="103">
        <f>L337+L340</f>
        <v>0</v>
      </c>
      <c r="M334" s="102">
        <f>M337+M340</f>
        <v>0</v>
      </c>
      <c r="N334" s="102">
        <f>N337+N340</f>
        <v>0</v>
      </c>
      <c r="O334" s="102">
        <f>IF(L334&gt;0,N334*100/L334,0)</f>
        <v>0</v>
      </c>
      <c r="P334" s="102">
        <f>IF(M334&gt;0,N334*100/M334,0)</f>
        <v>0</v>
      </c>
      <c r="Q334" s="102">
        <f>Q337+Q340</f>
        <v>0</v>
      </c>
      <c r="R334" s="102">
        <f>R337+R340</f>
        <v>0</v>
      </c>
      <c r="S334" s="102">
        <f>S337+S340</f>
        <v>0</v>
      </c>
      <c r="T334" s="102">
        <f>IF(Q334&gt;0,S334*100/Q334,0)</f>
        <v>0</v>
      </c>
      <c r="U334" s="102">
        <f>IF(R334&gt;0,S334*100/R334,0)</f>
        <v>0</v>
      </c>
    </row>
    <row r="335" spans="1:21" ht="18.75" hidden="1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256">
        <f ca="1">L338+L341</f>
        <v>117000</v>
      </c>
      <c r="M335" s="255">
        <f ca="1">M338+M341</f>
        <v>122000</v>
      </c>
      <c r="N335" s="255">
        <f ca="1">N338+N341</f>
        <v>62031</v>
      </c>
      <c r="O335" s="255">
        <f ca="1">IF(L335&gt;0,N335*100/L335,0)</f>
        <v>53.01794871794872</v>
      </c>
      <c r="P335" s="255">
        <f ca="1">IF(M335&gt;0,N335*100/M335,0)</f>
        <v>50.845081967213112</v>
      </c>
      <c r="Q335" s="255">
        <f>Q338+Q341</f>
        <v>0</v>
      </c>
      <c r="R335" s="255">
        <f>R338+R341</f>
        <v>0</v>
      </c>
      <c r="S335" s="255">
        <f>S338+S341</f>
        <v>0</v>
      </c>
      <c r="T335" s="255">
        <f>IF(Q335&gt;0,S335*100/Q335,0)</f>
        <v>0</v>
      </c>
      <c r="U335" s="255">
        <f>IF(R335&gt;0,S335*100/R335,0)</f>
        <v>0</v>
      </c>
    </row>
    <row r="336" spans="1:21" ht="18.75">
      <c r="A336" s="155"/>
      <c r="B336" s="50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256">
        <f ca="1">L337+L338</f>
        <v>117000</v>
      </c>
      <c r="M336" s="255">
        <f ca="1">M337+M338</f>
        <v>122000</v>
      </c>
      <c r="N336" s="255">
        <f ca="1">N337+N338</f>
        <v>62031</v>
      </c>
      <c r="O336" s="255">
        <f ca="1">IF(L336&gt;0,N336*100/L336,0)</f>
        <v>53.01794871794872</v>
      </c>
      <c r="P336" s="255">
        <f ca="1">IF(M336&gt;0,N336*100/M336,0)</f>
        <v>50.845081967213112</v>
      </c>
      <c r="Q336" s="255">
        <f>Q337+Q338</f>
        <v>0</v>
      </c>
      <c r="R336" s="255">
        <f>R337+R338</f>
        <v>0</v>
      </c>
      <c r="S336" s="255">
        <f>S337+S338</f>
        <v>0</v>
      </c>
      <c r="T336" s="255">
        <f>IF(Q336&gt;0,S336*100/Q336,0)</f>
        <v>0</v>
      </c>
      <c r="U336" s="255">
        <f>IF(R336&gt;0,S336*100/R336,0)</f>
        <v>0</v>
      </c>
    </row>
    <row r="337" spans="1:21" ht="18.75" hidden="1">
      <c r="A337" s="155"/>
      <c r="B337" s="50"/>
      <c r="C337" s="50"/>
      <c r="D337" s="50"/>
      <c r="E337" s="186" t="s">
        <v>36</v>
      </c>
      <c r="F337" s="50"/>
      <c r="G337" s="52"/>
      <c r="H337" s="189" t="s">
        <v>14</v>
      </c>
      <c r="I337" s="163"/>
      <c r="J337" s="163"/>
      <c r="K337" s="164"/>
      <c r="L337" s="103">
        <v>0</v>
      </c>
      <c r="M337" s="102">
        <v>0</v>
      </c>
      <c r="N337" s="102">
        <v>0</v>
      </c>
      <c r="O337" s="102">
        <f>IF(L337&gt;0,N337*100/L337,0)</f>
        <v>0</v>
      </c>
      <c r="P337" s="102">
        <f>IF(M337&gt;0,N337*100/M337,0)</f>
        <v>0</v>
      </c>
      <c r="Q337" s="102">
        <v>0</v>
      </c>
      <c r="R337" s="102">
        <v>0</v>
      </c>
      <c r="S337" s="102">
        <v>0</v>
      </c>
      <c r="T337" s="102">
        <f>IF(Q337&gt;0,S337*100/Q337,0)</f>
        <v>0</v>
      </c>
      <c r="U337" s="102">
        <f>IF(R337&gt;0,S337*100/R337,0)</f>
        <v>0</v>
      </c>
    </row>
    <row r="338" spans="1:21" ht="18.75" hidden="1">
      <c r="A338" s="155"/>
      <c r="B338" s="50"/>
      <c r="C338" s="50"/>
      <c r="D338" s="50"/>
      <c r="E338" s="58" t="s">
        <v>37</v>
      </c>
      <c r="F338" s="50"/>
      <c r="G338" s="52"/>
      <c r="H338" s="162" t="s">
        <v>14</v>
      </c>
      <c r="I338" s="163"/>
      <c r="J338" s="163"/>
      <c r="K338" s="164"/>
      <c r="L338" s="256">
        <f ca="1">IFERROR(__xludf.DUMMYFUNCTION("IMPORTRANGE(""https://docs.google.com/spreadsheets/d/1-uDff_7J0KD5mKrp0Vvzr7lt3OU09vwQwhkpOPPYv2Y/edit?usp=sharing"",""งบพรบ!ES33"")"),117000)</f>
        <v>117000</v>
      </c>
      <c r="M338" s="255">
        <f ca="1">IFERROR(__xludf.DUMMYFUNCTION("IMPORTRANGE(""https://docs.google.com/spreadsheets/d/1-uDff_7J0KD5mKrp0Vvzr7lt3OU09vwQwhkpOPPYv2Y/edit?usp=sharing"",""งบพรบ!EX33"")"),122000)</f>
        <v>122000</v>
      </c>
      <c r="N338" s="255">
        <f ca="1">IFERROR(__xludf.DUMMYFUNCTION("IMPORTRANGE(""https://docs.google.com/spreadsheets/d/1-uDff_7J0KD5mKrp0Vvzr7lt3OU09vwQwhkpOPPYv2Y/edit?usp=sharing"",""งบพรบ!EZ33"")"),62031)</f>
        <v>62031</v>
      </c>
      <c r="O338" s="255">
        <f ca="1">IF(L338&gt;0,N338*100/L338,0)</f>
        <v>53.01794871794872</v>
      </c>
      <c r="P338" s="255">
        <f ca="1">IF(M338&gt;0,N338*100/M338,0)</f>
        <v>50.845081967213112</v>
      </c>
      <c r="Q338" s="255">
        <v>0</v>
      </c>
      <c r="R338" s="255">
        <v>0</v>
      </c>
      <c r="S338" s="255">
        <v>0</v>
      </c>
      <c r="T338" s="255">
        <f>IF(Q338&gt;0,S338*100/Q338,0)</f>
        <v>0</v>
      </c>
      <c r="U338" s="255">
        <f>IF(R338&gt;0,S338*100/R338,0)</f>
        <v>0</v>
      </c>
    </row>
    <row r="339" spans="1:21" ht="18.75">
      <c r="A339" s="155"/>
      <c r="B339" s="50"/>
      <c r="C339" s="50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256">
        <f ca="1">L340+L341</f>
        <v>0</v>
      </c>
      <c r="M339" s="255">
        <f ca="1">M340+M341</f>
        <v>0</v>
      </c>
      <c r="N339" s="255">
        <f ca="1">N340+N341</f>
        <v>0</v>
      </c>
      <c r="O339" s="255">
        <f ca="1">IF(L339&gt;0,N339*100/L339,0)</f>
        <v>0</v>
      </c>
      <c r="P339" s="255">
        <f ca="1">IF(M339&gt;0,N339*100/M339,0)</f>
        <v>0</v>
      </c>
      <c r="Q339" s="255">
        <f>Q340+Q341</f>
        <v>0</v>
      </c>
      <c r="R339" s="255">
        <f>R340+R341</f>
        <v>0</v>
      </c>
      <c r="S339" s="255">
        <f>S340+S341</f>
        <v>0</v>
      </c>
      <c r="T339" s="255">
        <f>IF(Q339&gt;0,S339*100/Q339,0)</f>
        <v>0</v>
      </c>
      <c r="U339" s="255">
        <f>IF(R339&gt;0,S339*100/R339,0)</f>
        <v>0</v>
      </c>
    </row>
    <row r="340" spans="1:21" ht="18.75" hidden="1">
      <c r="A340" s="155"/>
      <c r="B340" s="50"/>
      <c r="C340" s="50"/>
      <c r="D340" s="50"/>
      <c r="E340" s="186" t="s">
        <v>20</v>
      </c>
      <c r="F340" s="50"/>
      <c r="G340" s="52"/>
      <c r="H340" s="189" t="s">
        <v>14</v>
      </c>
      <c r="I340" s="163"/>
      <c r="J340" s="163"/>
      <c r="K340" s="164"/>
      <c r="L340" s="103">
        <v>0</v>
      </c>
      <c r="M340" s="102">
        <v>0</v>
      </c>
      <c r="N340" s="102">
        <v>0</v>
      </c>
      <c r="O340" s="102">
        <f>IF(L340&gt;0,N340*100/L340,0)</f>
        <v>0</v>
      </c>
      <c r="P340" s="102">
        <f>IF(M340&gt;0,N340*100/M340,0)</f>
        <v>0</v>
      </c>
      <c r="Q340" s="102">
        <v>0</v>
      </c>
      <c r="R340" s="102">
        <v>0</v>
      </c>
      <c r="S340" s="102">
        <v>0</v>
      </c>
      <c r="T340" s="102">
        <f>IF(Q340&gt;0,S340*100/Q340,0)</f>
        <v>0</v>
      </c>
      <c r="U340" s="102">
        <f>IF(R340&gt;0,S340*100/R340,0)</f>
        <v>0</v>
      </c>
    </row>
    <row r="341" spans="1:21" ht="18.75" hidden="1">
      <c r="A341" s="155"/>
      <c r="B341" s="50"/>
      <c r="C341" s="50"/>
      <c r="D341" s="50"/>
      <c r="E341" s="58" t="s">
        <v>21</v>
      </c>
      <c r="F341" s="50"/>
      <c r="G341" s="52"/>
      <c r="H341" s="165" t="s">
        <v>14</v>
      </c>
      <c r="I341" s="163"/>
      <c r="J341" s="163"/>
      <c r="K341" s="164"/>
      <c r="L341" s="256">
        <f ca="1">IFERROR(__xludf.DUMMYFUNCTION("IMPORTRANGE(""https://docs.google.com/spreadsheets/d/1-uDff_7J0KD5mKrp0Vvzr7lt3OU09vwQwhkpOPPYv2Y/edit?usp=sharing"",""งบพรบ!EV33"")"),0)</f>
        <v>0</v>
      </c>
      <c r="M341" s="255">
        <f ca="1">IFERROR(__xludf.DUMMYFUNCTION("IMPORTRANGE(""https://docs.google.com/spreadsheets/d/1-uDff_7J0KD5mKrp0Vvzr7lt3OU09vwQwhkpOPPYv2Y/edit?usp=sharing"",""งบพรบ!EY33"")"),0)</f>
        <v>0</v>
      </c>
      <c r="N341" s="255">
        <f ca="1">IFERROR(__xludf.DUMMYFUNCTION("IMPORTRANGE(""https://docs.google.com/spreadsheets/d/1-uDff_7J0KD5mKrp0Vvzr7lt3OU09vwQwhkpOPPYv2Y/edit?usp=sharing"",""งบพรบ!FA33"")"),0)</f>
        <v>0</v>
      </c>
      <c r="O341" s="255">
        <f ca="1">IF(L341&gt;0,N341*100/L341,0)</f>
        <v>0</v>
      </c>
      <c r="P341" s="255">
        <f ca="1">IF(M341&gt;0,N341*100/M341,0)</f>
        <v>0</v>
      </c>
      <c r="Q341" s="255">
        <v>0</v>
      </c>
      <c r="R341" s="255">
        <v>0</v>
      </c>
      <c r="S341" s="255">
        <v>0</v>
      </c>
      <c r="T341" s="255">
        <f>IF(Q341&gt;0,S341*100/Q341,0)</f>
        <v>0</v>
      </c>
      <c r="U341" s="255">
        <f>IF(R341&gt;0,S341*100/R341,0)</f>
        <v>0</v>
      </c>
    </row>
    <row r="342" spans="1:21" ht="19.5">
      <c r="A342" s="166"/>
      <c r="B342" s="167"/>
      <c r="C342" s="156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62"/>
      <c r="M342" s="55"/>
      <c r="N342" s="55"/>
      <c r="O342" s="164"/>
      <c r="P342" s="164"/>
      <c r="Q342" s="55"/>
      <c r="R342" s="55"/>
      <c r="S342" s="55"/>
      <c r="T342" s="164"/>
      <c r="U342" s="164"/>
    </row>
    <row r="343" spans="1:21" ht="19.5">
      <c r="A343" s="629"/>
      <c r="B343" s="626"/>
      <c r="C343" s="628"/>
      <c r="D343" s="626"/>
      <c r="E343" s="627" t="s">
        <v>137</v>
      </c>
      <c r="F343" s="626"/>
      <c r="G343" s="625"/>
      <c r="H343" s="624" t="s">
        <v>35</v>
      </c>
      <c r="I343" s="623">
        <v>0</v>
      </c>
      <c r="J343" s="623">
        <f ca="1">J344+J347+J348+J349</f>
        <v>5407</v>
      </c>
      <c r="K343" s="622">
        <v>0</v>
      </c>
      <c r="L343" s="250"/>
      <c r="M343" s="249"/>
      <c r="N343" s="249"/>
      <c r="O343" s="249"/>
      <c r="P343" s="249"/>
      <c r="Q343" s="249"/>
      <c r="R343" s="249"/>
      <c r="S343" s="249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40" t="s">
        <v>35</v>
      </c>
      <c r="I344" s="212">
        <f ca="1">IFERROR(__xludf.DUMMYFUNCTION("IMPORTRANGE(""https://docs.google.com/spreadsheets/d/1eHaY18a8A9IcSdp1K8H6x8fbOy06t2VsZHhMHf-1x7Y/edit?usp=sharing"",""แผน!EK33"")"),2860)</f>
        <v>2860</v>
      </c>
      <c r="J344" s="212">
        <f ca="1">IFERROR(__xludf.DUMMYFUNCTION("IMPORTRANGE(""https://docs.google.com/spreadsheets/d/1awYsYK3VOup2i3Pq_Yjnu8DRu_mYwSBnCR2QPthd0rU/edit?usp=sharing"",""ศูนย์ยกเว้นโฉนด!D33"")"),3738)</f>
        <v>3738</v>
      </c>
      <c r="K344" s="255">
        <f ca="1">IF(I344&gt;0,J344*100/I344,0)</f>
        <v>130.69930069930069</v>
      </c>
      <c r="L344" s="62"/>
      <c r="M344" s="55"/>
      <c r="N344" s="55"/>
      <c r="O344" s="55"/>
      <c r="P344" s="55"/>
      <c r="Q344" s="55"/>
      <c r="R344" s="55"/>
      <c r="S344" s="55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62"/>
      <c r="M345" s="55"/>
      <c r="N345" s="55"/>
      <c r="O345" s="55"/>
      <c r="P345" s="55"/>
      <c r="Q345" s="55"/>
      <c r="R345" s="55"/>
      <c r="S345" s="55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212">
        <f ca="1">IFERROR(__xludf.DUMMYFUNCTION("IMPORTRANGE(""https://docs.google.com/spreadsheets/d/1eHaY18a8A9IcSdp1K8H6x8fbOy06t2VsZHhMHf-1x7Y/edit?usp=sharing"",""แผน!EL33"")"),7)</f>
        <v>7</v>
      </c>
      <c r="J346" s="212">
        <f ca="1">IFERROR(__xludf.DUMMYFUNCTION("IMPORTRANGE(""https://docs.google.com/spreadsheets/d/1awYsYK3VOup2i3Pq_Yjnu8DRu_mYwSBnCR2QPthd0rU/edit?usp=sharing"",""ศูนย์รวม!E33"")"),5)</f>
        <v>5</v>
      </c>
      <c r="K346" s="255">
        <f ca="1">IF(I346&gt;0,J346*100/I346,0)</f>
        <v>71.428571428571431</v>
      </c>
      <c r="L346" s="62"/>
      <c r="M346" s="55"/>
      <c r="N346" s="55"/>
      <c r="O346" s="55"/>
      <c r="P346" s="55"/>
      <c r="Q346" s="55"/>
      <c r="R346" s="55"/>
      <c r="S346" s="55"/>
      <c r="T346" s="55"/>
      <c r="U346" s="55"/>
    </row>
    <row r="347" spans="1:21" ht="18.75">
      <c r="A347" s="238"/>
      <c r="B347" s="50"/>
      <c r="C347" s="188"/>
      <c r="D347" s="174"/>
      <c r="E347" s="174"/>
      <c r="F347" s="178" t="s">
        <v>142</v>
      </c>
      <c r="G347" s="52"/>
      <c r="H347" s="203" t="s">
        <v>35</v>
      </c>
      <c r="I347" s="54"/>
      <c r="J347" s="212">
        <f ca="1">IFERROR(__xludf.DUMMYFUNCTION("IMPORTRANGE(""https://docs.google.com/spreadsheets/d/1awYsYK3VOup2i3Pq_Yjnu8DRu_mYwSBnCR2QPthd0rU/edit?usp=sharing"",""ศูนย์ยกเว้นโฉนด!F33"")"),21)</f>
        <v>21</v>
      </c>
      <c r="K347" s="55"/>
      <c r="L347" s="62"/>
      <c r="M347" s="55"/>
      <c r="N347" s="55"/>
      <c r="O347" s="55"/>
      <c r="P347" s="55"/>
      <c r="Q347" s="55"/>
      <c r="R347" s="55"/>
      <c r="S347" s="55"/>
      <c r="T347" s="55"/>
      <c r="U347" s="55"/>
    </row>
    <row r="348" spans="1:21" ht="18.75">
      <c r="A348" s="238"/>
      <c r="B348" s="50"/>
      <c r="C348" s="188"/>
      <c r="D348" s="174"/>
      <c r="E348" s="178" t="s">
        <v>143</v>
      </c>
      <c r="F348" s="174"/>
      <c r="G348" s="52"/>
      <c r="H348" s="203" t="s">
        <v>35</v>
      </c>
      <c r="I348" s="54"/>
      <c r="J348" s="212">
        <f ca="1">IFERROR(__xludf.DUMMYFUNCTION("IMPORTRANGE(""https://docs.google.com/spreadsheets/d/1awYsYK3VOup2i3Pq_Yjnu8DRu_mYwSBnCR2QPthd0rU/edit?usp=sharing"",""ศูนย์ยกเว้นโฉนด!G33"")"),1648)</f>
        <v>1648</v>
      </c>
      <c r="K348" s="55"/>
      <c r="L348" s="62"/>
      <c r="M348" s="55"/>
      <c r="N348" s="55"/>
      <c r="O348" s="55"/>
      <c r="P348" s="55"/>
      <c r="Q348" s="55"/>
      <c r="R348" s="55"/>
      <c r="S348" s="55"/>
      <c r="T348" s="55"/>
      <c r="U348" s="55"/>
    </row>
    <row r="349" spans="1:21" ht="18.75">
      <c r="A349" s="238"/>
      <c r="B349" s="50"/>
      <c r="C349" s="188"/>
      <c r="D349" s="167"/>
      <c r="E349" s="178" t="s">
        <v>144</v>
      </c>
      <c r="F349" s="174"/>
      <c r="G349" s="52"/>
      <c r="H349" s="203" t="s">
        <v>35</v>
      </c>
      <c r="I349" s="54"/>
      <c r="J349" s="212">
        <f ca="1">IFERROR(__xludf.DUMMYFUNCTION("IMPORTRANGE(""https://docs.google.com/spreadsheets/d/1awYsYK3VOup2i3Pq_Yjnu8DRu_mYwSBnCR2QPthd0rU/edit?usp=sharing"",""ศูนย์ยกเว้นโฉนด!H33"")"),0)</f>
        <v>0</v>
      </c>
      <c r="K349" s="55"/>
      <c r="L349" s="62"/>
      <c r="M349" s="55"/>
      <c r="N349" s="55"/>
      <c r="O349" s="55"/>
      <c r="P349" s="55"/>
      <c r="Q349" s="55"/>
      <c r="R349" s="55"/>
      <c r="S349" s="55"/>
      <c r="T349" s="55"/>
      <c r="U349" s="55"/>
    </row>
    <row r="350" spans="1:21" ht="16.5">
      <c r="A350" s="18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0" s="50"/>
      <c r="F350" s="50"/>
      <c r="G350" s="52"/>
      <c r="H350" s="208"/>
      <c r="I350" s="54"/>
      <c r="J350" s="54"/>
      <c r="K350" s="55"/>
      <c r="L350" s="62"/>
      <c r="M350" s="55"/>
      <c r="N350" s="55"/>
      <c r="O350" s="55"/>
      <c r="P350" s="55"/>
      <c r="Q350" s="55"/>
      <c r="R350" s="55"/>
      <c r="S350" s="55"/>
      <c r="T350" s="55"/>
      <c r="U350" s="55"/>
    </row>
    <row r="351" spans="1:21" ht="19.5">
      <c r="A351" s="241"/>
      <c r="B351" s="244"/>
      <c r="C351" s="242"/>
      <c r="D351" s="244"/>
      <c r="E351" s="621" t="s">
        <v>145</v>
      </c>
      <c r="F351" s="244"/>
      <c r="G351" s="245"/>
      <c r="H351" s="246" t="s">
        <v>35</v>
      </c>
      <c r="I351" s="339">
        <v>0</v>
      </c>
      <c r="J351" s="339">
        <f ca="1">J352+J353+J354</f>
        <v>9058</v>
      </c>
      <c r="K351" s="340">
        <v>0</v>
      </c>
      <c r="L351" s="250"/>
      <c r="M351" s="249"/>
      <c r="N351" s="249"/>
      <c r="O351" s="249"/>
      <c r="P351" s="249"/>
      <c r="Q351" s="249"/>
      <c r="R351" s="249"/>
      <c r="S351" s="249"/>
      <c r="T351" s="249"/>
      <c r="U351" s="249"/>
    </row>
    <row r="352" spans="1:21" ht="18.75">
      <c r="A352" s="188"/>
      <c r="B352" s="50"/>
      <c r="C352" s="188"/>
      <c r="D352" s="174"/>
      <c r="E352" s="178" t="s">
        <v>146</v>
      </c>
      <c r="F352" s="50"/>
      <c r="G352" s="52"/>
      <c r="H352" s="161" t="s">
        <v>35</v>
      </c>
      <c r="I352" s="54"/>
      <c r="J352" s="212">
        <f ca="1">IFERROR(__xludf.DUMMYFUNCTION("IMPORTRANGE(""https://docs.google.com/spreadsheets/d/1awYsYK3VOup2i3Pq_Yjnu8DRu_mYwSBnCR2QPthd0rU/edit?usp=sharing"",""โฉนดM3!G33"")"),2200)</f>
        <v>2200</v>
      </c>
      <c r="K352" s="55"/>
      <c r="L352" s="62"/>
      <c r="M352" s="55"/>
      <c r="N352" s="55"/>
      <c r="O352" s="55"/>
      <c r="P352" s="55"/>
      <c r="Q352" s="55"/>
      <c r="R352" s="55"/>
      <c r="S352" s="55"/>
      <c r="T352" s="55"/>
      <c r="U352" s="55"/>
    </row>
    <row r="353" spans="1:21" ht="18.75">
      <c r="A353" s="18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212">
        <f ca="1">IFERROR(__xludf.DUMMYFUNCTION("IMPORTRANGE(""https://docs.google.com/spreadsheets/d/1awYsYK3VOup2i3Pq_Yjnu8DRu_mYwSBnCR2QPthd0rU/edit?usp=sharing"",""โฉนดM3!H33"")"),6711)</f>
        <v>6711</v>
      </c>
      <c r="K353" s="55"/>
      <c r="L353" s="62"/>
      <c r="M353" s="55"/>
      <c r="N353" s="55"/>
      <c r="O353" s="55"/>
      <c r="P353" s="55"/>
      <c r="Q353" s="55"/>
      <c r="R353" s="55"/>
      <c r="S353" s="55"/>
      <c r="T353" s="55"/>
      <c r="U353" s="55"/>
    </row>
    <row r="354" spans="1:21" ht="18.75">
      <c r="A354" s="343"/>
      <c r="B354" s="344"/>
      <c r="C354" s="343"/>
      <c r="D354" s="343"/>
      <c r="E354" s="345" t="s">
        <v>148</v>
      </c>
      <c r="F354" s="344"/>
      <c r="G354" s="346"/>
      <c r="H354" s="347" t="s">
        <v>35</v>
      </c>
      <c r="I354" s="348"/>
      <c r="J354" s="349">
        <f ca="1">IFERROR(__xludf.DUMMYFUNCTION("IMPORTRANGE(""https://docs.google.com/spreadsheets/d/1awYsYK3VOup2i3Pq_Yjnu8DRu_mYwSBnCR2QPthd0rU/edit?usp=sharing"",""โฉนดM3!I33"")"),147)</f>
        <v>147</v>
      </c>
      <c r="K354" s="350"/>
      <c r="L354" s="350"/>
      <c r="M354" s="350"/>
      <c r="N354" s="350"/>
      <c r="O354" s="350"/>
      <c r="P354" s="350"/>
      <c r="Q354" s="350"/>
      <c r="R354" s="350"/>
      <c r="S354" s="350"/>
      <c r="T354" s="350"/>
      <c r="U354" s="350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29"/>
      <c r="I355" s="351"/>
      <c r="J355" s="351"/>
      <c r="K355" s="333"/>
      <c r="L355" s="334"/>
      <c r="M355" s="333"/>
      <c r="N355" s="333"/>
      <c r="O355" s="333"/>
      <c r="P355" s="333"/>
      <c r="Q355" s="333"/>
      <c r="R355" s="333"/>
      <c r="S355" s="333"/>
      <c r="T355" s="333"/>
      <c r="U355" s="333"/>
    </row>
    <row r="356" spans="1:21" ht="19.5">
      <c r="A356" s="155"/>
      <c r="B356" s="50"/>
      <c r="C356" s="156" t="s">
        <v>18</v>
      </c>
      <c r="D356" s="575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541">
        <f ca="1">L357+L358</f>
        <v>877045</v>
      </c>
      <c r="M356" s="540">
        <f ca="1">M357+M358</f>
        <v>912045</v>
      </c>
      <c r="N356" s="540">
        <f ca="1">N357+N358</f>
        <v>704318.09</v>
      </c>
      <c r="O356" s="540">
        <f ca="1">IF(L356&gt;0,N356*100/L356,0)</f>
        <v>80.305809850121719</v>
      </c>
      <c r="P356" s="540">
        <f ca="1">IF(M356&gt;0,N356*100/M356,0)</f>
        <v>77.224050348392893</v>
      </c>
      <c r="Q356" s="540">
        <f>Q357+Q358</f>
        <v>0</v>
      </c>
      <c r="R356" s="540">
        <f>R357+R358</f>
        <v>0</v>
      </c>
      <c r="S356" s="540">
        <f>S357+S358</f>
        <v>0</v>
      </c>
      <c r="T356" s="540">
        <f>IF(Q356&gt;0,S356*100/Q356,0)</f>
        <v>0</v>
      </c>
      <c r="U356" s="540">
        <f>IF(R356&gt;0,S356*100/R356,0)</f>
        <v>0</v>
      </c>
    </row>
    <row r="357" spans="1:21" ht="18.75" hidden="1">
      <c r="A357" s="155"/>
      <c r="B357" s="50"/>
      <c r="C357" s="50"/>
      <c r="D357" s="50"/>
      <c r="E357" s="186" t="s">
        <v>20</v>
      </c>
      <c r="F357" s="50"/>
      <c r="G357" s="52"/>
      <c r="H357" s="187" t="s">
        <v>14</v>
      </c>
      <c r="I357" s="54"/>
      <c r="J357" s="54"/>
      <c r="K357" s="55"/>
      <c r="L357" s="103">
        <f>L360+L363</f>
        <v>0</v>
      </c>
      <c r="M357" s="102">
        <f>M360+M363</f>
        <v>0</v>
      </c>
      <c r="N357" s="102">
        <f>N360+N363</f>
        <v>0</v>
      </c>
      <c r="O357" s="102">
        <f>IF(L357&gt;0,N357*100/L357,0)</f>
        <v>0</v>
      </c>
      <c r="P357" s="102">
        <f>IF(M357&gt;0,N357*100/M357,0)</f>
        <v>0</v>
      </c>
      <c r="Q357" s="102">
        <f>Q360+Q363</f>
        <v>0</v>
      </c>
      <c r="R357" s="102">
        <f>R360+R363</f>
        <v>0</v>
      </c>
      <c r="S357" s="102">
        <f>S360+S363</f>
        <v>0</v>
      </c>
      <c r="T357" s="102">
        <f>IF(Q357&gt;0,S357*100/Q357,0)</f>
        <v>0</v>
      </c>
      <c r="U357" s="102">
        <f>IF(R357&gt;0,S357*100/R357,0)</f>
        <v>0</v>
      </c>
    </row>
    <row r="358" spans="1:21" ht="18.75" hidden="1">
      <c r="A358" s="155"/>
      <c r="B358" s="50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256">
        <f ca="1">L361+L364</f>
        <v>877045</v>
      </c>
      <c r="M358" s="255">
        <f ca="1">M361+M364</f>
        <v>912045</v>
      </c>
      <c r="N358" s="255">
        <f ca="1">N361+N364</f>
        <v>704318.09</v>
      </c>
      <c r="O358" s="255">
        <f ca="1">IF(L358&gt;0,N358*100/L358,0)</f>
        <v>80.305809850121719</v>
      </c>
      <c r="P358" s="255">
        <f ca="1">IF(M358&gt;0,N358*100/M358,0)</f>
        <v>77.224050348392893</v>
      </c>
      <c r="Q358" s="255">
        <f>Q361+Q364</f>
        <v>0</v>
      </c>
      <c r="R358" s="255">
        <f>R361+R364</f>
        <v>0</v>
      </c>
      <c r="S358" s="255">
        <f>S361+S364</f>
        <v>0</v>
      </c>
      <c r="T358" s="255">
        <f>IF(Q358&gt;0,S358*100/Q358,0)</f>
        <v>0</v>
      </c>
      <c r="U358" s="255">
        <f>IF(R358&gt;0,S358*100/R358,0)</f>
        <v>0</v>
      </c>
    </row>
    <row r="359" spans="1:21" ht="18.75">
      <c r="A359" s="155"/>
      <c r="B359" s="50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256">
        <f ca="1">L360+L361</f>
        <v>877045</v>
      </c>
      <c r="M359" s="255">
        <f ca="1">M360+M361</f>
        <v>912045</v>
      </c>
      <c r="N359" s="255">
        <f ca="1">N360+N361</f>
        <v>704318.09</v>
      </c>
      <c r="O359" s="255">
        <f ca="1">IF(L359&gt;0,N359*100/L359,0)</f>
        <v>80.305809850121719</v>
      </c>
      <c r="P359" s="255">
        <f ca="1">IF(M359&gt;0,N359*100/M359,0)</f>
        <v>77.224050348392893</v>
      </c>
      <c r="Q359" s="255">
        <f>Q360+Q361</f>
        <v>0</v>
      </c>
      <c r="R359" s="255">
        <f>R360+R361</f>
        <v>0</v>
      </c>
      <c r="S359" s="255">
        <f>S360+S361</f>
        <v>0</v>
      </c>
      <c r="T359" s="255">
        <f>IF(Q359&gt;0,S359*100/Q359,0)</f>
        <v>0</v>
      </c>
      <c r="U359" s="255">
        <f>IF(R359&gt;0,S359*100/R359,0)</f>
        <v>0</v>
      </c>
    </row>
    <row r="360" spans="1:21" ht="18.75" hidden="1">
      <c r="A360" s="155"/>
      <c r="B360" s="50"/>
      <c r="C360" s="50"/>
      <c r="D360" s="50"/>
      <c r="E360" s="186" t="s">
        <v>36</v>
      </c>
      <c r="F360" s="50"/>
      <c r="G360" s="52"/>
      <c r="H360" s="189" t="s">
        <v>14</v>
      </c>
      <c r="I360" s="163"/>
      <c r="J360" s="163"/>
      <c r="K360" s="164"/>
      <c r="L360" s="103">
        <v>0</v>
      </c>
      <c r="M360" s="102">
        <v>0</v>
      </c>
      <c r="N360" s="102">
        <v>0</v>
      </c>
      <c r="O360" s="102">
        <f>IF(L360&gt;0,N360*100/L360,0)</f>
        <v>0</v>
      </c>
      <c r="P360" s="102">
        <f>IF(M360&gt;0,N360*100/M360,0)</f>
        <v>0</v>
      </c>
      <c r="Q360" s="102">
        <v>0</v>
      </c>
      <c r="R360" s="102">
        <v>0</v>
      </c>
      <c r="S360" s="102">
        <v>0</v>
      </c>
      <c r="T360" s="102">
        <f>IF(Q360&gt;0,S360*100/Q360,0)</f>
        <v>0</v>
      </c>
      <c r="U360" s="102">
        <f>IF(R360&gt;0,S360*100/R360,0)</f>
        <v>0</v>
      </c>
    </row>
    <row r="361" spans="1:21" ht="18.75" hidden="1">
      <c r="A361" s="155"/>
      <c r="B361" s="50"/>
      <c r="C361" s="50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256">
        <f ca="1">IFERROR(__xludf.DUMMYFUNCTION("IMPORTRANGE(""https://docs.google.com/spreadsheets/d/1-uDff_7J0KD5mKrp0Vvzr7lt3OU09vwQwhkpOPPYv2Y/edit?usp=sharing"",""งบพรบ!FC33"")"),877045)</f>
        <v>877045</v>
      </c>
      <c r="M361" s="255">
        <f ca="1">IFERROR(__xludf.DUMMYFUNCTION("IMPORTRANGE(""https://docs.google.com/spreadsheets/d/1-uDff_7J0KD5mKrp0Vvzr7lt3OU09vwQwhkpOPPYv2Y/edit?usp=sharing"",""งบพรบ!FH33"")"),912045)</f>
        <v>912045</v>
      </c>
      <c r="N361" s="255">
        <f ca="1">IFERROR(__xludf.DUMMYFUNCTION("IMPORTRANGE(""https://docs.google.com/spreadsheets/d/1-uDff_7J0KD5mKrp0Vvzr7lt3OU09vwQwhkpOPPYv2Y/edit?usp=sharing"",""งบพรบ!FJ33"")"),704318.09)</f>
        <v>704318.09</v>
      </c>
      <c r="O361" s="255">
        <f ca="1">IF(L361&gt;0,N361*100/L361,0)</f>
        <v>80.305809850121719</v>
      </c>
      <c r="P361" s="255">
        <f ca="1">IF(M361&gt;0,N361*100/M361,0)</f>
        <v>77.224050348392893</v>
      </c>
      <c r="Q361" s="255">
        <v>0</v>
      </c>
      <c r="R361" s="255">
        <v>0</v>
      </c>
      <c r="S361" s="255">
        <v>0</v>
      </c>
      <c r="T361" s="255">
        <f>IF(Q361&gt;0,S361*100/Q361,0)</f>
        <v>0</v>
      </c>
      <c r="U361" s="255">
        <f>IF(R361&gt;0,S361*100/R361,0)</f>
        <v>0</v>
      </c>
    </row>
    <row r="362" spans="1:21" ht="18.75">
      <c r="A362" s="155"/>
      <c r="B362" s="50"/>
      <c r="C362" s="50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256">
        <f ca="1">L363+L364</f>
        <v>0</v>
      </c>
      <c r="M362" s="255">
        <f ca="1">M363+M364</f>
        <v>0</v>
      </c>
      <c r="N362" s="255">
        <f ca="1">N363+N364</f>
        <v>0</v>
      </c>
      <c r="O362" s="255">
        <f ca="1">IF(L362&gt;0,N362*100/L362,0)</f>
        <v>0</v>
      </c>
      <c r="P362" s="255">
        <f ca="1">IF(M362&gt;0,N362*100/M362,0)</f>
        <v>0</v>
      </c>
      <c r="Q362" s="255">
        <f>Q363+Q364</f>
        <v>0</v>
      </c>
      <c r="R362" s="255">
        <f>R363+R364</f>
        <v>0</v>
      </c>
      <c r="S362" s="255">
        <f>S363+S364</f>
        <v>0</v>
      </c>
      <c r="T362" s="255">
        <f>IF(Q362&gt;0,S362*100/Q362,0)</f>
        <v>0</v>
      </c>
      <c r="U362" s="255">
        <f>IF(R362&gt;0,S362*100/R362,0)</f>
        <v>0</v>
      </c>
    </row>
    <row r="363" spans="1:21" ht="18.75" hidden="1">
      <c r="A363" s="155"/>
      <c r="B363" s="50"/>
      <c r="C363" s="50"/>
      <c r="D363" s="50"/>
      <c r="E363" s="186" t="s">
        <v>20</v>
      </c>
      <c r="F363" s="50"/>
      <c r="G363" s="52"/>
      <c r="H363" s="189" t="s">
        <v>14</v>
      </c>
      <c r="I363" s="163"/>
      <c r="J363" s="163"/>
      <c r="K363" s="164"/>
      <c r="L363" s="103">
        <v>0</v>
      </c>
      <c r="M363" s="102">
        <v>0</v>
      </c>
      <c r="N363" s="102">
        <v>0</v>
      </c>
      <c r="O363" s="102">
        <f>IF(L363&gt;0,N363*100/L363,0)</f>
        <v>0</v>
      </c>
      <c r="P363" s="102">
        <f>IF(M363&gt;0,N363*100/M363,0)</f>
        <v>0</v>
      </c>
      <c r="Q363" s="102">
        <v>0</v>
      </c>
      <c r="R363" s="102">
        <v>0</v>
      </c>
      <c r="S363" s="102">
        <v>0</v>
      </c>
      <c r="T363" s="102">
        <f>IF(Q363&gt;0,S363*100/Q363,0)</f>
        <v>0</v>
      </c>
      <c r="U363" s="102">
        <f>IF(R363&gt;0,S363*100/R363,0)</f>
        <v>0</v>
      </c>
    </row>
    <row r="364" spans="1:21" ht="18.75" hidden="1">
      <c r="A364" s="155"/>
      <c r="B364" s="50"/>
      <c r="C364" s="50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256">
        <f ca="1">IFERROR(__xludf.DUMMYFUNCTION("IMPORTRANGE(""https://docs.google.com/spreadsheets/d/1-uDff_7J0KD5mKrp0Vvzr7lt3OU09vwQwhkpOPPYv2Y/edit?usp=sharing"",""งบพรบ!FF33"")"),0)</f>
        <v>0</v>
      </c>
      <c r="M364" s="255">
        <f ca="1">IFERROR(__xludf.DUMMYFUNCTION("IMPORTRANGE(""https://docs.google.com/spreadsheets/d/1-uDff_7J0KD5mKrp0Vvzr7lt3OU09vwQwhkpOPPYv2Y/edit?usp=sharing"",""งบพรบ!FI33"")"),0)</f>
        <v>0</v>
      </c>
      <c r="N364" s="255">
        <f ca="1">IFERROR(__xludf.DUMMYFUNCTION("IMPORTRANGE(""https://docs.google.com/spreadsheets/d/1-uDff_7J0KD5mKrp0Vvzr7lt3OU09vwQwhkpOPPYv2Y/edit?usp=sharing"",""งบพรบ!FK33"")"),0)</f>
        <v>0</v>
      </c>
      <c r="O364" s="255">
        <f ca="1">IF(L364&gt;0,N364*100/L364,0)</f>
        <v>0</v>
      </c>
      <c r="P364" s="255">
        <f ca="1">IF(M364&gt;0,N364*100/M364,0)</f>
        <v>0</v>
      </c>
      <c r="Q364" s="255">
        <v>0</v>
      </c>
      <c r="R364" s="255">
        <v>0</v>
      </c>
      <c r="S364" s="255">
        <v>0</v>
      </c>
      <c r="T364" s="255">
        <f>IF(Q364&gt;0,S364*100/Q364,0)</f>
        <v>0</v>
      </c>
      <c r="U364" s="255">
        <f>IF(R364&gt;0,S364*100/R364,0)</f>
        <v>0</v>
      </c>
    </row>
    <row r="365" spans="1:21" ht="19.5">
      <c r="A365" s="241"/>
      <c r="B365" s="242"/>
      <c r="C365" s="244"/>
      <c r="D365" s="621" t="s">
        <v>150</v>
      </c>
      <c r="E365" s="244"/>
      <c r="F365" s="244"/>
      <c r="G365" s="245"/>
      <c r="H365" s="254" t="s">
        <v>35</v>
      </c>
      <c r="I365" s="339">
        <f ca="1">I371</f>
        <v>551</v>
      </c>
      <c r="J365" s="339">
        <f ca="1">J371</f>
        <v>517</v>
      </c>
      <c r="K365" s="340">
        <f ca="1">IF(I365&gt;0,J365*100/I365,0)</f>
        <v>93.829401088929217</v>
      </c>
      <c r="L365" s="250"/>
      <c r="M365" s="249"/>
      <c r="N365" s="249"/>
      <c r="O365" s="249"/>
      <c r="P365" s="249"/>
      <c r="Q365" s="249"/>
      <c r="R365" s="249"/>
      <c r="S365" s="249"/>
      <c r="T365" s="249"/>
      <c r="U365" s="249"/>
    </row>
    <row r="366" spans="1:21" ht="19.5">
      <c r="A366" s="166"/>
      <c r="B366" s="167"/>
      <c r="C366" s="156" t="s">
        <v>18</v>
      </c>
      <c r="D366" s="566" t="s">
        <v>38</v>
      </c>
      <c r="E366" s="169"/>
      <c r="F366" s="169"/>
      <c r="G366" s="170"/>
      <c r="H366" s="171"/>
      <c r="I366" s="54"/>
      <c r="J366" s="54"/>
      <c r="K366" s="55"/>
      <c r="L366" s="172"/>
      <c r="M366" s="164"/>
      <c r="N366" s="164"/>
      <c r="O366" s="164"/>
      <c r="P366" s="164"/>
      <c r="Q366" s="164"/>
      <c r="R366" s="164"/>
      <c r="S366" s="164"/>
      <c r="T366" s="164"/>
      <c r="U366" s="164"/>
    </row>
    <row r="367" spans="1:21" ht="18.75">
      <c r="A367" s="166"/>
      <c r="B367" s="174"/>
      <c r="C367" s="167"/>
      <c r="D367" s="174"/>
      <c r="E367" s="173" t="s">
        <v>151</v>
      </c>
      <c r="F367" s="174"/>
      <c r="G367" s="171"/>
      <c r="H367" s="183" t="s">
        <v>35</v>
      </c>
      <c r="I367" s="212">
        <v>0</v>
      </c>
      <c r="J367" s="212">
        <f ca="1">IFERROR(__xludf.DUMMYFUNCTION("IMPORTRANGE(""https://docs.google.com/spreadsheets/d/1tdoBKaGub7dwA3U6UFTqxio9LNnvDCQjHKmttSEBsFQ/edit?usp=sharing"",""จัดที่ดิน!AB33"")"),175)</f>
        <v>175</v>
      </c>
      <c r="K367" s="255">
        <f>IF(I367&gt;0,J367*100/I367,0)</f>
        <v>0</v>
      </c>
      <c r="L367" s="172"/>
      <c r="M367" s="164"/>
      <c r="N367" s="164"/>
      <c r="O367" s="164"/>
      <c r="P367" s="164"/>
      <c r="Q367" s="164"/>
      <c r="R367" s="164"/>
      <c r="S367" s="164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212">
        <f ca="1">IFERROR(__xludf.DUMMYFUNCTION("IMPORTRANGE(""https://docs.google.com/spreadsheets/d/1eHaY18a8A9IcSdp1K8H6x8fbOy06t2VsZHhMHf-1x7Y/edit?usp=sharing"",""แผน!EW33"")"),2055)</f>
        <v>2055</v>
      </c>
      <c r="J368" s="620">
        <f ca="1">IFERROR(__xludf.DUMMYFUNCTION("IMPORTRANGE(""https://docs.google.com/spreadsheets/d/1tdoBKaGub7dwA3U6UFTqxio9LNnvDCQjHKmttSEBsFQ/edit?usp=sharing"",""จัดที่ดิน!AC33"")"),1634.87999999999)</f>
        <v>1634.8799999999901</v>
      </c>
      <c r="K368" s="255">
        <f ca="1">IF(I368&gt;0,J368*100/I368,0)</f>
        <v>79.556204379561564</v>
      </c>
      <c r="L368" s="172"/>
      <c r="M368" s="164"/>
      <c r="N368" s="164"/>
      <c r="O368" s="164"/>
      <c r="P368" s="164"/>
      <c r="Q368" s="164"/>
      <c r="R368" s="164"/>
      <c r="S368" s="164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79" t="s">
        <v>35</v>
      </c>
      <c r="I369" s="212">
        <f ca="1">IFERROR(__xludf.DUMMYFUNCTION("IMPORTRANGE(""https://docs.google.com/spreadsheets/d/1eHaY18a8A9IcSdp1K8H6x8fbOy06t2VsZHhMHf-1x7Y/edit?usp=sharing"",""แผน!EX33"")"),551)</f>
        <v>551</v>
      </c>
      <c r="J369" s="212">
        <f ca="1">IFERROR(__xludf.DUMMYFUNCTION("IMPORTRANGE(""https://docs.google.com/spreadsheets/d/1tdoBKaGub7dwA3U6UFTqxio9LNnvDCQjHKmttSEBsFQ/edit?usp=sharing"",""จัดที่ดิน!AD33"")"),730)</f>
        <v>730</v>
      </c>
      <c r="K369" s="255">
        <f ca="1">IF(I369&gt;0,J369*100/I369,0)</f>
        <v>132.486388384755</v>
      </c>
      <c r="L369" s="172"/>
      <c r="M369" s="164"/>
      <c r="N369" s="164"/>
      <c r="O369" s="164"/>
      <c r="P369" s="164"/>
      <c r="Q369" s="164"/>
      <c r="R369" s="164"/>
      <c r="S369" s="164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79" t="s">
        <v>46</v>
      </c>
      <c r="I370" s="212">
        <v>0</v>
      </c>
      <c r="J370" s="620">
        <f ca="1">IFERROR(__xludf.DUMMYFUNCTION("IMPORTRANGE(""https://docs.google.com/spreadsheets/d/1tdoBKaGub7dwA3U6UFTqxio9LNnvDCQjHKmttSEBsFQ/edit?usp=sharing"",""จัดที่ดิน!AE33"")"),8306.97)</f>
        <v>8306.9699999999993</v>
      </c>
      <c r="K370" s="255">
        <f>IF(I370&gt;0,J370*100/I370,0)</f>
        <v>0</v>
      </c>
      <c r="L370" s="172"/>
      <c r="M370" s="164"/>
      <c r="N370" s="164"/>
      <c r="O370" s="164"/>
      <c r="P370" s="164"/>
      <c r="Q370" s="164"/>
      <c r="R370" s="164"/>
      <c r="S370" s="164"/>
      <c r="T370" s="164"/>
      <c r="U370" s="164"/>
    </row>
    <row r="371" spans="1:21" ht="18.75">
      <c r="A371" s="166"/>
      <c r="B371" s="174"/>
      <c r="C371" s="167"/>
      <c r="D371" s="174"/>
      <c r="E371" s="352" t="s">
        <v>153</v>
      </c>
      <c r="F371" s="174"/>
      <c r="G371" s="171"/>
      <c r="H371" s="179" t="s">
        <v>35</v>
      </c>
      <c r="I371" s="212">
        <f ca="1">IFERROR(__xludf.DUMMYFUNCTION("IMPORTRANGE(""https://docs.google.com/spreadsheets/d/1eHaY18a8A9IcSdp1K8H6x8fbOy06t2VsZHhMHf-1x7Y/edit?usp=sharing"",""แผน!EY33"")"),551)</f>
        <v>551</v>
      </c>
      <c r="J371" s="212">
        <f ca="1">IFERROR(__xludf.DUMMYFUNCTION("IMPORTRANGE(""https://docs.google.com/spreadsheets/d/1tdoBKaGub7dwA3U6UFTqxio9LNnvDCQjHKmttSEBsFQ/edit?usp=sharing"",""จัดที่ดิน!AF33"")"),517)</f>
        <v>517</v>
      </c>
      <c r="K371" s="255">
        <f ca="1">IF(I371&gt;0,J371*100/I371,0)</f>
        <v>93.829401088929217</v>
      </c>
      <c r="L371" s="172"/>
      <c r="M371" s="164"/>
      <c r="N371" s="164"/>
      <c r="O371" s="164"/>
      <c r="P371" s="164"/>
      <c r="Q371" s="164"/>
      <c r="R371" s="164"/>
      <c r="S371" s="164"/>
      <c r="T371" s="164"/>
      <c r="U371" s="164"/>
    </row>
    <row r="372" spans="1:21" ht="18.75">
      <c r="A372" s="166"/>
      <c r="B372" s="174"/>
      <c r="C372" s="167"/>
      <c r="D372" s="174"/>
      <c r="E372" s="174"/>
      <c r="F372" s="174"/>
      <c r="G372" s="171"/>
      <c r="H372" s="179" t="s">
        <v>46</v>
      </c>
      <c r="I372" s="212">
        <v>0</v>
      </c>
      <c r="J372" s="620">
        <f ca="1">IFERROR(__xludf.DUMMYFUNCTION("IMPORTRANGE(""https://docs.google.com/spreadsheets/d/1tdoBKaGub7dwA3U6UFTqxio9LNnvDCQjHKmttSEBsFQ/edit?usp=sharing"",""จัดที่ดิน!AG33"")"),6330.02)</f>
        <v>6330.02</v>
      </c>
      <c r="K372" s="255">
        <f>IF(I372&gt;0,J372*100/I372,0)</f>
        <v>0</v>
      </c>
      <c r="L372" s="172"/>
      <c r="M372" s="164"/>
      <c r="N372" s="164"/>
      <c r="O372" s="164"/>
      <c r="P372" s="164"/>
      <c r="Q372" s="164"/>
      <c r="R372" s="164"/>
      <c r="S372" s="164"/>
      <c r="T372" s="164"/>
      <c r="U372" s="164"/>
    </row>
    <row r="373" spans="1:21" ht="16.5">
      <c r="A373" s="5"/>
      <c r="B373" s="4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พ.ค. 67 เวลา 07.29 น.]")</f>
        <v xml:space="preserve"> [ข้อมูลจาก ระบบ ALRO Land Online ข้อมูล ณ 1 พ.ค. 67 เวลา 07.29 น.]</v>
      </c>
      <c r="E373" s="4"/>
      <c r="F373" s="4"/>
      <c r="G373" s="65"/>
      <c r="H373" s="65"/>
      <c r="I373" s="67"/>
      <c r="J373" s="67"/>
      <c r="K373" s="6"/>
      <c r="L373" s="68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>
      <c r="A374" s="619"/>
      <c r="B374" s="618" t="s">
        <v>154</v>
      </c>
      <c r="C374" s="617"/>
      <c r="D374" s="616"/>
      <c r="E374" s="615"/>
      <c r="F374" s="615"/>
      <c r="G374" s="614"/>
      <c r="H374" s="613" t="s">
        <v>46</v>
      </c>
      <c r="I374" s="612">
        <f ca="1">I386+I388</f>
        <v>1000</v>
      </c>
      <c r="J374" s="612">
        <f ca="1">J386+J388</f>
        <v>0</v>
      </c>
      <c r="K374" s="611">
        <f ca="1">IF(I374&gt;0,J374*100/I374,0)</f>
        <v>0</v>
      </c>
      <c r="L374" s="334"/>
      <c r="M374" s="333"/>
      <c r="N374" s="333"/>
      <c r="O374" s="333"/>
      <c r="P374" s="333"/>
      <c r="Q374" s="333"/>
      <c r="R374" s="333"/>
      <c r="S374" s="333"/>
      <c r="T374" s="333"/>
      <c r="U374" s="333"/>
    </row>
    <row r="375" spans="1:21" ht="19.5">
      <c r="A375" s="155"/>
      <c r="B375" s="188"/>
      <c r="C375" s="191" t="s">
        <v>18</v>
      </c>
      <c r="D375" s="608" t="s">
        <v>19</v>
      </c>
      <c r="E375" s="50"/>
      <c r="F375" s="50"/>
      <c r="G375" s="52"/>
      <c r="H375" s="158" t="s">
        <v>14</v>
      </c>
      <c r="I375" s="54"/>
      <c r="J375" s="54"/>
      <c r="K375" s="55"/>
      <c r="L375" s="541">
        <f>L376+L377</f>
        <v>0</v>
      </c>
      <c r="M375" s="540">
        <f>M376+M377</f>
        <v>0</v>
      </c>
      <c r="N375" s="540">
        <f>N376+N377</f>
        <v>0</v>
      </c>
      <c r="O375" s="540">
        <f>IF(L375&gt;0,N375*100/L375,0)</f>
        <v>0</v>
      </c>
      <c r="P375" s="540">
        <f>IF(M375&gt;0,N375*100/M375,0)</f>
        <v>0</v>
      </c>
      <c r="Q375" s="540">
        <f ca="1">Q376+Q377</f>
        <v>62500</v>
      </c>
      <c r="R375" s="540">
        <f ca="1">R376+R377</f>
        <v>0</v>
      </c>
      <c r="S375" s="540">
        <f ca="1">S376+S377</f>
        <v>0</v>
      </c>
      <c r="T375" s="540">
        <f ca="1">IF(Q375&gt;0,S375*100/Q375,0)</f>
        <v>0</v>
      </c>
      <c r="U375" s="540">
        <f ca="1">IF(R375&gt;0,S375*100/R375,0)</f>
        <v>0</v>
      </c>
    </row>
    <row r="376" spans="1:21" ht="18.75" hidden="1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103">
        <f>L379+L382</f>
        <v>0</v>
      </c>
      <c r="M376" s="102">
        <f>M379+M382</f>
        <v>0</v>
      </c>
      <c r="N376" s="102">
        <f>N379+N382</f>
        <v>0</v>
      </c>
      <c r="O376" s="102">
        <f>IF(L376&gt;0,N376*100/L376,0)</f>
        <v>0</v>
      </c>
      <c r="P376" s="102">
        <f>IF(M376&gt;0,N376*100/M376,0)</f>
        <v>0</v>
      </c>
      <c r="Q376" s="102">
        <f>Q379+Q382</f>
        <v>0</v>
      </c>
      <c r="R376" s="102">
        <f>R379+R382</f>
        <v>0</v>
      </c>
      <c r="S376" s="102">
        <f>S379+S382</f>
        <v>0</v>
      </c>
      <c r="T376" s="102">
        <f>IF(Q376&gt;0,S376*100/Q376,0)</f>
        <v>0</v>
      </c>
      <c r="U376" s="102">
        <f>IF(R376&gt;0,S376*100/R376,0)</f>
        <v>0</v>
      </c>
    </row>
    <row r="377" spans="1:21" ht="18.75" hidden="1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256">
        <f>L380+L383</f>
        <v>0</v>
      </c>
      <c r="M377" s="255">
        <f>M380+M383</f>
        <v>0</v>
      </c>
      <c r="N377" s="255">
        <f>N380+N383</f>
        <v>0</v>
      </c>
      <c r="O377" s="255">
        <f>IF(L377&gt;0,N377*100/L377,0)</f>
        <v>0</v>
      </c>
      <c r="P377" s="255">
        <f>IF(M377&gt;0,N377*100/M377,0)</f>
        <v>0</v>
      </c>
      <c r="Q377" s="255">
        <f ca="1">Q380+Q383</f>
        <v>62500</v>
      </c>
      <c r="R377" s="255">
        <f ca="1">R380+R383</f>
        <v>0</v>
      </c>
      <c r="S377" s="255">
        <f ca="1">S380+S383</f>
        <v>0</v>
      </c>
      <c r="T377" s="255">
        <f ca="1">IF(Q377&gt;0,S377*100/Q377,0)</f>
        <v>0</v>
      </c>
      <c r="U377" s="255">
        <f ca="1">IF(R377&gt;0,S377*100/R377,0)</f>
        <v>0</v>
      </c>
    </row>
    <row r="378" spans="1:21" ht="18.75">
      <c r="A378" s="155"/>
      <c r="B378" s="188"/>
      <c r="C378" s="188"/>
      <c r="D378" s="602" t="s">
        <v>22</v>
      </c>
      <c r="E378" s="50"/>
      <c r="F378" s="50"/>
      <c r="G378" s="52"/>
      <c r="H378" s="162" t="s">
        <v>14</v>
      </c>
      <c r="I378" s="163"/>
      <c r="J378" s="163"/>
      <c r="K378" s="164"/>
      <c r="L378" s="256">
        <f>L379+L380</f>
        <v>0</v>
      </c>
      <c r="M378" s="255">
        <f>M379+M380</f>
        <v>0</v>
      </c>
      <c r="N378" s="255">
        <f>N379+N380</f>
        <v>0</v>
      </c>
      <c r="O378" s="255">
        <f>IF(L378&gt;0,N378*100/L378,0)</f>
        <v>0</v>
      </c>
      <c r="P378" s="255">
        <f>IF(M378&gt;0,N378*100/M378,0)</f>
        <v>0</v>
      </c>
      <c r="Q378" s="255">
        <f ca="1">Q379+Q380</f>
        <v>62500</v>
      </c>
      <c r="R378" s="255">
        <f ca="1">R379+R380</f>
        <v>0</v>
      </c>
      <c r="S378" s="255">
        <f ca="1">S379+S380</f>
        <v>0</v>
      </c>
      <c r="T378" s="255">
        <f ca="1">IF(Q378&gt;0,S378*100/Q378,0)</f>
        <v>0</v>
      </c>
      <c r="U378" s="255">
        <f ca="1">IF(R378&gt;0,S378*100/R378,0)</f>
        <v>0</v>
      </c>
    </row>
    <row r="379" spans="1:21" ht="18.75" hidden="1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103">
        <v>0</v>
      </c>
      <c r="M379" s="102">
        <v>0</v>
      </c>
      <c r="N379" s="102">
        <v>0</v>
      </c>
      <c r="O379" s="102">
        <f>IF(L379&gt;0,N379*100/L379,0)</f>
        <v>0</v>
      </c>
      <c r="P379" s="102">
        <f>IF(M379&gt;0,N379*100/M379,0)</f>
        <v>0</v>
      </c>
      <c r="Q379" s="102">
        <v>0</v>
      </c>
      <c r="R379" s="102">
        <v>0</v>
      </c>
      <c r="S379" s="102">
        <v>0</v>
      </c>
      <c r="T379" s="102">
        <f>IF(Q379&gt;0,S379*100/Q379,0)</f>
        <v>0</v>
      </c>
      <c r="U379" s="102">
        <f>IF(R379&gt;0,S379*100/R379,0)</f>
        <v>0</v>
      </c>
    </row>
    <row r="380" spans="1:21" ht="18.75" hidden="1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256">
        <v>0</v>
      </c>
      <c r="M380" s="255">
        <v>0</v>
      </c>
      <c r="N380" s="255">
        <v>0</v>
      </c>
      <c r="O380" s="255">
        <f>IF(L380&gt;0,N380*100/L380,0)</f>
        <v>0</v>
      </c>
      <c r="P380" s="255">
        <f>IF(M380&gt;0,N380*100/M380,0)</f>
        <v>0</v>
      </c>
      <c r="Q380" s="255">
        <f ca="1">IFERROR(__xludf.DUMMYFUNCTION("IMPORTRANGE(""https://docs.google.com/spreadsheets/d/1ItG2mGa2ceCfYo0BwxsXqNm01IGEUdYcSSLTEv9YCik/edit?usp=sharing"",""เบิกจ่ายกองทุน!AY33"")"),62500)</f>
        <v>62500</v>
      </c>
      <c r="R380" s="255">
        <f ca="1">IFERROR(__xludf.DUMMYFUNCTION("IMPORTRANGE(""https://docs.google.com/spreadsheets/d/1ItG2mGa2ceCfYo0BwxsXqNm01IGEUdYcSSLTEv9YCik/edit?usp=sharing"",""เบิกจ่ายกองทุน!AZ33"")"),0)</f>
        <v>0</v>
      </c>
      <c r="S380" s="255">
        <f ca="1">IFERROR(__xludf.DUMMYFUNCTION("IMPORTRANGE(""https://docs.google.com/spreadsheets/d/1ItG2mGa2ceCfYo0BwxsXqNm01IGEUdYcSSLTEv9YCik/edit?usp=sharing"",""เบิกจ่ายกองทุน!BA33"")"),0)</f>
        <v>0</v>
      </c>
      <c r="T380" s="255">
        <f ca="1">IF(Q380&gt;0,S380*100/Q380,0)</f>
        <v>0</v>
      </c>
      <c r="U380" s="255">
        <f ca="1">IF(R380&gt;0,S380*100/R380,0)</f>
        <v>0</v>
      </c>
    </row>
    <row r="381" spans="1:21" ht="18.75">
      <c r="A381" s="155"/>
      <c r="B381" s="188"/>
      <c r="C381" s="188"/>
      <c r="D381" s="602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256">
        <f>L382+L383</f>
        <v>0</v>
      </c>
      <c r="M381" s="255">
        <f>M382+M383</f>
        <v>0</v>
      </c>
      <c r="N381" s="255">
        <f>N382+N383</f>
        <v>0</v>
      </c>
      <c r="O381" s="255">
        <f>IF(L381&gt;0,N381*100/L381,0)</f>
        <v>0</v>
      </c>
      <c r="P381" s="255">
        <f>IF(M381&gt;0,N381*100/M381,0)</f>
        <v>0</v>
      </c>
      <c r="Q381" s="255">
        <f>Q382+Q383</f>
        <v>0</v>
      </c>
      <c r="R381" s="255">
        <f>R382+R383</f>
        <v>0</v>
      </c>
      <c r="S381" s="255">
        <f>S382+S383</f>
        <v>0</v>
      </c>
      <c r="T381" s="255">
        <f>IF(Q381&gt;0,S381*100/Q381,0)</f>
        <v>0</v>
      </c>
      <c r="U381" s="255">
        <f>IF(R381&gt;0,S381*100/R381,0)</f>
        <v>0</v>
      </c>
    </row>
    <row r="382" spans="1:21" ht="18.75" hidden="1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103">
        <v>0</v>
      </c>
      <c r="M382" s="102">
        <v>0</v>
      </c>
      <c r="N382" s="102">
        <v>0</v>
      </c>
      <c r="O382" s="102">
        <f>IF(L382&gt;0,N382*100/L382,0)</f>
        <v>0</v>
      </c>
      <c r="P382" s="102">
        <f>IF(M382&gt;0,N382*100/M382,0)</f>
        <v>0</v>
      </c>
      <c r="Q382" s="102">
        <v>0</v>
      </c>
      <c r="R382" s="102">
        <v>0</v>
      </c>
      <c r="S382" s="102">
        <v>0</v>
      </c>
      <c r="T382" s="102">
        <f>IF(Q382&gt;0,S382*100/Q382,0)</f>
        <v>0</v>
      </c>
      <c r="U382" s="102">
        <f>IF(R382&gt;0,S382*100/R382,0)</f>
        <v>0</v>
      </c>
    </row>
    <row r="383" spans="1:21" ht="18.75" hidden="1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256">
        <v>0</v>
      </c>
      <c r="M383" s="255">
        <v>0</v>
      </c>
      <c r="N383" s="255">
        <v>0</v>
      </c>
      <c r="O383" s="255">
        <f>IF(L383&gt;0,N383*100/L383,0)</f>
        <v>0</v>
      </c>
      <c r="P383" s="255">
        <f>IF(M383&gt;0,N383*100/M383,0)</f>
        <v>0</v>
      </c>
      <c r="Q383" s="255">
        <v>0</v>
      </c>
      <c r="R383" s="255">
        <v>0</v>
      </c>
      <c r="S383" s="255">
        <v>0</v>
      </c>
      <c r="T383" s="255">
        <f>IF(Q383&gt;0,S383*100/Q383,0)</f>
        <v>0</v>
      </c>
      <c r="U383" s="255">
        <f>IF(R383&gt;0,S383*100/R383,0)</f>
        <v>0</v>
      </c>
    </row>
    <row r="384" spans="1:21" ht="19.5">
      <c r="A384" s="166"/>
      <c r="B384" s="167"/>
      <c r="C384" s="191" t="s">
        <v>18</v>
      </c>
      <c r="D384" s="560" t="s">
        <v>38</v>
      </c>
      <c r="E384" s="169"/>
      <c r="F384" s="169"/>
      <c r="G384" s="170"/>
      <c r="H384" s="206"/>
      <c r="I384" s="163"/>
      <c r="J384" s="54"/>
      <c r="K384" s="55"/>
      <c r="L384" s="62"/>
      <c r="M384" s="55"/>
      <c r="N384" s="55"/>
      <c r="O384" s="164"/>
      <c r="P384" s="164"/>
      <c r="Q384" s="55"/>
      <c r="R384" s="55"/>
      <c r="S384" s="55"/>
      <c r="T384" s="164"/>
      <c r="U384" s="164"/>
    </row>
    <row r="385" spans="1:21" ht="18.75">
      <c r="A385" s="238"/>
      <c r="B385" s="188"/>
      <c r="C385" s="188"/>
      <c r="D385" s="188"/>
      <c r="E385" s="58" t="s">
        <v>155</v>
      </c>
      <c r="F385" s="50"/>
      <c r="G385" s="52"/>
      <c r="H385" s="161" t="s">
        <v>34</v>
      </c>
      <c r="I385" s="212">
        <v>0</v>
      </c>
      <c r="J385" s="212">
        <f ca="1">IFERROR(__xludf.DUMMYFUNCTION("IMPORTRANGE(""https://docs.google.com/spreadsheets/d/1w5rwWK1o49a35cNtocGL0gxDwhFSTZUQu90BiH9_zqM/edit?usp=sharing"",""RTK!H33"")"),0)</f>
        <v>0</v>
      </c>
      <c r="K385" s="255">
        <f>IF(I385&gt;0,J385*100/I385,0)</f>
        <v>0</v>
      </c>
      <c r="L385" s="62"/>
      <c r="M385" s="55"/>
      <c r="N385" s="55"/>
      <c r="O385" s="55"/>
      <c r="P385" s="55"/>
      <c r="Q385" s="55"/>
      <c r="R385" s="55"/>
      <c r="S385" s="55"/>
      <c r="T385" s="55"/>
      <c r="U385" s="55"/>
    </row>
    <row r="386" spans="1:21" ht="18.75">
      <c r="A386" s="188"/>
      <c r="B386" s="188"/>
      <c r="C386" s="188"/>
      <c r="D386" s="188"/>
      <c r="E386" s="188"/>
      <c r="F386" s="188"/>
      <c r="G386" s="208"/>
      <c r="H386" s="161" t="s">
        <v>46</v>
      </c>
      <c r="I386" s="212">
        <f ca="1">IFERROR(__xludf.DUMMYFUNCTION("IMPORTRANGE(""https://docs.google.com/spreadsheets/d/1w5rwWK1o49a35cNtocGL0gxDwhFSTZUQu90BiH9_zqM/edit?usp=sharing"",""RTK!G33"")"),1000)</f>
        <v>1000</v>
      </c>
      <c r="J386" s="212">
        <f ca="1">IFERROR(__xludf.DUMMYFUNCTION("IMPORTRANGE(""https://docs.google.com/spreadsheets/d/1w5rwWK1o49a35cNtocGL0gxDwhFSTZUQu90BiH9_zqM/edit?usp=sharing"",""RTK!I33"")"),0)</f>
        <v>0</v>
      </c>
      <c r="K386" s="255">
        <f ca="1">IF(I386&gt;0,J386*100/I386,0)</f>
        <v>0</v>
      </c>
      <c r="L386" s="62"/>
      <c r="M386" s="55"/>
      <c r="N386" s="55"/>
      <c r="O386" s="55"/>
      <c r="P386" s="55"/>
      <c r="Q386" s="55"/>
      <c r="R386" s="55"/>
      <c r="S386" s="55"/>
      <c r="T386" s="55"/>
      <c r="U386" s="55"/>
    </row>
    <row r="387" spans="1:21" ht="18.75">
      <c r="A387" s="609"/>
      <c r="B387" s="609"/>
      <c r="C387" s="609"/>
      <c r="D387" s="609"/>
      <c r="E387" s="610" t="s">
        <v>156</v>
      </c>
      <c r="F387" s="609"/>
      <c r="G387" s="557"/>
      <c r="H387" s="549" t="s">
        <v>34</v>
      </c>
      <c r="I387" s="556">
        <v>0</v>
      </c>
      <c r="J387" s="556">
        <f ca="1">IFERROR(__xludf.DUMMYFUNCTION("IMPORTRANGE(""https://docs.google.com/spreadsheets/d/1w5rwWK1o49a35cNtocGL0gxDwhFSTZUQu90BiH9_zqM/edit?usp=sharing"",""RTK!L33"")"),0)</f>
        <v>0</v>
      </c>
      <c r="K387" s="555">
        <f>IF(I387&gt;0,J387*100/I387,0)</f>
        <v>0</v>
      </c>
      <c r="L387" s="546"/>
      <c r="M387" s="545"/>
      <c r="N387" s="545"/>
      <c r="O387" s="545"/>
      <c r="P387" s="545"/>
      <c r="Q387" s="545"/>
      <c r="R387" s="545"/>
      <c r="S387" s="545"/>
      <c r="T387" s="545"/>
      <c r="U387" s="545"/>
    </row>
    <row r="388" spans="1:21" ht="18.75">
      <c r="A388" s="609"/>
      <c r="B388" s="609"/>
      <c r="C388" s="609"/>
      <c r="D388" s="609"/>
      <c r="E388" s="609"/>
      <c r="F388" s="609"/>
      <c r="G388" s="557"/>
      <c r="H388" s="549" t="s">
        <v>46</v>
      </c>
      <c r="I388" s="556">
        <f ca="1">IFERROR(__xludf.DUMMYFUNCTION("IMPORTRANGE(""https://docs.google.com/spreadsheets/d/1w5rwWK1o49a35cNtocGL0gxDwhFSTZUQu90BiH9_zqM/edit?usp=sharing"",""RTK!K33"")"),0)</f>
        <v>0</v>
      </c>
      <c r="J388" s="556">
        <f ca="1">IFERROR(__xludf.DUMMYFUNCTION("IMPORTRANGE(""https://docs.google.com/spreadsheets/d/1w5rwWK1o49a35cNtocGL0gxDwhFSTZUQu90BiH9_zqM/edit?usp=sharing"",""RTK!M33"")"),0)</f>
        <v>0</v>
      </c>
      <c r="K388" s="555">
        <f ca="1">IF(I388&gt;0,J388*100/I388,0)</f>
        <v>0</v>
      </c>
      <c r="L388" s="546"/>
      <c r="M388" s="545"/>
      <c r="N388" s="545"/>
      <c r="O388" s="545"/>
      <c r="P388" s="545"/>
      <c r="Q388" s="545"/>
      <c r="R388" s="545"/>
      <c r="S388" s="545"/>
      <c r="T388" s="545"/>
      <c r="U388" s="545"/>
    </row>
    <row r="389" spans="1:21" ht="12.75" hidden="1">
      <c r="A389" s="259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5"/>
      <c r="M389" s="264"/>
      <c r="N389" s="264"/>
      <c r="O389" s="264"/>
      <c r="P389" s="264"/>
      <c r="Q389" s="264"/>
      <c r="R389" s="264"/>
      <c r="S389" s="264"/>
      <c r="T389" s="264"/>
      <c r="U389" s="264"/>
    </row>
    <row r="390" spans="1:21" ht="12.75" hidden="1">
      <c r="A390" s="360"/>
      <c r="B390" s="360"/>
      <c r="C390" s="360"/>
      <c r="D390" s="360"/>
      <c r="E390" s="360"/>
      <c r="F390" s="360"/>
      <c r="G390" s="361"/>
      <c r="H390" s="361"/>
      <c r="I390" s="362"/>
      <c r="J390" s="362"/>
      <c r="K390" s="363"/>
      <c r="L390" s="364"/>
      <c r="M390" s="363"/>
      <c r="N390" s="363"/>
      <c r="O390" s="363"/>
      <c r="P390" s="363"/>
      <c r="Q390" s="363"/>
      <c r="R390" s="363"/>
      <c r="S390" s="363"/>
      <c r="T390" s="363"/>
      <c r="U390" s="363"/>
    </row>
    <row r="391" spans="1:21" ht="19.5" hidden="1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51">
        <f>I402</f>
        <v>0</v>
      </c>
      <c r="J391" s="351">
        <f>J402</f>
        <v>0</v>
      </c>
      <c r="K391" s="604">
        <f>IF(I391&gt;0,J391*100/I391,0)</f>
        <v>0</v>
      </c>
      <c r="L391" s="334"/>
      <c r="M391" s="333"/>
      <c r="N391" s="333"/>
      <c r="O391" s="333"/>
      <c r="P391" s="333"/>
      <c r="Q391" s="333"/>
      <c r="R391" s="333"/>
      <c r="S391" s="333"/>
      <c r="T391" s="333"/>
      <c r="U391" s="333"/>
    </row>
    <row r="392" spans="1:21" ht="19.5" hidden="1">
      <c r="A392" s="155"/>
      <c r="B392" s="188"/>
      <c r="C392" s="191" t="s">
        <v>18</v>
      </c>
      <c r="D392" s="608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541">
        <f>L393+L394</f>
        <v>0</v>
      </c>
      <c r="M392" s="540">
        <f>M393+M394</f>
        <v>0</v>
      </c>
      <c r="N392" s="540">
        <f>N393+N394</f>
        <v>0</v>
      </c>
      <c r="O392" s="540">
        <f>IF(L392&gt;0,N392*100/L392,0)</f>
        <v>0</v>
      </c>
      <c r="P392" s="540">
        <f>IF(M392&gt;0,N392*100/M392,0)</f>
        <v>0</v>
      </c>
      <c r="Q392" s="540">
        <f>Q393+Q394</f>
        <v>0</v>
      </c>
      <c r="R392" s="540">
        <f>R393+R394</f>
        <v>0</v>
      </c>
      <c r="S392" s="540">
        <f>S393+S394</f>
        <v>0</v>
      </c>
      <c r="T392" s="540">
        <f>IF(Q392&gt;0,S392*100/Q392,0)</f>
        <v>0</v>
      </c>
      <c r="U392" s="540">
        <f>IF(R392&gt;0,S392*100/R392,0)</f>
        <v>0</v>
      </c>
    </row>
    <row r="393" spans="1:21" ht="18.75" hidden="1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103">
        <f>L396+L399</f>
        <v>0</v>
      </c>
      <c r="M393" s="102">
        <f>M396+M399</f>
        <v>0</v>
      </c>
      <c r="N393" s="102">
        <f>N396+N399</f>
        <v>0</v>
      </c>
      <c r="O393" s="102">
        <f>IF(L393&gt;0,N393*100/L393,0)</f>
        <v>0</v>
      </c>
      <c r="P393" s="102">
        <f>IF(M393&gt;0,N393*100/M393,0)</f>
        <v>0</v>
      </c>
      <c r="Q393" s="102">
        <f>Q396+Q399</f>
        <v>0</v>
      </c>
      <c r="R393" s="102">
        <f>R396+R399</f>
        <v>0</v>
      </c>
      <c r="S393" s="102">
        <f>S396+S399</f>
        <v>0</v>
      </c>
      <c r="T393" s="102">
        <f>IF(Q393&gt;0,S393*100/Q393,0)</f>
        <v>0</v>
      </c>
      <c r="U393" s="102">
        <f>IF(R393&gt;0,S393*100/R393,0)</f>
        <v>0</v>
      </c>
    </row>
    <row r="394" spans="1:21" ht="18.75" hidden="1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256">
        <f>L397+L400</f>
        <v>0</v>
      </c>
      <c r="M394" s="255">
        <f>M397+M400</f>
        <v>0</v>
      </c>
      <c r="N394" s="255">
        <f>N397+N400</f>
        <v>0</v>
      </c>
      <c r="O394" s="255">
        <f>IF(L394&gt;0,N394*100/L394,0)</f>
        <v>0</v>
      </c>
      <c r="P394" s="255">
        <f>IF(M394&gt;0,N394*100/M394,0)</f>
        <v>0</v>
      </c>
      <c r="Q394" s="255">
        <f>Q397+Q400</f>
        <v>0</v>
      </c>
      <c r="R394" s="255">
        <f>R397+R400</f>
        <v>0</v>
      </c>
      <c r="S394" s="255">
        <f>S397+S400</f>
        <v>0</v>
      </c>
      <c r="T394" s="255">
        <f>IF(Q394&gt;0,S394*100/Q394,0)</f>
        <v>0</v>
      </c>
      <c r="U394" s="255">
        <f>IF(R394&gt;0,S394*100/R394,0)</f>
        <v>0</v>
      </c>
    </row>
    <row r="395" spans="1:21" ht="18.75" hidden="1">
      <c r="A395" s="155"/>
      <c r="B395" s="188"/>
      <c r="C395" s="188"/>
      <c r="D395" s="602" t="s">
        <v>22</v>
      </c>
      <c r="E395" s="50"/>
      <c r="F395" s="50"/>
      <c r="G395" s="52"/>
      <c r="H395" s="162" t="s">
        <v>14</v>
      </c>
      <c r="I395" s="163"/>
      <c r="J395" s="163"/>
      <c r="K395" s="164"/>
      <c r="L395" s="256">
        <f>L396+L397</f>
        <v>0</v>
      </c>
      <c r="M395" s="255">
        <f>M396+M397</f>
        <v>0</v>
      </c>
      <c r="N395" s="255">
        <f>N396+N397</f>
        <v>0</v>
      </c>
      <c r="O395" s="255">
        <f>IF(L395&gt;0,N395*100/L395,0)</f>
        <v>0</v>
      </c>
      <c r="P395" s="255">
        <f>IF(M395&gt;0,N395*100/M395,0)</f>
        <v>0</v>
      </c>
      <c r="Q395" s="255">
        <f>Q396+Q397</f>
        <v>0</v>
      </c>
      <c r="R395" s="255">
        <f>R396+R397</f>
        <v>0</v>
      </c>
      <c r="S395" s="255">
        <f>S396+S397</f>
        <v>0</v>
      </c>
      <c r="T395" s="255">
        <f>IF(Q395&gt;0,S395*100/Q395,0)</f>
        <v>0</v>
      </c>
      <c r="U395" s="255">
        <f>IF(R395&gt;0,S395*100/R395,0)</f>
        <v>0</v>
      </c>
    </row>
    <row r="396" spans="1:21" ht="18.75" hidden="1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103">
        <v>0</v>
      </c>
      <c r="M396" s="102">
        <v>0</v>
      </c>
      <c r="N396" s="102">
        <v>0</v>
      </c>
      <c r="O396" s="102">
        <f>IF(L396&gt;0,N396*100/L396,0)</f>
        <v>0</v>
      </c>
      <c r="P396" s="102">
        <f>IF(M396&gt;0,N396*100/M396,0)</f>
        <v>0</v>
      </c>
      <c r="Q396" s="102">
        <v>0</v>
      </c>
      <c r="R396" s="102">
        <v>0</v>
      </c>
      <c r="S396" s="102">
        <v>0</v>
      </c>
      <c r="T396" s="102">
        <f>IF(Q396&gt;0,S396*100/Q396,0)</f>
        <v>0</v>
      </c>
      <c r="U396" s="102">
        <f>IF(R396&gt;0,S396*100/R396,0)</f>
        <v>0</v>
      </c>
    </row>
    <row r="397" spans="1:21" ht="18.75" hidden="1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256">
        <v>0</v>
      </c>
      <c r="M397" s="255">
        <v>0</v>
      </c>
      <c r="N397" s="255">
        <v>0</v>
      </c>
      <c r="O397" s="255">
        <f>IF(L397&gt;0,N397*100/L397,0)</f>
        <v>0</v>
      </c>
      <c r="P397" s="255">
        <f>IF(M397&gt;0,N397*100/M397,0)</f>
        <v>0</v>
      </c>
      <c r="Q397" s="255">
        <v>0</v>
      </c>
      <c r="R397" s="255">
        <v>0</v>
      </c>
      <c r="S397" s="255">
        <v>0</v>
      </c>
      <c r="T397" s="255">
        <f>IF(Q397&gt;0,S397*100/Q397,0)</f>
        <v>0</v>
      </c>
      <c r="U397" s="255">
        <f>IF(R397&gt;0,S397*100/R397,0)</f>
        <v>0</v>
      </c>
    </row>
    <row r="398" spans="1:21" ht="18.75" hidden="1">
      <c r="A398" s="155"/>
      <c r="B398" s="188"/>
      <c r="C398" s="188"/>
      <c r="D398" s="602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256">
        <f>L399+L400</f>
        <v>0</v>
      </c>
      <c r="M398" s="255">
        <f>M399+M400</f>
        <v>0</v>
      </c>
      <c r="N398" s="255">
        <f>N399+N400</f>
        <v>0</v>
      </c>
      <c r="O398" s="255">
        <f>IF(L398&gt;0,N398*100/L398,0)</f>
        <v>0</v>
      </c>
      <c r="P398" s="255">
        <f>IF(M398&gt;0,N398*100/M398,0)</f>
        <v>0</v>
      </c>
      <c r="Q398" s="255">
        <f>Q399+Q400</f>
        <v>0</v>
      </c>
      <c r="R398" s="255">
        <f>R399+R400</f>
        <v>0</v>
      </c>
      <c r="S398" s="255">
        <f>S399+S400</f>
        <v>0</v>
      </c>
      <c r="T398" s="255">
        <f>IF(Q398&gt;0,S398*100/Q398,0)</f>
        <v>0</v>
      </c>
      <c r="U398" s="255">
        <f>IF(R398&gt;0,S398*100/R398,0)</f>
        <v>0</v>
      </c>
    </row>
    <row r="399" spans="1:21" ht="18.75" hidden="1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103">
        <v>0</v>
      </c>
      <c r="M399" s="102">
        <v>0</v>
      </c>
      <c r="N399" s="102">
        <v>0</v>
      </c>
      <c r="O399" s="102">
        <f>IF(L399&gt;0,N399*100/L399,0)</f>
        <v>0</v>
      </c>
      <c r="P399" s="102">
        <f>IF(M399&gt;0,N399*100/M399,0)</f>
        <v>0</v>
      </c>
      <c r="Q399" s="102">
        <v>0</v>
      </c>
      <c r="R399" s="102">
        <v>0</v>
      </c>
      <c r="S399" s="102">
        <v>0</v>
      </c>
      <c r="T399" s="102">
        <f>IF(Q399&gt;0,S399*100/Q399,0)</f>
        <v>0</v>
      </c>
      <c r="U399" s="102">
        <f>IF(R399&gt;0,S399*100/R399,0)</f>
        <v>0</v>
      </c>
    </row>
    <row r="400" spans="1:21" ht="18.75" hidden="1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256">
        <v>0</v>
      </c>
      <c r="M400" s="255">
        <v>0</v>
      </c>
      <c r="N400" s="255">
        <v>0</v>
      </c>
      <c r="O400" s="255">
        <f>IF(L400&gt;0,N400*100/L400,0)</f>
        <v>0</v>
      </c>
      <c r="P400" s="255">
        <f>IF(M400&gt;0,N400*100/M400,0)</f>
        <v>0</v>
      </c>
      <c r="Q400" s="255">
        <v>0</v>
      </c>
      <c r="R400" s="255">
        <v>0</v>
      </c>
      <c r="S400" s="255">
        <v>0</v>
      </c>
      <c r="T400" s="255">
        <f>IF(Q400&gt;0,S400*100/Q400,0)</f>
        <v>0</v>
      </c>
      <c r="U400" s="255">
        <f>IF(R400&gt;0,S400*100/R400,0)</f>
        <v>0</v>
      </c>
    </row>
    <row r="401" spans="1:21" ht="19.5" hidden="1">
      <c r="A401" s="166"/>
      <c r="B401" s="167"/>
      <c r="C401" s="191" t="s">
        <v>18</v>
      </c>
      <c r="D401" s="560" t="s">
        <v>38</v>
      </c>
      <c r="E401" s="169"/>
      <c r="F401" s="169"/>
      <c r="G401" s="170"/>
      <c r="H401" s="206"/>
      <c r="I401" s="163"/>
      <c r="J401" s="54"/>
      <c r="K401" s="55"/>
      <c r="L401" s="62"/>
      <c r="M401" s="55"/>
      <c r="N401" s="55"/>
      <c r="O401" s="164"/>
      <c r="P401" s="164"/>
      <c r="Q401" s="55"/>
      <c r="R401" s="55"/>
      <c r="S401" s="55"/>
      <c r="T401" s="164"/>
      <c r="U401" s="164"/>
    </row>
    <row r="402" spans="1:21" ht="12.75" hidden="1">
      <c r="A402" s="258"/>
      <c r="B402" s="259"/>
      <c r="C402" s="259"/>
      <c r="D402" s="259"/>
      <c r="E402" s="260"/>
      <c r="F402" s="260"/>
      <c r="G402" s="261"/>
      <c r="H402" s="262"/>
      <c r="I402" s="263"/>
      <c r="J402" s="263"/>
      <c r="K402" s="264"/>
      <c r="L402" s="265"/>
      <c r="M402" s="264"/>
      <c r="N402" s="264"/>
      <c r="O402" s="264"/>
      <c r="P402" s="264"/>
      <c r="Q402" s="264"/>
      <c r="R402" s="264"/>
      <c r="S402" s="264"/>
      <c r="T402" s="264"/>
      <c r="U402" s="264"/>
    </row>
    <row r="403" spans="1:21" ht="12.75" hidden="1">
      <c r="A403" s="259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5"/>
      <c r="M403" s="264"/>
      <c r="N403" s="264"/>
      <c r="O403" s="264"/>
      <c r="P403" s="264"/>
      <c r="Q403" s="264"/>
      <c r="R403" s="264"/>
      <c r="S403" s="264"/>
      <c r="T403" s="264"/>
      <c r="U403" s="264"/>
    </row>
    <row r="404" spans="1:21" ht="12.75" hidden="1">
      <c r="A404" s="259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5"/>
      <c r="M404" s="264"/>
      <c r="N404" s="264"/>
      <c r="O404" s="264"/>
      <c r="P404" s="264"/>
      <c r="Q404" s="264"/>
      <c r="R404" s="264"/>
      <c r="S404" s="264"/>
      <c r="T404" s="264"/>
      <c r="U404" s="264"/>
    </row>
    <row r="405" spans="1:21" ht="12.75" hidden="1">
      <c r="A405" s="259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5"/>
      <c r="M405" s="264"/>
      <c r="N405" s="264"/>
      <c r="O405" s="264"/>
      <c r="P405" s="264"/>
      <c r="Q405" s="264"/>
      <c r="R405" s="264"/>
      <c r="S405" s="264"/>
      <c r="T405" s="264"/>
      <c r="U405" s="264"/>
    </row>
    <row r="406" spans="1:21" ht="12.75" hidden="1">
      <c r="A406" s="259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5"/>
      <c r="M406" s="264"/>
      <c r="N406" s="264"/>
      <c r="O406" s="264"/>
      <c r="P406" s="264"/>
      <c r="Q406" s="264"/>
      <c r="R406" s="264"/>
      <c r="S406" s="264"/>
      <c r="T406" s="264"/>
      <c r="U406" s="264"/>
    </row>
    <row r="407" spans="1:21" ht="12.75" hidden="1">
      <c r="A407" s="259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5"/>
      <c r="M407" s="264"/>
      <c r="N407" s="264"/>
      <c r="O407" s="264"/>
      <c r="P407" s="264"/>
      <c r="Q407" s="264"/>
      <c r="R407" s="264"/>
      <c r="S407" s="264"/>
      <c r="T407" s="264"/>
      <c r="U407" s="264"/>
    </row>
    <row r="408" spans="1:21" ht="12.75" hidden="1">
      <c r="A408" s="259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5"/>
      <c r="M408" s="264"/>
      <c r="N408" s="264"/>
      <c r="O408" s="264"/>
      <c r="P408" s="264"/>
      <c r="Q408" s="264"/>
      <c r="R408" s="264"/>
      <c r="S408" s="264"/>
      <c r="T408" s="264"/>
      <c r="U408" s="264"/>
    </row>
    <row r="409" spans="1:21" ht="12.75" hidden="1">
      <c r="A409" s="259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5"/>
      <c r="M409" s="264"/>
      <c r="N409" s="264"/>
      <c r="O409" s="264"/>
      <c r="P409" s="264"/>
      <c r="Q409" s="264"/>
      <c r="R409" s="264"/>
      <c r="S409" s="264"/>
      <c r="T409" s="264"/>
      <c r="U409" s="264"/>
    </row>
    <row r="410" spans="1:21" ht="12.75" hidden="1">
      <c r="A410" s="259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5"/>
      <c r="M410" s="264"/>
      <c r="N410" s="264"/>
      <c r="O410" s="264"/>
      <c r="P410" s="264"/>
      <c r="Q410" s="264"/>
      <c r="R410" s="264"/>
      <c r="S410" s="264"/>
      <c r="T410" s="264"/>
      <c r="U410" s="264"/>
    </row>
    <row r="411" spans="1:21" ht="12.75" hidden="1">
      <c r="A411" s="360"/>
      <c r="B411" s="360"/>
      <c r="C411" s="360"/>
      <c r="D411" s="360"/>
      <c r="E411" s="360"/>
      <c r="F411" s="360"/>
      <c r="G411" s="361"/>
      <c r="H411" s="361"/>
      <c r="I411" s="362"/>
      <c r="J411" s="362"/>
      <c r="K411" s="363"/>
      <c r="L411" s="364"/>
      <c r="M411" s="363"/>
      <c r="N411" s="363"/>
      <c r="O411" s="363"/>
      <c r="P411" s="363"/>
      <c r="Q411" s="363"/>
      <c r="R411" s="363"/>
      <c r="S411" s="363"/>
      <c r="T411" s="363"/>
      <c r="U411" s="363"/>
    </row>
    <row r="412" spans="1:21" ht="19.5" hidden="1">
      <c r="A412" s="337"/>
      <c r="B412" s="354" t="s">
        <v>158</v>
      </c>
      <c r="C412" s="337"/>
      <c r="D412" s="337"/>
      <c r="E412" s="337"/>
      <c r="F412" s="337"/>
      <c r="G412" s="365"/>
      <c r="H412" s="366" t="s">
        <v>46</v>
      </c>
      <c r="I412" s="605">
        <f ca="1">I423</f>
        <v>0</v>
      </c>
      <c r="J412" s="605">
        <f>J423</f>
        <v>0</v>
      </c>
      <c r="K412" s="604">
        <f ca="1">IF(I412&gt;0,J412*100/I412,0)</f>
        <v>0</v>
      </c>
      <c r="L412" s="334"/>
      <c r="M412" s="333"/>
      <c r="N412" s="333"/>
      <c r="O412" s="333"/>
      <c r="P412" s="333"/>
      <c r="Q412" s="333"/>
      <c r="R412" s="333"/>
      <c r="S412" s="333"/>
      <c r="T412" s="333"/>
      <c r="U412" s="333"/>
    </row>
    <row r="413" spans="1:21" ht="19.5" hidden="1">
      <c r="A413" s="155"/>
      <c r="B413" s="188"/>
      <c r="C413" s="367" t="s">
        <v>18</v>
      </c>
      <c r="D413" s="603" t="s">
        <v>19</v>
      </c>
      <c r="E413" s="514"/>
      <c r="F413" s="514"/>
      <c r="G413" s="512"/>
      <c r="H413" s="368" t="s">
        <v>14</v>
      </c>
      <c r="I413" s="54"/>
      <c r="J413" s="54"/>
      <c r="K413" s="55"/>
      <c r="L413" s="541">
        <f>L414+L415</f>
        <v>0</v>
      </c>
      <c r="M413" s="540">
        <f>M414+M415</f>
        <v>0</v>
      </c>
      <c r="N413" s="540">
        <f>N414+N415</f>
        <v>0</v>
      </c>
      <c r="O413" s="540">
        <f>IF(L413&gt;0,N413*100/L413,0)</f>
        <v>0</v>
      </c>
      <c r="P413" s="540">
        <f>IF(M413&gt;0,N413*100/M413,0)</f>
        <v>0</v>
      </c>
      <c r="Q413" s="540">
        <f ca="1">Q414+Q415</f>
        <v>0</v>
      </c>
      <c r="R413" s="540">
        <f ca="1">R414+R415</f>
        <v>0</v>
      </c>
      <c r="S413" s="540">
        <f ca="1">S414+S415</f>
        <v>0</v>
      </c>
      <c r="T413" s="540">
        <f ca="1">IF(Q413&gt;0,S413*100/Q413,0)</f>
        <v>0</v>
      </c>
      <c r="U413" s="540">
        <f ca="1">IF(R413&gt;0,S413*100/R413,0)</f>
        <v>0</v>
      </c>
    </row>
    <row r="414" spans="1:21" ht="18.75" hidden="1">
      <c r="A414" s="155"/>
      <c r="B414" s="188"/>
      <c r="C414" s="188"/>
      <c r="D414" s="188"/>
      <c r="E414" s="358" t="s">
        <v>159</v>
      </c>
      <c r="F414" s="188"/>
      <c r="G414" s="208"/>
      <c r="H414" s="204" t="s">
        <v>14</v>
      </c>
      <c r="I414" s="54"/>
      <c r="J414" s="54"/>
      <c r="K414" s="55"/>
      <c r="L414" s="103">
        <f>L417+L420</f>
        <v>0</v>
      </c>
      <c r="M414" s="102">
        <f>M417+M420</f>
        <v>0</v>
      </c>
      <c r="N414" s="102">
        <f>N417+N420</f>
        <v>0</v>
      </c>
      <c r="O414" s="102">
        <f>IF(L414&gt;0,N414*100/L414,0)</f>
        <v>0</v>
      </c>
      <c r="P414" s="102">
        <f>IF(M414&gt;0,N414*100/M414,0)</f>
        <v>0</v>
      </c>
      <c r="Q414" s="102">
        <f>Q417+Q420</f>
        <v>0</v>
      </c>
      <c r="R414" s="102">
        <f>R417+R420</f>
        <v>0</v>
      </c>
      <c r="S414" s="102">
        <f>S417+S420</f>
        <v>0</v>
      </c>
      <c r="T414" s="102">
        <f>IF(Q414&gt;0,S414*100/Q414,0)</f>
        <v>0</v>
      </c>
      <c r="U414" s="102">
        <f>IF(R414&gt;0,S414*100/R414,0)</f>
        <v>0</v>
      </c>
    </row>
    <row r="415" spans="1:21" ht="18.75" hidden="1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256">
        <f>L418+L421</f>
        <v>0</v>
      </c>
      <c r="M415" s="255">
        <f>M418+M421</f>
        <v>0</v>
      </c>
      <c r="N415" s="255">
        <f>N418+N421</f>
        <v>0</v>
      </c>
      <c r="O415" s="255">
        <f>IF(L415&gt;0,N415*100/L415,0)</f>
        <v>0</v>
      </c>
      <c r="P415" s="255">
        <f>IF(M415&gt;0,N415*100/M415,0)</f>
        <v>0</v>
      </c>
      <c r="Q415" s="255">
        <f ca="1">Q418+Q421</f>
        <v>0</v>
      </c>
      <c r="R415" s="255">
        <f ca="1">R418+R421</f>
        <v>0</v>
      </c>
      <c r="S415" s="255">
        <f ca="1">S418+S421</f>
        <v>0</v>
      </c>
      <c r="T415" s="255">
        <f ca="1">IF(Q415&gt;0,S415*100/Q415,0)</f>
        <v>0</v>
      </c>
      <c r="U415" s="255">
        <f ca="1">IF(R415&gt;0,S415*100/R415,0)</f>
        <v>0</v>
      </c>
    </row>
    <row r="416" spans="1:21" ht="19.5" hidden="1">
      <c r="A416" s="155"/>
      <c r="B416" s="188"/>
      <c r="C416" s="188"/>
      <c r="D416" s="608" t="s">
        <v>22</v>
      </c>
      <c r="E416" s="188"/>
      <c r="F416" s="188"/>
      <c r="G416" s="208"/>
      <c r="H416" s="368" t="s">
        <v>14</v>
      </c>
      <c r="I416" s="54"/>
      <c r="J416" s="54"/>
      <c r="K416" s="55"/>
      <c r="L416" s="256">
        <f>L417+L418</f>
        <v>0</v>
      </c>
      <c r="M416" s="255">
        <f>M417+M418</f>
        <v>0</v>
      </c>
      <c r="N416" s="255">
        <f>N417+N418</f>
        <v>0</v>
      </c>
      <c r="O416" s="255">
        <f>IF(L416&gt;0,N416*100/L416,0)</f>
        <v>0</v>
      </c>
      <c r="P416" s="255">
        <f>IF(M416&gt;0,N416*100/M416,0)</f>
        <v>0</v>
      </c>
      <c r="Q416" s="255">
        <f ca="1">Q417+Q418</f>
        <v>0</v>
      </c>
      <c r="R416" s="255">
        <f ca="1">R417+R418</f>
        <v>0</v>
      </c>
      <c r="S416" s="255">
        <f ca="1">S417+S418</f>
        <v>0</v>
      </c>
      <c r="T416" s="255">
        <f ca="1">IF(Q416&gt;0,S416*100/Q416,0)</f>
        <v>0</v>
      </c>
      <c r="U416" s="255">
        <f ca="1">IF(R416&gt;0,S416*100/R416,0)</f>
        <v>0</v>
      </c>
    </row>
    <row r="417" spans="1:21" ht="18.75" hidden="1">
      <c r="A417" s="155"/>
      <c r="B417" s="188"/>
      <c r="C417" s="188"/>
      <c r="D417" s="188"/>
      <c r="E417" s="358" t="s">
        <v>159</v>
      </c>
      <c r="F417" s="188"/>
      <c r="G417" s="208"/>
      <c r="H417" s="204" t="s">
        <v>14</v>
      </c>
      <c r="I417" s="54"/>
      <c r="J417" s="54"/>
      <c r="K417" s="55"/>
      <c r="L417" s="103">
        <v>0</v>
      </c>
      <c r="M417" s="102">
        <v>0</v>
      </c>
      <c r="N417" s="102">
        <v>0</v>
      </c>
      <c r="O417" s="102">
        <f>IF(L417&gt;0,N417*100/L417,0)</f>
        <v>0</v>
      </c>
      <c r="P417" s="102">
        <f>IF(M417&gt;0,N417*100/M417,0)</f>
        <v>0</v>
      </c>
      <c r="Q417" s="102">
        <v>0</v>
      </c>
      <c r="R417" s="102">
        <v>0</v>
      </c>
      <c r="S417" s="102">
        <v>0</v>
      </c>
      <c r="T417" s="102">
        <f>IF(Q417&gt;0,S417*100/Q417,0)</f>
        <v>0</v>
      </c>
      <c r="U417" s="102">
        <f>IF(R417&gt;0,S417*100/R417,0)</f>
        <v>0</v>
      </c>
    </row>
    <row r="418" spans="1:21" ht="18.75" hidden="1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256">
        <v>0</v>
      </c>
      <c r="M418" s="255">
        <v>0</v>
      </c>
      <c r="N418" s="255">
        <v>0</v>
      </c>
      <c r="O418" s="255">
        <f>IF(L418&gt;0,N418*100/L418,0)</f>
        <v>0</v>
      </c>
      <c r="P418" s="255">
        <f>IF(M418&gt;0,N418*100/M418,0)</f>
        <v>0</v>
      </c>
      <c r="Q418" s="255">
        <f ca="1">IFERROR(__xludf.DUMMYFUNCTION("IMPORTRANGE(""https://docs.google.com/spreadsheets/d/1ItG2mGa2ceCfYo0BwxsXqNm01IGEUdYcSSLTEv9YCik/edit?usp=sharing"",""เบิกจ่ายกองทุน!BH33"")"),0)</f>
        <v>0</v>
      </c>
      <c r="R418" s="255">
        <f ca="1">IFERROR(__xludf.DUMMYFUNCTION("IMPORTRANGE(""https://docs.google.com/spreadsheets/d/1ItG2mGa2ceCfYo0BwxsXqNm01IGEUdYcSSLTEv9YCik/edit?usp=sharing"",""เบิกจ่ายกองทุน!BI33"")"),0)</f>
        <v>0</v>
      </c>
      <c r="S418" s="255">
        <f ca="1">IFERROR(__xludf.DUMMYFUNCTION("IMPORTRANGE(""https://docs.google.com/spreadsheets/d/1ItG2mGa2ceCfYo0BwxsXqNm01IGEUdYcSSLTEv9YCik/edit?usp=sharing"",""เบิกจ่ายกองทุน!BJ33"")"),0)</f>
        <v>0</v>
      </c>
      <c r="T418" s="255">
        <f ca="1">IF(Q418&gt;0,S418*100/Q418,0)</f>
        <v>0</v>
      </c>
      <c r="U418" s="255">
        <f ca="1">IF(R418&gt;0,S418*100/R418,0)</f>
        <v>0</v>
      </c>
    </row>
    <row r="419" spans="1:21" ht="19.5" hidden="1">
      <c r="A419" s="155"/>
      <c r="B419" s="188"/>
      <c r="C419" s="188"/>
      <c r="D419" s="608" t="s">
        <v>23</v>
      </c>
      <c r="E419" s="188"/>
      <c r="F419" s="188"/>
      <c r="G419" s="208"/>
      <c r="H419" s="158" t="s">
        <v>14</v>
      </c>
      <c r="I419" s="54"/>
      <c r="J419" s="54"/>
      <c r="K419" s="55"/>
      <c r="L419" s="256">
        <f>L420+L421</f>
        <v>0</v>
      </c>
      <c r="M419" s="255">
        <f>M420+M421</f>
        <v>0</v>
      </c>
      <c r="N419" s="255">
        <f>N420+N421</f>
        <v>0</v>
      </c>
      <c r="O419" s="255">
        <f>IF(L419&gt;0,N419*100/L419,0)</f>
        <v>0</v>
      </c>
      <c r="P419" s="255">
        <f>IF(M419&gt;0,N419*100/M419,0)</f>
        <v>0</v>
      </c>
      <c r="Q419" s="255">
        <f>Q420+Q421</f>
        <v>0</v>
      </c>
      <c r="R419" s="255">
        <f>R420+R421</f>
        <v>0</v>
      </c>
      <c r="S419" s="255">
        <f>S420+S421</f>
        <v>0</v>
      </c>
      <c r="T419" s="255">
        <f>IF(Q419&gt;0,S419*100/Q419,0)</f>
        <v>0</v>
      </c>
      <c r="U419" s="255">
        <f>IF(R419&gt;0,S419*100/R419,0)</f>
        <v>0</v>
      </c>
    </row>
    <row r="420" spans="1:21" ht="18.75" hidden="1">
      <c r="A420" s="155"/>
      <c r="B420" s="188"/>
      <c r="C420" s="188"/>
      <c r="D420" s="188"/>
      <c r="E420" s="358" t="s">
        <v>20</v>
      </c>
      <c r="F420" s="188"/>
      <c r="G420" s="208"/>
      <c r="H420" s="204" t="s">
        <v>14</v>
      </c>
      <c r="I420" s="54"/>
      <c r="J420" s="54"/>
      <c r="K420" s="55"/>
      <c r="L420" s="103">
        <v>0</v>
      </c>
      <c r="M420" s="102">
        <v>0</v>
      </c>
      <c r="N420" s="102">
        <v>0</v>
      </c>
      <c r="O420" s="102">
        <f>IF(L420&gt;0,N420*100/L420,0)</f>
        <v>0</v>
      </c>
      <c r="P420" s="102">
        <f>IF(M420&gt;0,N420*100/M420,0)</f>
        <v>0</v>
      </c>
      <c r="Q420" s="102">
        <v>0</v>
      </c>
      <c r="R420" s="102">
        <v>0</v>
      </c>
      <c r="S420" s="102">
        <v>0</v>
      </c>
      <c r="T420" s="102">
        <f>IF(Q420&gt;0,S420*100/Q420,0)</f>
        <v>0</v>
      </c>
      <c r="U420" s="102">
        <f>IF(R420&gt;0,S420*100/R420,0)</f>
        <v>0</v>
      </c>
    </row>
    <row r="421" spans="1:21" ht="18.75" hidden="1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256">
        <v>0</v>
      </c>
      <c r="M421" s="255">
        <v>0</v>
      </c>
      <c r="N421" s="255">
        <v>0</v>
      </c>
      <c r="O421" s="255">
        <f>IF(L421&gt;0,N421*100/L421,0)</f>
        <v>0</v>
      </c>
      <c r="P421" s="255">
        <f>IF(M421&gt;0,N421*100/M421,0)</f>
        <v>0</v>
      </c>
      <c r="Q421" s="255">
        <v>0</v>
      </c>
      <c r="R421" s="255">
        <v>0</v>
      </c>
      <c r="S421" s="255">
        <v>0</v>
      </c>
      <c r="T421" s="255">
        <f>IF(Q421&gt;0,S421*100/Q421,0)</f>
        <v>0</v>
      </c>
      <c r="U421" s="255">
        <f>IF(R421&gt;0,S421*100/R421,0)</f>
        <v>0</v>
      </c>
    </row>
    <row r="422" spans="1:21" ht="19.5" hidden="1">
      <c r="A422" s="238"/>
      <c r="B422" s="188"/>
      <c r="C422" s="367" t="s">
        <v>18</v>
      </c>
      <c r="D422" s="607" t="s">
        <v>38</v>
      </c>
      <c r="E422" s="188"/>
      <c r="F422" s="188"/>
      <c r="G422" s="208"/>
      <c r="H422" s="208"/>
      <c r="I422" s="54"/>
      <c r="J422" s="54"/>
      <c r="K422" s="55"/>
      <c r="L422" s="62"/>
      <c r="M422" s="55"/>
      <c r="N422" s="55"/>
      <c r="O422" s="55"/>
      <c r="P422" s="55"/>
      <c r="Q422" s="55"/>
      <c r="R422" s="55"/>
      <c r="S422" s="55"/>
      <c r="T422" s="55"/>
      <c r="U422" s="55"/>
    </row>
    <row r="423" spans="1:21" ht="19.5" hidden="1">
      <c r="A423" s="238"/>
      <c r="B423" s="191" t="s">
        <v>161</v>
      </c>
      <c r="C423" s="188"/>
      <c r="D423" s="188"/>
      <c r="E423" s="188"/>
      <c r="F423" s="188"/>
      <c r="G423" s="208"/>
      <c r="H423" s="368" t="s">
        <v>46</v>
      </c>
      <c r="I423" s="373">
        <f ca="1">I440</f>
        <v>0</v>
      </c>
      <c r="J423" s="373">
        <f>J440</f>
        <v>0</v>
      </c>
      <c r="K423" s="540">
        <f ca="1">IF(I423&gt;0,J423*100/I423,0)</f>
        <v>0</v>
      </c>
      <c r="L423" s="62"/>
      <c r="M423" s="55"/>
      <c r="N423" s="55"/>
      <c r="O423" s="55"/>
      <c r="P423" s="55"/>
      <c r="Q423" s="55"/>
      <c r="R423" s="55"/>
      <c r="S423" s="55"/>
      <c r="T423" s="55"/>
      <c r="U423" s="55"/>
    </row>
    <row r="424" spans="1:21" ht="19.5" hidden="1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373">
        <f ca="1">IFERROR(__xludf.DUMMYFUNCTION("IMPORTRANGE(""https://docs.google.com/spreadsheets/d/1eHaY18a8A9IcSdp1K8H6x8fbOy06t2VsZHhMHf-1x7Y/edit?usp=sharing"",""แผน!HJ33"")"),0)</f>
        <v>0</v>
      </c>
      <c r="J424" s="373">
        <f>J426+J428+J430</f>
        <v>0</v>
      </c>
      <c r="K424" s="540">
        <f ca="1">IF(I424&gt;0,J424*100/I424,0)</f>
        <v>0</v>
      </c>
      <c r="L424" s="62"/>
      <c r="M424" s="55"/>
      <c r="N424" s="55"/>
      <c r="O424" s="55"/>
      <c r="P424" s="55"/>
      <c r="Q424" s="55"/>
      <c r="R424" s="55"/>
      <c r="S424" s="55"/>
      <c r="T424" s="55"/>
      <c r="U424" s="55"/>
    </row>
    <row r="425" spans="1:21" ht="19.5" hidden="1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373">
        <f ca="1">IFERROR(__xludf.DUMMYFUNCTION("IMPORTRANGE(""https://docs.google.com/spreadsheets/d/1eHaY18a8A9IcSdp1K8H6x8fbOy06t2VsZHhMHf-1x7Y/edit?usp=sharing"",""แผน!HK33"")"),0)</f>
        <v>0</v>
      </c>
      <c r="J425" s="373">
        <f>J427+J429+J431</f>
        <v>0</v>
      </c>
      <c r="K425" s="540">
        <f ca="1">IF(I425&gt;0,J425*100/I425,0)</f>
        <v>0</v>
      </c>
      <c r="L425" s="62"/>
      <c r="M425" s="55"/>
      <c r="N425" s="55"/>
      <c r="O425" s="55"/>
      <c r="P425" s="55"/>
      <c r="Q425" s="55"/>
      <c r="R425" s="55"/>
      <c r="S425" s="55"/>
      <c r="T425" s="55"/>
      <c r="U425" s="55"/>
    </row>
    <row r="426" spans="1:21" ht="18.75" hidden="1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54"/>
      <c r="K426" s="55"/>
      <c r="L426" s="62"/>
      <c r="M426" s="55"/>
      <c r="N426" s="55"/>
      <c r="O426" s="55"/>
      <c r="P426" s="55"/>
      <c r="Q426" s="55"/>
      <c r="R426" s="55"/>
      <c r="S426" s="55"/>
      <c r="T426" s="55"/>
      <c r="U426" s="55"/>
    </row>
    <row r="427" spans="1:21" ht="18.75" hidden="1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54"/>
      <c r="K427" s="55"/>
      <c r="L427" s="62"/>
      <c r="M427" s="55"/>
      <c r="N427" s="55"/>
      <c r="O427" s="55"/>
      <c r="P427" s="55"/>
      <c r="Q427" s="55"/>
      <c r="R427" s="55"/>
      <c r="S427" s="55"/>
      <c r="T427" s="55"/>
      <c r="U427" s="55"/>
    </row>
    <row r="428" spans="1:21" ht="18.75" hidden="1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54"/>
      <c r="K428" s="55"/>
      <c r="L428" s="62"/>
      <c r="M428" s="55"/>
      <c r="N428" s="55"/>
      <c r="O428" s="55"/>
      <c r="P428" s="55"/>
      <c r="Q428" s="55"/>
      <c r="R428" s="55"/>
      <c r="S428" s="55"/>
      <c r="T428" s="55"/>
      <c r="U428" s="55"/>
    </row>
    <row r="429" spans="1:21" ht="18.75" hidden="1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54"/>
      <c r="K429" s="55"/>
      <c r="L429" s="62"/>
      <c r="M429" s="55"/>
      <c r="N429" s="55"/>
      <c r="O429" s="55"/>
      <c r="P429" s="55"/>
      <c r="Q429" s="55"/>
      <c r="R429" s="55"/>
      <c r="S429" s="55"/>
      <c r="T429" s="55"/>
      <c r="U429" s="55"/>
    </row>
    <row r="430" spans="1:21" ht="18.75" hidden="1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54"/>
      <c r="K430" s="55"/>
      <c r="L430" s="62"/>
      <c r="M430" s="55"/>
      <c r="N430" s="55"/>
      <c r="O430" s="55"/>
      <c r="P430" s="55"/>
      <c r="Q430" s="55"/>
      <c r="R430" s="55"/>
      <c r="S430" s="55"/>
      <c r="T430" s="55"/>
      <c r="U430" s="55"/>
    </row>
    <row r="431" spans="1:21" ht="18.75" hidden="1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54"/>
      <c r="K431" s="55"/>
      <c r="L431" s="62"/>
      <c r="M431" s="55"/>
      <c r="N431" s="55"/>
      <c r="O431" s="55"/>
      <c r="P431" s="55"/>
      <c r="Q431" s="55"/>
      <c r="R431" s="55"/>
      <c r="S431" s="55"/>
      <c r="T431" s="55"/>
      <c r="U431" s="55"/>
    </row>
    <row r="432" spans="1:21" ht="19.5" hidden="1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373">
        <f ca="1">IFERROR(__xludf.DUMMYFUNCTION("IMPORTRANGE(""https://docs.google.com/spreadsheets/d/1eHaY18a8A9IcSdp1K8H6x8fbOy06t2VsZHhMHf-1x7Y/edit?usp=sharing"",""แผน!HJ33"")"),0)</f>
        <v>0</v>
      </c>
      <c r="J432" s="373">
        <f>J434+J436+J438</f>
        <v>0</v>
      </c>
      <c r="K432" s="540">
        <f ca="1">IF(I432&gt;0,J432*100/I432,0)</f>
        <v>0</v>
      </c>
      <c r="L432" s="62"/>
      <c r="M432" s="55"/>
      <c r="N432" s="55"/>
      <c r="O432" s="55"/>
      <c r="P432" s="55"/>
      <c r="Q432" s="55"/>
      <c r="R432" s="55"/>
      <c r="S432" s="55"/>
      <c r="T432" s="55"/>
      <c r="U432" s="55"/>
    </row>
    <row r="433" spans="1:21" ht="19.5" hidden="1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373">
        <f ca="1">IFERROR(__xludf.DUMMYFUNCTION("IMPORTRANGE(""https://docs.google.com/spreadsheets/d/1eHaY18a8A9IcSdp1K8H6x8fbOy06t2VsZHhMHf-1x7Y/edit?usp=sharing"",""แผน!HK33"")"),0)</f>
        <v>0</v>
      </c>
      <c r="J433" s="373">
        <f>J435+J437+J439</f>
        <v>0</v>
      </c>
      <c r="K433" s="540">
        <f ca="1">IF(I433&gt;0,J433*100/I433,0)</f>
        <v>0</v>
      </c>
      <c r="L433" s="62"/>
      <c r="M433" s="55"/>
      <c r="N433" s="55"/>
      <c r="O433" s="55"/>
      <c r="P433" s="55"/>
      <c r="Q433" s="55"/>
      <c r="R433" s="55"/>
      <c r="S433" s="55"/>
      <c r="T433" s="55"/>
      <c r="U433" s="55"/>
    </row>
    <row r="434" spans="1:21" ht="18.75" hidden="1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54"/>
      <c r="K434" s="55"/>
      <c r="L434" s="62"/>
      <c r="M434" s="55"/>
      <c r="N434" s="55"/>
      <c r="O434" s="55"/>
      <c r="P434" s="55"/>
      <c r="Q434" s="55"/>
      <c r="R434" s="55"/>
      <c r="S434" s="55"/>
      <c r="T434" s="55"/>
      <c r="U434" s="55"/>
    </row>
    <row r="435" spans="1:21" ht="18.75" hidden="1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54"/>
      <c r="K435" s="55"/>
      <c r="L435" s="62"/>
      <c r="M435" s="55"/>
      <c r="N435" s="55"/>
      <c r="O435" s="55"/>
      <c r="P435" s="55"/>
      <c r="Q435" s="55"/>
      <c r="R435" s="55"/>
      <c r="S435" s="55"/>
      <c r="T435" s="55"/>
      <c r="U435" s="55"/>
    </row>
    <row r="436" spans="1:21" ht="18.75" hidden="1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54"/>
      <c r="K436" s="55"/>
      <c r="L436" s="62"/>
      <c r="M436" s="55"/>
      <c r="N436" s="55"/>
      <c r="O436" s="55"/>
      <c r="P436" s="55"/>
      <c r="Q436" s="55"/>
      <c r="R436" s="55"/>
      <c r="S436" s="55"/>
      <c r="T436" s="55"/>
      <c r="U436" s="55"/>
    </row>
    <row r="437" spans="1:21" ht="18.75" hidden="1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54"/>
      <c r="K437" s="55"/>
      <c r="L437" s="62"/>
      <c r="M437" s="55"/>
      <c r="N437" s="55"/>
      <c r="O437" s="55"/>
      <c r="P437" s="55"/>
      <c r="Q437" s="55"/>
      <c r="R437" s="55"/>
      <c r="S437" s="55"/>
      <c r="T437" s="55"/>
      <c r="U437" s="55"/>
    </row>
    <row r="438" spans="1:21" ht="18.75" hidden="1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54"/>
      <c r="K438" s="55"/>
      <c r="L438" s="62"/>
      <c r="M438" s="55"/>
      <c r="N438" s="55"/>
      <c r="O438" s="55"/>
      <c r="P438" s="55"/>
      <c r="Q438" s="55"/>
      <c r="R438" s="55"/>
      <c r="S438" s="55"/>
      <c r="T438" s="55"/>
      <c r="U438" s="55"/>
    </row>
    <row r="439" spans="1:21" ht="18.75" hidden="1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54"/>
      <c r="K439" s="55"/>
      <c r="L439" s="62"/>
      <c r="M439" s="55"/>
      <c r="N439" s="55"/>
      <c r="O439" s="55"/>
      <c r="P439" s="55"/>
      <c r="Q439" s="55"/>
      <c r="R439" s="55"/>
      <c r="S439" s="55"/>
      <c r="T439" s="55"/>
      <c r="U439" s="55"/>
    </row>
    <row r="440" spans="1:21" ht="19.5" hidden="1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373">
        <f ca="1">IFERROR(__xludf.DUMMYFUNCTION("IMPORTRANGE(""https://docs.google.com/spreadsheets/d/1eHaY18a8A9IcSdp1K8H6x8fbOy06t2VsZHhMHf-1x7Y/edit?usp=sharing"",""แผน!HJ33"")"),0)</f>
        <v>0</v>
      </c>
      <c r="J440" s="373">
        <f>J442+J444+J446+J452+J454</f>
        <v>0</v>
      </c>
      <c r="K440" s="540">
        <f ca="1">IF(I440&gt;0,J440*100/I440,0)</f>
        <v>0</v>
      </c>
      <c r="L440" s="62"/>
      <c r="M440" s="55"/>
      <c r="N440" s="55"/>
      <c r="O440" s="55"/>
      <c r="P440" s="55"/>
      <c r="Q440" s="55"/>
      <c r="R440" s="55"/>
      <c r="S440" s="55"/>
      <c r="T440" s="55"/>
      <c r="U440" s="55"/>
    </row>
    <row r="441" spans="1:21" ht="19.5" hidden="1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373">
        <f ca="1">IFERROR(__xludf.DUMMYFUNCTION("IMPORTRANGE(""https://docs.google.com/spreadsheets/d/1eHaY18a8A9IcSdp1K8H6x8fbOy06t2VsZHhMHf-1x7Y/edit?usp=sharing"",""แผน!HK33"")"),0)</f>
        <v>0</v>
      </c>
      <c r="J441" s="373">
        <f>J443+J445+J447+J453+J455</f>
        <v>0</v>
      </c>
      <c r="K441" s="540">
        <f ca="1">IF(I441&gt;0,J441*100/I441,0)</f>
        <v>0</v>
      </c>
      <c r="L441" s="62"/>
      <c r="M441" s="55"/>
      <c r="N441" s="55"/>
      <c r="O441" s="55"/>
      <c r="P441" s="55"/>
      <c r="Q441" s="55"/>
      <c r="R441" s="55"/>
      <c r="S441" s="55"/>
      <c r="T441" s="55"/>
      <c r="U441" s="55"/>
    </row>
    <row r="442" spans="1:21" ht="18.75" hidden="1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54"/>
      <c r="K442" s="55"/>
      <c r="L442" s="62"/>
      <c r="M442" s="55"/>
      <c r="N442" s="55"/>
      <c r="O442" s="55"/>
      <c r="P442" s="55"/>
      <c r="Q442" s="55"/>
      <c r="R442" s="55"/>
      <c r="S442" s="55"/>
      <c r="T442" s="55"/>
      <c r="U442" s="55"/>
    </row>
    <row r="443" spans="1:21" ht="18.75" hidden="1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54"/>
      <c r="K443" s="55"/>
      <c r="L443" s="62"/>
      <c r="M443" s="55"/>
      <c r="N443" s="55"/>
      <c r="O443" s="55"/>
      <c r="P443" s="55"/>
      <c r="Q443" s="55"/>
      <c r="R443" s="55"/>
      <c r="S443" s="55"/>
      <c r="T443" s="55"/>
      <c r="U443" s="55"/>
    </row>
    <row r="444" spans="1:21" ht="18.75" hidden="1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54"/>
      <c r="K444" s="55"/>
      <c r="L444" s="62"/>
      <c r="M444" s="55"/>
      <c r="N444" s="55"/>
      <c r="O444" s="55"/>
      <c r="P444" s="55"/>
      <c r="Q444" s="55"/>
      <c r="R444" s="55"/>
      <c r="S444" s="55"/>
      <c r="T444" s="55"/>
      <c r="U444" s="55"/>
    </row>
    <row r="445" spans="1:21" ht="18.75" hidden="1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54"/>
      <c r="K445" s="55"/>
      <c r="L445" s="62"/>
      <c r="M445" s="55"/>
      <c r="N445" s="55"/>
      <c r="O445" s="55"/>
      <c r="P445" s="55"/>
      <c r="Q445" s="55"/>
      <c r="R445" s="55"/>
      <c r="S445" s="55"/>
      <c r="T445" s="55"/>
      <c r="U445" s="55"/>
    </row>
    <row r="446" spans="1:21" ht="19.5" hidden="1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373">
        <f>J448+J450</f>
        <v>0</v>
      </c>
      <c r="K446" s="55"/>
      <c r="L446" s="62"/>
      <c r="M446" s="55"/>
      <c r="N446" s="55"/>
      <c r="O446" s="55"/>
      <c r="P446" s="55"/>
      <c r="Q446" s="55"/>
      <c r="R446" s="55"/>
      <c r="S446" s="55"/>
      <c r="T446" s="55"/>
      <c r="U446" s="55"/>
    </row>
    <row r="447" spans="1:21" ht="19.5" hidden="1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373">
        <f>J449+J451</f>
        <v>0</v>
      </c>
      <c r="K447" s="55"/>
      <c r="L447" s="62"/>
      <c r="M447" s="55"/>
      <c r="N447" s="55"/>
      <c r="O447" s="55"/>
      <c r="P447" s="55"/>
      <c r="Q447" s="55"/>
      <c r="R447" s="55"/>
      <c r="S447" s="55"/>
      <c r="T447" s="55"/>
      <c r="U447" s="55"/>
    </row>
    <row r="448" spans="1:21" ht="18.75" hidden="1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54"/>
      <c r="K448" s="55"/>
      <c r="L448" s="62"/>
      <c r="M448" s="55"/>
      <c r="N448" s="55"/>
      <c r="O448" s="55"/>
      <c r="P448" s="55"/>
      <c r="Q448" s="55"/>
      <c r="R448" s="55"/>
      <c r="S448" s="55"/>
      <c r="T448" s="55"/>
      <c r="U448" s="55"/>
    </row>
    <row r="449" spans="1:21" ht="18.75" hidden="1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54"/>
      <c r="K449" s="55"/>
      <c r="L449" s="62"/>
      <c r="M449" s="55"/>
      <c r="N449" s="55"/>
      <c r="O449" s="55"/>
      <c r="P449" s="55"/>
      <c r="Q449" s="55"/>
      <c r="R449" s="55"/>
      <c r="S449" s="55"/>
      <c r="T449" s="55"/>
      <c r="U449" s="55"/>
    </row>
    <row r="450" spans="1:21" ht="18.75" hidden="1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54"/>
      <c r="K450" s="55"/>
      <c r="L450" s="62"/>
      <c r="M450" s="55"/>
      <c r="N450" s="55"/>
      <c r="O450" s="55"/>
      <c r="P450" s="55"/>
      <c r="Q450" s="55"/>
      <c r="R450" s="55"/>
      <c r="S450" s="55"/>
      <c r="T450" s="55"/>
      <c r="U450" s="55"/>
    </row>
    <row r="451" spans="1:21" ht="18.75" hidden="1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54"/>
      <c r="K451" s="55"/>
      <c r="L451" s="62"/>
      <c r="M451" s="55"/>
      <c r="N451" s="55"/>
      <c r="O451" s="55"/>
      <c r="P451" s="55"/>
      <c r="Q451" s="55"/>
      <c r="R451" s="55"/>
      <c r="S451" s="55"/>
      <c r="T451" s="55"/>
      <c r="U451" s="55"/>
    </row>
    <row r="452" spans="1:21" ht="18.75" hidden="1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54"/>
      <c r="K452" s="55"/>
      <c r="L452" s="62"/>
      <c r="M452" s="55"/>
      <c r="N452" s="55"/>
      <c r="O452" s="55"/>
      <c r="P452" s="55"/>
      <c r="Q452" s="55"/>
      <c r="R452" s="55"/>
      <c r="S452" s="55"/>
      <c r="T452" s="55"/>
      <c r="U452" s="55"/>
    </row>
    <row r="453" spans="1:21" ht="18.75" hidden="1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54"/>
      <c r="K453" s="55"/>
      <c r="L453" s="62"/>
      <c r="M453" s="55"/>
      <c r="N453" s="55"/>
      <c r="O453" s="55"/>
      <c r="P453" s="55"/>
      <c r="Q453" s="55"/>
      <c r="R453" s="55"/>
      <c r="S453" s="55"/>
      <c r="T453" s="55"/>
      <c r="U453" s="55"/>
    </row>
    <row r="454" spans="1:21" ht="18.75" hidden="1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606"/>
      <c r="K454" s="55"/>
      <c r="L454" s="62"/>
      <c r="M454" s="55"/>
      <c r="N454" s="55"/>
      <c r="O454" s="55"/>
      <c r="P454" s="55"/>
      <c r="Q454" s="55"/>
      <c r="R454" s="55"/>
      <c r="S454" s="55"/>
      <c r="T454" s="55"/>
      <c r="U454" s="55"/>
    </row>
    <row r="455" spans="1:21" ht="18.75" hidden="1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54"/>
      <c r="K455" s="55"/>
      <c r="L455" s="62"/>
      <c r="M455" s="55"/>
      <c r="N455" s="55"/>
      <c r="O455" s="55"/>
      <c r="P455" s="55"/>
      <c r="Q455" s="55"/>
      <c r="R455" s="55"/>
      <c r="S455" s="55"/>
      <c r="T455" s="55"/>
      <c r="U455" s="55"/>
    </row>
    <row r="456" spans="1:21" ht="19.5" hidden="1">
      <c r="A456" s="238"/>
      <c r="B456" s="191" t="s">
        <v>178</v>
      </c>
      <c r="C456" s="188"/>
      <c r="D456" s="188"/>
      <c r="E456" s="188"/>
      <c r="F456" s="188"/>
      <c r="G456" s="208"/>
      <c r="H456" s="368" t="s">
        <v>46</v>
      </c>
      <c r="I456" s="373">
        <f ca="1">I457</f>
        <v>0</v>
      </c>
      <c r="J456" s="373">
        <f>J457</f>
        <v>0</v>
      </c>
      <c r="K456" s="540">
        <f ca="1">IF(I456&gt;0,J456*100/I456,0)</f>
        <v>0</v>
      </c>
      <c r="L456" s="62"/>
      <c r="M456" s="55"/>
      <c r="N456" s="55"/>
      <c r="O456" s="55"/>
      <c r="P456" s="55"/>
      <c r="Q456" s="55"/>
      <c r="R456" s="55"/>
      <c r="S456" s="55"/>
      <c r="T456" s="55"/>
      <c r="U456" s="55"/>
    </row>
    <row r="457" spans="1:21" ht="19.5" hidden="1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373">
        <f ca="1">IFERROR(__xludf.DUMMYFUNCTION("IMPORTRANGE(""https://docs.google.com/spreadsheets/d/1eHaY18a8A9IcSdp1K8H6x8fbOy06t2VsZHhMHf-1x7Y/edit?usp=sharing"",""แผน!HL33"")"),0)</f>
        <v>0</v>
      </c>
      <c r="J457" s="373">
        <f>J459+J467+J473</f>
        <v>0</v>
      </c>
      <c r="K457" s="540">
        <f ca="1">IF(I457&gt;0,J457*100/I457,0)</f>
        <v>0</v>
      </c>
      <c r="L457" s="62"/>
      <c r="M457" s="55"/>
      <c r="N457" s="55"/>
      <c r="O457" s="55"/>
      <c r="P457" s="55"/>
      <c r="Q457" s="55"/>
      <c r="R457" s="55"/>
      <c r="S457" s="55"/>
      <c r="T457" s="55"/>
      <c r="U457" s="55"/>
    </row>
    <row r="458" spans="1:21" ht="19.5" hidden="1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373">
        <f ca="1">IFERROR(__xludf.DUMMYFUNCTION("IMPORTRANGE(""https://docs.google.com/spreadsheets/d/1eHaY18a8A9IcSdp1K8H6x8fbOy06t2VsZHhMHf-1x7Y/edit?usp=sharing"",""แผน!HM33"")"),0)</f>
        <v>0</v>
      </c>
      <c r="J458" s="373">
        <f>J460+J468+J474</f>
        <v>0</v>
      </c>
      <c r="K458" s="540">
        <f ca="1">IF(I458&gt;0,J458*100/I458,0)</f>
        <v>0</v>
      </c>
      <c r="L458" s="62"/>
      <c r="M458" s="55"/>
      <c r="N458" s="55"/>
      <c r="O458" s="55"/>
      <c r="P458" s="55"/>
      <c r="Q458" s="55"/>
      <c r="R458" s="55"/>
      <c r="S458" s="55"/>
      <c r="T458" s="55"/>
      <c r="U458" s="55"/>
    </row>
    <row r="459" spans="1:21" ht="18.75" hidden="1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212">
        <f>J461+J463</f>
        <v>0</v>
      </c>
      <c r="K459" s="55"/>
      <c r="L459" s="62"/>
      <c r="M459" s="55"/>
      <c r="N459" s="55"/>
      <c r="O459" s="55"/>
      <c r="P459" s="55"/>
      <c r="Q459" s="55"/>
      <c r="R459" s="55"/>
      <c r="S459" s="55"/>
      <c r="T459" s="55"/>
      <c r="U459" s="55"/>
    </row>
    <row r="460" spans="1:21" ht="18.75" hidden="1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212">
        <f>J462+J464</f>
        <v>0</v>
      </c>
      <c r="K460" s="55"/>
      <c r="L460" s="62"/>
      <c r="M460" s="55"/>
      <c r="N460" s="55"/>
      <c r="O460" s="55"/>
      <c r="P460" s="55"/>
      <c r="Q460" s="55"/>
      <c r="R460" s="55"/>
      <c r="S460" s="55"/>
      <c r="T460" s="55"/>
      <c r="U460" s="55"/>
    </row>
    <row r="461" spans="1:21" ht="18.75" hidden="1">
      <c r="A461" s="238"/>
      <c r="B461" s="188"/>
      <c r="C461" s="188"/>
      <c r="D461" s="371" t="s">
        <v>181</v>
      </c>
      <c r="E461" s="188"/>
      <c r="F461" s="188"/>
      <c r="G461" s="208"/>
      <c r="H461" s="161" t="s">
        <v>46</v>
      </c>
      <c r="I461" s="54"/>
      <c r="J461" s="54"/>
      <c r="K461" s="55"/>
      <c r="L461" s="62"/>
      <c r="M461" s="55"/>
      <c r="N461" s="55"/>
      <c r="O461" s="55"/>
      <c r="P461" s="55"/>
      <c r="Q461" s="55"/>
      <c r="R461" s="55"/>
      <c r="S461" s="55"/>
      <c r="T461" s="55"/>
      <c r="U461" s="55"/>
    </row>
    <row r="462" spans="1:21" ht="18.75" hidden="1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54"/>
      <c r="K462" s="55"/>
      <c r="L462" s="62"/>
      <c r="M462" s="55"/>
      <c r="N462" s="55"/>
      <c r="O462" s="55"/>
      <c r="P462" s="55"/>
      <c r="Q462" s="55"/>
      <c r="R462" s="55"/>
      <c r="S462" s="55"/>
      <c r="T462" s="55"/>
      <c r="U462" s="55"/>
    </row>
    <row r="463" spans="1:21" ht="18.75" hidden="1">
      <c r="A463" s="238"/>
      <c r="B463" s="188"/>
      <c r="C463" s="188"/>
      <c r="D463" s="371" t="s">
        <v>182</v>
      </c>
      <c r="E463" s="188"/>
      <c r="F463" s="188"/>
      <c r="G463" s="208"/>
      <c r="H463" s="161" t="s">
        <v>46</v>
      </c>
      <c r="I463" s="54"/>
      <c r="J463" s="54"/>
      <c r="K463" s="55"/>
      <c r="L463" s="62"/>
      <c r="M463" s="55"/>
      <c r="N463" s="55"/>
      <c r="O463" s="55"/>
      <c r="P463" s="55"/>
      <c r="Q463" s="55"/>
      <c r="R463" s="55"/>
      <c r="S463" s="55"/>
      <c r="T463" s="55"/>
      <c r="U463" s="55"/>
    </row>
    <row r="464" spans="1:21" ht="18.75" hidden="1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54"/>
      <c r="K464" s="55"/>
      <c r="L464" s="62"/>
      <c r="M464" s="55"/>
      <c r="N464" s="55"/>
      <c r="O464" s="55"/>
      <c r="P464" s="55"/>
      <c r="Q464" s="55"/>
      <c r="R464" s="55"/>
      <c r="S464" s="55"/>
      <c r="T464" s="55"/>
      <c r="U464" s="55"/>
    </row>
    <row r="465" spans="1:21" ht="18.75" hidden="1">
      <c r="A465" s="238"/>
      <c r="B465" s="188"/>
      <c r="C465" s="188"/>
      <c r="D465" s="371" t="s">
        <v>183</v>
      </c>
      <c r="E465" s="188"/>
      <c r="F465" s="188"/>
      <c r="G465" s="208"/>
      <c r="H465" s="161" t="s">
        <v>46</v>
      </c>
      <c r="I465" s="54"/>
      <c r="J465" s="54"/>
      <c r="K465" s="55"/>
      <c r="L465" s="62"/>
      <c r="M465" s="55"/>
      <c r="N465" s="55"/>
      <c r="O465" s="55"/>
      <c r="P465" s="55"/>
      <c r="Q465" s="55"/>
      <c r="R465" s="55"/>
      <c r="S465" s="55"/>
      <c r="T465" s="55"/>
      <c r="U465" s="55"/>
    </row>
    <row r="466" spans="1:21" ht="18.75" hidden="1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54"/>
      <c r="K466" s="55"/>
      <c r="L466" s="62"/>
      <c r="M466" s="55"/>
      <c r="N466" s="55"/>
      <c r="O466" s="55"/>
      <c r="P466" s="55"/>
      <c r="Q466" s="55"/>
      <c r="R466" s="55"/>
      <c r="S466" s="55"/>
      <c r="T466" s="55"/>
      <c r="U466" s="55"/>
    </row>
    <row r="467" spans="1:21" ht="18.75" hidden="1">
      <c r="A467" s="238"/>
      <c r="B467" s="188"/>
      <c r="C467" s="371" t="s">
        <v>184</v>
      </c>
      <c r="D467" s="188"/>
      <c r="E467" s="188"/>
      <c r="F467" s="188"/>
      <c r="G467" s="208"/>
      <c r="H467" s="161" t="s">
        <v>46</v>
      </c>
      <c r="I467" s="54"/>
      <c r="J467" s="212">
        <f>J469+J471</f>
        <v>0</v>
      </c>
      <c r="K467" s="55"/>
      <c r="L467" s="62"/>
      <c r="M467" s="55"/>
      <c r="N467" s="55"/>
      <c r="O467" s="55"/>
      <c r="P467" s="55"/>
      <c r="Q467" s="55"/>
      <c r="R467" s="55"/>
      <c r="S467" s="55"/>
      <c r="T467" s="55"/>
      <c r="U467" s="55"/>
    </row>
    <row r="468" spans="1:21" ht="18.75" hidden="1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212">
        <f>J470+J472</f>
        <v>0</v>
      </c>
      <c r="K468" s="55"/>
      <c r="L468" s="62"/>
      <c r="M468" s="55"/>
      <c r="N468" s="55"/>
      <c r="O468" s="55"/>
      <c r="P468" s="55"/>
      <c r="Q468" s="55"/>
      <c r="R468" s="55"/>
      <c r="S468" s="55"/>
      <c r="T468" s="55"/>
      <c r="U468" s="55"/>
    </row>
    <row r="469" spans="1:21" ht="18.75" hidden="1">
      <c r="A469" s="238"/>
      <c r="B469" s="188"/>
      <c r="C469" s="188"/>
      <c r="D469" s="371" t="s">
        <v>185</v>
      </c>
      <c r="E469" s="188"/>
      <c r="F469" s="188"/>
      <c r="G469" s="208"/>
      <c r="H469" s="161" t="s">
        <v>46</v>
      </c>
      <c r="I469" s="54"/>
      <c r="J469" s="54"/>
      <c r="K469" s="55"/>
      <c r="L469" s="62"/>
      <c r="M469" s="55"/>
      <c r="N469" s="55"/>
      <c r="O469" s="55"/>
      <c r="P469" s="55"/>
      <c r="Q469" s="55"/>
      <c r="R469" s="55"/>
      <c r="S469" s="55"/>
      <c r="T469" s="55"/>
      <c r="U469" s="55"/>
    </row>
    <row r="470" spans="1:21" ht="18.75" hidden="1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54"/>
      <c r="K470" s="55"/>
      <c r="L470" s="62"/>
      <c r="M470" s="55"/>
      <c r="N470" s="55"/>
      <c r="O470" s="55"/>
      <c r="P470" s="55"/>
      <c r="Q470" s="55"/>
      <c r="R470" s="55"/>
      <c r="S470" s="55"/>
      <c r="T470" s="55"/>
      <c r="U470" s="55"/>
    </row>
    <row r="471" spans="1:21" ht="18.75" hidden="1">
      <c r="A471" s="238"/>
      <c r="B471" s="188"/>
      <c r="C471" s="188"/>
      <c r="D471" s="371" t="s">
        <v>186</v>
      </c>
      <c r="E471" s="188"/>
      <c r="F471" s="188"/>
      <c r="G471" s="208"/>
      <c r="H471" s="161" t="s">
        <v>46</v>
      </c>
      <c r="I471" s="54"/>
      <c r="J471" s="54"/>
      <c r="K471" s="55"/>
      <c r="L471" s="62"/>
      <c r="M471" s="55"/>
      <c r="N471" s="55"/>
      <c r="O471" s="55"/>
      <c r="P471" s="55"/>
      <c r="Q471" s="55"/>
      <c r="R471" s="55"/>
      <c r="S471" s="55"/>
      <c r="T471" s="55"/>
      <c r="U471" s="55"/>
    </row>
    <row r="472" spans="1:21" ht="18.75" hidden="1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54"/>
      <c r="K472" s="55"/>
      <c r="L472" s="62"/>
      <c r="M472" s="55"/>
      <c r="N472" s="55"/>
      <c r="O472" s="55"/>
      <c r="P472" s="55"/>
      <c r="Q472" s="55"/>
      <c r="R472" s="55"/>
      <c r="S472" s="55"/>
      <c r="T472" s="55"/>
      <c r="U472" s="55"/>
    </row>
    <row r="473" spans="1:21" ht="18.75" hidden="1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54"/>
      <c r="K473" s="55"/>
      <c r="L473" s="62"/>
      <c r="M473" s="55"/>
      <c r="N473" s="55"/>
      <c r="O473" s="55"/>
      <c r="P473" s="55"/>
      <c r="Q473" s="55"/>
      <c r="R473" s="55"/>
      <c r="S473" s="55"/>
      <c r="T473" s="55"/>
      <c r="U473" s="55"/>
    </row>
    <row r="474" spans="1:21" ht="18.75" hidden="1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54"/>
      <c r="K474" s="55"/>
      <c r="L474" s="62"/>
      <c r="M474" s="55"/>
      <c r="N474" s="55"/>
      <c r="O474" s="55"/>
      <c r="P474" s="55"/>
      <c r="Q474" s="55"/>
      <c r="R474" s="55"/>
      <c r="S474" s="55"/>
      <c r="T474" s="55"/>
      <c r="U474" s="55"/>
    </row>
    <row r="475" spans="1:21" ht="19.5" hidden="1">
      <c r="A475" s="238"/>
      <c r="B475" s="372" t="s">
        <v>188</v>
      </c>
      <c r="C475" s="188"/>
      <c r="D475" s="188"/>
      <c r="E475" s="188"/>
      <c r="F475" s="188"/>
      <c r="G475" s="208"/>
      <c r="H475" s="158" t="s">
        <v>46</v>
      </c>
      <c r="I475" s="373">
        <v>0</v>
      </c>
      <c r="J475" s="373">
        <f>J478+J480</f>
        <v>0</v>
      </c>
      <c r="K475" s="540">
        <f>IF(I475&gt;0,J475*100/I475,0)</f>
        <v>0</v>
      </c>
      <c r="L475" s="62"/>
      <c r="M475" s="55"/>
      <c r="N475" s="55"/>
      <c r="O475" s="55"/>
      <c r="P475" s="55"/>
      <c r="Q475" s="55"/>
      <c r="R475" s="55"/>
      <c r="S475" s="55"/>
      <c r="T475" s="55"/>
      <c r="U475" s="55"/>
    </row>
    <row r="476" spans="1:21" ht="19.5" hidden="1">
      <c r="A476" s="238"/>
      <c r="B476" s="188"/>
      <c r="C476" s="191" t="s">
        <v>189</v>
      </c>
      <c r="D476" s="188"/>
      <c r="E476" s="188"/>
      <c r="F476" s="188"/>
      <c r="G476" s="208"/>
      <c r="H476" s="158" t="s">
        <v>46</v>
      </c>
      <c r="I476" s="373">
        <v>0</v>
      </c>
      <c r="J476" s="373">
        <f>J478+J480</f>
        <v>0</v>
      </c>
      <c r="K476" s="540">
        <f>IF(I476&gt;0,J476*100/I476,0)</f>
        <v>0</v>
      </c>
      <c r="L476" s="62"/>
      <c r="M476" s="55"/>
      <c r="N476" s="55"/>
      <c r="O476" s="55"/>
      <c r="P476" s="55"/>
      <c r="Q476" s="55"/>
      <c r="R476" s="55"/>
      <c r="S476" s="55"/>
      <c r="T476" s="55"/>
      <c r="U476" s="55"/>
    </row>
    <row r="477" spans="1:21" ht="19.5" hidden="1">
      <c r="A477" s="238"/>
      <c r="B477" s="188"/>
      <c r="C477" s="239" t="s">
        <v>190</v>
      </c>
      <c r="D477" s="188"/>
      <c r="E477" s="188"/>
      <c r="F477" s="188"/>
      <c r="G477" s="208"/>
      <c r="H477" s="158" t="s">
        <v>34</v>
      </c>
      <c r="I477" s="373">
        <v>0</v>
      </c>
      <c r="J477" s="373">
        <f>J479+J481</f>
        <v>0</v>
      </c>
      <c r="K477" s="540">
        <f>IF(I477&gt;0,J477*100/I477,0)</f>
        <v>0</v>
      </c>
      <c r="L477" s="62"/>
      <c r="M477" s="55"/>
      <c r="N477" s="55"/>
      <c r="O477" s="55"/>
      <c r="P477" s="55"/>
      <c r="Q477" s="55"/>
      <c r="R477" s="55"/>
      <c r="S477" s="55"/>
      <c r="T477" s="55"/>
      <c r="U477" s="55"/>
    </row>
    <row r="478" spans="1:21" ht="18.75" hidden="1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54"/>
      <c r="K478" s="55"/>
      <c r="L478" s="62"/>
      <c r="M478" s="55"/>
      <c r="N478" s="55"/>
      <c r="O478" s="55"/>
      <c r="P478" s="55"/>
      <c r="Q478" s="55"/>
      <c r="R478" s="55"/>
      <c r="S478" s="55"/>
      <c r="T478" s="55"/>
      <c r="U478" s="55"/>
    </row>
    <row r="479" spans="1:21" ht="18.75" hidden="1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54"/>
      <c r="K479" s="55"/>
      <c r="L479" s="62"/>
      <c r="M479" s="55"/>
      <c r="N479" s="55"/>
      <c r="O479" s="55"/>
      <c r="P479" s="55"/>
      <c r="Q479" s="55"/>
      <c r="R479" s="55"/>
      <c r="S479" s="55"/>
      <c r="T479" s="55"/>
      <c r="U479" s="55"/>
    </row>
    <row r="480" spans="1:21" ht="18.75" hidden="1">
      <c r="A480" s="238"/>
      <c r="B480" s="188"/>
      <c r="C480" s="188"/>
      <c r="D480" s="371" t="s">
        <v>192</v>
      </c>
      <c r="E480" s="188"/>
      <c r="F480" s="188"/>
      <c r="G480" s="208"/>
      <c r="H480" s="161" t="s">
        <v>46</v>
      </c>
      <c r="I480" s="54"/>
      <c r="J480" s="54"/>
      <c r="K480" s="55"/>
      <c r="L480" s="62"/>
      <c r="M480" s="55"/>
      <c r="N480" s="55"/>
      <c r="O480" s="55"/>
      <c r="P480" s="55"/>
      <c r="Q480" s="55"/>
      <c r="R480" s="55"/>
      <c r="S480" s="55"/>
      <c r="T480" s="55"/>
      <c r="U480" s="55"/>
    </row>
    <row r="481" spans="1:21" ht="18.75" hidden="1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54"/>
      <c r="K481" s="55"/>
      <c r="L481" s="62"/>
      <c r="M481" s="55"/>
      <c r="N481" s="55"/>
      <c r="O481" s="55"/>
      <c r="P481" s="55"/>
      <c r="Q481" s="55"/>
      <c r="R481" s="55"/>
      <c r="S481" s="55"/>
      <c r="T481" s="55"/>
      <c r="U481" s="55"/>
    </row>
    <row r="482" spans="1:21" ht="18.75" hidden="1">
      <c r="A482" s="238"/>
      <c r="B482" s="188"/>
      <c r="C482" s="188"/>
      <c r="D482" s="371" t="s">
        <v>193</v>
      </c>
      <c r="E482" s="188"/>
      <c r="F482" s="188"/>
      <c r="G482" s="208"/>
      <c r="H482" s="161" t="s">
        <v>46</v>
      </c>
      <c r="I482" s="54"/>
      <c r="J482" s="212">
        <f ca="1">IFERROR(__xludf.DUMMYFUNCTION("IMPORTRANGE(""https://docs.google.com/spreadsheets/d/1eHaY18a8A9IcSdp1K8H6x8fbOy06t2VsZHhMHf-1x7Y/edit?usp=sharing"",""แผน!HN33"")"),0)</f>
        <v>0</v>
      </c>
      <c r="K482" s="55"/>
      <c r="L482" s="62"/>
      <c r="M482" s="55"/>
      <c r="N482" s="55"/>
      <c r="O482" s="55"/>
      <c r="P482" s="55"/>
      <c r="Q482" s="55"/>
      <c r="R482" s="55"/>
      <c r="S482" s="55"/>
      <c r="T482" s="55"/>
      <c r="U482" s="55"/>
    </row>
    <row r="483" spans="1:21" ht="18.75" hidden="1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212">
        <f ca="1">IFERROR(__xludf.DUMMYFUNCTION("IMPORTRANGE(""https://docs.google.com/spreadsheets/d/1eHaY18a8A9IcSdp1K8H6x8fbOy06t2VsZHhMHf-1x7Y/edit?usp=sharing"",""แผน!HO33"")"),0)</f>
        <v>0</v>
      </c>
      <c r="K483" s="55"/>
      <c r="L483" s="62"/>
      <c r="M483" s="55"/>
      <c r="N483" s="55"/>
      <c r="O483" s="55"/>
      <c r="P483" s="55"/>
      <c r="Q483" s="55"/>
      <c r="R483" s="55"/>
      <c r="S483" s="55"/>
      <c r="T483" s="55"/>
      <c r="U483" s="55"/>
    </row>
    <row r="484" spans="1:21" ht="19.5" hidden="1">
      <c r="A484" s="238"/>
      <c r="B484" s="188"/>
      <c r="C484" s="191" t="s">
        <v>194</v>
      </c>
      <c r="D484" s="188"/>
      <c r="E484" s="188"/>
      <c r="F484" s="188"/>
      <c r="G484" s="208"/>
      <c r="H484" s="158" t="s">
        <v>46</v>
      </c>
      <c r="I484" s="54">
        <f>J480</f>
        <v>0</v>
      </c>
      <c r="J484" s="373">
        <f>J486+J488+J490</f>
        <v>0</v>
      </c>
      <c r="K484" s="540">
        <f>IF(I484&gt;0,J484*100/I484,0)</f>
        <v>0</v>
      </c>
      <c r="L484" s="62"/>
      <c r="M484" s="55"/>
      <c r="N484" s="55"/>
      <c r="O484" s="55"/>
      <c r="P484" s="55"/>
      <c r="Q484" s="55"/>
      <c r="R484" s="55"/>
      <c r="S484" s="55"/>
      <c r="T484" s="55"/>
      <c r="U484" s="55"/>
    </row>
    <row r="485" spans="1:21" ht="19.5" hidden="1">
      <c r="A485" s="238"/>
      <c r="B485" s="188"/>
      <c r="C485" s="239" t="s">
        <v>195</v>
      </c>
      <c r="D485" s="188"/>
      <c r="E485" s="188"/>
      <c r="F485" s="188"/>
      <c r="G485" s="208"/>
      <c r="H485" s="158" t="s">
        <v>34</v>
      </c>
      <c r="I485" s="54">
        <f>J481</f>
        <v>0</v>
      </c>
      <c r="J485" s="373">
        <f>J487+J489+J491</f>
        <v>0</v>
      </c>
      <c r="K485" s="540">
        <f>IF(I485&gt;0,J485*100/I485,0)</f>
        <v>0</v>
      </c>
      <c r="L485" s="62"/>
      <c r="M485" s="55"/>
      <c r="N485" s="55"/>
      <c r="O485" s="55"/>
      <c r="P485" s="55"/>
      <c r="Q485" s="55"/>
      <c r="R485" s="55"/>
      <c r="S485" s="55"/>
      <c r="T485" s="55"/>
      <c r="U485" s="55"/>
    </row>
    <row r="486" spans="1:21" ht="18.75" hidden="1">
      <c r="A486" s="238"/>
      <c r="B486" s="188"/>
      <c r="C486" s="188"/>
      <c r="D486" s="371" t="s">
        <v>196</v>
      </c>
      <c r="E486" s="188"/>
      <c r="F486" s="188"/>
      <c r="G486" s="208"/>
      <c r="H486" s="161" t="s">
        <v>46</v>
      </c>
      <c r="I486" s="54"/>
      <c r="J486" s="54"/>
      <c r="K486" s="55"/>
      <c r="L486" s="62"/>
      <c r="M486" s="55"/>
      <c r="N486" s="55"/>
      <c r="O486" s="55"/>
      <c r="P486" s="55"/>
      <c r="Q486" s="55"/>
      <c r="R486" s="55"/>
      <c r="S486" s="55"/>
      <c r="T486" s="55"/>
      <c r="U486" s="55"/>
    </row>
    <row r="487" spans="1:21" ht="18.75" hidden="1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54"/>
      <c r="K487" s="55"/>
      <c r="L487" s="62"/>
      <c r="M487" s="55"/>
      <c r="N487" s="55"/>
      <c r="O487" s="55"/>
      <c r="P487" s="55"/>
      <c r="Q487" s="55"/>
      <c r="R487" s="55"/>
      <c r="S487" s="55"/>
      <c r="T487" s="55"/>
      <c r="U487" s="55"/>
    </row>
    <row r="488" spans="1:21" ht="18.75" hidden="1">
      <c r="A488" s="238"/>
      <c r="B488" s="188"/>
      <c r="C488" s="188"/>
      <c r="D488" s="371" t="s">
        <v>197</v>
      </c>
      <c r="E488" s="188"/>
      <c r="F488" s="188"/>
      <c r="G488" s="208"/>
      <c r="H488" s="161" t="s">
        <v>46</v>
      </c>
      <c r="I488" s="54"/>
      <c r="J488" s="54"/>
      <c r="K488" s="55"/>
      <c r="L488" s="62"/>
      <c r="M488" s="55"/>
      <c r="N488" s="55"/>
      <c r="O488" s="55"/>
      <c r="P488" s="55"/>
      <c r="Q488" s="55"/>
      <c r="R488" s="55"/>
      <c r="S488" s="55"/>
      <c r="T488" s="55"/>
      <c r="U488" s="55"/>
    </row>
    <row r="489" spans="1:21" ht="18.75" hidden="1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54"/>
      <c r="K489" s="55"/>
      <c r="L489" s="62"/>
      <c r="M489" s="55"/>
      <c r="N489" s="55"/>
      <c r="O489" s="55"/>
      <c r="P489" s="55"/>
      <c r="Q489" s="55"/>
      <c r="R489" s="55"/>
      <c r="S489" s="55"/>
      <c r="T489" s="55"/>
      <c r="U489" s="55"/>
    </row>
    <row r="490" spans="1:21" ht="18.75" hidden="1">
      <c r="A490" s="238"/>
      <c r="B490" s="188"/>
      <c r="C490" s="188"/>
      <c r="D490" s="371" t="s">
        <v>198</v>
      </c>
      <c r="E490" s="188"/>
      <c r="F490" s="188"/>
      <c r="G490" s="208"/>
      <c r="H490" s="161" t="s">
        <v>46</v>
      </c>
      <c r="I490" s="54"/>
      <c r="J490" s="54"/>
      <c r="K490" s="55"/>
      <c r="L490" s="62"/>
      <c r="M490" s="55"/>
      <c r="N490" s="55"/>
      <c r="O490" s="55"/>
      <c r="P490" s="55"/>
      <c r="Q490" s="55"/>
      <c r="R490" s="55"/>
      <c r="S490" s="55"/>
      <c r="T490" s="55"/>
      <c r="U490" s="55"/>
    </row>
    <row r="491" spans="1:21" ht="18.75" hidden="1">
      <c r="A491" s="374"/>
      <c r="B491" s="5"/>
      <c r="C491" s="5"/>
      <c r="D491" s="5"/>
      <c r="E491" s="5"/>
      <c r="F491" s="5"/>
      <c r="G491" s="375"/>
      <c r="H491" s="376" t="s">
        <v>34</v>
      </c>
      <c r="I491" s="67"/>
      <c r="J491" s="67"/>
      <c r="K491" s="6"/>
      <c r="L491" s="68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 hidden="1">
      <c r="A492" s="335"/>
      <c r="B492" s="354" t="s">
        <v>199</v>
      </c>
      <c r="C492" s="337"/>
      <c r="D492" s="337"/>
      <c r="E492" s="328"/>
      <c r="F492" s="328"/>
      <c r="G492" s="329"/>
      <c r="H492" s="366" t="s">
        <v>35</v>
      </c>
      <c r="I492" s="605">
        <f ca="1">I503</f>
        <v>0</v>
      </c>
      <c r="J492" s="605">
        <f ca="1">J503</f>
        <v>0</v>
      </c>
      <c r="K492" s="604">
        <f ca="1">IF(I492&gt;0,J492*100/I492,0)</f>
        <v>0</v>
      </c>
      <c r="L492" s="334"/>
      <c r="M492" s="333"/>
      <c r="N492" s="333"/>
      <c r="O492" s="333"/>
      <c r="P492" s="333"/>
      <c r="Q492" s="333"/>
      <c r="R492" s="333"/>
      <c r="S492" s="333"/>
      <c r="T492" s="333"/>
      <c r="U492" s="333"/>
    </row>
    <row r="493" spans="1:21" ht="19.5" hidden="1">
      <c r="A493" s="155"/>
      <c r="B493" s="188"/>
      <c r="C493" s="768" t="s">
        <v>18</v>
      </c>
      <c r="D493" s="603" t="s">
        <v>19</v>
      </c>
      <c r="E493" s="514"/>
      <c r="F493" s="514"/>
      <c r="G493" s="52"/>
      <c r="H493" s="252" t="s">
        <v>14</v>
      </c>
      <c r="I493" s="54"/>
      <c r="J493" s="54"/>
      <c r="K493" s="55"/>
      <c r="L493" s="541">
        <f>L494+L495</f>
        <v>0</v>
      </c>
      <c r="M493" s="540">
        <f>M494+M495</f>
        <v>0</v>
      </c>
      <c r="N493" s="540">
        <f>N494+N495</f>
        <v>0</v>
      </c>
      <c r="O493" s="540">
        <f>IF(L493&gt;0,N493*100/L493,0)</f>
        <v>0</v>
      </c>
      <c r="P493" s="540">
        <f>IF(M493&gt;0,N493*100/M493,0)</f>
        <v>0</v>
      </c>
      <c r="Q493" s="540">
        <f ca="1">Q494+Q495</f>
        <v>0</v>
      </c>
      <c r="R493" s="540">
        <f ca="1">R494+R495</f>
        <v>0</v>
      </c>
      <c r="S493" s="540">
        <f ca="1">S494+S495</f>
        <v>0</v>
      </c>
      <c r="T493" s="540">
        <f ca="1">IF(Q493&gt;0,S493*100/Q493,0)</f>
        <v>0</v>
      </c>
      <c r="U493" s="540">
        <f ca="1">IF(R493&gt;0,S493*100/R493,0)</f>
        <v>0</v>
      </c>
    </row>
    <row r="494" spans="1:21" ht="18.75" hidden="1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103">
        <f>L497+L500</f>
        <v>0</v>
      </c>
      <c r="M494" s="102">
        <f>M497+M500</f>
        <v>0</v>
      </c>
      <c r="N494" s="102">
        <f>N497+N500</f>
        <v>0</v>
      </c>
      <c r="O494" s="102">
        <f>IF(L494&gt;0,N494*100/L494,0)</f>
        <v>0</v>
      </c>
      <c r="P494" s="102">
        <f>IF(M494&gt;0,N494*100/M494,0)</f>
        <v>0</v>
      </c>
      <c r="Q494" s="102">
        <f>Q497+Q500</f>
        <v>0</v>
      </c>
      <c r="R494" s="102">
        <f>R497+R500</f>
        <v>0</v>
      </c>
      <c r="S494" s="102">
        <f>S497+S500</f>
        <v>0</v>
      </c>
      <c r="T494" s="102">
        <f>IF(Q494&gt;0,S494*100/Q494,0)</f>
        <v>0</v>
      </c>
      <c r="U494" s="102">
        <f>IF(R494&gt;0,S494*100/R494,0)</f>
        <v>0</v>
      </c>
    </row>
    <row r="495" spans="1:21" ht="18.75" hidden="1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256">
        <f>L498+L501</f>
        <v>0</v>
      </c>
      <c r="M495" s="255">
        <f>M498+M501</f>
        <v>0</v>
      </c>
      <c r="N495" s="255">
        <f>N498+N501</f>
        <v>0</v>
      </c>
      <c r="O495" s="255">
        <f>IF(L495&gt;0,N495*100/L495,0)</f>
        <v>0</v>
      </c>
      <c r="P495" s="255">
        <f>IF(M495&gt;0,N495*100/M495,0)</f>
        <v>0</v>
      </c>
      <c r="Q495" s="255">
        <f ca="1">Q498+Q501</f>
        <v>0</v>
      </c>
      <c r="R495" s="255">
        <f ca="1">R498+R501</f>
        <v>0</v>
      </c>
      <c r="S495" s="255">
        <f ca="1">S498+S501</f>
        <v>0</v>
      </c>
      <c r="T495" s="255">
        <f ca="1">IF(Q495&gt;0,S495*100/Q495,0)</f>
        <v>0</v>
      </c>
      <c r="U495" s="255">
        <f ca="1">IF(R495&gt;0,S495*100/R495,0)</f>
        <v>0</v>
      </c>
    </row>
    <row r="496" spans="1:21" ht="18.75" hidden="1">
      <c r="A496" s="155"/>
      <c r="B496" s="188"/>
      <c r="C496" s="188"/>
      <c r="D496" s="602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256">
        <f>L497+L498</f>
        <v>0</v>
      </c>
      <c r="M496" s="255">
        <f>M497+M498</f>
        <v>0</v>
      </c>
      <c r="N496" s="255">
        <f>N497+N498</f>
        <v>0</v>
      </c>
      <c r="O496" s="255">
        <f>IF(L496&gt;0,N496*100/L496,0)</f>
        <v>0</v>
      </c>
      <c r="P496" s="255">
        <f>IF(M496&gt;0,N496*100/M496,0)</f>
        <v>0</v>
      </c>
      <c r="Q496" s="255">
        <f ca="1">Q497+Q498</f>
        <v>0</v>
      </c>
      <c r="R496" s="255">
        <f ca="1">R497+R498</f>
        <v>0</v>
      </c>
      <c r="S496" s="255">
        <f ca="1">S497+S498</f>
        <v>0</v>
      </c>
      <c r="T496" s="255">
        <f ca="1">IF(Q496&gt;0,S496*100/Q496,0)</f>
        <v>0</v>
      </c>
      <c r="U496" s="255">
        <f ca="1">IF(R496&gt;0,S496*100/R496,0)</f>
        <v>0</v>
      </c>
    </row>
    <row r="497" spans="1:21" ht="18.75" hidden="1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103">
        <v>0</v>
      </c>
      <c r="M497" s="102">
        <v>0</v>
      </c>
      <c r="N497" s="102">
        <v>0</v>
      </c>
      <c r="O497" s="102">
        <f>IF(L497&gt;0,N497*100/L497,0)</f>
        <v>0</v>
      </c>
      <c r="P497" s="102">
        <f>IF(M497&gt;0,N497*100/M497,0)</f>
        <v>0</v>
      </c>
      <c r="Q497" s="102">
        <v>0</v>
      </c>
      <c r="R497" s="102">
        <v>0</v>
      </c>
      <c r="S497" s="102">
        <v>0</v>
      </c>
      <c r="T497" s="102">
        <f>IF(Q497&gt;0,S497*100/Q497,0)</f>
        <v>0</v>
      </c>
      <c r="U497" s="102">
        <f>IF(R497&gt;0,S497*100/R497,0)</f>
        <v>0</v>
      </c>
    </row>
    <row r="498" spans="1:21" ht="18.75" hidden="1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256">
        <v>0</v>
      </c>
      <c r="M498" s="255">
        <v>0</v>
      </c>
      <c r="N498" s="255">
        <v>0</v>
      </c>
      <c r="O498" s="255">
        <f>IF(L498&gt;0,N498*100/L498,0)</f>
        <v>0</v>
      </c>
      <c r="P498" s="255">
        <f>IF(M498&gt;0,N498*100/M498,0)</f>
        <v>0</v>
      </c>
      <c r="Q498" s="255">
        <f ca="1">IFERROR(__xludf.DUMMYFUNCTION("IMPORTRANGE(""https://docs.google.com/spreadsheets/d/1ItG2mGa2ceCfYo0BwxsXqNm01IGEUdYcSSLTEv9YCik/edit?usp=sharing"",""เบิกจ่ายกองทุน!X33"")"),0)</f>
        <v>0</v>
      </c>
      <c r="R498" s="255">
        <f ca="1">IFERROR(__xludf.DUMMYFUNCTION("IMPORTRANGE(""https://docs.google.com/spreadsheets/d/1ItG2mGa2ceCfYo0BwxsXqNm01IGEUdYcSSLTEv9YCik/edit?usp=sharing"",""เบิกจ่ายกองทุน!Y33"")"),0)</f>
        <v>0</v>
      </c>
      <c r="S498" s="255">
        <f ca="1">IFERROR(__xludf.DUMMYFUNCTION("IMPORTRANGE(""https://docs.google.com/spreadsheets/d/1ItG2mGa2ceCfYo0BwxsXqNm01IGEUdYcSSLTEv9YCik/edit?usp=sharing"",""เบิกจ่ายกองทุน!Z33"")"),0)</f>
        <v>0</v>
      </c>
      <c r="T498" s="255">
        <f ca="1">IF(Q498&gt;0,S498*100/Q498,0)</f>
        <v>0</v>
      </c>
      <c r="U498" s="255">
        <f ca="1">IF(R498&gt;0,S498*100/R498,0)</f>
        <v>0</v>
      </c>
    </row>
    <row r="499" spans="1:21" ht="18.75" hidden="1">
      <c r="A499" s="155"/>
      <c r="B499" s="188"/>
      <c r="C499" s="188"/>
      <c r="D499" s="602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256">
        <f>L500+L501</f>
        <v>0</v>
      </c>
      <c r="M499" s="255">
        <f>M500+M501</f>
        <v>0</v>
      </c>
      <c r="N499" s="255">
        <f>N500+N501</f>
        <v>0</v>
      </c>
      <c r="O499" s="255">
        <f>IF(L499&gt;0,N499*100/L499,0)</f>
        <v>0</v>
      </c>
      <c r="P499" s="255">
        <f>IF(M499&gt;0,N499*100/M499,0)</f>
        <v>0</v>
      </c>
      <c r="Q499" s="255">
        <f>Q500+Q501</f>
        <v>0</v>
      </c>
      <c r="R499" s="255">
        <f>R500+R501</f>
        <v>0</v>
      </c>
      <c r="S499" s="255">
        <f>S500+S501</f>
        <v>0</v>
      </c>
      <c r="T499" s="255">
        <f>IF(Q499&gt;0,S499*100/Q499,0)</f>
        <v>0</v>
      </c>
      <c r="U499" s="255">
        <f>IF(R499&gt;0,S499*100/R499,0)</f>
        <v>0</v>
      </c>
    </row>
    <row r="500" spans="1:21" ht="18.75" hidden="1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103">
        <v>0</v>
      </c>
      <c r="M500" s="102">
        <v>0</v>
      </c>
      <c r="N500" s="102">
        <v>0</v>
      </c>
      <c r="O500" s="102">
        <f>IF(L500&gt;0,N500*100/L500,0)</f>
        <v>0</v>
      </c>
      <c r="P500" s="102">
        <f>IF(M500&gt;0,N500*100/M500,0)</f>
        <v>0</v>
      </c>
      <c r="Q500" s="102">
        <v>0</v>
      </c>
      <c r="R500" s="102">
        <v>0</v>
      </c>
      <c r="S500" s="102">
        <v>0</v>
      </c>
      <c r="T500" s="102">
        <f>IF(Q500&gt;0,S500*100/Q500,0)</f>
        <v>0</v>
      </c>
      <c r="U500" s="102">
        <f>IF(R500&gt;0,S500*100/R500,0)</f>
        <v>0</v>
      </c>
    </row>
    <row r="501" spans="1:21" ht="18.75" hidden="1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256">
        <v>0</v>
      </c>
      <c r="M501" s="255">
        <v>0</v>
      </c>
      <c r="N501" s="255">
        <v>0</v>
      </c>
      <c r="O501" s="255">
        <f>IF(L501&gt;0,N501*100/L501,0)</f>
        <v>0</v>
      </c>
      <c r="P501" s="255">
        <f>IF(M501&gt;0,N501*100/M501,0)</f>
        <v>0</v>
      </c>
      <c r="Q501" s="255">
        <v>0</v>
      </c>
      <c r="R501" s="255">
        <v>0</v>
      </c>
      <c r="S501" s="255">
        <v>0</v>
      </c>
      <c r="T501" s="255">
        <f>IF(Q501&gt;0,S501*100/Q501,0)</f>
        <v>0</v>
      </c>
      <c r="U501" s="255">
        <f>IF(R501&gt;0,S501*100/R501,0)</f>
        <v>0</v>
      </c>
    </row>
    <row r="502" spans="1:21" ht="19.5" hidden="1">
      <c r="A502" s="166"/>
      <c r="B502" s="167"/>
      <c r="C502" s="768" t="s">
        <v>18</v>
      </c>
      <c r="D502" s="560" t="s">
        <v>38</v>
      </c>
      <c r="E502" s="169"/>
      <c r="F502" s="169"/>
      <c r="G502" s="170"/>
      <c r="H502" s="206"/>
      <c r="I502" s="163"/>
      <c r="J502" s="163"/>
      <c r="K502" s="164"/>
      <c r="L502" s="172"/>
      <c r="M502" s="164"/>
      <c r="N502" s="164"/>
      <c r="O502" s="164"/>
      <c r="P502" s="164"/>
      <c r="Q502" s="164"/>
      <c r="R502" s="164"/>
      <c r="S502" s="164"/>
      <c r="T502" s="164"/>
      <c r="U502" s="164"/>
    </row>
    <row r="503" spans="1:21" ht="19.5" hidden="1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373">
        <f ca="1">IFERROR(__xludf.DUMMYFUNCTION("IMPORTRANGE(""https://docs.google.com/spreadsheets/d/1eHaY18a8A9IcSdp1K8H6x8fbOy06t2VsZHhMHf-1x7Y/edit?usp=sharing"",""แผน!GX33"")"),0)</f>
        <v>0</v>
      </c>
      <c r="J503" s="373">
        <f ca="1">IF(AND(J504=I504,J505=I505,J506=I506,J507=I507),I503,0)</f>
        <v>0</v>
      </c>
      <c r="K503" s="540">
        <f ca="1">IF(I503&gt;0,J503*100/I503,0)</f>
        <v>0</v>
      </c>
      <c r="L503" s="62"/>
      <c r="M503" s="55"/>
      <c r="N503" s="55"/>
      <c r="O503" s="55"/>
      <c r="P503" s="55"/>
      <c r="Q503" s="55"/>
      <c r="R503" s="55"/>
      <c r="S503" s="55"/>
      <c r="T503" s="55"/>
      <c r="U503" s="55"/>
    </row>
    <row r="504" spans="1:21" ht="18.75" hidden="1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212">
        <f ca="1">IFERROR(__xludf.DUMMYFUNCTION("IMPORTRANGE(""https://docs.google.com/spreadsheets/d/1eHaY18a8A9IcSdp1K8H6x8fbOy06t2VsZHhMHf-1x7Y/edit?usp=sharing"",""แผน!GY33"")"),0)</f>
        <v>0</v>
      </c>
      <c r="J504" s="467">
        <v>0</v>
      </c>
      <c r="K504" s="255">
        <f ca="1">IF(I504&gt;0,J504*100/I504,0)</f>
        <v>0</v>
      </c>
      <c r="L504" s="62"/>
      <c r="M504" s="55"/>
      <c r="N504" s="55"/>
      <c r="O504" s="55"/>
      <c r="P504" s="55"/>
      <c r="Q504" s="55"/>
      <c r="R504" s="55"/>
      <c r="S504" s="55"/>
      <c r="T504" s="55"/>
      <c r="U504" s="55"/>
    </row>
    <row r="505" spans="1:21" ht="18.75" hidden="1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212">
        <f ca="1">IFERROR(__xludf.DUMMYFUNCTION("IMPORTRANGE(""https://docs.google.com/spreadsheets/d/1eHaY18a8A9IcSdp1K8H6x8fbOy06t2VsZHhMHf-1x7Y/edit?usp=sharing"",""แผน!GZ33"")"),0)</f>
        <v>0</v>
      </c>
      <c r="J505" s="467">
        <v>0</v>
      </c>
      <c r="K505" s="255">
        <f ca="1">IF(I505&gt;0,J505*100/I505,0)</f>
        <v>0</v>
      </c>
      <c r="L505" s="62"/>
      <c r="M505" s="55"/>
      <c r="N505" s="55"/>
      <c r="O505" s="55"/>
      <c r="P505" s="55"/>
      <c r="Q505" s="55"/>
      <c r="R505" s="55"/>
      <c r="S505" s="55"/>
      <c r="T505" s="55"/>
      <c r="U505" s="55"/>
    </row>
    <row r="506" spans="1:21" ht="18.75" hidden="1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212">
        <f ca="1">IFERROR(__xludf.DUMMYFUNCTION("IMPORTRANGE(""https://docs.google.com/spreadsheets/d/1eHaY18a8A9IcSdp1K8H6x8fbOy06t2VsZHhMHf-1x7Y/edit?usp=sharing"",""แผน!HA33"")"),0)</f>
        <v>0</v>
      </c>
      <c r="J506" s="467">
        <v>0</v>
      </c>
      <c r="K506" s="255">
        <f ca="1">IF(I506&gt;0,J506*100/I506,0)</f>
        <v>0</v>
      </c>
      <c r="L506" s="62"/>
      <c r="M506" s="55"/>
      <c r="N506" s="55"/>
      <c r="O506" s="55"/>
      <c r="P506" s="55"/>
      <c r="Q506" s="55"/>
      <c r="R506" s="55"/>
      <c r="S506" s="55"/>
      <c r="T506" s="55"/>
      <c r="U506" s="55"/>
    </row>
    <row r="507" spans="1:21" ht="18.75" hidden="1">
      <c r="A507" s="238"/>
      <c r="B507" s="188"/>
      <c r="C507" s="188"/>
      <c r="D507" s="188"/>
      <c r="E507" s="377" t="s">
        <v>204</v>
      </c>
      <c r="F507" s="50"/>
      <c r="G507" s="52"/>
      <c r="H507" s="161" t="s">
        <v>35</v>
      </c>
      <c r="I507" s="212">
        <f ca="1">IFERROR(__xludf.DUMMYFUNCTION("IMPORTRANGE(""https://docs.google.com/spreadsheets/d/1eHaY18a8A9IcSdp1K8H6x8fbOy06t2VsZHhMHf-1x7Y/edit?usp=sharing"",""แผน!HB33"")"),0)</f>
        <v>0</v>
      </c>
      <c r="J507" s="467">
        <v>0</v>
      </c>
      <c r="K507" s="255">
        <f ca="1">IF(I507&gt;0,J507*100/I507,0)</f>
        <v>0</v>
      </c>
      <c r="L507" s="62"/>
      <c r="M507" s="55"/>
      <c r="N507" s="55"/>
      <c r="O507" s="55"/>
      <c r="P507" s="55"/>
      <c r="Q507" s="55"/>
      <c r="R507" s="55"/>
      <c r="S507" s="55"/>
      <c r="T507" s="55"/>
      <c r="U507" s="55"/>
    </row>
    <row r="508" spans="1:21" ht="18.75" hidden="1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255">
        <f>IF(I508&gt;0,J508*100/I508,0)</f>
        <v>0</v>
      </c>
      <c r="L508" s="62"/>
      <c r="M508" s="55"/>
      <c r="N508" s="55"/>
      <c r="O508" s="55"/>
      <c r="P508" s="55"/>
      <c r="Q508" s="55"/>
      <c r="R508" s="55"/>
      <c r="S508" s="55"/>
      <c r="T508" s="55"/>
      <c r="U508" s="55"/>
    </row>
    <row r="509" spans="1:21" ht="19.5" hidden="1">
      <c r="A509" s="374"/>
      <c r="B509" s="5"/>
      <c r="C509" s="5"/>
      <c r="D509" s="378" t="s">
        <v>50</v>
      </c>
      <c r="E509" s="4"/>
      <c r="F509" s="4"/>
      <c r="G509" s="65"/>
      <c r="H509" s="376" t="s">
        <v>35</v>
      </c>
      <c r="I509" s="216">
        <f ca="1">IFERROR(__xludf.DUMMYFUNCTION("IMPORTRANGE(""https://docs.google.com/spreadsheets/d/1eHaY18a8A9IcSdp1K8H6x8fbOy06t2VsZHhMHf-1x7Y/edit?usp=sharing"",""แผน!HC33"")"),0)</f>
        <v>0</v>
      </c>
      <c r="J509" s="538">
        <v>0</v>
      </c>
      <c r="K509" s="506">
        <f ca="1">IF(I509&gt;0,J509*100/I509,0)</f>
        <v>0</v>
      </c>
      <c r="L509" s="68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 hidden="1">
      <c r="A510" s="601" t="s">
        <v>206</v>
      </c>
      <c r="B510" s="381"/>
      <c r="C510" s="381"/>
      <c r="D510" s="381"/>
      <c r="E510" s="382"/>
      <c r="F510" s="382"/>
      <c r="G510" s="382"/>
      <c r="H510" s="382"/>
      <c r="I510" s="383"/>
      <c r="J510" s="383"/>
      <c r="K510" s="384"/>
      <c r="L510" s="600"/>
      <c r="M510" s="386"/>
      <c r="N510" s="386"/>
      <c r="O510" s="386"/>
      <c r="P510" s="386"/>
      <c r="Q510" s="386"/>
      <c r="R510" s="386"/>
      <c r="S510" s="386"/>
      <c r="T510" s="386"/>
      <c r="U510" s="386"/>
    </row>
    <row r="511" spans="1:21" ht="19.5" hidden="1">
      <c r="A511" s="599" t="s">
        <v>207</v>
      </c>
      <c r="B511" s="388"/>
      <c r="C511" s="388"/>
      <c r="D511" s="389"/>
      <c r="E511" s="388"/>
      <c r="F511" s="388"/>
      <c r="G511" s="388"/>
      <c r="H511" s="390"/>
      <c r="I511" s="391"/>
      <c r="J511" s="391"/>
      <c r="K511" s="392"/>
      <c r="L511" s="598"/>
      <c r="M511" s="394"/>
      <c r="N511" s="394"/>
      <c r="O511" s="394"/>
      <c r="P511" s="394"/>
      <c r="Q511" s="394"/>
      <c r="R511" s="394"/>
      <c r="S511" s="394"/>
      <c r="T511" s="394"/>
      <c r="U511" s="394"/>
    </row>
    <row r="512" spans="1:21" ht="19.5" hidden="1">
      <c r="A512" s="395"/>
      <c r="B512" s="597" t="s">
        <v>208</v>
      </c>
      <c r="C512" s="397"/>
      <c r="D512" s="398"/>
      <c r="E512" s="398"/>
      <c r="F512" s="398"/>
      <c r="G512" s="399"/>
      <c r="H512" s="596" t="s">
        <v>61</v>
      </c>
      <c r="I512" s="595">
        <f>I524</f>
        <v>0</v>
      </c>
      <c r="J512" s="595">
        <f>J524</f>
        <v>0</v>
      </c>
      <c r="K512" s="594">
        <f>IF(I512&gt;0,J512*100/I512,0)</f>
        <v>0</v>
      </c>
      <c r="L512" s="404"/>
      <c r="M512" s="403"/>
      <c r="N512" s="403"/>
      <c r="O512" s="403"/>
      <c r="P512" s="403"/>
      <c r="Q512" s="403"/>
      <c r="R512" s="403"/>
      <c r="S512" s="403"/>
      <c r="T512" s="403"/>
      <c r="U512" s="403"/>
    </row>
    <row r="513" spans="1:21" ht="19.5" hidden="1">
      <c r="A513" s="155"/>
      <c r="B513" s="50"/>
      <c r="C513" s="591" t="s">
        <v>18</v>
      </c>
      <c r="D513" s="562" t="s">
        <v>19</v>
      </c>
      <c r="E513" s="50"/>
      <c r="F513" s="50"/>
      <c r="G513" s="52"/>
      <c r="H513" s="593" t="s">
        <v>14</v>
      </c>
      <c r="I513" s="54"/>
      <c r="J513" s="54"/>
      <c r="K513" s="55"/>
      <c r="L513" s="541">
        <f ca="1">L514+L515</f>
        <v>0</v>
      </c>
      <c r="M513" s="540">
        <f ca="1">M514+M515</f>
        <v>0</v>
      </c>
      <c r="N513" s="540">
        <f ca="1">N514+N515</f>
        <v>0</v>
      </c>
      <c r="O513" s="540">
        <f ca="1">IF(L513&gt;0,N513*100/L513,0)</f>
        <v>0</v>
      </c>
      <c r="P513" s="540">
        <f ca="1">IF(M513&gt;0,N513*100/M513,0)</f>
        <v>0</v>
      </c>
      <c r="Q513" s="540">
        <f>Q514+Q515</f>
        <v>0</v>
      </c>
      <c r="R513" s="540">
        <f>R514+R515</f>
        <v>0</v>
      </c>
      <c r="S513" s="540">
        <f>S514+S515</f>
        <v>0</v>
      </c>
      <c r="T513" s="540">
        <f>IF(Q513&gt;0,S513*100/Q513,0)</f>
        <v>0</v>
      </c>
      <c r="U513" s="540">
        <f>IF(R513&gt;0,S513*100/R513,0)</f>
        <v>0</v>
      </c>
    </row>
    <row r="514" spans="1:21" ht="18.75" hidden="1">
      <c r="A514" s="155"/>
      <c r="B514" s="50"/>
      <c r="C514" s="50"/>
      <c r="D514" s="50"/>
      <c r="E514" s="186" t="s">
        <v>20</v>
      </c>
      <c r="F514" s="50"/>
      <c r="G514" s="52"/>
      <c r="H514" s="187" t="s">
        <v>14</v>
      </c>
      <c r="I514" s="54"/>
      <c r="J514" s="54"/>
      <c r="K514" s="55"/>
      <c r="L514" s="103">
        <f>L517+L520</f>
        <v>0</v>
      </c>
      <c r="M514" s="102">
        <f>M517+M520</f>
        <v>0</v>
      </c>
      <c r="N514" s="102">
        <f>N517+N520</f>
        <v>0</v>
      </c>
      <c r="O514" s="102">
        <f>IF(L514&gt;0,N514*100/L514,0)</f>
        <v>0</v>
      </c>
      <c r="P514" s="102">
        <f>IF(M514&gt;0,N514*100/M514,0)</f>
        <v>0</v>
      </c>
      <c r="Q514" s="102">
        <f>Q517+Q520</f>
        <v>0</v>
      </c>
      <c r="R514" s="102">
        <f>R517+R520</f>
        <v>0</v>
      </c>
      <c r="S514" s="102">
        <f>S517+S520</f>
        <v>0</v>
      </c>
      <c r="T514" s="102">
        <f>IF(Q514&gt;0,S514*100/Q514,0)</f>
        <v>0</v>
      </c>
      <c r="U514" s="102">
        <f>IF(R514&gt;0,S514*100/R514,0)</f>
        <v>0</v>
      </c>
    </row>
    <row r="515" spans="1:21" ht="18.75" hidden="1">
      <c r="A515" s="155"/>
      <c r="B515" s="50"/>
      <c r="C515" s="50"/>
      <c r="D515" s="50"/>
      <c r="E515" s="186" t="s">
        <v>21</v>
      </c>
      <c r="F515" s="50"/>
      <c r="G515" s="52"/>
      <c r="H515" s="187" t="s">
        <v>14</v>
      </c>
      <c r="I515" s="54"/>
      <c r="J515" s="54"/>
      <c r="K515" s="55"/>
      <c r="L515" s="256">
        <f ca="1">L518+L521</f>
        <v>0</v>
      </c>
      <c r="M515" s="255">
        <f ca="1">M518+M521</f>
        <v>0</v>
      </c>
      <c r="N515" s="255">
        <f ca="1">N518+N521</f>
        <v>0</v>
      </c>
      <c r="O515" s="255">
        <f ca="1">IF(L515&gt;0,N515*100/L515,0)</f>
        <v>0</v>
      </c>
      <c r="P515" s="255">
        <f ca="1">IF(M515&gt;0,N515*100/M515,0)</f>
        <v>0</v>
      </c>
      <c r="Q515" s="255">
        <f>Q518+Q521</f>
        <v>0</v>
      </c>
      <c r="R515" s="255">
        <f>R518+R521</f>
        <v>0</v>
      </c>
      <c r="S515" s="255">
        <f>S518+S521</f>
        <v>0</v>
      </c>
      <c r="T515" s="255">
        <f>IF(Q515&gt;0,S515*100/Q515,0)</f>
        <v>0</v>
      </c>
      <c r="U515" s="255">
        <f>IF(R515&gt;0,S515*100/R515,0)</f>
        <v>0</v>
      </c>
    </row>
    <row r="516" spans="1:21" ht="18.75" hidden="1">
      <c r="A516" s="155"/>
      <c r="B516" s="50"/>
      <c r="C516" s="50"/>
      <c r="D516" s="592" t="s">
        <v>22</v>
      </c>
      <c r="E516" s="50"/>
      <c r="F516" s="50"/>
      <c r="G516" s="52"/>
      <c r="H516" s="189" t="s">
        <v>14</v>
      </c>
      <c r="I516" s="163"/>
      <c r="J516" s="163"/>
      <c r="K516" s="164"/>
      <c r="L516" s="256">
        <f ca="1">L517+L518</f>
        <v>0</v>
      </c>
      <c r="M516" s="255">
        <f ca="1">M517+M518</f>
        <v>0</v>
      </c>
      <c r="N516" s="255">
        <f ca="1">N517+N518</f>
        <v>0</v>
      </c>
      <c r="O516" s="255">
        <f ca="1">IF(L516&gt;0,N516*100/L516,0)</f>
        <v>0</v>
      </c>
      <c r="P516" s="255">
        <f ca="1">IF(M516&gt;0,N516*100/M516,0)</f>
        <v>0</v>
      </c>
      <c r="Q516" s="255">
        <f>Q517+Q518</f>
        <v>0</v>
      </c>
      <c r="R516" s="255">
        <f>R517+R518</f>
        <v>0</v>
      </c>
      <c r="S516" s="255">
        <f>S517+S518</f>
        <v>0</v>
      </c>
      <c r="T516" s="255">
        <f>IF(Q516&gt;0,S516*100/Q516,0)</f>
        <v>0</v>
      </c>
      <c r="U516" s="255">
        <f>IF(R516&gt;0,S516*100/R516,0)</f>
        <v>0</v>
      </c>
    </row>
    <row r="517" spans="1:21" ht="18.75" hidden="1">
      <c r="A517" s="155"/>
      <c r="B517" s="50"/>
      <c r="C517" s="50"/>
      <c r="D517" s="50"/>
      <c r="E517" s="186" t="s">
        <v>36</v>
      </c>
      <c r="F517" s="50"/>
      <c r="G517" s="52"/>
      <c r="H517" s="189" t="s">
        <v>14</v>
      </c>
      <c r="I517" s="163"/>
      <c r="J517" s="163"/>
      <c r="K517" s="164"/>
      <c r="L517" s="103">
        <v>0</v>
      </c>
      <c r="M517" s="102">
        <v>0</v>
      </c>
      <c r="N517" s="102">
        <v>0</v>
      </c>
      <c r="O517" s="102">
        <f>IF(L517&gt;0,N517*100/L517,0)</f>
        <v>0</v>
      </c>
      <c r="P517" s="102">
        <f>IF(M517&gt;0,N517*100/M517,0)</f>
        <v>0</v>
      </c>
      <c r="Q517" s="102">
        <v>0</v>
      </c>
      <c r="R517" s="102">
        <v>0</v>
      </c>
      <c r="S517" s="102">
        <v>0</v>
      </c>
      <c r="T517" s="102">
        <f>IF(Q517&gt;0,S517*100/Q517,0)</f>
        <v>0</v>
      </c>
      <c r="U517" s="102">
        <f>IF(R517&gt;0,S517*100/R517,0)</f>
        <v>0</v>
      </c>
    </row>
    <row r="518" spans="1:21" ht="18.75" hidden="1">
      <c r="A518" s="155"/>
      <c r="B518" s="50"/>
      <c r="C518" s="50"/>
      <c r="D518" s="50"/>
      <c r="E518" s="186" t="s">
        <v>37</v>
      </c>
      <c r="F518" s="50"/>
      <c r="G518" s="52"/>
      <c r="H518" s="189" t="s">
        <v>14</v>
      </c>
      <c r="I518" s="163"/>
      <c r="J518" s="163"/>
      <c r="K518" s="164"/>
      <c r="L518" s="256">
        <f ca="1">IFERROR(__xludf.DUMMYFUNCTION("IMPORTRANGE(""https://docs.google.com/spreadsheets/d/1-uDff_7J0KD5mKrp0Vvzr7lt3OU09vwQwhkpOPPYv2Y/edit?usp=sharing"",""งบพรบ!FM33"")"),0)</f>
        <v>0</v>
      </c>
      <c r="M518" s="255">
        <f ca="1">IFERROR(__xludf.DUMMYFUNCTION("IMPORTRANGE(""https://docs.google.com/spreadsheets/d/1-uDff_7J0KD5mKrp0Vvzr7lt3OU09vwQwhkpOPPYv2Y/edit?usp=sharing"",""งบพรบ!FR33"")"),0)</f>
        <v>0</v>
      </c>
      <c r="N518" s="255">
        <f ca="1">IFERROR(__xludf.DUMMYFUNCTION("IMPORTRANGE(""https://docs.google.com/spreadsheets/d/1-uDff_7J0KD5mKrp0Vvzr7lt3OU09vwQwhkpOPPYv2Y/edit?usp=sharing"",""งบพรบ!FT33"")"),0)</f>
        <v>0</v>
      </c>
      <c r="O518" s="255">
        <f ca="1">IF(L518&gt;0,N518*100/L518,0)</f>
        <v>0</v>
      </c>
      <c r="P518" s="255">
        <f ca="1">IF(M518&gt;0,N518*100/M518,0)</f>
        <v>0</v>
      </c>
      <c r="Q518" s="255">
        <v>0</v>
      </c>
      <c r="R518" s="255">
        <v>0</v>
      </c>
      <c r="S518" s="255">
        <v>0</v>
      </c>
      <c r="T518" s="255">
        <f>IF(Q518&gt;0,S518*100/Q518,0)</f>
        <v>0</v>
      </c>
      <c r="U518" s="255">
        <f>IF(R518&gt;0,S518*100/R518,0)</f>
        <v>0</v>
      </c>
    </row>
    <row r="519" spans="1:21" ht="18.75" hidden="1">
      <c r="A519" s="155"/>
      <c r="B519" s="50"/>
      <c r="C519" s="50"/>
      <c r="D519" s="592" t="s">
        <v>23</v>
      </c>
      <c r="E519" s="50"/>
      <c r="F519" s="50"/>
      <c r="G519" s="52"/>
      <c r="H519" s="421" t="s">
        <v>14</v>
      </c>
      <c r="I519" s="163"/>
      <c r="J519" s="163"/>
      <c r="K519" s="164"/>
      <c r="L519" s="256">
        <f ca="1">L520+L521</f>
        <v>0</v>
      </c>
      <c r="M519" s="255">
        <f ca="1">M520+M521</f>
        <v>0</v>
      </c>
      <c r="N519" s="255">
        <f ca="1">N520+N521</f>
        <v>0</v>
      </c>
      <c r="O519" s="255">
        <f ca="1">IF(L519&gt;0,N519*100/L519,0)</f>
        <v>0</v>
      </c>
      <c r="P519" s="255">
        <f ca="1">IF(M519&gt;0,N519*100/M519,0)</f>
        <v>0</v>
      </c>
      <c r="Q519" s="255">
        <f>Q520+Q521</f>
        <v>0</v>
      </c>
      <c r="R519" s="255">
        <f>R520+R521</f>
        <v>0</v>
      </c>
      <c r="S519" s="255">
        <f>S520+S521</f>
        <v>0</v>
      </c>
      <c r="T519" s="255">
        <f>IF(Q519&gt;0,S519*100/Q519,0)</f>
        <v>0</v>
      </c>
      <c r="U519" s="255">
        <f>IF(R519&gt;0,S519*100/R519,0)</f>
        <v>0</v>
      </c>
    </row>
    <row r="520" spans="1:21" ht="18.75" hidden="1">
      <c r="A520" s="155"/>
      <c r="B520" s="50"/>
      <c r="C520" s="50"/>
      <c r="D520" s="50"/>
      <c r="E520" s="186" t="s">
        <v>20</v>
      </c>
      <c r="F520" s="50"/>
      <c r="G520" s="52"/>
      <c r="H520" s="189" t="s">
        <v>14</v>
      </c>
      <c r="I520" s="163"/>
      <c r="J520" s="163"/>
      <c r="K520" s="164"/>
      <c r="L520" s="103">
        <v>0</v>
      </c>
      <c r="M520" s="102">
        <v>0</v>
      </c>
      <c r="N520" s="102">
        <v>0</v>
      </c>
      <c r="O520" s="102">
        <f>IF(L520&gt;0,N520*100/L520,0)</f>
        <v>0</v>
      </c>
      <c r="P520" s="102">
        <f>IF(M520&gt;0,N520*100/M520,0)</f>
        <v>0</v>
      </c>
      <c r="Q520" s="102">
        <v>0</v>
      </c>
      <c r="R520" s="102">
        <v>0</v>
      </c>
      <c r="S520" s="102">
        <v>0</v>
      </c>
      <c r="T520" s="102">
        <f>IF(Q520&gt;0,S520*100/Q520,0)</f>
        <v>0</v>
      </c>
      <c r="U520" s="102">
        <f>IF(R520&gt;0,S520*100/R520,0)</f>
        <v>0</v>
      </c>
    </row>
    <row r="521" spans="1:21" ht="18.75" hidden="1">
      <c r="A521" s="155"/>
      <c r="B521" s="50"/>
      <c r="C521" s="50"/>
      <c r="D521" s="50"/>
      <c r="E521" s="186" t="s">
        <v>21</v>
      </c>
      <c r="F521" s="50"/>
      <c r="G521" s="52"/>
      <c r="H521" s="421" t="s">
        <v>14</v>
      </c>
      <c r="I521" s="163"/>
      <c r="J521" s="163"/>
      <c r="K521" s="164"/>
      <c r="L521" s="256">
        <f ca="1">IFERROR(__xludf.DUMMYFUNCTION("IMPORTRANGE(""https://docs.google.com/spreadsheets/d/1-uDff_7J0KD5mKrp0Vvzr7lt3OU09vwQwhkpOPPYv2Y/edit?usp=sharing"",""งบพรบ!FP33"")"),0)</f>
        <v>0</v>
      </c>
      <c r="M521" s="255">
        <f ca="1">IFERROR(__xludf.DUMMYFUNCTION("IMPORTRANGE(""https://docs.google.com/spreadsheets/d/1-uDff_7J0KD5mKrp0Vvzr7lt3OU09vwQwhkpOPPYv2Y/edit?usp=sharing"",""งบพรบ!FS33"")"),0)</f>
        <v>0</v>
      </c>
      <c r="N521" s="255">
        <f ca="1">IFERROR(__xludf.DUMMYFUNCTION("IMPORTRANGE(""https://docs.google.com/spreadsheets/d/1-uDff_7J0KD5mKrp0Vvzr7lt3OU09vwQwhkpOPPYv2Y/edit?usp=sharing"",""งบพรบ!FU33"")"),0)</f>
        <v>0</v>
      </c>
      <c r="O521" s="255">
        <f ca="1">IF(L521&gt;0,N521*100/L521,0)</f>
        <v>0</v>
      </c>
      <c r="P521" s="255">
        <f ca="1">IF(M521&gt;0,N521*100/M521,0)</f>
        <v>0</v>
      </c>
      <c r="Q521" s="255">
        <v>0</v>
      </c>
      <c r="R521" s="255">
        <v>0</v>
      </c>
      <c r="S521" s="255">
        <v>0</v>
      </c>
      <c r="T521" s="255">
        <f>IF(Q521&gt;0,S521*100/Q521,0)</f>
        <v>0</v>
      </c>
      <c r="U521" s="255">
        <f>IF(R521&gt;0,S521*100/R521,0)</f>
        <v>0</v>
      </c>
    </row>
    <row r="522" spans="1:21" ht="19.5" hidden="1">
      <c r="A522" s="166"/>
      <c r="B522" s="167"/>
      <c r="C522" s="591" t="s">
        <v>18</v>
      </c>
      <c r="D522" s="574" t="s">
        <v>38</v>
      </c>
      <c r="E522" s="169"/>
      <c r="F522" s="169"/>
      <c r="G522" s="170"/>
      <c r="H522" s="171"/>
      <c r="I522" s="163"/>
      <c r="J522" s="54"/>
      <c r="K522" s="55"/>
      <c r="L522" s="62"/>
      <c r="M522" s="55"/>
      <c r="N522" s="55"/>
      <c r="O522" s="164"/>
      <c r="P522" s="164"/>
      <c r="Q522" s="55"/>
      <c r="R522" s="55"/>
      <c r="S522" s="55"/>
      <c r="T522" s="164"/>
      <c r="U522" s="164"/>
    </row>
    <row r="523" spans="1:21" ht="18.75" hidden="1">
      <c r="A523" s="238"/>
      <c r="B523" s="50"/>
      <c r="C523" s="188"/>
      <c r="D523" s="207" t="s">
        <v>209</v>
      </c>
      <c r="E523" s="167"/>
      <c r="F523" s="50"/>
      <c r="G523" s="52"/>
      <c r="H523" s="590" t="s">
        <v>11</v>
      </c>
      <c r="I523" s="483">
        <v>0</v>
      </c>
      <c r="J523" s="589">
        <v>0</v>
      </c>
      <c r="K523" s="102">
        <f>IF(I523&gt;0,J523*100/I523,0)</f>
        <v>0</v>
      </c>
      <c r="L523" s="62"/>
      <c r="M523" s="55"/>
      <c r="N523" s="55"/>
      <c r="O523" s="55"/>
      <c r="P523" s="55"/>
      <c r="Q523" s="55"/>
      <c r="R523" s="55"/>
      <c r="S523" s="55"/>
      <c r="T523" s="55"/>
      <c r="U523" s="55"/>
    </row>
    <row r="524" spans="1:21" ht="18.75" hidden="1">
      <c r="A524" s="374"/>
      <c r="B524" s="4"/>
      <c r="C524" s="5"/>
      <c r="D524" s="588" t="s">
        <v>210</v>
      </c>
      <c r="E524" s="282"/>
      <c r="F524" s="4"/>
      <c r="G524" s="65"/>
      <c r="H524" s="587" t="s">
        <v>61</v>
      </c>
      <c r="I524" s="486">
        <v>0</v>
      </c>
      <c r="J524" s="586">
        <v>0</v>
      </c>
      <c r="K524" s="585">
        <f>IF(I524&gt;0,J524*100/I524,0)</f>
        <v>0</v>
      </c>
      <c r="L524" s="62"/>
      <c r="M524" s="55"/>
      <c r="N524" s="55"/>
      <c r="O524" s="55"/>
      <c r="P524" s="55"/>
      <c r="Q524" s="55"/>
      <c r="R524" s="55"/>
      <c r="S524" s="55"/>
      <c r="T524" s="55"/>
      <c r="U524" s="55"/>
    </row>
    <row r="525" spans="1:21" ht="12.75" hidden="1">
      <c r="A525" s="584"/>
      <c r="B525" s="583"/>
      <c r="C525" s="583"/>
      <c r="D525" s="582"/>
      <c r="E525" s="582"/>
      <c r="F525" s="582"/>
      <c r="G525" s="581"/>
      <c r="H525" s="580"/>
      <c r="I525" s="579"/>
      <c r="J525" s="579"/>
      <c r="K525" s="578"/>
      <c r="L525" s="265"/>
      <c r="M525" s="264"/>
      <c r="N525" s="264"/>
      <c r="O525" s="264"/>
      <c r="P525" s="264"/>
      <c r="Q525" s="264"/>
      <c r="R525" s="264"/>
      <c r="S525" s="264"/>
      <c r="T525" s="264"/>
      <c r="U525" s="264"/>
    </row>
    <row r="526" spans="1:21" ht="12.75" hidden="1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5"/>
      <c r="M526" s="264"/>
      <c r="N526" s="264"/>
      <c r="O526" s="264"/>
      <c r="P526" s="264"/>
      <c r="Q526" s="264"/>
      <c r="R526" s="264"/>
      <c r="S526" s="264"/>
      <c r="T526" s="264"/>
      <c r="U526" s="264"/>
    </row>
    <row r="527" spans="1:21" ht="12.75" hidden="1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5"/>
      <c r="M527" s="264"/>
      <c r="N527" s="264"/>
      <c r="O527" s="264"/>
      <c r="P527" s="264"/>
      <c r="Q527" s="264"/>
      <c r="R527" s="264"/>
      <c r="S527" s="264"/>
      <c r="T527" s="264"/>
      <c r="U527" s="264"/>
    </row>
    <row r="528" spans="1:21" ht="12.75" hidden="1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5"/>
      <c r="M528" s="264"/>
      <c r="N528" s="264"/>
      <c r="O528" s="264"/>
      <c r="P528" s="264"/>
      <c r="Q528" s="264"/>
      <c r="R528" s="264"/>
      <c r="S528" s="264"/>
      <c r="T528" s="264"/>
      <c r="U528" s="264"/>
    </row>
    <row r="529" spans="1:21" ht="12.75" hidden="1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5"/>
      <c r="M529" s="264"/>
      <c r="N529" s="264"/>
      <c r="O529" s="264"/>
      <c r="P529" s="264"/>
      <c r="Q529" s="264"/>
      <c r="R529" s="264"/>
      <c r="S529" s="264"/>
      <c r="T529" s="264"/>
      <c r="U529" s="264"/>
    </row>
    <row r="530" spans="1:21" ht="12.75" hidden="1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5"/>
      <c r="M530" s="264"/>
      <c r="N530" s="264"/>
      <c r="O530" s="264"/>
      <c r="P530" s="264"/>
      <c r="Q530" s="264"/>
      <c r="R530" s="264"/>
      <c r="S530" s="264"/>
      <c r="T530" s="264"/>
      <c r="U530" s="264"/>
    </row>
    <row r="531" spans="1:21" ht="12.75" hidden="1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5"/>
      <c r="M531" s="264"/>
      <c r="N531" s="264"/>
      <c r="O531" s="264"/>
      <c r="P531" s="264"/>
      <c r="Q531" s="264"/>
      <c r="R531" s="264"/>
      <c r="S531" s="264"/>
      <c r="T531" s="264"/>
      <c r="U531" s="264"/>
    </row>
    <row r="532" spans="1:21" ht="12.75" hidden="1">
      <c r="A532" s="407"/>
      <c r="B532" s="360"/>
      <c r="C532" s="360"/>
      <c r="D532" s="408"/>
      <c r="E532" s="408"/>
      <c r="F532" s="408"/>
      <c r="G532" s="409"/>
      <c r="H532" s="361"/>
      <c r="I532" s="362"/>
      <c r="J532" s="362"/>
      <c r="K532" s="363"/>
      <c r="L532" s="364"/>
      <c r="M532" s="363"/>
      <c r="N532" s="363"/>
      <c r="O532" s="363"/>
      <c r="P532" s="363"/>
      <c r="Q532" s="363"/>
      <c r="R532" s="363"/>
      <c r="S532" s="363"/>
      <c r="T532" s="363"/>
      <c r="U532" s="363"/>
    </row>
    <row r="533" spans="1:21" ht="19.5" hidden="1">
      <c r="A533" s="395"/>
      <c r="B533" s="396" t="s">
        <v>211</v>
      </c>
      <c r="C533" s="397"/>
      <c r="D533" s="398"/>
      <c r="E533" s="398"/>
      <c r="F533" s="398"/>
      <c r="G533" s="399"/>
      <c r="H533" s="410" t="s">
        <v>61</v>
      </c>
      <c r="I533" s="577">
        <f>I545</f>
        <v>0</v>
      </c>
      <c r="J533" s="577">
        <f>J545</f>
        <v>0</v>
      </c>
      <c r="K533" s="576">
        <f>IF(I533&gt;0,J533*100/I533,0)</f>
        <v>0</v>
      </c>
      <c r="L533" s="404"/>
      <c r="M533" s="403"/>
      <c r="N533" s="403"/>
      <c r="O533" s="403"/>
      <c r="P533" s="403"/>
      <c r="Q533" s="403"/>
      <c r="R533" s="403"/>
      <c r="S533" s="403"/>
      <c r="T533" s="403"/>
      <c r="U533" s="403"/>
    </row>
    <row r="534" spans="1:21" ht="19.5" hidden="1">
      <c r="A534" s="155"/>
      <c r="B534" s="50"/>
      <c r="C534" s="156" t="s">
        <v>18</v>
      </c>
      <c r="D534" s="575" t="s">
        <v>19</v>
      </c>
      <c r="E534" s="50"/>
      <c r="F534" s="50"/>
      <c r="G534" s="52"/>
      <c r="H534" s="158" t="s">
        <v>14</v>
      </c>
      <c r="I534" s="54"/>
      <c r="J534" s="54"/>
      <c r="K534" s="55"/>
      <c r="L534" s="541">
        <f>L535+L536</f>
        <v>0</v>
      </c>
      <c r="M534" s="540">
        <f>M535+M536</f>
        <v>0</v>
      </c>
      <c r="N534" s="540">
        <f>N535+N536</f>
        <v>0</v>
      </c>
      <c r="O534" s="540">
        <f>IF(L534&gt;0,N534*100/L534,0)</f>
        <v>0</v>
      </c>
      <c r="P534" s="540">
        <f>IF(M534&gt;0,N534*100/M534,0)</f>
        <v>0</v>
      </c>
      <c r="Q534" s="540">
        <f>Q535+Q536</f>
        <v>0</v>
      </c>
      <c r="R534" s="540">
        <f>R535+R536</f>
        <v>0</v>
      </c>
      <c r="S534" s="540">
        <f>S535+S536</f>
        <v>0</v>
      </c>
      <c r="T534" s="540">
        <f>IF(Q534&gt;0,S534*100/Q534,0)</f>
        <v>0</v>
      </c>
      <c r="U534" s="540">
        <f>IF(R534&gt;0,S534*100/R534,0)</f>
        <v>0</v>
      </c>
    </row>
    <row r="535" spans="1:21" ht="18.75" hidden="1">
      <c r="A535" s="155"/>
      <c r="B535" s="188"/>
      <c r="C535" s="50"/>
      <c r="D535" s="50"/>
      <c r="E535" s="186" t="s">
        <v>20</v>
      </c>
      <c r="F535" s="50"/>
      <c r="G535" s="52"/>
      <c r="H535" s="187" t="s">
        <v>14</v>
      </c>
      <c r="I535" s="54"/>
      <c r="J535" s="54"/>
      <c r="K535" s="55"/>
      <c r="L535" s="103">
        <f>L538+L541</f>
        <v>0</v>
      </c>
      <c r="M535" s="102">
        <f>M538+M541</f>
        <v>0</v>
      </c>
      <c r="N535" s="102">
        <f>N538+N541</f>
        <v>0</v>
      </c>
      <c r="O535" s="102">
        <f>IF(L535&gt;0,N535*100/L535,0)</f>
        <v>0</v>
      </c>
      <c r="P535" s="102">
        <f>IF(M535&gt;0,N535*100/M535,0)</f>
        <v>0</v>
      </c>
      <c r="Q535" s="102">
        <f>Q538+Q541</f>
        <v>0</v>
      </c>
      <c r="R535" s="102">
        <f>R538+R541</f>
        <v>0</v>
      </c>
      <c r="S535" s="102">
        <f>S538+S541</f>
        <v>0</v>
      </c>
      <c r="T535" s="102">
        <f>IF(Q535&gt;0,S535*100/Q535,0)</f>
        <v>0</v>
      </c>
      <c r="U535" s="102">
        <f>IF(R535&gt;0,S535*100/R535,0)</f>
        <v>0</v>
      </c>
    </row>
    <row r="536" spans="1:21" ht="18.75" hidden="1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256">
        <f>L539+L542</f>
        <v>0</v>
      </c>
      <c r="M536" s="255">
        <f>M539+M542</f>
        <v>0</v>
      </c>
      <c r="N536" s="255">
        <f>N539+N542</f>
        <v>0</v>
      </c>
      <c r="O536" s="255">
        <f>IF(L536&gt;0,N536*100/L536,0)</f>
        <v>0</v>
      </c>
      <c r="P536" s="255">
        <f>IF(M536&gt;0,N536*100/M536,0)</f>
        <v>0</v>
      </c>
      <c r="Q536" s="255">
        <f>Q539+Q542</f>
        <v>0</v>
      </c>
      <c r="R536" s="255">
        <f>R539+R542</f>
        <v>0</v>
      </c>
      <c r="S536" s="255">
        <f>S539+S542</f>
        <v>0</v>
      </c>
      <c r="T536" s="255">
        <f>IF(Q536&gt;0,S536*100/Q536,0)</f>
        <v>0</v>
      </c>
      <c r="U536" s="255">
        <f>IF(R536&gt;0,S536*100/R536,0)</f>
        <v>0</v>
      </c>
    </row>
    <row r="537" spans="1:21" ht="18.75" hidden="1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256">
        <f>L538+L539</f>
        <v>0</v>
      </c>
      <c r="M537" s="255">
        <f>M538+M539</f>
        <v>0</v>
      </c>
      <c r="N537" s="255">
        <f>N538+N539</f>
        <v>0</v>
      </c>
      <c r="O537" s="255">
        <f>IF(L537&gt;0,N537*100/L537,0)</f>
        <v>0</v>
      </c>
      <c r="P537" s="255">
        <f>IF(M537&gt;0,N537*100/M537,0)</f>
        <v>0</v>
      </c>
      <c r="Q537" s="255">
        <f>Q538+Q539</f>
        <v>0</v>
      </c>
      <c r="R537" s="255">
        <f>R538+R539</f>
        <v>0</v>
      </c>
      <c r="S537" s="255">
        <f>S538+S539</f>
        <v>0</v>
      </c>
      <c r="T537" s="255">
        <f>IF(Q537&gt;0,S537*100/Q537,0)</f>
        <v>0</v>
      </c>
      <c r="U537" s="255">
        <f>IF(R537&gt;0,S537*100/R537,0)</f>
        <v>0</v>
      </c>
    </row>
    <row r="538" spans="1:21" ht="18.75" hidden="1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103">
        <v>0</v>
      </c>
      <c r="M538" s="102">
        <v>0</v>
      </c>
      <c r="N538" s="102">
        <v>0</v>
      </c>
      <c r="O538" s="102">
        <f>IF(L538&gt;0,N538*100/L538,0)</f>
        <v>0</v>
      </c>
      <c r="P538" s="102">
        <f>IF(M538&gt;0,N538*100/M538,0)</f>
        <v>0</v>
      </c>
      <c r="Q538" s="102">
        <v>0</v>
      </c>
      <c r="R538" s="102">
        <v>0</v>
      </c>
      <c r="S538" s="102">
        <v>0</v>
      </c>
      <c r="T538" s="102">
        <f>IF(Q538&gt;0,S538*100/Q538,0)</f>
        <v>0</v>
      </c>
      <c r="U538" s="102">
        <f>IF(R538&gt;0,S538*100/R538,0)</f>
        <v>0</v>
      </c>
    </row>
    <row r="539" spans="1:21" ht="18.75" hidden="1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256">
        <v>0</v>
      </c>
      <c r="M539" s="255">
        <v>0</v>
      </c>
      <c r="N539" s="255">
        <v>0</v>
      </c>
      <c r="O539" s="255">
        <f>IF(L539&gt;0,N539*100/L539,0)</f>
        <v>0</v>
      </c>
      <c r="P539" s="255">
        <f>IF(M539&gt;0,N539*100/M539,0)</f>
        <v>0</v>
      </c>
      <c r="Q539" s="255">
        <v>0</v>
      </c>
      <c r="R539" s="255">
        <v>0</v>
      </c>
      <c r="S539" s="255">
        <v>0</v>
      </c>
      <c r="T539" s="255">
        <f>IF(Q539&gt;0,S539*100/Q539,0)</f>
        <v>0</v>
      </c>
      <c r="U539" s="255">
        <f>IF(R539&gt;0,S539*100/R539,0)</f>
        <v>0</v>
      </c>
    </row>
    <row r="540" spans="1:21" ht="18.75" hidden="1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256">
        <f>L541+L542</f>
        <v>0</v>
      </c>
      <c r="M540" s="255">
        <f>M541+M542</f>
        <v>0</v>
      </c>
      <c r="N540" s="255">
        <f>N541+N542</f>
        <v>0</v>
      </c>
      <c r="O540" s="255">
        <f>IF(L540&gt;0,N540*100/L540,0)</f>
        <v>0</v>
      </c>
      <c r="P540" s="255">
        <f>IF(M540&gt;0,N540*100/M540,0)</f>
        <v>0</v>
      </c>
      <c r="Q540" s="255">
        <f>Q541+Q542</f>
        <v>0</v>
      </c>
      <c r="R540" s="255">
        <f>R541+R542</f>
        <v>0</v>
      </c>
      <c r="S540" s="255">
        <f>S541+S542</f>
        <v>0</v>
      </c>
      <c r="T540" s="255">
        <f>IF(Q540&gt;0,S540*100/Q540,0)</f>
        <v>0</v>
      </c>
      <c r="U540" s="255">
        <f>IF(R540&gt;0,S540*100/R540,0)</f>
        <v>0</v>
      </c>
    </row>
    <row r="541" spans="1:21" ht="18.75" hidden="1">
      <c r="A541" s="155"/>
      <c r="B541" s="50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103">
        <v>0</v>
      </c>
      <c r="M541" s="102">
        <v>0</v>
      </c>
      <c r="N541" s="102">
        <v>0</v>
      </c>
      <c r="O541" s="102">
        <f>IF(L541&gt;0,N541*100/L541,0)</f>
        <v>0</v>
      </c>
      <c r="P541" s="102">
        <f>IF(M541&gt;0,N541*100/M541,0)</f>
        <v>0</v>
      </c>
      <c r="Q541" s="102">
        <v>0</v>
      </c>
      <c r="R541" s="102">
        <v>0</v>
      </c>
      <c r="S541" s="102">
        <v>0</v>
      </c>
      <c r="T541" s="102">
        <f>IF(Q541&gt;0,S541*100/Q541,0)</f>
        <v>0</v>
      </c>
      <c r="U541" s="102">
        <f>IF(R541&gt;0,S541*100/R541,0)</f>
        <v>0</v>
      </c>
    </row>
    <row r="542" spans="1:21" ht="18.75" hidden="1">
      <c r="A542" s="155"/>
      <c r="B542" s="50"/>
      <c r="C542" s="50"/>
      <c r="D542" s="50"/>
      <c r="E542" s="58" t="s">
        <v>21</v>
      </c>
      <c r="F542" s="50"/>
      <c r="G542" s="52"/>
      <c r="H542" s="165" t="s">
        <v>14</v>
      </c>
      <c r="I542" s="163"/>
      <c r="J542" s="163"/>
      <c r="K542" s="164"/>
      <c r="L542" s="256">
        <v>0</v>
      </c>
      <c r="M542" s="255">
        <v>0</v>
      </c>
      <c r="N542" s="255">
        <v>0</v>
      </c>
      <c r="O542" s="255">
        <f>IF(L542&gt;0,N542*100/L542,0)</f>
        <v>0</v>
      </c>
      <c r="P542" s="255">
        <f>IF(M542&gt;0,N542*100/M542,0)</f>
        <v>0</v>
      </c>
      <c r="Q542" s="255">
        <v>0</v>
      </c>
      <c r="R542" s="255">
        <v>0</v>
      </c>
      <c r="S542" s="255">
        <v>0</v>
      </c>
      <c r="T542" s="255">
        <f>IF(Q542&gt;0,S542*100/Q542,0)</f>
        <v>0</v>
      </c>
      <c r="U542" s="255">
        <f>IF(R542&gt;0,S542*100/R542,0)</f>
        <v>0</v>
      </c>
    </row>
    <row r="543" spans="1:21" ht="19.5" hidden="1">
      <c r="A543" s="166"/>
      <c r="B543" s="167"/>
      <c r="C543" s="411" t="s">
        <v>18</v>
      </c>
      <c r="D543" s="566" t="s">
        <v>38</v>
      </c>
      <c r="E543" s="169"/>
      <c r="F543" s="169"/>
      <c r="G543" s="170"/>
      <c r="H543" s="171"/>
      <c r="I543" s="163"/>
      <c r="J543" s="54"/>
      <c r="K543" s="55"/>
      <c r="L543" s="62"/>
      <c r="M543" s="55"/>
      <c r="N543" s="55"/>
      <c r="O543" s="164"/>
      <c r="P543" s="164"/>
      <c r="Q543" s="55"/>
      <c r="R543" s="55"/>
      <c r="S543" s="55"/>
      <c r="T543" s="164"/>
      <c r="U543" s="164"/>
    </row>
    <row r="544" spans="1:21" ht="12.75" hidden="1">
      <c r="A544" s="258"/>
      <c r="B544" s="260"/>
      <c r="C544" s="259"/>
      <c r="D544" s="260"/>
      <c r="E544" s="259"/>
      <c r="F544" s="260"/>
      <c r="G544" s="261"/>
      <c r="H544" s="261"/>
      <c r="I544" s="263"/>
      <c r="J544" s="263"/>
      <c r="K544" s="264"/>
      <c r="L544" s="265"/>
      <c r="M544" s="264"/>
      <c r="N544" s="264"/>
      <c r="O544" s="264"/>
      <c r="P544" s="264"/>
      <c r="Q544" s="264"/>
      <c r="R544" s="264"/>
      <c r="S544" s="264"/>
      <c r="T544" s="264"/>
      <c r="U544" s="264"/>
    </row>
    <row r="545" spans="1:21" ht="12.75" hidden="1">
      <c r="A545" s="258"/>
      <c r="B545" s="260"/>
      <c r="C545" s="259"/>
      <c r="D545" s="260"/>
      <c r="E545" s="259"/>
      <c r="F545" s="260"/>
      <c r="G545" s="261"/>
      <c r="H545" s="261"/>
      <c r="I545" s="263"/>
      <c r="J545" s="263"/>
      <c r="K545" s="264"/>
      <c r="L545" s="265"/>
      <c r="M545" s="264"/>
      <c r="N545" s="264"/>
      <c r="O545" s="264"/>
      <c r="P545" s="264"/>
      <c r="Q545" s="264"/>
      <c r="R545" s="264"/>
      <c r="S545" s="264"/>
      <c r="T545" s="264"/>
      <c r="U545" s="264"/>
    </row>
    <row r="546" spans="1:21" ht="12.75" hidden="1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5"/>
      <c r="M546" s="264"/>
      <c r="N546" s="264"/>
      <c r="O546" s="264"/>
      <c r="P546" s="264"/>
      <c r="Q546" s="264"/>
      <c r="R546" s="264"/>
      <c r="S546" s="264"/>
      <c r="T546" s="264"/>
      <c r="U546" s="264"/>
    </row>
    <row r="547" spans="1:21" ht="12.75" hidden="1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5"/>
      <c r="M547" s="264"/>
      <c r="N547" s="264"/>
      <c r="O547" s="264"/>
      <c r="P547" s="264"/>
      <c r="Q547" s="264"/>
      <c r="R547" s="264"/>
      <c r="S547" s="264"/>
      <c r="T547" s="264"/>
      <c r="U547" s="264"/>
    </row>
    <row r="548" spans="1:21" ht="12.75" hidden="1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5"/>
      <c r="M548" s="264"/>
      <c r="N548" s="264"/>
      <c r="O548" s="264"/>
      <c r="P548" s="264"/>
      <c r="Q548" s="264"/>
      <c r="R548" s="264"/>
      <c r="S548" s="264"/>
      <c r="T548" s="264"/>
      <c r="U548" s="264"/>
    </row>
    <row r="549" spans="1:21" ht="12.75" hidden="1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5"/>
      <c r="M549" s="264"/>
      <c r="N549" s="264"/>
      <c r="O549" s="264"/>
      <c r="P549" s="264"/>
      <c r="Q549" s="264"/>
      <c r="R549" s="264"/>
      <c r="S549" s="264"/>
      <c r="T549" s="264"/>
      <c r="U549" s="264"/>
    </row>
    <row r="550" spans="1:21" ht="12.75" hidden="1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5"/>
      <c r="M550" s="264"/>
      <c r="N550" s="264"/>
      <c r="O550" s="264"/>
      <c r="P550" s="264"/>
      <c r="Q550" s="264"/>
      <c r="R550" s="264"/>
      <c r="S550" s="264"/>
      <c r="T550" s="264"/>
      <c r="U550" s="264"/>
    </row>
    <row r="551" spans="1:21" ht="12.75" hidden="1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5"/>
      <c r="M551" s="264"/>
      <c r="N551" s="264"/>
      <c r="O551" s="264"/>
      <c r="P551" s="264"/>
      <c r="Q551" s="264"/>
      <c r="R551" s="264"/>
      <c r="S551" s="264"/>
      <c r="T551" s="264"/>
      <c r="U551" s="264"/>
    </row>
    <row r="552" spans="1:21" ht="12.75" hidden="1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5"/>
      <c r="M552" s="264"/>
      <c r="N552" s="264"/>
      <c r="O552" s="264"/>
      <c r="P552" s="264"/>
      <c r="Q552" s="264"/>
      <c r="R552" s="264"/>
      <c r="S552" s="264"/>
      <c r="T552" s="264"/>
      <c r="U552" s="264"/>
    </row>
    <row r="553" spans="1:21" ht="12.75" hidden="1">
      <c r="A553" s="407"/>
      <c r="B553" s="360"/>
      <c r="C553" s="360"/>
      <c r="D553" s="408"/>
      <c r="E553" s="408"/>
      <c r="F553" s="408"/>
      <c r="G553" s="409"/>
      <c r="H553" s="361"/>
      <c r="I553" s="362"/>
      <c r="J553" s="362"/>
      <c r="K553" s="363"/>
      <c r="L553" s="364"/>
      <c r="M553" s="363"/>
      <c r="N553" s="363"/>
      <c r="O553" s="363"/>
      <c r="P553" s="363"/>
      <c r="Q553" s="363"/>
      <c r="R553" s="363"/>
      <c r="S553" s="363"/>
      <c r="T553" s="363"/>
      <c r="U553" s="363"/>
    </row>
    <row r="554" spans="1:21" ht="19.5" hidden="1">
      <c r="A554" s="395"/>
      <c r="B554" s="396" t="s">
        <v>212</v>
      </c>
      <c r="C554" s="397"/>
      <c r="D554" s="398"/>
      <c r="E554" s="398"/>
      <c r="F554" s="398"/>
      <c r="G554" s="399"/>
      <c r="H554" s="410" t="s">
        <v>61</v>
      </c>
      <c r="I554" s="577">
        <f>I566</f>
        <v>0</v>
      </c>
      <c r="J554" s="577">
        <f>J566</f>
        <v>0</v>
      </c>
      <c r="K554" s="576">
        <f>IF(I554&gt;0,J554*100/I554,0)</f>
        <v>0</v>
      </c>
      <c r="L554" s="404"/>
      <c r="M554" s="403"/>
      <c r="N554" s="403"/>
      <c r="O554" s="403"/>
      <c r="P554" s="403"/>
      <c r="Q554" s="403"/>
      <c r="R554" s="403"/>
      <c r="S554" s="403"/>
      <c r="T554" s="403"/>
      <c r="U554" s="403"/>
    </row>
    <row r="555" spans="1:21" ht="19.5" hidden="1">
      <c r="A555" s="155"/>
      <c r="B555" s="50"/>
      <c r="C555" s="156" t="s">
        <v>18</v>
      </c>
      <c r="D555" s="575" t="s">
        <v>19</v>
      </c>
      <c r="E555" s="50"/>
      <c r="F555" s="50"/>
      <c r="G555" s="52"/>
      <c r="H555" s="158" t="s">
        <v>14</v>
      </c>
      <c r="I555" s="54"/>
      <c r="J555" s="54"/>
      <c r="K555" s="55"/>
      <c r="L555" s="541">
        <f>L556+L557</f>
        <v>0</v>
      </c>
      <c r="M555" s="540">
        <f>M556+M557</f>
        <v>0</v>
      </c>
      <c r="N555" s="540">
        <f>N556+N557</f>
        <v>0</v>
      </c>
      <c r="O555" s="540">
        <f>IF(L555&gt;0,N555*100/L555,0)</f>
        <v>0</v>
      </c>
      <c r="P555" s="540">
        <f>IF(M555&gt;0,N555*100/M555,0)</f>
        <v>0</v>
      </c>
      <c r="Q555" s="540">
        <f>Q556+Q557</f>
        <v>0</v>
      </c>
      <c r="R555" s="540">
        <f>R556+R557</f>
        <v>0</v>
      </c>
      <c r="S555" s="540">
        <f>S556+S557</f>
        <v>0</v>
      </c>
      <c r="T555" s="540">
        <f>IF(Q555&gt;0,S555*100/Q555,0)</f>
        <v>0</v>
      </c>
      <c r="U555" s="540">
        <f>IF(R555&gt;0,S555*100/R555,0)</f>
        <v>0</v>
      </c>
    </row>
    <row r="556" spans="1:21" ht="18.75" hidden="1">
      <c r="A556" s="155"/>
      <c r="B556" s="188"/>
      <c r="C556" s="50"/>
      <c r="D556" s="50"/>
      <c r="E556" s="186" t="s">
        <v>20</v>
      </c>
      <c r="F556" s="50"/>
      <c r="G556" s="52"/>
      <c r="H556" s="187" t="s">
        <v>14</v>
      </c>
      <c r="I556" s="54"/>
      <c r="J556" s="54"/>
      <c r="K556" s="55"/>
      <c r="L556" s="103">
        <f>L559+L562</f>
        <v>0</v>
      </c>
      <c r="M556" s="102">
        <f>M559+M562</f>
        <v>0</v>
      </c>
      <c r="N556" s="102">
        <f>N559+N562</f>
        <v>0</v>
      </c>
      <c r="O556" s="102">
        <f>IF(L556&gt;0,N556*100/L556,0)</f>
        <v>0</v>
      </c>
      <c r="P556" s="102">
        <f>IF(M556&gt;0,N556*100/M556,0)</f>
        <v>0</v>
      </c>
      <c r="Q556" s="102">
        <f>Q559+Q562</f>
        <v>0</v>
      </c>
      <c r="R556" s="102">
        <f>R559+R562</f>
        <v>0</v>
      </c>
      <c r="S556" s="102">
        <f>S559+S562</f>
        <v>0</v>
      </c>
      <c r="T556" s="102">
        <f>IF(Q556&gt;0,S556*100/Q556,0)</f>
        <v>0</v>
      </c>
      <c r="U556" s="102">
        <f>IF(R556&gt;0,S556*100/R556,0)</f>
        <v>0</v>
      </c>
    </row>
    <row r="557" spans="1:21" ht="18.75" hidden="1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256">
        <f>L560+L563</f>
        <v>0</v>
      </c>
      <c r="M557" s="255">
        <f>M560+M563</f>
        <v>0</v>
      </c>
      <c r="N557" s="255">
        <f>N560+N563</f>
        <v>0</v>
      </c>
      <c r="O557" s="255">
        <f>IF(L557&gt;0,N557*100/L557,0)</f>
        <v>0</v>
      </c>
      <c r="P557" s="255">
        <f>IF(M557&gt;0,N557*100/M557,0)</f>
        <v>0</v>
      </c>
      <c r="Q557" s="255">
        <f>Q560+Q563</f>
        <v>0</v>
      </c>
      <c r="R557" s="255">
        <f>R560+R563</f>
        <v>0</v>
      </c>
      <c r="S557" s="255">
        <f>S560+S563</f>
        <v>0</v>
      </c>
      <c r="T557" s="255">
        <f>IF(Q557&gt;0,S557*100/Q557,0)</f>
        <v>0</v>
      </c>
      <c r="U557" s="255">
        <f>IF(R557&gt;0,S557*100/R557,0)</f>
        <v>0</v>
      </c>
    </row>
    <row r="558" spans="1:21" ht="18.75" hidden="1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256">
        <f>L559+L560</f>
        <v>0</v>
      </c>
      <c r="M558" s="255">
        <f>M559+M560</f>
        <v>0</v>
      </c>
      <c r="N558" s="255">
        <f>N559+N560</f>
        <v>0</v>
      </c>
      <c r="O558" s="255">
        <f>IF(L558&gt;0,N558*100/L558,0)</f>
        <v>0</v>
      </c>
      <c r="P558" s="255">
        <f>IF(M558&gt;0,N558*100/M558,0)</f>
        <v>0</v>
      </c>
      <c r="Q558" s="255">
        <f>Q559+Q560</f>
        <v>0</v>
      </c>
      <c r="R558" s="255">
        <f>R559+R560</f>
        <v>0</v>
      </c>
      <c r="S558" s="255">
        <f>S559+S560</f>
        <v>0</v>
      </c>
      <c r="T558" s="255">
        <f>IF(Q558&gt;0,S558*100/Q558,0)</f>
        <v>0</v>
      </c>
      <c r="U558" s="255">
        <f>IF(R558&gt;0,S558*100/R558,0)</f>
        <v>0</v>
      </c>
    </row>
    <row r="559" spans="1:21" ht="18.75" hidden="1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103">
        <v>0</v>
      </c>
      <c r="M559" s="102">
        <v>0</v>
      </c>
      <c r="N559" s="102">
        <v>0</v>
      </c>
      <c r="O559" s="102">
        <f>IF(L559&gt;0,N559*100/L559,0)</f>
        <v>0</v>
      </c>
      <c r="P559" s="102">
        <f>IF(M559&gt;0,N559*100/M559,0)</f>
        <v>0</v>
      </c>
      <c r="Q559" s="102">
        <v>0</v>
      </c>
      <c r="R559" s="102">
        <v>0</v>
      </c>
      <c r="S559" s="102">
        <v>0</v>
      </c>
      <c r="T559" s="102">
        <f>IF(Q559&gt;0,S559*100/Q559,0)</f>
        <v>0</v>
      </c>
      <c r="U559" s="102">
        <f>IF(R559&gt;0,S559*100/R559,0)</f>
        <v>0</v>
      </c>
    </row>
    <row r="560" spans="1:21" ht="18.75" hidden="1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256">
        <v>0</v>
      </c>
      <c r="M560" s="255">
        <v>0</v>
      </c>
      <c r="N560" s="255">
        <v>0</v>
      </c>
      <c r="O560" s="255">
        <f>IF(L560&gt;0,N560*100/L560,0)</f>
        <v>0</v>
      </c>
      <c r="P560" s="255">
        <f>IF(M560&gt;0,N560*100/M560,0)</f>
        <v>0</v>
      </c>
      <c r="Q560" s="255">
        <v>0</v>
      </c>
      <c r="R560" s="255">
        <v>0</v>
      </c>
      <c r="S560" s="255">
        <v>0</v>
      </c>
      <c r="T560" s="255">
        <f>IF(Q560&gt;0,S560*100/Q560,0)</f>
        <v>0</v>
      </c>
      <c r="U560" s="255">
        <f>IF(R560&gt;0,S560*100/R560,0)</f>
        <v>0</v>
      </c>
    </row>
    <row r="561" spans="1:21" ht="18.75" hidden="1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256">
        <f>L562+L563</f>
        <v>0</v>
      </c>
      <c r="M561" s="255">
        <f>M562+M563</f>
        <v>0</v>
      </c>
      <c r="N561" s="255">
        <f>N562+N563</f>
        <v>0</v>
      </c>
      <c r="O561" s="255">
        <f>IF(L561&gt;0,N561*100/L561,0)</f>
        <v>0</v>
      </c>
      <c r="P561" s="255">
        <f>IF(M561&gt;0,N561*100/M561,0)</f>
        <v>0</v>
      </c>
      <c r="Q561" s="255">
        <f>Q562+Q563</f>
        <v>0</v>
      </c>
      <c r="R561" s="255">
        <f>R562+R563</f>
        <v>0</v>
      </c>
      <c r="S561" s="255">
        <f>S562+S563</f>
        <v>0</v>
      </c>
      <c r="T561" s="255">
        <f>IF(Q561&gt;0,S561*100/Q561,0)</f>
        <v>0</v>
      </c>
      <c r="U561" s="255">
        <f>IF(R561&gt;0,S561*100/R561,0)</f>
        <v>0</v>
      </c>
    </row>
    <row r="562" spans="1:21" ht="18.75" hidden="1">
      <c r="A562" s="155"/>
      <c r="B562" s="50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103">
        <v>0</v>
      </c>
      <c r="M562" s="102">
        <v>0</v>
      </c>
      <c r="N562" s="102">
        <v>0</v>
      </c>
      <c r="O562" s="102">
        <f>IF(L562&gt;0,N562*100/L562,0)</f>
        <v>0</v>
      </c>
      <c r="P562" s="102">
        <f>IF(M562&gt;0,N562*100/M562,0)</f>
        <v>0</v>
      </c>
      <c r="Q562" s="102">
        <v>0</v>
      </c>
      <c r="R562" s="102">
        <v>0</v>
      </c>
      <c r="S562" s="102">
        <v>0</v>
      </c>
      <c r="T562" s="102">
        <f>IF(Q562&gt;0,S562*100/Q562,0)</f>
        <v>0</v>
      </c>
      <c r="U562" s="102">
        <f>IF(R562&gt;0,S562*100/R562,0)</f>
        <v>0</v>
      </c>
    </row>
    <row r="563" spans="1:21" ht="18.75" hidden="1">
      <c r="A563" s="155"/>
      <c r="B563" s="50"/>
      <c r="C563" s="50"/>
      <c r="D563" s="50"/>
      <c r="E563" s="58" t="s">
        <v>21</v>
      </c>
      <c r="F563" s="50"/>
      <c r="G563" s="52"/>
      <c r="H563" s="165" t="s">
        <v>14</v>
      </c>
      <c r="I563" s="163"/>
      <c r="J563" s="163"/>
      <c r="K563" s="164"/>
      <c r="L563" s="256">
        <v>0</v>
      </c>
      <c r="M563" s="255">
        <v>0</v>
      </c>
      <c r="N563" s="255">
        <v>0</v>
      </c>
      <c r="O563" s="255">
        <f>IF(L563&gt;0,N563*100/L563,0)</f>
        <v>0</v>
      </c>
      <c r="P563" s="255">
        <f>IF(M563&gt;0,N563*100/M563,0)</f>
        <v>0</v>
      </c>
      <c r="Q563" s="255">
        <v>0</v>
      </c>
      <c r="R563" s="255">
        <v>0</v>
      </c>
      <c r="S563" s="255">
        <v>0</v>
      </c>
      <c r="T563" s="255">
        <f>IF(Q563&gt;0,S563*100/Q563,0)</f>
        <v>0</v>
      </c>
      <c r="U563" s="255">
        <f>IF(R563&gt;0,S563*100/R563,0)</f>
        <v>0</v>
      </c>
    </row>
    <row r="564" spans="1:21" ht="19.5" hidden="1">
      <c r="A564" s="166"/>
      <c r="B564" s="167"/>
      <c r="C564" s="411" t="s">
        <v>18</v>
      </c>
      <c r="D564" s="566" t="s">
        <v>38</v>
      </c>
      <c r="E564" s="169"/>
      <c r="F564" s="169"/>
      <c r="G564" s="170"/>
      <c r="H564" s="171"/>
      <c r="I564" s="163"/>
      <c r="J564" s="54"/>
      <c r="K564" s="55"/>
      <c r="L564" s="62"/>
      <c r="M564" s="55"/>
      <c r="N564" s="55"/>
      <c r="O564" s="164"/>
      <c r="P564" s="164"/>
      <c r="Q564" s="55"/>
      <c r="R564" s="55"/>
      <c r="S564" s="55"/>
      <c r="T564" s="164"/>
      <c r="U564" s="164"/>
    </row>
    <row r="565" spans="1:21" ht="12.75" hidden="1">
      <c r="A565" s="258"/>
      <c r="B565" s="260"/>
      <c r="C565" s="259"/>
      <c r="D565" s="260"/>
      <c r="E565" s="259"/>
      <c r="F565" s="260"/>
      <c r="G565" s="261"/>
      <c r="H565" s="261"/>
      <c r="I565" s="263"/>
      <c r="J565" s="263"/>
      <c r="K565" s="264"/>
      <c r="L565" s="265"/>
      <c r="M565" s="264"/>
      <c r="N565" s="264"/>
      <c r="O565" s="264"/>
      <c r="P565" s="264"/>
      <c r="Q565" s="264"/>
      <c r="R565" s="264"/>
      <c r="S565" s="264"/>
      <c r="T565" s="264"/>
      <c r="U565" s="264"/>
    </row>
    <row r="566" spans="1:21" ht="12.75" hidden="1">
      <c r="A566" s="258"/>
      <c r="B566" s="260"/>
      <c r="C566" s="259"/>
      <c r="D566" s="260"/>
      <c r="E566" s="259"/>
      <c r="F566" s="260"/>
      <c r="G566" s="261"/>
      <c r="H566" s="261"/>
      <c r="I566" s="263"/>
      <c r="J566" s="263"/>
      <c r="K566" s="264"/>
      <c r="L566" s="265"/>
      <c r="M566" s="264"/>
      <c r="N566" s="264"/>
      <c r="O566" s="264"/>
      <c r="P566" s="264"/>
      <c r="Q566" s="264"/>
      <c r="R566" s="264"/>
      <c r="S566" s="264"/>
      <c r="T566" s="264"/>
      <c r="U566" s="264"/>
    </row>
    <row r="567" spans="1:21" ht="12.75" hidden="1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5"/>
      <c r="M567" s="264"/>
      <c r="N567" s="264"/>
      <c r="O567" s="264"/>
      <c r="P567" s="264"/>
      <c r="Q567" s="264"/>
      <c r="R567" s="264"/>
      <c r="S567" s="264"/>
      <c r="T567" s="264"/>
      <c r="U567" s="264"/>
    </row>
    <row r="568" spans="1:21" ht="12.75" hidden="1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5"/>
      <c r="M568" s="264"/>
      <c r="N568" s="264"/>
      <c r="O568" s="264"/>
      <c r="P568" s="264"/>
      <c r="Q568" s="264"/>
      <c r="R568" s="264"/>
      <c r="S568" s="264"/>
      <c r="T568" s="264"/>
      <c r="U568" s="264"/>
    </row>
    <row r="569" spans="1:21" ht="12.75" hidden="1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5"/>
      <c r="M569" s="264"/>
      <c r="N569" s="264"/>
      <c r="O569" s="264"/>
      <c r="P569" s="264"/>
      <c r="Q569" s="264"/>
      <c r="R569" s="264"/>
      <c r="S569" s="264"/>
      <c r="T569" s="264"/>
      <c r="U569" s="264"/>
    </row>
    <row r="570" spans="1:21" ht="12.75" hidden="1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5"/>
      <c r="M570" s="264"/>
      <c r="N570" s="264"/>
      <c r="O570" s="264"/>
      <c r="P570" s="264"/>
      <c r="Q570" s="264"/>
      <c r="R570" s="264"/>
      <c r="S570" s="264"/>
      <c r="T570" s="264"/>
      <c r="U570" s="264"/>
    </row>
    <row r="571" spans="1:21" ht="12.75" hidden="1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5"/>
      <c r="M571" s="264"/>
      <c r="N571" s="264"/>
      <c r="O571" s="264"/>
      <c r="P571" s="264"/>
      <c r="Q571" s="264"/>
      <c r="R571" s="264"/>
      <c r="S571" s="264"/>
      <c r="T571" s="264"/>
      <c r="U571" s="264"/>
    </row>
    <row r="572" spans="1:21" ht="12.75" hidden="1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5"/>
      <c r="M572" s="264"/>
      <c r="N572" s="264"/>
      <c r="O572" s="264"/>
      <c r="P572" s="264"/>
      <c r="Q572" s="264"/>
      <c r="R572" s="264"/>
      <c r="S572" s="264"/>
      <c r="T572" s="264"/>
      <c r="U572" s="264"/>
    </row>
    <row r="573" spans="1:21" ht="12.75" hidden="1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5"/>
      <c r="M573" s="264"/>
      <c r="N573" s="264"/>
      <c r="O573" s="264"/>
      <c r="P573" s="264"/>
      <c r="Q573" s="264"/>
      <c r="R573" s="264"/>
      <c r="S573" s="264"/>
      <c r="T573" s="264"/>
      <c r="U573" s="264"/>
    </row>
    <row r="574" spans="1:21" ht="12.75" hidden="1">
      <c r="A574" s="407"/>
      <c r="B574" s="360"/>
      <c r="C574" s="360"/>
      <c r="D574" s="408"/>
      <c r="E574" s="408"/>
      <c r="F574" s="408"/>
      <c r="G574" s="409"/>
      <c r="H574" s="361"/>
      <c r="I574" s="362"/>
      <c r="J574" s="362"/>
      <c r="K574" s="363"/>
      <c r="L574" s="364"/>
      <c r="M574" s="363"/>
      <c r="N574" s="363"/>
      <c r="O574" s="363"/>
      <c r="P574" s="363"/>
      <c r="Q574" s="363"/>
      <c r="R574" s="363"/>
      <c r="S574" s="363"/>
      <c r="T574" s="363"/>
      <c r="U574" s="363"/>
    </row>
    <row r="575" spans="1:21" ht="19.5" hidden="1">
      <c r="A575" s="395"/>
      <c r="B575" s="396" t="s">
        <v>213</v>
      </c>
      <c r="C575" s="397"/>
      <c r="D575" s="398"/>
      <c r="E575" s="398"/>
      <c r="F575" s="398"/>
      <c r="G575" s="399"/>
      <c r="H575" s="410" t="s">
        <v>61</v>
      </c>
      <c r="I575" s="577">
        <f>I587</f>
        <v>0</v>
      </c>
      <c r="J575" s="577">
        <f>J587</f>
        <v>0</v>
      </c>
      <c r="K575" s="576">
        <f>IF(I575&gt;0,J575*100/I575,0)</f>
        <v>0</v>
      </c>
      <c r="L575" s="404"/>
      <c r="M575" s="403"/>
      <c r="N575" s="403"/>
      <c r="O575" s="403"/>
      <c r="P575" s="403"/>
      <c r="Q575" s="403"/>
      <c r="R575" s="403"/>
      <c r="S575" s="403"/>
      <c r="T575" s="403"/>
      <c r="U575" s="403"/>
    </row>
    <row r="576" spans="1:21" ht="19.5" hidden="1">
      <c r="A576" s="155"/>
      <c r="B576" s="50"/>
      <c r="C576" s="156" t="s">
        <v>18</v>
      </c>
      <c r="D576" s="575" t="s">
        <v>19</v>
      </c>
      <c r="E576" s="50"/>
      <c r="F576" s="50"/>
      <c r="G576" s="52"/>
      <c r="H576" s="158" t="s">
        <v>14</v>
      </c>
      <c r="I576" s="54"/>
      <c r="J576" s="54"/>
      <c r="K576" s="55"/>
      <c r="L576" s="541">
        <f>L577+L578</f>
        <v>0</v>
      </c>
      <c r="M576" s="540">
        <f>M577+M578</f>
        <v>0</v>
      </c>
      <c r="N576" s="540">
        <f>N577+N578</f>
        <v>0</v>
      </c>
      <c r="O576" s="540">
        <f>IF(L576&gt;0,N576*100/L576,0)</f>
        <v>0</v>
      </c>
      <c r="P576" s="540">
        <f>IF(M576&gt;0,N576*100/M576,0)</f>
        <v>0</v>
      </c>
      <c r="Q576" s="540">
        <f>Q577+Q578</f>
        <v>0</v>
      </c>
      <c r="R576" s="540">
        <f>R577+R578</f>
        <v>0</v>
      </c>
      <c r="S576" s="540">
        <f>S577+S578</f>
        <v>0</v>
      </c>
      <c r="T576" s="540">
        <f>IF(Q576&gt;0,S576*100/Q576,0)</f>
        <v>0</v>
      </c>
      <c r="U576" s="540">
        <f>IF(R576&gt;0,S576*100/R576,0)</f>
        <v>0</v>
      </c>
    </row>
    <row r="577" spans="1:21" ht="18.75" hidden="1">
      <c r="A577" s="155"/>
      <c r="B577" s="188"/>
      <c r="C577" s="50"/>
      <c r="D577" s="50"/>
      <c r="E577" s="186" t="s">
        <v>20</v>
      </c>
      <c r="F577" s="50"/>
      <c r="G577" s="52"/>
      <c r="H577" s="187" t="s">
        <v>14</v>
      </c>
      <c r="I577" s="54"/>
      <c r="J577" s="54"/>
      <c r="K577" s="55"/>
      <c r="L577" s="103">
        <f>L580+L583</f>
        <v>0</v>
      </c>
      <c r="M577" s="102">
        <f>M580+M583</f>
        <v>0</v>
      </c>
      <c r="N577" s="102">
        <f>N580+N583</f>
        <v>0</v>
      </c>
      <c r="O577" s="102">
        <f>IF(L577&gt;0,N577*100/L577,0)</f>
        <v>0</v>
      </c>
      <c r="P577" s="102">
        <f>IF(M577&gt;0,N577*100/M577,0)</f>
        <v>0</v>
      </c>
      <c r="Q577" s="102">
        <f>Q580+Q583</f>
        <v>0</v>
      </c>
      <c r="R577" s="102">
        <f>R580+R583</f>
        <v>0</v>
      </c>
      <c r="S577" s="102">
        <f>S580+S583</f>
        <v>0</v>
      </c>
      <c r="T577" s="102">
        <f>IF(Q577&gt;0,S577*100/Q577,0)</f>
        <v>0</v>
      </c>
      <c r="U577" s="102">
        <f>IF(R577&gt;0,S577*100/R577,0)</f>
        <v>0</v>
      </c>
    </row>
    <row r="578" spans="1:21" ht="18.75" hidden="1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256">
        <f>L581+L584</f>
        <v>0</v>
      </c>
      <c r="M578" s="255">
        <f>M581+M584</f>
        <v>0</v>
      </c>
      <c r="N578" s="255">
        <f>N581+N584</f>
        <v>0</v>
      </c>
      <c r="O578" s="255">
        <f>IF(L578&gt;0,N578*100/L578,0)</f>
        <v>0</v>
      </c>
      <c r="P578" s="255">
        <f>IF(M578&gt;0,N578*100/M578,0)</f>
        <v>0</v>
      </c>
      <c r="Q578" s="255">
        <f>Q581+Q584</f>
        <v>0</v>
      </c>
      <c r="R578" s="255">
        <f>R581+R584</f>
        <v>0</v>
      </c>
      <c r="S578" s="255">
        <f>S581+S584</f>
        <v>0</v>
      </c>
      <c r="T578" s="255">
        <f>IF(Q578&gt;0,S578*100/Q578,0)</f>
        <v>0</v>
      </c>
      <c r="U578" s="255">
        <f>IF(R578&gt;0,S578*100/R578,0)</f>
        <v>0</v>
      </c>
    </row>
    <row r="579" spans="1:21" ht="18.75" hidden="1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256">
        <f>L580+L581</f>
        <v>0</v>
      </c>
      <c r="M579" s="255">
        <f>M580+M581</f>
        <v>0</v>
      </c>
      <c r="N579" s="255">
        <f>N580+N581</f>
        <v>0</v>
      </c>
      <c r="O579" s="255">
        <f>IF(L579&gt;0,N579*100/L579,0)</f>
        <v>0</v>
      </c>
      <c r="P579" s="255">
        <f>IF(M579&gt;0,N579*100/M579,0)</f>
        <v>0</v>
      </c>
      <c r="Q579" s="255">
        <f>Q580+Q581</f>
        <v>0</v>
      </c>
      <c r="R579" s="255">
        <f>R580+R581</f>
        <v>0</v>
      </c>
      <c r="S579" s="255">
        <f>S580+S581</f>
        <v>0</v>
      </c>
      <c r="T579" s="255">
        <f>IF(Q579&gt;0,S579*100/Q579,0)</f>
        <v>0</v>
      </c>
      <c r="U579" s="255">
        <f>IF(R579&gt;0,S579*100/R579,0)</f>
        <v>0</v>
      </c>
    </row>
    <row r="580" spans="1:21" ht="18.75" hidden="1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103">
        <v>0</v>
      </c>
      <c r="M580" s="102">
        <v>0</v>
      </c>
      <c r="N580" s="102">
        <v>0</v>
      </c>
      <c r="O580" s="102">
        <f>IF(L580&gt;0,N580*100/L580,0)</f>
        <v>0</v>
      </c>
      <c r="P580" s="102">
        <f>IF(M580&gt;0,N580*100/M580,0)</f>
        <v>0</v>
      </c>
      <c r="Q580" s="102">
        <v>0</v>
      </c>
      <c r="R580" s="102">
        <v>0</v>
      </c>
      <c r="S580" s="102">
        <v>0</v>
      </c>
      <c r="T580" s="102">
        <f>IF(Q580&gt;0,S580*100/Q580,0)</f>
        <v>0</v>
      </c>
      <c r="U580" s="102">
        <f>IF(R580&gt;0,S580*100/R580,0)</f>
        <v>0</v>
      </c>
    </row>
    <row r="581" spans="1:21" ht="18.75" hidden="1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256">
        <v>0</v>
      </c>
      <c r="M581" s="255">
        <v>0</v>
      </c>
      <c r="N581" s="255">
        <v>0</v>
      </c>
      <c r="O581" s="255">
        <f>IF(L581&gt;0,N581*100/L581,0)</f>
        <v>0</v>
      </c>
      <c r="P581" s="255">
        <f>IF(M581&gt;0,N581*100/M581,0)</f>
        <v>0</v>
      </c>
      <c r="Q581" s="255">
        <v>0</v>
      </c>
      <c r="R581" s="255">
        <v>0</v>
      </c>
      <c r="S581" s="255">
        <v>0</v>
      </c>
      <c r="T581" s="255">
        <f>IF(Q581&gt;0,S581*100/Q581,0)</f>
        <v>0</v>
      </c>
      <c r="U581" s="255">
        <f>IF(R581&gt;0,S581*100/R581,0)</f>
        <v>0</v>
      </c>
    </row>
    <row r="582" spans="1:21" ht="18.75" hidden="1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256">
        <f>L583+L584</f>
        <v>0</v>
      </c>
      <c r="M582" s="255">
        <f>M583+M584</f>
        <v>0</v>
      </c>
      <c r="N582" s="255">
        <f>N583+N584</f>
        <v>0</v>
      </c>
      <c r="O582" s="255">
        <f>IF(L582&gt;0,N582*100/L582,0)</f>
        <v>0</v>
      </c>
      <c r="P582" s="255">
        <f>IF(M582&gt;0,N582*100/M582,0)</f>
        <v>0</v>
      </c>
      <c r="Q582" s="255">
        <f>Q583+Q584</f>
        <v>0</v>
      </c>
      <c r="R582" s="255">
        <f>R583+R584</f>
        <v>0</v>
      </c>
      <c r="S582" s="255">
        <f>S583+S584</f>
        <v>0</v>
      </c>
      <c r="T582" s="255">
        <f>IF(Q582&gt;0,S582*100/Q582,0)</f>
        <v>0</v>
      </c>
      <c r="U582" s="255">
        <f>IF(R582&gt;0,S582*100/R582,0)</f>
        <v>0</v>
      </c>
    </row>
    <row r="583" spans="1:21" ht="18.75" hidden="1">
      <c r="A583" s="155"/>
      <c r="B583" s="50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103">
        <v>0</v>
      </c>
      <c r="M583" s="102">
        <v>0</v>
      </c>
      <c r="N583" s="102">
        <v>0</v>
      </c>
      <c r="O583" s="102">
        <f>IF(L583&gt;0,N583*100/L583,0)</f>
        <v>0</v>
      </c>
      <c r="P583" s="102">
        <f>IF(M583&gt;0,N583*100/M583,0)</f>
        <v>0</v>
      </c>
      <c r="Q583" s="102">
        <v>0</v>
      </c>
      <c r="R583" s="102">
        <v>0</v>
      </c>
      <c r="S583" s="102">
        <v>0</v>
      </c>
      <c r="T583" s="102">
        <f>IF(Q583&gt;0,S583*100/Q583,0)</f>
        <v>0</v>
      </c>
      <c r="U583" s="102">
        <f>IF(R583&gt;0,S583*100/R583,0)</f>
        <v>0</v>
      </c>
    </row>
    <row r="584" spans="1:21" ht="18.75" hidden="1">
      <c r="A584" s="155"/>
      <c r="B584" s="50"/>
      <c r="C584" s="50"/>
      <c r="D584" s="50"/>
      <c r="E584" s="58" t="s">
        <v>21</v>
      </c>
      <c r="F584" s="50"/>
      <c r="G584" s="52"/>
      <c r="H584" s="165" t="s">
        <v>14</v>
      </c>
      <c r="I584" s="163"/>
      <c r="J584" s="163"/>
      <c r="K584" s="164"/>
      <c r="L584" s="256">
        <v>0</v>
      </c>
      <c r="M584" s="255">
        <v>0</v>
      </c>
      <c r="N584" s="255">
        <v>0</v>
      </c>
      <c r="O584" s="255">
        <f>IF(L584&gt;0,N584*100/L584,0)</f>
        <v>0</v>
      </c>
      <c r="P584" s="255">
        <f>IF(M584&gt;0,N584*100/M584,0)</f>
        <v>0</v>
      </c>
      <c r="Q584" s="255">
        <v>0</v>
      </c>
      <c r="R584" s="255">
        <v>0</v>
      </c>
      <c r="S584" s="255">
        <v>0</v>
      </c>
      <c r="T584" s="255">
        <f>IF(Q584&gt;0,S584*100/Q584,0)</f>
        <v>0</v>
      </c>
      <c r="U584" s="255">
        <f>IF(R584&gt;0,S584*100/R584,0)</f>
        <v>0</v>
      </c>
    </row>
    <row r="585" spans="1:21" ht="19.5" hidden="1">
      <c r="A585" s="166"/>
      <c r="B585" s="167"/>
      <c r="C585" s="411" t="s">
        <v>18</v>
      </c>
      <c r="D585" s="566" t="s">
        <v>38</v>
      </c>
      <c r="E585" s="169"/>
      <c r="F585" s="169"/>
      <c r="G585" s="170"/>
      <c r="H585" s="171"/>
      <c r="I585" s="163"/>
      <c r="J585" s="54"/>
      <c r="K585" s="55"/>
      <c r="L585" s="62"/>
      <c r="M585" s="55"/>
      <c r="N585" s="55"/>
      <c r="O585" s="164"/>
      <c r="P585" s="164"/>
      <c r="Q585" s="55"/>
      <c r="R585" s="55"/>
      <c r="S585" s="55"/>
      <c r="T585" s="164"/>
      <c r="U585" s="164"/>
    </row>
    <row r="586" spans="1:21" ht="12.75" hidden="1">
      <c r="A586" s="258"/>
      <c r="B586" s="260"/>
      <c r="C586" s="259"/>
      <c r="D586" s="260"/>
      <c r="E586" s="259"/>
      <c r="F586" s="260"/>
      <c r="G586" s="261"/>
      <c r="H586" s="261"/>
      <c r="I586" s="263"/>
      <c r="J586" s="263"/>
      <c r="K586" s="264"/>
      <c r="L586" s="265"/>
      <c r="M586" s="264"/>
      <c r="N586" s="264"/>
      <c r="O586" s="264"/>
      <c r="P586" s="264"/>
      <c r="Q586" s="264"/>
      <c r="R586" s="264"/>
      <c r="S586" s="264"/>
      <c r="T586" s="264"/>
      <c r="U586" s="264"/>
    </row>
    <row r="587" spans="1:21" ht="12.75" hidden="1">
      <c r="A587" s="258"/>
      <c r="B587" s="260"/>
      <c r="C587" s="259"/>
      <c r="D587" s="260"/>
      <c r="E587" s="259"/>
      <c r="F587" s="260"/>
      <c r="G587" s="261"/>
      <c r="H587" s="261"/>
      <c r="I587" s="263"/>
      <c r="J587" s="263"/>
      <c r="K587" s="264"/>
      <c r="L587" s="265"/>
      <c r="M587" s="264"/>
      <c r="N587" s="264"/>
      <c r="O587" s="264"/>
      <c r="P587" s="264"/>
      <c r="Q587" s="264"/>
      <c r="R587" s="264"/>
      <c r="S587" s="264"/>
      <c r="T587" s="264"/>
      <c r="U587" s="264"/>
    </row>
    <row r="588" spans="1:21" ht="12.75" hidden="1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5"/>
      <c r="M588" s="264"/>
      <c r="N588" s="264"/>
      <c r="O588" s="264"/>
      <c r="P588" s="264"/>
      <c r="Q588" s="264"/>
      <c r="R588" s="264"/>
      <c r="S588" s="264"/>
      <c r="T588" s="264"/>
      <c r="U588" s="264"/>
    </row>
    <row r="589" spans="1:21" ht="12.75" hidden="1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5"/>
      <c r="M589" s="264"/>
      <c r="N589" s="264"/>
      <c r="O589" s="264"/>
      <c r="P589" s="264"/>
      <c r="Q589" s="264"/>
      <c r="R589" s="264"/>
      <c r="S589" s="264"/>
      <c r="T589" s="264"/>
      <c r="U589" s="264"/>
    </row>
    <row r="590" spans="1:21" ht="12.75" hidden="1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5"/>
      <c r="M590" s="264"/>
      <c r="N590" s="264"/>
      <c r="O590" s="264"/>
      <c r="P590" s="264"/>
      <c r="Q590" s="264"/>
      <c r="R590" s="264"/>
      <c r="S590" s="264"/>
      <c r="T590" s="264"/>
      <c r="U590" s="264"/>
    </row>
    <row r="591" spans="1:21" ht="12.75" hidden="1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5"/>
      <c r="M591" s="264"/>
      <c r="N591" s="264"/>
      <c r="O591" s="264"/>
      <c r="P591" s="264"/>
      <c r="Q591" s="264"/>
      <c r="R591" s="264"/>
      <c r="S591" s="264"/>
      <c r="T591" s="264"/>
      <c r="U591" s="264"/>
    </row>
    <row r="592" spans="1:21" ht="12.75" hidden="1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5"/>
      <c r="M592" s="264"/>
      <c r="N592" s="264"/>
      <c r="O592" s="264"/>
      <c r="P592" s="264"/>
      <c r="Q592" s="264"/>
      <c r="R592" s="264"/>
      <c r="S592" s="264"/>
      <c r="T592" s="264"/>
      <c r="U592" s="264"/>
    </row>
    <row r="593" spans="1:21" ht="12.75" hidden="1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5"/>
      <c r="M593" s="264"/>
      <c r="N593" s="264"/>
      <c r="O593" s="264"/>
      <c r="P593" s="264"/>
      <c r="Q593" s="264"/>
      <c r="R593" s="264"/>
      <c r="S593" s="264"/>
      <c r="T593" s="264"/>
      <c r="U593" s="264"/>
    </row>
    <row r="594" spans="1:21" ht="12.75" hidden="1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5"/>
      <c r="M594" s="264"/>
      <c r="N594" s="264"/>
      <c r="O594" s="264"/>
      <c r="P594" s="264"/>
      <c r="Q594" s="264"/>
      <c r="R594" s="264"/>
      <c r="S594" s="264"/>
      <c r="T594" s="264"/>
      <c r="U594" s="264"/>
    </row>
    <row r="595" spans="1:21" ht="12.75" hidden="1">
      <c r="A595" s="407"/>
      <c r="B595" s="360"/>
      <c r="C595" s="360"/>
      <c r="D595" s="408"/>
      <c r="E595" s="408"/>
      <c r="F595" s="408"/>
      <c r="G595" s="409"/>
      <c r="H595" s="361"/>
      <c r="I595" s="362"/>
      <c r="J595" s="362"/>
      <c r="K595" s="363"/>
      <c r="L595" s="364"/>
      <c r="M595" s="363"/>
      <c r="N595" s="363"/>
      <c r="O595" s="363"/>
      <c r="P595" s="363"/>
      <c r="Q595" s="363"/>
      <c r="R595" s="363"/>
      <c r="S595" s="363"/>
      <c r="T595" s="363"/>
      <c r="U595" s="363"/>
    </row>
    <row r="596" spans="1:21" ht="19.5" hidden="1">
      <c r="A596" s="412" t="s">
        <v>214</v>
      </c>
      <c r="B596" s="144"/>
      <c r="C596" s="196"/>
      <c r="D596" s="144"/>
      <c r="E596" s="144"/>
      <c r="F596" s="144"/>
      <c r="G596" s="144"/>
      <c r="H596" s="145"/>
      <c r="I596" s="197"/>
      <c r="J596" s="197"/>
      <c r="K596" s="19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8"/>
    </row>
    <row r="597" spans="1:21" ht="19.5" hidden="1">
      <c r="A597" s="150"/>
      <c r="B597" s="413" t="s">
        <v>215</v>
      </c>
      <c r="C597" s="200"/>
      <c r="D597" s="151"/>
      <c r="E597" s="34"/>
      <c r="F597" s="34"/>
      <c r="G597" s="34"/>
      <c r="H597" s="414" t="s">
        <v>99</v>
      </c>
      <c r="I597" s="210"/>
      <c r="J597" s="39"/>
      <c r="K597" s="40"/>
      <c r="L597" s="154"/>
      <c r="M597" s="40"/>
      <c r="N597" s="40"/>
      <c r="O597" s="40"/>
      <c r="P597" s="40"/>
      <c r="Q597" s="40"/>
      <c r="R597" s="40"/>
      <c r="S597" s="40"/>
      <c r="T597" s="40"/>
      <c r="U597" s="40"/>
    </row>
    <row r="598" spans="1:21" ht="19.5" hidden="1">
      <c r="A598" s="415"/>
      <c r="B598" s="416" t="s">
        <v>216</v>
      </c>
      <c r="C598" s="151"/>
      <c r="D598" s="34"/>
      <c r="E598" s="34"/>
      <c r="F598" s="34"/>
      <c r="G598" s="37"/>
      <c r="H598" s="417" t="s">
        <v>35</v>
      </c>
      <c r="I598" s="39"/>
      <c r="J598" s="39"/>
      <c r="K598" s="40"/>
      <c r="L598" s="154"/>
      <c r="M598" s="40"/>
      <c r="N598" s="40"/>
      <c r="O598" s="40"/>
      <c r="P598" s="40"/>
      <c r="Q598" s="40"/>
      <c r="R598" s="40"/>
      <c r="S598" s="40"/>
      <c r="T598" s="40"/>
      <c r="U598" s="40"/>
    </row>
    <row r="599" spans="1:21" ht="19.5" hidden="1">
      <c r="A599" s="155"/>
      <c r="B599" s="188"/>
      <c r="C599" s="205" t="s">
        <v>18</v>
      </c>
      <c r="D599" s="563" t="s">
        <v>19</v>
      </c>
      <c r="E599" s="529"/>
      <c r="F599" s="529"/>
      <c r="G599" s="530"/>
      <c r="H599" s="418" t="s">
        <v>14</v>
      </c>
      <c r="I599" s="54"/>
      <c r="J599" s="54"/>
      <c r="K599" s="55"/>
      <c r="L599" s="541">
        <f>L600+L601</f>
        <v>0</v>
      </c>
      <c r="M599" s="540">
        <f>M600+M601</f>
        <v>0</v>
      </c>
      <c r="N599" s="540">
        <f>N600+N601</f>
        <v>0</v>
      </c>
      <c r="O599" s="540">
        <f>IF(L599&gt;0,N599*100/L599,0)</f>
        <v>0</v>
      </c>
      <c r="P599" s="540">
        <f>IF(M599&gt;0,N599*100/M599,0)</f>
        <v>0</v>
      </c>
      <c r="Q599" s="540">
        <f>Q600+Q601</f>
        <v>0</v>
      </c>
      <c r="R599" s="540">
        <f>R600+R601</f>
        <v>0</v>
      </c>
      <c r="S599" s="540">
        <f>S600+S601</f>
        <v>0</v>
      </c>
      <c r="T599" s="540">
        <f>IF(Q599&gt;0,S599*100/Q599,0)</f>
        <v>0</v>
      </c>
      <c r="U599" s="540">
        <f>IF(R599&gt;0,S599*100/R599,0)</f>
        <v>0</v>
      </c>
    </row>
    <row r="600" spans="1:21" ht="18.75" hidden="1">
      <c r="A600" s="155"/>
      <c r="B600" s="188"/>
      <c r="C600" s="188"/>
      <c r="D600" s="174"/>
      <c r="E600" s="186" t="s">
        <v>159</v>
      </c>
      <c r="F600" s="50"/>
      <c r="G600" s="52"/>
      <c r="H600" s="189" t="s">
        <v>14</v>
      </c>
      <c r="I600" s="54"/>
      <c r="J600" s="54"/>
      <c r="K600" s="55"/>
      <c r="L600" s="103">
        <f>L603+L606</f>
        <v>0</v>
      </c>
      <c r="M600" s="102">
        <f>M603+M606</f>
        <v>0</v>
      </c>
      <c r="N600" s="102">
        <f>N603+N606</f>
        <v>0</v>
      </c>
      <c r="O600" s="102">
        <f>IF(L600&gt;0,N600*100/L600,0)</f>
        <v>0</v>
      </c>
      <c r="P600" s="102">
        <f>IF(M600&gt;0,N600*100/M600,0)</f>
        <v>0</v>
      </c>
      <c r="Q600" s="102">
        <f>Q603+Q606</f>
        <v>0</v>
      </c>
      <c r="R600" s="102">
        <f>R603+R606</f>
        <v>0</v>
      </c>
      <c r="S600" s="102">
        <f>S603+S606</f>
        <v>0</v>
      </c>
      <c r="T600" s="102">
        <f>IF(Q600&gt;0,S600*100/Q600,0)</f>
        <v>0</v>
      </c>
      <c r="U600" s="102">
        <f>IF(R600&gt;0,S600*100/R600,0)</f>
        <v>0</v>
      </c>
    </row>
    <row r="601" spans="1:21" ht="18.75" hidden="1">
      <c r="A601" s="155"/>
      <c r="B601" s="188"/>
      <c r="C601" s="188"/>
      <c r="D601" s="174"/>
      <c r="E601" s="186" t="s">
        <v>160</v>
      </c>
      <c r="F601" s="50"/>
      <c r="G601" s="52"/>
      <c r="H601" s="189" t="s">
        <v>14</v>
      </c>
      <c r="I601" s="54"/>
      <c r="J601" s="54"/>
      <c r="K601" s="55"/>
      <c r="L601" s="256">
        <f>L604+L607</f>
        <v>0</v>
      </c>
      <c r="M601" s="255">
        <f>M604+M607</f>
        <v>0</v>
      </c>
      <c r="N601" s="255">
        <f>N604+N607</f>
        <v>0</v>
      </c>
      <c r="O601" s="255">
        <f>IF(L601&gt;0,N601*100/L601,0)</f>
        <v>0</v>
      </c>
      <c r="P601" s="255">
        <f>IF(M601&gt;0,N601*100/M601,0)</f>
        <v>0</v>
      </c>
      <c r="Q601" s="255">
        <f>Q604+Q607</f>
        <v>0</v>
      </c>
      <c r="R601" s="255">
        <f>R604+R607</f>
        <v>0</v>
      </c>
      <c r="S601" s="255">
        <f>S604+S607</f>
        <v>0</v>
      </c>
      <c r="T601" s="255">
        <f>IF(Q601&gt;0,S601*100/Q601,0)</f>
        <v>0</v>
      </c>
      <c r="U601" s="255">
        <f>IF(R601&gt;0,S601*100/R601,0)</f>
        <v>0</v>
      </c>
    </row>
    <row r="602" spans="1:21" ht="19.5" hidden="1">
      <c r="A602" s="155"/>
      <c r="B602" s="188"/>
      <c r="C602" s="188"/>
      <c r="D602" s="562" t="s">
        <v>22</v>
      </c>
      <c r="E602" s="50"/>
      <c r="F602" s="50"/>
      <c r="G602" s="52"/>
      <c r="H602" s="418" t="s">
        <v>14</v>
      </c>
      <c r="I602" s="163"/>
      <c r="J602" s="163"/>
      <c r="K602" s="164"/>
      <c r="L602" s="256">
        <f>L603+L604</f>
        <v>0</v>
      </c>
      <c r="M602" s="255">
        <f>M603+M604</f>
        <v>0</v>
      </c>
      <c r="N602" s="255">
        <f>N603+N604</f>
        <v>0</v>
      </c>
      <c r="O602" s="255">
        <f>IF(L602&gt;0,N602*100/L602,0)</f>
        <v>0</v>
      </c>
      <c r="P602" s="255">
        <f>IF(M602&gt;0,N602*100/M602,0)</f>
        <v>0</v>
      </c>
      <c r="Q602" s="255">
        <f>Q603+Q604</f>
        <v>0</v>
      </c>
      <c r="R602" s="255">
        <f>R603+R604</f>
        <v>0</v>
      </c>
      <c r="S602" s="255">
        <f>S603+S604</f>
        <v>0</v>
      </c>
      <c r="T602" s="255">
        <f>IF(Q602&gt;0,S602*100/Q602,0)</f>
        <v>0</v>
      </c>
      <c r="U602" s="255">
        <f>IF(R602&gt;0,S602*100/R602,0)</f>
        <v>0</v>
      </c>
    </row>
    <row r="603" spans="1:21" ht="18.75" hidden="1">
      <c r="A603" s="155"/>
      <c r="B603" s="188"/>
      <c r="C603" s="188"/>
      <c r="D603" s="174"/>
      <c r="E603" s="186" t="s">
        <v>159</v>
      </c>
      <c r="F603" s="50"/>
      <c r="G603" s="52"/>
      <c r="H603" s="189" t="s">
        <v>14</v>
      </c>
      <c r="I603" s="54"/>
      <c r="J603" s="54"/>
      <c r="K603" s="55"/>
      <c r="L603" s="103">
        <v>0</v>
      </c>
      <c r="M603" s="102">
        <v>0</v>
      </c>
      <c r="N603" s="102">
        <v>0</v>
      </c>
      <c r="O603" s="102">
        <f>IF(L603&gt;0,N603*100/L603,0)</f>
        <v>0</v>
      </c>
      <c r="P603" s="102">
        <f>IF(M603&gt;0,N603*100/M603,0)</f>
        <v>0</v>
      </c>
      <c r="Q603" s="102">
        <v>0</v>
      </c>
      <c r="R603" s="102">
        <v>0</v>
      </c>
      <c r="S603" s="102">
        <v>0</v>
      </c>
      <c r="T603" s="102">
        <f>IF(Q603&gt;0,S603*100/Q603,0)</f>
        <v>0</v>
      </c>
      <c r="U603" s="102">
        <f>IF(R603&gt;0,S603*100/R603,0)</f>
        <v>0</v>
      </c>
    </row>
    <row r="604" spans="1:21" ht="18.75" hidden="1">
      <c r="A604" s="155"/>
      <c r="B604" s="188"/>
      <c r="C604" s="188"/>
      <c r="D604" s="174"/>
      <c r="E604" s="186" t="s">
        <v>160</v>
      </c>
      <c r="F604" s="50"/>
      <c r="G604" s="52"/>
      <c r="H604" s="189" t="s">
        <v>14</v>
      </c>
      <c r="I604" s="54"/>
      <c r="J604" s="54"/>
      <c r="K604" s="55"/>
      <c r="L604" s="256">
        <v>0</v>
      </c>
      <c r="M604" s="255">
        <v>0</v>
      </c>
      <c r="N604" s="255">
        <v>0</v>
      </c>
      <c r="O604" s="255">
        <f>IF(L604&gt;0,N604*100/L604,0)</f>
        <v>0</v>
      </c>
      <c r="P604" s="255">
        <f>IF(M604&gt;0,N604*100/M604,0)</f>
        <v>0</v>
      </c>
      <c r="Q604" s="255">
        <v>0</v>
      </c>
      <c r="R604" s="255">
        <v>0</v>
      </c>
      <c r="S604" s="255">
        <v>0</v>
      </c>
      <c r="T604" s="255">
        <f>IF(Q604&gt;0,S604*100/Q604,0)</f>
        <v>0</v>
      </c>
      <c r="U604" s="255">
        <f>IF(R604&gt;0,S604*100/R604,0)</f>
        <v>0</v>
      </c>
    </row>
    <row r="605" spans="1:21" ht="19.5" hidden="1">
      <c r="A605" s="155"/>
      <c r="B605" s="188"/>
      <c r="C605" s="188"/>
      <c r="D605" s="562" t="s">
        <v>23</v>
      </c>
      <c r="E605" s="188"/>
      <c r="F605" s="50"/>
      <c r="G605" s="52"/>
      <c r="H605" s="420" t="s">
        <v>14</v>
      </c>
      <c r="I605" s="163"/>
      <c r="J605" s="163"/>
      <c r="K605" s="164"/>
      <c r="L605" s="256">
        <f>L606+L607</f>
        <v>0</v>
      </c>
      <c r="M605" s="255">
        <f>M606+M607</f>
        <v>0</v>
      </c>
      <c r="N605" s="255">
        <f>N606+N607</f>
        <v>0</v>
      </c>
      <c r="O605" s="255">
        <f>IF(L605&gt;0,N605*100/L605,0)</f>
        <v>0</v>
      </c>
      <c r="P605" s="255">
        <f>IF(M605&gt;0,N605*100/M605,0)</f>
        <v>0</v>
      </c>
      <c r="Q605" s="255">
        <f>Q606+Q607</f>
        <v>0</v>
      </c>
      <c r="R605" s="255">
        <f>R606+R607</f>
        <v>0</v>
      </c>
      <c r="S605" s="255">
        <f>S606+S607</f>
        <v>0</v>
      </c>
      <c r="T605" s="255">
        <f>IF(Q605&gt;0,S605*100/Q605,0)</f>
        <v>0</v>
      </c>
      <c r="U605" s="255">
        <f>IF(R605&gt;0,S605*100/R605,0)</f>
        <v>0</v>
      </c>
    </row>
    <row r="606" spans="1:21" ht="18.75" hidden="1">
      <c r="A606" s="155"/>
      <c r="B606" s="188"/>
      <c r="C606" s="188"/>
      <c r="D606" s="188"/>
      <c r="E606" s="358" t="s">
        <v>20</v>
      </c>
      <c r="F606" s="50"/>
      <c r="G606" s="52"/>
      <c r="H606" s="189" t="s">
        <v>14</v>
      </c>
      <c r="I606" s="163"/>
      <c r="J606" s="163"/>
      <c r="K606" s="164"/>
      <c r="L606" s="103">
        <v>0</v>
      </c>
      <c r="M606" s="102">
        <v>0</v>
      </c>
      <c r="N606" s="102">
        <v>0</v>
      </c>
      <c r="O606" s="102">
        <f>IF(L606&gt;0,N606*100/L606,0)</f>
        <v>0</v>
      </c>
      <c r="P606" s="102">
        <f>IF(M606&gt;0,N606*100/M606,0)</f>
        <v>0</v>
      </c>
      <c r="Q606" s="102">
        <v>0</v>
      </c>
      <c r="R606" s="102">
        <v>0</v>
      </c>
      <c r="S606" s="102">
        <v>0</v>
      </c>
      <c r="T606" s="102">
        <f>IF(Q606&gt;0,S606*100/Q606,0)</f>
        <v>0</v>
      </c>
      <c r="U606" s="102">
        <f>IF(R606&gt;0,S606*100/R606,0)</f>
        <v>0</v>
      </c>
    </row>
    <row r="607" spans="1:21" ht="18.75" hidden="1">
      <c r="A607" s="155"/>
      <c r="B607" s="188"/>
      <c r="C607" s="188"/>
      <c r="D607" s="50"/>
      <c r="E607" s="358" t="s">
        <v>21</v>
      </c>
      <c r="F607" s="50"/>
      <c r="G607" s="52"/>
      <c r="H607" s="421" t="s">
        <v>14</v>
      </c>
      <c r="I607" s="163"/>
      <c r="J607" s="163"/>
      <c r="K607" s="164"/>
      <c r="L607" s="256">
        <v>0</v>
      </c>
      <c r="M607" s="255">
        <v>0</v>
      </c>
      <c r="N607" s="255">
        <v>0</v>
      </c>
      <c r="O607" s="255">
        <f>IF(L607&gt;0,N607*100/L607,0)</f>
        <v>0</v>
      </c>
      <c r="P607" s="255">
        <f>IF(M607&gt;0,N607*100/M607,0)</f>
        <v>0</v>
      </c>
      <c r="Q607" s="255">
        <v>0</v>
      </c>
      <c r="R607" s="255">
        <v>0</v>
      </c>
      <c r="S607" s="255">
        <v>0</v>
      </c>
      <c r="T607" s="255">
        <f>IF(Q607&gt;0,S607*100/Q607,0)</f>
        <v>0</v>
      </c>
      <c r="U607" s="255">
        <f>IF(R607&gt;0,S607*100/R607,0)</f>
        <v>0</v>
      </c>
    </row>
    <row r="608" spans="1:21" ht="19.5" hidden="1">
      <c r="A608" s="166"/>
      <c r="B608" s="167"/>
      <c r="C608" s="205" t="s">
        <v>18</v>
      </c>
      <c r="D608" s="574" t="s">
        <v>38</v>
      </c>
      <c r="E608" s="169"/>
      <c r="F608" s="169"/>
      <c r="G608" s="170"/>
      <c r="H608" s="206"/>
      <c r="I608" s="163"/>
      <c r="J608" s="163"/>
      <c r="K608" s="164"/>
      <c r="L608" s="62"/>
      <c r="M608" s="55"/>
      <c r="N608" s="55"/>
      <c r="O608" s="55"/>
      <c r="P608" s="55"/>
      <c r="Q608" s="55"/>
      <c r="R608" s="55"/>
      <c r="S608" s="55"/>
      <c r="T608" s="55"/>
      <c r="U608" s="55"/>
    </row>
    <row r="609" spans="1:21" ht="18.75" hidden="1">
      <c r="A609" s="166"/>
      <c r="B609" s="167"/>
      <c r="C609" s="167"/>
      <c r="D609" s="423" t="s">
        <v>217</v>
      </c>
      <c r="E609" s="174"/>
      <c r="F609" s="174"/>
      <c r="G609" s="171"/>
      <c r="H609" s="189" t="s">
        <v>99</v>
      </c>
      <c r="I609" s="54"/>
      <c r="J609" s="54"/>
      <c r="K609" s="164"/>
      <c r="L609" s="62"/>
      <c r="M609" s="55"/>
      <c r="N609" s="55"/>
      <c r="O609" s="55"/>
      <c r="P609" s="55"/>
      <c r="Q609" s="55"/>
      <c r="R609" s="55"/>
      <c r="S609" s="55"/>
      <c r="T609" s="55"/>
      <c r="U609" s="55"/>
    </row>
    <row r="610" spans="1:21" ht="19.5" hidden="1">
      <c r="A610" s="166"/>
      <c r="B610" s="167"/>
      <c r="C610" s="167"/>
      <c r="D610" s="423" t="s">
        <v>218</v>
      </c>
      <c r="E610" s="174"/>
      <c r="F610" s="174"/>
      <c r="G610" s="171"/>
      <c r="H610" s="418" t="s">
        <v>35</v>
      </c>
      <c r="I610" s="54"/>
      <c r="J610" s="54"/>
      <c r="K610" s="164"/>
      <c r="L610" s="62"/>
      <c r="M610" s="55"/>
      <c r="N610" s="55"/>
      <c r="O610" s="55"/>
      <c r="P610" s="55"/>
      <c r="Q610" s="55"/>
      <c r="R610" s="55"/>
      <c r="S610" s="55"/>
      <c r="T610" s="55"/>
      <c r="U610" s="55"/>
    </row>
    <row r="611" spans="1:21" ht="18.75" hidden="1">
      <c r="A611" s="166"/>
      <c r="B611" s="167"/>
      <c r="C611" s="167"/>
      <c r="D611" s="167"/>
      <c r="E611" s="423" t="s">
        <v>219</v>
      </c>
      <c r="F611" s="174"/>
      <c r="G611" s="171"/>
      <c r="H611" s="421" t="s">
        <v>35</v>
      </c>
      <c r="I611" s="54"/>
      <c r="J611" s="54"/>
      <c r="K611" s="164"/>
      <c r="L611" s="62"/>
      <c r="M611" s="55"/>
      <c r="N611" s="55"/>
      <c r="O611" s="55"/>
      <c r="P611" s="55"/>
      <c r="Q611" s="55"/>
      <c r="R611" s="55"/>
      <c r="S611" s="55"/>
      <c r="T611" s="55"/>
      <c r="U611" s="55"/>
    </row>
    <row r="612" spans="1:21" ht="19.5" hidden="1" thickBot="1">
      <c r="A612" s="424"/>
      <c r="B612" s="425"/>
      <c r="C612" s="425"/>
      <c r="D612" s="425"/>
      <c r="E612" s="426" t="s">
        <v>220</v>
      </c>
      <c r="F612" s="427"/>
      <c r="G612" s="428"/>
      <c r="H612" s="429" t="s">
        <v>35</v>
      </c>
      <c r="I612" s="430"/>
      <c r="J612" s="430"/>
      <c r="K612" s="431"/>
      <c r="L612" s="433"/>
      <c r="M612" s="432"/>
      <c r="N612" s="432"/>
      <c r="O612" s="432"/>
      <c r="P612" s="432"/>
      <c r="Q612" s="432"/>
      <c r="R612" s="432"/>
      <c r="S612" s="432"/>
      <c r="T612" s="432"/>
      <c r="U612" s="432"/>
    </row>
    <row r="613" spans="1:21" ht="19.5" hidden="1">
      <c r="A613" s="434" t="s">
        <v>221</v>
      </c>
      <c r="B613" s="435"/>
      <c r="C613" s="435"/>
      <c r="D613" s="436"/>
      <c r="E613" s="436"/>
      <c r="F613" s="436"/>
      <c r="G613" s="437"/>
      <c r="H613" s="438"/>
      <c r="I613" s="439"/>
      <c r="J613" s="439"/>
      <c r="K613" s="440"/>
      <c r="L613" s="441"/>
      <c r="M613" s="440"/>
      <c r="N613" s="440"/>
      <c r="O613" s="440"/>
      <c r="P613" s="440"/>
      <c r="Q613" s="440"/>
      <c r="R613" s="440"/>
      <c r="S613" s="440"/>
      <c r="T613" s="440"/>
      <c r="U613" s="440"/>
    </row>
    <row r="614" spans="1:21" ht="19.5">
      <c r="A614" s="442"/>
      <c r="B614" s="443" t="s">
        <v>222</v>
      </c>
      <c r="C614" s="442"/>
      <c r="D614" s="444"/>
      <c r="E614" s="444"/>
      <c r="F614" s="444"/>
      <c r="G614" s="445"/>
      <c r="H614" s="446"/>
      <c r="I614" s="447"/>
      <c r="J614" s="447"/>
      <c r="K614" s="448"/>
      <c r="L614" s="449"/>
      <c r="M614" s="448"/>
      <c r="N614" s="448"/>
      <c r="O614" s="448"/>
      <c r="P614" s="448"/>
      <c r="Q614" s="448"/>
      <c r="R614" s="448"/>
      <c r="S614" s="448"/>
      <c r="T614" s="448"/>
      <c r="U614" s="448"/>
    </row>
    <row r="615" spans="1:21" ht="19.5">
      <c r="A615" s="450"/>
      <c r="B615" s="451" t="s">
        <v>223</v>
      </c>
      <c r="C615" s="450"/>
      <c r="D615" s="452"/>
      <c r="E615" s="452"/>
      <c r="F615" s="452"/>
      <c r="G615" s="453"/>
      <c r="H615" s="454" t="s">
        <v>46</v>
      </c>
      <c r="I615" s="573">
        <f ca="1">I626</f>
        <v>100</v>
      </c>
      <c r="J615" s="573">
        <f>J626</f>
        <v>0</v>
      </c>
      <c r="K615" s="572">
        <f ca="1">IF(I615&gt;0,J615*100/I615,0)</f>
        <v>0</v>
      </c>
      <c r="L615" s="458"/>
      <c r="M615" s="457"/>
      <c r="N615" s="457"/>
      <c r="O615" s="457"/>
      <c r="P615" s="457"/>
      <c r="Q615" s="457"/>
      <c r="R615" s="457"/>
      <c r="S615" s="457"/>
      <c r="T615" s="457"/>
      <c r="U615" s="457"/>
    </row>
    <row r="616" spans="1:21" ht="19.5">
      <c r="A616" s="155"/>
      <c r="B616" s="188"/>
      <c r="C616" s="768" t="s">
        <v>18</v>
      </c>
      <c r="D616" s="542" t="s">
        <v>19</v>
      </c>
      <c r="E616" s="529"/>
      <c r="F616" s="529"/>
      <c r="G616" s="530"/>
      <c r="H616" s="252" t="s">
        <v>14</v>
      </c>
      <c r="I616" s="54"/>
      <c r="J616" s="54"/>
      <c r="K616" s="55"/>
      <c r="L616" s="541">
        <f>L617+L618</f>
        <v>0</v>
      </c>
      <c r="M616" s="540">
        <f>M617+M618</f>
        <v>0</v>
      </c>
      <c r="N616" s="540">
        <f>N617+N618</f>
        <v>0</v>
      </c>
      <c r="O616" s="540">
        <f>IF(L616&gt;0,N616*100/L616,0)</f>
        <v>0</v>
      </c>
      <c r="P616" s="540">
        <f>IF(M616&gt;0,N616*100/M616,0)</f>
        <v>0</v>
      </c>
      <c r="Q616" s="540">
        <f ca="1">Q617+Q618</f>
        <v>12750</v>
      </c>
      <c r="R616" s="540">
        <f ca="1">R617+R618</f>
        <v>12750</v>
      </c>
      <c r="S616" s="540">
        <f ca="1">S617+S618</f>
        <v>0</v>
      </c>
      <c r="T616" s="540">
        <f ca="1">IF(Q616&gt;0,S616*100/Q616,0)</f>
        <v>0</v>
      </c>
      <c r="U616" s="540">
        <f ca="1">IF(R616&gt;0,S616*100/R616,0)</f>
        <v>0</v>
      </c>
    </row>
    <row r="617" spans="1:21" ht="18.75" hidden="1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103">
        <f>L620+L623</f>
        <v>0</v>
      </c>
      <c r="M617" s="102">
        <f>M620+M623</f>
        <v>0</v>
      </c>
      <c r="N617" s="102">
        <f>N620+N623</f>
        <v>0</v>
      </c>
      <c r="O617" s="102">
        <f>IF(L617&gt;0,N617*100/L617,0)</f>
        <v>0</v>
      </c>
      <c r="P617" s="102">
        <f>IF(M617&gt;0,N617*100/M617,0)</f>
        <v>0</v>
      </c>
      <c r="Q617" s="102">
        <f>Q620+Q623</f>
        <v>0</v>
      </c>
      <c r="R617" s="102">
        <f>R620+R623</f>
        <v>0</v>
      </c>
      <c r="S617" s="102">
        <f>S620+S623</f>
        <v>0</v>
      </c>
      <c r="T617" s="102">
        <f>IF(Q617&gt;0,S617*100/Q617,0)</f>
        <v>0</v>
      </c>
      <c r="U617" s="102">
        <f>IF(R617&gt;0,S617*100/R617,0)</f>
        <v>0</v>
      </c>
    </row>
    <row r="618" spans="1:21" ht="18.75" hidden="1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256">
        <f>L621+L624</f>
        <v>0</v>
      </c>
      <c r="M618" s="255">
        <f>M621+M624</f>
        <v>0</v>
      </c>
      <c r="N618" s="255">
        <f>N621+N624</f>
        <v>0</v>
      </c>
      <c r="O618" s="255">
        <f>IF(L618&gt;0,N618*100/L618,0)</f>
        <v>0</v>
      </c>
      <c r="P618" s="255">
        <f>IF(M618&gt;0,N618*100/M618,0)</f>
        <v>0</v>
      </c>
      <c r="Q618" s="255">
        <f ca="1">Q621+Q624</f>
        <v>12750</v>
      </c>
      <c r="R618" s="255">
        <f ca="1">R621+R624</f>
        <v>12750</v>
      </c>
      <c r="S618" s="255">
        <f ca="1">S621+S624</f>
        <v>0</v>
      </c>
      <c r="T618" s="255">
        <f ca="1">IF(Q618&gt;0,S618*100/Q618,0)</f>
        <v>0</v>
      </c>
      <c r="U618" s="255">
        <f ca="1">IF(R618&gt;0,S618*100/R618,0)</f>
        <v>0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256">
        <f>L620+L621</f>
        <v>0</v>
      </c>
      <c r="M619" s="255">
        <f>M620+M621</f>
        <v>0</v>
      </c>
      <c r="N619" s="255">
        <f>N620+N621</f>
        <v>0</v>
      </c>
      <c r="O619" s="255">
        <f>IF(L619&gt;0,N619*100/L619,0)</f>
        <v>0</v>
      </c>
      <c r="P619" s="255">
        <f>IF(M619&gt;0,N619*100/M619,0)</f>
        <v>0</v>
      </c>
      <c r="Q619" s="255">
        <f ca="1">Q620+Q621</f>
        <v>12750</v>
      </c>
      <c r="R619" s="255">
        <f ca="1">R620+R621</f>
        <v>12750</v>
      </c>
      <c r="S619" s="255">
        <f ca="1">S620+S621</f>
        <v>0</v>
      </c>
      <c r="T619" s="255">
        <f ca="1">IF(Q619&gt;0,S619*100/Q619,0)</f>
        <v>0</v>
      </c>
      <c r="U619" s="255">
        <f ca="1">IF(R619&gt;0,S619*100/R619,0)</f>
        <v>0</v>
      </c>
    </row>
    <row r="620" spans="1:21" ht="18.75" hidden="1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103">
        <v>0</v>
      </c>
      <c r="M620" s="102">
        <v>0</v>
      </c>
      <c r="N620" s="102">
        <v>0</v>
      </c>
      <c r="O620" s="102">
        <f>IF(L620&gt;0,N620*100/L620,0)</f>
        <v>0</v>
      </c>
      <c r="P620" s="102">
        <f>IF(M620&gt;0,N620*100/M620,0)</f>
        <v>0</v>
      </c>
      <c r="Q620" s="102">
        <v>0</v>
      </c>
      <c r="R620" s="102">
        <v>0</v>
      </c>
      <c r="S620" s="102">
        <v>0</v>
      </c>
      <c r="T620" s="102">
        <f>IF(Q620&gt;0,S620*100/Q620,0)</f>
        <v>0</v>
      </c>
      <c r="U620" s="102">
        <f>IF(R620&gt;0,S620*100/R620,0)</f>
        <v>0</v>
      </c>
    </row>
    <row r="621" spans="1:21" ht="18.75" hidden="1">
      <c r="A621" s="155"/>
      <c r="B621" s="188"/>
      <c r="C621" s="188"/>
      <c r="D621" s="174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256">
        <v>0</v>
      </c>
      <c r="M621" s="255">
        <v>0</v>
      </c>
      <c r="N621" s="255">
        <v>0</v>
      </c>
      <c r="O621" s="255">
        <f>IF(L621&gt;0,N621*100/L621,0)</f>
        <v>0</v>
      </c>
      <c r="P621" s="255">
        <f>IF(M621&gt;0,N621*100/M621,0)</f>
        <v>0</v>
      </c>
      <c r="Q621" s="255">
        <f ca="1">IFERROR(__xludf.DUMMYFUNCTION("IMPORTRANGE(""https://docs.google.com/spreadsheets/d/1ItG2mGa2ceCfYo0BwxsXqNm01IGEUdYcSSLTEv9YCik/edit?usp=sharing"",""เบิกจ่ายกองทุน!F33"")"),12750)</f>
        <v>12750</v>
      </c>
      <c r="R621" s="255">
        <f ca="1">IFERROR(__xludf.DUMMYFUNCTION("IMPORTRANGE(""https://docs.google.com/spreadsheets/d/1ItG2mGa2ceCfYo0BwxsXqNm01IGEUdYcSSLTEv9YCik/edit?usp=sharing"",""เบิกจ่ายกองทุน!G33"")"),12750)</f>
        <v>12750</v>
      </c>
      <c r="S621" s="255">
        <f ca="1">IFERROR(__xludf.DUMMYFUNCTION("IMPORTRANGE(""https://docs.google.com/spreadsheets/d/1ItG2mGa2ceCfYo0BwxsXqNm01IGEUdYcSSLTEv9YCik/edit?usp=sharing"",""เบิกจ่ายกองทุน!H33"")"),0)</f>
        <v>0</v>
      </c>
      <c r="T621" s="255">
        <f ca="1">IF(Q621&gt;0,S621*100/Q621,0)</f>
        <v>0</v>
      </c>
      <c r="U621" s="255">
        <f ca="1">IF(R621&gt;0,S621*100/R621,0)</f>
        <v>0</v>
      </c>
    </row>
    <row r="622" spans="1:21" ht="18.75">
      <c r="A622" s="155"/>
      <c r="B622" s="188"/>
      <c r="C622" s="188"/>
      <c r="D622" s="51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256">
        <f>L623+L624</f>
        <v>0</v>
      </c>
      <c r="M622" s="255">
        <f>M623+M624</f>
        <v>0</v>
      </c>
      <c r="N622" s="255">
        <f>N623+N624</f>
        <v>0</v>
      </c>
      <c r="O622" s="255">
        <f>IF(L622&gt;0,N622*100/L622,0)</f>
        <v>0</v>
      </c>
      <c r="P622" s="255">
        <f>IF(M622&gt;0,N622*100/M622,0)</f>
        <v>0</v>
      </c>
      <c r="Q622" s="255">
        <f>Q623+Q624</f>
        <v>0</v>
      </c>
      <c r="R622" s="255">
        <f>R623+R624</f>
        <v>0</v>
      </c>
      <c r="S622" s="255">
        <f>S623+S624</f>
        <v>0</v>
      </c>
      <c r="T622" s="255">
        <f>IF(Q622&gt;0,S622*100/Q622,0)</f>
        <v>0</v>
      </c>
      <c r="U622" s="255">
        <f>IF(R622&gt;0,S622*100/R622,0)</f>
        <v>0</v>
      </c>
    </row>
    <row r="623" spans="1:21" ht="18.75" hidden="1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103">
        <v>0</v>
      </c>
      <c r="M623" s="102">
        <v>0</v>
      </c>
      <c r="N623" s="102">
        <v>0</v>
      </c>
      <c r="O623" s="102">
        <f>IF(L623&gt;0,N623*100/L623,0)</f>
        <v>0</v>
      </c>
      <c r="P623" s="102">
        <f>IF(M623&gt;0,N623*100/M623,0)</f>
        <v>0</v>
      </c>
      <c r="Q623" s="102">
        <v>0</v>
      </c>
      <c r="R623" s="102">
        <v>0</v>
      </c>
      <c r="S623" s="102">
        <v>0</v>
      </c>
      <c r="T623" s="102">
        <f>IF(Q623&gt;0,S623*100/Q623,0)</f>
        <v>0</v>
      </c>
      <c r="U623" s="102">
        <f>IF(R623&gt;0,S623*100/R623,0)</f>
        <v>0</v>
      </c>
    </row>
    <row r="624" spans="1:21" ht="18.75" hidden="1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256">
        <v>0</v>
      </c>
      <c r="M624" s="255">
        <v>0</v>
      </c>
      <c r="N624" s="255">
        <v>0</v>
      </c>
      <c r="O624" s="255">
        <f>IF(L624&gt;0,N624*100/L624,0)</f>
        <v>0</v>
      </c>
      <c r="P624" s="255">
        <f>IF(M624&gt;0,N624*100/M624,0)</f>
        <v>0</v>
      </c>
      <c r="Q624" s="255">
        <v>0</v>
      </c>
      <c r="R624" s="255">
        <v>0</v>
      </c>
      <c r="S624" s="255">
        <v>0</v>
      </c>
      <c r="T624" s="255">
        <f>IF(Q624&gt;0,S624*100/Q624,0)</f>
        <v>0</v>
      </c>
      <c r="U624" s="255">
        <f>IF(R624&gt;0,S624*100/R624,0)</f>
        <v>0</v>
      </c>
    </row>
    <row r="625" spans="1:21" ht="19.5">
      <c r="A625" s="166"/>
      <c r="B625" s="167"/>
      <c r="C625" s="768" t="s">
        <v>18</v>
      </c>
      <c r="D625" s="539" t="s">
        <v>38</v>
      </c>
      <c r="E625" s="169"/>
      <c r="F625" s="169"/>
      <c r="G625" s="170"/>
      <c r="H625" s="206"/>
      <c r="I625" s="163"/>
      <c r="J625" s="163"/>
      <c r="K625" s="164"/>
      <c r="L625" s="172"/>
      <c r="M625" s="164"/>
      <c r="N625" s="164"/>
      <c r="O625" s="164"/>
      <c r="P625" s="164"/>
      <c r="Q625" s="164"/>
      <c r="R625" s="164"/>
      <c r="S625" s="164"/>
      <c r="T625" s="164"/>
      <c r="U625" s="164"/>
    </row>
    <row r="626" spans="1:21" ht="19.5">
      <c r="A626" s="166"/>
      <c r="B626" s="167"/>
      <c r="C626" s="167"/>
      <c r="D626" s="460" t="s">
        <v>224</v>
      </c>
      <c r="E626" s="174"/>
      <c r="F626" s="174"/>
      <c r="G626" s="171"/>
      <c r="H626" s="461" t="s">
        <v>46</v>
      </c>
      <c r="I626" s="373">
        <f ca="1">IFERROR(__xludf.DUMMYFUNCTION("IMPORTRANGE(""https://docs.google.com/spreadsheets/d/1eHaY18a8A9IcSdp1K8H6x8fbOy06t2VsZHhMHf-1x7Y/edit?usp=sharing"",""แผน!ID33"")"),100)</f>
        <v>100</v>
      </c>
      <c r="J626" s="373">
        <f>J632</f>
        <v>0</v>
      </c>
      <c r="K626" s="540">
        <f ca="1">IF(I626&gt;0,J626*100/I626,0)</f>
        <v>0</v>
      </c>
      <c r="L626" s="172"/>
      <c r="M626" s="164"/>
      <c r="N626" s="164"/>
      <c r="O626" s="164"/>
      <c r="P626" s="164"/>
      <c r="Q626" s="164"/>
      <c r="R626" s="164"/>
      <c r="S626" s="164"/>
      <c r="T626" s="164"/>
      <c r="U626" s="164"/>
    </row>
    <row r="627" spans="1:21" ht="18.75">
      <c r="A627" s="166"/>
      <c r="B627" s="167"/>
      <c r="C627" s="167"/>
      <c r="D627" s="167"/>
      <c r="E627" s="178" t="s">
        <v>225</v>
      </c>
      <c r="F627" s="174"/>
      <c r="G627" s="171"/>
      <c r="H627" s="165" t="s">
        <v>61</v>
      </c>
      <c r="I627" s="212">
        <f ca="1">IFERROR(__xludf.DUMMYFUNCTION("IMPORTRANGE(""https://docs.google.com/spreadsheets/d/1eHaY18a8A9IcSdp1K8H6x8fbOy06t2VsZHhMHf-1x7Y/edit?usp=sharing"",""แผน!IC33"")"),1)</f>
        <v>1</v>
      </c>
      <c r="J627" s="467">
        <v>0</v>
      </c>
      <c r="K627" s="255">
        <f ca="1">IF(I627&gt;0,(J627*100)/I627,0)</f>
        <v>0</v>
      </c>
      <c r="L627" s="172"/>
      <c r="M627" s="164"/>
      <c r="N627" s="164"/>
      <c r="O627" s="164"/>
      <c r="P627" s="164"/>
      <c r="Q627" s="164"/>
      <c r="R627" s="164"/>
      <c r="S627" s="164"/>
      <c r="T627" s="164"/>
      <c r="U627" s="164"/>
    </row>
    <row r="628" spans="1:21" ht="18.75">
      <c r="A628" s="166"/>
      <c r="B628" s="167"/>
      <c r="C628" s="167"/>
      <c r="D628" s="167"/>
      <c r="E628" s="178" t="s">
        <v>226</v>
      </c>
      <c r="F628" s="174"/>
      <c r="G628" s="171"/>
      <c r="H628" s="165" t="s">
        <v>61</v>
      </c>
      <c r="I628" s="212">
        <f ca="1">IFERROR(__xludf.DUMMYFUNCTION("IMPORTRANGE(""https://docs.google.com/spreadsheets/d/1eHaY18a8A9IcSdp1K8H6x8fbOy06t2VsZHhMHf-1x7Y/edit?usp=sharing"",""แผน!IC33"")"),1)</f>
        <v>1</v>
      </c>
      <c r="J628" s="467">
        <v>0</v>
      </c>
      <c r="K628" s="255">
        <f ca="1">IF(I628&gt;0,(J628*100)/I628,0)</f>
        <v>0</v>
      </c>
      <c r="L628" s="172"/>
      <c r="M628" s="164"/>
      <c r="N628" s="164"/>
      <c r="O628" s="164"/>
      <c r="P628" s="164"/>
      <c r="Q628" s="164"/>
      <c r="R628" s="164"/>
      <c r="S628" s="164"/>
      <c r="T628" s="164"/>
      <c r="U628" s="164"/>
    </row>
    <row r="629" spans="1:21" ht="18.75">
      <c r="A629" s="166"/>
      <c r="B629" s="167"/>
      <c r="C629" s="167"/>
      <c r="D629" s="167"/>
      <c r="E629" s="178" t="s">
        <v>227</v>
      </c>
      <c r="F629" s="174"/>
      <c r="G629" s="171"/>
      <c r="H629" s="165" t="s">
        <v>46</v>
      </c>
      <c r="I629" s="54"/>
      <c r="J629" s="467">
        <v>0</v>
      </c>
      <c r="K629" s="255">
        <f ca="1">IF(I$626&gt;0,J629*100/I$626,0)</f>
        <v>0</v>
      </c>
      <c r="L629" s="172"/>
      <c r="M629" s="164"/>
      <c r="N629" s="164"/>
      <c r="O629" s="164"/>
      <c r="P629" s="164"/>
      <c r="Q629" s="164"/>
      <c r="R629" s="164"/>
      <c r="S629" s="164"/>
      <c r="T629" s="164"/>
      <c r="U629" s="164"/>
    </row>
    <row r="630" spans="1:21" ht="18.75">
      <c r="A630" s="166"/>
      <c r="B630" s="167"/>
      <c r="C630" s="167"/>
      <c r="D630" s="167"/>
      <c r="E630" s="178" t="s">
        <v>228</v>
      </c>
      <c r="F630" s="174"/>
      <c r="G630" s="171"/>
      <c r="H630" s="165" t="s">
        <v>46</v>
      </c>
      <c r="I630" s="54"/>
      <c r="J630" s="467">
        <v>0</v>
      </c>
      <c r="K630" s="255">
        <f ca="1">IF(I$626&gt;0,J630*100/I$626,0)</f>
        <v>0</v>
      </c>
      <c r="L630" s="172"/>
      <c r="M630" s="164"/>
      <c r="N630" s="164"/>
      <c r="O630" s="164"/>
      <c r="P630" s="164"/>
      <c r="Q630" s="164"/>
      <c r="R630" s="164"/>
      <c r="S630" s="164"/>
      <c r="T630" s="164"/>
      <c r="U630" s="164"/>
    </row>
    <row r="631" spans="1:21" ht="18.75">
      <c r="A631" s="166"/>
      <c r="B631" s="167"/>
      <c r="C631" s="167"/>
      <c r="D631" s="167"/>
      <c r="E631" s="178" t="s">
        <v>229</v>
      </c>
      <c r="F631" s="174"/>
      <c r="G631" s="171"/>
      <c r="H631" s="165" t="s">
        <v>46</v>
      </c>
      <c r="I631" s="54"/>
      <c r="J631" s="467">
        <v>0</v>
      </c>
      <c r="K631" s="255">
        <f ca="1">IF(I$626&gt;0,J631*100/I$626,0)</f>
        <v>0</v>
      </c>
      <c r="L631" s="172"/>
      <c r="M631" s="164"/>
      <c r="N631" s="164"/>
      <c r="O631" s="164"/>
      <c r="P631" s="164"/>
      <c r="Q631" s="164"/>
      <c r="R631" s="164"/>
      <c r="S631" s="164"/>
      <c r="T631" s="164"/>
      <c r="U631" s="164"/>
    </row>
    <row r="632" spans="1:21" ht="19.5">
      <c r="A632" s="166"/>
      <c r="B632" s="167"/>
      <c r="C632" s="167"/>
      <c r="D632" s="167"/>
      <c r="E632" s="178" t="s">
        <v>230</v>
      </c>
      <c r="F632" s="174"/>
      <c r="G632" s="171"/>
      <c r="H632" s="165" t="s">
        <v>46</v>
      </c>
      <c r="I632" s="54"/>
      <c r="J632" s="373">
        <f>J633+J634</f>
        <v>0</v>
      </c>
      <c r="K632" s="540">
        <f ca="1">IF(I626&gt;0,J632*100/I626,0)</f>
        <v>0</v>
      </c>
      <c r="L632" s="172"/>
      <c r="M632" s="164"/>
      <c r="N632" s="164"/>
      <c r="O632" s="164"/>
      <c r="P632" s="164"/>
      <c r="Q632" s="164"/>
      <c r="R632" s="164"/>
      <c r="S632" s="164"/>
      <c r="T632" s="164"/>
      <c r="U632" s="164"/>
    </row>
    <row r="633" spans="1:21" ht="18.75">
      <c r="A633" s="166"/>
      <c r="B633" s="167"/>
      <c r="C633" s="167"/>
      <c r="D633" s="167"/>
      <c r="E633" s="174"/>
      <c r="F633" s="178" t="s">
        <v>231</v>
      </c>
      <c r="G633" s="171"/>
      <c r="H633" s="165" t="s">
        <v>46</v>
      </c>
      <c r="I633" s="54"/>
      <c r="J633" s="467">
        <v>0</v>
      </c>
      <c r="K633" s="55"/>
      <c r="L633" s="172"/>
      <c r="M633" s="164"/>
      <c r="N633" s="164"/>
      <c r="O633" s="164"/>
      <c r="P633" s="164"/>
      <c r="Q633" s="164"/>
      <c r="R633" s="164"/>
      <c r="S633" s="164"/>
      <c r="T633" s="164"/>
      <c r="U633" s="164"/>
    </row>
    <row r="634" spans="1:21" ht="18.75">
      <c r="A634" s="166"/>
      <c r="B634" s="167"/>
      <c r="C634" s="167"/>
      <c r="D634" s="167"/>
      <c r="E634" s="174"/>
      <c r="F634" s="178" t="s">
        <v>232</v>
      </c>
      <c r="G634" s="171"/>
      <c r="H634" s="165" t="s">
        <v>46</v>
      </c>
      <c r="I634" s="54"/>
      <c r="J634" s="467">
        <v>0</v>
      </c>
      <c r="K634" s="55"/>
      <c r="L634" s="172"/>
      <c r="M634" s="164"/>
      <c r="N634" s="164"/>
      <c r="O634" s="164"/>
      <c r="P634" s="164"/>
      <c r="Q634" s="164"/>
      <c r="R634" s="164"/>
      <c r="S634" s="164"/>
      <c r="T634" s="164"/>
      <c r="U634" s="164"/>
    </row>
    <row r="635" spans="1:21" ht="19.5">
      <c r="A635" s="166"/>
      <c r="B635" s="167"/>
      <c r="C635" s="167"/>
      <c r="D635" s="460" t="s">
        <v>233</v>
      </c>
      <c r="E635" s="174"/>
      <c r="F635" s="174"/>
      <c r="G635" s="171"/>
      <c r="H635" s="165" t="s">
        <v>46</v>
      </c>
      <c r="I635" s="373">
        <f ca="1">IFERROR(__xludf.DUMMYFUNCTION("IMPORTRANGE(""https://docs.google.com/spreadsheets/d/1eHaY18a8A9IcSdp1K8H6x8fbOy06t2VsZHhMHf-1x7Y/edit?usp=sharing"",""แผน!IE33"")"),0)</f>
        <v>0</v>
      </c>
      <c r="J635" s="373">
        <f>J636</f>
        <v>0</v>
      </c>
      <c r="K635" s="540">
        <f ca="1">IF(I635&gt;0,J635*100/I635,0)</f>
        <v>0</v>
      </c>
      <c r="L635" s="172"/>
      <c r="M635" s="164"/>
      <c r="N635" s="164"/>
      <c r="O635" s="164"/>
      <c r="P635" s="164"/>
      <c r="Q635" s="164"/>
      <c r="R635" s="164"/>
      <c r="S635" s="164"/>
      <c r="T635" s="164"/>
      <c r="U635" s="164"/>
    </row>
    <row r="636" spans="1:21" ht="18.75">
      <c r="A636" s="166"/>
      <c r="B636" s="167"/>
      <c r="C636" s="167"/>
      <c r="D636" s="167"/>
      <c r="E636" s="178" t="s">
        <v>234</v>
      </c>
      <c r="F636" s="174"/>
      <c r="G636" s="171"/>
      <c r="H636" s="165" t="s">
        <v>46</v>
      </c>
      <c r="I636" s="54"/>
      <c r="J636" s="212">
        <f>J637+J638</f>
        <v>0</v>
      </c>
      <c r="K636" s="55"/>
      <c r="L636" s="172"/>
      <c r="M636" s="164"/>
      <c r="N636" s="164"/>
      <c r="O636" s="164"/>
      <c r="P636" s="164"/>
      <c r="Q636" s="164"/>
      <c r="R636" s="164"/>
      <c r="S636" s="164"/>
      <c r="T636" s="164"/>
      <c r="U636" s="164"/>
    </row>
    <row r="637" spans="1:21" ht="18.75">
      <c r="A637" s="166"/>
      <c r="B637" s="167"/>
      <c r="C637" s="167"/>
      <c r="D637" s="167"/>
      <c r="E637" s="174"/>
      <c r="F637" s="178" t="s">
        <v>231</v>
      </c>
      <c r="G637" s="171"/>
      <c r="H637" s="165" t="s">
        <v>46</v>
      </c>
      <c r="I637" s="54"/>
      <c r="J637" s="467">
        <v>0</v>
      </c>
      <c r="K637" s="55"/>
      <c r="L637" s="172"/>
      <c r="M637" s="164"/>
      <c r="N637" s="164"/>
      <c r="O637" s="164"/>
      <c r="P637" s="164"/>
      <c r="Q637" s="164"/>
      <c r="R637" s="164"/>
      <c r="S637" s="164"/>
      <c r="T637" s="164"/>
      <c r="U637" s="164"/>
    </row>
    <row r="638" spans="1:21" ht="18.75">
      <c r="A638" s="166"/>
      <c r="B638" s="167"/>
      <c r="C638" s="167"/>
      <c r="D638" s="167"/>
      <c r="E638" s="174"/>
      <c r="F638" s="178" t="s">
        <v>232</v>
      </c>
      <c r="G638" s="171"/>
      <c r="H638" s="165" t="s">
        <v>46</v>
      </c>
      <c r="I638" s="54"/>
      <c r="J638" s="467">
        <v>0</v>
      </c>
      <c r="K638" s="55"/>
      <c r="L638" s="172"/>
      <c r="M638" s="164"/>
      <c r="N638" s="164"/>
      <c r="O638" s="164"/>
      <c r="P638" s="164"/>
      <c r="Q638" s="164"/>
      <c r="R638" s="164"/>
      <c r="S638" s="164"/>
      <c r="T638" s="164"/>
      <c r="U638" s="164"/>
    </row>
    <row r="639" spans="1:21" ht="18.75">
      <c r="A639" s="166"/>
      <c r="B639" s="167"/>
      <c r="C639" s="167"/>
      <c r="D639" s="167"/>
      <c r="E639" s="178" t="s">
        <v>235</v>
      </c>
      <c r="F639" s="174"/>
      <c r="G639" s="171"/>
      <c r="H639" s="165" t="s">
        <v>46</v>
      </c>
      <c r="I639" s="54"/>
      <c r="J639" s="467">
        <v>0</v>
      </c>
      <c r="K639" s="55"/>
      <c r="L639" s="172"/>
      <c r="M639" s="164"/>
      <c r="N639" s="164"/>
      <c r="O639" s="164"/>
      <c r="P639" s="164"/>
      <c r="Q639" s="164"/>
      <c r="R639" s="164"/>
      <c r="S639" s="164"/>
      <c r="T639" s="164"/>
      <c r="U639" s="164"/>
    </row>
    <row r="640" spans="1:21" ht="18.75">
      <c r="A640" s="166"/>
      <c r="B640" s="167"/>
      <c r="C640" s="167"/>
      <c r="D640" s="167"/>
      <c r="E640" s="174"/>
      <c r="F640" s="178" t="s">
        <v>236</v>
      </c>
      <c r="G640" s="171"/>
      <c r="H640" s="165" t="s">
        <v>46</v>
      </c>
      <c r="I640" s="54"/>
      <c r="J640" s="467">
        <v>0</v>
      </c>
      <c r="K640" s="55"/>
      <c r="L640" s="172"/>
      <c r="M640" s="164"/>
      <c r="N640" s="164"/>
      <c r="O640" s="164"/>
      <c r="P640" s="164"/>
      <c r="Q640" s="164"/>
      <c r="R640" s="164"/>
      <c r="S640" s="164"/>
      <c r="T640" s="164"/>
      <c r="U640" s="164"/>
    </row>
    <row r="641" spans="1:21" ht="19.5">
      <c r="A641" s="450"/>
      <c r="B641" s="451" t="s">
        <v>237</v>
      </c>
      <c r="C641" s="450"/>
      <c r="D641" s="452"/>
      <c r="E641" s="452"/>
      <c r="F641" s="452"/>
      <c r="G641" s="453"/>
      <c r="H641" s="462"/>
      <c r="I641" s="463"/>
      <c r="J641" s="463"/>
      <c r="K641" s="457"/>
      <c r="L641" s="458"/>
      <c r="M641" s="457"/>
      <c r="N641" s="457"/>
      <c r="O641" s="457"/>
      <c r="P641" s="457"/>
      <c r="Q641" s="457"/>
      <c r="R641" s="457"/>
      <c r="S641" s="457"/>
      <c r="T641" s="457"/>
      <c r="U641" s="457"/>
    </row>
    <row r="642" spans="1:21" ht="19.5">
      <c r="A642" s="155"/>
      <c r="B642" s="188"/>
      <c r="C642" s="239" t="s">
        <v>18</v>
      </c>
      <c r="D642" s="542" t="s">
        <v>19</v>
      </c>
      <c r="E642" s="529"/>
      <c r="F642" s="529"/>
      <c r="G642" s="530"/>
      <c r="H642" s="252" t="s">
        <v>14</v>
      </c>
      <c r="I642" s="54"/>
      <c r="J642" s="54"/>
      <c r="K642" s="55"/>
      <c r="L642" s="541">
        <f>L643+L644</f>
        <v>0</v>
      </c>
      <c r="M642" s="540">
        <f>M643+M644</f>
        <v>0</v>
      </c>
      <c r="N642" s="540">
        <f>N643+N644</f>
        <v>0</v>
      </c>
      <c r="O642" s="540">
        <f>IF(L642&gt;0,N642*100/L642,0)</f>
        <v>0</v>
      </c>
      <c r="P642" s="540">
        <f>IF(M642&gt;0,N642*100/M642,0)</f>
        <v>0</v>
      </c>
      <c r="Q642" s="540">
        <f ca="1">Q643+Q644</f>
        <v>13940</v>
      </c>
      <c r="R642" s="540">
        <f ca="1">R643+R644</f>
        <v>13940</v>
      </c>
      <c r="S642" s="540">
        <f ca="1">S643+S644</f>
        <v>0</v>
      </c>
      <c r="T642" s="540">
        <f ca="1">IF(Q642&gt;0,S642*100/Q642,0)</f>
        <v>0</v>
      </c>
      <c r="U642" s="540">
        <f ca="1">IF(R642&gt;0,S642*100/R642,0)</f>
        <v>0</v>
      </c>
    </row>
    <row r="643" spans="1:21" ht="18.75" hidden="1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103">
        <f>L646+L649</f>
        <v>0</v>
      </c>
      <c r="M643" s="102">
        <f>M646+M649</f>
        <v>0</v>
      </c>
      <c r="N643" s="102">
        <f>N646+N649</f>
        <v>0</v>
      </c>
      <c r="O643" s="102">
        <f>IF(L643&gt;0,N643*100/L643,0)</f>
        <v>0</v>
      </c>
      <c r="P643" s="102">
        <f>IF(M643&gt;0,N643*100/M643,0)</f>
        <v>0</v>
      </c>
      <c r="Q643" s="102">
        <f>Q646+Q649</f>
        <v>0</v>
      </c>
      <c r="R643" s="102">
        <f>R646+R649</f>
        <v>0</v>
      </c>
      <c r="S643" s="102">
        <f>S646+S649</f>
        <v>0</v>
      </c>
      <c r="T643" s="102">
        <f>IF(Q643&gt;0,S643*100/Q643,0)</f>
        <v>0</v>
      </c>
      <c r="U643" s="102">
        <f>IF(R643&gt;0,S643*100/R643,0)</f>
        <v>0</v>
      </c>
    </row>
    <row r="644" spans="1:21" ht="18.75" hidden="1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256">
        <f>L647+L650</f>
        <v>0</v>
      </c>
      <c r="M644" s="255">
        <f>M647+M650</f>
        <v>0</v>
      </c>
      <c r="N644" s="255">
        <f>N647+N650</f>
        <v>0</v>
      </c>
      <c r="O644" s="255">
        <f>IF(L644&gt;0,N644*100/L644,0)</f>
        <v>0</v>
      </c>
      <c r="P644" s="255">
        <f>IF(M644&gt;0,N644*100/M644,0)</f>
        <v>0</v>
      </c>
      <c r="Q644" s="255">
        <f ca="1">Q647+Q650</f>
        <v>13940</v>
      </c>
      <c r="R644" s="255">
        <f ca="1">R647+R650</f>
        <v>13940</v>
      </c>
      <c r="S644" s="255">
        <f ca="1">S647+S650</f>
        <v>0</v>
      </c>
      <c r="T644" s="255">
        <f ca="1">IF(Q644&gt;0,S644*100/Q644,0)</f>
        <v>0</v>
      </c>
      <c r="U644" s="255">
        <f ca="1">IF(R644&gt;0,S644*100/R644,0)</f>
        <v>0</v>
      </c>
    </row>
    <row r="645" spans="1:21" ht="18.75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256">
        <f>L646+L647</f>
        <v>0</v>
      </c>
      <c r="M645" s="255">
        <f>M646+M647</f>
        <v>0</v>
      </c>
      <c r="N645" s="255">
        <f>N646+N647</f>
        <v>0</v>
      </c>
      <c r="O645" s="255">
        <f>IF(L645&gt;0,N645*100/L645,0)</f>
        <v>0</v>
      </c>
      <c r="P645" s="255">
        <f>IF(M645&gt;0,N645*100/M645,0)</f>
        <v>0</v>
      </c>
      <c r="Q645" s="255">
        <f ca="1">Q646+Q647</f>
        <v>13940</v>
      </c>
      <c r="R645" s="255">
        <f ca="1">R646+R647</f>
        <v>13940</v>
      </c>
      <c r="S645" s="255">
        <f ca="1">S646+S647</f>
        <v>0</v>
      </c>
      <c r="T645" s="255">
        <f ca="1">IF(Q645&gt;0,S645*100/Q645,0)</f>
        <v>0</v>
      </c>
      <c r="U645" s="255">
        <f ca="1">IF(R645&gt;0,S645*100/R645,0)</f>
        <v>0</v>
      </c>
    </row>
    <row r="646" spans="1:21" ht="18.75" hidden="1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103">
        <v>0</v>
      </c>
      <c r="M646" s="102">
        <v>0</v>
      </c>
      <c r="N646" s="102">
        <v>0</v>
      </c>
      <c r="O646" s="102">
        <f>IF(L646&gt;0,N646*100/L646,0)</f>
        <v>0</v>
      </c>
      <c r="P646" s="102">
        <f>IF(M646&gt;0,N646*100/M646,0)</f>
        <v>0</v>
      </c>
      <c r="Q646" s="102">
        <v>0</v>
      </c>
      <c r="R646" s="102">
        <v>0</v>
      </c>
      <c r="S646" s="102">
        <v>0</v>
      </c>
      <c r="T646" s="102">
        <f>IF(Q646&gt;0,S646*100/Q646,0)</f>
        <v>0</v>
      </c>
      <c r="U646" s="102">
        <f>IF(R646&gt;0,S646*100/R646,0)</f>
        <v>0</v>
      </c>
    </row>
    <row r="647" spans="1:21" ht="18.75" hidden="1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256">
        <v>0</v>
      </c>
      <c r="M647" s="255">
        <v>0</v>
      </c>
      <c r="N647" s="255">
        <v>0</v>
      </c>
      <c r="O647" s="255">
        <f>IF(L647&gt;0,N647*100/L647,0)</f>
        <v>0</v>
      </c>
      <c r="P647" s="255">
        <f>IF(M647&gt;0,N647*100/M647,0)</f>
        <v>0</v>
      </c>
      <c r="Q647" s="255">
        <f ca="1">IFERROR(__xludf.DUMMYFUNCTION("IMPORTRANGE(""https://docs.google.com/spreadsheets/d/1ItG2mGa2ceCfYo0BwxsXqNm01IGEUdYcSSLTEv9YCik/edit?usp=sharing"",""เบิกจ่ายกองทุน!I33"")"),13940)</f>
        <v>13940</v>
      </c>
      <c r="R647" s="255">
        <f ca="1">IFERROR(__xludf.DUMMYFUNCTION("IMPORTRANGE(""https://docs.google.com/spreadsheets/d/1ItG2mGa2ceCfYo0BwxsXqNm01IGEUdYcSSLTEv9YCik/edit?usp=sharing"",""เบิกจ่ายกองทุน!J33"")"),13940)</f>
        <v>13940</v>
      </c>
      <c r="S647" s="255">
        <f ca="1">IFERROR(__xludf.DUMMYFUNCTION("IMPORTRANGE(""https://docs.google.com/spreadsheets/d/1ItG2mGa2ceCfYo0BwxsXqNm01IGEUdYcSSLTEv9YCik/edit?usp=sharing"",""เบิกจ่ายกองทุน!K33"")"),0)</f>
        <v>0</v>
      </c>
      <c r="T647" s="255">
        <f ca="1">IF(Q647&gt;0,S647*100/Q647,0)</f>
        <v>0</v>
      </c>
      <c r="U647" s="255">
        <f ca="1">IF(R647&gt;0,S647*100/R647,0)</f>
        <v>0</v>
      </c>
    </row>
    <row r="648" spans="1:21" ht="18.75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256">
        <f>L649+L650</f>
        <v>0</v>
      </c>
      <c r="M648" s="255">
        <f>M649+M650</f>
        <v>0</v>
      </c>
      <c r="N648" s="255">
        <f>N649+N650</f>
        <v>0</v>
      </c>
      <c r="O648" s="255">
        <f>IF(L648&gt;0,N648*100/L648,0)</f>
        <v>0</v>
      </c>
      <c r="P648" s="255">
        <f>IF(M648&gt;0,N648*100/M648,0)</f>
        <v>0</v>
      </c>
      <c r="Q648" s="255">
        <f>Q649+Q650</f>
        <v>0</v>
      </c>
      <c r="R648" s="255">
        <f>R649+R650</f>
        <v>0</v>
      </c>
      <c r="S648" s="255">
        <f>S649+S650</f>
        <v>0</v>
      </c>
      <c r="T648" s="255">
        <f>IF(Q648&gt;0,S648*100/Q648,0)</f>
        <v>0</v>
      </c>
      <c r="U648" s="255">
        <f>IF(R648&gt;0,S648*100/R648,0)</f>
        <v>0</v>
      </c>
    </row>
    <row r="649" spans="1:21" ht="18.75" hidden="1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103">
        <v>0</v>
      </c>
      <c r="M649" s="102">
        <v>0</v>
      </c>
      <c r="N649" s="102">
        <v>0</v>
      </c>
      <c r="O649" s="102">
        <f>IF(L649&gt;0,N649*100/L649,0)</f>
        <v>0</v>
      </c>
      <c r="P649" s="102">
        <f>IF(M649&gt;0,N649*100/M649,0)</f>
        <v>0</v>
      </c>
      <c r="Q649" s="102">
        <v>0</v>
      </c>
      <c r="R649" s="102">
        <v>0</v>
      </c>
      <c r="S649" s="102">
        <v>0</v>
      </c>
      <c r="T649" s="102">
        <f>IF(Q649&gt;0,S649*100/Q649,0)</f>
        <v>0</v>
      </c>
      <c r="U649" s="102">
        <f>IF(R649&gt;0,S649*100/R649,0)</f>
        <v>0</v>
      </c>
    </row>
    <row r="650" spans="1:21" ht="18.75" hidden="1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256">
        <v>0</v>
      </c>
      <c r="M650" s="255">
        <v>0</v>
      </c>
      <c r="N650" s="255">
        <v>0</v>
      </c>
      <c r="O650" s="255">
        <f>IF(L650&gt;0,N650*100/L650,0)</f>
        <v>0</v>
      </c>
      <c r="P650" s="255">
        <f>IF(M650&gt;0,N650*100/M650,0)</f>
        <v>0</v>
      </c>
      <c r="Q650" s="255">
        <v>0</v>
      </c>
      <c r="R650" s="255">
        <v>0</v>
      </c>
      <c r="S650" s="255">
        <v>0</v>
      </c>
      <c r="T650" s="255">
        <f>IF(Q650&gt;0,S650*100/Q650,0)</f>
        <v>0</v>
      </c>
      <c r="U650" s="255">
        <f>IF(R650&gt;0,S650*100/R650,0)</f>
        <v>0</v>
      </c>
    </row>
    <row r="651" spans="1:21" ht="19.5">
      <c r="A651" s="166"/>
      <c r="B651" s="167"/>
      <c r="C651" s="239" t="s">
        <v>18</v>
      </c>
      <c r="D651" s="571" t="s">
        <v>38</v>
      </c>
      <c r="E651" s="169"/>
      <c r="F651" s="169"/>
      <c r="G651" s="170"/>
      <c r="H651" s="206"/>
      <c r="I651" s="163"/>
      <c r="J651" s="163"/>
      <c r="K651" s="164"/>
      <c r="L651" s="172"/>
      <c r="M651" s="164"/>
      <c r="N651" s="164"/>
      <c r="O651" s="164"/>
      <c r="P651" s="164"/>
      <c r="Q651" s="55"/>
      <c r="R651" s="55"/>
      <c r="S651" s="55"/>
      <c r="T651" s="164"/>
      <c r="U651" s="164"/>
    </row>
    <row r="652" spans="1:21" ht="18.75" hidden="1">
      <c r="A652" s="238"/>
      <c r="B652" s="188"/>
      <c r="C652" s="188"/>
      <c r="D652" s="58" t="s">
        <v>238</v>
      </c>
      <c r="E652" s="50"/>
      <c r="F652" s="50"/>
      <c r="G652" s="52"/>
      <c r="H652" s="165" t="s">
        <v>46</v>
      </c>
      <c r="I652" s="570">
        <f ca="1">IFERROR(__xludf.DUMMYFUNCTION("IMPORTRANGE(""https://docs.google.com/spreadsheets/d/1eHaY18a8A9IcSdp1K8H6x8fbOy06t2VsZHhMHf-1x7Y/edit?usp=sharing"",""แผน!IF33"")"),0)</f>
        <v>0</v>
      </c>
      <c r="J652" s="212">
        <f ca="1">IFERROR(__xludf.DUMMYFUNCTION("IMPORTRANGE(""https://docs.google.com/spreadsheets/d/1tdoBKaGub7dwA3U6UFTqxio9LNnvDCQjHKmttSEBsFQ/edit?usp=sharing"",""จัดที่ดิน!AU33"")"),0)</f>
        <v>0</v>
      </c>
      <c r="K652" s="255">
        <f ca="1">IF(I652&gt;0,J652*100/I652,0)</f>
        <v>0</v>
      </c>
      <c r="L652" s="62"/>
      <c r="M652" s="55"/>
      <c r="N652" s="468"/>
      <c r="O652" s="55"/>
      <c r="P652" s="55"/>
      <c r="Q652" s="55"/>
      <c r="R652" s="55"/>
      <c r="S652" s="468"/>
      <c r="T652" s="55"/>
      <c r="U652" s="55"/>
    </row>
    <row r="653" spans="1:21" ht="18.75" hidden="1">
      <c r="A653" s="238"/>
      <c r="B653" s="188"/>
      <c r="C653" s="188"/>
      <c r="D653" s="58" t="s">
        <v>239</v>
      </c>
      <c r="E653" s="50"/>
      <c r="F653" s="50"/>
      <c r="G653" s="52"/>
      <c r="H653" s="165" t="s">
        <v>35</v>
      </c>
      <c r="I653" s="570">
        <f ca="1">IFERROR(__xludf.DUMMYFUNCTION("IMPORTRANGE(""https://docs.google.com/spreadsheets/d/1eHaY18a8A9IcSdp1K8H6x8fbOy06t2VsZHhMHf-1x7Y/edit?usp=sharing"",""แผน!IG33"")"),0)</f>
        <v>0</v>
      </c>
      <c r="J653" s="212">
        <f ca="1">IFERROR(__xludf.DUMMYFUNCTION("IMPORTRANGE(""https://docs.google.com/spreadsheets/d/1tdoBKaGub7dwA3U6UFTqxio9LNnvDCQjHKmttSEBsFQ/edit?usp=sharing"",""จัดที่ดิน!AW33"")"),0)</f>
        <v>0</v>
      </c>
      <c r="K653" s="255">
        <f ca="1">IF(I653&gt;0,J653*100/I653,0)</f>
        <v>0</v>
      </c>
      <c r="L653" s="62"/>
      <c r="M653" s="55"/>
      <c r="N653" s="468"/>
      <c r="O653" s="55"/>
      <c r="P653" s="55"/>
      <c r="Q653" s="55"/>
      <c r="R653" s="55"/>
      <c r="S653" s="468"/>
      <c r="T653" s="55"/>
      <c r="U653" s="55"/>
    </row>
    <row r="654" spans="1:21" ht="19.5">
      <c r="A654" s="238"/>
      <c r="B654" s="188"/>
      <c r="C654" s="188"/>
      <c r="D654" s="58" t="s">
        <v>240</v>
      </c>
      <c r="E654" s="50"/>
      <c r="F654" s="50"/>
      <c r="G654" s="52"/>
      <c r="H654" s="461" t="s">
        <v>46</v>
      </c>
      <c r="I654" s="569">
        <f ca="1">IFERROR(__xludf.DUMMYFUNCTION("IMPORTRANGE(""https://docs.google.com/spreadsheets/d/1eHaY18a8A9IcSdp1K8H6x8fbOy06t2VsZHhMHf-1x7Y/edit?usp=sharing"",""แผน!IH33"")"),68)</f>
        <v>68</v>
      </c>
      <c r="J654" s="373">
        <f>J657+J660</f>
        <v>30.94</v>
      </c>
      <c r="K654" s="540">
        <f ca="1">IF(I654&gt;0,J654*100/I654,0)</f>
        <v>45.5</v>
      </c>
      <c r="L654" s="62"/>
      <c r="M654" s="55"/>
      <c r="N654" s="468"/>
      <c r="O654" s="55"/>
      <c r="P654" s="55"/>
      <c r="Q654" s="55"/>
      <c r="R654" s="55"/>
      <c r="S654" s="468"/>
      <c r="T654" s="55"/>
      <c r="U654" s="55"/>
    </row>
    <row r="655" spans="1:21" ht="18.75">
      <c r="A655" s="238"/>
      <c r="B655" s="188"/>
      <c r="C655" s="188"/>
      <c r="D655" s="50"/>
      <c r="E655" s="58" t="s">
        <v>241</v>
      </c>
      <c r="F655" s="50"/>
      <c r="G655" s="52"/>
      <c r="H655" s="165" t="s">
        <v>35</v>
      </c>
      <c r="I655" s="208"/>
      <c r="J655" s="467">
        <v>2</v>
      </c>
      <c r="K655" s="55"/>
      <c r="L655" s="62"/>
      <c r="M655" s="55"/>
      <c r="N655" s="468"/>
      <c r="O655" s="55"/>
      <c r="P655" s="55"/>
      <c r="Q655" s="55"/>
      <c r="R655" s="55"/>
      <c r="S655" s="468"/>
      <c r="T655" s="55"/>
      <c r="U655" s="55"/>
    </row>
    <row r="656" spans="1:21" ht="18.75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67">
        <v>4</v>
      </c>
      <c r="K656" s="55"/>
      <c r="L656" s="62"/>
      <c r="M656" s="55"/>
      <c r="N656" s="468"/>
      <c r="O656" s="55"/>
      <c r="P656" s="55"/>
      <c r="Q656" s="55"/>
      <c r="R656" s="55"/>
      <c r="S656" s="468"/>
      <c r="T656" s="55"/>
      <c r="U656" s="55"/>
    </row>
    <row r="657" spans="1:21" ht="18.75">
      <c r="A657" s="238"/>
      <c r="B657" s="188"/>
      <c r="C657" s="188"/>
      <c r="D657" s="50"/>
      <c r="E657" s="50"/>
      <c r="F657" s="50"/>
      <c r="G657" s="52"/>
      <c r="H657" s="165" t="s">
        <v>46</v>
      </c>
      <c r="I657" s="570">
        <f ca="1">IFERROR(__xludf.DUMMYFUNCTION("IMPORTRANGE(""https://docs.google.com/spreadsheets/d/1eHaY18a8A9IcSdp1K8H6x8fbOy06t2VsZHhMHf-1x7Y/edit?usp=sharing"",""แผน!II33"")"),68)</f>
        <v>68</v>
      </c>
      <c r="J657" s="467">
        <v>30.94</v>
      </c>
      <c r="K657" s="55"/>
      <c r="L657" s="62"/>
      <c r="M657" s="55"/>
      <c r="N657" s="468"/>
      <c r="O657" s="55"/>
      <c r="P657" s="55"/>
      <c r="Q657" s="55"/>
      <c r="R657" s="55"/>
      <c r="S657" s="468"/>
      <c r="T657" s="55"/>
      <c r="U657" s="55"/>
    </row>
    <row r="658" spans="1:21" ht="18.75">
      <c r="A658" s="238"/>
      <c r="B658" s="188"/>
      <c r="C658" s="188"/>
      <c r="D658" s="50"/>
      <c r="E658" s="58" t="s">
        <v>242</v>
      </c>
      <c r="F658" s="50"/>
      <c r="G658" s="52"/>
      <c r="H658" s="165" t="s">
        <v>35</v>
      </c>
      <c r="I658" s="208"/>
      <c r="J658" s="467">
        <v>0</v>
      </c>
      <c r="K658" s="55"/>
      <c r="L658" s="62"/>
      <c r="M658" s="55"/>
      <c r="N658" s="468"/>
      <c r="O658" s="55"/>
      <c r="P658" s="55"/>
      <c r="Q658" s="55"/>
      <c r="R658" s="55"/>
      <c r="S658" s="468"/>
      <c r="T658" s="55"/>
      <c r="U658" s="55"/>
    </row>
    <row r="659" spans="1:21" ht="18.75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67">
        <v>0</v>
      </c>
      <c r="K659" s="55"/>
      <c r="L659" s="62"/>
      <c r="M659" s="55"/>
      <c r="N659" s="468"/>
      <c r="O659" s="55"/>
      <c r="P659" s="55"/>
      <c r="Q659" s="55"/>
      <c r="R659" s="55"/>
      <c r="S659" s="468"/>
      <c r="T659" s="55"/>
      <c r="U659" s="55"/>
    </row>
    <row r="660" spans="1:21" ht="18.75">
      <c r="A660" s="238"/>
      <c r="B660" s="188"/>
      <c r="C660" s="188"/>
      <c r="D660" s="50"/>
      <c r="E660" s="50"/>
      <c r="F660" s="50"/>
      <c r="G660" s="52"/>
      <c r="H660" s="165" t="s">
        <v>46</v>
      </c>
      <c r="I660" s="570">
        <f ca="1">IFERROR(__xludf.DUMMYFUNCTION("IMPORTRANGE(""https://docs.google.com/spreadsheets/d/1eHaY18a8A9IcSdp1K8H6x8fbOy06t2VsZHhMHf-1x7Y/edit?usp=sharing"",""แผน!IJ33"")"),0)</f>
        <v>0</v>
      </c>
      <c r="J660" s="467">
        <v>0</v>
      </c>
      <c r="K660" s="55"/>
      <c r="L660" s="62"/>
      <c r="M660" s="55"/>
      <c r="N660" s="468"/>
      <c r="O660" s="55"/>
      <c r="P660" s="55"/>
      <c r="Q660" s="55"/>
      <c r="R660" s="55"/>
      <c r="S660" s="468"/>
      <c r="T660" s="55"/>
      <c r="U660" s="55"/>
    </row>
    <row r="661" spans="1:21" ht="19.5" hidden="1">
      <c r="A661" s="238"/>
      <c r="B661" s="188"/>
      <c r="C661" s="188"/>
      <c r="D661" s="377" t="s">
        <v>243</v>
      </c>
      <c r="E661" s="50"/>
      <c r="F661" s="50"/>
      <c r="G661" s="52"/>
      <c r="H661" s="461" t="s">
        <v>46</v>
      </c>
      <c r="I661" s="569">
        <f ca="1">IFERROR(__xludf.DUMMYFUNCTION("IMPORTRANGE(""https://docs.google.com/spreadsheets/d/1eHaY18a8A9IcSdp1K8H6x8fbOy06t2VsZHhMHf-1x7Y/edit?usp=sharing"",""แผน!IK33"")"),0)</f>
        <v>0</v>
      </c>
      <c r="J661" s="373">
        <f>J667+J670</f>
        <v>0</v>
      </c>
      <c r="K661" s="540">
        <f ca="1">IF(I661&gt;0,J661*100/I661,0)</f>
        <v>0</v>
      </c>
      <c r="L661" s="62"/>
      <c r="M661" s="55"/>
      <c r="N661" s="468"/>
      <c r="O661" s="55"/>
      <c r="P661" s="55"/>
      <c r="Q661" s="55"/>
      <c r="R661" s="55"/>
      <c r="S661" s="468"/>
      <c r="T661" s="55"/>
      <c r="U661" s="55"/>
    </row>
    <row r="662" spans="1:21" ht="18.75" hidden="1">
      <c r="A662" s="238"/>
      <c r="B662" s="188"/>
      <c r="C662" s="188"/>
      <c r="D662" s="50"/>
      <c r="E662" s="58" t="s">
        <v>244</v>
      </c>
      <c r="F662" s="50"/>
      <c r="G662" s="52"/>
      <c r="H662" s="165" t="s">
        <v>34</v>
      </c>
      <c r="I662" s="208"/>
      <c r="J662" s="467">
        <v>0</v>
      </c>
      <c r="K662" s="55"/>
      <c r="L662" s="469"/>
      <c r="M662" s="55"/>
      <c r="N662" s="468"/>
      <c r="O662" s="55"/>
      <c r="P662" s="55"/>
      <c r="Q662" s="468"/>
      <c r="R662" s="55"/>
      <c r="S662" s="468"/>
      <c r="T662" s="55"/>
      <c r="U662" s="55"/>
    </row>
    <row r="663" spans="1:21" ht="18.75" hidden="1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67">
        <v>0</v>
      </c>
      <c r="K663" s="55"/>
      <c r="L663" s="469"/>
      <c r="M663" s="55"/>
      <c r="N663" s="468"/>
      <c r="O663" s="55"/>
      <c r="P663" s="55"/>
      <c r="Q663" s="468"/>
      <c r="R663" s="55"/>
      <c r="S663" s="468"/>
      <c r="T663" s="55"/>
      <c r="U663" s="55"/>
    </row>
    <row r="664" spans="1:21" ht="18.75" hidden="1">
      <c r="A664" s="238"/>
      <c r="B664" s="188"/>
      <c r="C664" s="188"/>
      <c r="D664" s="50"/>
      <c r="E664" s="58" t="s">
        <v>245</v>
      </c>
      <c r="F664" s="50"/>
      <c r="G664" s="52"/>
      <c r="H664" s="206"/>
      <c r="I664" s="208"/>
      <c r="J664" s="54"/>
      <c r="K664" s="55"/>
      <c r="L664" s="469"/>
      <c r="M664" s="55"/>
      <c r="N664" s="468"/>
      <c r="O664" s="55"/>
      <c r="P664" s="55"/>
      <c r="Q664" s="468"/>
      <c r="R664" s="55"/>
      <c r="S664" s="468"/>
      <c r="T664" s="55"/>
      <c r="U664" s="55"/>
    </row>
    <row r="665" spans="1:21" ht="18.75" hidden="1">
      <c r="A665" s="238"/>
      <c r="B665" s="188"/>
      <c r="C665" s="188"/>
      <c r="D665" s="50"/>
      <c r="E665" s="50"/>
      <c r="F665" s="58" t="s">
        <v>246</v>
      </c>
      <c r="G665" s="52"/>
      <c r="H665" s="165" t="s">
        <v>35</v>
      </c>
      <c r="I665" s="208"/>
      <c r="J665" s="467">
        <v>0</v>
      </c>
      <c r="K665" s="55"/>
      <c r="L665" s="469"/>
      <c r="M665" s="55"/>
      <c r="N665" s="468"/>
      <c r="O665" s="55"/>
      <c r="P665" s="55"/>
      <c r="Q665" s="468"/>
      <c r="R665" s="55"/>
      <c r="S665" s="468"/>
      <c r="T665" s="55"/>
      <c r="U665" s="55"/>
    </row>
    <row r="666" spans="1:21" ht="18.75" hidden="1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67">
        <v>0</v>
      </c>
      <c r="K666" s="55"/>
      <c r="L666" s="469"/>
      <c r="M666" s="55"/>
      <c r="N666" s="468"/>
      <c r="O666" s="55"/>
      <c r="P666" s="55"/>
      <c r="Q666" s="468"/>
      <c r="R666" s="55"/>
      <c r="S666" s="468"/>
      <c r="T666" s="55"/>
      <c r="U666" s="55"/>
    </row>
    <row r="667" spans="1:21" ht="18.75" hidden="1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67">
        <v>0</v>
      </c>
      <c r="K667" s="55"/>
      <c r="L667" s="469"/>
      <c r="M667" s="55"/>
      <c r="N667" s="468"/>
      <c r="O667" s="55"/>
      <c r="P667" s="55"/>
      <c r="Q667" s="468"/>
      <c r="R667" s="55"/>
      <c r="S667" s="468"/>
      <c r="T667" s="55"/>
      <c r="U667" s="55"/>
    </row>
    <row r="668" spans="1:21" ht="18.75" hidden="1">
      <c r="A668" s="238"/>
      <c r="B668" s="188"/>
      <c r="C668" s="188"/>
      <c r="D668" s="50"/>
      <c r="E668" s="50"/>
      <c r="F668" s="58" t="s">
        <v>247</v>
      </c>
      <c r="G668" s="52"/>
      <c r="H668" s="165" t="s">
        <v>35</v>
      </c>
      <c r="I668" s="208"/>
      <c r="J668" s="467">
        <v>0</v>
      </c>
      <c r="K668" s="55"/>
      <c r="L668" s="469"/>
      <c r="M668" s="55"/>
      <c r="N668" s="468"/>
      <c r="O668" s="55"/>
      <c r="P668" s="55"/>
      <c r="Q668" s="468"/>
      <c r="R668" s="55"/>
      <c r="S668" s="468"/>
      <c r="T668" s="55"/>
      <c r="U668" s="55"/>
    </row>
    <row r="669" spans="1:21" ht="18.75" hidden="1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67">
        <v>0</v>
      </c>
      <c r="K669" s="55"/>
      <c r="L669" s="469"/>
      <c r="M669" s="55"/>
      <c r="N669" s="468"/>
      <c r="O669" s="55"/>
      <c r="P669" s="55"/>
      <c r="Q669" s="468"/>
      <c r="R669" s="55"/>
      <c r="S669" s="468"/>
      <c r="T669" s="55"/>
      <c r="U669" s="55"/>
    </row>
    <row r="670" spans="1:21" ht="18.75" hidden="1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67">
        <v>0</v>
      </c>
      <c r="K670" s="55"/>
      <c r="L670" s="469"/>
      <c r="M670" s="55"/>
      <c r="N670" s="468"/>
      <c r="O670" s="55"/>
      <c r="P670" s="55"/>
      <c r="Q670" s="468"/>
      <c r="R670" s="55"/>
      <c r="S670" s="468"/>
      <c r="T670" s="55"/>
      <c r="U670" s="55"/>
    </row>
    <row r="671" spans="1:21" ht="18.75">
      <c r="A671" s="238"/>
      <c r="B671" s="188"/>
      <c r="C671" s="188"/>
      <c r="D671" s="58" t="s">
        <v>248</v>
      </c>
      <c r="E671" s="50"/>
      <c r="F671" s="50"/>
      <c r="G671" s="52"/>
      <c r="H671" s="165" t="s">
        <v>35</v>
      </c>
      <c r="I671" s="208"/>
      <c r="J671" s="212">
        <f ca="1">IFERROR(__xludf.DUMMYFUNCTION("IMPORTRANGE(""https://docs.google.com/spreadsheets/d/1tdoBKaGub7dwA3U6UFTqxio9LNnvDCQjHKmttSEBsFQ/edit?usp=sharing"",""จัดที่ดิน!AY33"")"),0)</f>
        <v>0</v>
      </c>
      <c r="K671" s="55"/>
      <c r="L671" s="62"/>
      <c r="M671" s="55"/>
      <c r="N671" s="468"/>
      <c r="O671" s="55"/>
      <c r="P671" s="55"/>
      <c r="Q671" s="55"/>
      <c r="R671" s="55"/>
      <c r="S671" s="468"/>
      <c r="T671" s="55"/>
      <c r="U671" s="55"/>
    </row>
    <row r="672" spans="1:21" ht="18.75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212">
        <f ca="1">IFERROR(__xludf.DUMMYFUNCTION("IMPORTRANGE(""https://docs.google.com/spreadsheets/d/1tdoBKaGub7dwA3U6UFTqxio9LNnvDCQjHKmttSEBsFQ/edit?usp=sharing"",""จัดที่ดิน!AZ33"")"),0)</f>
        <v>0</v>
      </c>
      <c r="K672" s="55"/>
      <c r="L672" s="469"/>
      <c r="M672" s="55"/>
      <c r="N672" s="468"/>
      <c r="O672" s="55"/>
      <c r="P672" s="55"/>
      <c r="Q672" s="468"/>
      <c r="R672" s="55"/>
      <c r="S672" s="468"/>
      <c r="T672" s="55"/>
      <c r="U672" s="55"/>
    </row>
    <row r="673" spans="1:21" ht="18.75">
      <c r="A673" s="238"/>
      <c r="B673" s="188"/>
      <c r="C673" s="188"/>
      <c r="D673" s="50"/>
      <c r="E673" s="50"/>
      <c r="F673" s="50"/>
      <c r="G673" s="52"/>
      <c r="H673" s="165" t="s">
        <v>46</v>
      </c>
      <c r="I673" s="570">
        <f ca="1">IFERROR(__xludf.DUMMYFUNCTION("IMPORTRANGE(""https://docs.google.com/spreadsheets/d/1eHaY18a8A9IcSdp1K8H6x8fbOy06t2VsZHhMHf-1x7Y/edit?usp=sharing"",""แผน!IL33"")"),193)</f>
        <v>193</v>
      </c>
      <c r="J673" s="212">
        <f ca="1">IFERROR(__xludf.DUMMYFUNCTION("IMPORTRANGE(""https://docs.google.com/spreadsheets/d/1tdoBKaGub7dwA3U6UFTqxio9LNnvDCQjHKmttSEBsFQ/edit?usp=sharing"",""จัดที่ดิน!BA33"")"),0)</f>
        <v>0</v>
      </c>
      <c r="K673" s="255">
        <f ca="1">IF(I673&gt;0,J673*100/I673,0)</f>
        <v>0</v>
      </c>
      <c r="L673" s="469"/>
      <c r="M673" s="55"/>
      <c r="N673" s="468"/>
      <c r="O673" s="55"/>
      <c r="P673" s="55"/>
      <c r="Q673" s="468"/>
      <c r="R673" s="55"/>
      <c r="S673" s="468"/>
      <c r="T673" s="55"/>
      <c r="U673" s="55"/>
    </row>
    <row r="674" spans="1:21" ht="19.5" hidden="1">
      <c r="A674" s="238"/>
      <c r="B674" s="188"/>
      <c r="C674" s="188"/>
      <c r="D674" s="58" t="s">
        <v>249</v>
      </c>
      <c r="E674" s="50"/>
      <c r="F674" s="50"/>
      <c r="G674" s="52"/>
      <c r="H674" s="461" t="s">
        <v>35</v>
      </c>
      <c r="I674" s="569">
        <f ca="1">IFERROR(__xludf.DUMMYFUNCTION("IMPORTRANGE(""https://docs.google.com/spreadsheets/d/1eHaY18a8A9IcSdp1K8H6x8fbOy06t2VsZHhMHf-1x7Y/edit?usp=sharing"",""แผน!IM33"")"),0)</f>
        <v>0</v>
      </c>
      <c r="J674" s="373">
        <f ca="1">J676+J679</f>
        <v>0</v>
      </c>
      <c r="K674" s="540">
        <f ca="1">IF(I674&gt;0,J674*100/I674,0)</f>
        <v>0</v>
      </c>
      <c r="L674" s="469"/>
      <c r="M674" s="55"/>
      <c r="N674" s="468"/>
      <c r="O674" s="55"/>
      <c r="P674" s="55"/>
      <c r="Q674" s="468"/>
      <c r="R674" s="55"/>
      <c r="S674" s="468"/>
      <c r="T674" s="55"/>
      <c r="U674" s="55"/>
    </row>
    <row r="675" spans="1:21" ht="19.5" hidden="1">
      <c r="A675" s="238"/>
      <c r="B675" s="188"/>
      <c r="C675" s="188"/>
      <c r="D675" s="50"/>
      <c r="E675" s="50"/>
      <c r="F675" s="50"/>
      <c r="G675" s="52"/>
      <c r="H675" s="461" t="s">
        <v>46</v>
      </c>
      <c r="I675" s="569">
        <f ca="1">IFERROR(__xludf.DUMMYFUNCTION("IMPORTRANGE(""https://docs.google.com/spreadsheets/d/1eHaY18a8A9IcSdp1K8H6x8fbOy06t2VsZHhMHf-1x7Y/edit?usp=sharing"",""แผน!IN33"")"),0)</f>
        <v>0</v>
      </c>
      <c r="J675" s="373">
        <f ca="1">J678+J681</f>
        <v>0</v>
      </c>
      <c r="K675" s="540">
        <f ca="1">IF(I675&gt;0,J675*100/I675,0)</f>
        <v>0</v>
      </c>
      <c r="L675" s="62"/>
      <c r="M675" s="55"/>
      <c r="N675" s="468"/>
      <c r="O675" s="55"/>
      <c r="P675" s="55"/>
      <c r="Q675" s="55"/>
      <c r="R675" s="55"/>
      <c r="S675" s="468"/>
      <c r="T675" s="55"/>
      <c r="U675" s="55"/>
    </row>
    <row r="676" spans="1:21" ht="18.75" hidden="1">
      <c r="A676" s="238"/>
      <c r="B676" s="188"/>
      <c r="C676" s="188"/>
      <c r="D676" s="50"/>
      <c r="E676" s="58" t="s">
        <v>250</v>
      </c>
      <c r="F676" s="50"/>
      <c r="G676" s="52"/>
      <c r="H676" s="165" t="s">
        <v>35</v>
      </c>
      <c r="I676" s="570">
        <f ca="1">IFERROR(__xludf.DUMMYFUNCTION("IMPORTRANGE(""https://docs.google.com/spreadsheets/d/1eHaY18a8A9IcSdp1K8H6x8fbOy06t2VsZHhMHf-1x7Y/edit?usp=sharing"",""แผน!IO33"")"),0)</f>
        <v>0</v>
      </c>
      <c r="J676" s="212">
        <f ca="1">IFERROR(__xludf.DUMMYFUNCTION("IMPORTRANGE(""https://docs.google.com/spreadsheets/d/1tdoBKaGub7dwA3U6UFTqxio9LNnvDCQjHKmttSEBsFQ/edit?usp=sharing"",""จัดที่ดิน!BF33"")"),0)</f>
        <v>0</v>
      </c>
      <c r="K676" s="255">
        <f ca="1">IF(I676&gt;0,J676*100/I676,0)</f>
        <v>0</v>
      </c>
      <c r="L676" s="62"/>
      <c r="M676" s="55"/>
      <c r="N676" s="468"/>
      <c r="O676" s="55"/>
      <c r="P676" s="55"/>
      <c r="Q676" s="55"/>
      <c r="R676" s="55"/>
      <c r="S676" s="468"/>
      <c r="T676" s="55"/>
      <c r="U676" s="55"/>
    </row>
    <row r="677" spans="1:21" ht="18.75" hidden="1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212">
        <f ca="1">IFERROR(__xludf.DUMMYFUNCTION("IMPORTRANGE(""https://docs.google.com/spreadsheets/d/1tdoBKaGub7dwA3U6UFTqxio9LNnvDCQjHKmttSEBsFQ/edit?usp=sharing"",""จัดที่ดิน!BG33"")"),0)</f>
        <v>0</v>
      </c>
      <c r="K677" s="55"/>
      <c r="L677" s="469"/>
      <c r="M677" s="55"/>
      <c r="N677" s="468"/>
      <c r="O677" s="55"/>
      <c r="P677" s="55"/>
      <c r="Q677" s="468"/>
      <c r="R677" s="55"/>
      <c r="S677" s="468"/>
      <c r="T677" s="55"/>
      <c r="U677" s="55"/>
    </row>
    <row r="678" spans="1:21" ht="18.75" hidden="1">
      <c r="A678" s="238"/>
      <c r="B678" s="188"/>
      <c r="C678" s="188"/>
      <c r="D678" s="50"/>
      <c r="E678" s="50"/>
      <c r="F678" s="50"/>
      <c r="G678" s="52"/>
      <c r="H678" s="165" t="s">
        <v>46</v>
      </c>
      <c r="I678" s="570">
        <f ca="1">IFERROR(__xludf.DUMMYFUNCTION("IMPORTRANGE(""https://docs.google.com/spreadsheets/d/1eHaY18a8A9IcSdp1K8H6x8fbOy06t2VsZHhMHf-1x7Y/edit?usp=sharing"",""แผน!IP33"")"),0)</f>
        <v>0</v>
      </c>
      <c r="J678" s="212">
        <f ca="1">IFERROR(__xludf.DUMMYFUNCTION("IMPORTRANGE(""https://docs.google.com/spreadsheets/d/1tdoBKaGub7dwA3U6UFTqxio9LNnvDCQjHKmttSEBsFQ/edit?usp=sharing"",""จัดที่ดิน!BH33"")"),0)</f>
        <v>0</v>
      </c>
      <c r="K678" s="255">
        <f ca="1">IF(I678&gt;0,J678*100/I678,0)</f>
        <v>0</v>
      </c>
      <c r="L678" s="469"/>
      <c r="M678" s="55"/>
      <c r="N678" s="468"/>
      <c r="O678" s="55"/>
      <c r="P678" s="55"/>
      <c r="Q678" s="468"/>
      <c r="R678" s="55"/>
      <c r="S678" s="468"/>
      <c r="T678" s="55"/>
      <c r="U678" s="55"/>
    </row>
    <row r="679" spans="1:21" ht="18.75" hidden="1">
      <c r="A679" s="238"/>
      <c r="B679" s="188"/>
      <c r="C679" s="188"/>
      <c r="D679" s="50"/>
      <c r="E679" s="58" t="s">
        <v>251</v>
      </c>
      <c r="F679" s="50"/>
      <c r="G679" s="52"/>
      <c r="H679" s="165" t="s">
        <v>35</v>
      </c>
      <c r="I679" s="570">
        <f ca="1">IFERROR(__xludf.DUMMYFUNCTION("IMPORTRANGE(""https://docs.google.com/spreadsheets/d/1eHaY18a8A9IcSdp1K8H6x8fbOy06t2VsZHhMHf-1x7Y/edit?usp=sharing"",""แผน!IQ33"")"),0)</f>
        <v>0</v>
      </c>
      <c r="J679" s="212">
        <f ca="1">IFERROR(__xludf.DUMMYFUNCTION("IMPORTRANGE(""https://docs.google.com/spreadsheets/d/1tdoBKaGub7dwA3U6UFTqxio9LNnvDCQjHKmttSEBsFQ/edit?usp=sharing"",""จัดที่ดิน!BK33"")"),0)</f>
        <v>0</v>
      </c>
      <c r="K679" s="255">
        <f ca="1">IF(I679&gt;0,J679*100/I679,0)</f>
        <v>0</v>
      </c>
      <c r="L679" s="62"/>
      <c r="M679" s="55"/>
      <c r="N679" s="468"/>
      <c r="O679" s="55"/>
      <c r="P679" s="55"/>
      <c r="Q679" s="55"/>
      <c r="R679" s="55"/>
      <c r="S679" s="468"/>
      <c r="T679" s="55"/>
      <c r="U679" s="55"/>
    </row>
    <row r="680" spans="1:21" ht="18.75" hidden="1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212">
        <f ca="1">IFERROR(__xludf.DUMMYFUNCTION("IMPORTRANGE(""https://docs.google.com/spreadsheets/d/1tdoBKaGub7dwA3U6UFTqxio9LNnvDCQjHKmttSEBsFQ/edit?usp=sharing"",""จัดที่ดิน!BL33"")"),0)</f>
        <v>0</v>
      </c>
      <c r="K680" s="55"/>
      <c r="L680" s="469"/>
      <c r="M680" s="55"/>
      <c r="N680" s="468"/>
      <c r="O680" s="55"/>
      <c r="P680" s="55"/>
      <c r="Q680" s="468"/>
      <c r="R680" s="55"/>
      <c r="S680" s="468"/>
      <c r="T680" s="55"/>
      <c r="U680" s="55"/>
    </row>
    <row r="681" spans="1:21" ht="18.75" hidden="1">
      <c r="A681" s="238"/>
      <c r="B681" s="188"/>
      <c r="C681" s="188"/>
      <c r="D681" s="50"/>
      <c r="E681" s="50"/>
      <c r="F681" s="50"/>
      <c r="G681" s="52"/>
      <c r="H681" s="165" t="s">
        <v>46</v>
      </c>
      <c r="I681" s="570">
        <f ca="1">IFERROR(__xludf.DUMMYFUNCTION("IMPORTRANGE(""https://docs.google.com/spreadsheets/d/1eHaY18a8A9IcSdp1K8H6x8fbOy06t2VsZHhMHf-1x7Y/edit?usp=sharing"",""แผน!IR33"")"),0)</f>
        <v>0</v>
      </c>
      <c r="J681" s="212">
        <f ca="1">IFERROR(__xludf.DUMMYFUNCTION("IMPORTRANGE(""https://docs.google.com/spreadsheets/d/1tdoBKaGub7dwA3U6UFTqxio9LNnvDCQjHKmttSEBsFQ/edit?usp=sharing"",""จัดที่ดิน!BM33"")"),0)</f>
        <v>0</v>
      </c>
      <c r="K681" s="255">
        <f ca="1">IF(I681&gt;0,J681*100/I681,0)</f>
        <v>0</v>
      </c>
      <c r="L681" s="469"/>
      <c r="M681" s="55"/>
      <c r="N681" s="468"/>
      <c r="O681" s="55"/>
      <c r="P681" s="55"/>
      <c r="Q681" s="468"/>
      <c r="R681" s="55"/>
      <c r="S681" s="468"/>
      <c r="T681" s="55"/>
      <c r="U681" s="55"/>
    </row>
    <row r="682" spans="1:21" ht="19.5" hidden="1">
      <c r="A682" s="238"/>
      <c r="B682" s="188"/>
      <c r="C682" s="188"/>
      <c r="D682" s="58" t="s">
        <v>252</v>
      </c>
      <c r="E682" s="50"/>
      <c r="F682" s="50"/>
      <c r="G682" s="52"/>
      <c r="H682" s="461" t="s">
        <v>46</v>
      </c>
      <c r="I682" s="569">
        <f ca="1">IFERROR(__xludf.DUMMYFUNCTION("IMPORTRANGE(""https://docs.google.com/spreadsheets/d/1eHaY18a8A9IcSdp1K8H6x8fbOy06t2VsZHhMHf-1x7Y/edit?usp=sharing"",""แผน!IS33"")"),0)</f>
        <v>0</v>
      </c>
      <c r="J682" s="373">
        <f>J685+J688</f>
        <v>0</v>
      </c>
      <c r="K682" s="540">
        <f ca="1">IF(I682&gt;0,J682*100/I682,0)</f>
        <v>0</v>
      </c>
      <c r="L682" s="62"/>
      <c r="M682" s="55"/>
      <c r="N682" s="468"/>
      <c r="O682" s="55"/>
      <c r="P682" s="55"/>
      <c r="Q682" s="55"/>
      <c r="R682" s="55"/>
      <c r="S682" s="468"/>
      <c r="T682" s="55"/>
      <c r="U682" s="55"/>
    </row>
    <row r="683" spans="1:21" ht="18.75" hidden="1">
      <c r="A683" s="238"/>
      <c r="B683" s="188"/>
      <c r="C683" s="188"/>
      <c r="D683" s="50"/>
      <c r="E683" s="58" t="s">
        <v>253</v>
      </c>
      <c r="F683" s="50"/>
      <c r="G683" s="52"/>
      <c r="H683" s="165" t="s">
        <v>35</v>
      </c>
      <c r="I683" s="208"/>
      <c r="J683" s="467">
        <v>0</v>
      </c>
      <c r="K683" s="55"/>
      <c r="L683" s="469"/>
      <c r="M683" s="55"/>
      <c r="N683" s="468"/>
      <c r="O683" s="55"/>
      <c r="P683" s="55"/>
      <c r="Q683" s="468"/>
      <c r="R683" s="55"/>
      <c r="S683" s="468"/>
      <c r="T683" s="55"/>
      <c r="U683" s="55"/>
    </row>
    <row r="684" spans="1:21" ht="18.75" hidden="1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467">
        <v>0</v>
      </c>
      <c r="K684" s="55"/>
      <c r="L684" s="469"/>
      <c r="M684" s="55"/>
      <c r="N684" s="468"/>
      <c r="O684" s="55"/>
      <c r="P684" s="55"/>
      <c r="Q684" s="468"/>
      <c r="R684" s="55"/>
      <c r="S684" s="468"/>
      <c r="T684" s="55"/>
      <c r="U684" s="55"/>
    </row>
    <row r="685" spans="1:21" ht="18.75" hidden="1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467">
        <v>0</v>
      </c>
      <c r="K685" s="55"/>
      <c r="L685" s="469"/>
      <c r="M685" s="55"/>
      <c r="N685" s="468"/>
      <c r="O685" s="55"/>
      <c r="P685" s="55"/>
      <c r="Q685" s="468"/>
      <c r="R685" s="55"/>
      <c r="S685" s="468"/>
      <c r="T685" s="55"/>
      <c r="U685" s="55"/>
    </row>
    <row r="686" spans="1:21" ht="18.75" hidden="1">
      <c r="A686" s="238"/>
      <c r="B686" s="188"/>
      <c r="C686" s="188"/>
      <c r="D686" s="50"/>
      <c r="E686" s="58" t="s">
        <v>254</v>
      </c>
      <c r="F686" s="50"/>
      <c r="G686" s="52"/>
      <c r="H686" s="165" t="s">
        <v>35</v>
      </c>
      <c r="I686" s="208"/>
      <c r="J686" s="467">
        <v>0</v>
      </c>
      <c r="K686" s="55"/>
      <c r="L686" s="469"/>
      <c r="M686" s="55"/>
      <c r="N686" s="468"/>
      <c r="O686" s="55"/>
      <c r="P686" s="55"/>
      <c r="Q686" s="468"/>
      <c r="R686" s="55"/>
      <c r="S686" s="468"/>
      <c r="T686" s="55"/>
      <c r="U686" s="55"/>
    </row>
    <row r="687" spans="1:21" ht="18.75" hidden="1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467">
        <v>0</v>
      </c>
      <c r="K687" s="55"/>
      <c r="L687" s="469"/>
      <c r="M687" s="55"/>
      <c r="N687" s="468"/>
      <c r="O687" s="55"/>
      <c r="P687" s="55"/>
      <c r="Q687" s="468"/>
      <c r="R687" s="55"/>
      <c r="S687" s="468"/>
      <c r="T687" s="55"/>
      <c r="U687" s="55"/>
    </row>
    <row r="688" spans="1:21" ht="19.5" hidden="1">
      <c r="A688" s="281"/>
      <c r="B688" s="470" t="s">
        <v>255</v>
      </c>
      <c r="C688" s="282"/>
      <c r="D688" s="2"/>
      <c r="E688" s="2"/>
      <c r="F688" s="2"/>
      <c r="G688" s="284"/>
      <c r="H688" s="214" t="s">
        <v>46</v>
      </c>
      <c r="I688" s="375"/>
      <c r="J688" s="538">
        <v>0</v>
      </c>
      <c r="K688" s="6"/>
      <c r="L688" s="472"/>
      <c r="M688" s="6"/>
      <c r="N688" s="471"/>
      <c r="O688" s="6"/>
      <c r="P688" s="6"/>
      <c r="Q688" s="471"/>
      <c r="R688" s="6"/>
      <c r="S688" s="471"/>
      <c r="T688" s="6"/>
      <c r="U688" s="6"/>
    </row>
    <row r="689" spans="1:21" ht="19.5">
      <c r="A689" s="442"/>
      <c r="B689" s="443" t="s">
        <v>256</v>
      </c>
      <c r="C689" s="442"/>
      <c r="D689" s="444"/>
      <c r="E689" s="444"/>
      <c r="F689" s="444"/>
      <c r="G689" s="445"/>
      <c r="H689" s="568" t="s">
        <v>35</v>
      </c>
      <c r="I689" s="567">
        <f ca="1">I707</f>
        <v>50</v>
      </c>
      <c r="J689" s="567">
        <f ca="1">J707</f>
        <v>0</v>
      </c>
      <c r="K689" s="543">
        <f ca="1">IF(I689&gt;0,J689*100/I689,0)</f>
        <v>0</v>
      </c>
      <c r="L689" s="449"/>
      <c r="M689" s="448"/>
      <c r="N689" s="448"/>
      <c r="O689" s="448"/>
      <c r="P689" s="448"/>
      <c r="Q689" s="448"/>
      <c r="R689" s="448"/>
      <c r="S689" s="448"/>
      <c r="T689" s="448"/>
      <c r="U689" s="448"/>
    </row>
    <row r="690" spans="1:21" ht="19.5">
      <c r="A690" s="155"/>
      <c r="B690" s="188"/>
      <c r="C690" s="768" t="s">
        <v>18</v>
      </c>
      <c r="D690" s="542" t="s">
        <v>19</v>
      </c>
      <c r="E690" s="529"/>
      <c r="F690" s="529"/>
      <c r="G690" s="530"/>
      <c r="H690" s="252" t="s">
        <v>14</v>
      </c>
      <c r="I690" s="54"/>
      <c r="J690" s="54"/>
      <c r="K690" s="55"/>
      <c r="L690" s="541">
        <f>L691+L692</f>
        <v>0</v>
      </c>
      <c r="M690" s="540">
        <f>M691+M692</f>
        <v>0</v>
      </c>
      <c r="N690" s="540">
        <f>N691+N692</f>
        <v>0</v>
      </c>
      <c r="O690" s="540">
        <f>IF(L690&gt;0,N690*100/L690,0)</f>
        <v>0</v>
      </c>
      <c r="P690" s="540">
        <f>IF(M690&gt;0,N690*100/M690,0)</f>
        <v>0</v>
      </c>
      <c r="Q690" s="540">
        <f ca="1">Q691+Q692</f>
        <v>201730</v>
      </c>
      <c r="R690" s="540">
        <f ca="1">R691+R692</f>
        <v>201730</v>
      </c>
      <c r="S690" s="540">
        <f ca="1">S691+S692</f>
        <v>0</v>
      </c>
      <c r="T690" s="540">
        <f ca="1">IF(Q690&gt;0,S690*100/Q690,0)</f>
        <v>0</v>
      </c>
      <c r="U690" s="540">
        <f ca="1">IF(R690&gt;0,S690*100/R690,0)</f>
        <v>0</v>
      </c>
    </row>
    <row r="691" spans="1:21" ht="18.75" hidden="1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103">
        <f>L694+L697</f>
        <v>0</v>
      </c>
      <c r="M691" s="102">
        <f>M694+M697</f>
        <v>0</v>
      </c>
      <c r="N691" s="102">
        <f>N694+N697</f>
        <v>0</v>
      </c>
      <c r="O691" s="102">
        <f>IF(L691&gt;0,N691*100/L691,0)</f>
        <v>0</v>
      </c>
      <c r="P691" s="102">
        <f>IF(M691&gt;0,N691*100/M691,0)</f>
        <v>0</v>
      </c>
      <c r="Q691" s="102">
        <f>Q694+Q697</f>
        <v>0</v>
      </c>
      <c r="R691" s="102">
        <f>R694+R697</f>
        <v>0</v>
      </c>
      <c r="S691" s="102">
        <f>S694+S697</f>
        <v>0</v>
      </c>
      <c r="T691" s="102">
        <f>IF(Q691&gt;0,S691*100/Q691,0)</f>
        <v>0</v>
      </c>
      <c r="U691" s="102">
        <f>IF(R691&gt;0,S691*100/R691,0)</f>
        <v>0</v>
      </c>
    </row>
    <row r="692" spans="1:21" ht="18.75" hidden="1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256">
        <f>L695+L698</f>
        <v>0</v>
      </c>
      <c r="M692" s="255">
        <f>M695+M698</f>
        <v>0</v>
      </c>
      <c r="N692" s="255">
        <f>N695+N698</f>
        <v>0</v>
      </c>
      <c r="O692" s="255">
        <f>IF(L692&gt;0,N692*100/L692,0)</f>
        <v>0</v>
      </c>
      <c r="P692" s="255">
        <f>IF(M692&gt;0,N692*100/M692,0)</f>
        <v>0</v>
      </c>
      <c r="Q692" s="255">
        <f ca="1">Q695+Q698</f>
        <v>201730</v>
      </c>
      <c r="R692" s="255">
        <f ca="1">R695+R698</f>
        <v>201730</v>
      </c>
      <c r="S692" s="255">
        <f ca="1">S695+S698</f>
        <v>0</v>
      </c>
      <c r="T692" s="255">
        <f ca="1">IF(Q692&gt;0,S692*100/Q692,0)</f>
        <v>0</v>
      </c>
      <c r="U692" s="255">
        <f ca="1">IF(R692&gt;0,S692*100/R692,0)</f>
        <v>0</v>
      </c>
    </row>
    <row r="693" spans="1:21" ht="18.75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256">
        <f>L694+L695</f>
        <v>0</v>
      </c>
      <c r="M693" s="255">
        <f>M694+M695</f>
        <v>0</v>
      </c>
      <c r="N693" s="255">
        <f>N694+N695</f>
        <v>0</v>
      </c>
      <c r="O693" s="255">
        <f>IF(L693&gt;0,N693*100/L693,0)</f>
        <v>0</v>
      </c>
      <c r="P693" s="255">
        <f>IF(M693&gt;0,N693*100/M693,0)</f>
        <v>0</v>
      </c>
      <c r="Q693" s="255">
        <f ca="1">Q694+Q695</f>
        <v>201730</v>
      </c>
      <c r="R693" s="255">
        <f ca="1">R694+R695</f>
        <v>201730</v>
      </c>
      <c r="S693" s="255">
        <f ca="1">S694+S695</f>
        <v>0</v>
      </c>
      <c r="T693" s="255">
        <f ca="1">IF(Q693&gt;0,S693*100/Q693,0)</f>
        <v>0</v>
      </c>
      <c r="U693" s="255">
        <f ca="1">IF(R693&gt;0,S693*100/R693,0)</f>
        <v>0</v>
      </c>
    </row>
    <row r="694" spans="1:21" ht="18.75" hidden="1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103">
        <v>0</v>
      </c>
      <c r="M694" s="102">
        <v>0</v>
      </c>
      <c r="N694" s="102">
        <v>0</v>
      </c>
      <c r="O694" s="102">
        <f>IF(L694&gt;0,N694*100/L694,0)</f>
        <v>0</v>
      </c>
      <c r="P694" s="102">
        <f>IF(M694&gt;0,N694*100/M694,0)</f>
        <v>0</v>
      </c>
      <c r="Q694" s="102">
        <v>0</v>
      </c>
      <c r="R694" s="102">
        <v>0</v>
      </c>
      <c r="S694" s="102">
        <v>0</v>
      </c>
      <c r="T694" s="102">
        <f>IF(Q694&gt;0,S694*100/Q694,0)</f>
        <v>0</v>
      </c>
      <c r="U694" s="102">
        <f>IF(R694&gt;0,S694*100/R694,0)</f>
        <v>0</v>
      </c>
    </row>
    <row r="695" spans="1:21" ht="18.75" hidden="1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256">
        <v>0</v>
      </c>
      <c r="M695" s="255">
        <v>0</v>
      </c>
      <c r="N695" s="255">
        <v>0</v>
      </c>
      <c r="O695" s="255">
        <f>IF(L695&gt;0,N695*100/L695,0)</f>
        <v>0</v>
      </c>
      <c r="P695" s="255">
        <f>IF(M695&gt;0,N695*100/M695,0)</f>
        <v>0</v>
      </c>
      <c r="Q695" s="255">
        <f ca="1">IFERROR(__xludf.DUMMYFUNCTION("IMPORTRANGE(""https://docs.google.com/spreadsheets/d/1ItG2mGa2ceCfYo0BwxsXqNm01IGEUdYcSSLTEv9YCik/edit?usp=sharing"",""เบิกจ่ายกองทุน!L33"")"),201730)</f>
        <v>201730</v>
      </c>
      <c r="R695" s="255">
        <f ca="1">IFERROR(__xludf.DUMMYFUNCTION("IMPORTRANGE(""https://docs.google.com/spreadsheets/d/1ItG2mGa2ceCfYo0BwxsXqNm01IGEUdYcSSLTEv9YCik/edit?usp=sharing"",""เบิกจ่ายกองทุน!M33"")"),201730)</f>
        <v>201730</v>
      </c>
      <c r="S695" s="255">
        <f ca="1">IFERROR(__xludf.DUMMYFUNCTION("IMPORTRANGE(""https://docs.google.com/spreadsheets/d/1ItG2mGa2ceCfYo0BwxsXqNm01IGEUdYcSSLTEv9YCik/edit?usp=sharing"",""เบิกจ่ายกองทุน!N33"")"),0)</f>
        <v>0</v>
      </c>
      <c r="T695" s="255">
        <f ca="1">IF(Q695&gt;0,S695*100/Q695,0)</f>
        <v>0</v>
      </c>
      <c r="U695" s="255">
        <f ca="1">IF(R695&gt;0,S695*100/R695,0)</f>
        <v>0</v>
      </c>
    </row>
    <row r="696" spans="1:21" ht="18.75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256">
        <f>L697+L698</f>
        <v>0</v>
      </c>
      <c r="M696" s="255">
        <f>M697+M698</f>
        <v>0</v>
      </c>
      <c r="N696" s="255">
        <f>N697+N698</f>
        <v>0</v>
      </c>
      <c r="O696" s="255">
        <f>IF(L696&gt;0,N696*100/L696,0)</f>
        <v>0</v>
      </c>
      <c r="P696" s="255">
        <f>IF(M696&gt;0,N696*100/M696,0)</f>
        <v>0</v>
      </c>
      <c r="Q696" s="255">
        <f>Q697+Q698</f>
        <v>0</v>
      </c>
      <c r="R696" s="255">
        <f>R697+R698</f>
        <v>0</v>
      </c>
      <c r="S696" s="255">
        <f>S697+S698</f>
        <v>0</v>
      </c>
      <c r="T696" s="255">
        <f>IF(Q696&gt;0,S696*100/Q696,0)</f>
        <v>0</v>
      </c>
      <c r="U696" s="255">
        <f>IF(R696&gt;0,S696*100/R696,0)</f>
        <v>0</v>
      </c>
    </row>
    <row r="697" spans="1:21" ht="18.75" hidden="1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103">
        <v>0</v>
      </c>
      <c r="M697" s="102">
        <v>0</v>
      </c>
      <c r="N697" s="102">
        <v>0</v>
      </c>
      <c r="O697" s="102">
        <f>IF(L697&gt;0,N697*100/L697,0)</f>
        <v>0</v>
      </c>
      <c r="P697" s="102">
        <f>IF(M697&gt;0,N697*100/M697,0)</f>
        <v>0</v>
      </c>
      <c r="Q697" s="102">
        <v>0</v>
      </c>
      <c r="R697" s="102">
        <v>0</v>
      </c>
      <c r="S697" s="102">
        <v>0</v>
      </c>
      <c r="T697" s="102">
        <f>IF(Q697&gt;0,S697*100/Q697,0)</f>
        <v>0</v>
      </c>
      <c r="U697" s="102">
        <f>IF(R697&gt;0,S697*100/R697,0)</f>
        <v>0</v>
      </c>
    </row>
    <row r="698" spans="1:21" ht="18.75" hidden="1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256">
        <v>0</v>
      </c>
      <c r="M698" s="255">
        <v>0</v>
      </c>
      <c r="N698" s="255">
        <v>0</v>
      </c>
      <c r="O698" s="255">
        <f>IF(L698&gt;0,N698*100/L698,0)</f>
        <v>0</v>
      </c>
      <c r="P698" s="255">
        <f>IF(M698&gt;0,N698*100/M698,0)</f>
        <v>0</v>
      </c>
      <c r="Q698" s="255">
        <v>0</v>
      </c>
      <c r="R698" s="255">
        <v>0</v>
      </c>
      <c r="S698" s="255">
        <v>0</v>
      </c>
      <c r="T698" s="255">
        <f>IF(Q698&gt;0,S698*100/Q698,0)</f>
        <v>0</v>
      </c>
      <c r="U698" s="255">
        <f>IF(R698&gt;0,S698*100/R698,0)</f>
        <v>0</v>
      </c>
    </row>
    <row r="699" spans="1:21" ht="19.5">
      <c r="A699" s="166"/>
      <c r="B699" s="167"/>
      <c r="C699" s="768" t="s">
        <v>18</v>
      </c>
      <c r="D699" s="566" t="s">
        <v>38</v>
      </c>
      <c r="E699" s="169"/>
      <c r="F699" s="169"/>
      <c r="G699" s="169"/>
      <c r="H699" s="206"/>
      <c r="I699" s="163"/>
      <c r="J699" s="163"/>
      <c r="K699" s="164"/>
      <c r="L699" s="62"/>
      <c r="M699" s="55"/>
      <c r="N699" s="55"/>
      <c r="O699" s="55"/>
      <c r="P699" s="55"/>
      <c r="Q699" s="55"/>
      <c r="R699" s="55"/>
      <c r="S699" s="55"/>
      <c r="T699" s="55"/>
      <c r="U699" s="55"/>
    </row>
    <row r="700" spans="1:21" ht="18.75">
      <c r="A700" s="238"/>
      <c r="B700" s="188"/>
      <c r="C700" s="188"/>
      <c r="D700" s="174"/>
      <c r="E700" s="173" t="s">
        <v>257</v>
      </c>
      <c r="F700" s="174"/>
      <c r="G700" s="171"/>
      <c r="H700" s="165" t="s">
        <v>258</v>
      </c>
      <c r="I700" s="212">
        <f ca="1">IFERROR(__xludf.DUMMYFUNCTION("IMPORTRANGE(""https://docs.google.com/spreadsheets/d/1eHaY18a8A9IcSdp1K8H6x8fbOy06t2VsZHhMHf-1x7Y/edit?usp=sharing"",""แผน!LC33"")"),0)</f>
        <v>0</v>
      </c>
      <c r="J700" s="467">
        <v>0</v>
      </c>
      <c r="K700" s="565">
        <f ca="1">IF(I700&gt;0,J700*100/I700,0)</f>
        <v>0</v>
      </c>
      <c r="L700" s="172"/>
      <c r="M700" s="164"/>
      <c r="N700" s="55"/>
      <c r="O700" s="164"/>
      <c r="P700" s="164"/>
      <c r="Q700" s="164"/>
      <c r="R700" s="164"/>
      <c r="S700" s="55"/>
      <c r="T700" s="164"/>
      <c r="U700" s="164"/>
    </row>
    <row r="701" spans="1:21" ht="19.5">
      <c r="A701" s="238"/>
      <c r="B701" s="188"/>
      <c r="C701" s="188"/>
      <c r="D701" s="174"/>
      <c r="E701" s="476" t="s">
        <v>259</v>
      </c>
      <c r="F701" s="174"/>
      <c r="G701" s="171"/>
      <c r="H701" s="158" t="s">
        <v>35</v>
      </c>
      <c r="I701" s="373">
        <f ca="1">I703+I705</f>
        <v>55</v>
      </c>
      <c r="J701" s="373">
        <f ca="1">J703+J705</f>
        <v>0</v>
      </c>
      <c r="K701" s="540">
        <f ca="1">IF(I701&gt;0,J701*100/I701,0)</f>
        <v>0</v>
      </c>
      <c r="L701" s="172"/>
      <c r="M701" s="164"/>
      <c r="N701" s="164"/>
      <c r="O701" s="164"/>
      <c r="P701" s="164"/>
      <c r="Q701" s="164"/>
      <c r="R701" s="164"/>
      <c r="S701" s="164"/>
      <c r="T701" s="164"/>
      <c r="U701" s="164"/>
    </row>
    <row r="702" spans="1:21" ht="19.5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73">
        <v>0</v>
      </c>
      <c r="J702" s="373">
        <f ca="1">J704+J706</f>
        <v>0</v>
      </c>
      <c r="K702" s="540">
        <f>IF(I702&gt;0,J702*100/I702,0)</f>
        <v>0</v>
      </c>
      <c r="L702" s="172"/>
      <c r="M702" s="164"/>
      <c r="N702" s="164"/>
      <c r="O702" s="164"/>
      <c r="P702" s="164"/>
      <c r="Q702" s="164"/>
      <c r="R702" s="164"/>
      <c r="S702" s="164"/>
      <c r="T702" s="164"/>
      <c r="U702" s="164"/>
    </row>
    <row r="703" spans="1:21" ht="18.75">
      <c r="A703" s="238"/>
      <c r="B703" s="188"/>
      <c r="C703" s="188"/>
      <c r="D703" s="174"/>
      <c r="E703" s="174"/>
      <c r="F703" s="173" t="s">
        <v>260</v>
      </c>
      <c r="G703" s="171"/>
      <c r="H703" s="165" t="s">
        <v>35</v>
      </c>
      <c r="I703" s="212">
        <f ca="1">IFERROR(__xludf.DUMMYFUNCTION("IMPORTRANGE(""https://docs.google.com/spreadsheets/d/1eHaY18a8A9IcSdp1K8H6x8fbOy06t2VsZHhMHf-1x7Y/edit?usp=sharing"",""แผน!LJ33"")"),50)</f>
        <v>50</v>
      </c>
      <c r="J703" s="212">
        <f ca="1">IFERROR(__xludf.DUMMYFUNCTION("IMPORTRANGE(""https://docs.google.com/spreadsheets/d/1tdoBKaGub7dwA3U6UFTqxio9LNnvDCQjHKmttSEBsFQ/edit?usp=sharing"",""จัดที่ดิน!AP33"")"),0)</f>
        <v>0</v>
      </c>
      <c r="K703" s="255">
        <f ca="1">IF(I703&gt;0,J703*100/I703,0)</f>
        <v>0</v>
      </c>
      <c r="L703" s="172"/>
      <c r="M703" s="164"/>
      <c r="N703" s="164"/>
      <c r="O703" s="164"/>
      <c r="P703" s="164"/>
      <c r="Q703" s="164"/>
      <c r="R703" s="164"/>
      <c r="S703" s="164"/>
      <c r="T703" s="164"/>
      <c r="U703" s="164"/>
    </row>
    <row r="704" spans="1:21" ht="18.75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212">
        <f ca="1">IFERROR(__xludf.DUMMYFUNCTION("IMPORTRANGE(""https://docs.google.com/spreadsheets/d/1tdoBKaGub7dwA3U6UFTqxio9LNnvDCQjHKmttSEBsFQ/edit?usp=sharing"",""จัดที่ดิน!AQ33"")"),0)</f>
        <v>0</v>
      </c>
      <c r="K704" s="255">
        <f>IF(I704&gt;0,J704*100/I704,0)</f>
        <v>0</v>
      </c>
      <c r="L704" s="172"/>
      <c r="M704" s="164"/>
      <c r="N704" s="164"/>
      <c r="O704" s="164"/>
      <c r="P704" s="164"/>
      <c r="Q704" s="164"/>
      <c r="R704" s="164"/>
      <c r="S704" s="164"/>
      <c r="T704" s="164"/>
      <c r="U704" s="164"/>
    </row>
    <row r="705" spans="1:21" ht="18.75">
      <c r="A705" s="238"/>
      <c r="B705" s="188"/>
      <c r="C705" s="188"/>
      <c r="D705" s="174"/>
      <c r="E705" s="174"/>
      <c r="F705" s="173" t="s">
        <v>261</v>
      </c>
      <c r="G705" s="171"/>
      <c r="H705" s="165" t="s">
        <v>35</v>
      </c>
      <c r="I705" s="212">
        <f ca="1">IFERROR(__xludf.DUMMYFUNCTION("IMPORTRANGE(""https://docs.google.com/spreadsheets/d/1eHaY18a8A9IcSdp1K8H6x8fbOy06t2VsZHhMHf-1x7Y/edit?usp=sharing"",""แผน!LK33"")"),5)</f>
        <v>5</v>
      </c>
      <c r="J705" s="212">
        <f ca="1">IFERROR(__xludf.DUMMYFUNCTION("IMPORTRANGE(""https://docs.google.com/spreadsheets/d/1tdoBKaGub7dwA3U6UFTqxio9LNnvDCQjHKmttSEBsFQ/edit?usp=sharing"",""จัดที่ดิน!AR33"")"),0)</f>
        <v>0</v>
      </c>
      <c r="K705" s="565">
        <f ca="1">IF(I705&gt;0,J705*100/I705,0)</f>
        <v>0</v>
      </c>
      <c r="L705" s="172"/>
      <c r="M705" s="164"/>
      <c r="N705" s="164"/>
      <c r="O705" s="164"/>
      <c r="P705" s="164"/>
      <c r="Q705" s="164"/>
      <c r="R705" s="164"/>
      <c r="S705" s="164"/>
      <c r="T705" s="164"/>
      <c r="U705" s="164"/>
    </row>
    <row r="706" spans="1:21" ht="18.75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212">
        <f ca="1">IFERROR(__xludf.DUMMYFUNCTION("IMPORTRANGE(""https://docs.google.com/spreadsheets/d/1tdoBKaGub7dwA3U6UFTqxio9LNnvDCQjHKmttSEBsFQ/edit?usp=sharing"",""จัดที่ดิน!AS33"")"),0)</f>
        <v>0</v>
      </c>
      <c r="K706" s="255">
        <f>IF(I706&gt;0,J706*100/I706,0)</f>
        <v>0</v>
      </c>
      <c r="L706" s="172"/>
      <c r="M706" s="164"/>
      <c r="N706" s="164"/>
      <c r="O706" s="164"/>
      <c r="P706" s="164"/>
      <c r="Q706" s="164"/>
      <c r="R706" s="164"/>
      <c r="S706" s="164"/>
      <c r="T706" s="164"/>
      <c r="U706" s="164"/>
    </row>
    <row r="707" spans="1:21" ht="18.75">
      <c r="A707" s="238"/>
      <c r="B707" s="188"/>
      <c r="C707" s="188"/>
      <c r="D707" s="174"/>
      <c r="E707" s="173" t="s">
        <v>262</v>
      </c>
      <c r="F707" s="174"/>
      <c r="G707" s="171"/>
      <c r="H707" s="162" t="s">
        <v>35</v>
      </c>
      <c r="I707" s="212">
        <f ca="1">IFERROR(__xludf.DUMMYFUNCTION("IMPORTRANGE(""https://docs.google.com/spreadsheets/d/1eHaY18a8A9IcSdp1K8H6x8fbOy06t2VsZHhMHf-1x7Y/edit?usp=sharing"",""แผน!LJ33"")"),50)</f>
        <v>50</v>
      </c>
      <c r="J707" s="212">
        <f ca="1">IFERROR(__xludf.DUMMYFUNCTION("IMPORTRANGE(""https://docs.google.com/spreadsheets/d/1tdoBKaGub7dwA3U6UFTqxio9LNnvDCQjHKmttSEBsFQ/edit?usp=sharing"",""จัดที่ดิน!BN33"")"),0)</f>
        <v>0</v>
      </c>
      <c r="K707" s="255">
        <f ca="1">IF(I707&gt;0,J707*100/I707,0)</f>
        <v>0</v>
      </c>
      <c r="L707" s="172"/>
      <c r="M707" s="164"/>
      <c r="N707" s="164"/>
      <c r="O707" s="164"/>
      <c r="P707" s="164"/>
      <c r="Q707" s="164"/>
      <c r="R707" s="164"/>
      <c r="S707" s="164"/>
      <c r="T707" s="164"/>
      <c r="U707" s="164"/>
    </row>
    <row r="708" spans="1:21" ht="18.75">
      <c r="A708" s="238"/>
      <c r="B708" s="188"/>
      <c r="C708" s="188"/>
      <c r="D708" s="174"/>
      <c r="E708" s="477" t="s">
        <v>263</v>
      </c>
      <c r="F708" s="174"/>
      <c r="G708" s="171"/>
      <c r="H708" s="162" t="s">
        <v>46</v>
      </c>
      <c r="I708" s="212">
        <v>0</v>
      </c>
      <c r="J708" s="212">
        <f ca="1">IFERROR(__xludf.DUMMYFUNCTION("IMPORTRANGE(""https://docs.google.com/spreadsheets/d/1tdoBKaGub7dwA3U6UFTqxio9LNnvDCQjHKmttSEBsFQ/edit?usp=sharing"",""จัดที่ดิน!BO33"")"),0)</f>
        <v>0</v>
      </c>
      <c r="K708" s="255">
        <f>IF(I708&gt;0,J708*100/I708,0)</f>
        <v>0</v>
      </c>
      <c r="L708" s="172"/>
      <c r="M708" s="164"/>
      <c r="N708" s="164"/>
      <c r="O708" s="164"/>
      <c r="P708" s="164"/>
      <c r="Q708" s="164"/>
      <c r="R708" s="164"/>
      <c r="S708" s="164"/>
      <c r="T708" s="164"/>
      <c r="U708" s="164"/>
    </row>
    <row r="709" spans="1:21" ht="18.75">
      <c r="A709" s="238"/>
      <c r="B709" s="188"/>
      <c r="C709" s="188"/>
      <c r="D709" s="50"/>
      <c r="E709" s="58" t="s">
        <v>264</v>
      </c>
      <c r="F709" s="50"/>
      <c r="G709" s="52"/>
      <c r="H709" s="203" t="s">
        <v>35</v>
      </c>
      <c r="I709" s="212">
        <f ca="1">IFERROR(__xludf.DUMMYFUNCTION("IMPORTRANGE(""https://docs.google.com/spreadsheets/d/1eHaY18a8A9IcSdp1K8H6x8fbOy06t2VsZHhMHf-1x7Y/edit?usp=sharing"",""แผน!LK33"")"),5)</f>
        <v>5</v>
      </c>
      <c r="J709" s="212">
        <f ca="1">IFERROR(__xludf.DUMMYFUNCTION("IMPORTRANGE(""https://docs.google.com/spreadsheets/d/1tdoBKaGub7dwA3U6UFTqxio9LNnvDCQjHKmttSEBsFQ/edit?usp=sharing"",""จัดที่ดิน!BP33"")"),1)</f>
        <v>1</v>
      </c>
      <c r="K709" s="255">
        <f ca="1">IF(I709&gt;0,J709*100/I709,0)</f>
        <v>20</v>
      </c>
      <c r="L709" s="62"/>
      <c r="M709" s="55"/>
      <c r="N709" s="55"/>
      <c r="O709" s="55"/>
      <c r="P709" s="55"/>
      <c r="Q709" s="55"/>
      <c r="R709" s="55"/>
      <c r="S709" s="55"/>
      <c r="T709" s="55"/>
      <c r="U709" s="55"/>
    </row>
    <row r="710" spans="1:21" ht="18.75">
      <c r="A710" s="238"/>
      <c r="B710" s="188"/>
      <c r="C710" s="188"/>
      <c r="D710" s="50"/>
      <c r="E710" s="477" t="s">
        <v>265</v>
      </c>
      <c r="F710" s="50"/>
      <c r="G710" s="52"/>
      <c r="H710" s="203" t="s">
        <v>46</v>
      </c>
      <c r="I710" s="212">
        <v>0</v>
      </c>
      <c r="J710" s="212">
        <f ca="1">IFERROR(__xludf.DUMMYFUNCTION("IMPORTRANGE(""https://docs.google.com/spreadsheets/d/1tdoBKaGub7dwA3U6UFTqxio9LNnvDCQjHKmttSEBsFQ/edit?usp=sharing"",""จัดที่ดิน!BQ33"")"),0)</f>
        <v>0</v>
      </c>
      <c r="K710" s="255">
        <f>IF(I710&gt;0,J710*100/I710,0)</f>
        <v>0</v>
      </c>
      <c r="L710" s="62"/>
      <c r="M710" s="55"/>
      <c r="N710" s="55"/>
      <c r="O710" s="55"/>
      <c r="P710" s="55"/>
      <c r="Q710" s="55"/>
      <c r="R710" s="55"/>
      <c r="S710" s="55"/>
      <c r="T710" s="55"/>
      <c r="U710" s="55"/>
    </row>
    <row r="711" spans="1:21" ht="12.75" hidden="1">
      <c r="A711" s="407"/>
      <c r="B711" s="360"/>
      <c r="C711" s="360"/>
      <c r="D711" s="408"/>
      <c r="E711" s="408"/>
      <c r="F711" s="408"/>
      <c r="G711" s="409"/>
      <c r="H711" s="361"/>
      <c r="I711" s="362"/>
      <c r="J711" s="362"/>
      <c r="K711" s="363"/>
      <c r="L711" s="364"/>
      <c r="M711" s="363"/>
      <c r="N711" s="363"/>
      <c r="O711" s="363"/>
      <c r="P711" s="363"/>
      <c r="Q711" s="363"/>
      <c r="R711" s="363"/>
      <c r="S711" s="363"/>
      <c r="T711" s="363"/>
      <c r="U711" s="363"/>
    </row>
    <row r="712" spans="1:21" ht="19.5" hidden="1">
      <c r="A712" s="442"/>
      <c r="B712" s="478" t="s">
        <v>266</v>
      </c>
      <c r="C712" s="442"/>
      <c r="D712" s="444"/>
      <c r="E712" s="444"/>
      <c r="F712" s="444"/>
      <c r="G712" s="445"/>
      <c r="H712" s="479" t="s">
        <v>46</v>
      </c>
      <c r="I712" s="447"/>
      <c r="J712" s="447">
        <f>J724</f>
        <v>0</v>
      </c>
      <c r="K712" s="564">
        <f>IF(I712&gt;0,J712*100/I712,0)</f>
        <v>0</v>
      </c>
      <c r="L712" s="449"/>
      <c r="M712" s="448"/>
      <c r="N712" s="448"/>
      <c r="O712" s="448"/>
      <c r="P712" s="448"/>
      <c r="Q712" s="448"/>
      <c r="R712" s="448"/>
      <c r="S712" s="448"/>
      <c r="T712" s="448"/>
      <c r="U712" s="448"/>
    </row>
    <row r="713" spans="1:21" ht="19.5" hidden="1">
      <c r="A713" s="442"/>
      <c r="B713" s="478" t="s">
        <v>267</v>
      </c>
      <c r="C713" s="442"/>
      <c r="D713" s="444"/>
      <c r="E713" s="444"/>
      <c r="F713" s="444"/>
      <c r="G713" s="445"/>
      <c r="H713" s="446"/>
      <c r="I713" s="447"/>
      <c r="J713" s="447"/>
      <c r="K713" s="448"/>
      <c r="L713" s="449"/>
      <c r="M713" s="448"/>
      <c r="N713" s="448"/>
      <c r="O713" s="448"/>
      <c r="P713" s="448"/>
      <c r="Q713" s="448"/>
      <c r="R713" s="448"/>
      <c r="S713" s="448"/>
      <c r="T713" s="448"/>
      <c r="U713" s="448"/>
    </row>
    <row r="714" spans="1:21" ht="19.5" hidden="1">
      <c r="A714" s="155"/>
      <c r="B714" s="188"/>
      <c r="C714" s="358" t="s">
        <v>18</v>
      </c>
      <c r="D714" s="563" t="s">
        <v>19</v>
      </c>
      <c r="E714" s="529"/>
      <c r="F714" s="529"/>
      <c r="G714" s="530"/>
      <c r="H714" s="418" t="s">
        <v>14</v>
      </c>
      <c r="I714" s="54"/>
      <c r="J714" s="54"/>
      <c r="K714" s="55"/>
      <c r="L714" s="541">
        <f>L715+L716</f>
        <v>0</v>
      </c>
      <c r="M714" s="540">
        <f>M715+M716</f>
        <v>0</v>
      </c>
      <c r="N714" s="540">
        <f>N715+N716</f>
        <v>0</v>
      </c>
      <c r="O714" s="540">
        <f>IF(L714&gt;0,N714*100/L714,0)</f>
        <v>0</v>
      </c>
      <c r="P714" s="540">
        <f>IF(M714&gt;0,N714*100/M714,0)</f>
        <v>0</v>
      </c>
      <c r="Q714" s="540">
        <f>Q715+Q716</f>
        <v>0</v>
      </c>
      <c r="R714" s="540">
        <f>R715+R716</f>
        <v>0</v>
      </c>
      <c r="S714" s="540">
        <f>S715+S716</f>
        <v>0</v>
      </c>
      <c r="T714" s="540">
        <f>IF(Q714&gt;0,S714*100/Q714,0)</f>
        <v>0</v>
      </c>
      <c r="U714" s="540">
        <f>IF(R714&gt;0,S714*100/R714,0)</f>
        <v>0</v>
      </c>
    </row>
    <row r="715" spans="1:21" ht="18.75" hidden="1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103">
        <f>L718+L721</f>
        <v>0</v>
      </c>
      <c r="M715" s="102">
        <f>M718+M721</f>
        <v>0</v>
      </c>
      <c r="N715" s="102">
        <f>N718+N721</f>
        <v>0</v>
      </c>
      <c r="O715" s="102">
        <f>IF(L715&gt;0,N715*100/L715,0)</f>
        <v>0</v>
      </c>
      <c r="P715" s="102">
        <f>IF(M715&gt;0,N715*100/M715,0)</f>
        <v>0</v>
      </c>
      <c r="Q715" s="102">
        <f>Q718+Q721</f>
        <v>0</v>
      </c>
      <c r="R715" s="102">
        <f>R718+R721</f>
        <v>0</v>
      </c>
      <c r="S715" s="102">
        <f>S718+S721</f>
        <v>0</v>
      </c>
      <c r="T715" s="102">
        <f>IF(Q715&gt;0,S715*100/Q715,0)</f>
        <v>0</v>
      </c>
      <c r="U715" s="102">
        <f>IF(R715&gt;0,S715*100/R715,0)</f>
        <v>0</v>
      </c>
    </row>
    <row r="716" spans="1:21" ht="18.75" hidden="1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256">
        <f>L719+L722</f>
        <v>0</v>
      </c>
      <c r="M716" s="255">
        <f>M719+M722</f>
        <v>0</v>
      </c>
      <c r="N716" s="255">
        <f>N719+N722</f>
        <v>0</v>
      </c>
      <c r="O716" s="255">
        <f>IF(L716&gt;0,N716*100/L716,0)</f>
        <v>0</v>
      </c>
      <c r="P716" s="255">
        <f>IF(M716&gt;0,N716*100/M716,0)</f>
        <v>0</v>
      </c>
      <c r="Q716" s="255">
        <f>Q719+Q722</f>
        <v>0</v>
      </c>
      <c r="R716" s="255">
        <f>R719+R722</f>
        <v>0</v>
      </c>
      <c r="S716" s="255">
        <f>S719+S722</f>
        <v>0</v>
      </c>
      <c r="T716" s="255">
        <f>IF(Q716&gt;0,S716*100/Q716,0)</f>
        <v>0</v>
      </c>
      <c r="U716" s="255">
        <f>IF(R716&gt;0,S716*100/R716,0)</f>
        <v>0</v>
      </c>
    </row>
    <row r="717" spans="1:21" ht="19.5" hidden="1">
      <c r="A717" s="155"/>
      <c r="B717" s="188"/>
      <c r="C717" s="188"/>
      <c r="D717" s="562" t="s">
        <v>22</v>
      </c>
      <c r="E717" s="50"/>
      <c r="F717" s="50"/>
      <c r="G717" s="52"/>
      <c r="H717" s="418" t="s">
        <v>14</v>
      </c>
      <c r="I717" s="163"/>
      <c r="J717" s="163"/>
      <c r="K717" s="164"/>
      <c r="L717" s="256">
        <f>L718+L719</f>
        <v>0</v>
      </c>
      <c r="M717" s="255">
        <f>M718+M719</f>
        <v>0</v>
      </c>
      <c r="N717" s="255">
        <f>N718+N719</f>
        <v>0</v>
      </c>
      <c r="O717" s="255">
        <f>IF(L717&gt;0,N717*100/L717,0)</f>
        <v>0</v>
      </c>
      <c r="P717" s="255">
        <f>IF(M717&gt;0,N717*100/M717,0)</f>
        <v>0</v>
      </c>
      <c r="Q717" s="255">
        <f>Q718+Q719</f>
        <v>0</v>
      </c>
      <c r="R717" s="255">
        <f>R718+R719</f>
        <v>0</v>
      </c>
      <c r="S717" s="255">
        <f>S718+S719</f>
        <v>0</v>
      </c>
      <c r="T717" s="255">
        <f>IF(Q717&gt;0,S717*100/Q717,0)</f>
        <v>0</v>
      </c>
      <c r="U717" s="255">
        <f>IF(R717&gt;0,S717*100/R717,0)</f>
        <v>0</v>
      </c>
    </row>
    <row r="718" spans="1:21" ht="18.75" hidden="1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103">
        <v>0</v>
      </c>
      <c r="M718" s="102">
        <v>0</v>
      </c>
      <c r="N718" s="102">
        <v>0</v>
      </c>
      <c r="O718" s="102">
        <f>IF(L718&gt;0,N718*100/L718,0)</f>
        <v>0</v>
      </c>
      <c r="P718" s="102">
        <f>IF(M718&gt;0,N718*100/M718,0)</f>
        <v>0</v>
      </c>
      <c r="Q718" s="102">
        <v>0</v>
      </c>
      <c r="R718" s="102">
        <v>0</v>
      </c>
      <c r="S718" s="102">
        <v>0</v>
      </c>
      <c r="T718" s="102">
        <f>IF(Q718&gt;0,S718*100/Q718,0)</f>
        <v>0</v>
      </c>
      <c r="U718" s="102">
        <f>IF(R718&gt;0,S718*100/R718,0)</f>
        <v>0</v>
      </c>
    </row>
    <row r="719" spans="1:21" ht="18.75" hidden="1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256">
        <v>0</v>
      </c>
      <c r="M719" s="255">
        <v>0</v>
      </c>
      <c r="N719" s="255">
        <v>0</v>
      </c>
      <c r="O719" s="255">
        <f>IF(L719&gt;0,N719*100/L719,0)</f>
        <v>0</v>
      </c>
      <c r="P719" s="255">
        <f>IF(M719&gt;0,N719*100/M719,0)</f>
        <v>0</v>
      </c>
      <c r="Q719" s="255">
        <v>0</v>
      </c>
      <c r="R719" s="255">
        <v>0</v>
      </c>
      <c r="S719" s="255">
        <v>0</v>
      </c>
      <c r="T719" s="255">
        <f>IF(Q719&gt;0,S719*100/Q719,0)</f>
        <v>0</v>
      </c>
      <c r="U719" s="255">
        <f>IF(R719&gt;0,S719*100/R719,0)</f>
        <v>0</v>
      </c>
    </row>
    <row r="720" spans="1:21" ht="19.5" hidden="1">
      <c r="A720" s="155"/>
      <c r="B720" s="188"/>
      <c r="C720" s="188"/>
      <c r="D720" s="562" t="s">
        <v>23</v>
      </c>
      <c r="E720" s="50"/>
      <c r="F720" s="50"/>
      <c r="G720" s="52"/>
      <c r="H720" s="420" t="s">
        <v>14</v>
      </c>
      <c r="I720" s="163"/>
      <c r="J720" s="163"/>
      <c r="K720" s="164"/>
      <c r="L720" s="256">
        <f>L721+L722</f>
        <v>0</v>
      </c>
      <c r="M720" s="255">
        <f>M721+M722</f>
        <v>0</v>
      </c>
      <c r="N720" s="255">
        <f>N721+N722</f>
        <v>0</v>
      </c>
      <c r="O720" s="255">
        <f>IF(L720&gt;0,N720*100/L720,0)</f>
        <v>0</v>
      </c>
      <c r="P720" s="255">
        <f>IF(M720&gt;0,N720*100/M720,0)</f>
        <v>0</v>
      </c>
      <c r="Q720" s="255">
        <f>Q721+Q722</f>
        <v>0</v>
      </c>
      <c r="R720" s="255">
        <f>R721+R722</f>
        <v>0</v>
      </c>
      <c r="S720" s="255">
        <f>S721+S722</f>
        <v>0</v>
      </c>
      <c r="T720" s="255">
        <f>IF(Q720&gt;0,S720*100/Q720,0)</f>
        <v>0</v>
      </c>
      <c r="U720" s="255">
        <f>IF(R720&gt;0,S720*100/R720,0)</f>
        <v>0</v>
      </c>
    </row>
    <row r="721" spans="1:21" ht="18.75" hidden="1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103">
        <v>0</v>
      </c>
      <c r="M721" s="102">
        <v>0</v>
      </c>
      <c r="N721" s="102">
        <v>0</v>
      </c>
      <c r="O721" s="102">
        <f>IF(L721&gt;0,N721*100/L721,0)</f>
        <v>0</v>
      </c>
      <c r="P721" s="102">
        <f>IF(M721&gt;0,N721*100/M721,0)</f>
        <v>0</v>
      </c>
      <c r="Q721" s="102">
        <v>0</v>
      </c>
      <c r="R721" s="102">
        <v>0</v>
      </c>
      <c r="S721" s="102">
        <v>0</v>
      </c>
      <c r="T721" s="102">
        <f>IF(Q721&gt;0,S721*100/Q721,0)</f>
        <v>0</v>
      </c>
      <c r="U721" s="102">
        <f>IF(R721&gt;0,S721*100/R721,0)</f>
        <v>0</v>
      </c>
    </row>
    <row r="722" spans="1:21" ht="18.75" hidden="1">
      <c r="A722" s="155"/>
      <c r="B722" s="188"/>
      <c r="C722" s="188"/>
      <c r="D722" s="50"/>
      <c r="E722" s="186" t="s">
        <v>21</v>
      </c>
      <c r="F722" s="50"/>
      <c r="G722" s="52"/>
      <c r="H722" s="421" t="s">
        <v>14</v>
      </c>
      <c r="I722" s="163"/>
      <c r="J722" s="163"/>
      <c r="K722" s="164"/>
      <c r="L722" s="256">
        <v>0</v>
      </c>
      <c r="M722" s="255">
        <v>0</v>
      </c>
      <c r="N722" s="255">
        <v>0</v>
      </c>
      <c r="O722" s="255">
        <f>IF(L722&gt;0,N722*100/L722,0)</f>
        <v>0</v>
      </c>
      <c r="P722" s="255">
        <f>IF(M722&gt;0,N722*100/M722,0)</f>
        <v>0</v>
      </c>
      <c r="Q722" s="255">
        <v>0</v>
      </c>
      <c r="R722" s="255">
        <v>0</v>
      </c>
      <c r="S722" s="255">
        <v>0</v>
      </c>
      <c r="T722" s="255">
        <f>IF(Q722&gt;0,S722*100/Q722,0)</f>
        <v>0</v>
      </c>
      <c r="U722" s="255">
        <f>IF(R722&gt;0,S722*100/R722,0)</f>
        <v>0</v>
      </c>
    </row>
    <row r="723" spans="1:21" ht="19.5" hidden="1">
      <c r="A723" s="166"/>
      <c r="B723" s="167"/>
      <c r="C723" s="358" t="s">
        <v>18</v>
      </c>
      <c r="D723" s="561" t="s">
        <v>38</v>
      </c>
      <c r="E723" s="169"/>
      <c r="F723" s="169"/>
      <c r="G723" s="170"/>
      <c r="H723" s="206"/>
      <c r="I723" s="163"/>
      <c r="J723" s="163"/>
      <c r="K723" s="164"/>
      <c r="L723" s="172"/>
      <c r="M723" s="164"/>
      <c r="N723" s="164"/>
      <c r="O723" s="164"/>
      <c r="P723" s="164"/>
      <c r="Q723" s="164"/>
      <c r="R723" s="164"/>
      <c r="S723" s="164"/>
      <c r="T723" s="164"/>
      <c r="U723" s="164"/>
    </row>
    <row r="724" spans="1:21" ht="18.75" hidden="1">
      <c r="A724" s="238"/>
      <c r="B724" s="188"/>
      <c r="C724" s="188"/>
      <c r="D724" s="50"/>
      <c r="E724" s="186" t="s">
        <v>268</v>
      </c>
      <c r="F724" s="50"/>
      <c r="G724" s="52"/>
      <c r="H724" s="189" t="s">
        <v>46</v>
      </c>
      <c r="I724" s="483">
        <v>0</v>
      </c>
      <c r="J724" s="54"/>
      <c r="K724" s="55"/>
      <c r="L724" s="62"/>
      <c r="M724" s="55"/>
      <c r="N724" s="55"/>
      <c r="O724" s="55"/>
      <c r="P724" s="55"/>
      <c r="Q724" s="55"/>
      <c r="R724" s="55"/>
      <c r="S724" s="55"/>
      <c r="T724" s="55"/>
      <c r="U724" s="55"/>
    </row>
    <row r="725" spans="1:21" ht="18.75" hidden="1">
      <c r="A725" s="374"/>
      <c r="B725" s="5"/>
      <c r="C725" s="5"/>
      <c r="D725" s="4"/>
      <c r="E725" s="484" t="s">
        <v>269</v>
      </c>
      <c r="F725" s="4"/>
      <c r="G725" s="65"/>
      <c r="H725" s="485" t="s">
        <v>46</v>
      </c>
      <c r="I725" s="486">
        <v>0</v>
      </c>
      <c r="J725" s="67"/>
      <c r="K725" s="6"/>
      <c r="L725" s="68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>
      <c r="A726" s="442"/>
      <c r="B726" s="443" t="s">
        <v>270</v>
      </c>
      <c r="C726" s="442"/>
      <c r="D726" s="444"/>
      <c r="E726" s="444"/>
      <c r="F726" s="444"/>
      <c r="G726" s="445"/>
      <c r="H726" s="473" t="s">
        <v>35</v>
      </c>
      <c r="I726" s="544">
        <f ca="1">IFERROR(__xludf.DUMMYFUNCTION("IMPORTRANGE(""https://docs.google.com/spreadsheets/d/1eHaY18a8A9IcSdp1K8H6x8fbOy06t2VsZHhMHf-1x7Y/edit?usp=sharing"",""แผน!GA33"")"),128)</f>
        <v>128</v>
      </c>
      <c r="J726" s="544">
        <f>J742+J746+J749</f>
        <v>0</v>
      </c>
      <c r="K726" s="543">
        <f ca="1">IF(I726&gt;0,J726*100/I726,0)</f>
        <v>0</v>
      </c>
      <c r="L726" s="449"/>
      <c r="M726" s="448"/>
      <c r="N726" s="448"/>
      <c r="O726" s="448"/>
      <c r="P726" s="448"/>
      <c r="Q726" s="448"/>
      <c r="R726" s="448"/>
      <c r="S726" s="448"/>
      <c r="T726" s="448"/>
      <c r="U726" s="448"/>
    </row>
    <row r="727" spans="1:21" ht="19.5">
      <c r="A727" s="487"/>
      <c r="B727" s="442"/>
      <c r="C727" s="442"/>
      <c r="D727" s="444"/>
      <c r="E727" s="444"/>
      <c r="F727" s="444"/>
      <c r="G727" s="445"/>
      <c r="H727" s="473" t="s">
        <v>46</v>
      </c>
      <c r="I727" s="544">
        <f ca="1">IFERROR(__xludf.DUMMYFUNCTION("IMPORTRANGE(""https://docs.google.com/spreadsheets/d/1eHaY18a8A9IcSdp1K8H6x8fbOy06t2VsZHhMHf-1x7Y/edit?usp=sharing"",""แผน!FZ33"")"),1250)</f>
        <v>1250</v>
      </c>
      <c r="J727" s="544">
        <f>J752+J755</f>
        <v>0</v>
      </c>
      <c r="K727" s="543">
        <f ca="1">IF(I727&gt;0,J727*100/I727,0)</f>
        <v>0</v>
      </c>
      <c r="L727" s="449"/>
      <c r="M727" s="448"/>
      <c r="N727" s="448"/>
      <c r="O727" s="448"/>
      <c r="P727" s="448"/>
      <c r="Q727" s="448"/>
      <c r="R727" s="448"/>
      <c r="S727" s="448"/>
      <c r="T727" s="448"/>
      <c r="U727" s="448"/>
    </row>
    <row r="728" spans="1:21" ht="19.5">
      <c r="A728" s="155"/>
      <c r="B728" s="188"/>
      <c r="C728" s="768" t="s">
        <v>18</v>
      </c>
      <c r="D728" s="542" t="s">
        <v>19</v>
      </c>
      <c r="E728" s="529"/>
      <c r="F728" s="529"/>
      <c r="G728" s="530"/>
      <c r="H728" s="252" t="s">
        <v>14</v>
      </c>
      <c r="I728" s="54"/>
      <c r="J728" s="54"/>
      <c r="K728" s="55"/>
      <c r="L728" s="541">
        <f>L729+L730</f>
        <v>0</v>
      </c>
      <c r="M728" s="540">
        <f>M729+M730</f>
        <v>0</v>
      </c>
      <c r="N728" s="540">
        <f>N729+N730</f>
        <v>0</v>
      </c>
      <c r="O728" s="540">
        <f>IF(L728&gt;0,N728*100/L728,0)</f>
        <v>0</v>
      </c>
      <c r="P728" s="540">
        <f>IF(M728&gt;0,N728*100/M728,0)</f>
        <v>0</v>
      </c>
      <c r="Q728" s="540">
        <f ca="1">Q729+Q730</f>
        <v>1008470</v>
      </c>
      <c r="R728" s="540">
        <f ca="1">R729+R730</f>
        <v>1008470</v>
      </c>
      <c r="S728" s="540">
        <f ca="1">S729+S730</f>
        <v>37853</v>
      </c>
      <c r="T728" s="540">
        <f ca="1">IF(Q728&gt;0,S728*100/Q728,0)</f>
        <v>3.7535077890269419</v>
      </c>
      <c r="U728" s="540">
        <f ca="1">IF(R728&gt;0,S728*100/R728,0)</f>
        <v>3.7535077890269419</v>
      </c>
    </row>
    <row r="729" spans="1:21" ht="18.75" hidden="1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103">
        <f>L732+L735</f>
        <v>0</v>
      </c>
      <c r="M729" s="102">
        <f>M732+M735</f>
        <v>0</v>
      </c>
      <c r="N729" s="102">
        <f>N732+N735</f>
        <v>0</v>
      </c>
      <c r="O729" s="102">
        <f>IF(L729&gt;0,N729*100/L729,0)</f>
        <v>0</v>
      </c>
      <c r="P729" s="102">
        <f>IF(M729&gt;0,N729*100/M729,0)</f>
        <v>0</v>
      </c>
      <c r="Q729" s="102">
        <f>Q732+Q735</f>
        <v>0</v>
      </c>
      <c r="R729" s="102">
        <f>R732+R735</f>
        <v>0</v>
      </c>
      <c r="S729" s="102">
        <f>S732+S735</f>
        <v>0</v>
      </c>
      <c r="T729" s="102">
        <f>IF(Q729&gt;0,S729*100/Q729,0)</f>
        <v>0</v>
      </c>
      <c r="U729" s="102">
        <f>IF(R729&gt;0,S729*100/R729,0)</f>
        <v>0</v>
      </c>
    </row>
    <row r="730" spans="1:21" ht="18.75" hidden="1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256">
        <f>L733+L736</f>
        <v>0</v>
      </c>
      <c r="M730" s="255">
        <f>M733+M736</f>
        <v>0</v>
      </c>
      <c r="N730" s="255">
        <f>N733+N736</f>
        <v>0</v>
      </c>
      <c r="O730" s="255">
        <f>IF(L730&gt;0,N730*100/L730,0)</f>
        <v>0</v>
      </c>
      <c r="P730" s="255">
        <f>IF(M730&gt;0,N730*100/M730,0)</f>
        <v>0</v>
      </c>
      <c r="Q730" s="255">
        <f ca="1">Q733+Q736</f>
        <v>1008470</v>
      </c>
      <c r="R730" s="255">
        <f ca="1">R733+R736</f>
        <v>1008470</v>
      </c>
      <c r="S730" s="255">
        <f ca="1">S733+S736</f>
        <v>37853</v>
      </c>
      <c r="T730" s="255">
        <f ca="1">IF(Q730&gt;0,S730*100/Q730,0)</f>
        <v>3.7535077890269419</v>
      </c>
      <c r="U730" s="255">
        <f ca="1">IF(R730&gt;0,S730*100/R730,0)</f>
        <v>3.7535077890269419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256">
        <f>L732+L733</f>
        <v>0</v>
      </c>
      <c r="M731" s="255">
        <f>M732+M733</f>
        <v>0</v>
      </c>
      <c r="N731" s="255">
        <f>N732+N733</f>
        <v>0</v>
      </c>
      <c r="O731" s="255">
        <f>IF(L731&gt;0,N731*100/L731,0)</f>
        <v>0</v>
      </c>
      <c r="P731" s="255">
        <f>IF(M731&gt;0,N731*100/M731,0)</f>
        <v>0</v>
      </c>
      <c r="Q731" s="255">
        <f ca="1">Q732+Q733</f>
        <v>1008470</v>
      </c>
      <c r="R731" s="255">
        <f ca="1">R732+R733</f>
        <v>1008470</v>
      </c>
      <c r="S731" s="255">
        <f ca="1">S732+S733</f>
        <v>37853</v>
      </c>
      <c r="T731" s="255">
        <f ca="1">IF(Q731&gt;0,S731*100/Q731,0)</f>
        <v>3.7535077890269419</v>
      </c>
      <c r="U731" s="255">
        <f ca="1">IF(R731&gt;0,S731*100/R731,0)</f>
        <v>3.7535077890269419</v>
      </c>
    </row>
    <row r="732" spans="1:21" ht="18.75" hidden="1">
      <c r="A732" s="155"/>
      <c r="B732" s="188"/>
      <c r="C732" s="188"/>
      <c r="D732" s="174"/>
      <c r="E732" s="186" t="s">
        <v>159</v>
      </c>
      <c r="F732" s="50"/>
      <c r="G732" s="52"/>
      <c r="H732" s="189" t="s">
        <v>14</v>
      </c>
      <c r="I732" s="54"/>
      <c r="J732" s="54"/>
      <c r="K732" s="55"/>
      <c r="L732" s="103">
        <v>0</v>
      </c>
      <c r="M732" s="102">
        <v>0</v>
      </c>
      <c r="N732" s="102">
        <v>0</v>
      </c>
      <c r="O732" s="102">
        <f>IF(L732&gt;0,N732*100/L732,0)</f>
        <v>0</v>
      </c>
      <c r="P732" s="102">
        <f>IF(M732&gt;0,N732*100/M732,0)</f>
        <v>0</v>
      </c>
      <c r="Q732" s="102">
        <v>0</v>
      </c>
      <c r="R732" s="102">
        <v>0</v>
      </c>
      <c r="S732" s="102">
        <v>0</v>
      </c>
      <c r="T732" s="102">
        <f>IF(Q732&gt;0,S732*100/Q732,0)</f>
        <v>0</v>
      </c>
      <c r="U732" s="102">
        <f>IF(R732&gt;0,S732*100/R732,0)</f>
        <v>0</v>
      </c>
    </row>
    <row r="733" spans="1:21" ht="18.75" hidden="1">
      <c r="A733" s="155"/>
      <c r="B733" s="188"/>
      <c r="C733" s="188"/>
      <c r="D733" s="174"/>
      <c r="E733" s="58" t="s">
        <v>160</v>
      </c>
      <c r="F733" s="50"/>
      <c r="G733" s="52"/>
      <c r="H733" s="162" t="s">
        <v>14</v>
      </c>
      <c r="I733" s="54"/>
      <c r="J733" s="54"/>
      <c r="K733" s="55"/>
      <c r="L733" s="256">
        <v>0</v>
      </c>
      <c r="M733" s="255">
        <v>0</v>
      </c>
      <c r="N733" s="255">
        <v>0</v>
      </c>
      <c r="O733" s="255">
        <f>IF(L733&gt;0,N733*100/L733,0)</f>
        <v>0</v>
      </c>
      <c r="P733" s="255">
        <f>IF(M733&gt;0,N733*100/M733,0)</f>
        <v>0</v>
      </c>
      <c r="Q733" s="255">
        <f ca="1">IFERROR(__xludf.DUMMYFUNCTION("IMPORTRANGE(""https://docs.google.com/spreadsheets/d/1ItG2mGa2ceCfYo0BwxsXqNm01IGEUdYcSSLTEv9YCik/edit?usp=sharing"",""เบิกจ่ายกองทุน!O33"")"),1008470)</f>
        <v>1008470</v>
      </c>
      <c r="R733" s="255">
        <f ca="1">IFERROR(__xludf.DUMMYFUNCTION("IMPORTRANGE(""https://docs.google.com/spreadsheets/d/1ItG2mGa2ceCfYo0BwxsXqNm01IGEUdYcSSLTEv9YCik/edit?usp=sharing"",""เบิกจ่ายกองทุน!P33"")"),1008470)</f>
        <v>1008470</v>
      </c>
      <c r="S733" s="255">
        <f ca="1">IFERROR(__xludf.DUMMYFUNCTION("IMPORTRANGE(""https://docs.google.com/spreadsheets/d/1ItG2mGa2ceCfYo0BwxsXqNm01IGEUdYcSSLTEv9YCik/edit?usp=sharing"",""เบิกจ่ายกองทุน!Q33"")"),37853)</f>
        <v>37853</v>
      </c>
      <c r="T733" s="255">
        <f ca="1">IF(Q733&gt;0,S733*100/Q733,0)</f>
        <v>3.7535077890269419</v>
      </c>
      <c r="U733" s="255">
        <f ca="1">IF(R733&gt;0,S733*100/R733,0)</f>
        <v>3.7535077890269419</v>
      </c>
    </row>
    <row r="734" spans="1:21" ht="18.75">
      <c r="A734" s="155"/>
      <c r="B734" s="188"/>
      <c r="C734" s="188"/>
      <c r="D734" s="51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256">
        <f>L735+L736</f>
        <v>0</v>
      </c>
      <c r="M734" s="255">
        <f>M735+M736</f>
        <v>0</v>
      </c>
      <c r="N734" s="255">
        <f>N735+N736</f>
        <v>0</v>
      </c>
      <c r="O734" s="255">
        <f>IF(L734&gt;0,N734*100/L734,0)</f>
        <v>0</v>
      </c>
      <c r="P734" s="255">
        <f>IF(M734&gt;0,N734*100/M734,0)</f>
        <v>0</v>
      </c>
      <c r="Q734" s="255">
        <f>Q735+Q736</f>
        <v>0</v>
      </c>
      <c r="R734" s="255">
        <f>R735+R736</f>
        <v>0</v>
      </c>
      <c r="S734" s="255">
        <f>S735+S736</f>
        <v>0</v>
      </c>
      <c r="T734" s="255">
        <f>IF(Q734&gt;0,S734*100/Q734,0)</f>
        <v>0</v>
      </c>
      <c r="U734" s="255">
        <f>IF(R734&gt;0,S734*100/R734,0)</f>
        <v>0</v>
      </c>
    </row>
    <row r="735" spans="1:21" ht="18.75" hidden="1">
      <c r="A735" s="155"/>
      <c r="B735" s="188"/>
      <c r="C735" s="188"/>
      <c r="D735" s="188"/>
      <c r="E735" s="358" t="s">
        <v>20</v>
      </c>
      <c r="F735" s="188"/>
      <c r="G735" s="52"/>
      <c r="H735" s="189" t="s">
        <v>14</v>
      </c>
      <c r="I735" s="163"/>
      <c r="J735" s="163"/>
      <c r="K735" s="164"/>
      <c r="L735" s="103">
        <v>0</v>
      </c>
      <c r="M735" s="102">
        <v>0</v>
      </c>
      <c r="N735" s="102">
        <v>0</v>
      </c>
      <c r="O735" s="102">
        <f>IF(L735&gt;0,N735*100/L735,0)</f>
        <v>0</v>
      </c>
      <c r="P735" s="102">
        <f>IF(M735&gt;0,N735*100/M735,0)</f>
        <v>0</v>
      </c>
      <c r="Q735" s="102">
        <v>0</v>
      </c>
      <c r="R735" s="102">
        <v>0</v>
      </c>
      <c r="S735" s="102">
        <v>0</v>
      </c>
      <c r="T735" s="102">
        <f>IF(Q735&gt;0,S735*100/Q735,0)</f>
        <v>0</v>
      </c>
      <c r="U735" s="102">
        <f>IF(R735&gt;0,S735*100/R735,0)</f>
        <v>0</v>
      </c>
    </row>
    <row r="736" spans="1:21" ht="18.75" hidden="1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256">
        <v>0</v>
      </c>
      <c r="M736" s="255">
        <v>0</v>
      </c>
      <c r="N736" s="255">
        <v>0</v>
      </c>
      <c r="O736" s="255">
        <f>IF(L736&gt;0,N736*100/L736,0)</f>
        <v>0</v>
      </c>
      <c r="P736" s="255">
        <f>IF(M736&gt;0,N736*100/M736,0)</f>
        <v>0</v>
      </c>
      <c r="Q736" s="255">
        <v>0</v>
      </c>
      <c r="R736" s="255">
        <v>0</v>
      </c>
      <c r="S736" s="255">
        <v>0</v>
      </c>
      <c r="T736" s="255">
        <f>IF(Q736&gt;0,S736*100/Q736,0)</f>
        <v>0</v>
      </c>
      <c r="U736" s="255">
        <f>IF(R736&gt;0,S736*100/R736,0)</f>
        <v>0</v>
      </c>
    </row>
    <row r="737" spans="1:21" ht="19.5">
      <c r="A737" s="166"/>
      <c r="B737" s="167"/>
      <c r="C737" s="768" t="s">
        <v>18</v>
      </c>
      <c r="D737" s="560" t="s">
        <v>38</v>
      </c>
      <c r="E737" s="232"/>
      <c r="F737" s="169"/>
      <c r="G737" s="170"/>
      <c r="H737" s="206"/>
      <c r="I737" s="54"/>
      <c r="J737" s="54"/>
      <c r="K737" s="55"/>
      <c r="L737" s="62"/>
      <c r="M737" s="55"/>
      <c r="N737" s="55"/>
      <c r="O737" s="55"/>
      <c r="P737" s="55"/>
      <c r="Q737" s="55"/>
      <c r="R737" s="55"/>
      <c r="S737" s="55"/>
      <c r="T737" s="55"/>
      <c r="U737" s="55"/>
    </row>
    <row r="738" spans="1:21" ht="19.5">
      <c r="A738" s="166"/>
      <c r="B738" s="167"/>
      <c r="C738" s="167"/>
      <c r="D738" s="488" t="s">
        <v>121</v>
      </c>
      <c r="E738" s="167"/>
      <c r="F738" s="167"/>
      <c r="G738" s="171"/>
      <c r="H738" s="208"/>
      <c r="I738" s="54"/>
      <c r="J738" s="54"/>
      <c r="K738" s="55"/>
      <c r="L738" s="62"/>
      <c r="M738" s="55"/>
      <c r="N738" s="55"/>
      <c r="O738" s="55"/>
      <c r="P738" s="55"/>
      <c r="Q738" s="55"/>
      <c r="R738" s="55"/>
      <c r="S738" s="55"/>
      <c r="T738" s="55"/>
      <c r="U738" s="55"/>
    </row>
    <row r="739" spans="1:21" ht="18.75">
      <c r="A739" s="166"/>
      <c r="B739" s="167"/>
      <c r="C739" s="167"/>
      <c r="D739" s="167"/>
      <c r="E739" s="460" t="s">
        <v>271</v>
      </c>
      <c r="F739" s="167"/>
      <c r="G739" s="171"/>
      <c r="H739" s="208"/>
      <c r="I739" s="54"/>
      <c r="J739" s="54"/>
      <c r="K739" s="55"/>
      <c r="L739" s="62"/>
      <c r="M739" s="55"/>
      <c r="N739" s="55"/>
      <c r="O739" s="55"/>
      <c r="P739" s="55"/>
      <c r="Q739" s="55"/>
      <c r="R739" s="55"/>
      <c r="S739" s="55"/>
      <c r="T739" s="55"/>
      <c r="U739" s="55"/>
    </row>
    <row r="740" spans="1:21" ht="18.75">
      <c r="A740" s="166"/>
      <c r="B740" s="167"/>
      <c r="C740" s="167"/>
      <c r="D740" s="167"/>
      <c r="E740" s="167"/>
      <c r="F740" s="460" t="s">
        <v>272</v>
      </c>
      <c r="G740" s="171"/>
      <c r="H740" s="161" t="s">
        <v>46</v>
      </c>
      <c r="I740" s="212">
        <f ca="1">IFERROR(__xludf.DUMMYFUNCTION("IMPORTRANGE(""https://docs.google.com/spreadsheets/d/1eHaY18a8A9IcSdp1K8H6x8fbOy06t2VsZHhMHf-1x7Y/edit?usp=sharing"",""แผน!GB33"")"),1000)</f>
        <v>1000</v>
      </c>
      <c r="J740" s="467">
        <v>0</v>
      </c>
      <c r="K740" s="255">
        <f ca="1">IF(I740&gt;0,J740*100/I740,0)</f>
        <v>0</v>
      </c>
      <c r="L740" s="62"/>
      <c r="M740" s="55"/>
      <c r="N740" s="55"/>
      <c r="O740" s="55"/>
      <c r="P740" s="55"/>
      <c r="Q740" s="55"/>
      <c r="R740" s="55"/>
      <c r="S740" s="55"/>
      <c r="T740" s="55"/>
      <c r="U740" s="55"/>
    </row>
    <row r="741" spans="1:21" ht="18.75">
      <c r="A741" s="554"/>
      <c r="B741" s="553"/>
      <c r="C741" s="553"/>
      <c r="D741" s="553"/>
      <c r="E741" s="553"/>
      <c r="F741" s="558" t="s">
        <v>307</v>
      </c>
      <c r="G741" s="550"/>
      <c r="H741" s="549" t="s">
        <v>35</v>
      </c>
      <c r="I741" s="548"/>
      <c r="J741" s="547">
        <v>0</v>
      </c>
      <c r="K741" s="545"/>
      <c r="L741" s="546"/>
      <c r="M741" s="545"/>
      <c r="N741" s="545"/>
      <c r="O741" s="545"/>
      <c r="P741" s="545"/>
      <c r="Q741" s="545"/>
      <c r="R741" s="545"/>
      <c r="S741" s="545"/>
      <c r="T741" s="545"/>
      <c r="U741" s="545"/>
    </row>
    <row r="742" spans="1:21" ht="18.75">
      <c r="A742" s="554"/>
      <c r="B742" s="553"/>
      <c r="C742" s="553"/>
      <c r="D742" s="553"/>
      <c r="E742" s="553"/>
      <c r="F742" s="558" t="s">
        <v>306</v>
      </c>
      <c r="G742" s="550"/>
      <c r="H742" s="549" t="s">
        <v>35</v>
      </c>
      <c r="I742" s="556">
        <f ca="1">IFERROR(__xludf.DUMMYFUNCTION("IMPORTRANGE(""https://docs.google.com/spreadsheets/d/1eHaY18a8A9IcSdp1K8H6x8fbOy06t2VsZHhMHf-1x7Y/edit?usp=sharing"",""แผน!GC33"")"),100)</f>
        <v>100</v>
      </c>
      <c r="J742" s="547">
        <v>0</v>
      </c>
      <c r="K742" s="555">
        <f ca="1">IF(I742&gt;0,J742*100/I742,0)</f>
        <v>0</v>
      </c>
      <c r="L742" s="546"/>
      <c r="M742" s="545"/>
      <c r="N742" s="545"/>
      <c r="O742" s="545"/>
      <c r="P742" s="545"/>
      <c r="Q742" s="545"/>
      <c r="R742" s="545"/>
      <c r="S742" s="545"/>
      <c r="T742" s="545"/>
      <c r="U742" s="545"/>
    </row>
    <row r="743" spans="1:21" ht="18.75">
      <c r="A743" s="554"/>
      <c r="B743" s="553"/>
      <c r="C743" s="553"/>
      <c r="D743" s="553"/>
      <c r="E743" s="558" t="s">
        <v>275</v>
      </c>
      <c r="F743" s="553"/>
      <c r="G743" s="550"/>
      <c r="H743" s="557"/>
      <c r="I743" s="548"/>
      <c r="J743" s="548"/>
      <c r="K743" s="545"/>
      <c r="L743" s="546"/>
      <c r="M743" s="545"/>
      <c r="N743" s="545"/>
      <c r="O743" s="545"/>
      <c r="P743" s="545"/>
      <c r="Q743" s="545"/>
      <c r="R743" s="545"/>
      <c r="S743" s="545"/>
      <c r="T743" s="545"/>
      <c r="U743" s="545"/>
    </row>
    <row r="744" spans="1:21" ht="18.75">
      <c r="A744" s="554"/>
      <c r="B744" s="553"/>
      <c r="C744" s="553"/>
      <c r="D744" s="553"/>
      <c r="E744" s="553"/>
      <c r="F744" s="558" t="s">
        <v>272</v>
      </c>
      <c r="G744" s="550"/>
      <c r="H744" s="549" t="s">
        <v>46</v>
      </c>
      <c r="I744" s="556">
        <f ca="1">IFERROR(__xludf.DUMMYFUNCTION("IMPORTRANGE(""https://docs.google.com/spreadsheets/d/1eHaY18a8A9IcSdp1K8H6x8fbOy06t2VsZHhMHf-1x7Y/edit?usp=sharing"",""แผน!GD33"")"),250)</f>
        <v>250</v>
      </c>
      <c r="J744" s="547">
        <v>0</v>
      </c>
      <c r="K744" s="555">
        <f ca="1">IF(I744&gt;0,J744*100/I744,0)</f>
        <v>0</v>
      </c>
      <c r="L744" s="546"/>
      <c r="M744" s="545"/>
      <c r="N744" s="545"/>
      <c r="O744" s="545"/>
      <c r="P744" s="545"/>
      <c r="Q744" s="545"/>
      <c r="R744" s="545"/>
      <c r="S744" s="545"/>
      <c r="T744" s="545"/>
      <c r="U744" s="545"/>
    </row>
    <row r="745" spans="1:21" ht="18.75">
      <c r="A745" s="554"/>
      <c r="B745" s="553"/>
      <c r="C745" s="553"/>
      <c r="D745" s="553"/>
      <c r="E745" s="553"/>
      <c r="F745" s="558" t="s">
        <v>305</v>
      </c>
      <c r="G745" s="550"/>
      <c r="H745" s="549" t="s">
        <v>35</v>
      </c>
      <c r="I745" s="548"/>
      <c r="J745" s="547">
        <v>0</v>
      </c>
      <c r="K745" s="545"/>
      <c r="L745" s="546"/>
      <c r="M745" s="545"/>
      <c r="N745" s="545"/>
      <c r="O745" s="545"/>
      <c r="P745" s="545"/>
      <c r="Q745" s="545"/>
      <c r="R745" s="545"/>
      <c r="S745" s="545"/>
      <c r="T745" s="545"/>
      <c r="U745" s="545"/>
    </row>
    <row r="746" spans="1:21" ht="18.75">
      <c r="A746" s="554"/>
      <c r="B746" s="553"/>
      <c r="C746" s="553"/>
      <c r="D746" s="553"/>
      <c r="E746" s="553"/>
      <c r="F746" s="558" t="s">
        <v>304</v>
      </c>
      <c r="G746" s="550"/>
      <c r="H746" s="549" t="s">
        <v>35</v>
      </c>
      <c r="I746" s="556">
        <f ca="1">IFERROR(__xludf.DUMMYFUNCTION("IMPORTRANGE(""https://docs.google.com/spreadsheets/d/1eHaY18a8A9IcSdp1K8H6x8fbOy06t2VsZHhMHf-1x7Y/edit?usp=sharing"",""แผน!GE33"")"),25)</f>
        <v>25</v>
      </c>
      <c r="J746" s="547">
        <v>0</v>
      </c>
      <c r="K746" s="555">
        <f ca="1">IF(I746&gt;0,J746*100/I746,0)</f>
        <v>0</v>
      </c>
      <c r="L746" s="546"/>
      <c r="M746" s="545"/>
      <c r="N746" s="545"/>
      <c r="O746" s="545"/>
      <c r="P746" s="545"/>
      <c r="Q746" s="545"/>
      <c r="R746" s="545"/>
      <c r="S746" s="545"/>
      <c r="T746" s="545"/>
      <c r="U746" s="545"/>
    </row>
    <row r="747" spans="1:21" ht="18.75">
      <c r="A747" s="554"/>
      <c r="B747" s="553"/>
      <c r="C747" s="553"/>
      <c r="D747" s="553"/>
      <c r="E747" s="558" t="s">
        <v>278</v>
      </c>
      <c r="F747" s="552"/>
      <c r="G747" s="550"/>
      <c r="H747" s="557"/>
      <c r="I747" s="548"/>
      <c r="J747" s="548"/>
      <c r="K747" s="545"/>
      <c r="L747" s="546"/>
      <c r="M747" s="545"/>
      <c r="N747" s="545"/>
      <c r="O747" s="545"/>
      <c r="P747" s="545"/>
      <c r="Q747" s="545"/>
      <c r="R747" s="545"/>
      <c r="S747" s="545"/>
      <c r="T747" s="545"/>
      <c r="U747" s="545"/>
    </row>
    <row r="748" spans="1:21" ht="18.75">
      <c r="A748" s="554"/>
      <c r="B748" s="553"/>
      <c r="C748" s="553"/>
      <c r="D748" s="553"/>
      <c r="E748" s="553"/>
      <c r="F748" s="558" t="s">
        <v>303</v>
      </c>
      <c r="G748" s="550"/>
      <c r="H748" s="549" t="s">
        <v>35</v>
      </c>
      <c r="I748" s="548"/>
      <c r="J748" s="547">
        <v>0</v>
      </c>
      <c r="K748" s="545"/>
      <c r="L748" s="546"/>
      <c r="M748" s="545"/>
      <c r="N748" s="545"/>
      <c r="O748" s="545"/>
      <c r="P748" s="545"/>
      <c r="Q748" s="545"/>
      <c r="R748" s="545"/>
      <c r="S748" s="545"/>
      <c r="T748" s="545"/>
      <c r="U748" s="545"/>
    </row>
    <row r="749" spans="1:21" ht="18.75">
      <c r="A749" s="554"/>
      <c r="B749" s="553"/>
      <c r="C749" s="553"/>
      <c r="D749" s="553"/>
      <c r="E749" s="553"/>
      <c r="F749" s="558" t="s">
        <v>302</v>
      </c>
      <c r="G749" s="550"/>
      <c r="H749" s="549" t="s">
        <v>35</v>
      </c>
      <c r="I749" s="556">
        <f ca="1">IFERROR(__xludf.DUMMYFUNCTION("IMPORTRANGE(""https://docs.google.com/spreadsheets/d/1eHaY18a8A9IcSdp1K8H6x8fbOy06t2VsZHhMHf-1x7Y/edit?usp=sharing"",""แผน!GF33"")"),3)</f>
        <v>3</v>
      </c>
      <c r="J749" s="547">
        <v>0</v>
      </c>
      <c r="K749" s="555">
        <f ca="1">IF(I749&gt;0,J749*100/I749,0)</f>
        <v>0</v>
      </c>
      <c r="L749" s="546"/>
      <c r="M749" s="545"/>
      <c r="N749" s="545"/>
      <c r="O749" s="545"/>
      <c r="P749" s="545"/>
      <c r="Q749" s="545"/>
      <c r="R749" s="545"/>
      <c r="S749" s="545"/>
      <c r="T749" s="545"/>
      <c r="U749" s="545"/>
    </row>
    <row r="750" spans="1:21" ht="19.5">
      <c r="A750" s="554"/>
      <c r="B750" s="553"/>
      <c r="C750" s="553"/>
      <c r="D750" s="559" t="s">
        <v>50</v>
      </c>
      <c r="E750" s="553"/>
      <c r="F750" s="552"/>
      <c r="G750" s="550"/>
      <c r="H750" s="557"/>
      <c r="I750" s="548"/>
      <c r="J750" s="548"/>
      <c r="K750" s="545"/>
      <c r="L750" s="546"/>
      <c r="M750" s="545"/>
      <c r="N750" s="545"/>
      <c r="O750" s="545"/>
      <c r="P750" s="545"/>
      <c r="Q750" s="545"/>
      <c r="R750" s="545"/>
      <c r="S750" s="545"/>
      <c r="T750" s="545"/>
      <c r="U750" s="545"/>
    </row>
    <row r="751" spans="1:21" ht="18.75">
      <c r="A751" s="554"/>
      <c r="B751" s="553"/>
      <c r="C751" s="553"/>
      <c r="D751" s="553"/>
      <c r="E751" s="558" t="s">
        <v>271</v>
      </c>
      <c r="F751" s="552"/>
      <c r="G751" s="550"/>
      <c r="H751" s="557"/>
      <c r="I751" s="548"/>
      <c r="J751" s="548"/>
      <c r="K751" s="545"/>
      <c r="L751" s="546"/>
      <c r="M751" s="545"/>
      <c r="N751" s="545"/>
      <c r="O751" s="545"/>
      <c r="P751" s="545"/>
      <c r="Q751" s="545"/>
      <c r="R751" s="545"/>
      <c r="S751" s="545"/>
      <c r="T751" s="545"/>
      <c r="U751" s="545"/>
    </row>
    <row r="752" spans="1:21" ht="18.75">
      <c r="A752" s="554"/>
      <c r="B752" s="553"/>
      <c r="C752" s="553"/>
      <c r="D752" s="553"/>
      <c r="E752" s="553"/>
      <c r="F752" s="551" t="s">
        <v>301</v>
      </c>
      <c r="G752" s="550"/>
      <c r="H752" s="549" t="s">
        <v>46</v>
      </c>
      <c r="I752" s="556">
        <f ca="1">IFERROR(__xludf.DUMMYFUNCTION("IMPORTRANGE(""https://docs.google.com/spreadsheets/d/1eHaY18a8A9IcSdp1K8H6x8fbOy06t2VsZHhMHf-1x7Y/edit?usp=sharing"",""แผน!GB33"")"),1000)</f>
        <v>1000</v>
      </c>
      <c r="J752" s="547">
        <v>0</v>
      </c>
      <c r="K752" s="555">
        <f ca="1">IF(I752&gt;0,J752*100/I752,0)</f>
        <v>0</v>
      </c>
      <c r="L752" s="546"/>
      <c r="M752" s="545"/>
      <c r="N752" s="545"/>
      <c r="O752" s="545"/>
      <c r="P752" s="545"/>
      <c r="Q752" s="545"/>
      <c r="R752" s="545"/>
      <c r="S752" s="545"/>
      <c r="T752" s="545"/>
      <c r="U752" s="545"/>
    </row>
    <row r="753" spans="1:21" ht="18.75">
      <c r="A753" s="554"/>
      <c r="B753" s="553"/>
      <c r="C753" s="553"/>
      <c r="D753" s="553"/>
      <c r="E753" s="553"/>
      <c r="F753" s="551" t="s">
        <v>300</v>
      </c>
      <c r="G753" s="550"/>
      <c r="H753" s="549" t="s">
        <v>46</v>
      </c>
      <c r="I753" s="548"/>
      <c r="J753" s="547">
        <v>0</v>
      </c>
      <c r="K753" s="545"/>
      <c r="L753" s="546"/>
      <c r="M753" s="545"/>
      <c r="N753" s="545"/>
      <c r="O753" s="545"/>
      <c r="P753" s="545"/>
      <c r="Q753" s="545"/>
      <c r="R753" s="545"/>
      <c r="S753" s="545"/>
      <c r="T753" s="545"/>
      <c r="U753" s="545"/>
    </row>
    <row r="754" spans="1:21" ht="18.75">
      <c r="A754" s="554"/>
      <c r="B754" s="553"/>
      <c r="C754" s="553"/>
      <c r="D754" s="553"/>
      <c r="E754" s="558" t="s">
        <v>275</v>
      </c>
      <c r="F754" s="552"/>
      <c r="G754" s="550"/>
      <c r="H754" s="557"/>
      <c r="I754" s="548"/>
      <c r="J754" s="548"/>
      <c r="K754" s="545"/>
      <c r="L754" s="546"/>
      <c r="M754" s="545"/>
      <c r="N754" s="545"/>
      <c r="O754" s="545"/>
      <c r="P754" s="545"/>
      <c r="Q754" s="545"/>
      <c r="R754" s="545"/>
      <c r="S754" s="545"/>
      <c r="T754" s="545"/>
      <c r="U754" s="545"/>
    </row>
    <row r="755" spans="1:21" ht="18.75">
      <c r="A755" s="554"/>
      <c r="B755" s="553"/>
      <c r="C755" s="553"/>
      <c r="D755" s="553"/>
      <c r="E755" s="552"/>
      <c r="F755" s="551" t="s">
        <v>299</v>
      </c>
      <c r="G755" s="550"/>
      <c r="H755" s="549" t="s">
        <v>46</v>
      </c>
      <c r="I755" s="556">
        <f ca="1">IFERROR(__xludf.DUMMYFUNCTION("IMPORTRANGE(""https://docs.google.com/spreadsheets/d/1eHaY18a8A9IcSdp1K8H6x8fbOy06t2VsZHhMHf-1x7Y/edit?usp=sharing"",""แผน!GD33"")"),250)</f>
        <v>250</v>
      </c>
      <c r="J755" s="547">
        <v>0</v>
      </c>
      <c r="K755" s="555">
        <f ca="1">IF(I755&gt;0,J755*100/I755,0)</f>
        <v>0</v>
      </c>
      <c r="L755" s="546"/>
      <c r="M755" s="545"/>
      <c r="N755" s="545"/>
      <c r="O755" s="545"/>
      <c r="P755" s="545"/>
      <c r="Q755" s="545"/>
      <c r="R755" s="545"/>
      <c r="S755" s="545"/>
      <c r="T755" s="545"/>
      <c r="U755" s="545"/>
    </row>
    <row r="756" spans="1:21" ht="18.75">
      <c r="A756" s="554"/>
      <c r="B756" s="553"/>
      <c r="C756" s="553"/>
      <c r="D756" s="553"/>
      <c r="E756" s="552"/>
      <c r="F756" s="551" t="s">
        <v>298</v>
      </c>
      <c r="G756" s="550"/>
      <c r="H756" s="549" t="s">
        <v>46</v>
      </c>
      <c r="I756" s="548"/>
      <c r="J756" s="547">
        <v>0</v>
      </c>
      <c r="K756" s="545"/>
      <c r="L756" s="546"/>
      <c r="M756" s="545"/>
      <c r="N756" s="545"/>
      <c r="O756" s="545"/>
      <c r="P756" s="545"/>
      <c r="Q756" s="545"/>
      <c r="R756" s="545"/>
      <c r="S756" s="545"/>
      <c r="T756" s="545"/>
      <c r="U756" s="545"/>
    </row>
    <row r="757" spans="1:21" ht="18.75">
      <c r="A757" s="489"/>
      <c r="B757" s="489"/>
      <c r="C757" s="489"/>
      <c r="D757" s="489"/>
      <c r="E757" s="490" t="s">
        <v>285</v>
      </c>
      <c r="F757" s="491"/>
      <c r="G757" s="492"/>
      <c r="H757" s="493" t="s">
        <v>35</v>
      </c>
      <c r="I757" s="494"/>
      <c r="J757" s="495">
        <v>0</v>
      </c>
      <c r="K757" s="496"/>
      <c r="L757" s="496"/>
      <c r="M757" s="496"/>
      <c r="N757" s="496"/>
      <c r="O757" s="496"/>
      <c r="P757" s="496"/>
      <c r="Q757" s="496"/>
      <c r="R757" s="496"/>
      <c r="S757" s="496"/>
      <c r="T757" s="496"/>
      <c r="U757" s="496"/>
    </row>
    <row r="758" spans="1:21" ht="19.5">
      <c r="A758" s="442"/>
      <c r="B758" s="443" t="s">
        <v>286</v>
      </c>
      <c r="C758" s="442"/>
      <c r="D758" s="444"/>
      <c r="E758" s="444"/>
      <c r="F758" s="444"/>
      <c r="G758" s="445"/>
      <c r="H758" s="473" t="s">
        <v>35</v>
      </c>
      <c r="I758" s="544">
        <f ca="1">I772</f>
        <v>75</v>
      </c>
      <c r="J758" s="544">
        <f>J772</f>
        <v>75</v>
      </c>
      <c r="K758" s="543">
        <f ca="1">IF(I758&gt;0,J758*100/I758,0)</f>
        <v>100</v>
      </c>
      <c r="L758" s="449"/>
      <c r="M758" s="448"/>
      <c r="N758" s="448"/>
      <c r="O758" s="448"/>
      <c r="P758" s="448"/>
      <c r="Q758" s="448"/>
      <c r="R758" s="448"/>
      <c r="S758" s="448"/>
      <c r="T758" s="448"/>
      <c r="U758" s="448"/>
    </row>
    <row r="759" spans="1:21" ht="19.5">
      <c r="A759" s="487"/>
      <c r="B759" s="442"/>
      <c r="C759" s="442"/>
      <c r="D759" s="444"/>
      <c r="E759" s="444"/>
      <c r="F759" s="444"/>
      <c r="G759" s="445"/>
      <c r="H759" s="473" t="s">
        <v>46</v>
      </c>
      <c r="I759" s="544">
        <f ca="1">I774</f>
        <v>135</v>
      </c>
      <c r="J759" s="544">
        <f>J774</f>
        <v>135</v>
      </c>
      <c r="K759" s="543">
        <f ca="1">IF(I759&gt;0,J759*100/I759,0)</f>
        <v>100</v>
      </c>
      <c r="L759" s="449"/>
      <c r="M759" s="448"/>
      <c r="N759" s="448"/>
      <c r="O759" s="448"/>
      <c r="P759" s="448"/>
      <c r="Q759" s="448"/>
      <c r="R759" s="448"/>
      <c r="S759" s="448"/>
      <c r="T759" s="448"/>
      <c r="U759" s="448"/>
    </row>
    <row r="760" spans="1:21" ht="19.5">
      <c r="A760" s="155"/>
      <c r="B760" s="188"/>
      <c r="C760" s="768" t="s">
        <v>18</v>
      </c>
      <c r="D760" s="542" t="s">
        <v>19</v>
      </c>
      <c r="E760" s="529"/>
      <c r="F760" s="529"/>
      <c r="G760" s="530"/>
      <c r="H760" s="252" t="s">
        <v>14</v>
      </c>
      <c r="I760" s="54"/>
      <c r="J760" s="54"/>
      <c r="K760" s="55"/>
      <c r="L760" s="541">
        <f>L761+L762</f>
        <v>0</v>
      </c>
      <c r="M760" s="540">
        <f>M761+M762</f>
        <v>0</v>
      </c>
      <c r="N760" s="540">
        <f>N761+N762</f>
        <v>0</v>
      </c>
      <c r="O760" s="540">
        <f>IF(L760&gt;0,N760*100/L760,0)</f>
        <v>0</v>
      </c>
      <c r="P760" s="540">
        <f>IF(M760&gt;0,N760*100/M760,0)</f>
        <v>0</v>
      </c>
      <c r="Q760" s="540">
        <f ca="1">Q761+Q762</f>
        <v>475550</v>
      </c>
      <c r="R760" s="540">
        <f ca="1">R761+R762</f>
        <v>475550</v>
      </c>
      <c r="S760" s="540">
        <f ca="1">S761+S762</f>
        <v>18430</v>
      </c>
      <c r="T760" s="540">
        <f ca="1">IF(Q760&gt;0,S760*100/Q760,0)</f>
        <v>3.8755125643991168</v>
      </c>
      <c r="U760" s="540">
        <f ca="1">IF(R760&gt;0,S760*100/R760,0)</f>
        <v>3.8755125643991168</v>
      </c>
    </row>
    <row r="761" spans="1:21" ht="18.75" hidden="1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103">
        <f>L764+L767</f>
        <v>0</v>
      </c>
      <c r="M761" s="102">
        <f>M764+M767</f>
        <v>0</v>
      </c>
      <c r="N761" s="102">
        <f>N764+N767</f>
        <v>0</v>
      </c>
      <c r="O761" s="102">
        <f>IF(L761&gt;0,N761*100/L761,0)</f>
        <v>0</v>
      </c>
      <c r="P761" s="102">
        <f>IF(M761&gt;0,N761*100/M761,0)</f>
        <v>0</v>
      </c>
      <c r="Q761" s="102">
        <f>Q764+Q767</f>
        <v>0</v>
      </c>
      <c r="R761" s="102">
        <f>R764+R767</f>
        <v>0</v>
      </c>
      <c r="S761" s="102">
        <f>S764+S767</f>
        <v>0</v>
      </c>
      <c r="T761" s="102">
        <f>IF(Q761&gt;0,S761*100/Q761,0)</f>
        <v>0</v>
      </c>
      <c r="U761" s="102">
        <f>IF(R761&gt;0,S761*100/R761,0)</f>
        <v>0</v>
      </c>
    </row>
    <row r="762" spans="1:21" ht="18.75" hidden="1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256">
        <f>L765+L768</f>
        <v>0</v>
      </c>
      <c r="M762" s="255">
        <f>M765+M768</f>
        <v>0</v>
      </c>
      <c r="N762" s="255">
        <f>N765+N768</f>
        <v>0</v>
      </c>
      <c r="O762" s="255">
        <f>IF(L762&gt;0,N762*100/L762,0)</f>
        <v>0</v>
      </c>
      <c r="P762" s="255">
        <f>IF(M762&gt;0,N762*100/M762,0)</f>
        <v>0</v>
      </c>
      <c r="Q762" s="255">
        <f ca="1">Q765+Q768</f>
        <v>475550</v>
      </c>
      <c r="R762" s="255">
        <f ca="1">R765+R768</f>
        <v>475550</v>
      </c>
      <c r="S762" s="255">
        <f ca="1">S765+S768</f>
        <v>18430</v>
      </c>
      <c r="T762" s="255">
        <f ca="1">IF(Q762&gt;0,S762*100/Q762,0)</f>
        <v>3.8755125643991168</v>
      </c>
      <c r="U762" s="255">
        <f ca="1">IF(R762&gt;0,S762*100/R762,0)</f>
        <v>3.8755125643991168</v>
      </c>
    </row>
    <row r="763" spans="1:21" ht="18.75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256">
        <f>L764+L765</f>
        <v>0</v>
      </c>
      <c r="M763" s="255">
        <f>M764+M765</f>
        <v>0</v>
      </c>
      <c r="N763" s="255">
        <f>N764+N765</f>
        <v>0</v>
      </c>
      <c r="O763" s="255">
        <f>IF(L763&gt;0,N763*100/L763,0)</f>
        <v>0</v>
      </c>
      <c r="P763" s="255">
        <f>IF(M763&gt;0,N763*100/M763,0)</f>
        <v>0</v>
      </c>
      <c r="Q763" s="255">
        <f ca="1">Q764+Q765</f>
        <v>475550</v>
      </c>
      <c r="R763" s="255">
        <f ca="1">R764+R765</f>
        <v>475550</v>
      </c>
      <c r="S763" s="255">
        <f ca="1">S764+S765</f>
        <v>18430</v>
      </c>
      <c r="T763" s="255">
        <f ca="1">IF(Q763&gt;0,S763*100/Q763,0)</f>
        <v>3.8755125643991168</v>
      </c>
      <c r="U763" s="255">
        <f ca="1">IF(R763&gt;0,S763*100/R763,0)</f>
        <v>3.8755125643991168</v>
      </c>
    </row>
    <row r="764" spans="1:21" ht="18.75" hidden="1">
      <c r="A764" s="155"/>
      <c r="B764" s="188"/>
      <c r="C764" s="202"/>
      <c r="D764" s="174"/>
      <c r="E764" s="186" t="s">
        <v>159</v>
      </c>
      <c r="F764" s="50"/>
      <c r="G764" s="52"/>
      <c r="H764" s="189" t="s">
        <v>14</v>
      </c>
      <c r="I764" s="54"/>
      <c r="J764" s="54"/>
      <c r="K764" s="55"/>
      <c r="L764" s="103">
        <v>0</v>
      </c>
      <c r="M764" s="102">
        <v>0</v>
      </c>
      <c r="N764" s="102">
        <v>0</v>
      </c>
      <c r="O764" s="102">
        <f>IF(L764&gt;0,N764*100/L764,0)</f>
        <v>0</v>
      </c>
      <c r="P764" s="102">
        <f>IF(M764&gt;0,N764*100/M764,0)</f>
        <v>0</v>
      </c>
      <c r="Q764" s="102">
        <v>0</v>
      </c>
      <c r="R764" s="102">
        <v>0</v>
      </c>
      <c r="S764" s="102">
        <v>0</v>
      </c>
      <c r="T764" s="102">
        <f>IF(Q764&gt;0,S764*100/Q764,0)</f>
        <v>0</v>
      </c>
      <c r="U764" s="102">
        <f>IF(R764&gt;0,S764*100/R764,0)</f>
        <v>0</v>
      </c>
    </row>
    <row r="765" spans="1:21" ht="18.75" hidden="1">
      <c r="A765" s="155"/>
      <c r="B765" s="188"/>
      <c r="C765" s="202"/>
      <c r="D765" s="174"/>
      <c r="E765" s="58" t="s">
        <v>160</v>
      </c>
      <c r="F765" s="50"/>
      <c r="G765" s="52"/>
      <c r="H765" s="162" t="s">
        <v>14</v>
      </c>
      <c r="I765" s="54"/>
      <c r="J765" s="54"/>
      <c r="K765" s="55"/>
      <c r="L765" s="256">
        <v>0</v>
      </c>
      <c r="M765" s="255">
        <v>0</v>
      </c>
      <c r="N765" s="255">
        <v>0</v>
      </c>
      <c r="O765" s="255">
        <f>IF(L765&gt;0,N765*100/L765,0)</f>
        <v>0</v>
      </c>
      <c r="P765" s="255">
        <f>IF(M765&gt;0,N765*100/M765,0)</f>
        <v>0</v>
      </c>
      <c r="Q765" s="255">
        <f ca="1">IFERROR(__xludf.DUMMYFUNCTION("IMPORTRANGE(""https://docs.google.com/spreadsheets/d/1ItG2mGa2ceCfYo0BwxsXqNm01IGEUdYcSSLTEv9YCik/edit?usp=sharing"",""เบิกจ่ายกองทุน!U33"")"),475550)</f>
        <v>475550</v>
      </c>
      <c r="R765" s="255">
        <f ca="1">IFERROR(__xludf.DUMMYFUNCTION("IMPORTRANGE(""https://docs.google.com/spreadsheets/d/1ItG2mGa2ceCfYo0BwxsXqNm01IGEUdYcSSLTEv9YCik/edit?usp=sharing"",""เบิกจ่ายกองทุน!V33"")"),475550)</f>
        <v>475550</v>
      </c>
      <c r="S765" s="255">
        <f ca="1">IFERROR(__xludf.DUMMYFUNCTION("IMPORTRANGE(""https://docs.google.com/spreadsheets/d/1ItG2mGa2ceCfYo0BwxsXqNm01IGEUdYcSSLTEv9YCik/edit?usp=sharing"",""เบิกจ่ายกองทุน!W33"")"),18430)</f>
        <v>18430</v>
      </c>
      <c r="T765" s="255">
        <f ca="1">IF(Q765&gt;0,S765*100/Q765,0)</f>
        <v>3.8755125643991168</v>
      </c>
      <c r="U765" s="255">
        <f ca="1">IF(R765&gt;0,S765*100/R765,0)</f>
        <v>3.8755125643991168</v>
      </c>
    </row>
    <row r="766" spans="1:21" ht="18.75">
      <c r="A766" s="155"/>
      <c r="B766" s="188"/>
      <c r="C766" s="188"/>
      <c r="D766" s="51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256">
        <f>L767+L768</f>
        <v>0</v>
      </c>
      <c r="M766" s="255">
        <f>M767+M768</f>
        <v>0</v>
      </c>
      <c r="N766" s="255">
        <f>N767+N768</f>
        <v>0</v>
      </c>
      <c r="O766" s="255">
        <f>IF(L766&gt;0,N766*100/L766,0)</f>
        <v>0</v>
      </c>
      <c r="P766" s="255">
        <f>IF(M766&gt;0,N766*100/M766,0)</f>
        <v>0</v>
      </c>
      <c r="Q766" s="255">
        <f>Q767+Q768</f>
        <v>0</v>
      </c>
      <c r="R766" s="255">
        <f>R767+R768</f>
        <v>0</v>
      </c>
      <c r="S766" s="255">
        <f>S767+S768</f>
        <v>0</v>
      </c>
      <c r="T766" s="255">
        <f>IF(Q766&gt;0,S766*100/Q766,0)</f>
        <v>0</v>
      </c>
      <c r="U766" s="255">
        <f>IF(R766&gt;0,S766*100/R766,0)</f>
        <v>0</v>
      </c>
    </row>
    <row r="767" spans="1:21" ht="18.75" hidden="1">
      <c r="A767" s="155"/>
      <c r="B767" s="188"/>
      <c r="C767" s="188"/>
      <c r="D767" s="188"/>
      <c r="E767" s="358" t="s">
        <v>20</v>
      </c>
      <c r="F767" s="50"/>
      <c r="G767" s="52"/>
      <c r="H767" s="189" t="s">
        <v>14</v>
      </c>
      <c r="I767" s="163"/>
      <c r="J767" s="163"/>
      <c r="K767" s="164"/>
      <c r="L767" s="103">
        <v>0</v>
      </c>
      <c r="M767" s="102">
        <v>0</v>
      </c>
      <c r="N767" s="102">
        <v>0</v>
      </c>
      <c r="O767" s="102">
        <f>IF(L767&gt;0,N767*100/L767,0)</f>
        <v>0</v>
      </c>
      <c r="P767" s="102">
        <f>IF(M767&gt;0,N767*100/M767,0)</f>
        <v>0</v>
      </c>
      <c r="Q767" s="102">
        <v>0</v>
      </c>
      <c r="R767" s="102">
        <v>0</v>
      </c>
      <c r="S767" s="102">
        <v>0</v>
      </c>
      <c r="T767" s="102">
        <f>IF(Q767&gt;0,S767*100/Q767,0)</f>
        <v>0</v>
      </c>
      <c r="U767" s="102">
        <f>IF(R767&gt;0,S767*100/R767,0)</f>
        <v>0</v>
      </c>
    </row>
    <row r="768" spans="1:21" ht="18.75" hidden="1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256">
        <v>0</v>
      </c>
      <c r="M768" s="255">
        <v>0</v>
      </c>
      <c r="N768" s="255">
        <v>0</v>
      </c>
      <c r="O768" s="255">
        <f>IF(L768&gt;0,N768*100/L768,0)</f>
        <v>0</v>
      </c>
      <c r="P768" s="255">
        <f>IF(M768&gt;0,N768*100/M768,0)</f>
        <v>0</v>
      </c>
      <c r="Q768" s="255">
        <v>0</v>
      </c>
      <c r="R768" s="255">
        <v>0</v>
      </c>
      <c r="S768" s="255">
        <v>0</v>
      </c>
      <c r="T768" s="255">
        <f>IF(Q768&gt;0,S768*100/Q768,0)</f>
        <v>0</v>
      </c>
      <c r="U768" s="255">
        <f>IF(R768&gt;0,S768*100/R768,0)</f>
        <v>0</v>
      </c>
    </row>
    <row r="769" spans="1:21" ht="19.5">
      <c r="A769" s="166"/>
      <c r="B769" s="167"/>
      <c r="C769" s="767" t="s">
        <v>18</v>
      </c>
      <c r="D769" s="539" t="s">
        <v>38</v>
      </c>
      <c r="E769" s="232"/>
      <c r="F769" s="169"/>
      <c r="G769" s="170"/>
      <c r="H769" s="206"/>
      <c r="I769" s="54"/>
      <c r="J769" s="54"/>
      <c r="K769" s="55"/>
      <c r="L769" s="62"/>
      <c r="M769" s="55"/>
      <c r="N769" s="55"/>
      <c r="O769" s="55"/>
      <c r="P769" s="55"/>
      <c r="Q769" s="55"/>
      <c r="R769" s="55"/>
      <c r="S769" s="55"/>
      <c r="T769" s="55"/>
      <c r="U769" s="55"/>
    </row>
    <row r="770" spans="1:21" ht="18.75" hidden="1">
      <c r="A770" s="166"/>
      <c r="B770" s="167"/>
      <c r="C770" s="167"/>
      <c r="D770" s="423" t="s">
        <v>287</v>
      </c>
      <c r="E770" s="167"/>
      <c r="F770" s="174"/>
      <c r="G770" s="171"/>
      <c r="H770" s="421" t="s">
        <v>35</v>
      </c>
      <c r="I770" s="483">
        <f ca="1">IFERROR(__xludf.DUMMYFUNCTION("IMPORTRANGE(""https://docs.google.com/spreadsheets/d/1eHaY18a8A9IcSdp1K8H6x8fbOy06t2VsZHhMHf-1x7Y/edit?usp=sharing"",""แผน!FI33"")"),0)</f>
        <v>0</v>
      </c>
      <c r="J770" s="483">
        <v>0</v>
      </c>
      <c r="K770" s="102">
        <f ca="1">IF(I770&gt;0,J770*100/I770,0)</f>
        <v>0</v>
      </c>
      <c r="L770" s="62"/>
      <c r="M770" s="55"/>
      <c r="N770" s="55"/>
      <c r="O770" s="55"/>
      <c r="P770" s="55"/>
      <c r="Q770" s="55"/>
      <c r="R770" s="55"/>
      <c r="S770" s="55"/>
      <c r="T770" s="55"/>
      <c r="U770" s="55"/>
    </row>
    <row r="771" spans="1:21" ht="18.75" hidden="1">
      <c r="A771" s="166"/>
      <c r="B771" s="167"/>
      <c r="C771" s="167"/>
      <c r="D771" s="423" t="s">
        <v>288</v>
      </c>
      <c r="E771" s="167"/>
      <c r="F771" s="174"/>
      <c r="G771" s="171"/>
      <c r="H771" s="206"/>
      <c r="I771" s="54"/>
      <c r="J771" s="54"/>
      <c r="K771" s="55"/>
      <c r="L771" s="62"/>
      <c r="M771" s="55"/>
      <c r="N771" s="55"/>
      <c r="O771" s="55"/>
      <c r="P771" s="55"/>
      <c r="Q771" s="55"/>
      <c r="R771" s="55"/>
      <c r="S771" s="55"/>
      <c r="T771" s="55"/>
      <c r="U771" s="55"/>
    </row>
    <row r="772" spans="1:21" ht="18.75">
      <c r="A772" s="166"/>
      <c r="B772" s="167"/>
      <c r="C772" s="167"/>
      <c r="D772" s="460" t="s">
        <v>289</v>
      </c>
      <c r="E772" s="167"/>
      <c r="F772" s="174"/>
      <c r="G772" s="171"/>
      <c r="H772" s="165" t="s">
        <v>35</v>
      </c>
      <c r="I772" s="212">
        <f ca="1">IFERROR(__xludf.DUMMYFUNCTION("IMPORTRANGE(""https://docs.google.com/spreadsheets/d/1eHaY18a8A9IcSdp1K8H6x8fbOy06t2VsZHhMHf-1x7Y/edit?usp=sharing"",""แผน!FQ33"")"),75)</f>
        <v>75</v>
      </c>
      <c r="J772" s="467">
        <v>75</v>
      </c>
      <c r="K772" s="255">
        <f ca="1">IF(I772&gt;0,J772*100/I772,0)</f>
        <v>100</v>
      </c>
      <c r="L772" s="62"/>
      <c r="M772" s="55"/>
      <c r="N772" s="55"/>
      <c r="O772" s="55"/>
      <c r="P772" s="55"/>
      <c r="Q772" s="55"/>
      <c r="R772" s="55"/>
      <c r="S772" s="55"/>
      <c r="T772" s="55"/>
      <c r="U772" s="55"/>
    </row>
    <row r="773" spans="1:21" ht="18.75">
      <c r="A773" s="166"/>
      <c r="B773" s="167"/>
      <c r="C773" s="167"/>
      <c r="D773" s="460" t="s">
        <v>290</v>
      </c>
      <c r="E773" s="167"/>
      <c r="F773" s="174"/>
      <c r="G773" s="171"/>
      <c r="H773" s="206"/>
      <c r="I773" s="54"/>
      <c r="J773" s="54"/>
      <c r="K773" s="55"/>
      <c r="L773" s="62"/>
      <c r="M773" s="55"/>
      <c r="N773" s="55"/>
      <c r="O773" s="55"/>
      <c r="P773" s="55"/>
      <c r="Q773" s="55"/>
      <c r="R773" s="55"/>
      <c r="S773" s="55"/>
      <c r="T773" s="55"/>
      <c r="U773" s="55"/>
    </row>
    <row r="774" spans="1:21" ht="18.75">
      <c r="A774" s="166"/>
      <c r="B774" s="167"/>
      <c r="C774" s="167"/>
      <c r="D774" s="460" t="s">
        <v>291</v>
      </c>
      <c r="E774" s="167"/>
      <c r="F774" s="174"/>
      <c r="G774" s="171"/>
      <c r="H774" s="165" t="s">
        <v>46</v>
      </c>
      <c r="I774" s="212">
        <f ca="1">IFERROR(__xludf.DUMMYFUNCTION("IMPORTRANGE(""https://docs.google.com/spreadsheets/d/1eHaY18a8A9IcSdp1K8H6x8fbOy06t2VsZHhMHf-1x7Y/edit?usp=sharing"",""แผน!FR33"")"),135)</f>
        <v>135</v>
      </c>
      <c r="J774" s="467">
        <v>135</v>
      </c>
      <c r="K774" s="255">
        <f ca="1">IF(I774&gt;0,J774*100/I774,0)</f>
        <v>100</v>
      </c>
      <c r="L774" s="62"/>
      <c r="M774" s="55"/>
      <c r="N774" s="55"/>
      <c r="O774" s="55"/>
      <c r="P774" s="55"/>
      <c r="Q774" s="55"/>
      <c r="R774" s="55"/>
      <c r="S774" s="55"/>
      <c r="T774" s="55"/>
      <c r="U774" s="55"/>
    </row>
    <row r="775" spans="1:21" ht="18.75">
      <c r="A775" s="166"/>
      <c r="B775" s="167"/>
      <c r="C775" s="167"/>
      <c r="D775" s="460" t="s">
        <v>50</v>
      </c>
      <c r="E775" s="174"/>
      <c r="F775" s="50"/>
      <c r="G775" s="52"/>
      <c r="H775" s="165" t="s">
        <v>46</v>
      </c>
      <c r="I775" s="212">
        <f ca="1">IFERROR(__xludf.DUMMYFUNCTION("IMPORTRANGE(""https://docs.google.com/spreadsheets/d/1eHaY18a8A9IcSdp1K8H6x8fbOy06t2VsZHhMHf-1x7Y/edit?usp=sharing"",""แผน!FS33"")"),135)</f>
        <v>135</v>
      </c>
      <c r="J775" s="467">
        <v>0</v>
      </c>
      <c r="K775" s="55"/>
      <c r="L775" s="62"/>
      <c r="M775" s="55"/>
      <c r="N775" s="55"/>
      <c r="O775" s="55"/>
      <c r="P775" s="55"/>
      <c r="Q775" s="55"/>
      <c r="R775" s="55"/>
      <c r="S775" s="55"/>
      <c r="T775" s="55"/>
      <c r="U775" s="55"/>
    </row>
    <row r="776" spans="1:21" ht="18.75">
      <c r="A776" s="281"/>
      <c r="B776" s="282"/>
      <c r="C776" s="282"/>
      <c r="D776" s="282"/>
      <c r="E776" s="2"/>
      <c r="F776" s="2"/>
      <c r="G776" s="65"/>
      <c r="H776" s="214" t="s">
        <v>35</v>
      </c>
      <c r="I776" s="216">
        <f ca="1">IFERROR(__xludf.DUMMYFUNCTION("IMPORTRANGE(""https://docs.google.com/spreadsheets/d/1eHaY18a8A9IcSdp1K8H6x8fbOy06t2VsZHhMHf-1x7Y/edit?usp=sharing"",""แผน!FT33"")"),75)</f>
        <v>75</v>
      </c>
      <c r="J776" s="538">
        <v>0</v>
      </c>
      <c r="K776" s="6"/>
      <c r="L776" s="68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>
      <c r="A777" s="537" t="s">
        <v>292</v>
      </c>
      <c r="B777" s="500"/>
      <c r="C777" s="500"/>
      <c r="D777" s="499"/>
      <c r="E777" s="500"/>
      <c r="F777" s="500"/>
      <c r="G777" s="501"/>
      <c r="H777" s="536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503"/>
      <c r="J777" s="504"/>
      <c r="K777" s="505"/>
      <c r="L777" s="505"/>
      <c r="M777" s="505"/>
      <c r="N777" s="505"/>
      <c r="O777" s="505"/>
      <c r="P777" s="505"/>
      <c r="Q777" s="505"/>
      <c r="R777" s="505"/>
      <c r="S777" s="505"/>
      <c r="T777" s="505"/>
      <c r="U777" s="505"/>
    </row>
    <row r="778" spans="1:21" ht="18.75">
      <c r="A778" s="49"/>
      <c r="B778" s="58" t="s">
        <v>293</v>
      </c>
      <c r="C778" s="50"/>
      <c r="D778" s="188"/>
      <c r="E778" s="50"/>
      <c r="F778" s="50"/>
      <c r="G778" s="52"/>
      <c r="H778" s="53" t="s">
        <v>14</v>
      </c>
      <c r="I778" s="212">
        <f ca="1">IFERROR(__xludf.DUMMYFUNCTION("IMPORTRANGE(""https://docs.google.com/spreadsheets/d/10OvvATaaLtwErnr3qtWFcTmtbfpFEt5Bsqel9sXx0uE/edit?usp=sharing"",""งานกองทุน!D33"")"),5521205.06)</f>
        <v>5521205.0599999996</v>
      </c>
      <c r="J778" s="212">
        <f ca="1">IFERROR(__xludf.DUMMYFUNCTION("IMPORTRANGE(""https://docs.google.com/spreadsheets/d/10OvvATaaLtwErnr3qtWFcTmtbfpFEt5Bsqel9sXx0uE/edit?usp=sharing"",""งานกองทุน!F33"")"),2313479.38)</f>
        <v>2313479.38</v>
      </c>
      <c r="K778" s="255">
        <f ca="1">IF(I778&gt;0,J778*100/I778,0)</f>
        <v>41.901710855854361</v>
      </c>
      <c r="L778" s="55"/>
      <c r="M778" s="55"/>
      <c r="N778" s="55"/>
      <c r="O778" s="55"/>
      <c r="P778" s="55"/>
      <c r="Q778" s="55"/>
      <c r="R778" s="55"/>
      <c r="S778" s="55"/>
      <c r="T778" s="55"/>
      <c r="U778" s="55"/>
    </row>
    <row r="779" spans="1:21" ht="18.75">
      <c r="A779" s="49"/>
      <c r="B779" s="50"/>
      <c r="C779" s="50"/>
      <c r="D779" s="188"/>
      <c r="E779" s="50"/>
      <c r="F779" s="50"/>
      <c r="G779" s="52"/>
      <c r="H779" s="53" t="s">
        <v>35</v>
      </c>
      <c r="I779" s="212">
        <f ca="1">IFERROR(__xludf.DUMMYFUNCTION("IMPORTRANGE(""https://docs.google.com/spreadsheets/d/10OvvATaaLtwErnr3qtWFcTmtbfpFEt5Bsqel9sXx0uE/edit?usp=sharing"",""งานกองทุน!C33"")"),330)</f>
        <v>330</v>
      </c>
      <c r="J779" s="212">
        <f ca="1">IFERROR(__xludf.DUMMYFUNCTION("IMPORTRANGE(""https://docs.google.com/spreadsheets/d/10OvvATaaLtwErnr3qtWFcTmtbfpFEt5Bsqel9sXx0uE/edit?usp=sharing"",""งานกองทุน!E33"")"),149)</f>
        <v>149</v>
      </c>
      <c r="K779" s="255">
        <f ca="1">IF(I779&gt;0,J779*100/I779,0)</f>
        <v>45.151515151515149</v>
      </c>
      <c r="L779" s="55"/>
      <c r="M779" s="55"/>
      <c r="N779" s="55"/>
      <c r="O779" s="55"/>
      <c r="P779" s="55"/>
      <c r="Q779" s="55"/>
      <c r="R779" s="55"/>
      <c r="S779" s="55"/>
      <c r="T779" s="55"/>
      <c r="U779" s="55"/>
    </row>
    <row r="780" spans="1:21" ht="18.75">
      <c r="A780" s="49"/>
      <c r="B780" s="58" t="s">
        <v>294</v>
      </c>
      <c r="C780" s="50"/>
      <c r="D780" s="188"/>
      <c r="E780" s="50"/>
      <c r="F780" s="50"/>
      <c r="G780" s="52"/>
      <c r="H780" s="53" t="s">
        <v>14</v>
      </c>
      <c r="I780" s="212">
        <f ca="1">IFERROR(__xludf.DUMMYFUNCTION("IMPORTRANGE(""https://docs.google.com/spreadsheets/d/10OvvATaaLtwErnr3qtWFcTmtbfpFEt5Bsqel9sXx0uE/edit?usp=sharing"",""งานกองทุน!I33"")"),15007639.34)</f>
        <v>15007639.34</v>
      </c>
      <c r="J780" s="212">
        <f ca="1">IFERROR(__xludf.DUMMYFUNCTION("IMPORTRANGE(""https://docs.google.com/spreadsheets/d/10OvvATaaLtwErnr3qtWFcTmtbfpFEt5Bsqel9sXx0uE/edit?usp=sharing"",""งานกองทุน!K33"")"),1067425.86)</f>
        <v>1067425.8600000001</v>
      </c>
      <c r="K780" s="255">
        <f ca="1">IF(I780&gt;0,J780*100/I780,0)</f>
        <v>7.112550054124636</v>
      </c>
      <c r="L780" s="55"/>
      <c r="M780" s="55"/>
      <c r="N780" s="55"/>
      <c r="O780" s="55"/>
      <c r="P780" s="55"/>
      <c r="Q780" s="55"/>
      <c r="R780" s="55"/>
      <c r="S780" s="55"/>
      <c r="T780" s="55"/>
      <c r="U780" s="55"/>
    </row>
    <row r="781" spans="1:21" ht="18.75">
      <c r="A781" s="49"/>
      <c r="B781" s="50"/>
      <c r="C781" s="50"/>
      <c r="D781" s="188"/>
      <c r="E781" s="50"/>
      <c r="F781" s="50"/>
      <c r="G781" s="52"/>
      <c r="H781" s="53" t="s">
        <v>35</v>
      </c>
      <c r="I781" s="212">
        <f ca="1">IFERROR(__xludf.DUMMYFUNCTION("IMPORTRANGE(""https://docs.google.com/spreadsheets/d/10OvvATaaLtwErnr3qtWFcTmtbfpFEt5Bsqel9sXx0uE/edit?usp=sharing"",""งานกองทุน!H33"")"),542)</f>
        <v>542</v>
      </c>
      <c r="J781" s="212">
        <f ca="1">IFERROR(__xludf.DUMMYFUNCTION("IMPORTRANGE(""https://docs.google.com/spreadsheets/d/10OvvATaaLtwErnr3qtWFcTmtbfpFEt5Bsqel9sXx0uE/edit?usp=sharing"",""งานกองทุน!J33"")"),120)</f>
        <v>120</v>
      </c>
      <c r="K781" s="255">
        <f ca="1">IF(I781&gt;0,J781*100/I781,0)</f>
        <v>22.140221402214021</v>
      </c>
      <c r="L781" s="55"/>
      <c r="M781" s="55"/>
      <c r="N781" s="55"/>
      <c r="O781" s="55"/>
      <c r="P781" s="55"/>
      <c r="Q781" s="55"/>
      <c r="R781" s="55"/>
      <c r="S781" s="55"/>
      <c r="T781" s="55"/>
      <c r="U781" s="55"/>
    </row>
    <row r="782" spans="1:21" ht="18.75">
      <c r="A782" s="49"/>
      <c r="B782" s="58" t="s">
        <v>295</v>
      </c>
      <c r="C782" s="50"/>
      <c r="D782" s="188"/>
      <c r="E782" s="50"/>
      <c r="F782" s="50"/>
      <c r="G782" s="52"/>
      <c r="H782" s="53" t="s">
        <v>14</v>
      </c>
      <c r="I782" s="212">
        <f ca="1">IFERROR(__xludf.DUMMYFUNCTION("IMPORTRANGE(""https://docs.google.com/spreadsheets/d/10OvvATaaLtwErnr3qtWFcTmtbfpFEt5Bsqel9sXx0uE/edit?usp=sharing"",""งานกองทุน!N33"")"),184911.64)</f>
        <v>184911.64</v>
      </c>
      <c r="J782" s="212">
        <f ca="1">IFERROR(__xludf.DUMMYFUNCTION("IMPORTRANGE(""https://docs.google.com/spreadsheets/d/10OvvATaaLtwErnr3qtWFcTmtbfpFEt5Bsqel9sXx0uE/edit?usp=sharing"",""งานกองทุน!P33"")"),26333.61)</f>
        <v>26333.61</v>
      </c>
      <c r="K782" s="255">
        <f ca="1">IF(I782&gt;0,J782*100/I782,0)</f>
        <v>14.241185681983026</v>
      </c>
      <c r="L782" s="55"/>
      <c r="M782" s="55"/>
      <c r="N782" s="55"/>
      <c r="O782" s="55"/>
      <c r="P782" s="55"/>
      <c r="Q782" s="55"/>
      <c r="R782" s="55"/>
      <c r="S782" s="55"/>
      <c r="T782" s="55"/>
      <c r="U782" s="55"/>
    </row>
    <row r="783" spans="1:21" ht="18.75">
      <c r="A783" s="49"/>
      <c r="B783" s="50"/>
      <c r="C783" s="50"/>
      <c r="D783" s="188"/>
      <c r="E783" s="50"/>
      <c r="F783" s="50"/>
      <c r="G783" s="52"/>
      <c r="H783" s="53" t="s">
        <v>35</v>
      </c>
      <c r="I783" s="212">
        <f ca="1">IFERROR(__xludf.DUMMYFUNCTION("IMPORTRANGE(""https://docs.google.com/spreadsheets/d/10OvvATaaLtwErnr3qtWFcTmtbfpFEt5Bsqel9sXx0uE/edit?usp=sharing"",""งานกองทุน!M33"")"),49)</f>
        <v>49</v>
      </c>
      <c r="J783" s="212">
        <f ca="1">IFERROR(__xludf.DUMMYFUNCTION("IMPORTRANGE(""https://docs.google.com/spreadsheets/d/10OvvATaaLtwErnr3qtWFcTmtbfpFEt5Bsqel9sXx0uE/edit?usp=sharing"",""งานกองทุน!O33"")"),28)</f>
        <v>28</v>
      </c>
      <c r="K783" s="255">
        <f ca="1">IF(I783&gt;0,J783*100/I783,0)</f>
        <v>57.142857142857146</v>
      </c>
      <c r="L783" s="55"/>
      <c r="M783" s="55"/>
      <c r="N783" s="55"/>
      <c r="O783" s="55"/>
      <c r="P783" s="55"/>
      <c r="Q783" s="55"/>
      <c r="R783" s="55"/>
      <c r="S783" s="55"/>
      <c r="T783" s="55"/>
      <c r="U783" s="55"/>
    </row>
    <row r="784" spans="1:21" ht="18.75">
      <c r="A784" s="49"/>
      <c r="B784" s="58" t="s">
        <v>296</v>
      </c>
      <c r="C784" s="50"/>
      <c r="D784" s="188"/>
      <c r="E784" s="50"/>
      <c r="F784" s="50"/>
      <c r="G784" s="52"/>
      <c r="H784" s="53" t="s">
        <v>14</v>
      </c>
      <c r="I784" s="212">
        <f ca="1">IFERROR(__xludf.DUMMYFUNCTION("IMPORTRANGE(""https://docs.google.com/spreadsheets/d/10OvvATaaLtwErnr3qtWFcTmtbfpFEt5Bsqel9sXx0uE/edit?usp=sharing"",""งานกองทุน!S33"")"),8092000)</f>
        <v>8092000</v>
      </c>
      <c r="J784" s="212">
        <f ca="1">IFERROR(__xludf.DUMMYFUNCTION("IMPORTRANGE(""https://docs.google.com/spreadsheets/d/10OvvATaaLtwErnr3qtWFcTmtbfpFEt5Bsqel9sXx0uE/edit?usp=sharing"",""งานกองทุน!U33"")"),4080000)</f>
        <v>4080000</v>
      </c>
      <c r="K784" s="255">
        <f ca="1">IF(I784&gt;0,J784*100/I784,0)</f>
        <v>50.420168067226889</v>
      </c>
      <c r="L784" s="55"/>
      <c r="M784" s="55"/>
      <c r="N784" s="55"/>
      <c r="O784" s="55"/>
      <c r="P784" s="55"/>
      <c r="Q784" s="55"/>
      <c r="R784" s="55"/>
      <c r="S784" s="55"/>
      <c r="T784" s="55"/>
      <c r="U784" s="55"/>
    </row>
    <row r="785" spans="1:21" ht="18.75">
      <c r="A785" s="63"/>
      <c r="B785" s="4"/>
      <c r="C785" s="4"/>
      <c r="D785" s="5"/>
      <c r="E785" s="4"/>
      <c r="F785" s="4"/>
      <c r="G785" s="65"/>
      <c r="H785" s="66" t="s">
        <v>35</v>
      </c>
      <c r="I785" s="216">
        <f ca="1">IFERROR(__xludf.DUMMYFUNCTION("IMPORTRANGE(""https://docs.google.com/spreadsheets/d/10OvvATaaLtwErnr3qtWFcTmtbfpFEt5Bsqel9sXx0uE/edit?usp=sharing"",""งานกองทุน!R33"")"),289)</f>
        <v>289</v>
      </c>
      <c r="J785" s="216">
        <f ca="1">IFERROR(__xludf.DUMMYFUNCTION("IMPORTRANGE(""https://docs.google.com/spreadsheets/d/10OvvATaaLtwErnr3qtWFcTmtbfpFEt5Bsqel9sXx0uE/edit?usp=sharing"",""งานกองทุน!T33"")"),104)</f>
        <v>104</v>
      </c>
      <c r="K785" s="506">
        <f ca="1">IF(I785&gt;0,J785*100/I785,0)</f>
        <v>35.98615916955017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6.5">
      <c r="A787" s="535" t="s">
        <v>297</v>
      </c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6.5">
      <c r="A788" s="535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</v>
      </c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6.5">
      <c r="A789" s="535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</v>
      </c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</sheetData>
  <mergeCells count="26">
    <mergeCell ref="A1:U1"/>
    <mergeCell ref="A2:U2"/>
    <mergeCell ref="A3:U3"/>
    <mergeCell ref="L4:P4"/>
    <mergeCell ref="Q4:U4"/>
    <mergeCell ref="A5:G6"/>
    <mergeCell ref="H5:H6"/>
    <mergeCell ref="I5:K5"/>
    <mergeCell ref="L5:M5"/>
    <mergeCell ref="N5:P5"/>
    <mergeCell ref="D616:G616"/>
    <mergeCell ref="D642:G642"/>
    <mergeCell ref="D690:G690"/>
    <mergeCell ref="D714:G714"/>
    <mergeCell ref="Q5:R5"/>
    <mergeCell ref="S5:U5"/>
    <mergeCell ref="D728:G728"/>
    <mergeCell ref="D760:G760"/>
    <mergeCell ref="A7:G7"/>
    <mergeCell ref="A17:G17"/>
    <mergeCell ref="A30:G30"/>
    <mergeCell ref="A56:G56"/>
    <mergeCell ref="B57:G57"/>
    <mergeCell ref="D413:G413"/>
    <mergeCell ref="D493:F493"/>
    <mergeCell ref="D599:G599"/>
  </mergeCells>
  <printOptions horizontalCentered="1"/>
  <pageMargins left="0.23622047244094491" right="0.23622047244094491" top="0.55118110236220474" bottom="0.55118110236220474" header="0" footer="0"/>
  <pageSetup paperSize="9" scale="29" fitToHeight="0" pageOrder="overThenDown" orientation="portrait" cellComments="atEnd" horizontalDpi="4294967293" verticalDpi="4294967293" r:id="rId1"/>
  <headerFooter>
    <oddFooter>&amp;Cหน้า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FDD576-E537-4437-A437-87D3DBE3B498}">
  <sheetPr>
    <outlinePr summaryBelow="0" summaryRight="0"/>
    <pageSetUpPr fitToPage="1"/>
  </sheetPr>
  <dimension ref="A1:U789"/>
  <sheetViews>
    <sheetView view="pageBreakPreview" zoomScale="60" zoomScaleNormal="60" workbookViewId="0">
      <pane xSplit="8" ySplit="17" topLeftCell="I18" activePane="bottomRight" state="frozen"/>
      <selection activeCell="T32" sqref="T32"/>
      <selection pane="topRight" activeCell="T32" sqref="T32"/>
      <selection pane="bottomLeft" activeCell="T32" sqref="T32"/>
      <selection pane="bottomRight" activeCell="T32" sqref="T32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10" width="16.85546875" bestFit="1" customWidth="1"/>
    <col min="11" max="11" width="12.5703125" bestFit="1" customWidth="1"/>
    <col min="12" max="14" width="21.28515625" bestFit="1" customWidth="1"/>
    <col min="15" max="15" width="20.140625" bestFit="1" customWidth="1"/>
    <col min="16" max="16" width="22" bestFit="1" customWidth="1"/>
    <col min="17" max="18" width="21.28515625" bestFit="1" customWidth="1"/>
    <col min="19" max="19" width="18.7109375" bestFit="1" customWidth="1"/>
    <col min="20" max="20" width="20.140625" bestFit="1" customWidth="1"/>
    <col min="21" max="21" width="22" bestFit="1" customWidth="1"/>
  </cols>
  <sheetData>
    <row r="1" spans="1:21" ht="19.5">
      <c r="A1" s="894" t="s">
        <v>0</v>
      </c>
      <c r="B1" s="894"/>
      <c r="C1" s="894"/>
      <c r="D1" s="894"/>
      <c r="E1" s="894"/>
      <c r="F1" s="894"/>
      <c r="G1" s="894"/>
      <c r="H1" s="894"/>
      <c r="I1" s="894"/>
      <c r="J1" s="894"/>
      <c r="K1" s="894"/>
      <c r="L1" s="894"/>
      <c r="M1" s="894"/>
      <c r="N1" s="894"/>
      <c r="O1" s="894"/>
      <c r="P1" s="894"/>
      <c r="Q1" s="894"/>
      <c r="R1" s="894"/>
      <c r="S1" s="894"/>
      <c r="T1" s="894"/>
      <c r="U1" s="894"/>
    </row>
    <row r="2" spans="1:21" ht="19.5">
      <c r="A2" s="894" t="s">
        <v>314</v>
      </c>
      <c r="B2" s="894"/>
      <c r="C2" s="894"/>
      <c r="D2" s="894"/>
      <c r="E2" s="894"/>
      <c r="F2" s="894"/>
      <c r="G2" s="894"/>
      <c r="H2" s="894"/>
      <c r="I2" s="894"/>
      <c r="J2" s="894"/>
      <c r="K2" s="894"/>
      <c r="L2" s="894"/>
      <c r="M2" s="894"/>
      <c r="N2" s="894"/>
      <c r="O2" s="894"/>
      <c r="P2" s="894"/>
      <c r="Q2" s="894"/>
      <c r="R2" s="894"/>
      <c r="S2" s="894"/>
      <c r="T2" s="894"/>
      <c r="U2" s="894"/>
    </row>
    <row r="3" spans="1:21" ht="19.5">
      <c r="A3" s="894" t="s">
        <v>339</v>
      </c>
      <c r="B3" s="894"/>
      <c r="C3" s="894"/>
      <c r="D3" s="894"/>
      <c r="E3" s="894"/>
      <c r="F3" s="894"/>
      <c r="G3" s="894"/>
      <c r="H3" s="894"/>
      <c r="I3" s="894"/>
      <c r="J3" s="894"/>
      <c r="K3" s="894"/>
      <c r="L3" s="894"/>
      <c r="M3" s="894"/>
      <c r="N3" s="894"/>
      <c r="O3" s="894"/>
      <c r="P3" s="894"/>
      <c r="Q3" s="894"/>
      <c r="R3" s="894"/>
      <c r="S3" s="894"/>
      <c r="T3" s="894"/>
      <c r="U3" s="894"/>
    </row>
    <row r="4" spans="1:21" ht="19.5">
      <c r="A4" s="4"/>
      <c r="B4" s="4"/>
      <c r="C4" s="4"/>
      <c r="D4" s="4"/>
      <c r="E4" s="4"/>
      <c r="F4" s="4"/>
      <c r="G4" s="4"/>
      <c r="H4" s="4"/>
      <c r="I4" s="4"/>
      <c r="J4" s="5"/>
      <c r="K4" s="766"/>
      <c r="L4" s="765" t="s">
        <v>2</v>
      </c>
      <c r="M4" s="514"/>
      <c r="N4" s="514"/>
      <c r="O4" s="514"/>
      <c r="P4" s="512"/>
      <c r="Q4" s="518" t="s">
        <v>3</v>
      </c>
      <c r="R4" s="514"/>
      <c r="S4" s="514"/>
      <c r="T4" s="514"/>
      <c r="U4" s="512"/>
    </row>
    <row r="5" spans="1:21" ht="19.5">
      <c r="A5" s="780" t="s">
        <v>4</v>
      </c>
      <c r="B5" s="516"/>
      <c r="C5" s="516"/>
      <c r="D5" s="516"/>
      <c r="E5" s="516"/>
      <c r="F5" s="516"/>
      <c r="G5" s="763"/>
      <c r="H5" s="779" t="s">
        <v>5</v>
      </c>
      <c r="I5" s="761" t="s">
        <v>6</v>
      </c>
      <c r="J5" s="514"/>
      <c r="K5" s="512"/>
      <c r="L5" s="760" t="s">
        <v>7</v>
      </c>
      <c r="M5" s="512"/>
      <c r="N5" s="513" t="s">
        <v>8</v>
      </c>
      <c r="O5" s="514"/>
      <c r="P5" s="512"/>
      <c r="Q5" s="511" t="s">
        <v>7</v>
      </c>
      <c r="R5" s="512"/>
      <c r="S5" s="513" t="s">
        <v>8</v>
      </c>
      <c r="T5" s="514"/>
      <c r="U5" s="512"/>
    </row>
    <row r="6" spans="1:21" ht="19.5">
      <c r="A6" s="522"/>
      <c r="B6" s="514"/>
      <c r="C6" s="514"/>
      <c r="D6" s="514"/>
      <c r="E6" s="514"/>
      <c r="F6" s="514"/>
      <c r="G6" s="512"/>
      <c r="H6" s="512"/>
      <c r="I6" s="9" t="s">
        <v>9</v>
      </c>
      <c r="J6" s="10" t="s">
        <v>10</v>
      </c>
      <c r="K6" s="9" t="s">
        <v>11</v>
      </c>
      <c r="L6" s="758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 hidden="1">
      <c r="A7" s="750"/>
      <c r="B7" s="514"/>
      <c r="C7" s="514"/>
      <c r="D7" s="514"/>
      <c r="E7" s="514"/>
      <c r="F7" s="514"/>
      <c r="G7" s="512"/>
      <c r="H7" s="17"/>
      <c r="I7" s="18"/>
      <c r="J7" s="18"/>
      <c r="K7" s="19"/>
      <c r="L7" s="28"/>
      <c r="M7" s="19"/>
      <c r="N7" s="19"/>
      <c r="O7" s="19"/>
      <c r="P7" s="19"/>
      <c r="Q7" s="19"/>
      <c r="R7" s="19"/>
      <c r="S7" s="19"/>
      <c r="T7" s="19"/>
      <c r="U7" s="19"/>
    </row>
    <row r="8" spans="1:21" ht="12.75" hidden="1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6"/>
      <c r="M8" s="25"/>
      <c r="N8" s="25"/>
      <c r="O8" s="25"/>
      <c r="P8" s="25"/>
      <c r="Q8" s="25"/>
      <c r="R8" s="25"/>
      <c r="S8" s="25"/>
      <c r="T8" s="25"/>
      <c r="U8" s="25"/>
    </row>
    <row r="9" spans="1:21" ht="12.75" hidden="1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6"/>
      <c r="M9" s="25"/>
      <c r="N9" s="25"/>
      <c r="O9" s="25"/>
      <c r="P9" s="25"/>
      <c r="Q9" s="25"/>
      <c r="R9" s="25"/>
      <c r="S9" s="25"/>
      <c r="T9" s="25"/>
      <c r="U9" s="25"/>
    </row>
    <row r="10" spans="1:21" ht="12.75" hidden="1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6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2.75" hidden="1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6"/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2.75" hidden="1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6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2.75" hidden="1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6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2.75" hidden="1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2.75" hidden="1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6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2.75" hidden="1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28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9.5">
      <c r="A17" s="532" t="s">
        <v>17</v>
      </c>
      <c r="B17" s="514"/>
      <c r="C17" s="514"/>
      <c r="D17" s="514"/>
      <c r="E17" s="514"/>
      <c r="F17" s="514"/>
      <c r="G17" s="512"/>
      <c r="H17" s="29"/>
      <c r="I17" s="30"/>
      <c r="J17" s="30"/>
      <c r="K17" s="31"/>
      <c r="L17" s="32"/>
      <c r="M17" s="31"/>
      <c r="N17" s="31"/>
      <c r="O17" s="31"/>
      <c r="P17" s="31"/>
      <c r="Q17" s="31"/>
      <c r="R17" s="31"/>
      <c r="S17" s="31"/>
      <c r="T17" s="31"/>
      <c r="U17" s="31"/>
    </row>
    <row r="18" spans="1:21" ht="19.5">
      <c r="A18" s="33"/>
      <c r="B18" s="34"/>
      <c r="C18" s="35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757">
        <f ca="1">L19+L20</f>
        <v>2791840</v>
      </c>
      <c r="M18" s="720">
        <f ca="1">M19+M20</f>
        <v>2875767</v>
      </c>
      <c r="N18" s="720">
        <f ca="1">N19+N20</f>
        <v>2018904.16</v>
      </c>
      <c r="O18" s="720">
        <f ca="1">IF(L18&gt;0,N18*100/L18,0)</f>
        <v>72.314465012321619</v>
      </c>
      <c r="P18" s="720">
        <f ca="1">IF(M18&gt;0,N18*100/M18,0)</f>
        <v>70.204024178593045</v>
      </c>
      <c r="Q18" s="720">
        <f ca="1">Q19+Q20</f>
        <v>2053063.15</v>
      </c>
      <c r="R18" s="720">
        <f ca="1">R19+R20</f>
        <v>2067063</v>
      </c>
      <c r="S18" s="720">
        <f ca="1">S19+S20</f>
        <v>279039.3</v>
      </c>
      <c r="T18" s="720">
        <f ca="1">IF(Q18&gt;0,S18*100/Q18,0)</f>
        <v>13.591364688416915</v>
      </c>
      <c r="U18" s="720">
        <f ca="1">IF(R18&gt;0,S18*100/R18,0)</f>
        <v>13.499312793078875</v>
      </c>
    </row>
    <row r="19" spans="1:21" ht="18.75" hidden="1">
      <c r="A19" s="33"/>
      <c r="B19" s="34"/>
      <c r="C19" s="34"/>
      <c r="D19" s="34"/>
      <c r="E19" s="756" t="s">
        <v>20</v>
      </c>
      <c r="F19" s="34"/>
      <c r="G19" s="37"/>
      <c r="H19" s="755" t="s">
        <v>14</v>
      </c>
      <c r="I19" s="39"/>
      <c r="J19" s="39"/>
      <c r="K19" s="40"/>
      <c r="L19" s="754">
        <f>L22+L25</f>
        <v>0</v>
      </c>
      <c r="M19" s="753">
        <f>M22+M25</f>
        <v>0</v>
      </c>
      <c r="N19" s="753">
        <f>N22+N25</f>
        <v>0</v>
      </c>
      <c r="O19" s="753">
        <f>IF(L19&gt;0,N19*100/L19,0)</f>
        <v>0</v>
      </c>
      <c r="P19" s="753">
        <f>IF(M19&gt;0,N19*100/M19,0)</f>
        <v>0</v>
      </c>
      <c r="Q19" s="753">
        <f>Q22+Q25</f>
        <v>0</v>
      </c>
      <c r="R19" s="753">
        <f>R22+R25</f>
        <v>0</v>
      </c>
      <c r="S19" s="753">
        <f>S22+S25</f>
        <v>0</v>
      </c>
      <c r="T19" s="753">
        <f>IF(Q19&gt;0,S19*100/Q19,0)</f>
        <v>0</v>
      </c>
      <c r="U19" s="753">
        <f>IF(R19&gt;0,S19*100/R19,0)</f>
        <v>0</v>
      </c>
    </row>
    <row r="20" spans="1:21" ht="18.75" hidden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752">
        <f ca="1">L23+L26</f>
        <v>2791840</v>
      </c>
      <c r="M20" s="751">
        <f ca="1">M23+M26</f>
        <v>2875767</v>
      </c>
      <c r="N20" s="751">
        <f ca="1">N23+N26</f>
        <v>2018904.16</v>
      </c>
      <c r="O20" s="751">
        <f ca="1">IF(L20&gt;0,N20*100/L20,0)</f>
        <v>72.314465012321619</v>
      </c>
      <c r="P20" s="751">
        <f ca="1">IF(M20&gt;0,N20*100/M20,0)</f>
        <v>70.204024178593045</v>
      </c>
      <c r="Q20" s="751">
        <f ca="1">Q23+Q26</f>
        <v>2053063.15</v>
      </c>
      <c r="R20" s="751">
        <f ca="1">R23+R26</f>
        <v>2067063</v>
      </c>
      <c r="S20" s="751">
        <f ca="1">S23+S26</f>
        <v>279039.3</v>
      </c>
      <c r="T20" s="751">
        <f ca="1">IF(Q20&gt;0,S20*100/Q20,0)</f>
        <v>13.591364688416915</v>
      </c>
      <c r="U20" s="751">
        <f ca="1">IF(R20&gt;0,S20*100/R20,0)</f>
        <v>13.499312793078875</v>
      </c>
    </row>
    <row r="21" spans="1:21" ht="18.75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256">
        <f ca="1">L22+L23</f>
        <v>2791840</v>
      </c>
      <c r="M21" s="255">
        <f ca="1">M22+M23</f>
        <v>2875767</v>
      </c>
      <c r="N21" s="255">
        <f ca="1">N22+N23</f>
        <v>2018904.16</v>
      </c>
      <c r="O21" s="255">
        <f ca="1">IF(L21&gt;0,N21*100/L21,0)</f>
        <v>72.314465012321619</v>
      </c>
      <c r="P21" s="255">
        <f ca="1">IF(M21&gt;0,N21*100/M21,0)</f>
        <v>70.204024178593045</v>
      </c>
      <c r="Q21" s="255">
        <f ca="1">Q22+Q23</f>
        <v>2053063.15</v>
      </c>
      <c r="R21" s="255">
        <f ca="1">R22+R23</f>
        <v>2067063</v>
      </c>
      <c r="S21" s="255">
        <f ca="1">S22+S23</f>
        <v>279039.3</v>
      </c>
      <c r="T21" s="255">
        <f ca="1">IF(Q21&gt;0,S21*100/Q21,0)</f>
        <v>13.591364688416915</v>
      </c>
      <c r="U21" s="255">
        <f ca="1">IF(R21&gt;0,S21*100/R21,0)</f>
        <v>13.499312793078875</v>
      </c>
    </row>
    <row r="22" spans="1:21" ht="18.75" hidden="1">
      <c r="A22" s="49"/>
      <c r="B22" s="50"/>
      <c r="C22" s="50"/>
      <c r="D22" s="50"/>
      <c r="E22" s="186" t="s">
        <v>20</v>
      </c>
      <c r="F22" s="50"/>
      <c r="G22" s="52"/>
      <c r="H22" s="729" t="s">
        <v>14</v>
      </c>
      <c r="I22" s="54"/>
      <c r="J22" s="54"/>
      <c r="K22" s="55"/>
      <c r="L22" s="103">
        <f>L48+L63+L76+L98+L129+L143+L161+L190+L177+L270+L286+L307+L324+L337+L360+L517</f>
        <v>0</v>
      </c>
      <c r="M22" s="102">
        <f>M48+M63+M76+M98+M129+M143+M161+M190+M177+M270+M286+M307+M324+M337+M360+M517</f>
        <v>0</v>
      </c>
      <c r="N22" s="102">
        <f>N48+N63+N76+N98+N129+N143+N161+N190+N177+N270+N286+N307+N324+N337+N360+N517</f>
        <v>0</v>
      </c>
      <c r="O22" s="102">
        <f>IF(L22&gt;0,N22*100/L22,0)</f>
        <v>0</v>
      </c>
      <c r="P22" s="102">
        <f>IF(M22&gt;0,N22*100/M22,0)</f>
        <v>0</v>
      </c>
      <c r="Q22" s="102">
        <f>Q76+Q98+Q121+Q143+Q161+Q177+Q190+Q270+Q286+Q307+Q337+Q379+Q396+Q417+Q497+Q603+Q620+Q646+Q694+Q718+Q732+Q764</f>
        <v>0</v>
      </c>
      <c r="R22" s="102">
        <f>R76+R98+R121+R143+R161+R177+R190+R270+R286+R307+R337+R379+R396+R417+R497+R603+R620+R646+R694+R718+R732+R764</f>
        <v>0</v>
      </c>
      <c r="S22" s="102">
        <f>S76+S98+S121+S143+S161+S177+S190+S270+S286+S307+S337+S379+S396+S417+S497+S603+S620+S646+S694+S718+S732+S764</f>
        <v>0</v>
      </c>
      <c r="T22" s="102">
        <f>IF(Q22&gt;0,S22*100/Q22,0)</f>
        <v>0</v>
      </c>
      <c r="U22" s="102">
        <f>IF(R22&gt;0,S22*100/R22,0)</f>
        <v>0</v>
      </c>
    </row>
    <row r="23" spans="1:21" ht="18.75" hidden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256">
        <f ca="1">L49+L64+L77+L99+L130+L144+L162+L191+L178+L271+L287+L308+L325+L338+L361+L518</f>
        <v>2791840</v>
      </c>
      <c r="M23" s="255">
        <f ca="1">M49+M64+M77+M99+M130+M144+M162+M191+M178+M271+M287+M308+M325+M338+M361+M518</f>
        <v>2875767</v>
      </c>
      <c r="N23" s="255">
        <f ca="1">N49+N64+N77+N99+N130+N144+N162+N191+N178+N271+N287+N308+N325+N338+N361+N518</f>
        <v>2018904.16</v>
      </c>
      <c r="O23" s="255">
        <f ca="1">IF(L23&gt;0,N23*100/L23,0)</f>
        <v>72.314465012321619</v>
      </c>
      <c r="P23" s="255">
        <f ca="1">IF(M23&gt;0,N23*100/M23,0)</f>
        <v>70.204024178593045</v>
      </c>
      <c r="Q23" s="255">
        <f ca="1">Q77+Q99+Q122+Q144+Q162+Q178+Q191+Q271+Q287+Q308+Q338+Q380+Q397+Q418+Q498+Q604+Q621+Q647+Q695+Q719+Q733+Q765</f>
        <v>2053063.15</v>
      </c>
      <c r="R23" s="255">
        <f ca="1">R77+R99+R122+R144+R162+R178+R191+R271+R287+R308+R338+R380+R397+R418+R498+R604+R621+R647+R695+R719+R733+R765</f>
        <v>2067063</v>
      </c>
      <c r="S23" s="255">
        <f ca="1">S77+S99+S122+S144+S162+S178+S191+S271+S287+S308+S338+S380+S397+S418+S498+S604+S621+S647+S695+S719+S733+S765</f>
        <v>279039.3</v>
      </c>
      <c r="T23" s="255">
        <f ca="1">IF(Q23&gt;0,S23*100/Q23,0)</f>
        <v>13.591364688416915</v>
      </c>
      <c r="U23" s="255">
        <f ca="1">IF(R23&gt;0,S23*100/R23,0)</f>
        <v>13.499312793078875</v>
      </c>
    </row>
    <row r="24" spans="1:21" ht="18.75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256">
        <f ca="1">L25+L26</f>
        <v>0</v>
      </c>
      <c r="M24" s="255">
        <f ca="1">M25+M26</f>
        <v>0</v>
      </c>
      <c r="N24" s="255">
        <f ca="1">N25+N26</f>
        <v>0</v>
      </c>
      <c r="O24" s="255">
        <f ca="1">IF(L24&gt;0,N24*100/L24,0)</f>
        <v>0</v>
      </c>
      <c r="P24" s="255">
        <f ca="1">IF(M24&gt;0,N24*100/M24,0)</f>
        <v>0</v>
      </c>
      <c r="Q24" s="255">
        <f>Q25+Q26</f>
        <v>0</v>
      </c>
      <c r="R24" s="255">
        <f>R25+R26</f>
        <v>0</v>
      </c>
      <c r="S24" s="255">
        <f>S25+S26</f>
        <v>0</v>
      </c>
      <c r="T24" s="255">
        <f>IF(Q24&gt;0,S24*100/Q24,0)</f>
        <v>0</v>
      </c>
      <c r="U24" s="255">
        <f>IF(R24&gt;0,S24*100/R24,0)</f>
        <v>0</v>
      </c>
    </row>
    <row r="25" spans="1:21" ht="18.75" hidden="1">
      <c r="A25" s="49"/>
      <c r="B25" s="50"/>
      <c r="C25" s="50"/>
      <c r="D25" s="50"/>
      <c r="E25" s="186" t="s">
        <v>20</v>
      </c>
      <c r="F25" s="50"/>
      <c r="G25" s="52"/>
      <c r="H25" s="729" t="s">
        <v>14</v>
      </c>
      <c r="I25" s="54"/>
      <c r="J25" s="54"/>
      <c r="K25" s="55"/>
      <c r="L25" s="103">
        <f>L51+L66+L79+L101+L132+L146+L164+L193+L180+L273+L289+L310+L327+L340+L363+L520</f>
        <v>0</v>
      </c>
      <c r="M25" s="102">
        <f>M51+M66+M79+M101+M132+M146+M164+M193+M180+M273+M289+M310+M327+M340+M363+M520</f>
        <v>0</v>
      </c>
      <c r="N25" s="102">
        <f>N51+N66+N79+N101+N132+N146+N164+N193+N180+N273+N289+N310+N327+N340+N363+N520</f>
        <v>0</v>
      </c>
      <c r="O25" s="102">
        <f>IF(L25&gt;0,N25*100/L25,0)</f>
        <v>0</v>
      </c>
      <c r="P25" s="102">
        <f>IF(M25&gt;0,N25*100/M25,0)</f>
        <v>0</v>
      </c>
      <c r="Q25" s="102">
        <f>Q79+Q101+Q124+Q146+Q164+Q180+Q193+Q273+Q289+Q310+Q340+Q382+Q399+Q420+Q500+Q606+Q623+Q649+Q697+Q721+Q735+Q767</f>
        <v>0</v>
      </c>
      <c r="R25" s="102">
        <f>R79+R101+R124+R146+R164+R180+R193+R273+R289+R310+R340+R382+R399+R420+R500+R606+R623+R649+R697+R721+R735+R767</f>
        <v>0</v>
      </c>
      <c r="S25" s="102">
        <f>S79+S101+S124+S146+S164+S180+S193+S273+S289+S310+S340+S382+S399+S420+S500+S606+S623+S649+S697+S721+S735+S767</f>
        <v>0</v>
      </c>
      <c r="T25" s="102">
        <f>IF(Q25&gt;0,S25*100/Q25,0)</f>
        <v>0</v>
      </c>
      <c r="U25" s="102">
        <f>IF(R25&gt;0,S25*100/R25,0)</f>
        <v>0</v>
      </c>
    </row>
    <row r="26" spans="1:21" ht="18.75" hidden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256">
        <f ca="1">L52+L67+L80+L102+L133+L147+L165+L194+L181+L274+L290+L311+L328+L341+L364+L521</f>
        <v>0</v>
      </c>
      <c r="M26" s="255">
        <f ca="1">M52+M67+M80+M102+M133+M147+M165+M194+M181+M274+M290+M311+M328+M341+M364+M521</f>
        <v>0</v>
      </c>
      <c r="N26" s="255">
        <f ca="1">N52+N67+N80+N102+N133+N147+N165+N194+N181+N274+N290+N311+N328+N341+N364+N521</f>
        <v>0</v>
      </c>
      <c r="O26" s="255">
        <f ca="1">IF(L26&gt;0,N26*100/L26,0)</f>
        <v>0</v>
      </c>
      <c r="P26" s="255">
        <f ca="1">IF(M26&gt;0,N26*100/M26,0)</f>
        <v>0</v>
      </c>
      <c r="Q26" s="102">
        <f>Q80+Q102+Q125+Q147+Q165+Q181+Q194+Q274+Q290+Q311+Q341+Q383+Q400+Q421+Q501+Q607+Q624+Q650+Q698+Q722+Q736+Q768</f>
        <v>0</v>
      </c>
      <c r="R26" s="102">
        <f>R80+R102+R125+R147+R165+R181+R194+R274+R290+R311+R341+R383+R400+R421+R501+R607+R624+R650+R698+R722+R736+R768</f>
        <v>0</v>
      </c>
      <c r="S26" s="102">
        <f>S80+S102+S125+S147+S165+S181+S194+S274+S290+S311+S341+S383+S400+S421+S501+S607+S624+S650+S698+S722+S736+S768</f>
        <v>0</v>
      </c>
      <c r="T26" s="255">
        <f>IF(Q26&gt;0,S26*100/Q26,0)</f>
        <v>0</v>
      </c>
      <c r="U26" s="255">
        <f>IF(R26&gt;0,S26*100/R26,0)</f>
        <v>0</v>
      </c>
    </row>
    <row r="27" spans="1:21" ht="18.75">
      <c r="A27" s="49"/>
      <c r="B27" s="50"/>
      <c r="C27" s="50"/>
      <c r="D27" s="51" t="s">
        <v>24</v>
      </c>
      <c r="E27" s="50"/>
      <c r="F27" s="50"/>
      <c r="G27" s="52"/>
      <c r="H27" s="53" t="s">
        <v>14</v>
      </c>
      <c r="I27" s="54"/>
      <c r="J27" s="54"/>
      <c r="K27" s="55"/>
      <c r="L27" s="62"/>
      <c r="M27" s="55"/>
      <c r="N27" s="55"/>
      <c r="O27" s="55"/>
      <c r="P27" s="55"/>
      <c r="Q27" s="55"/>
      <c r="R27" s="55"/>
      <c r="S27" s="55"/>
      <c r="T27" s="55"/>
      <c r="U27" s="55"/>
    </row>
    <row r="28" spans="1:21" ht="18.75" hidden="1">
      <c r="A28" s="49"/>
      <c r="B28" s="50"/>
      <c r="C28" s="50"/>
      <c r="D28" s="50"/>
      <c r="E28" s="186" t="s">
        <v>20</v>
      </c>
      <c r="F28" s="50"/>
      <c r="G28" s="52"/>
      <c r="H28" s="729" t="s">
        <v>14</v>
      </c>
      <c r="I28" s="54"/>
      <c r="J28" s="54"/>
      <c r="K28" s="55"/>
      <c r="L28" s="62"/>
      <c r="M28" s="55"/>
      <c r="N28" s="55"/>
      <c r="O28" s="55"/>
      <c r="P28" s="55"/>
      <c r="Q28" s="55"/>
      <c r="R28" s="55"/>
      <c r="S28" s="55"/>
      <c r="T28" s="55"/>
      <c r="U28" s="55"/>
    </row>
    <row r="29" spans="1:21" ht="18.75" hidden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8"/>
      <c r="M29" s="6"/>
      <c r="N29" s="6"/>
      <c r="O29" s="6"/>
      <c r="P29" s="6"/>
      <c r="Q29" s="6"/>
      <c r="R29" s="6"/>
      <c r="S29" s="6"/>
      <c r="T29" s="6"/>
      <c r="U29" s="6"/>
    </row>
    <row r="30" spans="1:21" ht="12.75" hidden="1">
      <c r="A30" s="750"/>
      <c r="B30" s="514"/>
      <c r="C30" s="514"/>
      <c r="D30" s="514"/>
      <c r="E30" s="514"/>
      <c r="F30" s="514"/>
      <c r="G30" s="512"/>
      <c r="H30" s="17"/>
      <c r="I30" s="18"/>
      <c r="J30" s="18"/>
      <c r="K30" s="19"/>
      <c r="L30" s="28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 hidden="1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6"/>
      <c r="M31" s="25"/>
      <c r="N31" s="25"/>
      <c r="O31" s="25"/>
      <c r="P31" s="25"/>
      <c r="Q31" s="25"/>
      <c r="R31" s="25"/>
      <c r="S31" s="25"/>
      <c r="T31" s="25"/>
      <c r="U31" s="25"/>
    </row>
    <row r="32" spans="1:21" ht="12.75" hidden="1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6"/>
      <c r="M32" s="25"/>
      <c r="N32" s="25"/>
      <c r="O32" s="25"/>
      <c r="P32" s="25"/>
      <c r="Q32" s="25"/>
      <c r="R32" s="25"/>
      <c r="S32" s="25"/>
      <c r="T32" s="25"/>
      <c r="U32" s="25"/>
    </row>
    <row r="33" spans="1:21" ht="12.75" hidden="1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6"/>
      <c r="M33" s="25"/>
      <c r="N33" s="25"/>
      <c r="O33" s="25"/>
      <c r="P33" s="25"/>
      <c r="Q33" s="25"/>
      <c r="R33" s="25"/>
      <c r="S33" s="25"/>
      <c r="T33" s="25"/>
      <c r="U33" s="25"/>
    </row>
    <row r="34" spans="1:21" ht="12.75" hidden="1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6"/>
      <c r="M34" s="25"/>
      <c r="N34" s="25"/>
      <c r="O34" s="25"/>
      <c r="P34" s="25"/>
      <c r="Q34" s="25"/>
      <c r="R34" s="25"/>
      <c r="S34" s="25"/>
      <c r="T34" s="25"/>
      <c r="U34" s="25"/>
    </row>
    <row r="35" spans="1:21" ht="12.75" hidden="1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6"/>
      <c r="M35" s="25"/>
      <c r="N35" s="25"/>
      <c r="O35" s="25"/>
      <c r="P35" s="25"/>
      <c r="Q35" s="25"/>
      <c r="R35" s="25"/>
      <c r="S35" s="25"/>
      <c r="T35" s="25"/>
      <c r="U35" s="25"/>
    </row>
    <row r="36" spans="1:21" ht="12.75" hidden="1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6"/>
      <c r="M36" s="25"/>
      <c r="N36" s="25"/>
      <c r="O36" s="25"/>
      <c r="P36" s="25"/>
      <c r="Q36" s="25"/>
      <c r="R36" s="25"/>
      <c r="S36" s="25"/>
      <c r="T36" s="25"/>
      <c r="U36" s="25"/>
    </row>
    <row r="37" spans="1:21" ht="12.75" hidden="1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6"/>
      <c r="M37" s="25"/>
      <c r="N37" s="25"/>
      <c r="O37" s="25"/>
      <c r="P37" s="25"/>
      <c r="Q37" s="25"/>
      <c r="R37" s="25"/>
      <c r="S37" s="25"/>
      <c r="T37" s="25"/>
      <c r="U37" s="25"/>
    </row>
    <row r="38" spans="1:21" ht="12.75" hidden="1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6"/>
      <c r="M38" s="25"/>
      <c r="N38" s="25"/>
      <c r="O38" s="25"/>
      <c r="P38" s="25"/>
      <c r="Q38" s="25"/>
      <c r="R38" s="25"/>
      <c r="S38" s="25"/>
      <c r="T38" s="25"/>
      <c r="U38" s="25"/>
    </row>
    <row r="39" spans="1:21" ht="12.75" hidden="1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28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9.5" hidden="1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749">
        <f ca="1">L44+L59+L72+L94+L125+L139+L157+L173+L186+L266+L282+L303+L320+L333+L356</f>
        <v>2791840</v>
      </c>
      <c r="M40" s="748">
        <f ca="1">M44+M59+M72+M94+M125+M139+M157+M173+M186+M266+M282+M303+M320+M333+M356</f>
        <v>2875767</v>
      </c>
      <c r="N40" s="748">
        <f ca="1">N44+N59+N72+N94+N125+N139+N157+N173+N186+N266+N282+N303+N320+N333+N356</f>
        <v>2018904.1600000001</v>
      </c>
      <c r="O40" s="748">
        <f ca="1">IF(L40&gt;0,N40*100/L40,0)</f>
        <v>72.314465012321619</v>
      </c>
      <c r="P40" s="748">
        <f ca="1">IF(M40&gt;0,N40*100/M40,0)</f>
        <v>70.204024178593045</v>
      </c>
      <c r="Q40" s="73"/>
      <c r="R40" s="73"/>
      <c r="S40" s="73"/>
      <c r="T40" s="73"/>
      <c r="U40" s="73"/>
    </row>
    <row r="41" spans="1:21" ht="19.5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78"/>
      <c r="R41" s="78"/>
      <c r="S41" s="78"/>
      <c r="T41" s="78"/>
      <c r="U41" s="79"/>
    </row>
    <row r="42" spans="1:21" ht="19.5">
      <c r="A42" s="80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5"/>
      <c r="M42" s="84"/>
      <c r="N42" s="84"/>
      <c r="O42" s="84"/>
      <c r="P42" s="84"/>
      <c r="Q42" s="84"/>
      <c r="R42" s="84"/>
      <c r="S42" s="84"/>
      <c r="T42" s="84"/>
      <c r="U42" s="84"/>
    </row>
    <row r="43" spans="1:21" ht="12.75" hidden="1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6"/>
      <c r="M43" s="25"/>
      <c r="N43" s="25"/>
      <c r="O43" s="25"/>
      <c r="P43" s="25"/>
      <c r="Q43" s="25"/>
      <c r="R43" s="25"/>
      <c r="S43" s="25"/>
      <c r="T43" s="25"/>
      <c r="U43" s="25"/>
    </row>
    <row r="44" spans="1:21" ht="19.5">
      <c r="A44" s="86"/>
      <c r="B44" s="87"/>
      <c r="C44" s="88" t="s">
        <v>18</v>
      </c>
      <c r="D44" s="747" t="s">
        <v>19</v>
      </c>
      <c r="E44" s="87"/>
      <c r="F44" s="87"/>
      <c r="G44" s="90"/>
      <c r="H44" s="91" t="s">
        <v>14</v>
      </c>
      <c r="I44" s="92"/>
      <c r="J44" s="92"/>
      <c r="K44" s="93"/>
      <c r="L44" s="746">
        <f ca="1">L45+L46</f>
        <v>590300</v>
      </c>
      <c r="M44" s="745">
        <f ca="1">M45+M46</f>
        <v>602222</v>
      </c>
      <c r="N44" s="745">
        <f ca="1">N45+N46</f>
        <v>441809.61</v>
      </c>
      <c r="O44" s="745">
        <f ca="1">IF(L44&gt;0,N44*100/L44,0)</f>
        <v>74.844928002710489</v>
      </c>
      <c r="P44" s="745">
        <f ca="1">IF(M44&gt;0,N44*100/M44,0)</f>
        <v>73.363246444002371</v>
      </c>
      <c r="Q44" s="745">
        <f>Q45+Q46</f>
        <v>0</v>
      </c>
      <c r="R44" s="745">
        <f>R45+R46</f>
        <v>0</v>
      </c>
      <c r="S44" s="745">
        <f>S45+S46</f>
        <v>0</v>
      </c>
      <c r="T44" s="745">
        <f>IF(Q44&gt;0,S44*100/Q44,0)</f>
        <v>0</v>
      </c>
      <c r="U44" s="745">
        <f>IF(R44&gt;0,S44*100/R44,0)</f>
        <v>0</v>
      </c>
    </row>
    <row r="45" spans="1:21" ht="18.75" hidden="1">
      <c r="A45" s="86"/>
      <c r="B45" s="87"/>
      <c r="C45" s="87"/>
      <c r="D45" s="87"/>
      <c r="E45" s="744" t="s">
        <v>20</v>
      </c>
      <c r="F45" s="87"/>
      <c r="G45" s="90"/>
      <c r="H45" s="743" t="s">
        <v>14</v>
      </c>
      <c r="I45" s="92"/>
      <c r="J45" s="92"/>
      <c r="K45" s="93"/>
      <c r="L45" s="742">
        <f>L48+L51</f>
        <v>0</v>
      </c>
      <c r="M45" s="741">
        <f>M48+M51</f>
        <v>0</v>
      </c>
      <c r="N45" s="741">
        <f>N48+N51</f>
        <v>0</v>
      </c>
      <c r="O45" s="741">
        <f>IF(L45&gt;0,N45*100/L45,0)</f>
        <v>0</v>
      </c>
      <c r="P45" s="741">
        <f>IF(M45&gt;0,N45*100/M45,0)</f>
        <v>0</v>
      </c>
      <c r="Q45" s="741">
        <f>Q48+Q51</f>
        <v>0</v>
      </c>
      <c r="R45" s="741">
        <f>R48+R51</f>
        <v>0</v>
      </c>
      <c r="S45" s="741">
        <f>S48+S51</f>
        <v>0</v>
      </c>
      <c r="T45" s="741">
        <f>IF(Q45&gt;0,S45*100/Q45,0)</f>
        <v>0</v>
      </c>
      <c r="U45" s="741">
        <f>IF(R45&gt;0,S45*100/R45,0)</f>
        <v>0</v>
      </c>
    </row>
    <row r="46" spans="1:21" ht="18.75" hidden="1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740">
        <f ca="1">L49+L52</f>
        <v>590300</v>
      </c>
      <c r="M46" s="739">
        <f ca="1">M49+M52</f>
        <v>602222</v>
      </c>
      <c r="N46" s="739">
        <f ca="1">N49+N52</f>
        <v>441809.61</v>
      </c>
      <c r="O46" s="739">
        <f ca="1">IF(L46&gt;0,N46*100/L46,0)</f>
        <v>74.844928002710489</v>
      </c>
      <c r="P46" s="739">
        <f ca="1">IF(M46&gt;0,N46*100/M46,0)</f>
        <v>73.363246444002371</v>
      </c>
      <c r="Q46" s="739">
        <f>Q49+Q52</f>
        <v>0</v>
      </c>
      <c r="R46" s="739">
        <f>R49+R52</f>
        <v>0</v>
      </c>
      <c r="S46" s="739">
        <f>S49+S52</f>
        <v>0</v>
      </c>
      <c r="T46" s="739">
        <f>IF(Q46&gt;0,S46*100/Q46,0)</f>
        <v>0</v>
      </c>
      <c r="U46" s="739">
        <f>IF(R46&gt;0,S46*100/R46,0)</f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256">
        <f ca="1">L48+L49</f>
        <v>590300</v>
      </c>
      <c r="M47" s="255">
        <f ca="1">M48+M49</f>
        <v>602222</v>
      </c>
      <c r="N47" s="255">
        <f ca="1">N48+N49</f>
        <v>441809.61</v>
      </c>
      <c r="O47" s="255">
        <f ca="1">IF(L47&gt;0,N47*100/L47,0)</f>
        <v>74.844928002710489</v>
      </c>
      <c r="P47" s="255">
        <f ca="1">IF(M47&gt;0,N47*100/M47,0)</f>
        <v>73.363246444002371</v>
      </c>
      <c r="Q47" s="255">
        <f>Q48+Q49</f>
        <v>0</v>
      </c>
      <c r="R47" s="255">
        <f>R48+R49</f>
        <v>0</v>
      </c>
      <c r="S47" s="255">
        <f>S48+S49</f>
        <v>0</v>
      </c>
      <c r="T47" s="255">
        <f>IF(Q47&gt;0,S47*100/Q47,0)</f>
        <v>0</v>
      </c>
      <c r="U47" s="255">
        <f>IF(R47&gt;0,S47*100/R47,0)</f>
        <v>0</v>
      </c>
    </row>
    <row r="48" spans="1:21" ht="18.75" hidden="1">
      <c r="A48" s="49"/>
      <c r="B48" s="50"/>
      <c r="C48" s="50"/>
      <c r="D48" s="50"/>
      <c r="E48" s="186" t="s">
        <v>20</v>
      </c>
      <c r="F48" s="50"/>
      <c r="G48" s="52"/>
      <c r="H48" s="729" t="s">
        <v>14</v>
      </c>
      <c r="I48" s="54"/>
      <c r="J48" s="54"/>
      <c r="K48" s="55"/>
      <c r="L48" s="103">
        <v>0</v>
      </c>
      <c r="M48" s="102">
        <v>0</v>
      </c>
      <c r="N48" s="102">
        <v>0</v>
      </c>
      <c r="O48" s="102">
        <f>IF(L48&gt;0,N48*100/L48,0)</f>
        <v>0</v>
      </c>
      <c r="P48" s="102">
        <f>IF(M48&gt;0,N48*100/M48,0)</f>
        <v>0</v>
      </c>
      <c r="Q48" s="102">
        <v>0</v>
      </c>
      <c r="R48" s="102">
        <v>0</v>
      </c>
      <c r="S48" s="102">
        <v>0</v>
      </c>
      <c r="T48" s="102">
        <f>IF(Q48&gt;0,S48*100/Q48,0)</f>
        <v>0</v>
      </c>
      <c r="U48" s="102">
        <f>IF(R48&gt;0,S48*100/R48,0)</f>
        <v>0</v>
      </c>
    </row>
    <row r="49" spans="1:21" ht="18.75" hidden="1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256">
        <f ca="1">IFERROR(__xludf.DUMMYFUNCTION("IMPORTRANGE(""https://docs.google.com/spreadsheets/d/1-uDff_7J0KD5mKrp0Vvzr7lt3OU09vwQwhkpOPPYv2Y/edit?usp=sharing"",""งบพรบ!P34"")"),590300)</f>
        <v>590300</v>
      </c>
      <c r="M49" s="255">
        <f ca="1">IFERROR(__xludf.DUMMYFUNCTION("IMPORTRANGE(""https://docs.google.com/spreadsheets/d/1-uDff_7J0KD5mKrp0Vvzr7lt3OU09vwQwhkpOPPYv2Y/edit?usp=sharing"",""งบพรบ!V34"")"),602222)</f>
        <v>602222</v>
      </c>
      <c r="N49" s="255">
        <f ca="1">IFERROR(__xludf.DUMMYFUNCTION("IMPORTRANGE(""https://docs.google.com/spreadsheets/d/1-uDff_7J0KD5mKrp0Vvzr7lt3OU09vwQwhkpOPPYv2Y/edit?usp=sharing"",""งบพรบ!Y34"")"),441809.61)</f>
        <v>441809.61</v>
      </c>
      <c r="O49" s="255">
        <f ca="1">IF(L49&gt;0,N49*100/L49,0)</f>
        <v>74.844928002710489</v>
      </c>
      <c r="P49" s="255">
        <f ca="1">IF(M49&gt;0,N49*100/M49,0)</f>
        <v>73.363246444002371</v>
      </c>
      <c r="Q49" s="255">
        <v>0</v>
      </c>
      <c r="R49" s="255">
        <v>0</v>
      </c>
      <c r="S49" s="255">
        <v>0</v>
      </c>
      <c r="T49" s="255">
        <f>IF(Q49&gt;0,S49*100/Q49,0)</f>
        <v>0</v>
      </c>
      <c r="U49" s="255">
        <f>IF(R49&gt;0,S49*100/R49,0)</f>
        <v>0</v>
      </c>
    </row>
    <row r="50" spans="1:21" ht="18.75">
      <c r="A50" s="49"/>
      <c r="B50" s="50"/>
      <c r="C50" s="50"/>
      <c r="D50" s="51" t="s">
        <v>23</v>
      </c>
      <c r="E50" s="50"/>
      <c r="F50" s="50"/>
      <c r="G50" s="52"/>
      <c r="H50" s="53" t="s">
        <v>14</v>
      </c>
      <c r="I50" s="54"/>
      <c r="J50" s="54"/>
      <c r="K50" s="55"/>
      <c r="L50" s="256">
        <f ca="1">L51+L52</f>
        <v>0</v>
      </c>
      <c r="M50" s="255">
        <f ca="1">M51+M52</f>
        <v>0</v>
      </c>
      <c r="N50" s="255">
        <f ca="1">N51+N52</f>
        <v>0</v>
      </c>
      <c r="O50" s="255">
        <f ca="1">IF(L50&gt;0,N50*100/L50,0)</f>
        <v>0</v>
      </c>
      <c r="P50" s="255">
        <f ca="1">IF(M50&gt;0,N50*100/M50,0)</f>
        <v>0</v>
      </c>
      <c r="Q50" s="255">
        <f>Q51+Q52</f>
        <v>0</v>
      </c>
      <c r="R50" s="255">
        <f>R51+R52</f>
        <v>0</v>
      </c>
      <c r="S50" s="255">
        <f>S51+S52</f>
        <v>0</v>
      </c>
      <c r="T50" s="255">
        <f>IF(Q50&gt;0,S50*100/Q50,0)</f>
        <v>0</v>
      </c>
      <c r="U50" s="255">
        <f>IF(R50&gt;0,S50*100/R50,0)</f>
        <v>0</v>
      </c>
    </row>
    <row r="51" spans="1:21" ht="18.75" hidden="1">
      <c r="A51" s="49"/>
      <c r="B51" s="50"/>
      <c r="C51" s="50"/>
      <c r="D51" s="50"/>
      <c r="E51" s="186" t="s">
        <v>20</v>
      </c>
      <c r="F51" s="50"/>
      <c r="G51" s="52"/>
      <c r="H51" s="729" t="s">
        <v>14</v>
      </c>
      <c r="I51" s="54"/>
      <c r="J51" s="54"/>
      <c r="K51" s="55"/>
      <c r="L51" s="103">
        <v>0</v>
      </c>
      <c r="M51" s="102">
        <v>0</v>
      </c>
      <c r="N51" s="102">
        <v>0</v>
      </c>
      <c r="O51" s="102">
        <f>IF(L51&gt;0,N51*100/L51,0)</f>
        <v>0</v>
      </c>
      <c r="P51" s="102">
        <f>IF(M51&gt;0,N51*100/M51,0)</f>
        <v>0</v>
      </c>
      <c r="Q51" s="102">
        <v>0</v>
      </c>
      <c r="R51" s="102">
        <v>0</v>
      </c>
      <c r="S51" s="102">
        <v>0</v>
      </c>
      <c r="T51" s="102">
        <f>IF(Q51&gt;0,S51*100/Q51,0)</f>
        <v>0</v>
      </c>
      <c r="U51" s="102">
        <f>IF(R51&gt;0,S51*100/R51,0)</f>
        <v>0</v>
      </c>
    </row>
    <row r="52" spans="1:21" ht="18.75" hidden="1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256">
        <f ca="1">IFERROR(__xludf.DUMMYFUNCTION("IMPORTRANGE(""https://docs.google.com/spreadsheets/d/1-uDff_7J0KD5mKrp0Vvzr7lt3OU09vwQwhkpOPPYv2Y/edit?usp=sharing"",""งบพรบ!S34"")"),0)</f>
        <v>0</v>
      </c>
      <c r="M52" s="255">
        <f ca="1">IFERROR(__xludf.DUMMYFUNCTION("IMPORTRANGE(""https://docs.google.com/spreadsheets/d/1-uDff_7J0KD5mKrp0Vvzr7lt3OU09vwQwhkpOPPYv2Y/edit?usp=sharing"",""งบพรบ!W34"")"),0)</f>
        <v>0</v>
      </c>
      <c r="N52" s="255">
        <f ca="1">IFERROR(__xludf.DUMMYFUNCTION("IMPORTRANGE(""https://docs.google.com/spreadsheets/d/1-uDff_7J0KD5mKrp0Vvzr7lt3OU09vwQwhkpOPPYv2Y/edit?usp=sharing"",""งบพรบ!Z34"")"),0)</f>
        <v>0</v>
      </c>
      <c r="O52" s="255">
        <f ca="1">IF(L52&gt;0,N52*100/L52,0)</f>
        <v>0</v>
      </c>
      <c r="P52" s="255">
        <f ca="1">IF(M52&gt;0,N52*100/M52,0)</f>
        <v>0</v>
      </c>
      <c r="Q52" s="255">
        <v>0</v>
      </c>
      <c r="R52" s="255">
        <v>0</v>
      </c>
      <c r="S52" s="255">
        <v>0</v>
      </c>
      <c r="T52" s="255">
        <f>IF(Q52&gt;0,S52*100/Q52,0)</f>
        <v>0</v>
      </c>
      <c r="U52" s="255">
        <f>IF(R52&gt;0,S52*100/R52,0)</f>
        <v>0</v>
      </c>
    </row>
    <row r="53" spans="1:21" ht="18.75">
      <c r="A53" s="49"/>
      <c r="B53" s="50"/>
      <c r="C53" s="50"/>
      <c r="D53" s="51" t="s">
        <v>24</v>
      </c>
      <c r="E53" s="50"/>
      <c r="F53" s="50"/>
      <c r="G53" s="52"/>
      <c r="H53" s="53" t="s">
        <v>14</v>
      </c>
      <c r="I53" s="54"/>
      <c r="J53" s="54"/>
      <c r="K53" s="55"/>
      <c r="L53" s="62"/>
      <c r="M53" s="55"/>
      <c r="N53" s="55"/>
      <c r="O53" s="55"/>
      <c r="P53" s="55"/>
      <c r="Q53" s="55"/>
      <c r="R53" s="55"/>
      <c r="S53" s="55"/>
      <c r="T53" s="55"/>
      <c r="U53" s="55"/>
    </row>
    <row r="54" spans="1:21" ht="18.75" hidden="1">
      <c r="A54" s="49"/>
      <c r="B54" s="50"/>
      <c r="C54" s="50"/>
      <c r="D54" s="50"/>
      <c r="E54" s="186" t="s">
        <v>20</v>
      </c>
      <c r="F54" s="50"/>
      <c r="G54" s="52"/>
      <c r="H54" s="729" t="s">
        <v>14</v>
      </c>
      <c r="I54" s="54"/>
      <c r="J54" s="54"/>
      <c r="K54" s="55"/>
      <c r="L54" s="62"/>
      <c r="M54" s="55"/>
      <c r="N54" s="55"/>
      <c r="O54" s="55"/>
      <c r="P54" s="55"/>
      <c r="Q54" s="55"/>
      <c r="R54" s="55"/>
      <c r="S54" s="55"/>
      <c r="T54" s="55"/>
      <c r="U54" s="55"/>
    </row>
    <row r="55" spans="1:21" ht="18.75" hidden="1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8"/>
      <c r="M55" s="6"/>
      <c r="N55" s="6"/>
      <c r="O55" s="6"/>
      <c r="P55" s="6"/>
      <c r="Q55" s="6"/>
      <c r="R55" s="6"/>
      <c r="S55" s="6"/>
      <c r="T55" s="6"/>
      <c r="U55" s="6"/>
    </row>
    <row r="56" spans="1:21" ht="19.5">
      <c r="A56" s="533" t="s">
        <v>28</v>
      </c>
      <c r="B56" s="514"/>
      <c r="C56" s="514"/>
      <c r="D56" s="514"/>
      <c r="E56" s="514"/>
      <c r="F56" s="514"/>
      <c r="G56" s="512"/>
      <c r="H56" s="104"/>
      <c r="I56" s="105"/>
      <c r="J56" s="105"/>
      <c r="K56" s="106"/>
      <c r="L56" s="106"/>
      <c r="M56" s="106"/>
      <c r="N56" s="106"/>
      <c r="O56" s="106"/>
      <c r="P56" s="107"/>
      <c r="Q56" s="106"/>
      <c r="R56" s="106"/>
      <c r="S56" s="106"/>
      <c r="T56" s="106"/>
      <c r="U56" s="107"/>
    </row>
    <row r="57" spans="1:21" ht="19.5">
      <c r="A57" s="108"/>
      <c r="B57" s="534" t="s">
        <v>29</v>
      </c>
      <c r="C57" s="529"/>
      <c r="D57" s="529"/>
      <c r="E57" s="529"/>
      <c r="F57" s="529"/>
      <c r="G57" s="530"/>
      <c r="H57" s="109"/>
      <c r="I57" s="110"/>
      <c r="J57" s="110"/>
      <c r="K57" s="111"/>
      <c r="L57" s="112"/>
      <c r="M57" s="111"/>
      <c r="N57" s="111"/>
      <c r="O57" s="111"/>
      <c r="P57" s="111"/>
      <c r="Q57" s="111"/>
      <c r="R57" s="111"/>
      <c r="S57" s="111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9"/>
      <c r="M58" s="118"/>
      <c r="N58" s="118"/>
      <c r="O58" s="118"/>
      <c r="P58" s="118"/>
      <c r="Q58" s="118"/>
      <c r="R58" s="118"/>
      <c r="S58" s="118"/>
      <c r="T58" s="118"/>
      <c r="U58" s="118"/>
    </row>
    <row r="59" spans="1:21" ht="19.5">
      <c r="A59" s="120"/>
      <c r="B59" s="121"/>
      <c r="C59" s="122" t="s">
        <v>18</v>
      </c>
      <c r="D59" s="738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737">
        <f ca="1">L60+L61</f>
        <v>669500</v>
      </c>
      <c r="M59" s="736">
        <f ca="1">M60+M61</f>
        <v>669500</v>
      </c>
      <c r="N59" s="736">
        <f ca="1">N60+N61</f>
        <v>583985.25</v>
      </c>
      <c r="O59" s="736">
        <f ca="1">IF(L59&gt;0,N59*100/L59,0)</f>
        <v>87.227072442120985</v>
      </c>
      <c r="P59" s="736">
        <f ca="1">IF(M59&gt;0,N59*100/M59,0)</f>
        <v>87.227072442120985</v>
      </c>
      <c r="Q59" s="736">
        <f>Q60+Q61</f>
        <v>0</v>
      </c>
      <c r="R59" s="736">
        <f>R60+R61</f>
        <v>0</v>
      </c>
      <c r="S59" s="736">
        <f>S60+S61</f>
        <v>0</v>
      </c>
      <c r="T59" s="736">
        <f>IF(Q59&gt;0,S59*100/Q59,0)</f>
        <v>0</v>
      </c>
      <c r="U59" s="736">
        <f>IF(R59&gt;0,S59*100/R59,0)</f>
        <v>0</v>
      </c>
    </row>
    <row r="60" spans="1:21" ht="18.75" hidden="1">
      <c r="A60" s="120"/>
      <c r="B60" s="121"/>
      <c r="C60" s="121"/>
      <c r="D60" s="121"/>
      <c r="E60" s="735" t="s">
        <v>20</v>
      </c>
      <c r="F60" s="121"/>
      <c r="G60" s="124"/>
      <c r="H60" s="734" t="s">
        <v>14</v>
      </c>
      <c r="I60" s="126"/>
      <c r="J60" s="126"/>
      <c r="K60" s="127"/>
      <c r="L60" s="733">
        <f>L63+L66</f>
        <v>0</v>
      </c>
      <c r="M60" s="732">
        <f>M63+M66</f>
        <v>0</v>
      </c>
      <c r="N60" s="732">
        <f>N63+N66</f>
        <v>0</v>
      </c>
      <c r="O60" s="732">
        <f>IF(L60&gt;0,N60*100/L60,0)</f>
        <v>0</v>
      </c>
      <c r="P60" s="732">
        <f>IF(M60&gt;0,N60*100/M60,0)</f>
        <v>0</v>
      </c>
      <c r="Q60" s="732">
        <f>Q63+Q66</f>
        <v>0</v>
      </c>
      <c r="R60" s="732">
        <f>R63+R66</f>
        <v>0</v>
      </c>
      <c r="S60" s="732">
        <f>S63+S66</f>
        <v>0</v>
      </c>
      <c r="T60" s="732">
        <f>IF(Q60&gt;0,S60*100/Q60,0)</f>
        <v>0</v>
      </c>
      <c r="U60" s="732">
        <f>IF(R60&gt;0,S60*100/R60,0)</f>
        <v>0</v>
      </c>
    </row>
    <row r="61" spans="1:21" ht="18.75" hidden="1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731">
        <f ca="1">L64+L67</f>
        <v>669500</v>
      </c>
      <c r="M61" s="730">
        <f ca="1">M64+M67</f>
        <v>669500</v>
      </c>
      <c r="N61" s="730">
        <f ca="1">N64+N67</f>
        <v>583985.25</v>
      </c>
      <c r="O61" s="730">
        <f ca="1">IF(L61&gt;0,N61*100/L61,0)</f>
        <v>87.227072442120985</v>
      </c>
      <c r="P61" s="730">
        <f ca="1">IF(M61&gt;0,N61*100/M61,0)</f>
        <v>87.227072442120985</v>
      </c>
      <c r="Q61" s="730">
        <f>Q64+Q67</f>
        <v>0</v>
      </c>
      <c r="R61" s="730">
        <f>R64+R67</f>
        <v>0</v>
      </c>
      <c r="S61" s="730">
        <f>S64+S67</f>
        <v>0</v>
      </c>
      <c r="T61" s="730">
        <f>IF(Q61&gt;0,S61*100/Q61,0)</f>
        <v>0</v>
      </c>
      <c r="U61" s="730">
        <f>IF(R61&gt;0,S61*100/R61,0)</f>
        <v>0</v>
      </c>
    </row>
    <row r="62" spans="1:21" ht="18.75">
      <c r="A62" s="49"/>
      <c r="B62" s="50"/>
      <c r="C62" s="50"/>
      <c r="D62" s="51" t="s">
        <v>22</v>
      </c>
      <c r="E62" s="50"/>
      <c r="F62" s="50"/>
      <c r="G62" s="52"/>
      <c r="H62" s="53" t="s">
        <v>14</v>
      </c>
      <c r="I62" s="54"/>
      <c r="J62" s="54"/>
      <c r="K62" s="55"/>
      <c r="L62" s="256">
        <f ca="1">L63+L64</f>
        <v>669500</v>
      </c>
      <c r="M62" s="255">
        <f ca="1">M63+M64</f>
        <v>669500</v>
      </c>
      <c r="N62" s="255">
        <f ca="1">N63+N64</f>
        <v>583985.25</v>
      </c>
      <c r="O62" s="255">
        <f ca="1">IF(L62&gt;0,N62*100/L62,0)</f>
        <v>87.227072442120985</v>
      </c>
      <c r="P62" s="255">
        <f ca="1">IF(M62&gt;0,N62*100/M62,0)</f>
        <v>87.227072442120985</v>
      </c>
      <c r="Q62" s="255">
        <f>Q63+Q64</f>
        <v>0</v>
      </c>
      <c r="R62" s="255">
        <f>R63+R64</f>
        <v>0</v>
      </c>
      <c r="S62" s="255">
        <f>S63+S64</f>
        <v>0</v>
      </c>
      <c r="T62" s="255">
        <f>IF(Q62&gt;0,S62*100/Q62,0)</f>
        <v>0</v>
      </c>
      <c r="U62" s="255">
        <f>IF(R62&gt;0,S62*100/R62,0)</f>
        <v>0</v>
      </c>
    </row>
    <row r="63" spans="1:21" ht="18.75" hidden="1">
      <c r="A63" s="49"/>
      <c r="B63" s="50"/>
      <c r="C63" s="50"/>
      <c r="D63" s="50"/>
      <c r="E63" s="186" t="s">
        <v>20</v>
      </c>
      <c r="F63" s="50"/>
      <c r="G63" s="52"/>
      <c r="H63" s="729" t="s">
        <v>14</v>
      </c>
      <c r="I63" s="54"/>
      <c r="J63" s="54"/>
      <c r="K63" s="55"/>
      <c r="L63" s="103">
        <v>0</v>
      </c>
      <c r="M63" s="102">
        <v>0</v>
      </c>
      <c r="N63" s="102">
        <v>0</v>
      </c>
      <c r="O63" s="102">
        <f>IF(L63&gt;0,N63*100/L63,0)</f>
        <v>0</v>
      </c>
      <c r="P63" s="102">
        <f>IF(M63&gt;0,N63*100/M63,0)</f>
        <v>0</v>
      </c>
      <c r="Q63" s="102">
        <v>0</v>
      </c>
      <c r="R63" s="102">
        <v>0</v>
      </c>
      <c r="S63" s="102">
        <v>0</v>
      </c>
      <c r="T63" s="102">
        <f>IF(Q63&gt;0,S63*100/Q63,0)</f>
        <v>0</v>
      </c>
      <c r="U63" s="102">
        <f>IF(R63&gt;0,S63*100/R63,0)</f>
        <v>0</v>
      </c>
    </row>
    <row r="64" spans="1:21" ht="18.75" hidden="1">
      <c r="A64" s="49"/>
      <c r="B64" s="50"/>
      <c r="C64" s="50"/>
      <c r="D64" s="50"/>
      <c r="E64" s="58" t="s">
        <v>21</v>
      </c>
      <c r="F64" s="50"/>
      <c r="G64" s="52"/>
      <c r="H64" s="53" t="s">
        <v>14</v>
      </c>
      <c r="I64" s="54"/>
      <c r="J64" s="54"/>
      <c r="K64" s="55"/>
      <c r="L64" s="256">
        <f ca="1">IFERROR(__xludf.DUMMYFUNCTION("IMPORTRANGE(""https://docs.google.com/spreadsheets/d/1-uDff_7J0KD5mKrp0Vvzr7lt3OU09vwQwhkpOPPYv2Y/edit?usp=sharing"",""งบพรบ!AC34"")"),669500)</f>
        <v>669500</v>
      </c>
      <c r="M64" s="255">
        <f ca="1">IFERROR(__xludf.DUMMYFUNCTION("IMPORTRANGE(""https://docs.google.com/spreadsheets/d/1-uDff_7J0KD5mKrp0Vvzr7lt3OU09vwQwhkpOPPYv2Y/edit?usp=sharing"",""งบพรบ!AH34"")"),669500)</f>
        <v>669500</v>
      </c>
      <c r="N64" s="255">
        <f ca="1">IFERROR(__xludf.DUMMYFUNCTION("IMPORTRANGE(""https://docs.google.com/spreadsheets/d/1-uDff_7J0KD5mKrp0Vvzr7lt3OU09vwQwhkpOPPYv2Y/edit?usp=sharing"",""งบพรบ!AJ34"")"),583985.25)</f>
        <v>583985.25</v>
      </c>
      <c r="O64" s="255">
        <f ca="1">IF(L64&gt;0,N64*100/L64,0)</f>
        <v>87.227072442120985</v>
      </c>
      <c r="P64" s="255">
        <f ca="1">IF(M64&gt;0,N64*100/M64,0)</f>
        <v>87.227072442120985</v>
      </c>
      <c r="Q64" s="255">
        <v>0</v>
      </c>
      <c r="R64" s="255">
        <v>0</v>
      </c>
      <c r="S64" s="255">
        <v>0</v>
      </c>
      <c r="T64" s="255">
        <f>IF(Q64&gt;0,S64*100/Q64,0)</f>
        <v>0</v>
      </c>
      <c r="U64" s="255">
        <f>IF(R64&gt;0,S64*100/R64,0)</f>
        <v>0</v>
      </c>
    </row>
    <row r="65" spans="1:21" ht="18.75">
      <c r="A65" s="49"/>
      <c r="B65" s="50"/>
      <c r="C65" s="50"/>
      <c r="D65" s="51" t="s">
        <v>23</v>
      </c>
      <c r="E65" s="50"/>
      <c r="F65" s="50"/>
      <c r="G65" s="52"/>
      <c r="H65" s="53" t="s">
        <v>14</v>
      </c>
      <c r="I65" s="54"/>
      <c r="J65" s="54"/>
      <c r="K65" s="55"/>
      <c r="L65" s="256">
        <f ca="1">L66+L67</f>
        <v>0</v>
      </c>
      <c r="M65" s="255">
        <f ca="1">M66+M67</f>
        <v>0</v>
      </c>
      <c r="N65" s="255">
        <f ca="1">N66+N67</f>
        <v>0</v>
      </c>
      <c r="O65" s="255">
        <f ca="1">IF(L65&gt;0,N65*100/L65,0)</f>
        <v>0</v>
      </c>
      <c r="P65" s="255">
        <f ca="1">IF(M65&gt;0,N65*100/M65,0)</f>
        <v>0</v>
      </c>
      <c r="Q65" s="255">
        <f>Q66+Q67</f>
        <v>0</v>
      </c>
      <c r="R65" s="255">
        <f>R66+R67</f>
        <v>0</v>
      </c>
      <c r="S65" s="255">
        <f>S66+S67</f>
        <v>0</v>
      </c>
      <c r="T65" s="255">
        <f>IF(Q65&gt;0,S65*100/Q65,0)</f>
        <v>0</v>
      </c>
      <c r="U65" s="255">
        <f>IF(R65&gt;0,S65*100/R65,0)</f>
        <v>0</v>
      </c>
    </row>
    <row r="66" spans="1:21" ht="18.75" hidden="1">
      <c r="A66" s="49"/>
      <c r="B66" s="50"/>
      <c r="C66" s="50"/>
      <c r="D66" s="50"/>
      <c r="E66" s="186" t="s">
        <v>20</v>
      </c>
      <c r="F66" s="50"/>
      <c r="G66" s="52"/>
      <c r="H66" s="729" t="s">
        <v>14</v>
      </c>
      <c r="I66" s="54"/>
      <c r="J66" s="54"/>
      <c r="K66" s="55"/>
      <c r="L66" s="103">
        <v>0</v>
      </c>
      <c r="M66" s="102">
        <v>0</v>
      </c>
      <c r="N66" s="102">
        <v>0</v>
      </c>
      <c r="O66" s="102">
        <f>IF(L66&gt;0,N66*100/L66,0)</f>
        <v>0</v>
      </c>
      <c r="P66" s="102">
        <f>IF(M66&gt;0,N66*100/M66,0)</f>
        <v>0</v>
      </c>
      <c r="Q66" s="102">
        <v>0</v>
      </c>
      <c r="R66" s="102">
        <v>0</v>
      </c>
      <c r="S66" s="102">
        <v>0</v>
      </c>
      <c r="T66" s="102">
        <f>IF(Q66&gt;0,S66*100/Q66,0)</f>
        <v>0</v>
      </c>
      <c r="U66" s="102">
        <f>IF(R66&gt;0,S66*100/R66,0)</f>
        <v>0</v>
      </c>
    </row>
    <row r="67" spans="1:21" ht="18.75" hidden="1">
      <c r="A67" s="63"/>
      <c r="B67" s="4"/>
      <c r="C67" s="4"/>
      <c r="D67" s="4"/>
      <c r="E67" s="64" t="s">
        <v>21</v>
      </c>
      <c r="F67" s="4"/>
      <c r="G67" s="65"/>
      <c r="H67" s="66" t="s">
        <v>14</v>
      </c>
      <c r="I67" s="67"/>
      <c r="J67" s="67"/>
      <c r="K67" s="6"/>
      <c r="L67" s="728">
        <f ca="1">IFERROR(__xludf.DUMMYFUNCTION("IMPORTRANGE(""https://docs.google.com/spreadsheets/d/1-uDff_7J0KD5mKrp0Vvzr7lt3OU09vwQwhkpOPPYv2Y/edit?usp=sharing"",""งบพรบ!AF34"")"),0)</f>
        <v>0</v>
      </c>
      <c r="M67" s="506">
        <f ca="1">IFERROR(__xludf.DUMMYFUNCTION("IMPORTRANGE(""https://docs.google.com/spreadsheets/d/1-uDff_7J0KD5mKrp0Vvzr7lt3OU09vwQwhkpOPPYv2Y/edit?usp=sharing"",""งบพรบ!AI34"")"),0)</f>
        <v>0</v>
      </c>
      <c r="N67" s="506">
        <f ca="1">IFERROR(__xludf.DUMMYFUNCTION("IMPORTRANGE(""https://docs.google.com/spreadsheets/d/1-uDff_7J0KD5mKrp0Vvzr7lt3OU09vwQwhkpOPPYv2Y/edit?usp=sharing"",""งบพรบ!AK34"")"),0)</f>
        <v>0</v>
      </c>
      <c r="O67" s="506">
        <f ca="1">IF(L67&gt;0,N67*100/L67,0)</f>
        <v>0</v>
      </c>
      <c r="P67" s="506">
        <f ca="1">IF(M67&gt;0,N67*100/M67,0)</f>
        <v>0</v>
      </c>
      <c r="Q67" s="506">
        <v>0</v>
      </c>
      <c r="R67" s="506">
        <v>0</v>
      </c>
      <c r="S67" s="506">
        <v>0</v>
      </c>
      <c r="T67" s="506">
        <f>IF(Q67&gt;0,S67*100/Q67,0)</f>
        <v>0</v>
      </c>
      <c r="U67" s="506">
        <f>IF(R67&gt;0,S67*100/R67,0)</f>
        <v>0</v>
      </c>
    </row>
    <row r="68" spans="1:21" ht="19.5">
      <c r="A68" s="137" t="s">
        <v>31</v>
      </c>
      <c r="B68" s="138"/>
      <c r="C68" s="138"/>
      <c r="D68" s="138"/>
      <c r="E68" s="139"/>
      <c r="F68" s="139"/>
      <c r="G68" s="139"/>
      <c r="H68" s="139"/>
      <c r="I68" s="140"/>
      <c r="J68" s="140"/>
      <c r="K68" s="141"/>
      <c r="L68" s="141"/>
      <c r="M68" s="141"/>
      <c r="N68" s="141"/>
      <c r="O68" s="141"/>
      <c r="P68" s="142"/>
      <c r="Q68" s="141"/>
      <c r="R68" s="141"/>
      <c r="S68" s="141"/>
      <c r="T68" s="141"/>
      <c r="U68" s="142"/>
    </row>
    <row r="69" spans="1:21" ht="19.5" hidden="1">
      <c r="A69" s="143" t="s">
        <v>32</v>
      </c>
      <c r="B69" s="144"/>
      <c r="C69" s="145"/>
      <c r="D69" s="144"/>
      <c r="E69" s="144"/>
      <c r="F69" s="144"/>
      <c r="G69" s="146"/>
      <c r="H69" s="146"/>
      <c r="I69" s="147"/>
      <c r="J69" s="147"/>
      <c r="K69" s="148"/>
      <c r="L69" s="149"/>
      <c r="M69" s="148"/>
      <c r="N69" s="148"/>
      <c r="O69" s="148"/>
      <c r="P69" s="148"/>
      <c r="Q69" s="148"/>
      <c r="R69" s="148"/>
      <c r="S69" s="148"/>
      <c r="T69" s="148"/>
      <c r="U69" s="148"/>
    </row>
    <row r="70" spans="1:21" ht="19.5" hidden="1">
      <c r="A70" s="150"/>
      <c r="B70" s="35" t="s">
        <v>33</v>
      </c>
      <c r="C70" s="34"/>
      <c r="D70" s="151"/>
      <c r="E70" s="34"/>
      <c r="F70" s="34"/>
      <c r="G70" s="37"/>
      <c r="H70" s="152" t="s">
        <v>34</v>
      </c>
      <c r="I70" s="721">
        <f ca="1">I82</f>
        <v>0</v>
      </c>
      <c r="J70" s="721">
        <f>J82</f>
        <v>0</v>
      </c>
      <c r="K70" s="720">
        <f ca="1">IF(I70&gt;0,J70*100/I70,0)</f>
        <v>0</v>
      </c>
      <c r="L70" s="154"/>
      <c r="M70" s="40"/>
      <c r="N70" s="40"/>
      <c r="O70" s="40"/>
      <c r="P70" s="40"/>
      <c r="Q70" s="40"/>
      <c r="R70" s="40"/>
      <c r="S70" s="40"/>
      <c r="T70" s="40"/>
      <c r="U70" s="40"/>
    </row>
    <row r="71" spans="1:21" ht="19.5" hidden="1">
      <c r="A71" s="150"/>
      <c r="B71" s="34"/>
      <c r="C71" s="34"/>
      <c r="D71" s="151"/>
      <c r="E71" s="34"/>
      <c r="F71" s="34"/>
      <c r="G71" s="37"/>
      <c r="H71" s="152" t="s">
        <v>35</v>
      </c>
      <c r="I71" s="721">
        <f ca="1">I83</f>
        <v>0</v>
      </c>
      <c r="J71" s="721">
        <f>J83</f>
        <v>0</v>
      </c>
      <c r="K71" s="720">
        <f ca="1">IF(I71&gt;0,J71*100/I71,0)</f>
        <v>0</v>
      </c>
      <c r="L71" s="154"/>
      <c r="M71" s="40"/>
      <c r="N71" s="40"/>
      <c r="O71" s="40"/>
      <c r="P71" s="40"/>
      <c r="Q71" s="40"/>
      <c r="R71" s="40"/>
      <c r="S71" s="40"/>
      <c r="T71" s="40"/>
      <c r="U71" s="40"/>
    </row>
    <row r="72" spans="1:21" ht="19.5" hidden="1">
      <c r="A72" s="155"/>
      <c r="B72" s="50"/>
      <c r="C72" s="156" t="s">
        <v>18</v>
      </c>
      <c r="D72" s="575" t="s">
        <v>19</v>
      </c>
      <c r="E72" s="50"/>
      <c r="F72" s="50"/>
      <c r="G72" s="52"/>
      <c r="H72" s="158" t="s">
        <v>14</v>
      </c>
      <c r="I72" s="54"/>
      <c r="J72" s="54"/>
      <c r="K72" s="55"/>
      <c r="L72" s="541">
        <f ca="1">L73+L74</f>
        <v>0</v>
      </c>
      <c r="M72" s="540">
        <f ca="1">M73+M74</f>
        <v>0</v>
      </c>
      <c r="N72" s="540">
        <f ca="1">N73+N74</f>
        <v>0</v>
      </c>
      <c r="O72" s="540">
        <f ca="1">IF(L72&gt;0,N72*100/L72,0)</f>
        <v>0</v>
      </c>
      <c r="P72" s="540">
        <f ca="1">IF(M72&gt;0,N72*100/M72,0)</f>
        <v>0</v>
      </c>
      <c r="Q72" s="540">
        <f ca="1">Q73+Q74</f>
        <v>0</v>
      </c>
      <c r="R72" s="540">
        <f ca="1">R73+R74</f>
        <v>0</v>
      </c>
      <c r="S72" s="540">
        <f ca="1">S73+S74</f>
        <v>0</v>
      </c>
      <c r="T72" s="540">
        <f ca="1">IF(Q72&gt;0,S72*100/Q72,0)</f>
        <v>0</v>
      </c>
      <c r="U72" s="540">
        <f ca="1">IF(R72&gt;0,S72*100/R72,0)</f>
        <v>0</v>
      </c>
    </row>
    <row r="73" spans="1:21" ht="18.75" hidden="1">
      <c r="A73" s="155"/>
      <c r="B73" s="50"/>
      <c r="C73" s="50"/>
      <c r="D73" s="50"/>
      <c r="E73" s="186" t="s">
        <v>20</v>
      </c>
      <c r="F73" s="50"/>
      <c r="G73" s="52"/>
      <c r="H73" s="187" t="s">
        <v>14</v>
      </c>
      <c r="I73" s="54"/>
      <c r="J73" s="54"/>
      <c r="K73" s="55"/>
      <c r="L73" s="103">
        <f>L76+L79</f>
        <v>0</v>
      </c>
      <c r="M73" s="102">
        <f>M76+M79</f>
        <v>0</v>
      </c>
      <c r="N73" s="102">
        <f>N76+N79</f>
        <v>0</v>
      </c>
      <c r="O73" s="102">
        <f>IF(L73&gt;0,N73*100/L73,0)</f>
        <v>0</v>
      </c>
      <c r="P73" s="102">
        <f>IF(M73&gt;0,N73*100/M73,0)</f>
        <v>0</v>
      </c>
      <c r="Q73" s="102">
        <f>Q76+Q79</f>
        <v>0</v>
      </c>
      <c r="R73" s="102">
        <f>R76+R79</f>
        <v>0</v>
      </c>
      <c r="S73" s="102">
        <f>S76+S79</f>
        <v>0</v>
      </c>
      <c r="T73" s="102">
        <f>IF(Q73&gt;0,S73*100/Q73,0)</f>
        <v>0</v>
      </c>
      <c r="U73" s="102">
        <f>IF(R73&gt;0,S73*100/R73,0)</f>
        <v>0</v>
      </c>
    </row>
    <row r="74" spans="1:21" ht="18.75" hidden="1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256">
        <f ca="1">L77+L80</f>
        <v>0</v>
      </c>
      <c r="M74" s="255">
        <f ca="1">M77+M80</f>
        <v>0</v>
      </c>
      <c r="N74" s="255">
        <f ca="1">N77+N80</f>
        <v>0</v>
      </c>
      <c r="O74" s="255">
        <f ca="1">IF(L74&gt;0,N74*100/L74,0)</f>
        <v>0</v>
      </c>
      <c r="P74" s="255">
        <f ca="1">IF(M74&gt;0,N74*100/M74,0)</f>
        <v>0</v>
      </c>
      <c r="Q74" s="255">
        <f ca="1">Q77+Q80</f>
        <v>0</v>
      </c>
      <c r="R74" s="255">
        <f ca="1">R77+R80</f>
        <v>0</v>
      </c>
      <c r="S74" s="255">
        <f ca="1">S77+S80</f>
        <v>0</v>
      </c>
      <c r="T74" s="255">
        <f ca="1">IF(Q74&gt;0,S74*100/Q74,0)</f>
        <v>0</v>
      </c>
      <c r="U74" s="255">
        <f ca="1">IF(R74&gt;0,S74*100/R74,0)</f>
        <v>0</v>
      </c>
    </row>
    <row r="75" spans="1:21" ht="18.75" hidden="1">
      <c r="A75" s="155"/>
      <c r="B75" s="50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256">
        <f ca="1">L76+L77</f>
        <v>0</v>
      </c>
      <c r="M75" s="255">
        <f ca="1">M76+M77</f>
        <v>0</v>
      </c>
      <c r="N75" s="255">
        <f ca="1">N76+N77</f>
        <v>0</v>
      </c>
      <c r="O75" s="255">
        <f ca="1">IF(L75&gt;0,N75*100/L75,0)</f>
        <v>0</v>
      </c>
      <c r="P75" s="255">
        <f ca="1">IF(M75&gt;0,N75*100/M75,0)</f>
        <v>0</v>
      </c>
      <c r="Q75" s="255">
        <f ca="1">Q76+Q77</f>
        <v>0</v>
      </c>
      <c r="R75" s="255">
        <f ca="1">R76+R77</f>
        <v>0</v>
      </c>
      <c r="S75" s="255">
        <f ca="1">S76+S77</f>
        <v>0</v>
      </c>
      <c r="T75" s="255">
        <f ca="1">IF(Q75&gt;0,S75*100/Q75,0)</f>
        <v>0</v>
      </c>
      <c r="U75" s="255">
        <f ca="1">IF(R75&gt;0,S75*100/R75,0)</f>
        <v>0</v>
      </c>
    </row>
    <row r="76" spans="1:21" ht="18.75" hidden="1">
      <c r="A76" s="155"/>
      <c r="B76" s="50"/>
      <c r="C76" s="50"/>
      <c r="D76" s="50"/>
      <c r="E76" s="186" t="s">
        <v>36</v>
      </c>
      <c r="F76" s="50"/>
      <c r="G76" s="52"/>
      <c r="H76" s="189" t="s">
        <v>14</v>
      </c>
      <c r="I76" s="163"/>
      <c r="J76" s="163"/>
      <c r="K76" s="164"/>
      <c r="L76" s="103">
        <v>0</v>
      </c>
      <c r="M76" s="102">
        <v>0</v>
      </c>
      <c r="N76" s="102">
        <v>0</v>
      </c>
      <c r="O76" s="102">
        <f>IF(L76&gt;0,N76*100/L76,0)</f>
        <v>0</v>
      </c>
      <c r="P76" s="102">
        <f>IF(M76&gt;0,N76*100/M76,0)</f>
        <v>0</v>
      </c>
      <c r="Q76" s="102">
        <v>0</v>
      </c>
      <c r="R76" s="102">
        <v>0</v>
      </c>
      <c r="S76" s="102">
        <v>0</v>
      </c>
      <c r="T76" s="102">
        <f>IF(Q76&gt;0,S76*100/Q76,0)</f>
        <v>0</v>
      </c>
      <c r="U76" s="102">
        <f>IF(R76&gt;0,S76*100/R76,0)</f>
        <v>0</v>
      </c>
    </row>
    <row r="77" spans="1:21" ht="18.75" hidden="1">
      <c r="A77" s="155"/>
      <c r="B77" s="50"/>
      <c r="C77" s="50"/>
      <c r="D77" s="50"/>
      <c r="E77" s="58" t="s">
        <v>37</v>
      </c>
      <c r="F77" s="50"/>
      <c r="G77" s="52"/>
      <c r="H77" s="162" t="s">
        <v>14</v>
      </c>
      <c r="I77" s="163"/>
      <c r="J77" s="163"/>
      <c r="K77" s="164"/>
      <c r="L77" s="256">
        <f ca="1">IFERROR(__xludf.DUMMYFUNCTION("IMPORTRANGE(""https://docs.google.com/spreadsheets/d/1-uDff_7J0KD5mKrp0Vvzr7lt3OU09vwQwhkpOPPYv2Y/edit?usp=sharing"",""งบพรบ!AM34"")"),0)</f>
        <v>0</v>
      </c>
      <c r="M77" s="255">
        <f ca="1">IFERROR(__xludf.DUMMYFUNCTION("IMPORTRANGE(""https://docs.google.com/spreadsheets/d/1-uDff_7J0KD5mKrp0Vvzr7lt3OU09vwQwhkpOPPYv2Y/edit?usp=sharing"",""งบพรบ!AR34"")"),0)</f>
        <v>0</v>
      </c>
      <c r="N77" s="255">
        <f ca="1">IFERROR(__xludf.DUMMYFUNCTION("IMPORTRANGE(""https://docs.google.com/spreadsheets/d/1-uDff_7J0KD5mKrp0Vvzr7lt3OU09vwQwhkpOPPYv2Y/edit?usp=sharing"",""งบพรบ!AT34"")"),0)</f>
        <v>0</v>
      </c>
      <c r="O77" s="255">
        <f ca="1">IF(L77&gt;0,N77*100/L77,0)</f>
        <v>0</v>
      </c>
      <c r="P77" s="255">
        <f ca="1">IF(M77&gt;0,N77*100/M77,0)</f>
        <v>0</v>
      </c>
      <c r="Q77" s="255">
        <f ca="1">IFERROR(__xludf.DUMMYFUNCTION("IMPORTRANGE(""https://docs.google.com/spreadsheets/d/1ItG2mGa2ceCfYo0BwxsXqNm01IGEUdYcSSLTEv9YCik/edit?usp=sharing"",""เบิกจ่ายกองทุน!AS34"")"),0)</f>
        <v>0</v>
      </c>
      <c r="R77" s="255">
        <f ca="1">IFERROR(__xludf.DUMMYFUNCTION("IMPORTRANGE(""https://docs.google.com/spreadsheets/d/1ItG2mGa2ceCfYo0BwxsXqNm01IGEUdYcSSLTEv9YCik/edit?usp=sharing"",""เบิกจ่ายกองทุน!AT34"")"),0)</f>
        <v>0</v>
      </c>
      <c r="S77" s="255">
        <f ca="1">IFERROR(__xludf.DUMMYFUNCTION("IMPORTRANGE(""https://docs.google.com/spreadsheets/d/1ItG2mGa2ceCfYo0BwxsXqNm01IGEUdYcSSLTEv9YCik/edit?usp=sharing"",""เบิกจ่ายกองทุน!AU34"")"),0)</f>
        <v>0</v>
      </c>
      <c r="T77" s="255">
        <f ca="1">IF(Q77&gt;0,S77*100/Q77,0)</f>
        <v>0</v>
      </c>
      <c r="U77" s="255">
        <f ca="1">IF(R77&gt;0,S77*100/R77,0)</f>
        <v>0</v>
      </c>
    </row>
    <row r="78" spans="1:21" ht="18.75" hidden="1">
      <c r="A78" s="155"/>
      <c r="B78" s="50"/>
      <c r="C78" s="50"/>
      <c r="D78" s="51" t="s">
        <v>23</v>
      </c>
      <c r="E78" s="50"/>
      <c r="F78" s="50"/>
      <c r="G78" s="52"/>
      <c r="H78" s="165" t="s">
        <v>14</v>
      </c>
      <c r="I78" s="163"/>
      <c r="J78" s="163"/>
      <c r="K78" s="164"/>
      <c r="L78" s="256">
        <f ca="1">L79+L80</f>
        <v>0</v>
      </c>
      <c r="M78" s="255">
        <f ca="1">M79+M80</f>
        <v>0</v>
      </c>
      <c r="N78" s="255">
        <f ca="1">N79+N80</f>
        <v>0</v>
      </c>
      <c r="O78" s="255">
        <f ca="1">IF(L78&gt;0,N78*100/L78,0)</f>
        <v>0</v>
      </c>
      <c r="P78" s="255">
        <f ca="1">IF(M78&gt;0,N78*100/M78,0)</f>
        <v>0</v>
      </c>
      <c r="Q78" s="255">
        <f>Q79+Q80</f>
        <v>0</v>
      </c>
      <c r="R78" s="255">
        <f>R79+R80</f>
        <v>0</v>
      </c>
      <c r="S78" s="255">
        <f>S79+S80</f>
        <v>0</v>
      </c>
      <c r="T78" s="255">
        <f>IF(Q78&gt;0,S78*100/Q78,0)</f>
        <v>0</v>
      </c>
      <c r="U78" s="255">
        <f>IF(R78&gt;0,S78*100/R78,0)</f>
        <v>0</v>
      </c>
    </row>
    <row r="79" spans="1:21" ht="18.75" hidden="1">
      <c r="A79" s="155"/>
      <c r="B79" s="50"/>
      <c r="C79" s="50"/>
      <c r="D79" s="50"/>
      <c r="E79" s="186" t="s">
        <v>20</v>
      </c>
      <c r="F79" s="50"/>
      <c r="G79" s="52"/>
      <c r="H79" s="189" t="s">
        <v>14</v>
      </c>
      <c r="I79" s="163"/>
      <c r="J79" s="163"/>
      <c r="K79" s="164"/>
      <c r="L79" s="103">
        <v>0</v>
      </c>
      <c r="M79" s="255">
        <v>0</v>
      </c>
      <c r="N79" s="255">
        <v>0</v>
      </c>
      <c r="O79" s="102">
        <f>IF(L79&gt;0,N79*100/L79,0)</f>
        <v>0</v>
      </c>
      <c r="P79" s="102">
        <f>IF(M79&gt;0,N79*100/M79,0)</f>
        <v>0</v>
      </c>
      <c r="Q79" s="102">
        <v>0</v>
      </c>
      <c r="R79" s="255">
        <v>0</v>
      </c>
      <c r="S79" s="255">
        <v>0</v>
      </c>
      <c r="T79" s="102">
        <f>IF(Q79&gt;0,S79*100/Q79,0)</f>
        <v>0</v>
      </c>
      <c r="U79" s="102">
        <f>IF(R79&gt;0,S79*100/R79,0)</f>
        <v>0</v>
      </c>
    </row>
    <row r="80" spans="1:21" ht="18.75" hidden="1">
      <c r="A80" s="155"/>
      <c r="B80" s="50"/>
      <c r="C80" s="50"/>
      <c r="D80" s="50"/>
      <c r="E80" s="58" t="s">
        <v>21</v>
      </c>
      <c r="F80" s="50"/>
      <c r="G80" s="52"/>
      <c r="H80" s="165" t="s">
        <v>14</v>
      </c>
      <c r="I80" s="163"/>
      <c r="J80" s="163"/>
      <c r="K80" s="164"/>
      <c r="L80" s="256">
        <f ca="1">IFERROR(__xludf.DUMMYFUNCTION("IMPORTRANGE(""https://docs.google.com/spreadsheets/d/1-uDff_7J0KD5mKrp0Vvzr7lt3OU09vwQwhkpOPPYv2Y/edit?usp=sharing"",""งบพรบ!AP34"")"),0)</f>
        <v>0</v>
      </c>
      <c r="M80" s="255">
        <f ca="1">IFERROR(__xludf.DUMMYFUNCTION("IMPORTRANGE(""https://docs.google.com/spreadsheets/d/1-uDff_7J0KD5mKrp0Vvzr7lt3OU09vwQwhkpOPPYv2Y/edit?usp=sharing"",""งบพรบ!AS34"")"),0)</f>
        <v>0</v>
      </c>
      <c r="N80" s="255">
        <f ca="1">IFERROR(__xludf.DUMMYFUNCTION("IMPORTRANGE(""https://docs.google.com/spreadsheets/d/1-uDff_7J0KD5mKrp0Vvzr7lt3OU09vwQwhkpOPPYv2Y/edit?usp=sharing"",""งบพรบ!AU34"")"),0)</f>
        <v>0</v>
      </c>
      <c r="O80" s="255">
        <f ca="1">IF(L80&gt;0,N80*100/L80,0)</f>
        <v>0</v>
      </c>
      <c r="P80" s="255">
        <f ca="1">IF(M80&gt;0,N80*100/M80,0)</f>
        <v>0</v>
      </c>
      <c r="Q80" s="255">
        <v>0</v>
      </c>
      <c r="R80" s="255">
        <v>0</v>
      </c>
      <c r="S80" s="255">
        <v>0</v>
      </c>
      <c r="T80" s="255">
        <f>IF(Q80&gt;0,S80*100/Q80,0)</f>
        <v>0</v>
      </c>
      <c r="U80" s="255">
        <f>IF(R80&gt;0,S80*100/R80,0)</f>
        <v>0</v>
      </c>
    </row>
    <row r="81" spans="1:21" ht="19.5" hidden="1">
      <c r="A81" s="166"/>
      <c r="B81" s="167"/>
      <c r="C81" s="156" t="s">
        <v>18</v>
      </c>
      <c r="D81" s="566" t="s">
        <v>38</v>
      </c>
      <c r="E81" s="169"/>
      <c r="F81" s="169"/>
      <c r="G81" s="170"/>
      <c r="H81" s="171"/>
      <c r="I81" s="163"/>
      <c r="J81" s="163"/>
      <c r="K81" s="164"/>
      <c r="L81" s="172"/>
      <c r="M81" s="164"/>
      <c r="N81" s="164"/>
      <c r="O81" s="164"/>
      <c r="P81" s="164"/>
      <c r="Q81" s="164"/>
      <c r="R81" s="164"/>
      <c r="S81" s="164"/>
      <c r="T81" s="164"/>
      <c r="U81" s="164"/>
    </row>
    <row r="82" spans="1:21" ht="19.5" hidden="1">
      <c r="A82" s="166"/>
      <c r="B82" s="167"/>
      <c r="C82" s="167"/>
      <c r="D82" s="173" t="s">
        <v>39</v>
      </c>
      <c r="E82" s="174"/>
      <c r="F82" s="174"/>
      <c r="G82" s="171"/>
      <c r="H82" s="175" t="s">
        <v>34</v>
      </c>
      <c r="I82" s="373">
        <f ca="1">I84+I86+I88</f>
        <v>0</v>
      </c>
      <c r="J82" s="373">
        <f>J84+J86+J88</f>
        <v>0</v>
      </c>
      <c r="K82" s="642">
        <f ca="1">IF(I82&gt;0,J82*100/I82,0)</f>
        <v>0</v>
      </c>
      <c r="L82" s="172"/>
      <c r="M82" s="164"/>
      <c r="N82" s="164"/>
      <c r="O82" s="164"/>
      <c r="P82" s="164"/>
      <c r="Q82" s="164"/>
      <c r="R82" s="164"/>
      <c r="S82" s="164"/>
      <c r="T82" s="164"/>
      <c r="U82" s="164"/>
    </row>
    <row r="83" spans="1:21" ht="19.5" hidden="1">
      <c r="A83" s="166"/>
      <c r="B83" s="167"/>
      <c r="C83" s="167"/>
      <c r="D83" s="167"/>
      <c r="E83" s="174"/>
      <c r="F83" s="174"/>
      <c r="G83" s="171"/>
      <c r="H83" s="175" t="s">
        <v>35</v>
      </c>
      <c r="I83" s="373">
        <f ca="1">I85+I87+I89</f>
        <v>0</v>
      </c>
      <c r="J83" s="373">
        <f>J85+J87+J89</f>
        <v>0</v>
      </c>
      <c r="K83" s="642">
        <f ca="1">IF(I83&gt;0,J83*100/I83,0)</f>
        <v>0</v>
      </c>
      <c r="L83" s="172"/>
      <c r="M83" s="164"/>
      <c r="N83" s="164"/>
      <c r="O83" s="164"/>
      <c r="P83" s="164"/>
      <c r="Q83" s="164"/>
      <c r="R83" s="164"/>
      <c r="S83" s="164"/>
      <c r="T83" s="164"/>
      <c r="U83" s="164"/>
    </row>
    <row r="84" spans="1:21" ht="18.75" hidden="1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641">
        <f ca="1">IFERROR(__xludf.DUMMYFUNCTION("IMPORTRANGE(""https://docs.google.com/spreadsheets/d/1eHaY18a8A9IcSdp1K8H6x8fbOy06t2VsZHhMHf-1x7Y/edit?usp=sharing"",""แผน!H34"")"),0)</f>
        <v>0</v>
      </c>
      <c r="J84" s="467">
        <v>0</v>
      </c>
      <c r="K84" s="565">
        <f ca="1">IF(I84&gt;0,J84*100/I84,0)</f>
        <v>0</v>
      </c>
      <c r="L84" s="172"/>
      <c r="M84" s="164"/>
      <c r="N84" s="164"/>
      <c r="O84" s="164"/>
      <c r="P84" s="164"/>
      <c r="Q84" s="164"/>
      <c r="R84" s="164"/>
      <c r="S84" s="164"/>
      <c r="T84" s="164"/>
      <c r="U84" s="164"/>
    </row>
    <row r="85" spans="1:21" ht="18.75" hidden="1">
      <c r="A85" s="166"/>
      <c r="B85" s="167"/>
      <c r="C85" s="167"/>
      <c r="D85" s="167"/>
      <c r="E85" s="174"/>
      <c r="F85" s="174"/>
      <c r="G85" s="171"/>
      <c r="H85" s="179" t="s">
        <v>35</v>
      </c>
      <c r="I85" s="641">
        <f ca="1">IFERROR(__xludf.DUMMYFUNCTION("IMPORTRANGE(""https://docs.google.com/spreadsheets/d/1eHaY18a8A9IcSdp1K8H6x8fbOy06t2VsZHhMHf-1x7Y/edit?usp=sharing"",""แผน!I34"")"),0)</f>
        <v>0</v>
      </c>
      <c r="J85" s="467">
        <v>0</v>
      </c>
      <c r="K85" s="565">
        <f ca="1">IF(I85&gt;0,J85*100/I85,0)</f>
        <v>0</v>
      </c>
      <c r="L85" s="172"/>
      <c r="M85" s="164"/>
      <c r="N85" s="164"/>
      <c r="O85" s="164"/>
      <c r="P85" s="164"/>
      <c r="Q85" s="164"/>
      <c r="R85" s="164"/>
      <c r="S85" s="164"/>
      <c r="T85" s="164"/>
      <c r="U85" s="164"/>
    </row>
    <row r="86" spans="1:21" ht="18.75" hidden="1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641">
        <f ca="1">IFERROR(__xludf.DUMMYFUNCTION("IMPORTRANGE(""https://docs.google.com/spreadsheets/d/1eHaY18a8A9IcSdp1K8H6x8fbOy06t2VsZHhMHf-1x7Y/edit?usp=sharing"",""แผน!F34"")"),0)</f>
        <v>0</v>
      </c>
      <c r="J86" s="467">
        <v>0</v>
      </c>
      <c r="K86" s="565">
        <f ca="1">IF(I86&gt;0,J86*100/I86,0)</f>
        <v>0</v>
      </c>
      <c r="L86" s="172"/>
      <c r="M86" s="164"/>
      <c r="N86" s="164"/>
      <c r="O86" s="164"/>
      <c r="P86" s="164"/>
      <c r="Q86" s="164"/>
      <c r="R86" s="164"/>
      <c r="S86" s="164"/>
      <c r="T86" s="164"/>
      <c r="U86" s="164"/>
    </row>
    <row r="87" spans="1:21" ht="18.75" hidden="1">
      <c r="A87" s="166"/>
      <c r="B87" s="167"/>
      <c r="C87" s="167"/>
      <c r="D87" s="167"/>
      <c r="E87" s="174"/>
      <c r="F87" s="174"/>
      <c r="G87" s="171"/>
      <c r="H87" s="179" t="s">
        <v>35</v>
      </c>
      <c r="I87" s="641">
        <f ca="1">IFERROR(__xludf.DUMMYFUNCTION("IMPORTRANGE(""https://docs.google.com/spreadsheets/d/1eHaY18a8A9IcSdp1K8H6x8fbOy06t2VsZHhMHf-1x7Y/edit?usp=sharing"",""แผน!G34"")"),0)</f>
        <v>0</v>
      </c>
      <c r="J87" s="467">
        <v>0</v>
      </c>
      <c r="K87" s="565">
        <f ca="1">IF(I87&gt;0,J87*100/I87,0)</f>
        <v>0</v>
      </c>
      <c r="L87" s="172"/>
      <c r="M87" s="164"/>
      <c r="N87" s="164"/>
      <c r="O87" s="164"/>
      <c r="P87" s="164"/>
      <c r="Q87" s="164"/>
      <c r="R87" s="164"/>
      <c r="S87" s="164"/>
      <c r="T87" s="164"/>
      <c r="U87" s="164"/>
    </row>
    <row r="88" spans="1:21" ht="18.75" hidden="1">
      <c r="A88" s="166"/>
      <c r="B88" s="167"/>
      <c r="C88" s="167"/>
      <c r="D88" s="167"/>
      <c r="E88" s="178" t="s">
        <v>42</v>
      </c>
      <c r="F88" s="174"/>
      <c r="G88" s="171"/>
      <c r="H88" s="179" t="s">
        <v>34</v>
      </c>
      <c r="I88" s="641">
        <f ca="1">IFERROR(__xludf.DUMMYFUNCTION("IMPORTRANGE(""https://docs.google.com/spreadsheets/d/1eHaY18a8A9IcSdp1K8H6x8fbOy06t2VsZHhMHf-1x7Y/edit?usp=sharing"",""แผน!D34"")"),0)</f>
        <v>0</v>
      </c>
      <c r="J88" s="467">
        <v>0</v>
      </c>
      <c r="K88" s="565">
        <f ca="1">IF(I88&gt;0,J88*100/I88,0)</f>
        <v>0</v>
      </c>
      <c r="L88" s="172"/>
      <c r="M88" s="164"/>
      <c r="N88" s="164"/>
      <c r="O88" s="164"/>
      <c r="P88" s="164"/>
      <c r="Q88" s="164"/>
      <c r="R88" s="164"/>
      <c r="S88" s="164"/>
      <c r="T88" s="164"/>
      <c r="U88" s="164"/>
    </row>
    <row r="89" spans="1:21" ht="18.75" hidden="1">
      <c r="A89" s="166"/>
      <c r="B89" s="167"/>
      <c r="C89" s="167"/>
      <c r="D89" s="167"/>
      <c r="E89" s="174"/>
      <c r="F89" s="174"/>
      <c r="G89" s="171"/>
      <c r="H89" s="179" t="s">
        <v>35</v>
      </c>
      <c r="I89" s="641">
        <f ca="1">IFERROR(__xludf.DUMMYFUNCTION("IMPORTRANGE(""https://docs.google.com/spreadsheets/d/1eHaY18a8A9IcSdp1K8H6x8fbOy06t2VsZHhMHf-1x7Y/edit?usp=sharing"",""แผน!E34"")"),0)</f>
        <v>0</v>
      </c>
      <c r="J89" s="467">
        <v>0</v>
      </c>
      <c r="K89" s="565">
        <f ca="1">IF(I89&gt;0,J89*100/I89,0)</f>
        <v>0</v>
      </c>
      <c r="L89" s="172"/>
      <c r="M89" s="164"/>
      <c r="N89" s="164"/>
      <c r="O89" s="164"/>
      <c r="P89" s="164"/>
      <c r="Q89" s="164"/>
      <c r="R89" s="164"/>
      <c r="S89" s="164"/>
      <c r="T89" s="164"/>
      <c r="U89" s="164"/>
    </row>
    <row r="90" spans="1:21" ht="18.75" hidden="1">
      <c r="A90" s="166"/>
      <c r="B90" s="167"/>
      <c r="C90" s="167"/>
      <c r="D90" s="173" t="s">
        <v>43</v>
      </c>
      <c r="E90" s="174"/>
      <c r="F90" s="174"/>
      <c r="G90" s="171"/>
      <c r="H90" s="183" t="s">
        <v>34</v>
      </c>
      <c r="I90" s="641">
        <f ca="1">IFERROR(__xludf.DUMMYFUNCTION("IMPORTRANGE(""https://docs.google.com/spreadsheets/d/1eHaY18a8A9IcSdp1K8H6x8fbOy06t2VsZHhMHf-1x7Y/edit?usp=sharing"",""แผน!J34"")"),0)</f>
        <v>0</v>
      </c>
      <c r="J90" s="467">
        <v>0</v>
      </c>
      <c r="K90" s="565">
        <f ca="1">IF(I90&gt;0,J90*100/I90,0)</f>
        <v>0</v>
      </c>
      <c r="L90" s="172"/>
      <c r="M90" s="164"/>
      <c r="N90" s="164"/>
      <c r="O90" s="164"/>
      <c r="P90" s="164"/>
      <c r="Q90" s="164"/>
      <c r="R90" s="164"/>
      <c r="S90" s="164"/>
      <c r="T90" s="164"/>
      <c r="U90" s="164"/>
    </row>
    <row r="91" spans="1:21" ht="19.5" hidden="1">
      <c r="A91" s="143" t="s">
        <v>44</v>
      </c>
      <c r="B91" s="144"/>
      <c r="C91" s="145"/>
      <c r="D91" s="144"/>
      <c r="E91" s="144"/>
      <c r="F91" s="144"/>
      <c r="G91" s="146"/>
      <c r="H91" s="146"/>
      <c r="I91" s="147"/>
      <c r="J91" s="147"/>
      <c r="K91" s="148"/>
      <c r="L91" s="149"/>
      <c r="M91" s="148"/>
      <c r="N91" s="148"/>
      <c r="O91" s="148"/>
      <c r="P91" s="148"/>
      <c r="Q91" s="148"/>
      <c r="R91" s="148"/>
      <c r="S91" s="148"/>
      <c r="T91" s="148"/>
      <c r="U91" s="148"/>
    </row>
    <row r="92" spans="1:21" ht="19.5" hidden="1">
      <c r="A92" s="150"/>
      <c r="B92" s="35" t="s">
        <v>45</v>
      </c>
      <c r="C92" s="34"/>
      <c r="D92" s="151"/>
      <c r="E92" s="34"/>
      <c r="F92" s="34"/>
      <c r="G92" s="37"/>
      <c r="H92" s="152" t="s">
        <v>46</v>
      </c>
      <c r="I92" s="721">
        <f ca="1">I108</f>
        <v>0</v>
      </c>
      <c r="J92" s="721">
        <f>J108</f>
        <v>0</v>
      </c>
      <c r="K92" s="720">
        <f ca="1">IF(I92&gt;0,J92*100/I92,0)</f>
        <v>0</v>
      </c>
      <c r="L92" s="154"/>
      <c r="M92" s="40"/>
      <c r="N92" s="40"/>
      <c r="O92" s="40"/>
      <c r="P92" s="40"/>
      <c r="Q92" s="40"/>
      <c r="R92" s="40"/>
      <c r="S92" s="40"/>
      <c r="T92" s="40"/>
      <c r="U92" s="40"/>
    </row>
    <row r="93" spans="1:21" ht="19.5" hidden="1">
      <c r="A93" s="150"/>
      <c r="B93" s="34"/>
      <c r="C93" s="34"/>
      <c r="D93" s="151"/>
      <c r="E93" s="34"/>
      <c r="F93" s="34"/>
      <c r="G93" s="37"/>
      <c r="H93" s="152" t="s">
        <v>35</v>
      </c>
      <c r="I93" s="721">
        <f ca="1">I109</f>
        <v>0</v>
      </c>
      <c r="J93" s="721">
        <f>J109</f>
        <v>0</v>
      </c>
      <c r="K93" s="720">
        <f ca="1">IF(I93&gt;0,J93*100/I93,0)</f>
        <v>0</v>
      </c>
      <c r="L93" s="154"/>
      <c r="M93" s="40"/>
      <c r="N93" s="40"/>
      <c r="O93" s="40"/>
      <c r="P93" s="40"/>
      <c r="Q93" s="40"/>
      <c r="R93" s="40"/>
      <c r="S93" s="40"/>
      <c r="T93" s="40"/>
      <c r="U93" s="40"/>
    </row>
    <row r="94" spans="1:21" ht="19.5" hidden="1">
      <c r="A94" s="155"/>
      <c r="B94" s="50"/>
      <c r="C94" s="156" t="s">
        <v>18</v>
      </c>
      <c r="D94" s="575" t="s">
        <v>19</v>
      </c>
      <c r="E94" s="50"/>
      <c r="F94" s="50"/>
      <c r="G94" s="52"/>
      <c r="H94" s="158" t="s">
        <v>14</v>
      </c>
      <c r="I94" s="54"/>
      <c r="J94" s="54"/>
      <c r="K94" s="55"/>
      <c r="L94" s="541">
        <f ca="1">L95+L96</f>
        <v>0</v>
      </c>
      <c r="M94" s="540">
        <f ca="1">M95+M96</f>
        <v>0</v>
      </c>
      <c r="N94" s="540">
        <f ca="1">N95+N96</f>
        <v>0</v>
      </c>
      <c r="O94" s="540">
        <f ca="1">IF(L94&gt;0,N94*100/L94,0)</f>
        <v>0</v>
      </c>
      <c r="P94" s="540">
        <f ca="1">IF(M94&gt;0,N94*100/M94,0)</f>
        <v>0</v>
      </c>
      <c r="Q94" s="540">
        <f ca="1">Q95+Q96</f>
        <v>0</v>
      </c>
      <c r="R94" s="540">
        <f ca="1">R95+R96</f>
        <v>0</v>
      </c>
      <c r="S94" s="540">
        <f ca="1">S95+S96</f>
        <v>0</v>
      </c>
      <c r="T94" s="540">
        <f ca="1">IF(Q94&gt;0,S94*100/Q94,0)</f>
        <v>0</v>
      </c>
      <c r="U94" s="540">
        <f ca="1">IF(R94&gt;0,S94*100/R94,0)</f>
        <v>0</v>
      </c>
    </row>
    <row r="95" spans="1:21" ht="18.75" hidden="1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103">
        <f>L98+L101</f>
        <v>0</v>
      </c>
      <c r="M95" s="102">
        <f>M98+M101</f>
        <v>0</v>
      </c>
      <c r="N95" s="102">
        <f>N98+N101</f>
        <v>0</v>
      </c>
      <c r="O95" s="102">
        <f>IF(L95&gt;0,N95*100/L95,0)</f>
        <v>0</v>
      </c>
      <c r="P95" s="102">
        <f>IF(M95&gt;0,N95*100/M95,0)</f>
        <v>0</v>
      </c>
      <c r="Q95" s="102">
        <f>Q98+Q101</f>
        <v>0</v>
      </c>
      <c r="R95" s="102">
        <f>R98+R101</f>
        <v>0</v>
      </c>
      <c r="S95" s="102">
        <f>S98+S101</f>
        <v>0</v>
      </c>
      <c r="T95" s="102">
        <f>IF(Q95&gt;0,S95*100/Q95,0)</f>
        <v>0</v>
      </c>
      <c r="U95" s="102">
        <f>IF(R95&gt;0,S95*100/R95,0)</f>
        <v>0</v>
      </c>
    </row>
    <row r="96" spans="1:21" ht="18.75" hidden="1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256">
        <f ca="1">L99+L102</f>
        <v>0</v>
      </c>
      <c r="M96" s="255">
        <f ca="1">M99+M102</f>
        <v>0</v>
      </c>
      <c r="N96" s="255">
        <f ca="1">N99+N102</f>
        <v>0</v>
      </c>
      <c r="O96" s="255">
        <f ca="1">IF(L96&gt;0,N96*100/L96,0)</f>
        <v>0</v>
      </c>
      <c r="P96" s="255">
        <f ca="1">IF(M96&gt;0,N96*100/M96,0)</f>
        <v>0</v>
      </c>
      <c r="Q96" s="255">
        <f ca="1">Q99+Q102</f>
        <v>0</v>
      </c>
      <c r="R96" s="255">
        <f ca="1">R99+R102</f>
        <v>0</v>
      </c>
      <c r="S96" s="255">
        <f ca="1">S99+S102</f>
        <v>0</v>
      </c>
      <c r="T96" s="255">
        <f ca="1">IF(Q96&gt;0,S96*100/Q96,0)</f>
        <v>0</v>
      </c>
      <c r="U96" s="255">
        <f ca="1">IF(R96&gt;0,S96*100/R96,0)</f>
        <v>0</v>
      </c>
    </row>
    <row r="97" spans="1:21" ht="18.75" hidden="1">
      <c r="A97" s="155"/>
      <c r="B97" s="50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256">
        <f ca="1">L98+L99</f>
        <v>0</v>
      </c>
      <c r="M97" s="255">
        <f ca="1">M98+M99</f>
        <v>0</v>
      </c>
      <c r="N97" s="255">
        <f ca="1">N98+N99</f>
        <v>0</v>
      </c>
      <c r="O97" s="255">
        <f ca="1">IF(L97&gt;0,N97*100/L97,0)</f>
        <v>0</v>
      </c>
      <c r="P97" s="255">
        <f ca="1">IF(M97&gt;0,N97*100/M97,0)</f>
        <v>0</v>
      </c>
      <c r="Q97" s="255">
        <f ca="1">Q98+Q99</f>
        <v>0</v>
      </c>
      <c r="R97" s="255">
        <f ca="1">R98+R99</f>
        <v>0</v>
      </c>
      <c r="S97" s="255">
        <f ca="1">S98+S99</f>
        <v>0</v>
      </c>
      <c r="T97" s="255">
        <f ca="1">IF(Q97&gt;0,S97*100/Q97,0)</f>
        <v>0</v>
      </c>
      <c r="U97" s="255">
        <f ca="1">IF(R97&gt;0,S97*100/R97,0)</f>
        <v>0</v>
      </c>
    </row>
    <row r="98" spans="1:21" ht="18.75" hidden="1">
      <c r="A98" s="155"/>
      <c r="B98" s="50"/>
      <c r="C98" s="50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103">
        <v>0</v>
      </c>
      <c r="M98" s="102">
        <v>0</v>
      </c>
      <c r="N98" s="102">
        <v>0</v>
      </c>
      <c r="O98" s="102">
        <f>IF(L98&gt;0,N98*100/L98,0)</f>
        <v>0</v>
      </c>
      <c r="P98" s="102">
        <f>IF(M98&gt;0,N98*100/M98,0)</f>
        <v>0</v>
      </c>
      <c r="Q98" s="102">
        <v>0</v>
      </c>
      <c r="R98" s="102">
        <v>0</v>
      </c>
      <c r="S98" s="102">
        <v>0</v>
      </c>
      <c r="T98" s="102">
        <f>IF(Q98&gt;0,S98*100/Q98,0)</f>
        <v>0</v>
      </c>
      <c r="U98" s="102">
        <f>IF(R98&gt;0,S98*100/R98,0)</f>
        <v>0</v>
      </c>
    </row>
    <row r="99" spans="1:21" ht="18.75" hidden="1">
      <c r="A99" s="155"/>
      <c r="B99" s="50"/>
      <c r="C99" s="50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256">
        <f ca="1">IFERROR(__xludf.DUMMYFUNCTION("IMPORTRANGE(""https://docs.google.com/spreadsheets/d/1-uDff_7J0KD5mKrp0Vvzr7lt3OU09vwQwhkpOPPYv2Y/edit?usp=sharing"",""งบพรบ!AW34"")"),0)</f>
        <v>0</v>
      </c>
      <c r="M99" s="255">
        <f ca="1">IFERROR(__xludf.DUMMYFUNCTION("IMPORTRANGE(""https://docs.google.com/spreadsheets/d/1-uDff_7J0KD5mKrp0Vvzr7lt3OU09vwQwhkpOPPYv2Y/edit?usp=sharing"",""งบพรบ!BB34"")"),0)</f>
        <v>0</v>
      </c>
      <c r="N99" s="255">
        <f ca="1">IFERROR(__xludf.DUMMYFUNCTION("IMPORTRANGE(""https://docs.google.com/spreadsheets/d/1-uDff_7J0KD5mKrp0Vvzr7lt3OU09vwQwhkpOPPYv2Y/edit?usp=sharing"",""งบพรบ!BD34"")"),0)</f>
        <v>0</v>
      </c>
      <c r="O99" s="255">
        <f ca="1">IF(L99&gt;0,N99*100/L99,0)</f>
        <v>0</v>
      </c>
      <c r="P99" s="255">
        <f ca="1">IF(M99&gt;0,N99*100/M99,0)</f>
        <v>0</v>
      </c>
      <c r="Q99" s="255">
        <f ca="1">IFERROR(__xludf.DUMMYFUNCTION("IMPORTRANGE(""https://docs.google.com/spreadsheets/d/1ItG2mGa2ceCfYo0BwxsXqNm01IGEUdYcSSLTEv9YCik/edit?usp=sharing"",""เบิกจ่ายกองทุน!AD34"")"),0)</f>
        <v>0</v>
      </c>
      <c r="R99" s="255">
        <f ca="1">IFERROR(__xludf.DUMMYFUNCTION("IMPORTRANGE(""https://docs.google.com/spreadsheets/d/1ItG2mGa2ceCfYo0BwxsXqNm01IGEUdYcSSLTEv9YCik/edit?usp=sharing"",""เบิกจ่ายกองทุน!AE34"")"),0)</f>
        <v>0</v>
      </c>
      <c r="S99" s="255">
        <f ca="1">IFERROR(__xludf.DUMMYFUNCTION("IMPORTRANGE(""https://docs.google.com/spreadsheets/d/1ItG2mGa2ceCfYo0BwxsXqNm01IGEUdYcSSLTEv9YCik/edit?usp=sharing"",""เบิกจ่ายกองทุน!AF34"")"),0)</f>
        <v>0</v>
      </c>
      <c r="T99" s="255">
        <f ca="1">IF(Q99&gt;0,S99*100/Q99,0)</f>
        <v>0</v>
      </c>
      <c r="U99" s="255">
        <f ca="1">IF(R99&gt;0,S99*100/R99,0)</f>
        <v>0</v>
      </c>
    </row>
    <row r="100" spans="1:21" ht="18.75" hidden="1">
      <c r="A100" s="155"/>
      <c r="B100" s="50"/>
      <c r="C100" s="50"/>
      <c r="D100" s="51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256">
        <f ca="1">L101+L102</f>
        <v>0</v>
      </c>
      <c r="M100" s="255">
        <f ca="1">M101+M102</f>
        <v>0</v>
      </c>
      <c r="N100" s="255">
        <f ca="1">N101+N102</f>
        <v>0</v>
      </c>
      <c r="O100" s="255">
        <f ca="1">IF(L100&gt;0,N100*100/L100,0)</f>
        <v>0</v>
      </c>
      <c r="P100" s="255">
        <f ca="1">IF(M100&gt;0,N100*100/M100,0)</f>
        <v>0</v>
      </c>
      <c r="Q100" s="255">
        <f>Q101+Q102</f>
        <v>0</v>
      </c>
      <c r="R100" s="255">
        <f>R101+R102</f>
        <v>0</v>
      </c>
      <c r="S100" s="255">
        <f>S101+S102</f>
        <v>0</v>
      </c>
      <c r="T100" s="255">
        <f>IF(Q100&gt;0,S100*100/Q100,0)</f>
        <v>0</v>
      </c>
      <c r="U100" s="255">
        <f>IF(R100&gt;0,S100*100/R100,0)</f>
        <v>0</v>
      </c>
    </row>
    <row r="101" spans="1:21" ht="18.75" hidden="1">
      <c r="A101" s="155"/>
      <c r="B101" s="50"/>
      <c r="C101" s="50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103">
        <v>0</v>
      </c>
      <c r="M101" s="102">
        <v>0</v>
      </c>
      <c r="N101" s="102">
        <v>0</v>
      </c>
      <c r="O101" s="102">
        <f>IF(L101&gt;0,N101*100/L101,0)</f>
        <v>0</v>
      </c>
      <c r="P101" s="102">
        <f>IF(M101&gt;0,N101*100/M101,0)</f>
        <v>0</v>
      </c>
      <c r="Q101" s="102">
        <v>0</v>
      </c>
      <c r="R101" s="102">
        <v>0</v>
      </c>
      <c r="S101" s="102">
        <v>0</v>
      </c>
      <c r="T101" s="102">
        <f>IF(Q101&gt;0,S101*100/Q101,0)</f>
        <v>0</v>
      </c>
      <c r="U101" s="102">
        <f>IF(R101&gt;0,S101*100/R101,0)</f>
        <v>0</v>
      </c>
    </row>
    <row r="102" spans="1:21" ht="18.75" hidden="1">
      <c r="A102" s="155"/>
      <c r="B102" s="50"/>
      <c r="C102" s="50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256">
        <f ca="1">IFERROR(__xludf.DUMMYFUNCTION("IMPORTRANGE(""https://docs.google.com/spreadsheets/d/1-uDff_7J0KD5mKrp0Vvzr7lt3OU09vwQwhkpOPPYv2Y/edit?usp=sharing"",""งบพรบ!AZ34"")"),0)</f>
        <v>0</v>
      </c>
      <c r="M102" s="255">
        <f ca="1">IFERROR(__xludf.DUMMYFUNCTION("IMPORTRANGE(""https://docs.google.com/spreadsheets/d/1-uDff_7J0KD5mKrp0Vvzr7lt3OU09vwQwhkpOPPYv2Y/edit?usp=sharing"",""งบพรบ!BC34"")"),0)</f>
        <v>0</v>
      </c>
      <c r="N102" s="255">
        <f ca="1">IFERROR(__xludf.DUMMYFUNCTION("IMPORTRANGE(""https://docs.google.com/spreadsheets/d/1-uDff_7J0KD5mKrp0Vvzr7lt3OU09vwQwhkpOPPYv2Y/edit?usp=sharing"",""งบพรบ!BE34"")"),0)</f>
        <v>0</v>
      </c>
      <c r="O102" s="255">
        <f ca="1">IF(L102&gt;0,N102*100/L102,0)</f>
        <v>0</v>
      </c>
      <c r="P102" s="255">
        <f ca="1">IF(M102&gt;0,N102*100/M102,0)</f>
        <v>0</v>
      </c>
      <c r="Q102" s="255">
        <v>0</v>
      </c>
      <c r="R102" s="255">
        <v>0</v>
      </c>
      <c r="S102" s="255">
        <v>0</v>
      </c>
      <c r="T102" s="255">
        <f>IF(Q102&gt;0,S102*100/Q102,0)</f>
        <v>0</v>
      </c>
      <c r="U102" s="255">
        <f>IF(R102&gt;0,S102*100/R102,0)</f>
        <v>0</v>
      </c>
    </row>
    <row r="103" spans="1:21" ht="19.5" hidden="1">
      <c r="A103" s="166"/>
      <c r="B103" s="167"/>
      <c r="C103" s="156" t="s">
        <v>18</v>
      </c>
      <c r="D103" s="566" t="s">
        <v>38</v>
      </c>
      <c r="E103" s="169"/>
      <c r="F103" s="169"/>
      <c r="G103" s="170"/>
      <c r="H103" s="171"/>
      <c r="I103" s="163"/>
      <c r="J103" s="54"/>
      <c r="K103" s="55"/>
      <c r="L103" s="62"/>
      <c r="M103" s="55"/>
      <c r="N103" s="55"/>
      <c r="O103" s="164"/>
      <c r="P103" s="164"/>
      <c r="Q103" s="55"/>
      <c r="R103" s="55"/>
      <c r="S103" s="55"/>
      <c r="T103" s="164"/>
      <c r="U103" s="164"/>
    </row>
    <row r="104" spans="1:21" ht="12.75" hidden="1">
      <c r="A104" s="192"/>
      <c r="B104" s="193"/>
      <c r="C104" s="193"/>
      <c r="D104" s="22"/>
      <c r="E104" s="22"/>
      <c r="F104" s="22"/>
      <c r="G104" s="23"/>
      <c r="H104" s="23"/>
      <c r="I104" s="24"/>
      <c r="J104" s="24"/>
      <c r="K104" s="25"/>
      <c r="L104" s="26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2.75" hidden="1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6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2.75" hidden="1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9.5" hidden="1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62"/>
      <c r="M107" s="55"/>
      <c r="N107" s="55"/>
      <c r="O107" s="164"/>
      <c r="P107" s="164"/>
      <c r="Q107" s="55"/>
      <c r="R107" s="55"/>
      <c r="S107" s="55"/>
      <c r="T107" s="164"/>
      <c r="U107" s="164"/>
    </row>
    <row r="108" spans="1:21" ht="18.75" hidden="1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212">
        <f ca="1">IFERROR(__xludf.DUMMYFUNCTION("IMPORTRANGE(""https://docs.google.com/spreadsheets/d/1eHaY18a8A9IcSdp1K8H6x8fbOy06t2VsZHhMHf-1x7Y/edit?usp=sharing"",""แผน!N34"")"),0)</f>
        <v>0</v>
      </c>
      <c r="J108" s="467">
        <v>0</v>
      </c>
      <c r="K108" s="255">
        <f ca="1">IF(I108&gt;0,J108*100/I108,0)</f>
        <v>0</v>
      </c>
      <c r="L108" s="62"/>
      <c r="M108" s="55"/>
      <c r="N108" s="55"/>
      <c r="O108" s="164"/>
      <c r="P108" s="164"/>
      <c r="Q108" s="55"/>
      <c r="R108" s="55"/>
      <c r="S108" s="55"/>
      <c r="T108" s="164"/>
      <c r="U108" s="164"/>
    </row>
    <row r="109" spans="1:21" ht="18.75" hidden="1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212">
        <f ca="1">IFERROR(__xludf.DUMMYFUNCTION("IMPORTRANGE(""https://docs.google.com/spreadsheets/d/1eHaY18a8A9IcSdp1K8H6x8fbOy06t2VsZHhMHf-1x7Y/edit?usp=sharing"",""แผน!O34"")"),0)</f>
        <v>0</v>
      </c>
      <c r="J109" s="467">
        <v>0</v>
      </c>
      <c r="K109" s="255">
        <f ca="1">IF(I109&gt;0,J109*100/I109,0)</f>
        <v>0</v>
      </c>
      <c r="L109" s="62"/>
      <c r="M109" s="55"/>
      <c r="N109" s="55"/>
      <c r="O109" s="164"/>
      <c r="P109" s="164"/>
      <c r="Q109" s="55"/>
      <c r="R109" s="55"/>
      <c r="S109" s="55"/>
      <c r="T109" s="164"/>
      <c r="U109" s="164"/>
    </row>
    <row r="110" spans="1:21" ht="12.75" hidden="1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6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2.75" hidden="1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6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2.75" hidden="1">
      <c r="A112" s="192"/>
      <c r="B112" s="193"/>
      <c r="C112" s="193"/>
      <c r="D112" s="22"/>
      <c r="E112" s="22"/>
      <c r="F112" s="22"/>
      <c r="G112" s="23"/>
      <c r="H112" s="23"/>
      <c r="I112" s="24"/>
      <c r="J112" s="24"/>
      <c r="K112" s="25"/>
      <c r="L112" s="26"/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2.75" hidden="1">
      <c r="A113" s="192"/>
      <c r="B113" s="193"/>
      <c r="C113" s="193"/>
      <c r="D113" s="22"/>
      <c r="E113" s="22"/>
      <c r="F113" s="22"/>
      <c r="G113" s="23"/>
      <c r="H113" s="23"/>
      <c r="I113" s="24">
        <v>0</v>
      </c>
      <c r="J113" s="24">
        <v>0</v>
      </c>
      <c r="K113" s="25"/>
      <c r="L113" s="26"/>
      <c r="M113" s="25"/>
      <c r="N113" s="25"/>
      <c r="O113" s="25"/>
      <c r="P113" s="25"/>
      <c r="Q113" s="25"/>
      <c r="R113" s="25"/>
      <c r="S113" s="25"/>
      <c r="T113" s="25"/>
      <c r="U113" s="25"/>
    </row>
    <row r="114" spans="1:21" ht="18.75" hidden="1">
      <c r="A114" s="166"/>
      <c r="B114" s="167"/>
      <c r="C114" s="167"/>
      <c r="D114" s="178" t="s">
        <v>50</v>
      </c>
      <c r="E114" s="174"/>
      <c r="F114" s="174"/>
      <c r="G114" s="171"/>
      <c r="H114" s="179" t="s">
        <v>35</v>
      </c>
      <c r="I114" s="641">
        <f ca="1">IFERROR(__xludf.DUMMYFUNCTION("IMPORTRANGE(""https://docs.google.com/spreadsheets/d/1eHaY18a8A9IcSdp1K8H6x8fbOy06t2VsZHhMHf-1x7Y/edit?usp=sharing"",""แผน!R34"")"),0)</f>
        <v>0</v>
      </c>
      <c r="J114" s="467">
        <v>0</v>
      </c>
      <c r="K114" s="255">
        <f ca="1">IF(I114&gt;0,J114*100/I114,0)</f>
        <v>0</v>
      </c>
      <c r="L114" s="62"/>
      <c r="M114" s="55"/>
      <c r="N114" s="55"/>
      <c r="O114" s="164"/>
      <c r="P114" s="164"/>
      <c r="Q114" s="55"/>
      <c r="R114" s="55"/>
      <c r="S114" s="55"/>
      <c r="T114" s="164"/>
      <c r="U114" s="164"/>
    </row>
    <row r="115" spans="1:21" ht="19.5">
      <c r="A115" s="727" t="s">
        <v>51</v>
      </c>
      <c r="B115" s="724"/>
      <c r="C115" s="726"/>
      <c r="D115" s="725"/>
      <c r="E115" s="725"/>
      <c r="F115" s="725"/>
      <c r="G115" s="725"/>
      <c r="H115" s="724"/>
      <c r="I115" s="723"/>
      <c r="J115" s="723"/>
      <c r="K115" s="722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721">
        <f ca="1">I127</f>
        <v>15</v>
      </c>
      <c r="J116" s="721">
        <f>J127</f>
        <v>15</v>
      </c>
      <c r="K116" s="720">
        <f ca="1">IF(I116&gt;0,J116*100/I116,0)</f>
        <v>100</v>
      </c>
      <c r="L116" s="154"/>
      <c r="M116" s="40"/>
      <c r="N116" s="40"/>
      <c r="O116" s="40"/>
      <c r="P116" s="40"/>
      <c r="Q116" s="40"/>
      <c r="R116" s="40"/>
      <c r="S116" s="40"/>
      <c r="T116" s="40"/>
      <c r="U116" s="40"/>
    </row>
    <row r="117" spans="1:21" ht="19.5">
      <c r="A117" s="155"/>
      <c r="B117" s="188"/>
      <c r="C117" s="191" t="s">
        <v>18</v>
      </c>
      <c r="D117" s="575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541">
        <f ca="1">L118+L119</f>
        <v>0</v>
      </c>
      <c r="M117" s="540">
        <f ca="1">M118+M119</f>
        <v>0</v>
      </c>
      <c r="N117" s="540">
        <f ca="1">N118+N119</f>
        <v>0</v>
      </c>
      <c r="O117" s="540">
        <f ca="1">IF(L117&gt;0,N117*100/L117,0)</f>
        <v>0</v>
      </c>
      <c r="P117" s="540">
        <f ca="1">IF(M117&gt;0,N117*100/M117,0)</f>
        <v>0</v>
      </c>
      <c r="Q117" s="540">
        <f ca="1">Q118+Q119</f>
        <v>191460</v>
      </c>
      <c r="R117" s="540">
        <f ca="1">R118+R119</f>
        <v>191460</v>
      </c>
      <c r="S117" s="540">
        <f ca="1">S118+S119</f>
        <v>71485</v>
      </c>
      <c r="T117" s="540">
        <f ca="1">IF(Q117&gt;0,S117*100/Q117,0)</f>
        <v>37.336780528569939</v>
      </c>
      <c r="U117" s="540">
        <f ca="1">IF(R117&gt;0,S117*100/R117,0)</f>
        <v>37.336780528569939</v>
      </c>
    </row>
    <row r="118" spans="1:21" ht="18.75" hidden="1">
      <c r="A118" s="155"/>
      <c r="B118" s="188"/>
      <c r="C118" s="188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103">
        <f>L121+L124</f>
        <v>0</v>
      </c>
      <c r="M118" s="102">
        <f>M121+M124</f>
        <v>0</v>
      </c>
      <c r="N118" s="102">
        <f>N121+N124</f>
        <v>0</v>
      </c>
      <c r="O118" s="102">
        <f>IF(L118&gt;0,N118*100/L118,0)</f>
        <v>0</v>
      </c>
      <c r="P118" s="102">
        <f>IF(M118&gt;0,N118*100/M118,0)</f>
        <v>0</v>
      </c>
      <c r="Q118" s="102">
        <f>Q121+Q124</f>
        <v>0</v>
      </c>
      <c r="R118" s="102">
        <f>R121+R124</f>
        <v>0</v>
      </c>
      <c r="S118" s="102">
        <f>S121+S124</f>
        <v>0</v>
      </c>
      <c r="T118" s="102">
        <f>IF(Q118&gt;0,S118*100/Q118,0)</f>
        <v>0</v>
      </c>
      <c r="U118" s="102">
        <f>IF(R118&gt;0,S118*100/R118,0)</f>
        <v>0</v>
      </c>
    </row>
    <row r="119" spans="1:21" ht="18.75" hidden="1">
      <c r="A119" s="155"/>
      <c r="B119" s="188"/>
      <c r="C119" s="188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256">
        <f ca="1">L122+L125</f>
        <v>0</v>
      </c>
      <c r="M119" s="255">
        <f ca="1">M122+M125</f>
        <v>0</v>
      </c>
      <c r="N119" s="255">
        <f ca="1">N122+N125</f>
        <v>0</v>
      </c>
      <c r="O119" s="255">
        <f ca="1">IF(L119&gt;0,N119*100/L119,0)</f>
        <v>0</v>
      </c>
      <c r="P119" s="255">
        <f ca="1">IF(M119&gt;0,N119*100/M119,0)</f>
        <v>0</v>
      </c>
      <c r="Q119" s="255">
        <f ca="1">Q122+Q125</f>
        <v>191460</v>
      </c>
      <c r="R119" s="255">
        <f ca="1">R122+R125</f>
        <v>191460</v>
      </c>
      <c r="S119" s="255">
        <f ca="1">S122+S125</f>
        <v>71485</v>
      </c>
      <c r="T119" s="255">
        <f ca="1">IF(Q119&gt;0,S119*100/Q119,0)</f>
        <v>37.336780528569939</v>
      </c>
      <c r="U119" s="255">
        <f ca="1">IF(R119&gt;0,S119*100/R119,0)</f>
        <v>37.336780528569939</v>
      </c>
    </row>
    <row r="120" spans="1:21" ht="18.75">
      <c r="A120" s="155"/>
      <c r="B120" s="188"/>
      <c r="C120" s="202"/>
      <c r="D120" s="602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256">
        <f ca="1">L121+L122</f>
        <v>0</v>
      </c>
      <c r="M120" s="255">
        <f ca="1">M121+M122</f>
        <v>0</v>
      </c>
      <c r="N120" s="255">
        <f ca="1">N121+N122</f>
        <v>0</v>
      </c>
      <c r="O120" s="255">
        <f ca="1">IF(L120&gt;0,N120*100/L120,0)</f>
        <v>0</v>
      </c>
      <c r="P120" s="255">
        <f ca="1">IF(M120&gt;0,N120*100/M120,0)</f>
        <v>0</v>
      </c>
      <c r="Q120" s="255">
        <f ca="1">Q121+Q122</f>
        <v>191460</v>
      </c>
      <c r="R120" s="255">
        <f ca="1">R121+R122</f>
        <v>191460</v>
      </c>
      <c r="S120" s="255">
        <f ca="1">S121+S122</f>
        <v>71485</v>
      </c>
      <c r="T120" s="255">
        <f ca="1">IF(Q120&gt;0,S120*100/Q120,0)</f>
        <v>37.336780528569939</v>
      </c>
      <c r="U120" s="255">
        <f ca="1">IF(R120&gt;0,S120*100/R120,0)</f>
        <v>37.336780528569939</v>
      </c>
    </row>
    <row r="121" spans="1:21" ht="18.75" hidden="1">
      <c r="A121" s="155"/>
      <c r="B121" s="188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103">
        <v>0</v>
      </c>
      <c r="M121" s="102">
        <v>0</v>
      </c>
      <c r="N121" s="102">
        <v>0</v>
      </c>
      <c r="O121" s="102">
        <f>IF(L121&gt;0,N121*100/L121,0)</f>
        <v>0</v>
      </c>
      <c r="P121" s="102">
        <f>IF(M121&gt;0,N121*100/M121,0)</f>
        <v>0</v>
      </c>
      <c r="Q121" s="102">
        <v>0</v>
      </c>
      <c r="R121" s="102">
        <v>0</v>
      </c>
      <c r="S121" s="102">
        <v>0</v>
      </c>
      <c r="T121" s="102">
        <f>IF(Q121&gt;0,S121*100/Q121,0)</f>
        <v>0</v>
      </c>
      <c r="U121" s="102">
        <f>IF(R121&gt;0,S121*100/R121,0)</f>
        <v>0</v>
      </c>
    </row>
    <row r="122" spans="1:21" ht="18.75" hidden="1">
      <c r="A122" s="155"/>
      <c r="B122" s="188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256">
        <f ca="1">IFERROR(__xludf.DUMMYFUNCTION("IMPORTRANGE(""https://docs.google.com/spreadsheets/d/1-uDff_7J0KD5mKrp0Vvzr7lt3OU09vwQwhkpOPPYv2Y/edit?usp=sharing"",""งบพรบ!BG34"")"),0)</f>
        <v>0</v>
      </c>
      <c r="M122" s="255">
        <f ca="1">IFERROR(__xludf.DUMMYFUNCTION("IMPORTRANGE(""https://docs.google.com/spreadsheets/d/1-uDff_7J0KD5mKrp0Vvzr7lt3OU09vwQwhkpOPPYv2Y/edit?usp=sharing"",""งบพรบ!BL34"")"),0)</f>
        <v>0</v>
      </c>
      <c r="N122" s="255">
        <f ca="1">IFERROR(__xludf.DUMMYFUNCTION("IMPORTRANGE(""https://docs.google.com/spreadsheets/d/1-uDff_7J0KD5mKrp0Vvzr7lt3OU09vwQwhkpOPPYv2Y/edit?usp=sharing"",""งบพรบ!BN34"")"),0)</f>
        <v>0</v>
      </c>
      <c r="O122" s="255">
        <f ca="1">IF(L122&gt;0,N122*100/L122,0)</f>
        <v>0</v>
      </c>
      <c r="P122" s="255">
        <f ca="1">IF(M122&gt;0,N122*100/M122,0)</f>
        <v>0</v>
      </c>
      <c r="Q122" s="255">
        <f ca="1">IFERROR(__xludf.DUMMYFUNCTION("IMPORTRANGE(""https://docs.google.com/spreadsheets/d/1ItG2mGa2ceCfYo0BwxsXqNm01IGEUdYcSSLTEv9YCik/edit?usp=sharing"",""เบิกจ่ายกองทุน!R34"")"),191460)</f>
        <v>191460</v>
      </c>
      <c r="R122" s="255">
        <f ca="1">IFERROR(__xludf.DUMMYFUNCTION("IMPORTRANGE(""https://docs.google.com/spreadsheets/d/1ItG2mGa2ceCfYo0BwxsXqNm01IGEUdYcSSLTEv9YCik/edit?usp=sharing"",""เบิกจ่ายกองทุน!S34"")"),191460)</f>
        <v>191460</v>
      </c>
      <c r="S122" s="255">
        <f ca="1">IFERROR(__xludf.DUMMYFUNCTION("IMPORTRANGE(""https://docs.google.com/spreadsheets/d/1ItG2mGa2ceCfYo0BwxsXqNm01IGEUdYcSSLTEv9YCik/edit?usp=sharing"",""เบิกจ่ายกองทุน!T34"")"),71485)</f>
        <v>71485</v>
      </c>
      <c r="T122" s="255">
        <f ca="1">IF(Q122&gt;0,S122*100/Q122,0)</f>
        <v>37.336780528569939</v>
      </c>
      <c r="U122" s="255">
        <f ca="1">IF(R122&gt;0,S122*100/R122,0)</f>
        <v>37.336780528569939</v>
      </c>
    </row>
    <row r="123" spans="1:21" ht="18.75">
      <c r="A123" s="155"/>
      <c r="B123" s="50"/>
      <c r="C123" s="202"/>
      <c r="D123" s="602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256">
        <f ca="1">L124+L125</f>
        <v>0</v>
      </c>
      <c r="M123" s="255">
        <f ca="1">M124+M125</f>
        <v>0</v>
      </c>
      <c r="N123" s="255">
        <f ca="1">N124+N125</f>
        <v>0</v>
      </c>
      <c r="O123" s="255">
        <f ca="1">IF(L123&gt;0,N123*100/L123,0)</f>
        <v>0</v>
      </c>
      <c r="P123" s="255">
        <f ca="1">IF(M123&gt;0,N123*100/M123,0)</f>
        <v>0</v>
      </c>
      <c r="Q123" s="255">
        <f>Q124+Q125</f>
        <v>0</v>
      </c>
      <c r="R123" s="255">
        <f>R124+R125</f>
        <v>0</v>
      </c>
      <c r="S123" s="255">
        <f>S124+S125</f>
        <v>0</v>
      </c>
      <c r="T123" s="255">
        <f>IF(Q123&gt;0,S123*100/Q123,0)</f>
        <v>0</v>
      </c>
      <c r="U123" s="255">
        <f>IF(R123&gt;0,S123*100/R123,0)</f>
        <v>0</v>
      </c>
    </row>
    <row r="124" spans="1:21" ht="18.75" hidden="1">
      <c r="A124" s="155"/>
      <c r="B124" s="50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103">
        <v>0</v>
      </c>
      <c r="M124" s="102">
        <v>0</v>
      </c>
      <c r="N124" s="102">
        <v>0</v>
      </c>
      <c r="O124" s="102">
        <f>IF(L124&gt;0,N124*100/L124,0)</f>
        <v>0</v>
      </c>
      <c r="P124" s="102">
        <f>IF(M124&gt;0,N124*100/M124,0)</f>
        <v>0</v>
      </c>
      <c r="Q124" s="102">
        <v>0</v>
      </c>
      <c r="R124" s="102">
        <v>0</v>
      </c>
      <c r="S124" s="102">
        <v>0</v>
      </c>
      <c r="T124" s="102">
        <f>IF(Q124&gt;0,S124*100/Q124,0)</f>
        <v>0</v>
      </c>
      <c r="U124" s="102">
        <f>IF(R124&gt;0,S124*100/R124,0)</f>
        <v>0</v>
      </c>
    </row>
    <row r="125" spans="1:21" ht="18.75" hidden="1">
      <c r="A125" s="155"/>
      <c r="B125" s="50"/>
      <c r="C125" s="50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256">
        <f ca="1">IFERROR(__xludf.DUMMYFUNCTION("IMPORTRANGE(""https://docs.google.com/spreadsheets/d/1-uDff_7J0KD5mKrp0Vvzr7lt3OU09vwQwhkpOPPYv2Y/edit?usp=sharing"",""งบพรบ!BJ34"")"),0)</f>
        <v>0</v>
      </c>
      <c r="M125" s="255">
        <f ca="1">IFERROR(__xludf.DUMMYFUNCTION("IMPORTRANGE(""https://docs.google.com/spreadsheets/d/1-uDff_7J0KD5mKrp0Vvzr7lt3OU09vwQwhkpOPPYv2Y/edit?usp=sharing"",""งบพรบ!BM34"")"),0)</f>
        <v>0</v>
      </c>
      <c r="N125" s="255">
        <f ca="1">IFERROR(__xludf.DUMMYFUNCTION("IMPORTRANGE(""https://docs.google.com/spreadsheets/d/1-uDff_7J0KD5mKrp0Vvzr7lt3OU09vwQwhkpOPPYv2Y/edit?usp=sharing"",""งบพรบ!BO34"")"),0)</f>
        <v>0</v>
      </c>
      <c r="O125" s="255">
        <f ca="1">IF(L125&gt;0,N125*100/L125,0)</f>
        <v>0</v>
      </c>
      <c r="P125" s="255">
        <f ca="1">IF(M125&gt;0,N125*100/M125,0)</f>
        <v>0</v>
      </c>
      <c r="Q125" s="255">
        <v>0</v>
      </c>
      <c r="R125" s="255">
        <v>0</v>
      </c>
      <c r="S125" s="255">
        <v>0</v>
      </c>
      <c r="T125" s="255">
        <f>IF(Q125&gt;0,S125*100/Q125,0)</f>
        <v>0</v>
      </c>
      <c r="U125" s="255">
        <f>IF(R125&gt;0,S125*100/R125,0)</f>
        <v>0</v>
      </c>
    </row>
    <row r="126" spans="1:21" ht="19.5">
      <c r="A126" s="166"/>
      <c r="B126" s="167"/>
      <c r="C126" s="205" t="s">
        <v>18</v>
      </c>
      <c r="D126" s="566" t="s">
        <v>38</v>
      </c>
      <c r="E126" s="169"/>
      <c r="F126" s="169"/>
      <c r="G126" s="170"/>
      <c r="H126" s="206"/>
      <c r="I126" s="54"/>
      <c r="J126" s="54"/>
      <c r="K126" s="55"/>
      <c r="L126" s="62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212">
        <f ca="1">IFERROR(__xludf.DUMMYFUNCTION("IMPORTRANGE(""https://docs.google.com/spreadsheets/d/1eHaY18a8A9IcSdp1K8H6x8fbOy06t2VsZHhMHf-1x7Y/edit?usp=sharing"",""แผน!FF34"")"),15)</f>
        <v>15</v>
      </c>
      <c r="J127" s="467">
        <v>15</v>
      </c>
      <c r="K127" s="255">
        <f ca="1">IF(I127&gt;0,J127*100/I127,0)</f>
        <v>100</v>
      </c>
      <c r="L127" s="62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212">
        <f ca="1">IFERROR(__xludf.DUMMYFUNCTION("IMPORTRANGE(""https://docs.google.com/spreadsheets/d/1eHaY18a8A9IcSdp1K8H6x8fbOy06t2VsZHhMHf-1x7Y/edit?usp=sharing"",""แผน!FG34"")"),0)</f>
        <v>0</v>
      </c>
      <c r="J128" s="467">
        <v>0</v>
      </c>
      <c r="K128" s="255">
        <f ca="1">IF(I128&gt;0,J128*100/I128,0)</f>
        <v>0</v>
      </c>
      <c r="L128" s="62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212">
        <f ca="1">IFERROR(__xludf.DUMMYFUNCTION("IMPORTRANGE(""https://docs.google.com/spreadsheets/d/1eHaY18a8A9IcSdp1K8H6x8fbOy06t2VsZHhMHf-1x7Y/edit?usp=sharing"",""แผน!FH34"")"),15)</f>
        <v>15</v>
      </c>
      <c r="J129" s="467">
        <v>0</v>
      </c>
      <c r="K129" s="255">
        <f ca="1">IF(I129&gt;0,J129*100/I129,0)</f>
        <v>0</v>
      </c>
      <c r="L129" s="62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212">
        <f ca="1">IFERROR(__xludf.DUMMYFUNCTION("IMPORTRANGE(""https://docs.google.com/spreadsheets/d/1eHaY18a8A9IcSdp1K8H6x8fbOy06t2VsZHhMHf-1x7Y/edit?usp=sharing"",""แผน!FI34"")"),0)</f>
        <v>0</v>
      </c>
      <c r="J130" s="467">
        <v>0</v>
      </c>
      <c r="K130" s="255">
        <f ca="1">IF(I130&gt;0,J130*100/I130,0)</f>
        <v>0</v>
      </c>
      <c r="L130" s="62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8.75" hidden="1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62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8.75" hidden="1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62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2.75" hidden="1">
      <c r="A133" s="192"/>
      <c r="B133" s="193"/>
      <c r="C133" s="193"/>
      <c r="D133" s="22"/>
      <c r="E133" s="22"/>
      <c r="F133" s="22"/>
      <c r="G133" s="23"/>
      <c r="H133" s="209"/>
      <c r="I133" s="24"/>
      <c r="J133" s="24"/>
      <c r="K133" s="25"/>
      <c r="L133" s="26"/>
      <c r="M133" s="25"/>
      <c r="N133" s="25"/>
      <c r="O133" s="25"/>
      <c r="P133" s="25"/>
      <c r="Q133" s="25"/>
      <c r="R133" s="25"/>
      <c r="S133" s="25"/>
      <c r="T133" s="25"/>
      <c r="U133" s="25"/>
    </row>
    <row r="134" spans="1:21" ht="19.5" hidden="1">
      <c r="A134" s="143" t="s">
        <v>58</v>
      </c>
      <c r="B134" s="144"/>
      <c r="C134" s="196"/>
      <c r="D134" s="144"/>
      <c r="E134" s="144"/>
      <c r="F134" s="144"/>
      <c r="G134" s="144"/>
      <c r="H134" s="144"/>
      <c r="I134" s="197"/>
      <c r="J134" s="197"/>
      <c r="K134" s="19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</row>
    <row r="135" spans="1:21" ht="19.5" hidden="1">
      <c r="A135" s="150"/>
      <c r="B135" s="35" t="s">
        <v>59</v>
      </c>
      <c r="C135" s="200"/>
      <c r="D135" s="151"/>
      <c r="E135" s="34"/>
      <c r="F135" s="34"/>
      <c r="G135" s="34"/>
      <c r="H135" s="34"/>
      <c r="I135" s="210"/>
      <c r="J135" s="39"/>
      <c r="K135" s="40"/>
      <c r="L135" s="154"/>
      <c r="M135" s="40"/>
      <c r="N135" s="40"/>
      <c r="O135" s="40"/>
      <c r="P135" s="40"/>
      <c r="Q135" s="40"/>
      <c r="R135" s="40"/>
      <c r="S135" s="40"/>
      <c r="T135" s="40"/>
      <c r="U135" s="40"/>
    </row>
    <row r="136" spans="1:21" ht="19.5" hidden="1">
      <c r="A136" s="150"/>
      <c r="B136" s="34"/>
      <c r="C136" s="211" t="s">
        <v>60</v>
      </c>
      <c r="D136" s="151"/>
      <c r="E136" s="34"/>
      <c r="F136" s="34"/>
      <c r="G136" s="37"/>
      <c r="H136" s="152" t="s">
        <v>61</v>
      </c>
      <c r="I136" s="721">
        <f ca="1">I154</f>
        <v>0</v>
      </c>
      <c r="J136" s="721">
        <f>J154</f>
        <v>0</v>
      </c>
      <c r="K136" s="720">
        <f ca="1">IF(I136&gt;0,J136*100/I136,0)</f>
        <v>0</v>
      </c>
      <c r="L136" s="154"/>
      <c r="M136" s="40"/>
      <c r="N136" s="40"/>
      <c r="O136" s="40"/>
      <c r="P136" s="40"/>
      <c r="Q136" s="40"/>
      <c r="R136" s="40"/>
      <c r="S136" s="40"/>
      <c r="T136" s="40"/>
      <c r="U136" s="40"/>
    </row>
    <row r="137" spans="1:21" ht="19.5" hidden="1">
      <c r="A137" s="150"/>
      <c r="B137" s="34"/>
      <c r="C137" s="211" t="s">
        <v>62</v>
      </c>
      <c r="D137" s="151"/>
      <c r="E137" s="34"/>
      <c r="F137" s="34"/>
      <c r="G137" s="37"/>
      <c r="H137" s="152" t="s">
        <v>35</v>
      </c>
      <c r="I137" s="721">
        <f ca="1">I152</f>
        <v>0</v>
      </c>
      <c r="J137" s="721">
        <f>J152</f>
        <v>0</v>
      </c>
      <c r="K137" s="720">
        <f ca="1">IF(I137&gt;0,J137*100/I137,0)</f>
        <v>0</v>
      </c>
      <c r="L137" s="154"/>
      <c r="M137" s="40"/>
      <c r="N137" s="40"/>
      <c r="O137" s="40"/>
      <c r="P137" s="40"/>
      <c r="Q137" s="40"/>
      <c r="R137" s="40"/>
      <c r="S137" s="40"/>
      <c r="T137" s="40"/>
      <c r="U137" s="40"/>
    </row>
    <row r="138" spans="1:21" ht="19.5" hidden="1">
      <c r="A138" s="150"/>
      <c r="B138" s="34"/>
      <c r="C138" s="200"/>
      <c r="D138" s="151"/>
      <c r="E138" s="34"/>
      <c r="F138" s="34"/>
      <c r="G138" s="37"/>
      <c r="H138" s="152" t="s">
        <v>54</v>
      </c>
      <c r="I138" s="721">
        <f ca="1">I153</f>
        <v>0</v>
      </c>
      <c r="J138" s="721">
        <f>J153</f>
        <v>0</v>
      </c>
      <c r="K138" s="720">
        <f ca="1">IF(I138&gt;0,J138*100/I138,0)</f>
        <v>0</v>
      </c>
      <c r="L138" s="154"/>
      <c r="M138" s="40"/>
      <c r="N138" s="40"/>
      <c r="O138" s="40"/>
      <c r="P138" s="40"/>
      <c r="Q138" s="40"/>
      <c r="R138" s="40"/>
      <c r="S138" s="40"/>
      <c r="T138" s="40"/>
      <c r="U138" s="40"/>
    </row>
    <row r="139" spans="1:21" ht="19.5" hidden="1">
      <c r="A139" s="155"/>
      <c r="B139" s="50"/>
      <c r="C139" s="156" t="s">
        <v>18</v>
      </c>
      <c r="D139" s="575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541">
        <f ca="1">L140+L141</f>
        <v>0</v>
      </c>
      <c r="M139" s="540">
        <f ca="1">M140+M141</f>
        <v>0</v>
      </c>
      <c r="N139" s="540">
        <f ca="1">N140+N141</f>
        <v>0</v>
      </c>
      <c r="O139" s="540">
        <f ca="1">IF(L139&gt;0,N139*100/L139,0)</f>
        <v>0</v>
      </c>
      <c r="P139" s="540">
        <f ca="1">IF(M139&gt;0,N139*100/M139,0)</f>
        <v>0</v>
      </c>
      <c r="Q139" s="540">
        <f ca="1">Q140+Q141</f>
        <v>0</v>
      </c>
      <c r="R139" s="540">
        <f ca="1">R140+R141</f>
        <v>0</v>
      </c>
      <c r="S139" s="540">
        <f ca="1">S140+S141</f>
        <v>0</v>
      </c>
      <c r="T139" s="540">
        <f ca="1">IF(Q139&gt;0,S139*100/Q139,0)</f>
        <v>0</v>
      </c>
      <c r="U139" s="540">
        <f ca="1">IF(R139&gt;0,S139*100/R139,0)</f>
        <v>0</v>
      </c>
    </row>
    <row r="140" spans="1:21" ht="18.75" hidden="1">
      <c r="A140" s="155"/>
      <c r="B140" s="50"/>
      <c r="C140" s="50"/>
      <c r="D140" s="50"/>
      <c r="E140" s="186" t="s">
        <v>20</v>
      </c>
      <c r="F140" s="50"/>
      <c r="G140" s="52"/>
      <c r="H140" s="187" t="s">
        <v>14</v>
      </c>
      <c r="I140" s="54"/>
      <c r="J140" s="54"/>
      <c r="K140" s="55"/>
      <c r="L140" s="103">
        <f>L143+L146</f>
        <v>0</v>
      </c>
      <c r="M140" s="102">
        <f>M143+M146</f>
        <v>0</v>
      </c>
      <c r="N140" s="102">
        <f>N143+N146</f>
        <v>0</v>
      </c>
      <c r="O140" s="102">
        <f>IF(L140&gt;0,N140*100/L140,0)</f>
        <v>0</v>
      </c>
      <c r="P140" s="102">
        <f>IF(M140&gt;0,N140*100/M140,0)</f>
        <v>0</v>
      </c>
      <c r="Q140" s="102">
        <f>Q143+Q146</f>
        <v>0</v>
      </c>
      <c r="R140" s="102">
        <f>R143+R146</f>
        <v>0</v>
      </c>
      <c r="S140" s="102">
        <f>S143+S146</f>
        <v>0</v>
      </c>
      <c r="T140" s="102">
        <f>IF(Q140&gt;0,S140*100/Q140,0)</f>
        <v>0</v>
      </c>
      <c r="U140" s="102">
        <f>IF(R140&gt;0,S140*100/R140,0)</f>
        <v>0</v>
      </c>
    </row>
    <row r="141" spans="1:21" ht="18.75" hidden="1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256">
        <f ca="1">L144+L147</f>
        <v>0</v>
      </c>
      <c r="M141" s="255">
        <f ca="1">M144+M147</f>
        <v>0</v>
      </c>
      <c r="N141" s="255">
        <f ca="1">N144+N147</f>
        <v>0</v>
      </c>
      <c r="O141" s="255">
        <f ca="1">IF(L141&gt;0,N141*100/L141,0)</f>
        <v>0</v>
      </c>
      <c r="P141" s="255">
        <f ca="1">IF(M141&gt;0,N141*100/M141,0)</f>
        <v>0</v>
      </c>
      <c r="Q141" s="255">
        <f ca="1">Q144+Q147</f>
        <v>0</v>
      </c>
      <c r="R141" s="255">
        <f ca="1">R144+R147</f>
        <v>0</v>
      </c>
      <c r="S141" s="255">
        <f ca="1">S144+S147</f>
        <v>0</v>
      </c>
      <c r="T141" s="255">
        <f ca="1">IF(Q141&gt;0,S141*100/Q141,0)</f>
        <v>0</v>
      </c>
      <c r="U141" s="255">
        <f ca="1">IF(R141&gt;0,S141*100/R141,0)</f>
        <v>0</v>
      </c>
    </row>
    <row r="142" spans="1:21" ht="18.75" hidden="1">
      <c r="A142" s="155"/>
      <c r="B142" s="50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256">
        <f ca="1">L143+L144</f>
        <v>0</v>
      </c>
      <c r="M142" s="255">
        <f ca="1">M143+M144</f>
        <v>0</v>
      </c>
      <c r="N142" s="255">
        <f ca="1">N143+N144</f>
        <v>0</v>
      </c>
      <c r="O142" s="255">
        <f ca="1">IF(L142&gt;0,N142*100/L142,0)</f>
        <v>0</v>
      </c>
      <c r="P142" s="255">
        <f ca="1">IF(M142&gt;0,N142*100/M142,0)</f>
        <v>0</v>
      </c>
      <c r="Q142" s="255">
        <f ca="1">Q143+Q144</f>
        <v>0</v>
      </c>
      <c r="R142" s="255">
        <f ca="1">R143+R144</f>
        <v>0</v>
      </c>
      <c r="S142" s="255">
        <f ca="1">S143+S144</f>
        <v>0</v>
      </c>
      <c r="T142" s="255">
        <f ca="1">IF(Q142&gt;0,S142*100/Q142,0)</f>
        <v>0</v>
      </c>
      <c r="U142" s="255">
        <f ca="1">IF(R142&gt;0,S142*100/R142,0)</f>
        <v>0</v>
      </c>
    </row>
    <row r="143" spans="1:21" ht="18.75" hidden="1">
      <c r="A143" s="155"/>
      <c r="B143" s="50"/>
      <c r="C143" s="50"/>
      <c r="D143" s="50"/>
      <c r="E143" s="186" t="s">
        <v>36</v>
      </c>
      <c r="F143" s="50"/>
      <c r="G143" s="52"/>
      <c r="H143" s="189" t="s">
        <v>14</v>
      </c>
      <c r="I143" s="163"/>
      <c r="J143" s="163"/>
      <c r="K143" s="164"/>
      <c r="L143" s="103">
        <v>0</v>
      </c>
      <c r="M143" s="102">
        <v>0</v>
      </c>
      <c r="N143" s="102">
        <v>0</v>
      </c>
      <c r="O143" s="102">
        <f>IF(L143&gt;0,N143*100/L143,0)</f>
        <v>0</v>
      </c>
      <c r="P143" s="102">
        <f>IF(M143&gt;0,N143*100/M143,0)</f>
        <v>0</v>
      </c>
      <c r="Q143" s="102">
        <v>0</v>
      </c>
      <c r="R143" s="102">
        <v>0</v>
      </c>
      <c r="S143" s="102">
        <v>0</v>
      </c>
      <c r="T143" s="102">
        <f>IF(Q143&gt;0,S143*100/Q143,0)</f>
        <v>0</v>
      </c>
      <c r="U143" s="102">
        <f>IF(R143&gt;0,S143*100/R143,0)</f>
        <v>0</v>
      </c>
    </row>
    <row r="144" spans="1:21" ht="18.75" hidden="1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256">
        <f ca="1">IFERROR(__xludf.DUMMYFUNCTION("IMPORTRANGE(""https://docs.google.com/spreadsheets/d/1-uDff_7J0KD5mKrp0Vvzr7lt3OU09vwQwhkpOPPYv2Y/edit?usp=sharing"",""งบพรบ!BQ34"")"),0)</f>
        <v>0</v>
      </c>
      <c r="M144" s="255">
        <f ca="1">IFERROR(__xludf.DUMMYFUNCTION("IMPORTRANGE(""https://docs.google.com/spreadsheets/d/1-uDff_7J0KD5mKrp0Vvzr7lt3OU09vwQwhkpOPPYv2Y/edit?usp=sharing"",""งบพรบ!BV34"")"),0)</f>
        <v>0</v>
      </c>
      <c r="N144" s="255">
        <f ca="1">IFERROR(__xludf.DUMMYFUNCTION("IMPORTRANGE(""https://docs.google.com/spreadsheets/d/1-uDff_7J0KD5mKrp0Vvzr7lt3OU09vwQwhkpOPPYv2Y/edit?usp=sharing"",""งบพรบ!BX34"")"),0)</f>
        <v>0</v>
      </c>
      <c r="O144" s="255">
        <f ca="1">IF(L144&gt;0,N144*100/L144,0)</f>
        <v>0</v>
      </c>
      <c r="P144" s="255">
        <f ca="1">IF(M144&gt;0,N144*100/M144,0)</f>
        <v>0</v>
      </c>
      <c r="Q144" s="255">
        <f ca="1">IFERROR(__xludf.DUMMYFUNCTION("IMPORTRANGE(""https://docs.google.com/spreadsheets/d/1ItG2mGa2ceCfYo0BwxsXqNm01IGEUdYcSSLTEv9YCik/edit?usp=sharing"",""เบิกจ่ายกองทุน!BB34"")"),0)</f>
        <v>0</v>
      </c>
      <c r="R144" s="255">
        <f ca="1">IFERROR(__xludf.DUMMYFUNCTION("IMPORTRANGE(""https://docs.google.com/spreadsheets/d/1ItG2mGa2ceCfYo0BwxsXqNm01IGEUdYcSSLTEv9YCik/edit?usp=sharing"",""เบิกจ่ายกองทุน!BC34"")"),0)</f>
        <v>0</v>
      </c>
      <c r="S144" s="255">
        <f ca="1">IFERROR(__xludf.DUMMYFUNCTION("IMPORTRANGE(""https://docs.google.com/spreadsheets/d/1ItG2mGa2ceCfYo0BwxsXqNm01IGEUdYcSSLTEv9YCik/edit?usp=sharing"",""เบิกจ่ายกองทุน!BD34"")"),0)</f>
        <v>0</v>
      </c>
      <c r="T144" s="255">
        <f ca="1">IF(Q144&gt;0,S144*100/Q144,0)</f>
        <v>0</v>
      </c>
      <c r="U144" s="255">
        <f ca="1">IF(R144&gt;0,S144*100/R144,0)</f>
        <v>0</v>
      </c>
    </row>
    <row r="145" spans="1:21" ht="18.75" hidden="1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256">
        <f ca="1">L146+L147</f>
        <v>0</v>
      </c>
      <c r="M145" s="255">
        <f ca="1">M146+M147</f>
        <v>0</v>
      </c>
      <c r="N145" s="255">
        <f ca="1">N146+N147</f>
        <v>0</v>
      </c>
      <c r="O145" s="255">
        <f ca="1">IF(L145&gt;0,N145*100/L145,0)</f>
        <v>0</v>
      </c>
      <c r="P145" s="255">
        <f ca="1">IF(M145&gt;0,N145*100/M145,0)</f>
        <v>0</v>
      </c>
      <c r="Q145" s="255">
        <f>Q146+Q147</f>
        <v>0</v>
      </c>
      <c r="R145" s="255">
        <f>R146+R147</f>
        <v>0</v>
      </c>
      <c r="S145" s="255">
        <f>S146+S147</f>
        <v>0</v>
      </c>
      <c r="T145" s="255">
        <f>IF(Q145&gt;0,S145*100/Q145,0)</f>
        <v>0</v>
      </c>
      <c r="U145" s="255">
        <f>IF(R145&gt;0,S145*100/R145,0)</f>
        <v>0</v>
      </c>
    </row>
    <row r="146" spans="1:21" ht="18.75" hidden="1">
      <c r="A146" s="155"/>
      <c r="B146" s="50"/>
      <c r="C146" s="50"/>
      <c r="D146" s="50"/>
      <c r="E146" s="186" t="s">
        <v>20</v>
      </c>
      <c r="F146" s="50"/>
      <c r="G146" s="52"/>
      <c r="H146" s="189" t="s">
        <v>14</v>
      </c>
      <c r="I146" s="163"/>
      <c r="J146" s="163"/>
      <c r="K146" s="164"/>
      <c r="L146" s="103">
        <v>0</v>
      </c>
      <c r="M146" s="102">
        <v>0</v>
      </c>
      <c r="N146" s="102">
        <v>0</v>
      </c>
      <c r="O146" s="102">
        <f>IF(L146&gt;0,N146*100/L146,0)</f>
        <v>0</v>
      </c>
      <c r="P146" s="102">
        <f>IF(M146&gt;0,N146*100/M146,0)</f>
        <v>0</v>
      </c>
      <c r="Q146" s="102">
        <v>0</v>
      </c>
      <c r="R146" s="102">
        <v>0</v>
      </c>
      <c r="S146" s="102">
        <v>0</v>
      </c>
      <c r="T146" s="102">
        <f>IF(Q146&gt;0,S146*100/Q146,0)</f>
        <v>0</v>
      </c>
      <c r="U146" s="102">
        <f>IF(R146&gt;0,S146*100/R146,0)</f>
        <v>0</v>
      </c>
    </row>
    <row r="147" spans="1:21" ht="18.75" hidden="1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256">
        <f ca="1">IFERROR(__xludf.DUMMYFUNCTION("IMPORTRANGE(""https://docs.google.com/spreadsheets/d/1-uDff_7J0KD5mKrp0Vvzr7lt3OU09vwQwhkpOPPYv2Y/edit?usp=sharing"",""งบพรบ!BT34"")"),0)</f>
        <v>0</v>
      </c>
      <c r="M147" s="255">
        <f ca="1">IFERROR(__xludf.DUMMYFUNCTION("IMPORTRANGE(""https://docs.google.com/spreadsheets/d/1-uDff_7J0KD5mKrp0Vvzr7lt3OU09vwQwhkpOPPYv2Y/edit?usp=sharing"",""งบพรบ!BW34"")"),0)</f>
        <v>0</v>
      </c>
      <c r="N147" s="255">
        <f ca="1">IFERROR(__xludf.DUMMYFUNCTION("IMPORTRANGE(""https://docs.google.com/spreadsheets/d/1-uDff_7J0KD5mKrp0Vvzr7lt3OU09vwQwhkpOPPYv2Y/edit?usp=sharing"",""งบพรบ!BY34"")"),0)</f>
        <v>0</v>
      </c>
      <c r="O147" s="255">
        <f ca="1">IF(L147&gt;0,N147*100/L147,0)</f>
        <v>0</v>
      </c>
      <c r="P147" s="255">
        <f ca="1">IF(M147&gt;0,N147*100/M147,0)</f>
        <v>0</v>
      </c>
      <c r="Q147" s="255">
        <v>0</v>
      </c>
      <c r="R147" s="255">
        <v>0</v>
      </c>
      <c r="S147" s="255">
        <v>0</v>
      </c>
      <c r="T147" s="255">
        <f>IF(Q147&gt;0,S147*100/Q147,0)</f>
        <v>0</v>
      </c>
      <c r="U147" s="255">
        <f>IF(R147&gt;0,S147*100/R147,0)</f>
        <v>0</v>
      </c>
    </row>
    <row r="148" spans="1:21" ht="19.5" hidden="1">
      <c r="A148" s="166"/>
      <c r="B148" s="167"/>
      <c r="C148" s="156" t="s">
        <v>18</v>
      </c>
      <c r="D148" s="566" t="s">
        <v>38</v>
      </c>
      <c r="E148" s="169"/>
      <c r="F148" s="169"/>
      <c r="G148" s="170"/>
      <c r="H148" s="206"/>
      <c r="I148" s="54"/>
      <c r="J148" s="54"/>
      <c r="K148" s="55"/>
      <c r="L148" s="62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8.75" hidden="1">
      <c r="A149" s="155"/>
      <c r="B149" s="50"/>
      <c r="C149" s="50"/>
      <c r="D149" s="58" t="s">
        <v>63</v>
      </c>
      <c r="E149" s="50"/>
      <c r="F149" s="50"/>
      <c r="G149" s="52"/>
      <c r="H149" s="206"/>
      <c r="I149" s="54"/>
      <c r="J149" s="467">
        <v>0</v>
      </c>
      <c r="K149" s="55"/>
      <c r="L149" s="62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9.5" hidden="1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212">
        <f ca="1">IFERROR(__xludf.DUMMYFUNCTION("IMPORTRANGE(""https://docs.google.com/spreadsheets/d/1eHaY18a8A9IcSdp1K8H6x8fbOy06t2VsZHhMHf-1x7Y/edit?usp=sharing"",""แผน!U34"")"),0)</f>
        <v>0</v>
      </c>
      <c r="J150" s="467">
        <v>0</v>
      </c>
      <c r="K150" s="255">
        <f ca="1">IF(I150&gt;0,J150*100/I150,0)</f>
        <v>0</v>
      </c>
      <c r="L150" s="62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8.75" hidden="1">
      <c r="A151" s="155"/>
      <c r="B151" s="50"/>
      <c r="C151" s="50"/>
      <c r="D151" s="174"/>
      <c r="E151" s="50"/>
      <c r="F151" s="50"/>
      <c r="G151" s="52"/>
      <c r="H151" s="165" t="s">
        <v>54</v>
      </c>
      <c r="I151" s="212">
        <f ca="1">IFERROR(__xludf.DUMMYFUNCTION("IMPORTRANGE(""https://docs.google.com/spreadsheets/d/1eHaY18a8A9IcSdp1K8H6x8fbOy06t2VsZHhMHf-1x7Y/edit?usp=sharing"",""แผน!V34"")"),0)</f>
        <v>0</v>
      </c>
      <c r="J151" s="467">
        <v>0</v>
      </c>
      <c r="K151" s="255">
        <f ca="1">IF(I151&gt;0,J151*100/I151,0)</f>
        <v>0</v>
      </c>
      <c r="L151" s="62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9.5" hidden="1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212">
        <f ca="1">IFERROR(__xludf.DUMMYFUNCTION("IMPORTRANGE(""https://docs.google.com/spreadsheets/d/1eHaY18a8A9IcSdp1K8H6x8fbOy06t2VsZHhMHf-1x7Y/edit?usp=sharing"",""แผน!W34"")"),0)</f>
        <v>0</v>
      </c>
      <c r="J152" s="467">
        <v>0</v>
      </c>
      <c r="K152" s="255">
        <f ca="1">IF(I152&gt;0,J152*100/I152,0)</f>
        <v>0</v>
      </c>
      <c r="L152" s="62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8.75" hidden="1">
      <c r="A153" s="155"/>
      <c r="B153" s="50"/>
      <c r="C153" s="50"/>
      <c r="D153" s="50"/>
      <c r="E153" s="50"/>
      <c r="F153" s="50"/>
      <c r="G153" s="52"/>
      <c r="H153" s="165" t="s">
        <v>54</v>
      </c>
      <c r="I153" s="212">
        <f ca="1">IFERROR(__xludf.DUMMYFUNCTION("IMPORTRANGE(""https://docs.google.com/spreadsheets/d/1eHaY18a8A9IcSdp1K8H6x8fbOy06t2VsZHhMHf-1x7Y/edit?usp=sharing"",""แผน!X34"")"),0)</f>
        <v>0</v>
      </c>
      <c r="J153" s="467">
        <v>0</v>
      </c>
      <c r="K153" s="255">
        <f ca="1">IF(I153&gt;0,J153*100/I153,0)</f>
        <v>0</v>
      </c>
      <c r="L153" s="62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8.75" hidden="1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212">
        <f ca="1">IFERROR(__xludf.DUMMYFUNCTION("IMPORTRANGE(""https://docs.google.com/spreadsheets/d/1eHaY18a8A9IcSdp1K8H6x8fbOy06t2VsZHhMHf-1x7Y/edit?usp=sharing"",""แผน!Y34"")"),0)</f>
        <v>0</v>
      </c>
      <c r="J154" s="467">
        <v>0</v>
      </c>
      <c r="K154" s="255">
        <f ca="1">IF(I154&gt;0,J154*100/I154,0)</f>
        <v>0</v>
      </c>
      <c r="L154" s="62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9.5" hidden="1">
      <c r="A155" s="143" t="s">
        <v>67</v>
      </c>
      <c r="B155" s="144"/>
      <c r="C155" s="196"/>
      <c r="D155" s="144"/>
      <c r="E155" s="144"/>
      <c r="F155" s="144"/>
      <c r="G155" s="144"/>
      <c r="H155" s="144"/>
      <c r="I155" s="197"/>
      <c r="J155" s="197"/>
      <c r="K155" s="19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</row>
    <row r="156" spans="1:21" ht="19.5" hidden="1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721">
        <f ca="1">I169</f>
        <v>0</v>
      </c>
      <c r="J156" s="721">
        <f>J169</f>
        <v>0</v>
      </c>
      <c r="K156" s="720">
        <f ca="1">IF(I156&gt;0,J156*100/I156,0)</f>
        <v>0</v>
      </c>
      <c r="L156" s="154"/>
      <c r="M156" s="40"/>
      <c r="N156" s="40"/>
      <c r="O156" s="40"/>
      <c r="P156" s="40"/>
      <c r="Q156" s="40"/>
      <c r="R156" s="40"/>
      <c r="S156" s="40"/>
      <c r="T156" s="40"/>
      <c r="U156" s="40"/>
    </row>
    <row r="157" spans="1:21" ht="19.5" hidden="1">
      <c r="A157" s="155"/>
      <c r="B157" s="50"/>
      <c r="C157" s="156" t="s">
        <v>18</v>
      </c>
      <c r="D157" s="575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541">
        <f ca="1">L158+L159</f>
        <v>0</v>
      </c>
      <c r="M157" s="540">
        <f ca="1">M158+M159</f>
        <v>3360</v>
      </c>
      <c r="N157" s="540">
        <f ca="1">N158+N159</f>
        <v>0</v>
      </c>
      <c r="O157" s="540">
        <f ca="1">IF(L157&gt;0,N157*100/L157,0)</f>
        <v>0</v>
      </c>
      <c r="P157" s="540">
        <f ca="1">IF(M157&gt;0,N157*100/M157,0)</f>
        <v>0</v>
      </c>
      <c r="Q157" s="540">
        <f ca="1">Q158+Q159</f>
        <v>0</v>
      </c>
      <c r="R157" s="540">
        <f ca="1">R158+R159</f>
        <v>0</v>
      </c>
      <c r="S157" s="540">
        <f ca="1">S158+S159</f>
        <v>0</v>
      </c>
      <c r="T157" s="540">
        <f ca="1">IF(Q157&gt;0,S157*100/Q157,0)</f>
        <v>0</v>
      </c>
      <c r="U157" s="540">
        <f ca="1">IF(R157&gt;0,S157*100/R157,0)</f>
        <v>0</v>
      </c>
    </row>
    <row r="158" spans="1:21" ht="18.75" hidden="1">
      <c r="A158" s="155"/>
      <c r="B158" s="50"/>
      <c r="C158" s="50"/>
      <c r="D158" s="50"/>
      <c r="E158" s="186" t="s">
        <v>20</v>
      </c>
      <c r="F158" s="50"/>
      <c r="G158" s="52"/>
      <c r="H158" s="187" t="s">
        <v>14</v>
      </c>
      <c r="I158" s="54"/>
      <c r="J158" s="54"/>
      <c r="K158" s="55"/>
      <c r="L158" s="103">
        <f>L161+L164</f>
        <v>0</v>
      </c>
      <c r="M158" s="102">
        <f>M161+M164</f>
        <v>0</v>
      </c>
      <c r="N158" s="102">
        <f>N161+N164</f>
        <v>0</v>
      </c>
      <c r="O158" s="102">
        <f>IF(L158&gt;0,N158*100/L158,0)</f>
        <v>0</v>
      </c>
      <c r="P158" s="102">
        <f>IF(M158&gt;0,N158*100/M158,0)</f>
        <v>0</v>
      </c>
      <c r="Q158" s="102">
        <f>Q161+Q164</f>
        <v>0</v>
      </c>
      <c r="R158" s="102">
        <f>R161+R164</f>
        <v>0</v>
      </c>
      <c r="S158" s="102">
        <f>S161+S164</f>
        <v>0</v>
      </c>
      <c r="T158" s="102">
        <f>IF(Q158&gt;0,S158*100/Q158,0)</f>
        <v>0</v>
      </c>
      <c r="U158" s="102">
        <f>IF(R158&gt;0,S158*100/R158,0)</f>
        <v>0</v>
      </c>
    </row>
    <row r="159" spans="1:21" ht="18.75" hidden="1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256">
        <f ca="1">L162+L165</f>
        <v>0</v>
      </c>
      <c r="M159" s="255">
        <f ca="1">M162+M165</f>
        <v>3360</v>
      </c>
      <c r="N159" s="255">
        <f ca="1">N162+N165</f>
        <v>0</v>
      </c>
      <c r="O159" s="255">
        <f ca="1">IF(L159&gt;0,N159*100/L159,0)</f>
        <v>0</v>
      </c>
      <c r="P159" s="255">
        <f ca="1">IF(M159&gt;0,N159*100/M159,0)</f>
        <v>0</v>
      </c>
      <c r="Q159" s="255">
        <f ca="1">Q162+Q165</f>
        <v>0</v>
      </c>
      <c r="R159" s="255">
        <f ca="1">R162+R165</f>
        <v>0</v>
      </c>
      <c r="S159" s="255">
        <f ca="1">S162+S165</f>
        <v>0</v>
      </c>
      <c r="T159" s="255">
        <f ca="1">IF(Q159&gt;0,S159*100/Q159,0)</f>
        <v>0</v>
      </c>
      <c r="U159" s="255">
        <f ca="1">IF(R159&gt;0,S159*100/R159,0)</f>
        <v>0</v>
      </c>
    </row>
    <row r="160" spans="1:21" ht="18.75" hidden="1">
      <c r="A160" s="155"/>
      <c r="B160" s="50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256">
        <f ca="1">L161+L162</f>
        <v>0</v>
      </c>
      <c r="M160" s="255">
        <f ca="1">M161+M162</f>
        <v>3360</v>
      </c>
      <c r="N160" s="255">
        <f ca="1">N161+N162</f>
        <v>0</v>
      </c>
      <c r="O160" s="255">
        <f ca="1">IF(L160&gt;0,N160*100/L160,0)</f>
        <v>0</v>
      </c>
      <c r="P160" s="255">
        <f ca="1">IF(M160&gt;0,N160*100/M160,0)</f>
        <v>0</v>
      </c>
      <c r="Q160" s="255">
        <f ca="1">Q161+Q162</f>
        <v>0</v>
      </c>
      <c r="R160" s="255">
        <f ca="1">R161+R162</f>
        <v>0</v>
      </c>
      <c r="S160" s="255">
        <f ca="1">S161+S162</f>
        <v>0</v>
      </c>
      <c r="T160" s="255">
        <f ca="1">IF(Q160&gt;0,S160*100/Q160,0)</f>
        <v>0</v>
      </c>
      <c r="U160" s="255">
        <f ca="1">IF(R160&gt;0,S160*100/R160,0)</f>
        <v>0</v>
      </c>
    </row>
    <row r="161" spans="1:21" ht="18.75" hidden="1">
      <c r="A161" s="155"/>
      <c r="B161" s="50"/>
      <c r="C161" s="50"/>
      <c r="D161" s="50"/>
      <c r="E161" s="186" t="s">
        <v>36</v>
      </c>
      <c r="F161" s="50"/>
      <c r="G161" s="52"/>
      <c r="H161" s="189" t="s">
        <v>14</v>
      </c>
      <c r="I161" s="163"/>
      <c r="J161" s="163"/>
      <c r="K161" s="164"/>
      <c r="L161" s="103">
        <v>0</v>
      </c>
      <c r="M161" s="102">
        <v>0</v>
      </c>
      <c r="N161" s="102">
        <v>0</v>
      </c>
      <c r="O161" s="102">
        <f>IF(L161&gt;0,N161*100/L161,0)</f>
        <v>0</v>
      </c>
      <c r="P161" s="102">
        <f>IF(M161&gt;0,N161*100/M161,0)</f>
        <v>0</v>
      </c>
      <c r="Q161" s="102">
        <v>0</v>
      </c>
      <c r="R161" s="102">
        <v>0</v>
      </c>
      <c r="S161" s="102">
        <v>0</v>
      </c>
      <c r="T161" s="102">
        <f>IF(Q161&gt;0,S161*100/Q161,0)</f>
        <v>0</v>
      </c>
      <c r="U161" s="102">
        <f>IF(R161&gt;0,S161*100/R161,0)</f>
        <v>0</v>
      </c>
    </row>
    <row r="162" spans="1:21" ht="18.75" hidden="1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256">
        <f ca="1">IFERROR(__xludf.DUMMYFUNCTION("IMPORTRANGE(""https://docs.google.com/spreadsheets/d/1-uDff_7J0KD5mKrp0Vvzr7lt3OU09vwQwhkpOPPYv2Y/edit?usp=sharing"",""งบพรบ!CA34"")"),0)</f>
        <v>0</v>
      </c>
      <c r="M162" s="255">
        <f ca="1">IFERROR(__xludf.DUMMYFUNCTION("IMPORTRANGE(""https://docs.google.com/spreadsheets/d/1-uDff_7J0KD5mKrp0Vvzr7lt3OU09vwQwhkpOPPYv2Y/edit?usp=sharing"",""งบพรบ!CF34"")"),3360)</f>
        <v>3360</v>
      </c>
      <c r="N162" s="255">
        <f ca="1">IFERROR(__xludf.DUMMYFUNCTION("IMPORTRANGE(""https://docs.google.com/spreadsheets/d/1-uDff_7J0KD5mKrp0Vvzr7lt3OU09vwQwhkpOPPYv2Y/edit?usp=sharing"",""งบพรบ!CH34"")"),0)</f>
        <v>0</v>
      </c>
      <c r="O162" s="255">
        <f ca="1">IF(L162&gt;0,N162*100/L162,0)</f>
        <v>0</v>
      </c>
      <c r="P162" s="255">
        <f ca="1">IF(M162&gt;0,N162*100/M162,0)</f>
        <v>0</v>
      </c>
      <c r="Q162" s="255">
        <f ca="1">IFERROR(__xludf.DUMMYFUNCTION("IMPORTRANGE(""https://docs.google.com/spreadsheets/d/1ItG2mGa2ceCfYo0BwxsXqNm01IGEUdYcSSLTEv9YCik/edit?usp=sharing"",""เบิกจ่ายกองทุน!AG34"")"),0)</f>
        <v>0</v>
      </c>
      <c r="R162" s="255">
        <f ca="1">IFERROR(__xludf.DUMMYFUNCTION("IMPORTRANGE(""https://docs.google.com/spreadsheets/d/1ItG2mGa2ceCfYo0BwxsXqNm01IGEUdYcSSLTEv9YCik/edit?usp=sharing"",""เบิกจ่ายกองทุน!AH34"")"),0)</f>
        <v>0</v>
      </c>
      <c r="S162" s="255">
        <f ca="1">IFERROR(__xludf.DUMMYFUNCTION("IMPORTRANGE(""https://docs.google.com/spreadsheets/d/1ItG2mGa2ceCfYo0BwxsXqNm01IGEUdYcSSLTEv9YCik/edit?usp=sharing"",""เบิกจ่ายกองทุน!AI34"")"),0)</f>
        <v>0</v>
      </c>
      <c r="T162" s="255">
        <f ca="1">IF(Q162&gt;0,S162*100/Q162,0)</f>
        <v>0</v>
      </c>
      <c r="U162" s="255">
        <f ca="1">IF(R162&gt;0,S162*100/R162,0)</f>
        <v>0</v>
      </c>
    </row>
    <row r="163" spans="1:21" ht="18.75" hidden="1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256">
        <f ca="1">L164+L165</f>
        <v>0</v>
      </c>
      <c r="M163" s="255">
        <f ca="1">M164+M165</f>
        <v>0</v>
      </c>
      <c r="N163" s="255">
        <f ca="1">N164+N165</f>
        <v>0</v>
      </c>
      <c r="O163" s="255">
        <f ca="1">IF(L163&gt;0,N163*100/L163,0)</f>
        <v>0</v>
      </c>
      <c r="P163" s="255">
        <f ca="1">IF(M163&gt;0,N163*100/M163,0)</f>
        <v>0</v>
      </c>
      <c r="Q163" s="255">
        <f>Q164+Q165</f>
        <v>0</v>
      </c>
      <c r="R163" s="255">
        <f>R164+R165</f>
        <v>0</v>
      </c>
      <c r="S163" s="255">
        <f>S164+S165</f>
        <v>0</v>
      </c>
      <c r="T163" s="255">
        <f>IF(Q163&gt;0,S163*100/Q163,0)</f>
        <v>0</v>
      </c>
      <c r="U163" s="255">
        <f>IF(R163&gt;0,S163*100/R163,0)</f>
        <v>0</v>
      </c>
    </row>
    <row r="164" spans="1:21" ht="18.75" hidden="1">
      <c r="A164" s="155"/>
      <c r="B164" s="50"/>
      <c r="C164" s="50"/>
      <c r="D164" s="50"/>
      <c r="E164" s="186" t="s">
        <v>20</v>
      </c>
      <c r="F164" s="50"/>
      <c r="G164" s="52"/>
      <c r="H164" s="189" t="s">
        <v>14</v>
      </c>
      <c r="I164" s="163"/>
      <c r="J164" s="163"/>
      <c r="K164" s="164"/>
      <c r="L164" s="103">
        <v>0</v>
      </c>
      <c r="M164" s="102">
        <v>0</v>
      </c>
      <c r="N164" s="102">
        <v>0</v>
      </c>
      <c r="O164" s="102">
        <f>IF(L164&gt;0,N164*100/L164,0)</f>
        <v>0</v>
      </c>
      <c r="P164" s="102">
        <f>IF(M164&gt;0,N164*100/M164,0)</f>
        <v>0</v>
      </c>
      <c r="Q164" s="102">
        <v>0</v>
      </c>
      <c r="R164" s="102">
        <v>0</v>
      </c>
      <c r="S164" s="102">
        <v>0</v>
      </c>
      <c r="T164" s="102">
        <f>IF(Q164&gt;0,S164*100/Q164,0)</f>
        <v>0</v>
      </c>
      <c r="U164" s="102">
        <f>IF(R164&gt;0,S164*100/R164,0)</f>
        <v>0</v>
      </c>
    </row>
    <row r="165" spans="1:21" ht="18.75" hidden="1">
      <c r="A165" s="155"/>
      <c r="B165" s="50"/>
      <c r="C165" s="50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256">
        <f ca="1">IFERROR(__xludf.DUMMYFUNCTION("IMPORTRANGE(""https://docs.google.com/spreadsheets/d/1-uDff_7J0KD5mKrp0Vvzr7lt3OU09vwQwhkpOPPYv2Y/edit?usp=sharing"",""งบพรบ!CD34"")"),0)</f>
        <v>0</v>
      </c>
      <c r="M165" s="255">
        <f ca="1">IFERROR(__xludf.DUMMYFUNCTION("IMPORTRANGE(""https://docs.google.com/spreadsheets/d/1-uDff_7J0KD5mKrp0Vvzr7lt3OU09vwQwhkpOPPYv2Y/edit?usp=sharing"",""งบพรบ!CG34"")"),0)</f>
        <v>0</v>
      </c>
      <c r="N165" s="255">
        <f ca="1">IFERROR(__xludf.DUMMYFUNCTION("IMPORTRANGE(""https://docs.google.com/spreadsheets/d/1-uDff_7J0KD5mKrp0Vvzr7lt3OU09vwQwhkpOPPYv2Y/edit?usp=sharing"",""งบพรบ!CI34"")"),0)</f>
        <v>0</v>
      </c>
      <c r="O165" s="255">
        <f ca="1">IF(L165&gt;0,N165*100/L165,0)</f>
        <v>0</v>
      </c>
      <c r="P165" s="255">
        <f ca="1">IF(M165&gt;0,N165*100/M165,0)</f>
        <v>0</v>
      </c>
      <c r="Q165" s="255">
        <v>0</v>
      </c>
      <c r="R165" s="255">
        <v>0</v>
      </c>
      <c r="S165" s="255">
        <v>0</v>
      </c>
      <c r="T165" s="255">
        <f>IF(Q165&gt;0,S165*100/Q165,0)</f>
        <v>0</v>
      </c>
      <c r="U165" s="255">
        <f>IF(R165&gt;0,S165*100/R165,0)</f>
        <v>0</v>
      </c>
    </row>
    <row r="166" spans="1:21" ht="19.5" hidden="1">
      <c r="A166" s="166"/>
      <c r="B166" s="167"/>
      <c r="C166" s="156" t="s">
        <v>18</v>
      </c>
      <c r="D166" s="566" t="s">
        <v>38</v>
      </c>
      <c r="E166" s="169"/>
      <c r="F166" s="169"/>
      <c r="G166" s="170"/>
      <c r="H166" s="206"/>
      <c r="I166" s="54"/>
      <c r="J166" s="54"/>
      <c r="K166" s="55"/>
      <c r="L166" s="62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8.75" hidden="1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212">
        <f ca="1">IFERROR(__xludf.DUMMYFUNCTION("IMPORTRANGE(""https://docs.google.com/spreadsheets/d/1eHaY18a8A9IcSdp1K8H6x8fbOy06t2VsZHhMHf-1x7Y/edit?usp=sharing"",""แผน!Z34"")"),0)</f>
        <v>0</v>
      </c>
      <c r="J167" s="467">
        <v>0</v>
      </c>
      <c r="K167" s="255">
        <f ca="1">IF(I167&gt;0,J167*100/I167,0)</f>
        <v>0</v>
      </c>
      <c r="L167" s="62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8.75" hidden="1">
      <c r="A168" s="155"/>
      <c r="B168" s="50"/>
      <c r="C168" s="50"/>
      <c r="D168" s="186" t="s">
        <v>70</v>
      </c>
      <c r="E168" s="50"/>
      <c r="F168" s="50"/>
      <c r="G168" s="52"/>
      <c r="H168" s="421" t="s">
        <v>35</v>
      </c>
      <c r="I168" s="483">
        <f ca="1">IFERROR(__xludf.DUMMYFUNCTION("IMPORTRANGE(""https://docs.google.com/spreadsheets/d/1eHaY18a8A9IcSdp1K8H6x8fbOy06t2VsZHhMHf-1x7Y/edit?usp=sharing"",""แผน!Z34"")"),0)</f>
        <v>0</v>
      </c>
      <c r="J168" s="589">
        <v>0</v>
      </c>
      <c r="K168" s="102">
        <f ca="1">IF(I168&gt;0,J168*100/I168,0)</f>
        <v>0</v>
      </c>
      <c r="L168" s="62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8.75" hidden="1">
      <c r="A169" s="213"/>
      <c r="B169" s="4"/>
      <c r="C169" s="4"/>
      <c r="D169" s="484" t="s">
        <v>71</v>
      </c>
      <c r="E169" s="4"/>
      <c r="F169" s="4"/>
      <c r="G169" s="65"/>
      <c r="H169" s="719" t="s">
        <v>35</v>
      </c>
      <c r="I169" s="486">
        <f ca="1">IFERROR(__xludf.DUMMYFUNCTION("IMPORTRANGE(""https://docs.google.com/spreadsheets/d/1eHaY18a8A9IcSdp1K8H6x8fbOy06t2VsZHhMHf-1x7Y/edit?usp=sharing"",""แผน!Z34"")"),0)</f>
        <v>0</v>
      </c>
      <c r="J169" s="586">
        <v>0</v>
      </c>
      <c r="K169" s="585">
        <f ca="1">IF(I169&gt;0,J169*100/I169,0)</f>
        <v>0</v>
      </c>
      <c r="L169" s="68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9"/>
      <c r="I170" s="220"/>
      <c r="J170" s="220"/>
      <c r="K170" s="221"/>
      <c r="L170" s="221"/>
      <c r="M170" s="221"/>
      <c r="N170" s="221"/>
      <c r="O170" s="221"/>
      <c r="P170" s="222"/>
      <c r="Q170" s="221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226"/>
      <c r="I171" s="227"/>
      <c r="J171" s="227"/>
      <c r="K171" s="228"/>
      <c r="L171" s="229"/>
      <c r="M171" s="228"/>
      <c r="N171" s="228"/>
      <c r="O171" s="228"/>
      <c r="P171" s="228"/>
      <c r="Q171" s="228"/>
      <c r="R171" s="228"/>
      <c r="S171" s="228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233" t="s">
        <v>35</v>
      </c>
      <c r="I172" s="718">
        <f ca="1">I183+I184</f>
        <v>7</v>
      </c>
      <c r="J172" s="718">
        <f>J183+J184</f>
        <v>7</v>
      </c>
      <c r="K172" s="717">
        <f ca="1">IF(I172&gt;0,J172*100/I172,0)</f>
        <v>100</v>
      </c>
      <c r="L172" s="237"/>
      <c r="M172" s="236"/>
      <c r="N172" s="236"/>
      <c r="O172" s="236"/>
      <c r="P172" s="236"/>
      <c r="Q172" s="236"/>
      <c r="R172" s="236"/>
      <c r="S172" s="236"/>
      <c r="T172" s="236"/>
      <c r="U172" s="236"/>
    </row>
    <row r="173" spans="1:21" ht="19.5">
      <c r="A173" s="155"/>
      <c r="B173" s="50"/>
      <c r="C173" s="156" t="s">
        <v>18</v>
      </c>
      <c r="D173" s="575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541">
        <f ca="1">L174+L175</f>
        <v>19590</v>
      </c>
      <c r="M173" s="540">
        <f ca="1">M174+M175</f>
        <v>31160</v>
      </c>
      <c r="N173" s="540">
        <f ca="1">N174+N175</f>
        <v>25330.2</v>
      </c>
      <c r="O173" s="540">
        <f ca="1">IF(L173&gt;0,N173*100/L173,0)</f>
        <v>129.30168453292495</v>
      </c>
      <c r="P173" s="540">
        <f ca="1">IF(M173&gt;0,N173*100/M173,0)</f>
        <v>81.290757381258018</v>
      </c>
      <c r="Q173" s="540">
        <f ca="1">Q174+Q175</f>
        <v>0</v>
      </c>
      <c r="R173" s="540">
        <f ca="1">R174+R175</f>
        <v>0</v>
      </c>
      <c r="S173" s="540">
        <f ca="1">S174+S175</f>
        <v>0</v>
      </c>
      <c r="T173" s="540">
        <f ca="1">IF(Q173&gt;0,S173*100/Q173,0)</f>
        <v>0</v>
      </c>
      <c r="U173" s="540">
        <f ca="1">IF(R173&gt;0,S173*100/R173,0)</f>
        <v>0</v>
      </c>
    </row>
    <row r="174" spans="1:21" ht="18.75" hidden="1">
      <c r="A174" s="155"/>
      <c r="B174" s="50"/>
      <c r="C174" s="50"/>
      <c r="D174" s="50"/>
      <c r="E174" s="186" t="s">
        <v>20</v>
      </c>
      <c r="F174" s="50"/>
      <c r="G174" s="52"/>
      <c r="H174" s="187" t="s">
        <v>14</v>
      </c>
      <c r="I174" s="54"/>
      <c r="J174" s="54"/>
      <c r="K174" s="55"/>
      <c r="L174" s="103">
        <f>L177+L180</f>
        <v>0</v>
      </c>
      <c r="M174" s="102">
        <f>M177+M180</f>
        <v>0</v>
      </c>
      <c r="N174" s="102">
        <f>N177+N180</f>
        <v>0</v>
      </c>
      <c r="O174" s="102">
        <f>IF(L174&gt;0,N174*100/L174,0)</f>
        <v>0</v>
      </c>
      <c r="P174" s="102">
        <f>IF(M174&gt;0,N174*100/M174,0)</f>
        <v>0</v>
      </c>
      <c r="Q174" s="102">
        <f>Q177+Q180</f>
        <v>0</v>
      </c>
      <c r="R174" s="102">
        <f>R177+R180</f>
        <v>0</v>
      </c>
      <c r="S174" s="102">
        <f>S177+S180</f>
        <v>0</v>
      </c>
      <c r="T174" s="102">
        <f>IF(Q174&gt;0,S174*100/Q174,0)</f>
        <v>0</v>
      </c>
      <c r="U174" s="102">
        <f>IF(R174&gt;0,S174*100/R174,0)</f>
        <v>0</v>
      </c>
    </row>
    <row r="175" spans="1:21" ht="18.75" hidden="1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256">
        <f ca="1">L178+L181</f>
        <v>19590</v>
      </c>
      <c r="M175" s="255">
        <f ca="1">M178+M181</f>
        <v>31160</v>
      </c>
      <c r="N175" s="255">
        <f ca="1">N178+N181</f>
        <v>25330.2</v>
      </c>
      <c r="O175" s="255">
        <f ca="1">IF(L175&gt;0,N175*100/L175,0)</f>
        <v>129.30168453292495</v>
      </c>
      <c r="P175" s="255">
        <f ca="1">IF(M175&gt;0,N175*100/M175,0)</f>
        <v>81.290757381258018</v>
      </c>
      <c r="Q175" s="255">
        <f ca="1">Q178+Q181</f>
        <v>0</v>
      </c>
      <c r="R175" s="255">
        <f ca="1">R178+R181</f>
        <v>0</v>
      </c>
      <c r="S175" s="255">
        <f ca="1">S178+S181</f>
        <v>0</v>
      </c>
      <c r="T175" s="255">
        <f ca="1">IF(Q175&gt;0,S175*100/Q175,0)</f>
        <v>0</v>
      </c>
      <c r="U175" s="255">
        <f ca="1">IF(R175&gt;0,S175*100/R175,0)</f>
        <v>0</v>
      </c>
    </row>
    <row r="176" spans="1:21" ht="18.75">
      <c r="A176" s="155"/>
      <c r="B176" s="50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256">
        <f ca="1">L177+L178</f>
        <v>19590</v>
      </c>
      <c r="M176" s="255">
        <f ca="1">M177+M178</f>
        <v>31160</v>
      </c>
      <c r="N176" s="255">
        <f ca="1">N177+N178</f>
        <v>25330.2</v>
      </c>
      <c r="O176" s="255">
        <f ca="1">IF(L176&gt;0,N176*100/L176,0)</f>
        <v>129.30168453292495</v>
      </c>
      <c r="P176" s="255">
        <f ca="1">IF(M176&gt;0,N176*100/M176,0)</f>
        <v>81.290757381258018</v>
      </c>
      <c r="Q176" s="255">
        <f ca="1">Q177+Q178</f>
        <v>0</v>
      </c>
      <c r="R176" s="255">
        <f ca="1">R177+R178</f>
        <v>0</v>
      </c>
      <c r="S176" s="255">
        <f ca="1">S177+S178</f>
        <v>0</v>
      </c>
      <c r="T176" s="255">
        <f ca="1">IF(Q176&gt;0,S176*100/Q176,0)</f>
        <v>0</v>
      </c>
      <c r="U176" s="255">
        <f ca="1">IF(R176&gt;0,S176*100/R176,0)</f>
        <v>0</v>
      </c>
    </row>
    <row r="177" spans="1:21" ht="18.75" hidden="1">
      <c r="A177" s="155"/>
      <c r="B177" s="50"/>
      <c r="C177" s="50"/>
      <c r="D177" s="50"/>
      <c r="E177" s="186" t="s">
        <v>36</v>
      </c>
      <c r="F177" s="50"/>
      <c r="G177" s="52"/>
      <c r="H177" s="189" t="s">
        <v>14</v>
      </c>
      <c r="I177" s="163"/>
      <c r="J177" s="163"/>
      <c r="K177" s="164"/>
      <c r="L177" s="103">
        <v>0</v>
      </c>
      <c r="M177" s="102">
        <v>0</v>
      </c>
      <c r="N177" s="102">
        <v>0</v>
      </c>
      <c r="O177" s="102">
        <f>IF(L177&gt;0,N177*100/L177,0)</f>
        <v>0</v>
      </c>
      <c r="P177" s="102">
        <f>IF(M177&gt;0,N177*100/M177,0)</f>
        <v>0</v>
      </c>
      <c r="Q177" s="102">
        <v>0</v>
      </c>
      <c r="R177" s="102">
        <v>0</v>
      </c>
      <c r="S177" s="102">
        <v>0</v>
      </c>
      <c r="T177" s="102">
        <f>IF(Q177&gt;0,S177*100/Q177,0)</f>
        <v>0</v>
      </c>
      <c r="U177" s="102">
        <f>IF(R177&gt;0,S177*100/R177,0)</f>
        <v>0</v>
      </c>
    </row>
    <row r="178" spans="1:21" ht="18.75" hidden="1">
      <c r="A178" s="155"/>
      <c r="B178" s="50"/>
      <c r="C178" s="50"/>
      <c r="D178" s="50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256">
        <f ca="1">IFERROR(__xludf.DUMMYFUNCTION("IMPORTRANGE(""https://docs.google.com/spreadsheets/d/1-uDff_7J0KD5mKrp0Vvzr7lt3OU09vwQwhkpOPPYv2Y/edit?usp=sharing"",""งบพรบ!CK34"")"),19590)</f>
        <v>19590</v>
      </c>
      <c r="M178" s="255">
        <f ca="1">IFERROR(__xludf.DUMMYFUNCTION("IMPORTRANGE(""https://docs.google.com/spreadsheets/d/1-uDff_7J0KD5mKrp0Vvzr7lt3OU09vwQwhkpOPPYv2Y/edit?usp=sharing"",""งบพรบ!CP34"")"),31160)</f>
        <v>31160</v>
      </c>
      <c r="N178" s="255">
        <f ca="1">IFERROR(__xludf.DUMMYFUNCTION("IMPORTRANGE(""https://docs.google.com/spreadsheets/d/1-uDff_7J0KD5mKrp0Vvzr7lt3OU09vwQwhkpOPPYv2Y/edit?usp=sharing"",""งบพรบ!CR34"")"),25330.2)</f>
        <v>25330.2</v>
      </c>
      <c r="O178" s="255">
        <f ca="1">IF(L178&gt;0,N178*100/L178,0)</f>
        <v>129.30168453292495</v>
      </c>
      <c r="P178" s="255">
        <f ca="1">IF(M178&gt;0,N178*100/M178,0)</f>
        <v>81.290757381258018</v>
      </c>
      <c r="Q178" s="255">
        <f ca="1">IFERROR(__xludf.DUMMYFUNCTION("IMPORTRANGE(""https://docs.google.com/spreadsheets/d/1ItG2mGa2ceCfYo0BwxsXqNm01IGEUdYcSSLTEv9YCik/edit?usp=sharing"",""เบิกจ่ายกองทุน!BE34"")"),0)</f>
        <v>0</v>
      </c>
      <c r="R178" s="255">
        <f ca="1">IFERROR(__xludf.DUMMYFUNCTION("IMPORTRANGE(""https://docs.google.com/spreadsheets/d/1ItG2mGa2ceCfYo0BwxsXqNm01IGEUdYcSSLTEv9YCik/edit?usp=sharing"",""เบิกจ่ายกองทุน!BF34"")"),0)</f>
        <v>0</v>
      </c>
      <c r="S178" s="255">
        <f ca="1">IFERROR(__xludf.DUMMYFUNCTION("IMPORTRANGE(""https://docs.google.com/spreadsheets/d/1ItG2mGa2ceCfYo0BwxsXqNm01IGEUdYcSSLTEv9YCik/edit?usp=sharing"",""เบิกจ่ายกองทุน!BG34"")"),0)</f>
        <v>0</v>
      </c>
      <c r="T178" s="255">
        <f ca="1">IF(Q178&gt;0,S178*100/Q178,0)</f>
        <v>0</v>
      </c>
      <c r="U178" s="255">
        <f ca="1">IF(R178&gt;0,S178*100/R178,0)</f>
        <v>0</v>
      </c>
    </row>
    <row r="179" spans="1:21" ht="18.75">
      <c r="A179" s="155"/>
      <c r="B179" s="50"/>
      <c r="C179" s="50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256">
        <f ca="1">L180+L181</f>
        <v>0</v>
      </c>
      <c r="M179" s="255">
        <f ca="1">M180+M181</f>
        <v>0</v>
      </c>
      <c r="N179" s="255">
        <f ca="1">N180+N181</f>
        <v>0</v>
      </c>
      <c r="O179" s="255">
        <f ca="1">IF(L179&gt;0,N179*100/L179,0)</f>
        <v>0</v>
      </c>
      <c r="P179" s="255">
        <f ca="1">IF(M179&gt;0,N179*100/M179,0)</f>
        <v>0</v>
      </c>
      <c r="Q179" s="255">
        <f>Q180+Q181</f>
        <v>0</v>
      </c>
      <c r="R179" s="255">
        <f>R180+R181</f>
        <v>0</v>
      </c>
      <c r="S179" s="255">
        <f>S180+S181</f>
        <v>0</v>
      </c>
      <c r="T179" s="255">
        <f>IF(Q179&gt;0,S179*100/Q179,0)</f>
        <v>0</v>
      </c>
      <c r="U179" s="255">
        <f>IF(R179&gt;0,S179*100/R179,0)</f>
        <v>0</v>
      </c>
    </row>
    <row r="180" spans="1:21" ht="18.75" hidden="1">
      <c r="A180" s="155"/>
      <c r="B180" s="50"/>
      <c r="C180" s="50"/>
      <c r="D180" s="50"/>
      <c r="E180" s="186" t="s">
        <v>20</v>
      </c>
      <c r="F180" s="50"/>
      <c r="G180" s="52"/>
      <c r="H180" s="189" t="s">
        <v>14</v>
      </c>
      <c r="I180" s="163"/>
      <c r="J180" s="163"/>
      <c r="K180" s="164"/>
      <c r="L180" s="103">
        <v>0</v>
      </c>
      <c r="M180" s="102">
        <v>0</v>
      </c>
      <c r="N180" s="102">
        <v>0</v>
      </c>
      <c r="O180" s="102">
        <f>IF(L180&gt;0,N180*100/L180,0)</f>
        <v>0</v>
      </c>
      <c r="P180" s="102">
        <f>IF(M180&gt;0,N180*100/M180,0)</f>
        <v>0</v>
      </c>
      <c r="Q180" s="102">
        <v>0</v>
      </c>
      <c r="R180" s="102">
        <v>0</v>
      </c>
      <c r="S180" s="102">
        <v>0</v>
      </c>
      <c r="T180" s="102">
        <f>IF(Q180&gt;0,S180*100/Q180,0)</f>
        <v>0</v>
      </c>
      <c r="U180" s="102">
        <f>IF(R180&gt;0,S180*100/R180,0)</f>
        <v>0</v>
      </c>
    </row>
    <row r="181" spans="1:21" ht="18.75" hidden="1">
      <c r="A181" s="155"/>
      <c r="B181" s="50"/>
      <c r="C181" s="50"/>
      <c r="D181" s="50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256">
        <f ca="1">IFERROR(__xludf.DUMMYFUNCTION("IMPORTRANGE(""https://docs.google.com/spreadsheets/d/1-uDff_7J0KD5mKrp0Vvzr7lt3OU09vwQwhkpOPPYv2Y/edit?usp=sharing"",""งบพรบ!CN34"")"),0)</f>
        <v>0</v>
      </c>
      <c r="M181" s="255">
        <f ca="1">IFERROR(__xludf.DUMMYFUNCTION("IMPORTRANGE(""https://docs.google.com/spreadsheets/d/1-uDff_7J0KD5mKrp0Vvzr7lt3OU09vwQwhkpOPPYv2Y/edit?usp=sharing"",""งบพรบ!CQ34"")"),0)</f>
        <v>0</v>
      </c>
      <c r="N181" s="255">
        <f ca="1">IFERROR(__xludf.DUMMYFUNCTION("IMPORTRANGE(""https://docs.google.com/spreadsheets/d/1-uDff_7J0KD5mKrp0Vvzr7lt3OU09vwQwhkpOPPYv2Y/edit?usp=sharing"",""งบพรบ!CS34"")"),0)</f>
        <v>0</v>
      </c>
      <c r="O181" s="255">
        <f ca="1">IF(L181&gt;0,N181*100/L181,0)</f>
        <v>0</v>
      </c>
      <c r="P181" s="255">
        <f ca="1">IF(M181&gt;0,N181*100/M181,0)</f>
        <v>0</v>
      </c>
      <c r="Q181" s="255">
        <v>0</v>
      </c>
      <c r="R181" s="255">
        <v>0</v>
      </c>
      <c r="S181" s="255">
        <v>0</v>
      </c>
      <c r="T181" s="255">
        <f>IF(Q181&gt;0,S181*100/Q181,0)</f>
        <v>0</v>
      </c>
      <c r="U181" s="255">
        <f>IF(R181&gt;0,S181*100/R181,0)</f>
        <v>0</v>
      </c>
    </row>
    <row r="182" spans="1:21" ht="19.5">
      <c r="A182" s="166"/>
      <c r="B182" s="167"/>
      <c r="C182" s="156" t="s">
        <v>18</v>
      </c>
      <c r="D182" s="566" t="s">
        <v>38</v>
      </c>
      <c r="E182" s="169"/>
      <c r="F182" s="169"/>
      <c r="G182" s="170"/>
      <c r="H182" s="206"/>
      <c r="I182" s="54"/>
      <c r="J182" s="54"/>
      <c r="K182" s="55"/>
      <c r="L182" s="62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40" t="s">
        <v>35</v>
      </c>
      <c r="I183" s="212">
        <f ca="1">IFERROR(__xludf.DUMMYFUNCTION("IMPORTRANGE(""https://docs.google.com/spreadsheets/d/1eHaY18a8A9IcSdp1K8H6x8fbOy06t2VsZHhMHf-1x7Y/edit?usp=sharing"",""แผน!AA34"")"),7)</f>
        <v>7</v>
      </c>
      <c r="J183" s="467">
        <v>7</v>
      </c>
      <c r="K183" s="255">
        <f ca="1">IF(I183&gt;0,J183*100/I183,0)</f>
        <v>100</v>
      </c>
      <c r="L183" s="62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8.75" hidden="1">
      <c r="A184" s="238"/>
      <c r="B184" s="188"/>
      <c r="C184" s="188"/>
      <c r="D184" s="358" t="s">
        <v>76</v>
      </c>
      <c r="E184" s="50"/>
      <c r="F184" s="50"/>
      <c r="G184" s="52"/>
      <c r="H184" s="590" t="s">
        <v>35</v>
      </c>
      <c r="I184" s="483">
        <v>0</v>
      </c>
      <c r="J184" s="483">
        <v>0</v>
      </c>
      <c r="K184" s="102">
        <f>IF(I184&gt;0,J184*100/I184,0)</f>
        <v>0</v>
      </c>
      <c r="L184" s="62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233" t="s">
        <v>35</v>
      </c>
      <c r="I185" s="718">
        <f ca="1">I230+I231</f>
        <v>0</v>
      </c>
      <c r="J185" s="718">
        <f>J230+J231</f>
        <v>0</v>
      </c>
      <c r="K185" s="717">
        <f ca="1">IF(I185&gt;0,J185*100/I185,0)</f>
        <v>0</v>
      </c>
      <c r="L185" s="237"/>
      <c r="M185" s="236"/>
      <c r="N185" s="236"/>
      <c r="O185" s="236"/>
      <c r="P185" s="236"/>
      <c r="Q185" s="236"/>
      <c r="R185" s="236"/>
      <c r="S185" s="236"/>
      <c r="T185" s="236"/>
      <c r="U185" s="236"/>
    </row>
    <row r="186" spans="1:21" ht="19.5">
      <c r="A186" s="155"/>
      <c r="B186" s="50"/>
      <c r="C186" s="156" t="s">
        <v>18</v>
      </c>
      <c r="D186" s="575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541">
        <f ca="1">L187+L188</f>
        <v>222500</v>
      </c>
      <c r="M186" s="540">
        <f ca="1">M187+M188</f>
        <v>206500</v>
      </c>
      <c r="N186" s="540">
        <f ca="1">N187+N188</f>
        <v>101360</v>
      </c>
      <c r="O186" s="540">
        <f ca="1">IF(L186&gt;0,N186*100/L186,0)</f>
        <v>45.555056179775278</v>
      </c>
      <c r="P186" s="540">
        <f ca="1">IF(M186&gt;0,N186*100/M186,0)</f>
        <v>49.084745762711862</v>
      </c>
      <c r="Q186" s="540">
        <f ca="1">Q187+Q188</f>
        <v>42000</v>
      </c>
      <c r="R186" s="540">
        <f ca="1">R187+R188</f>
        <v>56000</v>
      </c>
      <c r="S186" s="540">
        <f ca="1">S187+S188</f>
        <v>0</v>
      </c>
      <c r="T186" s="540">
        <f ca="1">IF(Q186&gt;0,S186*100/Q186,0)</f>
        <v>0</v>
      </c>
      <c r="U186" s="540">
        <f ca="1">IF(R186&gt;0,S186*100/R186,0)</f>
        <v>0</v>
      </c>
    </row>
    <row r="187" spans="1:21" ht="18.75" hidden="1">
      <c r="A187" s="155"/>
      <c r="B187" s="50"/>
      <c r="C187" s="50"/>
      <c r="D187" s="50"/>
      <c r="E187" s="186" t="s">
        <v>20</v>
      </c>
      <c r="F187" s="50"/>
      <c r="G187" s="52"/>
      <c r="H187" s="187" t="s">
        <v>14</v>
      </c>
      <c r="I187" s="54"/>
      <c r="J187" s="54"/>
      <c r="K187" s="55"/>
      <c r="L187" s="103">
        <f>L190+L193</f>
        <v>0</v>
      </c>
      <c r="M187" s="102">
        <f>M190+M193</f>
        <v>0</v>
      </c>
      <c r="N187" s="102">
        <f>N190+N193</f>
        <v>0</v>
      </c>
      <c r="O187" s="102">
        <f>IF(L187&gt;0,N187*100/L187,0)</f>
        <v>0</v>
      </c>
      <c r="P187" s="102">
        <f>IF(M187&gt;0,N187*100/M187,0)</f>
        <v>0</v>
      </c>
      <c r="Q187" s="102">
        <f>Q190+Q193</f>
        <v>0</v>
      </c>
      <c r="R187" s="102">
        <f>R190+R193</f>
        <v>0</v>
      </c>
      <c r="S187" s="102">
        <f>S190+S193</f>
        <v>0</v>
      </c>
      <c r="T187" s="102">
        <f>IF(Q187&gt;0,S187*100/Q187,0)</f>
        <v>0</v>
      </c>
      <c r="U187" s="102">
        <f>IF(R187&gt;0,S187*100/R187,0)</f>
        <v>0</v>
      </c>
    </row>
    <row r="188" spans="1:21" ht="18.75" hidden="1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256">
        <f ca="1">L191+L194</f>
        <v>222500</v>
      </c>
      <c r="M188" s="255">
        <f ca="1">M191+M194</f>
        <v>206500</v>
      </c>
      <c r="N188" s="255">
        <f ca="1">N191+N194</f>
        <v>101360</v>
      </c>
      <c r="O188" s="255">
        <f ca="1">IF(L188&gt;0,N188*100/L188,0)</f>
        <v>45.555056179775278</v>
      </c>
      <c r="P188" s="255">
        <f ca="1">IF(M188&gt;0,N188*100/M188,0)</f>
        <v>49.084745762711862</v>
      </c>
      <c r="Q188" s="255">
        <f ca="1">Q191+Q194</f>
        <v>42000</v>
      </c>
      <c r="R188" s="255">
        <f ca="1">R191+R194</f>
        <v>56000</v>
      </c>
      <c r="S188" s="255">
        <f ca="1">S191+S194</f>
        <v>0</v>
      </c>
      <c r="T188" s="255">
        <f ca="1">IF(Q188&gt;0,S188*100/Q188,0)</f>
        <v>0</v>
      </c>
      <c r="U188" s="255">
        <f ca="1">IF(R188&gt;0,S188*100/R188,0)</f>
        <v>0</v>
      </c>
    </row>
    <row r="189" spans="1:21" ht="18.75">
      <c r="A189" s="155"/>
      <c r="B189" s="50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256">
        <f ca="1">L190+L191</f>
        <v>222500</v>
      </c>
      <c r="M189" s="255">
        <f ca="1">M190+M191</f>
        <v>206500</v>
      </c>
      <c r="N189" s="255">
        <f ca="1">N190+N191</f>
        <v>101360</v>
      </c>
      <c r="O189" s="255">
        <f ca="1">IF(L189&gt;0,N189*100/L189,0)</f>
        <v>45.555056179775278</v>
      </c>
      <c r="P189" s="255">
        <f ca="1">IF(M189&gt;0,N189*100/M189,0)</f>
        <v>49.084745762711862</v>
      </c>
      <c r="Q189" s="255">
        <f ca="1">Q190+Q191</f>
        <v>42000</v>
      </c>
      <c r="R189" s="255">
        <f ca="1">R190+R191</f>
        <v>56000</v>
      </c>
      <c r="S189" s="255">
        <f ca="1">S190+S191</f>
        <v>0</v>
      </c>
      <c r="T189" s="255">
        <f ca="1">IF(Q189&gt;0,S189*100/Q189,0)</f>
        <v>0</v>
      </c>
      <c r="U189" s="255">
        <f ca="1">IF(R189&gt;0,S189*100/R189,0)</f>
        <v>0</v>
      </c>
    </row>
    <row r="190" spans="1:21" ht="18.75" hidden="1">
      <c r="A190" s="155"/>
      <c r="B190" s="50"/>
      <c r="C190" s="50"/>
      <c r="D190" s="50"/>
      <c r="E190" s="186" t="s">
        <v>36</v>
      </c>
      <c r="F190" s="50"/>
      <c r="G190" s="52"/>
      <c r="H190" s="189" t="s">
        <v>14</v>
      </c>
      <c r="I190" s="163"/>
      <c r="J190" s="163"/>
      <c r="K190" s="164"/>
      <c r="L190" s="103">
        <v>0</v>
      </c>
      <c r="M190" s="102">
        <v>0</v>
      </c>
      <c r="N190" s="102">
        <v>0</v>
      </c>
      <c r="O190" s="102">
        <f>IF(L190&gt;0,N190*100/L190,0)</f>
        <v>0</v>
      </c>
      <c r="P190" s="102">
        <f>IF(M190&gt;0,N190*100/M190,0)</f>
        <v>0</v>
      </c>
      <c r="Q190" s="102">
        <v>0</v>
      </c>
      <c r="R190" s="102">
        <v>0</v>
      </c>
      <c r="S190" s="102">
        <v>0</v>
      </c>
      <c r="T190" s="102">
        <f>IF(Q190&gt;0,S190*100/Q190,0)</f>
        <v>0</v>
      </c>
      <c r="U190" s="102">
        <f>IF(R190&gt;0,S190*100/R190,0)</f>
        <v>0</v>
      </c>
    </row>
    <row r="191" spans="1:21" ht="18.75" hidden="1">
      <c r="A191" s="155"/>
      <c r="B191" s="50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256">
        <f ca="1">IFERROR(__xludf.DUMMYFUNCTION("IMPORTRANGE(""https://docs.google.com/spreadsheets/d/1-uDff_7J0KD5mKrp0Vvzr7lt3OU09vwQwhkpOPPYv2Y/edit?usp=sharing"",""งบพรบ!CU34"")"),222500)</f>
        <v>222500</v>
      </c>
      <c r="M191" s="255">
        <f ca="1">IFERROR(__xludf.DUMMYFUNCTION("IMPORTRANGE(""https://docs.google.com/spreadsheets/d/1-uDff_7J0KD5mKrp0Vvzr7lt3OU09vwQwhkpOPPYv2Y/edit?usp=sharing"",""งบพรบ!CZ34"")"),206500)</f>
        <v>206500</v>
      </c>
      <c r="N191" s="255">
        <f ca="1">IFERROR(__xludf.DUMMYFUNCTION("IMPORTRANGE(""https://docs.google.com/spreadsheets/d/1-uDff_7J0KD5mKrp0Vvzr7lt3OU09vwQwhkpOPPYv2Y/edit?usp=sharing"",""งบพรบ!DB34"")"),101360)</f>
        <v>101360</v>
      </c>
      <c r="O191" s="255">
        <f ca="1">IF(L191&gt;0,N191*100/L191,0)</f>
        <v>45.555056179775278</v>
      </c>
      <c r="P191" s="255">
        <f ca="1">IF(M191&gt;0,N191*100/M191,0)</f>
        <v>49.084745762711862</v>
      </c>
      <c r="Q191" s="255">
        <f ca="1">IFERROR(__xludf.DUMMYFUNCTION("IMPORTRANGE(""https://docs.google.com/spreadsheets/d/1ItG2mGa2ceCfYo0BwxsXqNm01IGEUdYcSSLTEv9YCik/edit?usp=sharing"",""เบิกจ่ายกองทุน!AV34"")"),42000)</f>
        <v>42000</v>
      </c>
      <c r="R191" s="255">
        <f ca="1">IFERROR(__xludf.DUMMYFUNCTION("IMPORTRANGE(""https://docs.google.com/spreadsheets/d/1ItG2mGa2ceCfYo0BwxsXqNm01IGEUdYcSSLTEv9YCik/edit?usp=sharing"",""เบิกจ่ายกองทุน!AW34"")"),56000)</f>
        <v>56000</v>
      </c>
      <c r="S191" s="255">
        <f ca="1">IFERROR(__xludf.DUMMYFUNCTION("IMPORTRANGE(""https://docs.google.com/spreadsheets/d/1ItG2mGa2ceCfYo0BwxsXqNm01IGEUdYcSSLTEv9YCik/edit?usp=sharing"",""เบิกจ่ายกองทุน!AX34"")"),0)</f>
        <v>0</v>
      </c>
      <c r="T191" s="255">
        <f ca="1">IF(Q191&gt;0,S191*100/Q191,0)</f>
        <v>0</v>
      </c>
      <c r="U191" s="255">
        <f ca="1">IF(R191&gt;0,S191*100/R191,0)</f>
        <v>0</v>
      </c>
    </row>
    <row r="192" spans="1:21" ht="18.75">
      <c r="A192" s="155"/>
      <c r="B192" s="50"/>
      <c r="C192" s="50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256">
        <f ca="1">L193+L194</f>
        <v>0</v>
      </c>
      <c r="M192" s="255">
        <f ca="1">M193+M194</f>
        <v>0</v>
      </c>
      <c r="N192" s="255">
        <f ca="1">N193+N194</f>
        <v>0</v>
      </c>
      <c r="O192" s="255">
        <f ca="1">IF(L192&gt;0,N192*100/L192,0)</f>
        <v>0</v>
      </c>
      <c r="P192" s="255">
        <f ca="1">IF(M192&gt;0,N192*100/M192,0)</f>
        <v>0</v>
      </c>
      <c r="Q192" s="255">
        <f>Q193+Q194</f>
        <v>0</v>
      </c>
      <c r="R192" s="255">
        <f>R193+R194</f>
        <v>0</v>
      </c>
      <c r="S192" s="255">
        <f>S193+S194</f>
        <v>0</v>
      </c>
      <c r="T192" s="255">
        <f>IF(Q192&gt;0,S192*100/Q192,0)</f>
        <v>0</v>
      </c>
      <c r="U192" s="255">
        <f>IF(R192&gt;0,S192*100/R192,0)</f>
        <v>0</v>
      </c>
    </row>
    <row r="193" spans="1:21" ht="18.75" hidden="1">
      <c r="A193" s="155"/>
      <c r="B193" s="50"/>
      <c r="C193" s="50"/>
      <c r="D193" s="50"/>
      <c r="E193" s="186" t="s">
        <v>20</v>
      </c>
      <c r="F193" s="50"/>
      <c r="G193" s="52"/>
      <c r="H193" s="189" t="s">
        <v>14</v>
      </c>
      <c r="I193" s="163"/>
      <c r="J193" s="163"/>
      <c r="K193" s="164"/>
      <c r="L193" s="103">
        <v>0</v>
      </c>
      <c r="M193" s="102">
        <v>0</v>
      </c>
      <c r="N193" s="102">
        <v>0</v>
      </c>
      <c r="O193" s="102">
        <f>IF(L193&gt;0,N193*100/L193,0)</f>
        <v>0</v>
      </c>
      <c r="P193" s="102">
        <f>IF(M193&gt;0,N193*100/M193,0)</f>
        <v>0</v>
      </c>
      <c r="Q193" s="102">
        <v>0</v>
      </c>
      <c r="R193" s="102">
        <v>0</v>
      </c>
      <c r="S193" s="102">
        <v>0</v>
      </c>
      <c r="T193" s="102">
        <f>IF(Q193&gt;0,S193*100/Q193,0)</f>
        <v>0</v>
      </c>
      <c r="U193" s="102">
        <f>IF(R193&gt;0,S193*100/R193,0)</f>
        <v>0</v>
      </c>
    </row>
    <row r="194" spans="1:21" ht="18.75" hidden="1">
      <c r="A194" s="155"/>
      <c r="B194" s="50"/>
      <c r="C194" s="50"/>
      <c r="D194" s="50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256">
        <f ca="1">IFERROR(__xludf.DUMMYFUNCTION("IMPORTRANGE(""https://docs.google.com/spreadsheets/d/1-uDff_7J0KD5mKrp0Vvzr7lt3OU09vwQwhkpOPPYv2Y/edit?usp=sharing"",""งบพรบ!CX34"")"),0)</f>
        <v>0</v>
      </c>
      <c r="M194" s="255">
        <f ca="1">IFERROR(__xludf.DUMMYFUNCTION("IMPORTRANGE(""https://docs.google.com/spreadsheets/d/1-uDff_7J0KD5mKrp0Vvzr7lt3OU09vwQwhkpOPPYv2Y/edit?usp=sharing"",""งบพรบ!DA34"")"),0)</f>
        <v>0</v>
      </c>
      <c r="N194" s="255">
        <f ca="1">IFERROR(__xludf.DUMMYFUNCTION("IMPORTRANGE(""https://docs.google.com/spreadsheets/d/1-uDff_7J0KD5mKrp0Vvzr7lt3OU09vwQwhkpOPPYv2Y/edit?usp=sharing"",""งบพรบ!DC34"")"),0)</f>
        <v>0</v>
      </c>
      <c r="O194" s="255">
        <f ca="1">IF(L194&gt;0,N194*100/L194,0)</f>
        <v>0</v>
      </c>
      <c r="P194" s="255">
        <f ca="1">IF(M194&gt;0,N194*100/M194,0)</f>
        <v>0</v>
      </c>
      <c r="Q194" s="255">
        <v>0</v>
      </c>
      <c r="R194" s="255">
        <v>0</v>
      </c>
      <c r="S194" s="255">
        <v>0</v>
      </c>
      <c r="T194" s="255">
        <f>IF(Q194&gt;0,S194*100/Q194,0)</f>
        <v>0</v>
      </c>
      <c r="U194" s="255">
        <f>IF(R194&gt;0,S194*100/R194,0)</f>
        <v>0</v>
      </c>
    </row>
    <row r="195" spans="1:21" ht="19.5">
      <c r="A195" s="241"/>
      <c r="B195" s="242"/>
      <c r="C195" s="243" t="s">
        <v>78</v>
      </c>
      <c r="D195" s="244"/>
      <c r="E195" s="244"/>
      <c r="F195" s="244"/>
      <c r="G195" s="245"/>
      <c r="H195" s="246" t="s">
        <v>79</v>
      </c>
      <c r="I195" s="339">
        <f ca="1">I198</f>
        <v>4</v>
      </c>
      <c r="J195" s="339">
        <f>J198</f>
        <v>2</v>
      </c>
      <c r="K195" s="340">
        <f ca="1">IF(I195&gt;0,J195*100/I195,0)</f>
        <v>50</v>
      </c>
      <c r="L195" s="250"/>
      <c r="M195" s="249"/>
      <c r="N195" s="249"/>
      <c r="O195" s="249"/>
      <c r="P195" s="249"/>
      <c r="Q195" s="249"/>
      <c r="R195" s="249"/>
      <c r="S195" s="249"/>
      <c r="T195" s="249"/>
      <c r="U195" s="249"/>
    </row>
    <row r="196" spans="1:21" ht="19.5">
      <c r="A196" s="155"/>
      <c r="B196" s="50"/>
      <c r="C196" s="156" t="s">
        <v>18</v>
      </c>
      <c r="D196" s="713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541">
        <f ca="1">IFERROR(__xludf.DUMMYFUNCTION("IMPORTRANGE(""https://docs.google.com/spreadsheets/d/1eHaY18a8A9IcSdp1K8H6x8fbOy06t2VsZHhMHf-1x7Y/edit?usp=sharing"",""แผน!AB34"")"),6000)</f>
        <v>6000</v>
      </c>
      <c r="M196" s="55"/>
      <c r="N196" s="716">
        <v>1860</v>
      </c>
      <c r="O196" s="540">
        <f ca="1">IF(L196&gt;0,N196*100/L196,0)</f>
        <v>31</v>
      </c>
      <c r="P196" s="540">
        <f>IF(M196&gt;0,N196*100/M196,0)</f>
        <v>0</v>
      </c>
      <c r="Q196" s="55"/>
      <c r="R196" s="55"/>
      <c r="S196" s="55"/>
      <c r="T196" s="55"/>
      <c r="U196" s="55"/>
    </row>
    <row r="197" spans="1:21" ht="19.5">
      <c r="A197" s="166"/>
      <c r="B197" s="167"/>
      <c r="C197" s="156" t="s">
        <v>18</v>
      </c>
      <c r="D197" s="566" t="s">
        <v>38</v>
      </c>
      <c r="E197" s="169"/>
      <c r="F197" s="169"/>
      <c r="G197" s="170"/>
      <c r="H197" s="171"/>
      <c r="I197" s="54"/>
      <c r="J197" s="54"/>
      <c r="K197" s="55"/>
      <c r="L197" s="62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8.75">
      <c r="A198" s="166"/>
      <c r="B198" s="167"/>
      <c r="C198" s="167"/>
      <c r="D198" s="178" t="s">
        <v>80</v>
      </c>
      <c r="E198" s="174"/>
      <c r="F198" s="174"/>
      <c r="G198" s="171"/>
      <c r="H198" s="179" t="s">
        <v>79</v>
      </c>
      <c r="I198" s="212">
        <f ca="1">IFERROR(__xludf.DUMMYFUNCTION("IMPORTRANGE(""https://docs.google.com/spreadsheets/d/1eHaY18a8A9IcSdp1K8H6x8fbOy06t2VsZHhMHf-1x7Y/edit?usp=sharing"",""แผน!AE34"")"),4)</f>
        <v>4</v>
      </c>
      <c r="J198" s="467">
        <v>2</v>
      </c>
      <c r="K198" s="255">
        <f ca="1">IF(I198&gt;0,J198*100/I198,0)</f>
        <v>50</v>
      </c>
      <c r="L198" s="62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8.75">
      <c r="A199" s="166"/>
      <c r="B199" s="167"/>
      <c r="C199" s="167"/>
      <c r="D199" s="178" t="s">
        <v>81</v>
      </c>
      <c r="E199" s="174"/>
      <c r="F199" s="174"/>
      <c r="G199" s="171"/>
      <c r="H199" s="240" t="s">
        <v>35</v>
      </c>
      <c r="I199" s="54"/>
      <c r="J199" s="212">
        <f>J200+J201</f>
        <v>53</v>
      </c>
      <c r="K199" s="55"/>
      <c r="L199" s="62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467">
        <v>53</v>
      </c>
      <c r="K200" s="55"/>
      <c r="L200" s="62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40" t="s">
        <v>35</v>
      </c>
      <c r="I201" s="54"/>
      <c r="J201" s="467">
        <v>0</v>
      </c>
      <c r="K201" s="55"/>
      <c r="L201" s="62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254" t="s">
        <v>85</v>
      </c>
      <c r="I202" s="339">
        <f ca="1">I209</f>
        <v>3</v>
      </c>
      <c r="J202" s="339">
        <f>J209</f>
        <v>0</v>
      </c>
      <c r="K202" s="340">
        <f ca="1">IF(I202&gt;0,J202*100/I202,0)</f>
        <v>0</v>
      </c>
      <c r="L202" s="250"/>
      <c r="M202" s="249"/>
      <c r="N202" s="249"/>
      <c r="O202" s="249"/>
      <c r="P202" s="249"/>
      <c r="Q202" s="249"/>
      <c r="R202" s="249"/>
      <c r="S202" s="249"/>
      <c r="T202" s="249"/>
      <c r="U202" s="249"/>
    </row>
    <row r="203" spans="1:21" ht="19.5">
      <c r="A203" s="155"/>
      <c r="B203" s="50"/>
      <c r="C203" s="156" t="s">
        <v>18</v>
      </c>
      <c r="D203" s="713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541">
        <f ca="1">L204+L205+L206+L207</f>
        <v>10000</v>
      </c>
      <c r="M203" s="55"/>
      <c r="N203" s="540">
        <f>N204+N205+N206+N207</f>
        <v>0</v>
      </c>
      <c r="O203" s="540">
        <f ca="1">IF(L203&gt;0,N203*100/L203,0)</f>
        <v>0</v>
      </c>
      <c r="P203" s="540">
        <f>IF(M203&gt;0,N203*100/M203,0)</f>
        <v>0</v>
      </c>
      <c r="Q203" s="715">
        <f ca="1">Q204+Q205+Q206+Q207</f>
        <v>42000</v>
      </c>
      <c r="R203" s="350"/>
      <c r="S203" s="714">
        <f>S204+S205+S206+S207</f>
        <v>0</v>
      </c>
      <c r="T203" s="714">
        <f ca="1">IF(Q203&gt;0,S203*100/Q203,0)</f>
        <v>0</v>
      </c>
      <c r="U203" s="714">
        <f>IF(R203&gt;0,S203*100/R203,0)</f>
        <v>0</v>
      </c>
    </row>
    <row r="204" spans="1:21" ht="18.75">
      <c r="A204" s="155"/>
      <c r="B204" s="188"/>
      <c r="C204" s="50"/>
      <c r="D204" s="712" t="s">
        <v>310</v>
      </c>
      <c r="E204" s="50"/>
      <c r="F204" s="50"/>
      <c r="G204" s="52"/>
      <c r="H204" s="162" t="s">
        <v>14</v>
      </c>
      <c r="I204" s="163"/>
      <c r="J204" s="163"/>
      <c r="K204" s="164"/>
      <c r="L204" s="256">
        <f ca="1">IFERROR(__xludf.DUMMYFUNCTION("IMPORTRANGE(""https://docs.google.com/spreadsheets/d/1eHaY18a8A9IcSdp1K8H6x8fbOy06t2VsZHhMHf-1x7Y/edit?usp=sharing"",""แผน!AG34"")"),2000)</f>
        <v>2000</v>
      </c>
      <c r="M204" s="55"/>
      <c r="N204" s="702">
        <v>0</v>
      </c>
      <c r="O204" s="164"/>
      <c r="P204" s="55"/>
      <c r="Q204" s="256">
        <v>0</v>
      </c>
      <c r="R204" s="55"/>
      <c r="S204" s="255">
        <v>0</v>
      </c>
      <c r="T204" s="164"/>
      <c r="U204" s="55"/>
    </row>
    <row r="205" spans="1:21" ht="18.75">
      <c r="A205" s="238"/>
      <c r="B205" s="188"/>
      <c r="C205" s="50"/>
      <c r="D205" s="58" t="s">
        <v>308</v>
      </c>
      <c r="E205" s="50"/>
      <c r="F205" s="50"/>
      <c r="G205" s="52"/>
      <c r="H205" s="53" t="s">
        <v>14</v>
      </c>
      <c r="I205" s="54"/>
      <c r="J205" s="54"/>
      <c r="K205" s="55"/>
      <c r="L205" s="256">
        <f ca="1">IFERROR(__xludf.DUMMYFUNCTION("IMPORTRANGE(""https://docs.google.com/spreadsheets/d/1eHaY18a8A9IcSdp1K8H6x8fbOy06t2VsZHhMHf-1x7Y/edit?usp=sharing"",""แผน!AH34"")"),0)</f>
        <v>0</v>
      </c>
      <c r="M205" s="55"/>
      <c r="N205" s="702">
        <v>0</v>
      </c>
      <c r="O205" s="164"/>
      <c r="P205" s="55"/>
      <c r="Q205" s="256">
        <v>0</v>
      </c>
      <c r="R205" s="55"/>
      <c r="S205" s="255">
        <v>0</v>
      </c>
      <c r="T205" s="164"/>
      <c r="U205" s="55"/>
    </row>
    <row r="206" spans="1:21" ht="18.75">
      <c r="A206" s="238"/>
      <c r="B206" s="188"/>
      <c r="C206" s="50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256">
        <f ca="1">IFERROR(__xludf.DUMMYFUNCTION("IMPORTRANGE(""https://docs.google.com/spreadsheets/d/1eHaY18a8A9IcSdp1K8H6x8fbOy06t2VsZHhMHf-1x7Y/edit?usp=sharing"",""แผน!AI34"")"),0)</f>
        <v>0</v>
      </c>
      <c r="M206" s="55"/>
      <c r="N206" s="702">
        <v>0</v>
      </c>
      <c r="O206" s="164"/>
      <c r="P206" s="55"/>
      <c r="Q206" s="256">
        <f ca="1">IFERROR(__xludf.DUMMYFUNCTION("IMPORTRANGE(""https://docs.google.com/spreadsheets/d/1eHaY18a8A9IcSdp1K8H6x8fbOy06t2VsZHhMHf-1x7Y/edit?usp=sharing"",""แผน!LV34"")"),42000)</f>
        <v>42000</v>
      </c>
      <c r="R206" s="55"/>
      <c r="S206" s="702">
        <v>0</v>
      </c>
      <c r="T206" s="164"/>
      <c r="U206" s="55"/>
    </row>
    <row r="207" spans="1:21" ht="18.75">
      <c r="A207" s="238"/>
      <c r="B207" s="188"/>
      <c r="C207" s="50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256">
        <f ca="1">IFERROR(__xludf.DUMMYFUNCTION("IMPORTRANGE(""https://docs.google.com/spreadsheets/d/1eHaY18a8A9IcSdp1K8H6x8fbOy06t2VsZHhMHf-1x7Y/edit?usp=sharing"",""แผน!AJ34"")"),8000)</f>
        <v>8000</v>
      </c>
      <c r="M207" s="55"/>
      <c r="N207" s="702">
        <v>0</v>
      </c>
      <c r="O207" s="164"/>
      <c r="P207" s="55"/>
      <c r="Q207" s="256">
        <v>0</v>
      </c>
      <c r="R207" s="55"/>
      <c r="S207" s="255">
        <v>0</v>
      </c>
      <c r="T207" s="164"/>
      <c r="U207" s="55"/>
    </row>
    <row r="208" spans="1:21" ht="19.5">
      <c r="A208" s="166"/>
      <c r="B208" s="167"/>
      <c r="C208" s="156" t="s">
        <v>18</v>
      </c>
      <c r="D208" s="566" t="s">
        <v>38</v>
      </c>
      <c r="E208" s="169"/>
      <c r="F208" s="169"/>
      <c r="G208" s="170"/>
      <c r="H208" s="171"/>
      <c r="I208" s="163"/>
      <c r="J208" s="163"/>
      <c r="K208" s="164"/>
      <c r="L208" s="172"/>
      <c r="M208" s="164"/>
      <c r="N208" s="164"/>
      <c r="O208" s="164"/>
      <c r="P208" s="164"/>
      <c r="Q208" s="172"/>
      <c r="R208" s="164"/>
      <c r="S208" s="164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257" t="s">
        <v>85</v>
      </c>
      <c r="I209" s="212">
        <f ca="1">IFERROR(__xludf.DUMMYFUNCTION("IMPORTRANGE(""https://docs.google.com/spreadsheets/d/1eHaY18a8A9IcSdp1K8H6x8fbOy06t2VsZHhMHf-1x7Y/edit?usp=sharing"",""แผน!AK34"")"),3)</f>
        <v>3</v>
      </c>
      <c r="J209" s="467">
        <v>0</v>
      </c>
      <c r="K209" s="565">
        <f ca="1">IF(I209&gt;0,J209*100/I209,0)</f>
        <v>0</v>
      </c>
      <c r="L209" s="62"/>
      <c r="M209" s="55"/>
      <c r="N209" s="55"/>
      <c r="O209" s="55"/>
      <c r="P209" s="55"/>
      <c r="Q209" s="62"/>
      <c r="R209" s="55"/>
      <c r="S209" s="55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171"/>
      <c r="I210" s="54"/>
      <c r="J210" s="54"/>
      <c r="K210" s="164"/>
      <c r="L210" s="62"/>
      <c r="M210" s="55"/>
      <c r="N210" s="55"/>
      <c r="O210" s="55"/>
      <c r="P210" s="55"/>
      <c r="Q210" s="62"/>
      <c r="R210" s="55"/>
      <c r="S210" s="55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257" t="s">
        <v>85</v>
      </c>
      <c r="I211" s="212">
        <f ca="1">IFERROR(__xludf.DUMMYFUNCTION("IMPORTRANGE(""https://docs.google.com/spreadsheets/d/1eHaY18a8A9IcSdp1K8H6x8fbOy06t2VsZHhMHf-1x7Y/edit?usp=sharing"",""แผน!JX34"")"),2)</f>
        <v>2</v>
      </c>
      <c r="J211" s="467">
        <v>0</v>
      </c>
      <c r="K211" s="565">
        <f ca="1">IF(I211&gt;0,J211*100/I211,0)</f>
        <v>0</v>
      </c>
      <c r="L211" s="62"/>
      <c r="M211" s="55"/>
      <c r="N211" s="55"/>
      <c r="O211" s="55"/>
      <c r="P211" s="55"/>
      <c r="Q211" s="62"/>
      <c r="R211" s="55"/>
      <c r="S211" s="55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79" t="s">
        <v>93</v>
      </c>
      <c r="I212" s="212">
        <f ca="1">IFERROR(__xludf.DUMMYFUNCTION("IMPORTRANGE(""https://docs.google.com/spreadsheets/d/1eHaY18a8A9IcSdp1K8H6x8fbOy06t2VsZHhMHf-1x7Y/edit?usp=sharing"",""แผน!JY34"")"),0)</f>
        <v>0</v>
      </c>
      <c r="J212" s="467">
        <v>0</v>
      </c>
      <c r="K212" s="565">
        <f ca="1">IF(I212&gt;0,J212*100/I212,0)</f>
        <v>0</v>
      </c>
      <c r="L212" s="62"/>
      <c r="M212" s="55"/>
      <c r="N212" s="55"/>
      <c r="O212" s="55"/>
      <c r="P212" s="55"/>
      <c r="Q212" s="62"/>
      <c r="R212" s="55"/>
      <c r="S212" s="55"/>
      <c r="T212" s="55"/>
      <c r="U212" s="55"/>
    </row>
    <row r="213" spans="1:21" ht="19.5" hidden="1">
      <c r="A213" s="241"/>
      <c r="B213" s="242"/>
      <c r="C213" s="243" t="s">
        <v>94</v>
      </c>
      <c r="D213" s="244"/>
      <c r="E213" s="244"/>
      <c r="F213" s="244"/>
      <c r="G213" s="245"/>
      <c r="H213" s="254" t="s">
        <v>85</v>
      </c>
      <c r="I213" s="339">
        <f ca="1">I220</f>
        <v>0</v>
      </c>
      <c r="J213" s="339">
        <f>J220</f>
        <v>0</v>
      </c>
      <c r="K213" s="340">
        <f ca="1">IF(I213&gt;0,J213*100/I213,0)</f>
        <v>0</v>
      </c>
      <c r="L213" s="250"/>
      <c r="M213" s="249"/>
      <c r="N213" s="249"/>
      <c r="O213" s="249"/>
      <c r="P213" s="249"/>
      <c r="Q213" s="250"/>
      <c r="R213" s="249"/>
      <c r="S213" s="249"/>
      <c r="T213" s="249"/>
      <c r="U213" s="249"/>
    </row>
    <row r="214" spans="1:21" ht="19.5" hidden="1">
      <c r="A214" s="155"/>
      <c r="B214" s="50"/>
      <c r="C214" s="156" t="s">
        <v>18</v>
      </c>
      <c r="D214" s="713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541">
        <f ca="1">L215+L216+L217</f>
        <v>0</v>
      </c>
      <c r="M214" s="55"/>
      <c r="N214" s="540">
        <f>N215+N216+N217</f>
        <v>0</v>
      </c>
      <c r="O214" s="540">
        <f ca="1">IF(L214&gt;0,N214*100/L214,0)</f>
        <v>0</v>
      </c>
      <c r="P214" s="540">
        <f>IF(M214&gt;0,N214*100/M214,0)</f>
        <v>0</v>
      </c>
      <c r="Q214" s="541">
        <f ca="1">Q215+Q216+Q217</f>
        <v>0</v>
      </c>
      <c r="R214" s="55"/>
      <c r="S214" s="540">
        <f>S215+S216+S217</f>
        <v>0</v>
      </c>
      <c r="T214" s="540">
        <f ca="1">IF(Q214&gt;0,S214*100/Q214,0)</f>
        <v>0</v>
      </c>
      <c r="U214" s="540">
        <f>IF(R214&gt;0,S214*100/R214,0)</f>
        <v>0</v>
      </c>
    </row>
    <row r="215" spans="1:21" ht="18.75" hidden="1">
      <c r="A215" s="155"/>
      <c r="B215" s="188"/>
      <c r="C215" s="50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256">
        <f ca="1">IFERROR(__xludf.DUMMYFUNCTION("IMPORTRANGE(""https://docs.google.com/spreadsheets/d/1eHaY18a8A9IcSdp1K8H6x8fbOy06t2VsZHhMHf-1x7Y/edit?usp=sharing"",""แผน!AM34"")"),0)</f>
        <v>0</v>
      </c>
      <c r="M215" s="55"/>
      <c r="N215" s="702">
        <v>0</v>
      </c>
      <c r="O215" s="164"/>
      <c r="P215" s="55"/>
      <c r="Q215" s="256">
        <v>0</v>
      </c>
      <c r="R215" s="55"/>
      <c r="S215" s="255">
        <v>0</v>
      </c>
      <c r="T215" s="164"/>
      <c r="U215" s="55"/>
    </row>
    <row r="216" spans="1:21" ht="18.75" hidden="1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256">
        <f ca="1">IFERROR(__xludf.DUMMYFUNCTION("IMPORTRANGE(""https://docs.google.com/spreadsheets/d/1eHaY18a8A9IcSdp1K8H6x8fbOy06t2VsZHhMHf-1x7Y/edit?usp=sharing"",""แผน!AN34"")"),0)</f>
        <v>0</v>
      </c>
      <c r="M216" s="55"/>
      <c r="N216" s="702">
        <v>0</v>
      </c>
      <c r="O216" s="164"/>
      <c r="P216" s="55"/>
      <c r="Q216" s="256">
        <v>0</v>
      </c>
      <c r="R216" s="55"/>
      <c r="S216" s="255">
        <v>0</v>
      </c>
      <c r="T216" s="164"/>
      <c r="U216" s="55"/>
    </row>
    <row r="217" spans="1:21" ht="18.75" hidden="1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256">
        <f ca="1">IFERROR(__xludf.DUMMYFUNCTION("IMPORTRANGE(""https://docs.google.com/spreadsheets/d/1eHaY18a8A9IcSdp1K8H6x8fbOy06t2VsZHhMHf-1x7Y/edit?usp=sharing"",""แผน!AO34"")"),0)</f>
        <v>0</v>
      </c>
      <c r="M217" s="55"/>
      <c r="N217" s="702">
        <v>0</v>
      </c>
      <c r="O217" s="164"/>
      <c r="P217" s="55"/>
      <c r="Q217" s="256">
        <f ca="1">IFERROR(__xludf.DUMMYFUNCTION("IMPORTRANGE(""https://docs.google.com/spreadsheets/d/1eHaY18a8A9IcSdp1K8H6x8fbOy06t2VsZHhMHf-1x7Y/edit?usp=sharing"",""แผน!LY34"")"),0)</f>
        <v>0</v>
      </c>
      <c r="R217" s="55"/>
      <c r="S217" s="702">
        <v>0</v>
      </c>
      <c r="T217" s="164"/>
      <c r="U217" s="55"/>
    </row>
    <row r="218" spans="1:21" ht="19.5" hidden="1">
      <c r="A218" s="166"/>
      <c r="B218" s="167"/>
      <c r="C218" s="191" t="s">
        <v>18</v>
      </c>
      <c r="D218" s="566" t="s">
        <v>38</v>
      </c>
      <c r="E218" s="169"/>
      <c r="F218" s="169"/>
      <c r="G218" s="170"/>
      <c r="H218" s="171"/>
      <c r="I218" s="163"/>
      <c r="J218" s="54"/>
      <c r="K218" s="55"/>
      <c r="L218" s="62"/>
      <c r="M218" s="55"/>
      <c r="N218" s="55"/>
      <c r="O218" s="164"/>
      <c r="P218" s="164"/>
      <c r="Q218" s="62"/>
      <c r="R218" s="55"/>
      <c r="S218" s="55"/>
      <c r="T218" s="164"/>
      <c r="U218" s="164"/>
    </row>
    <row r="219" spans="1:21" ht="18.75" hidden="1">
      <c r="A219" s="166"/>
      <c r="B219" s="167"/>
      <c r="C219" s="167"/>
      <c r="D219" s="173" t="s">
        <v>96</v>
      </c>
      <c r="E219" s="174"/>
      <c r="F219" s="174"/>
      <c r="G219" s="171"/>
      <c r="H219" s="257" t="s">
        <v>85</v>
      </c>
      <c r="I219" s="212">
        <f ca="1">IFERROR(__xludf.DUMMYFUNCTION("IMPORTRANGE(""https://docs.google.com/spreadsheets/d/1eHaY18a8A9IcSdp1K8H6x8fbOy06t2VsZHhMHf-1x7Y/edit?usp=sharing"",""แผน!AP34"")"),0)</f>
        <v>0</v>
      </c>
      <c r="J219" s="467">
        <v>0</v>
      </c>
      <c r="K219" s="255">
        <f ca="1">IF(I219&gt;0,J219*100/I219,0)</f>
        <v>0</v>
      </c>
      <c r="L219" s="62"/>
      <c r="M219" s="55"/>
      <c r="N219" s="55"/>
      <c r="O219" s="55"/>
      <c r="P219" s="55"/>
      <c r="Q219" s="62"/>
      <c r="R219" s="55"/>
      <c r="S219" s="55"/>
      <c r="T219" s="55"/>
      <c r="U219" s="55"/>
    </row>
    <row r="220" spans="1:21" ht="18.75" hidden="1">
      <c r="A220" s="166"/>
      <c r="B220" s="167"/>
      <c r="C220" s="167"/>
      <c r="D220" s="173" t="s">
        <v>97</v>
      </c>
      <c r="E220" s="174"/>
      <c r="F220" s="174"/>
      <c r="G220" s="171"/>
      <c r="H220" s="257" t="s">
        <v>85</v>
      </c>
      <c r="I220" s="212">
        <f ca="1">IFERROR(__xludf.DUMMYFUNCTION("IMPORTRANGE(""https://docs.google.com/spreadsheets/d/1eHaY18a8A9IcSdp1K8H6x8fbOy06t2VsZHhMHf-1x7Y/edit?usp=sharing"",""แผน!AP34"")"),0)</f>
        <v>0</v>
      </c>
      <c r="J220" s="467">
        <v>0</v>
      </c>
      <c r="K220" s="255">
        <f ca="1">IF(I220&gt;0,J220*100/I220,0)</f>
        <v>0</v>
      </c>
      <c r="L220" s="62"/>
      <c r="M220" s="55"/>
      <c r="N220" s="55"/>
      <c r="O220" s="55"/>
      <c r="P220" s="55"/>
      <c r="Q220" s="62"/>
      <c r="R220" s="55"/>
      <c r="S220" s="55"/>
      <c r="T220" s="55"/>
      <c r="U220" s="55"/>
    </row>
    <row r="221" spans="1:21" ht="19.5">
      <c r="A221" s="241"/>
      <c r="B221" s="242"/>
      <c r="C221" s="243" t="s">
        <v>98</v>
      </c>
      <c r="D221" s="244"/>
      <c r="E221" s="244"/>
      <c r="F221" s="244"/>
      <c r="G221" s="245"/>
      <c r="H221" s="246" t="s">
        <v>99</v>
      </c>
      <c r="I221" s="339">
        <f ca="1">I229</f>
        <v>50000</v>
      </c>
      <c r="J221" s="339">
        <f>J229</f>
        <v>0</v>
      </c>
      <c r="K221" s="340">
        <f ca="1">IF(I221&gt;0,J221*100/I221,0)</f>
        <v>0</v>
      </c>
      <c r="L221" s="250"/>
      <c r="M221" s="249"/>
      <c r="N221" s="249"/>
      <c r="O221" s="249"/>
      <c r="P221" s="249"/>
      <c r="Q221" s="249"/>
      <c r="R221" s="249"/>
      <c r="S221" s="249"/>
      <c r="T221" s="249"/>
      <c r="U221" s="249"/>
    </row>
    <row r="222" spans="1:21" ht="19.5">
      <c r="A222" s="155"/>
      <c r="B222" s="50"/>
      <c r="C222" s="156" t="s">
        <v>18</v>
      </c>
      <c r="D222" s="713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541">
        <f ca="1">L223+L224+L225</f>
        <v>8500</v>
      </c>
      <c r="M222" s="55"/>
      <c r="N222" s="540">
        <f>N223+N224+N225</f>
        <v>0</v>
      </c>
      <c r="O222" s="540">
        <f ca="1">IF(L222&gt;0,N222*100/L222,0)</f>
        <v>0</v>
      </c>
      <c r="P222" s="540">
        <f>IF(M222&gt;0,N222*100/M222,0)</f>
        <v>0</v>
      </c>
      <c r="Q222" s="55"/>
      <c r="R222" s="55"/>
      <c r="S222" s="55"/>
      <c r="T222" s="55"/>
      <c r="U222" s="55"/>
    </row>
    <row r="223" spans="1:21" ht="18.75">
      <c r="A223" s="155"/>
      <c r="B223" s="188"/>
      <c r="C223" s="50"/>
      <c r="D223" s="712" t="s">
        <v>309</v>
      </c>
      <c r="E223" s="50"/>
      <c r="F223" s="50"/>
      <c r="G223" s="52"/>
      <c r="H223" s="162" t="s">
        <v>14</v>
      </c>
      <c r="I223" s="163"/>
      <c r="J223" s="163"/>
      <c r="K223" s="164"/>
      <c r="L223" s="256">
        <f ca="1">IFERROR(__xludf.DUMMYFUNCTION("IMPORTRANGE(""https://docs.google.com/spreadsheets/d/1eHaY18a8A9IcSdp1K8H6x8fbOy06t2VsZHhMHf-1x7Y/edit?usp=sharing"",""แผน!AR34"")"),2500)</f>
        <v>2500</v>
      </c>
      <c r="M223" s="55"/>
      <c r="N223" s="702">
        <v>0</v>
      </c>
      <c r="O223" s="164"/>
      <c r="P223" s="55"/>
      <c r="Q223" s="55"/>
      <c r="R223" s="55"/>
      <c r="S223" s="55"/>
      <c r="T223" s="164"/>
      <c r="U223" s="55"/>
    </row>
    <row r="224" spans="1:21" ht="18.75">
      <c r="A224" s="238"/>
      <c r="B224" s="188"/>
      <c r="C224" s="188"/>
      <c r="D224" s="58" t="s">
        <v>308</v>
      </c>
      <c r="E224" s="50"/>
      <c r="F224" s="50"/>
      <c r="G224" s="52"/>
      <c r="H224" s="162" t="s">
        <v>14</v>
      </c>
      <c r="I224" s="54"/>
      <c r="J224" s="54"/>
      <c r="K224" s="55"/>
      <c r="L224" s="256">
        <f ca="1">IFERROR(__xludf.DUMMYFUNCTION("IMPORTRANGE(""https://docs.google.com/spreadsheets/d/1eHaY18a8A9IcSdp1K8H6x8fbOy06t2VsZHhMHf-1x7Y/edit?usp=sharing"",""แผน!AS34"")"),6000)</f>
        <v>6000</v>
      </c>
      <c r="M224" s="55"/>
      <c r="N224" s="702">
        <v>0</v>
      </c>
      <c r="O224" s="164"/>
      <c r="P224" s="55"/>
      <c r="Q224" s="55"/>
      <c r="R224" s="55"/>
      <c r="S224" s="55"/>
      <c r="T224" s="164"/>
      <c r="U224" s="55"/>
    </row>
    <row r="225" spans="1:21" ht="18.75">
      <c r="A225" s="238"/>
      <c r="B225" s="188"/>
      <c r="C225" s="188"/>
      <c r="D225" s="58" t="s">
        <v>88</v>
      </c>
      <c r="E225" s="50"/>
      <c r="F225" s="50"/>
      <c r="G225" s="52"/>
      <c r="H225" s="162" t="s">
        <v>14</v>
      </c>
      <c r="I225" s="54"/>
      <c r="J225" s="54"/>
      <c r="K225" s="55"/>
      <c r="L225" s="256">
        <f ca="1">IFERROR(__xludf.DUMMYFUNCTION("IMPORTRANGE(""https://docs.google.com/spreadsheets/d/1eHaY18a8A9IcSdp1K8H6x8fbOy06t2VsZHhMHf-1x7Y/edit?usp=sharing"",""แผน!AT34"")"),0)</f>
        <v>0</v>
      </c>
      <c r="M225" s="55"/>
      <c r="N225" s="702">
        <v>0</v>
      </c>
      <c r="O225" s="164"/>
      <c r="P225" s="55"/>
      <c r="Q225" s="55"/>
      <c r="R225" s="55"/>
      <c r="S225" s="55"/>
      <c r="T225" s="164"/>
      <c r="U225" s="55"/>
    </row>
    <row r="226" spans="1:21" ht="19.5">
      <c r="A226" s="166"/>
      <c r="B226" s="167"/>
      <c r="C226" s="191" t="s">
        <v>18</v>
      </c>
      <c r="D226" s="566" t="s">
        <v>38</v>
      </c>
      <c r="E226" s="169"/>
      <c r="F226" s="169"/>
      <c r="G226" s="170"/>
      <c r="H226" s="171"/>
      <c r="I226" s="163"/>
      <c r="J226" s="163"/>
      <c r="K226" s="164"/>
      <c r="L226" s="172"/>
      <c r="M226" s="164"/>
      <c r="N226" s="164"/>
      <c r="O226" s="164"/>
      <c r="P226" s="164"/>
      <c r="Q226" s="164"/>
      <c r="R226" s="164"/>
      <c r="S226" s="164"/>
      <c r="T226" s="164"/>
      <c r="U226" s="164"/>
    </row>
    <row r="227" spans="1:21" ht="18.75">
      <c r="A227" s="166"/>
      <c r="B227" s="167"/>
      <c r="C227" s="167"/>
      <c r="D227" s="58" t="s">
        <v>101</v>
      </c>
      <c r="E227" s="174"/>
      <c r="F227" s="174"/>
      <c r="G227" s="171"/>
      <c r="H227" s="171"/>
      <c r="I227" s="54"/>
      <c r="J227" s="54"/>
      <c r="K227" s="164"/>
      <c r="L227" s="172"/>
      <c r="M227" s="164"/>
      <c r="N227" s="164"/>
      <c r="O227" s="164"/>
      <c r="P227" s="164"/>
      <c r="Q227" s="164"/>
      <c r="R227" s="164"/>
      <c r="S227" s="164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79" t="s">
        <v>99</v>
      </c>
      <c r="I228" s="212">
        <f ca="1">IFERROR(__xludf.DUMMYFUNCTION("IMPORTRANGE(""https://docs.google.com/spreadsheets/d/1eHaY18a8A9IcSdp1K8H6x8fbOy06t2VsZHhMHf-1x7Y/edit?usp=sharing"",""แผน!AV34"")"),50000)</f>
        <v>50000</v>
      </c>
      <c r="J228" s="467">
        <v>0</v>
      </c>
      <c r="K228" s="565">
        <f ca="1">IF(I228&gt;0,J228*100/I228,0)</f>
        <v>0</v>
      </c>
      <c r="L228" s="172"/>
      <c r="M228" s="164"/>
      <c r="N228" s="164"/>
      <c r="O228" s="164"/>
      <c r="P228" s="164"/>
      <c r="Q228" s="164"/>
      <c r="R228" s="164"/>
      <c r="S228" s="164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79" t="s">
        <v>99</v>
      </c>
      <c r="I229" s="212">
        <f ca="1">IFERROR(__xludf.DUMMYFUNCTION("IMPORTRANGE(""https://docs.google.com/spreadsheets/d/1eHaY18a8A9IcSdp1K8H6x8fbOy06t2VsZHhMHf-1x7Y/edit?usp=sharing"",""แผน!AV34"")"),50000)</f>
        <v>50000</v>
      </c>
      <c r="J229" s="467">
        <v>0</v>
      </c>
      <c r="K229" s="565">
        <f ca="1">IF(I229&gt;0,J229*100/I229,0)</f>
        <v>0</v>
      </c>
      <c r="L229" s="62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79" t="s">
        <v>35</v>
      </c>
      <c r="I230" s="212">
        <f ca="1">IFERROR(__xludf.DUMMYFUNCTION("IMPORTRANGE(""https://docs.google.com/spreadsheets/d/1eHaY18a8A9IcSdp1K8H6x8fbOy06t2VsZHhMHf-1x7Y/edit?usp=sharing"",""แผน!AU34"")"),0)</f>
        <v>0</v>
      </c>
      <c r="J230" s="467">
        <v>0</v>
      </c>
      <c r="K230" s="565">
        <f ca="1">IF(I230&gt;0,J230*100/I230,0)</f>
        <v>0</v>
      </c>
      <c r="L230" s="62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9.5" hidden="1">
      <c r="A231" s="241"/>
      <c r="B231" s="242"/>
      <c r="C231" s="243" t="s">
        <v>105</v>
      </c>
      <c r="D231" s="244"/>
      <c r="E231" s="244"/>
      <c r="F231" s="244"/>
      <c r="G231" s="245"/>
      <c r="H231" s="246" t="s">
        <v>35</v>
      </c>
      <c r="I231" s="339">
        <f ca="1">I242+I253</f>
        <v>0</v>
      </c>
      <c r="J231" s="339">
        <f>J242+J253</f>
        <v>0</v>
      </c>
      <c r="K231" s="340">
        <f ca="1">IF(I231&gt;0,J231*100/I231,0)</f>
        <v>0</v>
      </c>
      <c r="L231" s="250"/>
      <c r="M231" s="249"/>
      <c r="N231" s="249"/>
      <c r="O231" s="249"/>
      <c r="P231" s="249"/>
      <c r="Q231" s="249"/>
      <c r="R231" s="249"/>
      <c r="S231" s="249"/>
      <c r="T231" s="249"/>
      <c r="U231" s="249"/>
    </row>
    <row r="232" spans="1:21" ht="19.5" hidden="1">
      <c r="A232" s="155"/>
      <c r="B232" s="50"/>
      <c r="C232" s="156" t="s">
        <v>18</v>
      </c>
      <c r="D232" s="575" t="s">
        <v>19</v>
      </c>
      <c r="E232" s="50"/>
      <c r="F232" s="50"/>
      <c r="G232" s="52"/>
      <c r="H232" s="252" t="s">
        <v>14</v>
      </c>
      <c r="I232" s="163"/>
      <c r="J232" s="163"/>
      <c r="K232" s="164"/>
      <c r="L232" s="711">
        <f ca="1">L243+L254</f>
        <v>0</v>
      </c>
      <c r="M232" s="55"/>
      <c r="N232" s="710">
        <f>N243+N254</f>
        <v>0</v>
      </c>
      <c r="O232" s="55"/>
      <c r="P232" s="55"/>
      <c r="Q232" s="55"/>
      <c r="R232" s="55"/>
      <c r="S232" s="55"/>
      <c r="T232" s="55"/>
      <c r="U232" s="55"/>
    </row>
    <row r="233" spans="1:21" ht="18.75" hidden="1">
      <c r="A233" s="155"/>
      <c r="B233" s="188"/>
      <c r="C233" s="50"/>
      <c r="D233" s="58" t="s">
        <v>86</v>
      </c>
      <c r="E233" s="50"/>
      <c r="F233" s="50"/>
      <c r="G233" s="52"/>
      <c r="H233" s="162" t="s">
        <v>14</v>
      </c>
      <c r="I233" s="163"/>
      <c r="J233" s="163"/>
      <c r="K233" s="164"/>
      <c r="L233" s="103">
        <f ca="1">L244+L255</f>
        <v>0</v>
      </c>
      <c r="M233" s="55"/>
      <c r="N233" s="102">
        <f>N244+N255</f>
        <v>0</v>
      </c>
      <c r="O233" s="55"/>
      <c r="P233" s="55"/>
      <c r="Q233" s="709">
        <v>0</v>
      </c>
      <c r="R233" s="708">
        <v>0</v>
      </c>
      <c r="S233" s="708">
        <v>0</v>
      </c>
      <c r="T233" s="55"/>
      <c r="U233" s="55"/>
    </row>
    <row r="234" spans="1:21" ht="18.75" hidden="1">
      <c r="A234" s="238"/>
      <c r="B234" s="188"/>
      <c r="C234" s="188"/>
      <c r="D234" s="58" t="s">
        <v>88</v>
      </c>
      <c r="E234" s="50"/>
      <c r="F234" s="50"/>
      <c r="G234" s="52"/>
      <c r="H234" s="162" t="s">
        <v>14</v>
      </c>
      <c r="I234" s="54"/>
      <c r="J234" s="54"/>
      <c r="K234" s="55"/>
      <c r="L234" s="103">
        <f ca="1">L245+L256</f>
        <v>0</v>
      </c>
      <c r="M234" s="55"/>
      <c r="N234" s="102">
        <f>N245+N256</f>
        <v>0</v>
      </c>
      <c r="O234" s="55"/>
      <c r="P234" s="55"/>
      <c r="Q234" s="256">
        <v>0</v>
      </c>
      <c r="R234" s="255">
        <v>0</v>
      </c>
      <c r="S234" s="255">
        <v>0</v>
      </c>
      <c r="T234" s="55"/>
      <c r="U234" s="55"/>
    </row>
    <row r="235" spans="1:21" ht="18.75" hidden="1">
      <c r="A235" s="238"/>
      <c r="B235" s="188"/>
      <c r="C235" s="188"/>
      <c r="D235" s="58" t="s">
        <v>106</v>
      </c>
      <c r="E235" s="50"/>
      <c r="F235" s="50"/>
      <c r="G235" s="52"/>
      <c r="H235" s="162" t="s">
        <v>14</v>
      </c>
      <c r="I235" s="54"/>
      <c r="J235" s="54"/>
      <c r="K235" s="55"/>
      <c r="L235" s="103">
        <f ca="1">L246+L257</f>
        <v>0</v>
      </c>
      <c r="M235" s="55"/>
      <c r="N235" s="102">
        <f>N246+N257</f>
        <v>0</v>
      </c>
      <c r="O235" s="55"/>
      <c r="P235" s="55"/>
      <c r="Q235" s="256">
        <v>0</v>
      </c>
      <c r="R235" s="255">
        <v>0</v>
      </c>
      <c r="S235" s="255">
        <v>0</v>
      </c>
      <c r="T235" s="55"/>
      <c r="U235" s="55"/>
    </row>
    <row r="236" spans="1:21" ht="18.75" hidden="1">
      <c r="A236" s="238"/>
      <c r="B236" s="188"/>
      <c r="C236" s="188"/>
      <c r="D236" s="58" t="s">
        <v>107</v>
      </c>
      <c r="E236" s="50"/>
      <c r="F236" s="50"/>
      <c r="G236" s="52"/>
      <c r="H236" s="162" t="s">
        <v>14</v>
      </c>
      <c r="I236" s="54"/>
      <c r="J236" s="54"/>
      <c r="K236" s="55"/>
      <c r="L236" s="103">
        <f ca="1">L247+L258</f>
        <v>0</v>
      </c>
      <c r="M236" s="55"/>
      <c r="N236" s="102">
        <f>N247+N258</f>
        <v>0</v>
      </c>
      <c r="O236" s="55"/>
      <c r="P236" s="55"/>
      <c r="Q236" s="256">
        <v>0</v>
      </c>
      <c r="R236" s="255">
        <v>0</v>
      </c>
      <c r="S236" s="255">
        <v>0</v>
      </c>
      <c r="T236" s="55"/>
      <c r="U236" s="55"/>
    </row>
    <row r="237" spans="1:21" ht="19.5" hidden="1">
      <c r="A237" s="166"/>
      <c r="B237" s="167"/>
      <c r="C237" s="191" t="s">
        <v>18</v>
      </c>
      <c r="D237" s="566" t="s">
        <v>38</v>
      </c>
      <c r="E237" s="169"/>
      <c r="F237" s="169"/>
      <c r="G237" s="170"/>
      <c r="H237" s="171"/>
      <c r="I237" s="163"/>
      <c r="J237" s="54"/>
      <c r="K237" s="55"/>
      <c r="L237" s="62"/>
      <c r="M237" s="55"/>
      <c r="N237" s="55"/>
      <c r="O237" s="164"/>
      <c r="P237" s="164"/>
      <c r="Q237" s="55"/>
      <c r="R237" s="55"/>
      <c r="S237" s="55"/>
      <c r="T237" s="164"/>
      <c r="U237" s="164"/>
    </row>
    <row r="238" spans="1:21" ht="18.75" hidden="1">
      <c r="A238" s="166"/>
      <c r="B238" s="167"/>
      <c r="C238" s="167"/>
      <c r="D238" s="178" t="s">
        <v>108</v>
      </c>
      <c r="E238" s="174"/>
      <c r="F238" s="174"/>
      <c r="G238" s="171"/>
      <c r="H238" s="179" t="s">
        <v>35</v>
      </c>
      <c r="I238" s="212">
        <f ca="1">I249+I260</f>
        <v>0</v>
      </c>
      <c r="J238" s="212">
        <f>J249+J260</f>
        <v>0</v>
      </c>
      <c r="K238" s="255">
        <f ca="1">IF(I238&gt;0,J238*100/I238,0)</f>
        <v>0</v>
      </c>
      <c r="L238" s="62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ht="18.75" hidden="1">
      <c r="A239" s="166"/>
      <c r="B239" s="167"/>
      <c r="C239" s="167"/>
      <c r="D239" s="266" t="s">
        <v>43</v>
      </c>
      <c r="E239" s="174"/>
      <c r="F239" s="174"/>
      <c r="G239" s="171"/>
      <c r="H239" s="171"/>
      <c r="I239" s="54"/>
      <c r="J239" s="54"/>
      <c r="K239" s="55"/>
      <c r="L239" s="62"/>
      <c r="M239" s="55"/>
      <c r="N239" s="55"/>
      <c r="O239" s="164"/>
      <c r="P239" s="164"/>
      <c r="Q239" s="55"/>
      <c r="R239" s="55"/>
      <c r="S239" s="55"/>
      <c r="T239" s="164"/>
      <c r="U239" s="164"/>
    </row>
    <row r="240" spans="1:21" ht="18.75" hidden="1">
      <c r="A240" s="166"/>
      <c r="B240" s="167"/>
      <c r="C240" s="167"/>
      <c r="D240" s="167"/>
      <c r="E240" s="173" t="s">
        <v>109</v>
      </c>
      <c r="F240" s="174"/>
      <c r="G240" s="171"/>
      <c r="H240" s="179" t="s">
        <v>35</v>
      </c>
      <c r="I240" s="212">
        <f>I251+I262</f>
        <v>0</v>
      </c>
      <c r="J240" s="212">
        <f>J251+J262</f>
        <v>0</v>
      </c>
      <c r="K240" s="255">
        <f>IF(I240&gt;0,J240*100/I240,0)</f>
        <v>0</v>
      </c>
      <c r="L240" s="62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ht="18.75" hidden="1">
      <c r="A241" s="166"/>
      <c r="B241" s="167"/>
      <c r="C241" s="167"/>
      <c r="D241" s="167"/>
      <c r="E241" s="173" t="s">
        <v>110</v>
      </c>
      <c r="F241" s="174"/>
      <c r="G241" s="171"/>
      <c r="H241" s="179" t="s">
        <v>61</v>
      </c>
      <c r="I241" s="212">
        <f>I252+I263</f>
        <v>0</v>
      </c>
      <c r="J241" s="212">
        <f>J252+J263</f>
        <v>0</v>
      </c>
      <c r="K241" s="255">
        <f>IF(I241&gt;0,J241*100/I241,0)</f>
        <v>0</v>
      </c>
      <c r="L241" s="62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ht="19.5" hidden="1">
      <c r="A242" s="241"/>
      <c r="B242" s="242"/>
      <c r="C242" s="707" t="s">
        <v>111</v>
      </c>
      <c r="D242" s="244"/>
      <c r="E242" s="244"/>
      <c r="F242" s="244"/>
      <c r="G242" s="245"/>
      <c r="H242" s="706" t="s">
        <v>35</v>
      </c>
      <c r="I242" s="705">
        <f ca="1">I249</f>
        <v>0</v>
      </c>
      <c r="J242" s="705">
        <f>J249</f>
        <v>0</v>
      </c>
      <c r="K242" s="704">
        <f ca="1">IF(I242&gt;0,J242*100/I242,0)</f>
        <v>0</v>
      </c>
      <c r="L242" s="250"/>
      <c r="M242" s="249"/>
      <c r="N242" s="249"/>
      <c r="O242" s="249"/>
      <c r="P242" s="249"/>
      <c r="Q242" s="249"/>
      <c r="R242" s="249"/>
      <c r="S242" s="249"/>
      <c r="T242" s="249"/>
      <c r="U242" s="249"/>
    </row>
    <row r="243" spans="1:21" ht="19.5" hidden="1">
      <c r="A243" s="155"/>
      <c r="B243" s="50"/>
      <c r="C243" s="591" t="s">
        <v>18</v>
      </c>
      <c r="D243" s="562" t="s">
        <v>19</v>
      </c>
      <c r="E243" s="50"/>
      <c r="F243" s="50"/>
      <c r="G243" s="52"/>
      <c r="H243" s="418" t="s">
        <v>14</v>
      </c>
      <c r="I243" s="163"/>
      <c r="J243" s="163"/>
      <c r="K243" s="164"/>
      <c r="L243" s="541">
        <f ca="1">L244+L245+L246+L247</f>
        <v>0</v>
      </c>
      <c r="M243" s="55"/>
      <c r="N243" s="540">
        <f>N244+N245+N246+N247</f>
        <v>0</v>
      </c>
      <c r="O243" s="540">
        <f ca="1">IF(L243&gt;0,N243*100/L243,0)</f>
        <v>0</v>
      </c>
      <c r="P243" s="540">
        <f>IF(M243&gt;0,N243*100/M243,0)</f>
        <v>0</v>
      </c>
      <c r="Q243" s="55"/>
      <c r="R243" s="55"/>
      <c r="S243" s="55"/>
      <c r="T243" s="55"/>
      <c r="U243" s="55"/>
    </row>
    <row r="244" spans="1:21" ht="18.75" hidden="1">
      <c r="A244" s="155"/>
      <c r="B244" s="188"/>
      <c r="C244" s="50"/>
      <c r="D244" s="186" t="s">
        <v>86</v>
      </c>
      <c r="E244" s="50"/>
      <c r="F244" s="50"/>
      <c r="G244" s="52"/>
      <c r="H244" s="189" t="s">
        <v>14</v>
      </c>
      <c r="I244" s="163"/>
      <c r="J244" s="163"/>
      <c r="K244" s="164"/>
      <c r="L244" s="256">
        <f ca="1">IFERROR(__xludf.DUMMYFUNCTION("IMPORTRANGE(""https://docs.google.com/spreadsheets/d/1eHaY18a8A9IcSdp1K8H6x8fbOy06t2VsZHhMHf-1x7Y/edit?usp=sharing"",""แผน!AX34"")"),0)</f>
        <v>0</v>
      </c>
      <c r="M244" s="55"/>
      <c r="N244" s="702">
        <v>0</v>
      </c>
      <c r="O244" s="55"/>
      <c r="P244" s="55"/>
      <c r="Q244" s="55"/>
      <c r="R244" s="55"/>
      <c r="S244" s="55"/>
      <c r="T244" s="55"/>
      <c r="U244" s="55"/>
    </row>
    <row r="245" spans="1:21" ht="18.75" hidden="1">
      <c r="A245" s="238"/>
      <c r="B245" s="188"/>
      <c r="C245" s="188"/>
      <c r="D245" s="186" t="s">
        <v>88</v>
      </c>
      <c r="E245" s="50"/>
      <c r="F245" s="50"/>
      <c r="G245" s="52"/>
      <c r="H245" s="189" t="s">
        <v>14</v>
      </c>
      <c r="I245" s="54"/>
      <c r="J245" s="54"/>
      <c r="K245" s="55"/>
      <c r="L245" s="256">
        <f ca="1">IFERROR(__xludf.DUMMYFUNCTION("IMPORTRANGE(""https://docs.google.com/spreadsheets/d/1eHaY18a8A9IcSdp1K8H6x8fbOy06t2VsZHhMHf-1x7Y/edit?usp=sharing"",""แผน!AY34"")"),0)</f>
        <v>0</v>
      </c>
      <c r="M245" s="55"/>
      <c r="N245" s="702">
        <v>0</v>
      </c>
      <c r="O245" s="55"/>
      <c r="P245" s="55"/>
      <c r="Q245" s="55"/>
      <c r="R245" s="55"/>
      <c r="S245" s="55"/>
      <c r="T245" s="55"/>
      <c r="U245" s="55"/>
    </row>
    <row r="246" spans="1:21" ht="18.75" hidden="1">
      <c r="A246" s="238"/>
      <c r="B246" s="188"/>
      <c r="C246" s="188"/>
      <c r="D246" s="186" t="s">
        <v>106</v>
      </c>
      <c r="E246" s="50"/>
      <c r="F246" s="50"/>
      <c r="G246" s="52"/>
      <c r="H246" s="189" t="s">
        <v>14</v>
      </c>
      <c r="I246" s="54"/>
      <c r="J246" s="54"/>
      <c r="K246" s="55"/>
      <c r="L246" s="256">
        <f ca="1">IFERROR(__xludf.DUMMYFUNCTION("IMPORTRANGE(""https://docs.google.com/spreadsheets/d/1eHaY18a8A9IcSdp1K8H6x8fbOy06t2VsZHhMHf-1x7Y/edit?usp=sharing"",""แผน!AZ34"")"),0)</f>
        <v>0</v>
      </c>
      <c r="M246" s="55"/>
      <c r="N246" s="702">
        <v>0</v>
      </c>
      <c r="O246" s="55"/>
      <c r="P246" s="55"/>
      <c r="Q246" s="55"/>
      <c r="R246" s="55"/>
      <c r="S246" s="55"/>
      <c r="T246" s="55"/>
      <c r="U246" s="55"/>
    </row>
    <row r="247" spans="1:21" ht="18.75" hidden="1">
      <c r="A247" s="238"/>
      <c r="B247" s="188"/>
      <c r="C247" s="188"/>
      <c r="D247" s="186" t="s">
        <v>107</v>
      </c>
      <c r="E247" s="50"/>
      <c r="F247" s="50"/>
      <c r="G247" s="52"/>
      <c r="H247" s="189" t="s">
        <v>14</v>
      </c>
      <c r="I247" s="54"/>
      <c r="J247" s="54"/>
      <c r="K247" s="55"/>
      <c r="L247" s="256">
        <f ca="1">IFERROR(__xludf.DUMMYFUNCTION("IMPORTRANGE(""https://docs.google.com/spreadsheets/d/1eHaY18a8A9IcSdp1K8H6x8fbOy06t2VsZHhMHf-1x7Y/edit?usp=sharing"",""แผน!BA34"")"),0)</f>
        <v>0</v>
      </c>
      <c r="M247" s="55"/>
      <c r="N247" s="702">
        <v>0</v>
      </c>
      <c r="O247" s="55"/>
      <c r="P247" s="55"/>
      <c r="Q247" s="55"/>
      <c r="R247" s="55"/>
      <c r="S247" s="55"/>
      <c r="T247" s="55"/>
      <c r="U247" s="55"/>
    </row>
    <row r="248" spans="1:21" ht="19.5" hidden="1">
      <c r="A248" s="166"/>
      <c r="B248" s="167"/>
      <c r="C248" s="701" t="s">
        <v>18</v>
      </c>
      <c r="D248" s="574" t="s">
        <v>38</v>
      </c>
      <c r="E248" s="169"/>
      <c r="F248" s="169"/>
      <c r="G248" s="170"/>
      <c r="H248" s="171"/>
      <c r="I248" s="163"/>
      <c r="J248" s="54"/>
      <c r="K248" s="55"/>
      <c r="L248" s="62"/>
      <c r="M248" s="55"/>
      <c r="N248" s="55"/>
      <c r="O248" s="164"/>
      <c r="P248" s="164"/>
      <c r="Q248" s="55"/>
      <c r="R248" s="55"/>
      <c r="S248" s="55"/>
      <c r="T248" s="164"/>
      <c r="U248" s="164"/>
    </row>
    <row r="249" spans="1:21" ht="18.75" hidden="1">
      <c r="A249" s="166"/>
      <c r="B249" s="167"/>
      <c r="C249" s="167"/>
      <c r="D249" s="207" t="s">
        <v>108</v>
      </c>
      <c r="E249" s="174"/>
      <c r="F249" s="174"/>
      <c r="G249" s="171"/>
      <c r="H249" s="698" t="s">
        <v>35</v>
      </c>
      <c r="I249" s="483">
        <f ca="1">IFERROR(__xludf.DUMMYFUNCTION("IMPORTRANGE(""https://docs.google.com/spreadsheets/d/1eHaY18a8A9IcSdp1K8H6x8fbOy06t2VsZHhMHf-1x7Y/edit?usp=sharing"",""แผน!BG34"")"),0)</f>
        <v>0</v>
      </c>
      <c r="J249" s="589">
        <v>0</v>
      </c>
      <c r="K249" s="102">
        <f ca="1">IF(I249&gt;0,J249*100/I249,0)</f>
        <v>0</v>
      </c>
      <c r="L249" s="62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8.75" hidden="1">
      <c r="A250" s="166"/>
      <c r="B250" s="167"/>
      <c r="C250" s="167"/>
      <c r="D250" s="700" t="s">
        <v>43</v>
      </c>
      <c r="E250" s="174"/>
      <c r="F250" s="174"/>
      <c r="G250" s="171"/>
      <c r="H250" s="171"/>
      <c r="I250" s="54"/>
      <c r="J250" s="54"/>
      <c r="K250" s="55"/>
      <c r="L250" s="62"/>
      <c r="M250" s="55"/>
      <c r="N250" s="55"/>
      <c r="O250" s="164"/>
      <c r="P250" s="164"/>
      <c r="Q250" s="55"/>
      <c r="R250" s="55"/>
      <c r="S250" s="55"/>
      <c r="T250" s="164"/>
      <c r="U250" s="164"/>
    </row>
    <row r="251" spans="1:21" ht="18.75" hidden="1">
      <c r="A251" s="166"/>
      <c r="B251" s="167"/>
      <c r="C251" s="167"/>
      <c r="D251" s="167"/>
      <c r="E251" s="699" t="s">
        <v>109</v>
      </c>
      <c r="F251" s="174"/>
      <c r="G251" s="171"/>
      <c r="H251" s="698" t="s">
        <v>35</v>
      </c>
      <c r="I251" s="483">
        <v>0</v>
      </c>
      <c r="J251" s="589">
        <v>0</v>
      </c>
      <c r="K251" s="102">
        <f>IF(I251&gt;0,J251*100/I251,0)</f>
        <v>0</v>
      </c>
      <c r="L251" s="62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8.75" hidden="1">
      <c r="A252" s="166"/>
      <c r="B252" s="167"/>
      <c r="C252" s="167"/>
      <c r="D252" s="167"/>
      <c r="E252" s="699" t="s">
        <v>110</v>
      </c>
      <c r="F252" s="174"/>
      <c r="G252" s="171"/>
      <c r="H252" s="698" t="s">
        <v>61</v>
      </c>
      <c r="I252" s="483">
        <v>0</v>
      </c>
      <c r="J252" s="589">
        <v>0</v>
      </c>
      <c r="K252" s="102">
        <f>IF(I252&gt;0,J252*100/I252,0)</f>
        <v>0</v>
      </c>
      <c r="L252" s="62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9.5" hidden="1">
      <c r="A253" s="241"/>
      <c r="B253" s="242"/>
      <c r="C253" s="707" t="s">
        <v>112</v>
      </c>
      <c r="D253" s="244"/>
      <c r="E253" s="244"/>
      <c r="F253" s="244"/>
      <c r="G253" s="245"/>
      <c r="H253" s="706" t="s">
        <v>35</v>
      </c>
      <c r="I253" s="705">
        <f ca="1">I260</f>
        <v>0</v>
      </c>
      <c r="J253" s="705">
        <f>J260</f>
        <v>0</v>
      </c>
      <c r="K253" s="704">
        <f ca="1">IF(I253&gt;0,J253*100/I253,0)</f>
        <v>0</v>
      </c>
      <c r="L253" s="250"/>
      <c r="M253" s="249"/>
      <c r="N253" s="249"/>
      <c r="O253" s="249"/>
      <c r="P253" s="249"/>
      <c r="Q253" s="249"/>
      <c r="R253" s="249"/>
      <c r="S253" s="249"/>
      <c r="T253" s="249"/>
      <c r="U253" s="249"/>
    </row>
    <row r="254" spans="1:21" ht="19.5" hidden="1">
      <c r="A254" s="155"/>
      <c r="B254" s="50"/>
      <c r="C254" s="591" t="s">
        <v>18</v>
      </c>
      <c r="D254" s="703" t="s">
        <v>19</v>
      </c>
      <c r="E254" s="50"/>
      <c r="F254" s="50"/>
      <c r="G254" s="52"/>
      <c r="H254" s="418" t="s">
        <v>14</v>
      </c>
      <c r="I254" s="163"/>
      <c r="J254" s="163"/>
      <c r="K254" s="164"/>
      <c r="L254" s="541">
        <f ca="1">L255+L256+L257+L258</f>
        <v>0</v>
      </c>
      <c r="M254" s="55"/>
      <c r="N254" s="540">
        <f>N255+N256+N257+N258</f>
        <v>0</v>
      </c>
      <c r="O254" s="540">
        <f ca="1">IF(L254&gt;0,N254*100/L254,0)</f>
        <v>0</v>
      </c>
      <c r="P254" s="540">
        <f>IF(M254&gt;0,N254*100/M254,0)</f>
        <v>0</v>
      </c>
      <c r="Q254" s="55"/>
      <c r="R254" s="55"/>
      <c r="S254" s="55"/>
      <c r="T254" s="55"/>
      <c r="U254" s="55"/>
    </row>
    <row r="255" spans="1:21" ht="18.75" hidden="1">
      <c r="A255" s="155"/>
      <c r="B255" s="188"/>
      <c r="C255" s="50"/>
      <c r="D255" s="186" t="s">
        <v>86</v>
      </c>
      <c r="E255" s="50"/>
      <c r="F255" s="50"/>
      <c r="G255" s="52"/>
      <c r="H255" s="189" t="s">
        <v>14</v>
      </c>
      <c r="I255" s="163"/>
      <c r="J255" s="163"/>
      <c r="K255" s="164"/>
      <c r="L255" s="256">
        <f ca="1">IFERROR(__xludf.DUMMYFUNCTION("IMPORTRANGE(""https://docs.google.com/spreadsheets/d/1eHaY18a8A9IcSdp1K8H6x8fbOy06t2VsZHhMHf-1x7Y/edit?usp=sharing"",""แผน!BB34"")"),0)</f>
        <v>0</v>
      </c>
      <c r="M255" s="55"/>
      <c r="N255" s="702">
        <v>0</v>
      </c>
      <c r="O255" s="55"/>
      <c r="P255" s="55"/>
      <c r="Q255" s="55"/>
      <c r="R255" s="55"/>
      <c r="S255" s="55"/>
      <c r="T255" s="55"/>
      <c r="U255" s="55"/>
    </row>
    <row r="256" spans="1:21" ht="18.75" hidden="1">
      <c r="A256" s="238"/>
      <c r="B256" s="188"/>
      <c r="C256" s="188"/>
      <c r="D256" s="186" t="s">
        <v>88</v>
      </c>
      <c r="E256" s="50"/>
      <c r="F256" s="50"/>
      <c r="G256" s="52"/>
      <c r="H256" s="189" t="s">
        <v>14</v>
      </c>
      <c r="I256" s="54"/>
      <c r="J256" s="54"/>
      <c r="K256" s="55"/>
      <c r="L256" s="256">
        <f ca="1">IFERROR(__xludf.DUMMYFUNCTION("IMPORTRANGE(""https://docs.google.com/spreadsheets/d/1eHaY18a8A9IcSdp1K8H6x8fbOy06t2VsZHhMHf-1x7Y/edit?usp=sharing"",""แผน!BC34"")"),0)</f>
        <v>0</v>
      </c>
      <c r="M256" s="55"/>
      <c r="N256" s="702">
        <v>0</v>
      </c>
      <c r="O256" s="55"/>
      <c r="P256" s="55"/>
      <c r="Q256" s="55"/>
      <c r="R256" s="55"/>
      <c r="S256" s="55"/>
      <c r="T256" s="55"/>
      <c r="U256" s="55"/>
    </row>
    <row r="257" spans="1:21" ht="18.75" hidden="1">
      <c r="A257" s="238"/>
      <c r="B257" s="188"/>
      <c r="C257" s="188"/>
      <c r="D257" s="186" t="s">
        <v>106</v>
      </c>
      <c r="E257" s="50"/>
      <c r="F257" s="50"/>
      <c r="G257" s="52"/>
      <c r="H257" s="189" t="s">
        <v>14</v>
      </c>
      <c r="I257" s="54"/>
      <c r="J257" s="54"/>
      <c r="K257" s="55"/>
      <c r="L257" s="256">
        <f ca="1">IFERROR(__xludf.DUMMYFUNCTION("IMPORTRANGE(""https://docs.google.com/spreadsheets/d/1eHaY18a8A9IcSdp1K8H6x8fbOy06t2VsZHhMHf-1x7Y/edit?usp=sharing"",""แผน!BD34"")"),0)</f>
        <v>0</v>
      </c>
      <c r="M257" s="55"/>
      <c r="N257" s="702">
        <v>0</v>
      </c>
      <c r="O257" s="55"/>
      <c r="P257" s="55"/>
      <c r="Q257" s="55"/>
      <c r="R257" s="55"/>
      <c r="S257" s="55"/>
      <c r="T257" s="55"/>
      <c r="U257" s="55"/>
    </row>
    <row r="258" spans="1:21" ht="18.75" hidden="1">
      <c r="A258" s="238"/>
      <c r="B258" s="188"/>
      <c r="C258" s="188"/>
      <c r="D258" s="186" t="s">
        <v>107</v>
      </c>
      <c r="E258" s="50"/>
      <c r="F258" s="50"/>
      <c r="G258" s="52"/>
      <c r="H258" s="189" t="s">
        <v>14</v>
      </c>
      <c r="I258" s="54"/>
      <c r="J258" s="54"/>
      <c r="K258" s="55"/>
      <c r="L258" s="256">
        <f ca="1">IFERROR(__xludf.DUMMYFUNCTION("IMPORTRANGE(""https://docs.google.com/spreadsheets/d/1eHaY18a8A9IcSdp1K8H6x8fbOy06t2VsZHhMHf-1x7Y/edit?usp=sharing"",""แผน!BE34"")"),0)</f>
        <v>0</v>
      </c>
      <c r="M258" s="55"/>
      <c r="N258" s="702">
        <v>0</v>
      </c>
      <c r="O258" s="55"/>
      <c r="P258" s="55"/>
      <c r="Q258" s="55"/>
      <c r="R258" s="55"/>
      <c r="S258" s="55"/>
      <c r="T258" s="55"/>
      <c r="U258" s="55"/>
    </row>
    <row r="259" spans="1:21" ht="19.5" hidden="1">
      <c r="A259" s="166"/>
      <c r="B259" s="167"/>
      <c r="C259" s="701" t="s">
        <v>18</v>
      </c>
      <c r="D259" s="574" t="s">
        <v>38</v>
      </c>
      <c r="E259" s="169"/>
      <c r="F259" s="169"/>
      <c r="G259" s="170"/>
      <c r="H259" s="171"/>
      <c r="I259" s="163"/>
      <c r="J259" s="54"/>
      <c r="K259" s="55"/>
      <c r="L259" s="62"/>
      <c r="M259" s="55"/>
      <c r="N259" s="55"/>
      <c r="O259" s="164"/>
      <c r="P259" s="164"/>
      <c r="Q259" s="55"/>
      <c r="R259" s="55"/>
      <c r="S259" s="55"/>
      <c r="T259" s="164"/>
      <c r="U259" s="164"/>
    </row>
    <row r="260" spans="1:21" ht="18.75" hidden="1">
      <c r="A260" s="166"/>
      <c r="B260" s="167"/>
      <c r="C260" s="167"/>
      <c r="D260" s="207" t="s">
        <v>108</v>
      </c>
      <c r="E260" s="174"/>
      <c r="F260" s="174"/>
      <c r="G260" s="171"/>
      <c r="H260" s="698" t="s">
        <v>35</v>
      </c>
      <c r="I260" s="483">
        <f ca="1">IFERROR(__xludf.DUMMYFUNCTION("IMPORTRANGE(""https://docs.google.com/spreadsheets/d/1eHaY18a8A9IcSdp1K8H6x8fbOy06t2VsZHhMHf-1x7Y/edit?usp=sharing"",""แผน!BH34"")"),0)</f>
        <v>0</v>
      </c>
      <c r="J260" s="589">
        <v>0</v>
      </c>
      <c r="K260" s="102">
        <f ca="1">IF(I260&gt;0,J260*100/I260,0)</f>
        <v>0</v>
      </c>
      <c r="L260" s="62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8.75" hidden="1">
      <c r="A261" s="166"/>
      <c r="B261" s="167"/>
      <c r="C261" s="167"/>
      <c r="D261" s="700" t="s">
        <v>43</v>
      </c>
      <c r="E261" s="174"/>
      <c r="F261" s="174"/>
      <c r="G261" s="171"/>
      <c r="H261" s="171"/>
      <c r="I261" s="54"/>
      <c r="J261" s="54"/>
      <c r="K261" s="55"/>
      <c r="L261" s="62"/>
      <c r="M261" s="55"/>
      <c r="N261" s="55"/>
      <c r="O261" s="164"/>
      <c r="P261" s="164"/>
      <c r="Q261" s="55"/>
      <c r="R261" s="55"/>
      <c r="S261" s="55"/>
      <c r="T261" s="164"/>
      <c r="U261" s="164"/>
    </row>
    <row r="262" spans="1:21" ht="18.75" hidden="1">
      <c r="A262" s="166"/>
      <c r="B262" s="167"/>
      <c r="C262" s="167"/>
      <c r="D262" s="167"/>
      <c r="E262" s="699" t="s">
        <v>109</v>
      </c>
      <c r="F262" s="174"/>
      <c r="G262" s="171"/>
      <c r="H262" s="698" t="s">
        <v>35</v>
      </c>
      <c r="I262" s="54"/>
      <c r="J262" s="589">
        <v>0</v>
      </c>
      <c r="K262" s="102">
        <f>IF(I262&gt;0,J262*100/I262,0)</f>
        <v>0</v>
      </c>
      <c r="L262" s="62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8.75" hidden="1">
      <c r="A263" s="166"/>
      <c r="B263" s="167"/>
      <c r="C263" s="167"/>
      <c r="D263" s="167"/>
      <c r="E263" s="699" t="s">
        <v>110</v>
      </c>
      <c r="F263" s="174"/>
      <c r="G263" s="171"/>
      <c r="H263" s="698" t="s">
        <v>61</v>
      </c>
      <c r="I263" s="54"/>
      <c r="J263" s="589">
        <v>0</v>
      </c>
      <c r="K263" s="102">
        <f>IF(I263&gt;0,J263*100/I263,0)</f>
        <v>0</v>
      </c>
      <c r="L263" s="62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9.5">
      <c r="A264" s="697" t="s">
        <v>113</v>
      </c>
      <c r="B264" s="696"/>
      <c r="C264" s="696"/>
      <c r="D264" s="695"/>
      <c r="E264" s="695"/>
      <c r="F264" s="695"/>
      <c r="G264" s="694"/>
      <c r="H264" s="694"/>
      <c r="I264" s="693"/>
      <c r="J264" s="693"/>
      <c r="K264" s="691"/>
      <c r="L264" s="692"/>
      <c r="M264" s="691"/>
      <c r="N264" s="691"/>
      <c r="O264" s="691"/>
      <c r="P264" s="691"/>
      <c r="Q264" s="691"/>
      <c r="R264" s="691"/>
      <c r="S264" s="691"/>
      <c r="T264" s="691"/>
      <c r="U264" s="691"/>
    </row>
    <row r="265" spans="1:21" ht="19.5">
      <c r="A265" s="690"/>
      <c r="B265" s="689" t="s">
        <v>114</v>
      </c>
      <c r="C265" s="688"/>
      <c r="D265" s="661"/>
      <c r="E265" s="661"/>
      <c r="F265" s="661"/>
      <c r="G265" s="660"/>
      <c r="H265" s="687" t="s">
        <v>35</v>
      </c>
      <c r="I265" s="686">
        <f ca="1">I276</f>
        <v>22</v>
      </c>
      <c r="J265" s="686">
        <f>J276</f>
        <v>22</v>
      </c>
      <c r="K265" s="685">
        <f ca="1">IF(I265&gt;0,J265*100/I265,0)</f>
        <v>100</v>
      </c>
      <c r="L265" s="684"/>
      <c r="M265" s="683"/>
      <c r="N265" s="683"/>
      <c r="O265" s="683"/>
      <c r="P265" s="683"/>
      <c r="Q265" s="683"/>
      <c r="R265" s="683"/>
      <c r="S265" s="683"/>
      <c r="T265" s="683"/>
      <c r="U265" s="683"/>
    </row>
    <row r="266" spans="1:21" ht="19.5">
      <c r="A266" s="668"/>
      <c r="B266" s="667"/>
      <c r="C266" s="682" t="s">
        <v>18</v>
      </c>
      <c r="D266" s="681" t="s">
        <v>19</v>
      </c>
      <c r="E266" s="667"/>
      <c r="F266" s="667"/>
      <c r="G266" s="666"/>
      <c r="H266" s="680" t="s">
        <v>14</v>
      </c>
      <c r="I266" s="548"/>
      <c r="J266" s="548"/>
      <c r="K266" s="545"/>
      <c r="L266" s="679">
        <f ca="1">L267+L268</f>
        <v>0</v>
      </c>
      <c r="M266" s="678">
        <f ca="1">M267+M268</f>
        <v>5000</v>
      </c>
      <c r="N266" s="678">
        <f ca="1">N267+N268</f>
        <v>0</v>
      </c>
      <c r="O266" s="678">
        <f ca="1">IF(L266&gt;0,N266*100/L266,0)</f>
        <v>0</v>
      </c>
      <c r="P266" s="678">
        <f ca="1">IF(M266&gt;0,N266*100/M266,0)</f>
        <v>0</v>
      </c>
      <c r="Q266" s="678">
        <f ca="1">Q267+Q268</f>
        <v>50660</v>
      </c>
      <c r="R266" s="678">
        <f ca="1">R267+R268</f>
        <v>50660</v>
      </c>
      <c r="S266" s="678">
        <f ca="1">S267+S268</f>
        <v>39446</v>
      </c>
      <c r="T266" s="678">
        <f ca="1">IF(Q266&gt;0,S266*100/Q266,0)</f>
        <v>77.864192656928537</v>
      </c>
      <c r="U266" s="678">
        <f ca="1">IF(R266&gt;0,S266*100/R266,0)</f>
        <v>77.864192656928537</v>
      </c>
    </row>
    <row r="267" spans="1:21" ht="18.75" hidden="1">
      <c r="A267" s="673"/>
      <c r="B267" s="672"/>
      <c r="C267" s="672"/>
      <c r="D267" s="672"/>
      <c r="E267" s="186" t="s">
        <v>20</v>
      </c>
      <c r="F267" s="672"/>
      <c r="G267" s="671"/>
      <c r="H267" s="187" t="s">
        <v>14</v>
      </c>
      <c r="I267" s="677"/>
      <c r="J267" s="677"/>
      <c r="K267" s="676"/>
      <c r="L267" s="103">
        <f>L270+L273</f>
        <v>0</v>
      </c>
      <c r="M267" s="102">
        <f>M270+M273</f>
        <v>0</v>
      </c>
      <c r="N267" s="102">
        <f>N270+N273</f>
        <v>0</v>
      </c>
      <c r="O267" s="102">
        <f>IF(L267&gt;0,N267*100/L267,0)</f>
        <v>0</v>
      </c>
      <c r="P267" s="102">
        <f>IF(M267&gt;0,N267*100/M267,0)</f>
        <v>0</v>
      </c>
      <c r="Q267" s="102">
        <f>Q270+Q273</f>
        <v>0</v>
      </c>
      <c r="R267" s="102">
        <f>R270+R273</f>
        <v>0</v>
      </c>
      <c r="S267" s="102">
        <f>S270+S273</f>
        <v>0</v>
      </c>
      <c r="T267" s="102">
        <f>IF(Q267&gt;0,S267*100/Q267,0)</f>
        <v>0</v>
      </c>
      <c r="U267" s="102">
        <f>IF(R267&gt;0,S267*100/R267,0)</f>
        <v>0</v>
      </c>
    </row>
    <row r="268" spans="1:21" ht="18.75" hidden="1">
      <c r="A268" s="668"/>
      <c r="B268" s="667"/>
      <c r="C268" s="667"/>
      <c r="D268" s="667"/>
      <c r="E268" s="663" t="s">
        <v>21</v>
      </c>
      <c r="F268" s="667"/>
      <c r="G268" s="666"/>
      <c r="H268" s="549" t="s">
        <v>14</v>
      </c>
      <c r="I268" s="548"/>
      <c r="J268" s="548"/>
      <c r="K268" s="545"/>
      <c r="L268" s="664">
        <f ca="1">L271+L274</f>
        <v>0</v>
      </c>
      <c r="M268" s="555">
        <f ca="1">M271+M274</f>
        <v>5000</v>
      </c>
      <c r="N268" s="555">
        <f ca="1">N271+N274</f>
        <v>0</v>
      </c>
      <c r="O268" s="555">
        <f ca="1">IF(L268&gt;0,N268*100/L268,0)</f>
        <v>0</v>
      </c>
      <c r="P268" s="555">
        <f ca="1">IF(M268&gt;0,N268*100/M268,0)</f>
        <v>0</v>
      </c>
      <c r="Q268" s="555">
        <f ca="1">Q271+Q274</f>
        <v>50660</v>
      </c>
      <c r="R268" s="555">
        <f ca="1">R271+R274</f>
        <v>50660</v>
      </c>
      <c r="S268" s="555">
        <f ca="1">S271+S274</f>
        <v>39446</v>
      </c>
      <c r="T268" s="555">
        <f ca="1">IF(Q268&gt;0,S268*100/Q268,0)</f>
        <v>77.864192656928537</v>
      </c>
      <c r="U268" s="555">
        <f ca="1">IF(R268&gt;0,S268*100/R268,0)</f>
        <v>77.864192656928537</v>
      </c>
    </row>
    <row r="269" spans="1:21" ht="18.75">
      <c r="A269" s="668"/>
      <c r="B269" s="667"/>
      <c r="C269" s="667"/>
      <c r="D269" s="674" t="s">
        <v>22</v>
      </c>
      <c r="E269" s="667"/>
      <c r="F269" s="667"/>
      <c r="G269" s="666"/>
      <c r="H269" s="675" t="s">
        <v>14</v>
      </c>
      <c r="I269" s="659"/>
      <c r="J269" s="659"/>
      <c r="K269" s="657"/>
      <c r="L269" s="664">
        <f ca="1">L270+L271</f>
        <v>0</v>
      </c>
      <c r="M269" s="555">
        <f ca="1">M270+M271</f>
        <v>5000</v>
      </c>
      <c r="N269" s="555">
        <f ca="1">N270+N271</f>
        <v>0</v>
      </c>
      <c r="O269" s="555">
        <f ca="1">IF(L269&gt;0,N269*100/L269,0)</f>
        <v>0</v>
      </c>
      <c r="P269" s="555">
        <f ca="1">IF(M269&gt;0,N269*100/M269,0)</f>
        <v>0</v>
      </c>
      <c r="Q269" s="555">
        <f ca="1">Q270+Q271</f>
        <v>50660</v>
      </c>
      <c r="R269" s="555">
        <f ca="1">R270+R271</f>
        <v>50660</v>
      </c>
      <c r="S269" s="555">
        <f ca="1">S270+S271</f>
        <v>39446</v>
      </c>
      <c r="T269" s="555">
        <f ca="1">IF(Q269&gt;0,S269*100/Q269,0)</f>
        <v>77.864192656928537</v>
      </c>
      <c r="U269" s="555">
        <f ca="1">IF(R269&gt;0,S269*100/R269,0)</f>
        <v>77.864192656928537</v>
      </c>
    </row>
    <row r="270" spans="1:21" ht="18.75" hidden="1">
      <c r="A270" s="673"/>
      <c r="B270" s="672"/>
      <c r="C270" s="672"/>
      <c r="D270" s="672"/>
      <c r="E270" s="186" t="s">
        <v>36</v>
      </c>
      <c r="F270" s="672"/>
      <c r="G270" s="671"/>
      <c r="H270" s="189" t="s">
        <v>14</v>
      </c>
      <c r="I270" s="670"/>
      <c r="J270" s="670"/>
      <c r="K270" s="669"/>
      <c r="L270" s="103">
        <v>0</v>
      </c>
      <c r="M270" s="102">
        <v>0</v>
      </c>
      <c r="N270" s="102">
        <v>0</v>
      </c>
      <c r="O270" s="102">
        <f>IF(L270&gt;0,N270*100/L270,0)</f>
        <v>0</v>
      </c>
      <c r="P270" s="102">
        <f>IF(M270&gt;0,N270*100/M270,0)</f>
        <v>0</v>
      </c>
      <c r="Q270" s="102">
        <v>0</v>
      </c>
      <c r="R270" s="102">
        <v>0</v>
      </c>
      <c r="S270" s="102">
        <v>0</v>
      </c>
      <c r="T270" s="102">
        <f>IF(Q270&gt;0,S270*100/Q270,0)</f>
        <v>0</v>
      </c>
      <c r="U270" s="102">
        <f>IF(R270&gt;0,S270*100/R270,0)</f>
        <v>0</v>
      </c>
    </row>
    <row r="271" spans="1:21" ht="18.75" hidden="1">
      <c r="A271" s="668"/>
      <c r="B271" s="667"/>
      <c r="C271" s="667"/>
      <c r="D271" s="667"/>
      <c r="E271" s="663" t="s">
        <v>37</v>
      </c>
      <c r="F271" s="667"/>
      <c r="G271" s="666"/>
      <c r="H271" s="675" t="s">
        <v>14</v>
      </c>
      <c r="I271" s="659"/>
      <c r="J271" s="659"/>
      <c r="K271" s="657"/>
      <c r="L271" s="664">
        <f ca="1">IFERROR(__xludf.DUMMYFUNCTION("IMPORTRANGE(""https://docs.google.com/spreadsheets/d/1-uDff_7J0KD5mKrp0Vvzr7lt3OU09vwQwhkpOPPYv2Y/edit?usp=sharing"",""งบพรบ!DE34"")"),0)</f>
        <v>0</v>
      </c>
      <c r="M271" s="555">
        <f ca="1">IFERROR(__xludf.DUMMYFUNCTION("IMPORTRANGE(""https://docs.google.com/spreadsheets/d/1-uDff_7J0KD5mKrp0Vvzr7lt3OU09vwQwhkpOPPYv2Y/edit?usp=sharing"",""งบพรบ!DJ34"")"),5000)</f>
        <v>5000</v>
      </c>
      <c r="N271" s="555">
        <f ca="1">IFERROR(__xludf.DUMMYFUNCTION("IMPORTRANGE(""https://docs.google.com/spreadsheets/d/1-uDff_7J0KD5mKrp0Vvzr7lt3OU09vwQwhkpOPPYv2Y/edit?usp=sharing"",""งบพรบ!DL34"")"),0)</f>
        <v>0</v>
      </c>
      <c r="O271" s="555">
        <f ca="1">IF(L271&gt;0,N271*100/L271,0)</f>
        <v>0</v>
      </c>
      <c r="P271" s="555">
        <f ca="1">IF(M271&gt;0,N271*100/M271,0)</f>
        <v>0</v>
      </c>
      <c r="Q271" s="555">
        <f ca="1">IFERROR(__xludf.DUMMYFUNCTION("IMPORTRANGE(""https://docs.google.com/spreadsheets/d/1ItG2mGa2ceCfYo0BwxsXqNm01IGEUdYcSSLTEv9YCik/edit?usp=sharing"",""เบิกจ่ายกองทุน!AJ34"")"),50660)</f>
        <v>50660</v>
      </c>
      <c r="R271" s="555">
        <f ca="1">IFERROR(__xludf.DUMMYFUNCTION("IMPORTRANGE(""https://docs.google.com/spreadsheets/d/1ItG2mGa2ceCfYo0BwxsXqNm01IGEUdYcSSLTEv9YCik/edit?usp=sharing"",""เบิกจ่ายกองทุน!AK34"")"),50660)</f>
        <v>50660</v>
      </c>
      <c r="S271" s="555">
        <f ca="1">IFERROR(__xludf.DUMMYFUNCTION("IMPORTRANGE(""https://docs.google.com/spreadsheets/d/1ItG2mGa2ceCfYo0BwxsXqNm01IGEUdYcSSLTEv9YCik/edit?usp=sharing"",""เบิกจ่ายกองทุน!AL34"")"),39446)</f>
        <v>39446</v>
      </c>
      <c r="T271" s="555">
        <f ca="1">IF(Q271&gt;0,S271*100/Q271,0)</f>
        <v>77.864192656928537</v>
      </c>
      <c r="U271" s="555">
        <f ca="1">IF(R271&gt;0,S271*100/R271,0)</f>
        <v>77.864192656928537</v>
      </c>
    </row>
    <row r="272" spans="1:21" ht="18.75">
      <c r="A272" s="668"/>
      <c r="B272" s="667"/>
      <c r="C272" s="667"/>
      <c r="D272" s="674" t="s">
        <v>23</v>
      </c>
      <c r="E272" s="667"/>
      <c r="F272" s="667"/>
      <c r="G272" s="666"/>
      <c r="H272" s="665" t="s">
        <v>14</v>
      </c>
      <c r="I272" s="659"/>
      <c r="J272" s="659"/>
      <c r="K272" s="657"/>
      <c r="L272" s="664">
        <f ca="1">L273+L274</f>
        <v>0</v>
      </c>
      <c r="M272" s="555">
        <f ca="1">M273+M274</f>
        <v>0</v>
      </c>
      <c r="N272" s="555">
        <f ca="1">N273+N274</f>
        <v>0</v>
      </c>
      <c r="O272" s="555">
        <f ca="1">IF(L272&gt;0,N272*100/L272,0)</f>
        <v>0</v>
      </c>
      <c r="P272" s="555">
        <f ca="1">IF(M272&gt;0,N272*100/M272,0)</f>
        <v>0</v>
      </c>
      <c r="Q272" s="555">
        <f>Q273+Q274</f>
        <v>0</v>
      </c>
      <c r="R272" s="555">
        <f>R273+R274</f>
        <v>0</v>
      </c>
      <c r="S272" s="555">
        <f>S273+S274</f>
        <v>0</v>
      </c>
      <c r="T272" s="555">
        <f>IF(Q272&gt;0,S272*100/Q272,0)</f>
        <v>0</v>
      </c>
      <c r="U272" s="555">
        <f>IF(R272&gt;0,S272*100/R272,0)</f>
        <v>0</v>
      </c>
    </row>
    <row r="273" spans="1:21" ht="18.75" hidden="1">
      <c r="A273" s="673"/>
      <c r="B273" s="672"/>
      <c r="C273" s="672"/>
      <c r="D273" s="672"/>
      <c r="E273" s="186" t="s">
        <v>20</v>
      </c>
      <c r="F273" s="672"/>
      <c r="G273" s="671"/>
      <c r="H273" s="189" t="s">
        <v>14</v>
      </c>
      <c r="I273" s="670"/>
      <c r="J273" s="670"/>
      <c r="K273" s="669"/>
      <c r="L273" s="103">
        <v>0</v>
      </c>
      <c r="M273" s="102">
        <v>0</v>
      </c>
      <c r="N273" s="102">
        <v>0</v>
      </c>
      <c r="O273" s="102">
        <f>IF(L273&gt;0,N273*100/L273,0)</f>
        <v>0</v>
      </c>
      <c r="P273" s="102">
        <f>IF(M273&gt;0,N273*100/M273,0)</f>
        <v>0</v>
      </c>
      <c r="Q273" s="102">
        <v>0</v>
      </c>
      <c r="R273" s="102">
        <v>0</v>
      </c>
      <c r="S273" s="102">
        <v>0</v>
      </c>
      <c r="T273" s="102">
        <f>IF(Q273&gt;0,S273*100/Q273,0)</f>
        <v>0</v>
      </c>
      <c r="U273" s="102">
        <f>IF(R273&gt;0,S273*100/R273,0)</f>
        <v>0</v>
      </c>
    </row>
    <row r="274" spans="1:21" ht="18.75" hidden="1">
      <c r="A274" s="668"/>
      <c r="B274" s="667"/>
      <c r="C274" s="667"/>
      <c r="D274" s="667"/>
      <c r="E274" s="663" t="s">
        <v>21</v>
      </c>
      <c r="F274" s="667"/>
      <c r="G274" s="666"/>
      <c r="H274" s="665" t="s">
        <v>14</v>
      </c>
      <c r="I274" s="659"/>
      <c r="J274" s="659"/>
      <c r="K274" s="657"/>
      <c r="L274" s="664">
        <f ca="1">IFERROR(__xludf.DUMMYFUNCTION("IMPORTRANGE(""https://docs.google.com/spreadsheets/d/1-uDff_7J0KD5mKrp0Vvzr7lt3OU09vwQwhkpOPPYv2Y/edit?usp=sharing"",""งบพรบ!DH34"")"),0)</f>
        <v>0</v>
      </c>
      <c r="M274" s="555">
        <f ca="1">IFERROR(__xludf.DUMMYFUNCTION("IMPORTRANGE(""https://docs.google.com/spreadsheets/d/1-uDff_7J0KD5mKrp0Vvzr7lt3OU09vwQwhkpOPPYv2Y/edit?usp=sharing"",""งบพรบ!DK34"")"),0)</f>
        <v>0</v>
      </c>
      <c r="N274" s="555">
        <f ca="1">IFERROR(__xludf.DUMMYFUNCTION("IMPORTRANGE(""https://docs.google.com/spreadsheets/d/1-uDff_7J0KD5mKrp0Vvzr7lt3OU09vwQwhkpOPPYv2Y/edit?usp=sharing"",""งบพรบ!DM34"")"),0)</f>
        <v>0</v>
      </c>
      <c r="O274" s="555">
        <f ca="1">IF(L274&gt;0,N274*100/L274,0)</f>
        <v>0</v>
      </c>
      <c r="P274" s="555">
        <f ca="1">IF(M274&gt;0,N274*100/M274,0)</f>
        <v>0</v>
      </c>
      <c r="Q274" s="555">
        <v>0</v>
      </c>
      <c r="R274" s="555">
        <v>0</v>
      </c>
      <c r="S274" s="555">
        <v>0</v>
      </c>
      <c r="T274" s="555">
        <f>IF(Q274&gt;0,S274*100/Q274,0)</f>
        <v>0</v>
      </c>
      <c r="U274" s="555">
        <f>IF(R274&gt;0,S274*100/R274,0)</f>
        <v>0</v>
      </c>
    </row>
    <row r="275" spans="1:21" ht="19.5">
      <c r="A275" s="554"/>
      <c r="B275" s="553"/>
      <c r="C275" s="663" t="s">
        <v>18</v>
      </c>
      <c r="D275" s="662" t="s">
        <v>38</v>
      </c>
      <c r="E275" s="661"/>
      <c r="F275" s="661"/>
      <c r="G275" s="660"/>
      <c r="H275" s="550"/>
      <c r="I275" s="659"/>
      <c r="J275" s="659"/>
      <c r="K275" s="657"/>
      <c r="L275" s="658"/>
      <c r="M275" s="657"/>
      <c r="N275" s="657"/>
      <c r="O275" s="657"/>
      <c r="P275" s="657"/>
      <c r="Q275" s="657"/>
      <c r="R275" s="657"/>
      <c r="S275" s="657"/>
      <c r="T275" s="657"/>
      <c r="U275" s="657"/>
    </row>
    <row r="276" spans="1:21" ht="18.75">
      <c r="A276" s="656"/>
      <c r="B276" s="655"/>
      <c r="C276" s="655"/>
      <c r="D276" s="654" t="s">
        <v>115</v>
      </c>
      <c r="E276" s="653"/>
      <c r="F276" s="653"/>
      <c r="G276" s="652"/>
      <c r="H276" s="651" t="s">
        <v>35</v>
      </c>
      <c r="I276" s="650">
        <f ca="1">IFERROR(__xludf.DUMMYFUNCTION("IMPORTRANGE(""https://docs.google.com/spreadsheets/d/1eHaY18a8A9IcSdp1K8H6x8fbOy06t2VsZHhMHf-1x7Y/edit?usp=sharing"",""แผน!EC34"")"),22)</f>
        <v>22</v>
      </c>
      <c r="J276" s="649">
        <v>22</v>
      </c>
      <c r="K276" s="648">
        <f ca="1">IF(I276&gt;0,J276*100/I276,0)</f>
        <v>100</v>
      </c>
      <c r="L276" s="546"/>
      <c r="M276" s="545"/>
      <c r="N276" s="545"/>
      <c r="O276" s="545"/>
      <c r="P276" s="545"/>
      <c r="Q276" s="545"/>
      <c r="R276" s="545"/>
      <c r="S276" s="545"/>
      <c r="T276" s="545"/>
      <c r="U276" s="545"/>
    </row>
    <row r="277" spans="1:21" ht="18.75" hidden="1">
      <c r="A277" s="778"/>
      <c r="B277" s="777"/>
      <c r="C277" s="777"/>
      <c r="D277" s="647" t="s">
        <v>116</v>
      </c>
      <c r="E277" s="776"/>
      <c r="F277" s="776"/>
      <c r="G277" s="775"/>
      <c r="H277" s="646" t="s">
        <v>35</v>
      </c>
      <c r="I277" s="486">
        <v>0</v>
      </c>
      <c r="J277" s="486">
        <v>0</v>
      </c>
      <c r="K277" s="645">
        <v>0</v>
      </c>
      <c r="L277" s="774"/>
      <c r="M277" s="773"/>
      <c r="N277" s="773"/>
      <c r="O277" s="773"/>
      <c r="P277" s="773"/>
      <c r="Q277" s="773"/>
      <c r="R277" s="773"/>
      <c r="S277" s="773"/>
      <c r="T277" s="773"/>
      <c r="U277" s="773"/>
    </row>
    <row r="278" spans="1:21" ht="19.5">
      <c r="A278" s="288" t="s">
        <v>117</v>
      </c>
      <c r="B278" s="289"/>
      <c r="C278" s="289"/>
      <c r="D278" s="289"/>
      <c r="E278" s="290"/>
      <c r="F278" s="290"/>
      <c r="G278" s="290"/>
      <c r="H278" s="290"/>
      <c r="I278" s="291"/>
      <c r="J278" s="291"/>
      <c r="K278" s="292"/>
      <c r="L278" s="292"/>
      <c r="M278" s="292"/>
      <c r="N278" s="292"/>
      <c r="O278" s="292"/>
      <c r="P278" s="293"/>
      <c r="Q278" s="292"/>
      <c r="R278" s="292"/>
      <c r="S278" s="292"/>
      <c r="T278" s="292"/>
      <c r="U278" s="293"/>
    </row>
    <row r="279" spans="1:21" ht="19.5">
      <c r="A279" s="294" t="s">
        <v>118</v>
      </c>
      <c r="B279" s="295"/>
      <c r="C279" s="296"/>
      <c r="D279" s="295"/>
      <c r="E279" s="295"/>
      <c r="F279" s="295"/>
      <c r="G279" s="295"/>
      <c r="H279" s="295"/>
      <c r="I279" s="297"/>
      <c r="J279" s="298"/>
      <c r="K279" s="299"/>
      <c r="L279" s="300"/>
      <c r="M279" s="299"/>
      <c r="N279" s="299"/>
      <c r="O279" s="299"/>
      <c r="P279" s="299"/>
      <c r="Q279" s="299"/>
      <c r="R279" s="299"/>
      <c r="S279" s="299"/>
      <c r="T279" s="299"/>
      <c r="U279" s="299"/>
    </row>
    <row r="280" spans="1:21" ht="19.5">
      <c r="A280" s="301"/>
      <c r="B280" s="302" t="s">
        <v>119</v>
      </c>
      <c r="C280" s="303"/>
      <c r="D280" s="304"/>
      <c r="E280" s="303"/>
      <c r="F280" s="303"/>
      <c r="G280" s="305"/>
      <c r="H280" s="306" t="s">
        <v>35</v>
      </c>
      <c r="I280" s="644">
        <f ca="1">I293</f>
        <v>70</v>
      </c>
      <c r="J280" s="644">
        <f>J293</f>
        <v>70</v>
      </c>
      <c r="K280" s="643">
        <f ca="1">IF(I280&gt;0,J280*100/I280,0)</f>
        <v>100</v>
      </c>
      <c r="L280" s="310"/>
      <c r="M280" s="309"/>
      <c r="N280" s="309"/>
      <c r="O280" s="309"/>
      <c r="P280" s="309"/>
      <c r="Q280" s="309"/>
      <c r="R280" s="309"/>
      <c r="S280" s="309"/>
      <c r="T280" s="309"/>
      <c r="U280" s="309"/>
    </row>
    <row r="281" spans="1:21" ht="19.5">
      <c r="A281" s="301"/>
      <c r="B281" s="303"/>
      <c r="C281" s="303"/>
      <c r="D281" s="304"/>
      <c r="E281" s="303"/>
      <c r="F281" s="303"/>
      <c r="G281" s="305"/>
      <c r="H281" s="306" t="s">
        <v>46</v>
      </c>
      <c r="I281" s="644">
        <f ca="1">I292</f>
        <v>700</v>
      </c>
      <c r="J281" s="644">
        <f>J292</f>
        <v>700</v>
      </c>
      <c r="K281" s="643">
        <f ca="1">IF(I281&gt;0,J281*100/I281,0)</f>
        <v>100</v>
      </c>
      <c r="L281" s="310"/>
      <c r="M281" s="309"/>
      <c r="N281" s="309"/>
      <c r="O281" s="309"/>
      <c r="P281" s="309"/>
      <c r="Q281" s="309"/>
      <c r="R281" s="309"/>
      <c r="S281" s="309"/>
      <c r="T281" s="309"/>
      <c r="U281" s="309"/>
    </row>
    <row r="282" spans="1:21" ht="19.5">
      <c r="A282" s="155"/>
      <c r="B282" s="50"/>
      <c r="C282" s="156" t="s">
        <v>18</v>
      </c>
      <c r="D282" s="575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541">
        <f ca="1">L283+L284</f>
        <v>226520</v>
      </c>
      <c r="M282" s="540">
        <f ca="1">M283+M284</f>
        <v>226520</v>
      </c>
      <c r="N282" s="540">
        <f ca="1">N283+N284</f>
        <v>178830.6</v>
      </c>
      <c r="O282" s="540">
        <f ca="1">IF(L282&gt;0,N282*100/L282,0)</f>
        <v>78.946936252869506</v>
      </c>
      <c r="P282" s="540">
        <f ca="1">IF(M282&gt;0,N282*100/M282,0)</f>
        <v>78.946936252869506</v>
      </c>
      <c r="Q282" s="540">
        <f>Q283+Q284</f>
        <v>0</v>
      </c>
      <c r="R282" s="540">
        <f>R283+R284</f>
        <v>0</v>
      </c>
      <c r="S282" s="540">
        <f>S283+S284</f>
        <v>0</v>
      </c>
      <c r="T282" s="540">
        <f>IF(Q282&gt;0,S282*100/Q282,0)</f>
        <v>0</v>
      </c>
      <c r="U282" s="540">
        <f>IF(R282&gt;0,S282*100/R282,0)</f>
        <v>0</v>
      </c>
    </row>
    <row r="283" spans="1:21" ht="18.75" hidden="1">
      <c r="A283" s="155"/>
      <c r="B283" s="50"/>
      <c r="C283" s="50"/>
      <c r="D283" s="50"/>
      <c r="E283" s="186" t="s">
        <v>20</v>
      </c>
      <c r="F283" s="50"/>
      <c r="G283" s="52"/>
      <c r="H283" s="187" t="s">
        <v>14</v>
      </c>
      <c r="I283" s="54"/>
      <c r="J283" s="54"/>
      <c r="K283" s="55"/>
      <c r="L283" s="103">
        <f>L286+L289</f>
        <v>0</v>
      </c>
      <c r="M283" s="102">
        <f>M286+M289</f>
        <v>0</v>
      </c>
      <c r="N283" s="102">
        <f>N286+N289</f>
        <v>0</v>
      </c>
      <c r="O283" s="102">
        <f>IF(L283&gt;0,N283*100/L283,0)</f>
        <v>0</v>
      </c>
      <c r="P283" s="102">
        <f>IF(M283&gt;0,N283*100/M283,0)</f>
        <v>0</v>
      </c>
      <c r="Q283" s="102">
        <f>Q286+Q289</f>
        <v>0</v>
      </c>
      <c r="R283" s="102">
        <f>R286+R289</f>
        <v>0</v>
      </c>
      <c r="S283" s="102">
        <f>S286+S289</f>
        <v>0</v>
      </c>
      <c r="T283" s="102">
        <f>IF(Q283&gt;0,S283*100/Q283,0)</f>
        <v>0</v>
      </c>
      <c r="U283" s="102">
        <f>IF(R283&gt;0,S283*100/R283,0)</f>
        <v>0</v>
      </c>
    </row>
    <row r="284" spans="1:21" ht="18.75" hidden="1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256">
        <f ca="1">L287+L290</f>
        <v>226520</v>
      </c>
      <c r="M284" s="255">
        <f ca="1">M287+M290</f>
        <v>226520</v>
      </c>
      <c r="N284" s="255">
        <f ca="1">N287+N290</f>
        <v>178830.6</v>
      </c>
      <c r="O284" s="255">
        <f ca="1">IF(L284&gt;0,N284*100/L284,0)</f>
        <v>78.946936252869506</v>
      </c>
      <c r="P284" s="255">
        <f ca="1">IF(M284&gt;0,N284*100/M284,0)</f>
        <v>78.946936252869506</v>
      </c>
      <c r="Q284" s="255">
        <f>Q287+Q290</f>
        <v>0</v>
      </c>
      <c r="R284" s="255">
        <f>R287+R290</f>
        <v>0</v>
      </c>
      <c r="S284" s="255">
        <f>S287+S290</f>
        <v>0</v>
      </c>
      <c r="T284" s="255">
        <f>IF(Q284&gt;0,S284*100/Q284,0)</f>
        <v>0</v>
      </c>
      <c r="U284" s="255">
        <f>IF(R284&gt;0,S284*100/R284,0)</f>
        <v>0</v>
      </c>
    </row>
    <row r="285" spans="1:21" ht="18.75">
      <c r="A285" s="155"/>
      <c r="B285" s="50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256">
        <f ca="1">L286+L287</f>
        <v>226520</v>
      </c>
      <c r="M285" s="255">
        <f ca="1">M286+M287</f>
        <v>226520</v>
      </c>
      <c r="N285" s="255">
        <f ca="1">N286+N287</f>
        <v>178830.6</v>
      </c>
      <c r="O285" s="255">
        <f ca="1">IF(L285&gt;0,N285*100/L285,0)</f>
        <v>78.946936252869506</v>
      </c>
      <c r="P285" s="255">
        <f ca="1">IF(M285&gt;0,N285*100/M285,0)</f>
        <v>78.946936252869506</v>
      </c>
      <c r="Q285" s="255">
        <f>Q286+Q287</f>
        <v>0</v>
      </c>
      <c r="R285" s="255">
        <f>R286+R287</f>
        <v>0</v>
      </c>
      <c r="S285" s="255">
        <f>S286+S287</f>
        <v>0</v>
      </c>
      <c r="T285" s="255">
        <f>IF(Q285&gt;0,S285*100/Q285,0)</f>
        <v>0</v>
      </c>
      <c r="U285" s="255">
        <f>IF(R285&gt;0,S285*100/R285,0)</f>
        <v>0</v>
      </c>
    </row>
    <row r="286" spans="1:21" ht="18.75" hidden="1">
      <c r="A286" s="155"/>
      <c r="B286" s="50"/>
      <c r="C286" s="50"/>
      <c r="D286" s="50"/>
      <c r="E286" s="186" t="s">
        <v>36</v>
      </c>
      <c r="F286" s="50"/>
      <c r="G286" s="52"/>
      <c r="H286" s="189" t="s">
        <v>14</v>
      </c>
      <c r="I286" s="163"/>
      <c r="J286" s="163"/>
      <c r="K286" s="164"/>
      <c r="L286" s="103">
        <v>0</v>
      </c>
      <c r="M286" s="102">
        <v>0</v>
      </c>
      <c r="N286" s="102">
        <v>0</v>
      </c>
      <c r="O286" s="102">
        <f>IF(L286&gt;0,N286*100/L286,0)</f>
        <v>0</v>
      </c>
      <c r="P286" s="102">
        <f>IF(M286&gt;0,N286*100/M286,0)</f>
        <v>0</v>
      </c>
      <c r="Q286" s="102">
        <v>0</v>
      </c>
      <c r="R286" s="102">
        <v>0</v>
      </c>
      <c r="S286" s="102">
        <v>0</v>
      </c>
      <c r="T286" s="102">
        <f>IF(Q286&gt;0,S286*100/Q286,0)</f>
        <v>0</v>
      </c>
      <c r="U286" s="102">
        <f>IF(R286&gt;0,S286*100/R286,0)</f>
        <v>0</v>
      </c>
    </row>
    <row r="287" spans="1:21" ht="18.75" hidden="1">
      <c r="A287" s="155"/>
      <c r="B287" s="50"/>
      <c r="C287" s="50"/>
      <c r="D287" s="50"/>
      <c r="E287" s="58" t="s">
        <v>37</v>
      </c>
      <c r="F287" s="50"/>
      <c r="G287" s="52"/>
      <c r="H287" s="162" t="s">
        <v>14</v>
      </c>
      <c r="I287" s="163"/>
      <c r="J287" s="163"/>
      <c r="K287" s="164"/>
      <c r="L287" s="256">
        <f ca="1">IFERROR(__xludf.DUMMYFUNCTION("IMPORTRANGE(""https://docs.google.com/spreadsheets/d/1-uDff_7J0KD5mKrp0Vvzr7lt3OU09vwQwhkpOPPYv2Y/edit?usp=sharing"",""งบพรบ!DO34"")"),226520)</f>
        <v>226520</v>
      </c>
      <c r="M287" s="255">
        <f ca="1">IFERROR(__xludf.DUMMYFUNCTION("IMPORTRANGE(""https://docs.google.com/spreadsheets/d/1-uDff_7J0KD5mKrp0Vvzr7lt3OU09vwQwhkpOPPYv2Y/edit?usp=sharing"",""งบพรบ!DT34"")"),226520)</f>
        <v>226520</v>
      </c>
      <c r="N287" s="255">
        <f ca="1">IFERROR(__xludf.DUMMYFUNCTION("IMPORTRANGE(""https://docs.google.com/spreadsheets/d/1-uDff_7J0KD5mKrp0Vvzr7lt3OU09vwQwhkpOPPYv2Y/edit?usp=sharing"",""งบพรบ!DV34"")"),178830.6)</f>
        <v>178830.6</v>
      </c>
      <c r="O287" s="255">
        <f ca="1">IF(L287&gt;0,N287*100/L287,0)</f>
        <v>78.946936252869506</v>
      </c>
      <c r="P287" s="255">
        <f ca="1">IF(M287&gt;0,N287*100/M287,0)</f>
        <v>78.946936252869506</v>
      </c>
      <c r="Q287" s="255">
        <v>0</v>
      </c>
      <c r="R287" s="255">
        <v>0</v>
      </c>
      <c r="S287" s="255">
        <v>0</v>
      </c>
      <c r="T287" s="102">
        <f>IF(Q287&gt;0,S287*100/Q287,0)</f>
        <v>0</v>
      </c>
      <c r="U287" s="102">
        <f>IF(R287&gt;0,S287*100/R287,0)</f>
        <v>0</v>
      </c>
    </row>
    <row r="288" spans="1:21" ht="18.75">
      <c r="A288" s="155"/>
      <c r="B288" s="50"/>
      <c r="C288" s="50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256">
        <f ca="1">L289+L290</f>
        <v>0</v>
      </c>
      <c r="M288" s="255">
        <f ca="1">M289+M290</f>
        <v>0</v>
      </c>
      <c r="N288" s="255">
        <f ca="1">N289+N290</f>
        <v>0</v>
      </c>
      <c r="O288" s="255">
        <f ca="1">IF(L288&gt;0,N288*100/L288,0)</f>
        <v>0</v>
      </c>
      <c r="P288" s="255">
        <f ca="1">IF(M288&gt;0,N288*100/M288,0)</f>
        <v>0</v>
      </c>
      <c r="Q288" s="255">
        <f>Q289+Q290</f>
        <v>0</v>
      </c>
      <c r="R288" s="255">
        <f>R289+R290</f>
        <v>0</v>
      </c>
      <c r="S288" s="255">
        <f>S289+S290</f>
        <v>0</v>
      </c>
      <c r="T288" s="255">
        <f>IF(Q288&gt;0,S288*100/Q288,0)</f>
        <v>0</v>
      </c>
      <c r="U288" s="255">
        <f>IF(R288&gt;0,S288*100/R288,0)</f>
        <v>0</v>
      </c>
    </row>
    <row r="289" spans="1:21" ht="18.75" hidden="1">
      <c r="A289" s="155"/>
      <c r="B289" s="50"/>
      <c r="C289" s="50"/>
      <c r="D289" s="50"/>
      <c r="E289" s="186" t="s">
        <v>20</v>
      </c>
      <c r="F289" s="50"/>
      <c r="G289" s="52"/>
      <c r="H289" s="189" t="s">
        <v>14</v>
      </c>
      <c r="I289" s="163"/>
      <c r="J289" s="163"/>
      <c r="K289" s="164"/>
      <c r="L289" s="103">
        <v>0</v>
      </c>
      <c r="M289" s="102">
        <v>0</v>
      </c>
      <c r="N289" s="102">
        <v>0</v>
      </c>
      <c r="O289" s="102">
        <f>IF(L289&gt;0,N289*100/L289,0)</f>
        <v>0</v>
      </c>
      <c r="P289" s="102">
        <f>IF(M289&gt;0,N289*100/M289,0)</f>
        <v>0</v>
      </c>
      <c r="Q289" s="102">
        <v>0</v>
      </c>
      <c r="R289" s="102">
        <v>0</v>
      </c>
      <c r="S289" s="102">
        <v>0</v>
      </c>
      <c r="T289" s="102">
        <f>IF(Q289&gt;0,S289*100/Q289,0)</f>
        <v>0</v>
      </c>
      <c r="U289" s="102">
        <f>IF(R289&gt;0,S289*100/R289,0)</f>
        <v>0</v>
      </c>
    </row>
    <row r="290" spans="1:21" ht="18.75" hidden="1">
      <c r="A290" s="155"/>
      <c r="B290" s="50"/>
      <c r="C290" s="50"/>
      <c r="D290" s="50"/>
      <c r="E290" s="58" t="s">
        <v>21</v>
      </c>
      <c r="F290" s="50"/>
      <c r="G290" s="52"/>
      <c r="H290" s="165" t="s">
        <v>14</v>
      </c>
      <c r="I290" s="163"/>
      <c r="J290" s="163"/>
      <c r="K290" s="164"/>
      <c r="L290" s="256">
        <f ca="1">IFERROR(__xludf.DUMMYFUNCTION("IMPORTRANGE(""https://docs.google.com/spreadsheets/d/1-uDff_7J0KD5mKrp0Vvzr7lt3OU09vwQwhkpOPPYv2Y/edit?usp=sharing"",""งบพรบ!DR34"")"),0)</f>
        <v>0</v>
      </c>
      <c r="M290" s="255">
        <f ca="1">IFERROR(__xludf.DUMMYFUNCTION("IMPORTRANGE(""https://docs.google.com/spreadsheets/d/1-uDff_7J0KD5mKrp0Vvzr7lt3OU09vwQwhkpOPPYv2Y/edit?usp=sharing"",""งบพรบ!DU34"")"),0)</f>
        <v>0</v>
      </c>
      <c r="N290" s="255">
        <f ca="1">IFERROR(__xludf.DUMMYFUNCTION("IMPORTRANGE(""https://docs.google.com/spreadsheets/d/1-uDff_7J0KD5mKrp0Vvzr7lt3OU09vwQwhkpOPPYv2Y/edit?usp=sharing"",""งบพรบ!DW34"")"),0)</f>
        <v>0</v>
      </c>
      <c r="O290" s="255">
        <f ca="1">IF(L290&gt;0,N290*100/L290,0)</f>
        <v>0</v>
      </c>
      <c r="P290" s="255">
        <f ca="1">IF(M290&gt;0,N290*100/M290,0)</f>
        <v>0</v>
      </c>
      <c r="Q290" s="255">
        <v>0</v>
      </c>
      <c r="R290" s="255">
        <v>0</v>
      </c>
      <c r="S290" s="255">
        <v>0</v>
      </c>
      <c r="T290" s="255">
        <f>IF(Q290&gt;0,S290*100/Q290,0)</f>
        <v>0</v>
      </c>
      <c r="U290" s="255">
        <f>IF(R290&gt;0,S290*100/R290,0)</f>
        <v>0</v>
      </c>
    </row>
    <row r="291" spans="1:21" ht="19.5">
      <c r="A291" s="166"/>
      <c r="B291" s="167"/>
      <c r="C291" s="156" t="s">
        <v>18</v>
      </c>
      <c r="D291" s="566" t="s">
        <v>38</v>
      </c>
      <c r="E291" s="169"/>
      <c r="F291" s="169"/>
      <c r="G291" s="170"/>
      <c r="H291" s="171"/>
      <c r="I291" s="163"/>
      <c r="J291" s="163"/>
      <c r="K291" s="164"/>
      <c r="L291" s="172"/>
      <c r="M291" s="164"/>
      <c r="N291" s="164"/>
      <c r="O291" s="164"/>
      <c r="P291" s="164"/>
      <c r="Q291" s="164"/>
      <c r="R291" s="164"/>
      <c r="S291" s="164"/>
      <c r="T291" s="164"/>
      <c r="U291" s="164"/>
    </row>
    <row r="292" spans="1:21" ht="18.75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212">
        <f ca="1">IFERROR(__xludf.DUMMYFUNCTION("IMPORTRANGE(""https://docs.google.com/spreadsheets/d/1eHaY18a8A9IcSdp1K8H6x8fbOy06t2VsZHhMHf-1x7Y/edit?usp=sharing"",""แผน!EE34"")"),700)</f>
        <v>700</v>
      </c>
      <c r="J292" s="467">
        <v>700</v>
      </c>
      <c r="K292" s="565">
        <f ca="1">IF(I292&gt;0,J292*100/I292,0)</f>
        <v>100</v>
      </c>
      <c r="L292" s="172"/>
      <c r="M292" s="164"/>
      <c r="N292" s="164"/>
      <c r="O292" s="164"/>
      <c r="P292" s="164"/>
      <c r="Q292" s="164"/>
      <c r="R292" s="164"/>
      <c r="S292" s="164"/>
      <c r="T292" s="164"/>
      <c r="U292" s="164"/>
    </row>
    <row r="293" spans="1:21" ht="19.5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373">
        <f ca="1">IFERROR(__xludf.DUMMYFUNCTION("IMPORTRANGE(""https://docs.google.com/spreadsheets/d/1eHaY18a8A9IcSdp1K8H6x8fbOy06t2VsZHhMHf-1x7Y/edit?usp=sharing"",""แผน!ED34"")"),70)</f>
        <v>70</v>
      </c>
      <c r="J293" s="373">
        <f>J296</f>
        <v>70</v>
      </c>
      <c r="K293" s="642">
        <f ca="1">IF(I293&gt;0,J293*100/I293,0)</f>
        <v>100</v>
      </c>
      <c r="L293" s="172"/>
      <c r="M293" s="164"/>
      <c r="N293" s="164"/>
      <c r="O293" s="164"/>
      <c r="P293" s="164"/>
      <c r="Q293" s="164"/>
      <c r="R293" s="164"/>
      <c r="S293" s="164"/>
      <c r="T293" s="164"/>
      <c r="U293" s="164"/>
    </row>
    <row r="294" spans="1:21" ht="19.5">
      <c r="A294" s="166"/>
      <c r="B294" s="167"/>
      <c r="C294" s="167"/>
      <c r="D294" s="174"/>
      <c r="E294" s="194" t="s">
        <v>122</v>
      </c>
      <c r="F294" s="174"/>
      <c r="G294" s="171"/>
      <c r="H294" s="171"/>
      <c r="I294" s="163"/>
      <c r="J294" s="54"/>
      <c r="K294" s="164"/>
      <c r="L294" s="172"/>
      <c r="M294" s="164"/>
      <c r="N294" s="164"/>
      <c r="O294" s="164"/>
      <c r="P294" s="164"/>
      <c r="Q294" s="164"/>
      <c r="R294" s="164"/>
      <c r="S294" s="164"/>
      <c r="T294" s="164"/>
      <c r="U294" s="164"/>
    </row>
    <row r="295" spans="1:21" ht="19.5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641">
        <f ca="1">IFERROR(__xludf.DUMMYFUNCTION("IMPORTRANGE(""https://docs.google.com/spreadsheets/d/1eHaY18a8A9IcSdp1K8H6x8fbOy06t2VsZHhMHf-1x7Y/edit?usp=sharing"",""แผน!ED34"")"),70)</f>
        <v>70</v>
      </c>
      <c r="J295" s="467">
        <v>70</v>
      </c>
      <c r="K295" s="565">
        <f ca="1">IF(I295&gt;0,J295*100/I295,0)</f>
        <v>100</v>
      </c>
      <c r="L295" s="172"/>
      <c r="M295" s="164"/>
      <c r="N295" s="164"/>
      <c r="O295" s="164"/>
      <c r="P295" s="164"/>
      <c r="Q295" s="164"/>
      <c r="R295" s="164"/>
      <c r="S295" s="164"/>
      <c r="T295" s="164"/>
      <c r="U295" s="164"/>
    </row>
    <row r="296" spans="1:21" ht="19.5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641">
        <f ca="1">IFERROR(__xludf.DUMMYFUNCTION("IMPORTRANGE(""https://docs.google.com/spreadsheets/d/1eHaY18a8A9IcSdp1K8H6x8fbOy06t2VsZHhMHf-1x7Y/edit?usp=sharing"",""แผน!ED34"")"),70)</f>
        <v>70</v>
      </c>
      <c r="J296" s="467">
        <v>70</v>
      </c>
      <c r="K296" s="565">
        <f ca="1">IF(I296&gt;0,J296*100/I296,0)</f>
        <v>100</v>
      </c>
      <c r="L296" s="172"/>
      <c r="M296" s="164"/>
      <c r="N296" s="164"/>
      <c r="O296" s="164"/>
      <c r="P296" s="164"/>
      <c r="Q296" s="164"/>
      <c r="R296" s="164"/>
      <c r="S296" s="164"/>
      <c r="T296" s="164"/>
      <c r="U296" s="164"/>
    </row>
    <row r="297" spans="1:21" ht="12.75" hidden="1">
      <c r="A297" s="192"/>
      <c r="B297" s="193"/>
      <c r="C297" s="193"/>
      <c r="D297" s="22"/>
      <c r="E297" s="22"/>
      <c r="F297" s="22"/>
      <c r="G297" s="23"/>
      <c r="H297" s="23"/>
      <c r="I297" s="24"/>
      <c r="J297" s="24"/>
      <c r="K297" s="25"/>
      <c r="L297" s="26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2.75" hidden="1">
      <c r="A298" s="192"/>
      <c r="B298" s="193"/>
      <c r="C298" s="193"/>
      <c r="D298" s="22"/>
      <c r="E298" s="22"/>
      <c r="F298" s="22"/>
      <c r="G298" s="23"/>
      <c r="H298" s="23"/>
      <c r="I298" s="24"/>
      <c r="J298" s="24"/>
      <c r="K298" s="25"/>
      <c r="L298" s="26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2.75" hidden="1">
      <c r="A299" s="311"/>
      <c r="B299" s="312"/>
      <c r="C299" s="312"/>
      <c r="D299" s="27"/>
      <c r="E299" s="27"/>
      <c r="F299" s="27"/>
      <c r="G299" s="17"/>
      <c r="H299" s="17"/>
      <c r="I299" s="18"/>
      <c r="J299" s="18"/>
      <c r="K299" s="19"/>
      <c r="L299" s="28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>
      <c r="A300" s="313" t="s">
        <v>125</v>
      </c>
      <c r="B300" s="314"/>
      <c r="C300" s="314"/>
      <c r="D300" s="314"/>
      <c r="E300" s="315"/>
      <c r="F300" s="315"/>
      <c r="G300" s="315"/>
      <c r="H300" s="315"/>
      <c r="I300" s="316"/>
      <c r="J300" s="316"/>
      <c r="K300" s="317"/>
      <c r="L300" s="317"/>
      <c r="M300" s="317"/>
      <c r="N300" s="317"/>
      <c r="O300" s="317"/>
      <c r="P300" s="318"/>
      <c r="Q300" s="317"/>
      <c r="R300" s="317"/>
      <c r="S300" s="317"/>
      <c r="T300" s="317"/>
      <c r="U300" s="318"/>
    </row>
    <row r="301" spans="1:21" ht="19.5">
      <c r="A301" s="319" t="s">
        <v>126</v>
      </c>
      <c r="B301" s="320"/>
      <c r="C301" s="320"/>
      <c r="D301" s="321"/>
      <c r="E301" s="321"/>
      <c r="F301" s="321"/>
      <c r="G301" s="322"/>
      <c r="H301" s="322"/>
      <c r="I301" s="323"/>
      <c r="J301" s="323"/>
      <c r="K301" s="324"/>
      <c r="L301" s="325"/>
      <c r="M301" s="324"/>
      <c r="N301" s="324"/>
      <c r="O301" s="324"/>
      <c r="P301" s="324"/>
      <c r="Q301" s="324"/>
      <c r="R301" s="324"/>
      <c r="S301" s="324"/>
      <c r="T301" s="324"/>
      <c r="U301" s="324"/>
    </row>
    <row r="302" spans="1:21" ht="19.5">
      <c r="A302" s="326"/>
      <c r="B302" s="327" t="s">
        <v>127</v>
      </c>
      <c r="C302" s="328"/>
      <c r="D302" s="328"/>
      <c r="E302" s="328"/>
      <c r="F302" s="328"/>
      <c r="G302" s="329"/>
      <c r="H302" s="330" t="s">
        <v>35</v>
      </c>
      <c r="I302" s="605">
        <f ca="1">I314</f>
        <v>50</v>
      </c>
      <c r="J302" s="605">
        <f>J314</f>
        <v>50</v>
      </c>
      <c r="K302" s="604">
        <f ca="1">IF(I302&gt;0,J302*100/I302,0)</f>
        <v>100</v>
      </c>
      <c r="L302" s="334"/>
      <c r="M302" s="333"/>
      <c r="N302" s="333"/>
      <c r="O302" s="333"/>
      <c r="P302" s="333"/>
      <c r="Q302" s="333"/>
      <c r="R302" s="333"/>
      <c r="S302" s="333"/>
      <c r="T302" s="333"/>
      <c r="U302" s="333"/>
    </row>
    <row r="303" spans="1:21" ht="19.5">
      <c r="A303" s="155"/>
      <c r="B303" s="50"/>
      <c r="C303" s="156" t="s">
        <v>18</v>
      </c>
      <c r="D303" s="575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541">
        <f ca="1">L304+L305</f>
        <v>0</v>
      </c>
      <c r="M303" s="540">
        <f ca="1">M304+M305</f>
        <v>0</v>
      </c>
      <c r="N303" s="540">
        <f ca="1">N304+N305</f>
        <v>0</v>
      </c>
      <c r="O303" s="540">
        <f ca="1">IF(L303&gt;0,N303*100/L303,0)</f>
        <v>0</v>
      </c>
      <c r="P303" s="540">
        <f ca="1">IF(M303&gt;0,N303*100/M303,0)</f>
        <v>0</v>
      </c>
      <c r="Q303" s="540">
        <f ca="1">Q304+Q305</f>
        <v>374853.15</v>
      </c>
      <c r="R303" s="540">
        <f ca="1">R304+R305</f>
        <v>374853</v>
      </c>
      <c r="S303" s="540">
        <f ca="1">S304+S305</f>
        <v>24897.5</v>
      </c>
      <c r="T303" s="540">
        <f ca="1">IF(Q303&gt;0,S303*100/Q303,0)</f>
        <v>6.6419343148110128</v>
      </c>
      <c r="U303" s="540">
        <f ca="1">IF(R303&gt;0,S303*100/R303,0)</f>
        <v>6.6419369726266027</v>
      </c>
    </row>
    <row r="304" spans="1:21" ht="18.75" hidden="1">
      <c r="A304" s="155"/>
      <c r="B304" s="50"/>
      <c r="C304" s="50"/>
      <c r="D304" s="50"/>
      <c r="E304" s="186" t="s">
        <v>20</v>
      </c>
      <c r="F304" s="50"/>
      <c r="G304" s="52"/>
      <c r="H304" s="187" t="s">
        <v>14</v>
      </c>
      <c r="I304" s="54"/>
      <c r="J304" s="54"/>
      <c r="K304" s="55"/>
      <c r="L304" s="103">
        <f>L307+L310</f>
        <v>0</v>
      </c>
      <c r="M304" s="102">
        <f>M307+M310</f>
        <v>0</v>
      </c>
      <c r="N304" s="102">
        <f>N307+N310</f>
        <v>0</v>
      </c>
      <c r="O304" s="102">
        <f>IF(L304&gt;0,N304*100/L304,0)</f>
        <v>0</v>
      </c>
      <c r="P304" s="102">
        <f>IF(M304&gt;0,N304*100/M304,0)</f>
        <v>0</v>
      </c>
      <c r="Q304" s="102">
        <f>Q307+Q310</f>
        <v>0</v>
      </c>
      <c r="R304" s="102">
        <f>R307+R310</f>
        <v>0</v>
      </c>
      <c r="S304" s="102">
        <f>S307+S310</f>
        <v>0</v>
      </c>
      <c r="T304" s="102">
        <f>IF(Q304&gt;0,S304*100/Q304,0)</f>
        <v>0</v>
      </c>
      <c r="U304" s="102">
        <f>IF(R304&gt;0,S304*100/R304,0)</f>
        <v>0</v>
      </c>
    </row>
    <row r="305" spans="1:21" ht="18.75" hidden="1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256">
        <f ca="1">L308+L311</f>
        <v>0</v>
      </c>
      <c r="M305" s="255">
        <f ca="1">M308+M311</f>
        <v>0</v>
      </c>
      <c r="N305" s="255">
        <f ca="1">N308+N311</f>
        <v>0</v>
      </c>
      <c r="O305" s="255">
        <f ca="1">IF(L305&gt;0,N305*100/L305,0)</f>
        <v>0</v>
      </c>
      <c r="P305" s="255">
        <f ca="1">IF(M305&gt;0,N305*100/M305,0)</f>
        <v>0</v>
      </c>
      <c r="Q305" s="255">
        <f ca="1">Q308+Q311</f>
        <v>374853.15</v>
      </c>
      <c r="R305" s="255">
        <f ca="1">R308+R311</f>
        <v>374853</v>
      </c>
      <c r="S305" s="255">
        <f ca="1">S308+S311</f>
        <v>24897.5</v>
      </c>
      <c r="T305" s="255">
        <f ca="1">IF(Q305&gt;0,S305*100/Q305,0)</f>
        <v>6.6419343148110128</v>
      </c>
      <c r="U305" s="255">
        <f ca="1">IF(R305&gt;0,S305*100/R305,0)</f>
        <v>6.6419369726266027</v>
      </c>
    </row>
    <row r="306" spans="1:21" ht="18.75">
      <c r="A306" s="155"/>
      <c r="B306" s="50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256">
        <f ca="1">L307+L308</f>
        <v>0</v>
      </c>
      <c r="M306" s="255">
        <f ca="1">M307+M308</f>
        <v>0</v>
      </c>
      <c r="N306" s="255">
        <f ca="1">N307+N308</f>
        <v>0</v>
      </c>
      <c r="O306" s="255">
        <f ca="1">IF(L306&gt;0,N306*100/L306,0)</f>
        <v>0</v>
      </c>
      <c r="P306" s="255">
        <f ca="1">IF(M306&gt;0,N306*100/M306,0)</f>
        <v>0</v>
      </c>
      <c r="Q306" s="255">
        <f ca="1">Q307+Q308</f>
        <v>374853.15</v>
      </c>
      <c r="R306" s="255">
        <f ca="1">R307+R308</f>
        <v>374853</v>
      </c>
      <c r="S306" s="255">
        <f ca="1">S307+S308</f>
        <v>24897.5</v>
      </c>
      <c r="T306" s="255">
        <f ca="1">IF(Q306&gt;0,S306*100/Q306,0)</f>
        <v>6.6419343148110128</v>
      </c>
      <c r="U306" s="255">
        <f ca="1">IF(R306&gt;0,S306*100/R306,0)</f>
        <v>6.6419369726266027</v>
      </c>
    </row>
    <row r="307" spans="1:21" ht="18.75" hidden="1">
      <c r="A307" s="155"/>
      <c r="B307" s="50"/>
      <c r="C307" s="50"/>
      <c r="D307" s="50"/>
      <c r="E307" s="186" t="s">
        <v>36</v>
      </c>
      <c r="F307" s="50"/>
      <c r="G307" s="52"/>
      <c r="H307" s="189" t="s">
        <v>14</v>
      </c>
      <c r="I307" s="163"/>
      <c r="J307" s="163"/>
      <c r="K307" s="164"/>
      <c r="L307" s="103">
        <v>0</v>
      </c>
      <c r="M307" s="102">
        <v>0</v>
      </c>
      <c r="N307" s="102">
        <v>0</v>
      </c>
      <c r="O307" s="102">
        <f>IF(L307&gt;0,N307*100/L307,0)</f>
        <v>0</v>
      </c>
      <c r="P307" s="102">
        <f>IF(M307&gt;0,N307*100/M307,0)</f>
        <v>0</v>
      </c>
      <c r="Q307" s="102">
        <v>0</v>
      </c>
      <c r="R307" s="102">
        <v>0</v>
      </c>
      <c r="S307" s="102">
        <v>0</v>
      </c>
      <c r="T307" s="102">
        <f>IF(Q307&gt;0,S307*100/Q307,0)</f>
        <v>0</v>
      </c>
      <c r="U307" s="102">
        <f>IF(R307&gt;0,S307*100/R307,0)</f>
        <v>0</v>
      </c>
    </row>
    <row r="308" spans="1:21" ht="18.75" hidden="1">
      <c r="A308" s="155"/>
      <c r="B308" s="50"/>
      <c r="C308" s="50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256">
        <f ca="1">IFERROR(__xludf.DUMMYFUNCTION("IMPORTRANGE(""https://docs.google.com/spreadsheets/d/1-uDff_7J0KD5mKrp0Vvzr7lt3OU09vwQwhkpOPPYv2Y/edit?usp=sharing"",""งบพรบ!DY34"")"),0)</f>
        <v>0</v>
      </c>
      <c r="M308" s="255">
        <f ca="1">IFERROR(__xludf.DUMMYFUNCTION("IMPORTRANGE(""https://docs.google.com/spreadsheets/d/1-uDff_7J0KD5mKrp0Vvzr7lt3OU09vwQwhkpOPPYv2Y/edit?usp=sharing"",""งบพรบ!ED34"")"),0)</f>
        <v>0</v>
      </c>
      <c r="N308" s="255">
        <f ca="1">IFERROR(__xludf.DUMMYFUNCTION("IMPORTRANGE(""https://docs.google.com/spreadsheets/d/1-uDff_7J0KD5mKrp0Vvzr7lt3OU09vwQwhkpOPPYv2Y/edit?usp=sharing"",""งบพรบ!EF34"")"),0)</f>
        <v>0</v>
      </c>
      <c r="O308" s="255">
        <f ca="1">IF(L308&gt;0,N308*100/L308,0)</f>
        <v>0</v>
      </c>
      <c r="P308" s="255">
        <f ca="1">IF(M308&gt;0,N308*100/M308,0)</f>
        <v>0</v>
      </c>
      <c r="Q308" s="255">
        <f ca="1">IFERROR(__xludf.DUMMYFUNCTION("IMPORTRANGE(""https://docs.google.com/spreadsheets/d/1ItG2mGa2ceCfYo0BwxsXqNm01IGEUdYcSSLTEv9YCik/edit?usp=sharing"",""เบิกจ่ายกองทุน!AP34"")"),374853.15)</f>
        <v>374853.15</v>
      </c>
      <c r="R308" s="255">
        <f ca="1">IFERROR(__xludf.DUMMYFUNCTION("IMPORTRANGE(""https://docs.google.com/spreadsheets/d/1ItG2mGa2ceCfYo0BwxsXqNm01IGEUdYcSSLTEv9YCik/edit?usp=sharing"",""เบิกจ่ายกองทุน!AQ34"")"),374853)</f>
        <v>374853</v>
      </c>
      <c r="S308" s="255">
        <f ca="1">IFERROR(__xludf.DUMMYFUNCTION("IMPORTRANGE(""https://docs.google.com/spreadsheets/d/1ItG2mGa2ceCfYo0BwxsXqNm01IGEUdYcSSLTEv9YCik/edit?usp=sharing"",""เบิกจ่ายกองทุน!AR34"")"),24897.5)</f>
        <v>24897.5</v>
      </c>
      <c r="T308" s="255">
        <f ca="1">IF(Q308&gt;0,S308*100/Q308,0)</f>
        <v>6.6419343148110128</v>
      </c>
      <c r="U308" s="255">
        <f ca="1">IF(R308&gt;0,S308*100/R308,0)</f>
        <v>6.6419369726266027</v>
      </c>
    </row>
    <row r="309" spans="1:21" ht="18.75">
      <c r="A309" s="155"/>
      <c r="B309" s="50"/>
      <c r="C309" s="50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256">
        <f ca="1">L310+L311</f>
        <v>0</v>
      </c>
      <c r="M309" s="255">
        <f ca="1">M310+M311</f>
        <v>0</v>
      </c>
      <c r="N309" s="255">
        <f ca="1">N310+N311</f>
        <v>0</v>
      </c>
      <c r="O309" s="255">
        <f ca="1">IF(L309&gt;0,N309*100/L309,0)</f>
        <v>0</v>
      </c>
      <c r="P309" s="255">
        <f ca="1">IF(M309&gt;0,N309*100/M309,0)</f>
        <v>0</v>
      </c>
      <c r="Q309" s="255">
        <f>Q310+Q311</f>
        <v>0</v>
      </c>
      <c r="R309" s="255">
        <f>R310+R311</f>
        <v>0</v>
      </c>
      <c r="S309" s="255">
        <f>S310+S311</f>
        <v>0</v>
      </c>
      <c r="T309" s="255">
        <f>IF(Q309&gt;0,S309*100/Q309,0)</f>
        <v>0</v>
      </c>
      <c r="U309" s="255">
        <f>IF(R309&gt;0,S309*100/R309,0)</f>
        <v>0</v>
      </c>
    </row>
    <row r="310" spans="1:21" ht="18.75" hidden="1">
      <c r="A310" s="155"/>
      <c r="B310" s="50"/>
      <c r="C310" s="50"/>
      <c r="D310" s="50"/>
      <c r="E310" s="186" t="s">
        <v>20</v>
      </c>
      <c r="F310" s="50"/>
      <c r="G310" s="52"/>
      <c r="H310" s="189" t="s">
        <v>14</v>
      </c>
      <c r="I310" s="163"/>
      <c r="J310" s="163"/>
      <c r="K310" s="164"/>
      <c r="L310" s="103">
        <v>0</v>
      </c>
      <c r="M310" s="102">
        <v>0</v>
      </c>
      <c r="N310" s="102">
        <v>0</v>
      </c>
      <c r="O310" s="102">
        <f>IF(L310&gt;0,N310*100/L310,0)</f>
        <v>0</v>
      </c>
      <c r="P310" s="102">
        <f>IF(M310&gt;0,N310*100/M310,0)</f>
        <v>0</v>
      </c>
      <c r="Q310" s="102">
        <v>0</v>
      </c>
      <c r="R310" s="102">
        <v>0</v>
      </c>
      <c r="S310" s="102">
        <v>0</v>
      </c>
      <c r="T310" s="102">
        <f>IF(Q310&gt;0,S310*100/Q310,0)</f>
        <v>0</v>
      </c>
      <c r="U310" s="102">
        <f>IF(R310&gt;0,S310*100/R310,0)</f>
        <v>0</v>
      </c>
    </row>
    <row r="311" spans="1:21" ht="18.75" hidden="1">
      <c r="A311" s="155"/>
      <c r="B311" s="50"/>
      <c r="C311" s="50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256">
        <f ca="1">IFERROR(__xludf.DUMMYFUNCTION("IMPORTRANGE(""https://docs.google.com/spreadsheets/d/1-uDff_7J0KD5mKrp0Vvzr7lt3OU09vwQwhkpOPPYv2Y/edit?usp=sharing"",""งบพรบ!EB34"")"),0)</f>
        <v>0</v>
      </c>
      <c r="M311" s="255">
        <f ca="1">IFERROR(__xludf.DUMMYFUNCTION("IMPORTRANGE(""https://docs.google.com/spreadsheets/d/1-uDff_7J0KD5mKrp0Vvzr7lt3OU09vwQwhkpOPPYv2Y/edit?usp=sharing"",""งบพรบ!EE34"")"),0)</f>
        <v>0</v>
      </c>
      <c r="N311" s="255">
        <f ca="1">IFERROR(__xludf.DUMMYFUNCTION("IMPORTRANGE(""https://docs.google.com/spreadsheets/d/1-uDff_7J0KD5mKrp0Vvzr7lt3OU09vwQwhkpOPPYv2Y/edit?usp=sharing"",""งบพรบ!EG34"")"),0)</f>
        <v>0</v>
      </c>
      <c r="O311" s="255">
        <f ca="1">IF(L311&gt;0,N311*100/L311,0)</f>
        <v>0</v>
      </c>
      <c r="P311" s="255">
        <f ca="1">IF(M311&gt;0,N311*100/M311,0)</f>
        <v>0</v>
      </c>
      <c r="Q311" s="255">
        <v>0</v>
      </c>
      <c r="R311" s="255">
        <v>0</v>
      </c>
      <c r="S311" s="255">
        <v>0</v>
      </c>
      <c r="T311" s="255">
        <f>IF(Q311&gt;0,S311*100/Q311,0)</f>
        <v>0</v>
      </c>
      <c r="U311" s="255">
        <f>IF(R311&gt;0,S311*100/R311,0)</f>
        <v>0</v>
      </c>
    </row>
    <row r="312" spans="1:21" ht="19.5">
      <c r="A312" s="166"/>
      <c r="B312" s="167"/>
      <c r="C312" s="156" t="s">
        <v>18</v>
      </c>
      <c r="D312" s="566" t="s">
        <v>38</v>
      </c>
      <c r="E312" s="169"/>
      <c r="F312" s="169"/>
      <c r="G312" s="170"/>
      <c r="H312" s="171"/>
      <c r="I312" s="54"/>
      <c r="J312" s="54"/>
      <c r="K312" s="55"/>
      <c r="L312" s="62"/>
      <c r="M312" s="55"/>
      <c r="N312" s="55"/>
      <c r="O312" s="55"/>
      <c r="P312" s="55"/>
      <c r="Q312" s="55"/>
      <c r="R312" s="55"/>
      <c r="S312" s="55"/>
      <c r="T312" s="55"/>
      <c r="U312" s="55"/>
    </row>
    <row r="313" spans="1:21" ht="18.75" hidden="1">
      <c r="A313" s="192"/>
      <c r="B313" s="193"/>
      <c r="C313" s="193"/>
      <c r="D313" s="640"/>
      <c r="E313" s="22"/>
      <c r="F313" s="22"/>
      <c r="G313" s="23"/>
      <c r="H313" s="23"/>
      <c r="I313" s="24"/>
      <c r="J313" s="638"/>
      <c r="K313" s="25"/>
      <c r="L313" s="26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8.75">
      <c r="A314" s="166"/>
      <c r="B314" s="167"/>
      <c r="C314" s="167"/>
      <c r="D314" s="178" t="s">
        <v>121</v>
      </c>
      <c r="E314" s="174"/>
      <c r="F314" s="174"/>
      <c r="G314" s="171"/>
      <c r="H314" s="179" t="s">
        <v>35</v>
      </c>
      <c r="I314" s="212">
        <f ca="1">IFERROR(__xludf.DUMMYFUNCTION("IMPORTRANGE(""https://docs.google.com/spreadsheets/d/1eHaY18a8A9IcSdp1K8H6x8fbOy06t2VsZHhMHf-1x7Y/edit?usp=sharing"",""แผน!EF34"")"),50)</f>
        <v>50</v>
      </c>
      <c r="J314" s="467">
        <v>50</v>
      </c>
      <c r="K314" s="255">
        <f ca="1">IF(I314&gt;0,J314*100/I314,0)</f>
        <v>100</v>
      </c>
      <c r="L314" s="62"/>
      <c r="M314" s="55"/>
      <c r="N314" s="55"/>
      <c r="O314" s="55"/>
      <c r="P314" s="55"/>
      <c r="Q314" s="55"/>
      <c r="R314" s="55"/>
      <c r="S314" s="55"/>
      <c r="T314" s="55"/>
      <c r="U314" s="55"/>
    </row>
    <row r="315" spans="1:21" ht="18.75" hidden="1">
      <c r="A315" s="192"/>
      <c r="B315" s="193"/>
      <c r="C315" s="193"/>
      <c r="D315" s="640"/>
      <c r="E315" s="22"/>
      <c r="F315" s="22"/>
      <c r="G315" s="23"/>
      <c r="H315" s="639"/>
      <c r="I315" s="638"/>
      <c r="J315" s="638"/>
      <c r="K315" s="637"/>
      <c r="L315" s="26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8.75" hidden="1">
      <c r="A316" s="192"/>
      <c r="B316" s="193"/>
      <c r="C316" s="193"/>
      <c r="D316" s="640"/>
      <c r="E316" s="22"/>
      <c r="F316" s="22"/>
      <c r="G316" s="23"/>
      <c r="H316" s="639"/>
      <c r="I316" s="638"/>
      <c r="J316" s="638"/>
      <c r="K316" s="637"/>
      <c r="L316" s="26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8.75" hidden="1">
      <c r="A317" s="192"/>
      <c r="B317" s="193"/>
      <c r="C317" s="193"/>
      <c r="D317" s="636"/>
      <c r="E317" s="22"/>
      <c r="F317" s="22"/>
      <c r="G317" s="23"/>
      <c r="H317" s="635"/>
      <c r="I317" s="638"/>
      <c r="J317" s="634"/>
      <c r="K317" s="633"/>
      <c r="L317" s="26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9.5" hidden="1">
      <c r="A318" s="319" t="s">
        <v>131</v>
      </c>
      <c r="B318" s="320"/>
      <c r="C318" s="320"/>
      <c r="D318" s="321"/>
      <c r="E318" s="320"/>
      <c r="F318" s="320"/>
      <c r="G318" s="320"/>
      <c r="H318" s="321"/>
      <c r="I318" s="323"/>
      <c r="J318" s="323"/>
      <c r="K318" s="324"/>
      <c r="L318" s="325"/>
      <c r="M318" s="324"/>
      <c r="N318" s="324"/>
      <c r="O318" s="324"/>
      <c r="P318" s="324"/>
      <c r="Q318" s="324"/>
      <c r="R318" s="324"/>
      <c r="S318" s="324"/>
      <c r="T318" s="324"/>
      <c r="U318" s="324"/>
    </row>
    <row r="319" spans="1:21" ht="19.5" hidden="1">
      <c r="A319" s="335"/>
      <c r="B319" s="327" t="s">
        <v>132</v>
      </c>
      <c r="C319" s="336"/>
      <c r="D319" s="337"/>
      <c r="E319" s="328"/>
      <c r="F319" s="328"/>
      <c r="G319" s="329"/>
      <c r="H319" s="330" t="s">
        <v>133</v>
      </c>
      <c r="I319" s="605">
        <f ca="1">I330</f>
        <v>0</v>
      </c>
      <c r="J319" s="605">
        <f>J330</f>
        <v>0</v>
      </c>
      <c r="K319" s="604">
        <f ca="1">IF(I319&gt;0,J319*100/I319,0)</f>
        <v>0</v>
      </c>
      <c r="L319" s="334"/>
      <c r="M319" s="333"/>
      <c r="N319" s="333"/>
      <c r="O319" s="333"/>
      <c r="P319" s="333"/>
      <c r="Q319" s="333"/>
      <c r="R319" s="333"/>
      <c r="S319" s="333"/>
      <c r="T319" s="333"/>
      <c r="U319" s="333"/>
    </row>
    <row r="320" spans="1:21" ht="19.5" hidden="1">
      <c r="A320" s="155"/>
      <c r="B320" s="50"/>
      <c r="C320" s="156" t="s">
        <v>18</v>
      </c>
      <c r="D320" s="575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541">
        <f ca="1">L321+L322</f>
        <v>0</v>
      </c>
      <c r="M320" s="540">
        <f ca="1">M321+M322</f>
        <v>0</v>
      </c>
      <c r="N320" s="540">
        <f ca="1">N321+N322</f>
        <v>0</v>
      </c>
      <c r="O320" s="540">
        <f ca="1">IF(L320&gt;0,N320*100/L320,0)</f>
        <v>0</v>
      </c>
      <c r="P320" s="540">
        <f ca="1">IF(M320&gt;0,N320*100/M320,0)</f>
        <v>0</v>
      </c>
      <c r="Q320" s="540">
        <f>Q321+Q322</f>
        <v>0</v>
      </c>
      <c r="R320" s="540">
        <f>R321+R322</f>
        <v>0</v>
      </c>
      <c r="S320" s="540">
        <f>S321+S322</f>
        <v>0</v>
      </c>
      <c r="T320" s="540">
        <f>IF(Q320&gt;0,S320*100/Q320,0)</f>
        <v>0</v>
      </c>
      <c r="U320" s="540">
        <f>IF(R320&gt;0,S320*100/R320,0)</f>
        <v>0</v>
      </c>
    </row>
    <row r="321" spans="1:21" ht="18.75" hidden="1">
      <c r="A321" s="155"/>
      <c r="B321" s="50"/>
      <c r="C321" s="50"/>
      <c r="D321" s="50"/>
      <c r="E321" s="186" t="s">
        <v>20</v>
      </c>
      <c r="F321" s="50"/>
      <c r="G321" s="52"/>
      <c r="H321" s="187" t="s">
        <v>14</v>
      </c>
      <c r="I321" s="54"/>
      <c r="J321" s="54"/>
      <c r="K321" s="55"/>
      <c r="L321" s="103">
        <f>L324+L327</f>
        <v>0</v>
      </c>
      <c r="M321" s="102">
        <f>M324+M327</f>
        <v>0</v>
      </c>
      <c r="N321" s="102">
        <f>N324+N327</f>
        <v>0</v>
      </c>
      <c r="O321" s="102">
        <f>IF(L321&gt;0,N321*100/L321,0)</f>
        <v>0</v>
      </c>
      <c r="P321" s="102">
        <f>IF(M321&gt;0,N321*100/M321,0)</f>
        <v>0</v>
      </c>
      <c r="Q321" s="102">
        <f>Q324+Q327</f>
        <v>0</v>
      </c>
      <c r="R321" s="102">
        <f>R324+R327</f>
        <v>0</v>
      </c>
      <c r="S321" s="102">
        <f>S324+S327</f>
        <v>0</v>
      </c>
      <c r="T321" s="102">
        <f>IF(Q321&gt;0,S321*100/Q321,0)</f>
        <v>0</v>
      </c>
      <c r="U321" s="102">
        <f>IF(R321&gt;0,S321*100/R321,0)</f>
        <v>0</v>
      </c>
    </row>
    <row r="322" spans="1:21" ht="18.75" hidden="1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256">
        <f ca="1">L325+L328</f>
        <v>0</v>
      </c>
      <c r="M322" s="255">
        <f ca="1">M325+M328</f>
        <v>0</v>
      </c>
      <c r="N322" s="255">
        <f ca="1">N325+N328</f>
        <v>0</v>
      </c>
      <c r="O322" s="255">
        <f ca="1">IF(L322&gt;0,N322*100/L322,0)</f>
        <v>0</v>
      </c>
      <c r="P322" s="255">
        <f ca="1">IF(M322&gt;0,N322*100/M322,0)</f>
        <v>0</v>
      </c>
      <c r="Q322" s="255">
        <f>Q325+Q328</f>
        <v>0</v>
      </c>
      <c r="R322" s="255">
        <f>R325+R328</f>
        <v>0</v>
      </c>
      <c r="S322" s="255">
        <f>S325+S328</f>
        <v>0</v>
      </c>
      <c r="T322" s="255">
        <f>IF(Q322&gt;0,S322*100/Q322,0)</f>
        <v>0</v>
      </c>
      <c r="U322" s="255">
        <f>IF(R322&gt;0,S322*100/R322,0)</f>
        <v>0</v>
      </c>
    </row>
    <row r="323" spans="1:21" ht="18.75" hidden="1">
      <c r="A323" s="155"/>
      <c r="B323" s="50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256">
        <f ca="1">L324+L325</f>
        <v>0</v>
      </c>
      <c r="M323" s="255">
        <f ca="1">M324+M325</f>
        <v>0</v>
      </c>
      <c r="N323" s="255">
        <f ca="1">N324+N325</f>
        <v>0</v>
      </c>
      <c r="O323" s="255">
        <f ca="1">IF(L323&gt;0,N323*100/L323,0)</f>
        <v>0</v>
      </c>
      <c r="P323" s="255">
        <f ca="1">IF(M323&gt;0,N323*100/M323,0)</f>
        <v>0</v>
      </c>
      <c r="Q323" s="255">
        <f>Q324+Q325</f>
        <v>0</v>
      </c>
      <c r="R323" s="255">
        <f>R324+R325</f>
        <v>0</v>
      </c>
      <c r="S323" s="255">
        <f>S324+S325</f>
        <v>0</v>
      </c>
      <c r="T323" s="255">
        <f>IF(Q323&gt;0,S323*100/Q323,0)</f>
        <v>0</v>
      </c>
      <c r="U323" s="255">
        <f>IF(R323&gt;0,S323*100/R323,0)</f>
        <v>0</v>
      </c>
    </row>
    <row r="324" spans="1:21" ht="18.75" hidden="1">
      <c r="A324" s="155"/>
      <c r="B324" s="50"/>
      <c r="C324" s="50"/>
      <c r="D324" s="50"/>
      <c r="E324" s="186" t="s">
        <v>36</v>
      </c>
      <c r="F324" s="50"/>
      <c r="G324" s="52"/>
      <c r="H324" s="189" t="s">
        <v>14</v>
      </c>
      <c r="I324" s="163"/>
      <c r="J324" s="163"/>
      <c r="K324" s="164"/>
      <c r="L324" s="103">
        <v>0</v>
      </c>
      <c r="M324" s="102">
        <v>0</v>
      </c>
      <c r="N324" s="102">
        <v>0</v>
      </c>
      <c r="O324" s="102">
        <f>IF(L324&gt;0,N324*100/L324,0)</f>
        <v>0</v>
      </c>
      <c r="P324" s="102">
        <f>IF(M324&gt;0,N324*100/M324,0)</f>
        <v>0</v>
      </c>
      <c r="Q324" s="102">
        <v>0</v>
      </c>
      <c r="R324" s="102">
        <v>0</v>
      </c>
      <c r="S324" s="102">
        <v>0</v>
      </c>
      <c r="T324" s="102">
        <f>IF(Q324&gt;0,S324*100/Q324,0)</f>
        <v>0</v>
      </c>
      <c r="U324" s="102">
        <f>IF(R324&gt;0,S324*100/R324,0)</f>
        <v>0</v>
      </c>
    </row>
    <row r="325" spans="1:21" ht="18.75" hidden="1">
      <c r="A325" s="155"/>
      <c r="B325" s="50"/>
      <c r="C325" s="50"/>
      <c r="D325" s="50"/>
      <c r="E325" s="58" t="s">
        <v>37</v>
      </c>
      <c r="F325" s="50"/>
      <c r="G325" s="52"/>
      <c r="H325" s="162" t="s">
        <v>14</v>
      </c>
      <c r="I325" s="163"/>
      <c r="J325" s="163"/>
      <c r="K325" s="164"/>
      <c r="L325" s="256">
        <f ca="1">IFERROR(__xludf.DUMMYFUNCTION("IMPORTRANGE(""https://docs.google.com/spreadsheets/d/1-uDff_7J0KD5mKrp0Vvzr7lt3OU09vwQwhkpOPPYv2Y/edit?usp=sharing"",""งบพรบ!EI34"")"),0)</f>
        <v>0</v>
      </c>
      <c r="M325" s="255">
        <f ca="1">IFERROR(__xludf.DUMMYFUNCTION("IMPORTRANGE(""https://docs.google.com/spreadsheets/d/1-uDff_7J0KD5mKrp0Vvzr7lt3OU09vwQwhkpOPPYv2Y/edit?usp=sharing"",""งบพรบ!EN34"")"),0)</f>
        <v>0</v>
      </c>
      <c r="N325" s="255">
        <f ca="1">IFERROR(__xludf.DUMMYFUNCTION("IMPORTRANGE(""https://docs.google.com/spreadsheets/d/1-uDff_7J0KD5mKrp0Vvzr7lt3OU09vwQwhkpOPPYv2Y/edit?usp=sharing"",""งบพรบ!EP34"")"),0)</f>
        <v>0</v>
      </c>
      <c r="O325" s="255">
        <f ca="1">IF(L325&gt;0,N325*100/L325,0)</f>
        <v>0</v>
      </c>
      <c r="P325" s="255">
        <f ca="1">IF(M325&gt;0,N325*100/M325,0)</f>
        <v>0</v>
      </c>
      <c r="Q325" s="255">
        <v>0</v>
      </c>
      <c r="R325" s="255">
        <v>0</v>
      </c>
      <c r="S325" s="255">
        <v>0</v>
      </c>
      <c r="T325" s="255">
        <f>IF(Q325&gt;0,S325*100/Q325,0)</f>
        <v>0</v>
      </c>
      <c r="U325" s="255">
        <f>IF(R325&gt;0,S325*100/R325,0)</f>
        <v>0</v>
      </c>
    </row>
    <row r="326" spans="1:21" ht="18.75" hidden="1">
      <c r="A326" s="155"/>
      <c r="B326" s="50"/>
      <c r="C326" s="50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256">
        <f ca="1">L327+L328</f>
        <v>0</v>
      </c>
      <c r="M326" s="255">
        <f ca="1">M327+M328</f>
        <v>0</v>
      </c>
      <c r="N326" s="255">
        <f ca="1">N327+N328</f>
        <v>0</v>
      </c>
      <c r="O326" s="255">
        <f ca="1">IF(L326&gt;0,N326*100/L326,0)</f>
        <v>0</v>
      </c>
      <c r="P326" s="255">
        <f ca="1">IF(M326&gt;0,N326*100/M326,0)</f>
        <v>0</v>
      </c>
      <c r="Q326" s="255">
        <f>Q327+Q328</f>
        <v>0</v>
      </c>
      <c r="R326" s="255">
        <f>R327+R328</f>
        <v>0</v>
      </c>
      <c r="S326" s="255">
        <f>S327+S328</f>
        <v>0</v>
      </c>
      <c r="T326" s="255">
        <f>IF(Q326&gt;0,S326*100/Q326,0)</f>
        <v>0</v>
      </c>
      <c r="U326" s="255">
        <f>IF(R326&gt;0,S326*100/R326,0)</f>
        <v>0</v>
      </c>
    </row>
    <row r="327" spans="1:21" ht="18.75" hidden="1">
      <c r="A327" s="155"/>
      <c r="B327" s="50"/>
      <c r="C327" s="50"/>
      <c r="D327" s="50"/>
      <c r="E327" s="186" t="s">
        <v>20</v>
      </c>
      <c r="F327" s="50"/>
      <c r="G327" s="52"/>
      <c r="H327" s="189" t="s">
        <v>14</v>
      </c>
      <c r="I327" s="163"/>
      <c r="J327" s="163"/>
      <c r="K327" s="164"/>
      <c r="L327" s="103">
        <v>0</v>
      </c>
      <c r="M327" s="102">
        <v>0</v>
      </c>
      <c r="N327" s="102">
        <v>0</v>
      </c>
      <c r="O327" s="102">
        <f>IF(L327&gt;0,N327*100/L327,0)</f>
        <v>0</v>
      </c>
      <c r="P327" s="102">
        <f>IF(M327&gt;0,N327*100/M327,0)</f>
        <v>0</v>
      </c>
      <c r="Q327" s="102">
        <v>0</v>
      </c>
      <c r="R327" s="102">
        <v>0</v>
      </c>
      <c r="S327" s="102">
        <v>0</v>
      </c>
      <c r="T327" s="102">
        <f>IF(Q327&gt;0,S327*100/Q327,0)</f>
        <v>0</v>
      </c>
      <c r="U327" s="102">
        <f>IF(R327&gt;0,S327*100/R327,0)</f>
        <v>0</v>
      </c>
    </row>
    <row r="328" spans="1:21" ht="18.75" hidden="1">
      <c r="A328" s="155"/>
      <c r="B328" s="50"/>
      <c r="C328" s="50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256">
        <f ca="1">IFERROR(__xludf.DUMMYFUNCTION("IMPORTRANGE(""https://docs.google.com/spreadsheets/d/1-uDff_7J0KD5mKrp0Vvzr7lt3OU09vwQwhkpOPPYv2Y/edit?usp=sharing"",""งบพรบ!EL34"")"),0)</f>
        <v>0</v>
      </c>
      <c r="M328" s="255">
        <f ca="1">IFERROR(__xludf.DUMMYFUNCTION("IMPORTRANGE(""https://docs.google.com/spreadsheets/d/1-uDff_7J0KD5mKrp0Vvzr7lt3OU09vwQwhkpOPPYv2Y/edit?usp=sharing"",""งบพรบ!EO34"")"),0)</f>
        <v>0</v>
      </c>
      <c r="N328" s="255">
        <f ca="1">IFERROR(__xludf.DUMMYFUNCTION("IMPORTRANGE(""https://docs.google.com/spreadsheets/d/1-uDff_7J0KD5mKrp0Vvzr7lt3OU09vwQwhkpOPPYv2Y/edit?usp=sharing"",""งบพรบ!EQ34"")"),0)</f>
        <v>0</v>
      </c>
      <c r="O328" s="255">
        <f ca="1">IF(L328&gt;0,N328*100/L328,0)</f>
        <v>0</v>
      </c>
      <c r="P328" s="255">
        <f ca="1">IF(M328&gt;0,N328*100/M328,0)</f>
        <v>0</v>
      </c>
      <c r="Q328" s="255">
        <v>0</v>
      </c>
      <c r="R328" s="255">
        <v>0</v>
      </c>
      <c r="S328" s="255">
        <v>0</v>
      </c>
      <c r="T328" s="255">
        <f>IF(Q328&gt;0,S328*100/Q328,0)</f>
        <v>0</v>
      </c>
      <c r="U328" s="255">
        <f>IF(R328&gt;0,S328*100/R328,0)</f>
        <v>0</v>
      </c>
    </row>
    <row r="329" spans="1:21" ht="19.5" hidden="1">
      <c r="A329" s="166"/>
      <c r="B329" s="167"/>
      <c r="C329" s="156" t="s">
        <v>18</v>
      </c>
      <c r="D329" s="566" t="s">
        <v>38</v>
      </c>
      <c r="E329" s="169"/>
      <c r="F329" s="169"/>
      <c r="G329" s="170"/>
      <c r="H329" s="171"/>
      <c r="I329" s="163"/>
      <c r="J329" s="54"/>
      <c r="K329" s="55"/>
      <c r="L329" s="62"/>
      <c r="M329" s="55"/>
      <c r="N329" s="55"/>
      <c r="O329" s="164"/>
      <c r="P329" s="164"/>
      <c r="Q329" s="55"/>
      <c r="R329" s="55"/>
      <c r="S329" s="55"/>
      <c r="T329" s="164"/>
      <c r="U329" s="164"/>
    </row>
    <row r="330" spans="1:21" ht="18.75" hidden="1">
      <c r="A330" s="166"/>
      <c r="B330" s="167"/>
      <c r="C330" s="167"/>
      <c r="D330" s="173" t="s">
        <v>134</v>
      </c>
      <c r="E330" s="174"/>
      <c r="F330" s="174"/>
      <c r="G330" s="171"/>
      <c r="H330" s="53" t="s">
        <v>133</v>
      </c>
      <c r="I330" s="212">
        <f ca="1">IFERROR(__xludf.DUMMYFUNCTION("IMPORTRANGE(""https://docs.google.com/spreadsheets/d/1eHaY18a8A9IcSdp1K8H6x8fbOy06t2VsZHhMHf-1x7Y/edit?usp=sharing"",""แผน!EJ34"")"),0)</f>
        <v>0</v>
      </c>
      <c r="J330" s="467">
        <v>0</v>
      </c>
      <c r="K330" s="255">
        <f ca="1">IF(I330&gt;0,J330*100/I330,0)</f>
        <v>0</v>
      </c>
      <c r="L330" s="62"/>
      <c r="M330" s="55"/>
      <c r="N330" s="55"/>
      <c r="O330" s="164"/>
      <c r="P330" s="164"/>
      <c r="Q330" s="55"/>
      <c r="R330" s="55"/>
      <c r="S330" s="55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1"/>
      <c r="I331" s="323"/>
      <c r="J331" s="323"/>
      <c r="K331" s="324"/>
      <c r="L331" s="325"/>
      <c r="M331" s="324"/>
      <c r="N331" s="324"/>
      <c r="O331" s="324"/>
      <c r="P331" s="324"/>
      <c r="Q331" s="324"/>
      <c r="R331" s="324"/>
      <c r="S331" s="324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30" t="s">
        <v>35</v>
      </c>
      <c r="I332" s="632">
        <f ca="1">I344</f>
        <v>2260</v>
      </c>
      <c r="J332" s="631">
        <f ca="1">J344+J347+J348+J349+J353+J354</f>
        <v>21241</v>
      </c>
      <c r="K332" s="630">
        <f ca="1">IF(I332&gt;0,J332*100/I332,0)</f>
        <v>939.86725663716811</v>
      </c>
      <c r="L332" s="334"/>
      <c r="M332" s="333"/>
      <c r="N332" s="333"/>
      <c r="O332" s="333"/>
      <c r="P332" s="333"/>
      <c r="Q332" s="333"/>
      <c r="R332" s="333"/>
      <c r="S332" s="333"/>
      <c r="T332" s="333"/>
      <c r="U332" s="333"/>
    </row>
    <row r="333" spans="1:21" ht="19.5">
      <c r="A333" s="155"/>
      <c r="B333" s="50"/>
      <c r="C333" s="156" t="s">
        <v>18</v>
      </c>
      <c r="D333" s="575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541">
        <f ca="1">L334+L335</f>
        <v>117000</v>
      </c>
      <c r="M333" s="540">
        <f ca="1">M334+M335</f>
        <v>122000</v>
      </c>
      <c r="N333" s="540">
        <f ca="1">N334+N335</f>
        <v>63840</v>
      </c>
      <c r="O333" s="540">
        <f ca="1">IF(L333&gt;0,N333*100/L333,0)</f>
        <v>54.564102564102562</v>
      </c>
      <c r="P333" s="540">
        <f ca="1">IF(M333&gt;0,N333*100/M333,0)</f>
        <v>52.327868852459019</v>
      </c>
      <c r="Q333" s="540">
        <f>Q334+Q335</f>
        <v>0</v>
      </c>
      <c r="R333" s="540">
        <f>R334+R335</f>
        <v>0</v>
      </c>
      <c r="S333" s="540">
        <f>S334+S335</f>
        <v>0</v>
      </c>
      <c r="T333" s="540">
        <f>IF(Q333&gt;0,S333*100/Q333,0)</f>
        <v>0</v>
      </c>
      <c r="U333" s="540">
        <f>IF(R333&gt;0,S333*100/R333,0)</f>
        <v>0</v>
      </c>
    </row>
    <row r="334" spans="1:21" ht="18.75" hidden="1">
      <c r="A334" s="155"/>
      <c r="B334" s="50"/>
      <c r="C334" s="50"/>
      <c r="D334" s="50"/>
      <c r="E334" s="186" t="s">
        <v>20</v>
      </c>
      <c r="F334" s="50"/>
      <c r="G334" s="52"/>
      <c r="H334" s="187" t="s">
        <v>14</v>
      </c>
      <c r="I334" s="54"/>
      <c r="J334" s="54"/>
      <c r="K334" s="55"/>
      <c r="L334" s="103">
        <f>L337+L340</f>
        <v>0</v>
      </c>
      <c r="M334" s="102">
        <f>M337+M340</f>
        <v>0</v>
      </c>
      <c r="N334" s="102">
        <f>N337+N340</f>
        <v>0</v>
      </c>
      <c r="O334" s="102">
        <f>IF(L334&gt;0,N334*100/L334,0)</f>
        <v>0</v>
      </c>
      <c r="P334" s="102">
        <f>IF(M334&gt;0,N334*100/M334,0)</f>
        <v>0</v>
      </c>
      <c r="Q334" s="102">
        <f>Q337+Q340</f>
        <v>0</v>
      </c>
      <c r="R334" s="102">
        <f>R337+R340</f>
        <v>0</v>
      </c>
      <c r="S334" s="102">
        <f>S337+S340</f>
        <v>0</v>
      </c>
      <c r="T334" s="102">
        <f>IF(Q334&gt;0,S334*100/Q334,0)</f>
        <v>0</v>
      </c>
      <c r="U334" s="102">
        <f>IF(R334&gt;0,S334*100/R334,0)</f>
        <v>0</v>
      </c>
    </row>
    <row r="335" spans="1:21" ht="18.75" hidden="1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256">
        <f ca="1">L338+L341</f>
        <v>117000</v>
      </c>
      <c r="M335" s="255">
        <f ca="1">M338+M341</f>
        <v>122000</v>
      </c>
      <c r="N335" s="255">
        <f ca="1">N338+N341</f>
        <v>63840</v>
      </c>
      <c r="O335" s="255">
        <f ca="1">IF(L335&gt;0,N335*100/L335,0)</f>
        <v>54.564102564102562</v>
      </c>
      <c r="P335" s="255">
        <f ca="1">IF(M335&gt;0,N335*100/M335,0)</f>
        <v>52.327868852459019</v>
      </c>
      <c r="Q335" s="255">
        <f>Q338+Q341</f>
        <v>0</v>
      </c>
      <c r="R335" s="255">
        <f>R338+R341</f>
        <v>0</v>
      </c>
      <c r="S335" s="255">
        <f>S338+S341</f>
        <v>0</v>
      </c>
      <c r="T335" s="255">
        <f>IF(Q335&gt;0,S335*100/Q335,0)</f>
        <v>0</v>
      </c>
      <c r="U335" s="255">
        <f>IF(R335&gt;0,S335*100/R335,0)</f>
        <v>0</v>
      </c>
    </row>
    <row r="336" spans="1:21" ht="18.75">
      <c r="A336" s="155"/>
      <c r="B336" s="50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256">
        <f ca="1">L337+L338</f>
        <v>117000</v>
      </c>
      <c r="M336" s="255">
        <f ca="1">M337+M338</f>
        <v>122000</v>
      </c>
      <c r="N336" s="255">
        <f ca="1">N337+N338</f>
        <v>63840</v>
      </c>
      <c r="O336" s="255">
        <f ca="1">IF(L336&gt;0,N336*100/L336,0)</f>
        <v>54.564102564102562</v>
      </c>
      <c r="P336" s="255">
        <f ca="1">IF(M336&gt;0,N336*100/M336,0)</f>
        <v>52.327868852459019</v>
      </c>
      <c r="Q336" s="255">
        <f>Q337+Q338</f>
        <v>0</v>
      </c>
      <c r="R336" s="255">
        <f>R337+R338</f>
        <v>0</v>
      </c>
      <c r="S336" s="255">
        <f>S337+S338</f>
        <v>0</v>
      </c>
      <c r="T336" s="255">
        <f>IF(Q336&gt;0,S336*100/Q336,0)</f>
        <v>0</v>
      </c>
      <c r="U336" s="255">
        <f>IF(R336&gt;0,S336*100/R336,0)</f>
        <v>0</v>
      </c>
    </row>
    <row r="337" spans="1:21" ht="18.75" hidden="1">
      <c r="A337" s="155"/>
      <c r="B337" s="50"/>
      <c r="C337" s="50"/>
      <c r="D337" s="50"/>
      <c r="E337" s="186" t="s">
        <v>36</v>
      </c>
      <c r="F337" s="50"/>
      <c r="G337" s="52"/>
      <c r="H337" s="189" t="s">
        <v>14</v>
      </c>
      <c r="I337" s="163"/>
      <c r="J337" s="163"/>
      <c r="K337" s="164"/>
      <c r="L337" s="103">
        <v>0</v>
      </c>
      <c r="M337" s="102">
        <v>0</v>
      </c>
      <c r="N337" s="102">
        <v>0</v>
      </c>
      <c r="O337" s="102">
        <f>IF(L337&gt;0,N337*100/L337,0)</f>
        <v>0</v>
      </c>
      <c r="P337" s="102">
        <f>IF(M337&gt;0,N337*100/M337,0)</f>
        <v>0</v>
      </c>
      <c r="Q337" s="102">
        <v>0</v>
      </c>
      <c r="R337" s="102">
        <v>0</v>
      </c>
      <c r="S337" s="102">
        <v>0</v>
      </c>
      <c r="T337" s="102">
        <f>IF(Q337&gt;0,S337*100/Q337,0)</f>
        <v>0</v>
      </c>
      <c r="U337" s="102">
        <f>IF(R337&gt;0,S337*100/R337,0)</f>
        <v>0</v>
      </c>
    </row>
    <row r="338" spans="1:21" ht="18.75" hidden="1">
      <c r="A338" s="155"/>
      <c r="B338" s="50"/>
      <c r="C338" s="50"/>
      <c r="D338" s="50"/>
      <c r="E338" s="58" t="s">
        <v>37</v>
      </c>
      <c r="F338" s="50"/>
      <c r="G338" s="52"/>
      <c r="H338" s="162" t="s">
        <v>14</v>
      </c>
      <c r="I338" s="163"/>
      <c r="J338" s="163"/>
      <c r="K338" s="164"/>
      <c r="L338" s="256">
        <f ca="1">IFERROR(__xludf.DUMMYFUNCTION("IMPORTRANGE(""https://docs.google.com/spreadsheets/d/1-uDff_7J0KD5mKrp0Vvzr7lt3OU09vwQwhkpOPPYv2Y/edit?usp=sharing"",""งบพรบ!ES34"")"),117000)</f>
        <v>117000</v>
      </c>
      <c r="M338" s="255">
        <f ca="1">IFERROR(__xludf.DUMMYFUNCTION("IMPORTRANGE(""https://docs.google.com/spreadsheets/d/1-uDff_7J0KD5mKrp0Vvzr7lt3OU09vwQwhkpOPPYv2Y/edit?usp=sharing"",""งบพรบ!EX34"")"),122000)</f>
        <v>122000</v>
      </c>
      <c r="N338" s="255">
        <f ca="1">IFERROR(__xludf.DUMMYFUNCTION("IMPORTRANGE(""https://docs.google.com/spreadsheets/d/1-uDff_7J0KD5mKrp0Vvzr7lt3OU09vwQwhkpOPPYv2Y/edit?usp=sharing"",""งบพรบ!EZ34"")"),63840)</f>
        <v>63840</v>
      </c>
      <c r="O338" s="255">
        <f ca="1">IF(L338&gt;0,N338*100/L338,0)</f>
        <v>54.564102564102562</v>
      </c>
      <c r="P338" s="255">
        <f ca="1">IF(M338&gt;0,N338*100/M338,0)</f>
        <v>52.327868852459019</v>
      </c>
      <c r="Q338" s="255">
        <v>0</v>
      </c>
      <c r="R338" s="255">
        <v>0</v>
      </c>
      <c r="S338" s="255">
        <v>0</v>
      </c>
      <c r="T338" s="255">
        <f>IF(Q338&gt;0,S338*100/Q338,0)</f>
        <v>0</v>
      </c>
      <c r="U338" s="255">
        <f>IF(R338&gt;0,S338*100/R338,0)</f>
        <v>0</v>
      </c>
    </row>
    <row r="339" spans="1:21" ht="18.75">
      <c r="A339" s="155"/>
      <c r="B339" s="50"/>
      <c r="C339" s="50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256">
        <f ca="1">L340+L341</f>
        <v>0</v>
      </c>
      <c r="M339" s="255">
        <f ca="1">M340+M341</f>
        <v>0</v>
      </c>
      <c r="N339" s="255">
        <f ca="1">N340+N341</f>
        <v>0</v>
      </c>
      <c r="O339" s="255">
        <f ca="1">IF(L339&gt;0,N339*100/L339,0)</f>
        <v>0</v>
      </c>
      <c r="P339" s="255">
        <f ca="1">IF(M339&gt;0,N339*100/M339,0)</f>
        <v>0</v>
      </c>
      <c r="Q339" s="255">
        <f>Q340+Q341</f>
        <v>0</v>
      </c>
      <c r="R339" s="255">
        <f>R340+R341</f>
        <v>0</v>
      </c>
      <c r="S339" s="255">
        <f>S340+S341</f>
        <v>0</v>
      </c>
      <c r="T339" s="255">
        <f>IF(Q339&gt;0,S339*100/Q339,0)</f>
        <v>0</v>
      </c>
      <c r="U339" s="255">
        <f>IF(R339&gt;0,S339*100/R339,0)</f>
        <v>0</v>
      </c>
    </row>
    <row r="340" spans="1:21" ht="18.75" hidden="1">
      <c r="A340" s="155"/>
      <c r="B340" s="50"/>
      <c r="C340" s="50"/>
      <c r="D340" s="50"/>
      <c r="E340" s="186" t="s">
        <v>20</v>
      </c>
      <c r="F340" s="50"/>
      <c r="G340" s="52"/>
      <c r="H340" s="189" t="s">
        <v>14</v>
      </c>
      <c r="I340" s="163"/>
      <c r="J340" s="163"/>
      <c r="K340" s="164"/>
      <c r="L340" s="103">
        <v>0</v>
      </c>
      <c r="M340" s="102">
        <v>0</v>
      </c>
      <c r="N340" s="102">
        <v>0</v>
      </c>
      <c r="O340" s="102">
        <f>IF(L340&gt;0,N340*100/L340,0)</f>
        <v>0</v>
      </c>
      <c r="P340" s="102">
        <f>IF(M340&gt;0,N340*100/M340,0)</f>
        <v>0</v>
      </c>
      <c r="Q340" s="102">
        <v>0</v>
      </c>
      <c r="R340" s="102">
        <v>0</v>
      </c>
      <c r="S340" s="102">
        <v>0</v>
      </c>
      <c r="T340" s="102">
        <f>IF(Q340&gt;0,S340*100/Q340,0)</f>
        <v>0</v>
      </c>
      <c r="U340" s="102">
        <f>IF(R340&gt;0,S340*100/R340,0)</f>
        <v>0</v>
      </c>
    </row>
    <row r="341" spans="1:21" ht="18.75" hidden="1">
      <c r="A341" s="155"/>
      <c r="B341" s="50"/>
      <c r="C341" s="50"/>
      <c r="D341" s="50"/>
      <c r="E341" s="58" t="s">
        <v>21</v>
      </c>
      <c r="F341" s="50"/>
      <c r="G341" s="52"/>
      <c r="H341" s="165" t="s">
        <v>14</v>
      </c>
      <c r="I341" s="163"/>
      <c r="J341" s="163"/>
      <c r="K341" s="164"/>
      <c r="L341" s="256">
        <f ca="1">IFERROR(__xludf.DUMMYFUNCTION("IMPORTRANGE(""https://docs.google.com/spreadsheets/d/1-uDff_7J0KD5mKrp0Vvzr7lt3OU09vwQwhkpOPPYv2Y/edit?usp=sharing"",""งบพรบ!EV34"")"),0)</f>
        <v>0</v>
      </c>
      <c r="M341" s="255">
        <f ca="1">IFERROR(__xludf.DUMMYFUNCTION("IMPORTRANGE(""https://docs.google.com/spreadsheets/d/1-uDff_7J0KD5mKrp0Vvzr7lt3OU09vwQwhkpOPPYv2Y/edit?usp=sharing"",""งบพรบ!EY34"")"),0)</f>
        <v>0</v>
      </c>
      <c r="N341" s="255">
        <f ca="1">IFERROR(__xludf.DUMMYFUNCTION("IMPORTRANGE(""https://docs.google.com/spreadsheets/d/1-uDff_7J0KD5mKrp0Vvzr7lt3OU09vwQwhkpOPPYv2Y/edit?usp=sharing"",""งบพรบ!FA34"")"),0)</f>
        <v>0</v>
      </c>
      <c r="O341" s="255">
        <f ca="1">IF(L341&gt;0,N341*100/L341,0)</f>
        <v>0</v>
      </c>
      <c r="P341" s="255">
        <f ca="1">IF(M341&gt;0,N341*100/M341,0)</f>
        <v>0</v>
      </c>
      <c r="Q341" s="255">
        <v>0</v>
      </c>
      <c r="R341" s="255">
        <v>0</v>
      </c>
      <c r="S341" s="255">
        <v>0</v>
      </c>
      <c r="T341" s="255">
        <f>IF(Q341&gt;0,S341*100/Q341,0)</f>
        <v>0</v>
      </c>
      <c r="U341" s="255">
        <f>IF(R341&gt;0,S341*100/R341,0)</f>
        <v>0</v>
      </c>
    </row>
    <row r="342" spans="1:21" ht="19.5">
      <c r="A342" s="166"/>
      <c r="B342" s="167"/>
      <c r="C342" s="156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62"/>
      <c r="M342" s="55"/>
      <c r="N342" s="55"/>
      <c r="O342" s="164"/>
      <c r="P342" s="164"/>
      <c r="Q342" s="55"/>
      <c r="R342" s="55"/>
      <c r="S342" s="55"/>
      <c r="T342" s="164"/>
      <c r="U342" s="164"/>
    </row>
    <row r="343" spans="1:21" ht="19.5">
      <c r="A343" s="629"/>
      <c r="B343" s="626"/>
      <c r="C343" s="628"/>
      <c r="D343" s="626"/>
      <c r="E343" s="627" t="s">
        <v>137</v>
      </c>
      <c r="F343" s="626"/>
      <c r="G343" s="625"/>
      <c r="H343" s="624" t="s">
        <v>35</v>
      </c>
      <c r="I343" s="623">
        <v>0</v>
      </c>
      <c r="J343" s="623">
        <f ca="1">J344+J347+J348+J349</f>
        <v>5557</v>
      </c>
      <c r="K343" s="622">
        <v>0</v>
      </c>
      <c r="L343" s="250"/>
      <c r="M343" s="249"/>
      <c r="N343" s="249"/>
      <c r="O343" s="249"/>
      <c r="P343" s="249"/>
      <c r="Q343" s="249"/>
      <c r="R343" s="249"/>
      <c r="S343" s="249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40" t="s">
        <v>35</v>
      </c>
      <c r="I344" s="212">
        <f ca="1">IFERROR(__xludf.DUMMYFUNCTION("IMPORTRANGE(""https://docs.google.com/spreadsheets/d/1eHaY18a8A9IcSdp1K8H6x8fbOy06t2VsZHhMHf-1x7Y/edit?usp=sharing"",""แผน!EK34"")"),2260)</f>
        <v>2260</v>
      </c>
      <c r="J344" s="212">
        <f ca="1">IFERROR(__xludf.DUMMYFUNCTION("IMPORTRANGE(""https://docs.google.com/spreadsheets/d/1awYsYK3VOup2i3Pq_Yjnu8DRu_mYwSBnCR2QPthd0rU/edit?usp=sharing"",""ศูนย์ยกเว้นโฉนด!D34"")"),5426)</f>
        <v>5426</v>
      </c>
      <c r="K344" s="255">
        <f ca="1">IF(I344&gt;0,J344*100/I344,0)</f>
        <v>240.08849557522123</v>
      </c>
      <c r="L344" s="62"/>
      <c r="M344" s="55"/>
      <c r="N344" s="55"/>
      <c r="O344" s="55"/>
      <c r="P344" s="55"/>
      <c r="Q344" s="55"/>
      <c r="R344" s="55"/>
      <c r="S344" s="55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62"/>
      <c r="M345" s="55"/>
      <c r="N345" s="55"/>
      <c r="O345" s="55"/>
      <c r="P345" s="55"/>
      <c r="Q345" s="55"/>
      <c r="R345" s="55"/>
      <c r="S345" s="55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212">
        <f ca="1">IFERROR(__xludf.DUMMYFUNCTION("IMPORTRANGE(""https://docs.google.com/spreadsheets/d/1eHaY18a8A9IcSdp1K8H6x8fbOy06t2VsZHhMHf-1x7Y/edit?usp=sharing"",""แผน!EL34"")"),7)</f>
        <v>7</v>
      </c>
      <c r="J346" s="212">
        <f ca="1">IFERROR(__xludf.DUMMYFUNCTION("IMPORTRANGE(""https://docs.google.com/spreadsheets/d/1awYsYK3VOup2i3Pq_Yjnu8DRu_mYwSBnCR2QPthd0rU/edit?usp=sharing"",""ศูนย์รวม!E34"")"),7)</f>
        <v>7</v>
      </c>
      <c r="K346" s="255">
        <f ca="1">IF(I346&gt;0,J346*100/I346,0)</f>
        <v>100</v>
      </c>
      <c r="L346" s="62"/>
      <c r="M346" s="55"/>
      <c r="N346" s="55"/>
      <c r="O346" s="55"/>
      <c r="P346" s="55"/>
      <c r="Q346" s="55"/>
      <c r="R346" s="55"/>
      <c r="S346" s="55"/>
      <c r="T346" s="55"/>
      <c r="U346" s="55"/>
    </row>
    <row r="347" spans="1:21" ht="18.75">
      <c r="A347" s="238"/>
      <c r="B347" s="50"/>
      <c r="C347" s="188"/>
      <c r="D347" s="174"/>
      <c r="E347" s="174"/>
      <c r="F347" s="178" t="s">
        <v>142</v>
      </c>
      <c r="G347" s="52"/>
      <c r="H347" s="203" t="s">
        <v>35</v>
      </c>
      <c r="I347" s="54"/>
      <c r="J347" s="212">
        <f ca="1">IFERROR(__xludf.DUMMYFUNCTION("IMPORTRANGE(""https://docs.google.com/spreadsheets/d/1awYsYK3VOup2i3Pq_Yjnu8DRu_mYwSBnCR2QPthd0rU/edit?usp=sharing"",""ศูนย์ยกเว้นโฉนด!F34"")"),88)</f>
        <v>88</v>
      </c>
      <c r="K347" s="55"/>
      <c r="L347" s="62"/>
      <c r="M347" s="55"/>
      <c r="N347" s="55"/>
      <c r="O347" s="55"/>
      <c r="P347" s="55"/>
      <c r="Q347" s="55"/>
      <c r="R347" s="55"/>
      <c r="S347" s="55"/>
      <c r="T347" s="55"/>
      <c r="U347" s="55"/>
    </row>
    <row r="348" spans="1:21" ht="18.75">
      <c r="A348" s="238"/>
      <c r="B348" s="50"/>
      <c r="C348" s="188"/>
      <c r="D348" s="174"/>
      <c r="E348" s="178" t="s">
        <v>143</v>
      </c>
      <c r="F348" s="174"/>
      <c r="G348" s="52"/>
      <c r="H348" s="203" t="s">
        <v>35</v>
      </c>
      <c r="I348" s="54"/>
      <c r="J348" s="212">
        <f ca="1">IFERROR(__xludf.DUMMYFUNCTION("IMPORTRANGE(""https://docs.google.com/spreadsheets/d/1awYsYK3VOup2i3Pq_Yjnu8DRu_mYwSBnCR2QPthd0rU/edit?usp=sharing"",""ศูนย์ยกเว้นโฉนด!G34"")"),0)</f>
        <v>0</v>
      </c>
      <c r="K348" s="55"/>
      <c r="L348" s="62"/>
      <c r="M348" s="55"/>
      <c r="N348" s="55"/>
      <c r="O348" s="55"/>
      <c r="P348" s="55"/>
      <c r="Q348" s="55"/>
      <c r="R348" s="55"/>
      <c r="S348" s="55"/>
      <c r="T348" s="55"/>
      <c r="U348" s="55"/>
    </row>
    <row r="349" spans="1:21" ht="18.75">
      <c r="A349" s="238"/>
      <c r="B349" s="50"/>
      <c r="C349" s="188"/>
      <c r="D349" s="167"/>
      <c r="E349" s="178" t="s">
        <v>144</v>
      </c>
      <c r="F349" s="174"/>
      <c r="G349" s="52"/>
      <c r="H349" s="203" t="s">
        <v>35</v>
      </c>
      <c r="I349" s="54"/>
      <c r="J349" s="212">
        <f ca="1">IFERROR(__xludf.DUMMYFUNCTION("IMPORTRANGE(""https://docs.google.com/spreadsheets/d/1awYsYK3VOup2i3Pq_Yjnu8DRu_mYwSBnCR2QPthd0rU/edit?usp=sharing"",""ศูนย์ยกเว้นโฉนด!H34"")"),43)</f>
        <v>43</v>
      </c>
      <c r="K349" s="55"/>
      <c r="L349" s="62"/>
      <c r="M349" s="55"/>
      <c r="N349" s="55"/>
      <c r="O349" s="55"/>
      <c r="P349" s="55"/>
      <c r="Q349" s="55"/>
      <c r="R349" s="55"/>
      <c r="S349" s="55"/>
      <c r="T349" s="55"/>
      <c r="U349" s="55"/>
    </row>
    <row r="350" spans="1:21" ht="16.5">
      <c r="A350" s="18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0" s="50"/>
      <c r="F350" s="50"/>
      <c r="G350" s="52"/>
      <c r="H350" s="208"/>
      <c r="I350" s="54"/>
      <c r="J350" s="54"/>
      <c r="K350" s="55"/>
      <c r="L350" s="62"/>
      <c r="M350" s="55"/>
      <c r="N350" s="55"/>
      <c r="O350" s="55"/>
      <c r="P350" s="55"/>
      <c r="Q350" s="55"/>
      <c r="R350" s="55"/>
      <c r="S350" s="55"/>
      <c r="T350" s="55"/>
      <c r="U350" s="55"/>
    </row>
    <row r="351" spans="1:21" ht="19.5">
      <c r="A351" s="241"/>
      <c r="B351" s="244"/>
      <c r="C351" s="242"/>
      <c r="D351" s="244"/>
      <c r="E351" s="621" t="s">
        <v>145</v>
      </c>
      <c r="F351" s="244"/>
      <c r="G351" s="245"/>
      <c r="H351" s="246" t="s">
        <v>35</v>
      </c>
      <c r="I351" s="339">
        <v>0</v>
      </c>
      <c r="J351" s="339">
        <f ca="1">J352+J353+J354</f>
        <v>17296</v>
      </c>
      <c r="K351" s="340">
        <v>0</v>
      </c>
      <c r="L351" s="250"/>
      <c r="M351" s="249"/>
      <c r="N351" s="249"/>
      <c r="O351" s="249"/>
      <c r="P351" s="249"/>
      <c r="Q351" s="249"/>
      <c r="R351" s="249"/>
      <c r="S351" s="249"/>
      <c r="T351" s="249"/>
      <c r="U351" s="249"/>
    </row>
    <row r="352" spans="1:21" ht="18.75">
      <c r="A352" s="188"/>
      <c r="B352" s="50"/>
      <c r="C352" s="188"/>
      <c r="D352" s="174"/>
      <c r="E352" s="178" t="s">
        <v>146</v>
      </c>
      <c r="F352" s="50"/>
      <c r="G352" s="52"/>
      <c r="H352" s="161" t="s">
        <v>35</v>
      </c>
      <c r="I352" s="54"/>
      <c r="J352" s="212">
        <f ca="1">IFERROR(__xludf.DUMMYFUNCTION("IMPORTRANGE(""https://docs.google.com/spreadsheets/d/1awYsYK3VOup2i3Pq_Yjnu8DRu_mYwSBnCR2QPthd0rU/edit?usp=sharing"",""โฉนดM3!G34"")"),1612)</f>
        <v>1612</v>
      </c>
      <c r="K352" s="55"/>
      <c r="L352" s="62"/>
      <c r="M352" s="55"/>
      <c r="N352" s="55"/>
      <c r="O352" s="55"/>
      <c r="P352" s="55"/>
      <c r="Q352" s="55"/>
      <c r="R352" s="55"/>
      <c r="S352" s="55"/>
      <c r="T352" s="55"/>
      <c r="U352" s="55"/>
    </row>
    <row r="353" spans="1:21" ht="18.75">
      <c r="A353" s="18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212">
        <f ca="1">IFERROR(__xludf.DUMMYFUNCTION("IMPORTRANGE(""https://docs.google.com/spreadsheets/d/1awYsYK3VOup2i3Pq_Yjnu8DRu_mYwSBnCR2QPthd0rU/edit?usp=sharing"",""โฉนดM3!H34"")"),15684)</f>
        <v>15684</v>
      </c>
      <c r="K353" s="55"/>
      <c r="L353" s="62"/>
      <c r="M353" s="55"/>
      <c r="N353" s="55"/>
      <c r="O353" s="55"/>
      <c r="P353" s="55"/>
      <c r="Q353" s="55"/>
      <c r="R353" s="55"/>
      <c r="S353" s="55"/>
      <c r="T353" s="55"/>
      <c r="U353" s="55"/>
    </row>
    <row r="354" spans="1:21" ht="18.75">
      <c r="A354" s="343"/>
      <c r="B354" s="344"/>
      <c r="C354" s="343"/>
      <c r="D354" s="343"/>
      <c r="E354" s="345" t="s">
        <v>148</v>
      </c>
      <c r="F354" s="344"/>
      <c r="G354" s="346"/>
      <c r="H354" s="347" t="s">
        <v>35</v>
      </c>
      <c r="I354" s="348"/>
      <c r="J354" s="349">
        <f ca="1">IFERROR(__xludf.DUMMYFUNCTION("IMPORTRANGE(""https://docs.google.com/spreadsheets/d/1awYsYK3VOup2i3Pq_Yjnu8DRu_mYwSBnCR2QPthd0rU/edit?usp=sharing"",""โฉนดM3!I34"")"),0)</f>
        <v>0</v>
      </c>
      <c r="K354" s="350"/>
      <c r="L354" s="350"/>
      <c r="M354" s="350"/>
      <c r="N354" s="350"/>
      <c r="O354" s="350"/>
      <c r="P354" s="350"/>
      <c r="Q354" s="350"/>
      <c r="R354" s="350"/>
      <c r="S354" s="350"/>
      <c r="T354" s="350"/>
      <c r="U354" s="350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29"/>
      <c r="I355" s="351"/>
      <c r="J355" s="351"/>
      <c r="K355" s="333"/>
      <c r="L355" s="334"/>
      <c r="M355" s="333"/>
      <c r="N355" s="333"/>
      <c r="O355" s="333"/>
      <c r="P355" s="333"/>
      <c r="Q355" s="333"/>
      <c r="R355" s="333"/>
      <c r="S355" s="333"/>
      <c r="T355" s="333"/>
      <c r="U355" s="333"/>
    </row>
    <row r="356" spans="1:21" ht="19.5">
      <c r="A356" s="155"/>
      <c r="B356" s="50"/>
      <c r="C356" s="156" t="s">
        <v>18</v>
      </c>
      <c r="D356" s="575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541">
        <f ca="1">L357+L358</f>
        <v>946430</v>
      </c>
      <c r="M356" s="540">
        <f ca="1">M357+M358</f>
        <v>1009505</v>
      </c>
      <c r="N356" s="540">
        <f ca="1">N357+N358</f>
        <v>623748.5</v>
      </c>
      <c r="O356" s="540">
        <f ca="1">IF(L356&gt;0,N356*100/L356,0)</f>
        <v>65.905402406939757</v>
      </c>
      <c r="P356" s="540">
        <f ca="1">IF(M356&gt;0,N356*100/M356,0)</f>
        <v>61.787559249335068</v>
      </c>
      <c r="Q356" s="540">
        <f>Q357+Q358</f>
        <v>0</v>
      </c>
      <c r="R356" s="540">
        <f>R357+R358</f>
        <v>0</v>
      </c>
      <c r="S356" s="540">
        <f>S357+S358</f>
        <v>0</v>
      </c>
      <c r="T356" s="540">
        <f>IF(Q356&gt;0,S356*100/Q356,0)</f>
        <v>0</v>
      </c>
      <c r="U356" s="540">
        <f>IF(R356&gt;0,S356*100/R356,0)</f>
        <v>0</v>
      </c>
    </row>
    <row r="357" spans="1:21" ht="18.75" hidden="1">
      <c r="A357" s="155"/>
      <c r="B357" s="50"/>
      <c r="C357" s="50"/>
      <c r="D357" s="50"/>
      <c r="E357" s="186" t="s">
        <v>20</v>
      </c>
      <c r="F357" s="50"/>
      <c r="G357" s="52"/>
      <c r="H357" s="187" t="s">
        <v>14</v>
      </c>
      <c r="I357" s="54"/>
      <c r="J357" s="54"/>
      <c r="K357" s="55"/>
      <c r="L357" s="103">
        <f>L360+L363</f>
        <v>0</v>
      </c>
      <c r="M357" s="102">
        <f>M360+M363</f>
        <v>0</v>
      </c>
      <c r="N357" s="102">
        <f>N360+N363</f>
        <v>0</v>
      </c>
      <c r="O357" s="102">
        <f>IF(L357&gt;0,N357*100/L357,0)</f>
        <v>0</v>
      </c>
      <c r="P357" s="102">
        <f>IF(M357&gt;0,N357*100/M357,0)</f>
        <v>0</v>
      </c>
      <c r="Q357" s="102">
        <f>Q360+Q363</f>
        <v>0</v>
      </c>
      <c r="R357" s="102">
        <f>R360+R363</f>
        <v>0</v>
      </c>
      <c r="S357" s="102">
        <f>S360+S363</f>
        <v>0</v>
      </c>
      <c r="T357" s="102">
        <f>IF(Q357&gt;0,S357*100/Q357,0)</f>
        <v>0</v>
      </c>
      <c r="U357" s="102">
        <f>IF(R357&gt;0,S357*100/R357,0)</f>
        <v>0</v>
      </c>
    </row>
    <row r="358" spans="1:21" ht="18.75" hidden="1">
      <c r="A358" s="155"/>
      <c r="B358" s="50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256">
        <f ca="1">L361+L364</f>
        <v>946430</v>
      </c>
      <c r="M358" s="255">
        <f ca="1">M361+M364</f>
        <v>1009505</v>
      </c>
      <c r="N358" s="255">
        <f ca="1">N361+N364</f>
        <v>623748.5</v>
      </c>
      <c r="O358" s="255">
        <f ca="1">IF(L358&gt;0,N358*100/L358,0)</f>
        <v>65.905402406939757</v>
      </c>
      <c r="P358" s="255">
        <f ca="1">IF(M358&gt;0,N358*100/M358,0)</f>
        <v>61.787559249335068</v>
      </c>
      <c r="Q358" s="255">
        <f>Q361+Q364</f>
        <v>0</v>
      </c>
      <c r="R358" s="255">
        <f>R361+R364</f>
        <v>0</v>
      </c>
      <c r="S358" s="255">
        <f>S361+S364</f>
        <v>0</v>
      </c>
      <c r="T358" s="255">
        <f>IF(Q358&gt;0,S358*100/Q358,0)</f>
        <v>0</v>
      </c>
      <c r="U358" s="255">
        <f>IF(R358&gt;0,S358*100/R358,0)</f>
        <v>0</v>
      </c>
    </row>
    <row r="359" spans="1:21" ht="18.75">
      <c r="A359" s="155"/>
      <c r="B359" s="50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256">
        <f ca="1">L360+L361</f>
        <v>946430</v>
      </c>
      <c r="M359" s="255">
        <f ca="1">M360+M361</f>
        <v>1009505</v>
      </c>
      <c r="N359" s="255">
        <f ca="1">N360+N361</f>
        <v>623748.5</v>
      </c>
      <c r="O359" s="255">
        <f ca="1">IF(L359&gt;0,N359*100/L359,0)</f>
        <v>65.905402406939757</v>
      </c>
      <c r="P359" s="255">
        <f ca="1">IF(M359&gt;0,N359*100/M359,0)</f>
        <v>61.787559249335068</v>
      </c>
      <c r="Q359" s="255">
        <f>Q360+Q361</f>
        <v>0</v>
      </c>
      <c r="R359" s="255">
        <f>R360+R361</f>
        <v>0</v>
      </c>
      <c r="S359" s="255">
        <f>S360+S361</f>
        <v>0</v>
      </c>
      <c r="T359" s="255">
        <f>IF(Q359&gt;0,S359*100/Q359,0)</f>
        <v>0</v>
      </c>
      <c r="U359" s="255">
        <f>IF(R359&gt;0,S359*100/R359,0)</f>
        <v>0</v>
      </c>
    </row>
    <row r="360" spans="1:21" ht="18.75" hidden="1">
      <c r="A360" s="155"/>
      <c r="B360" s="50"/>
      <c r="C360" s="50"/>
      <c r="D360" s="50"/>
      <c r="E360" s="186" t="s">
        <v>36</v>
      </c>
      <c r="F360" s="50"/>
      <c r="G360" s="52"/>
      <c r="H360" s="189" t="s">
        <v>14</v>
      </c>
      <c r="I360" s="163"/>
      <c r="J360" s="163"/>
      <c r="K360" s="164"/>
      <c r="L360" s="103">
        <v>0</v>
      </c>
      <c r="M360" s="102">
        <v>0</v>
      </c>
      <c r="N360" s="102">
        <v>0</v>
      </c>
      <c r="O360" s="102">
        <f>IF(L360&gt;0,N360*100/L360,0)</f>
        <v>0</v>
      </c>
      <c r="P360" s="102">
        <f>IF(M360&gt;0,N360*100/M360,0)</f>
        <v>0</v>
      </c>
      <c r="Q360" s="102">
        <v>0</v>
      </c>
      <c r="R360" s="102">
        <v>0</v>
      </c>
      <c r="S360" s="102">
        <v>0</v>
      </c>
      <c r="T360" s="102">
        <f>IF(Q360&gt;0,S360*100/Q360,0)</f>
        <v>0</v>
      </c>
      <c r="U360" s="102">
        <f>IF(R360&gt;0,S360*100/R360,0)</f>
        <v>0</v>
      </c>
    </row>
    <row r="361" spans="1:21" ht="18.75" hidden="1">
      <c r="A361" s="155"/>
      <c r="B361" s="50"/>
      <c r="C361" s="50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256">
        <f ca="1">IFERROR(__xludf.DUMMYFUNCTION("IMPORTRANGE(""https://docs.google.com/spreadsheets/d/1-uDff_7J0KD5mKrp0Vvzr7lt3OU09vwQwhkpOPPYv2Y/edit?usp=sharing"",""งบพรบ!FC34"")"),946430)</f>
        <v>946430</v>
      </c>
      <c r="M361" s="255">
        <f ca="1">IFERROR(__xludf.DUMMYFUNCTION("IMPORTRANGE(""https://docs.google.com/spreadsheets/d/1-uDff_7J0KD5mKrp0Vvzr7lt3OU09vwQwhkpOPPYv2Y/edit?usp=sharing"",""งบพรบ!FH34"")"),1009505)</f>
        <v>1009505</v>
      </c>
      <c r="N361" s="255">
        <f ca="1">IFERROR(__xludf.DUMMYFUNCTION("IMPORTRANGE(""https://docs.google.com/spreadsheets/d/1-uDff_7J0KD5mKrp0Vvzr7lt3OU09vwQwhkpOPPYv2Y/edit?usp=sharing"",""งบพรบ!FJ34"")"),623748.5)</f>
        <v>623748.5</v>
      </c>
      <c r="O361" s="255">
        <f ca="1">IF(L361&gt;0,N361*100/L361,0)</f>
        <v>65.905402406939757</v>
      </c>
      <c r="P361" s="255">
        <f ca="1">IF(M361&gt;0,N361*100/M361,0)</f>
        <v>61.787559249335068</v>
      </c>
      <c r="Q361" s="255">
        <v>0</v>
      </c>
      <c r="R361" s="255">
        <v>0</v>
      </c>
      <c r="S361" s="255">
        <v>0</v>
      </c>
      <c r="T361" s="255">
        <f>IF(Q361&gt;0,S361*100/Q361,0)</f>
        <v>0</v>
      </c>
      <c r="U361" s="255">
        <f>IF(R361&gt;0,S361*100/R361,0)</f>
        <v>0</v>
      </c>
    </row>
    <row r="362" spans="1:21" ht="18.75">
      <c r="A362" s="155"/>
      <c r="B362" s="50"/>
      <c r="C362" s="50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256">
        <f ca="1">L363+L364</f>
        <v>0</v>
      </c>
      <c r="M362" s="255">
        <f ca="1">M363+M364</f>
        <v>0</v>
      </c>
      <c r="N362" s="255">
        <f ca="1">N363+N364</f>
        <v>0</v>
      </c>
      <c r="O362" s="255">
        <f ca="1">IF(L362&gt;0,N362*100/L362,0)</f>
        <v>0</v>
      </c>
      <c r="P362" s="255">
        <f ca="1">IF(M362&gt;0,N362*100/M362,0)</f>
        <v>0</v>
      </c>
      <c r="Q362" s="255">
        <f>Q363+Q364</f>
        <v>0</v>
      </c>
      <c r="R362" s="255">
        <f>R363+R364</f>
        <v>0</v>
      </c>
      <c r="S362" s="255">
        <f>S363+S364</f>
        <v>0</v>
      </c>
      <c r="T362" s="255">
        <f>IF(Q362&gt;0,S362*100/Q362,0)</f>
        <v>0</v>
      </c>
      <c r="U362" s="255">
        <f>IF(R362&gt;0,S362*100/R362,0)</f>
        <v>0</v>
      </c>
    </row>
    <row r="363" spans="1:21" ht="18.75" hidden="1">
      <c r="A363" s="155"/>
      <c r="B363" s="50"/>
      <c r="C363" s="50"/>
      <c r="D363" s="50"/>
      <c r="E363" s="186" t="s">
        <v>20</v>
      </c>
      <c r="F363" s="50"/>
      <c r="G363" s="52"/>
      <c r="H363" s="189" t="s">
        <v>14</v>
      </c>
      <c r="I363" s="163"/>
      <c r="J363" s="163"/>
      <c r="K363" s="164"/>
      <c r="L363" s="103">
        <v>0</v>
      </c>
      <c r="M363" s="102">
        <v>0</v>
      </c>
      <c r="N363" s="102">
        <v>0</v>
      </c>
      <c r="O363" s="102">
        <f>IF(L363&gt;0,N363*100/L363,0)</f>
        <v>0</v>
      </c>
      <c r="P363" s="102">
        <f>IF(M363&gt;0,N363*100/M363,0)</f>
        <v>0</v>
      </c>
      <c r="Q363" s="102">
        <v>0</v>
      </c>
      <c r="R363" s="102">
        <v>0</v>
      </c>
      <c r="S363" s="102">
        <v>0</v>
      </c>
      <c r="T363" s="102">
        <f>IF(Q363&gt;0,S363*100/Q363,0)</f>
        <v>0</v>
      </c>
      <c r="U363" s="102">
        <f>IF(R363&gt;0,S363*100/R363,0)</f>
        <v>0</v>
      </c>
    </row>
    <row r="364" spans="1:21" ht="18.75" hidden="1">
      <c r="A364" s="155"/>
      <c r="B364" s="50"/>
      <c r="C364" s="50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256">
        <f ca="1">IFERROR(__xludf.DUMMYFUNCTION("IMPORTRANGE(""https://docs.google.com/spreadsheets/d/1-uDff_7J0KD5mKrp0Vvzr7lt3OU09vwQwhkpOPPYv2Y/edit?usp=sharing"",""งบพรบ!FF34"")"),0)</f>
        <v>0</v>
      </c>
      <c r="M364" s="255">
        <f ca="1">IFERROR(__xludf.DUMMYFUNCTION("IMPORTRANGE(""https://docs.google.com/spreadsheets/d/1-uDff_7J0KD5mKrp0Vvzr7lt3OU09vwQwhkpOPPYv2Y/edit?usp=sharing"",""งบพรบ!FI34"")"),0)</f>
        <v>0</v>
      </c>
      <c r="N364" s="255">
        <f ca="1">IFERROR(__xludf.DUMMYFUNCTION("IMPORTRANGE(""https://docs.google.com/spreadsheets/d/1-uDff_7J0KD5mKrp0Vvzr7lt3OU09vwQwhkpOPPYv2Y/edit?usp=sharing"",""งบพรบ!FK34"")"),0)</f>
        <v>0</v>
      </c>
      <c r="O364" s="255">
        <f ca="1">IF(L364&gt;0,N364*100/L364,0)</f>
        <v>0</v>
      </c>
      <c r="P364" s="255">
        <f ca="1">IF(M364&gt;0,N364*100/M364,0)</f>
        <v>0</v>
      </c>
      <c r="Q364" s="255">
        <v>0</v>
      </c>
      <c r="R364" s="255">
        <v>0</v>
      </c>
      <c r="S364" s="255">
        <v>0</v>
      </c>
      <c r="T364" s="255">
        <f>IF(Q364&gt;0,S364*100/Q364,0)</f>
        <v>0</v>
      </c>
      <c r="U364" s="255">
        <f>IF(R364&gt;0,S364*100/R364,0)</f>
        <v>0</v>
      </c>
    </row>
    <row r="365" spans="1:21" ht="19.5">
      <c r="A365" s="241"/>
      <c r="B365" s="242"/>
      <c r="C365" s="244"/>
      <c r="D365" s="621" t="s">
        <v>150</v>
      </c>
      <c r="E365" s="244"/>
      <c r="F365" s="244"/>
      <c r="G365" s="245"/>
      <c r="H365" s="254" t="s">
        <v>35</v>
      </c>
      <c r="I365" s="339">
        <f ca="1">I371</f>
        <v>591</v>
      </c>
      <c r="J365" s="339">
        <f ca="1">J371</f>
        <v>222</v>
      </c>
      <c r="K365" s="340">
        <f ca="1">IF(I365&gt;0,J365*100/I365,0)</f>
        <v>37.56345177664975</v>
      </c>
      <c r="L365" s="250"/>
      <c r="M365" s="249"/>
      <c r="N365" s="249"/>
      <c r="O365" s="249"/>
      <c r="P365" s="249"/>
      <c r="Q365" s="249"/>
      <c r="R365" s="249"/>
      <c r="S365" s="249"/>
      <c r="T365" s="249"/>
      <c r="U365" s="249"/>
    </row>
    <row r="366" spans="1:21" ht="19.5">
      <c r="A366" s="166"/>
      <c r="B366" s="167"/>
      <c r="C366" s="156" t="s">
        <v>18</v>
      </c>
      <c r="D366" s="566" t="s">
        <v>38</v>
      </c>
      <c r="E366" s="169"/>
      <c r="F366" s="169"/>
      <c r="G366" s="170"/>
      <c r="H366" s="171"/>
      <c r="I366" s="54"/>
      <c r="J366" s="54"/>
      <c r="K366" s="55"/>
      <c r="L366" s="172"/>
      <c r="M366" s="164"/>
      <c r="N366" s="164"/>
      <c r="O366" s="164"/>
      <c r="P366" s="164"/>
      <c r="Q366" s="164"/>
      <c r="R366" s="164"/>
      <c r="S366" s="164"/>
      <c r="T366" s="164"/>
      <c r="U366" s="164"/>
    </row>
    <row r="367" spans="1:21" ht="18.75">
      <c r="A367" s="166"/>
      <c r="B367" s="174"/>
      <c r="C367" s="167"/>
      <c r="D367" s="174"/>
      <c r="E367" s="173" t="s">
        <v>151</v>
      </c>
      <c r="F367" s="174"/>
      <c r="G367" s="171"/>
      <c r="H367" s="183" t="s">
        <v>35</v>
      </c>
      <c r="I367" s="212">
        <v>0</v>
      </c>
      <c r="J367" s="212">
        <f ca="1">IFERROR(__xludf.DUMMYFUNCTION("IMPORTRANGE(""https://docs.google.com/spreadsheets/d/1tdoBKaGub7dwA3U6UFTqxio9LNnvDCQjHKmttSEBsFQ/edit?usp=sharing"",""จัดที่ดิน!AB34"")"),113)</f>
        <v>113</v>
      </c>
      <c r="K367" s="255">
        <f>IF(I367&gt;0,J367*100/I367,0)</f>
        <v>0</v>
      </c>
      <c r="L367" s="172"/>
      <c r="M367" s="164"/>
      <c r="N367" s="164"/>
      <c r="O367" s="164"/>
      <c r="P367" s="164"/>
      <c r="Q367" s="164"/>
      <c r="R367" s="164"/>
      <c r="S367" s="164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212">
        <f ca="1">IFERROR(__xludf.DUMMYFUNCTION("IMPORTRANGE(""https://docs.google.com/spreadsheets/d/1eHaY18a8A9IcSdp1K8H6x8fbOy06t2VsZHhMHf-1x7Y/edit?usp=sharing"",""แผน!EW34"")"),1780)</f>
        <v>1780</v>
      </c>
      <c r="J368" s="620">
        <f ca="1">IFERROR(__xludf.DUMMYFUNCTION("IMPORTRANGE(""https://docs.google.com/spreadsheets/d/1tdoBKaGub7dwA3U6UFTqxio9LNnvDCQjHKmttSEBsFQ/edit?usp=sharing"",""จัดที่ดิน!AC34"")"),1110.71)</f>
        <v>1110.71</v>
      </c>
      <c r="K368" s="255">
        <f ca="1">IF(I368&gt;0,J368*100/I368,0)</f>
        <v>62.39943820224719</v>
      </c>
      <c r="L368" s="172"/>
      <c r="M368" s="164"/>
      <c r="N368" s="164"/>
      <c r="O368" s="164"/>
      <c r="P368" s="164"/>
      <c r="Q368" s="164"/>
      <c r="R368" s="164"/>
      <c r="S368" s="164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79" t="s">
        <v>35</v>
      </c>
      <c r="I369" s="212">
        <f ca="1">IFERROR(__xludf.DUMMYFUNCTION("IMPORTRANGE(""https://docs.google.com/spreadsheets/d/1eHaY18a8A9IcSdp1K8H6x8fbOy06t2VsZHhMHf-1x7Y/edit?usp=sharing"",""แผน!EX34"")"),591)</f>
        <v>591</v>
      </c>
      <c r="J369" s="212">
        <f ca="1">IFERROR(__xludf.DUMMYFUNCTION("IMPORTRANGE(""https://docs.google.com/spreadsheets/d/1tdoBKaGub7dwA3U6UFTqxio9LNnvDCQjHKmttSEBsFQ/edit?usp=sharing"",""จัดที่ดิน!AD34"")"),227)</f>
        <v>227</v>
      </c>
      <c r="K369" s="255">
        <f ca="1">IF(I369&gt;0,J369*100/I369,0)</f>
        <v>38.409475465313029</v>
      </c>
      <c r="L369" s="172"/>
      <c r="M369" s="164"/>
      <c r="N369" s="164"/>
      <c r="O369" s="164"/>
      <c r="P369" s="164"/>
      <c r="Q369" s="164"/>
      <c r="R369" s="164"/>
      <c r="S369" s="164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79" t="s">
        <v>46</v>
      </c>
      <c r="I370" s="212">
        <v>0</v>
      </c>
      <c r="J370" s="620">
        <f ca="1">IFERROR(__xludf.DUMMYFUNCTION("IMPORTRANGE(""https://docs.google.com/spreadsheets/d/1tdoBKaGub7dwA3U6UFTqxio9LNnvDCQjHKmttSEBsFQ/edit?usp=sharing"",""จัดที่ดิน!AE34"")"),3501.72)</f>
        <v>3501.72</v>
      </c>
      <c r="K370" s="255">
        <f>IF(I370&gt;0,J370*100/I370,0)</f>
        <v>0</v>
      </c>
      <c r="L370" s="172"/>
      <c r="M370" s="164"/>
      <c r="N370" s="164"/>
      <c r="O370" s="164"/>
      <c r="P370" s="164"/>
      <c r="Q370" s="164"/>
      <c r="R370" s="164"/>
      <c r="S370" s="164"/>
      <c r="T370" s="164"/>
      <c r="U370" s="164"/>
    </row>
    <row r="371" spans="1:21" ht="18.75">
      <c r="A371" s="166"/>
      <c r="B371" s="174"/>
      <c r="C371" s="167"/>
      <c r="D371" s="174"/>
      <c r="E371" s="352" t="s">
        <v>153</v>
      </c>
      <c r="F371" s="174"/>
      <c r="G371" s="171"/>
      <c r="H371" s="179" t="s">
        <v>35</v>
      </c>
      <c r="I371" s="212">
        <f ca="1">IFERROR(__xludf.DUMMYFUNCTION("IMPORTRANGE(""https://docs.google.com/spreadsheets/d/1eHaY18a8A9IcSdp1K8H6x8fbOy06t2VsZHhMHf-1x7Y/edit?usp=sharing"",""แผน!EY34"")"),591)</f>
        <v>591</v>
      </c>
      <c r="J371" s="212">
        <f ca="1">IFERROR(__xludf.DUMMYFUNCTION("IMPORTRANGE(""https://docs.google.com/spreadsheets/d/1tdoBKaGub7dwA3U6UFTqxio9LNnvDCQjHKmttSEBsFQ/edit?usp=sharing"",""จัดที่ดิน!AF34"")"),222)</f>
        <v>222</v>
      </c>
      <c r="K371" s="255">
        <f ca="1">IF(I371&gt;0,J371*100/I371,0)</f>
        <v>37.56345177664975</v>
      </c>
      <c r="L371" s="172"/>
      <c r="M371" s="164"/>
      <c r="N371" s="164"/>
      <c r="O371" s="164"/>
      <c r="P371" s="164"/>
      <c r="Q371" s="164"/>
      <c r="R371" s="164"/>
      <c r="S371" s="164"/>
      <c r="T371" s="164"/>
      <c r="U371" s="164"/>
    </row>
    <row r="372" spans="1:21" ht="18.75">
      <c r="A372" s="166"/>
      <c r="B372" s="174"/>
      <c r="C372" s="167"/>
      <c r="D372" s="174"/>
      <c r="E372" s="174"/>
      <c r="F372" s="174"/>
      <c r="G372" s="171"/>
      <c r="H372" s="179" t="s">
        <v>46</v>
      </c>
      <c r="I372" s="212">
        <v>0</v>
      </c>
      <c r="J372" s="620">
        <f ca="1">IFERROR(__xludf.DUMMYFUNCTION("IMPORTRANGE(""https://docs.google.com/spreadsheets/d/1tdoBKaGub7dwA3U6UFTqxio9LNnvDCQjHKmttSEBsFQ/edit?usp=sharing"",""จัดที่ดิน!AG34"")"),3375.42)</f>
        <v>3375.42</v>
      </c>
      <c r="K372" s="255">
        <f>IF(I372&gt;0,J372*100/I372,0)</f>
        <v>0</v>
      </c>
      <c r="L372" s="172"/>
      <c r="M372" s="164"/>
      <c r="N372" s="164"/>
      <c r="O372" s="164"/>
      <c r="P372" s="164"/>
      <c r="Q372" s="164"/>
      <c r="R372" s="164"/>
      <c r="S372" s="164"/>
      <c r="T372" s="164"/>
      <c r="U372" s="164"/>
    </row>
    <row r="373" spans="1:21" ht="16.5">
      <c r="A373" s="5"/>
      <c r="B373" s="4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พ.ค. 67 เวลา 07.29 น.]")</f>
        <v xml:space="preserve"> [ข้อมูลจาก ระบบ ALRO Land Online ข้อมูล ณ 1 พ.ค. 67 เวลา 07.29 น.]</v>
      </c>
      <c r="E373" s="4"/>
      <c r="F373" s="4"/>
      <c r="G373" s="65"/>
      <c r="H373" s="65"/>
      <c r="I373" s="67"/>
      <c r="J373" s="67"/>
      <c r="K373" s="6"/>
      <c r="L373" s="68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 hidden="1">
      <c r="A374" s="619"/>
      <c r="B374" s="618" t="s">
        <v>154</v>
      </c>
      <c r="C374" s="617"/>
      <c r="D374" s="616"/>
      <c r="E374" s="615"/>
      <c r="F374" s="615"/>
      <c r="G374" s="614"/>
      <c r="H374" s="613" t="s">
        <v>46</v>
      </c>
      <c r="I374" s="612">
        <f ca="1">I385</f>
        <v>0</v>
      </c>
      <c r="J374" s="612">
        <f>J385</f>
        <v>0</v>
      </c>
      <c r="K374" s="611">
        <f ca="1">IF(I374&gt;0,J374*100/I374,0)</f>
        <v>0</v>
      </c>
      <c r="L374" s="334"/>
      <c r="M374" s="333"/>
      <c r="N374" s="333"/>
      <c r="O374" s="333"/>
      <c r="P374" s="333"/>
      <c r="Q374" s="333"/>
      <c r="R374" s="333"/>
      <c r="S374" s="333"/>
      <c r="T374" s="333"/>
      <c r="U374" s="333"/>
    </row>
    <row r="375" spans="1:21" ht="19.5" hidden="1">
      <c r="A375" s="155"/>
      <c r="B375" s="188"/>
      <c r="C375" s="191" t="s">
        <v>18</v>
      </c>
      <c r="D375" s="608" t="s">
        <v>19</v>
      </c>
      <c r="E375" s="50"/>
      <c r="F375" s="50"/>
      <c r="G375" s="52"/>
      <c r="H375" s="158" t="s">
        <v>14</v>
      </c>
      <c r="I375" s="54"/>
      <c r="J375" s="54"/>
      <c r="K375" s="55"/>
      <c r="L375" s="541">
        <f>L376+L377</f>
        <v>0</v>
      </c>
      <c r="M375" s="540">
        <f>M376+M377</f>
        <v>0</v>
      </c>
      <c r="N375" s="540">
        <f>N376+N377</f>
        <v>0</v>
      </c>
      <c r="O375" s="540">
        <f>IF(L375&gt;0,N375*100/L375,0)</f>
        <v>0</v>
      </c>
      <c r="P375" s="540">
        <f>IF(M375&gt;0,N375*100/M375,0)</f>
        <v>0</v>
      </c>
      <c r="Q375" s="540">
        <f ca="1">Q376+Q377</f>
        <v>0</v>
      </c>
      <c r="R375" s="540">
        <f ca="1">R376+R377</f>
        <v>0</v>
      </c>
      <c r="S375" s="540">
        <f ca="1">S376+S377</f>
        <v>0</v>
      </c>
      <c r="T375" s="540">
        <f ca="1">IF(Q375&gt;0,S375*100/Q375,0)</f>
        <v>0</v>
      </c>
      <c r="U375" s="540">
        <f ca="1">IF(R375&gt;0,S375*100/R375,0)</f>
        <v>0</v>
      </c>
    </row>
    <row r="376" spans="1:21" ht="18.75" hidden="1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103">
        <f>L379+L382</f>
        <v>0</v>
      </c>
      <c r="M376" s="102">
        <f>M379+M382</f>
        <v>0</v>
      </c>
      <c r="N376" s="102">
        <f>N379+N382</f>
        <v>0</v>
      </c>
      <c r="O376" s="102">
        <f>IF(L376&gt;0,N376*100/L376,0)</f>
        <v>0</v>
      </c>
      <c r="P376" s="102">
        <f>IF(M376&gt;0,N376*100/M376,0)</f>
        <v>0</v>
      </c>
      <c r="Q376" s="102">
        <f>Q379+Q382</f>
        <v>0</v>
      </c>
      <c r="R376" s="102">
        <f>R379+R382</f>
        <v>0</v>
      </c>
      <c r="S376" s="102">
        <f>S379+S382</f>
        <v>0</v>
      </c>
      <c r="T376" s="102">
        <f>IF(Q376&gt;0,S376*100/Q376,0)</f>
        <v>0</v>
      </c>
      <c r="U376" s="102">
        <f>IF(R376&gt;0,S376*100/R376,0)</f>
        <v>0</v>
      </c>
    </row>
    <row r="377" spans="1:21" ht="18.75" hidden="1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256">
        <f>L380+L383</f>
        <v>0</v>
      </c>
      <c r="M377" s="255">
        <f>M380+M383</f>
        <v>0</v>
      </c>
      <c r="N377" s="255">
        <f>N380+N383</f>
        <v>0</v>
      </c>
      <c r="O377" s="255">
        <f>IF(L377&gt;0,N377*100/L377,0)</f>
        <v>0</v>
      </c>
      <c r="P377" s="255">
        <f>IF(M377&gt;0,N377*100/M377,0)</f>
        <v>0</v>
      </c>
      <c r="Q377" s="255">
        <f ca="1">Q380+Q383</f>
        <v>0</v>
      </c>
      <c r="R377" s="255">
        <f ca="1">R380+R383</f>
        <v>0</v>
      </c>
      <c r="S377" s="255">
        <f ca="1">S380+S383</f>
        <v>0</v>
      </c>
      <c r="T377" s="255">
        <f ca="1">IF(Q377&gt;0,S377*100/Q377,0)</f>
        <v>0</v>
      </c>
      <c r="U377" s="255">
        <f ca="1">IF(R377&gt;0,S377*100/R377,0)</f>
        <v>0</v>
      </c>
    </row>
    <row r="378" spans="1:21" ht="18.75" hidden="1">
      <c r="A378" s="155"/>
      <c r="B378" s="188"/>
      <c r="C378" s="188"/>
      <c r="D378" s="602" t="s">
        <v>22</v>
      </c>
      <c r="E378" s="50"/>
      <c r="F378" s="50"/>
      <c r="G378" s="52"/>
      <c r="H378" s="162" t="s">
        <v>14</v>
      </c>
      <c r="I378" s="163"/>
      <c r="J378" s="163"/>
      <c r="K378" s="164"/>
      <c r="L378" s="256">
        <f>L379+L380</f>
        <v>0</v>
      </c>
      <c r="M378" s="255">
        <f>M379+M380</f>
        <v>0</v>
      </c>
      <c r="N378" s="255">
        <f>N379+N380</f>
        <v>0</v>
      </c>
      <c r="O378" s="255">
        <f>IF(L378&gt;0,N378*100/L378,0)</f>
        <v>0</v>
      </c>
      <c r="P378" s="255">
        <f>IF(M378&gt;0,N378*100/M378,0)</f>
        <v>0</v>
      </c>
      <c r="Q378" s="255">
        <f ca="1">Q379+Q380</f>
        <v>0</v>
      </c>
      <c r="R378" s="255">
        <f ca="1">R379+R380</f>
        <v>0</v>
      </c>
      <c r="S378" s="255">
        <f ca="1">S379+S380</f>
        <v>0</v>
      </c>
      <c r="T378" s="255">
        <f ca="1">IF(Q378&gt;0,S378*100/Q378,0)</f>
        <v>0</v>
      </c>
      <c r="U378" s="255">
        <f ca="1">IF(R378&gt;0,S378*100/R378,0)</f>
        <v>0</v>
      </c>
    </row>
    <row r="379" spans="1:21" ht="18.75" hidden="1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103">
        <v>0</v>
      </c>
      <c r="M379" s="102">
        <v>0</v>
      </c>
      <c r="N379" s="102">
        <v>0</v>
      </c>
      <c r="O379" s="102">
        <f>IF(L379&gt;0,N379*100/L379,0)</f>
        <v>0</v>
      </c>
      <c r="P379" s="102">
        <f>IF(M379&gt;0,N379*100/M379,0)</f>
        <v>0</v>
      </c>
      <c r="Q379" s="102">
        <v>0</v>
      </c>
      <c r="R379" s="102">
        <v>0</v>
      </c>
      <c r="S379" s="102">
        <v>0</v>
      </c>
      <c r="T379" s="102">
        <f>IF(Q379&gt;0,S379*100/Q379,0)</f>
        <v>0</v>
      </c>
      <c r="U379" s="102">
        <f>IF(R379&gt;0,S379*100/R379,0)</f>
        <v>0</v>
      </c>
    </row>
    <row r="380" spans="1:21" ht="18.75" hidden="1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256">
        <v>0</v>
      </c>
      <c r="M380" s="255">
        <v>0</v>
      </c>
      <c r="N380" s="255">
        <v>0</v>
      </c>
      <c r="O380" s="255">
        <f>IF(L380&gt;0,N380*100/L380,0)</f>
        <v>0</v>
      </c>
      <c r="P380" s="255">
        <f>IF(M380&gt;0,N380*100/M380,0)</f>
        <v>0</v>
      </c>
      <c r="Q380" s="255">
        <f ca="1">IFERROR(__xludf.DUMMYFUNCTION("IMPORTRANGE(""https://docs.google.com/spreadsheets/d/1ItG2mGa2ceCfYo0BwxsXqNm01IGEUdYcSSLTEv9YCik/edit?usp=sharing"",""เบิกจ่ายกองทุน!AY34"")"),0)</f>
        <v>0</v>
      </c>
      <c r="R380" s="255">
        <f ca="1">IFERROR(__xludf.DUMMYFUNCTION("IMPORTRANGE(""https://docs.google.com/spreadsheets/d/1ItG2mGa2ceCfYo0BwxsXqNm01IGEUdYcSSLTEv9YCik/edit?usp=sharing"",""เบิกจ่ายกองทุน!AZ34"")"),0)</f>
        <v>0</v>
      </c>
      <c r="S380" s="255">
        <f ca="1">IFERROR(__xludf.DUMMYFUNCTION("IMPORTRANGE(""https://docs.google.com/spreadsheets/d/1ItG2mGa2ceCfYo0BwxsXqNm01IGEUdYcSSLTEv9YCik/edit?usp=sharing"",""เบิกจ่ายกองทุน!BA34"")"),0)</f>
        <v>0</v>
      </c>
      <c r="T380" s="255">
        <f ca="1">IF(Q380&gt;0,S380*100/Q380,0)</f>
        <v>0</v>
      </c>
      <c r="U380" s="255">
        <f ca="1">IF(R380&gt;0,S380*100/R380,0)</f>
        <v>0</v>
      </c>
    </row>
    <row r="381" spans="1:21" ht="18.75" hidden="1">
      <c r="A381" s="155"/>
      <c r="B381" s="188"/>
      <c r="C381" s="188"/>
      <c r="D381" s="602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256">
        <f>L382+L383</f>
        <v>0</v>
      </c>
      <c r="M381" s="255">
        <f>M382+M383</f>
        <v>0</v>
      </c>
      <c r="N381" s="255">
        <f>N382+N383</f>
        <v>0</v>
      </c>
      <c r="O381" s="255">
        <f>IF(L381&gt;0,N381*100/L381,0)</f>
        <v>0</v>
      </c>
      <c r="P381" s="255">
        <f>IF(M381&gt;0,N381*100/M381,0)</f>
        <v>0</v>
      </c>
      <c r="Q381" s="255">
        <f>Q382+Q383</f>
        <v>0</v>
      </c>
      <c r="R381" s="255">
        <f>R382+R383</f>
        <v>0</v>
      </c>
      <c r="S381" s="255">
        <f>S382+S383</f>
        <v>0</v>
      </c>
      <c r="T381" s="255">
        <f>IF(Q381&gt;0,S381*100/Q381,0)</f>
        <v>0</v>
      </c>
      <c r="U381" s="255">
        <f>IF(R381&gt;0,S381*100/R381,0)</f>
        <v>0</v>
      </c>
    </row>
    <row r="382" spans="1:21" ht="18.75" hidden="1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103">
        <v>0</v>
      </c>
      <c r="M382" s="102">
        <v>0</v>
      </c>
      <c r="N382" s="102">
        <v>0</v>
      </c>
      <c r="O382" s="102">
        <f>IF(L382&gt;0,N382*100/L382,0)</f>
        <v>0</v>
      </c>
      <c r="P382" s="102">
        <f>IF(M382&gt;0,N382*100/M382,0)</f>
        <v>0</v>
      </c>
      <c r="Q382" s="102">
        <v>0</v>
      </c>
      <c r="R382" s="102">
        <v>0</v>
      </c>
      <c r="S382" s="102">
        <v>0</v>
      </c>
      <c r="T382" s="102">
        <f>IF(Q382&gt;0,S382*100/Q382,0)</f>
        <v>0</v>
      </c>
      <c r="U382" s="102">
        <f>IF(R382&gt;0,S382*100/R382,0)</f>
        <v>0</v>
      </c>
    </row>
    <row r="383" spans="1:21" ht="18.75" hidden="1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256">
        <v>0</v>
      </c>
      <c r="M383" s="255">
        <v>0</v>
      </c>
      <c r="N383" s="255">
        <v>0</v>
      </c>
      <c r="O383" s="255">
        <f>IF(L383&gt;0,N383*100/L383,0)</f>
        <v>0</v>
      </c>
      <c r="P383" s="255">
        <f>IF(M383&gt;0,N383*100/M383,0)</f>
        <v>0</v>
      </c>
      <c r="Q383" s="255">
        <v>0</v>
      </c>
      <c r="R383" s="255">
        <v>0</v>
      </c>
      <c r="S383" s="255">
        <v>0</v>
      </c>
      <c r="T383" s="255">
        <f>IF(Q383&gt;0,S383*100/Q383,0)</f>
        <v>0</v>
      </c>
      <c r="U383" s="255">
        <f>IF(R383&gt;0,S383*100/R383,0)</f>
        <v>0</v>
      </c>
    </row>
    <row r="384" spans="1:21" ht="19.5" hidden="1">
      <c r="A384" s="166"/>
      <c r="B384" s="167"/>
      <c r="C384" s="191" t="s">
        <v>18</v>
      </c>
      <c r="D384" s="560" t="s">
        <v>38</v>
      </c>
      <c r="E384" s="169"/>
      <c r="F384" s="169"/>
      <c r="G384" s="170"/>
      <c r="H384" s="206"/>
      <c r="I384" s="163"/>
      <c r="J384" s="54"/>
      <c r="K384" s="55"/>
      <c r="L384" s="62"/>
      <c r="M384" s="55"/>
      <c r="N384" s="55"/>
      <c r="O384" s="164"/>
      <c r="P384" s="164"/>
      <c r="Q384" s="55"/>
      <c r="R384" s="55"/>
      <c r="S384" s="55"/>
      <c r="T384" s="164"/>
      <c r="U384" s="164"/>
    </row>
    <row r="385" spans="1:21" ht="18.75" hidden="1">
      <c r="A385" s="238"/>
      <c r="B385" s="188"/>
      <c r="C385" s="188"/>
      <c r="D385" s="188"/>
      <c r="E385" s="58" t="s">
        <v>155</v>
      </c>
      <c r="F385" s="50"/>
      <c r="G385" s="52"/>
      <c r="H385" s="161" t="s">
        <v>34</v>
      </c>
      <c r="I385" s="212">
        <f ca="1">IFERROR(__xludf.DUMMYFUNCTION("IMPORTRANGE(""https://docs.google.com/spreadsheets/d/1eHaY18a8A9IcSdp1K8H6x8fbOy06t2VsZHhMHf-1x7Y/edit?usp=sharing"",""แผน!JQ34"")"),0)</f>
        <v>0</v>
      </c>
      <c r="J385" s="212">
        <v>0</v>
      </c>
      <c r="K385" s="255">
        <f ca="1">IF(I385&gt;0,J385*100/I385,0)</f>
        <v>0</v>
      </c>
      <c r="L385" s="62"/>
      <c r="M385" s="55"/>
      <c r="N385" s="55"/>
      <c r="O385" s="55"/>
      <c r="P385" s="55"/>
      <c r="Q385" s="55"/>
      <c r="R385" s="55"/>
      <c r="S385" s="55"/>
      <c r="T385" s="55"/>
      <c r="U385" s="55"/>
    </row>
    <row r="386" spans="1:21" ht="18.75" hidden="1">
      <c r="A386" s="188"/>
      <c r="B386" s="188"/>
      <c r="C386" s="188"/>
      <c r="D386" s="188"/>
      <c r="E386" s="188"/>
      <c r="F386" s="188"/>
      <c r="G386" s="208"/>
      <c r="H386" s="161" t="s">
        <v>46</v>
      </c>
      <c r="I386" s="212">
        <f ca="1">IFERROR(__xludf.DUMMYFUNCTION("IMPORTRANGE(""https://docs.google.com/spreadsheets/d/1eHaY18a8A9IcSdp1K8H6x8fbOy06t2VsZHhMHf-1x7Y/edit?usp=sharing"",""แผน!JQ34"")"),0)</f>
        <v>0</v>
      </c>
      <c r="J386" s="212">
        <v>0</v>
      </c>
      <c r="K386" s="255">
        <f ca="1">IF(I386&gt;0,J386*100/I386,0)</f>
        <v>0</v>
      </c>
      <c r="L386" s="62"/>
      <c r="M386" s="55"/>
      <c r="N386" s="55"/>
      <c r="O386" s="55"/>
      <c r="P386" s="55"/>
      <c r="Q386" s="55"/>
      <c r="R386" s="55"/>
      <c r="S386" s="55"/>
      <c r="T386" s="55"/>
      <c r="U386" s="55"/>
    </row>
    <row r="387" spans="1:21" ht="18.75" hidden="1">
      <c r="A387" s="188"/>
      <c r="B387" s="188"/>
      <c r="C387" s="188"/>
      <c r="D387" s="188"/>
      <c r="E387" s="358" t="s">
        <v>156</v>
      </c>
      <c r="F387" s="188"/>
      <c r="G387" s="208"/>
      <c r="H387" s="187" t="s">
        <v>34</v>
      </c>
      <c r="I387" s="483">
        <v>0</v>
      </c>
      <c r="J387" s="483">
        <v>0</v>
      </c>
      <c r="K387" s="102">
        <f>IF(I387&gt;0,J387*100/I387,0)</f>
        <v>0</v>
      </c>
      <c r="L387" s="62"/>
      <c r="M387" s="55"/>
      <c r="N387" s="55"/>
      <c r="O387" s="55"/>
      <c r="P387" s="55"/>
      <c r="Q387" s="55"/>
      <c r="R387" s="55"/>
      <c r="S387" s="55"/>
      <c r="T387" s="55"/>
      <c r="U387" s="55"/>
    </row>
    <row r="388" spans="1:21" ht="18.75" hidden="1">
      <c r="A388" s="188"/>
      <c r="B388" s="188"/>
      <c r="C388" s="188"/>
      <c r="D388" s="188"/>
      <c r="E388" s="188"/>
      <c r="F388" s="188"/>
      <c r="G388" s="208"/>
      <c r="H388" s="187" t="s">
        <v>46</v>
      </c>
      <c r="I388" s="483">
        <v>0</v>
      </c>
      <c r="J388" s="483">
        <v>0</v>
      </c>
      <c r="K388" s="102">
        <f>IF(I388&gt;0,J388*100/I388,0)</f>
        <v>0</v>
      </c>
      <c r="L388" s="62"/>
      <c r="M388" s="55"/>
      <c r="N388" s="55"/>
      <c r="O388" s="55"/>
      <c r="P388" s="55"/>
      <c r="Q388" s="55"/>
      <c r="R388" s="55"/>
      <c r="S388" s="55"/>
      <c r="T388" s="55"/>
      <c r="U388" s="55"/>
    </row>
    <row r="389" spans="1:21" ht="12.75" hidden="1">
      <c r="A389" s="259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5"/>
      <c r="M389" s="264"/>
      <c r="N389" s="264"/>
      <c r="O389" s="264"/>
      <c r="P389" s="264"/>
      <c r="Q389" s="264"/>
      <c r="R389" s="264"/>
      <c r="S389" s="264"/>
      <c r="T389" s="264"/>
      <c r="U389" s="264"/>
    </row>
    <row r="390" spans="1:21" ht="12.75" hidden="1">
      <c r="A390" s="360"/>
      <c r="B390" s="360"/>
      <c r="C390" s="360"/>
      <c r="D390" s="360"/>
      <c r="E390" s="360"/>
      <c r="F390" s="360"/>
      <c r="G390" s="361"/>
      <c r="H390" s="361"/>
      <c r="I390" s="362"/>
      <c r="J390" s="362"/>
      <c r="K390" s="363"/>
      <c r="L390" s="364"/>
      <c r="M390" s="363"/>
      <c r="N390" s="363"/>
      <c r="O390" s="363"/>
      <c r="P390" s="363"/>
      <c r="Q390" s="363"/>
      <c r="R390" s="363"/>
      <c r="S390" s="363"/>
      <c r="T390" s="363"/>
      <c r="U390" s="363"/>
    </row>
    <row r="391" spans="1:21" ht="19.5" hidden="1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51">
        <f>I402</f>
        <v>0</v>
      </c>
      <c r="J391" s="351">
        <f>J402</f>
        <v>0</v>
      </c>
      <c r="K391" s="604">
        <f>IF(I391&gt;0,J391*100/I391,0)</f>
        <v>0</v>
      </c>
      <c r="L391" s="334"/>
      <c r="M391" s="333"/>
      <c r="N391" s="333"/>
      <c r="O391" s="333"/>
      <c r="P391" s="333"/>
      <c r="Q391" s="333"/>
      <c r="R391" s="333"/>
      <c r="S391" s="333"/>
      <c r="T391" s="333"/>
      <c r="U391" s="333"/>
    </row>
    <row r="392" spans="1:21" ht="19.5" hidden="1">
      <c r="A392" s="155"/>
      <c r="B392" s="188"/>
      <c r="C392" s="191" t="s">
        <v>18</v>
      </c>
      <c r="D392" s="608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541">
        <f>L393+L394</f>
        <v>0</v>
      </c>
      <c r="M392" s="540">
        <f>M393+M394</f>
        <v>0</v>
      </c>
      <c r="N392" s="540">
        <f>N393+N394</f>
        <v>0</v>
      </c>
      <c r="O392" s="540">
        <f>IF(L392&gt;0,N392*100/L392,0)</f>
        <v>0</v>
      </c>
      <c r="P392" s="540">
        <f>IF(M392&gt;0,N392*100/M392,0)</f>
        <v>0</v>
      </c>
      <c r="Q392" s="540">
        <f>Q393+Q394</f>
        <v>0</v>
      </c>
      <c r="R392" s="540">
        <f>R393+R394</f>
        <v>0</v>
      </c>
      <c r="S392" s="540">
        <f>S393+S394</f>
        <v>0</v>
      </c>
      <c r="T392" s="540">
        <f>IF(Q392&gt;0,S392*100/Q392,0)</f>
        <v>0</v>
      </c>
      <c r="U392" s="540">
        <f>IF(R392&gt;0,S392*100/R392,0)</f>
        <v>0</v>
      </c>
    </row>
    <row r="393" spans="1:21" ht="18.75" hidden="1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103">
        <f>L396+L399</f>
        <v>0</v>
      </c>
      <c r="M393" s="102">
        <f>M396+M399</f>
        <v>0</v>
      </c>
      <c r="N393" s="102">
        <f>N396+N399</f>
        <v>0</v>
      </c>
      <c r="O393" s="102">
        <f>IF(L393&gt;0,N393*100/L393,0)</f>
        <v>0</v>
      </c>
      <c r="P393" s="102">
        <f>IF(M393&gt;0,N393*100/M393,0)</f>
        <v>0</v>
      </c>
      <c r="Q393" s="102">
        <f>Q396+Q399</f>
        <v>0</v>
      </c>
      <c r="R393" s="102">
        <f>R396+R399</f>
        <v>0</v>
      </c>
      <c r="S393" s="102">
        <f>S396+S399</f>
        <v>0</v>
      </c>
      <c r="T393" s="102">
        <f>IF(Q393&gt;0,S393*100/Q393,0)</f>
        <v>0</v>
      </c>
      <c r="U393" s="102">
        <f>IF(R393&gt;0,S393*100/R393,0)</f>
        <v>0</v>
      </c>
    </row>
    <row r="394" spans="1:21" ht="18.75" hidden="1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256">
        <f>L397+L400</f>
        <v>0</v>
      </c>
      <c r="M394" s="255">
        <f>M397+M400</f>
        <v>0</v>
      </c>
      <c r="N394" s="255">
        <f>N397+N400</f>
        <v>0</v>
      </c>
      <c r="O394" s="255">
        <f>IF(L394&gt;0,N394*100/L394,0)</f>
        <v>0</v>
      </c>
      <c r="P394" s="255">
        <f>IF(M394&gt;0,N394*100/M394,0)</f>
        <v>0</v>
      </c>
      <c r="Q394" s="255">
        <f>Q397+Q400</f>
        <v>0</v>
      </c>
      <c r="R394" s="255">
        <f>R397+R400</f>
        <v>0</v>
      </c>
      <c r="S394" s="255">
        <f>S397+S400</f>
        <v>0</v>
      </c>
      <c r="T394" s="255">
        <f>IF(Q394&gt;0,S394*100/Q394,0)</f>
        <v>0</v>
      </c>
      <c r="U394" s="255">
        <f>IF(R394&gt;0,S394*100/R394,0)</f>
        <v>0</v>
      </c>
    </row>
    <row r="395" spans="1:21" ht="18.75" hidden="1">
      <c r="A395" s="155"/>
      <c r="B395" s="188"/>
      <c r="C395" s="188"/>
      <c r="D395" s="602" t="s">
        <v>22</v>
      </c>
      <c r="E395" s="50"/>
      <c r="F395" s="50"/>
      <c r="G395" s="52"/>
      <c r="H395" s="162" t="s">
        <v>14</v>
      </c>
      <c r="I395" s="163"/>
      <c r="J395" s="163"/>
      <c r="K395" s="164"/>
      <c r="L395" s="256">
        <f>L396+L397</f>
        <v>0</v>
      </c>
      <c r="M395" s="255">
        <f>M396+M397</f>
        <v>0</v>
      </c>
      <c r="N395" s="255">
        <f>N396+N397</f>
        <v>0</v>
      </c>
      <c r="O395" s="255">
        <f>IF(L395&gt;0,N395*100/L395,0)</f>
        <v>0</v>
      </c>
      <c r="P395" s="255">
        <f>IF(M395&gt;0,N395*100/M395,0)</f>
        <v>0</v>
      </c>
      <c r="Q395" s="255">
        <f>Q396+Q397</f>
        <v>0</v>
      </c>
      <c r="R395" s="255">
        <f>R396+R397</f>
        <v>0</v>
      </c>
      <c r="S395" s="255">
        <f>S396+S397</f>
        <v>0</v>
      </c>
      <c r="T395" s="255">
        <f>IF(Q395&gt;0,S395*100/Q395,0)</f>
        <v>0</v>
      </c>
      <c r="U395" s="255">
        <f>IF(R395&gt;0,S395*100/R395,0)</f>
        <v>0</v>
      </c>
    </row>
    <row r="396" spans="1:21" ht="18.75" hidden="1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103">
        <v>0</v>
      </c>
      <c r="M396" s="102">
        <v>0</v>
      </c>
      <c r="N396" s="102">
        <v>0</v>
      </c>
      <c r="O396" s="102">
        <f>IF(L396&gt;0,N396*100/L396,0)</f>
        <v>0</v>
      </c>
      <c r="P396" s="102">
        <f>IF(M396&gt;0,N396*100/M396,0)</f>
        <v>0</v>
      </c>
      <c r="Q396" s="102">
        <v>0</v>
      </c>
      <c r="R396" s="102">
        <v>0</v>
      </c>
      <c r="S396" s="102">
        <v>0</v>
      </c>
      <c r="T396" s="102">
        <f>IF(Q396&gt;0,S396*100/Q396,0)</f>
        <v>0</v>
      </c>
      <c r="U396" s="102">
        <f>IF(R396&gt;0,S396*100/R396,0)</f>
        <v>0</v>
      </c>
    </row>
    <row r="397" spans="1:21" ht="18.75" hidden="1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256">
        <v>0</v>
      </c>
      <c r="M397" s="255">
        <v>0</v>
      </c>
      <c r="N397" s="255">
        <v>0</v>
      </c>
      <c r="O397" s="255">
        <f>IF(L397&gt;0,N397*100/L397,0)</f>
        <v>0</v>
      </c>
      <c r="P397" s="255">
        <f>IF(M397&gt;0,N397*100/M397,0)</f>
        <v>0</v>
      </c>
      <c r="Q397" s="255">
        <v>0</v>
      </c>
      <c r="R397" s="255">
        <v>0</v>
      </c>
      <c r="S397" s="255">
        <v>0</v>
      </c>
      <c r="T397" s="255">
        <f>IF(Q397&gt;0,S397*100/Q397,0)</f>
        <v>0</v>
      </c>
      <c r="U397" s="255">
        <f>IF(R397&gt;0,S397*100/R397,0)</f>
        <v>0</v>
      </c>
    </row>
    <row r="398" spans="1:21" ht="18.75" hidden="1">
      <c r="A398" s="155"/>
      <c r="B398" s="188"/>
      <c r="C398" s="188"/>
      <c r="D398" s="602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256">
        <f>L399+L400</f>
        <v>0</v>
      </c>
      <c r="M398" s="255">
        <f>M399+M400</f>
        <v>0</v>
      </c>
      <c r="N398" s="255">
        <f>N399+N400</f>
        <v>0</v>
      </c>
      <c r="O398" s="255">
        <f>IF(L398&gt;0,N398*100/L398,0)</f>
        <v>0</v>
      </c>
      <c r="P398" s="255">
        <f>IF(M398&gt;0,N398*100/M398,0)</f>
        <v>0</v>
      </c>
      <c r="Q398" s="255">
        <f>Q399+Q400</f>
        <v>0</v>
      </c>
      <c r="R398" s="255">
        <f>R399+R400</f>
        <v>0</v>
      </c>
      <c r="S398" s="255">
        <f>S399+S400</f>
        <v>0</v>
      </c>
      <c r="T398" s="255">
        <f>IF(Q398&gt;0,S398*100/Q398,0)</f>
        <v>0</v>
      </c>
      <c r="U398" s="255">
        <f>IF(R398&gt;0,S398*100/R398,0)</f>
        <v>0</v>
      </c>
    </row>
    <row r="399" spans="1:21" ht="18.75" hidden="1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103">
        <v>0</v>
      </c>
      <c r="M399" s="102">
        <v>0</v>
      </c>
      <c r="N399" s="102">
        <v>0</v>
      </c>
      <c r="O399" s="102">
        <f>IF(L399&gt;0,N399*100/L399,0)</f>
        <v>0</v>
      </c>
      <c r="P399" s="102">
        <f>IF(M399&gt;0,N399*100/M399,0)</f>
        <v>0</v>
      </c>
      <c r="Q399" s="102">
        <v>0</v>
      </c>
      <c r="R399" s="102">
        <v>0</v>
      </c>
      <c r="S399" s="102">
        <v>0</v>
      </c>
      <c r="T399" s="102">
        <f>IF(Q399&gt;0,S399*100/Q399,0)</f>
        <v>0</v>
      </c>
      <c r="U399" s="102">
        <f>IF(R399&gt;0,S399*100/R399,0)</f>
        <v>0</v>
      </c>
    </row>
    <row r="400" spans="1:21" ht="18.75" hidden="1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256">
        <v>0</v>
      </c>
      <c r="M400" s="255">
        <v>0</v>
      </c>
      <c r="N400" s="255">
        <v>0</v>
      </c>
      <c r="O400" s="255">
        <f>IF(L400&gt;0,N400*100/L400,0)</f>
        <v>0</v>
      </c>
      <c r="P400" s="255">
        <f>IF(M400&gt;0,N400*100/M400,0)</f>
        <v>0</v>
      </c>
      <c r="Q400" s="255">
        <v>0</v>
      </c>
      <c r="R400" s="255">
        <v>0</v>
      </c>
      <c r="S400" s="255">
        <v>0</v>
      </c>
      <c r="T400" s="255">
        <f>IF(Q400&gt;0,S400*100/Q400,0)</f>
        <v>0</v>
      </c>
      <c r="U400" s="255">
        <f>IF(R400&gt;0,S400*100/R400,0)</f>
        <v>0</v>
      </c>
    </row>
    <row r="401" spans="1:21" ht="19.5" hidden="1">
      <c r="A401" s="166"/>
      <c r="B401" s="167"/>
      <c r="C401" s="191" t="s">
        <v>18</v>
      </c>
      <c r="D401" s="560" t="s">
        <v>38</v>
      </c>
      <c r="E401" s="169"/>
      <c r="F401" s="169"/>
      <c r="G401" s="170"/>
      <c r="H401" s="206"/>
      <c r="I401" s="163"/>
      <c r="J401" s="54"/>
      <c r="K401" s="55"/>
      <c r="L401" s="62"/>
      <c r="M401" s="55"/>
      <c r="N401" s="55"/>
      <c r="O401" s="164"/>
      <c r="P401" s="164"/>
      <c r="Q401" s="55"/>
      <c r="R401" s="55"/>
      <c r="S401" s="55"/>
      <c r="T401" s="164"/>
      <c r="U401" s="164"/>
    </row>
    <row r="402" spans="1:21" ht="12.75" hidden="1">
      <c r="A402" s="258"/>
      <c r="B402" s="259"/>
      <c r="C402" s="259"/>
      <c r="D402" s="259"/>
      <c r="E402" s="260"/>
      <c r="F402" s="260"/>
      <c r="G402" s="261"/>
      <c r="H402" s="262"/>
      <c r="I402" s="263"/>
      <c r="J402" s="263"/>
      <c r="K402" s="264"/>
      <c r="L402" s="265"/>
      <c r="M402" s="264"/>
      <c r="N402" s="264"/>
      <c r="O402" s="264"/>
      <c r="P402" s="264"/>
      <c r="Q402" s="264"/>
      <c r="R402" s="264"/>
      <c r="S402" s="264"/>
      <c r="T402" s="264"/>
      <c r="U402" s="264"/>
    </row>
    <row r="403" spans="1:21" ht="12.75" hidden="1">
      <c r="A403" s="259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5"/>
      <c r="M403" s="264"/>
      <c r="N403" s="264"/>
      <c r="O403" s="264"/>
      <c r="P403" s="264"/>
      <c r="Q403" s="264"/>
      <c r="R403" s="264"/>
      <c r="S403" s="264"/>
      <c r="T403" s="264"/>
      <c r="U403" s="264"/>
    </row>
    <row r="404" spans="1:21" ht="12.75" hidden="1">
      <c r="A404" s="259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5"/>
      <c r="M404" s="264"/>
      <c r="N404" s="264"/>
      <c r="O404" s="264"/>
      <c r="P404" s="264"/>
      <c r="Q404" s="264"/>
      <c r="R404" s="264"/>
      <c r="S404" s="264"/>
      <c r="T404" s="264"/>
      <c r="U404" s="264"/>
    </row>
    <row r="405" spans="1:21" ht="12.75" hidden="1">
      <c r="A405" s="259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5"/>
      <c r="M405" s="264"/>
      <c r="N405" s="264"/>
      <c r="O405" s="264"/>
      <c r="P405" s="264"/>
      <c r="Q405" s="264"/>
      <c r="R405" s="264"/>
      <c r="S405" s="264"/>
      <c r="T405" s="264"/>
      <c r="U405" s="264"/>
    </row>
    <row r="406" spans="1:21" ht="12.75" hidden="1">
      <c r="A406" s="259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5"/>
      <c r="M406" s="264"/>
      <c r="N406" s="264"/>
      <c r="O406" s="264"/>
      <c r="P406" s="264"/>
      <c r="Q406" s="264"/>
      <c r="R406" s="264"/>
      <c r="S406" s="264"/>
      <c r="T406" s="264"/>
      <c r="U406" s="264"/>
    </row>
    <row r="407" spans="1:21" ht="12.75" hidden="1">
      <c r="A407" s="259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5"/>
      <c r="M407" s="264"/>
      <c r="N407" s="264"/>
      <c r="O407" s="264"/>
      <c r="P407" s="264"/>
      <c r="Q407" s="264"/>
      <c r="R407" s="264"/>
      <c r="S407" s="264"/>
      <c r="T407" s="264"/>
      <c r="U407" s="264"/>
    </row>
    <row r="408" spans="1:21" ht="12.75" hidden="1">
      <c r="A408" s="259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5"/>
      <c r="M408" s="264"/>
      <c r="N408" s="264"/>
      <c r="O408" s="264"/>
      <c r="P408" s="264"/>
      <c r="Q408" s="264"/>
      <c r="R408" s="264"/>
      <c r="S408" s="264"/>
      <c r="T408" s="264"/>
      <c r="U408" s="264"/>
    </row>
    <row r="409" spans="1:21" ht="12.75" hidden="1">
      <c r="A409" s="259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5"/>
      <c r="M409" s="264"/>
      <c r="N409" s="264"/>
      <c r="O409" s="264"/>
      <c r="P409" s="264"/>
      <c r="Q409" s="264"/>
      <c r="R409" s="264"/>
      <c r="S409" s="264"/>
      <c r="T409" s="264"/>
      <c r="U409" s="264"/>
    </row>
    <row r="410" spans="1:21" ht="12.75" hidden="1">
      <c r="A410" s="259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5"/>
      <c r="M410" s="264"/>
      <c r="N410" s="264"/>
      <c r="O410" s="264"/>
      <c r="P410" s="264"/>
      <c r="Q410" s="264"/>
      <c r="R410" s="264"/>
      <c r="S410" s="264"/>
      <c r="T410" s="264"/>
      <c r="U410" s="264"/>
    </row>
    <row r="411" spans="1:21" ht="12.75" hidden="1">
      <c r="A411" s="360"/>
      <c r="B411" s="360"/>
      <c r="C411" s="360"/>
      <c r="D411" s="360"/>
      <c r="E411" s="360"/>
      <c r="F411" s="360"/>
      <c r="G411" s="361"/>
      <c r="H411" s="361"/>
      <c r="I411" s="362"/>
      <c r="J411" s="362"/>
      <c r="K411" s="363"/>
      <c r="L411" s="364"/>
      <c r="M411" s="363"/>
      <c r="N411" s="363"/>
      <c r="O411" s="363"/>
      <c r="P411" s="363"/>
      <c r="Q411" s="363"/>
      <c r="R411" s="363"/>
      <c r="S411" s="363"/>
      <c r="T411" s="363"/>
      <c r="U411" s="363"/>
    </row>
    <row r="412" spans="1:21" ht="19.5" hidden="1">
      <c r="A412" s="337"/>
      <c r="B412" s="354" t="s">
        <v>158</v>
      </c>
      <c r="C412" s="337"/>
      <c r="D412" s="337"/>
      <c r="E412" s="337"/>
      <c r="F412" s="337"/>
      <c r="G412" s="365"/>
      <c r="H412" s="366" t="s">
        <v>46</v>
      </c>
      <c r="I412" s="605">
        <f ca="1">I423</f>
        <v>0</v>
      </c>
      <c r="J412" s="605">
        <f>J423</f>
        <v>0</v>
      </c>
      <c r="K412" s="604">
        <f ca="1">IF(I412&gt;0,J412*100/I412,0)</f>
        <v>0</v>
      </c>
      <c r="L412" s="334"/>
      <c r="M412" s="333"/>
      <c r="N412" s="333"/>
      <c r="O412" s="333"/>
      <c r="P412" s="333"/>
      <c r="Q412" s="333"/>
      <c r="R412" s="333"/>
      <c r="S412" s="333"/>
      <c r="T412" s="333"/>
      <c r="U412" s="333"/>
    </row>
    <row r="413" spans="1:21" ht="19.5" hidden="1">
      <c r="A413" s="155"/>
      <c r="B413" s="188"/>
      <c r="C413" s="367" t="s">
        <v>18</v>
      </c>
      <c r="D413" s="603" t="s">
        <v>19</v>
      </c>
      <c r="E413" s="514"/>
      <c r="F413" s="514"/>
      <c r="G413" s="512"/>
      <c r="H413" s="368" t="s">
        <v>14</v>
      </c>
      <c r="I413" s="54"/>
      <c r="J413" s="54"/>
      <c r="K413" s="55"/>
      <c r="L413" s="541">
        <f>L414+L415</f>
        <v>0</v>
      </c>
      <c r="M413" s="540">
        <f>M414+M415</f>
        <v>0</v>
      </c>
      <c r="N413" s="540">
        <f>N414+N415</f>
        <v>0</v>
      </c>
      <c r="O413" s="540">
        <f>IF(L413&gt;0,N413*100/L413,0)</f>
        <v>0</v>
      </c>
      <c r="P413" s="540">
        <f>IF(M413&gt;0,N413*100/M413,0)</f>
        <v>0</v>
      </c>
      <c r="Q413" s="540">
        <f ca="1">Q414+Q415</f>
        <v>0</v>
      </c>
      <c r="R413" s="540">
        <f ca="1">R414+R415</f>
        <v>0</v>
      </c>
      <c r="S413" s="540">
        <f ca="1">S414+S415</f>
        <v>0</v>
      </c>
      <c r="T413" s="540">
        <f ca="1">IF(Q413&gt;0,S413*100/Q413,0)</f>
        <v>0</v>
      </c>
      <c r="U413" s="540">
        <f ca="1">IF(R413&gt;0,S413*100/R413,0)</f>
        <v>0</v>
      </c>
    </row>
    <row r="414" spans="1:21" ht="18.75" hidden="1">
      <c r="A414" s="155"/>
      <c r="B414" s="188"/>
      <c r="C414" s="188"/>
      <c r="D414" s="188"/>
      <c r="E414" s="358" t="s">
        <v>159</v>
      </c>
      <c r="F414" s="188"/>
      <c r="G414" s="208"/>
      <c r="H414" s="204" t="s">
        <v>14</v>
      </c>
      <c r="I414" s="54"/>
      <c r="J414" s="54"/>
      <c r="K414" s="55"/>
      <c r="L414" s="103">
        <f>L417+L420</f>
        <v>0</v>
      </c>
      <c r="M414" s="102">
        <f>M417+M420</f>
        <v>0</v>
      </c>
      <c r="N414" s="102">
        <f>N417+N420</f>
        <v>0</v>
      </c>
      <c r="O414" s="102">
        <f>IF(L414&gt;0,N414*100/L414,0)</f>
        <v>0</v>
      </c>
      <c r="P414" s="102">
        <f>IF(M414&gt;0,N414*100/M414,0)</f>
        <v>0</v>
      </c>
      <c r="Q414" s="102">
        <f>Q417+Q420</f>
        <v>0</v>
      </c>
      <c r="R414" s="102">
        <f>R417+R420</f>
        <v>0</v>
      </c>
      <c r="S414" s="102">
        <f>S417+S420</f>
        <v>0</v>
      </c>
      <c r="T414" s="102">
        <f>IF(Q414&gt;0,S414*100/Q414,0)</f>
        <v>0</v>
      </c>
      <c r="U414" s="102">
        <f>IF(R414&gt;0,S414*100/R414,0)</f>
        <v>0</v>
      </c>
    </row>
    <row r="415" spans="1:21" ht="18.75" hidden="1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256">
        <f>L418+L421</f>
        <v>0</v>
      </c>
      <c r="M415" s="255">
        <f>M418+M421</f>
        <v>0</v>
      </c>
      <c r="N415" s="255">
        <f>N418+N421</f>
        <v>0</v>
      </c>
      <c r="O415" s="255">
        <f>IF(L415&gt;0,N415*100/L415,0)</f>
        <v>0</v>
      </c>
      <c r="P415" s="255">
        <f>IF(M415&gt;0,N415*100/M415,0)</f>
        <v>0</v>
      </c>
      <c r="Q415" s="255">
        <f ca="1">Q418+Q421</f>
        <v>0</v>
      </c>
      <c r="R415" s="255">
        <f ca="1">R418+R421</f>
        <v>0</v>
      </c>
      <c r="S415" s="255">
        <f ca="1">S418+S421</f>
        <v>0</v>
      </c>
      <c r="T415" s="255">
        <f ca="1">IF(Q415&gt;0,S415*100/Q415,0)</f>
        <v>0</v>
      </c>
      <c r="U415" s="255">
        <f ca="1">IF(R415&gt;0,S415*100/R415,0)</f>
        <v>0</v>
      </c>
    </row>
    <row r="416" spans="1:21" ht="19.5" hidden="1">
      <c r="A416" s="155"/>
      <c r="B416" s="188"/>
      <c r="C416" s="188"/>
      <c r="D416" s="608" t="s">
        <v>22</v>
      </c>
      <c r="E416" s="188"/>
      <c r="F416" s="188"/>
      <c r="G416" s="208"/>
      <c r="H416" s="368" t="s">
        <v>14</v>
      </c>
      <c r="I416" s="54"/>
      <c r="J416" s="54"/>
      <c r="K416" s="55"/>
      <c r="L416" s="256">
        <f>L417+L418</f>
        <v>0</v>
      </c>
      <c r="M416" s="255">
        <f>M417+M418</f>
        <v>0</v>
      </c>
      <c r="N416" s="255">
        <f>N417+N418</f>
        <v>0</v>
      </c>
      <c r="O416" s="255">
        <f>IF(L416&gt;0,N416*100/L416,0)</f>
        <v>0</v>
      </c>
      <c r="P416" s="255">
        <f>IF(M416&gt;0,N416*100/M416,0)</f>
        <v>0</v>
      </c>
      <c r="Q416" s="255">
        <f ca="1">Q417+Q418</f>
        <v>0</v>
      </c>
      <c r="R416" s="255">
        <f ca="1">R417+R418</f>
        <v>0</v>
      </c>
      <c r="S416" s="255">
        <f ca="1">S417+S418</f>
        <v>0</v>
      </c>
      <c r="T416" s="255">
        <f ca="1">IF(Q416&gt;0,S416*100/Q416,0)</f>
        <v>0</v>
      </c>
      <c r="U416" s="255">
        <f ca="1">IF(R416&gt;0,S416*100/R416,0)</f>
        <v>0</v>
      </c>
    </row>
    <row r="417" spans="1:21" ht="18.75" hidden="1">
      <c r="A417" s="155"/>
      <c r="B417" s="188"/>
      <c r="C417" s="188"/>
      <c r="D417" s="188"/>
      <c r="E417" s="358" t="s">
        <v>159</v>
      </c>
      <c r="F417" s="188"/>
      <c r="G417" s="208"/>
      <c r="H417" s="204" t="s">
        <v>14</v>
      </c>
      <c r="I417" s="54"/>
      <c r="J417" s="54"/>
      <c r="K417" s="55"/>
      <c r="L417" s="103">
        <v>0</v>
      </c>
      <c r="M417" s="102">
        <v>0</v>
      </c>
      <c r="N417" s="102">
        <v>0</v>
      </c>
      <c r="O417" s="102">
        <f>IF(L417&gt;0,N417*100/L417,0)</f>
        <v>0</v>
      </c>
      <c r="P417" s="102">
        <f>IF(M417&gt;0,N417*100/M417,0)</f>
        <v>0</v>
      </c>
      <c r="Q417" s="102">
        <v>0</v>
      </c>
      <c r="R417" s="102">
        <v>0</v>
      </c>
      <c r="S417" s="102">
        <v>0</v>
      </c>
      <c r="T417" s="102">
        <f>IF(Q417&gt;0,S417*100/Q417,0)</f>
        <v>0</v>
      </c>
      <c r="U417" s="102">
        <f>IF(R417&gt;0,S417*100/R417,0)</f>
        <v>0</v>
      </c>
    </row>
    <row r="418" spans="1:21" ht="18.75" hidden="1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256">
        <v>0</v>
      </c>
      <c r="M418" s="255">
        <v>0</v>
      </c>
      <c r="N418" s="255">
        <v>0</v>
      </c>
      <c r="O418" s="255">
        <f>IF(L418&gt;0,N418*100/L418,0)</f>
        <v>0</v>
      </c>
      <c r="P418" s="255">
        <f>IF(M418&gt;0,N418*100/M418,0)</f>
        <v>0</v>
      </c>
      <c r="Q418" s="255">
        <f ca="1">IFERROR(__xludf.DUMMYFUNCTION("IMPORTRANGE(""https://docs.google.com/spreadsheets/d/1ItG2mGa2ceCfYo0BwxsXqNm01IGEUdYcSSLTEv9YCik/edit?usp=sharing"",""เบิกจ่ายกองทุน!BH34"")"),0)</f>
        <v>0</v>
      </c>
      <c r="R418" s="255">
        <f ca="1">IFERROR(__xludf.DUMMYFUNCTION("IMPORTRANGE(""https://docs.google.com/spreadsheets/d/1ItG2mGa2ceCfYo0BwxsXqNm01IGEUdYcSSLTEv9YCik/edit?usp=sharing"",""เบิกจ่ายกองทุน!BI34"")"),0)</f>
        <v>0</v>
      </c>
      <c r="S418" s="255">
        <f ca="1">IFERROR(__xludf.DUMMYFUNCTION("IMPORTRANGE(""https://docs.google.com/spreadsheets/d/1ItG2mGa2ceCfYo0BwxsXqNm01IGEUdYcSSLTEv9YCik/edit?usp=sharing"",""เบิกจ่ายกองทุน!BJ34"")"),0)</f>
        <v>0</v>
      </c>
      <c r="T418" s="255">
        <f ca="1">IF(Q418&gt;0,S418*100/Q418,0)</f>
        <v>0</v>
      </c>
      <c r="U418" s="255">
        <f ca="1">IF(R418&gt;0,S418*100/R418,0)</f>
        <v>0</v>
      </c>
    </row>
    <row r="419" spans="1:21" ht="19.5" hidden="1">
      <c r="A419" s="155"/>
      <c r="B419" s="188"/>
      <c r="C419" s="188"/>
      <c r="D419" s="608" t="s">
        <v>23</v>
      </c>
      <c r="E419" s="188"/>
      <c r="F419" s="188"/>
      <c r="G419" s="208"/>
      <c r="H419" s="158" t="s">
        <v>14</v>
      </c>
      <c r="I419" s="54"/>
      <c r="J419" s="54"/>
      <c r="K419" s="55"/>
      <c r="L419" s="256">
        <f>L420+L421</f>
        <v>0</v>
      </c>
      <c r="M419" s="255">
        <f>M420+M421</f>
        <v>0</v>
      </c>
      <c r="N419" s="255">
        <f>N420+N421</f>
        <v>0</v>
      </c>
      <c r="O419" s="255">
        <f>IF(L419&gt;0,N419*100/L419,0)</f>
        <v>0</v>
      </c>
      <c r="P419" s="255">
        <f>IF(M419&gt;0,N419*100/M419,0)</f>
        <v>0</v>
      </c>
      <c r="Q419" s="255">
        <f>Q420+Q421</f>
        <v>0</v>
      </c>
      <c r="R419" s="255">
        <f>R420+R421</f>
        <v>0</v>
      </c>
      <c r="S419" s="255">
        <f>S420+S421</f>
        <v>0</v>
      </c>
      <c r="T419" s="255">
        <f>IF(Q419&gt;0,S419*100/Q419,0)</f>
        <v>0</v>
      </c>
      <c r="U419" s="255">
        <f>IF(R419&gt;0,S419*100/R419,0)</f>
        <v>0</v>
      </c>
    </row>
    <row r="420" spans="1:21" ht="18.75" hidden="1">
      <c r="A420" s="155"/>
      <c r="B420" s="188"/>
      <c r="C420" s="188"/>
      <c r="D420" s="188"/>
      <c r="E420" s="358" t="s">
        <v>20</v>
      </c>
      <c r="F420" s="188"/>
      <c r="G420" s="208"/>
      <c r="H420" s="204" t="s">
        <v>14</v>
      </c>
      <c r="I420" s="54"/>
      <c r="J420" s="54"/>
      <c r="K420" s="55"/>
      <c r="L420" s="103">
        <v>0</v>
      </c>
      <c r="M420" s="102">
        <v>0</v>
      </c>
      <c r="N420" s="102">
        <v>0</v>
      </c>
      <c r="O420" s="102">
        <f>IF(L420&gt;0,N420*100/L420,0)</f>
        <v>0</v>
      </c>
      <c r="P420" s="102">
        <f>IF(M420&gt;0,N420*100/M420,0)</f>
        <v>0</v>
      </c>
      <c r="Q420" s="102">
        <v>0</v>
      </c>
      <c r="R420" s="102">
        <v>0</v>
      </c>
      <c r="S420" s="102">
        <v>0</v>
      </c>
      <c r="T420" s="102">
        <f>IF(Q420&gt;0,S420*100/Q420,0)</f>
        <v>0</v>
      </c>
      <c r="U420" s="102">
        <f>IF(R420&gt;0,S420*100/R420,0)</f>
        <v>0</v>
      </c>
    </row>
    <row r="421" spans="1:21" ht="18.75" hidden="1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256">
        <v>0</v>
      </c>
      <c r="M421" s="255">
        <v>0</v>
      </c>
      <c r="N421" s="255">
        <v>0</v>
      </c>
      <c r="O421" s="255">
        <f>IF(L421&gt;0,N421*100/L421,0)</f>
        <v>0</v>
      </c>
      <c r="P421" s="255">
        <f>IF(M421&gt;0,N421*100/M421,0)</f>
        <v>0</v>
      </c>
      <c r="Q421" s="255">
        <v>0</v>
      </c>
      <c r="R421" s="255">
        <v>0</v>
      </c>
      <c r="S421" s="255">
        <v>0</v>
      </c>
      <c r="T421" s="255">
        <f>IF(Q421&gt;0,S421*100/Q421,0)</f>
        <v>0</v>
      </c>
      <c r="U421" s="255">
        <f>IF(R421&gt;0,S421*100/R421,0)</f>
        <v>0</v>
      </c>
    </row>
    <row r="422" spans="1:21" ht="19.5" hidden="1">
      <c r="A422" s="238"/>
      <c r="B422" s="188"/>
      <c r="C422" s="367" t="s">
        <v>18</v>
      </c>
      <c r="D422" s="607" t="s">
        <v>38</v>
      </c>
      <c r="E422" s="188"/>
      <c r="F422" s="188"/>
      <c r="G422" s="208"/>
      <c r="H422" s="208"/>
      <c r="I422" s="54"/>
      <c r="J422" s="54"/>
      <c r="K422" s="55"/>
      <c r="L422" s="62"/>
      <c r="M422" s="55"/>
      <c r="N422" s="55"/>
      <c r="O422" s="55"/>
      <c r="P422" s="55"/>
      <c r="Q422" s="55"/>
      <c r="R422" s="55"/>
      <c r="S422" s="55"/>
      <c r="T422" s="55"/>
      <c r="U422" s="55"/>
    </row>
    <row r="423" spans="1:21" ht="19.5" hidden="1">
      <c r="A423" s="238"/>
      <c r="B423" s="191" t="s">
        <v>161</v>
      </c>
      <c r="C423" s="188"/>
      <c r="D423" s="188"/>
      <c r="E423" s="188"/>
      <c r="F423" s="188"/>
      <c r="G423" s="208"/>
      <c r="H423" s="368" t="s">
        <v>46</v>
      </c>
      <c r="I423" s="373">
        <f ca="1">I440</f>
        <v>0</v>
      </c>
      <c r="J423" s="373">
        <f>J440</f>
        <v>0</v>
      </c>
      <c r="K423" s="540">
        <f ca="1">IF(I423&gt;0,J423*100/I423,0)</f>
        <v>0</v>
      </c>
      <c r="L423" s="62"/>
      <c r="M423" s="55"/>
      <c r="N423" s="55"/>
      <c r="O423" s="55"/>
      <c r="P423" s="55"/>
      <c r="Q423" s="55"/>
      <c r="R423" s="55"/>
      <c r="S423" s="55"/>
      <c r="T423" s="55"/>
      <c r="U423" s="55"/>
    </row>
    <row r="424" spans="1:21" ht="19.5" hidden="1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373">
        <f ca="1">IFERROR(__xludf.DUMMYFUNCTION("IMPORTRANGE(""https://docs.google.com/spreadsheets/d/1eHaY18a8A9IcSdp1K8H6x8fbOy06t2VsZHhMHf-1x7Y/edit?usp=sharing"",""แผน!HJ34"")"),0)</f>
        <v>0</v>
      </c>
      <c r="J424" s="373">
        <f>J426+J428+J430</f>
        <v>0</v>
      </c>
      <c r="K424" s="540">
        <f ca="1">IF(I424&gt;0,J424*100/I424,0)</f>
        <v>0</v>
      </c>
      <c r="L424" s="62"/>
      <c r="M424" s="55"/>
      <c r="N424" s="55"/>
      <c r="O424" s="55"/>
      <c r="P424" s="55"/>
      <c r="Q424" s="55"/>
      <c r="R424" s="55"/>
      <c r="S424" s="55"/>
      <c r="T424" s="55"/>
      <c r="U424" s="55"/>
    </row>
    <row r="425" spans="1:21" ht="19.5" hidden="1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373">
        <f ca="1">IFERROR(__xludf.DUMMYFUNCTION("IMPORTRANGE(""https://docs.google.com/spreadsheets/d/1eHaY18a8A9IcSdp1K8H6x8fbOy06t2VsZHhMHf-1x7Y/edit?usp=sharing"",""แผน!HK34"")"),0)</f>
        <v>0</v>
      </c>
      <c r="J425" s="373">
        <f>J427+J429+J431</f>
        <v>0</v>
      </c>
      <c r="K425" s="540">
        <f ca="1">IF(I425&gt;0,J425*100/I425,0)</f>
        <v>0</v>
      </c>
      <c r="L425" s="62"/>
      <c r="M425" s="55"/>
      <c r="N425" s="55"/>
      <c r="O425" s="55"/>
      <c r="P425" s="55"/>
      <c r="Q425" s="55"/>
      <c r="R425" s="55"/>
      <c r="S425" s="55"/>
      <c r="T425" s="55"/>
      <c r="U425" s="55"/>
    </row>
    <row r="426" spans="1:21" ht="18.75" hidden="1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54"/>
      <c r="K426" s="55"/>
      <c r="L426" s="62"/>
      <c r="M426" s="55"/>
      <c r="N426" s="55"/>
      <c r="O426" s="55"/>
      <c r="P426" s="55"/>
      <c r="Q426" s="55"/>
      <c r="R426" s="55"/>
      <c r="S426" s="55"/>
      <c r="T426" s="55"/>
      <c r="U426" s="55"/>
    </row>
    <row r="427" spans="1:21" ht="18.75" hidden="1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54"/>
      <c r="K427" s="55"/>
      <c r="L427" s="62"/>
      <c r="M427" s="55"/>
      <c r="N427" s="55"/>
      <c r="O427" s="55"/>
      <c r="P427" s="55"/>
      <c r="Q427" s="55"/>
      <c r="R427" s="55"/>
      <c r="S427" s="55"/>
      <c r="T427" s="55"/>
      <c r="U427" s="55"/>
    </row>
    <row r="428" spans="1:21" ht="18.75" hidden="1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54"/>
      <c r="K428" s="55"/>
      <c r="L428" s="62"/>
      <c r="M428" s="55"/>
      <c r="N428" s="55"/>
      <c r="O428" s="55"/>
      <c r="P428" s="55"/>
      <c r="Q428" s="55"/>
      <c r="R428" s="55"/>
      <c r="S428" s="55"/>
      <c r="T428" s="55"/>
      <c r="U428" s="55"/>
    </row>
    <row r="429" spans="1:21" ht="18.75" hidden="1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54"/>
      <c r="K429" s="55"/>
      <c r="L429" s="62"/>
      <c r="M429" s="55"/>
      <c r="N429" s="55"/>
      <c r="O429" s="55"/>
      <c r="P429" s="55"/>
      <c r="Q429" s="55"/>
      <c r="R429" s="55"/>
      <c r="S429" s="55"/>
      <c r="T429" s="55"/>
      <c r="U429" s="55"/>
    </row>
    <row r="430" spans="1:21" ht="18.75" hidden="1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54"/>
      <c r="K430" s="55"/>
      <c r="L430" s="62"/>
      <c r="M430" s="55"/>
      <c r="N430" s="55"/>
      <c r="O430" s="55"/>
      <c r="P430" s="55"/>
      <c r="Q430" s="55"/>
      <c r="R430" s="55"/>
      <c r="S430" s="55"/>
      <c r="T430" s="55"/>
      <c r="U430" s="55"/>
    </row>
    <row r="431" spans="1:21" ht="18.75" hidden="1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54"/>
      <c r="K431" s="55"/>
      <c r="L431" s="62"/>
      <c r="M431" s="55"/>
      <c r="N431" s="55"/>
      <c r="O431" s="55"/>
      <c r="P431" s="55"/>
      <c r="Q431" s="55"/>
      <c r="R431" s="55"/>
      <c r="S431" s="55"/>
      <c r="T431" s="55"/>
      <c r="U431" s="55"/>
    </row>
    <row r="432" spans="1:21" ht="19.5" hidden="1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373">
        <f ca="1">IFERROR(__xludf.DUMMYFUNCTION("IMPORTRANGE(""https://docs.google.com/spreadsheets/d/1eHaY18a8A9IcSdp1K8H6x8fbOy06t2VsZHhMHf-1x7Y/edit?usp=sharing"",""แผน!HJ34"")"),0)</f>
        <v>0</v>
      </c>
      <c r="J432" s="373">
        <f>J434+J436+J438</f>
        <v>0</v>
      </c>
      <c r="K432" s="540">
        <f ca="1">IF(I432&gt;0,J432*100/I432,0)</f>
        <v>0</v>
      </c>
      <c r="L432" s="62"/>
      <c r="M432" s="55"/>
      <c r="N432" s="55"/>
      <c r="O432" s="55"/>
      <c r="P432" s="55"/>
      <c r="Q432" s="55"/>
      <c r="R432" s="55"/>
      <c r="S432" s="55"/>
      <c r="T432" s="55"/>
      <c r="U432" s="55"/>
    </row>
    <row r="433" spans="1:21" ht="19.5" hidden="1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373">
        <f ca="1">IFERROR(__xludf.DUMMYFUNCTION("IMPORTRANGE(""https://docs.google.com/spreadsheets/d/1eHaY18a8A9IcSdp1K8H6x8fbOy06t2VsZHhMHf-1x7Y/edit?usp=sharing"",""แผน!HK34"")"),0)</f>
        <v>0</v>
      </c>
      <c r="J433" s="373">
        <f>J435+J437+J439</f>
        <v>0</v>
      </c>
      <c r="K433" s="540">
        <f ca="1">IF(I433&gt;0,J433*100/I433,0)</f>
        <v>0</v>
      </c>
      <c r="L433" s="62"/>
      <c r="M433" s="55"/>
      <c r="N433" s="55"/>
      <c r="O433" s="55"/>
      <c r="P433" s="55"/>
      <c r="Q433" s="55"/>
      <c r="R433" s="55"/>
      <c r="S433" s="55"/>
      <c r="T433" s="55"/>
      <c r="U433" s="55"/>
    </row>
    <row r="434" spans="1:21" ht="18.75" hidden="1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54"/>
      <c r="K434" s="55"/>
      <c r="L434" s="62"/>
      <c r="M434" s="55"/>
      <c r="N434" s="55"/>
      <c r="O434" s="55"/>
      <c r="P434" s="55"/>
      <c r="Q434" s="55"/>
      <c r="R434" s="55"/>
      <c r="S434" s="55"/>
      <c r="T434" s="55"/>
      <c r="U434" s="55"/>
    </row>
    <row r="435" spans="1:21" ht="18.75" hidden="1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54"/>
      <c r="K435" s="55"/>
      <c r="L435" s="62"/>
      <c r="M435" s="55"/>
      <c r="N435" s="55"/>
      <c r="O435" s="55"/>
      <c r="P435" s="55"/>
      <c r="Q435" s="55"/>
      <c r="R435" s="55"/>
      <c r="S435" s="55"/>
      <c r="T435" s="55"/>
      <c r="U435" s="55"/>
    </row>
    <row r="436" spans="1:21" ht="18.75" hidden="1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54"/>
      <c r="K436" s="55"/>
      <c r="L436" s="62"/>
      <c r="M436" s="55"/>
      <c r="N436" s="55"/>
      <c r="O436" s="55"/>
      <c r="P436" s="55"/>
      <c r="Q436" s="55"/>
      <c r="R436" s="55"/>
      <c r="S436" s="55"/>
      <c r="T436" s="55"/>
      <c r="U436" s="55"/>
    </row>
    <row r="437" spans="1:21" ht="18.75" hidden="1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54"/>
      <c r="K437" s="55"/>
      <c r="L437" s="62"/>
      <c r="M437" s="55"/>
      <c r="N437" s="55"/>
      <c r="O437" s="55"/>
      <c r="P437" s="55"/>
      <c r="Q437" s="55"/>
      <c r="R437" s="55"/>
      <c r="S437" s="55"/>
      <c r="T437" s="55"/>
      <c r="U437" s="55"/>
    </row>
    <row r="438" spans="1:21" ht="18.75" hidden="1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54"/>
      <c r="K438" s="55"/>
      <c r="L438" s="62"/>
      <c r="M438" s="55"/>
      <c r="N438" s="55"/>
      <c r="O438" s="55"/>
      <c r="P438" s="55"/>
      <c r="Q438" s="55"/>
      <c r="R438" s="55"/>
      <c r="S438" s="55"/>
      <c r="T438" s="55"/>
      <c r="U438" s="55"/>
    </row>
    <row r="439" spans="1:21" ht="18.75" hidden="1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54"/>
      <c r="K439" s="55"/>
      <c r="L439" s="62"/>
      <c r="M439" s="55"/>
      <c r="N439" s="55"/>
      <c r="O439" s="55"/>
      <c r="P439" s="55"/>
      <c r="Q439" s="55"/>
      <c r="R439" s="55"/>
      <c r="S439" s="55"/>
      <c r="T439" s="55"/>
      <c r="U439" s="55"/>
    </row>
    <row r="440" spans="1:21" ht="19.5" hidden="1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373">
        <f ca="1">IFERROR(__xludf.DUMMYFUNCTION("IMPORTRANGE(""https://docs.google.com/spreadsheets/d/1eHaY18a8A9IcSdp1K8H6x8fbOy06t2VsZHhMHf-1x7Y/edit?usp=sharing"",""แผน!HJ34"")"),0)</f>
        <v>0</v>
      </c>
      <c r="J440" s="373">
        <f>J442+J444+J446+J452+J454</f>
        <v>0</v>
      </c>
      <c r="K440" s="540">
        <f ca="1">IF(I440&gt;0,J440*100/I440,0)</f>
        <v>0</v>
      </c>
      <c r="L440" s="62"/>
      <c r="M440" s="55"/>
      <c r="N440" s="55"/>
      <c r="O440" s="55"/>
      <c r="P440" s="55"/>
      <c r="Q440" s="55"/>
      <c r="R440" s="55"/>
      <c r="S440" s="55"/>
      <c r="T440" s="55"/>
      <c r="U440" s="55"/>
    </row>
    <row r="441" spans="1:21" ht="19.5" hidden="1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373">
        <f ca="1">IFERROR(__xludf.DUMMYFUNCTION("IMPORTRANGE(""https://docs.google.com/spreadsheets/d/1eHaY18a8A9IcSdp1K8H6x8fbOy06t2VsZHhMHf-1x7Y/edit?usp=sharing"",""แผน!HK34"")"),0)</f>
        <v>0</v>
      </c>
      <c r="J441" s="373">
        <f>J443+J445+J447+J453+J455</f>
        <v>0</v>
      </c>
      <c r="K441" s="540">
        <f ca="1">IF(I441&gt;0,J441*100/I441,0)</f>
        <v>0</v>
      </c>
      <c r="L441" s="62"/>
      <c r="M441" s="55"/>
      <c r="N441" s="55"/>
      <c r="O441" s="55"/>
      <c r="P441" s="55"/>
      <c r="Q441" s="55"/>
      <c r="R441" s="55"/>
      <c r="S441" s="55"/>
      <c r="T441" s="55"/>
      <c r="U441" s="55"/>
    </row>
    <row r="442" spans="1:21" ht="18.75" hidden="1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54"/>
      <c r="K442" s="55"/>
      <c r="L442" s="62"/>
      <c r="M442" s="55"/>
      <c r="N442" s="55"/>
      <c r="O442" s="55"/>
      <c r="P442" s="55"/>
      <c r="Q442" s="55"/>
      <c r="R442" s="55"/>
      <c r="S442" s="55"/>
      <c r="T442" s="55"/>
      <c r="U442" s="55"/>
    </row>
    <row r="443" spans="1:21" ht="18.75" hidden="1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54"/>
      <c r="K443" s="55"/>
      <c r="L443" s="62"/>
      <c r="M443" s="55"/>
      <c r="N443" s="55"/>
      <c r="O443" s="55"/>
      <c r="P443" s="55"/>
      <c r="Q443" s="55"/>
      <c r="R443" s="55"/>
      <c r="S443" s="55"/>
      <c r="T443" s="55"/>
      <c r="U443" s="55"/>
    </row>
    <row r="444" spans="1:21" ht="18.75" hidden="1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54"/>
      <c r="K444" s="55"/>
      <c r="L444" s="62"/>
      <c r="M444" s="55"/>
      <c r="N444" s="55"/>
      <c r="O444" s="55"/>
      <c r="P444" s="55"/>
      <c r="Q444" s="55"/>
      <c r="R444" s="55"/>
      <c r="S444" s="55"/>
      <c r="T444" s="55"/>
      <c r="U444" s="55"/>
    </row>
    <row r="445" spans="1:21" ht="18.75" hidden="1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54"/>
      <c r="K445" s="55"/>
      <c r="L445" s="62"/>
      <c r="M445" s="55"/>
      <c r="N445" s="55"/>
      <c r="O445" s="55"/>
      <c r="P445" s="55"/>
      <c r="Q445" s="55"/>
      <c r="R445" s="55"/>
      <c r="S445" s="55"/>
      <c r="T445" s="55"/>
      <c r="U445" s="55"/>
    </row>
    <row r="446" spans="1:21" ht="19.5" hidden="1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373">
        <f>J448+J450</f>
        <v>0</v>
      </c>
      <c r="K446" s="55"/>
      <c r="L446" s="62"/>
      <c r="M446" s="55"/>
      <c r="N446" s="55"/>
      <c r="O446" s="55"/>
      <c r="P446" s="55"/>
      <c r="Q446" s="55"/>
      <c r="R446" s="55"/>
      <c r="S446" s="55"/>
      <c r="T446" s="55"/>
      <c r="U446" s="55"/>
    </row>
    <row r="447" spans="1:21" ht="19.5" hidden="1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373">
        <f>J449+J451</f>
        <v>0</v>
      </c>
      <c r="K447" s="55"/>
      <c r="L447" s="62"/>
      <c r="M447" s="55"/>
      <c r="N447" s="55"/>
      <c r="O447" s="55"/>
      <c r="P447" s="55"/>
      <c r="Q447" s="55"/>
      <c r="R447" s="55"/>
      <c r="S447" s="55"/>
      <c r="T447" s="55"/>
      <c r="U447" s="55"/>
    </row>
    <row r="448" spans="1:21" ht="18.75" hidden="1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54"/>
      <c r="K448" s="55"/>
      <c r="L448" s="62"/>
      <c r="M448" s="55"/>
      <c r="N448" s="55"/>
      <c r="O448" s="55"/>
      <c r="P448" s="55"/>
      <c r="Q448" s="55"/>
      <c r="R448" s="55"/>
      <c r="S448" s="55"/>
      <c r="T448" s="55"/>
      <c r="U448" s="55"/>
    </row>
    <row r="449" spans="1:21" ht="18.75" hidden="1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54"/>
      <c r="K449" s="55"/>
      <c r="L449" s="62"/>
      <c r="M449" s="55"/>
      <c r="N449" s="55"/>
      <c r="O449" s="55"/>
      <c r="P449" s="55"/>
      <c r="Q449" s="55"/>
      <c r="R449" s="55"/>
      <c r="S449" s="55"/>
      <c r="T449" s="55"/>
      <c r="U449" s="55"/>
    </row>
    <row r="450" spans="1:21" ht="18.75" hidden="1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54"/>
      <c r="K450" s="55"/>
      <c r="L450" s="62"/>
      <c r="M450" s="55"/>
      <c r="N450" s="55"/>
      <c r="O450" s="55"/>
      <c r="P450" s="55"/>
      <c r="Q450" s="55"/>
      <c r="R450" s="55"/>
      <c r="S450" s="55"/>
      <c r="T450" s="55"/>
      <c r="U450" s="55"/>
    </row>
    <row r="451" spans="1:21" ht="18.75" hidden="1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54"/>
      <c r="K451" s="55"/>
      <c r="L451" s="62"/>
      <c r="M451" s="55"/>
      <c r="N451" s="55"/>
      <c r="O451" s="55"/>
      <c r="P451" s="55"/>
      <c r="Q451" s="55"/>
      <c r="R451" s="55"/>
      <c r="S451" s="55"/>
      <c r="T451" s="55"/>
      <c r="U451" s="55"/>
    </row>
    <row r="452" spans="1:21" ht="18.75" hidden="1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54"/>
      <c r="K452" s="55"/>
      <c r="L452" s="62"/>
      <c r="M452" s="55"/>
      <c r="N452" s="55"/>
      <c r="O452" s="55"/>
      <c r="P452" s="55"/>
      <c r="Q452" s="55"/>
      <c r="R452" s="55"/>
      <c r="S452" s="55"/>
      <c r="T452" s="55"/>
      <c r="U452" s="55"/>
    </row>
    <row r="453" spans="1:21" ht="18.75" hidden="1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54"/>
      <c r="K453" s="55"/>
      <c r="L453" s="62"/>
      <c r="M453" s="55"/>
      <c r="N453" s="55"/>
      <c r="O453" s="55"/>
      <c r="P453" s="55"/>
      <c r="Q453" s="55"/>
      <c r="R453" s="55"/>
      <c r="S453" s="55"/>
      <c r="T453" s="55"/>
      <c r="U453" s="55"/>
    </row>
    <row r="454" spans="1:21" ht="18.75" hidden="1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606"/>
      <c r="K454" s="55"/>
      <c r="L454" s="62"/>
      <c r="M454" s="55"/>
      <c r="N454" s="55"/>
      <c r="O454" s="55"/>
      <c r="P454" s="55"/>
      <c r="Q454" s="55"/>
      <c r="R454" s="55"/>
      <c r="S454" s="55"/>
      <c r="T454" s="55"/>
      <c r="U454" s="55"/>
    </row>
    <row r="455" spans="1:21" ht="18.75" hidden="1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54"/>
      <c r="K455" s="55"/>
      <c r="L455" s="62"/>
      <c r="M455" s="55"/>
      <c r="N455" s="55"/>
      <c r="O455" s="55"/>
      <c r="P455" s="55"/>
      <c r="Q455" s="55"/>
      <c r="R455" s="55"/>
      <c r="S455" s="55"/>
      <c r="T455" s="55"/>
      <c r="U455" s="55"/>
    </row>
    <row r="456" spans="1:21" ht="19.5" hidden="1">
      <c r="A456" s="238"/>
      <c r="B456" s="191" t="s">
        <v>178</v>
      </c>
      <c r="C456" s="188"/>
      <c r="D456" s="188"/>
      <c r="E456" s="188"/>
      <c r="F456" s="188"/>
      <c r="G456" s="208"/>
      <c r="H456" s="368" t="s">
        <v>46</v>
      </c>
      <c r="I456" s="373">
        <f ca="1">I457</f>
        <v>0</v>
      </c>
      <c r="J456" s="373">
        <f>J457</f>
        <v>0</v>
      </c>
      <c r="K456" s="540">
        <f ca="1">IF(I456&gt;0,J456*100/I456,0)</f>
        <v>0</v>
      </c>
      <c r="L456" s="62"/>
      <c r="M456" s="55"/>
      <c r="N456" s="55"/>
      <c r="O456" s="55"/>
      <c r="P456" s="55"/>
      <c r="Q456" s="55"/>
      <c r="R456" s="55"/>
      <c r="S456" s="55"/>
      <c r="T456" s="55"/>
      <c r="U456" s="55"/>
    </row>
    <row r="457" spans="1:21" ht="19.5" hidden="1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373">
        <f ca="1">IFERROR(__xludf.DUMMYFUNCTION("IMPORTRANGE(""https://docs.google.com/spreadsheets/d/1eHaY18a8A9IcSdp1K8H6x8fbOy06t2VsZHhMHf-1x7Y/edit?usp=sharing"",""แผน!HL34"")"),0)</f>
        <v>0</v>
      </c>
      <c r="J457" s="373">
        <f>J459+J467+J473</f>
        <v>0</v>
      </c>
      <c r="K457" s="540">
        <f ca="1">IF(I457&gt;0,J457*100/I457,0)</f>
        <v>0</v>
      </c>
      <c r="L457" s="62"/>
      <c r="M457" s="55"/>
      <c r="N457" s="55"/>
      <c r="O457" s="55"/>
      <c r="P457" s="55"/>
      <c r="Q457" s="55"/>
      <c r="R457" s="55"/>
      <c r="S457" s="55"/>
      <c r="T457" s="55"/>
      <c r="U457" s="55"/>
    </row>
    <row r="458" spans="1:21" ht="19.5" hidden="1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373">
        <f ca="1">IFERROR(__xludf.DUMMYFUNCTION("IMPORTRANGE(""https://docs.google.com/spreadsheets/d/1eHaY18a8A9IcSdp1K8H6x8fbOy06t2VsZHhMHf-1x7Y/edit?usp=sharing"",""แผน!HM34"")"),0)</f>
        <v>0</v>
      </c>
      <c r="J458" s="373">
        <f>J460+J468+J474</f>
        <v>0</v>
      </c>
      <c r="K458" s="540">
        <f ca="1">IF(I458&gt;0,J458*100/I458,0)</f>
        <v>0</v>
      </c>
      <c r="L458" s="62"/>
      <c r="M458" s="55"/>
      <c r="N458" s="55"/>
      <c r="O458" s="55"/>
      <c r="P458" s="55"/>
      <c r="Q458" s="55"/>
      <c r="R458" s="55"/>
      <c r="S458" s="55"/>
      <c r="T458" s="55"/>
      <c r="U458" s="55"/>
    </row>
    <row r="459" spans="1:21" ht="18.75" hidden="1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212">
        <f>J461+J463</f>
        <v>0</v>
      </c>
      <c r="K459" s="55"/>
      <c r="L459" s="62"/>
      <c r="M459" s="55"/>
      <c r="N459" s="55"/>
      <c r="O459" s="55"/>
      <c r="P459" s="55"/>
      <c r="Q459" s="55"/>
      <c r="R459" s="55"/>
      <c r="S459" s="55"/>
      <c r="T459" s="55"/>
      <c r="U459" s="55"/>
    </row>
    <row r="460" spans="1:21" ht="18.75" hidden="1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212">
        <f>J462+J464</f>
        <v>0</v>
      </c>
      <c r="K460" s="55"/>
      <c r="L460" s="62"/>
      <c r="M460" s="55"/>
      <c r="N460" s="55"/>
      <c r="O460" s="55"/>
      <c r="P460" s="55"/>
      <c r="Q460" s="55"/>
      <c r="R460" s="55"/>
      <c r="S460" s="55"/>
      <c r="T460" s="55"/>
      <c r="U460" s="55"/>
    </row>
    <row r="461" spans="1:21" ht="18.75" hidden="1">
      <c r="A461" s="238"/>
      <c r="B461" s="188"/>
      <c r="C461" s="188"/>
      <c r="D461" s="371" t="s">
        <v>181</v>
      </c>
      <c r="E461" s="188"/>
      <c r="F461" s="188"/>
      <c r="G461" s="208"/>
      <c r="H461" s="161" t="s">
        <v>46</v>
      </c>
      <c r="I461" s="54"/>
      <c r="J461" s="54"/>
      <c r="K461" s="55"/>
      <c r="L461" s="62"/>
      <c r="M461" s="55"/>
      <c r="N461" s="55"/>
      <c r="O461" s="55"/>
      <c r="P461" s="55"/>
      <c r="Q461" s="55"/>
      <c r="R461" s="55"/>
      <c r="S461" s="55"/>
      <c r="T461" s="55"/>
      <c r="U461" s="55"/>
    </row>
    <row r="462" spans="1:21" ht="18.75" hidden="1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54"/>
      <c r="K462" s="55"/>
      <c r="L462" s="62"/>
      <c r="M462" s="55"/>
      <c r="N462" s="55"/>
      <c r="O462" s="55"/>
      <c r="P462" s="55"/>
      <c r="Q462" s="55"/>
      <c r="R462" s="55"/>
      <c r="S462" s="55"/>
      <c r="T462" s="55"/>
      <c r="U462" s="55"/>
    </row>
    <row r="463" spans="1:21" ht="18.75" hidden="1">
      <c r="A463" s="238"/>
      <c r="B463" s="188"/>
      <c r="C463" s="188"/>
      <c r="D463" s="371" t="s">
        <v>182</v>
      </c>
      <c r="E463" s="188"/>
      <c r="F463" s="188"/>
      <c r="G463" s="208"/>
      <c r="H463" s="161" t="s">
        <v>46</v>
      </c>
      <c r="I463" s="54"/>
      <c r="J463" s="54"/>
      <c r="K463" s="55"/>
      <c r="L463" s="62"/>
      <c r="M463" s="55"/>
      <c r="N463" s="55"/>
      <c r="O463" s="55"/>
      <c r="P463" s="55"/>
      <c r="Q463" s="55"/>
      <c r="R463" s="55"/>
      <c r="S463" s="55"/>
      <c r="T463" s="55"/>
      <c r="U463" s="55"/>
    </row>
    <row r="464" spans="1:21" ht="18.75" hidden="1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54"/>
      <c r="K464" s="55"/>
      <c r="L464" s="62"/>
      <c r="M464" s="55"/>
      <c r="N464" s="55"/>
      <c r="O464" s="55"/>
      <c r="P464" s="55"/>
      <c r="Q464" s="55"/>
      <c r="R464" s="55"/>
      <c r="S464" s="55"/>
      <c r="T464" s="55"/>
      <c r="U464" s="55"/>
    </row>
    <row r="465" spans="1:21" ht="18.75" hidden="1">
      <c r="A465" s="238"/>
      <c r="B465" s="188"/>
      <c r="C465" s="188"/>
      <c r="D465" s="371" t="s">
        <v>183</v>
      </c>
      <c r="E465" s="188"/>
      <c r="F465" s="188"/>
      <c r="G465" s="208"/>
      <c r="H465" s="161" t="s">
        <v>46</v>
      </c>
      <c r="I465" s="54"/>
      <c r="J465" s="54"/>
      <c r="K465" s="55"/>
      <c r="L465" s="62"/>
      <c r="M465" s="55"/>
      <c r="N465" s="55"/>
      <c r="O465" s="55"/>
      <c r="P465" s="55"/>
      <c r="Q465" s="55"/>
      <c r="R465" s="55"/>
      <c r="S465" s="55"/>
      <c r="T465" s="55"/>
      <c r="U465" s="55"/>
    </row>
    <row r="466" spans="1:21" ht="18.75" hidden="1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54"/>
      <c r="K466" s="55"/>
      <c r="L466" s="62"/>
      <c r="M466" s="55"/>
      <c r="N466" s="55"/>
      <c r="O466" s="55"/>
      <c r="P466" s="55"/>
      <c r="Q466" s="55"/>
      <c r="R466" s="55"/>
      <c r="S466" s="55"/>
      <c r="T466" s="55"/>
      <c r="U466" s="55"/>
    </row>
    <row r="467" spans="1:21" ht="18.75" hidden="1">
      <c r="A467" s="238"/>
      <c r="B467" s="188"/>
      <c r="C467" s="371" t="s">
        <v>184</v>
      </c>
      <c r="D467" s="188"/>
      <c r="E467" s="188"/>
      <c r="F467" s="188"/>
      <c r="G467" s="208"/>
      <c r="H467" s="161" t="s">
        <v>46</v>
      </c>
      <c r="I467" s="54"/>
      <c r="J467" s="212">
        <f>J469+J471</f>
        <v>0</v>
      </c>
      <c r="K467" s="55"/>
      <c r="L467" s="62"/>
      <c r="M467" s="55"/>
      <c r="N467" s="55"/>
      <c r="O467" s="55"/>
      <c r="P467" s="55"/>
      <c r="Q467" s="55"/>
      <c r="R467" s="55"/>
      <c r="S467" s="55"/>
      <c r="T467" s="55"/>
      <c r="U467" s="55"/>
    </row>
    <row r="468" spans="1:21" ht="18.75" hidden="1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212">
        <f>J470+J472</f>
        <v>0</v>
      </c>
      <c r="K468" s="55"/>
      <c r="L468" s="62"/>
      <c r="M468" s="55"/>
      <c r="N468" s="55"/>
      <c r="O468" s="55"/>
      <c r="P468" s="55"/>
      <c r="Q468" s="55"/>
      <c r="R468" s="55"/>
      <c r="S468" s="55"/>
      <c r="T468" s="55"/>
      <c r="U468" s="55"/>
    </row>
    <row r="469" spans="1:21" ht="18.75" hidden="1">
      <c r="A469" s="238"/>
      <c r="B469" s="188"/>
      <c r="C469" s="188"/>
      <c r="D469" s="371" t="s">
        <v>185</v>
      </c>
      <c r="E469" s="188"/>
      <c r="F469" s="188"/>
      <c r="G469" s="208"/>
      <c r="H469" s="161" t="s">
        <v>46</v>
      </c>
      <c r="I469" s="54"/>
      <c r="J469" s="54"/>
      <c r="K469" s="55"/>
      <c r="L469" s="62"/>
      <c r="M469" s="55"/>
      <c r="N469" s="55"/>
      <c r="O469" s="55"/>
      <c r="P469" s="55"/>
      <c r="Q469" s="55"/>
      <c r="R469" s="55"/>
      <c r="S469" s="55"/>
      <c r="T469" s="55"/>
      <c r="U469" s="55"/>
    </row>
    <row r="470" spans="1:21" ht="18.75" hidden="1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54"/>
      <c r="K470" s="55"/>
      <c r="L470" s="62"/>
      <c r="M470" s="55"/>
      <c r="N470" s="55"/>
      <c r="O470" s="55"/>
      <c r="P470" s="55"/>
      <c r="Q470" s="55"/>
      <c r="R470" s="55"/>
      <c r="S470" s="55"/>
      <c r="T470" s="55"/>
      <c r="U470" s="55"/>
    </row>
    <row r="471" spans="1:21" ht="18.75" hidden="1">
      <c r="A471" s="238"/>
      <c r="B471" s="188"/>
      <c r="C471" s="188"/>
      <c r="D471" s="371" t="s">
        <v>186</v>
      </c>
      <c r="E471" s="188"/>
      <c r="F471" s="188"/>
      <c r="G471" s="208"/>
      <c r="H471" s="161" t="s">
        <v>46</v>
      </c>
      <c r="I471" s="54"/>
      <c r="J471" s="54"/>
      <c r="K471" s="55"/>
      <c r="L471" s="62"/>
      <c r="M471" s="55"/>
      <c r="N471" s="55"/>
      <c r="O471" s="55"/>
      <c r="P471" s="55"/>
      <c r="Q471" s="55"/>
      <c r="R471" s="55"/>
      <c r="S471" s="55"/>
      <c r="T471" s="55"/>
      <c r="U471" s="55"/>
    </row>
    <row r="472" spans="1:21" ht="18.75" hidden="1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54"/>
      <c r="K472" s="55"/>
      <c r="L472" s="62"/>
      <c r="M472" s="55"/>
      <c r="N472" s="55"/>
      <c r="O472" s="55"/>
      <c r="P472" s="55"/>
      <c r="Q472" s="55"/>
      <c r="R472" s="55"/>
      <c r="S472" s="55"/>
      <c r="T472" s="55"/>
      <c r="U472" s="55"/>
    </row>
    <row r="473" spans="1:21" ht="18.75" hidden="1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54"/>
      <c r="K473" s="55"/>
      <c r="L473" s="62"/>
      <c r="M473" s="55"/>
      <c r="N473" s="55"/>
      <c r="O473" s="55"/>
      <c r="P473" s="55"/>
      <c r="Q473" s="55"/>
      <c r="R473" s="55"/>
      <c r="S473" s="55"/>
      <c r="T473" s="55"/>
      <c r="U473" s="55"/>
    </row>
    <row r="474" spans="1:21" ht="18.75" hidden="1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54"/>
      <c r="K474" s="55"/>
      <c r="L474" s="62"/>
      <c r="M474" s="55"/>
      <c r="N474" s="55"/>
      <c r="O474" s="55"/>
      <c r="P474" s="55"/>
      <c r="Q474" s="55"/>
      <c r="R474" s="55"/>
      <c r="S474" s="55"/>
      <c r="T474" s="55"/>
      <c r="U474" s="55"/>
    </row>
    <row r="475" spans="1:21" ht="19.5" hidden="1">
      <c r="A475" s="238"/>
      <c r="B475" s="372" t="s">
        <v>188</v>
      </c>
      <c r="C475" s="188"/>
      <c r="D475" s="188"/>
      <c r="E475" s="188"/>
      <c r="F475" s="188"/>
      <c r="G475" s="208"/>
      <c r="H475" s="158" t="s">
        <v>46</v>
      </c>
      <c r="I475" s="373">
        <v>0</v>
      </c>
      <c r="J475" s="373">
        <f>J478+J480</f>
        <v>0</v>
      </c>
      <c r="K475" s="540">
        <f>IF(I475&gt;0,J475*100/I475,0)</f>
        <v>0</v>
      </c>
      <c r="L475" s="62"/>
      <c r="M475" s="55"/>
      <c r="N475" s="55"/>
      <c r="O475" s="55"/>
      <c r="P475" s="55"/>
      <c r="Q475" s="55"/>
      <c r="R475" s="55"/>
      <c r="S475" s="55"/>
      <c r="T475" s="55"/>
      <c r="U475" s="55"/>
    </row>
    <row r="476" spans="1:21" ht="19.5" hidden="1">
      <c r="A476" s="238"/>
      <c r="B476" s="188"/>
      <c r="C476" s="191" t="s">
        <v>189</v>
      </c>
      <c r="D476" s="188"/>
      <c r="E476" s="188"/>
      <c r="F476" s="188"/>
      <c r="G476" s="208"/>
      <c r="H476" s="158" t="s">
        <v>46</v>
      </c>
      <c r="I476" s="373">
        <v>0</v>
      </c>
      <c r="J476" s="373">
        <f>J478+J480</f>
        <v>0</v>
      </c>
      <c r="K476" s="540">
        <f>IF(I476&gt;0,J476*100/I476,0)</f>
        <v>0</v>
      </c>
      <c r="L476" s="62"/>
      <c r="M476" s="55"/>
      <c r="N476" s="55"/>
      <c r="O476" s="55"/>
      <c r="P476" s="55"/>
      <c r="Q476" s="55"/>
      <c r="R476" s="55"/>
      <c r="S476" s="55"/>
      <c r="T476" s="55"/>
      <c r="U476" s="55"/>
    </row>
    <row r="477" spans="1:21" ht="19.5" hidden="1">
      <c r="A477" s="238"/>
      <c r="B477" s="188"/>
      <c r="C477" s="239" t="s">
        <v>190</v>
      </c>
      <c r="D477" s="188"/>
      <c r="E477" s="188"/>
      <c r="F477" s="188"/>
      <c r="G477" s="208"/>
      <c r="H477" s="158" t="s">
        <v>34</v>
      </c>
      <c r="I477" s="373">
        <v>0</v>
      </c>
      <c r="J477" s="373">
        <f>J479+J481</f>
        <v>0</v>
      </c>
      <c r="K477" s="540">
        <f>IF(I477&gt;0,J477*100/I477,0)</f>
        <v>0</v>
      </c>
      <c r="L477" s="62"/>
      <c r="M477" s="55"/>
      <c r="N477" s="55"/>
      <c r="O477" s="55"/>
      <c r="P477" s="55"/>
      <c r="Q477" s="55"/>
      <c r="R477" s="55"/>
      <c r="S477" s="55"/>
      <c r="T477" s="55"/>
      <c r="U477" s="55"/>
    </row>
    <row r="478" spans="1:21" ht="18.75" hidden="1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54"/>
      <c r="K478" s="55"/>
      <c r="L478" s="62"/>
      <c r="M478" s="55"/>
      <c r="N478" s="55"/>
      <c r="O478" s="55"/>
      <c r="P478" s="55"/>
      <c r="Q478" s="55"/>
      <c r="R478" s="55"/>
      <c r="S478" s="55"/>
      <c r="T478" s="55"/>
      <c r="U478" s="55"/>
    </row>
    <row r="479" spans="1:21" ht="18.75" hidden="1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54"/>
      <c r="K479" s="55"/>
      <c r="L479" s="62"/>
      <c r="M479" s="55"/>
      <c r="N479" s="55"/>
      <c r="O479" s="55"/>
      <c r="P479" s="55"/>
      <c r="Q479" s="55"/>
      <c r="R479" s="55"/>
      <c r="S479" s="55"/>
      <c r="T479" s="55"/>
      <c r="U479" s="55"/>
    </row>
    <row r="480" spans="1:21" ht="18.75" hidden="1">
      <c r="A480" s="238"/>
      <c r="B480" s="188"/>
      <c r="C480" s="188"/>
      <c r="D480" s="371" t="s">
        <v>192</v>
      </c>
      <c r="E480" s="188"/>
      <c r="F480" s="188"/>
      <c r="G480" s="208"/>
      <c r="H480" s="161" t="s">
        <v>46</v>
      </c>
      <c r="I480" s="54"/>
      <c r="J480" s="54"/>
      <c r="K480" s="55"/>
      <c r="L480" s="62"/>
      <c r="M480" s="55"/>
      <c r="N480" s="55"/>
      <c r="O480" s="55"/>
      <c r="P480" s="55"/>
      <c r="Q480" s="55"/>
      <c r="R480" s="55"/>
      <c r="S480" s="55"/>
      <c r="T480" s="55"/>
      <c r="U480" s="55"/>
    </row>
    <row r="481" spans="1:21" ht="18.75" hidden="1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54"/>
      <c r="K481" s="55"/>
      <c r="L481" s="62"/>
      <c r="M481" s="55"/>
      <c r="N481" s="55"/>
      <c r="O481" s="55"/>
      <c r="P481" s="55"/>
      <c r="Q481" s="55"/>
      <c r="R481" s="55"/>
      <c r="S481" s="55"/>
      <c r="T481" s="55"/>
      <c r="U481" s="55"/>
    </row>
    <row r="482" spans="1:21" ht="18.75" hidden="1">
      <c r="A482" s="238"/>
      <c r="B482" s="188"/>
      <c r="C482" s="188"/>
      <c r="D482" s="371" t="s">
        <v>193</v>
      </c>
      <c r="E482" s="188"/>
      <c r="F482" s="188"/>
      <c r="G482" s="208"/>
      <c r="H482" s="161" t="s">
        <v>46</v>
      </c>
      <c r="I482" s="54"/>
      <c r="J482" s="212">
        <f ca="1">IFERROR(__xludf.DUMMYFUNCTION("IMPORTRANGE(""https://docs.google.com/spreadsheets/d/1eHaY18a8A9IcSdp1K8H6x8fbOy06t2VsZHhMHf-1x7Y/edit?usp=sharing"",""แผน!HN34"")"),0)</f>
        <v>0</v>
      </c>
      <c r="K482" s="55"/>
      <c r="L482" s="62"/>
      <c r="M482" s="55"/>
      <c r="N482" s="55"/>
      <c r="O482" s="55"/>
      <c r="P482" s="55"/>
      <c r="Q482" s="55"/>
      <c r="R482" s="55"/>
      <c r="S482" s="55"/>
      <c r="T482" s="55"/>
      <c r="U482" s="55"/>
    </row>
    <row r="483" spans="1:21" ht="18.75" hidden="1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212">
        <f ca="1">IFERROR(__xludf.DUMMYFUNCTION("IMPORTRANGE(""https://docs.google.com/spreadsheets/d/1eHaY18a8A9IcSdp1K8H6x8fbOy06t2VsZHhMHf-1x7Y/edit?usp=sharing"",""แผน!HO34"")"),0)</f>
        <v>0</v>
      </c>
      <c r="K483" s="55"/>
      <c r="L483" s="62"/>
      <c r="M483" s="55"/>
      <c r="N483" s="55"/>
      <c r="O483" s="55"/>
      <c r="P483" s="55"/>
      <c r="Q483" s="55"/>
      <c r="R483" s="55"/>
      <c r="S483" s="55"/>
      <c r="T483" s="55"/>
      <c r="U483" s="55"/>
    </row>
    <row r="484" spans="1:21" ht="19.5" hidden="1">
      <c r="A484" s="238"/>
      <c r="B484" s="188"/>
      <c r="C484" s="191" t="s">
        <v>194</v>
      </c>
      <c r="D484" s="188"/>
      <c r="E484" s="188"/>
      <c r="F484" s="188"/>
      <c r="G484" s="208"/>
      <c r="H484" s="158" t="s">
        <v>46</v>
      </c>
      <c r="I484" s="54">
        <f>J480</f>
        <v>0</v>
      </c>
      <c r="J484" s="373">
        <f>J486+J488+J490</f>
        <v>0</v>
      </c>
      <c r="K484" s="540">
        <f>IF(I484&gt;0,J484*100/I484,0)</f>
        <v>0</v>
      </c>
      <c r="L484" s="62"/>
      <c r="M484" s="55"/>
      <c r="N484" s="55"/>
      <c r="O484" s="55"/>
      <c r="P484" s="55"/>
      <c r="Q484" s="55"/>
      <c r="R484" s="55"/>
      <c r="S484" s="55"/>
      <c r="T484" s="55"/>
      <c r="U484" s="55"/>
    </row>
    <row r="485" spans="1:21" ht="19.5" hidden="1">
      <c r="A485" s="238"/>
      <c r="B485" s="188"/>
      <c r="C485" s="239" t="s">
        <v>195</v>
      </c>
      <c r="D485" s="188"/>
      <c r="E485" s="188"/>
      <c r="F485" s="188"/>
      <c r="G485" s="208"/>
      <c r="H485" s="158" t="s">
        <v>34</v>
      </c>
      <c r="I485" s="54">
        <f>J481</f>
        <v>0</v>
      </c>
      <c r="J485" s="373">
        <f>J487+J489+J491</f>
        <v>0</v>
      </c>
      <c r="K485" s="540">
        <f>IF(I485&gt;0,J485*100/I485,0)</f>
        <v>0</v>
      </c>
      <c r="L485" s="62"/>
      <c r="M485" s="55"/>
      <c r="N485" s="55"/>
      <c r="O485" s="55"/>
      <c r="P485" s="55"/>
      <c r="Q485" s="55"/>
      <c r="R485" s="55"/>
      <c r="S485" s="55"/>
      <c r="T485" s="55"/>
      <c r="U485" s="55"/>
    </row>
    <row r="486" spans="1:21" ht="18.75" hidden="1">
      <c r="A486" s="238"/>
      <c r="B486" s="188"/>
      <c r="C486" s="188"/>
      <c r="D486" s="371" t="s">
        <v>196</v>
      </c>
      <c r="E486" s="188"/>
      <c r="F486" s="188"/>
      <c r="G486" s="208"/>
      <c r="H486" s="161" t="s">
        <v>46</v>
      </c>
      <c r="I486" s="54"/>
      <c r="J486" s="54"/>
      <c r="K486" s="55"/>
      <c r="L486" s="62"/>
      <c r="M486" s="55"/>
      <c r="N486" s="55"/>
      <c r="O486" s="55"/>
      <c r="P486" s="55"/>
      <c r="Q486" s="55"/>
      <c r="R486" s="55"/>
      <c r="S486" s="55"/>
      <c r="T486" s="55"/>
      <c r="U486" s="55"/>
    </row>
    <row r="487" spans="1:21" ht="18.75" hidden="1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54"/>
      <c r="K487" s="55"/>
      <c r="L487" s="62"/>
      <c r="M487" s="55"/>
      <c r="N487" s="55"/>
      <c r="O487" s="55"/>
      <c r="P487" s="55"/>
      <c r="Q487" s="55"/>
      <c r="R487" s="55"/>
      <c r="S487" s="55"/>
      <c r="T487" s="55"/>
      <c r="U487" s="55"/>
    </row>
    <row r="488" spans="1:21" ht="18.75" hidden="1">
      <c r="A488" s="238"/>
      <c r="B488" s="188"/>
      <c r="C488" s="188"/>
      <c r="D488" s="371" t="s">
        <v>197</v>
      </c>
      <c r="E488" s="188"/>
      <c r="F488" s="188"/>
      <c r="G488" s="208"/>
      <c r="H488" s="161" t="s">
        <v>46</v>
      </c>
      <c r="I488" s="54"/>
      <c r="J488" s="54"/>
      <c r="K488" s="55"/>
      <c r="L488" s="62"/>
      <c r="M488" s="55"/>
      <c r="N488" s="55"/>
      <c r="O488" s="55"/>
      <c r="P488" s="55"/>
      <c r="Q488" s="55"/>
      <c r="R488" s="55"/>
      <c r="S488" s="55"/>
      <c r="T488" s="55"/>
      <c r="U488" s="55"/>
    </row>
    <row r="489" spans="1:21" ht="18.75" hidden="1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54"/>
      <c r="K489" s="55"/>
      <c r="L489" s="62"/>
      <c r="M489" s="55"/>
      <c r="N489" s="55"/>
      <c r="O489" s="55"/>
      <c r="P489" s="55"/>
      <c r="Q489" s="55"/>
      <c r="R489" s="55"/>
      <c r="S489" s="55"/>
      <c r="T489" s="55"/>
      <c r="U489" s="55"/>
    </row>
    <row r="490" spans="1:21" ht="18.75" hidden="1">
      <c r="A490" s="238"/>
      <c r="B490" s="188"/>
      <c r="C490" s="188"/>
      <c r="D490" s="371" t="s">
        <v>198</v>
      </c>
      <c r="E490" s="188"/>
      <c r="F490" s="188"/>
      <c r="G490" s="208"/>
      <c r="H490" s="161" t="s">
        <v>46</v>
      </c>
      <c r="I490" s="54"/>
      <c r="J490" s="54"/>
      <c r="K490" s="55"/>
      <c r="L490" s="62"/>
      <c r="M490" s="55"/>
      <c r="N490" s="55"/>
      <c r="O490" s="55"/>
      <c r="P490" s="55"/>
      <c r="Q490" s="55"/>
      <c r="R490" s="55"/>
      <c r="S490" s="55"/>
      <c r="T490" s="55"/>
      <c r="U490" s="55"/>
    </row>
    <row r="491" spans="1:21" ht="18.75" hidden="1">
      <c r="A491" s="374"/>
      <c r="B491" s="5"/>
      <c r="C491" s="5"/>
      <c r="D491" s="5"/>
      <c r="E491" s="5"/>
      <c r="F491" s="5"/>
      <c r="G491" s="375"/>
      <c r="H491" s="376" t="s">
        <v>34</v>
      </c>
      <c r="I491" s="67"/>
      <c r="J491" s="67"/>
      <c r="K491" s="6"/>
      <c r="L491" s="68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 hidden="1">
      <c r="A492" s="335"/>
      <c r="B492" s="354" t="s">
        <v>199</v>
      </c>
      <c r="C492" s="337"/>
      <c r="D492" s="337"/>
      <c r="E492" s="328"/>
      <c r="F492" s="328"/>
      <c r="G492" s="329"/>
      <c r="H492" s="366" t="s">
        <v>35</v>
      </c>
      <c r="I492" s="605">
        <f ca="1">I503</f>
        <v>0</v>
      </c>
      <c r="J492" s="605">
        <f ca="1">J503</f>
        <v>0</v>
      </c>
      <c r="K492" s="604">
        <f ca="1">IF(I492&gt;0,J492*100/I492,0)</f>
        <v>0</v>
      </c>
      <c r="L492" s="334"/>
      <c r="M492" s="333"/>
      <c r="N492" s="333"/>
      <c r="O492" s="333"/>
      <c r="P492" s="333"/>
      <c r="Q492" s="333"/>
      <c r="R492" s="333"/>
      <c r="S492" s="333"/>
      <c r="T492" s="333"/>
      <c r="U492" s="333"/>
    </row>
    <row r="493" spans="1:21" ht="19.5" hidden="1">
      <c r="A493" s="155"/>
      <c r="B493" s="188"/>
      <c r="C493" s="205" t="s">
        <v>18</v>
      </c>
      <c r="D493" s="603" t="s">
        <v>19</v>
      </c>
      <c r="E493" s="514"/>
      <c r="F493" s="514"/>
      <c r="G493" s="52"/>
      <c r="H493" s="252" t="s">
        <v>14</v>
      </c>
      <c r="I493" s="54"/>
      <c r="J493" s="54"/>
      <c r="K493" s="55"/>
      <c r="L493" s="541">
        <f>L494+L495</f>
        <v>0</v>
      </c>
      <c r="M493" s="540">
        <f>M494+M495</f>
        <v>0</v>
      </c>
      <c r="N493" s="540">
        <f>N494+N495</f>
        <v>0</v>
      </c>
      <c r="O493" s="540">
        <f>IF(L493&gt;0,N493*100/L493,0)</f>
        <v>0</v>
      </c>
      <c r="P493" s="540">
        <f>IF(M493&gt;0,N493*100/M493,0)</f>
        <v>0</v>
      </c>
      <c r="Q493" s="540">
        <f ca="1">Q494+Q495</f>
        <v>0</v>
      </c>
      <c r="R493" s="540">
        <f ca="1">R494+R495</f>
        <v>0</v>
      </c>
      <c r="S493" s="540">
        <f ca="1">S494+S495</f>
        <v>0</v>
      </c>
      <c r="T493" s="540">
        <f ca="1">IF(Q493&gt;0,S493*100/Q493,0)</f>
        <v>0</v>
      </c>
      <c r="U493" s="540">
        <f ca="1">IF(R493&gt;0,S493*100/R493,0)</f>
        <v>0</v>
      </c>
    </row>
    <row r="494" spans="1:21" ht="18.75" hidden="1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103">
        <f>L497+L500</f>
        <v>0</v>
      </c>
      <c r="M494" s="102">
        <f>M497+M500</f>
        <v>0</v>
      </c>
      <c r="N494" s="102">
        <f>N497+N500</f>
        <v>0</v>
      </c>
      <c r="O494" s="102">
        <f>IF(L494&gt;0,N494*100/L494,0)</f>
        <v>0</v>
      </c>
      <c r="P494" s="102">
        <f>IF(M494&gt;0,N494*100/M494,0)</f>
        <v>0</v>
      </c>
      <c r="Q494" s="102">
        <f>Q497+Q500</f>
        <v>0</v>
      </c>
      <c r="R494" s="102">
        <f>R497+R500</f>
        <v>0</v>
      </c>
      <c r="S494" s="102">
        <f>S497+S500</f>
        <v>0</v>
      </c>
      <c r="T494" s="102">
        <f>IF(Q494&gt;0,S494*100/Q494,0)</f>
        <v>0</v>
      </c>
      <c r="U494" s="102">
        <f>IF(R494&gt;0,S494*100/R494,0)</f>
        <v>0</v>
      </c>
    </row>
    <row r="495" spans="1:21" ht="18.75" hidden="1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256">
        <f>L498+L501</f>
        <v>0</v>
      </c>
      <c r="M495" s="255">
        <f>M498+M501</f>
        <v>0</v>
      </c>
      <c r="N495" s="255">
        <f>N498+N501</f>
        <v>0</v>
      </c>
      <c r="O495" s="255">
        <f>IF(L495&gt;0,N495*100/L495,0)</f>
        <v>0</v>
      </c>
      <c r="P495" s="255">
        <f>IF(M495&gt;0,N495*100/M495,0)</f>
        <v>0</v>
      </c>
      <c r="Q495" s="255">
        <f ca="1">Q498+Q501</f>
        <v>0</v>
      </c>
      <c r="R495" s="255">
        <f ca="1">R498+R501</f>
        <v>0</v>
      </c>
      <c r="S495" s="255">
        <f ca="1">S498+S501</f>
        <v>0</v>
      </c>
      <c r="T495" s="255">
        <f ca="1">IF(Q495&gt;0,S495*100/Q495,0)</f>
        <v>0</v>
      </c>
      <c r="U495" s="255">
        <f ca="1">IF(R495&gt;0,S495*100/R495,0)</f>
        <v>0</v>
      </c>
    </row>
    <row r="496" spans="1:21" ht="18.75" hidden="1">
      <c r="A496" s="155"/>
      <c r="B496" s="188"/>
      <c r="C496" s="188"/>
      <c r="D496" s="602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256">
        <f>L497+L498</f>
        <v>0</v>
      </c>
      <c r="M496" s="255">
        <f>M497+M498</f>
        <v>0</v>
      </c>
      <c r="N496" s="255">
        <f>N497+N498</f>
        <v>0</v>
      </c>
      <c r="O496" s="255">
        <f>IF(L496&gt;0,N496*100/L496,0)</f>
        <v>0</v>
      </c>
      <c r="P496" s="255">
        <f>IF(M496&gt;0,N496*100/M496,0)</f>
        <v>0</v>
      </c>
      <c r="Q496" s="255">
        <f ca="1">Q497+Q498</f>
        <v>0</v>
      </c>
      <c r="R496" s="255">
        <f ca="1">R497+R498</f>
        <v>0</v>
      </c>
      <c r="S496" s="255">
        <f ca="1">S497+S498</f>
        <v>0</v>
      </c>
      <c r="T496" s="255">
        <f ca="1">IF(Q496&gt;0,S496*100/Q496,0)</f>
        <v>0</v>
      </c>
      <c r="U496" s="255">
        <f ca="1">IF(R496&gt;0,S496*100/R496,0)</f>
        <v>0</v>
      </c>
    </row>
    <row r="497" spans="1:21" ht="18.75" hidden="1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103">
        <v>0</v>
      </c>
      <c r="M497" s="102">
        <v>0</v>
      </c>
      <c r="N497" s="102">
        <v>0</v>
      </c>
      <c r="O497" s="102">
        <f>IF(L497&gt;0,N497*100/L497,0)</f>
        <v>0</v>
      </c>
      <c r="P497" s="102">
        <f>IF(M497&gt;0,N497*100/M497,0)</f>
        <v>0</v>
      </c>
      <c r="Q497" s="102">
        <v>0</v>
      </c>
      <c r="R497" s="102">
        <v>0</v>
      </c>
      <c r="S497" s="102">
        <v>0</v>
      </c>
      <c r="T497" s="102">
        <f>IF(Q497&gt;0,S497*100/Q497,0)</f>
        <v>0</v>
      </c>
      <c r="U497" s="102">
        <f>IF(R497&gt;0,S497*100/R497,0)</f>
        <v>0</v>
      </c>
    </row>
    <row r="498" spans="1:21" ht="18.75" hidden="1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256">
        <v>0</v>
      </c>
      <c r="M498" s="255">
        <v>0</v>
      </c>
      <c r="N498" s="255">
        <v>0</v>
      </c>
      <c r="O498" s="255">
        <f>IF(L498&gt;0,N498*100/L498,0)</f>
        <v>0</v>
      </c>
      <c r="P498" s="255">
        <f>IF(M498&gt;0,N498*100/M498,0)</f>
        <v>0</v>
      </c>
      <c r="Q498" s="255">
        <f ca="1">IFERROR(__xludf.DUMMYFUNCTION("IMPORTRANGE(""https://docs.google.com/spreadsheets/d/1ItG2mGa2ceCfYo0BwxsXqNm01IGEUdYcSSLTEv9YCik/edit?usp=sharing"",""เบิกจ่ายกองทุน!X34"")"),0)</f>
        <v>0</v>
      </c>
      <c r="R498" s="255">
        <f ca="1">IFERROR(__xludf.DUMMYFUNCTION("IMPORTRANGE(""https://docs.google.com/spreadsheets/d/1ItG2mGa2ceCfYo0BwxsXqNm01IGEUdYcSSLTEv9YCik/edit?usp=sharing"",""เบิกจ่ายกองทุน!Y34"")"),0)</f>
        <v>0</v>
      </c>
      <c r="S498" s="255">
        <f ca="1">IFERROR(__xludf.DUMMYFUNCTION("IMPORTRANGE(""https://docs.google.com/spreadsheets/d/1ItG2mGa2ceCfYo0BwxsXqNm01IGEUdYcSSLTEv9YCik/edit?usp=sharing"",""เบิกจ่ายกองทุน!Z34"")"),0)</f>
        <v>0</v>
      </c>
      <c r="T498" s="255">
        <f ca="1">IF(Q498&gt;0,S498*100/Q498,0)</f>
        <v>0</v>
      </c>
      <c r="U498" s="255">
        <f ca="1">IF(R498&gt;0,S498*100/R498,0)</f>
        <v>0</v>
      </c>
    </row>
    <row r="499" spans="1:21" ht="18.75" hidden="1">
      <c r="A499" s="155"/>
      <c r="B499" s="188"/>
      <c r="C499" s="188"/>
      <c r="D499" s="602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256">
        <f>L500+L501</f>
        <v>0</v>
      </c>
      <c r="M499" s="255">
        <f>M500+M501</f>
        <v>0</v>
      </c>
      <c r="N499" s="255">
        <f>N500+N501</f>
        <v>0</v>
      </c>
      <c r="O499" s="255">
        <f>IF(L499&gt;0,N499*100/L499,0)</f>
        <v>0</v>
      </c>
      <c r="P499" s="255">
        <f>IF(M499&gt;0,N499*100/M499,0)</f>
        <v>0</v>
      </c>
      <c r="Q499" s="255">
        <f>Q500+Q501</f>
        <v>0</v>
      </c>
      <c r="R499" s="255">
        <f>R500+R501</f>
        <v>0</v>
      </c>
      <c r="S499" s="255">
        <f>S500+S501</f>
        <v>0</v>
      </c>
      <c r="T499" s="255">
        <f>IF(Q499&gt;0,S499*100/Q499,0)</f>
        <v>0</v>
      </c>
      <c r="U499" s="255">
        <f>IF(R499&gt;0,S499*100/R499,0)</f>
        <v>0</v>
      </c>
    </row>
    <row r="500" spans="1:21" ht="18.75" hidden="1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103">
        <v>0</v>
      </c>
      <c r="M500" s="102">
        <v>0</v>
      </c>
      <c r="N500" s="102">
        <v>0</v>
      </c>
      <c r="O500" s="102">
        <f>IF(L500&gt;0,N500*100/L500,0)</f>
        <v>0</v>
      </c>
      <c r="P500" s="102">
        <f>IF(M500&gt;0,N500*100/M500,0)</f>
        <v>0</v>
      </c>
      <c r="Q500" s="102">
        <v>0</v>
      </c>
      <c r="R500" s="102">
        <v>0</v>
      </c>
      <c r="S500" s="102">
        <v>0</v>
      </c>
      <c r="T500" s="102">
        <f>IF(Q500&gt;0,S500*100/Q500,0)</f>
        <v>0</v>
      </c>
      <c r="U500" s="102">
        <f>IF(R500&gt;0,S500*100/R500,0)</f>
        <v>0</v>
      </c>
    </row>
    <row r="501" spans="1:21" ht="18.75" hidden="1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256">
        <v>0</v>
      </c>
      <c r="M501" s="255">
        <v>0</v>
      </c>
      <c r="N501" s="255">
        <v>0</v>
      </c>
      <c r="O501" s="255">
        <f>IF(L501&gt;0,N501*100/L501,0)</f>
        <v>0</v>
      </c>
      <c r="P501" s="255">
        <f>IF(M501&gt;0,N501*100/M501,0)</f>
        <v>0</v>
      </c>
      <c r="Q501" s="255">
        <v>0</v>
      </c>
      <c r="R501" s="255">
        <v>0</v>
      </c>
      <c r="S501" s="255">
        <v>0</v>
      </c>
      <c r="T501" s="255">
        <f>IF(Q501&gt;0,S501*100/Q501,0)</f>
        <v>0</v>
      </c>
      <c r="U501" s="255">
        <f>IF(R501&gt;0,S501*100/R501,0)</f>
        <v>0</v>
      </c>
    </row>
    <row r="502" spans="1:21" ht="19.5" hidden="1">
      <c r="A502" s="166"/>
      <c r="B502" s="167"/>
      <c r="C502" s="205" t="s">
        <v>18</v>
      </c>
      <c r="D502" s="560" t="s">
        <v>38</v>
      </c>
      <c r="E502" s="169"/>
      <c r="F502" s="169"/>
      <c r="G502" s="170"/>
      <c r="H502" s="206"/>
      <c r="I502" s="163"/>
      <c r="J502" s="163"/>
      <c r="K502" s="164"/>
      <c r="L502" s="172"/>
      <c r="M502" s="164"/>
      <c r="N502" s="164"/>
      <c r="O502" s="164"/>
      <c r="P502" s="164"/>
      <c r="Q502" s="164"/>
      <c r="R502" s="164"/>
      <c r="S502" s="164"/>
      <c r="T502" s="164"/>
      <c r="U502" s="164"/>
    </row>
    <row r="503" spans="1:21" ht="19.5" hidden="1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373">
        <f ca="1">IFERROR(__xludf.DUMMYFUNCTION("IMPORTRANGE(""https://docs.google.com/spreadsheets/d/1eHaY18a8A9IcSdp1K8H6x8fbOy06t2VsZHhMHf-1x7Y/edit?usp=sharing"",""แผน!GX34"")"),0)</f>
        <v>0</v>
      </c>
      <c r="J503" s="373">
        <f ca="1">IF(AND(J504=I504,J505=I505,J506=I506,J507=I507),I503,0)</f>
        <v>0</v>
      </c>
      <c r="K503" s="540">
        <f ca="1">IF(I503&gt;0,J503*100/I503,0)</f>
        <v>0</v>
      </c>
      <c r="L503" s="62"/>
      <c r="M503" s="55"/>
      <c r="N503" s="55"/>
      <c r="O503" s="55"/>
      <c r="P503" s="55"/>
      <c r="Q503" s="55"/>
      <c r="R503" s="55"/>
      <c r="S503" s="55"/>
      <c r="T503" s="55"/>
      <c r="U503" s="55"/>
    </row>
    <row r="504" spans="1:21" ht="18.75" hidden="1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212">
        <f ca="1">IFERROR(__xludf.DUMMYFUNCTION("IMPORTRANGE(""https://docs.google.com/spreadsheets/d/1eHaY18a8A9IcSdp1K8H6x8fbOy06t2VsZHhMHf-1x7Y/edit?usp=sharing"",""แผน!GY34"")"),0)</f>
        <v>0</v>
      </c>
      <c r="J504" s="467">
        <v>0</v>
      </c>
      <c r="K504" s="255">
        <f ca="1">IF(I504&gt;0,J504*100/I504,0)</f>
        <v>0</v>
      </c>
      <c r="L504" s="62"/>
      <c r="M504" s="55"/>
      <c r="N504" s="55"/>
      <c r="O504" s="55"/>
      <c r="P504" s="55"/>
      <c r="Q504" s="55"/>
      <c r="R504" s="55"/>
      <c r="S504" s="55"/>
      <c r="T504" s="55"/>
      <c r="U504" s="55"/>
    </row>
    <row r="505" spans="1:21" ht="18.75" hidden="1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212">
        <f ca="1">IFERROR(__xludf.DUMMYFUNCTION("IMPORTRANGE(""https://docs.google.com/spreadsheets/d/1eHaY18a8A9IcSdp1K8H6x8fbOy06t2VsZHhMHf-1x7Y/edit?usp=sharing"",""แผน!GZ34"")"),0)</f>
        <v>0</v>
      </c>
      <c r="J505" s="467">
        <v>0</v>
      </c>
      <c r="K505" s="255">
        <f ca="1">IF(I505&gt;0,J505*100/I505,0)</f>
        <v>0</v>
      </c>
      <c r="L505" s="62"/>
      <c r="M505" s="55"/>
      <c r="N505" s="55"/>
      <c r="O505" s="55"/>
      <c r="P505" s="55"/>
      <c r="Q505" s="55"/>
      <c r="R505" s="55"/>
      <c r="S505" s="55"/>
      <c r="T505" s="55"/>
      <c r="U505" s="55"/>
    </row>
    <row r="506" spans="1:21" ht="18.75" hidden="1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212">
        <f ca="1">IFERROR(__xludf.DUMMYFUNCTION("IMPORTRANGE(""https://docs.google.com/spreadsheets/d/1eHaY18a8A9IcSdp1K8H6x8fbOy06t2VsZHhMHf-1x7Y/edit?usp=sharing"",""แผน!HA34"")"),0)</f>
        <v>0</v>
      </c>
      <c r="J506" s="467">
        <v>0</v>
      </c>
      <c r="K506" s="255">
        <f ca="1">IF(I506&gt;0,J506*100/I506,0)</f>
        <v>0</v>
      </c>
      <c r="L506" s="62"/>
      <c r="M506" s="55"/>
      <c r="N506" s="55"/>
      <c r="O506" s="55"/>
      <c r="P506" s="55"/>
      <c r="Q506" s="55"/>
      <c r="R506" s="55"/>
      <c r="S506" s="55"/>
      <c r="T506" s="55"/>
      <c r="U506" s="55"/>
    </row>
    <row r="507" spans="1:21" ht="18.75" hidden="1">
      <c r="A507" s="238"/>
      <c r="B507" s="188"/>
      <c r="C507" s="188"/>
      <c r="D507" s="188"/>
      <c r="E507" s="377" t="s">
        <v>204</v>
      </c>
      <c r="F507" s="50"/>
      <c r="G507" s="52"/>
      <c r="H507" s="161" t="s">
        <v>35</v>
      </c>
      <c r="I507" s="212">
        <f ca="1">IFERROR(__xludf.DUMMYFUNCTION("IMPORTRANGE(""https://docs.google.com/spreadsheets/d/1eHaY18a8A9IcSdp1K8H6x8fbOy06t2VsZHhMHf-1x7Y/edit?usp=sharing"",""แผน!HB34"")"),0)</f>
        <v>0</v>
      </c>
      <c r="J507" s="467">
        <v>0</v>
      </c>
      <c r="K507" s="255">
        <f ca="1">IF(I507&gt;0,J507*100/I507,0)</f>
        <v>0</v>
      </c>
      <c r="L507" s="62"/>
      <c r="M507" s="55"/>
      <c r="N507" s="55"/>
      <c r="O507" s="55"/>
      <c r="P507" s="55"/>
      <c r="Q507" s="55"/>
      <c r="R507" s="55"/>
      <c r="S507" s="55"/>
      <c r="T507" s="55"/>
      <c r="U507" s="55"/>
    </row>
    <row r="508" spans="1:21" ht="18.75" hidden="1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255">
        <f>IF(I508&gt;0,J508*100/I508,0)</f>
        <v>0</v>
      </c>
      <c r="L508" s="62"/>
      <c r="M508" s="55"/>
      <c r="N508" s="55"/>
      <c r="O508" s="55"/>
      <c r="P508" s="55"/>
      <c r="Q508" s="55"/>
      <c r="R508" s="55"/>
      <c r="S508" s="55"/>
      <c r="T508" s="55"/>
      <c r="U508" s="55"/>
    </row>
    <row r="509" spans="1:21" ht="19.5" hidden="1">
      <c r="A509" s="374"/>
      <c r="B509" s="5"/>
      <c r="C509" s="5"/>
      <c r="D509" s="378" t="s">
        <v>50</v>
      </c>
      <c r="E509" s="4"/>
      <c r="F509" s="4"/>
      <c r="G509" s="65"/>
      <c r="H509" s="376" t="s">
        <v>35</v>
      </c>
      <c r="I509" s="216">
        <f ca="1">IFERROR(__xludf.DUMMYFUNCTION("IMPORTRANGE(""https://docs.google.com/spreadsheets/d/1eHaY18a8A9IcSdp1K8H6x8fbOy06t2VsZHhMHf-1x7Y/edit?usp=sharing"",""แผน!HC34"")"),0)</f>
        <v>0</v>
      </c>
      <c r="J509" s="538">
        <v>0</v>
      </c>
      <c r="K509" s="506">
        <f ca="1">IF(I509&gt;0,J509*100/I509,0)</f>
        <v>0</v>
      </c>
      <c r="L509" s="68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 hidden="1">
      <c r="A510" s="601" t="s">
        <v>206</v>
      </c>
      <c r="B510" s="381"/>
      <c r="C510" s="381"/>
      <c r="D510" s="381"/>
      <c r="E510" s="382"/>
      <c r="F510" s="382"/>
      <c r="G510" s="382"/>
      <c r="H510" s="382"/>
      <c r="I510" s="383"/>
      <c r="J510" s="383"/>
      <c r="K510" s="384"/>
      <c r="L510" s="600"/>
      <c r="M510" s="386"/>
      <c r="N510" s="386"/>
      <c r="O510" s="386"/>
      <c r="P510" s="386"/>
      <c r="Q510" s="386"/>
      <c r="R510" s="386"/>
      <c r="S510" s="386"/>
      <c r="T510" s="386"/>
      <c r="U510" s="386"/>
    </row>
    <row r="511" spans="1:21" ht="19.5" hidden="1">
      <c r="A511" s="599" t="s">
        <v>207</v>
      </c>
      <c r="B511" s="388"/>
      <c r="C511" s="388"/>
      <c r="D511" s="389"/>
      <c r="E511" s="388"/>
      <c r="F511" s="388"/>
      <c r="G511" s="388"/>
      <c r="H511" s="390"/>
      <c r="I511" s="391"/>
      <c r="J511" s="391"/>
      <c r="K511" s="392"/>
      <c r="L511" s="598"/>
      <c r="M511" s="394"/>
      <c r="N511" s="394"/>
      <c r="O511" s="394"/>
      <c r="P511" s="394"/>
      <c r="Q511" s="394"/>
      <c r="R511" s="394"/>
      <c r="S511" s="394"/>
      <c r="T511" s="394"/>
      <c r="U511" s="394"/>
    </row>
    <row r="512" spans="1:21" ht="19.5" hidden="1">
      <c r="A512" s="395"/>
      <c r="B512" s="597" t="s">
        <v>208</v>
      </c>
      <c r="C512" s="397"/>
      <c r="D512" s="398"/>
      <c r="E512" s="398"/>
      <c r="F512" s="398"/>
      <c r="G512" s="399"/>
      <c r="H512" s="596" t="s">
        <v>61</v>
      </c>
      <c r="I512" s="595">
        <f>I524</f>
        <v>0</v>
      </c>
      <c r="J512" s="595">
        <f>J524</f>
        <v>0</v>
      </c>
      <c r="K512" s="594">
        <f>IF(I512&gt;0,J512*100/I512,0)</f>
        <v>0</v>
      </c>
      <c r="L512" s="404"/>
      <c r="M512" s="403"/>
      <c r="N512" s="403"/>
      <c r="O512" s="403"/>
      <c r="P512" s="403"/>
      <c r="Q512" s="403"/>
      <c r="R512" s="403"/>
      <c r="S512" s="403"/>
      <c r="T512" s="403"/>
      <c r="U512" s="403"/>
    </row>
    <row r="513" spans="1:21" ht="19.5" hidden="1">
      <c r="A513" s="155"/>
      <c r="B513" s="50"/>
      <c r="C513" s="591" t="s">
        <v>18</v>
      </c>
      <c r="D513" s="562" t="s">
        <v>19</v>
      </c>
      <c r="E513" s="50"/>
      <c r="F513" s="50"/>
      <c r="G513" s="52"/>
      <c r="H513" s="593" t="s">
        <v>14</v>
      </c>
      <c r="I513" s="54"/>
      <c r="J513" s="54"/>
      <c r="K513" s="55"/>
      <c r="L513" s="541">
        <f ca="1">L514+L515</f>
        <v>0</v>
      </c>
      <c r="M513" s="540">
        <f ca="1">M514+M515</f>
        <v>0</v>
      </c>
      <c r="N513" s="540">
        <f ca="1">N514+N515</f>
        <v>0</v>
      </c>
      <c r="O513" s="540">
        <f ca="1">IF(L513&gt;0,N513*100/L513,0)</f>
        <v>0</v>
      </c>
      <c r="P513" s="540">
        <f ca="1">IF(M513&gt;0,N513*100/M513,0)</f>
        <v>0</v>
      </c>
      <c r="Q513" s="540">
        <f>Q514+Q515</f>
        <v>0</v>
      </c>
      <c r="R513" s="540">
        <f>R514+R515</f>
        <v>0</v>
      </c>
      <c r="S513" s="540">
        <f>S514+S515</f>
        <v>0</v>
      </c>
      <c r="T513" s="540">
        <f>IF(Q513&gt;0,S513*100/Q513,0)</f>
        <v>0</v>
      </c>
      <c r="U513" s="540">
        <f>IF(R513&gt;0,S513*100/R513,0)</f>
        <v>0</v>
      </c>
    </row>
    <row r="514" spans="1:21" ht="18.75" hidden="1">
      <c r="A514" s="155"/>
      <c r="B514" s="50"/>
      <c r="C514" s="50"/>
      <c r="D514" s="50"/>
      <c r="E514" s="186" t="s">
        <v>20</v>
      </c>
      <c r="F514" s="50"/>
      <c r="G514" s="52"/>
      <c r="H514" s="187" t="s">
        <v>14</v>
      </c>
      <c r="I514" s="54"/>
      <c r="J514" s="54"/>
      <c r="K514" s="55"/>
      <c r="L514" s="103">
        <f>L517+L520</f>
        <v>0</v>
      </c>
      <c r="M514" s="102">
        <f>M517+M520</f>
        <v>0</v>
      </c>
      <c r="N514" s="102">
        <f>N517+N520</f>
        <v>0</v>
      </c>
      <c r="O514" s="102">
        <f>IF(L514&gt;0,N514*100/L514,0)</f>
        <v>0</v>
      </c>
      <c r="P514" s="102">
        <f>IF(M514&gt;0,N514*100/M514,0)</f>
        <v>0</v>
      </c>
      <c r="Q514" s="102">
        <f>Q517+Q520</f>
        <v>0</v>
      </c>
      <c r="R514" s="102">
        <f>R517+R520</f>
        <v>0</v>
      </c>
      <c r="S514" s="102">
        <f>S517+S520</f>
        <v>0</v>
      </c>
      <c r="T514" s="102">
        <f>IF(Q514&gt;0,S514*100/Q514,0)</f>
        <v>0</v>
      </c>
      <c r="U514" s="102">
        <f>IF(R514&gt;0,S514*100/R514,0)</f>
        <v>0</v>
      </c>
    </row>
    <row r="515" spans="1:21" ht="18.75" hidden="1">
      <c r="A515" s="155"/>
      <c r="B515" s="50"/>
      <c r="C515" s="50"/>
      <c r="D515" s="50"/>
      <c r="E515" s="186" t="s">
        <v>21</v>
      </c>
      <c r="F515" s="50"/>
      <c r="G515" s="52"/>
      <c r="H515" s="187" t="s">
        <v>14</v>
      </c>
      <c r="I515" s="54"/>
      <c r="J515" s="54"/>
      <c r="K515" s="55"/>
      <c r="L515" s="256">
        <f ca="1">L518+L521</f>
        <v>0</v>
      </c>
      <c r="M515" s="255">
        <f ca="1">M518+M521</f>
        <v>0</v>
      </c>
      <c r="N515" s="255">
        <f ca="1">N518+N521</f>
        <v>0</v>
      </c>
      <c r="O515" s="255">
        <f ca="1">IF(L515&gt;0,N515*100/L515,0)</f>
        <v>0</v>
      </c>
      <c r="P515" s="255">
        <f ca="1">IF(M515&gt;0,N515*100/M515,0)</f>
        <v>0</v>
      </c>
      <c r="Q515" s="255">
        <f>Q518+Q521</f>
        <v>0</v>
      </c>
      <c r="R515" s="255">
        <f>R518+R521</f>
        <v>0</v>
      </c>
      <c r="S515" s="255">
        <f>S518+S521</f>
        <v>0</v>
      </c>
      <c r="T515" s="255">
        <f>IF(Q515&gt;0,S515*100/Q515,0)</f>
        <v>0</v>
      </c>
      <c r="U515" s="255">
        <f>IF(R515&gt;0,S515*100/R515,0)</f>
        <v>0</v>
      </c>
    </row>
    <row r="516" spans="1:21" ht="18.75" hidden="1">
      <c r="A516" s="155"/>
      <c r="B516" s="50"/>
      <c r="C516" s="50"/>
      <c r="D516" s="592" t="s">
        <v>22</v>
      </c>
      <c r="E516" s="50"/>
      <c r="F516" s="50"/>
      <c r="G516" s="52"/>
      <c r="H516" s="189" t="s">
        <v>14</v>
      </c>
      <c r="I516" s="163"/>
      <c r="J516" s="163"/>
      <c r="K516" s="164"/>
      <c r="L516" s="256">
        <f ca="1">L517+L518</f>
        <v>0</v>
      </c>
      <c r="M516" s="255">
        <f ca="1">M517+M518</f>
        <v>0</v>
      </c>
      <c r="N516" s="255">
        <f ca="1">N517+N518</f>
        <v>0</v>
      </c>
      <c r="O516" s="255">
        <f ca="1">IF(L516&gt;0,N516*100/L516,0)</f>
        <v>0</v>
      </c>
      <c r="P516" s="255">
        <f ca="1">IF(M516&gt;0,N516*100/M516,0)</f>
        <v>0</v>
      </c>
      <c r="Q516" s="255">
        <f>Q517+Q518</f>
        <v>0</v>
      </c>
      <c r="R516" s="255">
        <f>R517+R518</f>
        <v>0</v>
      </c>
      <c r="S516" s="255">
        <f>S517+S518</f>
        <v>0</v>
      </c>
      <c r="T516" s="255">
        <f>IF(Q516&gt;0,S516*100/Q516,0)</f>
        <v>0</v>
      </c>
      <c r="U516" s="255">
        <f>IF(R516&gt;0,S516*100/R516,0)</f>
        <v>0</v>
      </c>
    </row>
    <row r="517" spans="1:21" ht="18.75" hidden="1">
      <c r="A517" s="155"/>
      <c r="B517" s="50"/>
      <c r="C517" s="50"/>
      <c r="D517" s="50"/>
      <c r="E517" s="186" t="s">
        <v>36</v>
      </c>
      <c r="F517" s="50"/>
      <c r="G517" s="52"/>
      <c r="H517" s="189" t="s">
        <v>14</v>
      </c>
      <c r="I517" s="163"/>
      <c r="J517" s="163"/>
      <c r="K517" s="164"/>
      <c r="L517" s="103">
        <v>0</v>
      </c>
      <c r="M517" s="102">
        <v>0</v>
      </c>
      <c r="N517" s="102">
        <v>0</v>
      </c>
      <c r="O517" s="102">
        <f>IF(L517&gt;0,N517*100/L517,0)</f>
        <v>0</v>
      </c>
      <c r="P517" s="102">
        <f>IF(M517&gt;0,N517*100/M517,0)</f>
        <v>0</v>
      </c>
      <c r="Q517" s="102">
        <v>0</v>
      </c>
      <c r="R517" s="102">
        <v>0</v>
      </c>
      <c r="S517" s="102">
        <v>0</v>
      </c>
      <c r="T517" s="102">
        <f>IF(Q517&gt;0,S517*100/Q517,0)</f>
        <v>0</v>
      </c>
      <c r="U517" s="102">
        <f>IF(R517&gt;0,S517*100/R517,0)</f>
        <v>0</v>
      </c>
    </row>
    <row r="518" spans="1:21" ht="18.75" hidden="1">
      <c r="A518" s="155"/>
      <c r="B518" s="50"/>
      <c r="C518" s="50"/>
      <c r="D518" s="50"/>
      <c r="E518" s="186" t="s">
        <v>37</v>
      </c>
      <c r="F518" s="50"/>
      <c r="G518" s="52"/>
      <c r="H518" s="189" t="s">
        <v>14</v>
      </c>
      <c r="I518" s="163"/>
      <c r="J518" s="163"/>
      <c r="K518" s="164"/>
      <c r="L518" s="256">
        <f ca="1">IFERROR(__xludf.DUMMYFUNCTION("IMPORTRANGE(""https://docs.google.com/spreadsheets/d/1-uDff_7J0KD5mKrp0Vvzr7lt3OU09vwQwhkpOPPYv2Y/edit?usp=sharing"",""งบพรบ!FM34"")"),0)</f>
        <v>0</v>
      </c>
      <c r="M518" s="255">
        <f ca="1">IFERROR(__xludf.DUMMYFUNCTION("IMPORTRANGE(""https://docs.google.com/spreadsheets/d/1-uDff_7J0KD5mKrp0Vvzr7lt3OU09vwQwhkpOPPYv2Y/edit?usp=sharing"",""งบพรบ!FR34"")"),0)</f>
        <v>0</v>
      </c>
      <c r="N518" s="255">
        <f ca="1">IFERROR(__xludf.DUMMYFUNCTION("IMPORTRANGE(""https://docs.google.com/spreadsheets/d/1-uDff_7J0KD5mKrp0Vvzr7lt3OU09vwQwhkpOPPYv2Y/edit?usp=sharing"",""งบพรบ!FT34"")"),0)</f>
        <v>0</v>
      </c>
      <c r="O518" s="255">
        <f ca="1">IF(L518&gt;0,N518*100/L518,0)</f>
        <v>0</v>
      </c>
      <c r="P518" s="255">
        <f ca="1">IF(M518&gt;0,N518*100/M518,0)</f>
        <v>0</v>
      </c>
      <c r="Q518" s="255">
        <v>0</v>
      </c>
      <c r="R518" s="255">
        <v>0</v>
      </c>
      <c r="S518" s="255">
        <v>0</v>
      </c>
      <c r="T518" s="255">
        <f>IF(Q518&gt;0,S518*100/Q518,0)</f>
        <v>0</v>
      </c>
      <c r="U518" s="255">
        <f>IF(R518&gt;0,S518*100/R518,0)</f>
        <v>0</v>
      </c>
    </row>
    <row r="519" spans="1:21" ht="18.75" hidden="1">
      <c r="A519" s="155"/>
      <c r="B519" s="50"/>
      <c r="C519" s="50"/>
      <c r="D519" s="592" t="s">
        <v>23</v>
      </c>
      <c r="E519" s="50"/>
      <c r="F519" s="50"/>
      <c r="G519" s="52"/>
      <c r="H519" s="421" t="s">
        <v>14</v>
      </c>
      <c r="I519" s="163"/>
      <c r="J519" s="163"/>
      <c r="K519" s="164"/>
      <c r="L519" s="256">
        <f ca="1">L520+L521</f>
        <v>0</v>
      </c>
      <c r="M519" s="255">
        <f ca="1">M520+M521</f>
        <v>0</v>
      </c>
      <c r="N519" s="255">
        <f ca="1">N520+N521</f>
        <v>0</v>
      </c>
      <c r="O519" s="255">
        <f ca="1">IF(L519&gt;0,N519*100/L519,0)</f>
        <v>0</v>
      </c>
      <c r="P519" s="255">
        <f ca="1">IF(M519&gt;0,N519*100/M519,0)</f>
        <v>0</v>
      </c>
      <c r="Q519" s="255">
        <f>Q520+Q521</f>
        <v>0</v>
      </c>
      <c r="R519" s="255">
        <f>R520+R521</f>
        <v>0</v>
      </c>
      <c r="S519" s="255">
        <f>S520+S521</f>
        <v>0</v>
      </c>
      <c r="T519" s="255">
        <f>IF(Q519&gt;0,S519*100/Q519,0)</f>
        <v>0</v>
      </c>
      <c r="U519" s="255">
        <f>IF(R519&gt;0,S519*100/R519,0)</f>
        <v>0</v>
      </c>
    </row>
    <row r="520" spans="1:21" ht="18.75" hidden="1">
      <c r="A520" s="155"/>
      <c r="B520" s="50"/>
      <c r="C520" s="50"/>
      <c r="D520" s="50"/>
      <c r="E520" s="186" t="s">
        <v>20</v>
      </c>
      <c r="F520" s="50"/>
      <c r="G520" s="52"/>
      <c r="H520" s="189" t="s">
        <v>14</v>
      </c>
      <c r="I520" s="163"/>
      <c r="J520" s="163"/>
      <c r="K520" s="164"/>
      <c r="L520" s="103">
        <v>0</v>
      </c>
      <c r="M520" s="102">
        <v>0</v>
      </c>
      <c r="N520" s="102">
        <v>0</v>
      </c>
      <c r="O520" s="102">
        <f>IF(L520&gt;0,N520*100/L520,0)</f>
        <v>0</v>
      </c>
      <c r="P520" s="102">
        <f>IF(M520&gt;0,N520*100/M520,0)</f>
        <v>0</v>
      </c>
      <c r="Q520" s="102">
        <v>0</v>
      </c>
      <c r="R520" s="102">
        <v>0</v>
      </c>
      <c r="S520" s="102">
        <v>0</v>
      </c>
      <c r="T520" s="102">
        <f>IF(Q520&gt;0,S520*100/Q520,0)</f>
        <v>0</v>
      </c>
      <c r="U520" s="102">
        <f>IF(R520&gt;0,S520*100/R520,0)</f>
        <v>0</v>
      </c>
    </row>
    <row r="521" spans="1:21" ht="18.75" hidden="1">
      <c r="A521" s="155"/>
      <c r="B521" s="50"/>
      <c r="C521" s="50"/>
      <c r="D521" s="50"/>
      <c r="E521" s="186" t="s">
        <v>21</v>
      </c>
      <c r="F521" s="50"/>
      <c r="G521" s="52"/>
      <c r="H521" s="421" t="s">
        <v>14</v>
      </c>
      <c r="I521" s="163"/>
      <c r="J521" s="163"/>
      <c r="K521" s="164"/>
      <c r="L521" s="256">
        <f ca="1">IFERROR(__xludf.DUMMYFUNCTION("IMPORTRANGE(""https://docs.google.com/spreadsheets/d/1-uDff_7J0KD5mKrp0Vvzr7lt3OU09vwQwhkpOPPYv2Y/edit?usp=sharing"",""งบพรบ!FP34"")"),0)</f>
        <v>0</v>
      </c>
      <c r="M521" s="255">
        <f ca="1">IFERROR(__xludf.DUMMYFUNCTION("IMPORTRANGE(""https://docs.google.com/spreadsheets/d/1-uDff_7J0KD5mKrp0Vvzr7lt3OU09vwQwhkpOPPYv2Y/edit?usp=sharing"",""งบพรบ!FS34"")"),0)</f>
        <v>0</v>
      </c>
      <c r="N521" s="255">
        <f ca="1">IFERROR(__xludf.DUMMYFUNCTION("IMPORTRANGE(""https://docs.google.com/spreadsheets/d/1-uDff_7J0KD5mKrp0Vvzr7lt3OU09vwQwhkpOPPYv2Y/edit?usp=sharing"",""งบพรบ!FU34"")"),0)</f>
        <v>0</v>
      </c>
      <c r="O521" s="255">
        <f ca="1">IF(L521&gt;0,N521*100/L521,0)</f>
        <v>0</v>
      </c>
      <c r="P521" s="255">
        <f ca="1">IF(M521&gt;0,N521*100/M521,0)</f>
        <v>0</v>
      </c>
      <c r="Q521" s="255">
        <v>0</v>
      </c>
      <c r="R521" s="255">
        <v>0</v>
      </c>
      <c r="S521" s="255">
        <v>0</v>
      </c>
      <c r="T521" s="255">
        <f>IF(Q521&gt;0,S521*100/Q521,0)</f>
        <v>0</v>
      </c>
      <c r="U521" s="255">
        <f>IF(R521&gt;0,S521*100/R521,0)</f>
        <v>0</v>
      </c>
    </row>
    <row r="522" spans="1:21" ht="19.5" hidden="1">
      <c r="A522" s="166"/>
      <c r="B522" s="167"/>
      <c r="C522" s="591" t="s">
        <v>18</v>
      </c>
      <c r="D522" s="574" t="s">
        <v>38</v>
      </c>
      <c r="E522" s="169"/>
      <c r="F522" s="169"/>
      <c r="G522" s="170"/>
      <c r="H522" s="171"/>
      <c r="I522" s="163"/>
      <c r="J522" s="54"/>
      <c r="K522" s="55"/>
      <c r="L522" s="62"/>
      <c r="M522" s="55"/>
      <c r="N522" s="55"/>
      <c r="O522" s="164"/>
      <c r="P522" s="164"/>
      <c r="Q522" s="55"/>
      <c r="R522" s="55"/>
      <c r="S522" s="55"/>
      <c r="T522" s="164"/>
      <c r="U522" s="164"/>
    </row>
    <row r="523" spans="1:21" ht="18.75" hidden="1">
      <c r="A523" s="238"/>
      <c r="B523" s="50"/>
      <c r="C523" s="188"/>
      <c r="D523" s="207" t="s">
        <v>209</v>
      </c>
      <c r="E523" s="167"/>
      <c r="F523" s="50"/>
      <c r="G523" s="52"/>
      <c r="H523" s="590" t="s">
        <v>11</v>
      </c>
      <c r="I523" s="483">
        <v>0</v>
      </c>
      <c r="J523" s="589">
        <v>0</v>
      </c>
      <c r="K523" s="102">
        <f>IF(I523&gt;0,J523*100/I523,0)</f>
        <v>0</v>
      </c>
      <c r="L523" s="62"/>
      <c r="M523" s="55"/>
      <c r="N523" s="55"/>
      <c r="O523" s="55"/>
      <c r="P523" s="55"/>
      <c r="Q523" s="55"/>
      <c r="R523" s="55"/>
      <c r="S523" s="55"/>
      <c r="T523" s="55"/>
      <c r="U523" s="55"/>
    </row>
    <row r="524" spans="1:21" ht="18.75" hidden="1">
      <c r="A524" s="374"/>
      <c r="B524" s="4"/>
      <c r="C524" s="5"/>
      <c r="D524" s="588" t="s">
        <v>210</v>
      </c>
      <c r="E524" s="282"/>
      <c r="F524" s="4"/>
      <c r="G524" s="65"/>
      <c r="H524" s="587" t="s">
        <v>61</v>
      </c>
      <c r="I524" s="486">
        <v>0</v>
      </c>
      <c r="J524" s="586">
        <v>0</v>
      </c>
      <c r="K524" s="585">
        <f>IF(I524&gt;0,J524*100/I524,0)</f>
        <v>0</v>
      </c>
      <c r="L524" s="62"/>
      <c r="M524" s="55"/>
      <c r="N524" s="55"/>
      <c r="O524" s="55"/>
      <c r="P524" s="55"/>
      <c r="Q524" s="55"/>
      <c r="R524" s="55"/>
      <c r="S524" s="55"/>
      <c r="T524" s="55"/>
      <c r="U524" s="55"/>
    </row>
    <row r="525" spans="1:21" ht="12.75" hidden="1">
      <c r="A525" s="584"/>
      <c r="B525" s="583"/>
      <c r="C525" s="583"/>
      <c r="D525" s="582"/>
      <c r="E525" s="582"/>
      <c r="F525" s="582"/>
      <c r="G525" s="581"/>
      <c r="H525" s="580"/>
      <c r="I525" s="579"/>
      <c r="J525" s="579"/>
      <c r="K525" s="578"/>
      <c r="L525" s="265"/>
      <c r="M525" s="264"/>
      <c r="N525" s="264"/>
      <c r="O525" s="264"/>
      <c r="P525" s="264"/>
      <c r="Q525" s="264"/>
      <c r="R525" s="264"/>
      <c r="S525" s="264"/>
      <c r="T525" s="264"/>
      <c r="U525" s="264"/>
    </row>
    <row r="526" spans="1:21" ht="12.75" hidden="1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5"/>
      <c r="M526" s="264"/>
      <c r="N526" s="264"/>
      <c r="O526" s="264"/>
      <c r="P526" s="264"/>
      <c r="Q526" s="264"/>
      <c r="R526" s="264"/>
      <c r="S526" s="264"/>
      <c r="T526" s="264"/>
      <c r="U526" s="264"/>
    </row>
    <row r="527" spans="1:21" ht="12.75" hidden="1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5"/>
      <c r="M527" s="264"/>
      <c r="N527" s="264"/>
      <c r="O527" s="264"/>
      <c r="P527" s="264"/>
      <c r="Q527" s="264"/>
      <c r="R527" s="264"/>
      <c r="S527" s="264"/>
      <c r="T527" s="264"/>
      <c r="U527" s="264"/>
    </row>
    <row r="528" spans="1:21" ht="12.75" hidden="1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5"/>
      <c r="M528" s="264"/>
      <c r="N528" s="264"/>
      <c r="O528" s="264"/>
      <c r="P528" s="264"/>
      <c r="Q528" s="264"/>
      <c r="R528" s="264"/>
      <c r="S528" s="264"/>
      <c r="T528" s="264"/>
      <c r="U528" s="264"/>
    </row>
    <row r="529" spans="1:21" ht="12.75" hidden="1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5"/>
      <c r="M529" s="264"/>
      <c r="N529" s="264"/>
      <c r="O529" s="264"/>
      <c r="P529" s="264"/>
      <c r="Q529" s="264"/>
      <c r="R529" s="264"/>
      <c r="S529" s="264"/>
      <c r="T529" s="264"/>
      <c r="U529" s="264"/>
    </row>
    <row r="530" spans="1:21" ht="12.75" hidden="1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5"/>
      <c r="M530" s="264"/>
      <c r="N530" s="264"/>
      <c r="O530" s="264"/>
      <c r="P530" s="264"/>
      <c r="Q530" s="264"/>
      <c r="R530" s="264"/>
      <c r="S530" s="264"/>
      <c r="T530" s="264"/>
      <c r="U530" s="264"/>
    </row>
    <row r="531" spans="1:21" ht="12.75" hidden="1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5"/>
      <c r="M531" s="264"/>
      <c r="N531" s="264"/>
      <c r="O531" s="264"/>
      <c r="P531" s="264"/>
      <c r="Q531" s="264"/>
      <c r="R531" s="264"/>
      <c r="S531" s="264"/>
      <c r="T531" s="264"/>
      <c r="U531" s="264"/>
    </row>
    <row r="532" spans="1:21" ht="12.75" hidden="1">
      <c r="A532" s="407"/>
      <c r="B532" s="360"/>
      <c r="C532" s="360"/>
      <c r="D532" s="408"/>
      <c r="E532" s="408"/>
      <c r="F532" s="408"/>
      <c r="G532" s="409"/>
      <c r="H532" s="361"/>
      <c r="I532" s="362"/>
      <c r="J532" s="362"/>
      <c r="K532" s="363"/>
      <c r="L532" s="364"/>
      <c r="M532" s="363"/>
      <c r="N532" s="363"/>
      <c r="O532" s="363"/>
      <c r="P532" s="363"/>
      <c r="Q532" s="363"/>
      <c r="R532" s="363"/>
      <c r="S532" s="363"/>
      <c r="T532" s="363"/>
      <c r="U532" s="363"/>
    </row>
    <row r="533" spans="1:21" ht="19.5" hidden="1">
      <c r="A533" s="395"/>
      <c r="B533" s="396" t="s">
        <v>211</v>
      </c>
      <c r="C533" s="397"/>
      <c r="D533" s="398"/>
      <c r="E533" s="398"/>
      <c r="F533" s="398"/>
      <c r="G533" s="399"/>
      <c r="H533" s="410" t="s">
        <v>61</v>
      </c>
      <c r="I533" s="577">
        <f>I545</f>
        <v>0</v>
      </c>
      <c r="J533" s="577">
        <f>J545</f>
        <v>0</v>
      </c>
      <c r="K533" s="576">
        <f>IF(I533&gt;0,J533*100/I533,0)</f>
        <v>0</v>
      </c>
      <c r="L533" s="404"/>
      <c r="M533" s="403"/>
      <c r="N533" s="403"/>
      <c r="O533" s="403"/>
      <c r="P533" s="403"/>
      <c r="Q533" s="403"/>
      <c r="R533" s="403"/>
      <c r="S533" s="403"/>
      <c r="T533" s="403"/>
      <c r="U533" s="403"/>
    </row>
    <row r="534" spans="1:21" ht="19.5" hidden="1">
      <c r="A534" s="155"/>
      <c r="B534" s="50"/>
      <c r="C534" s="156" t="s">
        <v>18</v>
      </c>
      <c r="D534" s="575" t="s">
        <v>19</v>
      </c>
      <c r="E534" s="50"/>
      <c r="F534" s="50"/>
      <c r="G534" s="52"/>
      <c r="H534" s="158" t="s">
        <v>14</v>
      </c>
      <c r="I534" s="54"/>
      <c r="J534" s="54"/>
      <c r="K534" s="55"/>
      <c r="L534" s="541">
        <f>L535+L536</f>
        <v>0</v>
      </c>
      <c r="M534" s="540">
        <f>M535+M536</f>
        <v>0</v>
      </c>
      <c r="N534" s="540">
        <f>N535+N536</f>
        <v>0</v>
      </c>
      <c r="O534" s="540">
        <f>IF(L534&gt;0,N534*100/L534,0)</f>
        <v>0</v>
      </c>
      <c r="P534" s="540">
        <f>IF(M534&gt;0,N534*100/M534,0)</f>
        <v>0</v>
      </c>
      <c r="Q534" s="540">
        <f>Q535+Q536</f>
        <v>0</v>
      </c>
      <c r="R534" s="540">
        <f>R535+R536</f>
        <v>0</v>
      </c>
      <c r="S534" s="540">
        <f>S535+S536</f>
        <v>0</v>
      </c>
      <c r="T534" s="540">
        <f>IF(Q534&gt;0,S534*100/Q534,0)</f>
        <v>0</v>
      </c>
      <c r="U534" s="540">
        <f>IF(R534&gt;0,S534*100/R534,0)</f>
        <v>0</v>
      </c>
    </row>
    <row r="535" spans="1:21" ht="18.75" hidden="1">
      <c r="A535" s="155"/>
      <c r="B535" s="188"/>
      <c r="C535" s="50"/>
      <c r="D535" s="50"/>
      <c r="E535" s="186" t="s">
        <v>20</v>
      </c>
      <c r="F535" s="50"/>
      <c r="G535" s="52"/>
      <c r="H535" s="187" t="s">
        <v>14</v>
      </c>
      <c r="I535" s="54"/>
      <c r="J535" s="54"/>
      <c r="K535" s="55"/>
      <c r="L535" s="103">
        <f>L538+L541</f>
        <v>0</v>
      </c>
      <c r="M535" s="102">
        <f>M538+M541</f>
        <v>0</v>
      </c>
      <c r="N535" s="102">
        <f>N538+N541</f>
        <v>0</v>
      </c>
      <c r="O535" s="102">
        <f>IF(L535&gt;0,N535*100/L535,0)</f>
        <v>0</v>
      </c>
      <c r="P535" s="102">
        <f>IF(M535&gt;0,N535*100/M535,0)</f>
        <v>0</v>
      </c>
      <c r="Q535" s="102">
        <f>Q538+Q541</f>
        <v>0</v>
      </c>
      <c r="R535" s="102">
        <f>R538+R541</f>
        <v>0</v>
      </c>
      <c r="S535" s="102">
        <f>S538+S541</f>
        <v>0</v>
      </c>
      <c r="T535" s="102">
        <f>IF(Q535&gt;0,S535*100/Q535,0)</f>
        <v>0</v>
      </c>
      <c r="U535" s="102">
        <f>IF(R535&gt;0,S535*100/R535,0)</f>
        <v>0</v>
      </c>
    </row>
    <row r="536" spans="1:21" ht="18.75" hidden="1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256">
        <f>L539+L542</f>
        <v>0</v>
      </c>
      <c r="M536" s="255">
        <f>M539+M542</f>
        <v>0</v>
      </c>
      <c r="N536" s="255">
        <f>N539+N542</f>
        <v>0</v>
      </c>
      <c r="O536" s="255">
        <f>IF(L536&gt;0,N536*100/L536,0)</f>
        <v>0</v>
      </c>
      <c r="P536" s="255">
        <f>IF(M536&gt;0,N536*100/M536,0)</f>
        <v>0</v>
      </c>
      <c r="Q536" s="255">
        <f>Q539+Q542</f>
        <v>0</v>
      </c>
      <c r="R536" s="255">
        <f>R539+R542</f>
        <v>0</v>
      </c>
      <c r="S536" s="255">
        <f>S539+S542</f>
        <v>0</v>
      </c>
      <c r="T536" s="255">
        <f>IF(Q536&gt;0,S536*100/Q536,0)</f>
        <v>0</v>
      </c>
      <c r="U536" s="255">
        <f>IF(R536&gt;0,S536*100/R536,0)</f>
        <v>0</v>
      </c>
    </row>
    <row r="537" spans="1:21" ht="18.75" hidden="1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256">
        <f>L538+L539</f>
        <v>0</v>
      </c>
      <c r="M537" s="255">
        <f>M538+M539</f>
        <v>0</v>
      </c>
      <c r="N537" s="255">
        <f>N538+N539</f>
        <v>0</v>
      </c>
      <c r="O537" s="255">
        <f>IF(L537&gt;0,N537*100/L537,0)</f>
        <v>0</v>
      </c>
      <c r="P537" s="255">
        <f>IF(M537&gt;0,N537*100/M537,0)</f>
        <v>0</v>
      </c>
      <c r="Q537" s="255">
        <f>Q538+Q539</f>
        <v>0</v>
      </c>
      <c r="R537" s="255">
        <f>R538+R539</f>
        <v>0</v>
      </c>
      <c r="S537" s="255">
        <f>S538+S539</f>
        <v>0</v>
      </c>
      <c r="T537" s="255">
        <f>IF(Q537&gt;0,S537*100/Q537,0)</f>
        <v>0</v>
      </c>
      <c r="U537" s="255">
        <f>IF(R537&gt;0,S537*100/R537,0)</f>
        <v>0</v>
      </c>
    </row>
    <row r="538" spans="1:21" ht="18.75" hidden="1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103">
        <v>0</v>
      </c>
      <c r="M538" s="102">
        <v>0</v>
      </c>
      <c r="N538" s="102">
        <v>0</v>
      </c>
      <c r="O538" s="102">
        <f>IF(L538&gt;0,N538*100/L538,0)</f>
        <v>0</v>
      </c>
      <c r="P538" s="102">
        <f>IF(M538&gt;0,N538*100/M538,0)</f>
        <v>0</v>
      </c>
      <c r="Q538" s="102">
        <v>0</v>
      </c>
      <c r="R538" s="102">
        <v>0</v>
      </c>
      <c r="S538" s="102">
        <v>0</v>
      </c>
      <c r="T538" s="102">
        <f>IF(Q538&gt;0,S538*100/Q538,0)</f>
        <v>0</v>
      </c>
      <c r="U538" s="102">
        <f>IF(R538&gt;0,S538*100/R538,0)</f>
        <v>0</v>
      </c>
    </row>
    <row r="539" spans="1:21" ht="18.75" hidden="1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256">
        <v>0</v>
      </c>
      <c r="M539" s="255">
        <v>0</v>
      </c>
      <c r="N539" s="255">
        <v>0</v>
      </c>
      <c r="O539" s="255">
        <f>IF(L539&gt;0,N539*100/L539,0)</f>
        <v>0</v>
      </c>
      <c r="P539" s="255">
        <f>IF(M539&gt;0,N539*100/M539,0)</f>
        <v>0</v>
      </c>
      <c r="Q539" s="255">
        <v>0</v>
      </c>
      <c r="R539" s="255">
        <v>0</v>
      </c>
      <c r="S539" s="255">
        <v>0</v>
      </c>
      <c r="T539" s="255">
        <f>IF(Q539&gt;0,S539*100/Q539,0)</f>
        <v>0</v>
      </c>
      <c r="U539" s="255">
        <f>IF(R539&gt;0,S539*100/R539,0)</f>
        <v>0</v>
      </c>
    </row>
    <row r="540" spans="1:21" ht="18.75" hidden="1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256">
        <f>L541+L542</f>
        <v>0</v>
      </c>
      <c r="M540" s="255">
        <f>M541+M542</f>
        <v>0</v>
      </c>
      <c r="N540" s="255">
        <f>N541+N542</f>
        <v>0</v>
      </c>
      <c r="O540" s="255">
        <f>IF(L540&gt;0,N540*100/L540,0)</f>
        <v>0</v>
      </c>
      <c r="P540" s="255">
        <f>IF(M540&gt;0,N540*100/M540,0)</f>
        <v>0</v>
      </c>
      <c r="Q540" s="255">
        <f>Q541+Q542</f>
        <v>0</v>
      </c>
      <c r="R540" s="255">
        <f>R541+R542</f>
        <v>0</v>
      </c>
      <c r="S540" s="255">
        <f>S541+S542</f>
        <v>0</v>
      </c>
      <c r="T540" s="255">
        <f>IF(Q540&gt;0,S540*100/Q540,0)</f>
        <v>0</v>
      </c>
      <c r="U540" s="255">
        <f>IF(R540&gt;0,S540*100/R540,0)</f>
        <v>0</v>
      </c>
    </row>
    <row r="541" spans="1:21" ht="18.75" hidden="1">
      <c r="A541" s="155"/>
      <c r="B541" s="50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103">
        <v>0</v>
      </c>
      <c r="M541" s="102">
        <v>0</v>
      </c>
      <c r="N541" s="102">
        <v>0</v>
      </c>
      <c r="O541" s="102">
        <f>IF(L541&gt;0,N541*100/L541,0)</f>
        <v>0</v>
      </c>
      <c r="P541" s="102">
        <f>IF(M541&gt;0,N541*100/M541,0)</f>
        <v>0</v>
      </c>
      <c r="Q541" s="102">
        <v>0</v>
      </c>
      <c r="R541" s="102">
        <v>0</v>
      </c>
      <c r="S541" s="102">
        <v>0</v>
      </c>
      <c r="T541" s="102">
        <f>IF(Q541&gt;0,S541*100/Q541,0)</f>
        <v>0</v>
      </c>
      <c r="U541" s="102">
        <f>IF(R541&gt;0,S541*100/R541,0)</f>
        <v>0</v>
      </c>
    </row>
    <row r="542" spans="1:21" ht="18.75" hidden="1">
      <c r="A542" s="155"/>
      <c r="B542" s="50"/>
      <c r="C542" s="50"/>
      <c r="D542" s="50"/>
      <c r="E542" s="58" t="s">
        <v>21</v>
      </c>
      <c r="F542" s="50"/>
      <c r="G542" s="52"/>
      <c r="H542" s="165" t="s">
        <v>14</v>
      </c>
      <c r="I542" s="163"/>
      <c r="J542" s="163"/>
      <c r="K542" s="164"/>
      <c r="L542" s="256">
        <v>0</v>
      </c>
      <c r="M542" s="255">
        <v>0</v>
      </c>
      <c r="N542" s="255">
        <v>0</v>
      </c>
      <c r="O542" s="255">
        <f>IF(L542&gt;0,N542*100/L542,0)</f>
        <v>0</v>
      </c>
      <c r="P542" s="255">
        <f>IF(M542&gt;0,N542*100/M542,0)</f>
        <v>0</v>
      </c>
      <c r="Q542" s="255">
        <v>0</v>
      </c>
      <c r="R542" s="255">
        <v>0</v>
      </c>
      <c r="S542" s="255">
        <v>0</v>
      </c>
      <c r="T542" s="255">
        <f>IF(Q542&gt;0,S542*100/Q542,0)</f>
        <v>0</v>
      </c>
      <c r="U542" s="255">
        <f>IF(R542&gt;0,S542*100/R542,0)</f>
        <v>0</v>
      </c>
    </row>
    <row r="543" spans="1:21" ht="19.5" hidden="1">
      <c r="A543" s="166"/>
      <c r="B543" s="167"/>
      <c r="C543" s="411" t="s">
        <v>18</v>
      </c>
      <c r="D543" s="566" t="s">
        <v>38</v>
      </c>
      <c r="E543" s="169"/>
      <c r="F543" s="169"/>
      <c r="G543" s="170"/>
      <c r="H543" s="171"/>
      <c r="I543" s="163"/>
      <c r="J543" s="54"/>
      <c r="K543" s="55"/>
      <c r="L543" s="62"/>
      <c r="M543" s="55"/>
      <c r="N543" s="55"/>
      <c r="O543" s="164"/>
      <c r="P543" s="164"/>
      <c r="Q543" s="55"/>
      <c r="R543" s="55"/>
      <c r="S543" s="55"/>
      <c r="T543" s="164"/>
      <c r="U543" s="164"/>
    </row>
    <row r="544" spans="1:21" ht="12.75" hidden="1">
      <c r="A544" s="258"/>
      <c r="B544" s="260"/>
      <c r="C544" s="259"/>
      <c r="D544" s="260"/>
      <c r="E544" s="259"/>
      <c r="F544" s="260"/>
      <c r="G544" s="261"/>
      <c r="H544" s="261"/>
      <c r="I544" s="263"/>
      <c r="J544" s="263"/>
      <c r="K544" s="264"/>
      <c r="L544" s="265"/>
      <c r="M544" s="264"/>
      <c r="N544" s="264"/>
      <c r="O544" s="264"/>
      <c r="P544" s="264"/>
      <c r="Q544" s="264"/>
      <c r="R544" s="264"/>
      <c r="S544" s="264"/>
      <c r="T544" s="264"/>
      <c r="U544" s="264"/>
    </row>
    <row r="545" spans="1:21" ht="12.75" hidden="1">
      <c r="A545" s="258"/>
      <c r="B545" s="260"/>
      <c r="C545" s="259"/>
      <c r="D545" s="260"/>
      <c r="E545" s="259"/>
      <c r="F545" s="260"/>
      <c r="G545" s="261"/>
      <c r="H545" s="261"/>
      <c r="I545" s="263"/>
      <c r="J545" s="263"/>
      <c r="K545" s="264"/>
      <c r="L545" s="265"/>
      <c r="M545" s="264"/>
      <c r="N545" s="264"/>
      <c r="O545" s="264"/>
      <c r="P545" s="264"/>
      <c r="Q545" s="264"/>
      <c r="R545" s="264"/>
      <c r="S545" s="264"/>
      <c r="T545" s="264"/>
      <c r="U545" s="264"/>
    </row>
    <row r="546" spans="1:21" ht="12.75" hidden="1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5"/>
      <c r="M546" s="264"/>
      <c r="N546" s="264"/>
      <c r="O546" s="264"/>
      <c r="P546" s="264"/>
      <c r="Q546" s="264"/>
      <c r="R546" s="264"/>
      <c r="S546" s="264"/>
      <c r="T546" s="264"/>
      <c r="U546" s="264"/>
    </row>
    <row r="547" spans="1:21" ht="12.75" hidden="1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5"/>
      <c r="M547" s="264"/>
      <c r="N547" s="264"/>
      <c r="O547" s="264"/>
      <c r="P547" s="264"/>
      <c r="Q547" s="264"/>
      <c r="R547" s="264"/>
      <c r="S547" s="264"/>
      <c r="T547" s="264"/>
      <c r="U547" s="264"/>
    </row>
    <row r="548" spans="1:21" ht="12.75" hidden="1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5"/>
      <c r="M548" s="264"/>
      <c r="N548" s="264"/>
      <c r="O548" s="264"/>
      <c r="P548" s="264"/>
      <c r="Q548" s="264"/>
      <c r="R548" s="264"/>
      <c r="S548" s="264"/>
      <c r="T548" s="264"/>
      <c r="U548" s="264"/>
    </row>
    <row r="549" spans="1:21" ht="12.75" hidden="1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5"/>
      <c r="M549" s="264"/>
      <c r="N549" s="264"/>
      <c r="O549" s="264"/>
      <c r="P549" s="264"/>
      <c r="Q549" s="264"/>
      <c r="R549" s="264"/>
      <c r="S549" s="264"/>
      <c r="T549" s="264"/>
      <c r="U549" s="264"/>
    </row>
    <row r="550" spans="1:21" ht="12.75" hidden="1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5"/>
      <c r="M550" s="264"/>
      <c r="N550" s="264"/>
      <c r="O550" s="264"/>
      <c r="P550" s="264"/>
      <c r="Q550" s="264"/>
      <c r="R550" s="264"/>
      <c r="S550" s="264"/>
      <c r="T550" s="264"/>
      <c r="U550" s="264"/>
    </row>
    <row r="551" spans="1:21" ht="12.75" hidden="1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5"/>
      <c r="M551" s="264"/>
      <c r="N551" s="264"/>
      <c r="O551" s="264"/>
      <c r="P551" s="264"/>
      <c r="Q551" s="264"/>
      <c r="R551" s="264"/>
      <c r="S551" s="264"/>
      <c r="T551" s="264"/>
      <c r="U551" s="264"/>
    </row>
    <row r="552" spans="1:21" ht="12.75" hidden="1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5"/>
      <c r="M552" s="264"/>
      <c r="N552" s="264"/>
      <c r="O552" s="264"/>
      <c r="P552" s="264"/>
      <c r="Q552" s="264"/>
      <c r="R552" s="264"/>
      <c r="S552" s="264"/>
      <c r="T552" s="264"/>
      <c r="U552" s="264"/>
    </row>
    <row r="553" spans="1:21" ht="12.75" hidden="1">
      <c r="A553" s="407"/>
      <c r="B553" s="360"/>
      <c r="C553" s="360"/>
      <c r="D553" s="408"/>
      <c r="E553" s="408"/>
      <c r="F553" s="408"/>
      <c r="G553" s="409"/>
      <c r="H553" s="361"/>
      <c r="I553" s="362"/>
      <c r="J553" s="362"/>
      <c r="K553" s="363"/>
      <c r="L553" s="364"/>
      <c r="M553" s="363"/>
      <c r="N553" s="363"/>
      <c r="O553" s="363"/>
      <c r="P553" s="363"/>
      <c r="Q553" s="363"/>
      <c r="R553" s="363"/>
      <c r="S553" s="363"/>
      <c r="T553" s="363"/>
      <c r="U553" s="363"/>
    </row>
    <row r="554" spans="1:21" ht="19.5" hidden="1">
      <c r="A554" s="395"/>
      <c r="B554" s="396" t="s">
        <v>212</v>
      </c>
      <c r="C554" s="397"/>
      <c r="D554" s="398"/>
      <c r="E554" s="398"/>
      <c r="F554" s="398"/>
      <c r="G554" s="399"/>
      <c r="H554" s="410" t="s">
        <v>61</v>
      </c>
      <c r="I554" s="577">
        <f>I566</f>
        <v>0</v>
      </c>
      <c r="J554" s="577">
        <f>J566</f>
        <v>0</v>
      </c>
      <c r="K554" s="576">
        <f>IF(I554&gt;0,J554*100/I554,0)</f>
        <v>0</v>
      </c>
      <c r="L554" s="404"/>
      <c r="M554" s="403"/>
      <c r="N554" s="403"/>
      <c r="O554" s="403"/>
      <c r="P554" s="403"/>
      <c r="Q554" s="403"/>
      <c r="R554" s="403"/>
      <c r="S554" s="403"/>
      <c r="T554" s="403"/>
      <c r="U554" s="403"/>
    </row>
    <row r="555" spans="1:21" ht="19.5" hidden="1">
      <c r="A555" s="155"/>
      <c r="B555" s="50"/>
      <c r="C555" s="156" t="s">
        <v>18</v>
      </c>
      <c r="D555" s="575" t="s">
        <v>19</v>
      </c>
      <c r="E555" s="50"/>
      <c r="F555" s="50"/>
      <c r="G555" s="52"/>
      <c r="H555" s="158" t="s">
        <v>14</v>
      </c>
      <c r="I555" s="54"/>
      <c r="J555" s="54"/>
      <c r="K555" s="55"/>
      <c r="L555" s="541">
        <f>L556+L557</f>
        <v>0</v>
      </c>
      <c r="M555" s="540">
        <f>M556+M557</f>
        <v>0</v>
      </c>
      <c r="N555" s="540">
        <f>N556+N557</f>
        <v>0</v>
      </c>
      <c r="O555" s="540">
        <f>IF(L555&gt;0,N555*100/L555,0)</f>
        <v>0</v>
      </c>
      <c r="P555" s="540">
        <f>IF(M555&gt;0,N555*100/M555,0)</f>
        <v>0</v>
      </c>
      <c r="Q555" s="540">
        <f>Q556+Q557</f>
        <v>0</v>
      </c>
      <c r="R555" s="540">
        <f>R556+R557</f>
        <v>0</v>
      </c>
      <c r="S555" s="540">
        <f>S556+S557</f>
        <v>0</v>
      </c>
      <c r="T555" s="540">
        <f>IF(Q555&gt;0,S555*100/Q555,0)</f>
        <v>0</v>
      </c>
      <c r="U555" s="540">
        <f>IF(R555&gt;0,S555*100/R555,0)</f>
        <v>0</v>
      </c>
    </row>
    <row r="556" spans="1:21" ht="18.75" hidden="1">
      <c r="A556" s="155"/>
      <c r="B556" s="188"/>
      <c r="C556" s="50"/>
      <c r="D556" s="50"/>
      <c r="E556" s="186" t="s">
        <v>20</v>
      </c>
      <c r="F556" s="50"/>
      <c r="G556" s="52"/>
      <c r="H556" s="187" t="s">
        <v>14</v>
      </c>
      <c r="I556" s="54"/>
      <c r="J556" s="54"/>
      <c r="K556" s="55"/>
      <c r="L556" s="103">
        <f>L559+L562</f>
        <v>0</v>
      </c>
      <c r="M556" s="102">
        <f>M559+M562</f>
        <v>0</v>
      </c>
      <c r="N556" s="102">
        <f>N559+N562</f>
        <v>0</v>
      </c>
      <c r="O556" s="102">
        <f>IF(L556&gt;0,N556*100/L556,0)</f>
        <v>0</v>
      </c>
      <c r="P556" s="102">
        <f>IF(M556&gt;0,N556*100/M556,0)</f>
        <v>0</v>
      </c>
      <c r="Q556" s="102">
        <f>Q559+Q562</f>
        <v>0</v>
      </c>
      <c r="R556" s="102">
        <f>R559+R562</f>
        <v>0</v>
      </c>
      <c r="S556" s="102">
        <f>S559+S562</f>
        <v>0</v>
      </c>
      <c r="T556" s="102">
        <f>IF(Q556&gt;0,S556*100/Q556,0)</f>
        <v>0</v>
      </c>
      <c r="U556" s="102">
        <f>IF(R556&gt;0,S556*100/R556,0)</f>
        <v>0</v>
      </c>
    </row>
    <row r="557" spans="1:21" ht="18.75" hidden="1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256">
        <f>L560+L563</f>
        <v>0</v>
      </c>
      <c r="M557" s="255">
        <f>M560+M563</f>
        <v>0</v>
      </c>
      <c r="N557" s="255">
        <f>N560+N563</f>
        <v>0</v>
      </c>
      <c r="O557" s="255">
        <f>IF(L557&gt;0,N557*100/L557,0)</f>
        <v>0</v>
      </c>
      <c r="P557" s="255">
        <f>IF(M557&gt;0,N557*100/M557,0)</f>
        <v>0</v>
      </c>
      <c r="Q557" s="255">
        <f>Q560+Q563</f>
        <v>0</v>
      </c>
      <c r="R557" s="255">
        <f>R560+R563</f>
        <v>0</v>
      </c>
      <c r="S557" s="255">
        <f>S560+S563</f>
        <v>0</v>
      </c>
      <c r="T557" s="255">
        <f>IF(Q557&gt;0,S557*100/Q557,0)</f>
        <v>0</v>
      </c>
      <c r="U557" s="255">
        <f>IF(R557&gt;0,S557*100/R557,0)</f>
        <v>0</v>
      </c>
    </row>
    <row r="558" spans="1:21" ht="18.75" hidden="1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256">
        <f>L559+L560</f>
        <v>0</v>
      </c>
      <c r="M558" s="255">
        <f>M559+M560</f>
        <v>0</v>
      </c>
      <c r="N558" s="255">
        <f>N559+N560</f>
        <v>0</v>
      </c>
      <c r="O558" s="255">
        <f>IF(L558&gt;0,N558*100/L558,0)</f>
        <v>0</v>
      </c>
      <c r="P558" s="255">
        <f>IF(M558&gt;0,N558*100/M558,0)</f>
        <v>0</v>
      </c>
      <c r="Q558" s="255">
        <f>Q559+Q560</f>
        <v>0</v>
      </c>
      <c r="R558" s="255">
        <f>R559+R560</f>
        <v>0</v>
      </c>
      <c r="S558" s="255">
        <f>S559+S560</f>
        <v>0</v>
      </c>
      <c r="T558" s="255">
        <f>IF(Q558&gt;0,S558*100/Q558,0)</f>
        <v>0</v>
      </c>
      <c r="U558" s="255">
        <f>IF(R558&gt;0,S558*100/R558,0)</f>
        <v>0</v>
      </c>
    </row>
    <row r="559" spans="1:21" ht="18.75" hidden="1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103">
        <v>0</v>
      </c>
      <c r="M559" s="102">
        <v>0</v>
      </c>
      <c r="N559" s="102">
        <v>0</v>
      </c>
      <c r="O559" s="102">
        <f>IF(L559&gt;0,N559*100/L559,0)</f>
        <v>0</v>
      </c>
      <c r="P559" s="102">
        <f>IF(M559&gt;0,N559*100/M559,0)</f>
        <v>0</v>
      </c>
      <c r="Q559" s="102">
        <v>0</v>
      </c>
      <c r="R559" s="102">
        <v>0</v>
      </c>
      <c r="S559" s="102">
        <v>0</v>
      </c>
      <c r="T559" s="102">
        <f>IF(Q559&gt;0,S559*100/Q559,0)</f>
        <v>0</v>
      </c>
      <c r="U559" s="102">
        <f>IF(R559&gt;0,S559*100/R559,0)</f>
        <v>0</v>
      </c>
    </row>
    <row r="560" spans="1:21" ht="18.75" hidden="1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256">
        <v>0</v>
      </c>
      <c r="M560" s="255">
        <v>0</v>
      </c>
      <c r="N560" s="255">
        <v>0</v>
      </c>
      <c r="O560" s="255">
        <f>IF(L560&gt;0,N560*100/L560,0)</f>
        <v>0</v>
      </c>
      <c r="P560" s="255">
        <f>IF(M560&gt;0,N560*100/M560,0)</f>
        <v>0</v>
      </c>
      <c r="Q560" s="255">
        <v>0</v>
      </c>
      <c r="R560" s="255">
        <v>0</v>
      </c>
      <c r="S560" s="255">
        <v>0</v>
      </c>
      <c r="T560" s="255">
        <f>IF(Q560&gt;0,S560*100/Q560,0)</f>
        <v>0</v>
      </c>
      <c r="U560" s="255">
        <f>IF(R560&gt;0,S560*100/R560,0)</f>
        <v>0</v>
      </c>
    </row>
    <row r="561" spans="1:21" ht="18.75" hidden="1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256">
        <f>L562+L563</f>
        <v>0</v>
      </c>
      <c r="M561" s="255">
        <f>M562+M563</f>
        <v>0</v>
      </c>
      <c r="N561" s="255">
        <f>N562+N563</f>
        <v>0</v>
      </c>
      <c r="O561" s="255">
        <f>IF(L561&gt;0,N561*100/L561,0)</f>
        <v>0</v>
      </c>
      <c r="P561" s="255">
        <f>IF(M561&gt;0,N561*100/M561,0)</f>
        <v>0</v>
      </c>
      <c r="Q561" s="255">
        <f>Q562+Q563</f>
        <v>0</v>
      </c>
      <c r="R561" s="255">
        <f>R562+R563</f>
        <v>0</v>
      </c>
      <c r="S561" s="255">
        <f>S562+S563</f>
        <v>0</v>
      </c>
      <c r="T561" s="255">
        <f>IF(Q561&gt;0,S561*100/Q561,0)</f>
        <v>0</v>
      </c>
      <c r="U561" s="255">
        <f>IF(R561&gt;0,S561*100/R561,0)</f>
        <v>0</v>
      </c>
    </row>
    <row r="562" spans="1:21" ht="18.75" hidden="1">
      <c r="A562" s="155"/>
      <c r="B562" s="50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103">
        <v>0</v>
      </c>
      <c r="M562" s="102">
        <v>0</v>
      </c>
      <c r="N562" s="102">
        <v>0</v>
      </c>
      <c r="O562" s="102">
        <f>IF(L562&gt;0,N562*100/L562,0)</f>
        <v>0</v>
      </c>
      <c r="P562" s="102">
        <f>IF(M562&gt;0,N562*100/M562,0)</f>
        <v>0</v>
      </c>
      <c r="Q562" s="102">
        <v>0</v>
      </c>
      <c r="R562" s="102">
        <v>0</v>
      </c>
      <c r="S562" s="102">
        <v>0</v>
      </c>
      <c r="T562" s="102">
        <f>IF(Q562&gt;0,S562*100/Q562,0)</f>
        <v>0</v>
      </c>
      <c r="U562" s="102">
        <f>IF(R562&gt;0,S562*100/R562,0)</f>
        <v>0</v>
      </c>
    </row>
    <row r="563" spans="1:21" ht="18.75" hidden="1">
      <c r="A563" s="155"/>
      <c r="B563" s="50"/>
      <c r="C563" s="50"/>
      <c r="D563" s="50"/>
      <c r="E563" s="58" t="s">
        <v>21</v>
      </c>
      <c r="F563" s="50"/>
      <c r="G563" s="52"/>
      <c r="H563" s="165" t="s">
        <v>14</v>
      </c>
      <c r="I563" s="163"/>
      <c r="J563" s="163"/>
      <c r="K563" s="164"/>
      <c r="L563" s="256">
        <v>0</v>
      </c>
      <c r="M563" s="255">
        <v>0</v>
      </c>
      <c r="N563" s="255">
        <v>0</v>
      </c>
      <c r="O563" s="255">
        <f>IF(L563&gt;0,N563*100/L563,0)</f>
        <v>0</v>
      </c>
      <c r="P563" s="255">
        <f>IF(M563&gt;0,N563*100/M563,0)</f>
        <v>0</v>
      </c>
      <c r="Q563" s="255">
        <v>0</v>
      </c>
      <c r="R563" s="255">
        <v>0</v>
      </c>
      <c r="S563" s="255">
        <v>0</v>
      </c>
      <c r="T563" s="255">
        <f>IF(Q563&gt;0,S563*100/Q563,0)</f>
        <v>0</v>
      </c>
      <c r="U563" s="255">
        <f>IF(R563&gt;0,S563*100/R563,0)</f>
        <v>0</v>
      </c>
    </row>
    <row r="564" spans="1:21" ht="19.5" hidden="1">
      <c r="A564" s="166"/>
      <c r="B564" s="167"/>
      <c r="C564" s="411" t="s">
        <v>18</v>
      </c>
      <c r="D564" s="566" t="s">
        <v>38</v>
      </c>
      <c r="E564" s="169"/>
      <c r="F564" s="169"/>
      <c r="G564" s="170"/>
      <c r="H564" s="171"/>
      <c r="I564" s="163"/>
      <c r="J564" s="54"/>
      <c r="K564" s="55"/>
      <c r="L564" s="62"/>
      <c r="M564" s="55"/>
      <c r="N564" s="55"/>
      <c r="O564" s="164"/>
      <c r="P564" s="164"/>
      <c r="Q564" s="55"/>
      <c r="R564" s="55"/>
      <c r="S564" s="55"/>
      <c r="T564" s="164"/>
      <c r="U564" s="164"/>
    </row>
    <row r="565" spans="1:21" ht="12.75" hidden="1">
      <c r="A565" s="258"/>
      <c r="B565" s="260"/>
      <c r="C565" s="259"/>
      <c r="D565" s="260"/>
      <c r="E565" s="259"/>
      <c r="F565" s="260"/>
      <c r="G565" s="261"/>
      <c r="H565" s="261"/>
      <c r="I565" s="263"/>
      <c r="J565" s="263"/>
      <c r="K565" s="264"/>
      <c r="L565" s="265"/>
      <c r="M565" s="264"/>
      <c r="N565" s="264"/>
      <c r="O565" s="264"/>
      <c r="P565" s="264"/>
      <c r="Q565" s="264"/>
      <c r="R565" s="264"/>
      <c r="S565" s="264"/>
      <c r="T565" s="264"/>
      <c r="U565" s="264"/>
    </row>
    <row r="566" spans="1:21" ht="12.75" hidden="1">
      <c r="A566" s="258"/>
      <c r="B566" s="260"/>
      <c r="C566" s="259"/>
      <c r="D566" s="260"/>
      <c r="E566" s="259"/>
      <c r="F566" s="260"/>
      <c r="G566" s="261"/>
      <c r="H566" s="261"/>
      <c r="I566" s="263"/>
      <c r="J566" s="263"/>
      <c r="K566" s="264"/>
      <c r="L566" s="265"/>
      <c r="M566" s="264"/>
      <c r="N566" s="264"/>
      <c r="O566" s="264"/>
      <c r="P566" s="264"/>
      <c r="Q566" s="264"/>
      <c r="R566" s="264"/>
      <c r="S566" s="264"/>
      <c r="T566" s="264"/>
      <c r="U566" s="264"/>
    </row>
    <row r="567" spans="1:21" ht="12.75" hidden="1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5"/>
      <c r="M567" s="264"/>
      <c r="N567" s="264"/>
      <c r="O567" s="264"/>
      <c r="P567" s="264"/>
      <c r="Q567" s="264"/>
      <c r="R567" s="264"/>
      <c r="S567" s="264"/>
      <c r="T567" s="264"/>
      <c r="U567" s="264"/>
    </row>
    <row r="568" spans="1:21" ht="12.75" hidden="1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5"/>
      <c r="M568" s="264"/>
      <c r="N568" s="264"/>
      <c r="O568" s="264"/>
      <c r="P568" s="264"/>
      <c r="Q568" s="264"/>
      <c r="R568" s="264"/>
      <c r="S568" s="264"/>
      <c r="T568" s="264"/>
      <c r="U568" s="264"/>
    </row>
    <row r="569" spans="1:21" ht="12.75" hidden="1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5"/>
      <c r="M569" s="264"/>
      <c r="N569" s="264"/>
      <c r="O569" s="264"/>
      <c r="P569" s="264"/>
      <c r="Q569" s="264"/>
      <c r="R569" s="264"/>
      <c r="S569" s="264"/>
      <c r="T569" s="264"/>
      <c r="U569" s="264"/>
    </row>
    <row r="570" spans="1:21" ht="12.75" hidden="1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5"/>
      <c r="M570" s="264"/>
      <c r="N570" s="264"/>
      <c r="O570" s="264"/>
      <c r="P570" s="264"/>
      <c r="Q570" s="264"/>
      <c r="R570" s="264"/>
      <c r="S570" s="264"/>
      <c r="T570" s="264"/>
      <c r="U570" s="264"/>
    </row>
    <row r="571" spans="1:21" ht="12.75" hidden="1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5"/>
      <c r="M571" s="264"/>
      <c r="N571" s="264"/>
      <c r="O571" s="264"/>
      <c r="P571" s="264"/>
      <c r="Q571" s="264"/>
      <c r="R571" s="264"/>
      <c r="S571" s="264"/>
      <c r="T571" s="264"/>
      <c r="U571" s="264"/>
    </row>
    <row r="572" spans="1:21" ht="12.75" hidden="1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5"/>
      <c r="M572" s="264"/>
      <c r="N572" s="264"/>
      <c r="O572" s="264"/>
      <c r="P572" s="264"/>
      <c r="Q572" s="264"/>
      <c r="R572" s="264"/>
      <c r="S572" s="264"/>
      <c r="T572" s="264"/>
      <c r="U572" s="264"/>
    </row>
    <row r="573" spans="1:21" ht="12.75" hidden="1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5"/>
      <c r="M573" s="264"/>
      <c r="N573" s="264"/>
      <c r="O573" s="264"/>
      <c r="P573" s="264"/>
      <c r="Q573" s="264"/>
      <c r="R573" s="264"/>
      <c r="S573" s="264"/>
      <c r="T573" s="264"/>
      <c r="U573" s="264"/>
    </row>
    <row r="574" spans="1:21" ht="12.75" hidden="1">
      <c r="A574" s="407"/>
      <c r="B574" s="360"/>
      <c r="C574" s="360"/>
      <c r="D574" s="408"/>
      <c r="E574" s="408"/>
      <c r="F574" s="408"/>
      <c r="G574" s="409"/>
      <c r="H574" s="361"/>
      <c r="I574" s="362"/>
      <c r="J574" s="362"/>
      <c r="K574" s="363"/>
      <c r="L574" s="364"/>
      <c r="M574" s="363"/>
      <c r="N574" s="363"/>
      <c r="O574" s="363"/>
      <c r="P574" s="363"/>
      <c r="Q574" s="363"/>
      <c r="R574" s="363"/>
      <c r="S574" s="363"/>
      <c r="T574" s="363"/>
      <c r="U574" s="363"/>
    </row>
    <row r="575" spans="1:21" ht="19.5" hidden="1">
      <c r="A575" s="395"/>
      <c r="B575" s="396" t="s">
        <v>213</v>
      </c>
      <c r="C575" s="397"/>
      <c r="D575" s="398"/>
      <c r="E575" s="398"/>
      <c r="F575" s="398"/>
      <c r="G575" s="399"/>
      <c r="H575" s="410" t="s">
        <v>61</v>
      </c>
      <c r="I575" s="577">
        <f>I587</f>
        <v>0</v>
      </c>
      <c r="J575" s="577">
        <f>J587</f>
        <v>0</v>
      </c>
      <c r="K575" s="576">
        <f>IF(I575&gt;0,J575*100/I575,0)</f>
        <v>0</v>
      </c>
      <c r="L575" s="404"/>
      <c r="M575" s="403"/>
      <c r="N575" s="403"/>
      <c r="O575" s="403"/>
      <c r="P575" s="403"/>
      <c r="Q575" s="403"/>
      <c r="R575" s="403"/>
      <c r="S575" s="403"/>
      <c r="T575" s="403"/>
      <c r="U575" s="403"/>
    </row>
    <row r="576" spans="1:21" ht="19.5" hidden="1">
      <c r="A576" s="155"/>
      <c r="B576" s="50"/>
      <c r="C576" s="156" t="s">
        <v>18</v>
      </c>
      <c r="D576" s="575" t="s">
        <v>19</v>
      </c>
      <c r="E576" s="50"/>
      <c r="F576" s="50"/>
      <c r="G576" s="52"/>
      <c r="H576" s="158" t="s">
        <v>14</v>
      </c>
      <c r="I576" s="54"/>
      <c r="J576" s="54"/>
      <c r="K576" s="55"/>
      <c r="L576" s="541">
        <f>L577+L578</f>
        <v>0</v>
      </c>
      <c r="M576" s="540">
        <f>M577+M578</f>
        <v>0</v>
      </c>
      <c r="N576" s="540">
        <f>N577+N578</f>
        <v>0</v>
      </c>
      <c r="O576" s="540">
        <f>IF(L576&gt;0,N576*100/L576,0)</f>
        <v>0</v>
      </c>
      <c r="P576" s="540">
        <f>IF(M576&gt;0,N576*100/M576,0)</f>
        <v>0</v>
      </c>
      <c r="Q576" s="540">
        <f>Q577+Q578</f>
        <v>0</v>
      </c>
      <c r="R576" s="540">
        <f>R577+R578</f>
        <v>0</v>
      </c>
      <c r="S576" s="540">
        <f>S577+S578</f>
        <v>0</v>
      </c>
      <c r="T576" s="540">
        <f>IF(Q576&gt;0,S576*100/Q576,0)</f>
        <v>0</v>
      </c>
      <c r="U576" s="540">
        <f>IF(R576&gt;0,S576*100/R576,0)</f>
        <v>0</v>
      </c>
    </row>
    <row r="577" spans="1:21" ht="18.75" hidden="1">
      <c r="A577" s="155"/>
      <c r="B577" s="188"/>
      <c r="C577" s="50"/>
      <c r="D577" s="50"/>
      <c r="E577" s="186" t="s">
        <v>20</v>
      </c>
      <c r="F577" s="50"/>
      <c r="G577" s="52"/>
      <c r="H577" s="187" t="s">
        <v>14</v>
      </c>
      <c r="I577" s="54"/>
      <c r="J577" s="54"/>
      <c r="K577" s="55"/>
      <c r="L577" s="103">
        <f>L580+L583</f>
        <v>0</v>
      </c>
      <c r="M577" s="102">
        <f>M580+M583</f>
        <v>0</v>
      </c>
      <c r="N577" s="102">
        <f>N580+N583</f>
        <v>0</v>
      </c>
      <c r="O577" s="102">
        <f>IF(L577&gt;0,N577*100/L577,0)</f>
        <v>0</v>
      </c>
      <c r="P577" s="102">
        <f>IF(M577&gt;0,N577*100/M577,0)</f>
        <v>0</v>
      </c>
      <c r="Q577" s="102">
        <f>Q580+Q583</f>
        <v>0</v>
      </c>
      <c r="R577" s="102">
        <f>R580+R583</f>
        <v>0</v>
      </c>
      <c r="S577" s="102">
        <f>S580+S583</f>
        <v>0</v>
      </c>
      <c r="T577" s="102">
        <f>IF(Q577&gt;0,S577*100/Q577,0)</f>
        <v>0</v>
      </c>
      <c r="U577" s="102">
        <f>IF(R577&gt;0,S577*100/R577,0)</f>
        <v>0</v>
      </c>
    </row>
    <row r="578" spans="1:21" ht="18.75" hidden="1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256">
        <f>L581+L584</f>
        <v>0</v>
      </c>
      <c r="M578" s="255">
        <f>M581+M584</f>
        <v>0</v>
      </c>
      <c r="N578" s="255">
        <f>N581+N584</f>
        <v>0</v>
      </c>
      <c r="O578" s="255">
        <f>IF(L578&gt;0,N578*100/L578,0)</f>
        <v>0</v>
      </c>
      <c r="P578" s="255">
        <f>IF(M578&gt;0,N578*100/M578,0)</f>
        <v>0</v>
      </c>
      <c r="Q578" s="255">
        <f>Q581+Q584</f>
        <v>0</v>
      </c>
      <c r="R578" s="255">
        <f>R581+R584</f>
        <v>0</v>
      </c>
      <c r="S578" s="255">
        <f>S581+S584</f>
        <v>0</v>
      </c>
      <c r="T578" s="255">
        <f>IF(Q578&gt;0,S578*100/Q578,0)</f>
        <v>0</v>
      </c>
      <c r="U578" s="255">
        <f>IF(R578&gt;0,S578*100/R578,0)</f>
        <v>0</v>
      </c>
    </row>
    <row r="579" spans="1:21" ht="18.75" hidden="1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256">
        <f>L580+L581</f>
        <v>0</v>
      </c>
      <c r="M579" s="255">
        <f>M580+M581</f>
        <v>0</v>
      </c>
      <c r="N579" s="255">
        <f>N580+N581</f>
        <v>0</v>
      </c>
      <c r="O579" s="255">
        <f>IF(L579&gt;0,N579*100/L579,0)</f>
        <v>0</v>
      </c>
      <c r="P579" s="255">
        <f>IF(M579&gt;0,N579*100/M579,0)</f>
        <v>0</v>
      </c>
      <c r="Q579" s="255">
        <f>Q580+Q581</f>
        <v>0</v>
      </c>
      <c r="R579" s="255">
        <f>R580+R581</f>
        <v>0</v>
      </c>
      <c r="S579" s="255">
        <f>S580+S581</f>
        <v>0</v>
      </c>
      <c r="T579" s="255">
        <f>IF(Q579&gt;0,S579*100/Q579,0)</f>
        <v>0</v>
      </c>
      <c r="U579" s="255">
        <f>IF(R579&gt;0,S579*100/R579,0)</f>
        <v>0</v>
      </c>
    </row>
    <row r="580" spans="1:21" ht="18.75" hidden="1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103">
        <v>0</v>
      </c>
      <c r="M580" s="102">
        <v>0</v>
      </c>
      <c r="N580" s="102">
        <v>0</v>
      </c>
      <c r="O580" s="102">
        <f>IF(L580&gt;0,N580*100/L580,0)</f>
        <v>0</v>
      </c>
      <c r="P580" s="102">
        <f>IF(M580&gt;0,N580*100/M580,0)</f>
        <v>0</v>
      </c>
      <c r="Q580" s="102">
        <v>0</v>
      </c>
      <c r="R580" s="102">
        <v>0</v>
      </c>
      <c r="S580" s="102">
        <v>0</v>
      </c>
      <c r="T580" s="102">
        <f>IF(Q580&gt;0,S580*100/Q580,0)</f>
        <v>0</v>
      </c>
      <c r="U580" s="102">
        <f>IF(R580&gt;0,S580*100/R580,0)</f>
        <v>0</v>
      </c>
    </row>
    <row r="581" spans="1:21" ht="18.75" hidden="1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256">
        <v>0</v>
      </c>
      <c r="M581" s="255">
        <v>0</v>
      </c>
      <c r="N581" s="255">
        <v>0</v>
      </c>
      <c r="O581" s="255">
        <f>IF(L581&gt;0,N581*100/L581,0)</f>
        <v>0</v>
      </c>
      <c r="P581" s="255">
        <f>IF(M581&gt;0,N581*100/M581,0)</f>
        <v>0</v>
      </c>
      <c r="Q581" s="255">
        <v>0</v>
      </c>
      <c r="R581" s="255">
        <v>0</v>
      </c>
      <c r="S581" s="255">
        <v>0</v>
      </c>
      <c r="T581" s="255">
        <f>IF(Q581&gt;0,S581*100/Q581,0)</f>
        <v>0</v>
      </c>
      <c r="U581" s="255">
        <f>IF(R581&gt;0,S581*100/R581,0)</f>
        <v>0</v>
      </c>
    </row>
    <row r="582" spans="1:21" ht="18.75" hidden="1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256">
        <f>L583+L584</f>
        <v>0</v>
      </c>
      <c r="M582" s="255">
        <f>M583+M584</f>
        <v>0</v>
      </c>
      <c r="N582" s="255">
        <f>N583+N584</f>
        <v>0</v>
      </c>
      <c r="O582" s="255">
        <f>IF(L582&gt;0,N582*100/L582,0)</f>
        <v>0</v>
      </c>
      <c r="P582" s="255">
        <f>IF(M582&gt;0,N582*100/M582,0)</f>
        <v>0</v>
      </c>
      <c r="Q582" s="255">
        <f>Q583+Q584</f>
        <v>0</v>
      </c>
      <c r="R582" s="255">
        <f>R583+R584</f>
        <v>0</v>
      </c>
      <c r="S582" s="255">
        <f>S583+S584</f>
        <v>0</v>
      </c>
      <c r="T582" s="255">
        <f>IF(Q582&gt;0,S582*100/Q582,0)</f>
        <v>0</v>
      </c>
      <c r="U582" s="255">
        <f>IF(R582&gt;0,S582*100/R582,0)</f>
        <v>0</v>
      </c>
    </row>
    <row r="583" spans="1:21" ht="18.75" hidden="1">
      <c r="A583" s="155"/>
      <c r="B583" s="50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103">
        <v>0</v>
      </c>
      <c r="M583" s="102">
        <v>0</v>
      </c>
      <c r="N583" s="102">
        <v>0</v>
      </c>
      <c r="O583" s="102">
        <f>IF(L583&gt;0,N583*100/L583,0)</f>
        <v>0</v>
      </c>
      <c r="P583" s="102">
        <f>IF(M583&gt;0,N583*100/M583,0)</f>
        <v>0</v>
      </c>
      <c r="Q583" s="102">
        <v>0</v>
      </c>
      <c r="R583" s="102">
        <v>0</v>
      </c>
      <c r="S583" s="102">
        <v>0</v>
      </c>
      <c r="T583" s="102">
        <f>IF(Q583&gt;0,S583*100/Q583,0)</f>
        <v>0</v>
      </c>
      <c r="U583" s="102">
        <f>IF(R583&gt;0,S583*100/R583,0)</f>
        <v>0</v>
      </c>
    </row>
    <row r="584" spans="1:21" ht="18.75" hidden="1">
      <c r="A584" s="155"/>
      <c r="B584" s="50"/>
      <c r="C584" s="50"/>
      <c r="D584" s="50"/>
      <c r="E584" s="58" t="s">
        <v>21</v>
      </c>
      <c r="F584" s="50"/>
      <c r="G584" s="52"/>
      <c r="H584" s="165" t="s">
        <v>14</v>
      </c>
      <c r="I584" s="163"/>
      <c r="J584" s="163"/>
      <c r="K584" s="164"/>
      <c r="L584" s="256">
        <v>0</v>
      </c>
      <c r="M584" s="255">
        <v>0</v>
      </c>
      <c r="N584" s="255">
        <v>0</v>
      </c>
      <c r="O584" s="255">
        <f>IF(L584&gt;0,N584*100/L584,0)</f>
        <v>0</v>
      </c>
      <c r="P584" s="255">
        <f>IF(M584&gt;0,N584*100/M584,0)</f>
        <v>0</v>
      </c>
      <c r="Q584" s="255">
        <v>0</v>
      </c>
      <c r="R584" s="255">
        <v>0</v>
      </c>
      <c r="S584" s="255">
        <v>0</v>
      </c>
      <c r="T584" s="255">
        <f>IF(Q584&gt;0,S584*100/Q584,0)</f>
        <v>0</v>
      </c>
      <c r="U584" s="255">
        <f>IF(R584&gt;0,S584*100/R584,0)</f>
        <v>0</v>
      </c>
    </row>
    <row r="585" spans="1:21" ht="19.5" hidden="1">
      <c r="A585" s="166"/>
      <c r="B585" s="167"/>
      <c r="C585" s="411" t="s">
        <v>18</v>
      </c>
      <c r="D585" s="566" t="s">
        <v>38</v>
      </c>
      <c r="E585" s="169"/>
      <c r="F585" s="169"/>
      <c r="G585" s="170"/>
      <c r="H585" s="171"/>
      <c r="I585" s="163"/>
      <c r="J585" s="54"/>
      <c r="K585" s="55"/>
      <c r="L585" s="62"/>
      <c r="M585" s="55"/>
      <c r="N585" s="55"/>
      <c r="O585" s="164"/>
      <c r="P585" s="164"/>
      <c r="Q585" s="55"/>
      <c r="R585" s="55"/>
      <c r="S585" s="55"/>
      <c r="T585" s="164"/>
      <c r="U585" s="164"/>
    </row>
    <row r="586" spans="1:21" ht="12.75" hidden="1">
      <c r="A586" s="258"/>
      <c r="B586" s="260"/>
      <c r="C586" s="259"/>
      <c r="D586" s="260"/>
      <c r="E586" s="259"/>
      <c r="F586" s="260"/>
      <c r="G586" s="261"/>
      <c r="H586" s="261"/>
      <c r="I586" s="263"/>
      <c r="J586" s="263"/>
      <c r="K586" s="264"/>
      <c r="L586" s="265"/>
      <c r="M586" s="264"/>
      <c r="N586" s="264"/>
      <c r="O586" s="264"/>
      <c r="P586" s="264"/>
      <c r="Q586" s="264"/>
      <c r="R586" s="264"/>
      <c r="S586" s="264"/>
      <c r="T586" s="264"/>
      <c r="U586" s="264"/>
    </row>
    <row r="587" spans="1:21" ht="12.75" hidden="1">
      <c r="A587" s="258"/>
      <c r="B587" s="260"/>
      <c r="C587" s="259"/>
      <c r="D587" s="260"/>
      <c r="E587" s="259"/>
      <c r="F587" s="260"/>
      <c r="G587" s="261"/>
      <c r="H587" s="261"/>
      <c r="I587" s="263"/>
      <c r="J587" s="263"/>
      <c r="K587" s="264"/>
      <c r="L587" s="265"/>
      <c r="M587" s="264"/>
      <c r="N587" s="264"/>
      <c r="O587" s="264"/>
      <c r="P587" s="264"/>
      <c r="Q587" s="264"/>
      <c r="R587" s="264"/>
      <c r="S587" s="264"/>
      <c r="T587" s="264"/>
      <c r="U587" s="264"/>
    </row>
    <row r="588" spans="1:21" ht="12.75" hidden="1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5"/>
      <c r="M588" s="264"/>
      <c r="N588" s="264"/>
      <c r="O588" s="264"/>
      <c r="P588" s="264"/>
      <c r="Q588" s="264"/>
      <c r="R588" s="264"/>
      <c r="S588" s="264"/>
      <c r="T588" s="264"/>
      <c r="U588" s="264"/>
    </row>
    <row r="589" spans="1:21" ht="12.75" hidden="1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5"/>
      <c r="M589" s="264"/>
      <c r="N589" s="264"/>
      <c r="O589" s="264"/>
      <c r="P589" s="264"/>
      <c r="Q589" s="264"/>
      <c r="R589" s="264"/>
      <c r="S589" s="264"/>
      <c r="T589" s="264"/>
      <c r="U589" s="264"/>
    </row>
    <row r="590" spans="1:21" ht="12.75" hidden="1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5"/>
      <c r="M590" s="264"/>
      <c r="N590" s="264"/>
      <c r="O590" s="264"/>
      <c r="P590" s="264"/>
      <c r="Q590" s="264"/>
      <c r="R590" s="264"/>
      <c r="S590" s="264"/>
      <c r="T590" s="264"/>
      <c r="U590" s="264"/>
    </row>
    <row r="591" spans="1:21" ht="12.75" hidden="1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5"/>
      <c r="M591" s="264"/>
      <c r="N591" s="264"/>
      <c r="O591" s="264"/>
      <c r="P591" s="264"/>
      <c r="Q591" s="264"/>
      <c r="R591" s="264"/>
      <c r="S591" s="264"/>
      <c r="T591" s="264"/>
      <c r="U591" s="264"/>
    </row>
    <row r="592" spans="1:21" ht="12.75" hidden="1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5"/>
      <c r="M592" s="264"/>
      <c r="N592" s="264"/>
      <c r="O592" s="264"/>
      <c r="P592" s="264"/>
      <c r="Q592" s="264"/>
      <c r="R592" s="264"/>
      <c r="S592" s="264"/>
      <c r="T592" s="264"/>
      <c r="U592" s="264"/>
    </row>
    <row r="593" spans="1:21" ht="12.75" hidden="1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5"/>
      <c r="M593" s="264"/>
      <c r="N593" s="264"/>
      <c r="O593" s="264"/>
      <c r="P593" s="264"/>
      <c r="Q593" s="264"/>
      <c r="R593" s="264"/>
      <c r="S593" s="264"/>
      <c r="T593" s="264"/>
      <c r="U593" s="264"/>
    </row>
    <row r="594" spans="1:21" ht="12.75" hidden="1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5"/>
      <c r="M594" s="264"/>
      <c r="N594" s="264"/>
      <c r="O594" s="264"/>
      <c r="P594" s="264"/>
      <c r="Q594" s="264"/>
      <c r="R594" s="264"/>
      <c r="S594" s="264"/>
      <c r="T594" s="264"/>
      <c r="U594" s="264"/>
    </row>
    <row r="595" spans="1:21" ht="12.75" hidden="1">
      <c r="A595" s="407"/>
      <c r="B595" s="360"/>
      <c r="C595" s="360"/>
      <c r="D595" s="408"/>
      <c r="E595" s="408"/>
      <c r="F595" s="408"/>
      <c r="G595" s="409"/>
      <c r="H595" s="361"/>
      <c r="I595" s="362"/>
      <c r="J595" s="362"/>
      <c r="K595" s="363"/>
      <c r="L595" s="364"/>
      <c r="M595" s="363"/>
      <c r="N595" s="363"/>
      <c r="O595" s="363"/>
      <c r="P595" s="363"/>
      <c r="Q595" s="363"/>
      <c r="R595" s="363"/>
      <c r="S595" s="363"/>
      <c r="T595" s="363"/>
      <c r="U595" s="363"/>
    </row>
    <row r="596" spans="1:21" ht="19.5" hidden="1">
      <c r="A596" s="412" t="s">
        <v>214</v>
      </c>
      <c r="B596" s="144"/>
      <c r="C596" s="196"/>
      <c r="D596" s="144"/>
      <c r="E596" s="144"/>
      <c r="F596" s="144"/>
      <c r="G596" s="144"/>
      <c r="H596" s="145"/>
      <c r="I596" s="197"/>
      <c r="J596" s="197"/>
      <c r="K596" s="19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8"/>
    </row>
    <row r="597" spans="1:21" ht="19.5" hidden="1">
      <c r="A597" s="150"/>
      <c r="B597" s="413" t="s">
        <v>215</v>
      </c>
      <c r="C597" s="200"/>
      <c r="D597" s="151"/>
      <c r="E597" s="34"/>
      <c r="F597" s="34"/>
      <c r="G597" s="34"/>
      <c r="H597" s="414" t="s">
        <v>99</v>
      </c>
      <c r="I597" s="210"/>
      <c r="J597" s="39"/>
      <c r="K597" s="40"/>
      <c r="L597" s="154"/>
      <c r="M597" s="40"/>
      <c r="N597" s="40"/>
      <c r="O597" s="40"/>
      <c r="P597" s="40"/>
      <c r="Q597" s="40"/>
      <c r="R597" s="40"/>
      <c r="S597" s="40"/>
      <c r="T597" s="40"/>
      <c r="U597" s="40"/>
    </row>
    <row r="598" spans="1:21" ht="19.5" hidden="1">
      <c r="A598" s="415"/>
      <c r="B598" s="416" t="s">
        <v>216</v>
      </c>
      <c r="C598" s="151"/>
      <c r="D598" s="34"/>
      <c r="E598" s="34"/>
      <c r="F598" s="34"/>
      <c r="G598" s="37"/>
      <c r="H598" s="417" t="s">
        <v>35</v>
      </c>
      <c r="I598" s="39"/>
      <c r="J598" s="39"/>
      <c r="K598" s="40"/>
      <c r="L598" s="154"/>
      <c r="M598" s="40"/>
      <c r="N598" s="40"/>
      <c r="O598" s="40"/>
      <c r="P598" s="40"/>
      <c r="Q598" s="40"/>
      <c r="R598" s="40"/>
      <c r="S598" s="40"/>
      <c r="T598" s="40"/>
      <c r="U598" s="40"/>
    </row>
    <row r="599" spans="1:21" ht="19.5" hidden="1">
      <c r="A599" s="155"/>
      <c r="B599" s="188"/>
      <c r="C599" s="205" t="s">
        <v>18</v>
      </c>
      <c r="D599" s="563" t="s">
        <v>19</v>
      </c>
      <c r="E599" s="529"/>
      <c r="F599" s="529"/>
      <c r="G599" s="530"/>
      <c r="H599" s="418" t="s">
        <v>14</v>
      </c>
      <c r="I599" s="54"/>
      <c r="J599" s="54"/>
      <c r="K599" s="55"/>
      <c r="L599" s="541">
        <f>L600+L601</f>
        <v>0</v>
      </c>
      <c r="M599" s="540">
        <f>M600+M601</f>
        <v>0</v>
      </c>
      <c r="N599" s="540">
        <f>N600+N601</f>
        <v>0</v>
      </c>
      <c r="O599" s="540">
        <f>IF(L599&gt;0,N599*100/L599,0)</f>
        <v>0</v>
      </c>
      <c r="P599" s="540">
        <f>IF(M599&gt;0,N599*100/M599,0)</f>
        <v>0</v>
      </c>
      <c r="Q599" s="540">
        <f>Q600+Q601</f>
        <v>0</v>
      </c>
      <c r="R599" s="540">
        <f>R600+R601</f>
        <v>0</v>
      </c>
      <c r="S599" s="540">
        <f>S600+S601</f>
        <v>0</v>
      </c>
      <c r="T599" s="540">
        <f>IF(Q599&gt;0,S599*100/Q599,0)</f>
        <v>0</v>
      </c>
      <c r="U599" s="540">
        <f>IF(R599&gt;0,S599*100/R599,0)</f>
        <v>0</v>
      </c>
    </row>
    <row r="600" spans="1:21" ht="18.75" hidden="1">
      <c r="A600" s="155"/>
      <c r="B600" s="188"/>
      <c r="C600" s="188"/>
      <c r="D600" s="174"/>
      <c r="E600" s="186" t="s">
        <v>159</v>
      </c>
      <c r="F600" s="50"/>
      <c r="G600" s="52"/>
      <c r="H600" s="189" t="s">
        <v>14</v>
      </c>
      <c r="I600" s="54"/>
      <c r="J600" s="54"/>
      <c r="K600" s="55"/>
      <c r="L600" s="103">
        <f>L603+L606</f>
        <v>0</v>
      </c>
      <c r="M600" s="102">
        <f>M603+M606</f>
        <v>0</v>
      </c>
      <c r="N600" s="102">
        <f>N603+N606</f>
        <v>0</v>
      </c>
      <c r="O600" s="102">
        <f>IF(L600&gt;0,N600*100/L600,0)</f>
        <v>0</v>
      </c>
      <c r="P600" s="102">
        <f>IF(M600&gt;0,N600*100/M600,0)</f>
        <v>0</v>
      </c>
      <c r="Q600" s="102">
        <f>Q603+Q606</f>
        <v>0</v>
      </c>
      <c r="R600" s="102">
        <f>R603+R606</f>
        <v>0</v>
      </c>
      <c r="S600" s="102">
        <f>S603+S606</f>
        <v>0</v>
      </c>
      <c r="T600" s="102">
        <f>IF(Q600&gt;0,S600*100/Q600,0)</f>
        <v>0</v>
      </c>
      <c r="U600" s="102">
        <f>IF(R600&gt;0,S600*100/R600,0)</f>
        <v>0</v>
      </c>
    </row>
    <row r="601" spans="1:21" ht="18.75" hidden="1">
      <c r="A601" s="155"/>
      <c r="B601" s="188"/>
      <c r="C601" s="188"/>
      <c r="D601" s="174"/>
      <c r="E601" s="186" t="s">
        <v>160</v>
      </c>
      <c r="F601" s="50"/>
      <c r="G601" s="52"/>
      <c r="H601" s="189" t="s">
        <v>14</v>
      </c>
      <c r="I601" s="54"/>
      <c r="J601" s="54"/>
      <c r="K601" s="55"/>
      <c r="L601" s="256">
        <f>L604+L607</f>
        <v>0</v>
      </c>
      <c r="M601" s="255">
        <f>M604+M607</f>
        <v>0</v>
      </c>
      <c r="N601" s="255">
        <f>N604+N607</f>
        <v>0</v>
      </c>
      <c r="O601" s="255">
        <f>IF(L601&gt;0,N601*100/L601,0)</f>
        <v>0</v>
      </c>
      <c r="P601" s="255">
        <f>IF(M601&gt;0,N601*100/M601,0)</f>
        <v>0</v>
      </c>
      <c r="Q601" s="255">
        <f>Q604+Q607</f>
        <v>0</v>
      </c>
      <c r="R601" s="255">
        <f>R604+R607</f>
        <v>0</v>
      </c>
      <c r="S601" s="255">
        <f>S604+S607</f>
        <v>0</v>
      </c>
      <c r="T601" s="255">
        <f>IF(Q601&gt;0,S601*100/Q601,0)</f>
        <v>0</v>
      </c>
      <c r="U601" s="255">
        <f>IF(R601&gt;0,S601*100/R601,0)</f>
        <v>0</v>
      </c>
    </row>
    <row r="602" spans="1:21" ht="19.5" hidden="1">
      <c r="A602" s="155"/>
      <c r="B602" s="188"/>
      <c r="C602" s="188"/>
      <c r="D602" s="562" t="s">
        <v>22</v>
      </c>
      <c r="E602" s="50"/>
      <c r="F602" s="50"/>
      <c r="G602" s="52"/>
      <c r="H602" s="418" t="s">
        <v>14</v>
      </c>
      <c r="I602" s="163"/>
      <c r="J602" s="163"/>
      <c r="K602" s="164"/>
      <c r="L602" s="256">
        <f>L603+L604</f>
        <v>0</v>
      </c>
      <c r="M602" s="255">
        <f>M603+M604</f>
        <v>0</v>
      </c>
      <c r="N602" s="255">
        <f>N603+N604</f>
        <v>0</v>
      </c>
      <c r="O602" s="255">
        <f>IF(L602&gt;0,N602*100/L602,0)</f>
        <v>0</v>
      </c>
      <c r="P602" s="255">
        <f>IF(M602&gt;0,N602*100/M602,0)</f>
        <v>0</v>
      </c>
      <c r="Q602" s="255">
        <f>Q603+Q604</f>
        <v>0</v>
      </c>
      <c r="R602" s="255">
        <f>R603+R604</f>
        <v>0</v>
      </c>
      <c r="S602" s="255">
        <f>S603+S604</f>
        <v>0</v>
      </c>
      <c r="T602" s="255">
        <f>IF(Q602&gt;0,S602*100/Q602,0)</f>
        <v>0</v>
      </c>
      <c r="U602" s="255">
        <f>IF(R602&gt;0,S602*100/R602,0)</f>
        <v>0</v>
      </c>
    </row>
    <row r="603" spans="1:21" ht="18.75" hidden="1">
      <c r="A603" s="155"/>
      <c r="B603" s="188"/>
      <c r="C603" s="188"/>
      <c r="D603" s="174"/>
      <c r="E603" s="186" t="s">
        <v>159</v>
      </c>
      <c r="F603" s="50"/>
      <c r="G603" s="52"/>
      <c r="H603" s="189" t="s">
        <v>14</v>
      </c>
      <c r="I603" s="54"/>
      <c r="J603" s="54"/>
      <c r="K603" s="55"/>
      <c r="L603" s="103">
        <v>0</v>
      </c>
      <c r="M603" s="102">
        <v>0</v>
      </c>
      <c r="N603" s="102">
        <v>0</v>
      </c>
      <c r="O603" s="102">
        <f>IF(L603&gt;0,N603*100/L603,0)</f>
        <v>0</v>
      </c>
      <c r="P603" s="102">
        <f>IF(M603&gt;0,N603*100/M603,0)</f>
        <v>0</v>
      </c>
      <c r="Q603" s="102">
        <v>0</v>
      </c>
      <c r="R603" s="102">
        <v>0</v>
      </c>
      <c r="S603" s="102">
        <v>0</v>
      </c>
      <c r="T603" s="102">
        <f>IF(Q603&gt;0,S603*100/Q603,0)</f>
        <v>0</v>
      </c>
      <c r="U603" s="102">
        <f>IF(R603&gt;0,S603*100/R603,0)</f>
        <v>0</v>
      </c>
    </row>
    <row r="604" spans="1:21" ht="18.75" hidden="1">
      <c r="A604" s="155"/>
      <c r="B604" s="188"/>
      <c r="C604" s="188"/>
      <c r="D604" s="174"/>
      <c r="E604" s="186" t="s">
        <v>160</v>
      </c>
      <c r="F604" s="50"/>
      <c r="G604" s="52"/>
      <c r="H604" s="189" t="s">
        <v>14</v>
      </c>
      <c r="I604" s="54"/>
      <c r="J604" s="54"/>
      <c r="K604" s="55"/>
      <c r="L604" s="256">
        <v>0</v>
      </c>
      <c r="M604" s="255">
        <v>0</v>
      </c>
      <c r="N604" s="255">
        <v>0</v>
      </c>
      <c r="O604" s="255">
        <f>IF(L604&gt;0,N604*100/L604,0)</f>
        <v>0</v>
      </c>
      <c r="P604" s="255">
        <f>IF(M604&gt;0,N604*100/M604,0)</f>
        <v>0</v>
      </c>
      <c r="Q604" s="255">
        <v>0</v>
      </c>
      <c r="R604" s="255">
        <v>0</v>
      </c>
      <c r="S604" s="255">
        <v>0</v>
      </c>
      <c r="T604" s="255">
        <f>IF(Q604&gt;0,S604*100/Q604,0)</f>
        <v>0</v>
      </c>
      <c r="U604" s="255">
        <f>IF(R604&gt;0,S604*100/R604,0)</f>
        <v>0</v>
      </c>
    </row>
    <row r="605" spans="1:21" ht="19.5" hidden="1">
      <c r="A605" s="155"/>
      <c r="B605" s="188"/>
      <c r="C605" s="188"/>
      <c r="D605" s="562" t="s">
        <v>23</v>
      </c>
      <c r="E605" s="188"/>
      <c r="F605" s="50"/>
      <c r="G605" s="52"/>
      <c r="H605" s="420" t="s">
        <v>14</v>
      </c>
      <c r="I605" s="163"/>
      <c r="J605" s="163"/>
      <c r="K605" s="164"/>
      <c r="L605" s="256">
        <f>L606+L607</f>
        <v>0</v>
      </c>
      <c r="M605" s="255">
        <f>M606+M607</f>
        <v>0</v>
      </c>
      <c r="N605" s="255">
        <f>N606+N607</f>
        <v>0</v>
      </c>
      <c r="O605" s="255">
        <f>IF(L605&gt;0,N605*100/L605,0)</f>
        <v>0</v>
      </c>
      <c r="P605" s="255">
        <f>IF(M605&gt;0,N605*100/M605,0)</f>
        <v>0</v>
      </c>
      <c r="Q605" s="255">
        <f>Q606+Q607</f>
        <v>0</v>
      </c>
      <c r="R605" s="255">
        <f>R606+R607</f>
        <v>0</v>
      </c>
      <c r="S605" s="255">
        <f>S606+S607</f>
        <v>0</v>
      </c>
      <c r="T605" s="255">
        <f>IF(Q605&gt;0,S605*100/Q605,0)</f>
        <v>0</v>
      </c>
      <c r="U605" s="255">
        <f>IF(R605&gt;0,S605*100/R605,0)</f>
        <v>0</v>
      </c>
    </row>
    <row r="606" spans="1:21" ht="18.75" hidden="1">
      <c r="A606" s="155"/>
      <c r="B606" s="188"/>
      <c r="C606" s="188"/>
      <c r="D606" s="188"/>
      <c r="E606" s="358" t="s">
        <v>20</v>
      </c>
      <c r="F606" s="50"/>
      <c r="G606" s="52"/>
      <c r="H606" s="189" t="s">
        <v>14</v>
      </c>
      <c r="I606" s="163"/>
      <c r="J606" s="163"/>
      <c r="K606" s="164"/>
      <c r="L606" s="103">
        <v>0</v>
      </c>
      <c r="M606" s="102">
        <v>0</v>
      </c>
      <c r="N606" s="102">
        <v>0</v>
      </c>
      <c r="O606" s="102">
        <f>IF(L606&gt;0,N606*100/L606,0)</f>
        <v>0</v>
      </c>
      <c r="P606" s="102">
        <f>IF(M606&gt;0,N606*100/M606,0)</f>
        <v>0</v>
      </c>
      <c r="Q606" s="102">
        <v>0</v>
      </c>
      <c r="R606" s="102">
        <v>0</v>
      </c>
      <c r="S606" s="102">
        <v>0</v>
      </c>
      <c r="T606" s="102">
        <f>IF(Q606&gt;0,S606*100/Q606,0)</f>
        <v>0</v>
      </c>
      <c r="U606" s="102">
        <f>IF(R606&gt;0,S606*100/R606,0)</f>
        <v>0</v>
      </c>
    </row>
    <row r="607" spans="1:21" ht="18.75" hidden="1">
      <c r="A607" s="155"/>
      <c r="B607" s="188"/>
      <c r="C607" s="188"/>
      <c r="D607" s="50"/>
      <c r="E607" s="358" t="s">
        <v>21</v>
      </c>
      <c r="F607" s="50"/>
      <c r="G607" s="52"/>
      <c r="H607" s="421" t="s">
        <v>14</v>
      </c>
      <c r="I607" s="163"/>
      <c r="J607" s="163"/>
      <c r="K607" s="164"/>
      <c r="L607" s="256">
        <v>0</v>
      </c>
      <c r="M607" s="255">
        <v>0</v>
      </c>
      <c r="N607" s="255">
        <v>0</v>
      </c>
      <c r="O607" s="255">
        <f>IF(L607&gt;0,N607*100/L607,0)</f>
        <v>0</v>
      </c>
      <c r="P607" s="255">
        <f>IF(M607&gt;0,N607*100/M607,0)</f>
        <v>0</v>
      </c>
      <c r="Q607" s="255">
        <v>0</v>
      </c>
      <c r="R607" s="255">
        <v>0</v>
      </c>
      <c r="S607" s="255">
        <v>0</v>
      </c>
      <c r="T607" s="255">
        <f>IF(Q607&gt;0,S607*100/Q607,0)</f>
        <v>0</v>
      </c>
      <c r="U607" s="255">
        <f>IF(R607&gt;0,S607*100/R607,0)</f>
        <v>0</v>
      </c>
    </row>
    <row r="608" spans="1:21" ht="19.5" hidden="1">
      <c r="A608" s="166"/>
      <c r="B608" s="167"/>
      <c r="C608" s="205" t="s">
        <v>18</v>
      </c>
      <c r="D608" s="574" t="s">
        <v>38</v>
      </c>
      <c r="E608" s="169"/>
      <c r="F608" s="169"/>
      <c r="G608" s="170"/>
      <c r="H608" s="206"/>
      <c r="I608" s="163"/>
      <c r="J608" s="163"/>
      <c r="K608" s="164"/>
      <c r="L608" s="62"/>
      <c r="M608" s="55"/>
      <c r="N608" s="55"/>
      <c r="O608" s="55"/>
      <c r="P608" s="55"/>
      <c r="Q608" s="55"/>
      <c r="R608" s="55"/>
      <c r="S608" s="55"/>
      <c r="T608" s="55"/>
      <c r="U608" s="55"/>
    </row>
    <row r="609" spans="1:21" ht="18.75" hidden="1">
      <c r="A609" s="166"/>
      <c r="B609" s="167"/>
      <c r="C609" s="167"/>
      <c r="D609" s="423" t="s">
        <v>217</v>
      </c>
      <c r="E609" s="174"/>
      <c r="F609" s="174"/>
      <c r="G609" s="171"/>
      <c r="H609" s="189" t="s">
        <v>99</v>
      </c>
      <c r="I609" s="54"/>
      <c r="J609" s="54"/>
      <c r="K609" s="164"/>
      <c r="L609" s="62"/>
      <c r="M609" s="55"/>
      <c r="N609" s="55"/>
      <c r="O609" s="55"/>
      <c r="P609" s="55"/>
      <c r="Q609" s="55"/>
      <c r="R609" s="55"/>
      <c r="S609" s="55"/>
      <c r="T609" s="55"/>
      <c r="U609" s="55"/>
    </row>
    <row r="610" spans="1:21" ht="19.5" hidden="1">
      <c r="A610" s="166"/>
      <c r="B610" s="167"/>
      <c r="C610" s="167"/>
      <c r="D610" s="423" t="s">
        <v>218</v>
      </c>
      <c r="E610" s="174"/>
      <c r="F610" s="174"/>
      <c r="G610" s="171"/>
      <c r="H610" s="418" t="s">
        <v>35</v>
      </c>
      <c r="I610" s="54"/>
      <c r="J610" s="54"/>
      <c r="K610" s="164"/>
      <c r="L610" s="62"/>
      <c r="M610" s="55"/>
      <c r="N610" s="55"/>
      <c r="O610" s="55"/>
      <c r="P610" s="55"/>
      <c r="Q610" s="55"/>
      <c r="R610" s="55"/>
      <c r="S610" s="55"/>
      <c r="T610" s="55"/>
      <c r="U610" s="55"/>
    </row>
    <row r="611" spans="1:21" ht="18.75" hidden="1">
      <c r="A611" s="166"/>
      <c r="B611" s="167"/>
      <c r="C611" s="167"/>
      <c r="D611" s="167"/>
      <c r="E611" s="423" t="s">
        <v>219</v>
      </c>
      <c r="F611" s="174"/>
      <c r="G611" s="171"/>
      <c r="H611" s="421" t="s">
        <v>35</v>
      </c>
      <c r="I611" s="54"/>
      <c r="J611" s="54"/>
      <c r="K611" s="164"/>
      <c r="L611" s="62"/>
      <c r="M611" s="55"/>
      <c r="N611" s="55"/>
      <c r="O611" s="55"/>
      <c r="P611" s="55"/>
      <c r="Q611" s="55"/>
      <c r="R611" s="55"/>
      <c r="S611" s="55"/>
      <c r="T611" s="55"/>
      <c r="U611" s="55"/>
    </row>
    <row r="612" spans="1:21" ht="19.5" hidden="1" thickBot="1">
      <c r="A612" s="424"/>
      <c r="B612" s="425"/>
      <c r="C612" s="425"/>
      <c r="D612" s="425"/>
      <c r="E612" s="426" t="s">
        <v>220</v>
      </c>
      <c r="F612" s="427"/>
      <c r="G612" s="428"/>
      <c r="H612" s="429" t="s">
        <v>35</v>
      </c>
      <c r="I612" s="430"/>
      <c r="J612" s="430"/>
      <c r="K612" s="431"/>
      <c r="L612" s="433"/>
      <c r="M612" s="432"/>
      <c r="N612" s="432"/>
      <c r="O612" s="432"/>
      <c r="P612" s="432"/>
      <c r="Q612" s="432"/>
      <c r="R612" s="432"/>
      <c r="S612" s="432"/>
      <c r="T612" s="432"/>
      <c r="U612" s="432"/>
    </row>
    <row r="613" spans="1:21" ht="19.5" hidden="1">
      <c r="A613" s="434" t="s">
        <v>221</v>
      </c>
      <c r="B613" s="435"/>
      <c r="C613" s="435"/>
      <c r="D613" s="436"/>
      <c r="E613" s="436"/>
      <c r="F613" s="436"/>
      <c r="G613" s="437"/>
      <c r="H613" s="438"/>
      <c r="I613" s="439"/>
      <c r="J613" s="439"/>
      <c r="K613" s="440"/>
      <c r="L613" s="441"/>
      <c r="M613" s="440"/>
      <c r="N613" s="440"/>
      <c r="O613" s="440"/>
      <c r="P613" s="440"/>
      <c r="Q613" s="440"/>
      <c r="R613" s="440"/>
      <c r="S613" s="440"/>
      <c r="T613" s="440"/>
      <c r="U613" s="440"/>
    </row>
    <row r="614" spans="1:21" ht="19.5">
      <c r="A614" s="442"/>
      <c r="B614" s="443" t="s">
        <v>222</v>
      </c>
      <c r="C614" s="442"/>
      <c r="D614" s="444"/>
      <c r="E614" s="444"/>
      <c r="F614" s="444"/>
      <c r="G614" s="445"/>
      <c r="H614" s="446"/>
      <c r="I614" s="447"/>
      <c r="J614" s="447"/>
      <c r="K614" s="448"/>
      <c r="L614" s="449"/>
      <c r="M614" s="448"/>
      <c r="N614" s="448"/>
      <c r="O614" s="448"/>
      <c r="P614" s="448"/>
      <c r="Q614" s="448"/>
      <c r="R614" s="448"/>
      <c r="S614" s="448"/>
      <c r="T614" s="448"/>
      <c r="U614" s="448"/>
    </row>
    <row r="615" spans="1:21" ht="19.5">
      <c r="A615" s="450"/>
      <c r="B615" s="451" t="s">
        <v>223</v>
      </c>
      <c r="C615" s="450"/>
      <c r="D615" s="452"/>
      <c r="E615" s="452"/>
      <c r="F615" s="452"/>
      <c r="G615" s="453"/>
      <c r="H615" s="454" t="s">
        <v>46</v>
      </c>
      <c r="I615" s="573">
        <f ca="1">I626</f>
        <v>100</v>
      </c>
      <c r="J615" s="573">
        <f>J626</f>
        <v>0</v>
      </c>
      <c r="K615" s="572">
        <f ca="1">IF(I615&gt;0,J615*100/I615,0)</f>
        <v>0</v>
      </c>
      <c r="L615" s="458"/>
      <c r="M615" s="457"/>
      <c r="N615" s="457"/>
      <c r="O615" s="457"/>
      <c r="P615" s="457"/>
      <c r="Q615" s="457"/>
      <c r="R615" s="457"/>
      <c r="S615" s="457"/>
      <c r="T615" s="457"/>
      <c r="U615" s="457"/>
    </row>
    <row r="616" spans="1:21" ht="19.5">
      <c r="A616" s="155"/>
      <c r="B616" s="188"/>
      <c r="C616" s="205" t="s">
        <v>18</v>
      </c>
      <c r="D616" s="542" t="s">
        <v>19</v>
      </c>
      <c r="E616" s="529"/>
      <c r="F616" s="529"/>
      <c r="G616" s="530"/>
      <c r="H616" s="252" t="s">
        <v>14</v>
      </c>
      <c r="I616" s="54"/>
      <c r="J616" s="54"/>
      <c r="K616" s="55"/>
      <c r="L616" s="541">
        <f>L617+L618</f>
        <v>0</v>
      </c>
      <c r="M616" s="540">
        <f>M617+M618</f>
        <v>0</v>
      </c>
      <c r="N616" s="540">
        <f>N617+N618</f>
        <v>0</v>
      </c>
      <c r="O616" s="540">
        <f>IF(L616&gt;0,N616*100/L616,0)</f>
        <v>0</v>
      </c>
      <c r="P616" s="540">
        <f>IF(M616&gt;0,N616*100/M616,0)</f>
        <v>0</v>
      </c>
      <c r="Q616" s="540">
        <f ca="1">Q617+Q618</f>
        <v>11900</v>
      </c>
      <c r="R616" s="540">
        <f ca="1">R617+R618</f>
        <v>11900</v>
      </c>
      <c r="S616" s="540">
        <f ca="1">S617+S618</f>
        <v>0</v>
      </c>
      <c r="T616" s="540">
        <f ca="1">IF(Q616&gt;0,S616*100/Q616,0)</f>
        <v>0</v>
      </c>
      <c r="U616" s="540">
        <f ca="1">IF(R616&gt;0,S616*100/R616,0)</f>
        <v>0</v>
      </c>
    </row>
    <row r="617" spans="1:21" ht="18.75" hidden="1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103">
        <f>L620+L623</f>
        <v>0</v>
      </c>
      <c r="M617" s="102">
        <f>M620+M623</f>
        <v>0</v>
      </c>
      <c r="N617" s="102">
        <f>N620+N623</f>
        <v>0</v>
      </c>
      <c r="O617" s="102">
        <f>IF(L617&gt;0,N617*100/L617,0)</f>
        <v>0</v>
      </c>
      <c r="P617" s="102">
        <f>IF(M617&gt;0,N617*100/M617,0)</f>
        <v>0</v>
      </c>
      <c r="Q617" s="102">
        <f>Q620+Q623</f>
        <v>0</v>
      </c>
      <c r="R617" s="102">
        <f>R620+R623</f>
        <v>0</v>
      </c>
      <c r="S617" s="102">
        <f>S620+S623</f>
        <v>0</v>
      </c>
      <c r="T617" s="102">
        <f>IF(Q617&gt;0,S617*100/Q617,0)</f>
        <v>0</v>
      </c>
      <c r="U617" s="102">
        <f>IF(R617&gt;0,S617*100/R617,0)</f>
        <v>0</v>
      </c>
    </row>
    <row r="618" spans="1:21" ht="18.75" hidden="1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256">
        <f>L621+L624</f>
        <v>0</v>
      </c>
      <c r="M618" s="255">
        <f>M621+M624</f>
        <v>0</v>
      </c>
      <c r="N618" s="255">
        <f>N621+N624</f>
        <v>0</v>
      </c>
      <c r="O618" s="255">
        <f>IF(L618&gt;0,N618*100/L618,0)</f>
        <v>0</v>
      </c>
      <c r="P618" s="255">
        <f>IF(M618&gt;0,N618*100/M618,0)</f>
        <v>0</v>
      </c>
      <c r="Q618" s="255">
        <f ca="1">Q621+Q624</f>
        <v>11900</v>
      </c>
      <c r="R618" s="255">
        <f ca="1">R621+R624</f>
        <v>11900</v>
      </c>
      <c r="S618" s="255">
        <f ca="1">S621+S624</f>
        <v>0</v>
      </c>
      <c r="T618" s="255">
        <f ca="1">IF(Q618&gt;0,S618*100/Q618,0)</f>
        <v>0</v>
      </c>
      <c r="U618" s="255">
        <f ca="1">IF(R618&gt;0,S618*100/R618,0)</f>
        <v>0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256">
        <f>L620+L621</f>
        <v>0</v>
      </c>
      <c r="M619" s="255">
        <f>M620+M621</f>
        <v>0</v>
      </c>
      <c r="N619" s="255">
        <f>N620+N621</f>
        <v>0</v>
      </c>
      <c r="O619" s="255">
        <f>IF(L619&gt;0,N619*100/L619,0)</f>
        <v>0</v>
      </c>
      <c r="P619" s="255">
        <f>IF(M619&gt;0,N619*100/M619,0)</f>
        <v>0</v>
      </c>
      <c r="Q619" s="255">
        <f ca="1">Q620+Q621</f>
        <v>11900</v>
      </c>
      <c r="R619" s="255">
        <f ca="1">R620+R621</f>
        <v>11900</v>
      </c>
      <c r="S619" s="255">
        <f ca="1">S620+S621</f>
        <v>0</v>
      </c>
      <c r="T619" s="255">
        <f ca="1">IF(Q619&gt;0,S619*100/Q619,0)</f>
        <v>0</v>
      </c>
      <c r="U619" s="255">
        <f ca="1">IF(R619&gt;0,S619*100/R619,0)</f>
        <v>0</v>
      </c>
    </row>
    <row r="620" spans="1:21" ht="18.75" hidden="1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103">
        <v>0</v>
      </c>
      <c r="M620" s="102">
        <v>0</v>
      </c>
      <c r="N620" s="102">
        <v>0</v>
      </c>
      <c r="O620" s="102">
        <f>IF(L620&gt;0,N620*100/L620,0)</f>
        <v>0</v>
      </c>
      <c r="P620" s="102">
        <f>IF(M620&gt;0,N620*100/M620,0)</f>
        <v>0</v>
      </c>
      <c r="Q620" s="102">
        <v>0</v>
      </c>
      <c r="R620" s="102">
        <v>0</v>
      </c>
      <c r="S620" s="102">
        <v>0</v>
      </c>
      <c r="T620" s="102">
        <f>IF(Q620&gt;0,S620*100/Q620,0)</f>
        <v>0</v>
      </c>
      <c r="U620" s="102">
        <f>IF(R620&gt;0,S620*100/R620,0)</f>
        <v>0</v>
      </c>
    </row>
    <row r="621" spans="1:21" ht="18.75" hidden="1">
      <c r="A621" s="155"/>
      <c r="B621" s="188"/>
      <c r="C621" s="188"/>
      <c r="D621" s="174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256">
        <v>0</v>
      </c>
      <c r="M621" s="255">
        <v>0</v>
      </c>
      <c r="N621" s="255">
        <v>0</v>
      </c>
      <c r="O621" s="255">
        <f>IF(L621&gt;0,N621*100/L621,0)</f>
        <v>0</v>
      </c>
      <c r="P621" s="255">
        <f>IF(M621&gt;0,N621*100/M621,0)</f>
        <v>0</v>
      </c>
      <c r="Q621" s="255">
        <f ca="1">IFERROR(__xludf.DUMMYFUNCTION("IMPORTRANGE(""https://docs.google.com/spreadsheets/d/1ItG2mGa2ceCfYo0BwxsXqNm01IGEUdYcSSLTEv9YCik/edit?usp=sharing"",""เบิกจ่ายกองทุน!F34"")"),11900)</f>
        <v>11900</v>
      </c>
      <c r="R621" s="255">
        <f ca="1">IFERROR(__xludf.DUMMYFUNCTION("IMPORTRANGE(""https://docs.google.com/spreadsheets/d/1ItG2mGa2ceCfYo0BwxsXqNm01IGEUdYcSSLTEv9YCik/edit?usp=sharing"",""เบิกจ่ายกองทุน!G34"")"),11900)</f>
        <v>11900</v>
      </c>
      <c r="S621" s="255">
        <f ca="1">IFERROR(__xludf.DUMMYFUNCTION("IMPORTRANGE(""https://docs.google.com/spreadsheets/d/1ItG2mGa2ceCfYo0BwxsXqNm01IGEUdYcSSLTEv9YCik/edit?usp=sharing"",""เบิกจ่ายกองทุน!H34"")"),0)</f>
        <v>0</v>
      </c>
      <c r="T621" s="255">
        <f ca="1">IF(Q621&gt;0,S621*100/Q621,0)</f>
        <v>0</v>
      </c>
      <c r="U621" s="255">
        <f ca="1">IF(R621&gt;0,S621*100/R621,0)</f>
        <v>0</v>
      </c>
    </row>
    <row r="622" spans="1:21" ht="18.75">
      <c r="A622" s="155"/>
      <c r="B622" s="188"/>
      <c r="C622" s="188"/>
      <c r="D622" s="51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256">
        <f>L623+L624</f>
        <v>0</v>
      </c>
      <c r="M622" s="255">
        <f>M623+M624</f>
        <v>0</v>
      </c>
      <c r="N622" s="255">
        <f>N623+N624</f>
        <v>0</v>
      </c>
      <c r="O622" s="255">
        <f>IF(L622&gt;0,N622*100/L622,0)</f>
        <v>0</v>
      </c>
      <c r="P622" s="255">
        <f>IF(M622&gt;0,N622*100/M622,0)</f>
        <v>0</v>
      </c>
      <c r="Q622" s="255">
        <f>Q623+Q624</f>
        <v>0</v>
      </c>
      <c r="R622" s="255">
        <f>R623+R624</f>
        <v>0</v>
      </c>
      <c r="S622" s="255">
        <f>S623+S624</f>
        <v>0</v>
      </c>
      <c r="T622" s="255">
        <f>IF(Q622&gt;0,S622*100/Q622,0)</f>
        <v>0</v>
      </c>
      <c r="U622" s="255">
        <f>IF(R622&gt;0,S622*100/R622,0)</f>
        <v>0</v>
      </c>
    </row>
    <row r="623" spans="1:21" ht="18.75" hidden="1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103">
        <v>0</v>
      </c>
      <c r="M623" s="102">
        <v>0</v>
      </c>
      <c r="N623" s="102">
        <v>0</v>
      </c>
      <c r="O623" s="102">
        <f>IF(L623&gt;0,N623*100/L623,0)</f>
        <v>0</v>
      </c>
      <c r="P623" s="102">
        <f>IF(M623&gt;0,N623*100/M623,0)</f>
        <v>0</v>
      </c>
      <c r="Q623" s="102">
        <v>0</v>
      </c>
      <c r="R623" s="102">
        <v>0</v>
      </c>
      <c r="S623" s="102">
        <v>0</v>
      </c>
      <c r="T623" s="102">
        <f>IF(Q623&gt;0,S623*100/Q623,0)</f>
        <v>0</v>
      </c>
      <c r="U623" s="102">
        <f>IF(R623&gt;0,S623*100/R623,0)</f>
        <v>0</v>
      </c>
    </row>
    <row r="624" spans="1:21" ht="18.75" hidden="1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256">
        <v>0</v>
      </c>
      <c r="M624" s="255">
        <v>0</v>
      </c>
      <c r="N624" s="255">
        <v>0</v>
      </c>
      <c r="O624" s="255">
        <f>IF(L624&gt;0,N624*100/L624,0)</f>
        <v>0</v>
      </c>
      <c r="P624" s="255">
        <f>IF(M624&gt;0,N624*100/M624,0)</f>
        <v>0</v>
      </c>
      <c r="Q624" s="255">
        <v>0</v>
      </c>
      <c r="R624" s="255">
        <v>0</v>
      </c>
      <c r="S624" s="255">
        <v>0</v>
      </c>
      <c r="T624" s="255">
        <f>IF(Q624&gt;0,S624*100/Q624,0)</f>
        <v>0</v>
      </c>
      <c r="U624" s="255">
        <f>IF(R624&gt;0,S624*100/R624,0)</f>
        <v>0</v>
      </c>
    </row>
    <row r="625" spans="1:21" ht="19.5">
      <c r="A625" s="166"/>
      <c r="B625" s="167"/>
      <c r="C625" s="205" t="s">
        <v>18</v>
      </c>
      <c r="D625" s="539" t="s">
        <v>38</v>
      </c>
      <c r="E625" s="169"/>
      <c r="F625" s="169"/>
      <c r="G625" s="170"/>
      <c r="H625" s="206"/>
      <c r="I625" s="163"/>
      <c r="J625" s="163"/>
      <c r="K625" s="164"/>
      <c r="L625" s="172"/>
      <c r="M625" s="164"/>
      <c r="N625" s="164"/>
      <c r="O625" s="164"/>
      <c r="P625" s="164"/>
      <c r="Q625" s="164"/>
      <c r="R625" s="164"/>
      <c r="S625" s="164"/>
      <c r="T625" s="164"/>
      <c r="U625" s="164"/>
    </row>
    <row r="626" spans="1:21" ht="19.5">
      <c r="A626" s="166"/>
      <c r="B626" s="167"/>
      <c r="C626" s="167"/>
      <c r="D626" s="460" t="s">
        <v>224</v>
      </c>
      <c r="E626" s="174"/>
      <c r="F626" s="174"/>
      <c r="G626" s="171"/>
      <c r="H626" s="461" t="s">
        <v>46</v>
      </c>
      <c r="I626" s="373">
        <f ca="1">IFERROR(__xludf.DUMMYFUNCTION("IMPORTRANGE(""https://docs.google.com/spreadsheets/d/1eHaY18a8A9IcSdp1K8H6x8fbOy06t2VsZHhMHf-1x7Y/edit?usp=sharing"",""แผน!ID34"")"),100)</f>
        <v>100</v>
      </c>
      <c r="J626" s="373">
        <f>J632</f>
        <v>0</v>
      </c>
      <c r="K626" s="540">
        <f ca="1">IF(I626&gt;0,J626*100/I626,0)</f>
        <v>0</v>
      </c>
      <c r="L626" s="172"/>
      <c r="M626" s="164"/>
      <c r="N626" s="164"/>
      <c r="O626" s="164"/>
      <c r="P626" s="164"/>
      <c r="Q626" s="164"/>
      <c r="R626" s="164"/>
      <c r="S626" s="164"/>
      <c r="T626" s="164"/>
      <c r="U626" s="164"/>
    </row>
    <row r="627" spans="1:21" ht="18.75">
      <c r="A627" s="166"/>
      <c r="B627" s="167"/>
      <c r="C627" s="167"/>
      <c r="D627" s="167"/>
      <c r="E627" s="178" t="s">
        <v>225</v>
      </c>
      <c r="F627" s="174"/>
      <c r="G627" s="171"/>
      <c r="H627" s="165" t="s">
        <v>61</v>
      </c>
      <c r="I627" s="212">
        <f ca="1">IFERROR(__xludf.DUMMYFUNCTION("IMPORTRANGE(""https://docs.google.com/spreadsheets/d/1eHaY18a8A9IcSdp1K8H6x8fbOy06t2VsZHhMHf-1x7Y/edit?usp=sharing"",""แผน!IC34"")"),0)</f>
        <v>0</v>
      </c>
      <c r="J627" s="467">
        <v>0</v>
      </c>
      <c r="K627" s="255">
        <f ca="1">IF(I627&gt;0,(J627*100)/I627,0)</f>
        <v>0</v>
      </c>
      <c r="L627" s="172"/>
      <c r="M627" s="164"/>
      <c r="N627" s="164"/>
      <c r="O627" s="164"/>
      <c r="P627" s="164"/>
      <c r="Q627" s="164"/>
      <c r="R627" s="164"/>
      <c r="S627" s="164"/>
      <c r="T627" s="164"/>
      <c r="U627" s="164"/>
    </row>
    <row r="628" spans="1:21" ht="18.75">
      <c r="A628" s="166"/>
      <c r="B628" s="167"/>
      <c r="C628" s="167"/>
      <c r="D628" s="167"/>
      <c r="E628" s="178" t="s">
        <v>226</v>
      </c>
      <c r="F628" s="174"/>
      <c r="G628" s="171"/>
      <c r="H628" s="165" t="s">
        <v>61</v>
      </c>
      <c r="I628" s="212">
        <f ca="1">IFERROR(__xludf.DUMMYFUNCTION("IMPORTRANGE(""https://docs.google.com/spreadsheets/d/1eHaY18a8A9IcSdp1K8H6x8fbOy06t2VsZHhMHf-1x7Y/edit?usp=sharing"",""แผน!IC34"")"),0)</f>
        <v>0</v>
      </c>
      <c r="J628" s="467">
        <v>16</v>
      </c>
      <c r="K628" s="255">
        <f ca="1">IF(I628&gt;0,(J628*100)/I628,0)</f>
        <v>0</v>
      </c>
      <c r="L628" s="172"/>
      <c r="M628" s="164"/>
      <c r="N628" s="164"/>
      <c r="O628" s="164"/>
      <c r="P628" s="164"/>
      <c r="Q628" s="164"/>
      <c r="R628" s="164"/>
      <c r="S628" s="164"/>
      <c r="T628" s="164"/>
      <c r="U628" s="164"/>
    </row>
    <row r="629" spans="1:21" ht="18.75">
      <c r="A629" s="166"/>
      <c r="B629" s="167"/>
      <c r="C629" s="167"/>
      <c r="D629" s="167"/>
      <c r="E629" s="178" t="s">
        <v>227</v>
      </c>
      <c r="F629" s="174"/>
      <c r="G629" s="171"/>
      <c r="H629" s="165" t="s">
        <v>46</v>
      </c>
      <c r="I629" s="54"/>
      <c r="J629" s="467">
        <v>116</v>
      </c>
      <c r="K629" s="255">
        <f ca="1">IF(I$626&gt;0,J629*100/I$626,0)</f>
        <v>116</v>
      </c>
      <c r="L629" s="172"/>
      <c r="M629" s="164"/>
      <c r="N629" s="164"/>
      <c r="O629" s="164"/>
      <c r="P629" s="164"/>
      <c r="Q629" s="164"/>
      <c r="R629" s="164"/>
      <c r="S629" s="164"/>
      <c r="T629" s="164"/>
      <c r="U629" s="164"/>
    </row>
    <row r="630" spans="1:21" ht="18.75">
      <c r="A630" s="166"/>
      <c r="B630" s="167"/>
      <c r="C630" s="167"/>
      <c r="D630" s="167"/>
      <c r="E630" s="178" t="s">
        <v>228</v>
      </c>
      <c r="F630" s="174"/>
      <c r="G630" s="171"/>
      <c r="H630" s="165" t="s">
        <v>46</v>
      </c>
      <c r="I630" s="54"/>
      <c r="J630" s="467">
        <v>0</v>
      </c>
      <c r="K630" s="255">
        <f ca="1">IF(I$626&gt;0,J630*100/I$626,0)</f>
        <v>0</v>
      </c>
      <c r="L630" s="172"/>
      <c r="M630" s="164"/>
      <c r="N630" s="164"/>
      <c r="O630" s="164"/>
      <c r="P630" s="164"/>
      <c r="Q630" s="164"/>
      <c r="R630" s="164"/>
      <c r="S630" s="164"/>
      <c r="T630" s="164"/>
      <c r="U630" s="164"/>
    </row>
    <row r="631" spans="1:21" ht="18.75">
      <c r="A631" s="166"/>
      <c r="B631" s="167"/>
      <c r="C631" s="167"/>
      <c r="D631" s="167"/>
      <c r="E631" s="178" t="s">
        <v>229</v>
      </c>
      <c r="F631" s="174"/>
      <c r="G631" s="171"/>
      <c r="H631" s="165" t="s">
        <v>46</v>
      </c>
      <c r="I631" s="54"/>
      <c r="J631" s="467">
        <v>0</v>
      </c>
      <c r="K631" s="255">
        <f ca="1">IF(I$626&gt;0,J631*100/I$626,0)</f>
        <v>0</v>
      </c>
      <c r="L631" s="172"/>
      <c r="M631" s="164"/>
      <c r="N631" s="164"/>
      <c r="O631" s="164"/>
      <c r="P631" s="164"/>
      <c r="Q631" s="164"/>
      <c r="R631" s="164"/>
      <c r="S631" s="164"/>
      <c r="T631" s="164"/>
      <c r="U631" s="164"/>
    </row>
    <row r="632" spans="1:21" ht="19.5">
      <c r="A632" s="166"/>
      <c r="B632" s="167"/>
      <c r="C632" s="167"/>
      <c r="D632" s="167"/>
      <c r="E632" s="178" t="s">
        <v>230</v>
      </c>
      <c r="F632" s="174"/>
      <c r="G632" s="171"/>
      <c r="H632" s="165" t="s">
        <v>46</v>
      </c>
      <c r="I632" s="54"/>
      <c r="J632" s="373">
        <f>J633+J634</f>
        <v>0</v>
      </c>
      <c r="K632" s="540">
        <f ca="1">IF(I626&gt;0,J632*100/I626,0)</f>
        <v>0</v>
      </c>
      <c r="L632" s="172"/>
      <c r="M632" s="164"/>
      <c r="N632" s="164"/>
      <c r="O632" s="164"/>
      <c r="P632" s="164"/>
      <c r="Q632" s="164"/>
      <c r="R632" s="164"/>
      <c r="S632" s="164"/>
      <c r="T632" s="164"/>
      <c r="U632" s="164"/>
    </row>
    <row r="633" spans="1:21" ht="18.75">
      <c r="A633" s="166"/>
      <c r="B633" s="167"/>
      <c r="C633" s="167"/>
      <c r="D633" s="167"/>
      <c r="E633" s="174"/>
      <c r="F633" s="178" t="s">
        <v>231</v>
      </c>
      <c r="G633" s="171"/>
      <c r="H633" s="165" t="s">
        <v>46</v>
      </c>
      <c r="I633" s="54"/>
      <c r="J633" s="467">
        <v>0</v>
      </c>
      <c r="K633" s="55"/>
      <c r="L633" s="172"/>
      <c r="M633" s="164"/>
      <c r="N633" s="164"/>
      <c r="O633" s="164"/>
      <c r="P633" s="164"/>
      <c r="Q633" s="164"/>
      <c r="R633" s="164"/>
      <c r="S633" s="164"/>
      <c r="T633" s="164"/>
      <c r="U633" s="164"/>
    </row>
    <row r="634" spans="1:21" ht="18.75">
      <c r="A634" s="166"/>
      <c r="B634" s="167"/>
      <c r="C634" s="167"/>
      <c r="D634" s="167"/>
      <c r="E634" s="174"/>
      <c r="F634" s="178" t="s">
        <v>232</v>
      </c>
      <c r="G634" s="171"/>
      <c r="H634" s="165" t="s">
        <v>46</v>
      </c>
      <c r="I634" s="54"/>
      <c r="J634" s="467">
        <v>0</v>
      </c>
      <c r="K634" s="55"/>
      <c r="L634" s="172"/>
      <c r="M634" s="164"/>
      <c r="N634" s="164"/>
      <c r="O634" s="164"/>
      <c r="P634" s="164"/>
      <c r="Q634" s="164"/>
      <c r="R634" s="164"/>
      <c r="S634" s="164"/>
      <c r="T634" s="164"/>
      <c r="U634" s="164"/>
    </row>
    <row r="635" spans="1:21" ht="19.5">
      <c r="A635" s="166"/>
      <c r="B635" s="167"/>
      <c r="C635" s="167"/>
      <c r="D635" s="460" t="s">
        <v>233</v>
      </c>
      <c r="E635" s="174"/>
      <c r="F635" s="174"/>
      <c r="G635" s="171"/>
      <c r="H635" s="165" t="s">
        <v>46</v>
      </c>
      <c r="I635" s="373">
        <f ca="1">IFERROR(__xludf.DUMMYFUNCTION("IMPORTRANGE(""https://docs.google.com/spreadsheets/d/1eHaY18a8A9IcSdp1K8H6x8fbOy06t2VsZHhMHf-1x7Y/edit?usp=sharing"",""แผน!IE34"")"),0)</f>
        <v>0</v>
      </c>
      <c r="J635" s="373">
        <f>J636</f>
        <v>0</v>
      </c>
      <c r="K635" s="540">
        <f ca="1">IF(I635&gt;0,J635*100/I635,0)</f>
        <v>0</v>
      </c>
      <c r="L635" s="172"/>
      <c r="M635" s="164"/>
      <c r="N635" s="164"/>
      <c r="O635" s="164"/>
      <c r="P635" s="164"/>
      <c r="Q635" s="164"/>
      <c r="R635" s="164"/>
      <c r="S635" s="164"/>
      <c r="T635" s="164"/>
      <c r="U635" s="164"/>
    </row>
    <row r="636" spans="1:21" ht="18.75">
      <c r="A636" s="166"/>
      <c r="B636" s="167"/>
      <c r="C636" s="167"/>
      <c r="D636" s="167"/>
      <c r="E636" s="178" t="s">
        <v>234</v>
      </c>
      <c r="F636" s="174"/>
      <c r="G636" s="171"/>
      <c r="H636" s="165" t="s">
        <v>46</v>
      </c>
      <c r="I636" s="54"/>
      <c r="J636" s="212">
        <f>J637+J638</f>
        <v>0</v>
      </c>
      <c r="K636" s="55"/>
      <c r="L636" s="172"/>
      <c r="M636" s="164"/>
      <c r="N636" s="164"/>
      <c r="O636" s="164"/>
      <c r="P636" s="164"/>
      <c r="Q636" s="164"/>
      <c r="R636" s="164"/>
      <c r="S636" s="164"/>
      <c r="T636" s="164"/>
      <c r="U636" s="164"/>
    </row>
    <row r="637" spans="1:21" ht="18.75">
      <c r="A637" s="166"/>
      <c r="B637" s="167"/>
      <c r="C637" s="167"/>
      <c r="D637" s="167"/>
      <c r="E637" s="174"/>
      <c r="F637" s="178" t="s">
        <v>231</v>
      </c>
      <c r="G637" s="171"/>
      <c r="H637" s="165" t="s">
        <v>46</v>
      </c>
      <c r="I637" s="54"/>
      <c r="J637" s="467">
        <v>0</v>
      </c>
      <c r="K637" s="55"/>
      <c r="L637" s="172"/>
      <c r="M637" s="164"/>
      <c r="N637" s="164"/>
      <c r="O637" s="164"/>
      <c r="P637" s="164"/>
      <c r="Q637" s="164"/>
      <c r="R637" s="164"/>
      <c r="S637" s="164"/>
      <c r="T637" s="164"/>
      <c r="U637" s="164"/>
    </row>
    <row r="638" spans="1:21" ht="18.75">
      <c r="A638" s="166"/>
      <c r="B638" s="167"/>
      <c r="C638" s="167"/>
      <c r="D638" s="167"/>
      <c r="E638" s="174"/>
      <c r="F638" s="178" t="s">
        <v>232</v>
      </c>
      <c r="G638" s="171"/>
      <c r="H638" s="165" t="s">
        <v>46</v>
      </c>
      <c r="I638" s="54"/>
      <c r="J638" s="467">
        <v>0</v>
      </c>
      <c r="K638" s="55"/>
      <c r="L638" s="172"/>
      <c r="M638" s="164"/>
      <c r="N638" s="164"/>
      <c r="O638" s="164"/>
      <c r="P638" s="164"/>
      <c r="Q638" s="164"/>
      <c r="R638" s="164"/>
      <c r="S638" s="164"/>
      <c r="T638" s="164"/>
      <c r="U638" s="164"/>
    </row>
    <row r="639" spans="1:21" ht="18.75">
      <c r="A639" s="166"/>
      <c r="B639" s="167"/>
      <c r="C639" s="167"/>
      <c r="D639" s="167"/>
      <c r="E639" s="178" t="s">
        <v>235</v>
      </c>
      <c r="F639" s="174"/>
      <c r="G639" s="171"/>
      <c r="H639" s="165" t="s">
        <v>46</v>
      </c>
      <c r="I639" s="54"/>
      <c r="J639" s="467">
        <v>0</v>
      </c>
      <c r="K639" s="55"/>
      <c r="L639" s="172"/>
      <c r="M639" s="164"/>
      <c r="N639" s="164"/>
      <c r="O639" s="164"/>
      <c r="P639" s="164"/>
      <c r="Q639" s="164"/>
      <c r="R639" s="164"/>
      <c r="S639" s="164"/>
      <c r="T639" s="164"/>
      <c r="U639" s="164"/>
    </row>
    <row r="640" spans="1:21" ht="18.75">
      <c r="A640" s="166"/>
      <c r="B640" s="167"/>
      <c r="C640" s="167"/>
      <c r="D640" s="167"/>
      <c r="E640" s="174"/>
      <c r="F640" s="178" t="s">
        <v>236</v>
      </c>
      <c r="G640" s="171"/>
      <c r="H640" s="165" t="s">
        <v>46</v>
      </c>
      <c r="I640" s="54"/>
      <c r="J640" s="467">
        <v>0</v>
      </c>
      <c r="K640" s="55"/>
      <c r="L640" s="172"/>
      <c r="M640" s="164"/>
      <c r="N640" s="164"/>
      <c r="O640" s="164"/>
      <c r="P640" s="164"/>
      <c r="Q640" s="164"/>
      <c r="R640" s="164"/>
      <c r="S640" s="164"/>
      <c r="T640" s="164"/>
      <c r="U640" s="164"/>
    </row>
    <row r="641" spans="1:21" ht="19.5">
      <c r="A641" s="450"/>
      <c r="B641" s="451" t="s">
        <v>237</v>
      </c>
      <c r="C641" s="450"/>
      <c r="D641" s="452"/>
      <c r="E641" s="452"/>
      <c r="F641" s="452"/>
      <c r="G641" s="453"/>
      <c r="H641" s="462"/>
      <c r="I641" s="463"/>
      <c r="J641" s="463"/>
      <c r="K641" s="457"/>
      <c r="L641" s="458"/>
      <c r="M641" s="457"/>
      <c r="N641" s="457"/>
      <c r="O641" s="457"/>
      <c r="P641" s="457"/>
      <c r="Q641" s="457"/>
      <c r="R641" s="457"/>
      <c r="S641" s="457"/>
      <c r="T641" s="457"/>
      <c r="U641" s="457"/>
    </row>
    <row r="642" spans="1:21" ht="19.5">
      <c r="A642" s="155"/>
      <c r="B642" s="188"/>
      <c r="C642" s="239" t="s">
        <v>18</v>
      </c>
      <c r="D642" s="542" t="s">
        <v>19</v>
      </c>
      <c r="E642" s="529"/>
      <c r="F642" s="529"/>
      <c r="G642" s="530"/>
      <c r="H642" s="252" t="s">
        <v>14</v>
      </c>
      <c r="I642" s="54"/>
      <c r="J642" s="54"/>
      <c r="K642" s="55"/>
      <c r="L642" s="541">
        <f>L643+L644</f>
        <v>0</v>
      </c>
      <c r="M642" s="540">
        <f>M643+M644</f>
        <v>0</v>
      </c>
      <c r="N642" s="540">
        <f>N643+N644</f>
        <v>0</v>
      </c>
      <c r="O642" s="540">
        <f>IF(L642&gt;0,N642*100/L642,0)</f>
        <v>0</v>
      </c>
      <c r="P642" s="540">
        <f>IF(M642&gt;0,N642*100/M642,0)</f>
        <v>0</v>
      </c>
      <c r="Q642" s="540">
        <f ca="1">Q643+Q644</f>
        <v>4520</v>
      </c>
      <c r="R642" s="540">
        <f ca="1">R643+R644</f>
        <v>4520</v>
      </c>
      <c r="S642" s="540">
        <f ca="1">S643+S644</f>
        <v>0</v>
      </c>
      <c r="T642" s="540">
        <f ca="1">IF(Q642&gt;0,S642*100/Q642,0)</f>
        <v>0</v>
      </c>
      <c r="U642" s="540">
        <f ca="1">IF(R642&gt;0,S642*100/R642,0)</f>
        <v>0</v>
      </c>
    </row>
    <row r="643" spans="1:21" ht="18.75" hidden="1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103">
        <f>L646+L649</f>
        <v>0</v>
      </c>
      <c r="M643" s="102">
        <f>M646+M649</f>
        <v>0</v>
      </c>
      <c r="N643" s="102">
        <f>N646+N649</f>
        <v>0</v>
      </c>
      <c r="O643" s="102">
        <f>IF(L643&gt;0,N643*100/L643,0)</f>
        <v>0</v>
      </c>
      <c r="P643" s="102">
        <f>IF(M643&gt;0,N643*100/M643,0)</f>
        <v>0</v>
      </c>
      <c r="Q643" s="102">
        <f>Q646+Q649</f>
        <v>0</v>
      </c>
      <c r="R643" s="102">
        <f>R646+R649</f>
        <v>0</v>
      </c>
      <c r="S643" s="102">
        <f>S646+S649</f>
        <v>0</v>
      </c>
      <c r="T643" s="102">
        <f>IF(Q643&gt;0,S643*100/Q643,0)</f>
        <v>0</v>
      </c>
      <c r="U643" s="102">
        <f>IF(R643&gt;0,S643*100/R643,0)</f>
        <v>0</v>
      </c>
    </row>
    <row r="644" spans="1:21" ht="18.75" hidden="1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256">
        <f>L647+L650</f>
        <v>0</v>
      </c>
      <c r="M644" s="255">
        <f>M647+M650</f>
        <v>0</v>
      </c>
      <c r="N644" s="255">
        <f>N647+N650</f>
        <v>0</v>
      </c>
      <c r="O644" s="255">
        <f>IF(L644&gt;0,N644*100/L644,0)</f>
        <v>0</v>
      </c>
      <c r="P644" s="255">
        <f>IF(M644&gt;0,N644*100/M644,0)</f>
        <v>0</v>
      </c>
      <c r="Q644" s="255">
        <f ca="1">Q647+Q650</f>
        <v>4520</v>
      </c>
      <c r="R644" s="255">
        <f ca="1">R647+R650</f>
        <v>4520</v>
      </c>
      <c r="S644" s="255">
        <f ca="1">S647+S650</f>
        <v>0</v>
      </c>
      <c r="T644" s="255">
        <f ca="1">IF(Q644&gt;0,S644*100/Q644,0)</f>
        <v>0</v>
      </c>
      <c r="U644" s="255">
        <f ca="1">IF(R644&gt;0,S644*100/R644,0)</f>
        <v>0</v>
      </c>
    </row>
    <row r="645" spans="1:21" ht="18.75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256">
        <f>L646+L647</f>
        <v>0</v>
      </c>
      <c r="M645" s="255">
        <f>M646+M647</f>
        <v>0</v>
      </c>
      <c r="N645" s="255">
        <f>N646+N647</f>
        <v>0</v>
      </c>
      <c r="O645" s="255">
        <f>IF(L645&gt;0,N645*100/L645,0)</f>
        <v>0</v>
      </c>
      <c r="P645" s="255">
        <f>IF(M645&gt;0,N645*100/M645,0)</f>
        <v>0</v>
      </c>
      <c r="Q645" s="255">
        <f ca="1">Q646+Q647</f>
        <v>4520</v>
      </c>
      <c r="R645" s="255">
        <f ca="1">R646+R647</f>
        <v>4520</v>
      </c>
      <c r="S645" s="255">
        <f ca="1">S646+S647</f>
        <v>0</v>
      </c>
      <c r="T645" s="255">
        <f ca="1">IF(Q645&gt;0,S645*100/Q645,0)</f>
        <v>0</v>
      </c>
      <c r="U645" s="255">
        <f ca="1">IF(R645&gt;0,S645*100/R645,0)</f>
        <v>0</v>
      </c>
    </row>
    <row r="646" spans="1:21" ht="18.75" hidden="1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103">
        <v>0</v>
      </c>
      <c r="M646" s="102">
        <v>0</v>
      </c>
      <c r="N646" s="102">
        <v>0</v>
      </c>
      <c r="O646" s="102">
        <f>IF(L646&gt;0,N646*100/L646,0)</f>
        <v>0</v>
      </c>
      <c r="P646" s="102">
        <f>IF(M646&gt;0,N646*100/M646,0)</f>
        <v>0</v>
      </c>
      <c r="Q646" s="102">
        <v>0</v>
      </c>
      <c r="R646" s="102">
        <v>0</v>
      </c>
      <c r="S646" s="102">
        <v>0</v>
      </c>
      <c r="T646" s="102">
        <f>IF(Q646&gt;0,S646*100/Q646,0)</f>
        <v>0</v>
      </c>
      <c r="U646" s="102">
        <f>IF(R646&gt;0,S646*100/R646,0)</f>
        <v>0</v>
      </c>
    </row>
    <row r="647" spans="1:21" ht="18.75" hidden="1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256">
        <v>0</v>
      </c>
      <c r="M647" s="255">
        <v>0</v>
      </c>
      <c r="N647" s="255">
        <v>0</v>
      </c>
      <c r="O647" s="255">
        <f>IF(L647&gt;0,N647*100/L647,0)</f>
        <v>0</v>
      </c>
      <c r="P647" s="255">
        <f>IF(M647&gt;0,N647*100/M647,0)</f>
        <v>0</v>
      </c>
      <c r="Q647" s="255">
        <f ca="1">IFERROR(__xludf.DUMMYFUNCTION("IMPORTRANGE(""https://docs.google.com/spreadsheets/d/1ItG2mGa2ceCfYo0BwxsXqNm01IGEUdYcSSLTEv9YCik/edit?usp=sharing"",""เบิกจ่ายกองทุน!I34"")"),4520)</f>
        <v>4520</v>
      </c>
      <c r="R647" s="255">
        <f ca="1">IFERROR(__xludf.DUMMYFUNCTION("IMPORTRANGE(""https://docs.google.com/spreadsheets/d/1ItG2mGa2ceCfYo0BwxsXqNm01IGEUdYcSSLTEv9YCik/edit?usp=sharing"",""เบิกจ่ายกองทุน!J34"")"),4520)</f>
        <v>4520</v>
      </c>
      <c r="S647" s="255">
        <f ca="1">IFERROR(__xludf.DUMMYFUNCTION("IMPORTRANGE(""https://docs.google.com/spreadsheets/d/1ItG2mGa2ceCfYo0BwxsXqNm01IGEUdYcSSLTEv9YCik/edit?usp=sharing"",""เบิกจ่ายกองทุน!K34"")"),0)</f>
        <v>0</v>
      </c>
      <c r="T647" s="255">
        <f ca="1">IF(Q647&gt;0,S647*100/Q647,0)</f>
        <v>0</v>
      </c>
      <c r="U647" s="255">
        <f ca="1">IF(R647&gt;0,S647*100/R647,0)</f>
        <v>0</v>
      </c>
    </row>
    <row r="648" spans="1:21" ht="18.75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256">
        <f>L649+L650</f>
        <v>0</v>
      </c>
      <c r="M648" s="255">
        <f>M649+M650</f>
        <v>0</v>
      </c>
      <c r="N648" s="255">
        <f>N649+N650</f>
        <v>0</v>
      </c>
      <c r="O648" s="255">
        <f>IF(L648&gt;0,N648*100/L648,0)</f>
        <v>0</v>
      </c>
      <c r="P648" s="255">
        <f>IF(M648&gt;0,N648*100/M648,0)</f>
        <v>0</v>
      </c>
      <c r="Q648" s="255">
        <f>Q649+Q650</f>
        <v>0</v>
      </c>
      <c r="R648" s="255">
        <f>R649+R650</f>
        <v>0</v>
      </c>
      <c r="S648" s="255">
        <f>S649+S650</f>
        <v>0</v>
      </c>
      <c r="T648" s="255">
        <f>IF(Q648&gt;0,S648*100/Q648,0)</f>
        <v>0</v>
      </c>
      <c r="U648" s="255">
        <f>IF(R648&gt;0,S648*100/R648,0)</f>
        <v>0</v>
      </c>
    </row>
    <row r="649" spans="1:21" ht="18.75" hidden="1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103">
        <v>0</v>
      </c>
      <c r="M649" s="102">
        <v>0</v>
      </c>
      <c r="N649" s="102">
        <v>0</v>
      </c>
      <c r="O649" s="102">
        <f>IF(L649&gt;0,N649*100/L649,0)</f>
        <v>0</v>
      </c>
      <c r="P649" s="102">
        <f>IF(M649&gt;0,N649*100/M649,0)</f>
        <v>0</v>
      </c>
      <c r="Q649" s="102">
        <v>0</v>
      </c>
      <c r="R649" s="102">
        <v>0</v>
      </c>
      <c r="S649" s="102">
        <v>0</v>
      </c>
      <c r="T649" s="102">
        <f>IF(Q649&gt;0,S649*100/Q649,0)</f>
        <v>0</v>
      </c>
      <c r="U649" s="102">
        <f>IF(R649&gt;0,S649*100/R649,0)</f>
        <v>0</v>
      </c>
    </row>
    <row r="650" spans="1:21" ht="18.75" hidden="1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256">
        <v>0</v>
      </c>
      <c r="M650" s="255">
        <v>0</v>
      </c>
      <c r="N650" s="255">
        <v>0</v>
      </c>
      <c r="O650" s="255">
        <f>IF(L650&gt;0,N650*100/L650,0)</f>
        <v>0</v>
      </c>
      <c r="P650" s="255">
        <f>IF(M650&gt;0,N650*100/M650,0)</f>
        <v>0</v>
      </c>
      <c r="Q650" s="255">
        <v>0</v>
      </c>
      <c r="R650" s="255">
        <v>0</v>
      </c>
      <c r="S650" s="255">
        <v>0</v>
      </c>
      <c r="T650" s="255">
        <f>IF(Q650&gt;0,S650*100/Q650,0)</f>
        <v>0</v>
      </c>
      <c r="U650" s="255">
        <f>IF(R650&gt;0,S650*100/R650,0)</f>
        <v>0</v>
      </c>
    </row>
    <row r="651" spans="1:21" ht="19.5">
      <c r="A651" s="166"/>
      <c r="B651" s="167"/>
      <c r="C651" s="239" t="s">
        <v>18</v>
      </c>
      <c r="D651" s="571" t="s">
        <v>38</v>
      </c>
      <c r="E651" s="169"/>
      <c r="F651" s="169"/>
      <c r="G651" s="170"/>
      <c r="H651" s="206"/>
      <c r="I651" s="163"/>
      <c r="J651" s="163"/>
      <c r="K651" s="164"/>
      <c r="L651" s="172"/>
      <c r="M651" s="164"/>
      <c r="N651" s="164"/>
      <c r="O651" s="164"/>
      <c r="P651" s="164"/>
      <c r="Q651" s="55"/>
      <c r="R651" s="55"/>
      <c r="S651" s="55"/>
      <c r="T651" s="164"/>
      <c r="U651" s="164"/>
    </row>
    <row r="652" spans="1:21" ht="18.75" hidden="1">
      <c r="A652" s="238"/>
      <c r="B652" s="188"/>
      <c r="C652" s="188"/>
      <c r="D652" s="58" t="s">
        <v>238</v>
      </c>
      <c r="E652" s="50"/>
      <c r="F652" s="50"/>
      <c r="G652" s="52"/>
      <c r="H652" s="165" t="s">
        <v>46</v>
      </c>
      <c r="I652" s="570">
        <f ca="1">IFERROR(__xludf.DUMMYFUNCTION("IMPORTRANGE(""https://docs.google.com/spreadsheets/d/1eHaY18a8A9IcSdp1K8H6x8fbOy06t2VsZHhMHf-1x7Y/edit?usp=sharing"",""แผน!IF34"")"),0)</f>
        <v>0</v>
      </c>
      <c r="J652" s="212">
        <f ca="1">IFERROR(__xludf.DUMMYFUNCTION("IMPORTRANGE(""https://docs.google.com/spreadsheets/d/1tdoBKaGub7dwA3U6UFTqxio9LNnvDCQjHKmttSEBsFQ/edit?usp=sharing"",""จัดที่ดิน!AU34"")"),0)</f>
        <v>0</v>
      </c>
      <c r="K652" s="255">
        <f ca="1">IF(I652&gt;0,J652*100/I652,0)</f>
        <v>0</v>
      </c>
      <c r="L652" s="62"/>
      <c r="M652" s="55"/>
      <c r="N652" s="468"/>
      <c r="O652" s="55"/>
      <c r="P652" s="55"/>
      <c r="Q652" s="55"/>
      <c r="R652" s="55"/>
      <c r="S652" s="468"/>
      <c r="T652" s="55"/>
      <c r="U652" s="55"/>
    </row>
    <row r="653" spans="1:21" ht="18.75" hidden="1">
      <c r="A653" s="238"/>
      <c r="B653" s="188"/>
      <c r="C653" s="188"/>
      <c r="D653" s="58" t="s">
        <v>239</v>
      </c>
      <c r="E653" s="50"/>
      <c r="F653" s="50"/>
      <c r="G653" s="52"/>
      <c r="H653" s="165" t="s">
        <v>35</v>
      </c>
      <c r="I653" s="570">
        <f ca="1">IFERROR(__xludf.DUMMYFUNCTION("IMPORTRANGE(""https://docs.google.com/spreadsheets/d/1eHaY18a8A9IcSdp1K8H6x8fbOy06t2VsZHhMHf-1x7Y/edit?usp=sharing"",""แผน!IG34"")"),0)</f>
        <v>0</v>
      </c>
      <c r="J653" s="212">
        <f ca="1">IFERROR(__xludf.DUMMYFUNCTION("IMPORTRANGE(""https://docs.google.com/spreadsheets/d/1tdoBKaGub7dwA3U6UFTqxio9LNnvDCQjHKmttSEBsFQ/edit?usp=sharing"",""จัดที่ดิน!AW34"")"),2)</f>
        <v>2</v>
      </c>
      <c r="K653" s="255">
        <f ca="1">IF(I653&gt;0,J653*100/I653,0)</f>
        <v>0</v>
      </c>
      <c r="L653" s="62"/>
      <c r="M653" s="55"/>
      <c r="N653" s="468"/>
      <c r="O653" s="55"/>
      <c r="P653" s="55"/>
      <c r="Q653" s="55"/>
      <c r="R653" s="55"/>
      <c r="S653" s="468"/>
      <c r="T653" s="55"/>
      <c r="U653" s="55"/>
    </row>
    <row r="654" spans="1:21" ht="19.5">
      <c r="A654" s="238"/>
      <c r="B654" s="188"/>
      <c r="C654" s="188"/>
      <c r="D654" s="58" t="s">
        <v>240</v>
      </c>
      <c r="E654" s="50"/>
      <c r="F654" s="50"/>
      <c r="G654" s="52"/>
      <c r="H654" s="461" t="s">
        <v>46</v>
      </c>
      <c r="I654" s="569">
        <f ca="1">IFERROR(__xludf.DUMMYFUNCTION("IMPORTRANGE(""https://docs.google.com/spreadsheets/d/1eHaY18a8A9IcSdp1K8H6x8fbOy06t2VsZHhMHf-1x7Y/edit?usp=sharing"",""แผน!IH34"")"),30)</f>
        <v>30</v>
      </c>
      <c r="J654" s="373">
        <f>J657+J660</f>
        <v>24</v>
      </c>
      <c r="K654" s="540">
        <f ca="1">IF(I654&gt;0,J654*100/I654,0)</f>
        <v>80</v>
      </c>
      <c r="L654" s="62"/>
      <c r="M654" s="55"/>
      <c r="N654" s="468"/>
      <c r="O654" s="55"/>
      <c r="P654" s="55"/>
      <c r="Q654" s="55"/>
      <c r="R654" s="55"/>
      <c r="S654" s="468"/>
      <c r="T654" s="55"/>
      <c r="U654" s="55"/>
    </row>
    <row r="655" spans="1:21" ht="18.75">
      <c r="A655" s="238"/>
      <c r="B655" s="188"/>
      <c r="C655" s="188"/>
      <c r="D655" s="50"/>
      <c r="E655" s="58" t="s">
        <v>241</v>
      </c>
      <c r="F655" s="50"/>
      <c r="G655" s="52"/>
      <c r="H655" s="165" t="s">
        <v>35</v>
      </c>
      <c r="I655" s="208"/>
      <c r="J655" s="467">
        <v>0</v>
      </c>
      <c r="K655" s="55"/>
      <c r="L655" s="62"/>
      <c r="M655" s="55"/>
      <c r="N655" s="468"/>
      <c r="O655" s="55"/>
      <c r="P655" s="55"/>
      <c r="Q655" s="55"/>
      <c r="R655" s="55"/>
      <c r="S655" s="468"/>
      <c r="T655" s="55"/>
      <c r="U655" s="55"/>
    </row>
    <row r="656" spans="1:21" ht="18.75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67">
        <v>0</v>
      </c>
      <c r="K656" s="55"/>
      <c r="L656" s="62"/>
      <c r="M656" s="55"/>
      <c r="N656" s="468"/>
      <c r="O656" s="55"/>
      <c r="P656" s="55"/>
      <c r="Q656" s="55"/>
      <c r="R656" s="55"/>
      <c r="S656" s="468"/>
      <c r="T656" s="55"/>
      <c r="U656" s="55"/>
    </row>
    <row r="657" spans="1:21" ht="18.75">
      <c r="A657" s="238"/>
      <c r="B657" s="188"/>
      <c r="C657" s="188"/>
      <c r="D657" s="50"/>
      <c r="E657" s="50"/>
      <c r="F657" s="50"/>
      <c r="G657" s="52"/>
      <c r="H657" s="165" t="s">
        <v>46</v>
      </c>
      <c r="I657" s="570">
        <f ca="1">IFERROR(__xludf.DUMMYFUNCTION("IMPORTRANGE(""https://docs.google.com/spreadsheets/d/1eHaY18a8A9IcSdp1K8H6x8fbOy06t2VsZHhMHf-1x7Y/edit?usp=sharing"",""แผน!II34"")"),0)</f>
        <v>0</v>
      </c>
      <c r="J657" s="467">
        <v>0</v>
      </c>
      <c r="K657" s="55"/>
      <c r="L657" s="62"/>
      <c r="M657" s="55"/>
      <c r="N657" s="468"/>
      <c r="O657" s="55"/>
      <c r="P657" s="55"/>
      <c r="Q657" s="55"/>
      <c r="R657" s="55"/>
      <c r="S657" s="468"/>
      <c r="T657" s="55"/>
      <c r="U657" s="55"/>
    </row>
    <row r="658" spans="1:21" ht="18.75">
      <c r="A658" s="238"/>
      <c r="B658" s="188"/>
      <c r="C658" s="188"/>
      <c r="D658" s="50"/>
      <c r="E658" s="58" t="s">
        <v>242</v>
      </c>
      <c r="F658" s="50"/>
      <c r="G658" s="52"/>
      <c r="H658" s="165" t="s">
        <v>35</v>
      </c>
      <c r="I658" s="208"/>
      <c r="J658" s="467">
        <v>2</v>
      </c>
      <c r="K658" s="55"/>
      <c r="L658" s="62"/>
      <c r="M658" s="55"/>
      <c r="N658" s="468"/>
      <c r="O658" s="55"/>
      <c r="P658" s="55"/>
      <c r="Q658" s="55"/>
      <c r="R658" s="55"/>
      <c r="S658" s="468"/>
      <c r="T658" s="55"/>
      <c r="U658" s="55"/>
    </row>
    <row r="659" spans="1:21" ht="18.75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67">
        <v>2</v>
      </c>
      <c r="K659" s="55"/>
      <c r="L659" s="62"/>
      <c r="M659" s="55"/>
      <c r="N659" s="468"/>
      <c r="O659" s="55"/>
      <c r="P659" s="55"/>
      <c r="Q659" s="55"/>
      <c r="R659" s="55"/>
      <c r="S659" s="468"/>
      <c r="T659" s="55"/>
      <c r="U659" s="55"/>
    </row>
    <row r="660" spans="1:21" ht="18.75">
      <c r="A660" s="238"/>
      <c r="B660" s="188"/>
      <c r="C660" s="188"/>
      <c r="D660" s="50"/>
      <c r="E660" s="50"/>
      <c r="F660" s="50"/>
      <c r="G660" s="52"/>
      <c r="H660" s="165" t="s">
        <v>46</v>
      </c>
      <c r="I660" s="570">
        <f ca="1">IFERROR(__xludf.DUMMYFUNCTION("IMPORTRANGE(""https://docs.google.com/spreadsheets/d/1eHaY18a8A9IcSdp1K8H6x8fbOy06t2VsZHhMHf-1x7Y/edit?usp=sharing"",""แผน!IJ34"")"),30)</f>
        <v>30</v>
      </c>
      <c r="J660" s="467">
        <v>24</v>
      </c>
      <c r="K660" s="55"/>
      <c r="L660" s="62"/>
      <c r="M660" s="55"/>
      <c r="N660" s="468"/>
      <c r="O660" s="55"/>
      <c r="P660" s="55"/>
      <c r="Q660" s="55"/>
      <c r="R660" s="55"/>
      <c r="S660" s="468"/>
      <c r="T660" s="55"/>
      <c r="U660" s="55"/>
    </row>
    <row r="661" spans="1:21" ht="19.5">
      <c r="A661" s="238"/>
      <c r="B661" s="188"/>
      <c r="C661" s="188"/>
      <c r="D661" s="377" t="s">
        <v>243</v>
      </c>
      <c r="E661" s="50"/>
      <c r="F661" s="50"/>
      <c r="G661" s="52"/>
      <c r="H661" s="461" t="s">
        <v>46</v>
      </c>
      <c r="I661" s="569">
        <f ca="1">IFERROR(__xludf.DUMMYFUNCTION("IMPORTRANGE(""https://docs.google.com/spreadsheets/d/1eHaY18a8A9IcSdp1K8H6x8fbOy06t2VsZHhMHf-1x7Y/edit?usp=sharing"",""แผน!IK34"")"),16)</f>
        <v>16</v>
      </c>
      <c r="J661" s="373">
        <f>J667+J670</f>
        <v>0</v>
      </c>
      <c r="K661" s="540">
        <f ca="1">IF(I661&gt;0,J661*100/I661,0)</f>
        <v>0</v>
      </c>
      <c r="L661" s="62"/>
      <c r="M661" s="55"/>
      <c r="N661" s="468"/>
      <c r="O661" s="55"/>
      <c r="P661" s="55"/>
      <c r="Q661" s="55"/>
      <c r="R661" s="55"/>
      <c r="S661" s="468"/>
      <c r="T661" s="55"/>
      <c r="U661" s="55"/>
    </row>
    <row r="662" spans="1:21" ht="18.75">
      <c r="A662" s="238"/>
      <c r="B662" s="188"/>
      <c r="C662" s="188"/>
      <c r="D662" s="50"/>
      <c r="E662" s="58" t="s">
        <v>244</v>
      </c>
      <c r="F662" s="50"/>
      <c r="G662" s="52"/>
      <c r="H662" s="165" t="s">
        <v>34</v>
      </c>
      <c r="I662" s="208"/>
      <c r="J662" s="467">
        <v>0</v>
      </c>
      <c r="K662" s="55"/>
      <c r="L662" s="469"/>
      <c r="M662" s="55"/>
      <c r="N662" s="468"/>
      <c r="O662" s="55"/>
      <c r="P662" s="55"/>
      <c r="Q662" s="468"/>
      <c r="R662" s="55"/>
      <c r="S662" s="468"/>
      <c r="T662" s="55"/>
      <c r="U662" s="55"/>
    </row>
    <row r="663" spans="1:21" ht="18.75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67">
        <v>0</v>
      </c>
      <c r="K663" s="55"/>
      <c r="L663" s="469"/>
      <c r="M663" s="55"/>
      <c r="N663" s="468"/>
      <c r="O663" s="55"/>
      <c r="P663" s="55"/>
      <c r="Q663" s="468"/>
      <c r="R663" s="55"/>
      <c r="S663" s="468"/>
      <c r="T663" s="55"/>
      <c r="U663" s="55"/>
    </row>
    <row r="664" spans="1:21" ht="18.75">
      <c r="A664" s="238"/>
      <c r="B664" s="188"/>
      <c r="C664" s="188"/>
      <c r="D664" s="50"/>
      <c r="E664" s="58" t="s">
        <v>245</v>
      </c>
      <c r="F664" s="50"/>
      <c r="G664" s="52"/>
      <c r="H664" s="206"/>
      <c r="I664" s="208"/>
      <c r="J664" s="54"/>
      <c r="K664" s="55"/>
      <c r="L664" s="469"/>
      <c r="M664" s="55"/>
      <c r="N664" s="468"/>
      <c r="O664" s="55"/>
      <c r="P664" s="55"/>
      <c r="Q664" s="468"/>
      <c r="R664" s="55"/>
      <c r="S664" s="468"/>
      <c r="T664" s="55"/>
      <c r="U664" s="55"/>
    </row>
    <row r="665" spans="1:21" ht="18.75">
      <c r="A665" s="238"/>
      <c r="B665" s="188"/>
      <c r="C665" s="188"/>
      <c r="D665" s="50"/>
      <c r="E665" s="50"/>
      <c r="F665" s="58" t="s">
        <v>246</v>
      </c>
      <c r="G665" s="52"/>
      <c r="H665" s="165" t="s">
        <v>35</v>
      </c>
      <c r="I665" s="208"/>
      <c r="J665" s="467">
        <v>0</v>
      </c>
      <c r="K665" s="55"/>
      <c r="L665" s="469"/>
      <c r="M665" s="55"/>
      <c r="N665" s="468"/>
      <c r="O665" s="55"/>
      <c r="P665" s="55"/>
      <c r="Q665" s="468"/>
      <c r="R665" s="55"/>
      <c r="S665" s="468"/>
      <c r="T665" s="55"/>
      <c r="U665" s="55"/>
    </row>
    <row r="666" spans="1:21" ht="18.75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67">
        <v>0</v>
      </c>
      <c r="K666" s="55"/>
      <c r="L666" s="469"/>
      <c r="M666" s="55"/>
      <c r="N666" s="468"/>
      <c r="O666" s="55"/>
      <c r="P666" s="55"/>
      <c r="Q666" s="468"/>
      <c r="R666" s="55"/>
      <c r="S666" s="468"/>
      <c r="T666" s="55"/>
      <c r="U666" s="55"/>
    </row>
    <row r="667" spans="1:21" ht="18.75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67">
        <v>0</v>
      </c>
      <c r="K667" s="55"/>
      <c r="L667" s="469"/>
      <c r="M667" s="55"/>
      <c r="N667" s="468"/>
      <c r="O667" s="55"/>
      <c r="P667" s="55"/>
      <c r="Q667" s="468"/>
      <c r="R667" s="55"/>
      <c r="S667" s="468"/>
      <c r="T667" s="55"/>
      <c r="U667" s="55"/>
    </row>
    <row r="668" spans="1:21" ht="18.75">
      <c r="A668" s="238"/>
      <c r="B668" s="188"/>
      <c r="C668" s="188"/>
      <c r="D668" s="50"/>
      <c r="E668" s="50"/>
      <c r="F668" s="58" t="s">
        <v>247</v>
      </c>
      <c r="G668" s="52"/>
      <c r="H668" s="165" t="s">
        <v>35</v>
      </c>
      <c r="I668" s="208"/>
      <c r="J668" s="467">
        <v>0</v>
      </c>
      <c r="K668" s="55"/>
      <c r="L668" s="469"/>
      <c r="M668" s="55"/>
      <c r="N668" s="468"/>
      <c r="O668" s="55"/>
      <c r="P668" s="55"/>
      <c r="Q668" s="468"/>
      <c r="R668" s="55"/>
      <c r="S668" s="468"/>
      <c r="T668" s="55"/>
      <c r="U668" s="55"/>
    </row>
    <row r="669" spans="1:21" ht="18.75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67">
        <v>0</v>
      </c>
      <c r="K669" s="55"/>
      <c r="L669" s="469"/>
      <c r="M669" s="55"/>
      <c r="N669" s="468"/>
      <c r="O669" s="55"/>
      <c r="P669" s="55"/>
      <c r="Q669" s="468"/>
      <c r="R669" s="55"/>
      <c r="S669" s="468"/>
      <c r="T669" s="55"/>
      <c r="U669" s="55"/>
    </row>
    <row r="670" spans="1:21" ht="18.75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67">
        <v>0</v>
      </c>
      <c r="K670" s="55"/>
      <c r="L670" s="469"/>
      <c r="M670" s="55"/>
      <c r="N670" s="468"/>
      <c r="O670" s="55"/>
      <c r="P670" s="55"/>
      <c r="Q670" s="468"/>
      <c r="R670" s="55"/>
      <c r="S670" s="468"/>
      <c r="T670" s="55"/>
      <c r="U670" s="55"/>
    </row>
    <row r="671" spans="1:21" ht="18.75">
      <c r="A671" s="238"/>
      <c r="B671" s="188"/>
      <c r="C671" s="188"/>
      <c r="D671" s="58" t="s">
        <v>248</v>
      </c>
      <c r="E671" s="50"/>
      <c r="F671" s="50"/>
      <c r="G671" s="52"/>
      <c r="H671" s="165" t="s">
        <v>35</v>
      </c>
      <c r="I671" s="208"/>
      <c r="J671" s="212">
        <f ca="1">IFERROR(__xludf.DUMMYFUNCTION("IMPORTRANGE(""https://docs.google.com/spreadsheets/d/1tdoBKaGub7dwA3U6UFTqxio9LNnvDCQjHKmttSEBsFQ/edit?usp=sharing"",""จัดที่ดิน!AY34"")"),5)</f>
        <v>5</v>
      </c>
      <c r="K671" s="55"/>
      <c r="L671" s="62"/>
      <c r="M671" s="55"/>
      <c r="N671" s="468"/>
      <c r="O671" s="55"/>
      <c r="P671" s="55"/>
      <c r="Q671" s="55"/>
      <c r="R671" s="55"/>
      <c r="S671" s="468"/>
      <c r="T671" s="55"/>
      <c r="U671" s="55"/>
    </row>
    <row r="672" spans="1:21" ht="18.75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212">
        <f ca="1">IFERROR(__xludf.DUMMYFUNCTION("IMPORTRANGE(""https://docs.google.com/spreadsheets/d/1tdoBKaGub7dwA3U6UFTqxio9LNnvDCQjHKmttSEBsFQ/edit?usp=sharing"",""จัดที่ดิน!AZ34"")"),5)</f>
        <v>5</v>
      </c>
      <c r="K672" s="55"/>
      <c r="L672" s="469"/>
      <c r="M672" s="55"/>
      <c r="N672" s="468"/>
      <c r="O672" s="55"/>
      <c r="P672" s="55"/>
      <c r="Q672" s="468"/>
      <c r="R672" s="55"/>
      <c r="S672" s="468"/>
      <c r="T672" s="55"/>
      <c r="U672" s="55"/>
    </row>
    <row r="673" spans="1:21" ht="18.75">
      <c r="A673" s="238"/>
      <c r="B673" s="188"/>
      <c r="C673" s="188"/>
      <c r="D673" s="50"/>
      <c r="E673" s="50"/>
      <c r="F673" s="50"/>
      <c r="G673" s="52"/>
      <c r="H673" s="165" t="s">
        <v>46</v>
      </c>
      <c r="I673" s="570">
        <f ca="1">IFERROR(__xludf.DUMMYFUNCTION("IMPORTRANGE(""https://docs.google.com/spreadsheets/d/1eHaY18a8A9IcSdp1K8H6x8fbOy06t2VsZHhMHf-1x7Y/edit?usp=sharing"",""แผน!IL34"")"),0)</f>
        <v>0</v>
      </c>
      <c r="J673" s="212">
        <f ca="1">IFERROR(__xludf.DUMMYFUNCTION("IMPORTRANGE(""https://docs.google.com/spreadsheets/d/1tdoBKaGub7dwA3U6UFTqxio9LNnvDCQjHKmttSEBsFQ/edit?usp=sharing"",""จัดที่ดิน!BA34"")"),59)</f>
        <v>59</v>
      </c>
      <c r="K673" s="255">
        <f ca="1">IF(I673&gt;0,J673*100/I673,0)</f>
        <v>0</v>
      </c>
      <c r="L673" s="469"/>
      <c r="M673" s="55"/>
      <c r="N673" s="468"/>
      <c r="O673" s="55"/>
      <c r="P673" s="55"/>
      <c r="Q673" s="468"/>
      <c r="R673" s="55"/>
      <c r="S673" s="468"/>
      <c r="T673" s="55"/>
      <c r="U673" s="55"/>
    </row>
    <row r="674" spans="1:21" ht="19.5">
      <c r="A674" s="238"/>
      <c r="B674" s="188"/>
      <c r="C674" s="188"/>
      <c r="D674" s="58" t="s">
        <v>249</v>
      </c>
      <c r="E674" s="50"/>
      <c r="F674" s="50"/>
      <c r="G674" s="52"/>
      <c r="H674" s="461" t="s">
        <v>35</v>
      </c>
      <c r="I674" s="569">
        <f ca="1">IFERROR(__xludf.DUMMYFUNCTION("IMPORTRANGE(""https://docs.google.com/spreadsheets/d/1eHaY18a8A9IcSdp1K8H6x8fbOy06t2VsZHhMHf-1x7Y/edit?usp=sharing"",""แผน!IM34"")"),19)</f>
        <v>19</v>
      </c>
      <c r="J674" s="373">
        <f ca="1">J676+J679</f>
        <v>0</v>
      </c>
      <c r="K674" s="540">
        <f ca="1">IF(I674&gt;0,J674*100/I674,0)</f>
        <v>0</v>
      </c>
      <c r="L674" s="469"/>
      <c r="M674" s="55"/>
      <c r="N674" s="468"/>
      <c r="O674" s="55"/>
      <c r="P674" s="55"/>
      <c r="Q674" s="468"/>
      <c r="R674" s="55"/>
      <c r="S674" s="468"/>
      <c r="T674" s="55"/>
      <c r="U674" s="55"/>
    </row>
    <row r="675" spans="1:21" ht="19.5">
      <c r="A675" s="238"/>
      <c r="B675" s="188"/>
      <c r="C675" s="188"/>
      <c r="D675" s="50"/>
      <c r="E675" s="50"/>
      <c r="F675" s="50"/>
      <c r="G675" s="52"/>
      <c r="H675" s="461" t="s">
        <v>46</v>
      </c>
      <c r="I675" s="569">
        <f ca="1">IFERROR(__xludf.DUMMYFUNCTION("IMPORTRANGE(""https://docs.google.com/spreadsheets/d/1eHaY18a8A9IcSdp1K8H6x8fbOy06t2VsZHhMHf-1x7Y/edit?usp=sharing"",""แผน!IN34"")"),156)</f>
        <v>156</v>
      </c>
      <c r="J675" s="373">
        <f ca="1">J678+J681</f>
        <v>0</v>
      </c>
      <c r="K675" s="540">
        <f ca="1">IF(I675&gt;0,J675*100/I675,0)</f>
        <v>0</v>
      </c>
      <c r="L675" s="62"/>
      <c r="M675" s="55"/>
      <c r="N675" s="468"/>
      <c r="O675" s="55"/>
      <c r="P675" s="55"/>
      <c r="Q675" s="55"/>
      <c r="R675" s="55"/>
      <c r="S675" s="468"/>
      <c r="T675" s="55"/>
      <c r="U675" s="55"/>
    </row>
    <row r="676" spans="1:21" ht="18.75">
      <c r="A676" s="238"/>
      <c r="B676" s="188"/>
      <c r="C676" s="188"/>
      <c r="D676" s="50"/>
      <c r="E676" s="58" t="s">
        <v>250</v>
      </c>
      <c r="F676" s="50"/>
      <c r="G676" s="52"/>
      <c r="H676" s="165" t="s">
        <v>35</v>
      </c>
      <c r="I676" s="570">
        <f ca="1">IFERROR(__xludf.DUMMYFUNCTION("IMPORTRANGE(""https://docs.google.com/spreadsheets/d/1eHaY18a8A9IcSdp1K8H6x8fbOy06t2VsZHhMHf-1x7Y/edit?usp=sharing"",""แผน!IO34"")"),19)</f>
        <v>19</v>
      </c>
      <c r="J676" s="212">
        <f ca="1">IFERROR(__xludf.DUMMYFUNCTION("IMPORTRANGE(""https://docs.google.com/spreadsheets/d/1tdoBKaGub7dwA3U6UFTqxio9LNnvDCQjHKmttSEBsFQ/edit?usp=sharing"",""จัดที่ดิน!BF34"")"),0)</f>
        <v>0</v>
      </c>
      <c r="K676" s="255">
        <f ca="1">IF(I676&gt;0,J676*100/I676,0)</f>
        <v>0</v>
      </c>
      <c r="L676" s="62"/>
      <c r="M676" s="55"/>
      <c r="N676" s="468"/>
      <c r="O676" s="55"/>
      <c r="P676" s="55"/>
      <c r="Q676" s="55"/>
      <c r="R676" s="55"/>
      <c r="S676" s="468"/>
      <c r="T676" s="55"/>
      <c r="U676" s="55"/>
    </row>
    <row r="677" spans="1:21" ht="18.75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212">
        <f ca="1">IFERROR(__xludf.DUMMYFUNCTION("IMPORTRANGE(""https://docs.google.com/spreadsheets/d/1tdoBKaGub7dwA3U6UFTqxio9LNnvDCQjHKmttSEBsFQ/edit?usp=sharing"",""จัดที่ดิน!BG34"")"),0)</f>
        <v>0</v>
      </c>
      <c r="K677" s="55"/>
      <c r="L677" s="469"/>
      <c r="M677" s="55"/>
      <c r="N677" s="468"/>
      <c r="O677" s="55"/>
      <c r="P677" s="55"/>
      <c r="Q677" s="468"/>
      <c r="R677" s="55"/>
      <c r="S677" s="468"/>
      <c r="T677" s="55"/>
      <c r="U677" s="55"/>
    </row>
    <row r="678" spans="1:21" ht="18.75">
      <c r="A678" s="238"/>
      <c r="B678" s="188"/>
      <c r="C678" s="188"/>
      <c r="D678" s="50"/>
      <c r="E678" s="50"/>
      <c r="F678" s="50"/>
      <c r="G678" s="52"/>
      <c r="H678" s="165" t="s">
        <v>46</v>
      </c>
      <c r="I678" s="570">
        <f ca="1">IFERROR(__xludf.DUMMYFUNCTION("IMPORTRANGE(""https://docs.google.com/spreadsheets/d/1eHaY18a8A9IcSdp1K8H6x8fbOy06t2VsZHhMHf-1x7Y/edit?usp=sharing"",""แผน!IP34"")"),156)</f>
        <v>156</v>
      </c>
      <c r="J678" s="212">
        <f ca="1">IFERROR(__xludf.DUMMYFUNCTION("IMPORTRANGE(""https://docs.google.com/spreadsheets/d/1tdoBKaGub7dwA3U6UFTqxio9LNnvDCQjHKmttSEBsFQ/edit?usp=sharing"",""จัดที่ดิน!BH34"")"),0)</f>
        <v>0</v>
      </c>
      <c r="K678" s="255">
        <f ca="1">IF(I678&gt;0,J678*100/I678,0)</f>
        <v>0</v>
      </c>
      <c r="L678" s="469"/>
      <c r="M678" s="55"/>
      <c r="N678" s="468"/>
      <c r="O678" s="55"/>
      <c r="P678" s="55"/>
      <c r="Q678" s="468"/>
      <c r="R678" s="55"/>
      <c r="S678" s="468"/>
      <c r="T678" s="55"/>
      <c r="U678" s="55"/>
    </row>
    <row r="679" spans="1:21" ht="18.75">
      <c r="A679" s="238"/>
      <c r="B679" s="188"/>
      <c r="C679" s="188"/>
      <c r="D679" s="50"/>
      <c r="E679" s="58" t="s">
        <v>251</v>
      </c>
      <c r="F679" s="50"/>
      <c r="G679" s="52"/>
      <c r="H679" s="165" t="s">
        <v>35</v>
      </c>
      <c r="I679" s="570">
        <f ca="1">IFERROR(__xludf.DUMMYFUNCTION("IMPORTRANGE(""https://docs.google.com/spreadsheets/d/1eHaY18a8A9IcSdp1K8H6x8fbOy06t2VsZHhMHf-1x7Y/edit?usp=sharing"",""แผน!IQ34"")"),0)</f>
        <v>0</v>
      </c>
      <c r="J679" s="212">
        <f ca="1">IFERROR(__xludf.DUMMYFUNCTION("IMPORTRANGE(""https://docs.google.com/spreadsheets/d/1tdoBKaGub7dwA3U6UFTqxio9LNnvDCQjHKmttSEBsFQ/edit?usp=sharing"",""จัดที่ดิน!BK34"")"),0)</f>
        <v>0</v>
      </c>
      <c r="K679" s="255">
        <f ca="1">IF(I679&gt;0,J679*100/I679,0)</f>
        <v>0</v>
      </c>
      <c r="L679" s="62"/>
      <c r="M679" s="55"/>
      <c r="N679" s="468"/>
      <c r="O679" s="55"/>
      <c r="P679" s="55"/>
      <c r="Q679" s="55"/>
      <c r="R679" s="55"/>
      <c r="S679" s="468"/>
      <c r="T679" s="55"/>
      <c r="U679" s="55"/>
    </row>
    <row r="680" spans="1:21" ht="18.75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212">
        <f ca="1">IFERROR(__xludf.DUMMYFUNCTION("IMPORTRANGE(""https://docs.google.com/spreadsheets/d/1tdoBKaGub7dwA3U6UFTqxio9LNnvDCQjHKmttSEBsFQ/edit?usp=sharing"",""จัดที่ดิน!BL34"")"),0)</f>
        <v>0</v>
      </c>
      <c r="K680" s="55"/>
      <c r="L680" s="469"/>
      <c r="M680" s="55"/>
      <c r="N680" s="468"/>
      <c r="O680" s="55"/>
      <c r="P680" s="55"/>
      <c r="Q680" s="468"/>
      <c r="R680" s="55"/>
      <c r="S680" s="468"/>
      <c r="T680" s="55"/>
      <c r="U680" s="55"/>
    </row>
    <row r="681" spans="1:21" ht="18.75">
      <c r="A681" s="238"/>
      <c r="B681" s="188"/>
      <c r="C681" s="188"/>
      <c r="D681" s="50"/>
      <c r="E681" s="50"/>
      <c r="F681" s="50"/>
      <c r="G681" s="52"/>
      <c r="H681" s="165" t="s">
        <v>46</v>
      </c>
      <c r="I681" s="570">
        <f ca="1">IFERROR(__xludf.DUMMYFUNCTION("IMPORTRANGE(""https://docs.google.com/spreadsheets/d/1eHaY18a8A9IcSdp1K8H6x8fbOy06t2VsZHhMHf-1x7Y/edit?usp=sharing"",""แผน!IR34"")"),0)</f>
        <v>0</v>
      </c>
      <c r="J681" s="212">
        <f ca="1">IFERROR(__xludf.DUMMYFUNCTION("IMPORTRANGE(""https://docs.google.com/spreadsheets/d/1tdoBKaGub7dwA3U6UFTqxio9LNnvDCQjHKmttSEBsFQ/edit?usp=sharing"",""จัดที่ดิน!BM34"")"),0)</f>
        <v>0</v>
      </c>
      <c r="K681" s="255">
        <f ca="1">IF(I681&gt;0,J681*100/I681,0)</f>
        <v>0</v>
      </c>
      <c r="L681" s="469"/>
      <c r="M681" s="55"/>
      <c r="N681" s="468"/>
      <c r="O681" s="55"/>
      <c r="P681" s="55"/>
      <c r="Q681" s="468"/>
      <c r="R681" s="55"/>
      <c r="S681" s="468"/>
      <c r="T681" s="55"/>
      <c r="U681" s="55"/>
    </row>
    <row r="682" spans="1:21" ht="19.5" hidden="1">
      <c r="A682" s="238"/>
      <c r="B682" s="188"/>
      <c r="C682" s="188"/>
      <c r="D682" s="58" t="s">
        <v>252</v>
      </c>
      <c r="E682" s="50"/>
      <c r="F682" s="50"/>
      <c r="G682" s="52"/>
      <c r="H682" s="461" t="s">
        <v>46</v>
      </c>
      <c r="I682" s="569">
        <f ca="1">IFERROR(__xludf.DUMMYFUNCTION("IMPORTRANGE(""https://docs.google.com/spreadsheets/d/1eHaY18a8A9IcSdp1K8H6x8fbOy06t2VsZHhMHf-1x7Y/edit?usp=sharing"",""แผน!IS34"")"),0)</f>
        <v>0</v>
      </c>
      <c r="J682" s="373">
        <f>J685+J688</f>
        <v>0</v>
      </c>
      <c r="K682" s="540">
        <f ca="1">IF(I682&gt;0,J682*100/I682,0)</f>
        <v>0</v>
      </c>
      <c r="L682" s="62"/>
      <c r="M682" s="55"/>
      <c r="N682" s="468"/>
      <c r="O682" s="55"/>
      <c r="P682" s="55"/>
      <c r="Q682" s="55"/>
      <c r="R682" s="55"/>
      <c r="S682" s="468"/>
      <c r="T682" s="55"/>
      <c r="U682" s="55"/>
    </row>
    <row r="683" spans="1:21" ht="18.75" hidden="1">
      <c r="A683" s="238"/>
      <c r="B683" s="188"/>
      <c r="C683" s="188"/>
      <c r="D683" s="50"/>
      <c r="E683" s="58" t="s">
        <v>253</v>
      </c>
      <c r="F683" s="50"/>
      <c r="G683" s="52"/>
      <c r="H683" s="165" t="s">
        <v>35</v>
      </c>
      <c r="I683" s="208"/>
      <c r="J683" s="467">
        <v>0</v>
      </c>
      <c r="K683" s="55"/>
      <c r="L683" s="469"/>
      <c r="M683" s="55"/>
      <c r="N683" s="468"/>
      <c r="O683" s="55"/>
      <c r="P683" s="55"/>
      <c r="Q683" s="468"/>
      <c r="R683" s="55"/>
      <c r="S683" s="468"/>
      <c r="T683" s="55"/>
      <c r="U683" s="55"/>
    </row>
    <row r="684" spans="1:21" ht="18.75" hidden="1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467">
        <v>0</v>
      </c>
      <c r="K684" s="55"/>
      <c r="L684" s="469"/>
      <c r="M684" s="55"/>
      <c r="N684" s="468"/>
      <c r="O684" s="55"/>
      <c r="P684" s="55"/>
      <c r="Q684" s="468"/>
      <c r="R684" s="55"/>
      <c r="S684" s="468"/>
      <c r="T684" s="55"/>
      <c r="U684" s="55"/>
    </row>
    <row r="685" spans="1:21" ht="18.75" hidden="1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467">
        <v>0</v>
      </c>
      <c r="K685" s="55"/>
      <c r="L685" s="469"/>
      <c r="M685" s="55"/>
      <c r="N685" s="468"/>
      <c r="O685" s="55"/>
      <c r="P685" s="55"/>
      <c r="Q685" s="468"/>
      <c r="R685" s="55"/>
      <c r="S685" s="468"/>
      <c r="T685" s="55"/>
      <c r="U685" s="55"/>
    </row>
    <row r="686" spans="1:21" ht="18.75" hidden="1">
      <c r="A686" s="238"/>
      <c r="B686" s="188"/>
      <c r="C686" s="188"/>
      <c r="D686" s="50"/>
      <c r="E686" s="58" t="s">
        <v>254</v>
      </c>
      <c r="F686" s="50"/>
      <c r="G686" s="52"/>
      <c r="H686" s="165" t="s">
        <v>35</v>
      </c>
      <c r="I686" s="208"/>
      <c r="J686" s="467">
        <v>0</v>
      </c>
      <c r="K686" s="55"/>
      <c r="L686" s="469"/>
      <c r="M686" s="55"/>
      <c r="N686" s="468"/>
      <c r="O686" s="55"/>
      <c r="P686" s="55"/>
      <c r="Q686" s="468"/>
      <c r="R686" s="55"/>
      <c r="S686" s="468"/>
      <c r="T686" s="55"/>
      <c r="U686" s="55"/>
    </row>
    <row r="687" spans="1:21" ht="18.75" hidden="1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467">
        <v>0</v>
      </c>
      <c r="K687" s="55"/>
      <c r="L687" s="469"/>
      <c r="M687" s="55"/>
      <c r="N687" s="468"/>
      <c r="O687" s="55"/>
      <c r="P687" s="55"/>
      <c r="Q687" s="468"/>
      <c r="R687" s="55"/>
      <c r="S687" s="468"/>
      <c r="T687" s="55"/>
      <c r="U687" s="55"/>
    </row>
    <row r="688" spans="1:21" ht="19.5" hidden="1">
      <c r="A688" s="281"/>
      <c r="B688" s="470" t="s">
        <v>255</v>
      </c>
      <c r="C688" s="282"/>
      <c r="D688" s="2"/>
      <c r="E688" s="2"/>
      <c r="F688" s="2"/>
      <c r="G688" s="284"/>
      <c r="H688" s="214" t="s">
        <v>46</v>
      </c>
      <c r="I688" s="375"/>
      <c r="J688" s="538">
        <v>0</v>
      </c>
      <c r="K688" s="6"/>
      <c r="L688" s="472"/>
      <c r="M688" s="6"/>
      <c r="N688" s="471"/>
      <c r="O688" s="6"/>
      <c r="P688" s="6"/>
      <c r="Q688" s="471"/>
      <c r="R688" s="6"/>
      <c r="S688" s="471"/>
      <c r="T688" s="6"/>
      <c r="U688" s="6"/>
    </row>
    <row r="689" spans="1:21" ht="19.5">
      <c r="A689" s="442"/>
      <c r="B689" s="443" t="s">
        <v>256</v>
      </c>
      <c r="C689" s="442"/>
      <c r="D689" s="444"/>
      <c r="E689" s="444"/>
      <c r="F689" s="444"/>
      <c r="G689" s="445"/>
      <c r="H689" s="568" t="s">
        <v>35</v>
      </c>
      <c r="I689" s="567">
        <f ca="1">I707</f>
        <v>250</v>
      </c>
      <c r="J689" s="567">
        <f ca="1">J707</f>
        <v>0</v>
      </c>
      <c r="K689" s="543">
        <f ca="1">IF(I689&gt;0,J689*100/I689,0)</f>
        <v>0</v>
      </c>
      <c r="L689" s="449"/>
      <c r="M689" s="448"/>
      <c r="N689" s="448"/>
      <c r="O689" s="448"/>
      <c r="P689" s="448"/>
      <c r="Q689" s="448"/>
      <c r="R689" s="448"/>
      <c r="S689" s="448"/>
      <c r="T689" s="448"/>
      <c r="U689" s="448"/>
    </row>
    <row r="690" spans="1:21" ht="19.5">
      <c r="A690" s="155"/>
      <c r="B690" s="188"/>
      <c r="C690" s="205" t="s">
        <v>18</v>
      </c>
      <c r="D690" s="542" t="s">
        <v>19</v>
      </c>
      <c r="E690" s="529"/>
      <c r="F690" s="529"/>
      <c r="G690" s="530"/>
      <c r="H690" s="252" t="s">
        <v>14</v>
      </c>
      <c r="I690" s="54"/>
      <c r="J690" s="54"/>
      <c r="K690" s="55"/>
      <c r="L690" s="541">
        <f>L691+L692</f>
        <v>0</v>
      </c>
      <c r="M690" s="540">
        <f>M691+M692</f>
        <v>0</v>
      </c>
      <c r="N690" s="540">
        <f>N691+N692</f>
        <v>0</v>
      </c>
      <c r="O690" s="540">
        <f>IF(L690&gt;0,N690*100/L690,0)</f>
        <v>0</v>
      </c>
      <c r="P690" s="540">
        <f>IF(M690&gt;0,N690*100/M690,0)</f>
        <v>0</v>
      </c>
      <c r="Q690" s="540">
        <f ca="1">Q691+Q692</f>
        <v>369200</v>
      </c>
      <c r="R690" s="540">
        <f ca="1">R691+R692</f>
        <v>369200</v>
      </c>
      <c r="S690" s="540">
        <f ca="1">S691+S692</f>
        <v>22000</v>
      </c>
      <c r="T690" s="540">
        <f ca="1">IF(Q690&gt;0,S690*100/Q690,0)</f>
        <v>5.9588299024918747</v>
      </c>
      <c r="U690" s="540">
        <f ca="1">IF(R690&gt;0,S690*100/R690,0)</f>
        <v>5.9588299024918747</v>
      </c>
    </row>
    <row r="691" spans="1:21" ht="18.75" hidden="1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103">
        <f>L694+L697</f>
        <v>0</v>
      </c>
      <c r="M691" s="102">
        <f>M694+M697</f>
        <v>0</v>
      </c>
      <c r="N691" s="102">
        <f>N694+N697</f>
        <v>0</v>
      </c>
      <c r="O691" s="102">
        <f>IF(L691&gt;0,N691*100/L691,0)</f>
        <v>0</v>
      </c>
      <c r="P691" s="102">
        <f>IF(M691&gt;0,N691*100/M691,0)</f>
        <v>0</v>
      </c>
      <c r="Q691" s="102">
        <f>Q694+Q697</f>
        <v>0</v>
      </c>
      <c r="R691" s="102">
        <f>R694+R697</f>
        <v>0</v>
      </c>
      <c r="S691" s="102">
        <f>S694+S697</f>
        <v>0</v>
      </c>
      <c r="T691" s="102">
        <f>IF(Q691&gt;0,S691*100/Q691,0)</f>
        <v>0</v>
      </c>
      <c r="U691" s="102">
        <f>IF(R691&gt;0,S691*100/R691,0)</f>
        <v>0</v>
      </c>
    </row>
    <row r="692" spans="1:21" ht="18.75" hidden="1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256">
        <f>L695+L698</f>
        <v>0</v>
      </c>
      <c r="M692" s="255">
        <f>M695+M698</f>
        <v>0</v>
      </c>
      <c r="N692" s="255">
        <f>N695+N698</f>
        <v>0</v>
      </c>
      <c r="O692" s="255">
        <f>IF(L692&gt;0,N692*100/L692,0)</f>
        <v>0</v>
      </c>
      <c r="P692" s="255">
        <f>IF(M692&gt;0,N692*100/M692,0)</f>
        <v>0</v>
      </c>
      <c r="Q692" s="255">
        <f ca="1">Q695+Q698</f>
        <v>369200</v>
      </c>
      <c r="R692" s="255">
        <f ca="1">R695+R698</f>
        <v>369200</v>
      </c>
      <c r="S692" s="255">
        <f ca="1">S695+S698</f>
        <v>22000</v>
      </c>
      <c r="T692" s="255">
        <f ca="1">IF(Q692&gt;0,S692*100/Q692,0)</f>
        <v>5.9588299024918747</v>
      </c>
      <c r="U692" s="255">
        <f ca="1">IF(R692&gt;0,S692*100/R692,0)</f>
        <v>5.9588299024918747</v>
      </c>
    </row>
    <row r="693" spans="1:21" ht="18.75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256">
        <f>L694+L695</f>
        <v>0</v>
      </c>
      <c r="M693" s="255">
        <f>M694+M695</f>
        <v>0</v>
      </c>
      <c r="N693" s="255">
        <f>N694+N695</f>
        <v>0</v>
      </c>
      <c r="O693" s="255">
        <f>IF(L693&gt;0,N693*100/L693,0)</f>
        <v>0</v>
      </c>
      <c r="P693" s="255">
        <f>IF(M693&gt;0,N693*100/M693,0)</f>
        <v>0</v>
      </c>
      <c r="Q693" s="255">
        <f ca="1">Q694+Q695</f>
        <v>369200</v>
      </c>
      <c r="R693" s="255">
        <f ca="1">R694+R695</f>
        <v>369200</v>
      </c>
      <c r="S693" s="255">
        <f ca="1">S694+S695</f>
        <v>22000</v>
      </c>
      <c r="T693" s="255">
        <f ca="1">IF(Q693&gt;0,S693*100/Q693,0)</f>
        <v>5.9588299024918747</v>
      </c>
      <c r="U693" s="255">
        <f ca="1">IF(R693&gt;0,S693*100/R693,0)</f>
        <v>5.9588299024918747</v>
      </c>
    </row>
    <row r="694" spans="1:21" ht="18.75" hidden="1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103">
        <v>0</v>
      </c>
      <c r="M694" s="102">
        <v>0</v>
      </c>
      <c r="N694" s="102">
        <v>0</v>
      </c>
      <c r="O694" s="102">
        <f>IF(L694&gt;0,N694*100/L694,0)</f>
        <v>0</v>
      </c>
      <c r="P694" s="102">
        <f>IF(M694&gt;0,N694*100/M694,0)</f>
        <v>0</v>
      </c>
      <c r="Q694" s="102">
        <v>0</v>
      </c>
      <c r="R694" s="102">
        <v>0</v>
      </c>
      <c r="S694" s="102">
        <v>0</v>
      </c>
      <c r="T694" s="102">
        <f>IF(Q694&gt;0,S694*100/Q694,0)</f>
        <v>0</v>
      </c>
      <c r="U694" s="102">
        <f>IF(R694&gt;0,S694*100/R694,0)</f>
        <v>0</v>
      </c>
    </row>
    <row r="695" spans="1:21" ht="18.75" hidden="1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256">
        <v>0</v>
      </c>
      <c r="M695" s="255">
        <v>0</v>
      </c>
      <c r="N695" s="255">
        <v>0</v>
      </c>
      <c r="O695" s="255">
        <f>IF(L695&gt;0,N695*100/L695,0)</f>
        <v>0</v>
      </c>
      <c r="P695" s="255">
        <f>IF(M695&gt;0,N695*100/M695,0)</f>
        <v>0</v>
      </c>
      <c r="Q695" s="255">
        <f ca="1">IFERROR(__xludf.DUMMYFUNCTION("IMPORTRANGE(""https://docs.google.com/spreadsheets/d/1ItG2mGa2ceCfYo0BwxsXqNm01IGEUdYcSSLTEv9YCik/edit?usp=sharing"",""เบิกจ่ายกองทุน!L34"")"),369200)</f>
        <v>369200</v>
      </c>
      <c r="R695" s="255">
        <f ca="1">IFERROR(__xludf.DUMMYFUNCTION("IMPORTRANGE(""https://docs.google.com/spreadsheets/d/1ItG2mGa2ceCfYo0BwxsXqNm01IGEUdYcSSLTEv9YCik/edit?usp=sharing"",""เบิกจ่ายกองทุน!M34"")"),369200)</f>
        <v>369200</v>
      </c>
      <c r="S695" s="255">
        <f ca="1">IFERROR(__xludf.DUMMYFUNCTION("IMPORTRANGE(""https://docs.google.com/spreadsheets/d/1ItG2mGa2ceCfYo0BwxsXqNm01IGEUdYcSSLTEv9YCik/edit?usp=sharing"",""เบิกจ่ายกองทุน!N34"")"),22000)</f>
        <v>22000</v>
      </c>
      <c r="T695" s="255">
        <f ca="1">IF(Q695&gt;0,S695*100/Q695,0)</f>
        <v>5.9588299024918747</v>
      </c>
      <c r="U695" s="255">
        <f ca="1">IF(R695&gt;0,S695*100/R695,0)</f>
        <v>5.9588299024918747</v>
      </c>
    </row>
    <row r="696" spans="1:21" ht="18.75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256">
        <f>L697+L698</f>
        <v>0</v>
      </c>
      <c r="M696" s="255">
        <f>M697+M698</f>
        <v>0</v>
      </c>
      <c r="N696" s="255">
        <f>N697+N698</f>
        <v>0</v>
      </c>
      <c r="O696" s="255">
        <f>IF(L696&gt;0,N696*100/L696,0)</f>
        <v>0</v>
      </c>
      <c r="P696" s="255">
        <f>IF(M696&gt;0,N696*100/M696,0)</f>
        <v>0</v>
      </c>
      <c r="Q696" s="255">
        <f>Q697+Q698</f>
        <v>0</v>
      </c>
      <c r="R696" s="255">
        <f>R697+R698</f>
        <v>0</v>
      </c>
      <c r="S696" s="255">
        <f>S697+S698</f>
        <v>0</v>
      </c>
      <c r="T696" s="255">
        <f>IF(Q696&gt;0,S696*100/Q696,0)</f>
        <v>0</v>
      </c>
      <c r="U696" s="255">
        <f>IF(R696&gt;0,S696*100/R696,0)</f>
        <v>0</v>
      </c>
    </row>
    <row r="697" spans="1:21" ht="18.75" hidden="1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103">
        <v>0</v>
      </c>
      <c r="M697" s="102">
        <v>0</v>
      </c>
      <c r="N697" s="102">
        <v>0</v>
      </c>
      <c r="O697" s="102">
        <f>IF(L697&gt;0,N697*100/L697,0)</f>
        <v>0</v>
      </c>
      <c r="P697" s="102">
        <f>IF(M697&gt;0,N697*100/M697,0)</f>
        <v>0</v>
      </c>
      <c r="Q697" s="102">
        <v>0</v>
      </c>
      <c r="R697" s="102">
        <v>0</v>
      </c>
      <c r="S697" s="102">
        <v>0</v>
      </c>
      <c r="T697" s="102">
        <f>IF(Q697&gt;0,S697*100/Q697,0)</f>
        <v>0</v>
      </c>
      <c r="U697" s="102">
        <f>IF(R697&gt;0,S697*100/R697,0)</f>
        <v>0</v>
      </c>
    </row>
    <row r="698" spans="1:21" ht="18.75" hidden="1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256">
        <v>0</v>
      </c>
      <c r="M698" s="255">
        <v>0</v>
      </c>
      <c r="N698" s="255">
        <v>0</v>
      </c>
      <c r="O698" s="255">
        <f>IF(L698&gt;0,N698*100/L698,0)</f>
        <v>0</v>
      </c>
      <c r="P698" s="255">
        <f>IF(M698&gt;0,N698*100/M698,0)</f>
        <v>0</v>
      </c>
      <c r="Q698" s="255">
        <v>0</v>
      </c>
      <c r="R698" s="255">
        <v>0</v>
      </c>
      <c r="S698" s="255">
        <v>0</v>
      </c>
      <c r="T698" s="255">
        <f>IF(Q698&gt;0,S698*100/Q698,0)</f>
        <v>0</v>
      </c>
      <c r="U698" s="255">
        <f>IF(R698&gt;0,S698*100/R698,0)</f>
        <v>0</v>
      </c>
    </row>
    <row r="699" spans="1:21" ht="19.5">
      <c r="A699" s="166"/>
      <c r="B699" s="167"/>
      <c r="C699" s="205" t="s">
        <v>18</v>
      </c>
      <c r="D699" s="566" t="s">
        <v>38</v>
      </c>
      <c r="E699" s="169"/>
      <c r="F699" s="169"/>
      <c r="G699" s="169"/>
      <c r="H699" s="206"/>
      <c r="I699" s="163"/>
      <c r="J699" s="163"/>
      <c r="K699" s="164"/>
      <c r="L699" s="62"/>
      <c r="M699" s="55"/>
      <c r="N699" s="55"/>
      <c r="O699" s="55"/>
      <c r="P699" s="55"/>
      <c r="Q699" s="55"/>
      <c r="R699" s="55"/>
      <c r="S699" s="55"/>
      <c r="T699" s="55"/>
      <c r="U699" s="55"/>
    </row>
    <row r="700" spans="1:21" ht="18.75">
      <c r="A700" s="238"/>
      <c r="B700" s="188"/>
      <c r="C700" s="188"/>
      <c r="D700" s="174"/>
      <c r="E700" s="173" t="s">
        <v>257</v>
      </c>
      <c r="F700" s="174"/>
      <c r="G700" s="171"/>
      <c r="H700" s="165" t="s">
        <v>258</v>
      </c>
      <c r="I700" s="212">
        <f ca="1">IFERROR(__xludf.DUMMYFUNCTION("IMPORTRANGE(""https://docs.google.com/spreadsheets/d/1eHaY18a8A9IcSdp1K8H6x8fbOy06t2VsZHhMHf-1x7Y/edit?usp=sharing"",""แผน!LC34"")"),0)</f>
        <v>0</v>
      </c>
      <c r="J700" s="467">
        <v>0</v>
      </c>
      <c r="K700" s="565">
        <f ca="1">IF(I700&gt;0,J700*100/I700,0)</f>
        <v>0</v>
      </c>
      <c r="L700" s="172"/>
      <c r="M700" s="164"/>
      <c r="N700" s="55"/>
      <c r="O700" s="164"/>
      <c r="P700" s="164"/>
      <c r="Q700" s="164"/>
      <c r="R700" s="164"/>
      <c r="S700" s="55"/>
      <c r="T700" s="164"/>
      <c r="U700" s="164"/>
    </row>
    <row r="701" spans="1:21" ht="19.5">
      <c r="A701" s="238"/>
      <c r="B701" s="188"/>
      <c r="C701" s="188"/>
      <c r="D701" s="174"/>
      <c r="E701" s="476" t="s">
        <v>259</v>
      </c>
      <c r="F701" s="174"/>
      <c r="G701" s="171"/>
      <c r="H701" s="158" t="s">
        <v>35</v>
      </c>
      <c r="I701" s="373">
        <f ca="1">I703+I705</f>
        <v>254</v>
      </c>
      <c r="J701" s="373">
        <f ca="1">J703+J705</f>
        <v>0</v>
      </c>
      <c r="K701" s="540">
        <f ca="1">IF(I701&gt;0,J701*100/I701,0)</f>
        <v>0</v>
      </c>
      <c r="L701" s="172"/>
      <c r="M701" s="164"/>
      <c r="N701" s="164"/>
      <c r="O701" s="164"/>
      <c r="P701" s="164"/>
      <c r="Q701" s="164"/>
      <c r="R701" s="164"/>
      <c r="S701" s="164"/>
      <c r="T701" s="164"/>
      <c r="U701" s="164"/>
    </row>
    <row r="702" spans="1:21" ht="19.5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73">
        <v>0</v>
      </c>
      <c r="J702" s="373">
        <f ca="1">J704+J706</f>
        <v>0</v>
      </c>
      <c r="K702" s="540">
        <f>IF(I702&gt;0,J702*100/I702,0)</f>
        <v>0</v>
      </c>
      <c r="L702" s="172"/>
      <c r="M702" s="164"/>
      <c r="N702" s="164"/>
      <c r="O702" s="164"/>
      <c r="P702" s="164"/>
      <c r="Q702" s="164"/>
      <c r="R702" s="164"/>
      <c r="S702" s="164"/>
      <c r="T702" s="164"/>
      <c r="U702" s="164"/>
    </row>
    <row r="703" spans="1:21" ht="18.75">
      <c r="A703" s="238"/>
      <c r="B703" s="188"/>
      <c r="C703" s="188"/>
      <c r="D703" s="174"/>
      <c r="E703" s="174"/>
      <c r="F703" s="173" t="s">
        <v>260</v>
      </c>
      <c r="G703" s="171"/>
      <c r="H703" s="165" t="s">
        <v>35</v>
      </c>
      <c r="I703" s="212">
        <f ca="1">IFERROR(__xludf.DUMMYFUNCTION("IMPORTRANGE(""https://docs.google.com/spreadsheets/d/1eHaY18a8A9IcSdp1K8H6x8fbOy06t2VsZHhMHf-1x7Y/edit?usp=sharing"",""แผน!LJ34"")"),250)</f>
        <v>250</v>
      </c>
      <c r="J703" s="212">
        <f ca="1">IFERROR(__xludf.DUMMYFUNCTION("IMPORTRANGE(""https://docs.google.com/spreadsheets/d/1tdoBKaGub7dwA3U6UFTqxio9LNnvDCQjHKmttSEBsFQ/edit?usp=sharing"",""จัดที่ดิน!AP34"")"),0)</f>
        <v>0</v>
      </c>
      <c r="K703" s="255">
        <f ca="1">IF(I703&gt;0,J703*100/I703,0)</f>
        <v>0</v>
      </c>
      <c r="L703" s="172"/>
      <c r="M703" s="164"/>
      <c r="N703" s="164"/>
      <c r="O703" s="164"/>
      <c r="P703" s="164"/>
      <c r="Q703" s="164"/>
      <c r="R703" s="164"/>
      <c r="S703" s="164"/>
      <c r="T703" s="164"/>
      <c r="U703" s="164"/>
    </row>
    <row r="704" spans="1:21" ht="18.75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212">
        <f ca="1">IFERROR(__xludf.DUMMYFUNCTION("IMPORTRANGE(""https://docs.google.com/spreadsheets/d/1tdoBKaGub7dwA3U6UFTqxio9LNnvDCQjHKmttSEBsFQ/edit?usp=sharing"",""จัดที่ดิน!AQ34"")"),0)</f>
        <v>0</v>
      </c>
      <c r="K704" s="255">
        <f>IF(I704&gt;0,J704*100/I704,0)</f>
        <v>0</v>
      </c>
      <c r="L704" s="172"/>
      <c r="M704" s="164"/>
      <c r="N704" s="164"/>
      <c r="O704" s="164"/>
      <c r="P704" s="164"/>
      <c r="Q704" s="164"/>
      <c r="R704" s="164"/>
      <c r="S704" s="164"/>
      <c r="T704" s="164"/>
      <c r="U704" s="164"/>
    </row>
    <row r="705" spans="1:21" ht="18.75">
      <c r="A705" s="238"/>
      <c r="B705" s="188"/>
      <c r="C705" s="188"/>
      <c r="D705" s="174"/>
      <c r="E705" s="174"/>
      <c r="F705" s="173" t="s">
        <v>261</v>
      </c>
      <c r="G705" s="171"/>
      <c r="H705" s="165" t="s">
        <v>35</v>
      </c>
      <c r="I705" s="212">
        <f ca="1">IFERROR(__xludf.DUMMYFUNCTION("IMPORTRANGE(""https://docs.google.com/spreadsheets/d/1eHaY18a8A9IcSdp1K8H6x8fbOy06t2VsZHhMHf-1x7Y/edit?usp=sharing"",""แผน!LK34"")"),4)</f>
        <v>4</v>
      </c>
      <c r="J705" s="212">
        <f ca="1">IFERROR(__xludf.DUMMYFUNCTION("IMPORTRANGE(""https://docs.google.com/spreadsheets/d/1tdoBKaGub7dwA3U6UFTqxio9LNnvDCQjHKmttSEBsFQ/edit?usp=sharing"",""จัดที่ดิน!AR34"")"),0)</f>
        <v>0</v>
      </c>
      <c r="K705" s="565">
        <f ca="1">IF(I705&gt;0,J705*100/I705,0)</f>
        <v>0</v>
      </c>
      <c r="L705" s="172"/>
      <c r="M705" s="164"/>
      <c r="N705" s="164"/>
      <c r="O705" s="164"/>
      <c r="P705" s="164"/>
      <c r="Q705" s="164"/>
      <c r="R705" s="164"/>
      <c r="S705" s="164"/>
      <c r="T705" s="164"/>
      <c r="U705" s="164"/>
    </row>
    <row r="706" spans="1:21" ht="18.75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212">
        <f ca="1">IFERROR(__xludf.DUMMYFUNCTION("IMPORTRANGE(""https://docs.google.com/spreadsheets/d/1tdoBKaGub7dwA3U6UFTqxio9LNnvDCQjHKmttSEBsFQ/edit?usp=sharing"",""จัดที่ดิน!AS34"")"),0)</f>
        <v>0</v>
      </c>
      <c r="K706" s="255">
        <f>IF(I706&gt;0,J706*100/I706,0)</f>
        <v>0</v>
      </c>
      <c r="L706" s="172"/>
      <c r="M706" s="164"/>
      <c r="N706" s="164"/>
      <c r="O706" s="164"/>
      <c r="P706" s="164"/>
      <c r="Q706" s="164"/>
      <c r="R706" s="164"/>
      <c r="S706" s="164"/>
      <c r="T706" s="164"/>
      <c r="U706" s="164"/>
    </row>
    <row r="707" spans="1:21" ht="18.75">
      <c r="A707" s="238"/>
      <c r="B707" s="188"/>
      <c r="C707" s="188"/>
      <c r="D707" s="174"/>
      <c r="E707" s="173" t="s">
        <v>262</v>
      </c>
      <c r="F707" s="174"/>
      <c r="G707" s="171"/>
      <c r="H707" s="162" t="s">
        <v>35</v>
      </c>
      <c r="I707" s="212">
        <f ca="1">IFERROR(__xludf.DUMMYFUNCTION("IMPORTRANGE(""https://docs.google.com/spreadsheets/d/1eHaY18a8A9IcSdp1K8H6x8fbOy06t2VsZHhMHf-1x7Y/edit?usp=sharing"",""แผน!LJ34"")"),250)</f>
        <v>250</v>
      </c>
      <c r="J707" s="212">
        <f ca="1">IFERROR(__xludf.DUMMYFUNCTION("IMPORTRANGE(""https://docs.google.com/spreadsheets/d/1tdoBKaGub7dwA3U6UFTqxio9LNnvDCQjHKmttSEBsFQ/edit?usp=sharing"",""จัดที่ดิน!BN34"")"),0)</f>
        <v>0</v>
      </c>
      <c r="K707" s="255">
        <f ca="1">IF(I707&gt;0,J707*100/I707,0)</f>
        <v>0</v>
      </c>
      <c r="L707" s="172"/>
      <c r="M707" s="164"/>
      <c r="N707" s="164"/>
      <c r="O707" s="164"/>
      <c r="P707" s="164"/>
      <c r="Q707" s="164"/>
      <c r="R707" s="164"/>
      <c r="S707" s="164"/>
      <c r="T707" s="164"/>
      <c r="U707" s="164"/>
    </row>
    <row r="708" spans="1:21" ht="18.75">
      <c r="A708" s="238"/>
      <c r="B708" s="188"/>
      <c r="C708" s="188"/>
      <c r="D708" s="174"/>
      <c r="E708" s="477" t="s">
        <v>263</v>
      </c>
      <c r="F708" s="174"/>
      <c r="G708" s="171"/>
      <c r="H708" s="162" t="s">
        <v>46</v>
      </c>
      <c r="I708" s="212">
        <v>0</v>
      </c>
      <c r="J708" s="212">
        <f ca="1">IFERROR(__xludf.DUMMYFUNCTION("IMPORTRANGE(""https://docs.google.com/spreadsheets/d/1tdoBKaGub7dwA3U6UFTqxio9LNnvDCQjHKmttSEBsFQ/edit?usp=sharing"",""จัดที่ดิน!BO34"")"),0)</f>
        <v>0</v>
      </c>
      <c r="K708" s="255">
        <f>IF(I708&gt;0,J708*100/I708,0)</f>
        <v>0</v>
      </c>
      <c r="L708" s="172"/>
      <c r="M708" s="164"/>
      <c r="N708" s="164"/>
      <c r="O708" s="164"/>
      <c r="P708" s="164"/>
      <c r="Q708" s="164"/>
      <c r="R708" s="164"/>
      <c r="S708" s="164"/>
      <c r="T708" s="164"/>
      <c r="U708" s="164"/>
    </row>
    <row r="709" spans="1:21" ht="18.75">
      <c r="A709" s="238"/>
      <c r="B709" s="188"/>
      <c r="C709" s="188"/>
      <c r="D709" s="50"/>
      <c r="E709" s="58" t="s">
        <v>264</v>
      </c>
      <c r="F709" s="50"/>
      <c r="G709" s="52"/>
      <c r="H709" s="203" t="s">
        <v>35</v>
      </c>
      <c r="I709" s="212">
        <f ca="1">IFERROR(__xludf.DUMMYFUNCTION("IMPORTRANGE(""https://docs.google.com/spreadsheets/d/1eHaY18a8A9IcSdp1K8H6x8fbOy06t2VsZHhMHf-1x7Y/edit?usp=sharing"",""แผน!LK34"")"),4)</f>
        <v>4</v>
      </c>
      <c r="J709" s="212">
        <f ca="1">IFERROR(__xludf.DUMMYFUNCTION("IMPORTRANGE(""https://docs.google.com/spreadsheets/d/1tdoBKaGub7dwA3U6UFTqxio9LNnvDCQjHKmttSEBsFQ/edit?usp=sharing"",""จัดที่ดิน!BP34"")"),4)</f>
        <v>4</v>
      </c>
      <c r="K709" s="255">
        <f ca="1">IF(I709&gt;0,J709*100/I709,0)</f>
        <v>100</v>
      </c>
      <c r="L709" s="62"/>
      <c r="M709" s="55"/>
      <c r="N709" s="55"/>
      <c r="O709" s="55"/>
      <c r="P709" s="55"/>
      <c r="Q709" s="55"/>
      <c r="R709" s="55"/>
      <c r="S709" s="55"/>
      <c r="T709" s="55"/>
      <c r="U709" s="55"/>
    </row>
    <row r="710" spans="1:21" ht="18.75">
      <c r="A710" s="238"/>
      <c r="B710" s="188"/>
      <c r="C710" s="188"/>
      <c r="D710" s="50"/>
      <c r="E710" s="477" t="s">
        <v>265</v>
      </c>
      <c r="F710" s="50"/>
      <c r="G710" s="52"/>
      <c r="H710" s="203" t="s">
        <v>46</v>
      </c>
      <c r="I710" s="212">
        <v>0</v>
      </c>
      <c r="J710" s="212">
        <f ca="1">IFERROR(__xludf.DUMMYFUNCTION("IMPORTRANGE(""https://docs.google.com/spreadsheets/d/1tdoBKaGub7dwA3U6UFTqxio9LNnvDCQjHKmttSEBsFQ/edit?usp=sharing"",""จัดที่ดิน!BQ34"")"),0)</f>
        <v>0</v>
      </c>
      <c r="K710" s="255">
        <f>IF(I710&gt;0,J710*100/I710,0)</f>
        <v>0</v>
      </c>
      <c r="L710" s="62"/>
      <c r="M710" s="55"/>
      <c r="N710" s="55"/>
      <c r="O710" s="55"/>
      <c r="P710" s="55"/>
      <c r="Q710" s="55"/>
      <c r="R710" s="55"/>
      <c r="S710" s="55"/>
      <c r="T710" s="55"/>
      <c r="U710" s="55"/>
    </row>
    <row r="711" spans="1:21" ht="12.75" hidden="1">
      <c r="A711" s="407"/>
      <c r="B711" s="360"/>
      <c r="C711" s="360"/>
      <c r="D711" s="408"/>
      <c r="E711" s="408"/>
      <c r="F711" s="408"/>
      <c r="G711" s="409"/>
      <c r="H711" s="361"/>
      <c r="I711" s="362"/>
      <c r="J711" s="362"/>
      <c r="K711" s="363"/>
      <c r="L711" s="364"/>
      <c r="M711" s="363"/>
      <c r="N711" s="363"/>
      <c r="O711" s="363"/>
      <c r="P711" s="363"/>
      <c r="Q711" s="363"/>
      <c r="R711" s="363"/>
      <c r="S711" s="363"/>
      <c r="T711" s="363"/>
      <c r="U711" s="363"/>
    </row>
    <row r="712" spans="1:21" ht="19.5" hidden="1">
      <c r="A712" s="442"/>
      <c r="B712" s="478" t="s">
        <v>266</v>
      </c>
      <c r="C712" s="442"/>
      <c r="D712" s="444"/>
      <c r="E712" s="444"/>
      <c r="F712" s="444"/>
      <c r="G712" s="445"/>
      <c r="H712" s="479" t="s">
        <v>46</v>
      </c>
      <c r="I712" s="447"/>
      <c r="J712" s="447">
        <f>J724</f>
        <v>0</v>
      </c>
      <c r="K712" s="564">
        <f>IF(I712&gt;0,J712*100/I712,0)</f>
        <v>0</v>
      </c>
      <c r="L712" s="449"/>
      <c r="M712" s="448"/>
      <c r="N712" s="448"/>
      <c r="O712" s="448"/>
      <c r="P712" s="448"/>
      <c r="Q712" s="448"/>
      <c r="R712" s="448"/>
      <c r="S712" s="448"/>
      <c r="T712" s="448"/>
      <c r="U712" s="448"/>
    </row>
    <row r="713" spans="1:21" ht="19.5" hidden="1">
      <c r="A713" s="442"/>
      <c r="B713" s="478" t="s">
        <v>267</v>
      </c>
      <c r="C713" s="442"/>
      <c r="D713" s="444"/>
      <c r="E713" s="444"/>
      <c r="F713" s="444"/>
      <c r="G713" s="445"/>
      <c r="H713" s="446"/>
      <c r="I713" s="447"/>
      <c r="J713" s="447"/>
      <c r="K713" s="448"/>
      <c r="L713" s="449"/>
      <c r="M713" s="448"/>
      <c r="N713" s="448"/>
      <c r="O713" s="448"/>
      <c r="P713" s="448"/>
      <c r="Q713" s="448"/>
      <c r="R713" s="448"/>
      <c r="S713" s="448"/>
      <c r="T713" s="448"/>
      <c r="U713" s="448"/>
    </row>
    <row r="714" spans="1:21" ht="19.5" hidden="1">
      <c r="A714" s="155"/>
      <c r="B714" s="188"/>
      <c r="C714" s="358" t="s">
        <v>18</v>
      </c>
      <c r="D714" s="563" t="s">
        <v>19</v>
      </c>
      <c r="E714" s="529"/>
      <c r="F714" s="529"/>
      <c r="G714" s="530"/>
      <c r="H714" s="418" t="s">
        <v>14</v>
      </c>
      <c r="I714" s="54"/>
      <c r="J714" s="54"/>
      <c r="K714" s="55"/>
      <c r="L714" s="541">
        <f>L715+L716</f>
        <v>0</v>
      </c>
      <c r="M714" s="540">
        <f>M715+M716</f>
        <v>0</v>
      </c>
      <c r="N714" s="540">
        <f>N715+N716</f>
        <v>0</v>
      </c>
      <c r="O714" s="540">
        <f>IF(L714&gt;0,N714*100/L714,0)</f>
        <v>0</v>
      </c>
      <c r="P714" s="540">
        <f>IF(M714&gt;0,N714*100/M714,0)</f>
        <v>0</v>
      </c>
      <c r="Q714" s="540">
        <f>Q715+Q716</f>
        <v>0</v>
      </c>
      <c r="R714" s="540">
        <f>R715+R716</f>
        <v>0</v>
      </c>
      <c r="S714" s="540">
        <f>S715+S716</f>
        <v>0</v>
      </c>
      <c r="T714" s="540">
        <f>IF(Q714&gt;0,S714*100/Q714,0)</f>
        <v>0</v>
      </c>
      <c r="U714" s="540">
        <f>IF(R714&gt;0,S714*100/R714,0)</f>
        <v>0</v>
      </c>
    </row>
    <row r="715" spans="1:21" ht="18.75" hidden="1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103">
        <f>L718+L721</f>
        <v>0</v>
      </c>
      <c r="M715" s="102">
        <f>M718+M721</f>
        <v>0</v>
      </c>
      <c r="N715" s="102">
        <f>N718+N721</f>
        <v>0</v>
      </c>
      <c r="O715" s="102">
        <f>IF(L715&gt;0,N715*100/L715,0)</f>
        <v>0</v>
      </c>
      <c r="P715" s="102">
        <f>IF(M715&gt;0,N715*100/M715,0)</f>
        <v>0</v>
      </c>
      <c r="Q715" s="102">
        <f>Q718+Q721</f>
        <v>0</v>
      </c>
      <c r="R715" s="102">
        <f>R718+R721</f>
        <v>0</v>
      </c>
      <c r="S715" s="102">
        <f>S718+S721</f>
        <v>0</v>
      </c>
      <c r="T715" s="102">
        <f>IF(Q715&gt;0,S715*100/Q715,0)</f>
        <v>0</v>
      </c>
      <c r="U715" s="102">
        <f>IF(R715&gt;0,S715*100/R715,0)</f>
        <v>0</v>
      </c>
    </row>
    <row r="716" spans="1:21" ht="18.75" hidden="1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256">
        <f>L719+L722</f>
        <v>0</v>
      </c>
      <c r="M716" s="255">
        <f>M719+M722</f>
        <v>0</v>
      </c>
      <c r="N716" s="255">
        <f>N719+N722</f>
        <v>0</v>
      </c>
      <c r="O716" s="255">
        <f>IF(L716&gt;0,N716*100/L716,0)</f>
        <v>0</v>
      </c>
      <c r="P716" s="255">
        <f>IF(M716&gt;0,N716*100/M716,0)</f>
        <v>0</v>
      </c>
      <c r="Q716" s="255">
        <f>Q719+Q722</f>
        <v>0</v>
      </c>
      <c r="R716" s="255">
        <f>R719+R722</f>
        <v>0</v>
      </c>
      <c r="S716" s="255">
        <f>S719+S722</f>
        <v>0</v>
      </c>
      <c r="T716" s="255">
        <f>IF(Q716&gt;0,S716*100/Q716,0)</f>
        <v>0</v>
      </c>
      <c r="U716" s="255">
        <f>IF(R716&gt;0,S716*100/R716,0)</f>
        <v>0</v>
      </c>
    </row>
    <row r="717" spans="1:21" ht="19.5" hidden="1">
      <c r="A717" s="155"/>
      <c r="B717" s="188"/>
      <c r="C717" s="188"/>
      <c r="D717" s="562" t="s">
        <v>22</v>
      </c>
      <c r="E717" s="50"/>
      <c r="F717" s="50"/>
      <c r="G717" s="52"/>
      <c r="H717" s="418" t="s">
        <v>14</v>
      </c>
      <c r="I717" s="163"/>
      <c r="J717" s="163"/>
      <c r="K717" s="164"/>
      <c r="L717" s="256">
        <f>L718+L719</f>
        <v>0</v>
      </c>
      <c r="M717" s="255">
        <f>M718+M719</f>
        <v>0</v>
      </c>
      <c r="N717" s="255">
        <f>N718+N719</f>
        <v>0</v>
      </c>
      <c r="O717" s="255">
        <f>IF(L717&gt;0,N717*100/L717,0)</f>
        <v>0</v>
      </c>
      <c r="P717" s="255">
        <f>IF(M717&gt;0,N717*100/M717,0)</f>
        <v>0</v>
      </c>
      <c r="Q717" s="255">
        <f>Q718+Q719</f>
        <v>0</v>
      </c>
      <c r="R717" s="255">
        <f>R718+R719</f>
        <v>0</v>
      </c>
      <c r="S717" s="255">
        <f>S718+S719</f>
        <v>0</v>
      </c>
      <c r="T717" s="255">
        <f>IF(Q717&gt;0,S717*100/Q717,0)</f>
        <v>0</v>
      </c>
      <c r="U717" s="255">
        <f>IF(R717&gt;0,S717*100/R717,0)</f>
        <v>0</v>
      </c>
    </row>
    <row r="718" spans="1:21" ht="18.75" hidden="1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103">
        <v>0</v>
      </c>
      <c r="M718" s="102">
        <v>0</v>
      </c>
      <c r="N718" s="102">
        <v>0</v>
      </c>
      <c r="O718" s="102">
        <f>IF(L718&gt;0,N718*100/L718,0)</f>
        <v>0</v>
      </c>
      <c r="P718" s="102">
        <f>IF(M718&gt;0,N718*100/M718,0)</f>
        <v>0</v>
      </c>
      <c r="Q718" s="102">
        <v>0</v>
      </c>
      <c r="R718" s="102">
        <v>0</v>
      </c>
      <c r="S718" s="102">
        <v>0</v>
      </c>
      <c r="T718" s="102">
        <f>IF(Q718&gt;0,S718*100/Q718,0)</f>
        <v>0</v>
      </c>
      <c r="U718" s="102">
        <f>IF(R718&gt;0,S718*100/R718,0)</f>
        <v>0</v>
      </c>
    </row>
    <row r="719" spans="1:21" ht="18.75" hidden="1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256">
        <v>0</v>
      </c>
      <c r="M719" s="255">
        <v>0</v>
      </c>
      <c r="N719" s="255">
        <v>0</v>
      </c>
      <c r="O719" s="255">
        <f>IF(L719&gt;0,N719*100/L719,0)</f>
        <v>0</v>
      </c>
      <c r="P719" s="255">
        <f>IF(M719&gt;0,N719*100/M719,0)</f>
        <v>0</v>
      </c>
      <c r="Q719" s="255">
        <v>0</v>
      </c>
      <c r="R719" s="255">
        <v>0</v>
      </c>
      <c r="S719" s="255">
        <v>0</v>
      </c>
      <c r="T719" s="255">
        <f>IF(Q719&gt;0,S719*100/Q719,0)</f>
        <v>0</v>
      </c>
      <c r="U719" s="255">
        <f>IF(R719&gt;0,S719*100/R719,0)</f>
        <v>0</v>
      </c>
    </row>
    <row r="720" spans="1:21" ht="19.5" hidden="1">
      <c r="A720" s="155"/>
      <c r="B720" s="188"/>
      <c r="C720" s="188"/>
      <c r="D720" s="562" t="s">
        <v>23</v>
      </c>
      <c r="E720" s="50"/>
      <c r="F720" s="50"/>
      <c r="G720" s="52"/>
      <c r="H720" s="420" t="s">
        <v>14</v>
      </c>
      <c r="I720" s="163"/>
      <c r="J720" s="163"/>
      <c r="K720" s="164"/>
      <c r="L720" s="256">
        <f>L721+L722</f>
        <v>0</v>
      </c>
      <c r="M720" s="255">
        <f>M721+M722</f>
        <v>0</v>
      </c>
      <c r="N720" s="255">
        <f>N721+N722</f>
        <v>0</v>
      </c>
      <c r="O720" s="255">
        <f>IF(L720&gt;0,N720*100/L720,0)</f>
        <v>0</v>
      </c>
      <c r="P720" s="255">
        <f>IF(M720&gt;0,N720*100/M720,0)</f>
        <v>0</v>
      </c>
      <c r="Q720" s="255">
        <f>Q721+Q722</f>
        <v>0</v>
      </c>
      <c r="R720" s="255">
        <f>R721+R722</f>
        <v>0</v>
      </c>
      <c r="S720" s="255">
        <f>S721+S722</f>
        <v>0</v>
      </c>
      <c r="T720" s="255">
        <f>IF(Q720&gt;0,S720*100/Q720,0)</f>
        <v>0</v>
      </c>
      <c r="U720" s="255">
        <f>IF(R720&gt;0,S720*100/R720,0)</f>
        <v>0</v>
      </c>
    </row>
    <row r="721" spans="1:21" ht="18.75" hidden="1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103">
        <v>0</v>
      </c>
      <c r="M721" s="102">
        <v>0</v>
      </c>
      <c r="N721" s="102">
        <v>0</v>
      </c>
      <c r="O721" s="102">
        <f>IF(L721&gt;0,N721*100/L721,0)</f>
        <v>0</v>
      </c>
      <c r="P721" s="102">
        <f>IF(M721&gt;0,N721*100/M721,0)</f>
        <v>0</v>
      </c>
      <c r="Q721" s="102">
        <v>0</v>
      </c>
      <c r="R721" s="102">
        <v>0</v>
      </c>
      <c r="S721" s="102">
        <v>0</v>
      </c>
      <c r="T721" s="102">
        <f>IF(Q721&gt;0,S721*100/Q721,0)</f>
        <v>0</v>
      </c>
      <c r="U721" s="102">
        <f>IF(R721&gt;0,S721*100/R721,0)</f>
        <v>0</v>
      </c>
    </row>
    <row r="722" spans="1:21" ht="18.75" hidden="1">
      <c r="A722" s="155"/>
      <c r="B722" s="188"/>
      <c r="C722" s="188"/>
      <c r="D722" s="50"/>
      <c r="E722" s="186" t="s">
        <v>21</v>
      </c>
      <c r="F722" s="50"/>
      <c r="G722" s="52"/>
      <c r="H722" s="421" t="s">
        <v>14</v>
      </c>
      <c r="I722" s="163"/>
      <c r="J722" s="163"/>
      <c r="K722" s="164"/>
      <c r="L722" s="256">
        <v>0</v>
      </c>
      <c r="M722" s="255">
        <v>0</v>
      </c>
      <c r="N722" s="255">
        <v>0</v>
      </c>
      <c r="O722" s="255">
        <f>IF(L722&gt;0,N722*100/L722,0)</f>
        <v>0</v>
      </c>
      <c r="P722" s="255">
        <f>IF(M722&gt;0,N722*100/M722,0)</f>
        <v>0</v>
      </c>
      <c r="Q722" s="255">
        <v>0</v>
      </c>
      <c r="R722" s="255">
        <v>0</v>
      </c>
      <c r="S722" s="255">
        <v>0</v>
      </c>
      <c r="T722" s="255">
        <f>IF(Q722&gt;0,S722*100/Q722,0)</f>
        <v>0</v>
      </c>
      <c r="U722" s="255">
        <f>IF(R722&gt;0,S722*100/R722,0)</f>
        <v>0</v>
      </c>
    </row>
    <row r="723" spans="1:21" ht="19.5" hidden="1">
      <c r="A723" s="166"/>
      <c r="B723" s="167"/>
      <c r="C723" s="358" t="s">
        <v>18</v>
      </c>
      <c r="D723" s="561" t="s">
        <v>38</v>
      </c>
      <c r="E723" s="169"/>
      <c r="F723" s="169"/>
      <c r="G723" s="170"/>
      <c r="H723" s="206"/>
      <c r="I723" s="163"/>
      <c r="J723" s="163"/>
      <c r="K723" s="164"/>
      <c r="L723" s="172"/>
      <c r="M723" s="164"/>
      <c r="N723" s="164"/>
      <c r="O723" s="164"/>
      <c r="P723" s="164"/>
      <c r="Q723" s="164"/>
      <c r="R723" s="164"/>
      <c r="S723" s="164"/>
      <c r="T723" s="164"/>
      <c r="U723" s="164"/>
    </row>
    <row r="724" spans="1:21" ht="18.75" hidden="1">
      <c r="A724" s="238"/>
      <c r="B724" s="188"/>
      <c r="C724" s="188"/>
      <c r="D724" s="50"/>
      <c r="E724" s="186" t="s">
        <v>268</v>
      </c>
      <c r="F724" s="50"/>
      <c r="G724" s="52"/>
      <c r="H724" s="189" t="s">
        <v>46</v>
      </c>
      <c r="I724" s="483">
        <v>0</v>
      </c>
      <c r="J724" s="54"/>
      <c r="K724" s="55"/>
      <c r="L724" s="62"/>
      <c r="M724" s="55"/>
      <c r="N724" s="55"/>
      <c r="O724" s="55"/>
      <c r="P724" s="55"/>
      <c r="Q724" s="55"/>
      <c r="R724" s="55"/>
      <c r="S724" s="55"/>
      <c r="T724" s="55"/>
      <c r="U724" s="55"/>
    </row>
    <row r="725" spans="1:21" ht="18.75" hidden="1">
      <c r="A725" s="374"/>
      <c r="B725" s="5"/>
      <c r="C725" s="5"/>
      <c r="D725" s="4"/>
      <c r="E725" s="484" t="s">
        <v>269</v>
      </c>
      <c r="F725" s="4"/>
      <c r="G725" s="65"/>
      <c r="H725" s="485" t="s">
        <v>46</v>
      </c>
      <c r="I725" s="486">
        <v>0</v>
      </c>
      <c r="J725" s="67"/>
      <c r="K725" s="6"/>
      <c r="L725" s="68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>
      <c r="A726" s="442"/>
      <c r="B726" s="443" t="s">
        <v>270</v>
      </c>
      <c r="C726" s="442"/>
      <c r="D726" s="444"/>
      <c r="E726" s="444"/>
      <c r="F726" s="444"/>
      <c r="G726" s="445"/>
      <c r="H726" s="473" t="s">
        <v>35</v>
      </c>
      <c r="I726" s="544">
        <f ca="1">IFERROR(__xludf.DUMMYFUNCTION("IMPORTRANGE(""https://docs.google.com/spreadsheets/d/1eHaY18a8A9IcSdp1K8H6x8fbOy06t2VsZHhMHf-1x7Y/edit?usp=sharing"",""แผน!GA34"")"),128)</f>
        <v>128</v>
      </c>
      <c r="J726" s="544">
        <f>J742+J746+J749</f>
        <v>100</v>
      </c>
      <c r="K726" s="543">
        <f ca="1">IF(I726&gt;0,J726*100/I726,0)</f>
        <v>78.125</v>
      </c>
      <c r="L726" s="449"/>
      <c r="M726" s="448"/>
      <c r="N726" s="448"/>
      <c r="O726" s="448"/>
      <c r="P726" s="448"/>
      <c r="Q726" s="448"/>
      <c r="R726" s="448"/>
      <c r="S726" s="448"/>
      <c r="T726" s="448"/>
      <c r="U726" s="448"/>
    </row>
    <row r="727" spans="1:21" ht="19.5">
      <c r="A727" s="487"/>
      <c r="B727" s="442"/>
      <c r="C727" s="442"/>
      <c r="D727" s="444"/>
      <c r="E727" s="444"/>
      <c r="F727" s="444"/>
      <c r="G727" s="445"/>
      <c r="H727" s="473" t="s">
        <v>46</v>
      </c>
      <c r="I727" s="544">
        <f ca="1">IFERROR(__xludf.DUMMYFUNCTION("IMPORTRANGE(""https://docs.google.com/spreadsheets/d/1eHaY18a8A9IcSdp1K8H6x8fbOy06t2VsZHhMHf-1x7Y/edit?usp=sharing"",""แผน!FZ34"")"),1250)</f>
        <v>1250</v>
      </c>
      <c r="J727" s="544">
        <f>J752+J755</f>
        <v>0</v>
      </c>
      <c r="K727" s="543">
        <f ca="1">IF(I727&gt;0,J727*100/I727,0)</f>
        <v>0</v>
      </c>
      <c r="L727" s="449"/>
      <c r="M727" s="448"/>
      <c r="N727" s="448"/>
      <c r="O727" s="448"/>
      <c r="P727" s="448"/>
      <c r="Q727" s="448"/>
      <c r="R727" s="448"/>
      <c r="S727" s="448"/>
      <c r="T727" s="448"/>
      <c r="U727" s="448"/>
    </row>
    <row r="728" spans="1:21" ht="19.5">
      <c r="A728" s="155"/>
      <c r="B728" s="188"/>
      <c r="C728" s="205" t="s">
        <v>18</v>
      </c>
      <c r="D728" s="542" t="s">
        <v>19</v>
      </c>
      <c r="E728" s="529"/>
      <c r="F728" s="529"/>
      <c r="G728" s="530"/>
      <c r="H728" s="252" t="s">
        <v>14</v>
      </c>
      <c r="I728" s="54"/>
      <c r="J728" s="54"/>
      <c r="K728" s="55"/>
      <c r="L728" s="541">
        <f>L729+L730</f>
        <v>0</v>
      </c>
      <c r="M728" s="540">
        <f>M729+M730</f>
        <v>0</v>
      </c>
      <c r="N728" s="540">
        <f>N729+N730</f>
        <v>0</v>
      </c>
      <c r="O728" s="540">
        <f>IF(L728&gt;0,N728*100/L728,0)</f>
        <v>0</v>
      </c>
      <c r="P728" s="540">
        <f>IF(M728&gt;0,N728*100/M728,0)</f>
        <v>0</v>
      </c>
      <c r="Q728" s="540">
        <f ca="1">Q729+Q730</f>
        <v>1008470</v>
      </c>
      <c r="R728" s="540">
        <f ca="1">R729+R730</f>
        <v>1008470</v>
      </c>
      <c r="S728" s="540">
        <f ca="1">S729+S730</f>
        <v>121210.8</v>
      </c>
      <c r="T728" s="540">
        <f ca="1">IF(Q728&gt;0,S728*100/Q728,0)</f>
        <v>12.019276726129682</v>
      </c>
      <c r="U728" s="540">
        <f ca="1">IF(R728&gt;0,S728*100/R728,0)</f>
        <v>12.019276726129682</v>
      </c>
    </row>
    <row r="729" spans="1:21" ht="18.75" hidden="1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103">
        <f>L732+L735</f>
        <v>0</v>
      </c>
      <c r="M729" s="102">
        <f>M732+M735</f>
        <v>0</v>
      </c>
      <c r="N729" s="102">
        <f>N732+N735</f>
        <v>0</v>
      </c>
      <c r="O729" s="102">
        <f>IF(L729&gt;0,N729*100/L729,0)</f>
        <v>0</v>
      </c>
      <c r="P729" s="102">
        <f>IF(M729&gt;0,N729*100/M729,0)</f>
        <v>0</v>
      </c>
      <c r="Q729" s="102">
        <f>Q732+Q735</f>
        <v>0</v>
      </c>
      <c r="R729" s="102">
        <f>R732+R735</f>
        <v>0</v>
      </c>
      <c r="S729" s="102">
        <f>S732+S735</f>
        <v>0</v>
      </c>
      <c r="T729" s="102">
        <f>IF(Q729&gt;0,S729*100/Q729,0)</f>
        <v>0</v>
      </c>
      <c r="U729" s="102">
        <f>IF(R729&gt;0,S729*100/R729,0)</f>
        <v>0</v>
      </c>
    </row>
    <row r="730" spans="1:21" ht="18.75" hidden="1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256">
        <f>L733+L736</f>
        <v>0</v>
      </c>
      <c r="M730" s="255">
        <f>M733+M736</f>
        <v>0</v>
      </c>
      <c r="N730" s="255">
        <f>N733+N736</f>
        <v>0</v>
      </c>
      <c r="O730" s="255">
        <f>IF(L730&gt;0,N730*100/L730,0)</f>
        <v>0</v>
      </c>
      <c r="P730" s="255">
        <f>IF(M730&gt;0,N730*100/M730,0)</f>
        <v>0</v>
      </c>
      <c r="Q730" s="255">
        <f ca="1">Q733+Q736</f>
        <v>1008470</v>
      </c>
      <c r="R730" s="255">
        <f ca="1">R733+R736</f>
        <v>1008470</v>
      </c>
      <c r="S730" s="255">
        <f ca="1">S733+S736</f>
        <v>121210.8</v>
      </c>
      <c r="T730" s="255">
        <f ca="1">IF(Q730&gt;0,S730*100/Q730,0)</f>
        <v>12.019276726129682</v>
      </c>
      <c r="U730" s="255">
        <f ca="1">IF(R730&gt;0,S730*100/R730,0)</f>
        <v>12.019276726129682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256">
        <f>L732+L733</f>
        <v>0</v>
      </c>
      <c r="M731" s="255">
        <f>M732+M733</f>
        <v>0</v>
      </c>
      <c r="N731" s="255">
        <f>N732+N733</f>
        <v>0</v>
      </c>
      <c r="O731" s="255">
        <f>IF(L731&gt;0,N731*100/L731,0)</f>
        <v>0</v>
      </c>
      <c r="P731" s="255">
        <f>IF(M731&gt;0,N731*100/M731,0)</f>
        <v>0</v>
      </c>
      <c r="Q731" s="255">
        <f ca="1">Q732+Q733</f>
        <v>1008470</v>
      </c>
      <c r="R731" s="255">
        <f ca="1">R732+R733</f>
        <v>1008470</v>
      </c>
      <c r="S731" s="255">
        <f ca="1">S732+S733</f>
        <v>121210.8</v>
      </c>
      <c r="T731" s="255">
        <f ca="1">IF(Q731&gt;0,S731*100/Q731,0)</f>
        <v>12.019276726129682</v>
      </c>
      <c r="U731" s="255">
        <f ca="1">IF(R731&gt;0,S731*100/R731,0)</f>
        <v>12.019276726129682</v>
      </c>
    </row>
    <row r="732" spans="1:21" ht="18.75" hidden="1">
      <c r="A732" s="155"/>
      <c r="B732" s="188"/>
      <c r="C732" s="188"/>
      <c r="D732" s="174"/>
      <c r="E732" s="186" t="s">
        <v>159</v>
      </c>
      <c r="F732" s="50"/>
      <c r="G732" s="52"/>
      <c r="H732" s="189" t="s">
        <v>14</v>
      </c>
      <c r="I732" s="54"/>
      <c r="J732" s="54"/>
      <c r="K732" s="55"/>
      <c r="L732" s="103">
        <v>0</v>
      </c>
      <c r="M732" s="102">
        <v>0</v>
      </c>
      <c r="N732" s="102">
        <v>0</v>
      </c>
      <c r="O732" s="102">
        <f>IF(L732&gt;0,N732*100/L732,0)</f>
        <v>0</v>
      </c>
      <c r="P732" s="102">
        <f>IF(M732&gt;0,N732*100/M732,0)</f>
        <v>0</v>
      </c>
      <c r="Q732" s="102">
        <v>0</v>
      </c>
      <c r="R732" s="102">
        <v>0</v>
      </c>
      <c r="S732" s="102">
        <v>0</v>
      </c>
      <c r="T732" s="102">
        <f>IF(Q732&gt;0,S732*100/Q732,0)</f>
        <v>0</v>
      </c>
      <c r="U732" s="102">
        <f>IF(R732&gt;0,S732*100/R732,0)</f>
        <v>0</v>
      </c>
    </row>
    <row r="733" spans="1:21" ht="18.75" hidden="1">
      <c r="A733" s="155"/>
      <c r="B733" s="188"/>
      <c r="C733" s="188"/>
      <c r="D733" s="174"/>
      <c r="E733" s="58" t="s">
        <v>160</v>
      </c>
      <c r="F733" s="50"/>
      <c r="G733" s="52"/>
      <c r="H733" s="162" t="s">
        <v>14</v>
      </c>
      <c r="I733" s="54"/>
      <c r="J733" s="54"/>
      <c r="K733" s="55"/>
      <c r="L733" s="256">
        <v>0</v>
      </c>
      <c r="M733" s="255">
        <v>0</v>
      </c>
      <c r="N733" s="255">
        <v>0</v>
      </c>
      <c r="O733" s="255">
        <f>IF(L733&gt;0,N733*100/L733,0)</f>
        <v>0</v>
      </c>
      <c r="P733" s="255">
        <f>IF(M733&gt;0,N733*100/M733,0)</f>
        <v>0</v>
      </c>
      <c r="Q733" s="255">
        <f ca="1">IFERROR(__xludf.DUMMYFUNCTION("IMPORTRANGE(""https://docs.google.com/spreadsheets/d/1ItG2mGa2ceCfYo0BwxsXqNm01IGEUdYcSSLTEv9YCik/edit?usp=sharing"",""เบิกจ่ายกองทุน!O34"")"),1008470)</f>
        <v>1008470</v>
      </c>
      <c r="R733" s="255">
        <f ca="1">IFERROR(__xludf.DUMMYFUNCTION("IMPORTRANGE(""https://docs.google.com/spreadsheets/d/1ItG2mGa2ceCfYo0BwxsXqNm01IGEUdYcSSLTEv9YCik/edit?usp=sharing"",""เบิกจ่ายกองทุน!P34"")"),1008470)</f>
        <v>1008470</v>
      </c>
      <c r="S733" s="255">
        <f ca="1">IFERROR(__xludf.DUMMYFUNCTION("IMPORTRANGE(""https://docs.google.com/spreadsheets/d/1ItG2mGa2ceCfYo0BwxsXqNm01IGEUdYcSSLTEv9YCik/edit?usp=sharing"",""เบิกจ่ายกองทุน!Q34"")"),121210.8)</f>
        <v>121210.8</v>
      </c>
      <c r="T733" s="255">
        <f ca="1">IF(Q733&gt;0,S733*100/Q733,0)</f>
        <v>12.019276726129682</v>
      </c>
      <c r="U733" s="255">
        <f ca="1">IF(R733&gt;0,S733*100/R733,0)</f>
        <v>12.019276726129682</v>
      </c>
    </row>
    <row r="734" spans="1:21" ht="18.75">
      <c r="A734" s="155"/>
      <c r="B734" s="188"/>
      <c r="C734" s="188"/>
      <c r="D734" s="51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256">
        <f>L735+L736</f>
        <v>0</v>
      </c>
      <c r="M734" s="255">
        <f>M735+M736</f>
        <v>0</v>
      </c>
      <c r="N734" s="255">
        <f>N735+N736</f>
        <v>0</v>
      </c>
      <c r="O734" s="255">
        <f>IF(L734&gt;0,N734*100/L734,0)</f>
        <v>0</v>
      </c>
      <c r="P734" s="255">
        <f>IF(M734&gt;0,N734*100/M734,0)</f>
        <v>0</v>
      </c>
      <c r="Q734" s="255">
        <f>Q735+Q736</f>
        <v>0</v>
      </c>
      <c r="R734" s="255">
        <f>R735+R736</f>
        <v>0</v>
      </c>
      <c r="S734" s="255">
        <f>S735+S736</f>
        <v>0</v>
      </c>
      <c r="T734" s="255">
        <f>IF(Q734&gt;0,S734*100/Q734,0)</f>
        <v>0</v>
      </c>
      <c r="U734" s="255">
        <f>IF(R734&gt;0,S734*100/R734,0)</f>
        <v>0</v>
      </c>
    </row>
    <row r="735" spans="1:21" ht="18.75" hidden="1">
      <c r="A735" s="155"/>
      <c r="B735" s="188"/>
      <c r="C735" s="188"/>
      <c r="D735" s="188"/>
      <c r="E735" s="358" t="s">
        <v>20</v>
      </c>
      <c r="F735" s="188"/>
      <c r="G735" s="52"/>
      <c r="H735" s="189" t="s">
        <v>14</v>
      </c>
      <c r="I735" s="163"/>
      <c r="J735" s="163"/>
      <c r="K735" s="164"/>
      <c r="L735" s="103">
        <v>0</v>
      </c>
      <c r="M735" s="102">
        <v>0</v>
      </c>
      <c r="N735" s="102">
        <v>0</v>
      </c>
      <c r="O735" s="102">
        <f>IF(L735&gt;0,N735*100/L735,0)</f>
        <v>0</v>
      </c>
      <c r="P735" s="102">
        <f>IF(M735&gt;0,N735*100/M735,0)</f>
        <v>0</v>
      </c>
      <c r="Q735" s="102">
        <v>0</v>
      </c>
      <c r="R735" s="102">
        <v>0</v>
      </c>
      <c r="S735" s="102">
        <v>0</v>
      </c>
      <c r="T735" s="102">
        <f>IF(Q735&gt;0,S735*100/Q735,0)</f>
        <v>0</v>
      </c>
      <c r="U735" s="102">
        <f>IF(R735&gt;0,S735*100/R735,0)</f>
        <v>0</v>
      </c>
    </row>
    <row r="736" spans="1:21" ht="18.75" hidden="1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256">
        <v>0</v>
      </c>
      <c r="M736" s="255">
        <v>0</v>
      </c>
      <c r="N736" s="255">
        <v>0</v>
      </c>
      <c r="O736" s="255">
        <f>IF(L736&gt;0,N736*100/L736,0)</f>
        <v>0</v>
      </c>
      <c r="P736" s="255">
        <f>IF(M736&gt;0,N736*100/M736,0)</f>
        <v>0</v>
      </c>
      <c r="Q736" s="255">
        <v>0</v>
      </c>
      <c r="R736" s="255">
        <v>0</v>
      </c>
      <c r="S736" s="255">
        <v>0</v>
      </c>
      <c r="T736" s="255">
        <f>IF(Q736&gt;0,S736*100/Q736,0)</f>
        <v>0</v>
      </c>
      <c r="U736" s="255">
        <f>IF(R736&gt;0,S736*100/R736,0)</f>
        <v>0</v>
      </c>
    </row>
    <row r="737" spans="1:21" ht="19.5">
      <c r="A737" s="166"/>
      <c r="B737" s="167"/>
      <c r="C737" s="205" t="s">
        <v>18</v>
      </c>
      <c r="D737" s="560" t="s">
        <v>38</v>
      </c>
      <c r="E737" s="232"/>
      <c r="F737" s="169"/>
      <c r="G737" s="170"/>
      <c r="H737" s="206"/>
      <c r="I737" s="54"/>
      <c r="J737" s="54"/>
      <c r="K737" s="55"/>
      <c r="L737" s="62"/>
      <c r="M737" s="55"/>
      <c r="N737" s="55"/>
      <c r="O737" s="55"/>
      <c r="P737" s="55"/>
      <c r="Q737" s="55"/>
      <c r="R737" s="55"/>
      <c r="S737" s="55"/>
      <c r="T737" s="55"/>
      <c r="U737" s="55"/>
    </row>
    <row r="738" spans="1:21" ht="19.5">
      <c r="A738" s="166"/>
      <c r="B738" s="167"/>
      <c r="C738" s="167"/>
      <c r="D738" s="488" t="s">
        <v>121</v>
      </c>
      <c r="E738" s="167"/>
      <c r="F738" s="167"/>
      <c r="G738" s="171"/>
      <c r="H738" s="208"/>
      <c r="I738" s="54"/>
      <c r="J738" s="54"/>
      <c r="K738" s="55"/>
      <c r="L738" s="62"/>
      <c r="M738" s="55"/>
      <c r="N738" s="55"/>
      <c r="O738" s="55"/>
      <c r="P738" s="55"/>
      <c r="Q738" s="55"/>
      <c r="R738" s="55"/>
      <c r="S738" s="55"/>
      <c r="T738" s="55"/>
      <c r="U738" s="55"/>
    </row>
    <row r="739" spans="1:21" ht="18.75">
      <c r="A739" s="166"/>
      <c r="B739" s="167"/>
      <c r="C739" s="167"/>
      <c r="D739" s="167"/>
      <c r="E739" s="460" t="s">
        <v>271</v>
      </c>
      <c r="F739" s="167"/>
      <c r="G739" s="171"/>
      <c r="H739" s="208"/>
      <c r="I739" s="54"/>
      <c r="J739" s="54"/>
      <c r="K739" s="55"/>
      <c r="L739" s="62"/>
      <c r="M739" s="55"/>
      <c r="N739" s="55"/>
      <c r="O739" s="55"/>
      <c r="P739" s="55"/>
      <c r="Q739" s="55"/>
      <c r="R739" s="55"/>
      <c r="S739" s="55"/>
      <c r="T739" s="55"/>
      <c r="U739" s="55"/>
    </row>
    <row r="740" spans="1:21" ht="18.75">
      <c r="A740" s="166"/>
      <c r="B740" s="167"/>
      <c r="C740" s="167"/>
      <c r="D740" s="167"/>
      <c r="E740" s="167"/>
      <c r="F740" s="460" t="s">
        <v>272</v>
      </c>
      <c r="G740" s="171"/>
      <c r="H740" s="161" t="s">
        <v>46</v>
      </c>
      <c r="I740" s="212">
        <f ca="1">IFERROR(__xludf.DUMMYFUNCTION("IMPORTRANGE(""https://docs.google.com/spreadsheets/d/1eHaY18a8A9IcSdp1K8H6x8fbOy06t2VsZHhMHf-1x7Y/edit?usp=sharing"",""แผน!GB34"")"),1000)</f>
        <v>1000</v>
      </c>
      <c r="J740" s="467">
        <v>1000</v>
      </c>
      <c r="K740" s="255">
        <f ca="1">IF(I740&gt;0,J740*100/I740,0)</f>
        <v>100</v>
      </c>
      <c r="L740" s="62"/>
      <c r="M740" s="55"/>
      <c r="N740" s="55"/>
      <c r="O740" s="55"/>
      <c r="P740" s="55"/>
      <c r="Q740" s="55"/>
      <c r="R740" s="55"/>
      <c r="S740" s="55"/>
      <c r="T740" s="55"/>
      <c r="U740" s="55"/>
    </row>
    <row r="741" spans="1:21" ht="18.75">
      <c r="A741" s="554"/>
      <c r="B741" s="553"/>
      <c r="C741" s="553"/>
      <c r="D741" s="553"/>
      <c r="E741" s="553"/>
      <c r="F741" s="558" t="s">
        <v>307</v>
      </c>
      <c r="G741" s="550"/>
      <c r="H741" s="549" t="s">
        <v>35</v>
      </c>
      <c r="I741" s="548"/>
      <c r="J741" s="547">
        <v>0</v>
      </c>
      <c r="K741" s="545"/>
      <c r="L741" s="546"/>
      <c r="M741" s="545"/>
      <c r="N741" s="545"/>
      <c r="O741" s="545"/>
      <c r="P741" s="545"/>
      <c r="Q741" s="545"/>
      <c r="R741" s="545"/>
      <c r="S741" s="545"/>
      <c r="T741" s="545"/>
      <c r="U741" s="545"/>
    </row>
    <row r="742" spans="1:21" ht="18.75">
      <c r="A742" s="554"/>
      <c r="B742" s="553"/>
      <c r="C742" s="553"/>
      <c r="D742" s="553"/>
      <c r="E742" s="553"/>
      <c r="F742" s="558" t="s">
        <v>306</v>
      </c>
      <c r="G742" s="550"/>
      <c r="H742" s="549" t="s">
        <v>35</v>
      </c>
      <c r="I742" s="556">
        <f ca="1">IFERROR(__xludf.DUMMYFUNCTION("IMPORTRANGE(""https://docs.google.com/spreadsheets/d/1eHaY18a8A9IcSdp1K8H6x8fbOy06t2VsZHhMHf-1x7Y/edit?usp=sharing"",""แผน!GC34"")"),100)</f>
        <v>100</v>
      </c>
      <c r="J742" s="547">
        <v>100</v>
      </c>
      <c r="K742" s="555">
        <f ca="1">IF(I742&gt;0,J742*100/I742,0)</f>
        <v>100</v>
      </c>
      <c r="L742" s="546"/>
      <c r="M742" s="545"/>
      <c r="N742" s="545"/>
      <c r="O742" s="545"/>
      <c r="P742" s="545"/>
      <c r="Q742" s="545"/>
      <c r="R742" s="545"/>
      <c r="S742" s="545"/>
      <c r="T742" s="545"/>
      <c r="U742" s="545"/>
    </row>
    <row r="743" spans="1:21" ht="18.75">
      <c r="A743" s="554"/>
      <c r="B743" s="553"/>
      <c r="C743" s="553"/>
      <c r="D743" s="553"/>
      <c r="E743" s="558" t="s">
        <v>275</v>
      </c>
      <c r="F743" s="553"/>
      <c r="G743" s="550"/>
      <c r="H743" s="557"/>
      <c r="I743" s="548"/>
      <c r="J743" s="548"/>
      <c r="K743" s="545"/>
      <c r="L743" s="546"/>
      <c r="M743" s="545"/>
      <c r="N743" s="545"/>
      <c r="O743" s="545"/>
      <c r="P743" s="545"/>
      <c r="Q743" s="545"/>
      <c r="R743" s="545"/>
      <c r="S743" s="545"/>
      <c r="T743" s="545"/>
      <c r="U743" s="545"/>
    </row>
    <row r="744" spans="1:21" ht="18.75">
      <c r="A744" s="554"/>
      <c r="B744" s="553"/>
      <c r="C744" s="553"/>
      <c r="D744" s="553"/>
      <c r="E744" s="553"/>
      <c r="F744" s="558" t="s">
        <v>272</v>
      </c>
      <c r="G744" s="550"/>
      <c r="H744" s="549" t="s">
        <v>46</v>
      </c>
      <c r="I744" s="556">
        <f ca="1">IFERROR(__xludf.DUMMYFUNCTION("IMPORTRANGE(""https://docs.google.com/spreadsheets/d/1eHaY18a8A9IcSdp1K8H6x8fbOy06t2VsZHhMHf-1x7Y/edit?usp=sharing"",""แผน!GD34"")"),250)</f>
        <v>250</v>
      </c>
      <c r="J744" s="547">
        <v>0</v>
      </c>
      <c r="K744" s="555">
        <f ca="1">IF(I744&gt;0,J744*100/I744,0)</f>
        <v>0</v>
      </c>
      <c r="L744" s="546"/>
      <c r="M744" s="545"/>
      <c r="N744" s="545"/>
      <c r="O744" s="545"/>
      <c r="P744" s="545"/>
      <c r="Q744" s="545"/>
      <c r="R744" s="545"/>
      <c r="S744" s="545"/>
      <c r="T744" s="545"/>
      <c r="U744" s="545"/>
    </row>
    <row r="745" spans="1:21" ht="18.75">
      <c r="A745" s="554"/>
      <c r="B745" s="553"/>
      <c r="C745" s="553"/>
      <c r="D745" s="553"/>
      <c r="E745" s="553"/>
      <c r="F745" s="558" t="s">
        <v>305</v>
      </c>
      <c r="G745" s="550"/>
      <c r="H745" s="549" t="s">
        <v>35</v>
      </c>
      <c r="I745" s="548"/>
      <c r="J745" s="547">
        <v>0</v>
      </c>
      <c r="K745" s="545"/>
      <c r="L745" s="546"/>
      <c r="M745" s="545"/>
      <c r="N745" s="545"/>
      <c r="O745" s="545"/>
      <c r="P745" s="545"/>
      <c r="Q745" s="545"/>
      <c r="R745" s="545"/>
      <c r="S745" s="545"/>
      <c r="T745" s="545"/>
      <c r="U745" s="545"/>
    </row>
    <row r="746" spans="1:21" ht="18.75">
      <c r="A746" s="554"/>
      <c r="B746" s="553"/>
      <c r="C746" s="553"/>
      <c r="D746" s="553"/>
      <c r="E746" s="553"/>
      <c r="F746" s="558" t="s">
        <v>304</v>
      </c>
      <c r="G746" s="550"/>
      <c r="H746" s="549" t="s">
        <v>35</v>
      </c>
      <c r="I746" s="556">
        <f ca="1">IFERROR(__xludf.DUMMYFUNCTION("IMPORTRANGE(""https://docs.google.com/spreadsheets/d/1eHaY18a8A9IcSdp1K8H6x8fbOy06t2VsZHhMHf-1x7Y/edit?usp=sharing"",""แผน!GE34"")"),25)</f>
        <v>25</v>
      </c>
      <c r="J746" s="547">
        <v>0</v>
      </c>
      <c r="K746" s="555">
        <f ca="1">IF(I746&gt;0,J746*100/I746,0)</f>
        <v>0</v>
      </c>
      <c r="L746" s="546"/>
      <c r="M746" s="545"/>
      <c r="N746" s="545"/>
      <c r="O746" s="545"/>
      <c r="P746" s="545"/>
      <c r="Q746" s="545"/>
      <c r="R746" s="545"/>
      <c r="S746" s="545"/>
      <c r="T746" s="545"/>
      <c r="U746" s="545"/>
    </row>
    <row r="747" spans="1:21" ht="18.75">
      <c r="A747" s="554"/>
      <c r="B747" s="553"/>
      <c r="C747" s="553"/>
      <c r="D747" s="553"/>
      <c r="E747" s="558" t="s">
        <v>278</v>
      </c>
      <c r="F747" s="552"/>
      <c r="G747" s="550"/>
      <c r="H747" s="557"/>
      <c r="I747" s="548"/>
      <c r="J747" s="548"/>
      <c r="K747" s="545"/>
      <c r="L747" s="546"/>
      <c r="M747" s="545"/>
      <c r="N747" s="545"/>
      <c r="O747" s="545"/>
      <c r="P747" s="545"/>
      <c r="Q747" s="545"/>
      <c r="R747" s="545"/>
      <c r="S747" s="545"/>
      <c r="T747" s="545"/>
      <c r="U747" s="545"/>
    </row>
    <row r="748" spans="1:21" ht="18.75">
      <c r="A748" s="554"/>
      <c r="B748" s="553"/>
      <c r="C748" s="553"/>
      <c r="D748" s="553"/>
      <c r="E748" s="553"/>
      <c r="F748" s="558" t="s">
        <v>303</v>
      </c>
      <c r="G748" s="550"/>
      <c r="H748" s="549" t="s">
        <v>35</v>
      </c>
      <c r="I748" s="548"/>
      <c r="J748" s="547">
        <v>0</v>
      </c>
      <c r="K748" s="545"/>
      <c r="L748" s="546"/>
      <c r="M748" s="545"/>
      <c r="N748" s="545"/>
      <c r="O748" s="545"/>
      <c r="P748" s="545"/>
      <c r="Q748" s="545"/>
      <c r="R748" s="545"/>
      <c r="S748" s="545"/>
      <c r="T748" s="545"/>
      <c r="U748" s="545"/>
    </row>
    <row r="749" spans="1:21" ht="18.75">
      <c r="A749" s="554"/>
      <c r="B749" s="553"/>
      <c r="C749" s="553"/>
      <c r="D749" s="553"/>
      <c r="E749" s="553"/>
      <c r="F749" s="558" t="s">
        <v>302</v>
      </c>
      <c r="G749" s="550"/>
      <c r="H749" s="549" t="s">
        <v>35</v>
      </c>
      <c r="I749" s="556">
        <f ca="1">IFERROR(__xludf.DUMMYFUNCTION("IMPORTRANGE(""https://docs.google.com/spreadsheets/d/1eHaY18a8A9IcSdp1K8H6x8fbOy06t2VsZHhMHf-1x7Y/edit?usp=sharing"",""แผน!GF34"")"),3)</f>
        <v>3</v>
      </c>
      <c r="J749" s="547">
        <v>0</v>
      </c>
      <c r="K749" s="555">
        <f ca="1">IF(I749&gt;0,J749*100/I749,0)</f>
        <v>0</v>
      </c>
      <c r="L749" s="546"/>
      <c r="M749" s="545"/>
      <c r="N749" s="545"/>
      <c r="O749" s="545"/>
      <c r="P749" s="545"/>
      <c r="Q749" s="545"/>
      <c r="R749" s="545"/>
      <c r="S749" s="545"/>
      <c r="T749" s="545"/>
      <c r="U749" s="545"/>
    </row>
    <row r="750" spans="1:21" ht="19.5">
      <c r="A750" s="554"/>
      <c r="B750" s="553"/>
      <c r="C750" s="553"/>
      <c r="D750" s="559" t="s">
        <v>50</v>
      </c>
      <c r="E750" s="553"/>
      <c r="F750" s="552"/>
      <c r="G750" s="550"/>
      <c r="H750" s="557"/>
      <c r="I750" s="548"/>
      <c r="J750" s="548"/>
      <c r="K750" s="545"/>
      <c r="L750" s="546"/>
      <c r="M750" s="545"/>
      <c r="N750" s="545"/>
      <c r="O750" s="545"/>
      <c r="P750" s="545"/>
      <c r="Q750" s="545"/>
      <c r="R750" s="545"/>
      <c r="S750" s="545"/>
      <c r="T750" s="545"/>
      <c r="U750" s="545"/>
    </row>
    <row r="751" spans="1:21" ht="18.75">
      <c r="A751" s="554"/>
      <c r="B751" s="553"/>
      <c r="C751" s="553"/>
      <c r="D751" s="553"/>
      <c r="E751" s="558" t="s">
        <v>271</v>
      </c>
      <c r="F751" s="552"/>
      <c r="G751" s="550"/>
      <c r="H751" s="557"/>
      <c r="I751" s="548"/>
      <c r="J751" s="548"/>
      <c r="K751" s="545"/>
      <c r="L751" s="546"/>
      <c r="M751" s="545"/>
      <c r="N751" s="545"/>
      <c r="O751" s="545"/>
      <c r="P751" s="545"/>
      <c r="Q751" s="545"/>
      <c r="R751" s="545"/>
      <c r="S751" s="545"/>
      <c r="T751" s="545"/>
      <c r="U751" s="545"/>
    </row>
    <row r="752" spans="1:21" ht="18.75">
      <c r="A752" s="554"/>
      <c r="B752" s="553"/>
      <c r="C752" s="553"/>
      <c r="D752" s="553"/>
      <c r="E752" s="553"/>
      <c r="F752" s="551" t="s">
        <v>301</v>
      </c>
      <c r="G752" s="550"/>
      <c r="H752" s="549" t="s">
        <v>46</v>
      </c>
      <c r="I752" s="556">
        <f ca="1">IFERROR(__xludf.DUMMYFUNCTION("IMPORTRANGE(""https://docs.google.com/spreadsheets/d/1eHaY18a8A9IcSdp1K8H6x8fbOy06t2VsZHhMHf-1x7Y/edit?usp=sharing"",""แผน!GB34"")"),1000)</f>
        <v>1000</v>
      </c>
      <c r="J752" s="547">
        <v>0</v>
      </c>
      <c r="K752" s="555">
        <f ca="1">IF(I752&gt;0,J752*100/I752,0)</f>
        <v>0</v>
      </c>
      <c r="L752" s="546"/>
      <c r="M752" s="545"/>
      <c r="N752" s="545"/>
      <c r="O752" s="545"/>
      <c r="P752" s="545"/>
      <c r="Q752" s="545"/>
      <c r="R752" s="545"/>
      <c r="S752" s="545"/>
      <c r="T752" s="545"/>
      <c r="U752" s="545"/>
    </row>
    <row r="753" spans="1:21" ht="18.75">
      <c r="A753" s="554"/>
      <c r="B753" s="553"/>
      <c r="C753" s="553"/>
      <c r="D753" s="553"/>
      <c r="E753" s="553"/>
      <c r="F753" s="551" t="s">
        <v>300</v>
      </c>
      <c r="G753" s="550"/>
      <c r="H753" s="549" t="s">
        <v>46</v>
      </c>
      <c r="I753" s="548"/>
      <c r="J753" s="547">
        <v>0</v>
      </c>
      <c r="K753" s="545"/>
      <c r="L753" s="546"/>
      <c r="M753" s="545"/>
      <c r="N753" s="545"/>
      <c r="O753" s="545"/>
      <c r="P753" s="545"/>
      <c r="Q753" s="545"/>
      <c r="R753" s="545"/>
      <c r="S753" s="545"/>
      <c r="T753" s="545"/>
      <c r="U753" s="545"/>
    </row>
    <row r="754" spans="1:21" ht="18.75">
      <c r="A754" s="554"/>
      <c r="B754" s="553"/>
      <c r="C754" s="553"/>
      <c r="D754" s="553"/>
      <c r="E754" s="558" t="s">
        <v>275</v>
      </c>
      <c r="F754" s="552"/>
      <c r="G754" s="550"/>
      <c r="H754" s="557"/>
      <c r="I754" s="548"/>
      <c r="J754" s="548"/>
      <c r="K754" s="545"/>
      <c r="L754" s="546"/>
      <c r="M754" s="545"/>
      <c r="N754" s="545"/>
      <c r="O754" s="545"/>
      <c r="P754" s="545"/>
      <c r="Q754" s="545"/>
      <c r="R754" s="545"/>
      <c r="S754" s="545"/>
      <c r="T754" s="545"/>
      <c r="U754" s="545"/>
    </row>
    <row r="755" spans="1:21" ht="18.75">
      <c r="A755" s="554"/>
      <c r="B755" s="553"/>
      <c r="C755" s="553"/>
      <c r="D755" s="553"/>
      <c r="E755" s="552"/>
      <c r="F755" s="551" t="s">
        <v>299</v>
      </c>
      <c r="G755" s="550"/>
      <c r="H755" s="549" t="s">
        <v>46</v>
      </c>
      <c r="I755" s="556">
        <f ca="1">IFERROR(__xludf.DUMMYFUNCTION("IMPORTRANGE(""https://docs.google.com/spreadsheets/d/1eHaY18a8A9IcSdp1K8H6x8fbOy06t2VsZHhMHf-1x7Y/edit?usp=sharing"",""แผน!GD34"")"),250)</f>
        <v>250</v>
      </c>
      <c r="J755" s="547">
        <v>0</v>
      </c>
      <c r="K755" s="555">
        <f ca="1">IF(I755&gt;0,J755*100/I755,0)</f>
        <v>0</v>
      </c>
      <c r="L755" s="546"/>
      <c r="M755" s="545"/>
      <c r="N755" s="545"/>
      <c r="O755" s="545"/>
      <c r="P755" s="545"/>
      <c r="Q755" s="545"/>
      <c r="R755" s="545"/>
      <c r="S755" s="545"/>
      <c r="T755" s="545"/>
      <c r="U755" s="545"/>
    </row>
    <row r="756" spans="1:21" ht="18.75">
      <c r="A756" s="554"/>
      <c r="B756" s="553"/>
      <c r="C756" s="553"/>
      <c r="D756" s="553"/>
      <c r="E756" s="552"/>
      <c r="F756" s="551" t="s">
        <v>298</v>
      </c>
      <c r="G756" s="550"/>
      <c r="H756" s="549" t="s">
        <v>46</v>
      </c>
      <c r="I756" s="548"/>
      <c r="J756" s="547">
        <v>0</v>
      </c>
      <c r="K756" s="545"/>
      <c r="L756" s="546"/>
      <c r="M756" s="545"/>
      <c r="N756" s="545"/>
      <c r="O756" s="545"/>
      <c r="P756" s="545"/>
      <c r="Q756" s="545"/>
      <c r="R756" s="545"/>
      <c r="S756" s="545"/>
      <c r="T756" s="545"/>
      <c r="U756" s="545"/>
    </row>
    <row r="757" spans="1:21" ht="18.75">
      <c r="A757" s="489"/>
      <c r="B757" s="489"/>
      <c r="C757" s="489"/>
      <c r="D757" s="489"/>
      <c r="E757" s="490" t="s">
        <v>285</v>
      </c>
      <c r="F757" s="491"/>
      <c r="G757" s="492"/>
      <c r="H757" s="493" t="s">
        <v>35</v>
      </c>
      <c r="I757" s="494"/>
      <c r="J757" s="495">
        <v>0</v>
      </c>
      <c r="K757" s="496"/>
      <c r="L757" s="496"/>
      <c r="M757" s="496"/>
      <c r="N757" s="496"/>
      <c r="O757" s="496"/>
      <c r="P757" s="496"/>
      <c r="Q757" s="496"/>
      <c r="R757" s="496"/>
      <c r="S757" s="496"/>
      <c r="T757" s="496"/>
      <c r="U757" s="496"/>
    </row>
    <row r="758" spans="1:21" ht="19.5" hidden="1">
      <c r="A758" s="442"/>
      <c r="B758" s="443" t="s">
        <v>286</v>
      </c>
      <c r="C758" s="442"/>
      <c r="D758" s="444"/>
      <c r="E758" s="444"/>
      <c r="F758" s="444"/>
      <c r="G758" s="445"/>
      <c r="H758" s="473" t="s">
        <v>35</v>
      </c>
      <c r="I758" s="544">
        <f ca="1">I772</f>
        <v>0</v>
      </c>
      <c r="J758" s="544">
        <f>J772</f>
        <v>0</v>
      </c>
      <c r="K758" s="543">
        <f ca="1">IF(I758&gt;0,J758*100/I758,0)</f>
        <v>0</v>
      </c>
      <c r="L758" s="449"/>
      <c r="M758" s="448"/>
      <c r="N758" s="448"/>
      <c r="O758" s="448"/>
      <c r="P758" s="448"/>
      <c r="Q758" s="448"/>
      <c r="R758" s="448"/>
      <c r="S758" s="448"/>
      <c r="T758" s="448"/>
      <c r="U758" s="448"/>
    </row>
    <row r="759" spans="1:21" ht="19.5" hidden="1">
      <c r="A759" s="487"/>
      <c r="B759" s="442"/>
      <c r="C759" s="442"/>
      <c r="D759" s="444"/>
      <c r="E759" s="444"/>
      <c r="F759" s="444"/>
      <c r="G759" s="445"/>
      <c r="H759" s="473" t="s">
        <v>46</v>
      </c>
      <c r="I759" s="544">
        <f ca="1">I774</f>
        <v>0</v>
      </c>
      <c r="J759" s="544">
        <f>J774</f>
        <v>0</v>
      </c>
      <c r="K759" s="543">
        <f ca="1">IF(I759&gt;0,J759*100/I759,0)</f>
        <v>0</v>
      </c>
      <c r="L759" s="449"/>
      <c r="M759" s="448"/>
      <c r="N759" s="448"/>
      <c r="O759" s="448"/>
      <c r="P759" s="448"/>
      <c r="Q759" s="448"/>
      <c r="R759" s="448"/>
      <c r="S759" s="448"/>
      <c r="T759" s="448"/>
      <c r="U759" s="448"/>
    </row>
    <row r="760" spans="1:21" ht="19.5" hidden="1">
      <c r="A760" s="155"/>
      <c r="B760" s="188"/>
      <c r="C760" s="205" t="s">
        <v>18</v>
      </c>
      <c r="D760" s="542" t="s">
        <v>19</v>
      </c>
      <c r="E760" s="529"/>
      <c r="F760" s="529"/>
      <c r="G760" s="530"/>
      <c r="H760" s="252" t="s">
        <v>14</v>
      </c>
      <c r="I760" s="54"/>
      <c r="J760" s="54"/>
      <c r="K760" s="55"/>
      <c r="L760" s="541">
        <f>L761+L762</f>
        <v>0</v>
      </c>
      <c r="M760" s="540">
        <f>M761+M762</f>
        <v>0</v>
      </c>
      <c r="N760" s="540">
        <f>N761+N762</f>
        <v>0</v>
      </c>
      <c r="O760" s="540">
        <f>IF(L760&gt;0,N760*100/L760,0)</f>
        <v>0</v>
      </c>
      <c r="P760" s="540">
        <f>IF(M760&gt;0,N760*100/M760,0)</f>
        <v>0</v>
      </c>
      <c r="Q760" s="540">
        <f ca="1">Q761+Q762</f>
        <v>0</v>
      </c>
      <c r="R760" s="540">
        <f ca="1">R761+R762</f>
        <v>0</v>
      </c>
      <c r="S760" s="540">
        <f ca="1">S761+S762</f>
        <v>0</v>
      </c>
      <c r="T760" s="540">
        <f ca="1">IF(Q760&gt;0,S760*100/Q760,0)</f>
        <v>0</v>
      </c>
      <c r="U760" s="540">
        <f ca="1">IF(R760&gt;0,S760*100/R760,0)</f>
        <v>0</v>
      </c>
    </row>
    <row r="761" spans="1:21" ht="18.75" hidden="1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103">
        <f>L764+L767</f>
        <v>0</v>
      </c>
      <c r="M761" s="102">
        <f>M764+M767</f>
        <v>0</v>
      </c>
      <c r="N761" s="102">
        <f>N764+N767</f>
        <v>0</v>
      </c>
      <c r="O761" s="102">
        <f>IF(L761&gt;0,N761*100/L761,0)</f>
        <v>0</v>
      </c>
      <c r="P761" s="102">
        <f>IF(M761&gt;0,N761*100/M761,0)</f>
        <v>0</v>
      </c>
      <c r="Q761" s="102">
        <f>Q764+Q767</f>
        <v>0</v>
      </c>
      <c r="R761" s="102">
        <f>R764+R767</f>
        <v>0</v>
      </c>
      <c r="S761" s="102">
        <f>S764+S767</f>
        <v>0</v>
      </c>
      <c r="T761" s="102">
        <f>IF(Q761&gt;0,S761*100/Q761,0)</f>
        <v>0</v>
      </c>
      <c r="U761" s="102">
        <f>IF(R761&gt;0,S761*100/R761,0)</f>
        <v>0</v>
      </c>
    </row>
    <row r="762" spans="1:21" ht="18.75" hidden="1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256">
        <f>L765+L768</f>
        <v>0</v>
      </c>
      <c r="M762" s="255">
        <f>M765+M768</f>
        <v>0</v>
      </c>
      <c r="N762" s="255">
        <f>N765+N768</f>
        <v>0</v>
      </c>
      <c r="O762" s="255">
        <f>IF(L762&gt;0,N762*100/L762,0)</f>
        <v>0</v>
      </c>
      <c r="P762" s="255">
        <f>IF(M762&gt;0,N762*100/M762,0)</f>
        <v>0</v>
      </c>
      <c r="Q762" s="255">
        <f ca="1">Q765+Q768</f>
        <v>0</v>
      </c>
      <c r="R762" s="255">
        <f ca="1">R765+R768</f>
        <v>0</v>
      </c>
      <c r="S762" s="255">
        <f ca="1">S765+S768</f>
        <v>0</v>
      </c>
      <c r="T762" s="255">
        <f ca="1">IF(Q762&gt;0,S762*100/Q762,0)</f>
        <v>0</v>
      </c>
      <c r="U762" s="255">
        <f ca="1">IF(R762&gt;0,S762*100/R762,0)</f>
        <v>0</v>
      </c>
    </row>
    <row r="763" spans="1:21" ht="18.75" hidden="1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256">
        <f>L764+L765</f>
        <v>0</v>
      </c>
      <c r="M763" s="255">
        <f>M764+M765</f>
        <v>0</v>
      </c>
      <c r="N763" s="255">
        <f>N764+N765</f>
        <v>0</v>
      </c>
      <c r="O763" s="255">
        <f>IF(L763&gt;0,N763*100/L763,0)</f>
        <v>0</v>
      </c>
      <c r="P763" s="255">
        <f>IF(M763&gt;0,N763*100/M763,0)</f>
        <v>0</v>
      </c>
      <c r="Q763" s="255">
        <f ca="1">Q764+Q765</f>
        <v>0</v>
      </c>
      <c r="R763" s="255">
        <f ca="1">R764+R765</f>
        <v>0</v>
      </c>
      <c r="S763" s="255">
        <f ca="1">S764+S765</f>
        <v>0</v>
      </c>
      <c r="T763" s="255">
        <f ca="1">IF(Q763&gt;0,S763*100/Q763,0)</f>
        <v>0</v>
      </c>
      <c r="U763" s="255">
        <f ca="1">IF(R763&gt;0,S763*100/R763,0)</f>
        <v>0</v>
      </c>
    </row>
    <row r="764" spans="1:21" ht="18.75" hidden="1">
      <c r="A764" s="155"/>
      <c r="B764" s="188"/>
      <c r="C764" s="202"/>
      <c r="D764" s="174"/>
      <c r="E764" s="186" t="s">
        <v>159</v>
      </c>
      <c r="F764" s="50"/>
      <c r="G764" s="52"/>
      <c r="H764" s="189" t="s">
        <v>14</v>
      </c>
      <c r="I764" s="54"/>
      <c r="J764" s="54"/>
      <c r="K764" s="55"/>
      <c r="L764" s="103">
        <v>0</v>
      </c>
      <c r="M764" s="102">
        <v>0</v>
      </c>
      <c r="N764" s="102">
        <v>0</v>
      </c>
      <c r="O764" s="102">
        <f>IF(L764&gt;0,N764*100/L764,0)</f>
        <v>0</v>
      </c>
      <c r="P764" s="102">
        <f>IF(M764&gt;0,N764*100/M764,0)</f>
        <v>0</v>
      </c>
      <c r="Q764" s="102">
        <v>0</v>
      </c>
      <c r="R764" s="102">
        <v>0</v>
      </c>
      <c r="S764" s="102">
        <v>0</v>
      </c>
      <c r="T764" s="102">
        <f>IF(Q764&gt;0,S764*100/Q764,0)</f>
        <v>0</v>
      </c>
      <c r="U764" s="102">
        <f>IF(R764&gt;0,S764*100/R764,0)</f>
        <v>0</v>
      </c>
    </row>
    <row r="765" spans="1:21" ht="18.75" hidden="1">
      <c r="A765" s="155"/>
      <c r="B765" s="188"/>
      <c r="C765" s="202"/>
      <c r="D765" s="174"/>
      <c r="E765" s="58" t="s">
        <v>160</v>
      </c>
      <c r="F765" s="50"/>
      <c r="G765" s="52"/>
      <c r="H765" s="162" t="s">
        <v>14</v>
      </c>
      <c r="I765" s="54"/>
      <c r="J765" s="54"/>
      <c r="K765" s="55"/>
      <c r="L765" s="256">
        <v>0</v>
      </c>
      <c r="M765" s="255">
        <v>0</v>
      </c>
      <c r="N765" s="255">
        <v>0</v>
      </c>
      <c r="O765" s="255">
        <f>IF(L765&gt;0,N765*100/L765,0)</f>
        <v>0</v>
      </c>
      <c r="P765" s="255">
        <f>IF(M765&gt;0,N765*100/M765,0)</f>
        <v>0</v>
      </c>
      <c r="Q765" s="255">
        <f ca="1">IFERROR(__xludf.DUMMYFUNCTION("IMPORTRANGE(""https://docs.google.com/spreadsheets/d/1ItG2mGa2ceCfYo0BwxsXqNm01IGEUdYcSSLTEv9YCik/edit?usp=sharing"",""เบิกจ่ายกองทุน!U34"")"),0)</f>
        <v>0</v>
      </c>
      <c r="R765" s="255">
        <f ca="1">IFERROR(__xludf.DUMMYFUNCTION("IMPORTRANGE(""https://docs.google.com/spreadsheets/d/1ItG2mGa2ceCfYo0BwxsXqNm01IGEUdYcSSLTEv9YCik/edit?usp=sharing"",""เบิกจ่ายกองทุน!V34"")"),0)</f>
        <v>0</v>
      </c>
      <c r="S765" s="255">
        <f ca="1">IFERROR(__xludf.DUMMYFUNCTION("IMPORTRANGE(""https://docs.google.com/spreadsheets/d/1ItG2mGa2ceCfYo0BwxsXqNm01IGEUdYcSSLTEv9YCik/edit?usp=sharing"",""เบิกจ่ายกองทุน!W34"")"),0)</f>
        <v>0</v>
      </c>
      <c r="T765" s="255">
        <f ca="1">IF(Q765&gt;0,S765*100/Q765,0)</f>
        <v>0</v>
      </c>
      <c r="U765" s="255">
        <f ca="1">IF(R765&gt;0,S765*100/R765,0)</f>
        <v>0</v>
      </c>
    </row>
    <row r="766" spans="1:21" ht="18.75" hidden="1">
      <c r="A766" s="155"/>
      <c r="B766" s="188"/>
      <c r="C766" s="188"/>
      <c r="D766" s="51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256">
        <f>L767+L768</f>
        <v>0</v>
      </c>
      <c r="M766" s="255">
        <f>M767+M768</f>
        <v>0</v>
      </c>
      <c r="N766" s="255">
        <f>N767+N768</f>
        <v>0</v>
      </c>
      <c r="O766" s="255">
        <f>IF(L766&gt;0,N766*100/L766,0)</f>
        <v>0</v>
      </c>
      <c r="P766" s="255">
        <f>IF(M766&gt;0,N766*100/M766,0)</f>
        <v>0</v>
      </c>
      <c r="Q766" s="255">
        <f>Q767+Q768</f>
        <v>0</v>
      </c>
      <c r="R766" s="255">
        <f>R767+R768</f>
        <v>0</v>
      </c>
      <c r="S766" s="255">
        <f>S767+S768</f>
        <v>0</v>
      </c>
      <c r="T766" s="255">
        <f>IF(Q766&gt;0,S766*100/Q766,0)</f>
        <v>0</v>
      </c>
      <c r="U766" s="255">
        <f>IF(R766&gt;0,S766*100/R766,0)</f>
        <v>0</v>
      </c>
    </row>
    <row r="767" spans="1:21" ht="18.75" hidden="1">
      <c r="A767" s="155"/>
      <c r="B767" s="188"/>
      <c r="C767" s="188"/>
      <c r="D767" s="188"/>
      <c r="E767" s="358" t="s">
        <v>20</v>
      </c>
      <c r="F767" s="50"/>
      <c r="G767" s="52"/>
      <c r="H767" s="189" t="s">
        <v>14</v>
      </c>
      <c r="I767" s="163"/>
      <c r="J767" s="163"/>
      <c r="K767" s="164"/>
      <c r="L767" s="103">
        <v>0</v>
      </c>
      <c r="M767" s="102">
        <v>0</v>
      </c>
      <c r="N767" s="102">
        <v>0</v>
      </c>
      <c r="O767" s="102">
        <f>IF(L767&gt;0,N767*100/L767,0)</f>
        <v>0</v>
      </c>
      <c r="P767" s="102">
        <f>IF(M767&gt;0,N767*100/M767,0)</f>
        <v>0</v>
      </c>
      <c r="Q767" s="102">
        <v>0</v>
      </c>
      <c r="R767" s="102">
        <v>0</v>
      </c>
      <c r="S767" s="102">
        <v>0</v>
      </c>
      <c r="T767" s="102">
        <f>IF(Q767&gt;0,S767*100/Q767,0)</f>
        <v>0</v>
      </c>
      <c r="U767" s="102">
        <f>IF(R767&gt;0,S767*100/R767,0)</f>
        <v>0</v>
      </c>
    </row>
    <row r="768" spans="1:21" ht="18.75" hidden="1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256">
        <v>0</v>
      </c>
      <c r="M768" s="255">
        <v>0</v>
      </c>
      <c r="N768" s="255">
        <v>0</v>
      </c>
      <c r="O768" s="255">
        <f>IF(L768&gt;0,N768*100/L768,0)</f>
        <v>0</v>
      </c>
      <c r="P768" s="255">
        <f>IF(M768&gt;0,N768*100/M768,0)</f>
        <v>0</v>
      </c>
      <c r="Q768" s="255">
        <v>0</v>
      </c>
      <c r="R768" s="255">
        <v>0</v>
      </c>
      <c r="S768" s="255">
        <v>0</v>
      </c>
      <c r="T768" s="255">
        <f>IF(Q768&gt;0,S768*100/Q768,0)</f>
        <v>0</v>
      </c>
      <c r="U768" s="255">
        <f>IF(R768&gt;0,S768*100/R768,0)</f>
        <v>0</v>
      </c>
    </row>
    <row r="769" spans="1:21" ht="19.5" hidden="1">
      <c r="A769" s="166"/>
      <c r="B769" s="167"/>
      <c r="C769" s="497" t="s">
        <v>18</v>
      </c>
      <c r="D769" s="539" t="s">
        <v>38</v>
      </c>
      <c r="E769" s="232"/>
      <c r="F769" s="169"/>
      <c r="G769" s="170"/>
      <c r="H769" s="206"/>
      <c r="I769" s="54"/>
      <c r="J769" s="54"/>
      <c r="K769" s="55"/>
      <c r="L769" s="62"/>
      <c r="M769" s="55"/>
      <c r="N769" s="55"/>
      <c r="O769" s="55"/>
      <c r="P769" s="55"/>
      <c r="Q769" s="55"/>
      <c r="R769" s="55"/>
      <c r="S769" s="55"/>
      <c r="T769" s="55"/>
      <c r="U769" s="55"/>
    </row>
    <row r="770" spans="1:21" ht="18.75" hidden="1">
      <c r="A770" s="166"/>
      <c r="B770" s="167"/>
      <c r="C770" s="167"/>
      <c r="D770" s="423" t="s">
        <v>287</v>
      </c>
      <c r="E770" s="167"/>
      <c r="F770" s="174"/>
      <c r="G770" s="171"/>
      <c r="H770" s="421" t="s">
        <v>35</v>
      </c>
      <c r="I770" s="483">
        <f ca="1">IFERROR(__xludf.DUMMYFUNCTION("IMPORTRANGE(""https://docs.google.com/spreadsheets/d/1eHaY18a8A9IcSdp1K8H6x8fbOy06t2VsZHhMHf-1x7Y/edit?usp=sharing"",""แผน!FI34"")"),0)</f>
        <v>0</v>
      </c>
      <c r="J770" s="483">
        <v>0</v>
      </c>
      <c r="K770" s="102">
        <f ca="1">IF(I770&gt;0,J770*100/I770,0)</f>
        <v>0</v>
      </c>
      <c r="L770" s="62"/>
      <c r="M770" s="55"/>
      <c r="N770" s="55"/>
      <c r="O770" s="55"/>
      <c r="P770" s="55"/>
      <c r="Q770" s="55"/>
      <c r="R770" s="55"/>
      <c r="S770" s="55"/>
      <c r="T770" s="55"/>
      <c r="U770" s="55"/>
    </row>
    <row r="771" spans="1:21" ht="18.75" hidden="1">
      <c r="A771" s="166"/>
      <c r="B771" s="167"/>
      <c r="C771" s="167"/>
      <c r="D771" s="423" t="s">
        <v>288</v>
      </c>
      <c r="E771" s="167"/>
      <c r="F771" s="174"/>
      <c r="G771" s="171"/>
      <c r="H771" s="206"/>
      <c r="I771" s="54"/>
      <c r="J771" s="54"/>
      <c r="K771" s="55"/>
      <c r="L771" s="62"/>
      <c r="M771" s="55"/>
      <c r="N771" s="55"/>
      <c r="O771" s="55"/>
      <c r="P771" s="55"/>
      <c r="Q771" s="55"/>
      <c r="R771" s="55"/>
      <c r="S771" s="55"/>
      <c r="T771" s="55"/>
      <c r="U771" s="55"/>
    </row>
    <row r="772" spans="1:21" ht="18.75" hidden="1">
      <c r="A772" s="166"/>
      <c r="B772" s="167"/>
      <c r="C772" s="167"/>
      <c r="D772" s="460" t="s">
        <v>289</v>
      </c>
      <c r="E772" s="167"/>
      <c r="F772" s="174"/>
      <c r="G772" s="171"/>
      <c r="H772" s="165" t="s">
        <v>35</v>
      </c>
      <c r="I772" s="212">
        <f ca="1">IFERROR(__xludf.DUMMYFUNCTION("IMPORTRANGE(""https://docs.google.com/spreadsheets/d/1eHaY18a8A9IcSdp1K8H6x8fbOy06t2VsZHhMHf-1x7Y/edit?usp=sharing"",""แผน!FQ34"")"),0)</f>
        <v>0</v>
      </c>
      <c r="J772" s="467">
        <v>0</v>
      </c>
      <c r="K772" s="255">
        <f ca="1">IF(I772&gt;0,J772*100/I772,0)</f>
        <v>0</v>
      </c>
      <c r="L772" s="62"/>
      <c r="M772" s="55"/>
      <c r="N772" s="55"/>
      <c r="O772" s="55"/>
      <c r="P772" s="55"/>
      <c r="Q772" s="55"/>
      <c r="R772" s="55"/>
      <c r="S772" s="55"/>
      <c r="T772" s="55"/>
      <c r="U772" s="55"/>
    </row>
    <row r="773" spans="1:21" ht="18.75" hidden="1">
      <c r="A773" s="166"/>
      <c r="B773" s="167"/>
      <c r="C773" s="167"/>
      <c r="D773" s="460" t="s">
        <v>290</v>
      </c>
      <c r="E773" s="167"/>
      <c r="F773" s="174"/>
      <c r="G773" s="171"/>
      <c r="H773" s="206"/>
      <c r="I773" s="54"/>
      <c r="J773" s="54"/>
      <c r="K773" s="55"/>
      <c r="L773" s="62"/>
      <c r="M773" s="55"/>
      <c r="N773" s="55"/>
      <c r="O773" s="55"/>
      <c r="P773" s="55"/>
      <c r="Q773" s="55"/>
      <c r="R773" s="55"/>
      <c r="S773" s="55"/>
      <c r="T773" s="55"/>
      <c r="U773" s="55"/>
    </row>
    <row r="774" spans="1:21" ht="18.75" hidden="1">
      <c r="A774" s="166"/>
      <c r="B774" s="167"/>
      <c r="C774" s="167"/>
      <c r="D774" s="460" t="s">
        <v>291</v>
      </c>
      <c r="E774" s="167"/>
      <c r="F774" s="174"/>
      <c r="G774" s="171"/>
      <c r="H774" s="165" t="s">
        <v>46</v>
      </c>
      <c r="I774" s="212">
        <f ca="1">IFERROR(__xludf.DUMMYFUNCTION("IMPORTRANGE(""https://docs.google.com/spreadsheets/d/1eHaY18a8A9IcSdp1K8H6x8fbOy06t2VsZHhMHf-1x7Y/edit?usp=sharing"",""แผน!FR34"")"),0)</f>
        <v>0</v>
      </c>
      <c r="J774" s="467">
        <v>0</v>
      </c>
      <c r="K774" s="255">
        <f ca="1">IF(I774&gt;0,J774*100/I774,0)</f>
        <v>0</v>
      </c>
      <c r="L774" s="62"/>
      <c r="M774" s="55"/>
      <c r="N774" s="55"/>
      <c r="O774" s="55"/>
      <c r="P774" s="55"/>
      <c r="Q774" s="55"/>
      <c r="R774" s="55"/>
      <c r="S774" s="55"/>
      <c r="T774" s="55"/>
      <c r="U774" s="55"/>
    </row>
    <row r="775" spans="1:21" ht="18.75" hidden="1">
      <c r="A775" s="166"/>
      <c r="B775" s="167"/>
      <c r="C775" s="167"/>
      <c r="D775" s="460" t="s">
        <v>50</v>
      </c>
      <c r="E775" s="174"/>
      <c r="F775" s="50"/>
      <c r="G775" s="52"/>
      <c r="H775" s="165" t="s">
        <v>46</v>
      </c>
      <c r="I775" s="212">
        <f ca="1">IFERROR(__xludf.DUMMYFUNCTION("IMPORTRANGE(""https://docs.google.com/spreadsheets/d/1eHaY18a8A9IcSdp1K8H6x8fbOy06t2VsZHhMHf-1x7Y/edit?usp=sharing"",""แผน!FS34"")"),0)</f>
        <v>0</v>
      </c>
      <c r="J775" s="467">
        <v>0</v>
      </c>
      <c r="K775" s="55"/>
      <c r="L775" s="62"/>
      <c r="M775" s="55"/>
      <c r="N775" s="55"/>
      <c r="O775" s="55"/>
      <c r="P775" s="55"/>
      <c r="Q775" s="55"/>
      <c r="R775" s="55"/>
      <c r="S775" s="55"/>
      <c r="T775" s="55"/>
      <c r="U775" s="55"/>
    </row>
    <row r="776" spans="1:21" ht="18.75" hidden="1">
      <c r="A776" s="281"/>
      <c r="B776" s="282"/>
      <c r="C776" s="282"/>
      <c r="D776" s="282"/>
      <c r="E776" s="2"/>
      <c r="F776" s="2"/>
      <c r="G776" s="65"/>
      <c r="H776" s="214" t="s">
        <v>35</v>
      </c>
      <c r="I776" s="216">
        <f ca="1">IFERROR(__xludf.DUMMYFUNCTION("IMPORTRANGE(""https://docs.google.com/spreadsheets/d/1eHaY18a8A9IcSdp1K8H6x8fbOy06t2VsZHhMHf-1x7Y/edit?usp=sharing"",""แผน!FT34"")"),0)</f>
        <v>0</v>
      </c>
      <c r="J776" s="538">
        <v>0</v>
      </c>
      <c r="K776" s="6"/>
      <c r="L776" s="68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>
      <c r="A777" s="537" t="s">
        <v>292</v>
      </c>
      <c r="B777" s="500"/>
      <c r="C777" s="500"/>
      <c r="D777" s="499"/>
      <c r="E777" s="500"/>
      <c r="F777" s="500"/>
      <c r="G777" s="501"/>
      <c r="H777" s="536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503"/>
      <c r="J777" s="504"/>
      <c r="K777" s="505"/>
      <c r="L777" s="505"/>
      <c r="M777" s="505"/>
      <c r="N777" s="505"/>
      <c r="O777" s="505"/>
      <c r="P777" s="505"/>
      <c r="Q777" s="505"/>
      <c r="R777" s="505"/>
      <c r="S777" s="505"/>
      <c r="T777" s="505"/>
      <c r="U777" s="505"/>
    </row>
    <row r="778" spans="1:21" ht="18.75">
      <c r="A778" s="49"/>
      <c r="B778" s="58" t="s">
        <v>293</v>
      </c>
      <c r="C778" s="50"/>
      <c r="D778" s="188"/>
      <c r="E778" s="50"/>
      <c r="F778" s="50"/>
      <c r="G778" s="52"/>
      <c r="H778" s="53" t="s">
        <v>14</v>
      </c>
      <c r="I778" s="212">
        <f ca="1">IFERROR(__xludf.DUMMYFUNCTION("IMPORTRANGE(""https://docs.google.com/spreadsheets/d/10OvvATaaLtwErnr3qtWFcTmtbfpFEt5Bsqel9sXx0uE/edit?usp=sharing"",""งานกองทุน!D34"")"),3930000)</f>
        <v>3930000</v>
      </c>
      <c r="J778" s="212">
        <f ca="1">IFERROR(__xludf.DUMMYFUNCTION("IMPORTRANGE(""https://docs.google.com/spreadsheets/d/10OvvATaaLtwErnr3qtWFcTmtbfpFEt5Bsqel9sXx0uE/edit?usp=sharing"",""งานกองทุน!F34"")"),825000.04)</f>
        <v>825000.04</v>
      </c>
      <c r="K778" s="255">
        <f ca="1">IF(I778&gt;0,J778*100/I778,0)</f>
        <v>20.992367430025446</v>
      </c>
      <c r="L778" s="55"/>
      <c r="M778" s="55"/>
      <c r="N778" s="55"/>
      <c r="O778" s="55"/>
      <c r="P778" s="55"/>
      <c r="Q778" s="55"/>
      <c r="R778" s="55"/>
      <c r="S778" s="55"/>
      <c r="T778" s="55"/>
      <c r="U778" s="55"/>
    </row>
    <row r="779" spans="1:21" ht="18.75">
      <c r="A779" s="49"/>
      <c r="B779" s="50"/>
      <c r="C779" s="50"/>
      <c r="D779" s="188"/>
      <c r="E779" s="50"/>
      <c r="F779" s="50"/>
      <c r="G779" s="52"/>
      <c r="H779" s="53" t="s">
        <v>35</v>
      </c>
      <c r="I779" s="212">
        <f ca="1">IFERROR(__xludf.DUMMYFUNCTION("IMPORTRANGE(""https://docs.google.com/spreadsheets/d/10OvvATaaLtwErnr3qtWFcTmtbfpFEt5Bsqel9sXx0uE/edit?usp=sharing"",""งานกองทุน!C34"")"),116)</f>
        <v>116</v>
      </c>
      <c r="J779" s="212">
        <f ca="1">IFERROR(__xludf.DUMMYFUNCTION("IMPORTRANGE(""https://docs.google.com/spreadsheets/d/10OvvATaaLtwErnr3qtWFcTmtbfpFEt5Bsqel9sXx0uE/edit?usp=sharing"",""งานกองทุน!E34"")"),27)</f>
        <v>27</v>
      </c>
      <c r="K779" s="255">
        <f ca="1">IF(I779&gt;0,J779*100/I779,0)</f>
        <v>23.275862068965516</v>
      </c>
      <c r="L779" s="55"/>
      <c r="M779" s="55"/>
      <c r="N779" s="55"/>
      <c r="O779" s="55"/>
      <c r="P779" s="55"/>
      <c r="Q779" s="55"/>
      <c r="R779" s="55"/>
      <c r="S779" s="55"/>
      <c r="T779" s="55"/>
      <c r="U779" s="55"/>
    </row>
    <row r="780" spans="1:21" ht="18.75">
      <c r="A780" s="49"/>
      <c r="B780" s="58" t="s">
        <v>294</v>
      </c>
      <c r="C780" s="50"/>
      <c r="D780" s="188"/>
      <c r="E780" s="50"/>
      <c r="F780" s="50"/>
      <c r="G780" s="52"/>
      <c r="H780" s="53" t="s">
        <v>14</v>
      </c>
      <c r="I780" s="212">
        <f ca="1">IFERROR(__xludf.DUMMYFUNCTION("IMPORTRANGE(""https://docs.google.com/spreadsheets/d/10OvvATaaLtwErnr3qtWFcTmtbfpFEt5Bsqel9sXx0uE/edit?usp=sharing"",""งานกองทุน!I34"")"),6792480.53)</f>
        <v>6792480.5300000003</v>
      </c>
      <c r="J780" s="212">
        <f ca="1">IFERROR(__xludf.DUMMYFUNCTION("IMPORTRANGE(""https://docs.google.com/spreadsheets/d/10OvvATaaLtwErnr3qtWFcTmtbfpFEt5Bsqel9sXx0uE/edit?usp=sharing"",""งานกองทุน!K34"")"),368535.19)</f>
        <v>368535.19</v>
      </c>
      <c r="K780" s="255">
        <f ca="1">IF(I780&gt;0,J780*100/I780,0)</f>
        <v>5.4256348379993069</v>
      </c>
      <c r="L780" s="55"/>
      <c r="M780" s="55"/>
      <c r="N780" s="55"/>
      <c r="O780" s="55"/>
      <c r="P780" s="55"/>
      <c r="Q780" s="55"/>
      <c r="R780" s="55"/>
      <c r="S780" s="55"/>
      <c r="T780" s="55"/>
      <c r="U780" s="55"/>
    </row>
    <row r="781" spans="1:21" ht="18.75">
      <c r="A781" s="49"/>
      <c r="B781" s="50"/>
      <c r="C781" s="50"/>
      <c r="D781" s="188"/>
      <c r="E781" s="50"/>
      <c r="F781" s="50"/>
      <c r="G781" s="52"/>
      <c r="H781" s="53" t="s">
        <v>35</v>
      </c>
      <c r="I781" s="212">
        <f ca="1">IFERROR(__xludf.DUMMYFUNCTION("IMPORTRANGE(""https://docs.google.com/spreadsheets/d/10OvvATaaLtwErnr3qtWFcTmtbfpFEt5Bsqel9sXx0uE/edit?usp=sharing"",""งานกองทุน!H34"")"),314)</f>
        <v>314</v>
      </c>
      <c r="J781" s="212">
        <f ca="1">IFERROR(__xludf.DUMMYFUNCTION("IMPORTRANGE(""https://docs.google.com/spreadsheets/d/10OvvATaaLtwErnr3qtWFcTmtbfpFEt5Bsqel9sXx0uE/edit?usp=sharing"",""งานกองทุน!J34"")"),85)</f>
        <v>85</v>
      </c>
      <c r="K781" s="255">
        <f ca="1">IF(I781&gt;0,J781*100/I781,0)</f>
        <v>27.070063694267517</v>
      </c>
      <c r="L781" s="55"/>
      <c r="M781" s="55"/>
      <c r="N781" s="55"/>
      <c r="O781" s="55"/>
      <c r="P781" s="55"/>
      <c r="Q781" s="55"/>
      <c r="R781" s="55"/>
      <c r="S781" s="55"/>
      <c r="T781" s="55"/>
      <c r="U781" s="55"/>
    </row>
    <row r="782" spans="1:21" ht="18.75">
      <c r="A782" s="49"/>
      <c r="B782" s="58" t="s">
        <v>295</v>
      </c>
      <c r="C782" s="50"/>
      <c r="D782" s="188"/>
      <c r="E782" s="50"/>
      <c r="F782" s="50"/>
      <c r="G782" s="52"/>
      <c r="H782" s="53" t="s">
        <v>14</v>
      </c>
      <c r="I782" s="212">
        <f ca="1">IFERROR(__xludf.DUMMYFUNCTION("IMPORTRANGE(""https://docs.google.com/spreadsheets/d/10OvvATaaLtwErnr3qtWFcTmtbfpFEt5Bsqel9sXx0uE/edit?usp=sharing"",""งานกองทุน!N34"")"),1581123.45)</f>
        <v>1581123.45</v>
      </c>
      <c r="J782" s="212">
        <f ca="1">IFERROR(__xludf.DUMMYFUNCTION("IMPORTRANGE(""https://docs.google.com/spreadsheets/d/10OvvATaaLtwErnr3qtWFcTmtbfpFEt5Bsqel9sXx0uE/edit?usp=sharing"",""งานกองทุน!P34"")"),225654.81)</f>
        <v>225654.81</v>
      </c>
      <c r="K782" s="255">
        <f ca="1">IF(I782&gt;0,J782*100/I782,0)</f>
        <v>14.27180211640021</v>
      </c>
      <c r="L782" s="55"/>
      <c r="M782" s="55"/>
      <c r="N782" s="55"/>
      <c r="O782" s="55"/>
      <c r="P782" s="55"/>
      <c r="Q782" s="55"/>
      <c r="R782" s="55"/>
      <c r="S782" s="55"/>
      <c r="T782" s="55"/>
      <c r="U782" s="55"/>
    </row>
    <row r="783" spans="1:21" ht="18.75">
      <c r="A783" s="49"/>
      <c r="B783" s="50"/>
      <c r="C783" s="50"/>
      <c r="D783" s="188"/>
      <c r="E783" s="50"/>
      <c r="F783" s="50"/>
      <c r="G783" s="52"/>
      <c r="H783" s="53" t="s">
        <v>35</v>
      </c>
      <c r="I783" s="212">
        <f ca="1">IFERROR(__xludf.DUMMYFUNCTION("IMPORTRANGE(""https://docs.google.com/spreadsheets/d/10OvvATaaLtwErnr3qtWFcTmtbfpFEt5Bsqel9sXx0uE/edit?usp=sharing"",""งานกองทุน!M34"")"),72)</f>
        <v>72</v>
      </c>
      <c r="J783" s="212">
        <f ca="1">IFERROR(__xludf.DUMMYFUNCTION("IMPORTRANGE(""https://docs.google.com/spreadsheets/d/10OvvATaaLtwErnr3qtWFcTmtbfpFEt5Bsqel9sXx0uE/edit?usp=sharing"",""งานกองทุน!O34"")"),31)</f>
        <v>31</v>
      </c>
      <c r="K783" s="255">
        <f ca="1">IF(I783&gt;0,J783*100/I783,0)</f>
        <v>43.055555555555557</v>
      </c>
      <c r="L783" s="55"/>
      <c r="M783" s="55"/>
      <c r="N783" s="55"/>
      <c r="O783" s="55"/>
      <c r="P783" s="55"/>
      <c r="Q783" s="55"/>
      <c r="R783" s="55"/>
      <c r="S783" s="55"/>
      <c r="T783" s="55"/>
      <c r="U783" s="55"/>
    </row>
    <row r="784" spans="1:21" ht="18.75">
      <c r="A784" s="49"/>
      <c r="B784" s="58" t="s">
        <v>296</v>
      </c>
      <c r="C784" s="50"/>
      <c r="D784" s="188"/>
      <c r="E784" s="50"/>
      <c r="F784" s="50"/>
      <c r="G784" s="52"/>
      <c r="H784" s="53" t="s">
        <v>14</v>
      </c>
      <c r="I784" s="212">
        <f ca="1">IFERROR(__xludf.DUMMYFUNCTION("IMPORTRANGE(""https://docs.google.com/spreadsheets/d/10OvvATaaLtwErnr3qtWFcTmtbfpFEt5Bsqel9sXx0uE/edit?usp=sharing"",""งานกองทุน!S34"")"),4704000)</f>
        <v>4704000</v>
      </c>
      <c r="J784" s="212">
        <f ca="1">IFERROR(__xludf.DUMMYFUNCTION("IMPORTRANGE(""https://docs.google.com/spreadsheets/d/10OvvATaaLtwErnr3qtWFcTmtbfpFEt5Bsqel9sXx0uE/edit?usp=sharing"",""งานกองทุน!U34"")"),1315000)</f>
        <v>1315000</v>
      </c>
      <c r="K784" s="255">
        <f ca="1">IF(I784&gt;0,J784*100/I784,0)</f>
        <v>27.954931972789115</v>
      </c>
      <c r="L784" s="55"/>
      <c r="M784" s="55"/>
      <c r="N784" s="55"/>
      <c r="O784" s="55"/>
      <c r="P784" s="55"/>
      <c r="Q784" s="55"/>
      <c r="R784" s="55"/>
      <c r="S784" s="55"/>
      <c r="T784" s="55"/>
      <c r="U784" s="55"/>
    </row>
    <row r="785" spans="1:21" ht="18.75">
      <c r="A785" s="63"/>
      <c r="B785" s="4"/>
      <c r="C785" s="4"/>
      <c r="D785" s="5"/>
      <c r="E785" s="4"/>
      <c r="F785" s="4"/>
      <c r="G785" s="65"/>
      <c r="H785" s="66" t="s">
        <v>35</v>
      </c>
      <c r="I785" s="216">
        <f ca="1">IFERROR(__xludf.DUMMYFUNCTION("IMPORTRANGE(""https://docs.google.com/spreadsheets/d/10OvvATaaLtwErnr3qtWFcTmtbfpFEt5Bsqel9sXx0uE/edit?usp=sharing"",""งานกองทุน!R34"")"),168)</f>
        <v>168</v>
      </c>
      <c r="J785" s="216">
        <f ca="1">IFERROR(__xludf.DUMMYFUNCTION("IMPORTRANGE(""https://docs.google.com/spreadsheets/d/10OvvATaaLtwErnr3qtWFcTmtbfpFEt5Bsqel9sXx0uE/edit?usp=sharing"",""งานกองทุน!T34"")"),36)</f>
        <v>36</v>
      </c>
      <c r="K785" s="506">
        <f ca="1">IF(I785&gt;0,J785*100/I785,0)</f>
        <v>21.428571428571427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6.5">
      <c r="A787" s="535" t="s">
        <v>297</v>
      </c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6.5">
      <c r="A788" s="535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</v>
      </c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6.5">
      <c r="A789" s="535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</v>
      </c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</sheetData>
  <mergeCells count="26">
    <mergeCell ref="A1:U1"/>
    <mergeCell ref="A2:U2"/>
    <mergeCell ref="A3:U3"/>
    <mergeCell ref="L4:P4"/>
    <mergeCell ref="Q4:U4"/>
    <mergeCell ref="A5:G6"/>
    <mergeCell ref="H5:H6"/>
    <mergeCell ref="I5:K5"/>
    <mergeCell ref="L5:M5"/>
    <mergeCell ref="N5:P5"/>
    <mergeCell ref="D616:G616"/>
    <mergeCell ref="D642:G642"/>
    <mergeCell ref="D690:G690"/>
    <mergeCell ref="D714:G714"/>
    <mergeCell ref="Q5:R5"/>
    <mergeCell ref="S5:U5"/>
    <mergeCell ref="D728:G728"/>
    <mergeCell ref="D760:G760"/>
    <mergeCell ref="A7:G7"/>
    <mergeCell ref="A17:G17"/>
    <mergeCell ref="A30:G30"/>
    <mergeCell ref="A56:G56"/>
    <mergeCell ref="B57:G57"/>
    <mergeCell ref="D413:G413"/>
    <mergeCell ref="D493:F493"/>
    <mergeCell ref="D599:G599"/>
  </mergeCells>
  <printOptions horizontalCentered="1"/>
  <pageMargins left="0.23622047244094491" right="0.23622047244094491" top="0.55118110236220474" bottom="0.55118110236220474" header="0" footer="0"/>
  <pageSetup paperSize="9" scale="29" fitToHeight="0" pageOrder="overThenDown" orientation="portrait" cellComments="atEnd" horizontalDpi="4294967293" verticalDpi="4294967293" r:id="rId1"/>
  <headerFooter>
    <oddFooter>&amp;Cหน้า 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DEAF13-FA52-4AA3-9EB0-416A00356F77}">
  <sheetPr>
    <outlinePr summaryBelow="0" summaryRight="0"/>
    <pageSetUpPr fitToPage="1"/>
  </sheetPr>
  <dimension ref="A1:U789"/>
  <sheetViews>
    <sheetView view="pageBreakPreview" zoomScale="60" zoomScaleNormal="60" workbookViewId="0">
      <pane xSplit="8" ySplit="17" topLeftCell="I18" activePane="bottomRight" state="frozen"/>
      <selection activeCell="T32" sqref="T32"/>
      <selection pane="topRight" activeCell="T32" sqref="T32"/>
      <selection pane="bottomLeft" activeCell="T32" sqref="T32"/>
      <selection pane="bottomRight" activeCell="T32" sqref="T32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10" width="16.85546875" bestFit="1" customWidth="1"/>
    <col min="11" max="11" width="12.5703125" bestFit="1" customWidth="1"/>
    <col min="12" max="14" width="21.28515625" bestFit="1" customWidth="1"/>
    <col min="15" max="15" width="20.140625" bestFit="1" customWidth="1"/>
    <col min="16" max="16" width="22" bestFit="1" customWidth="1"/>
    <col min="17" max="18" width="21.28515625" bestFit="1" customWidth="1"/>
    <col min="19" max="19" width="18.7109375" bestFit="1" customWidth="1"/>
    <col min="20" max="20" width="20.140625" bestFit="1" customWidth="1"/>
    <col min="21" max="21" width="22" bestFit="1" customWidth="1"/>
  </cols>
  <sheetData>
    <row r="1" spans="1:21" ht="19.5">
      <c r="A1" s="894" t="s">
        <v>0</v>
      </c>
      <c r="B1" s="894"/>
      <c r="C1" s="894"/>
      <c r="D1" s="894"/>
      <c r="E1" s="894"/>
      <c r="F1" s="894"/>
      <c r="G1" s="894"/>
      <c r="H1" s="894"/>
      <c r="I1" s="894"/>
      <c r="J1" s="894"/>
      <c r="K1" s="894"/>
      <c r="L1" s="894"/>
      <c r="M1" s="894"/>
      <c r="N1" s="894"/>
      <c r="O1" s="894"/>
      <c r="P1" s="894"/>
      <c r="Q1" s="894"/>
      <c r="R1" s="894"/>
      <c r="S1" s="894"/>
      <c r="T1" s="894"/>
      <c r="U1" s="894"/>
    </row>
    <row r="2" spans="1:21" ht="19.5">
      <c r="A2" s="894" t="s">
        <v>315</v>
      </c>
      <c r="B2" s="894"/>
      <c r="C2" s="894"/>
      <c r="D2" s="894"/>
      <c r="E2" s="894"/>
      <c r="F2" s="894"/>
      <c r="G2" s="894"/>
      <c r="H2" s="894"/>
      <c r="I2" s="894"/>
      <c r="J2" s="894"/>
      <c r="K2" s="894"/>
      <c r="L2" s="894"/>
      <c r="M2" s="894"/>
      <c r="N2" s="894"/>
      <c r="O2" s="894"/>
      <c r="P2" s="894"/>
      <c r="Q2" s="894"/>
      <c r="R2" s="894"/>
      <c r="S2" s="894"/>
      <c r="T2" s="894"/>
      <c r="U2" s="894"/>
    </row>
    <row r="3" spans="1:21" ht="19.5">
      <c r="A3" s="894" t="s">
        <v>339</v>
      </c>
      <c r="B3" s="894"/>
      <c r="C3" s="894"/>
      <c r="D3" s="894"/>
      <c r="E3" s="894"/>
      <c r="F3" s="894"/>
      <c r="G3" s="894"/>
      <c r="H3" s="894"/>
      <c r="I3" s="894"/>
      <c r="J3" s="894"/>
      <c r="K3" s="894"/>
      <c r="L3" s="894"/>
      <c r="M3" s="894"/>
      <c r="N3" s="894"/>
      <c r="O3" s="894"/>
      <c r="P3" s="894"/>
      <c r="Q3" s="894"/>
      <c r="R3" s="894"/>
      <c r="S3" s="894"/>
      <c r="T3" s="894"/>
      <c r="U3" s="894"/>
    </row>
    <row r="4" spans="1:21" ht="19.5">
      <c r="A4" s="4"/>
      <c r="B4" s="4"/>
      <c r="C4" s="4"/>
      <c r="D4" s="4"/>
      <c r="E4" s="4"/>
      <c r="F4" s="4"/>
      <c r="G4" s="4"/>
      <c r="H4" s="4"/>
      <c r="I4" s="4"/>
      <c r="J4" s="5"/>
      <c r="K4" s="766"/>
      <c r="L4" s="765" t="s">
        <v>2</v>
      </c>
      <c r="M4" s="514"/>
      <c r="N4" s="514"/>
      <c r="O4" s="514"/>
      <c r="P4" s="512"/>
      <c r="Q4" s="518" t="s">
        <v>3</v>
      </c>
      <c r="R4" s="514"/>
      <c r="S4" s="514"/>
      <c r="T4" s="514"/>
      <c r="U4" s="512"/>
    </row>
    <row r="5" spans="1:21" ht="19.5">
      <c r="A5" s="764" t="s">
        <v>4</v>
      </c>
      <c r="B5" s="516"/>
      <c r="C5" s="516"/>
      <c r="D5" s="516"/>
      <c r="E5" s="516"/>
      <c r="F5" s="516"/>
      <c r="G5" s="763"/>
      <c r="H5" s="772" t="s">
        <v>5</v>
      </c>
      <c r="I5" s="761" t="s">
        <v>6</v>
      </c>
      <c r="J5" s="514"/>
      <c r="K5" s="512"/>
      <c r="L5" s="760" t="s">
        <v>7</v>
      </c>
      <c r="M5" s="512"/>
      <c r="N5" s="513" t="s">
        <v>8</v>
      </c>
      <c r="O5" s="514"/>
      <c r="P5" s="512"/>
      <c r="Q5" s="511" t="s">
        <v>7</v>
      </c>
      <c r="R5" s="512"/>
      <c r="S5" s="513" t="s">
        <v>8</v>
      </c>
      <c r="T5" s="514"/>
      <c r="U5" s="512"/>
    </row>
    <row r="6" spans="1:21" ht="19.5">
      <c r="A6" s="522"/>
      <c r="B6" s="514"/>
      <c r="C6" s="514"/>
      <c r="D6" s="514"/>
      <c r="E6" s="514"/>
      <c r="F6" s="514"/>
      <c r="G6" s="512"/>
      <c r="H6" s="512"/>
      <c r="I6" s="9" t="s">
        <v>9</v>
      </c>
      <c r="J6" s="10" t="s">
        <v>10</v>
      </c>
      <c r="K6" s="9" t="s">
        <v>11</v>
      </c>
      <c r="L6" s="758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 hidden="1">
      <c r="A7" s="750"/>
      <c r="B7" s="514"/>
      <c r="C7" s="514"/>
      <c r="D7" s="514"/>
      <c r="E7" s="514"/>
      <c r="F7" s="514"/>
      <c r="G7" s="512"/>
      <c r="H7" s="17"/>
      <c r="I7" s="18"/>
      <c r="J7" s="18"/>
      <c r="K7" s="19"/>
      <c r="L7" s="28"/>
      <c r="M7" s="19"/>
      <c r="N7" s="19"/>
      <c r="O7" s="19"/>
      <c r="P7" s="19"/>
      <c r="Q7" s="19"/>
      <c r="R7" s="19"/>
      <c r="S7" s="19"/>
      <c r="T7" s="19"/>
      <c r="U7" s="19"/>
    </row>
    <row r="8" spans="1:21" ht="12.75" hidden="1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6"/>
      <c r="M8" s="25"/>
      <c r="N8" s="25"/>
      <c r="O8" s="25"/>
      <c r="P8" s="25"/>
      <c r="Q8" s="25"/>
      <c r="R8" s="25"/>
      <c r="S8" s="25"/>
      <c r="T8" s="25"/>
      <c r="U8" s="25"/>
    </row>
    <row r="9" spans="1:21" ht="12.75" hidden="1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6"/>
      <c r="M9" s="25"/>
      <c r="N9" s="25"/>
      <c r="O9" s="25"/>
      <c r="P9" s="25"/>
      <c r="Q9" s="25"/>
      <c r="R9" s="25"/>
      <c r="S9" s="25"/>
      <c r="T9" s="25"/>
      <c r="U9" s="25"/>
    </row>
    <row r="10" spans="1:21" ht="12.75" hidden="1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6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2.75" hidden="1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6"/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2.75" hidden="1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6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2.75" hidden="1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6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2.75" hidden="1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2.75" hidden="1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6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2.75" hidden="1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28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9.5">
      <c r="A17" s="532" t="s">
        <v>311</v>
      </c>
      <c r="B17" s="514"/>
      <c r="C17" s="514"/>
      <c r="D17" s="514"/>
      <c r="E17" s="514"/>
      <c r="F17" s="514"/>
      <c r="G17" s="512"/>
      <c r="H17" s="29"/>
      <c r="I17" s="30"/>
      <c r="J17" s="30"/>
      <c r="K17" s="31"/>
      <c r="L17" s="32"/>
      <c r="M17" s="31"/>
      <c r="N17" s="31"/>
      <c r="O17" s="31"/>
      <c r="P17" s="31"/>
      <c r="Q17" s="31"/>
      <c r="R17" s="31"/>
      <c r="S17" s="31"/>
      <c r="T17" s="31"/>
      <c r="U17" s="31"/>
    </row>
    <row r="18" spans="1:21" ht="19.5">
      <c r="A18" s="33"/>
      <c r="B18" s="34"/>
      <c r="C18" s="35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757">
        <f ca="1">L19+L20</f>
        <v>1667545</v>
      </c>
      <c r="M18" s="720">
        <f ca="1">M19+M20</f>
        <v>1765819</v>
      </c>
      <c r="N18" s="720">
        <f ca="1">N19+N20</f>
        <v>1268396.96</v>
      </c>
      <c r="O18" s="720">
        <f ca="1">IF(L18&gt;0,N18*100/L18,0)</f>
        <v>76.063732013229028</v>
      </c>
      <c r="P18" s="720">
        <f ca="1">IF(M18&gt;0,N18*100/M18,0)</f>
        <v>71.830519436023735</v>
      </c>
      <c r="Q18" s="720">
        <f ca="1">Q19+Q20</f>
        <v>2112643.2400000002</v>
      </c>
      <c r="R18" s="720">
        <f ca="1">R19+R20</f>
        <v>2112643</v>
      </c>
      <c r="S18" s="720">
        <f ca="1">S19+S20</f>
        <v>228649.3</v>
      </c>
      <c r="T18" s="720">
        <f ca="1">IF(Q18&gt;0,S18*100/Q18,0)</f>
        <v>10.822901646186128</v>
      </c>
      <c r="U18" s="720">
        <f ca="1">IF(R18&gt;0,S18*100/R18,0)</f>
        <v>10.822902875686994</v>
      </c>
    </row>
    <row r="19" spans="1:21" ht="18.75" hidden="1">
      <c r="A19" s="33"/>
      <c r="B19" s="34"/>
      <c r="C19" s="34"/>
      <c r="D19" s="34"/>
      <c r="E19" s="756" t="s">
        <v>20</v>
      </c>
      <c r="F19" s="34"/>
      <c r="G19" s="37"/>
      <c r="H19" s="755" t="s">
        <v>14</v>
      </c>
      <c r="I19" s="39"/>
      <c r="J19" s="39"/>
      <c r="K19" s="40"/>
      <c r="L19" s="754">
        <f>L22+L25</f>
        <v>0</v>
      </c>
      <c r="M19" s="753">
        <f>M22+M25</f>
        <v>0</v>
      </c>
      <c r="N19" s="753">
        <f>N22+N25</f>
        <v>0</v>
      </c>
      <c r="O19" s="753">
        <f>IF(L19&gt;0,N19*100/L19,0)</f>
        <v>0</v>
      </c>
      <c r="P19" s="753">
        <f>IF(M19&gt;0,N19*100/M19,0)</f>
        <v>0</v>
      </c>
      <c r="Q19" s="753">
        <f>Q22+Q25</f>
        <v>0</v>
      </c>
      <c r="R19" s="753">
        <f>R22+R25</f>
        <v>0</v>
      </c>
      <c r="S19" s="753">
        <f>S22+S25</f>
        <v>0</v>
      </c>
      <c r="T19" s="753">
        <f>IF(Q19&gt;0,S19*100/Q19,0)</f>
        <v>0</v>
      </c>
      <c r="U19" s="753">
        <f>IF(R19&gt;0,S19*100/R19,0)</f>
        <v>0</v>
      </c>
    </row>
    <row r="20" spans="1:21" ht="18.75" hidden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752">
        <f ca="1">L23+L26</f>
        <v>1667545</v>
      </c>
      <c r="M20" s="751">
        <f ca="1">M23+M26</f>
        <v>1765819</v>
      </c>
      <c r="N20" s="751">
        <f ca="1">N23+N26</f>
        <v>1268396.96</v>
      </c>
      <c r="O20" s="751">
        <f ca="1">IF(L20&gt;0,N20*100/L20,0)</f>
        <v>76.063732013229028</v>
      </c>
      <c r="P20" s="751">
        <f ca="1">IF(M20&gt;0,N20*100/M20,0)</f>
        <v>71.830519436023735</v>
      </c>
      <c r="Q20" s="751">
        <f ca="1">Q23+Q26</f>
        <v>2112643.2400000002</v>
      </c>
      <c r="R20" s="751">
        <f ca="1">R23+R26</f>
        <v>2112643</v>
      </c>
      <c r="S20" s="751">
        <f ca="1">S23+S26</f>
        <v>228649.3</v>
      </c>
      <c r="T20" s="751">
        <f ca="1">IF(Q20&gt;0,S20*100/Q20,0)</f>
        <v>10.822901646186128</v>
      </c>
      <c r="U20" s="751">
        <f ca="1">IF(R20&gt;0,S20*100/R20,0)</f>
        <v>10.822902875686994</v>
      </c>
    </row>
    <row r="21" spans="1:21" ht="18.75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256">
        <f ca="1">L22+L23</f>
        <v>1667545</v>
      </c>
      <c r="M21" s="255">
        <f ca="1">M22+M23</f>
        <v>1765819</v>
      </c>
      <c r="N21" s="255">
        <f ca="1">N22+N23</f>
        <v>1268396.96</v>
      </c>
      <c r="O21" s="255">
        <f ca="1">IF(L21&gt;0,N21*100/L21,0)</f>
        <v>76.063732013229028</v>
      </c>
      <c r="P21" s="255">
        <f ca="1">IF(M21&gt;0,N21*100/M21,0)</f>
        <v>71.830519436023735</v>
      </c>
      <c r="Q21" s="255">
        <f ca="1">Q22+Q23</f>
        <v>2112643.2400000002</v>
      </c>
      <c r="R21" s="255">
        <f ca="1">R22+R23</f>
        <v>2112643</v>
      </c>
      <c r="S21" s="255">
        <f ca="1">S22+S23</f>
        <v>228649.3</v>
      </c>
      <c r="T21" s="255">
        <f ca="1">IF(Q21&gt;0,S21*100/Q21,0)</f>
        <v>10.822901646186128</v>
      </c>
      <c r="U21" s="255">
        <f ca="1">IF(R21&gt;0,S21*100/R21,0)</f>
        <v>10.822902875686994</v>
      </c>
    </row>
    <row r="22" spans="1:21" ht="18.75" hidden="1">
      <c r="A22" s="49"/>
      <c r="B22" s="50"/>
      <c r="C22" s="50"/>
      <c r="D22" s="50"/>
      <c r="E22" s="186" t="s">
        <v>20</v>
      </c>
      <c r="F22" s="50"/>
      <c r="G22" s="52"/>
      <c r="H22" s="729" t="s">
        <v>14</v>
      </c>
      <c r="I22" s="54"/>
      <c r="J22" s="54"/>
      <c r="K22" s="55"/>
      <c r="L22" s="103">
        <f>L48+L63+L76+L98+L129+L143+L161+L190+L177+L270+L286+L307+L324+L337+L360+L517</f>
        <v>0</v>
      </c>
      <c r="M22" s="102">
        <f>M48+M63+M76+M98+M129+M143+M161+M190+M177+M270+M286+M307+M324+M337+M360+M517</f>
        <v>0</v>
      </c>
      <c r="N22" s="102">
        <f>N48+N63+N76+N98+N129+N143+N161+N190+N177+N270+N286+N307+N324+N337+N360+N517</f>
        <v>0</v>
      </c>
      <c r="O22" s="102">
        <f>IF(L22&gt;0,N22*100/L22,0)</f>
        <v>0</v>
      </c>
      <c r="P22" s="102">
        <f>IF(M22&gt;0,N22*100/M22,0)</f>
        <v>0</v>
      </c>
      <c r="Q22" s="102">
        <f>Q76+Q98+Q121+Q143+Q161+Q177+Q190+Q270+Q286+Q307+Q337+Q379+Q396+Q417+Q497+Q603+Q620+Q646+Q694+Q718+Q732+Q764</f>
        <v>0</v>
      </c>
      <c r="R22" s="102">
        <f>R76+R98+R121+R143+R161+R177+R190+R270+R286+R307+R337+R379+R396+R417+R497+R603+R620+R646+R694+R718+R732+R764</f>
        <v>0</v>
      </c>
      <c r="S22" s="102">
        <f>S76+S98+S121+S143+S161+S177+S190+S270+S286+S307+S337+S379+S396+S417+S497+S603+S620+S646+S694+S718+S732+S764</f>
        <v>0</v>
      </c>
      <c r="T22" s="102">
        <f>IF(Q22&gt;0,S22*100/Q22,0)</f>
        <v>0</v>
      </c>
      <c r="U22" s="102">
        <f>IF(R22&gt;0,S22*100/R22,0)</f>
        <v>0</v>
      </c>
    </row>
    <row r="23" spans="1:21" ht="18.75" hidden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256">
        <f ca="1">L49+L64+L77+L99+L130+L144+L162+L191+L178+L271+L287+L308+L325+L338+L361+L518</f>
        <v>1667545</v>
      </c>
      <c r="M23" s="255">
        <f ca="1">M49+M64+M77+M99+M130+M144+M162+M191+M178+M271+M287+M308+M325+M338+M361+M518</f>
        <v>1765819</v>
      </c>
      <c r="N23" s="255">
        <f ca="1">N49+N64+N77+N99+N130+N144+N162+N191+N178+N271+N287+N308+N325+N338+N361+N518</f>
        <v>1268396.96</v>
      </c>
      <c r="O23" s="255">
        <f ca="1">IF(L23&gt;0,N23*100/L23,0)</f>
        <v>76.063732013229028</v>
      </c>
      <c r="P23" s="255">
        <f ca="1">IF(M23&gt;0,N23*100/M23,0)</f>
        <v>71.830519436023735</v>
      </c>
      <c r="Q23" s="255">
        <f ca="1">Q77+Q99+Q122+Q144+Q162+Q178+Q191+Q271+Q287+Q308+Q338+Q380+Q397+Q418+Q498+Q604+Q621+Q647+Q695+Q719+Q733+Q765</f>
        <v>2112643.2400000002</v>
      </c>
      <c r="R23" s="255">
        <f ca="1">R77+R99+R122+R144+R162+R178+R191+R271+R287+R308+R338+R380+R397+R418+R498+R604+R621+R647+R695+R719+R733+R765</f>
        <v>2112643</v>
      </c>
      <c r="S23" s="255">
        <f ca="1">S77+S99+S122+S144+S162+S178+S191+S271+S287+S308+S338+S380+S397+S418+S498+S604+S621+S647+S695+S719+S733+S765</f>
        <v>228649.3</v>
      </c>
      <c r="T23" s="255">
        <f ca="1">IF(Q23&gt;0,S23*100/Q23,0)</f>
        <v>10.822901646186128</v>
      </c>
      <c r="U23" s="255">
        <f ca="1">IF(R23&gt;0,S23*100/R23,0)</f>
        <v>10.822902875686994</v>
      </c>
    </row>
    <row r="24" spans="1:21" ht="18.75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256">
        <f ca="1">L25+L26</f>
        <v>0</v>
      </c>
      <c r="M24" s="255">
        <f ca="1">M25+M26</f>
        <v>0</v>
      </c>
      <c r="N24" s="255">
        <f ca="1">N25+N26</f>
        <v>0</v>
      </c>
      <c r="O24" s="255">
        <f ca="1">IF(L24&gt;0,N24*100/L24,0)</f>
        <v>0</v>
      </c>
      <c r="P24" s="255">
        <f ca="1">IF(M24&gt;0,N24*100/M24,0)</f>
        <v>0</v>
      </c>
      <c r="Q24" s="255">
        <f>Q25+Q26</f>
        <v>0</v>
      </c>
      <c r="R24" s="255">
        <f>R25+R26</f>
        <v>0</v>
      </c>
      <c r="S24" s="255">
        <f>S25+S26</f>
        <v>0</v>
      </c>
      <c r="T24" s="255">
        <f>IF(Q24&gt;0,S24*100/Q24,0)</f>
        <v>0</v>
      </c>
      <c r="U24" s="255">
        <f>IF(R24&gt;0,S24*100/R24,0)</f>
        <v>0</v>
      </c>
    </row>
    <row r="25" spans="1:21" ht="18.75" hidden="1">
      <c r="A25" s="49"/>
      <c r="B25" s="50"/>
      <c r="C25" s="50"/>
      <c r="D25" s="50"/>
      <c r="E25" s="186" t="s">
        <v>20</v>
      </c>
      <c r="F25" s="50"/>
      <c r="G25" s="52"/>
      <c r="H25" s="729" t="s">
        <v>14</v>
      </c>
      <c r="I25" s="54"/>
      <c r="J25" s="54"/>
      <c r="K25" s="55"/>
      <c r="L25" s="103">
        <f>L51+L66+L79+L101+L132+L146+L164+L193+L180+L273+L289+L310+L327+L340+L363+L520</f>
        <v>0</v>
      </c>
      <c r="M25" s="102">
        <f>M51+M66+M79+M101+M132+M146+M164+M193+M180+M273+M289+M310+M327+M340+M363+M520</f>
        <v>0</v>
      </c>
      <c r="N25" s="102">
        <f>N51+N66+N79+N101+N132+N146+N164+N193+N180+N273+N289+N310+N327+N340+N363+N520</f>
        <v>0</v>
      </c>
      <c r="O25" s="102">
        <f>IF(L25&gt;0,N25*100/L25,0)</f>
        <v>0</v>
      </c>
      <c r="P25" s="102">
        <f>IF(M25&gt;0,N25*100/M25,0)</f>
        <v>0</v>
      </c>
      <c r="Q25" s="102">
        <f>Q79+Q101+Q124+Q146+Q164+Q180+Q193+Q273+Q289+Q310+Q340+Q382+Q399+Q420+Q500+Q606+Q623+Q649+Q697+Q721+Q735+Q767</f>
        <v>0</v>
      </c>
      <c r="R25" s="102">
        <f>R79+R101+R124+R146+R164+R180+R193+R273+R289+R310+R340+R382+R399+R420+R500+R606+R623+R649+R697+R721+R735+R767</f>
        <v>0</v>
      </c>
      <c r="S25" s="102">
        <f>S79+S101+S124+S146+S164+S180+S193+S273+S289+S310+S340+S382+S399+S420+S500+S606+S623+S649+S697+S721+S735+S767</f>
        <v>0</v>
      </c>
      <c r="T25" s="102">
        <f>IF(Q25&gt;0,S25*100/Q25,0)</f>
        <v>0</v>
      </c>
      <c r="U25" s="102">
        <f>IF(R25&gt;0,S25*100/R25,0)</f>
        <v>0</v>
      </c>
    </row>
    <row r="26" spans="1:21" ht="18.75" hidden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256">
        <f ca="1">L52+L67+L80+L102+L133+L147+L165+L194+L181+L274+L290+L311+L328+L341+L364+L521</f>
        <v>0</v>
      </c>
      <c r="M26" s="255">
        <f ca="1">M52+M67+M80+M102+M133+M147+M165+M194+M181+M274+M290+M311+M328+M341+M364+M521</f>
        <v>0</v>
      </c>
      <c r="N26" s="255">
        <f ca="1">N52+N67+N80+N102+N133+N147+N165+N194+N181+N274+N290+N311+N328+N341+N364+N521</f>
        <v>0</v>
      </c>
      <c r="O26" s="255">
        <f ca="1">IF(L26&gt;0,N26*100/L26,0)</f>
        <v>0</v>
      </c>
      <c r="P26" s="255">
        <f ca="1">IF(M26&gt;0,N26*100/M26,0)</f>
        <v>0</v>
      </c>
      <c r="Q26" s="102">
        <f>Q80+Q102+Q125+Q147+Q165+Q181+Q194+Q274+Q290+Q311+Q341+Q383+Q400+Q421+Q501+Q607+Q624+Q650+Q698+Q722+Q736+Q768</f>
        <v>0</v>
      </c>
      <c r="R26" s="102">
        <f>R80+R102+R125+R147+R165+R181+R194+R274+R290+R311+R341+R383+R400+R421+R501+R607+R624+R650+R698+R722+R736+R768</f>
        <v>0</v>
      </c>
      <c r="S26" s="102">
        <f>S80+S102+S125+S147+S165+S181+S194+S274+S290+S311+S341+S383+S400+S421+S501+S607+S624+S650+S698+S722+S736+S768</f>
        <v>0</v>
      </c>
      <c r="T26" s="255">
        <f>IF(Q26&gt;0,S26*100/Q26,0)</f>
        <v>0</v>
      </c>
      <c r="U26" s="255">
        <f>IF(R26&gt;0,S26*100/R26,0)</f>
        <v>0</v>
      </c>
    </row>
    <row r="27" spans="1:21" ht="18.75">
      <c r="A27" s="49"/>
      <c r="B27" s="50"/>
      <c r="C27" s="50"/>
      <c r="D27" s="51" t="s">
        <v>24</v>
      </c>
      <c r="E27" s="50"/>
      <c r="F27" s="50"/>
      <c r="G27" s="52"/>
      <c r="H27" s="53" t="s">
        <v>14</v>
      </c>
      <c r="I27" s="54"/>
      <c r="J27" s="54"/>
      <c r="K27" s="55"/>
      <c r="L27" s="62"/>
      <c r="M27" s="55"/>
      <c r="N27" s="55"/>
      <c r="O27" s="55"/>
      <c r="P27" s="55"/>
      <c r="Q27" s="55"/>
      <c r="R27" s="55"/>
      <c r="S27" s="55"/>
      <c r="T27" s="55"/>
      <c r="U27" s="55"/>
    </row>
    <row r="28" spans="1:21" ht="18.75" hidden="1">
      <c r="A28" s="49"/>
      <c r="B28" s="50"/>
      <c r="C28" s="50"/>
      <c r="D28" s="50"/>
      <c r="E28" s="186" t="s">
        <v>20</v>
      </c>
      <c r="F28" s="50"/>
      <c r="G28" s="52"/>
      <c r="H28" s="729" t="s">
        <v>14</v>
      </c>
      <c r="I28" s="54"/>
      <c r="J28" s="54"/>
      <c r="K28" s="55"/>
      <c r="L28" s="62"/>
      <c r="M28" s="55"/>
      <c r="N28" s="55"/>
      <c r="O28" s="55"/>
      <c r="P28" s="55"/>
      <c r="Q28" s="55"/>
      <c r="R28" s="55"/>
      <c r="S28" s="55"/>
      <c r="T28" s="55"/>
      <c r="U28" s="55"/>
    </row>
    <row r="29" spans="1:21" ht="18.75" hidden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8"/>
      <c r="M29" s="6"/>
      <c r="N29" s="6"/>
      <c r="O29" s="6"/>
      <c r="P29" s="6"/>
      <c r="Q29" s="6"/>
      <c r="R29" s="6"/>
      <c r="S29" s="6"/>
      <c r="T29" s="6"/>
      <c r="U29" s="6"/>
    </row>
    <row r="30" spans="1:21" ht="12.75" hidden="1">
      <c r="A30" s="750"/>
      <c r="B30" s="514"/>
      <c r="C30" s="514"/>
      <c r="D30" s="514"/>
      <c r="E30" s="514"/>
      <c r="F30" s="514"/>
      <c r="G30" s="512"/>
      <c r="H30" s="17"/>
      <c r="I30" s="18"/>
      <c r="J30" s="18"/>
      <c r="K30" s="19"/>
      <c r="L30" s="28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 hidden="1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6"/>
      <c r="M31" s="25"/>
      <c r="N31" s="25"/>
      <c r="O31" s="25"/>
      <c r="P31" s="25"/>
      <c r="Q31" s="25"/>
      <c r="R31" s="25"/>
      <c r="S31" s="25"/>
      <c r="T31" s="25"/>
      <c r="U31" s="25"/>
    </row>
    <row r="32" spans="1:21" ht="12.75" hidden="1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6"/>
      <c r="M32" s="25"/>
      <c r="N32" s="25"/>
      <c r="O32" s="25"/>
      <c r="P32" s="25"/>
      <c r="Q32" s="25"/>
      <c r="R32" s="25"/>
      <c r="S32" s="25"/>
      <c r="T32" s="25"/>
      <c r="U32" s="25"/>
    </row>
    <row r="33" spans="1:21" ht="12.75" hidden="1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6"/>
      <c r="M33" s="25"/>
      <c r="N33" s="25"/>
      <c r="O33" s="25"/>
      <c r="P33" s="25"/>
      <c r="Q33" s="25"/>
      <c r="R33" s="25"/>
      <c r="S33" s="25"/>
      <c r="T33" s="25"/>
      <c r="U33" s="25"/>
    </row>
    <row r="34" spans="1:21" ht="12.75" hidden="1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6"/>
      <c r="M34" s="25"/>
      <c r="N34" s="25"/>
      <c r="O34" s="25"/>
      <c r="P34" s="25"/>
      <c r="Q34" s="25"/>
      <c r="R34" s="25"/>
      <c r="S34" s="25"/>
      <c r="T34" s="25"/>
      <c r="U34" s="25"/>
    </row>
    <row r="35" spans="1:21" ht="12.75" hidden="1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6"/>
      <c r="M35" s="25"/>
      <c r="N35" s="25"/>
      <c r="O35" s="25"/>
      <c r="P35" s="25"/>
      <c r="Q35" s="25"/>
      <c r="R35" s="25"/>
      <c r="S35" s="25"/>
      <c r="T35" s="25"/>
      <c r="U35" s="25"/>
    </row>
    <row r="36" spans="1:21" ht="12.75" hidden="1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6"/>
      <c r="M36" s="25"/>
      <c r="N36" s="25"/>
      <c r="O36" s="25"/>
      <c r="P36" s="25"/>
      <c r="Q36" s="25"/>
      <c r="R36" s="25"/>
      <c r="S36" s="25"/>
      <c r="T36" s="25"/>
      <c r="U36" s="25"/>
    </row>
    <row r="37" spans="1:21" ht="12.75" hidden="1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6"/>
      <c r="M37" s="25"/>
      <c r="N37" s="25"/>
      <c r="O37" s="25"/>
      <c r="P37" s="25"/>
      <c r="Q37" s="25"/>
      <c r="R37" s="25"/>
      <c r="S37" s="25"/>
      <c r="T37" s="25"/>
      <c r="U37" s="25"/>
    </row>
    <row r="38" spans="1:21" ht="12.75" hidden="1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6"/>
      <c r="M38" s="25"/>
      <c r="N38" s="25"/>
      <c r="O38" s="25"/>
      <c r="P38" s="25"/>
      <c r="Q38" s="25"/>
      <c r="R38" s="25"/>
      <c r="S38" s="25"/>
      <c r="T38" s="25"/>
      <c r="U38" s="25"/>
    </row>
    <row r="39" spans="1:21" ht="12.75" hidden="1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28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9.5" hidden="1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749">
        <f ca="1">L44+L59+L72+L94+L125+L139+L157+L173+L186+L266+L282+L303+L320+L333+L356</f>
        <v>1667545</v>
      </c>
      <c r="M40" s="748">
        <f ca="1">M44+M59+M72+M94+M125+M139+M157+M173+M186+M266+M282+M303+M320+M333+M356</f>
        <v>1765819</v>
      </c>
      <c r="N40" s="748">
        <f ca="1">N44+N59+N72+N94+N125+N139+N157+N173+N186+N266+N282+N303+N320+N333+N356</f>
        <v>1268396.96</v>
      </c>
      <c r="O40" s="748">
        <f ca="1">IF(L40&gt;0,N40*100/L40,0)</f>
        <v>76.063732013229028</v>
      </c>
      <c r="P40" s="748">
        <f ca="1">IF(M40&gt;0,N40*100/M40,0)</f>
        <v>71.830519436023735</v>
      </c>
      <c r="Q40" s="73"/>
      <c r="R40" s="73"/>
      <c r="S40" s="73"/>
      <c r="T40" s="73"/>
      <c r="U40" s="73"/>
    </row>
    <row r="41" spans="1:21" ht="19.5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78"/>
      <c r="R41" s="78"/>
      <c r="S41" s="78"/>
      <c r="T41" s="78"/>
      <c r="U41" s="79"/>
    </row>
    <row r="42" spans="1:21" ht="19.5">
      <c r="A42" s="80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5"/>
      <c r="M42" s="84"/>
      <c r="N42" s="84"/>
      <c r="O42" s="84"/>
      <c r="P42" s="84"/>
      <c r="Q42" s="84"/>
      <c r="R42" s="84"/>
      <c r="S42" s="84"/>
      <c r="T42" s="84"/>
      <c r="U42" s="84"/>
    </row>
    <row r="43" spans="1:21" ht="12.75" hidden="1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6"/>
      <c r="M43" s="25"/>
      <c r="N43" s="25"/>
      <c r="O43" s="25"/>
      <c r="P43" s="25"/>
      <c r="Q43" s="25"/>
      <c r="R43" s="25"/>
      <c r="S43" s="25"/>
      <c r="T43" s="25"/>
      <c r="U43" s="25"/>
    </row>
    <row r="44" spans="1:21" ht="19.5">
      <c r="A44" s="86"/>
      <c r="B44" s="87"/>
      <c r="C44" s="88" t="s">
        <v>18</v>
      </c>
      <c r="D44" s="747" t="s">
        <v>19</v>
      </c>
      <c r="E44" s="87"/>
      <c r="F44" s="87"/>
      <c r="G44" s="90"/>
      <c r="H44" s="91" t="s">
        <v>14</v>
      </c>
      <c r="I44" s="92"/>
      <c r="J44" s="92"/>
      <c r="K44" s="93"/>
      <c r="L44" s="746">
        <f ca="1">L45+L46</f>
        <v>291300</v>
      </c>
      <c r="M44" s="745">
        <f ca="1">M45+M46</f>
        <v>378464</v>
      </c>
      <c r="N44" s="745">
        <f ca="1">N45+N46</f>
        <v>284843</v>
      </c>
      <c r="O44" s="745">
        <f ca="1">IF(L44&gt;0,N44*100/L44,0)</f>
        <v>97.783384826639207</v>
      </c>
      <c r="P44" s="745">
        <f ca="1">IF(M44&gt;0,N44*100/M44,0)</f>
        <v>75.262904794115158</v>
      </c>
      <c r="Q44" s="745">
        <f>Q45+Q46</f>
        <v>0</v>
      </c>
      <c r="R44" s="745">
        <f>R45+R46</f>
        <v>0</v>
      </c>
      <c r="S44" s="745">
        <f>S45+S46</f>
        <v>0</v>
      </c>
      <c r="T44" s="745">
        <f>IF(Q44&gt;0,S44*100/Q44,0)</f>
        <v>0</v>
      </c>
      <c r="U44" s="745">
        <f>IF(R44&gt;0,S44*100/R44,0)</f>
        <v>0</v>
      </c>
    </row>
    <row r="45" spans="1:21" ht="18.75" hidden="1">
      <c r="A45" s="86"/>
      <c r="B45" s="87"/>
      <c r="C45" s="87"/>
      <c r="D45" s="87"/>
      <c r="E45" s="744" t="s">
        <v>20</v>
      </c>
      <c r="F45" s="87"/>
      <c r="G45" s="90"/>
      <c r="H45" s="743" t="s">
        <v>14</v>
      </c>
      <c r="I45" s="92"/>
      <c r="J45" s="92"/>
      <c r="K45" s="93"/>
      <c r="L45" s="742">
        <f>L48+L51</f>
        <v>0</v>
      </c>
      <c r="M45" s="741">
        <f>M48+M51</f>
        <v>0</v>
      </c>
      <c r="N45" s="741">
        <f>N48+N51</f>
        <v>0</v>
      </c>
      <c r="O45" s="741">
        <f>IF(L45&gt;0,N45*100/L45,0)</f>
        <v>0</v>
      </c>
      <c r="P45" s="741">
        <f>IF(M45&gt;0,N45*100/M45,0)</f>
        <v>0</v>
      </c>
      <c r="Q45" s="741">
        <f>Q48+Q51</f>
        <v>0</v>
      </c>
      <c r="R45" s="741">
        <f>R48+R51</f>
        <v>0</v>
      </c>
      <c r="S45" s="741">
        <f>S48+S51</f>
        <v>0</v>
      </c>
      <c r="T45" s="741">
        <f>IF(Q45&gt;0,S45*100/Q45,0)</f>
        <v>0</v>
      </c>
      <c r="U45" s="741">
        <f>IF(R45&gt;0,S45*100/R45,0)</f>
        <v>0</v>
      </c>
    </row>
    <row r="46" spans="1:21" ht="18.75" hidden="1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740">
        <f ca="1">L49+L52</f>
        <v>291300</v>
      </c>
      <c r="M46" s="739">
        <f ca="1">M49+M52</f>
        <v>378464</v>
      </c>
      <c r="N46" s="739">
        <f ca="1">N49+N52</f>
        <v>284843</v>
      </c>
      <c r="O46" s="739">
        <f ca="1">IF(L46&gt;0,N46*100/L46,0)</f>
        <v>97.783384826639207</v>
      </c>
      <c r="P46" s="739">
        <f ca="1">IF(M46&gt;0,N46*100/M46,0)</f>
        <v>75.262904794115158</v>
      </c>
      <c r="Q46" s="739">
        <f>Q49+Q52</f>
        <v>0</v>
      </c>
      <c r="R46" s="739">
        <f>R49+R52</f>
        <v>0</v>
      </c>
      <c r="S46" s="739">
        <f>S49+S52</f>
        <v>0</v>
      </c>
      <c r="T46" s="739">
        <f>IF(Q46&gt;0,S46*100/Q46,0)</f>
        <v>0</v>
      </c>
      <c r="U46" s="739">
        <f>IF(R46&gt;0,S46*100/R46,0)</f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256">
        <f ca="1">L48+L49</f>
        <v>291300</v>
      </c>
      <c r="M47" s="255">
        <f ca="1">M48+M49</f>
        <v>378464</v>
      </c>
      <c r="N47" s="255">
        <f ca="1">N48+N49</f>
        <v>284843</v>
      </c>
      <c r="O47" s="255">
        <f ca="1">IF(L47&gt;0,N47*100/L47,0)</f>
        <v>97.783384826639207</v>
      </c>
      <c r="P47" s="255">
        <f ca="1">IF(M47&gt;0,N47*100/M47,0)</f>
        <v>75.262904794115158</v>
      </c>
      <c r="Q47" s="255">
        <f>Q48+Q49</f>
        <v>0</v>
      </c>
      <c r="R47" s="255">
        <f>R48+R49</f>
        <v>0</v>
      </c>
      <c r="S47" s="255">
        <f>S48+S49</f>
        <v>0</v>
      </c>
      <c r="T47" s="255">
        <f>IF(Q47&gt;0,S47*100/Q47,0)</f>
        <v>0</v>
      </c>
      <c r="U47" s="255">
        <f>IF(R47&gt;0,S47*100/R47,0)</f>
        <v>0</v>
      </c>
    </row>
    <row r="48" spans="1:21" ht="18.75" hidden="1">
      <c r="A48" s="49"/>
      <c r="B48" s="50"/>
      <c r="C48" s="50"/>
      <c r="D48" s="50"/>
      <c r="E48" s="186" t="s">
        <v>20</v>
      </c>
      <c r="F48" s="50"/>
      <c r="G48" s="52"/>
      <c r="H48" s="729" t="s">
        <v>14</v>
      </c>
      <c r="I48" s="54"/>
      <c r="J48" s="54"/>
      <c r="K48" s="55"/>
      <c r="L48" s="103">
        <v>0</v>
      </c>
      <c r="M48" s="102">
        <v>0</v>
      </c>
      <c r="N48" s="102">
        <v>0</v>
      </c>
      <c r="O48" s="102">
        <f>IF(L48&gt;0,N48*100/L48,0)</f>
        <v>0</v>
      </c>
      <c r="P48" s="102">
        <f>IF(M48&gt;0,N48*100/M48,0)</f>
        <v>0</v>
      </c>
      <c r="Q48" s="102">
        <v>0</v>
      </c>
      <c r="R48" s="102">
        <v>0</v>
      </c>
      <c r="S48" s="102">
        <v>0</v>
      </c>
      <c r="T48" s="102">
        <f>IF(Q48&gt;0,S48*100/Q48,0)</f>
        <v>0</v>
      </c>
      <c r="U48" s="102">
        <f>IF(R48&gt;0,S48*100/R48,0)</f>
        <v>0</v>
      </c>
    </row>
    <row r="49" spans="1:21" ht="18.75" hidden="1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256">
        <f ca="1">IFERROR(__xludf.DUMMYFUNCTION("IMPORTRANGE(""https://docs.google.com/spreadsheets/d/1-uDff_7J0KD5mKrp0Vvzr7lt3OU09vwQwhkpOPPYv2Y/edit?usp=sharing"",""งบพรบ!P35"")"),291300)</f>
        <v>291300</v>
      </c>
      <c r="M49" s="255">
        <f ca="1">IFERROR(__xludf.DUMMYFUNCTION("IMPORTRANGE(""https://docs.google.com/spreadsheets/d/1-uDff_7J0KD5mKrp0Vvzr7lt3OU09vwQwhkpOPPYv2Y/edit?usp=sharing"",""งบพรบ!V35"")"),378464)</f>
        <v>378464</v>
      </c>
      <c r="N49" s="255">
        <f ca="1">IFERROR(__xludf.DUMMYFUNCTION("IMPORTRANGE(""https://docs.google.com/spreadsheets/d/1-uDff_7J0KD5mKrp0Vvzr7lt3OU09vwQwhkpOPPYv2Y/edit?usp=sharing"",""งบพรบ!Y35"")"),284843)</f>
        <v>284843</v>
      </c>
      <c r="O49" s="255">
        <f ca="1">IF(L49&gt;0,N49*100/L49,0)</f>
        <v>97.783384826639207</v>
      </c>
      <c r="P49" s="255">
        <f ca="1">IF(M49&gt;0,N49*100/M49,0)</f>
        <v>75.262904794115158</v>
      </c>
      <c r="Q49" s="255">
        <v>0</v>
      </c>
      <c r="R49" s="255">
        <v>0</v>
      </c>
      <c r="S49" s="255">
        <v>0</v>
      </c>
      <c r="T49" s="255">
        <f>IF(Q49&gt;0,S49*100/Q49,0)</f>
        <v>0</v>
      </c>
      <c r="U49" s="255">
        <f>IF(R49&gt;0,S49*100/R49,0)</f>
        <v>0</v>
      </c>
    </row>
    <row r="50" spans="1:21" ht="18.75">
      <c r="A50" s="49"/>
      <c r="B50" s="50"/>
      <c r="C50" s="50"/>
      <c r="D50" s="51" t="s">
        <v>23</v>
      </c>
      <c r="E50" s="50"/>
      <c r="F50" s="50"/>
      <c r="G50" s="52"/>
      <c r="H50" s="53" t="s">
        <v>14</v>
      </c>
      <c r="I50" s="54"/>
      <c r="J50" s="54"/>
      <c r="K50" s="55"/>
      <c r="L50" s="256">
        <f ca="1">L51+L52</f>
        <v>0</v>
      </c>
      <c r="M50" s="255">
        <f ca="1">M51+M52</f>
        <v>0</v>
      </c>
      <c r="N50" s="255">
        <f ca="1">N51+N52</f>
        <v>0</v>
      </c>
      <c r="O50" s="255">
        <f ca="1">IF(L50&gt;0,N50*100/L50,0)</f>
        <v>0</v>
      </c>
      <c r="P50" s="255">
        <f ca="1">IF(M50&gt;0,N50*100/M50,0)</f>
        <v>0</v>
      </c>
      <c r="Q50" s="255">
        <f>Q51+Q52</f>
        <v>0</v>
      </c>
      <c r="R50" s="255">
        <f>R51+R52</f>
        <v>0</v>
      </c>
      <c r="S50" s="255">
        <f>S51+S52</f>
        <v>0</v>
      </c>
      <c r="T50" s="255">
        <f>IF(Q50&gt;0,S50*100/Q50,0)</f>
        <v>0</v>
      </c>
      <c r="U50" s="255">
        <f>IF(R50&gt;0,S50*100/R50,0)</f>
        <v>0</v>
      </c>
    </row>
    <row r="51" spans="1:21" ht="18.75" hidden="1">
      <c r="A51" s="49"/>
      <c r="B51" s="50"/>
      <c r="C51" s="50"/>
      <c r="D51" s="50"/>
      <c r="E51" s="186" t="s">
        <v>20</v>
      </c>
      <c r="F51" s="50"/>
      <c r="G51" s="52"/>
      <c r="H51" s="729" t="s">
        <v>14</v>
      </c>
      <c r="I51" s="54"/>
      <c r="J51" s="54"/>
      <c r="K51" s="55"/>
      <c r="L51" s="103">
        <v>0</v>
      </c>
      <c r="M51" s="102">
        <v>0</v>
      </c>
      <c r="N51" s="102">
        <v>0</v>
      </c>
      <c r="O51" s="102">
        <f>IF(L51&gt;0,N51*100/L51,0)</f>
        <v>0</v>
      </c>
      <c r="P51" s="102">
        <f>IF(M51&gt;0,N51*100/M51,0)</f>
        <v>0</v>
      </c>
      <c r="Q51" s="102">
        <v>0</v>
      </c>
      <c r="R51" s="102">
        <v>0</v>
      </c>
      <c r="S51" s="102">
        <v>0</v>
      </c>
      <c r="T51" s="102">
        <f>IF(Q51&gt;0,S51*100/Q51,0)</f>
        <v>0</v>
      </c>
      <c r="U51" s="102">
        <f>IF(R51&gt;0,S51*100/R51,0)</f>
        <v>0</v>
      </c>
    </row>
    <row r="52" spans="1:21" ht="18.75" hidden="1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256">
        <f ca="1">IFERROR(__xludf.DUMMYFUNCTION("IMPORTRANGE(""https://docs.google.com/spreadsheets/d/1-uDff_7J0KD5mKrp0Vvzr7lt3OU09vwQwhkpOPPYv2Y/edit?usp=sharing"",""งบพรบ!S35"")"),0)</f>
        <v>0</v>
      </c>
      <c r="M52" s="255">
        <f ca="1">IFERROR(__xludf.DUMMYFUNCTION("IMPORTRANGE(""https://docs.google.com/spreadsheets/d/1-uDff_7J0KD5mKrp0Vvzr7lt3OU09vwQwhkpOPPYv2Y/edit?usp=sharing"",""งบพรบ!W35"")"),0)</f>
        <v>0</v>
      </c>
      <c r="N52" s="255">
        <f ca="1">IFERROR(__xludf.DUMMYFUNCTION("IMPORTRANGE(""https://docs.google.com/spreadsheets/d/1-uDff_7J0KD5mKrp0Vvzr7lt3OU09vwQwhkpOPPYv2Y/edit?usp=sharing"",""งบพรบ!Z35"")"),0)</f>
        <v>0</v>
      </c>
      <c r="O52" s="255">
        <f ca="1">IF(L52&gt;0,N52*100/L52,0)</f>
        <v>0</v>
      </c>
      <c r="P52" s="255">
        <f ca="1">IF(M52&gt;0,N52*100/M52,0)</f>
        <v>0</v>
      </c>
      <c r="Q52" s="255">
        <v>0</v>
      </c>
      <c r="R52" s="255">
        <v>0</v>
      </c>
      <c r="S52" s="255">
        <v>0</v>
      </c>
      <c r="T52" s="255">
        <f>IF(Q52&gt;0,S52*100/Q52,0)</f>
        <v>0</v>
      </c>
      <c r="U52" s="255">
        <f>IF(R52&gt;0,S52*100/R52,0)</f>
        <v>0</v>
      </c>
    </row>
    <row r="53" spans="1:21" ht="18.75">
      <c r="A53" s="49"/>
      <c r="B53" s="50"/>
      <c r="C53" s="50"/>
      <c r="D53" s="51" t="s">
        <v>24</v>
      </c>
      <c r="E53" s="50"/>
      <c r="F53" s="50"/>
      <c r="G53" s="52"/>
      <c r="H53" s="53" t="s">
        <v>14</v>
      </c>
      <c r="I53" s="54"/>
      <c r="J53" s="54"/>
      <c r="K53" s="55"/>
      <c r="L53" s="62"/>
      <c r="M53" s="55"/>
      <c r="N53" s="55"/>
      <c r="O53" s="55"/>
      <c r="P53" s="55"/>
      <c r="Q53" s="55"/>
      <c r="R53" s="55"/>
      <c r="S53" s="55"/>
      <c r="T53" s="55"/>
      <c r="U53" s="55"/>
    </row>
    <row r="54" spans="1:21" ht="18.75" hidden="1">
      <c r="A54" s="49"/>
      <c r="B54" s="50"/>
      <c r="C54" s="50"/>
      <c r="D54" s="50"/>
      <c r="E54" s="186" t="s">
        <v>20</v>
      </c>
      <c r="F54" s="50"/>
      <c r="G54" s="52"/>
      <c r="H54" s="729" t="s">
        <v>14</v>
      </c>
      <c r="I54" s="54"/>
      <c r="J54" s="54"/>
      <c r="K54" s="55"/>
      <c r="L54" s="62"/>
      <c r="M54" s="55"/>
      <c r="N54" s="55"/>
      <c r="O54" s="55"/>
      <c r="P54" s="55"/>
      <c r="Q54" s="55"/>
      <c r="R54" s="55"/>
      <c r="S54" s="55"/>
      <c r="T54" s="55"/>
      <c r="U54" s="55"/>
    </row>
    <row r="55" spans="1:21" ht="18.75" hidden="1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8"/>
      <c r="M55" s="6"/>
      <c r="N55" s="6"/>
      <c r="O55" s="6"/>
      <c r="P55" s="6"/>
      <c r="Q55" s="6"/>
      <c r="R55" s="6"/>
      <c r="S55" s="6"/>
      <c r="T55" s="6"/>
      <c r="U55" s="6"/>
    </row>
    <row r="56" spans="1:21" ht="19.5">
      <c r="A56" s="533" t="s">
        <v>28</v>
      </c>
      <c r="B56" s="514"/>
      <c r="C56" s="514"/>
      <c r="D56" s="514"/>
      <c r="E56" s="514"/>
      <c r="F56" s="514"/>
      <c r="G56" s="512"/>
      <c r="H56" s="104"/>
      <c r="I56" s="105"/>
      <c r="J56" s="105"/>
      <c r="K56" s="106"/>
      <c r="L56" s="106"/>
      <c r="M56" s="106"/>
      <c r="N56" s="106"/>
      <c r="O56" s="106"/>
      <c r="P56" s="107"/>
      <c r="Q56" s="106"/>
      <c r="R56" s="106"/>
      <c r="S56" s="106"/>
      <c r="T56" s="106"/>
      <c r="U56" s="107"/>
    </row>
    <row r="57" spans="1:21" ht="19.5">
      <c r="A57" s="108"/>
      <c r="B57" s="534" t="s">
        <v>29</v>
      </c>
      <c r="C57" s="529"/>
      <c r="D57" s="529"/>
      <c r="E57" s="529"/>
      <c r="F57" s="529"/>
      <c r="G57" s="530"/>
      <c r="H57" s="109"/>
      <c r="I57" s="110"/>
      <c r="J57" s="110"/>
      <c r="K57" s="111"/>
      <c r="L57" s="112"/>
      <c r="M57" s="111"/>
      <c r="N57" s="111"/>
      <c r="O57" s="111"/>
      <c r="P57" s="111"/>
      <c r="Q57" s="111"/>
      <c r="R57" s="111"/>
      <c r="S57" s="111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9"/>
      <c r="M58" s="118"/>
      <c r="N58" s="118"/>
      <c r="O58" s="118"/>
      <c r="P58" s="118"/>
      <c r="Q58" s="118"/>
      <c r="R58" s="118"/>
      <c r="S58" s="118"/>
      <c r="T58" s="118"/>
      <c r="U58" s="118"/>
    </row>
    <row r="59" spans="1:21" ht="19.5">
      <c r="A59" s="120"/>
      <c r="B59" s="121"/>
      <c r="C59" s="122" t="s">
        <v>18</v>
      </c>
      <c r="D59" s="738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737">
        <f ca="1">L60+L61</f>
        <v>431100</v>
      </c>
      <c r="M59" s="736">
        <f ca="1">M60+M61</f>
        <v>431100</v>
      </c>
      <c r="N59" s="736">
        <f ca="1">N60+N61</f>
        <v>363199.1</v>
      </c>
      <c r="O59" s="736">
        <f ca="1">IF(L59&gt;0,N59*100/L59,0)</f>
        <v>84.249385293435395</v>
      </c>
      <c r="P59" s="736">
        <f ca="1">IF(M59&gt;0,N59*100/M59,0)</f>
        <v>84.249385293435395</v>
      </c>
      <c r="Q59" s="736">
        <f>Q60+Q61</f>
        <v>0</v>
      </c>
      <c r="R59" s="736">
        <f>R60+R61</f>
        <v>0</v>
      </c>
      <c r="S59" s="736">
        <f>S60+S61</f>
        <v>0</v>
      </c>
      <c r="T59" s="736">
        <f>IF(Q59&gt;0,S59*100/Q59,0)</f>
        <v>0</v>
      </c>
      <c r="U59" s="736">
        <f>IF(R59&gt;0,S59*100/R59,0)</f>
        <v>0</v>
      </c>
    </row>
    <row r="60" spans="1:21" ht="18.75" hidden="1">
      <c r="A60" s="120"/>
      <c r="B60" s="121"/>
      <c r="C60" s="121"/>
      <c r="D60" s="121"/>
      <c r="E60" s="735" t="s">
        <v>20</v>
      </c>
      <c r="F60" s="121"/>
      <c r="G60" s="124"/>
      <c r="H60" s="734" t="s">
        <v>14</v>
      </c>
      <c r="I60" s="126"/>
      <c r="J60" s="126"/>
      <c r="K60" s="127"/>
      <c r="L60" s="733">
        <f>L63+L66</f>
        <v>0</v>
      </c>
      <c r="M60" s="732">
        <f>M63+M66</f>
        <v>0</v>
      </c>
      <c r="N60" s="732">
        <f>N63+N66</f>
        <v>0</v>
      </c>
      <c r="O60" s="732">
        <f>IF(L60&gt;0,N60*100/L60,0)</f>
        <v>0</v>
      </c>
      <c r="P60" s="732">
        <f>IF(M60&gt;0,N60*100/M60,0)</f>
        <v>0</v>
      </c>
      <c r="Q60" s="732">
        <f>Q63+Q66</f>
        <v>0</v>
      </c>
      <c r="R60" s="732">
        <f>R63+R66</f>
        <v>0</v>
      </c>
      <c r="S60" s="732">
        <f>S63+S66</f>
        <v>0</v>
      </c>
      <c r="T60" s="732">
        <f>IF(Q60&gt;0,S60*100/Q60,0)</f>
        <v>0</v>
      </c>
      <c r="U60" s="732">
        <f>IF(R60&gt;0,S60*100/R60,0)</f>
        <v>0</v>
      </c>
    </row>
    <row r="61" spans="1:21" ht="18.75" hidden="1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731">
        <f ca="1">L64+L67</f>
        <v>431100</v>
      </c>
      <c r="M61" s="730">
        <f ca="1">M64+M67</f>
        <v>431100</v>
      </c>
      <c r="N61" s="730">
        <f ca="1">N64+N67</f>
        <v>363199.1</v>
      </c>
      <c r="O61" s="730">
        <f ca="1">IF(L61&gt;0,N61*100/L61,0)</f>
        <v>84.249385293435395</v>
      </c>
      <c r="P61" s="730">
        <f ca="1">IF(M61&gt;0,N61*100/M61,0)</f>
        <v>84.249385293435395</v>
      </c>
      <c r="Q61" s="730">
        <f>Q64+Q67</f>
        <v>0</v>
      </c>
      <c r="R61" s="730">
        <f>R64+R67</f>
        <v>0</v>
      </c>
      <c r="S61" s="730">
        <f>S64+S67</f>
        <v>0</v>
      </c>
      <c r="T61" s="730">
        <f>IF(Q61&gt;0,S61*100/Q61,0)</f>
        <v>0</v>
      </c>
      <c r="U61" s="730">
        <f>IF(R61&gt;0,S61*100/R61,0)</f>
        <v>0</v>
      </c>
    </row>
    <row r="62" spans="1:21" ht="18.75">
      <c r="A62" s="49"/>
      <c r="B62" s="50"/>
      <c r="C62" s="50"/>
      <c r="D62" s="51" t="s">
        <v>22</v>
      </c>
      <c r="E62" s="50"/>
      <c r="F62" s="50"/>
      <c r="G62" s="52"/>
      <c r="H62" s="53" t="s">
        <v>14</v>
      </c>
      <c r="I62" s="54"/>
      <c r="J62" s="54"/>
      <c r="K62" s="55"/>
      <c r="L62" s="256">
        <f ca="1">L63+L64</f>
        <v>431100</v>
      </c>
      <c r="M62" s="255">
        <f ca="1">M63+M64</f>
        <v>431100</v>
      </c>
      <c r="N62" s="255">
        <f ca="1">N63+N64</f>
        <v>363199.1</v>
      </c>
      <c r="O62" s="255">
        <f ca="1">IF(L62&gt;0,N62*100/L62,0)</f>
        <v>84.249385293435395</v>
      </c>
      <c r="P62" s="255">
        <f ca="1">IF(M62&gt;0,N62*100/M62,0)</f>
        <v>84.249385293435395</v>
      </c>
      <c r="Q62" s="255">
        <f>Q63+Q64</f>
        <v>0</v>
      </c>
      <c r="R62" s="255">
        <f>R63+R64</f>
        <v>0</v>
      </c>
      <c r="S62" s="255">
        <f>S63+S64</f>
        <v>0</v>
      </c>
      <c r="T62" s="255">
        <f>IF(Q62&gt;0,S62*100/Q62,0)</f>
        <v>0</v>
      </c>
      <c r="U62" s="255">
        <f>IF(R62&gt;0,S62*100/R62,0)</f>
        <v>0</v>
      </c>
    </row>
    <row r="63" spans="1:21" ht="18.75" hidden="1">
      <c r="A63" s="49"/>
      <c r="B63" s="50"/>
      <c r="C63" s="50"/>
      <c r="D63" s="50"/>
      <c r="E63" s="186" t="s">
        <v>20</v>
      </c>
      <c r="F63" s="50"/>
      <c r="G63" s="52"/>
      <c r="H63" s="729" t="s">
        <v>14</v>
      </c>
      <c r="I63" s="54"/>
      <c r="J63" s="54"/>
      <c r="K63" s="55"/>
      <c r="L63" s="103">
        <v>0</v>
      </c>
      <c r="M63" s="102">
        <v>0</v>
      </c>
      <c r="N63" s="102">
        <v>0</v>
      </c>
      <c r="O63" s="102">
        <f>IF(L63&gt;0,N63*100/L63,0)</f>
        <v>0</v>
      </c>
      <c r="P63" s="102">
        <f>IF(M63&gt;0,N63*100/M63,0)</f>
        <v>0</v>
      </c>
      <c r="Q63" s="102">
        <v>0</v>
      </c>
      <c r="R63" s="102">
        <v>0</v>
      </c>
      <c r="S63" s="102">
        <v>0</v>
      </c>
      <c r="T63" s="102">
        <f>IF(Q63&gt;0,S63*100/Q63,0)</f>
        <v>0</v>
      </c>
      <c r="U63" s="102">
        <f>IF(R63&gt;0,S63*100/R63,0)</f>
        <v>0</v>
      </c>
    </row>
    <row r="64" spans="1:21" ht="18.75" hidden="1">
      <c r="A64" s="49"/>
      <c r="B64" s="50"/>
      <c r="C64" s="50"/>
      <c r="D64" s="50"/>
      <c r="E64" s="58" t="s">
        <v>21</v>
      </c>
      <c r="F64" s="50"/>
      <c r="G64" s="52"/>
      <c r="H64" s="53" t="s">
        <v>14</v>
      </c>
      <c r="I64" s="54"/>
      <c r="J64" s="54"/>
      <c r="K64" s="55"/>
      <c r="L64" s="256">
        <f ca="1">IFERROR(__xludf.DUMMYFUNCTION("IMPORTRANGE(""https://docs.google.com/spreadsheets/d/1-uDff_7J0KD5mKrp0Vvzr7lt3OU09vwQwhkpOPPYv2Y/edit?usp=sharing"",""งบพรบ!AC35"")"),431100)</f>
        <v>431100</v>
      </c>
      <c r="M64" s="255">
        <f ca="1">IFERROR(__xludf.DUMMYFUNCTION("IMPORTRANGE(""https://docs.google.com/spreadsheets/d/1-uDff_7J0KD5mKrp0Vvzr7lt3OU09vwQwhkpOPPYv2Y/edit?usp=sharing"",""งบพรบ!AH35"")"),431100)</f>
        <v>431100</v>
      </c>
      <c r="N64" s="255">
        <f ca="1">IFERROR(__xludf.DUMMYFUNCTION("IMPORTRANGE(""https://docs.google.com/spreadsheets/d/1-uDff_7J0KD5mKrp0Vvzr7lt3OU09vwQwhkpOPPYv2Y/edit?usp=sharing"",""งบพรบ!AJ35"")"),363199.1)</f>
        <v>363199.1</v>
      </c>
      <c r="O64" s="255">
        <f ca="1">IF(L64&gt;0,N64*100/L64,0)</f>
        <v>84.249385293435395</v>
      </c>
      <c r="P64" s="255">
        <f ca="1">IF(M64&gt;0,N64*100/M64,0)</f>
        <v>84.249385293435395</v>
      </c>
      <c r="Q64" s="255">
        <v>0</v>
      </c>
      <c r="R64" s="255">
        <v>0</v>
      </c>
      <c r="S64" s="255">
        <v>0</v>
      </c>
      <c r="T64" s="255">
        <f>IF(Q64&gt;0,S64*100/Q64,0)</f>
        <v>0</v>
      </c>
      <c r="U64" s="255">
        <f>IF(R64&gt;0,S64*100/R64,0)</f>
        <v>0</v>
      </c>
    </row>
    <row r="65" spans="1:21" ht="18.75">
      <c r="A65" s="49"/>
      <c r="B65" s="50"/>
      <c r="C65" s="50"/>
      <c r="D65" s="51" t="s">
        <v>23</v>
      </c>
      <c r="E65" s="50"/>
      <c r="F65" s="50"/>
      <c r="G65" s="52"/>
      <c r="H65" s="53" t="s">
        <v>14</v>
      </c>
      <c r="I65" s="54"/>
      <c r="J65" s="54"/>
      <c r="K65" s="55"/>
      <c r="L65" s="256">
        <f ca="1">L66+L67</f>
        <v>0</v>
      </c>
      <c r="M65" s="255">
        <f ca="1">M66+M67</f>
        <v>0</v>
      </c>
      <c r="N65" s="255">
        <f ca="1">N66+N67</f>
        <v>0</v>
      </c>
      <c r="O65" s="255">
        <f ca="1">IF(L65&gt;0,N65*100/L65,0)</f>
        <v>0</v>
      </c>
      <c r="P65" s="255">
        <f ca="1">IF(M65&gt;0,N65*100/M65,0)</f>
        <v>0</v>
      </c>
      <c r="Q65" s="255">
        <f>Q66+Q67</f>
        <v>0</v>
      </c>
      <c r="R65" s="255">
        <f>R66+R67</f>
        <v>0</v>
      </c>
      <c r="S65" s="255">
        <f>S66+S67</f>
        <v>0</v>
      </c>
      <c r="T65" s="255">
        <f>IF(Q65&gt;0,S65*100/Q65,0)</f>
        <v>0</v>
      </c>
      <c r="U65" s="255">
        <f>IF(R65&gt;0,S65*100/R65,0)</f>
        <v>0</v>
      </c>
    </row>
    <row r="66" spans="1:21" ht="18.75" hidden="1">
      <c r="A66" s="49"/>
      <c r="B66" s="50"/>
      <c r="C66" s="50"/>
      <c r="D66" s="50"/>
      <c r="E66" s="186" t="s">
        <v>20</v>
      </c>
      <c r="F66" s="50"/>
      <c r="G66" s="52"/>
      <c r="H66" s="729" t="s">
        <v>14</v>
      </c>
      <c r="I66" s="54"/>
      <c r="J66" s="54"/>
      <c r="K66" s="55"/>
      <c r="L66" s="103">
        <v>0</v>
      </c>
      <c r="M66" s="102">
        <v>0</v>
      </c>
      <c r="N66" s="102">
        <v>0</v>
      </c>
      <c r="O66" s="102">
        <f>IF(L66&gt;0,N66*100/L66,0)</f>
        <v>0</v>
      </c>
      <c r="P66" s="102">
        <f>IF(M66&gt;0,N66*100/M66,0)</f>
        <v>0</v>
      </c>
      <c r="Q66" s="102">
        <v>0</v>
      </c>
      <c r="R66" s="102">
        <v>0</v>
      </c>
      <c r="S66" s="102">
        <v>0</v>
      </c>
      <c r="T66" s="102">
        <f>IF(Q66&gt;0,S66*100/Q66,0)</f>
        <v>0</v>
      </c>
      <c r="U66" s="102">
        <f>IF(R66&gt;0,S66*100/R66,0)</f>
        <v>0</v>
      </c>
    </row>
    <row r="67" spans="1:21" ht="18.75" hidden="1">
      <c r="A67" s="63"/>
      <c r="B67" s="4"/>
      <c r="C67" s="4"/>
      <c r="D67" s="4"/>
      <c r="E67" s="64" t="s">
        <v>21</v>
      </c>
      <c r="F67" s="4"/>
      <c r="G67" s="65"/>
      <c r="H67" s="66" t="s">
        <v>14</v>
      </c>
      <c r="I67" s="67"/>
      <c r="J67" s="67"/>
      <c r="K67" s="6"/>
      <c r="L67" s="728">
        <f ca="1">IFERROR(__xludf.DUMMYFUNCTION("IMPORTRANGE(""https://docs.google.com/spreadsheets/d/1-uDff_7J0KD5mKrp0Vvzr7lt3OU09vwQwhkpOPPYv2Y/edit?usp=sharing"",""งบพรบ!AF35"")"),0)</f>
        <v>0</v>
      </c>
      <c r="M67" s="506">
        <f ca="1">IFERROR(__xludf.DUMMYFUNCTION("IMPORTRANGE(""https://docs.google.com/spreadsheets/d/1-uDff_7J0KD5mKrp0Vvzr7lt3OU09vwQwhkpOPPYv2Y/edit?usp=sharing"",""งบพรบ!AI35"")"),0)</f>
        <v>0</v>
      </c>
      <c r="N67" s="506">
        <f ca="1">IFERROR(__xludf.DUMMYFUNCTION("IMPORTRANGE(""https://docs.google.com/spreadsheets/d/1-uDff_7J0KD5mKrp0Vvzr7lt3OU09vwQwhkpOPPYv2Y/edit?usp=sharing"",""งบพรบ!AK35"")"),0)</f>
        <v>0</v>
      </c>
      <c r="O67" s="506">
        <f ca="1">IF(L67&gt;0,N67*100/L67,0)</f>
        <v>0</v>
      </c>
      <c r="P67" s="506">
        <f ca="1">IF(M67&gt;0,N67*100/M67,0)</f>
        <v>0</v>
      </c>
      <c r="Q67" s="506">
        <v>0</v>
      </c>
      <c r="R67" s="506">
        <v>0</v>
      </c>
      <c r="S67" s="506">
        <v>0</v>
      </c>
      <c r="T67" s="506">
        <f>IF(Q67&gt;0,S67*100/Q67,0)</f>
        <v>0</v>
      </c>
      <c r="U67" s="506">
        <f>IF(R67&gt;0,S67*100/R67,0)</f>
        <v>0</v>
      </c>
    </row>
    <row r="68" spans="1:21" ht="19.5">
      <c r="A68" s="137" t="s">
        <v>31</v>
      </c>
      <c r="B68" s="138"/>
      <c r="C68" s="138"/>
      <c r="D68" s="138"/>
      <c r="E68" s="139"/>
      <c r="F68" s="139"/>
      <c r="G68" s="139"/>
      <c r="H68" s="139"/>
      <c r="I68" s="140"/>
      <c r="J68" s="140"/>
      <c r="K68" s="141"/>
      <c r="L68" s="141"/>
      <c r="M68" s="141"/>
      <c r="N68" s="141"/>
      <c r="O68" s="141"/>
      <c r="P68" s="142"/>
      <c r="Q68" s="141"/>
      <c r="R68" s="141"/>
      <c r="S68" s="141"/>
      <c r="T68" s="141"/>
      <c r="U68" s="142"/>
    </row>
    <row r="69" spans="1:21" ht="19.5" hidden="1">
      <c r="A69" s="143" t="s">
        <v>32</v>
      </c>
      <c r="B69" s="144"/>
      <c r="C69" s="145"/>
      <c r="D69" s="144"/>
      <c r="E69" s="144"/>
      <c r="F69" s="144"/>
      <c r="G69" s="146"/>
      <c r="H69" s="146"/>
      <c r="I69" s="147"/>
      <c r="J69" s="147"/>
      <c r="K69" s="148"/>
      <c r="L69" s="149"/>
      <c r="M69" s="148"/>
      <c r="N69" s="148"/>
      <c r="O69" s="148"/>
      <c r="P69" s="148"/>
      <c r="Q69" s="148"/>
      <c r="R69" s="148"/>
      <c r="S69" s="148"/>
      <c r="T69" s="148"/>
      <c r="U69" s="148"/>
    </row>
    <row r="70" spans="1:21" ht="19.5" hidden="1">
      <c r="A70" s="150"/>
      <c r="B70" s="35" t="s">
        <v>33</v>
      </c>
      <c r="C70" s="34"/>
      <c r="D70" s="151"/>
      <c r="E70" s="34"/>
      <c r="F70" s="34"/>
      <c r="G70" s="37"/>
      <c r="H70" s="152" t="s">
        <v>34</v>
      </c>
      <c r="I70" s="721">
        <f ca="1">I82</f>
        <v>0</v>
      </c>
      <c r="J70" s="721">
        <f>J82</f>
        <v>0</v>
      </c>
      <c r="K70" s="720">
        <f ca="1">IF(I70&gt;0,J70*100/I70,0)</f>
        <v>0</v>
      </c>
      <c r="L70" s="154"/>
      <c r="M70" s="40"/>
      <c r="N70" s="40"/>
      <c r="O70" s="40"/>
      <c r="P70" s="40"/>
      <c r="Q70" s="40"/>
      <c r="R70" s="40"/>
      <c r="S70" s="40"/>
      <c r="T70" s="40"/>
      <c r="U70" s="40"/>
    </row>
    <row r="71" spans="1:21" ht="19.5" hidden="1">
      <c r="A71" s="150"/>
      <c r="B71" s="34"/>
      <c r="C71" s="34"/>
      <c r="D71" s="151"/>
      <c r="E71" s="34"/>
      <c r="F71" s="34"/>
      <c r="G71" s="37"/>
      <c r="H71" s="152" t="s">
        <v>35</v>
      </c>
      <c r="I71" s="721">
        <f ca="1">I83</f>
        <v>0</v>
      </c>
      <c r="J71" s="721">
        <f>J83</f>
        <v>0</v>
      </c>
      <c r="K71" s="720">
        <f ca="1">IF(I71&gt;0,J71*100/I71,0)</f>
        <v>0</v>
      </c>
      <c r="L71" s="154"/>
      <c r="M71" s="40"/>
      <c r="N71" s="40"/>
      <c r="O71" s="40"/>
      <c r="P71" s="40"/>
      <c r="Q71" s="40"/>
      <c r="R71" s="40"/>
      <c r="S71" s="40"/>
      <c r="T71" s="40"/>
      <c r="U71" s="40"/>
    </row>
    <row r="72" spans="1:21" ht="19.5" hidden="1">
      <c r="A72" s="155"/>
      <c r="B72" s="50"/>
      <c r="C72" s="156" t="s">
        <v>18</v>
      </c>
      <c r="D72" s="575" t="s">
        <v>19</v>
      </c>
      <c r="E72" s="50"/>
      <c r="F72" s="50"/>
      <c r="G72" s="52"/>
      <c r="H72" s="158" t="s">
        <v>14</v>
      </c>
      <c r="I72" s="54"/>
      <c r="J72" s="54"/>
      <c r="K72" s="55"/>
      <c r="L72" s="541">
        <f ca="1">L73+L74</f>
        <v>0</v>
      </c>
      <c r="M72" s="540">
        <f ca="1">M73+M74</f>
        <v>0</v>
      </c>
      <c r="N72" s="540">
        <f ca="1">N73+N74</f>
        <v>0</v>
      </c>
      <c r="O72" s="540">
        <f ca="1">IF(L72&gt;0,N72*100/L72,0)</f>
        <v>0</v>
      </c>
      <c r="P72" s="540">
        <f ca="1">IF(M72&gt;0,N72*100/M72,0)</f>
        <v>0</v>
      </c>
      <c r="Q72" s="540">
        <f ca="1">Q73+Q74</f>
        <v>0</v>
      </c>
      <c r="R72" s="540">
        <f ca="1">R73+R74</f>
        <v>0</v>
      </c>
      <c r="S72" s="540">
        <f ca="1">S73+S74</f>
        <v>0</v>
      </c>
      <c r="T72" s="540">
        <f ca="1">IF(Q72&gt;0,S72*100/Q72,0)</f>
        <v>0</v>
      </c>
      <c r="U72" s="540">
        <f ca="1">IF(R72&gt;0,S72*100/R72,0)</f>
        <v>0</v>
      </c>
    </row>
    <row r="73" spans="1:21" ht="18.75" hidden="1">
      <c r="A73" s="155"/>
      <c r="B73" s="50"/>
      <c r="C73" s="50"/>
      <c r="D73" s="50"/>
      <c r="E73" s="186" t="s">
        <v>20</v>
      </c>
      <c r="F73" s="50"/>
      <c r="G73" s="52"/>
      <c r="H73" s="187" t="s">
        <v>14</v>
      </c>
      <c r="I73" s="54"/>
      <c r="J73" s="54"/>
      <c r="K73" s="55"/>
      <c r="L73" s="103">
        <f>L76+L79</f>
        <v>0</v>
      </c>
      <c r="M73" s="102">
        <f>M76+M79</f>
        <v>0</v>
      </c>
      <c r="N73" s="102">
        <f>N76+N79</f>
        <v>0</v>
      </c>
      <c r="O73" s="102">
        <f>IF(L73&gt;0,N73*100/L73,0)</f>
        <v>0</v>
      </c>
      <c r="P73" s="102">
        <f>IF(M73&gt;0,N73*100/M73,0)</f>
        <v>0</v>
      </c>
      <c r="Q73" s="102">
        <f>Q76+Q79</f>
        <v>0</v>
      </c>
      <c r="R73" s="102">
        <f>R76+R79</f>
        <v>0</v>
      </c>
      <c r="S73" s="102">
        <f>S76+S79</f>
        <v>0</v>
      </c>
      <c r="T73" s="102">
        <f>IF(Q73&gt;0,S73*100/Q73,0)</f>
        <v>0</v>
      </c>
      <c r="U73" s="102">
        <f>IF(R73&gt;0,S73*100/R73,0)</f>
        <v>0</v>
      </c>
    </row>
    <row r="74" spans="1:21" ht="18.75" hidden="1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256">
        <f ca="1">L77+L80</f>
        <v>0</v>
      </c>
      <c r="M74" s="255">
        <f ca="1">M77+M80</f>
        <v>0</v>
      </c>
      <c r="N74" s="255">
        <f ca="1">N77+N80</f>
        <v>0</v>
      </c>
      <c r="O74" s="255">
        <f ca="1">IF(L74&gt;0,N74*100/L74,0)</f>
        <v>0</v>
      </c>
      <c r="P74" s="255">
        <f ca="1">IF(M74&gt;0,N74*100/M74,0)</f>
        <v>0</v>
      </c>
      <c r="Q74" s="255">
        <f ca="1">Q77+Q80</f>
        <v>0</v>
      </c>
      <c r="R74" s="255">
        <f ca="1">R77+R80</f>
        <v>0</v>
      </c>
      <c r="S74" s="255">
        <f ca="1">S77+S80</f>
        <v>0</v>
      </c>
      <c r="T74" s="255">
        <f ca="1">IF(Q74&gt;0,S74*100/Q74,0)</f>
        <v>0</v>
      </c>
      <c r="U74" s="255">
        <f ca="1">IF(R74&gt;0,S74*100/R74,0)</f>
        <v>0</v>
      </c>
    </row>
    <row r="75" spans="1:21" ht="18.75" hidden="1">
      <c r="A75" s="155"/>
      <c r="B75" s="50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256">
        <f ca="1">L76+L77</f>
        <v>0</v>
      </c>
      <c r="M75" s="255">
        <f ca="1">M76+M77</f>
        <v>0</v>
      </c>
      <c r="N75" s="255">
        <f ca="1">N76+N77</f>
        <v>0</v>
      </c>
      <c r="O75" s="255">
        <f ca="1">IF(L75&gt;0,N75*100/L75,0)</f>
        <v>0</v>
      </c>
      <c r="P75" s="255">
        <f ca="1">IF(M75&gt;0,N75*100/M75,0)</f>
        <v>0</v>
      </c>
      <c r="Q75" s="255">
        <f ca="1">Q76+Q77</f>
        <v>0</v>
      </c>
      <c r="R75" s="255">
        <f ca="1">R76+R77</f>
        <v>0</v>
      </c>
      <c r="S75" s="255">
        <f ca="1">S76+S77</f>
        <v>0</v>
      </c>
      <c r="T75" s="255">
        <f ca="1">IF(Q75&gt;0,S75*100/Q75,0)</f>
        <v>0</v>
      </c>
      <c r="U75" s="255">
        <f ca="1">IF(R75&gt;0,S75*100/R75,0)</f>
        <v>0</v>
      </c>
    </row>
    <row r="76" spans="1:21" ht="18.75" hidden="1">
      <c r="A76" s="155"/>
      <c r="B76" s="50"/>
      <c r="C76" s="50"/>
      <c r="D76" s="50"/>
      <c r="E76" s="186" t="s">
        <v>36</v>
      </c>
      <c r="F76" s="50"/>
      <c r="G76" s="52"/>
      <c r="H76" s="189" t="s">
        <v>14</v>
      </c>
      <c r="I76" s="163"/>
      <c r="J76" s="163"/>
      <c r="K76" s="164"/>
      <c r="L76" s="103">
        <v>0</v>
      </c>
      <c r="M76" s="102">
        <v>0</v>
      </c>
      <c r="N76" s="102">
        <v>0</v>
      </c>
      <c r="O76" s="102">
        <f>IF(L76&gt;0,N76*100/L76,0)</f>
        <v>0</v>
      </c>
      <c r="P76" s="102">
        <f>IF(M76&gt;0,N76*100/M76,0)</f>
        <v>0</v>
      </c>
      <c r="Q76" s="102">
        <v>0</v>
      </c>
      <c r="R76" s="102">
        <v>0</v>
      </c>
      <c r="S76" s="102">
        <v>0</v>
      </c>
      <c r="T76" s="102">
        <f>IF(Q76&gt;0,S76*100/Q76,0)</f>
        <v>0</v>
      </c>
      <c r="U76" s="102">
        <f>IF(R76&gt;0,S76*100/R76,0)</f>
        <v>0</v>
      </c>
    </row>
    <row r="77" spans="1:21" ht="18.75" hidden="1">
      <c r="A77" s="155"/>
      <c r="B77" s="50"/>
      <c r="C77" s="50"/>
      <c r="D77" s="50"/>
      <c r="E77" s="58" t="s">
        <v>37</v>
      </c>
      <c r="F77" s="50"/>
      <c r="G77" s="52"/>
      <c r="H77" s="162" t="s">
        <v>14</v>
      </c>
      <c r="I77" s="163"/>
      <c r="J77" s="163"/>
      <c r="K77" s="164"/>
      <c r="L77" s="256">
        <f ca="1">IFERROR(__xludf.DUMMYFUNCTION("IMPORTRANGE(""https://docs.google.com/spreadsheets/d/1-uDff_7J0KD5mKrp0Vvzr7lt3OU09vwQwhkpOPPYv2Y/edit?usp=sharing"",""งบพรบ!AM35"")"),0)</f>
        <v>0</v>
      </c>
      <c r="M77" s="255">
        <f ca="1">IFERROR(__xludf.DUMMYFUNCTION("IMPORTRANGE(""https://docs.google.com/spreadsheets/d/1-uDff_7J0KD5mKrp0Vvzr7lt3OU09vwQwhkpOPPYv2Y/edit?usp=sharing"",""งบพรบ!AR35"")"),0)</f>
        <v>0</v>
      </c>
      <c r="N77" s="255">
        <f ca="1">IFERROR(__xludf.DUMMYFUNCTION("IMPORTRANGE(""https://docs.google.com/spreadsheets/d/1-uDff_7J0KD5mKrp0Vvzr7lt3OU09vwQwhkpOPPYv2Y/edit?usp=sharing"",""งบพรบ!AT35"")"),0)</f>
        <v>0</v>
      </c>
      <c r="O77" s="255">
        <f ca="1">IF(L77&gt;0,N77*100/L77,0)</f>
        <v>0</v>
      </c>
      <c r="P77" s="255">
        <f ca="1">IF(M77&gt;0,N77*100/M77,0)</f>
        <v>0</v>
      </c>
      <c r="Q77" s="255">
        <f ca="1">IFERROR(__xludf.DUMMYFUNCTION("IMPORTRANGE(""https://docs.google.com/spreadsheets/d/1ItG2mGa2ceCfYo0BwxsXqNm01IGEUdYcSSLTEv9YCik/edit?usp=sharing"",""เบิกจ่ายกองทุน!AS35"")"),0)</f>
        <v>0</v>
      </c>
      <c r="R77" s="255">
        <f ca="1">IFERROR(__xludf.DUMMYFUNCTION("IMPORTRANGE(""https://docs.google.com/spreadsheets/d/1ItG2mGa2ceCfYo0BwxsXqNm01IGEUdYcSSLTEv9YCik/edit?usp=sharing"",""เบิกจ่ายกองทุน!AT35"")"),0)</f>
        <v>0</v>
      </c>
      <c r="S77" s="255">
        <f ca="1">IFERROR(__xludf.DUMMYFUNCTION("IMPORTRANGE(""https://docs.google.com/spreadsheets/d/1ItG2mGa2ceCfYo0BwxsXqNm01IGEUdYcSSLTEv9YCik/edit?usp=sharing"",""เบิกจ่ายกองทุน!AU35"")"),0)</f>
        <v>0</v>
      </c>
      <c r="T77" s="255">
        <f ca="1">IF(Q77&gt;0,S77*100/Q77,0)</f>
        <v>0</v>
      </c>
      <c r="U77" s="255">
        <f ca="1">IF(R77&gt;0,S77*100/R77,0)</f>
        <v>0</v>
      </c>
    </row>
    <row r="78" spans="1:21" ht="18.75" hidden="1">
      <c r="A78" s="155"/>
      <c r="B78" s="50"/>
      <c r="C78" s="50"/>
      <c r="D78" s="51" t="s">
        <v>23</v>
      </c>
      <c r="E78" s="50"/>
      <c r="F78" s="50"/>
      <c r="G78" s="52"/>
      <c r="H78" s="165" t="s">
        <v>14</v>
      </c>
      <c r="I78" s="163"/>
      <c r="J78" s="163"/>
      <c r="K78" s="164"/>
      <c r="L78" s="256">
        <f ca="1">L79+L80</f>
        <v>0</v>
      </c>
      <c r="M78" s="255">
        <f ca="1">M79+M80</f>
        <v>0</v>
      </c>
      <c r="N78" s="255">
        <f ca="1">N79+N80</f>
        <v>0</v>
      </c>
      <c r="O78" s="255">
        <f ca="1">IF(L78&gt;0,N78*100/L78,0)</f>
        <v>0</v>
      </c>
      <c r="P78" s="255">
        <f ca="1">IF(M78&gt;0,N78*100/M78,0)</f>
        <v>0</v>
      </c>
      <c r="Q78" s="255">
        <f>Q79+Q80</f>
        <v>0</v>
      </c>
      <c r="R78" s="255">
        <f>R79+R80</f>
        <v>0</v>
      </c>
      <c r="S78" s="255">
        <f>S79+S80</f>
        <v>0</v>
      </c>
      <c r="T78" s="255">
        <f>IF(Q78&gt;0,S78*100/Q78,0)</f>
        <v>0</v>
      </c>
      <c r="U78" s="255">
        <f>IF(R78&gt;0,S78*100/R78,0)</f>
        <v>0</v>
      </c>
    </row>
    <row r="79" spans="1:21" ht="18.75" hidden="1">
      <c r="A79" s="155"/>
      <c r="B79" s="50"/>
      <c r="C79" s="50"/>
      <c r="D79" s="50"/>
      <c r="E79" s="186" t="s">
        <v>20</v>
      </c>
      <c r="F79" s="50"/>
      <c r="G79" s="52"/>
      <c r="H79" s="189" t="s">
        <v>14</v>
      </c>
      <c r="I79" s="163"/>
      <c r="J79" s="163"/>
      <c r="K79" s="164"/>
      <c r="L79" s="103">
        <v>0</v>
      </c>
      <c r="M79" s="255">
        <v>0</v>
      </c>
      <c r="N79" s="255">
        <v>0</v>
      </c>
      <c r="O79" s="102">
        <f>IF(L79&gt;0,N79*100/L79,0)</f>
        <v>0</v>
      </c>
      <c r="P79" s="102">
        <f>IF(M79&gt;0,N79*100/M79,0)</f>
        <v>0</v>
      </c>
      <c r="Q79" s="102">
        <v>0</v>
      </c>
      <c r="R79" s="255">
        <v>0</v>
      </c>
      <c r="S79" s="255">
        <v>0</v>
      </c>
      <c r="T79" s="102">
        <f>IF(Q79&gt;0,S79*100/Q79,0)</f>
        <v>0</v>
      </c>
      <c r="U79" s="102">
        <f>IF(R79&gt;0,S79*100/R79,0)</f>
        <v>0</v>
      </c>
    </row>
    <row r="80" spans="1:21" ht="18.75" hidden="1">
      <c r="A80" s="155"/>
      <c r="B80" s="50"/>
      <c r="C80" s="50"/>
      <c r="D80" s="50"/>
      <c r="E80" s="58" t="s">
        <v>21</v>
      </c>
      <c r="F80" s="50"/>
      <c r="G80" s="52"/>
      <c r="H80" s="165" t="s">
        <v>14</v>
      </c>
      <c r="I80" s="163"/>
      <c r="J80" s="163"/>
      <c r="K80" s="164"/>
      <c r="L80" s="256">
        <f ca="1">IFERROR(__xludf.DUMMYFUNCTION("IMPORTRANGE(""https://docs.google.com/spreadsheets/d/1-uDff_7J0KD5mKrp0Vvzr7lt3OU09vwQwhkpOPPYv2Y/edit?usp=sharing"",""งบพรบ!AP35"")"),0)</f>
        <v>0</v>
      </c>
      <c r="M80" s="255">
        <f ca="1">IFERROR(__xludf.DUMMYFUNCTION("IMPORTRANGE(""https://docs.google.com/spreadsheets/d/1-uDff_7J0KD5mKrp0Vvzr7lt3OU09vwQwhkpOPPYv2Y/edit?usp=sharing"",""งบพรบ!AS35"")"),0)</f>
        <v>0</v>
      </c>
      <c r="N80" s="255">
        <f ca="1">IFERROR(__xludf.DUMMYFUNCTION("IMPORTRANGE(""https://docs.google.com/spreadsheets/d/1-uDff_7J0KD5mKrp0Vvzr7lt3OU09vwQwhkpOPPYv2Y/edit?usp=sharing"",""งบพรบ!AU35"")"),0)</f>
        <v>0</v>
      </c>
      <c r="O80" s="255">
        <f ca="1">IF(L80&gt;0,N80*100/L80,0)</f>
        <v>0</v>
      </c>
      <c r="P80" s="255">
        <f ca="1">IF(M80&gt;0,N80*100/M80,0)</f>
        <v>0</v>
      </c>
      <c r="Q80" s="255">
        <v>0</v>
      </c>
      <c r="R80" s="255">
        <v>0</v>
      </c>
      <c r="S80" s="255">
        <v>0</v>
      </c>
      <c r="T80" s="255">
        <f>IF(Q80&gt;0,S80*100/Q80,0)</f>
        <v>0</v>
      </c>
      <c r="U80" s="255">
        <f>IF(R80&gt;0,S80*100/R80,0)</f>
        <v>0</v>
      </c>
    </row>
    <row r="81" spans="1:21" ht="19.5" hidden="1">
      <c r="A81" s="166"/>
      <c r="B81" s="167"/>
      <c r="C81" s="156" t="s">
        <v>18</v>
      </c>
      <c r="D81" s="566" t="s">
        <v>38</v>
      </c>
      <c r="E81" s="169"/>
      <c r="F81" s="169"/>
      <c r="G81" s="170"/>
      <c r="H81" s="171"/>
      <c r="I81" s="163"/>
      <c r="J81" s="163"/>
      <c r="K81" s="164"/>
      <c r="L81" s="172"/>
      <c r="M81" s="164"/>
      <c r="N81" s="164"/>
      <c r="O81" s="164"/>
      <c r="P81" s="164"/>
      <c r="Q81" s="164"/>
      <c r="R81" s="164"/>
      <c r="S81" s="164"/>
      <c r="T81" s="164"/>
      <c r="U81" s="164"/>
    </row>
    <row r="82" spans="1:21" ht="19.5" hidden="1">
      <c r="A82" s="166"/>
      <c r="B82" s="167"/>
      <c r="C82" s="167"/>
      <c r="D82" s="173" t="s">
        <v>39</v>
      </c>
      <c r="E82" s="174"/>
      <c r="F82" s="174"/>
      <c r="G82" s="171"/>
      <c r="H82" s="175" t="s">
        <v>34</v>
      </c>
      <c r="I82" s="373">
        <f ca="1">I84+I86+I88</f>
        <v>0</v>
      </c>
      <c r="J82" s="373">
        <f>J84+J86+J88</f>
        <v>0</v>
      </c>
      <c r="K82" s="642">
        <f ca="1">IF(I82&gt;0,J82*100/I82,0)</f>
        <v>0</v>
      </c>
      <c r="L82" s="172"/>
      <c r="M82" s="164"/>
      <c r="N82" s="164"/>
      <c r="O82" s="164"/>
      <c r="P82" s="164"/>
      <c r="Q82" s="164"/>
      <c r="R82" s="164"/>
      <c r="S82" s="164"/>
      <c r="T82" s="164"/>
      <c r="U82" s="164"/>
    </row>
    <row r="83" spans="1:21" ht="19.5" hidden="1">
      <c r="A83" s="166"/>
      <c r="B83" s="167"/>
      <c r="C83" s="167"/>
      <c r="D83" s="167"/>
      <c r="E83" s="174"/>
      <c r="F83" s="174"/>
      <c r="G83" s="171"/>
      <c r="H83" s="175" t="s">
        <v>35</v>
      </c>
      <c r="I83" s="373">
        <f ca="1">I85+I87+I89</f>
        <v>0</v>
      </c>
      <c r="J83" s="373">
        <f>J85+J87+J89</f>
        <v>0</v>
      </c>
      <c r="K83" s="642">
        <f ca="1">IF(I83&gt;0,J83*100/I83,0)</f>
        <v>0</v>
      </c>
      <c r="L83" s="172"/>
      <c r="M83" s="164"/>
      <c r="N83" s="164"/>
      <c r="O83" s="164"/>
      <c r="P83" s="164"/>
      <c r="Q83" s="164"/>
      <c r="R83" s="164"/>
      <c r="S83" s="164"/>
      <c r="T83" s="164"/>
      <c r="U83" s="164"/>
    </row>
    <row r="84" spans="1:21" ht="18.75" hidden="1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641">
        <f ca="1">IFERROR(__xludf.DUMMYFUNCTION("IMPORTRANGE(""https://docs.google.com/spreadsheets/d/1eHaY18a8A9IcSdp1K8H6x8fbOy06t2VsZHhMHf-1x7Y/edit?usp=sharing"",""แผน!H35"")"),0)</f>
        <v>0</v>
      </c>
      <c r="J84" s="467">
        <v>0</v>
      </c>
      <c r="K84" s="565">
        <f ca="1">IF(I84&gt;0,J84*100/I84,0)</f>
        <v>0</v>
      </c>
      <c r="L84" s="172"/>
      <c r="M84" s="164"/>
      <c r="N84" s="164"/>
      <c r="O84" s="164"/>
      <c r="P84" s="164"/>
      <c r="Q84" s="164"/>
      <c r="R84" s="164"/>
      <c r="S84" s="164"/>
      <c r="T84" s="164"/>
      <c r="U84" s="164"/>
    </row>
    <row r="85" spans="1:21" ht="18.75" hidden="1">
      <c r="A85" s="166"/>
      <c r="B85" s="167"/>
      <c r="C85" s="167"/>
      <c r="D85" s="167"/>
      <c r="E85" s="174"/>
      <c r="F85" s="174"/>
      <c r="G85" s="171"/>
      <c r="H85" s="179" t="s">
        <v>35</v>
      </c>
      <c r="I85" s="641">
        <f ca="1">IFERROR(__xludf.DUMMYFUNCTION("IMPORTRANGE(""https://docs.google.com/spreadsheets/d/1eHaY18a8A9IcSdp1K8H6x8fbOy06t2VsZHhMHf-1x7Y/edit?usp=sharing"",""แผน!I35"")"),0)</f>
        <v>0</v>
      </c>
      <c r="J85" s="467">
        <v>0</v>
      </c>
      <c r="K85" s="565">
        <f ca="1">IF(I85&gt;0,J85*100/I85,0)</f>
        <v>0</v>
      </c>
      <c r="L85" s="172"/>
      <c r="M85" s="164"/>
      <c r="N85" s="164"/>
      <c r="O85" s="164"/>
      <c r="P85" s="164"/>
      <c r="Q85" s="164"/>
      <c r="R85" s="164"/>
      <c r="S85" s="164"/>
      <c r="T85" s="164"/>
      <c r="U85" s="164"/>
    </row>
    <row r="86" spans="1:21" ht="18.75" hidden="1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641">
        <f ca="1">IFERROR(__xludf.DUMMYFUNCTION("IMPORTRANGE(""https://docs.google.com/spreadsheets/d/1eHaY18a8A9IcSdp1K8H6x8fbOy06t2VsZHhMHf-1x7Y/edit?usp=sharing"",""แผน!F35"")"),0)</f>
        <v>0</v>
      </c>
      <c r="J86" s="467">
        <v>0</v>
      </c>
      <c r="K86" s="565">
        <f ca="1">IF(I86&gt;0,J86*100/I86,0)</f>
        <v>0</v>
      </c>
      <c r="L86" s="172"/>
      <c r="M86" s="164"/>
      <c r="N86" s="164"/>
      <c r="O86" s="164"/>
      <c r="P86" s="164"/>
      <c r="Q86" s="164"/>
      <c r="R86" s="164"/>
      <c r="S86" s="164"/>
      <c r="T86" s="164"/>
      <c r="U86" s="164"/>
    </row>
    <row r="87" spans="1:21" ht="18.75" hidden="1">
      <c r="A87" s="166"/>
      <c r="B87" s="167"/>
      <c r="C87" s="167"/>
      <c r="D87" s="167"/>
      <c r="E87" s="174"/>
      <c r="F87" s="174"/>
      <c r="G87" s="171"/>
      <c r="H87" s="179" t="s">
        <v>35</v>
      </c>
      <c r="I87" s="641">
        <f ca="1">IFERROR(__xludf.DUMMYFUNCTION("IMPORTRANGE(""https://docs.google.com/spreadsheets/d/1eHaY18a8A9IcSdp1K8H6x8fbOy06t2VsZHhMHf-1x7Y/edit?usp=sharing"",""แผน!G35"")"),0)</f>
        <v>0</v>
      </c>
      <c r="J87" s="467">
        <v>0</v>
      </c>
      <c r="K87" s="565">
        <f ca="1">IF(I87&gt;0,J87*100/I87,0)</f>
        <v>0</v>
      </c>
      <c r="L87" s="172"/>
      <c r="M87" s="164"/>
      <c r="N87" s="164"/>
      <c r="O87" s="164"/>
      <c r="P87" s="164"/>
      <c r="Q87" s="164"/>
      <c r="R87" s="164"/>
      <c r="S87" s="164"/>
      <c r="T87" s="164"/>
      <c r="U87" s="164"/>
    </row>
    <row r="88" spans="1:21" ht="18.75" hidden="1">
      <c r="A88" s="166"/>
      <c r="B88" s="167"/>
      <c r="C88" s="167"/>
      <c r="D88" s="167"/>
      <c r="E88" s="178" t="s">
        <v>42</v>
      </c>
      <c r="F88" s="174"/>
      <c r="G88" s="171"/>
      <c r="H88" s="179" t="s">
        <v>34</v>
      </c>
      <c r="I88" s="641">
        <f ca="1">IFERROR(__xludf.DUMMYFUNCTION("IMPORTRANGE(""https://docs.google.com/spreadsheets/d/1eHaY18a8A9IcSdp1K8H6x8fbOy06t2VsZHhMHf-1x7Y/edit?usp=sharing"",""แผน!D35"")"),0)</f>
        <v>0</v>
      </c>
      <c r="J88" s="467">
        <v>0</v>
      </c>
      <c r="K88" s="565">
        <f ca="1">IF(I88&gt;0,J88*100/I88,0)</f>
        <v>0</v>
      </c>
      <c r="L88" s="172"/>
      <c r="M88" s="164"/>
      <c r="N88" s="164"/>
      <c r="O88" s="164"/>
      <c r="P88" s="164"/>
      <c r="Q88" s="164"/>
      <c r="R88" s="164"/>
      <c r="S88" s="164"/>
      <c r="T88" s="164"/>
      <c r="U88" s="164"/>
    </row>
    <row r="89" spans="1:21" ht="18.75" hidden="1">
      <c r="A89" s="166"/>
      <c r="B89" s="167"/>
      <c r="C89" s="167"/>
      <c r="D89" s="167"/>
      <c r="E89" s="174"/>
      <c r="F89" s="174"/>
      <c r="G89" s="171"/>
      <c r="H89" s="179" t="s">
        <v>35</v>
      </c>
      <c r="I89" s="641">
        <f ca="1">IFERROR(__xludf.DUMMYFUNCTION("IMPORTRANGE(""https://docs.google.com/spreadsheets/d/1eHaY18a8A9IcSdp1K8H6x8fbOy06t2VsZHhMHf-1x7Y/edit?usp=sharing"",""แผน!E35"")"),0)</f>
        <v>0</v>
      </c>
      <c r="J89" s="467">
        <v>0</v>
      </c>
      <c r="K89" s="565">
        <f ca="1">IF(I89&gt;0,J89*100/I89,0)</f>
        <v>0</v>
      </c>
      <c r="L89" s="172"/>
      <c r="M89" s="164"/>
      <c r="N89" s="164"/>
      <c r="O89" s="164"/>
      <c r="P89" s="164"/>
      <c r="Q89" s="164"/>
      <c r="R89" s="164"/>
      <c r="S89" s="164"/>
      <c r="T89" s="164"/>
      <c r="U89" s="164"/>
    </row>
    <row r="90" spans="1:21" ht="18.75" hidden="1">
      <c r="A90" s="166"/>
      <c r="B90" s="167"/>
      <c r="C90" s="167"/>
      <c r="D90" s="173" t="s">
        <v>43</v>
      </c>
      <c r="E90" s="174"/>
      <c r="F90" s="174"/>
      <c r="G90" s="171"/>
      <c r="H90" s="183" t="s">
        <v>34</v>
      </c>
      <c r="I90" s="641">
        <f ca="1">IFERROR(__xludf.DUMMYFUNCTION("IMPORTRANGE(""https://docs.google.com/spreadsheets/d/1eHaY18a8A9IcSdp1K8H6x8fbOy06t2VsZHhMHf-1x7Y/edit?usp=sharing"",""แผน!J35"")"),0)</f>
        <v>0</v>
      </c>
      <c r="J90" s="467">
        <v>0</v>
      </c>
      <c r="K90" s="565">
        <f ca="1">IF(I90&gt;0,J90*100/I90,0)</f>
        <v>0</v>
      </c>
      <c r="L90" s="172"/>
      <c r="M90" s="164"/>
      <c r="N90" s="164"/>
      <c r="O90" s="164"/>
      <c r="P90" s="164"/>
      <c r="Q90" s="164"/>
      <c r="R90" s="164"/>
      <c r="S90" s="164"/>
      <c r="T90" s="164"/>
      <c r="U90" s="164"/>
    </row>
    <row r="91" spans="1:21" ht="19.5">
      <c r="A91" s="143" t="s">
        <v>44</v>
      </c>
      <c r="B91" s="144"/>
      <c r="C91" s="145"/>
      <c r="D91" s="144"/>
      <c r="E91" s="144"/>
      <c r="F91" s="144"/>
      <c r="G91" s="146"/>
      <c r="H91" s="146"/>
      <c r="I91" s="147"/>
      <c r="J91" s="147"/>
      <c r="K91" s="148"/>
      <c r="L91" s="149"/>
      <c r="M91" s="148"/>
      <c r="N91" s="148"/>
      <c r="O91" s="148"/>
      <c r="P91" s="148"/>
      <c r="Q91" s="148"/>
      <c r="R91" s="148"/>
      <c r="S91" s="148"/>
      <c r="T91" s="148"/>
      <c r="U91" s="148"/>
    </row>
    <row r="92" spans="1:21" ht="19.5">
      <c r="A92" s="150"/>
      <c r="B92" s="35" t="s">
        <v>45</v>
      </c>
      <c r="C92" s="34"/>
      <c r="D92" s="151"/>
      <c r="E92" s="34"/>
      <c r="F92" s="34"/>
      <c r="G92" s="37"/>
      <c r="H92" s="152" t="s">
        <v>46</v>
      </c>
      <c r="I92" s="721">
        <f ca="1">I108</f>
        <v>33</v>
      </c>
      <c r="J92" s="721">
        <f>J108</f>
        <v>0</v>
      </c>
      <c r="K92" s="720">
        <f ca="1">IF(I92&gt;0,J92*100/I92,0)</f>
        <v>0</v>
      </c>
      <c r="L92" s="154"/>
      <c r="M92" s="40"/>
      <c r="N92" s="40"/>
      <c r="O92" s="40"/>
      <c r="P92" s="40"/>
      <c r="Q92" s="40"/>
      <c r="R92" s="40"/>
      <c r="S92" s="40"/>
      <c r="T92" s="40"/>
      <c r="U92" s="40"/>
    </row>
    <row r="93" spans="1:21" ht="19.5">
      <c r="A93" s="150"/>
      <c r="B93" s="34"/>
      <c r="C93" s="34"/>
      <c r="D93" s="151"/>
      <c r="E93" s="34"/>
      <c r="F93" s="34"/>
      <c r="G93" s="37"/>
      <c r="H93" s="152" t="s">
        <v>35</v>
      </c>
      <c r="I93" s="721">
        <f ca="1">I109</f>
        <v>11</v>
      </c>
      <c r="J93" s="721">
        <f>J109</f>
        <v>0</v>
      </c>
      <c r="K93" s="720">
        <f ca="1">IF(I93&gt;0,J93*100/I93,0)</f>
        <v>0</v>
      </c>
      <c r="L93" s="154"/>
      <c r="M93" s="40"/>
      <c r="N93" s="40"/>
      <c r="O93" s="40"/>
      <c r="P93" s="40"/>
      <c r="Q93" s="40"/>
      <c r="R93" s="40"/>
      <c r="S93" s="40"/>
      <c r="T93" s="40"/>
      <c r="U93" s="40"/>
    </row>
    <row r="94" spans="1:21" ht="19.5">
      <c r="A94" s="155"/>
      <c r="B94" s="50"/>
      <c r="C94" s="156" t="s">
        <v>18</v>
      </c>
      <c r="D94" s="575" t="s">
        <v>19</v>
      </c>
      <c r="E94" s="50"/>
      <c r="F94" s="50"/>
      <c r="G94" s="52"/>
      <c r="H94" s="158" t="s">
        <v>14</v>
      </c>
      <c r="I94" s="54"/>
      <c r="J94" s="54"/>
      <c r="K94" s="55"/>
      <c r="L94" s="541">
        <f ca="1">L95+L96</f>
        <v>0</v>
      </c>
      <c r="M94" s="540">
        <f ca="1">M95+M96</f>
        <v>21450</v>
      </c>
      <c r="N94" s="540">
        <f ca="1">N95+N96</f>
        <v>21450</v>
      </c>
      <c r="O94" s="540">
        <f ca="1">IF(L94&gt;0,N94*100/L94,0)</f>
        <v>0</v>
      </c>
      <c r="P94" s="540">
        <f ca="1">IF(M94&gt;0,N94*100/M94,0)</f>
        <v>100</v>
      </c>
      <c r="Q94" s="540">
        <f ca="1">Q95+Q96</f>
        <v>71412</v>
      </c>
      <c r="R94" s="540">
        <f ca="1">R95+R96</f>
        <v>71412</v>
      </c>
      <c r="S94" s="540">
        <f ca="1">S95+S96</f>
        <v>1360</v>
      </c>
      <c r="T94" s="540">
        <f ca="1">IF(Q94&gt;0,S94*100/Q94,0)</f>
        <v>1.9044418305046771</v>
      </c>
      <c r="U94" s="540">
        <f ca="1">IF(R94&gt;0,S94*100/R94,0)</f>
        <v>1.9044418305046771</v>
      </c>
    </row>
    <row r="95" spans="1:21" ht="18.75" hidden="1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103">
        <f>L98+L101</f>
        <v>0</v>
      </c>
      <c r="M95" s="102">
        <f>M98+M101</f>
        <v>0</v>
      </c>
      <c r="N95" s="102">
        <f>N98+N101</f>
        <v>0</v>
      </c>
      <c r="O95" s="102">
        <f>IF(L95&gt;0,N95*100/L95,0)</f>
        <v>0</v>
      </c>
      <c r="P95" s="102">
        <f>IF(M95&gt;0,N95*100/M95,0)</f>
        <v>0</v>
      </c>
      <c r="Q95" s="102">
        <f>Q98+Q101</f>
        <v>0</v>
      </c>
      <c r="R95" s="102">
        <f>R98+R101</f>
        <v>0</v>
      </c>
      <c r="S95" s="102">
        <f>S98+S101</f>
        <v>0</v>
      </c>
      <c r="T95" s="102">
        <f>IF(Q95&gt;0,S95*100/Q95,0)</f>
        <v>0</v>
      </c>
      <c r="U95" s="102">
        <f>IF(R95&gt;0,S95*100/R95,0)</f>
        <v>0</v>
      </c>
    </row>
    <row r="96" spans="1:21" ht="18.75" hidden="1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256">
        <f ca="1">L99+L102</f>
        <v>0</v>
      </c>
      <c r="M96" s="255">
        <f ca="1">M99+M102</f>
        <v>21450</v>
      </c>
      <c r="N96" s="255">
        <f ca="1">N99+N102</f>
        <v>21450</v>
      </c>
      <c r="O96" s="255">
        <f ca="1">IF(L96&gt;0,N96*100/L96,0)</f>
        <v>0</v>
      </c>
      <c r="P96" s="255">
        <f ca="1">IF(M96&gt;0,N96*100/M96,0)</f>
        <v>100</v>
      </c>
      <c r="Q96" s="255">
        <f ca="1">Q99+Q102</f>
        <v>71412</v>
      </c>
      <c r="R96" s="255">
        <f ca="1">R99+R102</f>
        <v>71412</v>
      </c>
      <c r="S96" s="255">
        <f ca="1">S99+S102</f>
        <v>1360</v>
      </c>
      <c r="T96" s="255">
        <f ca="1">IF(Q96&gt;0,S96*100/Q96,0)</f>
        <v>1.9044418305046771</v>
      </c>
      <c r="U96" s="255">
        <f ca="1">IF(R96&gt;0,S96*100/R96,0)</f>
        <v>1.9044418305046771</v>
      </c>
    </row>
    <row r="97" spans="1:21" ht="18.75">
      <c r="A97" s="155"/>
      <c r="B97" s="50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256">
        <f ca="1">L98+L99</f>
        <v>0</v>
      </c>
      <c r="M97" s="255">
        <f ca="1">M98+M99</f>
        <v>21450</v>
      </c>
      <c r="N97" s="255">
        <f ca="1">N98+N99</f>
        <v>21450</v>
      </c>
      <c r="O97" s="255">
        <f ca="1">IF(L97&gt;0,N97*100/L97,0)</f>
        <v>0</v>
      </c>
      <c r="P97" s="255">
        <f ca="1">IF(M97&gt;0,N97*100/M97,0)</f>
        <v>100</v>
      </c>
      <c r="Q97" s="255">
        <f ca="1">Q98+Q99</f>
        <v>71412</v>
      </c>
      <c r="R97" s="255">
        <f ca="1">R98+R99</f>
        <v>71412</v>
      </c>
      <c r="S97" s="255">
        <f ca="1">S98+S99</f>
        <v>1360</v>
      </c>
      <c r="T97" s="255">
        <f ca="1">IF(Q97&gt;0,S97*100/Q97,0)</f>
        <v>1.9044418305046771</v>
      </c>
      <c r="U97" s="255">
        <f ca="1">IF(R97&gt;0,S97*100/R97,0)</f>
        <v>1.9044418305046771</v>
      </c>
    </row>
    <row r="98" spans="1:21" ht="18.75" hidden="1">
      <c r="A98" s="155"/>
      <c r="B98" s="50"/>
      <c r="C98" s="50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103">
        <v>0</v>
      </c>
      <c r="M98" s="102">
        <v>0</v>
      </c>
      <c r="N98" s="102">
        <v>0</v>
      </c>
      <c r="O98" s="102">
        <f>IF(L98&gt;0,N98*100/L98,0)</f>
        <v>0</v>
      </c>
      <c r="P98" s="102">
        <f>IF(M98&gt;0,N98*100/M98,0)</f>
        <v>0</v>
      </c>
      <c r="Q98" s="102">
        <v>0</v>
      </c>
      <c r="R98" s="102">
        <v>0</v>
      </c>
      <c r="S98" s="102">
        <v>0</v>
      </c>
      <c r="T98" s="102">
        <f>IF(Q98&gt;0,S98*100/Q98,0)</f>
        <v>0</v>
      </c>
      <c r="U98" s="102">
        <f>IF(R98&gt;0,S98*100/R98,0)</f>
        <v>0</v>
      </c>
    </row>
    <row r="99" spans="1:21" ht="18.75" hidden="1">
      <c r="A99" s="155"/>
      <c r="B99" s="50"/>
      <c r="C99" s="50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256">
        <f ca="1">IFERROR(__xludf.DUMMYFUNCTION("IMPORTRANGE(""https://docs.google.com/spreadsheets/d/1-uDff_7J0KD5mKrp0Vvzr7lt3OU09vwQwhkpOPPYv2Y/edit?usp=sharing"",""งบพรบ!AW35"")"),0)</f>
        <v>0</v>
      </c>
      <c r="M99" s="255">
        <f ca="1">IFERROR(__xludf.DUMMYFUNCTION("IMPORTRANGE(""https://docs.google.com/spreadsheets/d/1-uDff_7J0KD5mKrp0Vvzr7lt3OU09vwQwhkpOPPYv2Y/edit?usp=sharing"",""งบพรบ!BB35"")"),21450)</f>
        <v>21450</v>
      </c>
      <c r="N99" s="255">
        <f ca="1">IFERROR(__xludf.DUMMYFUNCTION("IMPORTRANGE(""https://docs.google.com/spreadsheets/d/1-uDff_7J0KD5mKrp0Vvzr7lt3OU09vwQwhkpOPPYv2Y/edit?usp=sharing"",""งบพรบ!BD35"")"),21450)</f>
        <v>21450</v>
      </c>
      <c r="O99" s="255">
        <f ca="1">IF(L99&gt;0,N99*100/L99,0)</f>
        <v>0</v>
      </c>
      <c r="P99" s="255">
        <f ca="1">IF(M99&gt;0,N99*100/M99,0)</f>
        <v>100</v>
      </c>
      <c r="Q99" s="255">
        <f ca="1">IFERROR(__xludf.DUMMYFUNCTION("IMPORTRANGE(""https://docs.google.com/spreadsheets/d/1ItG2mGa2ceCfYo0BwxsXqNm01IGEUdYcSSLTEv9YCik/edit?usp=sharing"",""เบิกจ่ายกองทุน!AD35"")"),71412)</f>
        <v>71412</v>
      </c>
      <c r="R99" s="255">
        <f ca="1">IFERROR(__xludf.DUMMYFUNCTION("IMPORTRANGE(""https://docs.google.com/spreadsheets/d/1ItG2mGa2ceCfYo0BwxsXqNm01IGEUdYcSSLTEv9YCik/edit?usp=sharing"",""เบิกจ่ายกองทุน!AE35"")"),71412)</f>
        <v>71412</v>
      </c>
      <c r="S99" s="255">
        <f ca="1">IFERROR(__xludf.DUMMYFUNCTION("IMPORTRANGE(""https://docs.google.com/spreadsheets/d/1ItG2mGa2ceCfYo0BwxsXqNm01IGEUdYcSSLTEv9YCik/edit?usp=sharing"",""เบิกจ่ายกองทุน!AF35"")"),1360)</f>
        <v>1360</v>
      </c>
      <c r="T99" s="255">
        <f ca="1">IF(Q99&gt;0,S99*100/Q99,0)</f>
        <v>1.9044418305046771</v>
      </c>
      <c r="U99" s="255">
        <f ca="1">IF(R99&gt;0,S99*100/R99,0)</f>
        <v>1.9044418305046771</v>
      </c>
    </row>
    <row r="100" spans="1:21" ht="18.75">
      <c r="A100" s="155"/>
      <c r="B100" s="50"/>
      <c r="C100" s="50"/>
      <c r="D100" s="51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256">
        <f ca="1">L101+L102</f>
        <v>0</v>
      </c>
      <c r="M100" s="255">
        <f ca="1">M101+M102</f>
        <v>0</v>
      </c>
      <c r="N100" s="255">
        <f ca="1">N101+N102</f>
        <v>0</v>
      </c>
      <c r="O100" s="255">
        <f ca="1">IF(L100&gt;0,N100*100/L100,0)</f>
        <v>0</v>
      </c>
      <c r="P100" s="255">
        <f ca="1">IF(M100&gt;0,N100*100/M100,0)</f>
        <v>0</v>
      </c>
      <c r="Q100" s="255">
        <f>Q101+Q102</f>
        <v>0</v>
      </c>
      <c r="R100" s="255">
        <f>R101+R102</f>
        <v>0</v>
      </c>
      <c r="S100" s="255">
        <f>S101+S102</f>
        <v>0</v>
      </c>
      <c r="T100" s="255">
        <f>IF(Q100&gt;0,S100*100/Q100,0)</f>
        <v>0</v>
      </c>
      <c r="U100" s="255">
        <f>IF(R100&gt;0,S100*100/R100,0)</f>
        <v>0</v>
      </c>
    </row>
    <row r="101" spans="1:21" ht="18.75" hidden="1">
      <c r="A101" s="155"/>
      <c r="B101" s="50"/>
      <c r="C101" s="50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103">
        <v>0</v>
      </c>
      <c r="M101" s="102">
        <v>0</v>
      </c>
      <c r="N101" s="102">
        <v>0</v>
      </c>
      <c r="O101" s="102">
        <f>IF(L101&gt;0,N101*100/L101,0)</f>
        <v>0</v>
      </c>
      <c r="P101" s="102">
        <f>IF(M101&gt;0,N101*100/M101,0)</f>
        <v>0</v>
      </c>
      <c r="Q101" s="102">
        <v>0</v>
      </c>
      <c r="R101" s="102">
        <v>0</v>
      </c>
      <c r="S101" s="102">
        <v>0</v>
      </c>
      <c r="T101" s="102">
        <f>IF(Q101&gt;0,S101*100/Q101,0)</f>
        <v>0</v>
      </c>
      <c r="U101" s="102">
        <f>IF(R101&gt;0,S101*100/R101,0)</f>
        <v>0</v>
      </c>
    </row>
    <row r="102" spans="1:21" ht="18.75" hidden="1">
      <c r="A102" s="155"/>
      <c r="B102" s="50"/>
      <c r="C102" s="50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256">
        <f ca="1">IFERROR(__xludf.DUMMYFUNCTION("IMPORTRANGE(""https://docs.google.com/spreadsheets/d/1-uDff_7J0KD5mKrp0Vvzr7lt3OU09vwQwhkpOPPYv2Y/edit?usp=sharing"",""งบพรบ!AZ35"")"),0)</f>
        <v>0</v>
      </c>
      <c r="M102" s="255">
        <f ca="1">IFERROR(__xludf.DUMMYFUNCTION("IMPORTRANGE(""https://docs.google.com/spreadsheets/d/1-uDff_7J0KD5mKrp0Vvzr7lt3OU09vwQwhkpOPPYv2Y/edit?usp=sharing"",""งบพรบ!BC35"")"),0)</f>
        <v>0</v>
      </c>
      <c r="N102" s="255">
        <f ca="1">IFERROR(__xludf.DUMMYFUNCTION("IMPORTRANGE(""https://docs.google.com/spreadsheets/d/1-uDff_7J0KD5mKrp0Vvzr7lt3OU09vwQwhkpOPPYv2Y/edit?usp=sharing"",""งบพรบ!BE35"")"),0)</f>
        <v>0</v>
      </c>
      <c r="O102" s="255">
        <f ca="1">IF(L102&gt;0,N102*100/L102,0)</f>
        <v>0</v>
      </c>
      <c r="P102" s="255">
        <f ca="1">IF(M102&gt;0,N102*100/M102,0)</f>
        <v>0</v>
      </c>
      <c r="Q102" s="255">
        <v>0</v>
      </c>
      <c r="R102" s="255">
        <v>0</v>
      </c>
      <c r="S102" s="255">
        <v>0</v>
      </c>
      <c r="T102" s="255">
        <f>IF(Q102&gt;0,S102*100/Q102,0)</f>
        <v>0</v>
      </c>
      <c r="U102" s="255">
        <f>IF(R102&gt;0,S102*100/R102,0)</f>
        <v>0</v>
      </c>
    </row>
    <row r="103" spans="1:21" ht="19.5">
      <c r="A103" s="166"/>
      <c r="B103" s="167"/>
      <c r="C103" s="156" t="s">
        <v>18</v>
      </c>
      <c r="D103" s="566" t="s">
        <v>38</v>
      </c>
      <c r="E103" s="169"/>
      <c r="F103" s="169"/>
      <c r="G103" s="170"/>
      <c r="H103" s="171"/>
      <c r="I103" s="163"/>
      <c r="J103" s="54"/>
      <c r="K103" s="55"/>
      <c r="L103" s="62"/>
      <c r="M103" s="55"/>
      <c r="N103" s="55"/>
      <c r="O103" s="164"/>
      <c r="P103" s="164"/>
      <c r="Q103" s="55"/>
      <c r="R103" s="55"/>
      <c r="S103" s="55"/>
      <c r="T103" s="164"/>
      <c r="U103" s="164"/>
    </row>
    <row r="104" spans="1:21" ht="12.75" hidden="1">
      <c r="A104" s="192"/>
      <c r="B104" s="193"/>
      <c r="C104" s="193"/>
      <c r="D104" s="22"/>
      <c r="E104" s="22"/>
      <c r="F104" s="22"/>
      <c r="G104" s="23"/>
      <c r="H104" s="23"/>
      <c r="I104" s="24"/>
      <c r="J104" s="24"/>
      <c r="K104" s="25"/>
      <c r="L104" s="26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2.75" hidden="1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6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2.75" hidden="1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9.5" hidden="1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62"/>
      <c r="M107" s="55"/>
      <c r="N107" s="55"/>
      <c r="O107" s="164"/>
      <c r="P107" s="164"/>
      <c r="Q107" s="55"/>
      <c r="R107" s="55"/>
      <c r="S107" s="55"/>
      <c r="T107" s="164"/>
      <c r="U107" s="164"/>
    </row>
    <row r="108" spans="1:21" ht="18.75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212">
        <f ca="1">IFERROR(__xludf.DUMMYFUNCTION("IMPORTRANGE(""https://docs.google.com/spreadsheets/d/1eHaY18a8A9IcSdp1K8H6x8fbOy06t2VsZHhMHf-1x7Y/edit?usp=sharing"",""แผน!N35"")"),33)</f>
        <v>33</v>
      </c>
      <c r="J108" s="467">
        <v>0</v>
      </c>
      <c r="K108" s="255">
        <f ca="1">IF(I108&gt;0,J108*100/I108,0)</f>
        <v>0</v>
      </c>
      <c r="L108" s="62"/>
      <c r="M108" s="55"/>
      <c r="N108" s="55"/>
      <c r="O108" s="164"/>
      <c r="P108" s="164"/>
      <c r="Q108" s="55"/>
      <c r="R108" s="55"/>
      <c r="S108" s="55"/>
      <c r="T108" s="164"/>
      <c r="U108" s="164"/>
    </row>
    <row r="109" spans="1:21" ht="18.75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212">
        <f ca="1">IFERROR(__xludf.DUMMYFUNCTION("IMPORTRANGE(""https://docs.google.com/spreadsheets/d/1eHaY18a8A9IcSdp1K8H6x8fbOy06t2VsZHhMHf-1x7Y/edit?usp=sharing"",""แผน!O35"")"),11)</f>
        <v>11</v>
      </c>
      <c r="J109" s="467">
        <v>0</v>
      </c>
      <c r="K109" s="255">
        <f ca="1">IF(I109&gt;0,J109*100/I109,0)</f>
        <v>0</v>
      </c>
      <c r="L109" s="62"/>
      <c r="M109" s="55"/>
      <c r="N109" s="55"/>
      <c r="O109" s="164"/>
      <c r="P109" s="164"/>
      <c r="Q109" s="55"/>
      <c r="R109" s="55"/>
      <c r="S109" s="55"/>
      <c r="T109" s="164"/>
      <c r="U109" s="164"/>
    </row>
    <row r="110" spans="1:21" ht="12.75" hidden="1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6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2.75" hidden="1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6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2.75" hidden="1">
      <c r="A112" s="192"/>
      <c r="B112" s="193"/>
      <c r="C112" s="193"/>
      <c r="D112" s="22"/>
      <c r="E112" s="22"/>
      <c r="F112" s="22"/>
      <c r="G112" s="23"/>
      <c r="H112" s="23"/>
      <c r="I112" s="24"/>
      <c r="J112" s="24"/>
      <c r="K112" s="25"/>
      <c r="L112" s="26"/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8.75">
      <c r="A113" s="771"/>
      <c r="B113" s="489"/>
      <c r="C113" s="489"/>
      <c r="D113" s="345" t="s">
        <v>50</v>
      </c>
      <c r="E113" s="491"/>
      <c r="F113" s="491"/>
      <c r="G113" s="492"/>
      <c r="H113" s="770" t="s">
        <v>46</v>
      </c>
      <c r="I113" s="769">
        <f ca="1">IFERROR(__xludf.DUMMYFUNCTION("IMPORTRANGE(""https://docs.google.com/spreadsheets/d/1eHaY18a8A9IcSdp1K8H6x8fbOy06t2VsZHhMHf-1x7Y/edit?usp=sharing"",""แผน!N35"")"),33)</f>
        <v>33</v>
      </c>
      <c r="J113" s="495">
        <v>0</v>
      </c>
      <c r="K113" s="708">
        <f ca="1">IF(I113&gt;0,J113*100/I113,0)</f>
        <v>0</v>
      </c>
      <c r="L113" s="350"/>
      <c r="M113" s="350"/>
      <c r="N113" s="350"/>
      <c r="O113" s="496"/>
      <c r="P113" s="496"/>
      <c r="Q113" s="350"/>
      <c r="R113" s="350"/>
      <c r="S113" s="350"/>
      <c r="T113" s="496"/>
      <c r="U113" s="496"/>
    </row>
    <row r="114" spans="1:21" ht="18.75">
      <c r="A114" s="166"/>
      <c r="B114" s="167"/>
      <c r="C114" s="167"/>
      <c r="D114" s="174"/>
      <c r="E114" s="174"/>
      <c r="F114" s="174"/>
      <c r="G114" s="171"/>
      <c r="H114" s="179" t="s">
        <v>35</v>
      </c>
      <c r="I114" s="641">
        <f ca="1">IFERROR(__xludf.DUMMYFUNCTION("IMPORTRANGE(""https://docs.google.com/spreadsheets/d/1eHaY18a8A9IcSdp1K8H6x8fbOy06t2VsZHhMHf-1x7Y/edit?usp=sharing"",""แผน!O35"")"),11)</f>
        <v>11</v>
      </c>
      <c r="J114" s="467">
        <v>0</v>
      </c>
      <c r="K114" s="255">
        <f ca="1">IF(I114&gt;0,J114*100/I114,0)</f>
        <v>0</v>
      </c>
      <c r="L114" s="55"/>
      <c r="M114" s="55"/>
      <c r="N114" s="55"/>
      <c r="O114" s="164"/>
      <c r="P114" s="164"/>
      <c r="Q114" s="55"/>
      <c r="R114" s="55"/>
      <c r="S114" s="55"/>
      <c r="T114" s="164"/>
      <c r="U114" s="164"/>
    </row>
    <row r="115" spans="1:21" ht="19.5">
      <c r="A115" s="727" t="s">
        <v>51</v>
      </c>
      <c r="B115" s="724"/>
      <c r="C115" s="726"/>
      <c r="D115" s="725"/>
      <c r="E115" s="725"/>
      <c r="F115" s="725"/>
      <c r="G115" s="725"/>
      <c r="H115" s="724"/>
      <c r="I115" s="723"/>
      <c r="J115" s="723"/>
      <c r="K115" s="722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721">
        <f ca="1">I127</f>
        <v>25</v>
      </c>
      <c r="J116" s="721">
        <f>J127</f>
        <v>25</v>
      </c>
      <c r="K116" s="720">
        <f ca="1">IF(I116&gt;0,J116*100/I116,0)</f>
        <v>100</v>
      </c>
      <c r="L116" s="154"/>
      <c r="M116" s="40"/>
      <c r="N116" s="40"/>
      <c r="O116" s="40"/>
      <c r="P116" s="40"/>
      <c r="Q116" s="40"/>
      <c r="R116" s="40"/>
      <c r="S116" s="40"/>
      <c r="T116" s="40"/>
      <c r="U116" s="40"/>
    </row>
    <row r="117" spans="1:21" ht="19.5">
      <c r="A117" s="155"/>
      <c r="B117" s="188"/>
      <c r="C117" s="191" t="s">
        <v>18</v>
      </c>
      <c r="D117" s="575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541">
        <f ca="1">L118+L119</f>
        <v>0</v>
      </c>
      <c r="M117" s="540">
        <f ca="1">M118+M119</f>
        <v>0</v>
      </c>
      <c r="N117" s="540">
        <f ca="1">N118+N119</f>
        <v>0</v>
      </c>
      <c r="O117" s="540">
        <f ca="1">IF(L117&gt;0,N117*100/L117,0)</f>
        <v>0</v>
      </c>
      <c r="P117" s="540">
        <f ca="1">IF(M117&gt;0,N117*100/M117,0)</f>
        <v>0</v>
      </c>
      <c r="Q117" s="540">
        <f ca="1">Q118+Q119</f>
        <v>227060</v>
      </c>
      <c r="R117" s="540">
        <f ca="1">R118+R119</f>
        <v>227060</v>
      </c>
      <c r="S117" s="540">
        <f ca="1">S118+S119</f>
        <v>71638.649999999994</v>
      </c>
      <c r="T117" s="540">
        <f ca="1">IF(Q117&gt;0,S117*100/Q117,0)</f>
        <v>31.550537302915526</v>
      </c>
      <c r="U117" s="540">
        <f ca="1">IF(R117&gt;0,S117*100/R117,0)</f>
        <v>31.550537302915526</v>
      </c>
    </row>
    <row r="118" spans="1:21" ht="18.75" hidden="1">
      <c r="A118" s="155"/>
      <c r="B118" s="188"/>
      <c r="C118" s="188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103">
        <f>L121+L124</f>
        <v>0</v>
      </c>
      <c r="M118" s="102">
        <f>M121+M124</f>
        <v>0</v>
      </c>
      <c r="N118" s="102">
        <f>N121+N124</f>
        <v>0</v>
      </c>
      <c r="O118" s="102">
        <f>IF(L118&gt;0,N118*100/L118,0)</f>
        <v>0</v>
      </c>
      <c r="P118" s="102">
        <f>IF(M118&gt;0,N118*100/M118,0)</f>
        <v>0</v>
      </c>
      <c r="Q118" s="102">
        <f>Q121+Q124</f>
        <v>0</v>
      </c>
      <c r="R118" s="102">
        <f>R121+R124</f>
        <v>0</v>
      </c>
      <c r="S118" s="102">
        <f>S121+S124</f>
        <v>0</v>
      </c>
      <c r="T118" s="102">
        <f>IF(Q118&gt;0,S118*100/Q118,0)</f>
        <v>0</v>
      </c>
      <c r="U118" s="102">
        <f>IF(R118&gt;0,S118*100/R118,0)</f>
        <v>0</v>
      </c>
    </row>
    <row r="119" spans="1:21" ht="18.75" hidden="1">
      <c r="A119" s="155"/>
      <c r="B119" s="188"/>
      <c r="C119" s="188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256">
        <f ca="1">L122+L125</f>
        <v>0</v>
      </c>
      <c r="M119" s="255">
        <f ca="1">M122+M125</f>
        <v>0</v>
      </c>
      <c r="N119" s="255">
        <f ca="1">N122+N125</f>
        <v>0</v>
      </c>
      <c r="O119" s="255">
        <f ca="1">IF(L119&gt;0,N119*100/L119,0)</f>
        <v>0</v>
      </c>
      <c r="P119" s="255">
        <f ca="1">IF(M119&gt;0,N119*100/M119,0)</f>
        <v>0</v>
      </c>
      <c r="Q119" s="255">
        <f ca="1">Q122+Q125</f>
        <v>227060</v>
      </c>
      <c r="R119" s="255">
        <f ca="1">R122+R125</f>
        <v>227060</v>
      </c>
      <c r="S119" s="255">
        <f ca="1">S122+S125</f>
        <v>71638.649999999994</v>
      </c>
      <c r="T119" s="255">
        <f ca="1">IF(Q119&gt;0,S119*100/Q119,0)</f>
        <v>31.550537302915526</v>
      </c>
      <c r="U119" s="255">
        <f ca="1">IF(R119&gt;0,S119*100/R119,0)</f>
        <v>31.550537302915526</v>
      </c>
    </row>
    <row r="120" spans="1:21" ht="18.75">
      <c r="A120" s="155"/>
      <c r="B120" s="188"/>
      <c r="C120" s="202"/>
      <c r="D120" s="602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256">
        <f ca="1">L121+L122</f>
        <v>0</v>
      </c>
      <c r="M120" s="255">
        <f ca="1">M121+M122</f>
        <v>0</v>
      </c>
      <c r="N120" s="255">
        <f ca="1">N121+N122</f>
        <v>0</v>
      </c>
      <c r="O120" s="255">
        <f ca="1">IF(L120&gt;0,N120*100/L120,0)</f>
        <v>0</v>
      </c>
      <c r="P120" s="255">
        <f ca="1">IF(M120&gt;0,N120*100/M120,0)</f>
        <v>0</v>
      </c>
      <c r="Q120" s="255">
        <f ca="1">Q121+Q122</f>
        <v>227060</v>
      </c>
      <c r="R120" s="255">
        <f ca="1">R121+R122</f>
        <v>227060</v>
      </c>
      <c r="S120" s="255">
        <f ca="1">S121+S122</f>
        <v>71638.649999999994</v>
      </c>
      <c r="T120" s="255">
        <f ca="1">IF(Q120&gt;0,S120*100/Q120,0)</f>
        <v>31.550537302915526</v>
      </c>
      <c r="U120" s="255">
        <f ca="1">IF(R120&gt;0,S120*100/R120,0)</f>
        <v>31.550537302915526</v>
      </c>
    </row>
    <row r="121" spans="1:21" ht="18.75" hidden="1">
      <c r="A121" s="155"/>
      <c r="B121" s="188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103">
        <v>0</v>
      </c>
      <c r="M121" s="102">
        <v>0</v>
      </c>
      <c r="N121" s="102">
        <v>0</v>
      </c>
      <c r="O121" s="102">
        <f>IF(L121&gt;0,N121*100/L121,0)</f>
        <v>0</v>
      </c>
      <c r="P121" s="102">
        <f>IF(M121&gt;0,N121*100/M121,0)</f>
        <v>0</v>
      </c>
      <c r="Q121" s="102">
        <v>0</v>
      </c>
      <c r="R121" s="102">
        <v>0</v>
      </c>
      <c r="S121" s="102">
        <v>0</v>
      </c>
      <c r="T121" s="102">
        <f>IF(Q121&gt;0,S121*100/Q121,0)</f>
        <v>0</v>
      </c>
      <c r="U121" s="102">
        <f>IF(R121&gt;0,S121*100/R121,0)</f>
        <v>0</v>
      </c>
    </row>
    <row r="122" spans="1:21" ht="18.75" hidden="1">
      <c r="A122" s="155"/>
      <c r="B122" s="188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256">
        <f ca="1">IFERROR(__xludf.DUMMYFUNCTION("IMPORTRANGE(""https://docs.google.com/spreadsheets/d/1-uDff_7J0KD5mKrp0Vvzr7lt3OU09vwQwhkpOPPYv2Y/edit?usp=sharing"",""งบพรบ!BG35"")"),0)</f>
        <v>0</v>
      </c>
      <c r="M122" s="255">
        <f ca="1">IFERROR(__xludf.DUMMYFUNCTION("IMPORTRANGE(""https://docs.google.com/spreadsheets/d/1-uDff_7J0KD5mKrp0Vvzr7lt3OU09vwQwhkpOPPYv2Y/edit?usp=sharing"",""งบพรบ!BL35"")"),0)</f>
        <v>0</v>
      </c>
      <c r="N122" s="255">
        <f ca="1">IFERROR(__xludf.DUMMYFUNCTION("IMPORTRANGE(""https://docs.google.com/spreadsheets/d/1-uDff_7J0KD5mKrp0Vvzr7lt3OU09vwQwhkpOPPYv2Y/edit?usp=sharing"",""งบพรบ!BN35"")"),0)</f>
        <v>0</v>
      </c>
      <c r="O122" s="255">
        <f ca="1">IF(L122&gt;0,N122*100/L122,0)</f>
        <v>0</v>
      </c>
      <c r="P122" s="255">
        <f ca="1">IF(M122&gt;0,N122*100/M122,0)</f>
        <v>0</v>
      </c>
      <c r="Q122" s="255">
        <f ca="1">IFERROR(__xludf.DUMMYFUNCTION("IMPORTRANGE(""https://docs.google.com/spreadsheets/d/1ItG2mGa2ceCfYo0BwxsXqNm01IGEUdYcSSLTEv9YCik/edit?usp=sharing"",""เบิกจ่ายกองทุน!R35"")"),227060)</f>
        <v>227060</v>
      </c>
      <c r="R122" s="255">
        <f ca="1">IFERROR(__xludf.DUMMYFUNCTION("IMPORTRANGE(""https://docs.google.com/spreadsheets/d/1ItG2mGa2ceCfYo0BwxsXqNm01IGEUdYcSSLTEv9YCik/edit?usp=sharing"",""เบิกจ่ายกองทุน!S35"")"),227060)</f>
        <v>227060</v>
      </c>
      <c r="S122" s="255">
        <f ca="1">IFERROR(__xludf.DUMMYFUNCTION("IMPORTRANGE(""https://docs.google.com/spreadsheets/d/1ItG2mGa2ceCfYo0BwxsXqNm01IGEUdYcSSLTEv9YCik/edit?usp=sharing"",""เบิกจ่ายกองทุน!T35"")"),71638.65)</f>
        <v>71638.649999999994</v>
      </c>
      <c r="T122" s="255">
        <f ca="1">IF(Q122&gt;0,S122*100/Q122,0)</f>
        <v>31.550537302915526</v>
      </c>
      <c r="U122" s="255">
        <f ca="1">IF(R122&gt;0,S122*100/R122,0)</f>
        <v>31.550537302915526</v>
      </c>
    </row>
    <row r="123" spans="1:21" ht="18.75">
      <c r="A123" s="155"/>
      <c r="B123" s="50"/>
      <c r="C123" s="202"/>
      <c r="D123" s="602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256">
        <f ca="1">L124+L125</f>
        <v>0</v>
      </c>
      <c r="M123" s="255">
        <f ca="1">M124+M125</f>
        <v>0</v>
      </c>
      <c r="N123" s="255">
        <f ca="1">N124+N125</f>
        <v>0</v>
      </c>
      <c r="O123" s="255">
        <f ca="1">IF(L123&gt;0,N123*100/L123,0)</f>
        <v>0</v>
      </c>
      <c r="P123" s="255">
        <f ca="1">IF(M123&gt;0,N123*100/M123,0)</f>
        <v>0</v>
      </c>
      <c r="Q123" s="255">
        <f>Q124+Q125</f>
        <v>0</v>
      </c>
      <c r="R123" s="255">
        <f>R124+R125</f>
        <v>0</v>
      </c>
      <c r="S123" s="255">
        <f>S124+S125</f>
        <v>0</v>
      </c>
      <c r="T123" s="255">
        <f>IF(Q123&gt;0,S123*100/Q123,0)</f>
        <v>0</v>
      </c>
      <c r="U123" s="255">
        <f>IF(R123&gt;0,S123*100/R123,0)</f>
        <v>0</v>
      </c>
    </row>
    <row r="124" spans="1:21" ht="18.75" hidden="1">
      <c r="A124" s="155"/>
      <c r="B124" s="50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103">
        <v>0</v>
      </c>
      <c r="M124" s="102">
        <v>0</v>
      </c>
      <c r="N124" s="102">
        <v>0</v>
      </c>
      <c r="O124" s="102">
        <f>IF(L124&gt;0,N124*100/L124,0)</f>
        <v>0</v>
      </c>
      <c r="P124" s="102">
        <f>IF(M124&gt;0,N124*100/M124,0)</f>
        <v>0</v>
      </c>
      <c r="Q124" s="102">
        <v>0</v>
      </c>
      <c r="R124" s="102">
        <v>0</v>
      </c>
      <c r="S124" s="102">
        <v>0</v>
      </c>
      <c r="T124" s="102">
        <f>IF(Q124&gt;0,S124*100/Q124,0)</f>
        <v>0</v>
      </c>
      <c r="U124" s="102">
        <f>IF(R124&gt;0,S124*100/R124,0)</f>
        <v>0</v>
      </c>
    </row>
    <row r="125" spans="1:21" ht="18.75" hidden="1">
      <c r="A125" s="155"/>
      <c r="B125" s="50"/>
      <c r="C125" s="50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256">
        <f ca="1">IFERROR(__xludf.DUMMYFUNCTION("IMPORTRANGE(""https://docs.google.com/spreadsheets/d/1-uDff_7J0KD5mKrp0Vvzr7lt3OU09vwQwhkpOPPYv2Y/edit?usp=sharing"",""งบพรบ!BJ35"")"),0)</f>
        <v>0</v>
      </c>
      <c r="M125" s="255">
        <f ca="1">IFERROR(__xludf.DUMMYFUNCTION("IMPORTRANGE(""https://docs.google.com/spreadsheets/d/1-uDff_7J0KD5mKrp0Vvzr7lt3OU09vwQwhkpOPPYv2Y/edit?usp=sharing"",""งบพรบ!BM35"")"),0)</f>
        <v>0</v>
      </c>
      <c r="N125" s="255">
        <f ca="1">IFERROR(__xludf.DUMMYFUNCTION("IMPORTRANGE(""https://docs.google.com/spreadsheets/d/1-uDff_7J0KD5mKrp0Vvzr7lt3OU09vwQwhkpOPPYv2Y/edit?usp=sharing"",""งบพรบ!BO35"")"),0)</f>
        <v>0</v>
      </c>
      <c r="O125" s="255">
        <f ca="1">IF(L125&gt;0,N125*100/L125,0)</f>
        <v>0</v>
      </c>
      <c r="P125" s="255">
        <f ca="1">IF(M125&gt;0,N125*100/M125,0)</f>
        <v>0</v>
      </c>
      <c r="Q125" s="255">
        <v>0</v>
      </c>
      <c r="R125" s="255">
        <v>0</v>
      </c>
      <c r="S125" s="255">
        <v>0</v>
      </c>
      <c r="T125" s="255">
        <f>IF(Q125&gt;0,S125*100/Q125,0)</f>
        <v>0</v>
      </c>
      <c r="U125" s="255">
        <f>IF(R125&gt;0,S125*100/R125,0)</f>
        <v>0</v>
      </c>
    </row>
    <row r="126" spans="1:21" ht="19.5">
      <c r="A126" s="166"/>
      <c r="B126" s="167"/>
      <c r="C126" s="205" t="s">
        <v>18</v>
      </c>
      <c r="D126" s="566" t="s">
        <v>38</v>
      </c>
      <c r="E126" s="169"/>
      <c r="F126" s="169"/>
      <c r="G126" s="170"/>
      <c r="H126" s="206"/>
      <c r="I126" s="54"/>
      <c r="J126" s="54"/>
      <c r="K126" s="55"/>
      <c r="L126" s="62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212">
        <f ca="1">IFERROR(__xludf.DUMMYFUNCTION("IMPORTRANGE(""https://docs.google.com/spreadsheets/d/1eHaY18a8A9IcSdp1K8H6x8fbOy06t2VsZHhMHf-1x7Y/edit?usp=sharing"",""แผน!FF35"")"),25)</f>
        <v>25</v>
      </c>
      <c r="J127" s="467">
        <v>25</v>
      </c>
      <c r="K127" s="255">
        <f ca="1">IF(I127&gt;0,J127*100/I127,0)</f>
        <v>100</v>
      </c>
      <c r="L127" s="62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212">
        <f ca="1">IFERROR(__xludf.DUMMYFUNCTION("IMPORTRANGE(""https://docs.google.com/spreadsheets/d/1eHaY18a8A9IcSdp1K8H6x8fbOy06t2VsZHhMHf-1x7Y/edit?usp=sharing"",""แผน!FG35"")"),0)</f>
        <v>0</v>
      </c>
      <c r="J128" s="467">
        <v>0</v>
      </c>
      <c r="K128" s="255">
        <f ca="1">IF(I128&gt;0,J128*100/I128,0)</f>
        <v>0</v>
      </c>
      <c r="L128" s="62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212">
        <f ca="1">IFERROR(__xludf.DUMMYFUNCTION("IMPORTRANGE(""https://docs.google.com/spreadsheets/d/1eHaY18a8A9IcSdp1K8H6x8fbOy06t2VsZHhMHf-1x7Y/edit?usp=sharing"",""แผน!FH35"")"),25)</f>
        <v>25</v>
      </c>
      <c r="J129" s="467">
        <v>25</v>
      </c>
      <c r="K129" s="255">
        <f ca="1">IF(I129&gt;0,J129*100/I129,0)</f>
        <v>100</v>
      </c>
      <c r="L129" s="62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212">
        <f ca="1">IFERROR(__xludf.DUMMYFUNCTION("IMPORTRANGE(""https://docs.google.com/spreadsheets/d/1eHaY18a8A9IcSdp1K8H6x8fbOy06t2VsZHhMHf-1x7Y/edit?usp=sharing"",""แผน!FI35"")"),0)</f>
        <v>0</v>
      </c>
      <c r="J130" s="467">
        <v>0</v>
      </c>
      <c r="K130" s="255">
        <f ca="1">IF(I130&gt;0,J130*100/I130,0)</f>
        <v>0</v>
      </c>
      <c r="L130" s="62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8.75" hidden="1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62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8.75" hidden="1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62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2.75" hidden="1">
      <c r="A133" s="192"/>
      <c r="B133" s="193"/>
      <c r="C133" s="193"/>
      <c r="D133" s="22"/>
      <c r="E133" s="22"/>
      <c r="F133" s="22"/>
      <c r="G133" s="23"/>
      <c r="H133" s="209"/>
      <c r="I133" s="24"/>
      <c r="J133" s="24"/>
      <c r="K133" s="25"/>
      <c r="L133" s="26"/>
      <c r="M133" s="25"/>
      <c r="N133" s="25"/>
      <c r="O133" s="25"/>
      <c r="P133" s="25"/>
      <c r="Q133" s="25"/>
      <c r="R133" s="25"/>
      <c r="S133" s="25"/>
      <c r="T133" s="25"/>
      <c r="U133" s="25"/>
    </row>
    <row r="134" spans="1:21" ht="19.5">
      <c r="A134" s="143" t="s">
        <v>58</v>
      </c>
      <c r="B134" s="144"/>
      <c r="C134" s="196"/>
      <c r="D134" s="144"/>
      <c r="E134" s="144"/>
      <c r="F134" s="144"/>
      <c r="G134" s="144"/>
      <c r="H134" s="144"/>
      <c r="I134" s="197"/>
      <c r="J134" s="197"/>
      <c r="K134" s="19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</row>
    <row r="135" spans="1:21" ht="19.5">
      <c r="A135" s="150"/>
      <c r="B135" s="35" t="s">
        <v>59</v>
      </c>
      <c r="C135" s="200"/>
      <c r="D135" s="151"/>
      <c r="E135" s="34"/>
      <c r="F135" s="34"/>
      <c r="G135" s="34"/>
      <c r="H135" s="34"/>
      <c r="I135" s="210"/>
      <c r="J135" s="39"/>
      <c r="K135" s="40"/>
      <c r="L135" s="154"/>
      <c r="M135" s="40"/>
      <c r="N135" s="40"/>
      <c r="O135" s="40"/>
      <c r="P135" s="40"/>
      <c r="Q135" s="40"/>
      <c r="R135" s="40"/>
      <c r="S135" s="40"/>
      <c r="T135" s="40"/>
      <c r="U135" s="40"/>
    </row>
    <row r="136" spans="1:21" ht="19.5">
      <c r="A136" s="150"/>
      <c r="B136" s="34"/>
      <c r="C136" s="211" t="s">
        <v>60</v>
      </c>
      <c r="D136" s="151"/>
      <c r="E136" s="34"/>
      <c r="F136" s="34"/>
      <c r="G136" s="37"/>
      <c r="H136" s="152" t="s">
        <v>61</v>
      </c>
      <c r="I136" s="721">
        <f ca="1">I154</f>
        <v>0</v>
      </c>
      <c r="J136" s="721">
        <f>J154</f>
        <v>0</v>
      </c>
      <c r="K136" s="720">
        <f ca="1">IF(I136&gt;0,J136*100/I136,0)</f>
        <v>0</v>
      </c>
      <c r="L136" s="154"/>
      <c r="M136" s="40"/>
      <c r="N136" s="40"/>
      <c r="O136" s="40"/>
      <c r="P136" s="40"/>
      <c r="Q136" s="40"/>
      <c r="R136" s="40"/>
      <c r="S136" s="40"/>
      <c r="T136" s="40"/>
      <c r="U136" s="40"/>
    </row>
    <row r="137" spans="1:21" ht="19.5">
      <c r="A137" s="150"/>
      <c r="B137" s="34"/>
      <c r="C137" s="211" t="s">
        <v>62</v>
      </c>
      <c r="D137" s="151"/>
      <c r="E137" s="34"/>
      <c r="F137" s="34"/>
      <c r="G137" s="37"/>
      <c r="H137" s="152" t="s">
        <v>35</v>
      </c>
      <c r="I137" s="721">
        <f ca="1">I152</f>
        <v>10</v>
      </c>
      <c r="J137" s="721">
        <f>J152</f>
        <v>0</v>
      </c>
      <c r="K137" s="720">
        <f ca="1">IF(I137&gt;0,J137*100/I137,0)</f>
        <v>0</v>
      </c>
      <c r="L137" s="154"/>
      <c r="M137" s="40"/>
      <c r="N137" s="40"/>
      <c r="O137" s="40"/>
      <c r="P137" s="40"/>
      <c r="Q137" s="40"/>
      <c r="R137" s="40"/>
      <c r="S137" s="40"/>
      <c r="T137" s="40"/>
      <c r="U137" s="40"/>
    </row>
    <row r="138" spans="1:21" ht="19.5">
      <c r="A138" s="150"/>
      <c r="B138" s="34"/>
      <c r="C138" s="200"/>
      <c r="D138" s="151"/>
      <c r="E138" s="34"/>
      <c r="F138" s="34"/>
      <c r="G138" s="37"/>
      <c r="H138" s="152" t="s">
        <v>54</v>
      </c>
      <c r="I138" s="721">
        <f ca="1">I153</f>
        <v>1</v>
      </c>
      <c r="J138" s="721">
        <f>J153</f>
        <v>0</v>
      </c>
      <c r="K138" s="720">
        <f ca="1">IF(I138&gt;0,J138*100/I138,0)</f>
        <v>0</v>
      </c>
      <c r="L138" s="154"/>
      <c r="M138" s="40"/>
      <c r="N138" s="40"/>
      <c r="O138" s="40"/>
      <c r="P138" s="40"/>
      <c r="Q138" s="40"/>
      <c r="R138" s="40"/>
      <c r="S138" s="40"/>
      <c r="T138" s="40"/>
      <c r="U138" s="40"/>
    </row>
    <row r="139" spans="1:21" ht="19.5">
      <c r="A139" s="155"/>
      <c r="B139" s="50"/>
      <c r="C139" s="156" t="s">
        <v>18</v>
      </c>
      <c r="D139" s="575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541">
        <f ca="1">L140+L141</f>
        <v>106200</v>
      </c>
      <c r="M139" s="540">
        <f ca="1">M140+M141</f>
        <v>101200</v>
      </c>
      <c r="N139" s="540">
        <f ca="1">N140+N141</f>
        <v>76193.5</v>
      </c>
      <c r="O139" s="540">
        <f ca="1">IF(L139&gt;0,N139*100/L139,0)</f>
        <v>71.745291902071557</v>
      </c>
      <c r="P139" s="540">
        <f ca="1">IF(M139&gt;0,N139*100/M139,0)</f>
        <v>75.290019762845844</v>
      </c>
      <c r="Q139" s="540">
        <f ca="1">Q140+Q141</f>
        <v>0</v>
      </c>
      <c r="R139" s="540">
        <f ca="1">R140+R141</f>
        <v>0</v>
      </c>
      <c r="S139" s="540">
        <f ca="1">S140+S141</f>
        <v>0</v>
      </c>
      <c r="T139" s="540">
        <f ca="1">IF(Q139&gt;0,S139*100/Q139,0)</f>
        <v>0</v>
      </c>
      <c r="U139" s="540">
        <f ca="1">IF(R139&gt;0,S139*100/R139,0)</f>
        <v>0</v>
      </c>
    </row>
    <row r="140" spans="1:21" ht="18.75" hidden="1">
      <c r="A140" s="155"/>
      <c r="B140" s="50"/>
      <c r="C140" s="50"/>
      <c r="D140" s="50"/>
      <c r="E140" s="186" t="s">
        <v>20</v>
      </c>
      <c r="F140" s="50"/>
      <c r="G140" s="52"/>
      <c r="H140" s="187" t="s">
        <v>14</v>
      </c>
      <c r="I140" s="54"/>
      <c r="J140" s="54"/>
      <c r="K140" s="55"/>
      <c r="L140" s="103">
        <f>L143+L146</f>
        <v>0</v>
      </c>
      <c r="M140" s="102">
        <f>M143+M146</f>
        <v>0</v>
      </c>
      <c r="N140" s="102">
        <f>N143+N146</f>
        <v>0</v>
      </c>
      <c r="O140" s="102">
        <f>IF(L140&gt;0,N140*100/L140,0)</f>
        <v>0</v>
      </c>
      <c r="P140" s="102">
        <f>IF(M140&gt;0,N140*100/M140,0)</f>
        <v>0</v>
      </c>
      <c r="Q140" s="102">
        <f>Q143+Q146</f>
        <v>0</v>
      </c>
      <c r="R140" s="102">
        <f>R143+R146</f>
        <v>0</v>
      </c>
      <c r="S140" s="102">
        <f>S143+S146</f>
        <v>0</v>
      </c>
      <c r="T140" s="102">
        <f>IF(Q140&gt;0,S140*100/Q140,0)</f>
        <v>0</v>
      </c>
      <c r="U140" s="102">
        <f>IF(R140&gt;0,S140*100/R140,0)</f>
        <v>0</v>
      </c>
    </row>
    <row r="141" spans="1:21" ht="18.75" hidden="1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256">
        <f ca="1">L144+L147</f>
        <v>106200</v>
      </c>
      <c r="M141" s="255">
        <f ca="1">M144+M147</f>
        <v>101200</v>
      </c>
      <c r="N141" s="255">
        <f ca="1">N144+N147</f>
        <v>76193.5</v>
      </c>
      <c r="O141" s="255">
        <f ca="1">IF(L141&gt;0,N141*100/L141,0)</f>
        <v>71.745291902071557</v>
      </c>
      <c r="P141" s="255">
        <f ca="1">IF(M141&gt;0,N141*100/M141,0)</f>
        <v>75.290019762845844</v>
      </c>
      <c r="Q141" s="255">
        <f ca="1">Q144+Q147</f>
        <v>0</v>
      </c>
      <c r="R141" s="255">
        <f ca="1">R144+R147</f>
        <v>0</v>
      </c>
      <c r="S141" s="255">
        <f ca="1">S144+S147</f>
        <v>0</v>
      </c>
      <c r="T141" s="255">
        <f ca="1">IF(Q141&gt;0,S141*100/Q141,0)</f>
        <v>0</v>
      </c>
      <c r="U141" s="255">
        <f ca="1">IF(R141&gt;0,S141*100/R141,0)</f>
        <v>0</v>
      </c>
    </row>
    <row r="142" spans="1:21" ht="18.75">
      <c r="A142" s="155"/>
      <c r="B142" s="50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256">
        <f ca="1">L143+L144</f>
        <v>106200</v>
      </c>
      <c r="M142" s="255">
        <f ca="1">M143+M144</f>
        <v>101200</v>
      </c>
      <c r="N142" s="255">
        <f ca="1">N143+N144</f>
        <v>76193.5</v>
      </c>
      <c r="O142" s="255">
        <f ca="1">IF(L142&gt;0,N142*100/L142,0)</f>
        <v>71.745291902071557</v>
      </c>
      <c r="P142" s="255">
        <f ca="1">IF(M142&gt;0,N142*100/M142,0)</f>
        <v>75.290019762845844</v>
      </c>
      <c r="Q142" s="255">
        <f ca="1">Q143+Q144</f>
        <v>0</v>
      </c>
      <c r="R142" s="255">
        <f ca="1">R143+R144</f>
        <v>0</v>
      </c>
      <c r="S142" s="255">
        <f ca="1">S143+S144</f>
        <v>0</v>
      </c>
      <c r="T142" s="255">
        <f ca="1">IF(Q142&gt;0,S142*100/Q142,0)</f>
        <v>0</v>
      </c>
      <c r="U142" s="255">
        <f ca="1">IF(R142&gt;0,S142*100/R142,0)</f>
        <v>0</v>
      </c>
    </row>
    <row r="143" spans="1:21" ht="18.75" hidden="1">
      <c r="A143" s="155"/>
      <c r="B143" s="50"/>
      <c r="C143" s="50"/>
      <c r="D143" s="50"/>
      <c r="E143" s="186" t="s">
        <v>36</v>
      </c>
      <c r="F143" s="50"/>
      <c r="G143" s="52"/>
      <c r="H143" s="189" t="s">
        <v>14</v>
      </c>
      <c r="I143" s="163"/>
      <c r="J143" s="163"/>
      <c r="K143" s="164"/>
      <c r="L143" s="103">
        <v>0</v>
      </c>
      <c r="M143" s="102">
        <v>0</v>
      </c>
      <c r="N143" s="102">
        <v>0</v>
      </c>
      <c r="O143" s="102">
        <f>IF(L143&gt;0,N143*100/L143,0)</f>
        <v>0</v>
      </c>
      <c r="P143" s="102">
        <f>IF(M143&gt;0,N143*100/M143,0)</f>
        <v>0</v>
      </c>
      <c r="Q143" s="102">
        <v>0</v>
      </c>
      <c r="R143" s="102">
        <v>0</v>
      </c>
      <c r="S143" s="102">
        <v>0</v>
      </c>
      <c r="T143" s="102">
        <f>IF(Q143&gt;0,S143*100/Q143,0)</f>
        <v>0</v>
      </c>
      <c r="U143" s="102">
        <f>IF(R143&gt;0,S143*100/R143,0)</f>
        <v>0</v>
      </c>
    </row>
    <row r="144" spans="1:21" ht="18.75" hidden="1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256">
        <f ca="1">IFERROR(__xludf.DUMMYFUNCTION("IMPORTRANGE(""https://docs.google.com/spreadsheets/d/1-uDff_7J0KD5mKrp0Vvzr7lt3OU09vwQwhkpOPPYv2Y/edit?usp=sharing"",""งบพรบ!BQ35"")"),106200)</f>
        <v>106200</v>
      </c>
      <c r="M144" s="255">
        <f ca="1">IFERROR(__xludf.DUMMYFUNCTION("IMPORTRANGE(""https://docs.google.com/spreadsheets/d/1-uDff_7J0KD5mKrp0Vvzr7lt3OU09vwQwhkpOPPYv2Y/edit?usp=sharing"",""งบพรบ!BV35"")"),101200)</f>
        <v>101200</v>
      </c>
      <c r="N144" s="255">
        <f ca="1">IFERROR(__xludf.DUMMYFUNCTION("IMPORTRANGE(""https://docs.google.com/spreadsheets/d/1-uDff_7J0KD5mKrp0Vvzr7lt3OU09vwQwhkpOPPYv2Y/edit?usp=sharing"",""งบพรบ!BX35"")"),76193.5)</f>
        <v>76193.5</v>
      </c>
      <c r="O144" s="255">
        <f ca="1">IF(L144&gt;0,N144*100/L144,0)</f>
        <v>71.745291902071557</v>
      </c>
      <c r="P144" s="255">
        <f ca="1">IF(M144&gt;0,N144*100/M144,0)</f>
        <v>75.290019762845844</v>
      </c>
      <c r="Q144" s="255">
        <f ca="1">IFERROR(__xludf.DUMMYFUNCTION("IMPORTRANGE(""https://docs.google.com/spreadsheets/d/1ItG2mGa2ceCfYo0BwxsXqNm01IGEUdYcSSLTEv9YCik/edit?usp=sharing"",""เบิกจ่ายกองทุน!BB35"")"),0)</f>
        <v>0</v>
      </c>
      <c r="R144" s="255">
        <f ca="1">IFERROR(__xludf.DUMMYFUNCTION("IMPORTRANGE(""https://docs.google.com/spreadsheets/d/1ItG2mGa2ceCfYo0BwxsXqNm01IGEUdYcSSLTEv9YCik/edit?usp=sharing"",""เบิกจ่ายกองทุน!BC35"")"),0)</f>
        <v>0</v>
      </c>
      <c r="S144" s="255">
        <f ca="1">IFERROR(__xludf.DUMMYFUNCTION("IMPORTRANGE(""https://docs.google.com/spreadsheets/d/1ItG2mGa2ceCfYo0BwxsXqNm01IGEUdYcSSLTEv9YCik/edit?usp=sharing"",""เบิกจ่ายกองทุน!BD35"")"),0)</f>
        <v>0</v>
      </c>
      <c r="T144" s="255">
        <f ca="1">IF(Q144&gt;0,S144*100/Q144,0)</f>
        <v>0</v>
      </c>
      <c r="U144" s="255">
        <f ca="1">IF(R144&gt;0,S144*100/R144,0)</f>
        <v>0</v>
      </c>
    </row>
    <row r="145" spans="1:21" ht="18.75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256">
        <f ca="1">L146+L147</f>
        <v>0</v>
      </c>
      <c r="M145" s="255">
        <f ca="1">M146+M147</f>
        <v>0</v>
      </c>
      <c r="N145" s="255">
        <f ca="1">N146+N147</f>
        <v>0</v>
      </c>
      <c r="O145" s="255">
        <f ca="1">IF(L145&gt;0,N145*100/L145,0)</f>
        <v>0</v>
      </c>
      <c r="P145" s="255">
        <f ca="1">IF(M145&gt;0,N145*100/M145,0)</f>
        <v>0</v>
      </c>
      <c r="Q145" s="255">
        <f>Q146+Q147</f>
        <v>0</v>
      </c>
      <c r="R145" s="255">
        <f>R146+R147</f>
        <v>0</v>
      </c>
      <c r="S145" s="255">
        <f>S146+S147</f>
        <v>0</v>
      </c>
      <c r="T145" s="255">
        <f>IF(Q145&gt;0,S145*100/Q145,0)</f>
        <v>0</v>
      </c>
      <c r="U145" s="255">
        <f>IF(R145&gt;0,S145*100/R145,0)</f>
        <v>0</v>
      </c>
    </row>
    <row r="146" spans="1:21" ht="18.75" hidden="1">
      <c r="A146" s="155"/>
      <c r="B146" s="50"/>
      <c r="C146" s="50"/>
      <c r="D146" s="50"/>
      <c r="E146" s="186" t="s">
        <v>20</v>
      </c>
      <c r="F146" s="50"/>
      <c r="G146" s="52"/>
      <c r="H146" s="189" t="s">
        <v>14</v>
      </c>
      <c r="I146" s="163"/>
      <c r="J146" s="163"/>
      <c r="K146" s="164"/>
      <c r="L146" s="103">
        <v>0</v>
      </c>
      <c r="M146" s="102">
        <v>0</v>
      </c>
      <c r="N146" s="102">
        <v>0</v>
      </c>
      <c r="O146" s="102">
        <f>IF(L146&gt;0,N146*100/L146,0)</f>
        <v>0</v>
      </c>
      <c r="P146" s="102">
        <f>IF(M146&gt;0,N146*100/M146,0)</f>
        <v>0</v>
      </c>
      <c r="Q146" s="102">
        <v>0</v>
      </c>
      <c r="R146" s="102">
        <v>0</v>
      </c>
      <c r="S146" s="102">
        <v>0</v>
      </c>
      <c r="T146" s="102">
        <f>IF(Q146&gt;0,S146*100/Q146,0)</f>
        <v>0</v>
      </c>
      <c r="U146" s="102">
        <f>IF(R146&gt;0,S146*100/R146,0)</f>
        <v>0</v>
      </c>
    </row>
    <row r="147" spans="1:21" ht="18.75" hidden="1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256">
        <f ca="1">IFERROR(__xludf.DUMMYFUNCTION("IMPORTRANGE(""https://docs.google.com/spreadsheets/d/1-uDff_7J0KD5mKrp0Vvzr7lt3OU09vwQwhkpOPPYv2Y/edit?usp=sharing"",""งบพรบ!BT35"")"),0)</f>
        <v>0</v>
      </c>
      <c r="M147" s="255">
        <f ca="1">IFERROR(__xludf.DUMMYFUNCTION("IMPORTRANGE(""https://docs.google.com/spreadsheets/d/1-uDff_7J0KD5mKrp0Vvzr7lt3OU09vwQwhkpOPPYv2Y/edit?usp=sharing"",""งบพรบ!BW35"")"),0)</f>
        <v>0</v>
      </c>
      <c r="N147" s="255">
        <f ca="1">IFERROR(__xludf.DUMMYFUNCTION("IMPORTRANGE(""https://docs.google.com/spreadsheets/d/1-uDff_7J0KD5mKrp0Vvzr7lt3OU09vwQwhkpOPPYv2Y/edit?usp=sharing"",""งบพรบ!BY35"")"),0)</f>
        <v>0</v>
      </c>
      <c r="O147" s="255">
        <f ca="1">IF(L147&gt;0,N147*100/L147,0)</f>
        <v>0</v>
      </c>
      <c r="P147" s="255">
        <f ca="1">IF(M147&gt;0,N147*100/M147,0)</f>
        <v>0</v>
      </c>
      <c r="Q147" s="255">
        <v>0</v>
      </c>
      <c r="R147" s="255">
        <v>0</v>
      </c>
      <c r="S147" s="255">
        <v>0</v>
      </c>
      <c r="T147" s="255">
        <f>IF(Q147&gt;0,S147*100/Q147,0)</f>
        <v>0</v>
      </c>
      <c r="U147" s="255">
        <f>IF(R147&gt;0,S147*100/R147,0)</f>
        <v>0</v>
      </c>
    </row>
    <row r="148" spans="1:21" ht="19.5">
      <c r="A148" s="166"/>
      <c r="B148" s="167"/>
      <c r="C148" s="156" t="s">
        <v>18</v>
      </c>
      <c r="D148" s="566" t="s">
        <v>38</v>
      </c>
      <c r="E148" s="169"/>
      <c r="F148" s="169"/>
      <c r="G148" s="170"/>
      <c r="H148" s="206"/>
      <c r="I148" s="54"/>
      <c r="J148" s="54"/>
      <c r="K148" s="55"/>
      <c r="L148" s="62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8.75">
      <c r="A149" s="155"/>
      <c r="B149" s="50"/>
      <c r="C149" s="50"/>
      <c r="D149" s="58" t="s">
        <v>63</v>
      </c>
      <c r="E149" s="50"/>
      <c r="F149" s="50"/>
      <c r="G149" s="52"/>
      <c r="H149" s="206"/>
      <c r="I149" s="54"/>
      <c r="J149" s="467">
        <v>0</v>
      </c>
      <c r="K149" s="55"/>
      <c r="L149" s="62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9.5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212">
        <f ca="1">IFERROR(__xludf.DUMMYFUNCTION("IMPORTRANGE(""https://docs.google.com/spreadsheets/d/1eHaY18a8A9IcSdp1K8H6x8fbOy06t2VsZHhMHf-1x7Y/edit?usp=sharing"",""แผน!U35"")"),0)</f>
        <v>0</v>
      </c>
      <c r="J150" s="467">
        <v>0</v>
      </c>
      <c r="K150" s="255">
        <f ca="1">IF(I150&gt;0,J150*100/I150,0)</f>
        <v>0</v>
      </c>
      <c r="L150" s="62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8.75">
      <c r="A151" s="155"/>
      <c r="B151" s="50"/>
      <c r="C151" s="50"/>
      <c r="D151" s="174"/>
      <c r="E151" s="50"/>
      <c r="F151" s="50"/>
      <c r="G151" s="52"/>
      <c r="H151" s="165" t="s">
        <v>54</v>
      </c>
      <c r="I151" s="212">
        <f ca="1">IFERROR(__xludf.DUMMYFUNCTION("IMPORTRANGE(""https://docs.google.com/spreadsheets/d/1eHaY18a8A9IcSdp1K8H6x8fbOy06t2VsZHhMHf-1x7Y/edit?usp=sharing"",""แผน!V35"")"),0)</f>
        <v>0</v>
      </c>
      <c r="J151" s="467">
        <v>0</v>
      </c>
      <c r="K151" s="255">
        <f ca="1">IF(I151&gt;0,J151*100/I151,0)</f>
        <v>0</v>
      </c>
      <c r="L151" s="62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9.5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212">
        <f ca="1">IFERROR(__xludf.DUMMYFUNCTION("IMPORTRANGE(""https://docs.google.com/spreadsheets/d/1eHaY18a8A9IcSdp1K8H6x8fbOy06t2VsZHhMHf-1x7Y/edit?usp=sharing"",""แผน!W35"")"),10)</f>
        <v>10</v>
      </c>
      <c r="J152" s="467">
        <v>0</v>
      </c>
      <c r="K152" s="255">
        <f ca="1">IF(I152&gt;0,J152*100/I152,0)</f>
        <v>0</v>
      </c>
      <c r="L152" s="62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8.75">
      <c r="A153" s="155"/>
      <c r="B153" s="50"/>
      <c r="C153" s="50"/>
      <c r="D153" s="50"/>
      <c r="E153" s="50"/>
      <c r="F153" s="50"/>
      <c r="G153" s="52"/>
      <c r="H153" s="165" t="s">
        <v>54</v>
      </c>
      <c r="I153" s="212">
        <f ca="1">IFERROR(__xludf.DUMMYFUNCTION("IMPORTRANGE(""https://docs.google.com/spreadsheets/d/1eHaY18a8A9IcSdp1K8H6x8fbOy06t2VsZHhMHf-1x7Y/edit?usp=sharing"",""แผน!X35"")"),1)</f>
        <v>1</v>
      </c>
      <c r="J153" s="467">
        <v>0</v>
      </c>
      <c r="K153" s="255">
        <f ca="1">IF(I153&gt;0,J153*100/I153,0)</f>
        <v>0</v>
      </c>
      <c r="L153" s="62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8.75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212">
        <f ca="1">IFERROR(__xludf.DUMMYFUNCTION("IMPORTRANGE(""https://docs.google.com/spreadsheets/d/1eHaY18a8A9IcSdp1K8H6x8fbOy06t2VsZHhMHf-1x7Y/edit?usp=sharing"",""แผน!Y35"")"),0)</f>
        <v>0</v>
      </c>
      <c r="J154" s="467">
        <v>0</v>
      </c>
      <c r="K154" s="255">
        <f ca="1">IF(I154&gt;0,J154*100/I154,0)</f>
        <v>0</v>
      </c>
      <c r="L154" s="62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9.5" hidden="1">
      <c r="A155" s="143" t="s">
        <v>67</v>
      </c>
      <c r="B155" s="144"/>
      <c r="C155" s="196"/>
      <c r="D155" s="144"/>
      <c r="E155" s="144"/>
      <c r="F155" s="144"/>
      <c r="G155" s="144"/>
      <c r="H155" s="144"/>
      <c r="I155" s="197"/>
      <c r="J155" s="197"/>
      <c r="K155" s="19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</row>
    <row r="156" spans="1:21" ht="19.5" hidden="1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721">
        <f ca="1">I169</f>
        <v>0</v>
      </c>
      <c r="J156" s="721">
        <f>J169</f>
        <v>0</v>
      </c>
      <c r="K156" s="720">
        <f ca="1">IF(I156&gt;0,J156*100/I156,0)</f>
        <v>0</v>
      </c>
      <c r="L156" s="154"/>
      <c r="M156" s="40"/>
      <c r="N156" s="40"/>
      <c r="O156" s="40"/>
      <c r="P156" s="40"/>
      <c r="Q156" s="40"/>
      <c r="R156" s="40"/>
      <c r="S156" s="40"/>
      <c r="T156" s="40"/>
      <c r="U156" s="40"/>
    </row>
    <row r="157" spans="1:21" ht="19.5" hidden="1">
      <c r="A157" s="155"/>
      <c r="B157" s="50"/>
      <c r="C157" s="156" t="s">
        <v>18</v>
      </c>
      <c r="D157" s="575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541">
        <f ca="1">L158+L159</f>
        <v>0</v>
      </c>
      <c r="M157" s="540">
        <f ca="1">M158+M159</f>
        <v>0</v>
      </c>
      <c r="N157" s="540">
        <f ca="1">N158+N159</f>
        <v>0</v>
      </c>
      <c r="O157" s="540">
        <f ca="1">IF(L157&gt;0,N157*100/L157,0)</f>
        <v>0</v>
      </c>
      <c r="P157" s="540">
        <f ca="1">IF(M157&gt;0,N157*100/M157,0)</f>
        <v>0</v>
      </c>
      <c r="Q157" s="540">
        <f ca="1">Q158+Q159</f>
        <v>0</v>
      </c>
      <c r="R157" s="540">
        <f ca="1">R158+R159</f>
        <v>0</v>
      </c>
      <c r="S157" s="540">
        <f ca="1">S158+S159</f>
        <v>0</v>
      </c>
      <c r="T157" s="540">
        <f ca="1">IF(Q157&gt;0,S157*100/Q157,0)</f>
        <v>0</v>
      </c>
      <c r="U157" s="540">
        <f ca="1">IF(R157&gt;0,S157*100/R157,0)</f>
        <v>0</v>
      </c>
    </row>
    <row r="158" spans="1:21" ht="18.75" hidden="1">
      <c r="A158" s="155"/>
      <c r="B158" s="50"/>
      <c r="C158" s="50"/>
      <c r="D158" s="50"/>
      <c r="E158" s="186" t="s">
        <v>20</v>
      </c>
      <c r="F158" s="50"/>
      <c r="G158" s="52"/>
      <c r="H158" s="187" t="s">
        <v>14</v>
      </c>
      <c r="I158" s="54"/>
      <c r="J158" s="54"/>
      <c r="K158" s="55"/>
      <c r="L158" s="103">
        <f>L161+L164</f>
        <v>0</v>
      </c>
      <c r="M158" s="102">
        <f>M161+M164</f>
        <v>0</v>
      </c>
      <c r="N158" s="102">
        <f>N161+N164</f>
        <v>0</v>
      </c>
      <c r="O158" s="102">
        <f>IF(L158&gt;0,N158*100/L158,0)</f>
        <v>0</v>
      </c>
      <c r="P158" s="102">
        <f>IF(M158&gt;0,N158*100/M158,0)</f>
        <v>0</v>
      </c>
      <c r="Q158" s="102">
        <f>Q161+Q164</f>
        <v>0</v>
      </c>
      <c r="R158" s="102">
        <f>R161+R164</f>
        <v>0</v>
      </c>
      <c r="S158" s="102">
        <f>S161+S164</f>
        <v>0</v>
      </c>
      <c r="T158" s="102">
        <f>IF(Q158&gt;0,S158*100/Q158,0)</f>
        <v>0</v>
      </c>
      <c r="U158" s="102">
        <f>IF(R158&gt;0,S158*100/R158,0)</f>
        <v>0</v>
      </c>
    </row>
    <row r="159" spans="1:21" ht="18.75" hidden="1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256">
        <f ca="1">L162+L165</f>
        <v>0</v>
      </c>
      <c r="M159" s="255">
        <f ca="1">M162+M165</f>
        <v>0</v>
      </c>
      <c r="N159" s="255">
        <f ca="1">N162+N165</f>
        <v>0</v>
      </c>
      <c r="O159" s="255">
        <f ca="1">IF(L159&gt;0,N159*100/L159,0)</f>
        <v>0</v>
      </c>
      <c r="P159" s="255">
        <f ca="1">IF(M159&gt;0,N159*100/M159,0)</f>
        <v>0</v>
      </c>
      <c r="Q159" s="255">
        <f ca="1">Q162+Q165</f>
        <v>0</v>
      </c>
      <c r="R159" s="255">
        <f ca="1">R162+R165</f>
        <v>0</v>
      </c>
      <c r="S159" s="255">
        <f ca="1">S162+S165</f>
        <v>0</v>
      </c>
      <c r="T159" s="255">
        <f ca="1">IF(Q159&gt;0,S159*100/Q159,0)</f>
        <v>0</v>
      </c>
      <c r="U159" s="255">
        <f ca="1">IF(R159&gt;0,S159*100/R159,0)</f>
        <v>0</v>
      </c>
    </row>
    <row r="160" spans="1:21" ht="18.75" hidden="1">
      <c r="A160" s="155"/>
      <c r="B160" s="50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256">
        <f ca="1">L161+L162</f>
        <v>0</v>
      </c>
      <c r="M160" s="255">
        <f ca="1">M161+M162</f>
        <v>0</v>
      </c>
      <c r="N160" s="255">
        <f ca="1">N161+N162</f>
        <v>0</v>
      </c>
      <c r="O160" s="255">
        <f ca="1">IF(L160&gt;0,N160*100/L160,0)</f>
        <v>0</v>
      </c>
      <c r="P160" s="255">
        <f ca="1">IF(M160&gt;0,N160*100/M160,0)</f>
        <v>0</v>
      </c>
      <c r="Q160" s="255">
        <f ca="1">Q161+Q162</f>
        <v>0</v>
      </c>
      <c r="R160" s="255">
        <f ca="1">R161+R162</f>
        <v>0</v>
      </c>
      <c r="S160" s="255">
        <f ca="1">S161+S162</f>
        <v>0</v>
      </c>
      <c r="T160" s="255">
        <f ca="1">IF(Q160&gt;0,S160*100/Q160,0)</f>
        <v>0</v>
      </c>
      <c r="U160" s="255">
        <f ca="1">IF(R160&gt;0,S160*100/R160,0)</f>
        <v>0</v>
      </c>
    </row>
    <row r="161" spans="1:21" ht="18.75" hidden="1">
      <c r="A161" s="155"/>
      <c r="B161" s="50"/>
      <c r="C161" s="50"/>
      <c r="D161" s="50"/>
      <c r="E161" s="186" t="s">
        <v>36</v>
      </c>
      <c r="F161" s="50"/>
      <c r="G161" s="52"/>
      <c r="H161" s="189" t="s">
        <v>14</v>
      </c>
      <c r="I161" s="163"/>
      <c r="J161" s="163"/>
      <c r="K161" s="164"/>
      <c r="L161" s="103">
        <v>0</v>
      </c>
      <c r="M161" s="102">
        <v>0</v>
      </c>
      <c r="N161" s="102">
        <v>0</v>
      </c>
      <c r="O161" s="102">
        <f>IF(L161&gt;0,N161*100/L161,0)</f>
        <v>0</v>
      </c>
      <c r="P161" s="102">
        <f>IF(M161&gt;0,N161*100/M161,0)</f>
        <v>0</v>
      </c>
      <c r="Q161" s="102">
        <v>0</v>
      </c>
      <c r="R161" s="102">
        <v>0</v>
      </c>
      <c r="S161" s="102">
        <v>0</v>
      </c>
      <c r="T161" s="102">
        <f>IF(Q161&gt;0,S161*100/Q161,0)</f>
        <v>0</v>
      </c>
      <c r="U161" s="102">
        <f>IF(R161&gt;0,S161*100/R161,0)</f>
        <v>0</v>
      </c>
    </row>
    <row r="162" spans="1:21" ht="18.75" hidden="1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256">
        <f ca="1">IFERROR(__xludf.DUMMYFUNCTION("IMPORTRANGE(""https://docs.google.com/spreadsheets/d/1-uDff_7J0KD5mKrp0Vvzr7lt3OU09vwQwhkpOPPYv2Y/edit?usp=sharing"",""งบพรบ!CA35"")"),0)</f>
        <v>0</v>
      </c>
      <c r="M162" s="255">
        <f ca="1">IFERROR(__xludf.DUMMYFUNCTION("IMPORTRANGE(""https://docs.google.com/spreadsheets/d/1-uDff_7J0KD5mKrp0Vvzr7lt3OU09vwQwhkpOPPYv2Y/edit?usp=sharing"",""งบพรบ!CF35"")"),0)</f>
        <v>0</v>
      </c>
      <c r="N162" s="255">
        <f ca="1">IFERROR(__xludf.DUMMYFUNCTION("IMPORTRANGE(""https://docs.google.com/spreadsheets/d/1-uDff_7J0KD5mKrp0Vvzr7lt3OU09vwQwhkpOPPYv2Y/edit?usp=sharing"",""งบพรบ!CH35"")"),0)</f>
        <v>0</v>
      </c>
      <c r="O162" s="255">
        <f ca="1">IF(L162&gt;0,N162*100/L162,0)</f>
        <v>0</v>
      </c>
      <c r="P162" s="255">
        <f ca="1">IF(M162&gt;0,N162*100/M162,0)</f>
        <v>0</v>
      </c>
      <c r="Q162" s="255">
        <f ca="1">IFERROR(__xludf.DUMMYFUNCTION("IMPORTRANGE(""https://docs.google.com/spreadsheets/d/1ItG2mGa2ceCfYo0BwxsXqNm01IGEUdYcSSLTEv9YCik/edit?usp=sharing"",""เบิกจ่ายกองทุน!AG35"")"),0)</f>
        <v>0</v>
      </c>
      <c r="R162" s="255">
        <f ca="1">IFERROR(__xludf.DUMMYFUNCTION("IMPORTRANGE(""https://docs.google.com/spreadsheets/d/1ItG2mGa2ceCfYo0BwxsXqNm01IGEUdYcSSLTEv9YCik/edit?usp=sharing"",""เบิกจ่ายกองทุน!AH35"")"),0)</f>
        <v>0</v>
      </c>
      <c r="S162" s="255">
        <f ca="1">IFERROR(__xludf.DUMMYFUNCTION("IMPORTRANGE(""https://docs.google.com/spreadsheets/d/1ItG2mGa2ceCfYo0BwxsXqNm01IGEUdYcSSLTEv9YCik/edit?usp=sharing"",""เบิกจ่ายกองทุน!AI35"")"),0)</f>
        <v>0</v>
      </c>
      <c r="T162" s="255">
        <f ca="1">IF(Q162&gt;0,S162*100/Q162,0)</f>
        <v>0</v>
      </c>
      <c r="U162" s="255">
        <f ca="1">IF(R162&gt;0,S162*100/R162,0)</f>
        <v>0</v>
      </c>
    </row>
    <row r="163" spans="1:21" ht="18.75" hidden="1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256">
        <f ca="1">L164+L165</f>
        <v>0</v>
      </c>
      <c r="M163" s="255">
        <f ca="1">M164+M165</f>
        <v>0</v>
      </c>
      <c r="N163" s="255">
        <f ca="1">N164+N165</f>
        <v>0</v>
      </c>
      <c r="O163" s="255">
        <f ca="1">IF(L163&gt;0,N163*100/L163,0)</f>
        <v>0</v>
      </c>
      <c r="P163" s="255">
        <f ca="1">IF(M163&gt;0,N163*100/M163,0)</f>
        <v>0</v>
      </c>
      <c r="Q163" s="255">
        <f>Q164+Q165</f>
        <v>0</v>
      </c>
      <c r="R163" s="255">
        <f>R164+R165</f>
        <v>0</v>
      </c>
      <c r="S163" s="255">
        <f>S164+S165</f>
        <v>0</v>
      </c>
      <c r="T163" s="255">
        <f>IF(Q163&gt;0,S163*100/Q163,0)</f>
        <v>0</v>
      </c>
      <c r="U163" s="255">
        <f>IF(R163&gt;0,S163*100/R163,0)</f>
        <v>0</v>
      </c>
    </row>
    <row r="164" spans="1:21" ht="18.75" hidden="1">
      <c r="A164" s="155"/>
      <c r="B164" s="50"/>
      <c r="C164" s="50"/>
      <c r="D164" s="50"/>
      <c r="E164" s="186" t="s">
        <v>20</v>
      </c>
      <c r="F164" s="50"/>
      <c r="G164" s="52"/>
      <c r="H164" s="189" t="s">
        <v>14</v>
      </c>
      <c r="I164" s="163"/>
      <c r="J164" s="163"/>
      <c r="K164" s="164"/>
      <c r="L164" s="103">
        <v>0</v>
      </c>
      <c r="M164" s="102">
        <v>0</v>
      </c>
      <c r="N164" s="102">
        <v>0</v>
      </c>
      <c r="O164" s="102">
        <f>IF(L164&gt;0,N164*100/L164,0)</f>
        <v>0</v>
      </c>
      <c r="P164" s="102">
        <f>IF(M164&gt;0,N164*100/M164,0)</f>
        <v>0</v>
      </c>
      <c r="Q164" s="102">
        <v>0</v>
      </c>
      <c r="R164" s="102">
        <v>0</v>
      </c>
      <c r="S164" s="102">
        <v>0</v>
      </c>
      <c r="T164" s="102">
        <f>IF(Q164&gt;0,S164*100/Q164,0)</f>
        <v>0</v>
      </c>
      <c r="U164" s="102">
        <f>IF(R164&gt;0,S164*100/R164,0)</f>
        <v>0</v>
      </c>
    </row>
    <row r="165" spans="1:21" ht="18.75" hidden="1">
      <c r="A165" s="155"/>
      <c r="B165" s="50"/>
      <c r="C165" s="50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256">
        <f ca="1">IFERROR(__xludf.DUMMYFUNCTION("IMPORTRANGE(""https://docs.google.com/spreadsheets/d/1-uDff_7J0KD5mKrp0Vvzr7lt3OU09vwQwhkpOPPYv2Y/edit?usp=sharing"",""งบพรบ!CD35"")"),0)</f>
        <v>0</v>
      </c>
      <c r="M165" s="255">
        <f ca="1">IFERROR(__xludf.DUMMYFUNCTION("IMPORTRANGE(""https://docs.google.com/spreadsheets/d/1-uDff_7J0KD5mKrp0Vvzr7lt3OU09vwQwhkpOPPYv2Y/edit?usp=sharing"",""งบพรบ!CG35"")"),0)</f>
        <v>0</v>
      </c>
      <c r="N165" s="255">
        <f ca="1">IFERROR(__xludf.DUMMYFUNCTION("IMPORTRANGE(""https://docs.google.com/spreadsheets/d/1-uDff_7J0KD5mKrp0Vvzr7lt3OU09vwQwhkpOPPYv2Y/edit?usp=sharing"",""งบพรบ!CI35"")"),0)</f>
        <v>0</v>
      </c>
      <c r="O165" s="255">
        <f ca="1">IF(L165&gt;0,N165*100/L165,0)</f>
        <v>0</v>
      </c>
      <c r="P165" s="255">
        <f ca="1">IF(M165&gt;0,N165*100/M165,0)</f>
        <v>0</v>
      </c>
      <c r="Q165" s="255">
        <v>0</v>
      </c>
      <c r="R165" s="255">
        <v>0</v>
      </c>
      <c r="S165" s="255">
        <v>0</v>
      </c>
      <c r="T165" s="255">
        <f>IF(Q165&gt;0,S165*100/Q165,0)</f>
        <v>0</v>
      </c>
      <c r="U165" s="255">
        <f>IF(R165&gt;0,S165*100/R165,0)</f>
        <v>0</v>
      </c>
    </row>
    <row r="166" spans="1:21" ht="19.5" hidden="1">
      <c r="A166" s="166"/>
      <c r="B166" s="167"/>
      <c r="C166" s="156" t="s">
        <v>18</v>
      </c>
      <c r="D166" s="566" t="s">
        <v>38</v>
      </c>
      <c r="E166" s="169"/>
      <c r="F166" s="169"/>
      <c r="G166" s="170"/>
      <c r="H166" s="206"/>
      <c r="I166" s="54"/>
      <c r="J166" s="54"/>
      <c r="K166" s="55"/>
      <c r="L166" s="62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8.75" hidden="1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212">
        <f ca="1">IFERROR(__xludf.DUMMYFUNCTION("IMPORTRANGE(""https://docs.google.com/spreadsheets/d/1eHaY18a8A9IcSdp1K8H6x8fbOy06t2VsZHhMHf-1x7Y/edit?usp=sharing"",""แผน!Z35"")"),0)</f>
        <v>0</v>
      </c>
      <c r="J167" s="467">
        <v>0</v>
      </c>
      <c r="K167" s="255">
        <f ca="1">IF(I167&gt;0,J167*100/I167,0)</f>
        <v>0</v>
      </c>
      <c r="L167" s="62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8.75" hidden="1">
      <c r="A168" s="155"/>
      <c r="B168" s="50"/>
      <c r="C168" s="50"/>
      <c r="D168" s="186" t="s">
        <v>70</v>
      </c>
      <c r="E168" s="50"/>
      <c r="F168" s="50"/>
      <c r="G168" s="52"/>
      <c r="H168" s="421" t="s">
        <v>35</v>
      </c>
      <c r="I168" s="483">
        <f ca="1">IFERROR(__xludf.DUMMYFUNCTION("IMPORTRANGE(""https://docs.google.com/spreadsheets/d/1eHaY18a8A9IcSdp1K8H6x8fbOy06t2VsZHhMHf-1x7Y/edit?usp=sharing"",""แผน!Z35"")"),0)</f>
        <v>0</v>
      </c>
      <c r="J168" s="589">
        <v>0</v>
      </c>
      <c r="K168" s="102">
        <f ca="1">IF(I168&gt;0,J168*100/I168,0)</f>
        <v>0</v>
      </c>
      <c r="L168" s="62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8.75" hidden="1">
      <c r="A169" s="213"/>
      <c r="B169" s="4"/>
      <c r="C169" s="4"/>
      <c r="D169" s="484" t="s">
        <v>71</v>
      </c>
      <c r="E169" s="4"/>
      <c r="F169" s="4"/>
      <c r="G169" s="65"/>
      <c r="H169" s="719" t="s">
        <v>35</v>
      </c>
      <c r="I169" s="486">
        <f ca="1">IFERROR(__xludf.DUMMYFUNCTION("IMPORTRANGE(""https://docs.google.com/spreadsheets/d/1eHaY18a8A9IcSdp1K8H6x8fbOy06t2VsZHhMHf-1x7Y/edit?usp=sharing"",""แผน!Z35"")"),0)</f>
        <v>0</v>
      </c>
      <c r="J169" s="586">
        <v>0</v>
      </c>
      <c r="K169" s="585">
        <f ca="1">IF(I169&gt;0,J169*100/I169,0)</f>
        <v>0</v>
      </c>
      <c r="L169" s="68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9"/>
      <c r="I170" s="220"/>
      <c r="J170" s="220"/>
      <c r="K170" s="221"/>
      <c r="L170" s="221"/>
      <c r="M170" s="221"/>
      <c r="N170" s="221"/>
      <c r="O170" s="221"/>
      <c r="P170" s="222"/>
      <c r="Q170" s="221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226"/>
      <c r="I171" s="227"/>
      <c r="J171" s="227"/>
      <c r="K171" s="228"/>
      <c r="L171" s="229"/>
      <c r="M171" s="228"/>
      <c r="N171" s="228"/>
      <c r="O171" s="228"/>
      <c r="P171" s="228"/>
      <c r="Q171" s="228"/>
      <c r="R171" s="228"/>
      <c r="S171" s="228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233" t="s">
        <v>35</v>
      </c>
      <c r="I172" s="718">
        <f ca="1">I183+I184</f>
        <v>7</v>
      </c>
      <c r="J172" s="718">
        <f>J183+J184</f>
        <v>7</v>
      </c>
      <c r="K172" s="717">
        <f ca="1">IF(I172&gt;0,J172*100/I172,0)</f>
        <v>100</v>
      </c>
      <c r="L172" s="237"/>
      <c r="M172" s="236"/>
      <c r="N172" s="236"/>
      <c r="O172" s="236"/>
      <c r="P172" s="236"/>
      <c r="Q172" s="236"/>
      <c r="R172" s="236"/>
      <c r="S172" s="236"/>
      <c r="T172" s="236"/>
      <c r="U172" s="236"/>
    </row>
    <row r="173" spans="1:21" ht="19.5">
      <c r="A173" s="155"/>
      <c r="B173" s="50"/>
      <c r="C173" s="156" t="s">
        <v>18</v>
      </c>
      <c r="D173" s="575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541">
        <f ca="1">L174+L175</f>
        <v>19590</v>
      </c>
      <c r="M173" s="540">
        <f ca="1">M174+M175</f>
        <v>36250</v>
      </c>
      <c r="N173" s="540">
        <f ca="1">N174+N175</f>
        <v>36250</v>
      </c>
      <c r="O173" s="540">
        <f ca="1">IF(L173&gt;0,N173*100/L173,0)</f>
        <v>185.04338948443083</v>
      </c>
      <c r="P173" s="540">
        <f ca="1">IF(M173&gt;0,N173*100/M173,0)</f>
        <v>100</v>
      </c>
      <c r="Q173" s="540">
        <f ca="1">Q174+Q175</f>
        <v>0</v>
      </c>
      <c r="R173" s="540">
        <f ca="1">R174+R175</f>
        <v>0</v>
      </c>
      <c r="S173" s="540">
        <f ca="1">S174+S175</f>
        <v>0</v>
      </c>
      <c r="T173" s="540">
        <f ca="1">IF(Q173&gt;0,S173*100/Q173,0)</f>
        <v>0</v>
      </c>
      <c r="U173" s="540">
        <f ca="1">IF(R173&gt;0,S173*100/R173,0)</f>
        <v>0</v>
      </c>
    </row>
    <row r="174" spans="1:21" ht="18.75" hidden="1">
      <c r="A174" s="155"/>
      <c r="B174" s="50"/>
      <c r="C174" s="50"/>
      <c r="D174" s="50"/>
      <c r="E174" s="186" t="s">
        <v>20</v>
      </c>
      <c r="F174" s="50"/>
      <c r="G174" s="52"/>
      <c r="H174" s="187" t="s">
        <v>14</v>
      </c>
      <c r="I174" s="54"/>
      <c r="J174" s="54"/>
      <c r="K174" s="55"/>
      <c r="L174" s="103">
        <f>L177+L180</f>
        <v>0</v>
      </c>
      <c r="M174" s="102">
        <f>M177+M180</f>
        <v>0</v>
      </c>
      <c r="N174" s="102">
        <f>N177+N180</f>
        <v>0</v>
      </c>
      <c r="O174" s="102">
        <f>IF(L174&gt;0,N174*100/L174,0)</f>
        <v>0</v>
      </c>
      <c r="P174" s="102">
        <f>IF(M174&gt;0,N174*100/M174,0)</f>
        <v>0</v>
      </c>
      <c r="Q174" s="102">
        <f>Q177+Q180</f>
        <v>0</v>
      </c>
      <c r="R174" s="102">
        <f>R177+R180</f>
        <v>0</v>
      </c>
      <c r="S174" s="102">
        <f>S177+S180</f>
        <v>0</v>
      </c>
      <c r="T174" s="102">
        <f>IF(Q174&gt;0,S174*100/Q174,0)</f>
        <v>0</v>
      </c>
      <c r="U174" s="102">
        <f>IF(R174&gt;0,S174*100/R174,0)</f>
        <v>0</v>
      </c>
    </row>
    <row r="175" spans="1:21" ht="18.75" hidden="1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256">
        <f ca="1">L178+L181</f>
        <v>19590</v>
      </c>
      <c r="M175" s="255">
        <f ca="1">M178+M181</f>
        <v>36250</v>
      </c>
      <c r="N175" s="255">
        <f ca="1">N178+N181</f>
        <v>36250</v>
      </c>
      <c r="O175" s="255">
        <f ca="1">IF(L175&gt;0,N175*100/L175,0)</f>
        <v>185.04338948443083</v>
      </c>
      <c r="P175" s="255">
        <f ca="1">IF(M175&gt;0,N175*100/M175,0)</f>
        <v>100</v>
      </c>
      <c r="Q175" s="255">
        <f ca="1">Q178+Q181</f>
        <v>0</v>
      </c>
      <c r="R175" s="255">
        <f ca="1">R178+R181</f>
        <v>0</v>
      </c>
      <c r="S175" s="255">
        <f ca="1">S178+S181</f>
        <v>0</v>
      </c>
      <c r="T175" s="255">
        <f ca="1">IF(Q175&gt;0,S175*100/Q175,0)</f>
        <v>0</v>
      </c>
      <c r="U175" s="255">
        <f ca="1">IF(R175&gt;0,S175*100/R175,0)</f>
        <v>0</v>
      </c>
    </row>
    <row r="176" spans="1:21" ht="18.75">
      <c r="A176" s="155"/>
      <c r="B176" s="50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256">
        <f ca="1">L177+L178</f>
        <v>19590</v>
      </c>
      <c r="M176" s="255">
        <f ca="1">M177+M178</f>
        <v>36250</v>
      </c>
      <c r="N176" s="255">
        <f ca="1">N177+N178</f>
        <v>36250</v>
      </c>
      <c r="O176" s="255">
        <f ca="1">IF(L176&gt;0,N176*100/L176,0)</f>
        <v>185.04338948443083</v>
      </c>
      <c r="P176" s="255">
        <f ca="1">IF(M176&gt;0,N176*100/M176,0)</f>
        <v>100</v>
      </c>
      <c r="Q176" s="255">
        <f ca="1">Q177+Q178</f>
        <v>0</v>
      </c>
      <c r="R176" s="255">
        <f ca="1">R177+R178</f>
        <v>0</v>
      </c>
      <c r="S176" s="255">
        <f ca="1">S177+S178</f>
        <v>0</v>
      </c>
      <c r="T176" s="255">
        <f ca="1">IF(Q176&gt;0,S176*100/Q176,0)</f>
        <v>0</v>
      </c>
      <c r="U176" s="255">
        <f ca="1">IF(R176&gt;0,S176*100/R176,0)</f>
        <v>0</v>
      </c>
    </row>
    <row r="177" spans="1:21" ht="18.75" hidden="1">
      <c r="A177" s="155"/>
      <c r="B177" s="50"/>
      <c r="C177" s="50"/>
      <c r="D177" s="50"/>
      <c r="E177" s="186" t="s">
        <v>36</v>
      </c>
      <c r="F177" s="50"/>
      <c r="G177" s="52"/>
      <c r="H177" s="189" t="s">
        <v>14</v>
      </c>
      <c r="I177" s="163"/>
      <c r="J177" s="163"/>
      <c r="K177" s="164"/>
      <c r="L177" s="103">
        <v>0</v>
      </c>
      <c r="M177" s="102">
        <v>0</v>
      </c>
      <c r="N177" s="102">
        <v>0</v>
      </c>
      <c r="O177" s="102">
        <f>IF(L177&gt;0,N177*100/L177,0)</f>
        <v>0</v>
      </c>
      <c r="P177" s="102">
        <f>IF(M177&gt;0,N177*100/M177,0)</f>
        <v>0</v>
      </c>
      <c r="Q177" s="102">
        <v>0</v>
      </c>
      <c r="R177" s="102">
        <v>0</v>
      </c>
      <c r="S177" s="102">
        <v>0</v>
      </c>
      <c r="T177" s="102">
        <f>IF(Q177&gt;0,S177*100/Q177,0)</f>
        <v>0</v>
      </c>
      <c r="U177" s="102">
        <f>IF(R177&gt;0,S177*100/R177,0)</f>
        <v>0</v>
      </c>
    </row>
    <row r="178" spans="1:21" ht="18.75" hidden="1">
      <c r="A178" s="155"/>
      <c r="B178" s="50"/>
      <c r="C178" s="50"/>
      <c r="D178" s="50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256">
        <f ca="1">IFERROR(__xludf.DUMMYFUNCTION("IMPORTRANGE(""https://docs.google.com/spreadsheets/d/1-uDff_7J0KD5mKrp0Vvzr7lt3OU09vwQwhkpOPPYv2Y/edit?usp=sharing"",""งบพรบ!CK35"")"),19590)</f>
        <v>19590</v>
      </c>
      <c r="M178" s="255">
        <f ca="1">IFERROR(__xludf.DUMMYFUNCTION("IMPORTRANGE(""https://docs.google.com/spreadsheets/d/1-uDff_7J0KD5mKrp0Vvzr7lt3OU09vwQwhkpOPPYv2Y/edit?usp=sharing"",""งบพรบ!CP35"")"),36250)</f>
        <v>36250</v>
      </c>
      <c r="N178" s="255">
        <f ca="1">IFERROR(__xludf.DUMMYFUNCTION("IMPORTRANGE(""https://docs.google.com/spreadsheets/d/1-uDff_7J0KD5mKrp0Vvzr7lt3OU09vwQwhkpOPPYv2Y/edit?usp=sharing"",""งบพรบ!CR35"")"),36250)</f>
        <v>36250</v>
      </c>
      <c r="O178" s="255">
        <f ca="1">IF(L178&gt;0,N178*100/L178,0)</f>
        <v>185.04338948443083</v>
      </c>
      <c r="P178" s="255">
        <f ca="1">IF(M178&gt;0,N178*100/M178,0)</f>
        <v>100</v>
      </c>
      <c r="Q178" s="255">
        <f ca="1">IFERROR(__xludf.DUMMYFUNCTION("IMPORTRANGE(""https://docs.google.com/spreadsheets/d/1ItG2mGa2ceCfYo0BwxsXqNm01IGEUdYcSSLTEv9YCik/edit?usp=sharing"",""เบิกจ่ายกองทุน!BE35"")"),0)</f>
        <v>0</v>
      </c>
      <c r="R178" s="255">
        <f ca="1">IFERROR(__xludf.DUMMYFUNCTION("IMPORTRANGE(""https://docs.google.com/spreadsheets/d/1ItG2mGa2ceCfYo0BwxsXqNm01IGEUdYcSSLTEv9YCik/edit?usp=sharing"",""เบิกจ่ายกองทุน!BF35"")"),0)</f>
        <v>0</v>
      </c>
      <c r="S178" s="255">
        <f ca="1">IFERROR(__xludf.DUMMYFUNCTION("IMPORTRANGE(""https://docs.google.com/spreadsheets/d/1ItG2mGa2ceCfYo0BwxsXqNm01IGEUdYcSSLTEv9YCik/edit?usp=sharing"",""เบิกจ่ายกองทุน!BG35"")"),0)</f>
        <v>0</v>
      </c>
      <c r="T178" s="255">
        <f ca="1">IF(Q178&gt;0,S178*100/Q178,0)</f>
        <v>0</v>
      </c>
      <c r="U178" s="255">
        <f ca="1">IF(R178&gt;0,S178*100/R178,0)</f>
        <v>0</v>
      </c>
    </row>
    <row r="179" spans="1:21" ht="18.75">
      <c r="A179" s="155"/>
      <c r="B179" s="50"/>
      <c r="C179" s="50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256">
        <f ca="1">L180+L181</f>
        <v>0</v>
      </c>
      <c r="M179" s="255">
        <f ca="1">M180+M181</f>
        <v>0</v>
      </c>
      <c r="N179" s="255">
        <f ca="1">N180+N181</f>
        <v>0</v>
      </c>
      <c r="O179" s="255">
        <f ca="1">IF(L179&gt;0,N179*100/L179,0)</f>
        <v>0</v>
      </c>
      <c r="P179" s="255">
        <f ca="1">IF(M179&gt;0,N179*100/M179,0)</f>
        <v>0</v>
      </c>
      <c r="Q179" s="255">
        <f>Q180+Q181</f>
        <v>0</v>
      </c>
      <c r="R179" s="255">
        <f>R180+R181</f>
        <v>0</v>
      </c>
      <c r="S179" s="255">
        <f>S180+S181</f>
        <v>0</v>
      </c>
      <c r="T179" s="255">
        <f>IF(Q179&gt;0,S179*100/Q179,0)</f>
        <v>0</v>
      </c>
      <c r="U179" s="255">
        <f>IF(R179&gt;0,S179*100/R179,0)</f>
        <v>0</v>
      </c>
    </row>
    <row r="180" spans="1:21" ht="18.75" hidden="1">
      <c r="A180" s="155"/>
      <c r="B180" s="50"/>
      <c r="C180" s="50"/>
      <c r="D180" s="50"/>
      <c r="E180" s="186" t="s">
        <v>20</v>
      </c>
      <c r="F180" s="50"/>
      <c r="G180" s="52"/>
      <c r="H180" s="189" t="s">
        <v>14</v>
      </c>
      <c r="I180" s="163"/>
      <c r="J180" s="163"/>
      <c r="K180" s="164"/>
      <c r="L180" s="103">
        <v>0</v>
      </c>
      <c r="M180" s="102">
        <v>0</v>
      </c>
      <c r="N180" s="102">
        <v>0</v>
      </c>
      <c r="O180" s="102">
        <f>IF(L180&gt;0,N180*100/L180,0)</f>
        <v>0</v>
      </c>
      <c r="P180" s="102">
        <f>IF(M180&gt;0,N180*100/M180,0)</f>
        <v>0</v>
      </c>
      <c r="Q180" s="102">
        <v>0</v>
      </c>
      <c r="R180" s="102">
        <v>0</v>
      </c>
      <c r="S180" s="102">
        <v>0</v>
      </c>
      <c r="T180" s="102">
        <f>IF(Q180&gt;0,S180*100/Q180,0)</f>
        <v>0</v>
      </c>
      <c r="U180" s="102">
        <f>IF(R180&gt;0,S180*100/R180,0)</f>
        <v>0</v>
      </c>
    </row>
    <row r="181" spans="1:21" ht="18.75" hidden="1">
      <c r="A181" s="155"/>
      <c r="B181" s="50"/>
      <c r="C181" s="50"/>
      <c r="D181" s="50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256">
        <f ca="1">IFERROR(__xludf.DUMMYFUNCTION("IMPORTRANGE(""https://docs.google.com/spreadsheets/d/1-uDff_7J0KD5mKrp0Vvzr7lt3OU09vwQwhkpOPPYv2Y/edit?usp=sharing"",""งบพรบ!CN35"")"),0)</f>
        <v>0</v>
      </c>
      <c r="M181" s="255">
        <f ca="1">IFERROR(__xludf.DUMMYFUNCTION("IMPORTRANGE(""https://docs.google.com/spreadsheets/d/1-uDff_7J0KD5mKrp0Vvzr7lt3OU09vwQwhkpOPPYv2Y/edit?usp=sharing"",""งบพรบ!CQ35"")"),0)</f>
        <v>0</v>
      </c>
      <c r="N181" s="255">
        <f ca="1">IFERROR(__xludf.DUMMYFUNCTION("IMPORTRANGE(""https://docs.google.com/spreadsheets/d/1-uDff_7J0KD5mKrp0Vvzr7lt3OU09vwQwhkpOPPYv2Y/edit?usp=sharing"",""งบพรบ!CS35"")"),0)</f>
        <v>0</v>
      </c>
      <c r="O181" s="255">
        <f ca="1">IF(L181&gt;0,N181*100/L181,0)</f>
        <v>0</v>
      </c>
      <c r="P181" s="255">
        <f ca="1">IF(M181&gt;0,N181*100/M181,0)</f>
        <v>0</v>
      </c>
      <c r="Q181" s="255">
        <v>0</v>
      </c>
      <c r="R181" s="255">
        <v>0</v>
      </c>
      <c r="S181" s="255">
        <v>0</v>
      </c>
      <c r="T181" s="255">
        <f>IF(Q181&gt;0,S181*100/Q181,0)</f>
        <v>0</v>
      </c>
      <c r="U181" s="255">
        <f>IF(R181&gt;0,S181*100/R181,0)</f>
        <v>0</v>
      </c>
    </row>
    <row r="182" spans="1:21" ht="19.5">
      <c r="A182" s="166"/>
      <c r="B182" s="167"/>
      <c r="C182" s="156" t="s">
        <v>18</v>
      </c>
      <c r="D182" s="566" t="s">
        <v>38</v>
      </c>
      <c r="E182" s="169"/>
      <c r="F182" s="169"/>
      <c r="G182" s="170"/>
      <c r="H182" s="206"/>
      <c r="I182" s="54"/>
      <c r="J182" s="54"/>
      <c r="K182" s="55"/>
      <c r="L182" s="62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40" t="s">
        <v>35</v>
      </c>
      <c r="I183" s="212">
        <f ca="1">IFERROR(__xludf.DUMMYFUNCTION("IMPORTRANGE(""https://docs.google.com/spreadsheets/d/1eHaY18a8A9IcSdp1K8H6x8fbOy06t2VsZHhMHf-1x7Y/edit?usp=sharing"",""แผน!AA35"")"),7)</f>
        <v>7</v>
      </c>
      <c r="J183" s="467">
        <v>7</v>
      </c>
      <c r="K183" s="255">
        <f ca="1">IF(I183&gt;0,J183*100/I183,0)</f>
        <v>100</v>
      </c>
      <c r="L183" s="62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8.75" hidden="1">
      <c r="A184" s="238"/>
      <c r="B184" s="188"/>
      <c r="C184" s="188"/>
      <c r="D184" s="358" t="s">
        <v>76</v>
      </c>
      <c r="E184" s="50"/>
      <c r="F184" s="50"/>
      <c r="G184" s="52"/>
      <c r="H184" s="590" t="s">
        <v>35</v>
      </c>
      <c r="I184" s="483">
        <v>0</v>
      </c>
      <c r="J184" s="483">
        <v>0</v>
      </c>
      <c r="K184" s="102">
        <f>IF(I184&gt;0,J184*100/I184,0)</f>
        <v>0</v>
      </c>
      <c r="L184" s="62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233" t="s">
        <v>35</v>
      </c>
      <c r="I185" s="718">
        <f ca="1">I230+I231</f>
        <v>0</v>
      </c>
      <c r="J185" s="718">
        <f>J230+J231</f>
        <v>0</v>
      </c>
      <c r="K185" s="717">
        <f ca="1">IF(I185&gt;0,J185*100/I185,0)</f>
        <v>0</v>
      </c>
      <c r="L185" s="237"/>
      <c r="M185" s="236"/>
      <c r="N185" s="236"/>
      <c r="O185" s="236"/>
      <c r="P185" s="236"/>
      <c r="Q185" s="236"/>
      <c r="R185" s="236"/>
      <c r="S185" s="236"/>
      <c r="T185" s="236"/>
      <c r="U185" s="236"/>
    </row>
    <row r="186" spans="1:21" ht="19.5">
      <c r="A186" s="155"/>
      <c r="B186" s="50"/>
      <c r="C186" s="156" t="s">
        <v>18</v>
      </c>
      <c r="D186" s="575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541">
        <f ca="1">L187+L188</f>
        <v>63500</v>
      </c>
      <c r="M186" s="540">
        <f ca="1">M187+M188</f>
        <v>31500</v>
      </c>
      <c r="N186" s="540">
        <f ca="1">N187+N188</f>
        <v>1630</v>
      </c>
      <c r="O186" s="540">
        <f ca="1">IF(L186&gt;0,N186*100/L186,0)</f>
        <v>2.5669291338582676</v>
      </c>
      <c r="P186" s="540">
        <f ca="1">IF(M186&gt;0,N186*100/M186,0)</f>
        <v>5.1746031746031749</v>
      </c>
      <c r="Q186" s="540">
        <f ca="1">Q187+Q188</f>
        <v>91700</v>
      </c>
      <c r="R186" s="540">
        <f ca="1">R187+R188</f>
        <v>91700</v>
      </c>
      <c r="S186" s="540">
        <f ca="1">S187+S188</f>
        <v>0</v>
      </c>
      <c r="T186" s="540">
        <f ca="1">IF(Q186&gt;0,S186*100/Q186,0)</f>
        <v>0</v>
      </c>
      <c r="U186" s="540">
        <f ca="1">IF(R186&gt;0,S186*100/R186,0)</f>
        <v>0</v>
      </c>
    </row>
    <row r="187" spans="1:21" ht="18.75" hidden="1">
      <c r="A187" s="155"/>
      <c r="B187" s="50"/>
      <c r="C187" s="50"/>
      <c r="D187" s="50"/>
      <c r="E187" s="186" t="s">
        <v>20</v>
      </c>
      <c r="F187" s="50"/>
      <c r="G187" s="52"/>
      <c r="H187" s="187" t="s">
        <v>14</v>
      </c>
      <c r="I187" s="54"/>
      <c r="J187" s="54"/>
      <c r="K187" s="55"/>
      <c r="L187" s="103">
        <f>L190+L193</f>
        <v>0</v>
      </c>
      <c r="M187" s="102">
        <f>M190+M193</f>
        <v>0</v>
      </c>
      <c r="N187" s="102">
        <f>N190+N193</f>
        <v>0</v>
      </c>
      <c r="O187" s="102">
        <f>IF(L187&gt;0,N187*100/L187,0)</f>
        <v>0</v>
      </c>
      <c r="P187" s="102">
        <f>IF(M187&gt;0,N187*100/M187,0)</f>
        <v>0</v>
      </c>
      <c r="Q187" s="102">
        <f>Q190+Q193</f>
        <v>0</v>
      </c>
      <c r="R187" s="102">
        <f>R190+R193</f>
        <v>0</v>
      </c>
      <c r="S187" s="102">
        <f>S190+S193</f>
        <v>0</v>
      </c>
      <c r="T187" s="102">
        <f>IF(Q187&gt;0,S187*100/Q187,0)</f>
        <v>0</v>
      </c>
      <c r="U187" s="102">
        <f>IF(R187&gt;0,S187*100/R187,0)</f>
        <v>0</v>
      </c>
    </row>
    <row r="188" spans="1:21" ht="18.75" hidden="1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256">
        <f ca="1">L191+L194</f>
        <v>63500</v>
      </c>
      <c r="M188" s="255">
        <f ca="1">M191+M194</f>
        <v>31500</v>
      </c>
      <c r="N188" s="255">
        <f ca="1">N191+N194</f>
        <v>1630</v>
      </c>
      <c r="O188" s="255">
        <f ca="1">IF(L188&gt;0,N188*100/L188,0)</f>
        <v>2.5669291338582676</v>
      </c>
      <c r="P188" s="255">
        <f ca="1">IF(M188&gt;0,N188*100/M188,0)</f>
        <v>5.1746031746031749</v>
      </c>
      <c r="Q188" s="255">
        <f ca="1">Q191+Q194</f>
        <v>91700</v>
      </c>
      <c r="R188" s="255">
        <f ca="1">R191+R194</f>
        <v>91700</v>
      </c>
      <c r="S188" s="255">
        <f ca="1">S191+S194</f>
        <v>0</v>
      </c>
      <c r="T188" s="255">
        <f ca="1">IF(Q188&gt;0,S188*100/Q188,0)</f>
        <v>0</v>
      </c>
      <c r="U188" s="255">
        <f ca="1">IF(R188&gt;0,S188*100/R188,0)</f>
        <v>0</v>
      </c>
    </row>
    <row r="189" spans="1:21" ht="18.75">
      <c r="A189" s="155"/>
      <c r="B189" s="50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256">
        <f ca="1">L190+L191</f>
        <v>63500</v>
      </c>
      <c r="M189" s="255">
        <f ca="1">M190+M191</f>
        <v>31500</v>
      </c>
      <c r="N189" s="255">
        <f ca="1">N190+N191</f>
        <v>1630</v>
      </c>
      <c r="O189" s="255">
        <f ca="1">IF(L189&gt;0,N189*100/L189,0)</f>
        <v>2.5669291338582676</v>
      </c>
      <c r="P189" s="255">
        <f ca="1">IF(M189&gt;0,N189*100/M189,0)</f>
        <v>5.1746031746031749</v>
      </c>
      <c r="Q189" s="255">
        <f ca="1">Q190+Q191</f>
        <v>91700</v>
      </c>
      <c r="R189" s="255">
        <f ca="1">R190+R191</f>
        <v>91700</v>
      </c>
      <c r="S189" s="255">
        <f ca="1">S190+S191</f>
        <v>0</v>
      </c>
      <c r="T189" s="255">
        <f ca="1">IF(Q189&gt;0,S189*100/Q189,0)</f>
        <v>0</v>
      </c>
      <c r="U189" s="255">
        <f ca="1">IF(R189&gt;0,S189*100/R189,0)</f>
        <v>0</v>
      </c>
    </row>
    <row r="190" spans="1:21" ht="18.75" hidden="1">
      <c r="A190" s="155"/>
      <c r="B190" s="50"/>
      <c r="C190" s="50"/>
      <c r="D190" s="50"/>
      <c r="E190" s="186" t="s">
        <v>36</v>
      </c>
      <c r="F190" s="50"/>
      <c r="G190" s="52"/>
      <c r="H190" s="189" t="s">
        <v>14</v>
      </c>
      <c r="I190" s="163"/>
      <c r="J190" s="163"/>
      <c r="K190" s="164"/>
      <c r="L190" s="103">
        <v>0</v>
      </c>
      <c r="M190" s="102">
        <v>0</v>
      </c>
      <c r="N190" s="102">
        <v>0</v>
      </c>
      <c r="O190" s="102">
        <f>IF(L190&gt;0,N190*100/L190,0)</f>
        <v>0</v>
      </c>
      <c r="P190" s="102">
        <f>IF(M190&gt;0,N190*100/M190,0)</f>
        <v>0</v>
      </c>
      <c r="Q190" s="102">
        <v>0</v>
      </c>
      <c r="R190" s="102">
        <v>0</v>
      </c>
      <c r="S190" s="102">
        <v>0</v>
      </c>
      <c r="T190" s="102">
        <f>IF(Q190&gt;0,S190*100/Q190,0)</f>
        <v>0</v>
      </c>
      <c r="U190" s="102">
        <f>IF(R190&gt;0,S190*100/R190,0)</f>
        <v>0</v>
      </c>
    </row>
    <row r="191" spans="1:21" ht="18.75" hidden="1">
      <c r="A191" s="155"/>
      <c r="B191" s="50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256">
        <f ca="1">IFERROR(__xludf.DUMMYFUNCTION("IMPORTRANGE(""https://docs.google.com/spreadsheets/d/1-uDff_7J0KD5mKrp0Vvzr7lt3OU09vwQwhkpOPPYv2Y/edit?usp=sharing"",""งบพรบ!CU35"")"),63500)</f>
        <v>63500</v>
      </c>
      <c r="M191" s="255">
        <f ca="1">IFERROR(__xludf.DUMMYFUNCTION("IMPORTRANGE(""https://docs.google.com/spreadsheets/d/1-uDff_7J0KD5mKrp0Vvzr7lt3OU09vwQwhkpOPPYv2Y/edit?usp=sharing"",""งบพรบ!CZ35"")"),31500)</f>
        <v>31500</v>
      </c>
      <c r="N191" s="255">
        <f ca="1">IFERROR(__xludf.DUMMYFUNCTION("IMPORTRANGE(""https://docs.google.com/spreadsheets/d/1-uDff_7J0KD5mKrp0Vvzr7lt3OU09vwQwhkpOPPYv2Y/edit?usp=sharing"",""งบพรบ!DB35"")"),1630)</f>
        <v>1630</v>
      </c>
      <c r="O191" s="255">
        <f ca="1">IF(L191&gt;0,N191*100/L191,0)</f>
        <v>2.5669291338582676</v>
      </c>
      <c r="P191" s="255">
        <f ca="1">IF(M191&gt;0,N191*100/M191,0)</f>
        <v>5.1746031746031749</v>
      </c>
      <c r="Q191" s="255">
        <f ca="1">IFERROR(__xludf.DUMMYFUNCTION("IMPORTRANGE(""https://docs.google.com/spreadsheets/d/1ItG2mGa2ceCfYo0BwxsXqNm01IGEUdYcSSLTEv9YCik/edit?usp=sharing"",""เบิกจ่ายกองทุน!AV35"")"),91700)</f>
        <v>91700</v>
      </c>
      <c r="R191" s="255">
        <f ca="1">IFERROR(__xludf.DUMMYFUNCTION("IMPORTRANGE(""https://docs.google.com/spreadsheets/d/1ItG2mGa2ceCfYo0BwxsXqNm01IGEUdYcSSLTEv9YCik/edit?usp=sharing"",""เบิกจ่ายกองทุน!AW35"")"),91700)</f>
        <v>91700</v>
      </c>
      <c r="S191" s="255">
        <f ca="1">IFERROR(__xludf.DUMMYFUNCTION("IMPORTRANGE(""https://docs.google.com/spreadsheets/d/1ItG2mGa2ceCfYo0BwxsXqNm01IGEUdYcSSLTEv9YCik/edit?usp=sharing"",""เบิกจ่ายกองทุน!AX35"")"),0)</f>
        <v>0</v>
      </c>
      <c r="T191" s="255">
        <f ca="1">IF(Q191&gt;0,S191*100/Q191,0)</f>
        <v>0</v>
      </c>
      <c r="U191" s="255">
        <f ca="1">IF(R191&gt;0,S191*100/R191,0)</f>
        <v>0</v>
      </c>
    </row>
    <row r="192" spans="1:21" ht="18.75">
      <c r="A192" s="155"/>
      <c r="B192" s="50"/>
      <c r="C192" s="50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256">
        <f ca="1">L193+L194</f>
        <v>0</v>
      </c>
      <c r="M192" s="255">
        <f ca="1">M193+M194</f>
        <v>0</v>
      </c>
      <c r="N192" s="255">
        <f ca="1">N193+N194</f>
        <v>0</v>
      </c>
      <c r="O192" s="255">
        <f ca="1">IF(L192&gt;0,N192*100/L192,0)</f>
        <v>0</v>
      </c>
      <c r="P192" s="255">
        <f ca="1">IF(M192&gt;0,N192*100/M192,0)</f>
        <v>0</v>
      </c>
      <c r="Q192" s="255">
        <f>Q193+Q194</f>
        <v>0</v>
      </c>
      <c r="R192" s="255">
        <f>R193+R194</f>
        <v>0</v>
      </c>
      <c r="S192" s="255">
        <f>S193+S194</f>
        <v>0</v>
      </c>
      <c r="T192" s="255">
        <f>IF(Q192&gt;0,S192*100/Q192,0)</f>
        <v>0</v>
      </c>
      <c r="U192" s="255">
        <f>IF(R192&gt;0,S192*100/R192,0)</f>
        <v>0</v>
      </c>
    </row>
    <row r="193" spans="1:21" ht="18.75" hidden="1">
      <c r="A193" s="155"/>
      <c r="B193" s="50"/>
      <c r="C193" s="50"/>
      <c r="D193" s="50"/>
      <c r="E193" s="186" t="s">
        <v>20</v>
      </c>
      <c r="F193" s="50"/>
      <c r="G193" s="52"/>
      <c r="H193" s="189" t="s">
        <v>14</v>
      </c>
      <c r="I193" s="163"/>
      <c r="J193" s="163"/>
      <c r="K193" s="164"/>
      <c r="L193" s="103">
        <v>0</v>
      </c>
      <c r="M193" s="102">
        <v>0</v>
      </c>
      <c r="N193" s="102">
        <v>0</v>
      </c>
      <c r="O193" s="102">
        <f>IF(L193&gt;0,N193*100/L193,0)</f>
        <v>0</v>
      </c>
      <c r="P193" s="102">
        <f>IF(M193&gt;0,N193*100/M193,0)</f>
        <v>0</v>
      </c>
      <c r="Q193" s="102">
        <v>0</v>
      </c>
      <c r="R193" s="102">
        <v>0</v>
      </c>
      <c r="S193" s="102">
        <v>0</v>
      </c>
      <c r="T193" s="102">
        <f>IF(Q193&gt;0,S193*100/Q193,0)</f>
        <v>0</v>
      </c>
      <c r="U193" s="102">
        <f>IF(R193&gt;0,S193*100/R193,0)</f>
        <v>0</v>
      </c>
    </row>
    <row r="194" spans="1:21" ht="18.75" hidden="1">
      <c r="A194" s="155"/>
      <c r="B194" s="50"/>
      <c r="C194" s="50"/>
      <c r="D194" s="50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256">
        <f ca="1">IFERROR(__xludf.DUMMYFUNCTION("IMPORTRANGE(""https://docs.google.com/spreadsheets/d/1-uDff_7J0KD5mKrp0Vvzr7lt3OU09vwQwhkpOPPYv2Y/edit?usp=sharing"",""งบพรบ!CX35"")"),0)</f>
        <v>0</v>
      </c>
      <c r="M194" s="255">
        <f ca="1">IFERROR(__xludf.DUMMYFUNCTION("IMPORTRANGE(""https://docs.google.com/spreadsheets/d/1-uDff_7J0KD5mKrp0Vvzr7lt3OU09vwQwhkpOPPYv2Y/edit?usp=sharing"",""งบพรบ!DA35"")"),0)</f>
        <v>0</v>
      </c>
      <c r="N194" s="255">
        <f ca="1">IFERROR(__xludf.DUMMYFUNCTION("IMPORTRANGE(""https://docs.google.com/spreadsheets/d/1-uDff_7J0KD5mKrp0Vvzr7lt3OU09vwQwhkpOPPYv2Y/edit?usp=sharing"",""งบพรบ!DC35"")"),0)</f>
        <v>0</v>
      </c>
      <c r="O194" s="255">
        <f ca="1">IF(L194&gt;0,N194*100/L194,0)</f>
        <v>0</v>
      </c>
      <c r="P194" s="255">
        <f ca="1">IF(M194&gt;0,N194*100/M194,0)</f>
        <v>0</v>
      </c>
      <c r="Q194" s="255">
        <v>0</v>
      </c>
      <c r="R194" s="255">
        <v>0</v>
      </c>
      <c r="S194" s="255">
        <v>0</v>
      </c>
      <c r="T194" s="255">
        <f>IF(Q194&gt;0,S194*100/Q194,0)</f>
        <v>0</v>
      </c>
      <c r="U194" s="255">
        <f>IF(R194&gt;0,S194*100/R194,0)</f>
        <v>0</v>
      </c>
    </row>
    <row r="195" spans="1:21" ht="19.5">
      <c r="A195" s="241"/>
      <c r="B195" s="242"/>
      <c r="C195" s="243" t="s">
        <v>78</v>
      </c>
      <c r="D195" s="244"/>
      <c r="E195" s="244"/>
      <c r="F195" s="244"/>
      <c r="G195" s="245"/>
      <c r="H195" s="246" t="s">
        <v>79</v>
      </c>
      <c r="I195" s="339">
        <f ca="1">I198</f>
        <v>4</v>
      </c>
      <c r="J195" s="339">
        <f>J198</f>
        <v>2</v>
      </c>
      <c r="K195" s="340">
        <f ca="1">IF(I195&gt;0,J195*100/I195,0)</f>
        <v>50</v>
      </c>
      <c r="L195" s="250"/>
      <c r="M195" s="249"/>
      <c r="N195" s="249"/>
      <c r="O195" s="249"/>
      <c r="P195" s="249"/>
      <c r="Q195" s="249"/>
      <c r="R195" s="249"/>
      <c r="S195" s="249"/>
      <c r="T195" s="249"/>
      <c r="U195" s="249"/>
    </row>
    <row r="196" spans="1:21" ht="19.5">
      <c r="A196" s="155"/>
      <c r="B196" s="50"/>
      <c r="C196" s="156" t="s">
        <v>18</v>
      </c>
      <c r="D196" s="713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541">
        <f ca="1">IFERROR(__xludf.DUMMYFUNCTION("IMPORTRANGE(""https://docs.google.com/spreadsheets/d/1eHaY18a8A9IcSdp1K8H6x8fbOy06t2VsZHhMHf-1x7Y/edit?usp=sharing"",""แผน!AB35"")"),6000)</f>
        <v>6000</v>
      </c>
      <c r="M196" s="55"/>
      <c r="N196" s="716">
        <v>0</v>
      </c>
      <c r="O196" s="540">
        <f ca="1">IF(L196&gt;0,N196*100/L196,0)</f>
        <v>0</v>
      </c>
      <c r="P196" s="540">
        <f>IF(M196&gt;0,N196*100/M196,0)</f>
        <v>0</v>
      </c>
      <c r="Q196" s="55"/>
      <c r="R196" s="55"/>
      <c r="S196" s="55"/>
      <c r="T196" s="55"/>
      <c r="U196" s="55"/>
    </row>
    <row r="197" spans="1:21" ht="19.5">
      <c r="A197" s="166"/>
      <c r="B197" s="167"/>
      <c r="C197" s="156" t="s">
        <v>18</v>
      </c>
      <c r="D197" s="566" t="s">
        <v>38</v>
      </c>
      <c r="E197" s="169"/>
      <c r="F197" s="169"/>
      <c r="G197" s="170"/>
      <c r="H197" s="171"/>
      <c r="I197" s="54"/>
      <c r="J197" s="54"/>
      <c r="K197" s="55"/>
      <c r="L197" s="62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8.75">
      <c r="A198" s="166"/>
      <c r="B198" s="167"/>
      <c r="C198" s="167"/>
      <c r="D198" s="178" t="s">
        <v>80</v>
      </c>
      <c r="E198" s="174"/>
      <c r="F198" s="174"/>
      <c r="G198" s="171"/>
      <c r="H198" s="179" t="s">
        <v>79</v>
      </c>
      <c r="I198" s="212">
        <f ca="1">IFERROR(__xludf.DUMMYFUNCTION("IMPORTRANGE(""https://docs.google.com/spreadsheets/d/1eHaY18a8A9IcSdp1K8H6x8fbOy06t2VsZHhMHf-1x7Y/edit?usp=sharing"",""แผน!AE35"")"),4)</f>
        <v>4</v>
      </c>
      <c r="J198" s="467">
        <v>2</v>
      </c>
      <c r="K198" s="255">
        <f ca="1">IF(I198&gt;0,J198*100/I198,0)</f>
        <v>50</v>
      </c>
      <c r="L198" s="62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8.75">
      <c r="A199" s="166"/>
      <c r="B199" s="167"/>
      <c r="C199" s="167"/>
      <c r="D199" s="178" t="s">
        <v>81</v>
      </c>
      <c r="E199" s="174"/>
      <c r="F199" s="174"/>
      <c r="G199" s="171"/>
      <c r="H199" s="240" t="s">
        <v>35</v>
      </c>
      <c r="I199" s="54"/>
      <c r="J199" s="212">
        <f>J200+J201</f>
        <v>0</v>
      </c>
      <c r="K199" s="55"/>
      <c r="L199" s="62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467">
        <v>0</v>
      </c>
      <c r="K200" s="55"/>
      <c r="L200" s="62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40" t="s">
        <v>35</v>
      </c>
      <c r="I201" s="54"/>
      <c r="J201" s="467">
        <v>0</v>
      </c>
      <c r="K201" s="55"/>
      <c r="L201" s="62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254" t="s">
        <v>85</v>
      </c>
      <c r="I202" s="339">
        <f ca="1">I209</f>
        <v>3</v>
      </c>
      <c r="J202" s="339">
        <f>J209</f>
        <v>0</v>
      </c>
      <c r="K202" s="340">
        <f ca="1">IF(I202&gt;0,J202*100/I202,0)</f>
        <v>0</v>
      </c>
      <c r="L202" s="250"/>
      <c r="M202" s="249"/>
      <c r="N202" s="249"/>
      <c r="O202" s="249"/>
      <c r="P202" s="249"/>
      <c r="Q202" s="249"/>
      <c r="R202" s="249"/>
      <c r="S202" s="249"/>
      <c r="T202" s="249"/>
      <c r="U202" s="249"/>
    </row>
    <row r="203" spans="1:21" ht="19.5">
      <c r="A203" s="155"/>
      <c r="B203" s="50"/>
      <c r="C203" s="156" t="s">
        <v>18</v>
      </c>
      <c r="D203" s="713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541">
        <f ca="1">L204+L205+L206+L207</f>
        <v>15000</v>
      </c>
      <c r="M203" s="55"/>
      <c r="N203" s="540">
        <f>N204+N205+N206+N207</f>
        <v>0</v>
      </c>
      <c r="O203" s="540">
        <f ca="1">IF(L203&gt;0,N203*100/L203,0)</f>
        <v>0</v>
      </c>
      <c r="P203" s="540">
        <f>IF(M203&gt;0,N203*100/M203,0)</f>
        <v>0</v>
      </c>
      <c r="Q203" s="715">
        <f ca="1">Q204+Q205+Q206+Q207</f>
        <v>42000</v>
      </c>
      <c r="R203" s="350"/>
      <c r="S203" s="714">
        <f>S204+S205+S206+S207</f>
        <v>0</v>
      </c>
      <c r="T203" s="714">
        <f ca="1">IF(Q203&gt;0,S203*100/Q203,0)</f>
        <v>0</v>
      </c>
      <c r="U203" s="714">
        <f>IF(R203&gt;0,S203*100/R203,0)</f>
        <v>0</v>
      </c>
    </row>
    <row r="204" spans="1:21" ht="18.75">
      <c r="A204" s="155"/>
      <c r="B204" s="188"/>
      <c r="C204" s="50"/>
      <c r="D204" s="712" t="s">
        <v>310</v>
      </c>
      <c r="E204" s="50"/>
      <c r="F204" s="50"/>
      <c r="G204" s="52"/>
      <c r="H204" s="162" t="s">
        <v>14</v>
      </c>
      <c r="I204" s="163"/>
      <c r="J204" s="163"/>
      <c r="K204" s="164"/>
      <c r="L204" s="256">
        <f ca="1">IFERROR(__xludf.DUMMYFUNCTION("IMPORTRANGE(""https://docs.google.com/spreadsheets/d/1eHaY18a8A9IcSdp1K8H6x8fbOy06t2VsZHhMHf-1x7Y/edit?usp=sharing"",""แผน!AG35"")"),3000)</f>
        <v>3000</v>
      </c>
      <c r="M204" s="55"/>
      <c r="N204" s="702">
        <v>0</v>
      </c>
      <c r="O204" s="164"/>
      <c r="P204" s="55"/>
      <c r="Q204" s="256">
        <v>0</v>
      </c>
      <c r="R204" s="55"/>
      <c r="S204" s="255">
        <v>0</v>
      </c>
      <c r="T204" s="164"/>
      <c r="U204" s="55"/>
    </row>
    <row r="205" spans="1:21" ht="18.75">
      <c r="A205" s="238"/>
      <c r="B205" s="188"/>
      <c r="C205" s="50"/>
      <c r="D205" s="58" t="s">
        <v>308</v>
      </c>
      <c r="E205" s="50"/>
      <c r="F205" s="50"/>
      <c r="G205" s="52"/>
      <c r="H205" s="53" t="s">
        <v>14</v>
      </c>
      <c r="I205" s="54"/>
      <c r="J205" s="54"/>
      <c r="K205" s="55"/>
      <c r="L205" s="256">
        <f ca="1">IFERROR(__xludf.DUMMYFUNCTION("IMPORTRANGE(""https://docs.google.com/spreadsheets/d/1eHaY18a8A9IcSdp1K8H6x8fbOy06t2VsZHhMHf-1x7Y/edit?usp=sharing"",""แผน!AH35"")"),0)</f>
        <v>0</v>
      </c>
      <c r="M205" s="55"/>
      <c r="N205" s="702">
        <v>0</v>
      </c>
      <c r="O205" s="164"/>
      <c r="P205" s="55"/>
      <c r="Q205" s="256">
        <v>0</v>
      </c>
      <c r="R205" s="55"/>
      <c r="S205" s="255">
        <v>0</v>
      </c>
      <c r="T205" s="164"/>
      <c r="U205" s="55"/>
    </row>
    <row r="206" spans="1:21" ht="18.75">
      <c r="A206" s="238"/>
      <c r="B206" s="188"/>
      <c r="C206" s="50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256">
        <f ca="1">IFERROR(__xludf.DUMMYFUNCTION("IMPORTRANGE(""https://docs.google.com/spreadsheets/d/1eHaY18a8A9IcSdp1K8H6x8fbOy06t2VsZHhMHf-1x7Y/edit?usp=sharing"",""แผน!AI35"")"),0)</f>
        <v>0</v>
      </c>
      <c r="M206" s="55"/>
      <c r="N206" s="702">
        <v>0</v>
      </c>
      <c r="O206" s="164"/>
      <c r="P206" s="55"/>
      <c r="Q206" s="256">
        <f ca="1">IFERROR(__xludf.DUMMYFUNCTION("IMPORTRANGE(""https://docs.google.com/spreadsheets/d/1eHaY18a8A9IcSdp1K8H6x8fbOy06t2VsZHhMHf-1x7Y/edit?usp=sharing"",""แผน!LV35"")"),42000)</f>
        <v>42000</v>
      </c>
      <c r="R206" s="55"/>
      <c r="S206" s="702">
        <v>0</v>
      </c>
      <c r="T206" s="164"/>
      <c r="U206" s="55"/>
    </row>
    <row r="207" spans="1:21" ht="18.75">
      <c r="A207" s="238"/>
      <c r="B207" s="188"/>
      <c r="C207" s="50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256">
        <f ca="1">IFERROR(__xludf.DUMMYFUNCTION("IMPORTRANGE(""https://docs.google.com/spreadsheets/d/1eHaY18a8A9IcSdp1K8H6x8fbOy06t2VsZHhMHf-1x7Y/edit?usp=sharing"",""แผน!AJ35"")"),12000)</f>
        <v>12000</v>
      </c>
      <c r="M207" s="55"/>
      <c r="N207" s="702">
        <v>0</v>
      </c>
      <c r="O207" s="164"/>
      <c r="P207" s="55"/>
      <c r="Q207" s="256">
        <v>0</v>
      </c>
      <c r="R207" s="55"/>
      <c r="S207" s="255">
        <v>0</v>
      </c>
      <c r="T207" s="164"/>
      <c r="U207" s="55"/>
    </row>
    <row r="208" spans="1:21" ht="19.5">
      <c r="A208" s="166"/>
      <c r="B208" s="167"/>
      <c r="C208" s="156" t="s">
        <v>18</v>
      </c>
      <c r="D208" s="566" t="s">
        <v>38</v>
      </c>
      <c r="E208" s="169"/>
      <c r="F208" s="169"/>
      <c r="G208" s="170"/>
      <c r="H208" s="171"/>
      <c r="I208" s="163"/>
      <c r="J208" s="163"/>
      <c r="K208" s="164"/>
      <c r="L208" s="172"/>
      <c r="M208" s="164"/>
      <c r="N208" s="164"/>
      <c r="O208" s="164"/>
      <c r="P208" s="164"/>
      <c r="Q208" s="172"/>
      <c r="R208" s="164"/>
      <c r="S208" s="164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257" t="s">
        <v>85</v>
      </c>
      <c r="I209" s="212">
        <f ca="1">IFERROR(__xludf.DUMMYFUNCTION("IMPORTRANGE(""https://docs.google.com/spreadsheets/d/1eHaY18a8A9IcSdp1K8H6x8fbOy06t2VsZHhMHf-1x7Y/edit?usp=sharing"",""แผน!AK35"")"),3)</f>
        <v>3</v>
      </c>
      <c r="J209" s="467">
        <v>0</v>
      </c>
      <c r="K209" s="565">
        <f ca="1">IF(I209&gt;0,J209*100/I209,0)</f>
        <v>0</v>
      </c>
      <c r="L209" s="62"/>
      <c r="M209" s="55"/>
      <c r="N209" s="55"/>
      <c r="O209" s="55"/>
      <c r="P209" s="55"/>
      <c r="Q209" s="62"/>
      <c r="R209" s="55"/>
      <c r="S209" s="55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171"/>
      <c r="I210" s="54"/>
      <c r="J210" s="54"/>
      <c r="K210" s="164"/>
      <c r="L210" s="62"/>
      <c r="M210" s="55"/>
      <c r="N210" s="55"/>
      <c r="O210" s="55"/>
      <c r="P210" s="55"/>
      <c r="Q210" s="62"/>
      <c r="R210" s="55"/>
      <c r="S210" s="55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257" t="s">
        <v>85</v>
      </c>
      <c r="I211" s="212">
        <f ca="1">IFERROR(__xludf.DUMMYFUNCTION("IMPORTRANGE(""https://docs.google.com/spreadsheets/d/1eHaY18a8A9IcSdp1K8H6x8fbOy06t2VsZHhMHf-1x7Y/edit?usp=sharing"",""แผน!JX35"")"),3)</f>
        <v>3</v>
      </c>
      <c r="J211" s="467">
        <v>0</v>
      </c>
      <c r="K211" s="565">
        <f ca="1">IF(I211&gt;0,J211*100/I211,0)</f>
        <v>0</v>
      </c>
      <c r="L211" s="62"/>
      <c r="M211" s="55"/>
      <c r="N211" s="55"/>
      <c r="O211" s="55"/>
      <c r="P211" s="55"/>
      <c r="Q211" s="62"/>
      <c r="R211" s="55"/>
      <c r="S211" s="55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79" t="s">
        <v>93</v>
      </c>
      <c r="I212" s="212">
        <f ca="1">IFERROR(__xludf.DUMMYFUNCTION("IMPORTRANGE(""https://docs.google.com/spreadsheets/d/1eHaY18a8A9IcSdp1K8H6x8fbOy06t2VsZHhMHf-1x7Y/edit?usp=sharing"",""แผน!JY35"")"),0)</f>
        <v>0</v>
      </c>
      <c r="J212" s="467">
        <v>0</v>
      </c>
      <c r="K212" s="565">
        <f ca="1">IF(I212&gt;0,J212*100/I212,0)</f>
        <v>0</v>
      </c>
      <c r="L212" s="62"/>
      <c r="M212" s="55"/>
      <c r="N212" s="55"/>
      <c r="O212" s="55"/>
      <c r="P212" s="55"/>
      <c r="Q212" s="62"/>
      <c r="R212" s="55"/>
      <c r="S212" s="55"/>
      <c r="T212" s="55"/>
      <c r="U212" s="55"/>
    </row>
    <row r="213" spans="1:21" ht="19.5">
      <c r="A213" s="241"/>
      <c r="B213" s="242"/>
      <c r="C213" s="243" t="s">
        <v>94</v>
      </c>
      <c r="D213" s="244"/>
      <c r="E213" s="244"/>
      <c r="F213" s="244"/>
      <c r="G213" s="245"/>
      <c r="H213" s="254" t="s">
        <v>85</v>
      </c>
      <c r="I213" s="339">
        <f ca="1">I220</f>
        <v>1</v>
      </c>
      <c r="J213" s="339">
        <f>J220</f>
        <v>0</v>
      </c>
      <c r="K213" s="340">
        <f ca="1">IF(I213&gt;0,J213*100/I213,0)</f>
        <v>0</v>
      </c>
      <c r="L213" s="250"/>
      <c r="M213" s="249"/>
      <c r="N213" s="249"/>
      <c r="O213" s="249"/>
      <c r="P213" s="249"/>
      <c r="Q213" s="250"/>
      <c r="R213" s="249"/>
      <c r="S213" s="249"/>
      <c r="T213" s="249"/>
      <c r="U213" s="249"/>
    </row>
    <row r="214" spans="1:21" ht="19.5">
      <c r="A214" s="155"/>
      <c r="B214" s="50"/>
      <c r="C214" s="156" t="s">
        <v>18</v>
      </c>
      <c r="D214" s="713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541">
        <f ca="1">L215+L216+L217</f>
        <v>6000</v>
      </c>
      <c r="M214" s="55"/>
      <c r="N214" s="540">
        <f>N215+N216+N217</f>
        <v>0</v>
      </c>
      <c r="O214" s="540">
        <f ca="1">IF(L214&gt;0,N214*100/L214,0)</f>
        <v>0</v>
      </c>
      <c r="P214" s="540">
        <f>IF(M214&gt;0,N214*100/M214,0)</f>
        <v>0</v>
      </c>
      <c r="Q214" s="541">
        <f ca="1">Q215+Q216+Q217</f>
        <v>49700</v>
      </c>
      <c r="R214" s="55"/>
      <c r="S214" s="540">
        <f>S215+S216+S217</f>
        <v>0</v>
      </c>
      <c r="T214" s="540">
        <f ca="1">IF(Q214&gt;0,S214*100/Q214,0)</f>
        <v>0</v>
      </c>
      <c r="U214" s="540">
        <f>IF(R214&gt;0,S214*100/R214,0)</f>
        <v>0</v>
      </c>
    </row>
    <row r="215" spans="1:21" ht="18.75">
      <c r="A215" s="155"/>
      <c r="B215" s="188"/>
      <c r="C215" s="50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256">
        <f ca="1">IFERROR(__xludf.DUMMYFUNCTION("IMPORTRANGE(""https://docs.google.com/spreadsheets/d/1eHaY18a8A9IcSdp1K8H6x8fbOy06t2VsZHhMHf-1x7Y/edit?usp=sharing"",""แผน!AM35"")"),1000)</f>
        <v>1000</v>
      </c>
      <c r="M215" s="55"/>
      <c r="N215" s="702">
        <v>0</v>
      </c>
      <c r="O215" s="164"/>
      <c r="P215" s="55"/>
      <c r="Q215" s="256">
        <v>0</v>
      </c>
      <c r="R215" s="55"/>
      <c r="S215" s="255">
        <v>0</v>
      </c>
      <c r="T215" s="164"/>
      <c r="U215" s="55"/>
    </row>
    <row r="216" spans="1:21" ht="18.75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256">
        <f ca="1">IFERROR(__xludf.DUMMYFUNCTION("IMPORTRANGE(""https://docs.google.com/spreadsheets/d/1eHaY18a8A9IcSdp1K8H6x8fbOy06t2VsZHhMHf-1x7Y/edit?usp=sharing"",""แผน!AN35"")"),5000)</f>
        <v>5000</v>
      </c>
      <c r="M216" s="55"/>
      <c r="N216" s="702">
        <v>0</v>
      </c>
      <c r="O216" s="164"/>
      <c r="P216" s="55"/>
      <c r="Q216" s="256">
        <v>0</v>
      </c>
      <c r="R216" s="55"/>
      <c r="S216" s="255">
        <v>0</v>
      </c>
      <c r="T216" s="164"/>
      <c r="U216" s="55"/>
    </row>
    <row r="217" spans="1:21" ht="18.75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256">
        <f ca="1">IFERROR(__xludf.DUMMYFUNCTION("IMPORTRANGE(""https://docs.google.com/spreadsheets/d/1eHaY18a8A9IcSdp1K8H6x8fbOy06t2VsZHhMHf-1x7Y/edit?usp=sharing"",""แผน!AO35"")"),0)</f>
        <v>0</v>
      </c>
      <c r="M217" s="55"/>
      <c r="N217" s="702">
        <v>0</v>
      </c>
      <c r="O217" s="164"/>
      <c r="P217" s="55"/>
      <c r="Q217" s="256">
        <f ca="1">IFERROR(__xludf.DUMMYFUNCTION("IMPORTRANGE(""https://docs.google.com/spreadsheets/d/1eHaY18a8A9IcSdp1K8H6x8fbOy06t2VsZHhMHf-1x7Y/edit?usp=sharing"",""แผน!LY35"")"),49700)</f>
        <v>49700</v>
      </c>
      <c r="R217" s="55"/>
      <c r="S217" s="702">
        <v>0</v>
      </c>
      <c r="T217" s="164"/>
      <c r="U217" s="55"/>
    </row>
    <row r="218" spans="1:21" ht="19.5">
      <c r="A218" s="166"/>
      <c r="B218" s="167"/>
      <c r="C218" s="191" t="s">
        <v>18</v>
      </c>
      <c r="D218" s="566" t="s">
        <v>38</v>
      </c>
      <c r="E218" s="169"/>
      <c r="F218" s="169"/>
      <c r="G218" s="170"/>
      <c r="H218" s="171"/>
      <c r="I218" s="163"/>
      <c r="J218" s="54"/>
      <c r="K218" s="55"/>
      <c r="L218" s="62"/>
      <c r="M218" s="55"/>
      <c r="N218" s="55"/>
      <c r="O218" s="164"/>
      <c r="P218" s="164"/>
      <c r="Q218" s="62"/>
      <c r="R218" s="55"/>
      <c r="S218" s="55"/>
      <c r="T218" s="164"/>
      <c r="U218" s="164"/>
    </row>
    <row r="219" spans="1:21" ht="18.75">
      <c r="A219" s="166"/>
      <c r="B219" s="167"/>
      <c r="C219" s="167"/>
      <c r="D219" s="173" t="s">
        <v>96</v>
      </c>
      <c r="E219" s="174"/>
      <c r="F219" s="174"/>
      <c r="G219" s="171"/>
      <c r="H219" s="257" t="s">
        <v>85</v>
      </c>
      <c r="I219" s="212">
        <f ca="1">IFERROR(__xludf.DUMMYFUNCTION("IMPORTRANGE(""https://docs.google.com/spreadsheets/d/1eHaY18a8A9IcSdp1K8H6x8fbOy06t2VsZHhMHf-1x7Y/edit?usp=sharing"",""แผน!AP35"")"),1)</f>
        <v>1</v>
      </c>
      <c r="J219" s="467">
        <v>0</v>
      </c>
      <c r="K219" s="255">
        <f ca="1">IF(I219&gt;0,J219*100/I219,0)</f>
        <v>0</v>
      </c>
      <c r="L219" s="62"/>
      <c r="M219" s="55"/>
      <c r="N219" s="55"/>
      <c r="O219" s="55"/>
      <c r="P219" s="55"/>
      <c r="Q219" s="62"/>
      <c r="R219" s="55"/>
      <c r="S219" s="55"/>
      <c r="T219" s="55"/>
      <c r="U219" s="55"/>
    </row>
    <row r="220" spans="1:21" ht="18.75">
      <c r="A220" s="166"/>
      <c r="B220" s="167"/>
      <c r="C220" s="167"/>
      <c r="D220" s="173" t="s">
        <v>97</v>
      </c>
      <c r="E220" s="174"/>
      <c r="F220" s="174"/>
      <c r="G220" s="171"/>
      <c r="H220" s="257" t="s">
        <v>85</v>
      </c>
      <c r="I220" s="212">
        <f ca="1">IFERROR(__xludf.DUMMYFUNCTION("IMPORTRANGE(""https://docs.google.com/spreadsheets/d/1eHaY18a8A9IcSdp1K8H6x8fbOy06t2VsZHhMHf-1x7Y/edit?usp=sharing"",""แผน!AP35"")"),1)</f>
        <v>1</v>
      </c>
      <c r="J220" s="467">
        <v>0</v>
      </c>
      <c r="K220" s="255">
        <f ca="1">IF(I220&gt;0,J220*100/I220,0)</f>
        <v>0</v>
      </c>
      <c r="L220" s="62"/>
      <c r="M220" s="55"/>
      <c r="N220" s="55"/>
      <c r="O220" s="55"/>
      <c r="P220" s="55"/>
      <c r="Q220" s="62"/>
      <c r="R220" s="55"/>
      <c r="S220" s="55"/>
      <c r="T220" s="55"/>
      <c r="U220" s="55"/>
    </row>
    <row r="221" spans="1:21" ht="19.5">
      <c r="A221" s="241"/>
      <c r="B221" s="242"/>
      <c r="C221" s="243" t="s">
        <v>98</v>
      </c>
      <c r="D221" s="244"/>
      <c r="E221" s="244"/>
      <c r="F221" s="244"/>
      <c r="G221" s="245"/>
      <c r="H221" s="246" t="s">
        <v>99</v>
      </c>
      <c r="I221" s="339">
        <f ca="1">I229</f>
        <v>10000</v>
      </c>
      <c r="J221" s="339">
        <f>J229</f>
        <v>0</v>
      </c>
      <c r="K221" s="340">
        <f ca="1">IF(I221&gt;0,J221*100/I221,0)</f>
        <v>0</v>
      </c>
      <c r="L221" s="250"/>
      <c r="M221" s="249"/>
      <c r="N221" s="249"/>
      <c r="O221" s="249"/>
      <c r="P221" s="249"/>
      <c r="Q221" s="249"/>
      <c r="R221" s="249"/>
      <c r="S221" s="249"/>
      <c r="T221" s="249"/>
      <c r="U221" s="249"/>
    </row>
    <row r="222" spans="1:21" ht="19.5">
      <c r="A222" s="155"/>
      <c r="B222" s="50"/>
      <c r="C222" s="156" t="s">
        <v>18</v>
      </c>
      <c r="D222" s="713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541">
        <f ca="1">L223+L224+L225</f>
        <v>4500</v>
      </c>
      <c r="M222" s="55"/>
      <c r="N222" s="540">
        <f>N223+N224+N225</f>
        <v>0</v>
      </c>
      <c r="O222" s="540">
        <f ca="1">IF(L222&gt;0,N222*100/L222,0)</f>
        <v>0</v>
      </c>
      <c r="P222" s="540">
        <f>IF(M222&gt;0,N222*100/M222,0)</f>
        <v>0</v>
      </c>
      <c r="Q222" s="55"/>
      <c r="R222" s="55"/>
      <c r="S222" s="55"/>
      <c r="T222" s="55"/>
      <c r="U222" s="55"/>
    </row>
    <row r="223" spans="1:21" ht="18.75">
      <c r="A223" s="155"/>
      <c r="B223" s="188"/>
      <c r="C223" s="50"/>
      <c r="D223" s="712" t="s">
        <v>309</v>
      </c>
      <c r="E223" s="50"/>
      <c r="F223" s="50"/>
      <c r="G223" s="52"/>
      <c r="H223" s="162" t="s">
        <v>14</v>
      </c>
      <c r="I223" s="163"/>
      <c r="J223" s="163"/>
      <c r="K223" s="164"/>
      <c r="L223" s="256">
        <f ca="1">IFERROR(__xludf.DUMMYFUNCTION("IMPORTRANGE(""https://docs.google.com/spreadsheets/d/1eHaY18a8A9IcSdp1K8H6x8fbOy06t2VsZHhMHf-1x7Y/edit?usp=sharing"",""แผน!AR35"")"),2500)</f>
        <v>2500</v>
      </c>
      <c r="M223" s="55"/>
      <c r="N223" s="702">
        <v>0</v>
      </c>
      <c r="O223" s="164"/>
      <c r="P223" s="55"/>
      <c r="Q223" s="55"/>
      <c r="R223" s="55"/>
      <c r="S223" s="55"/>
      <c r="T223" s="164"/>
      <c r="U223" s="55"/>
    </row>
    <row r="224" spans="1:21" ht="18.75">
      <c r="A224" s="238"/>
      <c r="B224" s="188"/>
      <c r="C224" s="188"/>
      <c r="D224" s="58" t="s">
        <v>308</v>
      </c>
      <c r="E224" s="50"/>
      <c r="F224" s="50"/>
      <c r="G224" s="52"/>
      <c r="H224" s="162" t="s">
        <v>14</v>
      </c>
      <c r="I224" s="54"/>
      <c r="J224" s="54"/>
      <c r="K224" s="55"/>
      <c r="L224" s="256">
        <f ca="1">IFERROR(__xludf.DUMMYFUNCTION("IMPORTRANGE(""https://docs.google.com/spreadsheets/d/1eHaY18a8A9IcSdp1K8H6x8fbOy06t2VsZHhMHf-1x7Y/edit?usp=sharing"",""แผน!AS35"")"),2000)</f>
        <v>2000</v>
      </c>
      <c r="M224" s="55"/>
      <c r="N224" s="702">
        <v>0</v>
      </c>
      <c r="O224" s="164"/>
      <c r="P224" s="55"/>
      <c r="Q224" s="55"/>
      <c r="R224" s="55"/>
      <c r="S224" s="55"/>
      <c r="T224" s="164"/>
      <c r="U224" s="55"/>
    </row>
    <row r="225" spans="1:21" ht="18.75">
      <c r="A225" s="238"/>
      <c r="B225" s="188"/>
      <c r="C225" s="188"/>
      <c r="D225" s="58" t="s">
        <v>88</v>
      </c>
      <c r="E225" s="50"/>
      <c r="F225" s="50"/>
      <c r="G225" s="52"/>
      <c r="H225" s="162" t="s">
        <v>14</v>
      </c>
      <c r="I225" s="54"/>
      <c r="J225" s="54"/>
      <c r="K225" s="55"/>
      <c r="L225" s="256">
        <f ca="1">IFERROR(__xludf.DUMMYFUNCTION("IMPORTRANGE(""https://docs.google.com/spreadsheets/d/1eHaY18a8A9IcSdp1K8H6x8fbOy06t2VsZHhMHf-1x7Y/edit?usp=sharing"",""แผน!AT35"")"),0)</f>
        <v>0</v>
      </c>
      <c r="M225" s="55"/>
      <c r="N225" s="702">
        <v>0</v>
      </c>
      <c r="O225" s="164"/>
      <c r="P225" s="55"/>
      <c r="Q225" s="55"/>
      <c r="R225" s="55"/>
      <c r="S225" s="55"/>
      <c r="T225" s="164"/>
      <c r="U225" s="55"/>
    </row>
    <row r="226" spans="1:21" ht="19.5">
      <c r="A226" s="166"/>
      <c r="B226" s="167"/>
      <c r="C226" s="191" t="s">
        <v>18</v>
      </c>
      <c r="D226" s="566" t="s">
        <v>38</v>
      </c>
      <c r="E226" s="169"/>
      <c r="F226" s="169"/>
      <c r="G226" s="170"/>
      <c r="H226" s="171"/>
      <c r="I226" s="163"/>
      <c r="J226" s="163"/>
      <c r="K226" s="164"/>
      <c r="L226" s="172"/>
      <c r="M226" s="164"/>
      <c r="N226" s="164"/>
      <c r="O226" s="164"/>
      <c r="P226" s="164"/>
      <c r="Q226" s="164"/>
      <c r="R226" s="164"/>
      <c r="S226" s="164"/>
      <c r="T226" s="164"/>
      <c r="U226" s="164"/>
    </row>
    <row r="227" spans="1:21" ht="18.75">
      <c r="A227" s="166"/>
      <c r="B227" s="167"/>
      <c r="C227" s="167"/>
      <c r="D227" s="58" t="s">
        <v>101</v>
      </c>
      <c r="E227" s="174"/>
      <c r="F227" s="174"/>
      <c r="G227" s="171"/>
      <c r="H227" s="171"/>
      <c r="I227" s="54"/>
      <c r="J227" s="54"/>
      <c r="K227" s="164"/>
      <c r="L227" s="172"/>
      <c r="M227" s="164"/>
      <c r="N227" s="164"/>
      <c r="O227" s="164"/>
      <c r="P227" s="164"/>
      <c r="Q227" s="164"/>
      <c r="R227" s="164"/>
      <c r="S227" s="164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79" t="s">
        <v>99</v>
      </c>
      <c r="I228" s="212">
        <f ca="1">IFERROR(__xludf.DUMMYFUNCTION("IMPORTRANGE(""https://docs.google.com/spreadsheets/d/1eHaY18a8A9IcSdp1K8H6x8fbOy06t2VsZHhMHf-1x7Y/edit?usp=sharing"",""แผน!AV35"")"),10000)</f>
        <v>10000</v>
      </c>
      <c r="J228" s="467">
        <v>0</v>
      </c>
      <c r="K228" s="565">
        <f ca="1">IF(I228&gt;0,J228*100/I228,0)</f>
        <v>0</v>
      </c>
      <c r="L228" s="172"/>
      <c r="M228" s="164"/>
      <c r="N228" s="164"/>
      <c r="O228" s="164"/>
      <c r="P228" s="164"/>
      <c r="Q228" s="164"/>
      <c r="R228" s="164"/>
      <c r="S228" s="164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79" t="s">
        <v>99</v>
      </c>
      <c r="I229" s="212">
        <f ca="1">IFERROR(__xludf.DUMMYFUNCTION("IMPORTRANGE(""https://docs.google.com/spreadsheets/d/1eHaY18a8A9IcSdp1K8H6x8fbOy06t2VsZHhMHf-1x7Y/edit?usp=sharing"",""แผน!AV35"")"),10000)</f>
        <v>10000</v>
      </c>
      <c r="J229" s="467">
        <v>0</v>
      </c>
      <c r="K229" s="565">
        <f ca="1">IF(I229&gt;0,J229*100/I229,0)</f>
        <v>0</v>
      </c>
      <c r="L229" s="62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79" t="s">
        <v>35</v>
      </c>
      <c r="I230" s="212">
        <f ca="1">IFERROR(__xludf.DUMMYFUNCTION("IMPORTRANGE(""https://docs.google.com/spreadsheets/d/1eHaY18a8A9IcSdp1K8H6x8fbOy06t2VsZHhMHf-1x7Y/edit?usp=sharing"",""แผน!AU35"")"),0)</f>
        <v>0</v>
      </c>
      <c r="J230" s="467">
        <v>0</v>
      </c>
      <c r="K230" s="565">
        <f ca="1">IF(I230&gt;0,J230*100/I230,0)</f>
        <v>0</v>
      </c>
      <c r="L230" s="62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9.5" hidden="1">
      <c r="A231" s="241"/>
      <c r="B231" s="242"/>
      <c r="C231" s="243" t="s">
        <v>105</v>
      </c>
      <c r="D231" s="244"/>
      <c r="E231" s="244"/>
      <c r="F231" s="244"/>
      <c r="G231" s="245"/>
      <c r="H231" s="246" t="s">
        <v>35</v>
      </c>
      <c r="I231" s="339">
        <f ca="1">I242+I253</f>
        <v>0</v>
      </c>
      <c r="J231" s="339">
        <f>J242+J253</f>
        <v>0</v>
      </c>
      <c r="K231" s="340">
        <f ca="1">IF(I231&gt;0,J231*100/I231,0)</f>
        <v>0</v>
      </c>
      <c r="L231" s="250"/>
      <c r="M231" s="249"/>
      <c r="N231" s="249"/>
      <c r="O231" s="249"/>
      <c r="P231" s="249"/>
      <c r="Q231" s="249"/>
      <c r="R231" s="249"/>
      <c r="S231" s="249"/>
      <c r="T231" s="249"/>
      <c r="U231" s="249"/>
    </row>
    <row r="232" spans="1:21" ht="19.5" hidden="1">
      <c r="A232" s="155"/>
      <c r="B232" s="50"/>
      <c r="C232" s="156" t="s">
        <v>18</v>
      </c>
      <c r="D232" s="575" t="s">
        <v>19</v>
      </c>
      <c r="E232" s="50"/>
      <c r="F232" s="50"/>
      <c r="G232" s="52"/>
      <c r="H232" s="252" t="s">
        <v>14</v>
      </c>
      <c r="I232" s="163"/>
      <c r="J232" s="163"/>
      <c r="K232" s="164"/>
      <c r="L232" s="711">
        <f ca="1">L243+L254</f>
        <v>0</v>
      </c>
      <c r="M232" s="55"/>
      <c r="N232" s="710">
        <f>N243+N254</f>
        <v>0</v>
      </c>
      <c r="O232" s="55"/>
      <c r="P232" s="55"/>
      <c r="Q232" s="55"/>
      <c r="R232" s="55"/>
      <c r="S232" s="55"/>
      <c r="T232" s="55"/>
      <c r="U232" s="55"/>
    </row>
    <row r="233" spans="1:21" ht="18.75" hidden="1">
      <c r="A233" s="155"/>
      <c r="B233" s="188"/>
      <c r="C233" s="50"/>
      <c r="D233" s="58" t="s">
        <v>86</v>
      </c>
      <c r="E233" s="50"/>
      <c r="F233" s="50"/>
      <c r="G233" s="52"/>
      <c r="H233" s="162" t="s">
        <v>14</v>
      </c>
      <c r="I233" s="163"/>
      <c r="J233" s="163"/>
      <c r="K233" s="164"/>
      <c r="L233" s="103">
        <f ca="1">L244+L255</f>
        <v>0</v>
      </c>
      <c r="M233" s="55"/>
      <c r="N233" s="102">
        <f>N244+N255</f>
        <v>0</v>
      </c>
      <c r="O233" s="55"/>
      <c r="P233" s="55"/>
      <c r="Q233" s="709">
        <v>0</v>
      </c>
      <c r="R233" s="708">
        <v>0</v>
      </c>
      <c r="S233" s="708">
        <v>0</v>
      </c>
      <c r="T233" s="55"/>
      <c r="U233" s="55"/>
    </row>
    <row r="234" spans="1:21" ht="18.75" hidden="1">
      <c r="A234" s="238"/>
      <c r="B234" s="188"/>
      <c r="C234" s="188"/>
      <c r="D234" s="58" t="s">
        <v>88</v>
      </c>
      <c r="E234" s="50"/>
      <c r="F234" s="50"/>
      <c r="G234" s="52"/>
      <c r="H234" s="162" t="s">
        <v>14</v>
      </c>
      <c r="I234" s="54"/>
      <c r="J234" s="54"/>
      <c r="K234" s="55"/>
      <c r="L234" s="103">
        <f ca="1">L245+L256</f>
        <v>0</v>
      </c>
      <c r="M234" s="55"/>
      <c r="N234" s="102">
        <f>N245+N256</f>
        <v>0</v>
      </c>
      <c r="O234" s="55"/>
      <c r="P234" s="55"/>
      <c r="Q234" s="256">
        <v>0</v>
      </c>
      <c r="R234" s="255">
        <v>0</v>
      </c>
      <c r="S234" s="255">
        <v>0</v>
      </c>
      <c r="T234" s="55"/>
      <c r="U234" s="55"/>
    </row>
    <row r="235" spans="1:21" ht="18.75" hidden="1">
      <c r="A235" s="238"/>
      <c r="B235" s="188"/>
      <c r="C235" s="188"/>
      <c r="D235" s="58" t="s">
        <v>106</v>
      </c>
      <c r="E235" s="50"/>
      <c r="F235" s="50"/>
      <c r="G235" s="52"/>
      <c r="H235" s="162" t="s">
        <v>14</v>
      </c>
      <c r="I235" s="54"/>
      <c r="J235" s="54"/>
      <c r="K235" s="55"/>
      <c r="L235" s="103">
        <f ca="1">L246+L257</f>
        <v>0</v>
      </c>
      <c r="M235" s="55"/>
      <c r="N235" s="102">
        <f>N246+N257</f>
        <v>0</v>
      </c>
      <c r="O235" s="55"/>
      <c r="P235" s="55"/>
      <c r="Q235" s="256">
        <v>0</v>
      </c>
      <c r="R235" s="255">
        <v>0</v>
      </c>
      <c r="S235" s="255">
        <v>0</v>
      </c>
      <c r="T235" s="55"/>
      <c r="U235" s="55"/>
    </row>
    <row r="236" spans="1:21" ht="18.75" hidden="1">
      <c r="A236" s="238"/>
      <c r="B236" s="188"/>
      <c r="C236" s="188"/>
      <c r="D236" s="58" t="s">
        <v>107</v>
      </c>
      <c r="E236" s="50"/>
      <c r="F236" s="50"/>
      <c r="G236" s="52"/>
      <c r="H236" s="162" t="s">
        <v>14</v>
      </c>
      <c r="I236" s="54"/>
      <c r="J236" s="54"/>
      <c r="K236" s="55"/>
      <c r="L236" s="103">
        <f ca="1">L247+L258</f>
        <v>0</v>
      </c>
      <c r="M236" s="55"/>
      <c r="N236" s="102">
        <f>N247+N258</f>
        <v>0</v>
      </c>
      <c r="O236" s="55"/>
      <c r="P236" s="55"/>
      <c r="Q236" s="256">
        <v>0</v>
      </c>
      <c r="R236" s="255">
        <v>0</v>
      </c>
      <c r="S236" s="255">
        <v>0</v>
      </c>
      <c r="T236" s="55"/>
      <c r="U236" s="55"/>
    </row>
    <row r="237" spans="1:21" ht="19.5" hidden="1">
      <c r="A237" s="166"/>
      <c r="B237" s="167"/>
      <c r="C237" s="191" t="s">
        <v>18</v>
      </c>
      <c r="D237" s="566" t="s">
        <v>38</v>
      </c>
      <c r="E237" s="169"/>
      <c r="F237" s="169"/>
      <c r="G237" s="170"/>
      <c r="H237" s="171"/>
      <c r="I237" s="163"/>
      <c r="J237" s="54"/>
      <c r="K237" s="55"/>
      <c r="L237" s="62"/>
      <c r="M237" s="55"/>
      <c r="N237" s="55"/>
      <c r="O237" s="164"/>
      <c r="P237" s="164"/>
      <c r="Q237" s="55"/>
      <c r="R237" s="55"/>
      <c r="S237" s="55"/>
      <c r="T237" s="164"/>
      <c r="U237" s="164"/>
    </row>
    <row r="238" spans="1:21" ht="18.75" hidden="1">
      <c r="A238" s="166"/>
      <c r="B238" s="167"/>
      <c r="C238" s="167"/>
      <c r="D238" s="178" t="s">
        <v>108</v>
      </c>
      <c r="E238" s="174"/>
      <c r="F238" s="174"/>
      <c r="G238" s="171"/>
      <c r="H238" s="179" t="s">
        <v>35</v>
      </c>
      <c r="I238" s="212">
        <f ca="1">I249+I260</f>
        <v>0</v>
      </c>
      <c r="J238" s="212">
        <f>J249+J260</f>
        <v>0</v>
      </c>
      <c r="K238" s="255">
        <f ca="1">IF(I238&gt;0,J238*100/I238,0)</f>
        <v>0</v>
      </c>
      <c r="L238" s="62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ht="18.75" hidden="1">
      <c r="A239" s="166"/>
      <c r="B239" s="167"/>
      <c r="C239" s="167"/>
      <c r="D239" s="266" t="s">
        <v>43</v>
      </c>
      <c r="E239" s="174"/>
      <c r="F239" s="174"/>
      <c r="G239" s="171"/>
      <c r="H239" s="171"/>
      <c r="I239" s="54"/>
      <c r="J239" s="54"/>
      <c r="K239" s="55"/>
      <c r="L239" s="62"/>
      <c r="M239" s="55"/>
      <c r="N239" s="55"/>
      <c r="O239" s="164"/>
      <c r="P239" s="164"/>
      <c r="Q239" s="55"/>
      <c r="R239" s="55"/>
      <c r="S239" s="55"/>
      <c r="T239" s="164"/>
      <c r="U239" s="164"/>
    </row>
    <row r="240" spans="1:21" ht="18.75" hidden="1">
      <c r="A240" s="166"/>
      <c r="B240" s="167"/>
      <c r="C240" s="167"/>
      <c r="D240" s="167"/>
      <c r="E240" s="173" t="s">
        <v>109</v>
      </c>
      <c r="F240" s="174"/>
      <c r="G240" s="171"/>
      <c r="H240" s="179" t="s">
        <v>35</v>
      </c>
      <c r="I240" s="212">
        <f>I251+I262</f>
        <v>0</v>
      </c>
      <c r="J240" s="212">
        <f>J251+J262</f>
        <v>0</v>
      </c>
      <c r="K240" s="255">
        <f>IF(I240&gt;0,J240*100/I240,0)</f>
        <v>0</v>
      </c>
      <c r="L240" s="62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ht="18.75" hidden="1">
      <c r="A241" s="166"/>
      <c r="B241" s="167"/>
      <c r="C241" s="167"/>
      <c r="D241" s="167"/>
      <c r="E241" s="173" t="s">
        <v>110</v>
      </c>
      <c r="F241" s="174"/>
      <c r="G241" s="171"/>
      <c r="H241" s="179" t="s">
        <v>61</v>
      </c>
      <c r="I241" s="212">
        <f>I252+I263</f>
        <v>0</v>
      </c>
      <c r="J241" s="212">
        <f>J252+J263</f>
        <v>0</v>
      </c>
      <c r="K241" s="255">
        <f>IF(I241&gt;0,J241*100/I241,0)</f>
        <v>0</v>
      </c>
      <c r="L241" s="62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ht="19.5" hidden="1">
      <c r="A242" s="241"/>
      <c r="B242" s="242"/>
      <c r="C242" s="707" t="s">
        <v>111</v>
      </c>
      <c r="D242" s="244"/>
      <c r="E242" s="244"/>
      <c r="F242" s="244"/>
      <c r="G242" s="245"/>
      <c r="H242" s="706" t="s">
        <v>35</v>
      </c>
      <c r="I242" s="705">
        <f ca="1">I249</f>
        <v>0</v>
      </c>
      <c r="J242" s="705">
        <f>J249</f>
        <v>0</v>
      </c>
      <c r="K242" s="704">
        <f ca="1">IF(I242&gt;0,J242*100/I242,0)</f>
        <v>0</v>
      </c>
      <c r="L242" s="250"/>
      <c r="M242" s="249"/>
      <c r="N242" s="249"/>
      <c r="O242" s="249"/>
      <c r="P242" s="249"/>
      <c r="Q242" s="249"/>
      <c r="R242" s="249"/>
      <c r="S242" s="249"/>
      <c r="T242" s="249"/>
      <c r="U242" s="249"/>
    </row>
    <row r="243" spans="1:21" ht="19.5" hidden="1">
      <c r="A243" s="155"/>
      <c r="B243" s="50"/>
      <c r="C243" s="591" t="s">
        <v>18</v>
      </c>
      <c r="D243" s="562" t="s">
        <v>19</v>
      </c>
      <c r="E243" s="50"/>
      <c r="F243" s="50"/>
      <c r="G243" s="52"/>
      <c r="H243" s="418" t="s">
        <v>14</v>
      </c>
      <c r="I243" s="163"/>
      <c r="J243" s="163"/>
      <c r="K243" s="164"/>
      <c r="L243" s="541">
        <f ca="1">L244+L245+L246+L247</f>
        <v>0</v>
      </c>
      <c r="M243" s="55"/>
      <c r="N243" s="540">
        <f>N244+N245+N246+N247</f>
        <v>0</v>
      </c>
      <c r="O243" s="540">
        <f ca="1">IF(L243&gt;0,N243*100/L243,0)</f>
        <v>0</v>
      </c>
      <c r="P243" s="540">
        <f>IF(M243&gt;0,N243*100/M243,0)</f>
        <v>0</v>
      </c>
      <c r="Q243" s="55"/>
      <c r="R243" s="55"/>
      <c r="S243" s="55"/>
      <c r="T243" s="55"/>
      <c r="U243" s="55"/>
    </row>
    <row r="244" spans="1:21" ht="18.75" hidden="1">
      <c r="A244" s="155"/>
      <c r="B244" s="188"/>
      <c r="C244" s="50"/>
      <c r="D244" s="186" t="s">
        <v>86</v>
      </c>
      <c r="E244" s="50"/>
      <c r="F244" s="50"/>
      <c r="G244" s="52"/>
      <c r="H244" s="189" t="s">
        <v>14</v>
      </c>
      <c r="I244" s="163"/>
      <c r="J244" s="163"/>
      <c r="K244" s="164"/>
      <c r="L244" s="256">
        <f ca="1">IFERROR(__xludf.DUMMYFUNCTION("IMPORTRANGE(""https://docs.google.com/spreadsheets/d/1eHaY18a8A9IcSdp1K8H6x8fbOy06t2VsZHhMHf-1x7Y/edit?usp=sharing"",""แผน!AX35"")"),0)</f>
        <v>0</v>
      </c>
      <c r="M244" s="55"/>
      <c r="N244" s="702">
        <v>0</v>
      </c>
      <c r="O244" s="55"/>
      <c r="P244" s="55"/>
      <c r="Q244" s="55"/>
      <c r="R244" s="55"/>
      <c r="S244" s="55"/>
      <c r="T244" s="55"/>
      <c r="U244" s="55"/>
    </row>
    <row r="245" spans="1:21" ht="18.75" hidden="1">
      <c r="A245" s="238"/>
      <c r="B245" s="188"/>
      <c r="C245" s="188"/>
      <c r="D245" s="186" t="s">
        <v>88</v>
      </c>
      <c r="E245" s="50"/>
      <c r="F245" s="50"/>
      <c r="G245" s="52"/>
      <c r="H245" s="189" t="s">
        <v>14</v>
      </c>
      <c r="I245" s="54"/>
      <c r="J245" s="54"/>
      <c r="K245" s="55"/>
      <c r="L245" s="256">
        <f ca="1">IFERROR(__xludf.DUMMYFUNCTION("IMPORTRANGE(""https://docs.google.com/spreadsheets/d/1eHaY18a8A9IcSdp1K8H6x8fbOy06t2VsZHhMHf-1x7Y/edit?usp=sharing"",""แผน!AY35"")"),0)</f>
        <v>0</v>
      </c>
      <c r="M245" s="55"/>
      <c r="N245" s="702">
        <v>0</v>
      </c>
      <c r="O245" s="55"/>
      <c r="P245" s="55"/>
      <c r="Q245" s="55"/>
      <c r="R245" s="55"/>
      <c r="S245" s="55"/>
      <c r="T245" s="55"/>
      <c r="U245" s="55"/>
    </row>
    <row r="246" spans="1:21" ht="18.75" hidden="1">
      <c r="A246" s="238"/>
      <c r="B246" s="188"/>
      <c r="C246" s="188"/>
      <c r="D246" s="186" t="s">
        <v>106</v>
      </c>
      <c r="E246" s="50"/>
      <c r="F246" s="50"/>
      <c r="G246" s="52"/>
      <c r="H246" s="189" t="s">
        <v>14</v>
      </c>
      <c r="I246" s="54"/>
      <c r="J246" s="54"/>
      <c r="K246" s="55"/>
      <c r="L246" s="256">
        <f ca="1">IFERROR(__xludf.DUMMYFUNCTION("IMPORTRANGE(""https://docs.google.com/spreadsheets/d/1eHaY18a8A9IcSdp1K8H6x8fbOy06t2VsZHhMHf-1x7Y/edit?usp=sharing"",""แผน!AZ35"")"),0)</f>
        <v>0</v>
      </c>
      <c r="M246" s="55"/>
      <c r="N246" s="702">
        <v>0</v>
      </c>
      <c r="O246" s="55"/>
      <c r="P246" s="55"/>
      <c r="Q246" s="55"/>
      <c r="R246" s="55"/>
      <c r="S246" s="55"/>
      <c r="T246" s="55"/>
      <c r="U246" s="55"/>
    </row>
    <row r="247" spans="1:21" ht="18.75" hidden="1">
      <c r="A247" s="238"/>
      <c r="B247" s="188"/>
      <c r="C247" s="188"/>
      <c r="D247" s="186" t="s">
        <v>107</v>
      </c>
      <c r="E247" s="50"/>
      <c r="F247" s="50"/>
      <c r="G247" s="52"/>
      <c r="H247" s="189" t="s">
        <v>14</v>
      </c>
      <c r="I247" s="54"/>
      <c r="J247" s="54"/>
      <c r="K247" s="55"/>
      <c r="L247" s="256">
        <f ca="1">IFERROR(__xludf.DUMMYFUNCTION("IMPORTRANGE(""https://docs.google.com/spreadsheets/d/1eHaY18a8A9IcSdp1K8H6x8fbOy06t2VsZHhMHf-1x7Y/edit?usp=sharing"",""แผน!BA35"")"),0)</f>
        <v>0</v>
      </c>
      <c r="M247" s="55"/>
      <c r="N247" s="702">
        <v>0</v>
      </c>
      <c r="O247" s="55"/>
      <c r="P247" s="55"/>
      <c r="Q247" s="55"/>
      <c r="R247" s="55"/>
      <c r="S247" s="55"/>
      <c r="T247" s="55"/>
      <c r="U247" s="55"/>
    </row>
    <row r="248" spans="1:21" ht="19.5" hidden="1">
      <c r="A248" s="166"/>
      <c r="B248" s="167"/>
      <c r="C248" s="701" t="s">
        <v>18</v>
      </c>
      <c r="D248" s="574" t="s">
        <v>38</v>
      </c>
      <c r="E248" s="169"/>
      <c r="F248" s="169"/>
      <c r="G248" s="170"/>
      <c r="H248" s="171"/>
      <c r="I248" s="163"/>
      <c r="J248" s="54"/>
      <c r="K248" s="55"/>
      <c r="L248" s="62"/>
      <c r="M248" s="55"/>
      <c r="N248" s="55"/>
      <c r="O248" s="164"/>
      <c r="P248" s="164"/>
      <c r="Q248" s="55"/>
      <c r="R248" s="55"/>
      <c r="S248" s="55"/>
      <c r="T248" s="164"/>
      <c r="U248" s="164"/>
    </row>
    <row r="249" spans="1:21" ht="18.75" hidden="1">
      <c r="A249" s="166"/>
      <c r="B249" s="167"/>
      <c r="C249" s="167"/>
      <c r="D249" s="207" t="s">
        <v>108</v>
      </c>
      <c r="E249" s="174"/>
      <c r="F249" s="174"/>
      <c r="G249" s="171"/>
      <c r="H249" s="698" t="s">
        <v>35</v>
      </c>
      <c r="I249" s="483">
        <f ca="1">IFERROR(__xludf.DUMMYFUNCTION("IMPORTRANGE(""https://docs.google.com/spreadsheets/d/1eHaY18a8A9IcSdp1K8H6x8fbOy06t2VsZHhMHf-1x7Y/edit?usp=sharing"",""แผน!BG35"")"),0)</f>
        <v>0</v>
      </c>
      <c r="J249" s="589">
        <v>0</v>
      </c>
      <c r="K249" s="102">
        <f ca="1">IF(I249&gt;0,J249*100/I249,0)</f>
        <v>0</v>
      </c>
      <c r="L249" s="62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8.75" hidden="1">
      <c r="A250" s="166"/>
      <c r="B250" s="167"/>
      <c r="C250" s="167"/>
      <c r="D250" s="700" t="s">
        <v>43</v>
      </c>
      <c r="E250" s="174"/>
      <c r="F250" s="174"/>
      <c r="G250" s="171"/>
      <c r="H250" s="171"/>
      <c r="I250" s="54"/>
      <c r="J250" s="54"/>
      <c r="K250" s="55"/>
      <c r="L250" s="62"/>
      <c r="M250" s="55"/>
      <c r="N250" s="55"/>
      <c r="O250" s="164"/>
      <c r="P250" s="164"/>
      <c r="Q250" s="55"/>
      <c r="R250" s="55"/>
      <c r="S250" s="55"/>
      <c r="T250" s="164"/>
      <c r="U250" s="164"/>
    </row>
    <row r="251" spans="1:21" ht="18.75" hidden="1">
      <c r="A251" s="166"/>
      <c r="B251" s="167"/>
      <c r="C251" s="167"/>
      <c r="D251" s="167"/>
      <c r="E251" s="699" t="s">
        <v>109</v>
      </c>
      <c r="F251" s="174"/>
      <c r="G251" s="171"/>
      <c r="H251" s="698" t="s">
        <v>35</v>
      </c>
      <c r="I251" s="483">
        <v>0</v>
      </c>
      <c r="J251" s="589">
        <v>0</v>
      </c>
      <c r="K251" s="102">
        <f>IF(I251&gt;0,J251*100/I251,0)</f>
        <v>0</v>
      </c>
      <c r="L251" s="62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8.75" hidden="1">
      <c r="A252" s="166"/>
      <c r="B252" s="167"/>
      <c r="C252" s="167"/>
      <c r="D252" s="167"/>
      <c r="E252" s="699" t="s">
        <v>110</v>
      </c>
      <c r="F252" s="174"/>
      <c r="G252" s="171"/>
      <c r="H252" s="698" t="s">
        <v>61</v>
      </c>
      <c r="I252" s="483">
        <v>0</v>
      </c>
      <c r="J252" s="589">
        <v>0</v>
      </c>
      <c r="K252" s="102">
        <f>IF(I252&gt;0,J252*100/I252,0)</f>
        <v>0</v>
      </c>
      <c r="L252" s="62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9.5" hidden="1">
      <c r="A253" s="241"/>
      <c r="B253" s="242"/>
      <c r="C253" s="707" t="s">
        <v>112</v>
      </c>
      <c r="D253" s="244"/>
      <c r="E253" s="244"/>
      <c r="F253" s="244"/>
      <c r="G253" s="245"/>
      <c r="H253" s="706" t="s">
        <v>35</v>
      </c>
      <c r="I253" s="705">
        <f ca="1">I260</f>
        <v>0</v>
      </c>
      <c r="J253" s="705">
        <f>J260</f>
        <v>0</v>
      </c>
      <c r="K253" s="704">
        <f ca="1">IF(I253&gt;0,J253*100/I253,0)</f>
        <v>0</v>
      </c>
      <c r="L253" s="250"/>
      <c r="M253" s="249"/>
      <c r="N253" s="249"/>
      <c r="O253" s="249"/>
      <c r="P253" s="249"/>
      <c r="Q253" s="249"/>
      <c r="R253" s="249"/>
      <c r="S253" s="249"/>
      <c r="T253" s="249"/>
      <c r="U253" s="249"/>
    </row>
    <row r="254" spans="1:21" ht="19.5" hidden="1">
      <c r="A254" s="155"/>
      <c r="B254" s="50"/>
      <c r="C254" s="591" t="s">
        <v>18</v>
      </c>
      <c r="D254" s="703" t="s">
        <v>19</v>
      </c>
      <c r="E254" s="50"/>
      <c r="F254" s="50"/>
      <c r="G254" s="52"/>
      <c r="H254" s="418" t="s">
        <v>14</v>
      </c>
      <c r="I254" s="163"/>
      <c r="J254" s="163"/>
      <c r="K254" s="164"/>
      <c r="L254" s="541">
        <f ca="1">L255+L256+L257+L258</f>
        <v>0</v>
      </c>
      <c r="M254" s="55"/>
      <c r="N254" s="540">
        <f>N255+N256+N257+N258</f>
        <v>0</v>
      </c>
      <c r="O254" s="540">
        <f ca="1">IF(L254&gt;0,N254*100/L254,0)</f>
        <v>0</v>
      </c>
      <c r="P254" s="540">
        <f>IF(M254&gt;0,N254*100/M254,0)</f>
        <v>0</v>
      </c>
      <c r="Q254" s="55"/>
      <c r="R254" s="55"/>
      <c r="S254" s="55"/>
      <c r="T254" s="55"/>
      <c r="U254" s="55"/>
    </row>
    <row r="255" spans="1:21" ht="18.75" hidden="1">
      <c r="A255" s="155"/>
      <c r="B255" s="188"/>
      <c r="C255" s="50"/>
      <c r="D255" s="186" t="s">
        <v>86</v>
      </c>
      <c r="E255" s="50"/>
      <c r="F255" s="50"/>
      <c r="G255" s="52"/>
      <c r="H255" s="189" t="s">
        <v>14</v>
      </c>
      <c r="I255" s="163"/>
      <c r="J255" s="163"/>
      <c r="K255" s="164"/>
      <c r="L255" s="256">
        <f ca="1">IFERROR(__xludf.DUMMYFUNCTION("IMPORTRANGE(""https://docs.google.com/spreadsheets/d/1eHaY18a8A9IcSdp1K8H6x8fbOy06t2VsZHhMHf-1x7Y/edit?usp=sharing"",""แผน!BB35"")"),0)</f>
        <v>0</v>
      </c>
      <c r="M255" s="55"/>
      <c r="N255" s="702">
        <v>0</v>
      </c>
      <c r="O255" s="55"/>
      <c r="P255" s="55"/>
      <c r="Q255" s="55"/>
      <c r="R255" s="55"/>
      <c r="S255" s="55"/>
      <c r="T255" s="55"/>
      <c r="U255" s="55"/>
    </row>
    <row r="256" spans="1:21" ht="18.75" hidden="1">
      <c r="A256" s="238"/>
      <c r="B256" s="188"/>
      <c r="C256" s="188"/>
      <c r="D256" s="186" t="s">
        <v>88</v>
      </c>
      <c r="E256" s="50"/>
      <c r="F256" s="50"/>
      <c r="G256" s="52"/>
      <c r="H256" s="189" t="s">
        <v>14</v>
      </c>
      <c r="I256" s="54"/>
      <c r="J256" s="54"/>
      <c r="K256" s="55"/>
      <c r="L256" s="256">
        <f ca="1">IFERROR(__xludf.DUMMYFUNCTION("IMPORTRANGE(""https://docs.google.com/spreadsheets/d/1eHaY18a8A9IcSdp1K8H6x8fbOy06t2VsZHhMHf-1x7Y/edit?usp=sharing"",""แผน!BC35"")"),0)</f>
        <v>0</v>
      </c>
      <c r="M256" s="55"/>
      <c r="N256" s="702">
        <v>0</v>
      </c>
      <c r="O256" s="55"/>
      <c r="P256" s="55"/>
      <c r="Q256" s="55"/>
      <c r="R256" s="55"/>
      <c r="S256" s="55"/>
      <c r="T256" s="55"/>
      <c r="U256" s="55"/>
    </row>
    <row r="257" spans="1:21" ht="18.75" hidden="1">
      <c r="A257" s="238"/>
      <c r="B257" s="188"/>
      <c r="C257" s="188"/>
      <c r="D257" s="186" t="s">
        <v>106</v>
      </c>
      <c r="E257" s="50"/>
      <c r="F257" s="50"/>
      <c r="G257" s="52"/>
      <c r="H257" s="189" t="s">
        <v>14</v>
      </c>
      <c r="I257" s="54"/>
      <c r="J257" s="54"/>
      <c r="K257" s="55"/>
      <c r="L257" s="256">
        <f ca="1">IFERROR(__xludf.DUMMYFUNCTION("IMPORTRANGE(""https://docs.google.com/spreadsheets/d/1eHaY18a8A9IcSdp1K8H6x8fbOy06t2VsZHhMHf-1x7Y/edit?usp=sharing"",""แผน!BD35"")"),0)</f>
        <v>0</v>
      </c>
      <c r="M257" s="55"/>
      <c r="N257" s="702">
        <v>0</v>
      </c>
      <c r="O257" s="55"/>
      <c r="P257" s="55"/>
      <c r="Q257" s="55"/>
      <c r="R257" s="55"/>
      <c r="S257" s="55"/>
      <c r="T257" s="55"/>
      <c r="U257" s="55"/>
    </row>
    <row r="258" spans="1:21" ht="18.75" hidden="1">
      <c r="A258" s="238"/>
      <c r="B258" s="188"/>
      <c r="C258" s="188"/>
      <c r="D258" s="186" t="s">
        <v>107</v>
      </c>
      <c r="E258" s="50"/>
      <c r="F258" s="50"/>
      <c r="G258" s="52"/>
      <c r="H258" s="189" t="s">
        <v>14</v>
      </c>
      <c r="I258" s="54"/>
      <c r="J258" s="54"/>
      <c r="K258" s="55"/>
      <c r="L258" s="256">
        <f ca="1">IFERROR(__xludf.DUMMYFUNCTION("IMPORTRANGE(""https://docs.google.com/spreadsheets/d/1eHaY18a8A9IcSdp1K8H6x8fbOy06t2VsZHhMHf-1x7Y/edit?usp=sharing"",""แผน!BE35"")"),0)</f>
        <v>0</v>
      </c>
      <c r="M258" s="55"/>
      <c r="N258" s="702">
        <v>0</v>
      </c>
      <c r="O258" s="55"/>
      <c r="P258" s="55"/>
      <c r="Q258" s="55"/>
      <c r="R258" s="55"/>
      <c r="S258" s="55"/>
      <c r="T258" s="55"/>
      <c r="U258" s="55"/>
    </row>
    <row r="259" spans="1:21" ht="19.5" hidden="1">
      <c r="A259" s="166"/>
      <c r="B259" s="167"/>
      <c r="C259" s="701" t="s">
        <v>18</v>
      </c>
      <c r="D259" s="574" t="s">
        <v>38</v>
      </c>
      <c r="E259" s="169"/>
      <c r="F259" s="169"/>
      <c r="G259" s="170"/>
      <c r="H259" s="171"/>
      <c r="I259" s="163"/>
      <c r="J259" s="54"/>
      <c r="K259" s="55"/>
      <c r="L259" s="62"/>
      <c r="M259" s="55"/>
      <c r="N259" s="55"/>
      <c r="O259" s="164"/>
      <c r="P259" s="164"/>
      <c r="Q259" s="55"/>
      <c r="R259" s="55"/>
      <c r="S259" s="55"/>
      <c r="T259" s="164"/>
      <c r="U259" s="164"/>
    </row>
    <row r="260" spans="1:21" ht="18.75" hidden="1">
      <c r="A260" s="166"/>
      <c r="B260" s="167"/>
      <c r="C260" s="167"/>
      <c r="D260" s="207" t="s">
        <v>108</v>
      </c>
      <c r="E260" s="174"/>
      <c r="F260" s="174"/>
      <c r="G260" s="171"/>
      <c r="H260" s="698" t="s">
        <v>35</v>
      </c>
      <c r="I260" s="483">
        <f ca="1">IFERROR(__xludf.DUMMYFUNCTION("IMPORTRANGE(""https://docs.google.com/spreadsheets/d/1eHaY18a8A9IcSdp1K8H6x8fbOy06t2VsZHhMHf-1x7Y/edit?usp=sharing"",""แผน!BH35"")"),0)</f>
        <v>0</v>
      </c>
      <c r="J260" s="589">
        <v>0</v>
      </c>
      <c r="K260" s="102">
        <f ca="1">IF(I260&gt;0,J260*100/I260,0)</f>
        <v>0</v>
      </c>
      <c r="L260" s="62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8.75" hidden="1">
      <c r="A261" s="166"/>
      <c r="B261" s="167"/>
      <c r="C261" s="167"/>
      <c r="D261" s="700" t="s">
        <v>43</v>
      </c>
      <c r="E261" s="174"/>
      <c r="F261" s="174"/>
      <c r="G261" s="171"/>
      <c r="H261" s="171"/>
      <c r="I261" s="54"/>
      <c r="J261" s="54"/>
      <c r="K261" s="55"/>
      <c r="L261" s="62"/>
      <c r="M261" s="55"/>
      <c r="N261" s="55"/>
      <c r="O261" s="164"/>
      <c r="P261" s="164"/>
      <c r="Q261" s="55"/>
      <c r="R261" s="55"/>
      <c r="S261" s="55"/>
      <c r="T261" s="164"/>
      <c r="U261" s="164"/>
    </row>
    <row r="262" spans="1:21" ht="18.75" hidden="1">
      <c r="A262" s="166"/>
      <c r="B262" s="167"/>
      <c r="C262" s="167"/>
      <c r="D262" s="167"/>
      <c r="E262" s="699" t="s">
        <v>109</v>
      </c>
      <c r="F262" s="174"/>
      <c r="G262" s="171"/>
      <c r="H262" s="698" t="s">
        <v>35</v>
      </c>
      <c r="I262" s="54"/>
      <c r="J262" s="589">
        <v>0</v>
      </c>
      <c r="K262" s="102">
        <f>IF(I262&gt;0,J262*100/I262,0)</f>
        <v>0</v>
      </c>
      <c r="L262" s="62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8.75" hidden="1">
      <c r="A263" s="166"/>
      <c r="B263" s="167"/>
      <c r="C263" s="167"/>
      <c r="D263" s="167"/>
      <c r="E263" s="699" t="s">
        <v>110</v>
      </c>
      <c r="F263" s="174"/>
      <c r="G263" s="171"/>
      <c r="H263" s="698" t="s">
        <v>61</v>
      </c>
      <c r="I263" s="54"/>
      <c r="J263" s="589">
        <v>0</v>
      </c>
      <c r="K263" s="102">
        <f>IF(I263&gt;0,J263*100/I263,0)</f>
        <v>0</v>
      </c>
      <c r="L263" s="62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9.5">
      <c r="A264" s="697" t="s">
        <v>113</v>
      </c>
      <c r="B264" s="696"/>
      <c r="C264" s="696"/>
      <c r="D264" s="695"/>
      <c r="E264" s="695"/>
      <c r="F264" s="695"/>
      <c r="G264" s="694"/>
      <c r="H264" s="694"/>
      <c r="I264" s="693"/>
      <c r="J264" s="693"/>
      <c r="K264" s="691"/>
      <c r="L264" s="692"/>
      <c r="M264" s="691"/>
      <c r="N264" s="691"/>
      <c r="O264" s="691"/>
      <c r="P264" s="691"/>
      <c r="Q264" s="691"/>
      <c r="R264" s="691"/>
      <c r="S264" s="691"/>
      <c r="T264" s="691"/>
      <c r="U264" s="691"/>
    </row>
    <row r="265" spans="1:21" ht="19.5">
      <c r="A265" s="690"/>
      <c r="B265" s="689" t="s">
        <v>114</v>
      </c>
      <c r="C265" s="688"/>
      <c r="D265" s="661"/>
      <c r="E265" s="661"/>
      <c r="F265" s="661"/>
      <c r="G265" s="660"/>
      <c r="H265" s="687" t="s">
        <v>35</v>
      </c>
      <c r="I265" s="686">
        <f ca="1">I276</f>
        <v>22</v>
      </c>
      <c r="J265" s="686">
        <f>J276</f>
        <v>22</v>
      </c>
      <c r="K265" s="685">
        <f ca="1">IF(I265&gt;0,J265*100/I265,0)</f>
        <v>100</v>
      </c>
      <c r="L265" s="684"/>
      <c r="M265" s="683"/>
      <c r="N265" s="683"/>
      <c r="O265" s="683"/>
      <c r="P265" s="683"/>
      <c r="Q265" s="683"/>
      <c r="R265" s="683"/>
      <c r="S265" s="683"/>
      <c r="T265" s="683"/>
      <c r="U265" s="683"/>
    </row>
    <row r="266" spans="1:21" ht="19.5">
      <c r="A266" s="668"/>
      <c r="B266" s="667"/>
      <c r="C266" s="682" t="s">
        <v>18</v>
      </c>
      <c r="D266" s="681" t="s">
        <v>19</v>
      </c>
      <c r="E266" s="667"/>
      <c r="F266" s="667"/>
      <c r="G266" s="666"/>
      <c r="H266" s="680" t="s">
        <v>14</v>
      </c>
      <c r="I266" s="548"/>
      <c r="J266" s="548"/>
      <c r="K266" s="545"/>
      <c r="L266" s="679">
        <f ca="1">L267+L268</f>
        <v>0</v>
      </c>
      <c r="M266" s="678">
        <f ca="1">M267+M268</f>
        <v>5000</v>
      </c>
      <c r="N266" s="678">
        <f ca="1">N267+N268</f>
        <v>5000</v>
      </c>
      <c r="O266" s="678">
        <f ca="1">IF(L266&gt;0,N266*100/L266,0)</f>
        <v>0</v>
      </c>
      <c r="P266" s="678">
        <f ca="1">IF(M266&gt;0,N266*100/M266,0)</f>
        <v>100</v>
      </c>
      <c r="Q266" s="678">
        <f ca="1">Q267+Q268</f>
        <v>50660</v>
      </c>
      <c r="R266" s="678">
        <f ca="1">R267+R268</f>
        <v>50660</v>
      </c>
      <c r="S266" s="678">
        <f ca="1">S267+S268</f>
        <v>49950</v>
      </c>
      <c r="T266" s="678">
        <f ca="1">IF(Q266&gt;0,S266*100/Q266,0)</f>
        <v>98.598499802605602</v>
      </c>
      <c r="U266" s="678">
        <f ca="1">IF(R266&gt;0,S266*100/R266,0)</f>
        <v>98.598499802605602</v>
      </c>
    </row>
    <row r="267" spans="1:21" ht="18.75" hidden="1">
      <c r="A267" s="673"/>
      <c r="B267" s="672"/>
      <c r="C267" s="672"/>
      <c r="D267" s="672"/>
      <c r="E267" s="186" t="s">
        <v>20</v>
      </c>
      <c r="F267" s="672"/>
      <c r="G267" s="671"/>
      <c r="H267" s="187" t="s">
        <v>14</v>
      </c>
      <c r="I267" s="677"/>
      <c r="J267" s="677"/>
      <c r="K267" s="676"/>
      <c r="L267" s="103">
        <f>L270+L273</f>
        <v>0</v>
      </c>
      <c r="M267" s="102">
        <f>M270+M273</f>
        <v>0</v>
      </c>
      <c r="N267" s="102">
        <f>N270+N273</f>
        <v>0</v>
      </c>
      <c r="O267" s="102">
        <f>IF(L267&gt;0,N267*100/L267,0)</f>
        <v>0</v>
      </c>
      <c r="P267" s="102">
        <f>IF(M267&gt;0,N267*100/M267,0)</f>
        <v>0</v>
      </c>
      <c r="Q267" s="102">
        <f>Q270+Q273</f>
        <v>0</v>
      </c>
      <c r="R267" s="102">
        <f>R270+R273</f>
        <v>0</v>
      </c>
      <c r="S267" s="102">
        <f>S270+S273</f>
        <v>0</v>
      </c>
      <c r="T267" s="102">
        <f>IF(Q267&gt;0,S267*100/Q267,0)</f>
        <v>0</v>
      </c>
      <c r="U267" s="102">
        <f>IF(R267&gt;0,S267*100/R267,0)</f>
        <v>0</v>
      </c>
    </row>
    <row r="268" spans="1:21" ht="18.75" hidden="1">
      <c r="A268" s="668"/>
      <c r="B268" s="667"/>
      <c r="C268" s="667"/>
      <c r="D268" s="667"/>
      <c r="E268" s="663" t="s">
        <v>21</v>
      </c>
      <c r="F268" s="667"/>
      <c r="G268" s="666"/>
      <c r="H268" s="549" t="s">
        <v>14</v>
      </c>
      <c r="I268" s="548"/>
      <c r="J268" s="548"/>
      <c r="K268" s="545"/>
      <c r="L268" s="664">
        <f ca="1">L271+L274</f>
        <v>0</v>
      </c>
      <c r="M268" s="555">
        <f ca="1">M271+M274</f>
        <v>5000</v>
      </c>
      <c r="N268" s="555">
        <f ca="1">N271+N274</f>
        <v>5000</v>
      </c>
      <c r="O268" s="555">
        <f ca="1">IF(L268&gt;0,N268*100/L268,0)</f>
        <v>0</v>
      </c>
      <c r="P268" s="555">
        <f ca="1">IF(M268&gt;0,N268*100/M268,0)</f>
        <v>100</v>
      </c>
      <c r="Q268" s="555">
        <f ca="1">Q271+Q274</f>
        <v>50660</v>
      </c>
      <c r="R268" s="555">
        <f ca="1">R271+R274</f>
        <v>50660</v>
      </c>
      <c r="S268" s="555">
        <f ca="1">S271+S274</f>
        <v>49950</v>
      </c>
      <c r="T268" s="555">
        <f ca="1">IF(Q268&gt;0,S268*100/Q268,0)</f>
        <v>98.598499802605602</v>
      </c>
      <c r="U268" s="555">
        <f ca="1">IF(R268&gt;0,S268*100/R268,0)</f>
        <v>98.598499802605602</v>
      </c>
    </row>
    <row r="269" spans="1:21" ht="18.75">
      <c r="A269" s="668"/>
      <c r="B269" s="667"/>
      <c r="C269" s="667"/>
      <c r="D269" s="674" t="s">
        <v>22</v>
      </c>
      <c r="E269" s="667"/>
      <c r="F269" s="667"/>
      <c r="G269" s="666"/>
      <c r="H269" s="675" t="s">
        <v>14</v>
      </c>
      <c r="I269" s="659"/>
      <c r="J269" s="659"/>
      <c r="K269" s="657"/>
      <c r="L269" s="664">
        <f ca="1">L270+L271</f>
        <v>0</v>
      </c>
      <c r="M269" s="555">
        <f ca="1">M270+M271</f>
        <v>5000</v>
      </c>
      <c r="N269" s="555">
        <f ca="1">N270+N271</f>
        <v>5000</v>
      </c>
      <c r="O269" s="555">
        <f ca="1">IF(L269&gt;0,N269*100/L269,0)</f>
        <v>0</v>
      </c>
      <c r="P269" s="555">
        <f ca="1">IF(M269&gt;0,N269*100/M269,0)</f>
        <v>100</v>
      </c>
      <c r="Q269" s="555">
        <f ca="1">Q270+Q271</f>
        <v>50660</v>
      </c>
      <c r="R269" s="555">
        <f ca="1">R270+R271</f>
        <v>50660</v>
      </c>
      <c r="S269" s="555">
        <f ca="1">S270+S271</f>
        <v>49950</v>
      </c>
      <c r="T269" s="555">
        <f ca="1">IF(Q269&gt;0,S269*100/Q269,0)</f>
        <v>98.598499802605602</v>
      </c>
      <c r="U269" s="555">
        <f ca="1">IF(R269&gt;0,S269*100/R269,0)</f>
        <v>98.598499802605602</v>
      </c>
    </row>
    <row r="270" spans="1:21" ht="18.75" hidden="1">
      <c r="A270" s="673"/>
      <c r="B270" s="672"/>
      <c r="C270" s="672"/>
      <c r="D270" s="672"/>
      <c r="E270" s="186" t="s">
        <v>36</v>
      </c>
      <c r="F270" s="672"/>
      <c r="G270" s="671"/>
      <c r="H270" s="189" t="s">
        <v>14</v>
      </c>
      <c r="I270" s="670"/>
      <c r="J270" s="670"/>
      <c r="K270" s="669"/>
      <c r="L270" s="103">
        <v>0</v>
      </c>
      <c r="M270" s="102">
        <v>0</v>
      </c>
      <c r="N270" s="102">
        <v>0</v>
      </c>
      <c r="O270" s="102">
        <f>IF(L270&gt;0,N270*100/L270,0)</f>
        <v>0</v>
      </c>
      <c r="P270" s="102">
        <f>IF(M270&gt;0,N270*100/M270,0)</f>
        <v>0</v>
      </c>
      <c r="Q270" s="102">
        <v>0</v>
      </c>
      <c r="R270" s="102">
        <v>0</v>
      </c>
      <c r="S270" s="102">
        <v>0</v>
      </c>
      <c r="T270" s="102">
        <f>IF(Q270&gt;0,S270*100/Q270,0)</f>
        <v>0</v>
      </c>
      <c r="U270" s="102">
        <f>IF(R270&gt;0,S270*100/R270,0)</f>
        <v>0</v>
      </c>
    </row>
    <row r="271" spans="1:21" ht="18.75" hidden="1">
      <c r="A271" s="668"/>
      <c r="B271" s="667"/>
      <c r="C271" s="667"/>
      <c r="D271" s="667"/>
      <c r="E271" s="663" t="s">
        <v>37</v>
      </c>
      <c r="F271" s="667"/>
      <c r="G271" s="666"/>
      <c r="H271" s="675" t="s">
        <v>14</v>
      </c>
      <c r="I271" s="659"/>
      <c r="J271" s="659"/>
      <c r="K271" s="657"/>
      <c r="L271" s="664">
        <f ca="1">IFERROR(__xludf.DUMMYFUNCTION("IMPORTRANGE(""https://docs.google.com/spreadsheets/d/1-uDff_7J0KD5mKrp0Vvzr7lt3OU09vwQwhkpOPPYv2Y/edit?usp=sharing"",""งบพรบ!DE35"")"),0)</f>
        <v>0</v>
      </c>
      <c r="M271" s="555">
        <f ca="1">IFERROR(__xludf.DUMMYFUNCTION("IMPORTRANGE(""https://docs.google.com/spreadsheets/d/1-uDff_7J0KD5mKrp0Vvzr7lt3OU09vwQwhkpOPPYv2Y/edit?usp=sharing"",""งบพรบ!DJ35"")"),5000)</f>
        <v>5000</v>
      </c>
      <c r="N271" s="555">
        <f ca="1">IFERROR(__xludf.DUMMYFUNCTION("IMPORTRANGE(""https://docs.google.com/spreadsheets/d/1-uDff_7J0KD5mKrp0Vvzr7lt3OU09vwQwhkpOPPYv2Y/edit?usp=sharing"",""งบพรบ!DL35"")"),5000)</f>
        <v>5000</v>
      </c>
      <c r="O271" s="555">
        <f ca="1">IF(L271&gt;0,N271*100/L271,0)</f>
        <v>0</v>
      </c>
      <c r="P271" s="555">
        <f ca="1">IF(M271&gt;0,N271*100/M271,0)</f>
        <v>100</v>
      </c>
      <c r="Q271" s="555">
        <f ca="1">IFERROR(__xludf.DUMMYFUNCTION("IMPORTRANGE(""https://docs.google.com/spreadsheets/d/1ItG2mGa2ceCfYo0BwxsXqNm01IGEUdYcSSLTEv9YCik/edit?usp=sharing"",""เบิกจ่ายกองทุน!AJ35"")"),50660)</f>
        <v>50660</v>
      </c>
      <c r="R271" s="555">
        <f ca="1">IFERROR(__xludf.DUMMYFUNCTION("IMPORTRANGE(""https://docs.google.com/spreadsheets/d/1ItG2mGa2ceCfYo0BwxsXqNm01IGEUdYcSSLTEv9YCik/edit?usp=sharing"",""เบิกจ่ายกองทุน!AK35"")"),50660)</f>
        <v>50660</v>
      </c>
      <c r="S271" s="555">
        <f ca="1">IFERROR(__xludf.DUMMYFUNCTION("IMPORTRANGE(""https://docs.google.com/spreadsheets/d/1ItG2mGa2ceCfYo0BwxsXqNm01IGEUdYcSSLTEv9YCik/edit?usp=sharing"",""เบิกจ่ายกองทุน!AL35"")"),49950)</f>
        <v>49950</v>
      </c>
      <c r="T271" s="555">
        <f ca="1">IF(Q271&gt;0,S271*100/Q271,0)</f>
        <v>98.598499802605602</v>
      </c>
      <c r="U271" s="555">
        <f ca="1">IF(R271&gt;0,S271*100/R271,0)</f>
        <v>98.598499802605602</v>
      </c>
    </row>
    <row r="272" spans="1:21" ht="18.75">
      <c r="A272" s="668"/>
      <c r="B272" s="667"/>
      <c r="C272" s="667"/>
      <c r="D272" s="674" t="s">
        <v>23</v>
      </c>
      <c r="E272" s="667"/>
      <c r="F272" s="667"/>
      <c r="G272" s="666"/>
      <c r="H272" s="665" t="s">
        <v>14</v>
      </c>
      <c r="I272" s="659"/>
      <c r="J272" s="659"/>
      <c r="K272" s="657"/>
      <c r="L272" s="664">
        <f ca="1">L273+L274</f>
        <v>0</v>
      </c>
      <c r="M272" s="555">
        <f ca="1">M273+M274</f>
        <v>0</v>
      </c>
      <c r="N272" s="555">
        <f ca="1">N273+N274</f>
        <v>0</v>
      </c>
      <c r="O272" s="555">
        <f ca="1">IF(L272&gt;0,N272*100/L272,0)</f>
        <v>0</v>
      </c>
      <c r="P272" s="555">
        <f ca="1">IF(M272&gt;0,N272*100/M272,0)</f>
        <v>0</v>
      </c>
      <c r="Q272" s="555">
        <f>Q273+Q274</f>
        <v>0</v>
      </c>
      <c r="R272" s="555">
        <f>R273+R274</f>
        <v>0</v>
      </c>
      <c r="S272" s="555">
        <f>S273+S274</f>
        <v>0</v>
      </c>
      <c r="T272" s="555">
        <f>IF(Q272&gt;0,S272*100/Q272,0)</f>
        <v>0</v>
      </c>
      <c r="U272" s="555">
        <f>IF(R272&gt;0,S272*100/R272,0)</f>
        <v>0</v>
      </c>
    </row>
    <row r="273" spans="1:21" ht="18.75" hidden="1">
      <c r="A273" s="673"/>
      <c r="B273" s="672"/>
      <c r="C273" s="672"/>
      <c r="D273" s="672"/>
      <c r="E273" s="186" t="s">
        <v>20</v>
      </c>
      <c r="F273" s="672"/>
      <c r="G273" s="671"/>
      <c r="H273" s="189" t="s">
        <v>14</v>
      </c>
      <c r="I273" s="670"/>
      <c r="J273" s="670"/>
      <c r="K273" s="669"/>
      <c r="L273" s="103">
        <v>0</v>
      </c>
      <c r="M273" s="102">
        <v>0</v>
      </c>
      <c r="N273" s="102">
        <v>0</v>
      </c>
      <c r="O273" s="102">
        <f>IF(L273&gt;0,N273*100/L273,0)</f>
        <v>0</v>
      </c>
      <c r="P273" s="102">
        <f>IF(M273&gt;0,N273*100/M273,0)</f>
        <v>0</v>
      </c>
      <c r="Q273" s="102">
        <v>0</v>
      </c>
      <c r="R273" s="102">
        <v>0</v>
      </c>
      <c r="S273" s="102">
        <v>0</v>
      </c>
      <c r="T273" s="102">
        <f>IF(Q273&gt;0,S273*100/Q273,0)</f>
        <v>0</v>
      </c>
      <c r="U273" s="102">
        <f>IF(R273&gt;0,S273*100/R273,0)</f>
        <v>0</v>
      </c>
    </row>
    <row r="274" spans="1:21" ht="18.75" hidden="1">
      <c r="A274" s="668"/>
      <c r="B274" s="667"/>
      <c r="C274" s="667"/>
      <c r="D274" s="667"/>
      <c r="E274" s="663" t="s">
        <v>21</v>
      </c>
      <c r="F274" s="667"/>
      <c r="G274" s="666"/>
      <c r="H274" s="665" t="s">
        <v>14</v>
      </c>
      <c r="I274" s="659"/>
      <c r="J274" s="659"/>
      <c r="K274" s="657"/>
      <c r="L274" s="664">
        <f ca="1">IFERROR(__xludf.DUMMYFUNCTION("IMPORTRANGE(""https://docs.google.com/spreadsheets/d/1-uDff_7J0KD5mKrp0Vvzr7lt3OU09vwQwhkpOPPYv2Y/edit?usp=sharing"",""งบพรบ!DH35"")"),0)</f>
        <v>0</v>
      </c>
      <c r="M274" s="555">
        <f ca="1">IFERROR(__xludf.DUMMYFUNCTION("IMPORTRANGE(""https://docs.google.com/spreadsheets/d/1-uDff_7J0KD5mKrp0Vvzr7lt3OU09vwQwhkpOPPYv2Y/edit?usp=sharing"",""งบพรบ!DK35"")"),0)</f>
        <v>0</v>
      </c>
      <c r="N274" s="555">
        <f ca="1">IFERROR(__xludf.DUMMYFUNCTION("IMPORTRANGE(""https://docs.google.com/spreadsheets/d/1-uDff_7J0KD5mKrp0Vvzr7lt3OU09vwQwhkpOPPYv2Y/edit?usp=sharing"",""งบพรบ!DM35"")"),0)</f>
        <v>0</v>
      </c>
      <c r="O274" s="555">
        <f ca="1">IF(L274&gt;0,N274*100/L274,0)</f>
        <v>0</v>
      </c>
      <c r="P274" s="555">
        <f ca="1">IF(M274&gt;0,N274*100/M274,0)</f>
        <v>0</v>
      </c>
      <c r="Q274" s="555">
        <v>0</v>
      </c>
      <c r="R274" s="555">
        <v>0</v>
      </c>
      <c r="S274" s="555">
        <v>0</v>
      </c>
      <c r="T274" s="555">
        <f>IF(Q274&gt;0,S274*100/Q274,0)</f>
        <v>0</v>
      </c>
      <c r="U274" s="555">
        <f>IF(R274&gt;0,S274*100/R274,0)</f>
        <v>0</v>
      </c>
    </row>
    <row r="275" spans="1:21" ht="19.5">
      <c r="A275" s="554"/>
      <c r="B275" s="553"/>
      <c r="C275" s="663" t="s">
        <v>18</v>
      </c>
      <c r="D275" s="662" t="s">
        <v>38</v>
      </c>
      <c r="E275" s="661"/>
      <c r="F275" s="661"/>
      <c r="G275" s="660"/>
      <c r="H275" s="550"/>
      <c r="I275" s="659"/>
      <c r="J275" s="659"/>
      <c r="K275" s="657"/>
      <c r="L275" s="658"/>
      <c r="M275" s="657"/>
      <c r="N275" s="657"/>
      <c r="O275" s="657"/>
      <c r="P275" s="657"/>
      <c r="Q275" s="657"/>
      <c r="R275" s="657"/>
      <c r="S275" s="657"/>
      <c r="T275" s="657"/>
      <c r="U275" s="657"/>
    </row>
    <row r="276" spans="1:21" ht="18.75">
      <c r="A276" s="656"/>
      <c r="B276" s="655"/>
      <c r="C276" s="655"/>
      <c r="D276" s="654" t="s">
        <v>115</v>
      </c>
      <c r="E276" s="653"/>
      <c r="F276" s="653"/>
      <c r="G276" s="652"/>
      <c r="H276" s="651" t="s">
        <v>35</v>
      </c>
      <c r="I276" s="650">
        <f ca="1">IFERROR(__xludf.DUMMYFUNCTION("IMPORTRANGE(""https://docs.google.com/spreadsheets/d/1eHaY18a8A9IcSdp1K8H6x8fbOy06t2VsZHhMHf-1x7Y/edit?usp=sharing"",""แผน!EC35"")"),22)</f>
        <v>22</v>
      </c>
      <c r="J276" s="649">
        <v>22</v>
      </c>
      <c r="K276" s="648">
        <f ca="1">IF(I276&gt;0,J276*100/I276,0)</f>
        <v>100</v>
      </c>
      <c r="L276" s="546"/>
      <c r="M276" s="545"/>
      <c r="N276" s="545"/>
      <c r="O276" s="545"/>
      <c r="P276" s="545"/>
      <c r="Q276" s="545"/>
      <c r="R276" s="545"/>
      <c r="S276" s="545"/>
      <c r="T276" s="545"/>
      <c r="U276" s="545"/>
    </row>
    <row r="277" spans="1:21" ht="18.75" hidden="1">
      <c r="A277" s="778"/>
      <c r="B277" s="777"/>
      <c r="C277" s="777"/>
      <c r="D277" s="647" t="s">
        <v>116</v>
      </c>
      <c r="E277" s="776"/>
      <c r="F277" s="776"/>
      <c r="G277" s="775"/>
      <c r="H277" s="646" t="s">
        <v>35</v>
      </c>
      <c r="I277" s="486">
        <v>0</v>
      </c>
      <c r="J277" s="486">
        <v>0</v>
      </c>
      <c r="K277" s="645">
        <v>0</v>
      </c>
      <c r="L277" s="774"/>
      <c r="M277" s="773"/>
      <c r="N277" s="773"/>
      <c r="O277" s="773"/>
      <c r="P277" s="773"/>
      <c r="Q277" s="773"/>
      <c r="R277" s="773"/>
      <c r="S277" s="773"/>
      <c r="T277" s="773"/>
      <c r="U277" s="773"/>
    </row>
    <row r="278" spans="1:21" ht="19.5" hidden="1">
      <c r="A278" s="288" t="s">
        <v>117</v>
      </c>
      <c r="B278" s="289"/>
      <c r="C278" s="289"/>
      <c r="D278" s="289"/>
      <c r="E278" s="290"/>
      <c r="F278" s="290"/>
      <c r="G278" s="290"/>
      <c r="H278" s="290"/>
      <c r="I278" s="291"/>
      <c r="J278" s="291"/>
      <c r="K278" s="292"/>
      <c r="L278" s="292"/>
      <c r="M278" s="292"/>
      <c r="N278" s="292"/>
      <c r="O278" s="292"/>
      <c r="P278" s="293"/>
      <c r="Q278" s="292"/>
      <c r="R278" s="292"/>
      <c r="S278" s="292"/>
      <c r="T278" s="292"/>
      <c r="U278" s="293"/>
    </row>
    <row r="279" spans="1:21" ht="19.5" hidden="1">
      <c r="A279" s="294" t="s">
        <v>118</v>
      </c>
      <c r="B279" s="295"/>
      <c r="C279" s="296"/>
      <c r="D279" s="295"/>
      <c r="E279" s="295"/>
      <c r="F279" s="295"/>
      <c r="G279" s="295"/>
      <c r="H279" s="295"/>
      <c r="I279" s="297"/>
      <c r="J279" s="298"/>
      <c r="K279" s="299"/>
      <c r="L279" s="300"/>
      <c r="M279" s="299"/>
      <c r="N279" s="299"/>
      <c r="O279" s="299"/>
      <c r="P279" s="299"/>
      <c r="Q279" s="299"/>
      <c r="R279" s="299"/>
      <c r="S279" s="299"/>
      <c r="T279" s="299"/>
      <c r="U279" s="299"/>
    </row>
    <row r="280" spans="1:21" ht="19.5" hidden="1">
      <c r="A280" s="301"/>
      <c r="B280" s="302" t="s">
        <v>119</v>
      </c>
      <c r="C280" s="303"/>
      <c r="D280" s="304"/>
      <c r="E280" s="303"/>
      <c r="F280" s="303"/>
      <c r="G280" s="305"/>
      <c r="H280" s="306" t="s">
        <v>35</v>
      </c>
      <c r="I280" s="644">
        <f ca="1">I293</f>
        <v>0</v>
      </c>
      <c r="J280" s="644">
        <f>J293</f>
        <v>0</v>
      </c>
      <c r="K280" s="643">
        <f ca="1">IF(I280&gt;0,J280*100/I280,0)</f>
        <v>0</v>
      </c>
      <c r="L280" s="310"/>
      <c r="M280" s="309"/>
      <c r="N280" s="309"/>
      <c r="O280" s="309"/>
      <c r="P280" s="309"/>
      <c r="Q280" s="309"/>
      <c r="R280" s="309"/>
      <c r="S280" s="309"/>
      <c r="T280" s="309"/>
      <c r="U280" s="309"/>
    </row>
    <row r="281" spans="1:21" ht="19.5" hidden="1">
      <c r="A281" s="301"/>
      <c r="B281" s="303"/>
      <c r="C281" s="303"/>
      <c r="D281" s="304"/>
      <c r="E281" s="303"/>
      <c r="F281" s="303"/>
      <c r="G281" s="305"/>
      <c r="H281" s="306" t="s">
        <v>46</v>
      </c>
      <c r="I281" s="644">
        <f ca="1">I292</f>
        <v>0</v>
      </c>
      <c r="J281" s="644">
        <f>J292</f>
        <v>0</v>
      </c>
      <c r="K281" s="643">
        <f ca="1">IF(I281&gt;0,J281*100/I281,0)</f>
        <v>0</v>
      </c>
      <c r="L281" s="310"/>
      <c r="M281" s="309"/>
      <c r="N281" s="309"/>
      <c r="O281" s="309"/>
      <c r="P281" s="309"/>
      <c r="Q281" s="309"/>
      <c r="R281" s="309"/>
      <c r="S281" s="309"/>
      <c r="T281" s="309"/>
      <c r="U281" s="309"/>
    </row>
    <row r="282" spans="1:21" ht="19.5" hidden="1">
      <c r="A282" s="155"/>
      <c r="B282" s="50"/>
      <c r="C282" s="156" t="s">
        <v>18</v>
      </c>
      <c r="D282" s="575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541">
        <f ca="1">L283+L284</f>
        <v>0</v>
      </c>
      <c r="M282" s="540">
        <f ca="1">M283+M284</f>
        <v>0</v>
      </c>
      <c r="N282" s="540">
        <f ca="1">N283+N284</f>
        <v>0</v>
      </c>
      <c r="O282" s="540">
        <f ca="1">IF(L282&gt;0,N282*100/L282,0)</f>
        <v>0</v>
      </c>
      <c r="P282" s="540">
        <f ca="1">IF(M282&gt;0,N282*100/M282,0)</f>
        <v>0</v>
      </c>
      <c r="Q282" s="540">
        <f>Q283+Q284</f>
        <v>0</v>
      </c>
      <c r="R282" s="540">
        <f>R283+R284</f>
        <v>0</v>
      </c>
      <c r="S282" s="540">
        <f>S283+S284</f>
        <v>0</v>
      </c>
      <c r="T282" s="540">
        <f>IF(Q282&gt;0,S282*100/Q282,0)</f>
        <v>0</v>
      </c>
      <c r="U282" s="540">
        <f>IF(R282&gt;0,S282*100/R282,0)</f>
        <v>0</v>
      </c>
    </row>
    <row r="283" spans="1:21" ht="18.75" hidden="1">
      <c r="A283" s="155"/>
      <c r="B283" s="50"/>
      <c r="C283" s="50"/>
      <c r="D283" s="50"/>
      <c r="E283" s="186" t="s">
        <v>20</v>
      </c>
      <c r="F283" s="50"/>
      <c r="G283" s="52"/>
      <c r="H283" s="187" t="s">
        <v>14</v>
      </c>
      <c r="I283" s="54"/>
      <c r="J283" s="54"/>
      <c r="K283" s="55"/>
      <c r="L283" s="103">
        <f>L286+L289</f>
        <v>0</v>
      </c>
      <c r="M283" s="102">
        <f>M286+M289</f>
        <v>0</v>
      </c>
      <c r="N283" s="102">
        <f>N286+N289</f>
        <v>0</v>
      </c>
      <c r="O283" s="102">
        <f>IF(L283&gt;0,N283*100/L283,0)</f>
        <v>0</v>
      </c>
      <c r="P283" s="102">
        <f>IF(M283&gt;0,N283*100/M283,0)</f>
        <v>0</v>
      </c>
      <c r="Q283" s="102">
        <f>Q286+Q289</f>
        <v>0</v>
      </c>
      <c r="R283" s="102">
        <f>R286+R289</f>
        <v>0</v>
      </c>
      <c r="S283" s="102">
        <f>S286+S289</f>
        <v>0</v>
      </c>
      <c r="T283" s="102">
        <f>IF(Q283&gt;0,S283*100/Q283,0)</f>
        <v>0</v>
      </c>
      <c r="U283" s="102">
        <f>IF(R283&gt;0,S283*100/R283,0)</f>
        <v>0</v>
      </c>
    </row>
    <row r="284" spans="1:21" ht="18.75" hidden="1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256">
        <f ca="1">L287+L290</f>
        <v>0</v>
      </c>
      <c r="M284" s="255">
        <f ca="1">M287+M290</f>
        <v>0</v>
      </c>
      <c r="N284" s="255">
        <f ca="1">N287+N290</f>
        <v>0</v>
      </c>
      <c r="O284" s="255">
        <f ca="1">IF(L284&gt;0,N284*100/L284,0)</f>
        <v>0</v>
      </c>
      <c r="P284" s="255">
        <f ca="1">IF(M284&gt;0,N284*100/M284,0)</f>
        <v>0</v>
      </c>
      <c r="Q284" s="255">
        <f>Q287+Q290</f>
        <v>0</v>
      </c>
      <c r="R284" s="255">
        <f>R287+R290</f>
        <v>0</v>
      </c>
      <c r="S284" s="255">
        <f>S287+S290</f>
        <v>0</v>
      </c>
      <c r="T284" s="255">
        <f>IF(Q284&gt;0,S284*100/Q284,0)</f>
        <v>0</v>
      </c>
      <c r="U284" s="255">
        <f>IF(R284&gt;0,S284*100/R284,0)</f>
        <v>0</v>
      </c>
    </row>
    <row r="285" spans="1:21" ht="18.75" hidden="1">
      <c r="A285" s="155"/>
      <c r="B285" s="50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256">
        <f ca="1">L286+L287</f>
        <v>0</v>
      </c>
      <c r="M285" s="255">
        <f ca="1">M286+M287</f>
        <v>0</v>
      </c>
      <c r="N285" s="255">
        <f ca="1">N286+N287</f>
        <v>0</v>
      </c>
      <c r="O285" s="255">
        <f ca="1">IF(L285&gt;0,N285*100/L285,0)</f>
        <v>0</v>
      </c>
      <c r="P285" s="255">
        <f ca="1">IF(M285&gt;0,N285*100/M285,0)</f>
        <v>0</v>
      </c>
      <c r="Q285" s="255">
        <f>Q286+Q287</f>
        <v>0</v>
      </c>
      <c r="R285" s="255">
        <f>R286+R287</f>
        <v>0</v>
      </c>
      <c r="S285" s="255">
        <f>S286+S287</f>
        <v>0</v>
      </c>
      <c r="T285" s="255">
        <f>IF(Q285&gt;0,S285*100/Q285,0)</f>
        <v>0</v>
      </c>
      <c r="U285" s="255">
        <f>IF(R285&gt;0,S285*100/R285,0)</f>
        <v>0</v>
      </c>
    </row>
    <row r="286" spans="1:21" ht="18.75" hidden="1">
      <c r="A286" s="155"/>
      <c r="B286" s="50"/>
      <c r="C286" s="50"/>
      <c r="D286" s="50"/>
      <c r="E286" s="186" t="s">
        <v>36</v>
      </c>
      <c r="F286" s="50"/>
      <c r="G286" s="52"/>
      <c r="H286" s="189" t="s">
        <v>14</v>
      </c>
      <c r="I286" s="163"/>
      <c r="J286" s="163"/>
      <c r="K286" s="164"/>
      <c r="L286" s="103">
        <v>0</v>
      </c>
      <c r="M286" s="102">
        <v>0</v>
      </c>
      <c r="N286" s="102">
        <v>0</v>
      </c>
      <c r="O286" s="102">
        <f>IF(L286&gt;0,N286*100/L286,0)</f>
        <v>0</v>
      </c>
      <c r="P286" s="102">
        <f>IF(M286&gt;0,N286*100/M286,0)</f>
        <v>0</v>
      </c>
      <c r="Q286" s="102">
        <v>0</v>
      </c>
      <c r="R286" s="102">
        <v>0</v>
      </c>
      <c r="S286" s="102">
        <v>0</v>
      </c>
      <c r="T286" s="102">
        <f>IF(Q286&gt;0,S286*100/Q286,0)</f>
        <v>0</v>
      </c>
      <c r="U286" s="102">
        <f>IF(R286&gt;0,S286*100/R286,0)</f>
        <v>0</v>
      </c>
    </row>
    <row r="287" spans="1:21" ht="18.75" hidden="1">
      <c r="A287" s="155"/>
      <c r="B287" s="50"/>
      <c r="C287" s="50"/>
      <c r="D287" s="50"/>
      <c r="E287" s="58" t="s">
        <v>37</v>
      </c>
      <c r="F287" s="50"/>
      <c r="G287" s="52"/>
      <c r="H287" s="162" t="s">
        <v>14</v>
      </c>
      <c r="I287" s="163"/>
      <c r="J287" s="163"/>
      <c r="K287" s="164"/>
      <c r="L287" s="256">
        <f ca="1">IFERROR(__xludf.DUMMYFUNCTION("IMPORTRANGE(""https://docs.google.com/spreadsheets/d/1-uDff_7J0KD5mKrp0Vvzr7lt3OU09vwQwhkpOPPYv2Y/edit?usp=sharing"",""งบพรบ!DO35"")"),0)</f>
        <v>0</v>
      </c>
      <c r="M287" s="255">
        <f ca="1">IFERROR(__xludf.DUMMYFUNCTION("IMPORTRANGE(""https://docs.google.com/spreadsheets/d/1-uDff_7J0KD5mKrp0Vvzr7lt3OU09vwQwhkpOPPYv2Y/edit?usp=sharing"",""งบพรบ!DT35"")"),0)</f>
        <v>0</v>
      </c>
      <c r="N287" s="255">
        <f ca="1">IFERROR(__xludf.DUMMYFUNCTION("IMPORTRANGE(""https://docs.google.com/spreadsheets/d/1-uDff_7J0KD5mKrp0Vvzr7lt3OU09vwQwhkpOPPYv2Y/edit?usp=sharing"",""งบพรบ!DV35"")"),0)</f>
        <v>0</v>
      </c>
      <c r="O287" s="255">
        <f ca="1">IF(L287&gt;0,N287*100/L287,0)</f>
        <v>0</v>
      </c>
      <c r="P287" s="255">
        <f ca="1">IF(M287&gt;0,N287*100/M287,0)</f>
        <v>0</v>
      </c>
      <c r="Q287" s="255">
        <v>0</v>
      </c>
      <c r="R287" s="255">
        <v>0</v>
      </c>
      <c r="S287" s="255">
        <v>0</v>
      </c>
      <c r="T287" s="102">
        <f>IF(Q287&gt;0,S287*100/Q287,0)</f>
        <v>0</v>
      </c>
      <c r="U287" s="102">
        <f>IF(R287&gt;0,S287*100/R287,0)</f>
        <v>0</v>
      </c>
    </row>
    <row r="288" spans="1:21" ht="18.75" hidden="1">
      <c r="A288" s="155"/>
      <c r="B288" s="50"/>
      <c r="C288" s="50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256">
        <f ca="1">L289+L290</f>
        <v>0</v>
      </c>
      <c r="M288" s="255">
        <f ca="1">M289+M290</f>
        <v>0</v>
      </c>
      <c r="N288" s="255">
        <f ca="1">N289+N290</f>
        <v>0</v>
      </c>
      <c r="O288" s="255">
        <f ca="1">IF(L288&gt;0,N288*100/L288,0)</f>
        <v>0</v>
      </c>
      <c r="P288" s="255">
        <f ca="1">IF(M288&gt;0,N288*100/M288,0)</f>
        <v>0</v>
      </c>
      <c r="Q288" s="255">
        <f>Q289+Q290</f>
        <v>0</v>
      </c>
      <c r="R288" s="255">
        <f>R289+R290</f>
        <v>0</v>
      </c>
      <c r="S288" s="255">
        <f>S289+S290</f>
        <v>0</v>
      </c>
      <c r="T288" s="255">
        <f>IF(Q288&gt;0,S288*100/Q288,0)</f>
        <v>0</v>
      </c>
      <c r="U288" s="255">
        <f>IF(R288&gt;0,S288*100/R288,0)</f>
        <v>0</v>
      </c>
    </row>
    <row r="289" spans="1:21" ht="18.75" hidden="1">
      <c r="A289" s="155"/>
      <c r="B289" s="50"/>
      <c r="C289" s="50"/>
      <c r="D289" s="50"/>
      <c r="E289" s="186" t="s">
        <v>20</v>
      </c>
      <c r="F289" s="50"/>
      <c r="G289" s="52"/>
      <c r="H289" s="189" t="s">
        <v>14</v>
      </c>
      <c r="I289" s="163"/>
      <c r="J289" s="163"/>
      <c r="K289" s="164"/>
      <c r="L289" s="103">
        <v>0</v>
      </c>
      <c r="M289" s="102">
        <v>0</v>
      </c>
      <c r="N289" s="102">
        <v>0</v>
      </c>
      <c r="O289" s="102">
        <f>IF(L289&gt;0,N289*100/L289,0)</f>
        <v>0</v>
      </c>
      <c r="P289" s="102">
        <f>IF(M289&gt;0,N289*100/M289,0)</f>
        <v>0</v>
      </c>
      <c r="Q289" s="102">
        <v>0</v>
      </c>
      <c r="R289" s="102">
        <v>0</v>
      </c>
      <c r="S289" s="102">
        <v>0</v>
      </c>
      <c r="T289" s="102">
        <f>IF(Q289&gt;0,S289*100/Q289,0)</f>
        <v>0</v>
      </c>
      <c r="U289" s="102">
        <f>IF(R289&gt;0,S289*100/R289,0)</f>
        <v>0</v>
      </c>
    </row>
    <row r="290" spans="1:21" ht="18.75" hidden="1">
      <c r="A290" s="155"/>
      <c r="B290" s="50"/>
      <c r="C290" s="50"/>
      <c r="D290" s="50"/>
      <c r="E290" s="58" t="s">
        <v>21</v>
      </c>
      <c r="F290" s="50"/>
      <c r="G290" s="52"/>
      <c r="H290" s="165" t="s">
        <v>14</v>
      </c>
      <c r="I290" s="163"/>
      <c r="J290" s="163"/>
      <c r="K290" s="164"/>
      <c r="L290" s="256">
        <f ca="1">IFERROR(__xludf.DUMMYFUNCTION("IMPORTRANGE(""https://docs.google.com/spreadsheets/d/1-uDff_7J0KD5mKrp0Vvzr7lt3OU09vwQwhkpOPPYv2Y/edit?usp=sharing"",""งบพรบ!DR35"")"),0)</f>
        <v>0</v>
      </c>
      <c r="M290" s="255">
        <f ca="1">IFERROR(__xludf.DUMMYFUNCTION("IMPORTRANGE(""https://docs.google.com/spreadsheets/d/1-uDff_7J0KD5mKrp0Vvzr7lt3OU09vwQwhkpOPPYv2Y/edit?usp=sharing"",""งบพรบ!DU35"")"),0)</f>
        <v>0</v>
      </c>
      <c r="N290" s="255">
        <f ca="1">IFERROR(__xludf.DUMMYFUNCTION("IMPORTRANGE(""https://docs.google.com/spreadsheets/d/1-uDff_7J0KD5mKrp0Vvzr7lt3OU09vwQwhkpOPPYv2Y/edit?usp=sharing"",""งบพรบ!DW35"")"),0)</f>
        <v>0</v>
      </c>
      <c r="O290" s="255">
        <f ca="1">IF(L290&gt;0,N290*100/L290,0)</f>
        <v>0</v>
      </c>
      <c r="P290" s="255">
        <f ca="1">IF(M290&gt;0,N290*100/M290,0)</f>
        <v>0</v>
      </c>
      <c r="Q290" s="255">
        <v>0</v>
      </c>
      <c r="R290" s="255">
        <v>0</v>
      </c>
      <c r="S290" s="255">
        <v>0</v>
      </c>
      <c r="T290" s="255">
        <f>IF(Q290&gt;0,S290*100/Q290,0)</f>
        <v>0</v>
      </c>
      <c r="U290" s="255">
        <f>IF(R290&gt;0,S290*100/R290,0)</f>
        <v>0</v>
      </c>
    </row>
    <row r="291" spans="1:21" ht="19.5" hidden="1">
      <c r="A291" s="166"/>
      <c r="B291" s="167"/>
      <c r="C291" s="156" t="s">
        <v>18</v>
      </c>
      <c r="D291" s="566" t="s">
        <v>38</v>
      </c>
      <c r="E291" s="169"/>
      <c r="F291" s="169"/>
      <c r="G291" s="170"/>
      <c r="H291" s="171"/>
      <c r="I291" s="163"/>
      <c r="J291" s="163"/>
      <c r="K291" s="164"/>
      <c r="L291" s="172"/>
      <c r="M291" s="164"/>
      <c r="N291" s="164"/>
      <c r="O291" s="164"/>
      <c r="P291" s="164"/>
      <c r="Q291" s="164"/>
      <c r="R291" s="164"/>
      <c r="S291" s="164"/>
      <c r="T291" s="164"/>
      <c r="U291" s="164"/>
    </row>
    <row r="292" spans="1:21" ht="18.75" hidden="1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212">
        <f ca="1">IFERROR(__xludf.DUMMYFUNCTION("IMPORTRANGE(""https://docs.google.com/spreadsheets/d/1eHaY18a8A9IcSdp1K8H6x8fbOy06t2VsZHhMHf-1x7Y/edit?usp=sharing"",""แผน!EE35"")"),0)</f>
        <v>0</v>
      </c>
      <c r="J292" s="467">
        <v>0</v>
      </c>
      <c r="K292" s="565">
        <f ca="1">IF(I292&gt;0,J292*100/I292,0)</f>
        <v>0</v>
      </c>
      <c r="L292" s="172"/>
      <c r="M292" s="164"/>
      <c r="N292" s="164"/>
      <c r="O292" s="164"/>
      <c r="P292" s="164"/>
      <c r="Q292" s="164"/>
      <c r="R292" s="164"/>
      <c r="S292" s="164"/>
      <c r="T292" s="164"/>
      <c r="U292" s="164"/>
    </row>
    <row r="293" spans="1:21" ht="19.5" hidden="1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373">
        <f ca="1">IFERROR(__xludf.DUMMYFUNCTION("IMPORTRANGE(""https://docs.google.com/spreadsheets/d/1eHaY18a8A9IcSdp1K8H6x8fbOy06t2VsZHhMHf-1x7Y/edit?usp=sharing"",""แผน!ED35"")"),0)</f>
        <v>0</v>
      </c>
      <c r="J293" s="373">
        <f>J296</f>
        <v>0</v>
      </c>
      <c r="K293" s="642">
        <f ca="1">IF(I293&gt;0,J293*100/I293,0)</f>
        <v>0</v>
      </c>
      <c r="L293" s="172"/>
      <c r="M293" s="164"/>
      <c r="N293" s="164"/>
      <c r="O293" s="164"/>
      <c r="P293" s="164"/>
      <c r="Q293" s="164"/>
      <c r="R293" s="164"/>
      <c r="S293" s="164"/>
      <c r="T293" s="164"/>
      <c r="U293" s="164"/>
    </row>
    <row r="294" spans="1:21" ht="19.5" hidden="1">
      <c r="A294" s="166"/>
      <c r="B294" s="167"/>
      <c r="C294" s="167"/>
      <c r="D294" s="174"/>
      <c r="E294" s="194" t="s">
        <v>122</v>
      </c>
      <c r="F294" s="174"/>
      <c r="G294" s="171"/>
      <c r="H294" s="171"/>
      <c r="I294" s="163"/>
      <c r="J294" s="54"/>
      <c r="K294" s="164"/>
      <c r="L294" s="172"/>
      <c r="M294" s="164"/>
      <c r="N294" s="164"/>
      <c r="O294" s="164"/>
      <c r="P294" s="164"/>
      <c r="Q294" s="164"/>
      <c r="R294" s="164"/>
      <c r="S294" s="164"/>
      <c r="T294" s="164"/>
      <c r="U294" s="164"/>
    </row>
    <row r="295" spans="1:21" ht="19.5" hidden="1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641">
        <f ca="1">IFERROR(__xludf.DUMMYFUNCTION("IMPORTRANGE(""https://docs.google.com/spreadsheets/d/1eHaY18a8A9IcSdp1K8H6x8fbOy06t2VsZHhMHf-1x7Y/edit?usp=sharing"",""แผน!ED35"")"),0)</f>
        <v>0</v>
      </c>
      <c r="J295" s="467">
        <v>0</v>
      </c>
      <c r="K295" s="565">
        <f ca="1">IF(I295&gt;0,J295*100/I295,0)</f>
        <v>0</v>
      </c>
      <c r="L295" s="172"/>
      <c r="M295" s="164"/>
      <c r="N295" s="164"/>
      <c r="O295" s="164"/>
      <c r="P295" s="164"/>
      <c r="Q295" s="164"/>
      <c r="R295" s="164"/>
      <c r="S295" s="164"/>
      <c r="T295" s="164"/>
      <c r="U295" s="164"/>
    </row>
    <row r="296" spans="1:21" ht="19.5" hidden="1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641">
        <f ca="1">IFERROR(__xludf.DUMMYFUNCTION("IMPORTRANGE(""https://docs.google.com/spreadsheets/d/1eHaY18a8A9IcSdp1K8H6x8fbOy06t2VsZHhMHf-1x7Y/edit?usp=sharing"",""แผน!ED35"")"),0)</f>
        <v>0</v>
      </c>
      <c r="J296" s="467">
        <v>0</v>
      </c>
      <c r="K296" s="565">
        <f ca="1">IF(I296&gt;0,J296*100/I296,0)</f>
        <v>0</v>
      </c>
      <c r="L296" s="172"/>
      <c r="M296" s="164"/>
      <c r="N296" s="164"/>
      <c r="O296" s="164"/>
      <c r="P296" s="164"/>
      <c r="Q296" s="164"/>
      <c r="R296" s="164"/>
      <c r="S296" s="164"/>
      <c r="T296" s="164"/>
      <c r="U296" s="164"/>
    </row>
    <row r="297" spans="1:21" ht="12.75" hidden="1">
      <c r="A297" s="192"/>
      <c r="B297" s="193"/>
      <c r="C297" s="193"/>
      <c r="D297" s="22"/>
      <c r="E297" s="22"/>
      <c r="F297" s="22"/>
      <c r="G297" s="23"/>
      <c r="H297" s="23"/>
      <c r="I297" s="24"/>
      <c r="J297" s="24"/>
      <c r="K297" s="25"/>
      <c r="L297" s="26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2.75" hidden="1">
      <c r="A298" s="192"/>
      <c r="B298" s="193"/>
      <c r="C298" s="193"/>
      <c r="D298" s="22"/>
      <c r="E298" s="22"/>
      <c r="F298" s="22"/>
      <c r="G298" s="23"/>
      <c r="H298" s="23"/>
      <c r="I298" s="24"/>
      <c r="J298" s="24"/>
      <c r="K298" s="25"/>
      <c r="L298" s="26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2.75" hidden="1">
      <c r="A299" s="311"/>
      <c r="B299" s="312"/>
      <c r="C299" s="312"/>
      <c r="D299" s="27"/>
      <c r="E299" s="27"/>
      <c r="F299" s="27"/>
      <c r="G299" s="17"/>
      <c r="H299" s="17"/>
      <c r="I299" s="18"/>
      <c r="J299" s="18"/>
      <c r="K299" s="19"/>
      <c r="L299" s="28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>
      <c r="A300" s="313" t="s">
        <v>125</v>
      </c>
      <c r="B300" s="314"/>
      <c r="C300" s="314"/>
      <c r="D300" s="314"/>
      <c r="E300" s="315"/>
      <c r="F300" s="315"/>
      <c r="G300" s="315"/>
      <c r="H300" s="315"/>
      <c r="I300" s="316"/>
      <c r="J300" s="316"/>
      <c r="K300" s="317"/>
      <c r="L300" s="317"/>
      <c r="M300" s="317"/>
      <c r="N300" s="317"/>
      <c r="O300" s="317"/>
      <c r="P300" s="318"/>
      <c r="Q300" s="317"/>
      <c r="R300" s="317"/>
      <c r="S300" s="317"/>
      <c r="T300" s="317"/>
      <c r="U300" s="318"/>
    </row>
    <row r="301" spans="1:21" ht="19.5">
      <c r="A301" s="319" t="s">
        <v>126</v>
      </c>
      <c r="B301" s="320"/>
      <c r="C301" s="320"/>
      <c r="D301" s="321"/>
      <c r="E301" s="321"/>
      <c r="F301" s="321"/>
      <c r="G301" s="322"/>
      <c r="H301" s="322"/>
      <c r="I301" s="323"/>
      <c r="J301" s="323"/>
      <c r="K301" s="324"/>
      <c r="L301" s="325"/>
      <c r="M301" s="324"/>
      <c r="N301" s="324"/>
      <c r="O301" s="324"/>
      <c r="P301" s="324"/>
      <c r="Q301" s="324"/>
      <c r="R301" s="324"/>
      <c r="S301" s="324"/>
      <c r="T301" s="324"/>
      <c r="U301" s="324"/>
    </row>
    <row r="302" spans="1:21" ht="19.5">
      <c r="A302" s="326"/>
      <c r="B302" s="327" t="s">
        <v>127</v>
      </c>
      <c r="C302" s="328"/>
      <c r="D302" s="328"/>
      <c r="E302" s="328"/>
      <c r="F302" s="328"/>
      <c r="G302" s="329"/>
      <c r="H302" s="330" t="s">
        <v>35</v>
      </c>
      <c r="I302" s="605">
        <f ca="1">I314</f>
        <v>15</v>
      </c>
      <c r="J302" s="605">
        <f>J314</f>
        <v>15</v>
      </c>
      <c r="K302" s="604">
        <f ca="1">IF(I302&gt;0,J302*100/I302,0)</f>
        <v>100</v>
      </c>
      <c r="L302" s="334"/>
      <c r="M302" s="333"/>
      <c r="N302" s="333"/>
      <c r="O302" s="333"/>
      <c r="P302" s="333"/>
      <c r="Q302" s="333"/>
      <c r="R302" s="333"/>
      <c r="S302" s="333"/>
      <c r="T302" s="333"/>
      <c r="U302" s="333"/>
    </row>
    <row r="303" spans="1:21" ht="19.5">
      <c r="A303" s="155"/>
      <c r="B303" s="50"/>
      <c r="C303" s="156" t="s">
        <v>18</v>
      </c>
      <c r="D303" s="575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541">
        <f ca="1">L304+L305</f>
        <v>166000</v>
      </c>
      <c r="M303" s="540">
        <f ca="1">M304+M305</f>
        <v>166000</v>
      </c>
      <c r="N303" s="540">
        <f ca="1">N304+N305</f>
        <v>99500</v>
      </c>
      <c r="O303" s="540">
        <f ca="1">IF(L303&gt;0,N303*100/L303,0)</f>
        <v>59.939759036144579</v>
      </c>
      <c r="P303" s="540">
        <f ca="1">IF(M303&gt;0,N303*100/M303,0)</f>
        <v>59.939759036144579</v>
      </c>
      <c r="Q303" s="540">
        <f ca="1">Q304+Q305</f>
        <v>123161.24</v>
      </c>
      <c r="R303" s="540">
        <f ca="1">R304+R305</f>
        <v>123161</v>
      </c>
      <c r="S303" s="540">
        <f ca="1">S304+S305</f>
        <v>6320</v>
      </c>
      <c r="T303" s="540">
        <f ca="1">IF(Q303&gt;0,S303*100/Q303,0)</f>
        <v>5.1314845482231259</v>
      </c>
      <c r="U303" s="540">
        <f ca="1">IF(R303&gt;0,S303*100/R303,0)</f>
        <v>5.1314945477870433</v>
      </c>
    </row>
    <row r="304" spans="1:21" ht="18.75" hidden="1">
      <c r="A304" s="155"/>
      <c r="B304" s="50"/>
      <c r="C304" s="50"/>
      <c r="D304" s="50"/>
      <c r="E304" s="186" t="s">
        <v>20</v>
      </c>
      <c r="F304" s="50"/>
      <c r="G304" s="52"/>
      <c r="H304" s="187" t="s">
        <v>14</v>
      </c>
      <c r="I304" s="54"/>
      <c r="J304" s="54"/>
      <c r="K304" s="55"/>
      <c r="L304" s="103">
        <f>L307+L310</f>
        <v>0</v>
      </c>
      <c r="M304" s="102">
        <f>M307+M310</f>
        <v>0</v>
      </c>
      <c r="N304" s="102">
        <f>N307+N310</f>
        <v>0</v>
      </c>
      <c r="O304" s="102">
        <f>IF(L304&gt;0,N304*100/L304,0)</f>
        <v>0</v>
      </c>
      <c r="P304" s="102">
        <f>IF(M304&gt;0,N304*100/M304,0)</f>
        <v>0</v>
      </c>
      <c r="Q304" s="102">
        <f>Q307+Q310</f>
        <v>0</v>
      </c>
      <c r="R304" s="102">
        <f>R307+R310</f>
        <v>0</v>
      </c>
      <c r="S304" s="102">
        <f>S307+S310</f>
        <v>0</v>
      </c>
      <c r="T304" s="102">
        <f>IF(Q304&gt;0,S304*100/Q304,0)</f>
        <v>0</v>
      </c>
      <c r="U304" s="102">
        <f>IF(R304&gt;0,S304*100/R304,0)</f>
        <v>0</v>
      </c>
    </row>
    <row r="305" spans="1:21" ht="18.75" hidden="1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256">
        <f ca="1">L308+L311</f>
        <v>166000</v>
      </c>
      <c r="M305" s="255">
        <f ca="1">M308+M311</f>
        <v>166000</v>
      </c>
      <c r="N305" s="255">
        <f ca="1">N308+N311</f>
        <v>99500</v>
      </c>
      <c r="O305" s="255">
        <f ca="1">IF(L305&gt;0,N305*100/L305,0)</f>
        <v>59.939759036144579</v>
      </c>
      <c r="P305" s="255">
        <f ca="1">IF(M305&gt;0,N305*100/M305,0)</f>
        <v>59.939759036144579</v>
      </c>
      <c r="Q305" s="255">
        <f ca="1">Q308+Q311</f>
        <v>123161.24</v>
      </c>
      <c r="R305" s="255">
        <f ca="1">R308+R311</f>
        <v>123161</v>
      </c>
      <c r="S305" s="255">
        <f ca="1">S308+S311</f>
        <v>6320</v>
      </c>
      <c r="T305" s="255">
        <f ca="1">IF(Q305&gt;0,S305*100/Q305,0)</f>
        <v>5.1314845482231259</v>
      </c>
      <c r="U305" s="255">
        <f ca="1">IF(R305&gt;0,S305*100/R305,0)</f>
        <v>5.1314945477870433</v>
      </c>
    </row>
    <row r="306" spans="1:21" ht="18.75">
      <c r="A306" s="155"/>
      <c r="B306" s="50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256">
        <f ca="1">L307+L308</f>
        <v>166000</v>
      </c>
      <c r="M306" s="255">
        <f ca="1">M307+M308</f>
        <v>166000</v>
      </c>
      <c r="N306" s="255">
        <f ca="1">N307+N308</f>
        <v>99500</v>
      </c>
      <c r="O306" s="255">
        <f ca="1">IF(L306&gt;0,N306*100/L306,0)</f>
        <v>59.939759036144579</v>
      </c>
      <c r="P306" s="255">
        <f ca="1">IF(M306&gt;0,N306*100/M306,0)</f>
        <v>59.939759036144579</v>
      </c>
      <c r="Q306" s="255">
        <f ca="1">Q307+Q308</f>
        <v>123161.24</v>
      </c>
      <c r="R306" s="255">
        <f ca="1">R307+R308</f>
        <v>123161</v>
      </c>
      <c r="S306" s="255">
        <f ca="1">S307+S308</f>
        <v>6320</v>
      </c>
      <c r="T306" s="255">
        <f ca="1">IF(Q306&gt;0,S306*100/Q306,0)</f>
        <v>5.1314845482231259</v>
      </c>
      <c r="U306" s="255">
        <f ca="1">IF(R306&gt;0,S306*100/R306,0)</f>
        <v>5.1314945477870433</v>
      </c>
    </row>
    <row r="307" spans="1:21" ht="18.75" hidden="1">
      <c r="A307" s="155"/>
      <c r="B307" s="50"/>
      <c r="C307" s="50"/>
      <c r="D307" s="50"/>
      <c r="E307" s="186" t="s">
        <v>36</v>
      </c>
      <c r="F307" s="50"/>
      <c r="G307" s="52"/>
      <c r="H307" s="189" t="s">
        <v>14</v>
      </c>
      <c r="I307" s="163"/>
      <c r="J307" s="163"/>
      <c r="K307" s="164"/>
      <c r="L307" s="103">
        <v>0</v>
      </c>
      <c r="M307" s="102">
        <v>0</v>
      </c>
      <c r="N307" s="102">
        <v>0</v>
      </c>
      <c r="O307" s="102">
        <f>IF(L307&gt;0,N307*100/L307,0)</f>
        <v>0</v>
      </c>
      <c r="P307" s="102">
        <f>IF(M307&gt;0,N307*100/M307,0)</f>
        <v>0</v>
      </c>
      <c r="Q307" s="102">
        <v>0</v>
      </c>
      <c r="R307" s="102">
        <v>0</v>
      </c>
      <c r="S307" s="102">
        <v>0</v>
      </c>
      <c r="T307" s="102">
        <f>IF(Q307&gt;0,S307*100/Q307,0)</f>
        <v>0</v>
      </c>
      <c r="U307" s="102">
        <f>IF(R307&gt;0,S307*100/R307,0)</f>
        <v>0</v>
      </c>
    </row>
    <row r="308" spans="1:21" ht="18.75" hidden="1">
      <c r="A308" s="155"/>
      <c r="B308" s="50"/>
      <c r="C308" s="50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256">
        <f ca="1">IFERROR(__xludf.DUMMYFUNCTION("IMPORTRANGE(""https://docs.google.com/spreadsheets/d/1-uDff_7J0KD5mKrp0Vvzr7lt3OU09vwQwhkpOPPYv2Y/edit?usp=sharing"",""งบพรบ!DY35"")"),166000)</f>
        <v>166000</v>
      </c>
      <c r="M308" s="255">
        <f ca="1">IFERROR(__xludf.DUMMYFUNCTION("IMPORTRANGE(""https://docs.google.com/spreadsheets/d/1-uDff_7J0KD5mKrp0Vvzr7lt3OU09vwQwhkpOPPYv2Y/edit?usp=sharing"",""งบพรบ!ED35"")"),166000)</f>
        <v>166000</v>
      </c>
      <c r="N308" s="255">
        <f ca="1">IFERROR(__xludf.DUMMYFUNCTION("IMPORTRANGE(""https://docs.google.com/spreadsheets/d/1-uDff_7J0KD5mKrp0Vvzr7lt3OU09vwQwhkpOPPYv2Y/edit?usp=sharing"",""งบพรบ!EF35"")"),99500)</f>
        <v>99500</v>
      </c>
      <c r="O308" s="255">
        <f ca="1">IF(L308&gt;0,N308*100/L308,0)</f>
        <v>59.939759036144579</v>
      </c>
      <c r="P308" s="255">
        <f ca="1">IF(M308&gt;0,N308*100/M308,0)</f>
        <v>59.939759036144579</v>
      </c>
      <c r="Q308" s="255">
        <f ca="1">IFERROR(__xludf.DUMMYFUNCTION("IMPORTRANGE(""https://docs.google.com/spreadsheets/d/1ItG2mGa2ceCfYo0BwxsXqNm01IGEUdYcSSLTEv9YCik/edit?usp=sharing"",""เบิกจ่ายกองทุน!AP35"")"),123161.24)</f>
        <v>123161.24</v>
      </c>
      <c r="R308" s="255">
        <f ca="1">IFERROR(__xludf.DUMMYFUNCTION("IMPORTRANGE(""https://docs.google.com/spreadsheets/d/1ItG2mGa2ceCfYo0BwxsXqNm01IGEUdYcSSLTEv9YCik/edit?usp=sharing"",""เบิกจ่ายกองทุน!AQ35"")"),123161)</f>
        <v>123161</v>
      </c>
      <c r="S308" s="255">
        <f ca="1">IFERROR(__xludf.DUMMYFUNCTION("IMPORTRANGE(""https://docs.google.com/spreadsheets/d/1ItG2mGa2ceCfYo0BwxsXqNm01IGEUdYcSSLTEv9YCik/edit?usp=sharing"",""เบิกจ่ายกองทุน!AR35"")"),6320)</f>
        <v>6320</v>
      </c>
      <c r="T308" s="255">
        <f ca="1">IF(Q308&gt;0,S308*100/Q308,0)</f>
        <v>5.1314845482231259</v>
      </c>
      <c r="U308" s="255">
        <f ca="1">IF(R308&gt;0,S308*100/R308,0)</f>
        <v>5.1314945477870433</v>
      </c>
    </row>
    <row r="309" spans="1:21" ht="18.75">
      <c r="A309" s="155"/>
      <c r="B309" s="50"/>
      <c r="C309" s="50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256">
        <f ca="1">L310+L311</f>
        <v>0</v>
      </c>
      <c r="M309" s="255">
        <f ca="1">M310+M311</f>
        <v>0</v>
      </c>
      <c r="N309" s="255">
        <f ca="1">N310+N311</f>
        <v>0</v>
      </c>
      <c r="O309" s="255">
        <f ca="1">IF(L309&gt;0,N309*100/L309,0)</f>
        <v>0</v>
      </c>
      <c r="P309" s="255">
        <f ca="1">IF(M309&gt;0,N309*100/M309,0)</f>
        <v>0</v>
      </c>
      <c r="Q309" s="255">
        <f>Q310+Q311</f>
        <v>0</v>
      </c>
      <c r="R309" s="255">
        <f>R310+R311</f>
        <v>0</v>
      </c>
      <c r="S309" s="255">
        <f>S310+S311</f>
        <v>0</v>
      </c>
      <c r="T309" s="255">
        <f>IF(Q309&gt;0,S309*100/Q309,0)</f>
        <v>0</v>
      </c>
      <c r="U309" s="255">
        <f>IF(R309&gt;0,S309*100/R309,0)</f>
        <v>0</v>
      </c>
    </row>
    <row r="310" spans="1:21" ht="18.75" hidden="1">
      <c r="A310" s="155"/>
      <c r="B310" s="50"/>
      <c r="C310" s="50"/>
      <c r="D310" s="50"/>
      <c r="E310" s="186" t="s">
        <v>20</v>
      </c>
      <c r="F310" s="50"/>
      <c r="G310" s="52"/>
      <c r="H310" s="189" t="s">
        <v>14</v>
      </c>
      <c r="I310" s="163"/>
      <c r="J310" s="163"/>
      <c r="K310" s="164"/>
      <c r="L310" s="103">
        <v>0</v>
      </c>
      <c r="M310" s="102">
        <v>0</v>
      </c>
      <c r="N310" s="102">
        <v>0</v>
      </c>
      <c r="O310" s="102">
        <f>IF(L310&gt;0,N310*100/L310,0)</f>
        <v>0</v>
      </c>
      <c r="P310" s="102">
        <f>IF(M310&gt;0,N310*100/M310,0)</f>
        <v>0</v>
      </c>
      <c r="Q310" s="102">
        <v>0</v>
      </c>
      <c r="R310" s="102">
        <v>0</v>
      </c>
      <c r="S310" s="102">
        <v>0</v>
      </c>
      <c r="T310" s="102">
        <f>IF(Q310&gt;0,S310*100/Q310,0)</f>
        <v>0</v>
      </c>
      <c r="U310" s="102">
        <f>IF(R310&gt;0,S310*100/R310,0)</f>
        <v>0</v>
      </c>
    </row>
    <row r="311" spans="1:21" ht="18.75" hidden="1">
      <c r="A311" s="155"/>
      <c r="B311" s="50"/>
      <c r="C311" s="50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256">
        <f ca="1">IFERROR(__xludf.DUMMYFUNCTION("IMPORTRANGE(""https://docs.google.com/spreadsheets/d/1-uDff_7J0KD5mKrp0Vvzr7lt3OU09vwQwhkpOPPYv2Y/edit?usp=sharing"",""งบพรบ!EB35"")"),0)</f>
        <v>0</v>
      </c>
      <c r="M311" s="255">
        <f ca="1">IFERROR(__xludf.DUMMYFUNCTION("IMPORTRANGE(""https://docs.google.com/spreadsheets/d/1-uDff_7J0KD5mKrp0Vvzr7lt3OU09vwQwhkpOPPYv2Y/edit?usp=sharing"",""งบพรบ!EE35"")"),0)</f>
        <v>0</v>
      </c>
      <c r="N311" s="255">
        <f ca="1">IFERROR(__xludf.DUMMYFUNCTION("IMPORTRANGE(""https://docs.google.com/spreadsheets/d/1-uDff_7J0KD5mKrp0Vvzr7lt3OU09vwQwhkpOPPYv2Y/edit?usp=sharing"",""งบพรบ!EG35"")"),0)</f>
        <v>0</v>
      </c>
      <c r="O311" s="255">
        <f ca="1">IF(L311&gt;0,N311*100/L311,0)</f>
        <v>0</v>
      </c>
      <c r="P311" s="255">
        <f ca="1">IF(M311&gt;0,N311*100/M311,0)</f>
        <v>0</v>
      </c>
      <c r="Q311" s="255">
        <v>0</v>
      </c>
      <c r="R311" s="255">
        <v>0</v>
      </c>
      <c r="S311" s="255">
        <v>0</v>
      </c>
      <c r="T311" s="255">
        <f>IF(Q311&gt;0,S311*100/Q311,0)</f>
        <v>0</v>
      </c>
      <c r="U311" s="255">
        <f>IF(R311&gt;0,S311*100/R311,0)</f>
        <v>0</v>
      </c>
    </row>
    <row r="312" spans="1:21" ht="19.5">
      <c r="A312" s="166"/>
      <c r="B312" s="167"/>
      <c r="C312" s="156" t="s">
        <v>18</v>
      </c>
      <c r="D312" s="566" t="s">
        <v>38</v>
      </c>
      <c r="E312" s="169"/>
      <c r="F312" s="169"/>
      <c r="G312" s="170"/>
      <c r="H312" s="171"/>
      <c r="I312" s="54"/>
      <c r="J312" s="54"/>
      <c r="K312" s="55"/>
      <c r="L312" s="62"/>
      <c r="M312" s="55"/>
      <c r="N312" s="55"/>
      <c r="O312" s="55"/>
      <c r="P312" s="55"/>
      <c r="Q312" s="55"/>
      <c r="R312" s="55"/>
      <c r="S312" s="55"/>
      <c r="T312" s="55"/>
      <c r="U312" s="55"/>
    </row>
    <row r="313" spans="1:21" ht="18.75" hidden="1">
      <c r="A313" s="192"/>
      <c r="B313" s="193"/>
      <c r="C313" s="193"/>
      <c r="D313" s="640"/>
      <c r="E313" s="22"/>
      <c r="F313" s="22"/>
      <c r="G313" s="23"/>
      <c r="H313" s="23"/>
      <c r="I313" s="24"/>
      <c r="J313" s="638"/>
      <c r="K313" s="25"/>
      <c r="L313" s="26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8.75">
      <c r="A314" s="166"/>
      <c r="B314" s="167"/>
      <c r="C314" s="167"/>
      <c r="D314" s="178" t="s">
        <v>121</v>
      </c>
      <c r="E314" s="174"/>
      <c r="F314" s="174"/>
      <c r="G314" s="171"/>
      <c r="H314" s="179" t="s">
        <v>35</v>
      </c>
      <c r="I314" s="212">
        <f ca="1">IFERROR(__xludf.DUMMYFUNCTION("IMPORTRANGE(""https://docs.google.com/spreadsheets/d/1eHaY18a8A9IcSdp1K8H6x8fbOy06t2VsZHhMHf-1x7Y/edit?usp=sharing"",""แผน!EF35"")"),15)</f>
        <v>15</v>
      </c>
      <c r="J314" s="467">
        <v>15</v>
      </c>
      <c r="K314" s="255">
        <f ca="1">IF(I314&gt;0,J314*100/I314,0)</f>
        <v>100</v>
      </c>
      <c r="L314" s="62"/>
      <c r="M314" s="55"/>
      <c r="N314" s="55"/>
      <c r="O314" s="55"/>
      <c r="P314" s="55"/>
      <c r="Q314" s="55"/>
      <c r="R314" s="55"/>
      <c r="S314" s="55"/>
      <c r="T314" s="55"/>
      <c r="U314" s="55"/>
    </row>
    <row r="315" spans="1:21" ht="18.75" hidden="1">
      <c r="A315" s="192"/>
      <c r="B315" s="193"/>
      <c r="C315" s="193"/>
      <c r="D315" s="640"/>
      <c r="E315" s="22"/>
      <c r="F315" s="22"/>
      <c r="G315" s="23"/>
      <c r="H315" s="639"/>
      <c r="I315" s="638"/>
      <c r="J315" s="638"/>
      <c r="K315" s="637"/>
      <c r="L315" s="26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8.75" hidden="1">
      <c r="A316" s="192"/>
      <c r="B316" s="193"/>
      <c r="C316" s="193"/>
      <c r="D316" s="640"/>
      <c r="E316" s="22"/>
      <c r="F316" s="22"/>
      <c r="G316" s="23"/>
      <c r="H316" s="639"/>
      <c r="I316" s="638"/>
      <c r="J316" s="638"/>
      <c r="K316" s="637"/>
      <c r="L316" s="26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8.75" hidden="1">
      <c r="A317" s="192"/>
      <c r="B317" s="193"/>
      <c r="C317" s="193"/>
      <c r="D317" s="636"/>
      <c r="E317" s="22"/>
      <c r="F317" s="22"/>
      <c r="G317" s="23"/>
      <c r="H317" s="635"/>
      <c r="I317" s="638"/>
      <c r="J317" s="634"/>
      <c r="K317" s="633"/>
      <c r="L317" s="26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9.5" hidden="1">
      <c r="A318" s="319" t="s">
        <v>131</v>
      </c>
      <c r="B318" s="320"/>
      <c r="C318" s="320"/>
      <c r="D318" s="321"/>
      <c r="E318" s="320"/>
      <c r="F318" s="320"/>
      <c r="G318" s="320"/>
      <c r="H318" s="321"/>
      <c r="I318" s="323"/>
      <c r="J318" s="323"/>
      <c r="K318" s="324"/>
      <c r="L318" s="325"/>
      <c r="M318" s="324"/>
      <c r="N318" s="324"/>
      <c r="O318" s="324"/>
      <c r="P318" s="324"/>
      <c r="Q318" s="324"/>
      <c r="R318" s="324"/>
      <c r="S318" s="324"/>
      <c r="T318" s="324"/>
      <c r="U318" s="324"/>
    </row>
    <row r="319" spans="1:21" ht="19.5" hidden="1">
      <c r="A319" s="335"/>
      <c r="B319" s="327" t="s">
        <v>132</v>
      </c>
      <c r="C319" s="336"/>
      <c r="D319" s="337"/>
      <c r="E319" s="328"/>
      <c r="F319" s="328"/>
      <c r="G319" s="329"/>
      <c r="H319" s="330" t="s">
        <v>133</v>
      </c>
      <c r="I319" s="605">
        <f ca="1">I330</f>
        <v>0</v>
      </c>
      <c r="J319" s="605">
        <f>J330</f>
        <v>0</v>
      </c>
      <c r="K319" s="604">
        <f ca="1">IF(I319&gt;0,J319*100/I319,0)</f>
        <v>0</v>
      </c>
      <c r="L319" s="334"/>
      <c r="M319" s="333"/>
      <c r="N319" s="333"/>
      <c r="O319" s="333"/>
      <c r="P319" s="333"/>
      <c r="Q319" s="333"/>
      <c r="R319" s="333"/>
      <c r="S319" s="333"/>
      <c r="T319" s="333"/>
      <c r="U319" s="333"/>
    </row>
    <row r="320" spans="1:21" ht="19.5" hidden="1">
      <c r="A320" s="155"/>
      <c r="B320" s="50"/>
      <c r="C320" s="156" t="s">
        <v>18</v>
      </c>
      <c r="D320" s="575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541">
        <f ca="1">L321+L322</f>
        <v>0</v>
      </c>
      <c r="M320" s="540">
        <f ca="1">M321+M322</f>
        <v>0</v>
      </c>
      <c r="N320" s="540">
        <f ca="1">N321+N322</f>
        <v>0</v>
      </c>
      <c r="O320" s="540">
        <f ca="1">IF(L320&gt;0,N320*100/L320,0)</f>
        <v>0</v>
      </c>
      <c r="P320" s="540">
        <f ca="1">IF(M320&gt;0,N320*100/M320,0)</f>
        <v>0</v>
      </c>
      <c r="Q320" s="540">
        <f>Q321+Q322</f>
        <v>0</v>
      </c>
      <c r="R320" s="540">
        <f>R321+R322</f>
        <v>0</v>
      </c>
      <c r="S320" s="540">
        <f>S321+S322</f>
        <v>0</v>
      </c>
      <c r="T320" s="540">
        <f>IF(Q320&gt;0,S320*100/Q320,0)</f>
        <v>0</v>
      </c>
      <c r="U320" s="540">
        <f>IF(R320&gt;0,S320*100/R320,0)</f>
        <v>0</v>
      </c>
    </row>
    <row r="321" spans="1:21" ht="18.75" hidden="1">
      <c r="A321" s="155"/>
      <c r="B321" s="50"/>
      <c r="C321" s="50"/>
      <c r="D321" s="50"/>
      <c r="E321" s="186" t="s">
        <v>20</v>
      </c>
      <c r="F321" s="50"/>
      <c r="G321" s="52"/>
      <c r="H321" s="187" t="s">
        <v>14</v>
      </c>
      <c r="I321" s="54"/>
      <c r="J321" s="54"/>
      <c r="K321" s="55"/>
      <c r="L321" s="103">
        <f>L324+L327</f>
        <v>0</v>
      </c>
      <c r="M321" s="102">
        <f>M324+M327</f>
        <v>0</v>
      </c>
      <c r="N321" s="102">
        <f>N324+N327</f>
        <v>0</v>
      </c>
      <c r="O321" s="102">
        <f>IF(L321&gt;0,N321*100/L321,0)</f>
        <v>0</v>
      </c>
      <c r="P321" s="102">
        <f>IF(M321&gt;0,N321*100/M321,0)</f>
        <v>0</v>
      </c>
      <c r="Q321" s="102">
        <f>Q324+Q327</f>
        <v>0</v>
      </c>
      <c r="R321" s="102">
        <f>R324+R327</f>
        <v>0</v>
      </c>
      <c r="S321" s="102">
        <f>S324+S327</f>
        <v>0</v>
      </c>
      <c r="T321" s="102">
        <f>IF(Q321&gt;0,S321*100/Q321,0)</f>
        <v>0</v>
      </c>
      <c r="U321" s="102">
        <f>IF(R321&gt;0,S321*100/R321,0)</f>
        <v>0</v>
      </c>
    </row>
    <row r="322" spans="1:21" ht="18.75" hidden="1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256">
        <f ca="1">L325+L328</f>
        <v>0</v>
      </c>
      <c r="M322" s="255">
        <f ca="1">M325+M328</f>
        <v>0</v>
      </c>
      <c r="N322" s="255">
        <f ca="1">N325+N328</f>
        <v>0</v>
      </c>
      <c r="O322" s="255">
        <f ca="1">IF(L322&gt;0,N322*100/L322,0)</f>
        <v>0</v>
      </c>
      <c r="P322" s="255">
        <f ca="1">IF(M322&gt;0,N322*100/M322,0)</f>
        <v>0</v>
      </c>
      <c r="Q322" s="255">
        <f>Q325+Q328</f>
        <v>0</v>
      </c>
      <c r="R322" s="255">
        <f>R325+R328</f>
        <v>0</v>
      </c>
      <c r="S322" s="255">
        <f>S325+S328</f>
        <v>0</v>
      </c>
      <c r="T322" s="255">
        <f>IF(Q322&gt;0,S322*100/Q322,0)</f>
        <v>0</v>
      </c>
      <c r="U322" s="255">
        <f>IF(R322&gt;0,S322*100/R322,0)</f>
        <v>0</v>
      </c>
    </row>
    <row r="323" spans="1:21" ht="18.75" hidden="1">
      <c r="A323" s="155"/>
      <c r="B323" s="50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256">
        <f ca="1">L324+L325</f>
        <v>0</v>
      </c>
      <c r="M323" s="255">
        <f ca="1">M324+M325</f>
        <v>0</v>
      </c>
      <c r="N323" s="255">
        <f ca="1">N324+N325</f>
        <v>0</v>
      </c>
      <c r="O323" s="255">
        <f ca="1">IF(L323&gt;0,N323*100/L323,0)</f>
        <v>0</v>
      </c>
      <c r="P323" s="255">
        <f ca="1">IF(M323&gt;0,N323*100/M323,0)</f>
        <v>0</v>
      </c>
      <c r="Q323" s="255">
        <f>Q324+Q325</f>
        <v>0</v>
      </c>
      <c r="R323" s="255">
        <f>R324+R325</f>
        <v>0</v>
      </c>
      <c r="S323" s="255">
        <f>S324+S325</f>
        <v>0</v>
      </c>
      <c r="T323" s="255">
        <f>IF(Q323&gt;0,S323*100/Q323,0)</f>
        <v>0</v>
      </c>
      <c r="U323" s="255">
        <f>IF(R323&gt;0,S323*100/R323,0)</f>
        <v>0</v>
      </c>
    </row>
    <row r="324" spans="1:21" ht="18.75" hidden="1">
      <c r="A324" s="155"/>
      <c r="B324" s="50"/>
      <c r="C324" s="50"/>
      <c r="D324" s="50"/>
      <c r="E324" s="186" t="s">
        <v>36</v>
      </c>
      <c r="F324" s="50"/>
      <c r="G324" s="52"/>
      <c r="H324" s="189" t="s">
        <v>14</v>
      </c>
      <c r="I324" s="163"/>
      <c r="J324" s="163"/>
      <c r="K324" s="164"/>
      <c r="L324" s="103">
        <v>0</v>
      </c>
      <c r="M324" s="102">
        <v>0</v>
      </c>
      <c r="N324" s="102">
        <v>0</v>
      </c>
      <c r="O324" s="102">
        <f>IF(L324&gt;0,N324*100/L324,0)</f>
        <v>0</v>
      </c>
      <c r="P324" s="102">
        <f>IF(M324&gt;0,N324*100/M324,0)</f>
        <v>0</v>
      </c>
      <c r="Q324" s="102">
        <v>0</v>
      </c>
      <c r="R324" s="102">
        <v>0</v>
      </c>
      <c r="S324" s="102">
        <v>0</v>
      </c>
      <c r="T324" s="102">
        <f>IF(Q324&gt;0,S324*100/Q324,0)</f>
        <v>0</v>
      </c>
      <c r="U324" s="102">
        <f>IF(R324&gt;0,S324*100/R324,0)</f>
        <v>0</v>
      </c>
    </row>
    <row r="325" spans="1:21" ht="18.75" hidden="1">
      <c r="A325" s="155"/>
      <c r="B325" s="50"/>
      <c r="C325" s="50"/>
      <c r="D325" s="50"/>
      <c r="E325" s="58" t="s">
        <v>37</v>
      </c>
      <c r="F325" s="50"/>
      <c r="G325" s="52"/>
      <c r="H325" s="162" t="s">
        <v>14</v>
      </c>
      <c r="I325" s="163"/>
      <c r="J325" s="163"/>
      <c r="K325" s="164"/>
      <c r="L325" s="256">
        <f ca="1">IFERROR(__xludf.DUMMYFUNCTION("IMPORTRANGE(""https://docs.google.com/spreadsheets/d/1-uDff_7J0KD5mKrp0Vvzr7lt3OU09vwQwhkpOPPYv2Y/edit?usp=sharing"",""งบพรบ!EI35"")"),0)</f>
        <v>0</v>
      </c>
      <c r="M325" s="255">
        <f ca="1">IFERROR(__xludf.DUMMYFUNCTION("IMPORTRANGE(""https://docs.google.com/spreadsheets/d/1-uDff_7J0KD5mKrp0Vvzr7lt3OU09vwQwhkpOPPYv2Y/edit?usp=sharing"",""งบพรบ!EN35"")"),0)</f>
        <v>0</v>
      </c>
      <c r="N325" s="255">
        <f ca="1">IFERROR(__xludf.DUMMYFUNCTION("IMPORTRANGE(""https://docs.google.com/spreadsheets/d/1-uDff_7J0KD5mKrp0Vvzr7lt3OU09vwQwhkpOPPYv2Y/edit?usp=sharing"",""งบพรบ!EP35"")"),0)</f>
        <v>0</v>
      </c>
      <c r="O325" s="255">
        <f ca="1">IF(L325&gt;0,N325*100/L325,0)</f>
        <v>0</v>
      </c>
      <c r="P325" s="255">
        <f ca="1">IF(M325&gt;0,N325*100/M325,0)</f>
        <v>0</v>
      </c>
      <c r="Q325" s="255">
        <v>0</v>
      </c>
      <c r="R325" s="255">
        <v>0</v>
      </c>
      <c r="S325" s="255">
        <v>0</v>
      </c>
      <c r="T325" s="255">
        <f>IF(Q325&gt;0,S325*100/Q325,0)</f>
        <v>0</v>
      </c>
      <c r="U325" s="255">
        <f>IF(R325&gt;0,S325*100/R325,0)</f>
        <v>0</v>
      </c>
    </row>
    <row r="326" spans="1:21" ht="18.75" hidden="1">
      <c r="A326" s="155"/>
      <c r="B326" s="50"/>
      <c r="C326" s="50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256">
        <f ca="1">L327+L328</f>
        <v>0</v>
      </c>
      <c r="M326" s="255">
        <f ca="1">M327+M328</f>
        <v>0</v>
      </c>
      <c r="N326" s="255">
        <f ca="1">N327+N328</f>
        <v>0</v>
      </c>
      <c r="O326" s="255">
        <f ca="1">IF(L326&gt;0,N326*100/L326,0)</f>
        <v>0</v>
      </c>
      <c r="P326" s="255">
        <f ca="1">IF(M326&gt;0,N326*100/M326,0)</f>
        <v>0</v>
      </c>
      <c r="Q326" s="255">
        <f>Q327+Q328</f>
        <v>0</v>
      </c>
      <c r="R326" s="255">
        <f>R327+R328</f>
        <v>0</v>
      </c>
      <c r="S326" s="255">
        <f>S327+S328</f>
        <v>0</v>
      </c>
      <c r="T326" s="255">
        <f>IF(Q326&gt;0,S326*100/Q326,0)</f>
        <v>0</v>
      </c>
      <c r="U326" s="255">
        <f>IF(R326&gt;0,S326*100/R326,0)</f>
        <v>0</v>
      </c>
    </row>
    <row r="327" spans="1:21" ht="18.75" hidden="1">
      <c r="A327" s="155"/>
      <c r="B327" s="50"/>
      <c r="C327" s="50"/>
      <c r="D327" s="50"/>
      <c r="E327" s="186" t="s">
        <v>20</v>
      </c>
      <c r="F327" s="50"/>
      <c r="G327" s="52"/>
      <c r="H327" s="189" t="s">
        <v>14</v>
      </c>
      <c r="I327" s="163"/>
      <c r="J327" s="163"/>
      <c r="K327" s="164"/>
      <c r="L327" s="103">
        <v>0</v>
      </c>
      <c r="M327" s="102">
        <v>0</v>
      </c>
      <c r="N327" s="102">
        <v>0</v>
      </c>
      <c r="O327" s="102">
        <f>IF(L327&gt;0,N327*100/L327,0)</f>
        <v>0</v>
      </c>
      <c r="P327" s="102">
        <f>IF(M327&gt;0,N327*100/M327,0)</f>
        <v>0</v>
      </c>
      <c r="Q327" s="102">
        <v>0</v>
      </c>
      <c r="R327" s="102">
        <v>0</v>
      </c>
      <c r="S327" s="102">
        <v>0</v>
      </c>
      <c r="T327" s="102">
        <f>IF(Q327&gt;0,S327*100/Q327,0)</f>
        <v>0</v>
      </c>
      <c r="U327" s="102">
        <f>IF(R327&gt;0,S327*100/R327,0)</f>
        <v>0</v>
      </c>
    </row>
    <row r="328" spans="1:21" ht="18.75" hidden="1">
      <c r="A328" s="155"/>
      <c r="B328" s="50"/>
      <c r="C328" s="50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256">
        <f ca="1">IFERROR(__xludf.DUMMYFUNCTION("IMPORTRANGE(""https://docs.google.com/spreadsheets/d/1-uDff_7J0KD5mKrp0Vvzr7lt3OU09vwQwhkpOPPYv2Y/edit?usp=sharing"",""งบพรบ!EL35"")"),0)</f>
        <v>0</v>
      </c>
      <c r="M328" s="255">
        <f ca="1">IFERROR(__xludf.DUMMYFUNCTION("IMPORTRANGE(""https://docs.google.com/spreadsheets/d/1-uDff_7J0KD5mKrp0Vvzr7lt3OU09vwQwhkpOPPYv2Y/edit?usp=sharing"",""งบพรบ!EO35"")"),0)</f>
        <v>0</v>
      </c>
      <c r="N328" s="255">
        <f ca="1">IFERROR(__xludf.DUMMYFUNCTION("IMPORTRANGE(""https://docs.google.com/spreadsheets/d/1-uDff_7J0KD5mKrp0Vvzr7lt3OU09vwQwhkpOPPYv2Y/edit?usp=sharing"",""งบพรบ!EQ35"")"),0)</f>
        <v>0</v>
      </c>
      <c r="O328" s="255">
        <f ca="1">IF(L328&gt;0,N328*100/L328,0)</f>
        <v>0</v>
      </c>
      <c r="P328" s="255">
        <f ca="1">IF(M328&gt;0,N328*100/M328,0)</f>
        <v>0</v>
      </c>
      <c r="Q328" s="255">
        <v>0</v>
      </c>
      <c r="R328" s="255">
        <v>0</v>
      </c>
      <c r="S328" s="255">
        <v>0</v>
      </c>
      <c r="T328" s="255">
        <f>IF(Q328&gt;0,S328*100/Q328,0)</f>
        <v>0</v>
      </c>
      <c r="U328" s="255">
        <f>IF(R328&gt;0,S328*100/R328,0)</f>
        <v>0</v>
      </c>
    </row>
    <row r="329" spans="1:21" ht="19.5" hidden="1">
      <c r="A329" s="166"/>
      <c r="B329" s="167"/>
      <c r="C329" s="156" t="s">
        <v>18</v>
      </c>
      <c r="D329" s="566" t="s">
        <v>38</v>
      </c>
      <c r="E329" s="169"/>
      <c r="F329" s="169"/>
      <c r="G329" s="170"/>
      <c r="H329" s="171"/>
      <c r="I329" s="163"/>
      <c r="J329" s="54"/>
      <c r="K329" s="55"/>
      <c r="L329" s="62"/>
      <c r="M329" s="55"/>
      <c r="N329" s="55"/>
      <c r="O329" s="164"/>
      <c r="P329" s="164"/>
      <c r="Q329" s="55"/>
      <c r="R329" s="55"/>
      <c r="S329" s="55"/>
      <c r="T329" s="164"/>
      <c r="U329" s="164"/>
    </row>
    <row r="330" spans="1:21" ht="18.75" hidden="1">
      <c r="A330" s="166"/>
      <c r="B330" s="167"/>
      <c r="C330" s="167"/>
      <c r="D330" s="173" t="s">
        <v>134</v>
      </c>
      <c r="E330" s="174"/>
      <c r="F330" s="174"/>
      <c r="G330" s="171"/>
      <c r="H330" s="53" t="s">
        <v>133</v>
      </c>
      <c r="I330" s="212">
        <f ca="1">IFERROR(__xludf.DUMMYFUNCTION("IMPORTRANGE(""https://docs.google.com/spreadsheets/d/1eHaY18a8A9IcSdp1K8H6x8fbOy06t2VsZHhMHf-1x7Y/edit?usp=sharing"",""แผน!EJ35"")"),0)</f>
        <v>0</v>
      </c>
      <c r="J330" s="467">
        <v>0</v>
      </c>
      <c r="K330" s="255">
        <f ca="1">IF(I330&gt;0,J330*100/I330,0)</f>
        <v>0</v>
      </c>
      <c r="L330" s="62"/>
      <c r="M330" s="55"/>
      <c r="N330" s="55"/>
      <c r="O330" s="164"/>
      <c r="P330" s="164"/>
      <c r="Q330" s="55"/>
      <c r="R330" s="55"/>
      <c r="S330" s="55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1"/>
      <c r="I331" s="323"/>
      <c r="J331" s="323"/>
      <c r="K331" s="324"/>
      <c r="L331" s="325"/>
      <c r="M331" s="324"/>
      <c r="N331" s="324"/>
      <c r="O331" s="324"/>
      <c r="P331" s="324"/>
      <c r="Q331" s="324"/>
      <c r="R331" s="324"/>
      <c r="S331" s="324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30" t="s">
        <v>35</v>
      </c>
      <c r="I332" s="632">
        <f ca="1">I344</f>
        <v>860</v>
      </c>
      <c r="J332" s="631">
        <f ca="1">J344+J347+J348+J349+J353+J354</f>
        <v>3816</v>
      </c>
      <c r="K332" s="630">
        <f ca="1">IF(I332&gt;0,J332*100/I332,0)</f>
        <v>443.72093023255815</v>
      </c>
      <c r="L332" s="334"/>
      <c r="M332" s="333"/>
      <c r="N332" s="333"/>
      <c r="O332" s="333"/>
      <c r="P332" s="333"/>
      <c r="Q332" s="333"/>
      <c r="R332" s="333"/>
      <c r="S332" s="333"/>
      <c r="T332" s="333"/>
      <c r="U332" s="333"/>
    </row>
    <row r="333" spans="1:21" ht="19.5">
      <c r="A333" s="155"/>
      <c r="B333" s="50"/>
      <c r="C333" s="156" t="s">
        <v>18</v>
      </c>
      <c r="D333" s="575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541">
        <f ca="1">L334+L335</f>
        <v>108000</v>
      </c>
      <c r="M333" s="540">
        <f ca="1">M334+M335</f>
        <v>113000</v>
      </c>
      <c r="N333" s="540">
        <f ca="1">N334+N335</f>
        <v>43717</v>
      </c>
      <c r="O333" s="540">
        <f ca="1">IF(L333&gt;0,N333*100/L333,0)</f>
        <v>40.478703703703701</v>
      </c>
      <c r="P333" s="540">
        <f ca="1">IF(M333&gt;0,N333*100/M333,0)</f>
        <v>38.687610619469027</v>
      </c>
      <c r="Q333" s="540">
        <f>Q334+Q335</f>
        <v>0</v>
      </c>
      <c r="R333" s="540">
        <f>R334+R335</f>
        <v>0</v>
      </c>
      <c r="S333" s="540">
        <f>S334+S335</f>
        <v>0</v>
      </c>
      <c r="T333" s="540">
        <f>IF(Q333&gt;0,S333*100/Q333,0)</f>
        <v>0</v>
      </c>
      <c r="U333" s="540">
        <f>IF(R333&gt;0,S333*100/R333,0)</f>
        <v>0</v>
      </c>
    </row>
    <row r="334" spans="1:21" ht="18.75" hidden="1">
      <c r="A334" s="155"/>
      <c r="B334" s="50"/>
      <c r="C334" s="50"/>
      <c r="D334" s="50"/>
      <c r="E334" s="186" t="s">
        <v>20</v>
      </c>
      <c r="F334" s="50"/>
      <c r="G334" s="52"/>
      <c r="H334" s="187" t="s">
        <v>14</v>
      </c>
      <c r="I334" s="54"/>
      <c r="J334" s="54"/>
      <c r="K334" s="55"/>
      <c r="L334" s="103">
        <f>L337+L340</f>
        <v>0</v>
      </c>
      <c r="M334" s="102">
        <f>M337+M340</f>
        <v>0</v>
      </c>
      <c r="N334" s="102">
        <f>N337+N340</f>
        <v>0</v>
      </c>
      <c r="O334" s="102">
        <f>IF(L334&gt;0,N334*100/L334,0)</f>
        <v>0</v>
      </c>
      <c r="P334" s="102">
        <f>IF(M334&gt;0,N334*100/M334,0)</f>
        <v>0</v>
      </c>
      <c r="Q334" s="102">
        <f>Q337+Q340</f>
        <v>0</v>
      </c>
      <c r="R334" s="102">
        <f>R337+R340</f>
        <v>0</v>
      </c>
      <c r="S334" s="102">
        <f>S337+S340</f>
        <v>0</v>
      </c>
      <c r="T334" s="102">
        <f>IF(Q334&gt;0,S334*100/Q334,0)</f>
        <v>0</v>
      </c>
      <c r="U334" s="102">
        <f>IF(R334&gt;0,S334*100/R334,0)</f>
        <v>0</v>
      </c>
    </row>
    <row r="335" spans="1:21" ht="18.75" hidden="1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256">
        <f ca="1">L338+L341</f>
        <v>108000</v>
      </c>
      <c r="M335" s="255">
        <f ca="1">M338+M341</f>
        <v>113000</v>
      </c>
      <c r="N335" s="255">
        <f ca="1">N338+N341</f>
        <v>43717</v>
      </c>
      <c r="O335" s="255">
        <f ca="1">IF(L335&gt;0,N335*100/L335,0)</f>
        <v>40.478703703703701</v>
      </c>
      <c r="P335" s="255">
        <f ca="1">IF(M335&gt;0,N335*100/M335,0)</f>
        <v>38.687610619469027</v>
      </c>
      <c r="Q335" s="255">
        <f>Q338+Q341</f>
        <v>0</v>
      </c>
      <c r="R335" s="255">
        <f>R338+R341</f>
        <v>0</v>
      </c>
      <c r="S335" s="255">
        <f>S338+S341</f>
        <v>0</v>
      </c>
      <c r="T335" s="255">
        <f>IF(Q335&gt;0,S335*100/Q335,0)</f>
        <v>0</v>
      </c>
      <c r="U335" s="255">
        <f>IF(R335&gt;0,S335*100/R335,0)</f>
        <v>0</v>
      </c>
    </row>
    <row r="336" spans="1:21" ht="18.75">
      <c r="A336" s="155"/>
      <c r="B336" s="50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256">
        <f ca="1">L337+L338</f>
        <v>108000</v>
      </c>
      <c r="M336" s="255">
        <f ca="1">M337+M338</f>
        <v>113000</v>
      </c>
      <c r="N336" s="255">
        <f ca="1">N337+N338</f>
        <v>43717</v>
      </c>
      <c r="O336" s="255">
        <f ca="1">IF(L336&gt;0,N336*100/L336,0)</f>
        <v>40.478703703703701</v>
      </c>
      <c r="P336" s="255">
        <f ca="1">IF(M336&gt;0,N336*100/M336,0)</f>
        <v>38.687610619469027</v>
      </c>
      <c r="Q336" s="255">
        <f>Q337+Q338</f>
        <v>0</v>
      </c>
      <c r="R336" s="255">
        <f>R337+R338</f>
        <v>0</v>
      </c>
      <c r="S336" s="255">
        <f>S337+S338</f>
        <v>0</v>
      </c>
      <c r="T336" s="255">
        <f>IF(Q336&gt;0,S336*100/Q336,0)</f>
        <v>0</v>
      </c>
      <c r="U336" s="255">
        <f>IF(R336&gt;0,S336*100/R336,0)</f>
        <v>0</v>
      </c>
    </row>
    <row r="337" spans="1:21" ht="18.75" hidden="1">
      <c r="A337" s="155"/>
      <c r="B337" s="50"/>
      <c r="C337" s="50"/>
      <c r="D337" s="50"/>
      <c r="E337" s="186" t="s">
        <v>36</v>
      </c>
      <c r="F337" s="50"/>
      <c r="G337" s="52"/>
      <c r="H337" s="189" t="s">
        <v>14</v>
      </c>
      <c r="I337" s="163"/>
      <c r="J337" s="163"/>
      <c r="K337" s="164"/>
      <c r="L337" s="103">
        <v>0</v>
      </c>
      <c r="M337" s="102">
        <v>0</v>
      </c>
      <c r="N337" s="102">
        <v>0</v>
      </c>
      <c r="O337" s="102">
        <f>IF(L337&gt;0,N337*100/L337,0)</f>
        <v>0</v>
      </c>
      <c r="P337" s="102">
        <f>IF(M337&gt;0,N337*100/M337,0)</f>
        <v>0</v>
      </c>
      <c r="Q337" s="102">
        <v>0</v>
      </c>
      <c r="R337" s="102">
        <v>0</v>
      </c>
      <c r="S337" s="102">
        <v>0</v>
      </c>
      <c r="T337" s="102">
        <f>IF(Q337&gt;0,S337*100/Q337,0)</f>
        <v>0</v>
      </c>
      <c r="U337" s="102">
        <f>IF(R337&gt;0,S337*100/R337,0)</f>
        <v>0</v>
      </c>
    </row>
    <row r="338" spans="1:21" ht="18.75" hidden="1">
      <c r="A338" s="155"/>
      <c r="B338" s="50"/>
      <c r="C338" s="50"/>
      <c r="D338" s="50"/>
      <c r="E338" s="58" t="s">
        <v>37</v>
      </c>
      <c r="F338" s="50"/>
      <c r="G338" s="52"/>
      <c r="H338" s="162" t="s">
        <v>14</v>
      </c>
      <c r="I338" s="163"/>
      <c r="J338" s="163"/>
      <c r="K338" s="164"/>
      <c r="L338" s="256">
        <f ca="1">IFERROR(__xludf.DUMMYFUNCTION("IMPORTRANGE(""https://docs.google.com/spreadsheets/d/1-uDff_7J0KD5mKrp0Vvzr7lt3OU09vwQwhkpOPPYv2Y/edit?usp=sharing"",""งบพรบ!ES35"")"),108000)</f>
        <v>108000</v>
      </c>
      <c r="M338" s="255">
        <f ca="1">IFERROR(__xludf.DUMMYFUNCTION("IMPORTRANGE(""https://docs.google.com/spreadsheets/d/1-uDff_7J0KD5mKrp0Vvzr7lt3OU09vwQwhkpOPPYv2Y/edit?usp=sharing"",""งบพรบ!EX35"")"),113000)</f>
        <v>113000</v>
      </c>
      <c r="N338" s="255">
        <f ca="1">IFERROR(__xludf.DUMMYFUNCTION("IMPORTRANGE(""https://docs.google.com/spreadsheets/d/1-uDff_7J0KD5mKrp0Vvzr7lt3OU09vwQwhkpOPPYv2Y/edit?usp=sharing"",""งบพรบ!EZ35"")"),43717)</f>
        <v>43717</v>
      </c>
      <c r="O338" s="255">
        <f ca="1">IF(L338&gt;0,N338*100/L338,0)</f>
        <v>40.478703703703701</v>
      </c>
      <c r="P338" s="255">
        <f ca="1">IF(M338&gt;0,N338*100/M338,0)</f>
        <v>38.687610619469027</v>
      </c>
      <c r="Q338" s="255">
        <v>0</v>
      </c>
      <c r="R338" s="255">
        <v>0</v>
      </c>
      <c r="S338" s="255">
        <v>0</v>
      </c>
      <c r="T338" s="255">
        <f>IF(Q338&gt;0,S338*100/Q338,0)</f>
        <v>0</v>
      </c>
      <c r="U338" s="255">
        <f>IF(R338&gt;0,S338*100/R338,0)</f>
        <v>0</v>
      </c>
    </row>
    <row r="339" spans="1:21" ht="18.75">
      <c r="A339" s="155"/>
      <c r="B339" s="50"/>
      <c r="C339" s="50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256">
        <f ca="1">L340+L341</f>
        <v>0</v>
      </c>
      <c r="M339" s="255">
        <f ca="1">M340+M341</f>
        <v>0</v>
      </c>
      <c r="N339" s="255">
        <f ca="1">N340+N341</f>
        <v>0</v>
      </c>
      <c r="O339" s="255">
        <f ca="1">IF(L339&gt;0,N339*100/L339,0)</f>
        <v>0</v>
      </c>
      <c r="P339" s="255">
        <f ca="1">IF(M339&gt;0,N339*100/M339,0)</f>
        <v>0</v>
      </c>
      <c r="Q339" s="255">
        <f>Q340+Q341</f>
        <v>0</v>
      </c>
      <c r="R339" s="255">
        <f>R340+R341</f>
        <v>0</v>
      </c>
      <c r="S339" s="255">
        <f>S340+S341</f>
        <v>0</v>
      </c>
      <c r="T339" s="255">
        <f>IF(Q339&gt;0,S339*100/Q339,0)</f>
        <v>0</v>
      </c>
      <c r="U339" s="255">
        <f>IF(R339&gt;0,S339*100/R339,0)</f>
        <v>0</v>
      </c>
    </row>
    <row r="340" spans="1:21" ht="18.75" hidden="1">
      <c r="A340" s="155"/>
      <c r="B340" s="50"/>
      <c r="C340" s="50"/>
      <c r="D340" s="50"/>
      <c r="E340" s="186" t="s">
        <v>20</v>
      </c>
      <c r="F340" s="50"/>
      <c r="G340" s="52"/>
      <c r="H340" s="189" t="s">
        <v>14</v>
      </c>
      <c r="I340" s="163"/>
      <c r="J340" s="163"/>
      <c r="K340" s="164"/>
      <c r="L340" s="103">
        <v>0</v>
      </c>
      <c r="M340" s="102">
        <v>0</v>
      </c>
      <c r="N340" s="102">
        <v>0</v>
      </c>
      <c r="O340" s="102">
        <f>IF(L340&gt;0,N340*100/L340,0)</f>
        <v>0</v>
      </c>
      <c r="P340" s="102">
        <f>IF(M340&gt;0,N340*100/M340,0)</f>
        <v>0</v>
      </c>
      <c r="Q340" s="102">
        <v>0</v>
      </c>
      <c r="R340" s="102">
        <v>0</v>
      </c>
      <c r="S340" s="102">
        <v>0</v>
      </c>
      <c r="T340" s="102">
        <f>IF(Q340&gt;0,S340*100/Q340,0)</f>
        <v>0</v>
      </c>
      <c r="U340" s="102">
        <f>IF(R340&gt;0,S340*100/R340,0)</f>
        <v>0</v>
      </c>
    </row>
    <row r="341" spans="1:21" ht="18.75" hidden="1">
      <c r="A341" s="155"/>
      <c r="B341" s="50"/>
      <c r="C341" s="50"/>
      <c r="D341" s="50"/>
      <c r="E341" s="58" t="s">
        <v>21</v>
      </c>
      <c r="F341" s="50"/>
      <c r="G341" s="52"/>
      <c r="H341" s="165" t="s">
        <v>14</v>
      </c>
      <c r="I341" s="163"/>
      <c r="J341" s="163"/>
      <c r="K341" s="164"/>
      <c r="L341" s="256">
        <f ca="1">IFERROR(__xludf.DUMMYFUNCTION("IMPORTRANGE(""https://docs.google.com/spreadsheets/d/1-uDff_7J0KD5mKrp0Vvzr7lt3OU09vwQwhkpOPPYv2Y/edit?usp=sharing"",""งบพรบ!EV35"")"),0)</f>
        <v>0</v>
      </c>
      <c r="M341" s="255">
        <f ca="1">IFERROR(__xludf.DUMMYFUNCTION("IMPORTRANGE(""https://docs.google.com/spreadsheets/d/1-uDff_7J0KD5mKrp0Vvzr7lt3OU09vwQwhkpOPPYv2Y/edit?usp=sharing"",""งบพรบ!EY35"")"),0)</f>
        <v>0</v>
      </c>
      <c r="N341" s="255">
        <f ca="1">IFERROR(__xludf.DUMMYFUNCTION("IMPORTRANGE(""https://docs.google.com/spreadsheets/d/1-uDff_7J0KD5mKrp0Vvzr7lt3OU09vwQwhkpOPPYv2Y/edit?usp=sharing"",""งบพรบ!FA35"")"),0)</f>
        <v>0</v>
      </c>
      <c r="O341" s="255">
        <f ca="1">IF(L341&gt;0,N341*100/L341,0)</f>
        <v>0</v>
      </c>
      <c r="P341" s="255">
        <f ca="1">IF(M341&gt;0,N341*100/M341,0)</f>
        <v>0</v>
      </c>
      <c r="Q341" s="255">
        <v>0</v>
      </c>
      <c r="R341" s="255">
        <v>0</v>
      </c>
      <c r="S341" s="255">
        <v>0</v>
      </c>
      <c r="T341" s="255">
        <f>IF(Q341&gt;0,S341*100/Q341,0)</f>
        <v>0</v>
      </c>
      <c r="U341" s="255">
        <f>IF(R341&gt;0,S341*100/R341,0)</f>
        <v>0</v>
      </c>
    </row>
    <row r="342" spans="1:21" ht="19.5">
      <c r="A342" s="166"/>
      <c r="B342" s="167"/>
      <c r="C342" s="156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62"/>
      <c r="M342" s="55"/>
      <c r="N342" s="55"/>
      <c r="O342" s="164"/>
      <c r="P342" s="164"/>
      <c r="Q342" s="55"/>
      <c r="R342" s="55"/>
      <c r="S342" s="55"/>
      <c r="T342" s="164"/>
      <c r="U342" s="164"/>
    </row>
    <row r="343" spans="1:21" ht="19.5">
      <c r="A343" s="629"/>
      <c r="B343" s="626"/>
      <c r="C343" s="628"/>
      <c r="D343" s="626"/>
      <c r="E343" s="627" t="s">
        <v>137</v>
      </c>
      <c r="F343" s="626"/>
      <c r="G343" s="625"/>
      <c r="H343" s="624" t="s">
        <v>35</v>
      </c>
      <c r="I343" s="623">
        <v>0</v>
      </c>
      <c r="J343" s="623">
        <f ca="1">J344+J347+J348+J349</f>
        <v>404</v>
      </c>
      <c r="K343" s="622">
        <v>0</v>
      </c>
      <c r="L343" s="250"/>
      <c r="M343" s="249"/>
      <c r="N343" s="249"/>
      <c r="O343" s="249"/>
      <c r="P343" s="249"/>
      <c r="Q343" s="249"/>
      <c r="R343" s="249"/>
      <c r="S343" s="249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40" t="s">
        <v>35</v>
      </c>
      <c r="I344" s="212">
        <f ca="1">IFERROR(__xludf.DUMMYFUNCTION("IMPORTRANGE(""https://docs.google.com/spreadsheets/d/1eHaY18a8A9IcSdp1K8H6x8fbOy06t2VsZHhMHf-1x7Y/edit?usp=sharing"",""แผน!EK35"")"),860)</f>
        <v>860</v>
      </c>
      <c r="J344" s="212">
        <f ca="1">IFERROR(__xludf.DUMMYFUNCTION("IMPORTRANGE(""https://docs.google.com/spreadsheets/d/1awYsYK3VOup2i3Pq_Yjnu8DRu_mYwSBnCR2QPthd0rU/edit?usp=sharing"",""ศูนย์ยกเว้นโฉนด!D35"")"),404)</f>
        <v>404</v>
      </c>
      <c r="K344" s="255">
        <f ca="1">IF(I344&gt;0,J344*100/I344,0)</f>
        <v>46.97674418604651</v>
      </c>
      <c r="L344" s="62"/>
      <c r="M344" s="55"/>
      <c r="N344" s="55"/>
      <c r="O344" s="55"/>
      <c r="P344" s="55"/>
      <c r="Q344" s="55"/>
      <c r="R344" s="55"/>
      <c r="S344" s="55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62"/>
      <c r="M345" s="55"/>
      <c r="N345" s="55"/>
      <c r="O345" s="55"/>
      <c r="P345" s="55"/>
      <c r="Q345" s="55"/>
      <c r="R345" s="55"/>
      <c r="S345" s="55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212">
        <f ca="1">IFERROR(__xludf.DUMMYFUNCTION("IMPORTRANGE(""https://docs.google.com/spreadsheets/d/1eHaY18a8A9IcSdp1K8H6x8fbOy06t2VsZHhMHf-1x7Y/edit?usp=sharing"",""แผน!EL35"")"),4)</f>
        <v>4</v>
      </c>
      <c r="J346" s="212">
        <f ca="1">IFERROR(__xludf.DUMMYFUNCTION("IMPORTRANGE(""https://docs.google.com/spreadsheets/d/1awYsYK3VOup2i3Pq_Yjnu8DRu_mYwSBnCR2QPthd0rU/edit?usp=sharing"",""ศูนย์รวม!E35"")"),4)</f>
        <v>4</v>
      </c>
      <c r="K346" s="255">
        <f ca="1">IF(I346&gt;0,J346*100/I346,0)</f>
        <v>100</v>
      </c>
      <c r="L346" s="62"/>
      <c r="M346" s="55"/>
      <c r="N346" s="55"/>
      <c r="O346" s="55"/>
      <c r="P346" s="55"/>
      <c r="Q346" s="55"/>
      <c r="R346" s="55"/>
      <c r="S346" s="55"/>
      <c r="T346" s="55"/>
      <c r="U346" s="55"/>
    </row>
    <row r="347" spans="1:21" ht="18.75">
      <c r="A347" s="238"/>
      <c r="B347" s="50"/>
      <c r="C347" s="188"/>
      <c r="D347" s="174"/>
      <c r="E347" s="174"/>
      <c r="F347" s="178" t="s">
        <v>142</v>
      </c>
      <c r="G347" s="52"/>
      <c r="H347" s="203" t="s">
        <v>35</v>
      </c>
      <c r="I347" s="54"/>
      <c r="J347" s="212">
        <f ca="1">IFERROR(__xludf.DUMMYFUNCTION("IMPORTRANGE(""https://docs.google.com/spreadsheets/d/1awYsYK3VOup2i3Pq_Yjnu8DRu_mYwSBnCR2QPthd0rU/edit?usp=sharing"",""ศูนย์ยกเว้นโฉนด!F35"")"),0)</f>
        <v>0</v>
      </c>
      <c r="K347" s="55"/>
      <c r="L347" s="62"/>
      <c r="M347" s="55"/>
      <c r="N347" s="55"/>
      <c r="O347" s="55"/>
      <c r="P347" s="55"/>
      <c r="Q347" s="55"/>
      <c r="R347" s="55"/>
      <c r="S347" s="55"/>
      <c r="T347" s="55"/>
      <c r="U347" s="55"/>
    </row>
    <row r="348" spans="1:21" ht="18.75">
      <c r="A348" s="238"/>
      <c r="B348" s="50"/>
      <c r="C348" s="188"/>
      <c r="D348" s="174"/>
      <c r="E348" s="178" t="s">
        <v>143</v>
      </c>
      <c r="F348" s="174"/>
      <c r="G348" s="52"/>
      <c r="H348" s="203" t="s">
        <v>35</v>
      </c>
      <c r="I348" s="54"/>
      <c r="J348" s="212">
        <f ca="1">IFERROR(__xludf.DUMMYFUNCTION("IMPORTRANGE(""https://docs.google.com/spreadsheets/d/1awYsYK3VOup2i3Pq_Yjnu8DRu_mYwSBnCR2QPthd0rU/edit?usp=sharing"",""ศูนย์ยกเว้นโฉนด!G35"")"),0)</f>
        <v>0</v>
      </c>
      <c r="K348" s="55"/>
      <c r="L348" s="62"/>
      <c r="M348" s="55"/>
      <c r="N348" s="55"/>
      <c r="O348" s="55"/>
      <c r="P348" s="55"/>
      <c r="Q348" s="55"/>
      <c r="R348" s="55"/>
      <c r="S348" s="55"/>
      <c r="T348" s="55"/>
      <c r="U348" s="55"/>
    </row>
    <row r="349" spans="1:21" ht="18.75">
      <c r="A349" s="238"/>
      <c r="B349" s="50"/>
      <c r="C349" s="188"/>
      <c r="D349" s="167"/>
      <c r="E349" s="178" t="s">
        <v>144</v>
      </c>
      <c r="F349" s="174"/>
      <c r="G349" s="52"/>
      <c r="H349" s="203" t="s">
        <v>35</v>
      </c>
      <c r="I349" s="54"/>
      <c r="J349" s="212">
        <f ca="1">IFERROR(__xludf.DUMMYFUNCTION("IMPORTRANGE(""https://docs.google.com/spreadsheets/d/1awYsYK3VOup2i3Pq_Yjnu8DRu_mYwSBnCR2QPthd0rU/edit?usp=sharing"",""ศูนย์ยกเว้นโฉนด!H35"")"),0)</f>
        <v>0</v>
      </c>
      <c r="K349" s="55"/>
      <c r="L349" s="62"/>
      <c r="M349" s="55"/>
      <c r="N349" s="55"/>
      <c r="O349" s="55"/>
      <c r="P349" s="55"/>
      <c r="Q349" s="55"/>
      <c r="R349" s="55"/>
      <c r="S349" s="55"/>
      <c r="T349" s="55"/>
      <c r="U349" s="55"/>
    </row>
    <row r="350" spans="1:21" ht="16.5">
      <c r="A350" s="18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0" s="50"/>
      <c r="F350" s="50"/>
      <c r="G350" s="52"/>
      <c r="H350" s="208"/>
      <c r="I350" s="54"/>
      <c r="J350" s="54"/>
      <c r="K350" s="55"/>
      <c r="L350" s="62"/>
      <c r="M350" s="55"/>
      <c r="N350" s="55"/>
      <c r="O350" s="55"/>
      <c r="P350" s="55"/>
      <c r="Q350" s="55"/>
      <c r="R350" s="55"/>
      <c r="S350" s="55"/>
      <c r="T350" s="55"/>
      <c r="U350" s="55"/>
    </row>
    <row r="351" spans="1:21" ht="19.5">
      <c r="A351" s="241"/>
      <c r="B351" s="244"/>
      <c r="C351" s="242"/>
      <c r="D351" s="244"/>
      <c r="E351" s="621" t="s">
        <v>145</v>
      </c>
      <c r="F351" s="244"/>
      <c r="G351" s="245"/>
      <c r="H351" s="246" t="s">
        <v>35</v>
      </c>
      <c r="I351" s="339">
        <v>0</v>
      </c>
      <c r="J351" s="339">
        <f ca="1">J352+J353+J354</f>
        <v>3728</v>
      </c>
      <c r="K351" s="340">
        <v>0</v>
      </c>
      <c r="L351" s="250"/>
      <c r="M351" s="249"/>
      <c r="N351" s="249"/>
      <c r="O351" s="249"/>
      <c r="P351" s="249"/>
      <c r="Q351" s="249"/>
      <c r="R351" s="249"/>
      <c r="S351" s="249"/>
      <c r="T351" s="249"/>
      <c r="U351" s="249"/>
    </row>
    <row r="352" spans="1:21" ht="18.75">
      <c r="A352" s="188"/>
      <c r="B352" s="50"/>
      <c r="C352" s="188"/>
      <c r="D352" s="174"/>
      <c r="E352" s="178" t="s">
        <v>146</v>
      </c>
      <c r="F352" s="50"/>
      <c r="G352" s="52"/>
      <c r="H352" s="161" t="s">
        <v>35</v>
      </c>
      <c r="I352" s="54"/>
      <c r="J352" s="212">
        <f ca="1">IFERROR(__xludf.DUMMYFUNCTION("IMPORTRANGE(""https://docs.google.com/spreadsheets/d/1awYsYK3VOup2i3Pq_Yjnu8DRu_mYwSBnCR2QPthd0rU/edit?usp=sharing"",""โฉนดM3!G35"")"),316)</f>
        <v>316</v>
      </c>
      <c r="K352" s="55"/>
      <c r="L352" s="62"/>
      <c r="M352" s="55"/>
      <c r="N352" s="55"/>
      <c r="O352" s="55"/>
      <c r="P352" s="55"/>
      <c r="Q352" s="55"/>
      <c r="R352" s="55"/>
      <c r="S352" s="55"/>
      <c r="T352" s="55"/>
      <c r="U352" s="55"/>
    </row>
    <row r="353" spans="1:21" ht="18.75">
      <c r="A353" s="18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212">
        <f ca="1">IFERROR(__xludf.DUMMYFUNCTION("IMPORTRANGE(""https://docs.google.com/spreadsheets/d/1awYsYK3VOup2i3Pq_Yjnu8DRu_mYwSBnCR2QPthd0rU/edit?usp=sharing"",""โฉนดM3!H35"")"),3412)</f>
        <v>3412</v>
      </c>
      <c r="K353" s="55"/>
      <c r="L353" s="62"/>
      <c r="M353" s="55"/>
      <c r="N353" s="55"/>
      <c r="O353" s="55"/>
      <c r="P353" s="55"/>
      <c r="Q353" s="55"/>
      <c r="R353" s="55"/>
      <c r="S353" s="55"/>
      <c r="T353" s="55"/>
      <c r="U353" s="55"/>
    </row>
    <row r="354" spans="1:21" ht="18.75">
      <c r="A354" s="343"/>
      <c r="B354" s="344"/>
      <c r="C354" s="343"/>
      <c r="D354" s="343"/>
      <c r="E354" s="345" t="s">
        <v>148</v>
      </c>
      <c r="F354" s="344"/>
      <c r="G354" s="346"/>
      <c r="H354" s="347" t="s">
        <v>35</v>
      </c>
      <c r="I354" s="348"/>
      <c r="J354" s="349">
        <f ca="1">IFERROR(__xludf.DUMMYFUNCTION("IMPORTRANGE(""https://docs.google.com/spreadsheets/d/1awYsYK3VOup2i3Pq_Yjnu8DRu_mYwSBnCR2QPthd0rU/edit?usp=sharing"",""โฉนดM3!I35"")"),0)</f>
        <v>0</v>
      </c>
      <c r="K354" s="350"/>
      <c r="L354" s="350"/>
      <c r="M354" s="350"/>
      <c r="N354" s="350"/>
      <c r="O354" s="350"/>
      <c r="P354" s="350"/>
      <c r="Q354" s="350"/>
      <c r="R354" s="350"/>
      <c r="S354" s="350"/>
      <c r="T354" s="350"/>
      <c r="U354" s="350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29"/>
      <c r="I355" s="351"/>
      <c r="J355" s="351"/>
      <c r="K355" s="333"/>
      <c r="L355" s="334"/>
      <c r="M355" s="333"/>
      <c r="N355" s="333"/>
      <c r="O355" s="333"/>
      <c r="P355" s="333"/>
      <c r="Q355" s="333"/>
      <c r="R355" s="333"/>
      <c r="S355" s="333"/>
      <c r="T355" s="333"/>
      <c r="U355" s="333"/>
    </row>
    <row r="356" spans="1:21" ht="19.5">
      <c r="A356" s="155"/>
      <c r="B356" s="50"/>
      <c r="C356" s="156" t="s">
        <v>18</v>
      </c>
      <c r="D356" s="575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541">
        <f ca="1">L357+L358</f>
        <v>481855</v>
      </c>
      <c r="M356" s="540">
        <f ca="1">M357+M358</f>
        <v>481855</v>
      </c>
      <c r="N356" s="540">
        <f ca="1">N357+N358</f>
        <v>336614.36</v>
      </c>
      <c r="O356" s="540">
        <f ca="1">IF(L356&gt;0,N356*100/L356,0)</f>
        <v>69.858019528696389</v>
      </c>
      <c r="P356" s="540">
        <f ca="1">IF(M356&gt;0,N356*100/M356,0)</f>
        <v>69.858019528696389</v>
      </c>
      <c r="Q356" s="540">
        <f>Q357+Q358</f>
        <v>0</v>
      </c>
      <c r="R356" s="540">
        <f>R357+R358</f>
        <v>0</v>
      </c>
      <c r="S356" s="540">
        <f>S357+S358</f>
        <v>0</v>
      </c>
      <c r="T356" s="540">
        <f>IF(Q356&gt;0,S356*100/Q356,0)</f>
        <v>0</v>
      </c>
      <c r="U356" s="540">
        <f>IF(R356&gt;0,S356*100/R356,0)</f>
        <v>0</v>
      </c>
    </row>
    <row r="357" spans="1:21" ht="18.75" hidden="1">
      <c r="A357" s="155"/>
      <c r="B357" s="50"/>
      <c r="C357" s="50"/>
      <c r="D357" s="50"/>
      <c r="E357" s="186" t="s">
        <v>20</v>
      </c>
      <c r="F357" s="50"/>
      <c r="G357" s="52"/>
      <c r="H357" s="187" t="s">
        <v>14</v>
      </c>
      <c r="I357" s="54"/>
      <c r="J357" s="54"/>
      <c r="K357" s="55"/>
      <c r="L357" s="103">
        <f>L360+L363</f>
        <v>0</v>
      </c>
      <c r="M357" s="102">
        <f>M360+M363</f>
        <v>0</v>
      </c>
      <c r="N357" s="102">
        <f>N360+N363</f>
        <v>0</v>
      </c>
      <c r="O357" s="102">
        <f>IF(L357&gt;0,N357*100/L357,0)</f>
        <v>0</v>
      </c>
      <c r="P357" s="102">
        <f>IF(M357&gt;0,N357*100/M357,0)</f>
        <v>0</v>
      </c>
      <c r="Q357" s="102">
        <f>Q360+Q363</f>
        <v>0</v>
      </c>
      <c r="R357" s="102">
        <f>R360+R363</f>
        <v>0</v>
      </c>
      <c r="S357" s="102">
        <f>S360+S363</f>
        <v>0</v>
      </c>
      <c r="T357" s="102">
        <f>IF(Q357&gt;0,S357*100/Q357,0)</f>
        <v>0</v>
      </c>
      <c r="U357" s="102">
        <f>IF(R357&gt;0,S357*100/R357,0)</f>
        <v>0</v>
      </c>
    </row>
    <row r="358" spans="1:21" ht="18.75" hidden="1">
      <c r="A358" s="155"/>
      <c r="B358" s="50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256">
        <f ca="1">L361+L364</f>
        <v>481855</v>
      </c>
      <c r="M358" s="255">
        <f ca="1">M361+M364</f>
        <v>481855</v>
      </c>
      <c r="N358" s="255">
        <f ca="1">N361+N364</f>
        <v>336614.36</v>
      </c>
      <c r="O358" s="255">
        <f ca="1">IF(L358&gt;0,N358*100/L358,0)</f>
        <v>69.858019528696389</v>
      </c>
      <c r="P358" s="255">
        <f ca="1">IF(M358&gt;0,N358*100/M358,0)</f>
        <v>69.858019528696389</v>
      </c>
      <c r="Q358" s="255">
        <f>Q361+Q364</f>
        <v>0</v>
      </c>
      <c r="R358" s="255">
        <f>R361+R364</f>
        <v>0</v>
      </c>
      <c r="S358" s="255">
        <f>S361+S364</f>
        <v>0</v>
      </c>
      <c r="T358" s="255">
        <f>IF(Q358&gt;0,S358*100/Q358,0)</f>
        <v>0</v>
      </c>
      <c r="U358" s="255">
        <f>IF(R358&gt;0,S358*100/R358,0)</f>
        <v>0</v>
      </c>
    </row>
    <row r="359" spans="1:21" ht="18.75">
      <c r="A359" s="155"/>
      <c r="B359" s="50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256">
        <f ca="1">L360+L361</f>
        <v>481855</v>
      </c>
      <c r="M359" s="255">
        <f ca="1">M360+M361</f>
        <v>481855</v>
      </c>
      <c r="N359" s="255">
        <f ca="1">N360+N361</f>
        <v>336614.36</v>
      </c>
      <c r="O359" s="255">
        <f ca="1">IF(L359&gt;0,N359*100/L359,0)</f>
        <v>69.858019528696389</v>
      </c>
      <c r="P359" s="255">
        <f ca="1">IF(M359&gt;0,N359*100/M359,0)</f>
        <v>69.858019528696389</v>
      </c>
      <c r="Q359" s="255">
        <f>Q360+Q361</f>
        <v>0</v>
      </c>
      <c r="R359" s="255">
        <f>R360+R361</f>
        <v>0</v>
      </c>
      <c r="S359" s="255">
        <f>S360+S361</f>
        <v>0</v>
      </c>
      <c r="T359" s="255">
        <f>IF(Q359&gt;0,S359*100/Q359,0)</f>
        <v>0</v>
      </c>
      <c r="U359" s="255">
        <f>IF(R359&gt;0,S359*100/R359,0)</f>
        <v>0</v>
      </c>
    </row>
    <row r="360" spans="1:21" ht="18.75" hidden="1">
      <c r="A360" s="155"/>
      <c r="B360" s="50"/>
      <c r="C360" s="50"/>
      <c r="D360" s="50"/>
      <c r="E360" s="186" t="s">
        <v>36</v>
      </c>
      <c r="F360" s="50"/>
      <c r="G360" s="52"/>
      <c r="H360" s="189" t="s">
        <v>14</v>
      </c>
      <c r="I360" s="163"/>
      <c r="J360" s="163"/>
      <c r="K360" s="164"/>
      <c r="L360" s="103">
        <v>0</v>
      </c>
      <c r="M360" s="102">
        <v>0</v>
      </c>
      <c r="N360" s="102">
        <v>0</v>
      </c>
      <c r="O360" s="102">
        <f>IF(L360&gt;0,N360*100/L360,0)</f>
        <v>0</v>
      </c>
      <c r="P360" s="102">
        <f>IF(M360&gt;0,N360*100/M360,0)</f>
        <v>0</v>
      </c>
      <c r="Q360" s="102">
        <v>0</v>
      </c>
      <c r="R360" s="102">
        <v>0</v>
      </c>
      <c r="S360" s="102">
        <v>0</v>
      </c>
      <c r="T360" s="102">
        <f>IF(Q360&gt;0,S360*100/Q360,0)</f>
        <v>0</v>
      </c>
      <c r="U360" s="102">
        <f>IF(R360&gt;0,S360*100/R360,0)</f>
        <v>0</v>
      </c>
    </row>
    <row r="361" spans="1:21" ht="18.75" hidden="1">
      <c r="A361" s="155"/>
      <c r="B361" s="50"/>
      <c r="C361" s="50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256">
        <f ca="1">IFERROR(__xludf.DUMMYFUNCTION("IMPORTRANGE(""https://docs.google.com/spreadsheets/d/1-uDff_7J0KD5mKrp0Vvzr7lt3OU09vwQwhkpOPPYv2Y/edit?usp=sharing"",""งบพรบ!FC35"")"),481855)</f>
        <v>481855</v>
      </c>
      <c r="M361" s="255">
        <f ca="1">IFERROR(__xludf.DUMMYFUNCTION("IMPORTRANGE(""https://docs.google.com/spreadsheets/d/1-uDff_7J0KD5mKrp0Vvzr7lt3OU09vwQwhkpOPPYv2Y/edit?usp=sharing"",""งบพรบ!FH35"")"),481855)</f>
        <v>481855</v>
      </c>
      <c r="N361" s="255">
        <f ca="1">IFERROR(__xludf.DUMMYFUNCTION("IMPORTRANGE(""https://docs.google.com/spreadsheets/d/1-uDff_7J0KD5mKrp0Vvzr7lt3OU09vwQwhkpOPPYv2Y/edit?usp=sharing"",""งบพรบ!FJ35"")"),336614.36)</f>
        <v>336614.36</v>
      </c>
      <c r="O361" s="255">
        <f ca="1">IF(L361&gt;0,N361*100/L361,0)</f>
        <v>69.858019528696389</v>
      </c>
      <c r="P361" s="255">
        <f ca="1">IF(M361&gt;0,N361*100/M361,0)</f>
        <v>69.858019528696389</v>
      </c>
      <c r="Q361" s="255">
        <v>0</v>
      </c>
      <c r="R361" s="255">
        <v>0</v>
      </c>
      <c r="S361" s="255">
        <v>0</v>
      </c>
      <c r="T361" s="255">
        <f>IF(Q361&gt;0,S361*100/Q361,0)</f>
        <v>0</v>
      </c>
      <c r="U361" s="255">
        <f>IF(R361&gt;0,S361*100/R361,0)</f>
        <v>0</v>
      </c>
    </row>
    <row r="362" spans="1:21" ht="18.75">
      <c r="A362" s="155"/>
      <c r="B362" s="50"/>
      <c r="C362" s="50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256">
        <f ca="1">L363+L364</f>
        <v>0</v>
      </c>
      <c r="M362" s="255">
        <f ca="1">M363+M364</f>
        <v>0</v>
      </c>
      <c r="N362" s="255">
        <f ca="1">N363+N364</f>
        <v>0</v>
      </c>
      <c r="O362" s="255">
        <f ca="1">IF(L362&gt;0,N362*100/L362,0)</f>
        <v>0</v>
      </c>
      <c r="P362" s="255">
        <f ca="1">IF(M362&gt;0,N362*100/M362,0)</f>
        <v>0</v>
      </c>
      <c r="Q362" s="255">
        <f>Q363+Q364</f>
        <v>0</v>
      </c>
      <c r="R362" s="255">
        <f>R363+R364</f>
        <v>0</v>
      </c>
      <c r="S362" s="255">
        <f>S363+S364</f>
        <v>0</v>
      </c>
      <c r="T362" s="255">
        <f>IF(Q362&gt;0,S362*100/Q362,0)</f>
        <v>0</v>
      </c>
      <c r="U362" s="255">
        <f>IF(R362&gt;0,S362*100/R362,0)</f>
        <v>0</v>
      </c>
    </row>
    <row r="363" spans="1:21" ht="18.75" hidden="1">
      <c r="A363" s="155"/>
      <c r="B363" s="50"/>
      <c r="C363" s="50"/>
      <c r="D363" s="50"/>
      <c r="E363" s="186" t="s">
        <v>20</v>
      </c>
      <c r="F363" s="50"/>
      <c r="G363" s="52"/>
      <c r="H363" s="189" t="s">
        <v>14</v>
      </c>
      <c r="I363" s="163"/>
      <c r="J363" s="163"/>
      <c r="K363" s="164"/>
      <c r="L363" s="103">
        <v>0</v>
      </c>
      <c r="M363" s="102">
        <v>0</v>
      </c>
      <c r="N363" s="102">
        <v>0</v>
      </c>
      <c r="O363" s="102">
        <f>IF(L363&gt;0,N363*100/L363,0)</f>
        <v>0</v>
      </c>
      <c r="P363" s="102">
        <f>IF(M363&gt;0,N363*100/M363,0)</f>
        <v>0</v>
      </c>
      <c r="Q363" s="102">
        <v>0</v>
      </c>
      <c r="R363" s="102">
        <v>0</v>
      </c>
      <c r="S363" s="102">
        <v>0</v>
      </c>
      <c r="T363" s="102">
        <f>IF(Q363&gt;0,S363*100/Q363,0)</f>
        <v>0</v>
      </c>
      <c r="U363" s="102">
        <f>IF(R363&gt;0,S363*100/R363,0)</f>
        <v>0</v>
      </c>
    </row>
    <row r="364" spans="1:21" ht="18.75" hidden="1">
      <c r="A364" s="155"/>
      <c r="B364" s="50"/>
      <c r="C364" s="50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256">
        <f ca="1">IFERROR(__xludf.DUMMYFUNCTION("IMPORTRANGE(""https://docs.google.com/spreadsheets/d/1-uDff_7J0KD5mKrp0Vvzr7lt3OU09vwQwhkpOPPYv2Y/edit?usp=sharing"",""งบพรบ!FF35"")"),0)</f>
        <v>0</v>
      </c>
      <c r="M364" s="255">
        <f ca="1">IFERROR(__xludf.DUMMYFUNCTION("IMPORTRANGE(""https://docs.google.com/spreadsheets/d/1-uDff_7J0KD5mKrp0Vvzr7lt3OU09vwQwhkpOPPYv2Y/edit?usp=sharing"",""งบพรบ!FI35"")"),0)</f>
        <v>0</v>
      </c>
      <c r="N364" s="255">
        <f ca="1">IFERROR(__xludf.DUMMYFUNCTION("IMPORTRANGE(""https://docs.google.com/spreadsheets/d/1-uDff_7J0KD5mKrp0Vvzr7lt3OU09vwQwhkpOPPYv2Y/edit?usp=sharing"",""งบพรบ!FK35"")"),0)</f>
        <v>0</v>
      </c>
      <c r="O364" s="255">
        <f ca="1">IF(L364&gt;0,N364*100/L364,0)</f>
        <v>0</v>
      </c>
      <c r="P364" s="255">
        <f ca="1">IF(M364&gt;0,N364*100/M364,0)</f>
        <v>0</v>
      </c>
      <c r="Q364" s="255">
        <v>0</v>
      </c>
      <c r="R364" s="255">
        <v>0</v>
      </c>
      <c r="S364" s="255">
        <v>0</v>
      </c>
      <c r="T364" s="255">
        <f>IF(Q364&gt;0,S364*100/Q364,0)</f>
        <v>0</v>
      </c>
      <c r="U364" s="255">
        <f>IF(R364&gt;0,S364*100/R364,0)</f>
        <v>0</v>
      </c>
    </row>
    <row r="365" spans="1:21" ht="19.5">
      <c r="A365" s="241"/>
      <c r="B365" s="242"/>
      <c r="C365" s="244"/>
      <c r="D365" s="621" t="s">
        <v>150</v>
      </c>
      <c r="E365" s="244"/>
      <c r="F365" s="244"/>
      <c r="G365" s="245"/>
      <c r="H365" s="254" t="s">
        <v>35</v>
      </c>
      <c r="I365" s="339">
        <f ca="1">I371</f>
        <v>231</v>
      </c>
      <c r="J365" s="339">
        <f ca="1">J371</f>
        <v>210</v>
      </c>
      <c r="K365" s="340">
        <f ca="1">IF(I365&gt;0,J365*100/I365,0)</f>
        <v>90.909090909090907</v>
      </c>
      <c r="L365" s="250"/>
      <c r="M365" s="249"/>
      <c r="N365" s="249"/>
      <c r="O365" s="249"/>
      <c r="P365" s="249"/>
      <c r="Q365" s="249"/>
      <c r="R365" s="249"/>
      <c r="S365" s="249"/>
      <c r="T365" s="249"/>
      <c r="U365" s="249"/>
    </row>
    <row r="366" spans="1:21" ht="19.5">
      <c r="A366" s="166"/>
      <c r="B366" s="167"/>
      <c r="C366" s="156" t="s">
        <v>18</v>
      </c>
      <c r="D366" s="566" t="s">
        <v>38</v>
      </c>
      <c r="E366" s="169"/>
      <c r="F366" s="169"/>
      <c r="G366" s="170"/>
      <c r="H366" s="171"/>
      <c r="I366" s="54"/>
      <c r="J366" s="54"/>
      <c r="K366" s="55"/>
      <c r="L366" s="172"/>
      <c r="M366" s="164"/>
      <c r="N366" s="164"/>
      <c r="O366" s="164"/>
      <c r="P366" s="164"/>
      <c r="Q366" s="164"/>
      <c r="R366" s="164"/>
      <c r="S366" s="164"/>
      <c r="T366" s="164"/>
      <c r="U366" s="164"/>
    </row>
    <row r="367" spans="1:21" ht="18.75">
      <c r="A367" s="166"/>
      <c r="B367" s="174"/>
      <c r="C367" s="167"/>
      <c r="D367" s="174"/>
      <c r="E367" s="173" t="s">
        <v>151</v>
      </c>
      <c r="F367" s="174"/>
      <c r="G367" s="171"/>
      <c r="H367" s="183" t="s">
        <v>35</v>
      </c>
      <c r="I367" s="212">
        <v>0</v>
      </c>
      <c r="J367" s="212">
        <f ca="1">IFERROR(__xludf.DUMMYFUNCTION("IMPORTRANGE(""https://docs.google.com/spreadsheets/d/1tdoBKaGub7dwA3U6UFTqxio9LNnvDCQjHKmttSEBsFQ/edit?usp=sharing"",""จัดที่ดิน!AB35"")"),58)</f>
        <v>58</v>
      </c>
      <c r="K367" s="255">
        <f>IF(I367&gt;0,J367*100/I367,0)</f>
        <v>0</v>
      </c>
      <c r="L367" s="172"/>
      <c r="M367" s="164"/>
      <c r="N367" s="164"/>
      <c r="O367" s="164"/>
      <c r="P367" s="164"/>
      <c r="Q367" s="164"/>
      <c r="R367" s="164"/>
      <c r="S367" s="164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212">
        <f ca="1">IFERROR(__xludf.DUMMYFUNCTION("IMPORTRANGE(""https://docs.google.com/spreadsheets/d/1eHaY18a8A9IcSdp1K8H6x8fbOy06t2VsZHhMHf-1x7Y/edit?usp=sharing"",""แผน!EW35"")"),785)</f>
        <v>785</v>
      </c>
      <c r="J368" s="620">
        <f ca="1">IFERROR(__xludf.DUMMYFUNCTION("IMPORTRANGE(""https://docs.google.com/spreadsheets/d/1tdoBKaGub7dwA3U6UFTqxio9LNnvDCQjHKmttSEBsFQ/edit?usp=sharing"",""จัดที่ดิน!AC35"")"),622.86)</f>
        <v>622.86</v>
      </c>
      <c r="K368" s="255">
        <f ca="1">IF(I368&gt;0,J368*100/I368,0)</f>
        <v>79.345222929936313</v>
      </c>
      <c r="L368" s="172"/>
      <c r="M368" s="164"/>
      <c r="N368" s="164"/>
      <c r="O368" s="164"/>
      <c r="P368" s="164"/>
      <c r="Q368" s="164"/>
      <c r="R368" s="164"/>
      <c r="S368" s="164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79" t="s">
        <v>35</v>
      </c>
      <c r="I369" s="212">
        <f ca="1">IFERROR(__xludf.DUMMYFUNCTION("IMPORTRANGE(""https://docs.google.com/spreadsheets/d/1eHaY18a8A9IcSdp1K8H6x8fbOy06t2VsZHhMHf-1x7Y/edit?usp=sharing"",""แผน!EX35"")"),231)</f>
        <v>231</v>
      </c>
      <c r="J369" s="212">
        <f ca="1">IFERROR(__xludf.DUMMYFUNCTION("IMPORTRANGE(""https://docs.google.com/spreadsheets/d/1tdoBKaGub7dwA3U6UFTqxio9LNnvDCQjHKmttSEBsFQ/edit?usp=sharing"",""จัดที่ดิน!AD35"")"),220)</f>
        <v>220</v>
      </c>
      <c r="K369" s="255">
        <f ca="1">IF(I369&gt;0,J369*100/I369,0)</f>
        <v>95.238095238095241</v>
      </c>
      <c r="L369" s="172"/>
      <c r="M369" s="164"/>
      <c r="N369" s="164"/>
      <c r="O369" s="164"/>
      <c r="P369" s="164"/>
      <c r="Q369" s="164"/>
      <c r="R369" s="164"/>
      <c r="S369" s="164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79" t="s">
        <v>46</v>
      </c>
      <c r="I370" s="212">
        <v>0</v>
      </c>
      <c r="J370" s="620">
        <f ca="1">IFERROR(__xludf.DUMMYFUNCTION("IMPORTRANGE(""https://docs.google.com/spreadsheets/d/1tdoBKaGub7dwA3U6UFTqxio9LNnvDCQjHKmttSEBsFQ/edit?usp=sharing"",""จัดที่ดิน!AE35"")"),2575.42)</f>
        <v>2575.42</v>
      </c>
      <c r="K370" s="255">
        <f>IF(I370&gt;0,J370*100/I370,0)</f>
        <v>0</v>
      </c>
      <c r="L370" s="172"/>
      <c r="M370" s="164"/>
      <c r="N370" s="164"/>
      <c r="O370" s="164"/>
      <c r="P370" s="164"/>
      <c r="Q370" s="164"/>
      <c r="R370" s="164"/>
      <c r="S370" s="164"/>
      <c r="T370" s="164"/>
      <c r="U370" s="164"/>
    </row>
    <row r="371" spans="1:21" ht="18.75">
      <c r="A371" s="166"/>
      <c r="B371" s="174"/>
      <c r="C371" s="167"/>
      <c r="D371" s="174"/>
      <c r="E371" s="352" t="s">
        <v>153</v>
      </c>
      <c r="F371" s="174"/>
      <c r="G371" s="171"/>
      <c r="H371" s="179" t="s">
        <v>35</v>
      </c>
      <c r="I371" s="212">
        <f ca="1">IFERROR(__xludf.DUMMYFUNCTION("IMPORTRANGE(""https://docs.google.com/spreadsheets/d/1eHaY18a8A9IcSdp1K8H6x8fbOy06t2VsZHhMHf-1x7Y/edit?usp=sharing"",""แผน!EY35"")"),231)</f>
        <v>231</v>
      </c>
      <c r="J371" s="212">
        <f ca="1">IFERROR(__xludf.DUMMYFUNCTION("IMPORTRANGE(""https://docs.google.com/spreadsheets/d/1tdoBKaGub7dwA3U6UFTqxio9LNnvDCQjHKmttSEBsFQ/edit?usp=sharing"",""จัดที่ดิน!AF35"")"),210)</f>
        <v>210</v>
      </c>
      <c r="K371" s="255">
        <f ca="1">IF(I371&gt;0,J371*100/I371,0)</f>
        <v>90.909090909090907</v>
      </c>
      <c r="L371" s="172"/>
      <c r="M371" s="164"/>
      <c r="N371" s="164"/>
      <c r="O371" s="164"/>
      <c r="P371" s="164"/>
      <c r="Q371" s="164"/>
      <c r="R371" s="164"/>
      <c r="S371" s="164"/>
      <c r="T371" s="164"/>
      <c r="U371" s="164"/>
    </row>
    <row r="372" spans="1:21" ht="18.75">
      <c r="A372" s="166"/>
      <c r="B372" s="174"/>
      <c r="C372" s="167"/>
      <c r="D372" s="174"/>
      <c r="E372" s="174"/>
      <c r="F372" s="174"/>
      <c r="G372" s="171"/>
      <c r="H372" s="179" t="s">
        <v>46</v>
      </c>
      <c r="I372" s="212">
        <v>0</v>
      </c>
      <c r="J372" s="620">
        <f ca="1">IFERROR(__xludf.DUMMYFUNCTION("IMPORTRANGE(""https://docs.google.com/spreadsheets/d/1tdoBKaGub7dwA3U6UFTqxio9LNnvDCQjHKmttSEBsFQ/edit?usp=sharing"",""จัดที่ดิน!AG35"")"),2437.24)</f>
        <v>2437.2399999999998</v>
      </c>
      <c r="K372" s="255">
        <f>IF(I372&gt;0,J372*100/I372,0)</f>
        <v>0</v>
      </c>
      <c r="L372" s="172"/>
      <c r="M372" s="164"/>
      <c r="N372" s="164"/>
      <c r="O372" s="164"/>
      <c r="P372" s="164"/>
      <c r="Q372" s="164"/>
      <c r="R372" s="164"/>
      <c r="S372" s="164"/>
      <c r="T372" s="164"/>
      <c r="U372" s="164"/>
    </row>
    <row r="373" spans="1:21" ht="16.5">
      <c r="A373" s="5"/>
      <c r="B373" s="4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พ.ค. 67 เวลา 07.29 น.]")</f>
        <v xml:space="preserve"> [ข้อมูลจาก ระบบ ALRO Land Online ข้อมูล ณ 1 พ.ค. 67 เวลา 07.29 น.]</v>
      </c>
      <c r="E373" s="4"/>
      <c r="F373" s="4"/>
      <c r="G373" s="65"/>
      <c r="H373" s="65"/>
      <c r="I373" s="67"/>
      <c r="J373" s="67"/>
      <c r="K373" s="6"/>
      <c r="L373" s="68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>
      <c r="A374" s="619"/>
      <c r="B374" s="618" t="s">
        <v>154</v>
      </c>
      <c r="C374" s="617"/>
      <c r="D374" s="616"/>
      <c r="E374" s="615"/>
      <c r="F374" s="615"/>
      <c r="G374" s="614"/>
      <c r="H374" s="613" t="s">
        <v>46</v>
      </c>
      <c r="I374" s="612">
        <f ca="1">I386+I388</f>
        <v>1000</v>
      </c>
      <c r="J374" s="612">
        <f ca="1">J386+J388</f>
        <v>0</v>
      </c>
      <c r="K374" s="611">
        <f ca="1">IF(I374&gt;0,J374*100/I374,0)</f>
        <v>0</v>
      </c>
      <c r="L374" s="334"/>
      <c r="M374" s="333"/>
      <c r="N374" s="333"/>
      <c r="O374" s="333"/>
      <c r="P374" s="333"/>
      <c r="Q374" s="333"/>
      <c r="R374" s="333"/>
      <c r="S374" s="333"/>
      <c r="T374" s="333"/>
      <c r="U374" s="333"/>
    </row>
    <row r="375" spans="1:21" ht="19.5">
      <c r="A375" s="155"/>
      <c r="B375" s="188"/>
      <c r="C375" s="191" t="s">
        <v>18</v>
      </c>
      <c r="D375" s="608" t="s">
        <v>19</v>
      </c>
      <c r="E375" s="50"/>
      <c r="F375" s="50"/>
      <c r="G375" s="52"/>
      <c r="H375" s="158" t="s">
        <v>14</v>
      </c>
      <c r="I375" s="54"/>
      <c r="J375" s="54"/>
      <c r="K375" s="55"/>
      <c r="L375" s="541">
        <f>L376+L377</f>
        <v>0</v>
      </c>
      <c r="M375" s="540">
        <f>M376+M377</f>
        <v>0</v>
      </c>
      <c r="N375" s="540">
        <f>N376+N377</f>
        <v>0</v>
      </c>
      <c r="O375" s="540">
        <f>IF(L375&gt;0,N375*100/L375,0)</f>
        <v>0</v>
      </c>
      <c r="P375" s="540">
        <f>IF(M375&gt;0,N375*100/M375,0)</f>
        <v>0</v>
      </c>
      <c r="Q375" s="540">
        <f ca="1">Q376+Q377</f>
        <v>62500</v>
      </c>
      <c r="R375" s="540">
        <f ca="1">R376+R377</f>
        <v>62500</v>
      </c>
      <c r="S375" s="540">
        <f ca="1">S376+S377</f>
        <v>0</v>
      </c>
      <c r="T375" s="540">
        <f ca="1">IF(Q375&gt;0,S375*100/Q375,0)</f>
        <v>0</v>
      </c>
      <c r="U375" s="540">
        <f ca="1">IF(R375&gt;0,S375*100/R375,0)</f>
        <v>0</v>
      </c>
    </row>
    <row r="376" spans="1:21" ht="18.75" hidden="1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103">
        <f>L379+L382</f>
        <v>0</v>
      </c>
      <c r="M376" s="102">
        <f>M379+M382</f>
        <v>0</v>
      </c>
      <c r="N376" s="102">
        <f>N379+N382</f>
        <v>0</v>
      </c>
      <c r="O376" s="102">
        <f>IF(L376&gt;0,N376*100/L376,0)</f>
        <v>0</v>
      </c>
      <c r="P376" s="102">
        <f>IF(M376&gt;0,N376*100/M376,0)</f>
        <v>0</v>
      </c>
      <c r="Q376" s="102">
        <f>Q379+Q382</f>
        <v>0</v>
      </c>
      <c r="R376" s="102">
        <f>R379+R382</f>
        <v>0</v>
      </c>
      <c r="S376" s="102">
        <f>S379+S382</f>
        <v>0</v>
      </c>
      <c r="T376" s="102">
        <f>IF(Q376&gt;0,S376*100/Q376,0)</f>
        <v>0</v>
      </c>
      <c r="U376" s="102">
        <f>IF(R376&gt;0,S376*100/R376,0)</f>
        <v>0</v>
      </c>
    </row>
    <row r="377" spans="1:21" ht="18.75" hidden="1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256">
        <f>L380+L383</f>
        <v>0</v>
      </c>
      <c r="M377" s="255">
        <f>M380+M383</f>
        <v>0</v>
      </c>
      <c r="N377" s="255">
        <f>N380+N383</f>
        <v>0</v>
      </c>
      <c r="O377" s="255">
        <f>IF(L377&gt;0,N377*100/L377,0)</f>
        <v>0</v>
      </c>
      <c r="P377" s="255">
        <f>IF(M377&gt;0,N377*100/M377,0)</f>
        <v>0</v>
      </c>
      <c r="Q377" s="255">
        <f ca="1">Q380+Q383</f>
        <v>62500</v>
      </c>
      <c r="R377" s="255">
        <f ca="1">R380+R383</f>
        <v>62500</v>
      </c>
      <c r="S377" s="255">
        <f ca="1">S380+S383</f>
        <v>0</v>
      </c>
      <c r="T377" s="255">
        <f ca="1">IF(Q377&gt;0,S377*100/Q377,0)</f>
        <v>0</v>
      </c>
      <c r="U377" s="255">
        <f ca="1">IF(R377&gt;0,S377*100/R377,0)</f>
        <v>0</v>
      </c>
    </row>
    <row r="378" spans="1:21" ht="18.75">
      <c r="A378" s="155"/>
      <c r="B378" s="188"/>
      <c r="C378" s="188"/>
      <c r="D378" s="602" t="s">
        <v>22</v>
      </c>
      <c r="E378" s="50"/>
      <c r="F378" s="50"/>
      <c r="G378" s="52"/>
      <c r="H378" s="162" t="s">
        <v>14</v>
      </c>
      <c r="I378" s="163"/>
      <c r="J378" s="163"/>
      <c r="K378" s="164"/>
      <c r="L378" s="256">
        <f>L379+L380</f>
        <v>0</v>
      </c>
      <c r="M378" s="255">
        <f>M379+M380</f>
        <v>0</v>
      </c>
      <c r="N378" s="255">
        <f>N379+N380</f>
        <v>0</v>
      </c>
      <c r="O378" s="255">
        <f>IF(L378&gt;0,N378*100/L378,0)</f>
        <v>0</v>
      </c>
      <c r="P378" s="255">
        <f>IF(M378&gt;0,N378*100/M378,0)</f>
        <v>0</v>
      </c>
      <c r="Q378" s="255">
        <f ca="1">Q379+Q380</f>
        <v>62500</v>
      </c>
      <c r="R378" s="255">
        <f ca="1">R379+R380</f>
        <v>62500</v>
      </c>
      <c r="S378" s="255">
        <f ca="1">S379+S380</f>
        <v>0</v>
      </c>
      <c r="T378" s="255">
        <f ca="1">IF(Q378&gt;0,S378*100/Q378,0)</f>
        <v>0</v>
      </c>
      <c r="U378" s="255">
        <f ca="1">IF(R378&gt;0,S378*100/R378,0)</f>
        <v>0</v>
      </c>
    </row>
    <row r="379" spans="1:21" ht="18.75" hidden="1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103">
        <v>0</v>
      </c>
      <c r="M379" s="102">
        <v>0</v>
      </c>
      <c r="N379" s="102">
        <v>0</v>
      </c>
      <c r="O379" s="102">
        <f>IF(L379&gt;0,N379*100/L379,0)</f>
        <v>0</v>
      </c>
      <c r="P379" s="102">
        <f>IF(M379&gt;0,N379*100/M379,0)</f>
        <v>0</v>
      </c>
      <c r="Q379" s="102">
        <v>0</v>
      </c>
      <c r="R379" s="102">
        <v>0</v>
      </c>
      <c r="S379" s="102">
        <v>0</v>
      </c>
      <c r="T379" s="102">
        <f>IF(Q379&gt;0,S379*100/Q379,0)</f>
        <v>0</v>
      </c>
      <c r="U379" s="102">
        <f>IF(R379&gt;0,S379*100/R379,0)</f>
        <v>0</v>
      </c>
    </row>
    <row r="380" spans="1:21" ht="18.75" hidden="1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256">
        <v>0</v>
      </c>
      <c r="M380" s="255">
        <v>0</v>
      </c>
      <c r="N380" s="255">
        <v>0</v>
      </c>
      <c r="O380" s="255">
        <f>IF(L380&gt;0,N380*100/L380,0)</f>
        <v>0</v>
      </c>
      <c r="P380" s="255">
        <f>IF(M380&gt;0,N380*100/M380,0)</f>
        <v>0</v>
      </c>
      <c r="Q380" s="255">
        <f ca="1">IFERROR(__xludf.DUMMYFUNCTION("IMPORTRANGE(""https://docs.google.com/spreadsheets/d/1ItG2mGa2ceCfYo0BwxsXqNm01IGEUdYcSSLTEv9YCik/edit?usp=sharing"",""เบิกจ่ายกองทุน!AY35"")"),62500)</f>
        <v>62500</v>
      </c>
      <c r="R380" s="255">
        <f ca="1">IFERROR(__xludf.DUMMYFUNCTION("IMPORTRANGE(""https://docs.google.com/spreadsheets/d/1ItG2mGa2ceCfYo0BwxsXqNm01IGEUdYcSSLTEv9YCik/edit?usp=sharing"",""เบิกจ่ายกองทุน!AZ35"")"),62500)</f>
        <v>62500</v>
      </c>
      <c r="S380" s="255">
        <f ca="1">IFERROR(__xludf.DUMMYFUNCTION("IMPORTRANGE(""https://docs.google.com/spreadsheets/d/1ItG2mGa2ceCfYo0BwxsXqNm01IGEUdYcSSLTEv9YCik/edit?usp=sharing"",""เบิกจ่ายกองทุน!BA35"")"),0)</f>
        <v>0</v>
      </c>
      <c r="T380" s="255">
        <f ca="1">IF(Q380&gt;0,S380*100/Q380,0)</f>
        <v>0</v>
      </c>
      <c r="U380" s="255">
        <f ca="1">IF(R380&gt;0,S380*100/R380,0)</f>
        <v>0</v>
      </c>
    </row>
    <row r="381" spans="1:21" ht="18.75">
      <c r="A381" s="155"/>
      <c r="B381" s="188"/>
      <c r="C381" s="188"/>
      <c r="D381" s="602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256">
        <f>L382+L383</f>
        <v>0</v>
      </c>
      <c r="M381" s="255">
        <f>M382+M383</f>
        <v>0</v>
      </c>
      <c r="N381" s="255">
        <f>N382+N383</f>
        <v>0</v>
      </c>
      <c r="O381" s="255">
        <f>IF(L381&gt;0,N381*100/L381,0)</f>
        <v>0</v>
      </c>
      <c r="P381" s="255">
        <f>IF(M381&gt;0,N381*100/M381,0)</f>
        <v>0</v>
      </c>
      <c r="Q381" s="255">
        <f>Q382+Q383</f>
        <v>0</v>
      </c>
      <c r="R381" s="255">
        <f>R382+R383</f>
        <v>0</v>
      </c>
      <c r="S381" s="255">
        <f>S382+S383</f>
        <v>0</v>
      </c>
      <c r="T381" s="255">
        <f>IF(Q381&gt;0,S381*100/Q381,0)</f>
        <v>0</v>
      </c>
      <c r="U381" s="255">
        <f>IF(R381&gt;0,S381*100/R381,0)</f>
        <v>0</v>
      </c>
    </row>
    <row r="382" spans="1:21" ht="18.75" hidden="1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103">
        <v>0</v>
      </c>
      <c r="M382" s="102">
        <v>0</v>
      </c>
      <c r="N382" s="102">
        <v>0</v>
      </c>
      <c r="O382" s="102">
        <f>IF(L382&gt;0,N382*100/L382,0)</f>
        <v>0</v>
      </c>
      <c r="P382" s="102">
        <f>IF(M382&gt;0,N382*100/M382,0)</f>
        <v>0</v>
      </c>
      <c r="Q382" s="102">
        <v>0</v>
      </c>
      <c r="R382" s="102">
        <v>0</v>
      </c>
      <c r="S382" s="102">
        <v>0</v>
      </c>
      <c r="T382" s="102">
        <f>IF(Q382&gt;0,S382*100/Q382,0)</f>
        <v>0</v>
      </c>
      <c r="U382" s="102">
        <f>IF(R382&gt;0,S382*100/R382,0)</f>
        <v>0</v>
      </c>
    </row>
    <row r="383" spans="1:21" ht="18.75" hidden="1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256">
        <v>0</v>
      </c>
      <c r="M383" s="255">
        <v>0</v>
      </c>
      <c r="N383" s="255">
        <v>0</v>
      </c>
      <c r="O383" s="255">
        <f>IF(L383&gt;0,N383*100/L383,0)</f>
        <v>0</v>
      </c>
      <c r="P383" s="255">
        <f>IF(M383&gt;0,N383*100/M383,0)</f>
        <v>0</v>
      </c>
      <c r="Q383" s="255">
        <v>0</v>
      </c>
      <c r="R383" s="255">
        <v>0</v>
      </c>
      <c r="S383" s="255">
        <v>0</v>
      </c>
      <c r="T383" s="255">
        <f>IF(Q383&gt;0,S383*100/Q383,0)</f>
        <v>0</v>
      </c>
      <c r="U383" s="255">
        <f>IF(R383&gt;0,S383*100/R383,0)</f>
        <v>0</v>
      </c>
    </row>
    <row r="384" spans="1:21" ht="19.5">
      <c r="A384" s="166"/>
      <c r="B384" s="167"/>
      <c r="C384" s="191" t="s">
        <v>18</v>
      </c>
      <c r="D384" s="560" t="s">
        <v>38</v>
      </c>
      <c r="E384" s="169"/>
      <c r="F384" s="169"/>
      <c r="G384" s="170"/>
      <c r="H384" s="206"/>
      <c r="I384" s="163"/>
      <c r="J384" s="54"/>
      <c r="K384" s="55"/>
      <c r="L384" s="62"/>
      <c r="M384" s="55"/>
      <c r="N384" s="55"/>
      <c r="O384" s="164"/>
      <c r="P384" s="164"/>
      <c r="Q384" s="55"/>
      <c r="R384" s="55"/>
      <c r="S384" s="55"/>
      <c r="T384" s="164"/>
      <c r="U384" s="164"/>
    </row>
    <row r="385" spans="1:21" ht="18.75">
      <c r="A385" s="238"/>
      <c r="B385" s="188"/>
      <c r="C385" s="188"/>
      <c r="D385" s="188"/>
      <c r="E385" s="58" t="s">
        <v>155</v>
      </c>
      <c r="F385" s="50"/>
      <c r="G385" s="52"/>
      <c r="H385" s="161" t="s">
        <v>34</v>
      </c>
      <c r="I385" s="212">
        <v>0</v>
      </c>
      <c r="J385" s="212">
        <f ca="1">IFERROR(__xludf.DUMMYFUNCTION("IMPORTRANGE(""https://docs.google.com/spreadsheets/d/1w5rwWK1o49a35cNtocGL0gxDwhFSTZUQu90BiH9_zqM/edit?usp=sharing"",""RTK!H35"")"),0)</f>
        <v>0</v>
      </c>
      <c r="K385" s="255">
        <f>IF(I385&gt;0,J385*100/I385,0)</f>
        <v>0</v>
      </c>
      <c r="L385" s="62"/>
      <c r="M385" s="55"/>
      <c r="N385" s="55"/>
      <c r="O385" s="55"/>
      <c r="P385" s="55"/>
      <c r="Q385" s="55"/>
      <c r="R385" s="55"/>
      <c r="S385" s="55"/>
      <c r="T385" s="55"/>
      <c r="U385" s="55"/>
    </row>
    <row r="386" spans="1:21" ht="18.75">
      <c r="A386" s="188"/>
      <c r="B386" s="188"/>
      <c r="C386" s="188"/>
      <c r="D386" s="188"/>
      <c r="E386" s="188"/>
      <c r="F386" s="188"/>
      <c r="G386" s="208"/>
      <c r="H386" s="161" t="s">
        <v>46</v>
      </c>
      <c r="I386" s="212">
        <f ca="1">IFERROR(__xludf.DUMMYFUNCTION("IMPORTRANGE(""https://docs.google.com/spreadsheets/d/1w5rwWK1o49a35cNtocGL0gxDwhFSTZUQu90BiH9_zqM/edit?usp=sharing"",""RTK!G35"")"),1000)</f>
        <v>1000</v>
      </c>
      <c r="J386" s="212">
        <f ca="1">IFERROR(__xludf.DUMMYFUNCTION("IMPORTRANGE(""https://docs.google.com/spreadsheets/d/1w5rwWK1o49a35cNtocGL0gxDwhFSTZUQu90BiH9_zqM/edit?usp=sharing"",""RTK!I35"")"),0)</f>
        <v>0</v>
      </c>
      <c r="K386" s="255">
        <f ca="1">IF(I386&gt;0,J386*100/I386,0)</f>
        <v>0</v>
      </c>
      <c r="L386" s="62"/>
      <c r="M386" s="55"/>
      <c r="N386" s="55"/>
      <c r="O386" s="55"/>
      <c r="P386" s="55"/>
      <c r="Q386" s="55"/>
      <c r="R386" s="55"/>
      <c r="S386" s="55"/>
      <c r="T386" s="55"/>
      <c r="U386" s="55"/>
    </row>
    <row r="387" spans="1:21" ht="18.75">
      <c r="A387" s="609"/>
      <c r="B387" s="609"/>
      <c r="C387" s="609"/>
      <c r="D387" s="609"/>
      <c r="E387" s="610" t="s">
        <v>156</v>
      </c>
      <c r="F387" s="609"/>
      <c r="G387" s="557"/>
      <c r="H387" s="549" t="s">
        <v>34</v>
      </c>
      <c r="I387" s="556">
        <v>0</v>
      </c>
      <c r="J387" s="556">
        <f ca="1">IFERROR(__xludf.DUMMYFUNCTION("IMPORTRANGE(""https://docs.google.com/spreadsheets/d/1w5rwWK1o49a35cNtocGL0gxDwhFSTZUQu90BiH9_zqM/edit?usp=sharing"",""RTK!L35"")"),0)</f>
        <v>0</v>
      </c>
      <c r="K387" s="555">
        <f>IF(I387&gt;0,J387*100/I387,0)</f>
        <v>0</v>
      </c>
      <c r="L387" s="546"/>
      <c r="M387" s="545"/>
      <c r="N387" s="545"/>
      <c r="O387" s="545"/>
      <c r="P387" s="545"/>
      <c r="Q387" s="545"/>
      <c r="R387" s="545"/>
      <c r="S387" s="545"/>
      <c r="T387" s="545"/>
      <c r="U387" s="545"/>
    </row>
    <row r="388" spans="1:21" ht="18.75">
      <c r="A388" s="609"/>
      <c r="B388" s="609"/>
      <c r="C388" s="609"/>
      <c r="D388" s="609"/>
      <c r="E388" s="609"/>
      <c r="F388" s="609"/>
      <c r="G388" s="557"/>
      <c r="H388" s="549" t="s">
        <v>46</v>
      </c>
      <c r="I388" s="556">
        <f ca="1">IFERROR(__xludf.DUMMYFUNCTION("IMPORTRANGE(""https://docs.google.com/spreadsheets/d/1w5rwWK1o49a35cNtocGL0gxDwhFSTZUQu90BiH9_zqM/edit?usp=sharing"",""RTK!K35"")"),0)</f>
        <v>0</v>
      </c>
      <c r="J388" s="556">
        <f ca="1">IFERROR(__xludf.DUMMYFUNCTION("IMPORTRANGE(""https://docs.google.com/spreadsheets/d/1w5rwWK1o49a35cNtocGL0gxDwhFSTZUQu90BiH9_zqM/edit?usp=sharing"",""RTK!M35"")"),0)</f>
        <v>0</v>
      </c>
      <c r="K388" s="555">
        <f ca="1">IF(I388&gt;0,J388*100/I388,0)</f>
        <v>0</v>
      </c>
      <c r="L388" s="546"/>
      <c r="M388" s="545"/>
      <c r="N388" s="545"/>
      <c r="O388" s="545"/>
      <c r="P388" s="545"/>
      <c r="Q388" s="545"/>
      <c r="R388" s="545"/>
      <c r="S388" s="545"/>
      <c r="T388" s="545"/>
      <c r="U388" s="545"/>
    </row>
    <row r="389" spans="1:21" ht="12.75" hidden="1">
      <c r="A389" s="259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5"/>
      <c r="M389" s="264"/>
      <c r="N389" s="264"/>
      <c r="O389" s="264"/>
      <c r="P389" s="264"/>
      <c r="Q389" s="264"/>
      <c r="R389" s="264"/>
      <c r="S389" s="264"/>
      <c r="T389" s="264"/>
      <c r="U389" s="264"/>
    </row>
    <row r="390" spans="1:21" ht="12.75" hidden="1">
      <c r="A390" s="360"/>
      <c r="B390" s="360"/>
      <c r="C390" s="360"/>
      <c r="D390" s="360"/>
      <c r="E390" s="360"/>
      <c r="F390" s="360"/>
      <c r="G390" s="361"/>
      <c r="H390" s="361"/>
      <c r="I390" s="362"/>
      <c r="J390" s="362"/>
      <c r="K390" s="363"/>
      <c r="L390" s="364"/>
      <c r="M390" s="363"/>
      <c r="N390" s="363"/>
      <c r="O390" s="363"/>
      <c r="P390" s="363"/>
      <c r="Q390" s="363"/>
      <c r="R390" s="363"/>
      <c r="S390" s="363"/>
      <c r="T390" s="363"/>
      <c r="U390" s="363"/>
    </row>
    <row r="391" spans="1:21" ht="19.5" hidden="1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51">
        <f>I402</f>
        <v>0</v>
      </c>
      <c r="J391" s="351">
        <f>J402</f>
        <v>0</v>
      </c>
      <c r="K391" s="604">
        <f>IF(I391&gt;0,J391*100/I391,0)</f>
        <v>0</v>
      </c>
      <c r="L391" s="334"/>
      <c r="M391" s="333"/>
      <c r="N391" s="333"/>
      <c r="O391" s="333"/>
      <c r="P391" s="333"/>
      <c r="Q391" s="333"/>
      <c r="R391" s="333"/>
      <c r="S391" s="333"/>
      <c r="T391" s="333"/>
      <c r="U391" s="333"/>
    </row>
    <row r="392" spans="1:21" ht="19.5" hidden="1">
      <c r="A392" s="155"/>
      <c r="B392" s="188"/>
      <c r="C392" s="191" t="s">
        <v>18</v>
      </c>
      <c r="D392" s="608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541">
        <f>L393+L394</f>
        <v>0</v>
      </c>
      <c r="M392" s="540">
        <f>M393+M394</f>
        <v>0</v>
      </c>
      <c r="N392" s="540">
        <f>N393+N394</f>
        <v>0</v>
      </c>
      <c r="O392" s="540">
        <f>IF(L392&gt;0,N392*100/L392,0)</f>
        <v>0</v>
      </c>
      <c r="P392" s="540">
        <f>IF(M392&gt;0,N392*100/M392,0)</f>
        <v>0</v>
      </c>
      <c r="Q392" s="540">
        <f>Q393+Q394</f>
        <v>0</v>
      </c>
      <c r="R392" s="540">
        <f>R393+R394</f>
        <v>0</v>
      </c>
      <c r="S392" s="540">
        <f>S393+S394</f>
        <v>0</v>
      </c>
      <c r="T392" s="540">
        <f>IF(Q392&gt;0,S392*100/Q392,0)</f>
        <v>0</v>
      </c>
      <c r="U392" s="540">
        <f>IF(R392&gt;0,S392*100/R392,0)</f>
        <v>0</v>
      </c>
    </row>
    <row r="393" spans="1:21" ht="18.75" hidden="1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103">
        <f>L396+L399</f>
        <v>0</v>
      </c>
      <c r="M393" s="102">
        <f>M396+M399</f>
        <v>0</v>
      </c>
      <c r="N393" s="102">
        <f>N396+N399</f>
        <v>0</v>
      </c>
      <c r="O393" s="102">
        <f>IF(L393&gt;0,N393*100/L393,0)</f>
        <v>0</v>
      </c>
      <c r="P393" s="102">
        <f>IF(M393&gt;0,N393*100/M393,0)</f>
        <v>0</v>
      </c>
      <c r="Q393" s="102">
        <f>Q396+Q399</f>
        <v>0</v>
      </c>
      <c r="R393" s="102">
        <f>R396+R399</f>
        <v>0</v>
      </c>
      <c r="S393" s="102">
        <f>S396+S399</f>
        <v>0</v>
      </c>
      <c r="T393" s="102">
        <f>IF(Q393&gt;0,S393*100/Q393,0)</f>
        <v>0</v>
      </c>
      <c r="U393" s="102">
        <f>IF(R393&gt;0,S393*100/R393,0)</f>
        <v>0</v>
      </c>
    </row>
    <row r="394" spans="1:21" ht="18.75" hidden="1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256">
        <f>L397+L400</f>
        <v>0</v>
      </c>
      <c r="M394" s="255">
        <f>M397+M400</f>
        <v>0</v>
      </c>
      <c r="N394" s="255">
        <f>N397+N400</f>
        <v>0</v>
      </c>
      <c r="O394" s="255">
        <f>IF(L394&gt;0,N394*100/L394,0)</f>
        <v>0</v>
      </c>
      <c r="P394" s="255">
        <f>IF(M394&gt;0,N394*100/M394,0)</f>
        <v>0</v>
      </c>
      <c r="Q394" s="255">
        <f>Q397+Q400</f>
        <v>0</v>
      </c>
      <c r="R394" s="255">
        <f>R397+R400</f>
        <v>0</v>
      </c>
      <c r="S394" s="255">
        <f>S397+S400</f>
        <v>0</v>
      </c>
      <c r="T394" s="255">
        <f>IF(Q394&gt;0,S394*100/Q394,0)</f>
        <v>0</v>
      </c>
      <c r="U394" s="255">
        <f>IF(R394&gt;0,S394*100/R394,0)</f>
        <v>0</v>
      </c>
    </row>
    <row r="395" spans="1:21" ht="18.75" hidden="1">
      <c r="A395" s="155"/>
      <c r="B395" s="188"/>
      <c r="C395" s="188"/>
      <c r="D395" s="602" t="s">
        <v>22</v>
      </c>
      <c r="E395" s="50"/>
      <c r="F395" s="50"/>
      <c r="G395" s="52"/>
      <c r="H395" s="162" t="s">
        <v>14</v>
      </c>
      <c r="I395" s="163"/>
      <c r="J395" s="163"/>
      <c r="K395" s="164"/>
      <c r="L395" s="256">
        <f>L396+L397</f>
        <v>0</v>
      </c>
      <c r="M395" s="255">
        <f>M396+M397</f>
        <v>0</v>
      </c>
      <c r="N395" s="255">
        <f>N396+N397</f>
        <v>0</v>
      </c>
      <c r="O395" s="255">
        <f>IF(L395&gt;0,N395*100/L395,0)</f>
        <v>0</v>
      </c>
      <c r="P395" s="255">
        <f>IF(M395&gt;0,N395*100/M395,0)</f>
        <v>0</v>
      </c>
      <c r="Q395" s="255">
        <f>Q396+Q397</f>
        <v>0</v>
      </c>
      <c r="R395" s="255">
        <f>R396+R397</f>
        <v>0</v>
      </c>
      <c r="S395" s="255">
        <f>S396+S397</f>
        <v>0</v>
      </c>
      <c r="T395" s="255">
        <f>IF(Q395&gt;0,S395*100/Q395,0)</f>
        <v>0</v>
      </c>
      <c r="U395" s="255">
        <f>IF(R395&gt;0,S395*100/R395,0)</f>
        <v>0</v>
      </c>
    </row>
    <row r="396" spans="1:21" ht="18.75" hidden="1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103">
        <v>0</v>
      </c>
      <c r="M396" s="102">
        <v>0</v>
      </c>
      <c r="N396" s="102">
        <v>0</v>
      </c>
      <c r="O396" s="102">
        <f>IF(L396&gt;0,N396*100/L396,0)</f>
        <v>0</v>
      </c>
      <c r="P396" s="102">
        <f>IF(M396&gt;0,N396*100/M396,0)</f>
        <v>0</v>
      </c>
      <c r="Q396" s="102">
        <v>0</v>
      </c>
      <c r="R396" s="102">
        <v>0</v>
      </c>
      <c r="S396" s="102">
        <v>0</v>
      </c>
      <c r="T396" s="102">
        <f>IF(Q396&gt;0,S396*100/Q396,0)</f>
        <v>0</v>
      </c>
      <c r="U396" s="102">
        <f>IF(R396&gt;0,S396*100/R396,0)</f>
        <v>0</v>
      </c>
    </row>
    <row r="397" spans="1:21" ht="18.75" hidden="1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256">
        <v>0</v>
      </c>
      <c r="M397" s="255">
        <v>0</v>
      </c>
      <c r="N397" s="255">
        <v>0</v>
      </c>
      <c r="O397" s="255">
        <f>IF(L397&gt;0,N397*100/L397,0)</f>
        <v>0</v>
      </c>
      <c r="P397" s="255">
        <f>IF(M397&gt;0,N397*100/M397,0)</f>
        <v>0</v>
      </c>
      <c r="Q397" s="255">
        <v>0</v>
      </c>
      <c r="R397" s="255">
        <v>0</v>
      </c>
      <c r="S397" s="255">
        <v>0</v>
      </c>
      <c r="T397" s="255">
        <f>IF(Q397&gt;0,S397*100/Q397,0)</f>
        <v>0</v>
      </c>
      <c r="U397" s="255">
        <f>IF(R397&gt;0,S397*100/R397,0)</f>
        <v>0</v>
      </c>
    </row>
    <row r="398" spans="1:21" ht="18.75" hidden="1">
      <c r="A398" s="155"/>
      <c r="B398" s="188"/>
      <c r="C398" s="188"/>
      <c r="D398" s="602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256">
        <f>L399+L400</f>
        <v>0</v>
      </c>
      <c r="M398" s="255">
        <f>M399+M400</f>
        <v>0</v>
      </c>
      <c r="N398" s="255">
        <f>N399+N400</f>
        <v>0</v>
      </c>
      <c r="O398" s="255">
        <f>IF(L398&gt;0,N398*100/L398,0)</f>
        <v>0</v>
      </c>
      <c r="P398" s="255">
        <f>IF(M398&gt;0,N398*100/M398,0)</f>
        <v>0</v>
      </c>
      <c r="Q398" s="255">
        <f>Q399+Q400</f>
        <v>0</v>
      </c>
      <c r="R398" s="255">
        <f>R399+R400</f>
        <v>0</v>
      </c>
      <c r="S398" s="255">
        <f>S399+S400</f>
        <v>0</v>
      </c>
      <c r="T398" s="255">
        <f>IF(Q398&gt;0,S398*100/Q398,0)</f>
        <v>0</v>
      </c>
      <c r="U398" s="255">
        <f>IF(R398&gt;0,S398*100/R398,0)</f>
        <v>0</v>
      </c>
    </row>
    <row r="399" spans="1:21" ht="18.75" hidden="1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103">
        <v>0</v>
      </c>
      <c r="M399" s="102">
        <v>0</v>
      </c>
      <c r="N399" s="102">
        <v>0</v>
      </c>
      <c r="O399" s="102">
        <f>IF(L399&gt;0,N399*100/L399,0)</f>
        <v>0</v>
      </c>
      <c r="P399" s="102">
        <f>IF(M399&gt;0,N399*100/M399,0)</f>
        <v>0</v>
      </c>
      <c r="Q399" s="102">
        <v>0</v>
      </c>
      <c r="R399" s="102">
        <v>0</v>
      </c>
      <c r="S399" s="102">
        <v>0</v>
      </c>
      <c r="T399" s="102">
        <f>IF(Q399&gt;0,S399*100/Q399,0)</f>
        <v>0</v>
      </c>
      <c r="U399" s="102">
        <f>IF(R399&gt;0,S399*100/R399,0)</f>
        <v>0</v>
      </c>
    </row>
    <row r="400" spans="1:21" ht="18.75" hidden="1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256">
        <v>0</v>
      </c>
      <c r="M400" s="255">
        <v>0</v>
      </c>
      <c r="N400" s="255">
        <v>0</v>
      </c>
      <c r="O400" s="255">
        <f>IF(L400&gt;0,N400*100/L400,0)</f>
        <v>0</v>
      </c>
      <c r="P400" s="255">
        <f>IF(M400&gt;0,N400*100/M400,0)</f>
        <v>0</v>
      </c>
      <c r="Q400" s="255">
        <v>0</v>
      </c>
      <c r="R400" s="255">
        <v>0</v>
      </c>
      <c r="S400" s="255">
        <v>0</v>
      </c>
      <c r="T400" s="255">
        <f>IF(Q400&gt;0,S400*100/Q400,0)</f>
        <v>0</v>
      </c>
      <c r="U400" s="255">
        <f>IF(R400&gt;0,S400*100/R400,0)</f>
        <v>0</v>
      </c>
    </row>
    <row r="401" spans="1:21" ht="19.5" hidden="1">
      <c r="A401" s="166"/>
      <c r="B401" s="167"/>
      <c r="C401" s="191" t="s">
        <v>18</v>
      </c>
      <c r="D401" s="560" t="s">
        <v>38</v>
      </c>
      <c r="E401" s="169"/>
      <c r="F401" s="169"/>
      <c r="G401" s="170"/>
      <c r="H401" s="206"/>
      <c r="I401" s="163"/>
      <c r="J401" s="54"/>
      <c r="K401" s="55"/>
      <c r="L401" s="62"/>
      <c r="M401" s="55"/>
      <c r="N401" s="55"/>
      <c r="O401" s="164"/>
      <c r="P401" s="164"/>
      <c r="Q401" s="55"/>
      <c r="R401" s="55"/>
      <c r="S401" s="55"/>
      <c r="T401" s="164"/>
      <c r="U401" s="164"/>
    </row>
    <row r="402" spans="1:21" ht="12.75" hidden="1">
      <c r="A402" s="258"/>
      <c r="B402" s="259"/>
      <c r="C402" s="259"/>
      <c r="D402" s="259"/>
      <c r="E402" s="260"/>
      <c r="F402" s="260"/>
      <c r="G402" s="261"/>
      <c r="H402" s="262"/>
      <c r="I402" s="263"/>
      <c r="J402" s="263"/>
      <c r="K402" s="264"/>
      <c r="L402" s="265"/>
      <c r="M402" s="264"/>
      <c r="N402" s="264"/>
      <c r="O402" s="264"/>
      <c r="P402" s="264"/>
      <c r="Q402" s="264"/>
      <c r="R402" s="264"/>
      <c r="S402" s="264"/>
      <c r="T402" s="264"/>
      <c r="U402" s="264"/>
    </row>
    <row r="403" spans="1:21" ht="12.75" hidden="1">
      <c r="A403" s="259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5"/>
      <c r="M403" s="264"/>
      <c r="N403" s="264"/>
      <c r="O403" s="264"/>
      <c r="P403" s="264"/>
      <c r="Q403" s="264"/>
      <c r="R403" s="264"/>
      <c r="S403" s="264"/>
      <c r="T403" s="264"/>
      <c r="U403" s="264"/>
    </row>
    <row r="404" spans="1:21" ht="12.75" hidden="1">
      <c r="A404" s="259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5"/>
      <c r="M404" s="264"/>
      <c r="N404" s="264"/>
      <c r="O404" s="264"/>
      <c r="P404" s="264"/>
      <c r="Q404" s="264"/>
      <c r="R404" s="264"/>
      <c r="S404" s="264"/>
      <c r="T404" s="264"/>
      <c r="U404" s="264"/>
    </row>
    <row r="405" spans="1:21" ht="12.75" hidden="1">
      <c r="A405" s="259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5"/>
      <c r="M405" s="264"/>
      <c r="N405" s="264"/>
      <c r="O405" s="264"/>
      <c r="P405" s="264"/>
      <c r="Q405" s="264"/>
      <c r="R405" s="264"/>
      <c r="S405" s="264"/>
      <c r="T405" s="264"/>
      <c r="U405" s="264"/>
    </row>
    <row r="406" spans="1:21" ht="12.75" hidden="1">
      <c r="A406" s="259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5"/>
      <c r="M406" s="264"/>
      <c r="N406" s="264"/>
      <c r="O406" s="264"/>
      <c r="P406" s="264"/>
      <c r="Q406" s="264"/>
      <c r="R406" s="264"/>
      <c r="S406" s="264"/>
      <c r="T406" s="264"/>
      <c r="U406" s="264"/>
    </row>
    <row r="407" spans="1:21" ht="12.75" hidden="1">
      <c r="A407" s="259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5"/>
      <c r="M407" s="264"/>
      <c r="N407" s="264"/>
      <c r="O407" s="264"/>
      <c r="P407" s="264"/>
      <c r="Q407" s="264"/>
      <c r="R407" s="264"/>
      <c r="S407" s="264"/>
      <c r="T407" s="264"/>
      <c r="U407" s="264"/>
    </row>
    <row r="408" spans="1:21" ht="12.75" hidden="1">
      <c r="A408" s="259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5"/>
      <c r="M408" s="264"/>
      <c r="N408" s="264"/>
      <c r="O408" s="264"/>
      <c r="P408" s="264"/>
      <c r="Q408" s="264"/>
      <c r="R408" s="264"/>
      <c r="S408" s="264"/>
      <c r="T408" s="264"/>
      <c r="U408" s="264"/>
    </row>
    <row r="409" spans="1:21" ht="12.75" hidden="1">
      <c r="A409" s="259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5"/>
      <c r="M409" s="264"/>
      <c r="N409" s="264"/>
      <c r="O409" s="264"/>
      <c r="P409" s="264"/>
      <c r="Q409" s="264"/>
      <c r="R409" s="264"/>
      <c r="S409" s="264"/>
      <c r="T409" s="264"/>
      <c r="U409" s="264"/>
    </row>
    <row r="410" spans="1:21" ht="12.75" hidden="1">
      <c r="A410" s="259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5"/>
      <c r="M410" s="264"/>
      <c r="N410" s="264"/>
      <c r="O410" s="264"/>
      <c r="P410" s="264"/>
      <c r="Q410" s="264"/>
      <c r="R410" s="264"/>
      <c r="S410" s="264"/>
      <c r="T410" s="264"/>
      <c r="U410" s="264"/>
    </row>
    <row r="411" spans="1:21" ht="12.75" hidden="1">
      <c r="A411" s="360"/>
      <c r="B411" s="360"/>
      <c r="C411" s="360"/>
      <c r="D411" s="360"/>
      <c r="E411" s="360"/>
      <c r="F411" s="360"/>
      <c r="G411" s="361"/>
      <c r="H411" s="361"/>
      <c r="I411" s="362"/>
      <c r="J411" s="362"/>
      <c r="K411" s="363"/>
      <c r="L411" s="364"/>
      <c r="M411" s="363"/>
      <c r="N411" s="363"/>
      <c r="O411" s="363"/>
      <c r="P411" s="363"/>
      <c r="Q411" s="363"/>
      <c r="R411" s="363"/>
      <c r="S411" s="363"/>
      <c r="T411" s="363"/>
      <c r="U411" s="363"/>
    </row>
    <row r="412" spans="1:21" ht="19.5" hidden="1">
      <c r="A412" s="337"/>
      <c r="B412" s="354" t="s">
        <v>158</v>
      </c>
      <c r="C412" s="337"/>
      <c r="D412" s="337"/>
      <c r="E412" s="337"/>
      <c r="F412" s="337"/>
      <c r="G412" s="365"/>
      <c r="H412" s="366" t="s">
        <v>46</v>
      </c>
      <c r="I412" s="605">
        <f ca="1">I423</f>
        <v>0</v>
      </c>
      <c r="J412" s="605">
        <f>J423</f>
        <v>0</v>
      </c>
      <c r="K412" s="604">
        <f ca="1">IF(I412&gt;0,J412*100/I412,0)</f>
        <v>0</v>
      </c>
      <c r="L412" s="334"/>
      <c r="M412" s="333"/>
      <c r="N412" s="333"/>
      <c r="O412" s="333"/>
      <c r="P412" s="333"/>
      <c r="Q412" s="333"/>
      <c r="R412" s="333"/>
      <c r="S412" s="333"/>
      <c r="T412" s="333"/>
      <c r="U412" s="333"/>
    </row>
    <row r="413" spans="1:21" ht="19.5" hidden="1">
      <c r="A413" s="155"/>
      <c r="B413" s="188"/>
      <c r="C413" s="367" t="s">
        <v>18</v>
      </c>
      <c r="D413" s="603" t="s">
        <v>19</v>
      </c>
      <c r="E413" s="514"/>
      <c r="F413" s="514"/>
      <c r="G413" s="512"/>
      <c r="H413" s="368" t="s">
        <v>14</v>
      </c>
      <c r="I413" s="54"/>
      <c r="J413" s="54"/>
      <c r="K413" s="55"/>
      <c r="L413" s="541">
        <f>L414+L415</f>
        <v>0</v>
      </c>
      <c r="M413" s="540">
        <f>M414+M415</f>
        <v>0</v>
      </c>
      <c r="N413" s="540">
        <f>N414+N415</f>
        <v>0</v>
      </c>
      <c r="O413" s="540">
        <f>IF(L413&gt;0,N413*100/L413,0)</f>
        <v>0</v>
      </c>
      <c r="P413" s="540">
        <f>IF(M413&gt;0,N413*100/M413,0)</f>
        <v>0</v>
      </c>
      <c r="Q413" s="540">
        <f ca="1">Q414+Q415</f>
        <v>0</v>
      </c>
      <c r="R413" s="540">
        <f ca="1">R414+R415</f>
        <v>0</v>
      </c>
      <c r="S413" s="540">
        <f ca="1">S414+S415</f>
        <v>0</v>
      </c>
      <c r="T413" s="540">
        <f ca="1">IF(Q413&gt;0,S413*100/Q413,0)</f>
        <v>0</v>
      </c>
      <c r="U413" s="540">
        <f ca="1">IF(R413&gt;0,S413*100/R413,0)</f>
        <v>0</v>
      </c>
    </row>
    <row r="414" spans="1:21" ht="18.75" hidden="1">
      <c r="A414" s="155"/>
      <c r="B414" s="188"/>
      <c r="C414" s="188"/>
      <c r="D414" s="188"/>
      <c r="E414" s="358" t="s">
        <v>159</v>
      </c>
      <c r="F414" s="188"/>
      <c r="G414" s="208"/>
      <c r="H414" s="204" t="s">
        <v>14</v>
      </c>
      <c r="I414" s="54"/>
      <c r="J414" s="54"/>
      <c r="K414" s="55"/>
      <c r="L414" s="103">
        <f>L417+L420</f>
        <v>0</v>
      </c>
      <c r="M414" s="102">
        <f>M417+M420</f>
        <v>0</v>
      </c>
      <c r="N414" s="102">
        <f>N417+N420</f>
        <v>0</v>
      </c>
      <c r="O414" s="102">
        <f>IF(L414&gt;0,N414*100/L414,0)</f>
        <v>0</v>
      </c>
      <c r="P414" s="102">
        <f>IF(M414&gt;0,N414*100/M414,0)</f>
        <v>0</v>
      </c>
      <c r="Q414" s="102">
        <f>Q417+Q420</f>
        <v>0</v>
      </c>
      <c r="R414" s="102">
        <f>R417+R420</f>
        <v>0</v>
      </c>
      <c r="S414" s="102">
        <f>S417+S420</f>
        <v>0</v>
      </c>
      <c r="T414" s="102">
        <f>IF(Q414&gt;0,S414*100/Q414,0)</f>
        <v>0</v>
      </c>
      <c r="U414" s="102">
        <f>IF(R414&gt;0,S414*100/R414,0)</f>
        <v>0</v>
      </c>
    </row>
    <row r="415" spans="1:21" ht="18.75" hidden="1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256">
        <f>L418+L421</f>
        <v>0</v>
      </c>
      <c r="M415" s="255">
        <f>M418+M421</f>
        <v>0</v>
      </c>
      <c r="N415" s="255">
        <f>N418+N421</f>
        <v>0</v>
      </c>
      <c r="O415" s="255">
        <f>IF(L415&gt;0,N415*100/L415,0)</f>
        <v>0</v>
      </c>
      <c r="P415" s="255">
        <f>IF(M415&gt;0,N415*100/M415,0)</f>
        <v>0</v>
      </c>
      <c r="Q415" s="255">
        <f ca="1">Q418+Q421</f>
        <v>0</v>
      </c>
      <c r="R415" s="255">
        <f ca="1">R418+R421</f>
        <v>0</v>
      </c>
      <c r="S415" s="255">
        <f ca="1">S418+S421</f>
        <v>0</v>
      </c>
      <c r="T415" s="255">
        <f ca="1">IF(Q415&gt;0,S415*100/Q415,0)</f>
        <v>0</v>
      </c>
      <c r="U415" s="255">
        <f ca="1">IF(R415&gt;0,S415*100/R415,0)</f>
        <v>0</v>
      </c>
    </row>
    <row r="416" spans="1:21" ht="19.5" hidden="1">
      <c r="A416" s="155"/>
      <c r="B416" s="188"/>
      <c r="C416" s="188"/>
      <c r="D416" s="608" t="s">
        <v>22</v>
      </c>
      <c r="E416" s="188"/>
      <c r="F416" s="188"/>
      <c r="G416" s="208"/>
      <c r="H416" s="368" t="s">
        <v>14</v>
      </c>
      <c r="I416" s="54"/>
      <c r="J416" s="54"/>
      <c r="K416" s="55"/>
      <c r="L416" s="256">
        <f>L417+L418</f>
        <v>0</v>
      </c>
      <c r="M416" s="255">
        <f>M417+M418</f>
        <v>0</v>
      </c>
      <c r="N416" s="255">
        <f>N417+N418</f>
        <v>0</v>
      </c>
      <c r="O416" s="255">
        <f>IF(L416&gt;0,N416*100/L416,0)</f>
        <v>0</v>
      </c>
      <c r="P416" s="255">
        <f>IF(M416&gt;0,N416*100/M416,0)</f>
        <v>0</v>
      </c>
      <c r="Q416" s="255">
        <f ca="1">Q417+Q418</f>
        <v>0</v>
      </c>
      <c r="R416" s="255">
        <f ca="1">R417+R418</f>
        <v>0</v>
      </c>
      <c r="S416" s="255">
        <f ca="1">S417+S418</f>
        <v>0</v>
      </c>
      <c r="T416" s="255">
        <f ca="1">IF(Q416&gt;0,S416*100/Q416,0)</f>
        <v>0</v>
      </c>
      <c r="U416" s="255">
        <f ca="1">IF(R416&gt;0,S416*100/R416,0)</f>
        <v>0</v>
      </c>
    </row>
    <row r="417" spans="1:21" ht="18.75" hidden="1">
      <c r="A417" s="155"/>
      <c r="B417" s="188"/>
      <c r="C417" s="188"/>
      <c r="D417" s="188"/>
      <c r="E417" s="358" t="s">
        <v>159</v>
      </c>
      <c r="F417" s="188"/>
      <c r="G417" s="208"/>
      <c r="H417" s="204" t="s">
        <v>14</v>
      </c>
      <c r="I417" s="54"/>
      <c r="J417" s="54"/>
      <c r="K417" s="55"/>
      <c r="L417" s="103">
        <v>0</v>
      </c>
      <c r="M417" s="102">
        <v>0</v>
      </c>
      <c r="N417" s="102">
        <v>0</v>
      </c>
      <c r="O417" s="102">
        <f>IF(L417&gt;0,N417*100/L417,0)</f>
        <v>0</v>
      </c>
      <c r="P417" s="102">
        <f>IF(M417&gt;0,N417*100/M417,0)</f>
        <v>0</v>
      </c>
      <c r="Q417" s="102">
        <v>0</v>
      </c>
      <c r="R417" s="102">
        <v>0</v>
      </c>
      <c r="S417" s="102">
        <v>0</v>
      </c>
      <c r="T417" s="102">
        <f>IF(Q417&gt;0,S417*100/Q417,0)</f>
        <v>0</v>
      </c>
      <c r="U417" s="102">
        <f>IF(R417&gt;0,S417*100/R417,0)</f>
        <v>0</v>
      </c>
    </row>
    <row r="418" spans="1:21" ht="18.75" hidden="1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256">
        <v>0</v>
      </c>
      <c r="M418" s="255">
        <v>0</v>
      </c>
      <c r="N418" s="255">
        <v>0</v>
      </c>
      <c r="O418" s="255">
        <f>IF(L418&gt;0,N418*100/L418,0)</f>
        <v>0</v>
      </c>
      <c r="P418" s="255">
        <f>IF(M418&gt;0,N418*100/M418,0)</f>
        <v>0</v>
      </c>
      <c r="Q418" s="255">
        <f ca="1">IFERROR(__xludf.DUMMYFUNCTION("IMPORTRANGE(""https://docs.google.com/spreadsheets/d/1ItG2mGa2ceCfYo0BwxsXqNm01IGEUdYcSSLTEv9YCik/edit?usp=sharing"",""เบิกจ่ายกองทุน!BH35"")"),0)</f>
        <v>0</v>
      </c>
      <c r="R418" s="255">
        <f ca="1">IFERROR(__xludf.DUMMYFUNCTION("IMPORTRANGE(""https://docs.google.com/spreadsheets/d/1ItG2mGa2ceCfYo0BwxsXqNm01IGEUdYcSSLTEv9YCik/edit?usp=sharing"",""เบิกจ่ายกองทุน!BI35"")"),0)</f>
        <v>0</v>
      </c>
      <c r="S418" s="255">
        <f ca="1">IFERROR(__xludf.DUMMYFUNCTION("IMPORTRANGE(""https://docs.google.com/spreadsheets/d/1ItG2mGa2ceCfYo0BwxsXqNm01IGEUdYcSSLTEv9YCik/edit?usp=sharing"",""เบิกจ่ายกองทุน!BJ35"")"),0)</f>
        <v>0</v>
      </c>
      <c r="T418" s="255">
        <f ca="1">IF(Q418&gt;0,S418*100/Q418,0)</f>
        <v>0</v>
      </c>
      <c r="U418" s="255">
        <f ca="1">IF(R418&gt;0,S418*100/R418,0)</f>
        <v>0</v>
      </c>
    </row>
    <row r="419" spans="1:21" ht="19.5" hidden="1">
      <c r="A419" s="155"/>
      <c r="B419" s="188"/>
      <c r="C419" s="188"/>
      <c r="D419" s="608" t="s">
        <v>23</v>
      </c>
      <c r="E419" s="188"/>
      <c r="F419" s="188"/>
      <c r="G419" s="208"/>
      <c r="H419" s="158" t="s">
        <v>14</v>
      </c>
      <c r="I419" s="54"/>
      <c r="J419" s="54"/>
      <c r="K419" s="55"/>
      <c r="L419" s="256">
        <f>L420+L421</f>
        <v>0</v>
      </c>
      <c r="M419" s="255">
        <f>M420+M421</f>
        <v>0</v>
      </c>
      <c r="N419" s="255">
        <f>N420+N421</f>
        <v>0</v>
      </c>
      <c r="O419" s="255">
        <f>IF(L419&gt;0,N419*100/L419,0)</f>
        <v>0</v>
      </c>
      <c r="P419" s="255">
        <f>IF(M419&gt;0,N419*100/M419,0)</f>
        <v>0</v>
      </c>
      <c r="Q419" s="255">
        <f>Q420+Q421</f>
        <v>0</v>
      </c>
      <c r="R419" s="255">
        <f>R420+R421</f>
        <v>0</v>
      </c>
      <c r="S419" s="255">
        <f>S420+S421</f>
        <v>0</v>
      </c>
      <c r="T419" s="255">
        <f>IF(Q419&gt;0,S419*100/Q419,0)</f>
        <v>0</v>
      </c>
      <c r="U419" s="255">
        <f>IF(R419&gt;0,S419*100/R419,0)</f>
        <v>0</v>
      </c>
    </row>
    <row r="420" spans="1:21" ht="18.75" hidden="1">
      <c r="A420" s="155"/>
      <c r="B420" s="188"/>
      <c r="C420" s="188"/>
      <c r="D420" s="188"/>
      <c r="E420" s="358" t="s">
        <v>20</v>
      </c>
      <c r="F420" s="188"/>
      <c r="G420" s="208"/>
      <c r="H420" s="204" t="s">
        <v>14</v>
      </c>
      <c r="I420" s="54"/>
      <c r="J420" s="54"/>
      <c r="K420" s="55"/>
      <c r="L420" s="103">
        <v>0</v>
      </c>
      <c r="M420" s="102">
        <v>0</v>
      </c>
      <c r="N420" s="102">
        <v>0</v>
      </c>
      <c r="O420" s="102">
        <f>IF(L420&gt;0,N420*100/L420,0)</f>
        <v>0</v>
      </c>
      <c r="P420" s="102">
        <f>IF(M420&gt;0,N420*100/M420,0)</f>
        <v>0</v>
      </c>
      <c r="Q420" s="102">
        <v>0</v>
      </c>
      <c r="R420" s="102">
        <v>0</v>
      </c>
      <c r="S420" s="102">
        <v>0</v>
      </c>
      <c r="T420" s="102">
        <f>IF(Q420&gt;0,S420*100/Q420,0)</f>
        <v>0</v>
      </c>
      <c r="U420" s="102">
        <f>IF(R420&gt;0,S420*100/R420,0)</f>
        <v>0</v>
      </c>
    </row>
    <row r="421" spans="1:21" ht="18.75" hidden="1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256">
        <v>0</v>
      </c>
      <c r="M421" s="255">
        <v>0</v>
      </c>
      <c r="N421" s="255">
        <v>0</v>
      </c>
      <c r="O421" s="255">
        <f>IF(L421&gt;0,N421*100/L421,0)</f>
        <v>0</v>
      </c>
      <c r="P421" s="255">
        <f>IF(M421&gt;0,N421*100/M421,0)</f>
        <v>0</v>
      </c>
      <c r="Q421" s="255">
        <v>0</v>
      </c>
      <c r="R421" s="255">
        <v>0</v>
      </c>
      <c r="S421" s="255">
        <v>0</v>
      </c>
      <c r="T421" s="255">
        <f>IF(Q421&gt;0,S421*100/Q421,0)</f>
        <v>0</v>
      </c>
      <c r="U421" s="255">
        <f>IF(R421&gt;0,S421*100/R421,0)</f>
        <v>0</v>
      </c>
    </row>
    <row r="422" spans="1:21" ht="19.5" hidden="1">
      <c r="A422" s="238"/>
      <c r="B422" s="188"/>
      <c r="C422" s="367" t="s">
        <v>18</v>
      </c>
      <c r="D422" s="607" t="s">
        <v>38</v>
      </c>
      <c r="E422" s="188"/>
      <c r="F422" s="188"/>
      <c r="G422" s="208"/>
      <c r="H422" s="208"/>
      <c r="I422" s="54"/>
      <c r="J422" s="54"/>
      <c r="K422" s="55"/>
      <c r="L422" s="62"/>
      <c r="M422" s="55"/>
      <c r="N422" s="55"/>
      <c r="O422" s="55"/>
      <c r="P422" s="55"/>
      <c r="Q422" s="55"/>
      <c r="R422" s="55"/>
      <c r="S422" s="55"/>
      <c r="T422" s="55"/>
      <c r="U422" s="55"/>
    </row>
    <row r="423" spans="1:21" ht="19.5" hidden="1">
      <c r="A423" s="238"/>
      <c r="B423" s="191" t="s">
        <v>161</v>
      </c>
      <c r="C423" s="188"/>
      <c r="D423" s="188"/>
      <c r="E423" s="188"/>
      <c r="F423" s="188"/>
      <c r="G423" s="208"/>
      <c r="H423" s="368" t="s">
        <v>46</v>
      </c>
      <c r="I423" s="373">
        <f ca="1">I440</f>
        <v>0</v>
      </c>
      <c r="J423" s="373">
        <f>J440</f>
        <v>0</v>
      </c>
      <c r="K423" s="540">
        <f ca="1">IF(I423&gt;0,J423*100/I423,0)</f>
        <v>0</v>
      </c>
      <c r="L423" s="62"/>
      <c r="M423" s="55"/>
      <c r="N423" s="55"/>
      <c r="O423" s="55"/>
      <c r="P423" s="55"/>
      <c r="Q423" s="55"/>
      <c r="R423" s="55"/>
      <c r="S423" s="55"/>
      <c r="T423" s="55"/>
      <c r="U423" s="55"/>
    </row>
    <row r="424" spans="1:21" ht="19.5" hidden="1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373">
        <f ca="1">IFERROR(__xludf.DUMMYFUNCTION("IMPORTRANGE(""https://docs.google.com/spreadsheets/d/1eHaY18a8A9IcSdp1K8H6x8fbOy06t2VsZHhMHf-1x7Y/edit?usp=sharing"",""แผน!HJ35"")"),0)</f>
        <v>0</v>
      </c>
      <c r="J424" s="373">
        <f>J426+J428+J430</f>
        <v>0</v>
      </c>
      <c r="K424" s="540">
        <f ca="1">IF(I424&gt;0,J424*100/I424,0)</f>
        <v>0</v>
      </c>
      <c r="L424" s="62"/>
      <c r="M424" s="55"/>
      <c r="N424" s="55"/>
      <c r="O424" s="55"/>
      <c r="P424" s="55"/>
      <c r="Q424" s="55"/>
      <c r="R424" s="55"/>
      <c r="S424" s="55"/>
      <c r="T424" s="55"/>
      <c r="U424" s="55"/>
    </row>
    <row r="425" spans="1:21" ht="19.5" hidden="1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373">
        <f ca="1">IFERROR(__xludf.DUMMYFUNCTION("IMPORTRANGE(""https://docs.google.com/spreadsheets/d/1eHaY18a8A9IcSdp1K8H6x8fbOy06t2VsZHhMHf-1x7Y/edit?usp=sharing"",""แผน!HK35"")"),0)</f>
        <v>0</v>
      </c>
      <c r="J425" s="373">
        <f>J427+J429+J431</f>
        <v>0</v>
      </c>
      <c r="K425" s="540">
        <f ca="1">IF(I425&gt;0,J425*100/I425,0)</f>
        <v>0</v>
      </c>
      <c r="L425" s="62"/>
      <c r="M425" s="55"/>
      <c r="N425" s="55"/>
      <c r="O425" s="55"/>
      <c r="P425" s="55"/>
      <c r="Q425" s="55"/>
      <c r="R425" s="55"/>
      <c r="S425" s="55"/>
      <c r="T425" s="55"/>
      <c r="U425" s="55"/>
    </row>
    <row r="426" spans="1:21" ht="18.75" hidden="1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54"/>
      <c r="K426" s="55"/>
      <c r="L426" s="62"/>
      <c r="M426" s="55"/>
      <c r="N426" s="55"/>
      <c r="O426" s="55"/>
      <c r="P426" s="55"/>
      <c r="Q426" s="55"/>
      <c r="R426" s="55"/>
      <c r="S426" s="55"/>
      <c r="T426" s="55"/>
      <c r="U426" s="55"/>
    </row>
    <row r="427" spans="1:21" ht="18.75" hidden="1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54"/>
      <c r="K427" s="55"/>
      <c r="L427" s="62"/>
      <c r="M427" s="55"/>
      <c r="N427" s="55"/>
      <c r="O427" s="55"/>
      <c r="P427" s="55"/>
      <c r="Q427" s="55"/>
      <c r="R427" s="55"/>
      <c r="S427" s="55"/>
      <c r="T427" s="55"/>
      <c r="U427" s="55"/>
    </row>
    <row r="428" spans="1:21" ht="18.75" hidden="1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54"/>
      <c r="K428" s="55"/>
      <c r="L428" s="62"/>
      <c r="M428" s="55"/>
      <c r="N428" s="55"/>
      <c r="O428" s="55"/>
      <c r="P428" s="55"/>
      <c r="Q428" s="55"/>
      <c r="R428" s="55"/>
      <c r="S428" s="55"/>
      <c r="T428" s="55"/>
      <c r="U428" s="55"/>
    </row>
    <row r="429" spans="1:21" ht="18.75" hidden="1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54"/>
      <c r="K429" s="55"/>
      <c r="L429" s="62"/>
      <c r="M429" s="55"/>
      <c r="N429" s="55"/>
      <c r="O429" s="55"/>
      <c r="P429" s="55"/>
      <c r="Q429" s="55"/>
      <c r="R429" s="55"/>
      <c r="S429" s="55"/>
      <c r="T429" s="55"/>
      <c r="U429" s="55"/>
    </row>
    <row r="430" spans="1:21" ht="18.75" hidden="1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54"/>
      <c r="K430" s="55"/>
      <c r="L430" s="62"/>
      <c r="M430" s="55"/>
      <c r="N430" s="55"/>
      <c r="O430" s="55"/>
      <c r="P430" s="55"/>
      <c r="Q430" s="55"/>
      <c r="R430" s="55"/>
      <c r="S430" s="55"/>
      <c r="T430" s="55"/>
      <c r="U430" s="55"/>
    </row>
    <row r="431" spans="1:21" ht="18.75" hidden="1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54"/>
      <c r="K431" s="55"/>
      <c r="L431" s="62"/>
      <c r="M431" s="55"/>
      <c r="N431" s="55"/>
      <c r="O431" s="55"/>
      <c r="P431" s="55"/>
      <c r="Q431" s="55"/>
      <c r="R431" s="55"/>
      <c r="S431" s="55"/>
      <c r="T431" s="55"/>
      <c r="U431" s="55"/>
    </row>
    <row r="432" spans="1:21" ht="19.5" hidden="1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373">
        <f ca="1">IFERROR(__xludf.DUMMYFUNCTION("IMPORTRANGE(""https://docs.google.com/spreadsheets/d/1eHaY18a8A9IcSdp1K8H6x8fbOy06t2VsZHhMHf-1x7Y/edit?usp=sharing"",""แผน!HJ35"")"),0)</f>
        <v>0</v>
      </c>
      <c r="J432" s="373">
        <f>J434+J436+J438</f>
        <v>0</v>
      </c>
      <c r="K432" s="540">
        <f ca="1">IF(I432&gt;0,J432*100/I432,0)</f>
        <v>0</v>
      </c>
      <c r="L432" s="62"/>
      <c r="M432" s="55"/>
      <c r="N432" s="55"/>
      <c r="O432" s="55"/>
      <c r="P432" s="55"/>
      <c r="Q432" s="55"/>
      <c r="R432" s="55"/>
      <c r="S432" s="55"/>
      <c r="T432" s="55"/>
      <c r="U432" s="55"/>
    </row>
    <row r="433" spans="1:21" ht="19.5" hidden="1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373">
        <f ca="1">IFERROR(__xludf.DUMMYFUNCTION("IMPORTRANGE(""https://docs.google.com/spreadsheets/d/1eHaY18a8A9IcSdp1K8H6x8fbOy06t2VsZHhMHf-1x7Y/edit?usp=sharing"",""แผน!HK35"")"),0)</f>
        <v>0</v>
      </c>
      <c r="J433" s="373">
        <f>J435+J437+J439</f>
        <v>0</v>
      </c>
      <c r="K433" s="540">
        <f ca="1">IF(I433&gt;0,J433*100/I433,0)</f>
        <v>0</v>
      </c>
      <c r="L433" s="62"/>
      <c r="M433" s="55"/>
      <c r="N433" s="55"/>
      <c r="O433" s="55"/>
      <c r="P433" s="55"/>
      <c r="Q433" s="55"/>
      <c r="R433" s="55"/>
      <c r="S433" s="55"/>
      <c r="T433" s="55"/>
      <c r="U433" s="55"/>
    </row>
    <row r="434" spans="1:21" ht="18.75" hidden="1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54"/>
      <c r="K434" s="55"/>
      <c r="L434" s="62"/>
      <c r="M434" s="55"/>
      <c r="N434" s="55"/>
      <c r="O434" s="55"/>
      <c r="P434" s="55"/>
      <c r="Q434" s="55"/>
      <c r="R434" s="55"/>
      <c r="S434" s="55"/>
      <c r="T434" s="55"/>
      <c r="U434" s="55"/>
    </row>
    <row r="435" spans="1:21" ht="18.75" hidden="1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54"/>
      <c r="K435" s="55"/>
      <c r="L435" s="62"/>
      <c r="M435" s="55"/>
      <c r="N435" s="55"/>
      <c r="O435" s="55"/>
      <c r="P435" s="55"/>
      <c r="Q435" s="55"/>
      <c r="R435" s="55"/>
      <c r="S435" s="55"/>
      <c r="T435" s="55"/>
      <c r="U435" s="55"/>
    </row>
    <row r="436" spans="1:21" ht="18.75" hidden="1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54"/>
      <c r="K436" s="55"/>
      <c r="L436" s="62"/>
      <c r="M436" s="55"/>
      <c r="N436" s="55"/>
      <c r="O436" s="55"/>
      <c r="P436" s="55"/>
      <c r="Q436" s="55"/>
      <c r="R436" s="55"/>
      <c r="S436" s="55"/>
      <c r="T436" s="55"/>
      <c r="U436" s="55"/>
    </row>
    <row r="437" spans="1:21" ht="18.75" hidden="1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54"/>
      <c r="K437" s="55"/>
      <c r="L437" s="62"/>
      <c r="M437" s="55"/>
      <c r="N437" s="55"/>
      <c r="O437" s="55"/>
      <c r="P437" s="55"/>
      <c r="Q437" s="55"/>
      <c r="R437" s="55"/>
      <c r="S437" s="55"/>
      <c r="T437" s="55"/>
      <c r="U437" s="55"/>
    </row>
    <row r="438" spans="1:21" ht="18.75" hidden="1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54"/>
      <c r="K438" s="55"/>
      <c r="L438" s="62"/>
      <c r="M438" s="55"/>
      <c r="N438" s="55"/>
      <c r="O438" s="55"/>
      <c r="P438" s="55"/>
      <c r="Q438" s="55"/>
      <c r="R438" s="55"/>
      <c r="S438" s="55"/>
      <c r="T438" s="55"/>
      <c r="U438" s="55"/>
    </row>
    <row r="439" spans="1:21" ht="18.75" hidden="1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54"/>
      <c r="K439" s="55"/>
      <c r="L439" s="62"/>
      <c r="M439" s="55"/>
      <c r="N439" s="55"/>
      <c r="O439" s="55"/>
      <c r="P439" s="55"/>
      <c r="Q439" s="55"/>
      <c r="R439" s="55"/>
      <c r="S439" s="55"/>
      <c r="T439" s="55"/>
      <c r="U439" s="55"/>
    </row>
    <row r="440" spans="1:21" ht="19.5" hidden="1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373">
        <f ca="1">IFERROR(__xludf.DUMMYFUNCTION("IMPORTRANGE(""https://docs.google.com/spreadsheets/d/1eHaY18a8A9IcSdp1K8H6x8fbOy06t2VsZHhMHf-1x7Y/edit?usp=sharing"",""แผน!HJ35"")"),0)</f>
        <v>0</v>
      </c>
      <c r="J440" s="373">
        <f>J442+J444+J446+J452+J454</f>
        <v>0</v>
      </c>
      <c r="K440" s="540">
        <f ca="1">IF(I440&gt;0,J440*100/I440,0)</f>
        <v>0</v>
      </c>
      <c r="L440" s="62"/>
      <c r="M440" s="55"/>
      <c r="N440" s="55"/>
      <c r="O440" s="55"/>
      <c r="P440" s="55"/>
      <c r="Q440" s="55"/>
      <c r="R440" s="55"/>
      <c r="S440" s="55"/>
      <c r="T440" s="55"/>
      <c r="U440" s="55"/>
    </row>
    <row r="441" spans="1:21" ht="19.5" hidden="1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373">
        <f ca="1">IFERROR(__xludf.DUMMYFUNCTION("IMPORTRANGE(""https://docs.google.com/spreadsheets/d/1eHaY18a8A9IcSdp1K8H6x8fbOy06t2VsZHhMHf-1x7Y/edit?usp=sharing"",""แผน!HK35"")"),0)</f>
        <v>0</v>
      </c>
      <c r="J441" s="373">
        <f>J443+J445+J447+J453+J455</f>
        <v>0</v>
      </c>
      <c r="K441" s="540">
        <f ca="1">IF(I441&gt;0,J441*100/I441,0)</f>
        <v>0</v>
      </c>
      <c r="L441" s="62"/>
      <c r="M441" s="55"/>
      <c r="N441" s="55"/>
      <c r="O441" s="55"/>
      <c r="P441" s="55"/>
      <c r="Q441" s="55"/>
      <c r="R441" s="55"/>
      <c r="S441" s="55"/>
      <c r="T441" s="55"/>
      <c r="U441" s="55"/>
    </row>
    <row r="442" spans="1:21" ht="18.75" hidden="1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54"/>
      <c r="K442" s="55"/>
      <c r="L442" s="62"/>
      <c r="M442" s="55"/>
      <c r="N442" s="55"/>
      <c r="O442" s="55"/>
      <c r="P442" s="55"/>
      <c r="Q442" s="55"/>
      <c r="R442" s="55"/>
      <c r="S442" s="55"/>
      <c r="T442" s="55"/>
      <c r="U442" s="55"/>
    </row>
    <row r="443" spans="1:21" ht="18.75" hidden="1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54"/>
      <c r="K443" s="55"/>
      <c r="L443" s="62"/>
      <c r="M443" s="55"/>
      <c r="N443" s="55"/>
      <c r="O443" s="55"/>
      <c r="P443" s="55"/>
      <c r="Q443" s="55"/>
      <c r="R443" s="55"/>
      <c r="S443" s="55"/>
      <c r="T443" s="55"/>
      <c r="U443" s="55"/>
    </row>
    <row r="444" spans="1:21" ht="18.75" hidden="1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54"/>
      <c r="K444" s="55"/>
      <c r="L444" s="62"/>
      <c r="M444" s="55"/>
      <c r="N444" s="55"/>
      <c r="O444" s="55"/>
      <c r="P444" s="55"/>
      <c r="Q444" s="55"/>
      <c r="R444" s="55"/>
      <c r="S444" s="55"/>
      <c r="T444" s="55"/>
      <c r="U444" s="55"/>
    </row>
    <row r="445" spans="1:21" ht="18.75" hidden="1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54"/>
      <c r="K445" s="55"/>
      <c r="L445" s="62"/>
      <c r="M445" s="55"/>
      <c r="N445" s="55"/>
      <c r="O445" s="55"/>
      <c r="P445" s="55"/>
      <c r="Q445" s="55"/>
      <c r="R445" s="55"/>
      <c r="S445" s="55"/>
      <c r="T445" s="55"/>
      <c r="U445" s="55"/>
    </row>
    <row r="446" spans="1:21" ht="19.5" hidden="1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373">
        <f>J448+J450</f>
        <v>0</v>
      </c>
      <c r="K446" s="55"/>
      <c r="L446" s="62"/>
      <c r="M446" s="55"/>
      <c r="N446" s="55"/>
      <c r="O446" s="55"/>
      <c r="P446" s="55"/>
      <c r="Q446" s="55"/>
      <c r="R446" s="55"/>
      <c r="S446" s="55"/>
      <c r="T446" s="55"/>
      <c r="U446" s="55"/>
    </row>
    <row r="447" spans="1:21" ht="19.5" hidden="1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373">
        <f>J449+J451</f>
        <v>0</v>
      </c>
      <c r="K447" s="55"/>
      <c r="L447" s="62"/>
      <c r="M447" s="55"/>
      <c r="N447" s="55"/>
      <c r="O447" s="55"/>
      <c r="P447" s="55"/>
      <c r="Q447" s="55"/>
      <c r="R447" s="55"/>
      <c r="S447" s="55"/>
      <c r="T447" s="55"/>
      <c r="U447" s="55"/>
    </row>
    <row r="448" spans="1:21" ht="18.75" hidden="1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54"/>
      <c r="K448" s="55"/>
      <c r="L448" s="62"/>
      <c r="M448" s="55"/>
      <c r="N448" s="55"/>
      <c r="O448" s="55"/>
      <c r="P448" s="55"/>
      <c r="Q448" s="55"/>
      <c r="R448" s="55"/>
      <c r="S448" s="55"/>
      <c r="T448" s="55"/>
      <c r="U448" s="55"/>
    </row>
    <row r="449" spans="1:21" ht="18.75" hidden="1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54"/>
      <c r="K449" s="55"/>
      <c r="L449" s="62"/>
      <c r="M449" s="55"/>
      <c r="N449" s="55"/>
      <c r="O449" s="55"/>
      <c r="P449" s="55"/>
      <c r="Q449" s="55"/>
      <c r="R449" s="55"/>
      <c r="S449" s="55"/>
      <c r="T449" s="55"/>
      <c r="U449" s="55"/>
    </row>
    <row r="450" spans="1:21" ht="18.75" hidden="1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54"/>
      <c r="K450" s="55"/>
      <c r="L450" s="62"/>
      <c r="M450" s="55"/>
      <c r="N450" s="55"/>
      <c r="O450" s="55"/>
      <c r="P450" s="55"/>
      <c r="Q450" s="55"/>
      <c r="R450" s="55"/>
      <c r="S450" s="55"/>
      <c r="T450" s="55"/>
      <c r="U450" s="55"/>
    </row>
    <row r="451" spans="1:21" ht="18.75" hidden="1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54"/>
      <c r="K451" s="55"/>
      <c r="L451" s="62"/>
      <c r="M451" s="55"/>
      <c r="N451" s="55"/>
      <c r="O451" s="55"/>
      <c r="P451" s="55"/>
      <c r="Q451" s="55"/>
      <c r="R451" s="55"/>
      <c r="S451" s="55"/>
      <c r="T451" s="55"/>
      <c r="U451" s="55"/>
    </row>
    <row r="452" spans="1:21" ht="18.75" hidden="1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54"/>
      <c r="K452" s="55"/>
      <c r="L452" s="62"/>
      <c r="M452" s="55"/>
      <c r="N452" s="55"/>
      <c r="O452" s="55"/>
      <c r="P452" s="55"/>
      <c r="Q452" s="55"/>
      <c r="R452" s="55"/>
      <c r="S452" s="55"/>
      <c r="T452" s="55"/>
      <c r="U452" s="55"/>
    </row>
    <row r="453" spans="1:21" ht="18.75" hidden="1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54"/>
      <c r="K453" s="55"/>
      <c r="L453" s="62"/>
      <c r="M453" s="55"/>
      <c r="N453" s="55"/>
      <c r="O453" s="55"/>
      <c r="P453" s="55"/>
      <c r="Q453" s="55"/>
      <c r="R453" s="55"/>
      <c r="S453" s="55"/>
      <c r="T453" s="55"/>
      <c r="U453" s="55"/>
    </row>
    <row r="454" spans="1:21" ht="18.75" hidden="1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606"/>
      <c r="K454" s="55"/>
      <c r="L454" s="62"/>
      <c r="M454" s="55"/>
      <c r="N454" s="55"/>
      <c r="O454" s="55"/>
      <c r="P454" s="55"/>
      <c r="Q454" s="55"/>
      <c r="R454" s="55"/>
      <c r="S454" s="55"/>
      <c r="T454" s="55"/>
      <c r="U454" s="55"/>
    </row>
    <row r="455" spans="1:21" ht="18.75" hidden="1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54"/>
      <c r="K455" s="55"/>
      <c r="L455" s="62"/>
      <c r="M455" s="55"/>
      <c r="N455" s="55"/>
      <c r="O455" s="55"/>
      <c r="P455" s="55"/>
      <c r="Q455" s="55"/>
      <c r="R455" s="55"/>
      <c r="S455" s="55"/>
      <c r="T455" s="55"/>
      <c r="U455" s="55"/>
    </row>
    <row r="456" spans="1:21" ht="19.5" hidden="1">
      <c r="A456" s="238"/>
      <c r="B456" s="191" t="s">
        <v>178</v>
      </c>
      <c r="C456" s="188"/>
      <c r="D456" s="188"/>
      <c r="E456" s="188"/>
      <c r="F456" s="188"/>
      <c r="G456" s="208"/>
      <c r="H456" s="368" t="s">
        <v>46</v>
      </c>
      <c r="I456" s="373">
        <f ca="1">I457</f>
        <v>0</v>
      </c>
      <c r="J456" s="373">
        <f>J457</f>
        <v>0</v>
      </c>
      <c r="K456" s="540">
        <f ca="1">IF(I456&gt;0,J456*100/I456,0)</f>
        <v>0</v>
      </c>
      <c r="L456" s="62"/>
      <c r="M456" s="55"/>
      <c r="N456" s="55"/>
      <c r="O456" s="55"/>
      <c r="P456" s="55"/>
      <c r="Q456" s="55"/>
      <c r="R456" s="55"/>
      <c r="S456" s="55"/>
      <c r="T456" s="55"/>
      <c r="U456" s="55"/>
    </row>
    <row r="457" spans="1:21" ht="19.5" hidden="1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373">
        <f ca="1">IFERROR(__xludf.DUMMYFUNCTION("IMPORTRANGE(""https://docs.google.com/spreadsheets/d/1eHaY18a8A9IcSdp1K8H6x8fbOy06t2VsZHhMHf-1x7Y/edit?usp=sharing"",""แผน!HL35"")"),0)</f>
        <v>0</v>
      </c>
      <c r="J457" s="373">
        <f>J459+J467+J473</f>
        <v>0</v>
      </c>
      <c r="K457" s="540">
        <f ca="1">IF(I457&gt;0,J457*100/I457,0)</f>
        <v>0</v>
      </c>
      <c r="L457" s="62"/>
      <c r="M457" s="55"/>
      <c r="N457" s="55"/>
      <c r="O457" s="55"/>
      <c r="P457" s="55"/>
      <c r="Q457" s="55"/>
      <c r="R457" s="55"/>
      <c r="S457" s="55"/>
      <c r="T457" s="55"/>
      <c r="U457" s="55"/>
    </row>
    <row r="458" spans="1:21" ht="19.5" hidden="1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373">
        <f ca="1">IFERROR(__xludf.DUMMYFUNCTION("IMPORTRANGE(""https://docs.google.com/spreadsheets/d/1eHaY18a8A9IcSdp1K8H6x8fbOy06t2VsZHhMHf-1x7Y/edit?usp=sharing"",""แผน!HM35"")"),0)</f>
        <v>0</v>
      </c>
      <c r="J458" s="373">
        <f>J460+J468+J474</f>
        <v>0</v>
      </c>
      <c r="K458" s="540">
        <f ca="1">IF(I458&gt;0,J458*100/I458,0)</f>
        <v>0</v>
      </c>
      <c r="L458" s="62"/>
      <c r="M458" s="55"/>
      <c r="N458" s="55"/>
      <c r="O458" s="55"/>
      <c r="P458" s="55"/>
      <c r="Q458" s="55"/>
      <c r="R458" s="55"/>
      <c r="S458" s="55"/>
      <c r="T458" s="55"/>
      <c r="U458" s="55"/>
    </row>
    <row r="459" spans="1:21" ht="18.75" hidden="1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212">
        <f>J461+J463</f>
        <v>0</v>
      </c>
      <c r="K459" s="55"/>
      <c r="L459" s="62"/>
      <c r="M459" s="55"/>
      <c r="N459" s="55"/>
      <c r="O459" s="55"/>
      <c r="P459" s="55"/>
      <c r="Q459" s="55"/>
      <c r="R459" s="55"/>
      <c r="S459" s="55"/>
      <c r="T459" s="55"/>
      <c r="U459" s="55"/>
    </row>
    <row r="460" spans="1:21" ht="18.75" hidden="1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212">
        <f>J462+J464</f>
        <v>0</v>
      </c>
      <c r="K460" s="55"/>
      <c r="L460" s="62"/>
      <c r="M460" s="55"/>
      <c r="N460" s="55"/>
      <c r="O460" s="55"/>
      <c r="P460" s="55"/>
      <c r="Q460" s="55"/>
      <c r="R460" s="55"/>
      <c r="S460" s="55"/>
      <c r="T460" s="55"/>
      <c r="U460" s="55"/>
    </row>
    <row r="461" spans="1:21" ht="18.75" hidden="1">
      <c r="A461" s="238"/>
      <c r="B461" s="188"/>
      <c r="C461" s="188"/>
      <c r="D461" s="371" t="s">
        <v>181</v>
      </c>
      <c r="E461" s="188"/>
      <c r="F461" s="188"/>
      <c r="G461" s="208"/>
      <c r="H461" s="161" t="s">
        <v>46</v>
      </c>
      <c r="I461" s="54"/>
      <c r="J461" s="54"/>
      <c r="K461" s="55"/>
      <c r="L461" s="62"/>
      <c r="M461" s="55"/>
      <c r="N461" s="55"/>
      <c r="O461" s="55"/>
      <c r="P461" s="55"/>
      <c r="Q461" s="55"/>
      <c r="R461" s="55"/>
      <c r="S461" s="55"/>
      <c r="T461" s="55"/>
      <c r="U461" s="55"/>
    </row>
    <row r="462" spans="1:21" ht="18.75" hidden="1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54"/>
      <c r="K462" s="55"/>
      <c r="L462" s="62"/>
      <c r="M462" s="55"/>
      <c r="N462" s="55"/>
      <c r="O462" s="55"/>
      <c r="P462" s="55"/>
      <c r="Q462" s="55"/>
      <c r="R462" s="55"/>
      <c r="S462" s="55"/>
      <c r="T462" s="55"/>
      <c r="U462" s="55"/>
    </row>
    <row r="463" spans="1:21" ht="18.75" hidden="1">
      <c r="A463" s="238"/>
      <c r="B463" s="188"/>
      <c r="C463" s="188"/>
      <c r="D463" s="371" t="s">
        <v>182</v>
      </c>
      <c r="E463" s="188"/>
      <c r="F463" s="188"/>
      <c r="G463" s="208"/>
      <c r="H463" s="161" t="s">
        <v>46</v>
      </c>
      <c r="I463" s="54"/>
      <c r="J463" s="54"/>
      <c r="K463" s="55"/>
      <c r="L463" s="62"/>
      <c r="M463" s="55"/>
      <c r="N463" s="55"/>
      <c r="O463" s="55"/>
      <c r="P463" s="55"/>
      <c r="Q463" s="55"/>
      <c r="R463" s="55"/>
      <c r="S463" s="55"/>
      <c r="T463" s="55"/>
      <c r="U463" s="55"/>
    </row>
    <row r="464" spans="1:21" ht="18.75" hidden="1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54"/>
      <c r="K464" s="55"/>
      <c r="L464" s="62"/>
      <c r="M464" s="55"/>
      <c r="N464" s="55"/>
      <c r="O464" s="55"/>
      <c r="P464" s="55"/>
      <c r="Q464" s="55"/>
      <c r="R464" s="55"/>
      <c r="S464" s="55"/>
      <c r="T464" s="55"/>
      <c r="U464" s="55"/>
    </row>
    <row r="465" spans="1:21" ht="18.75" hidden="1">
      <c r="A465" s="238"/>
      <c r="B465" s="188"/>
      <c r="C465" s="188"/>
      <c r="D465" s="371" t="s">
        <v>183</v>
      </c>
      <c r="E465" s="188"/>
      <c r="F465" s="188"/>
      <c r="G465" s="208"/>
      <c r="H465" s="161" t="s">
        <v>46</v>
      </c>
      <c r="I465" s="54"/>
      <c r="J465" s="54"/>
      <c r="K465" s="55"/>
      <c r="L465" s="62"/>
      <c r="M465" s="55"/>
      <c r="N465" s="55"/>
      <c r="O465" s="55"/>
      <c r="P465" s="55"/>
      <c r="Q465" s="55"/>
      <c r="R465" s="55"/>
      <c r="S465" s="55"/>
      <c r="T465" s="55"/>
      <c r="U465" s="55"/>
    </row>
    <row r="466" spans="1:21" ht="18.75" hidden="1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54"/>
      <c r="K466" s="55"/>
      <c r="L466" s="62"/>
      <c r="M466" s="55"/>
      <c r="N466" s="55"/>
      <c r="O466" s="55"/>
      <c r="P466" s="55"/>
      <c r="Q466" s="55"/>
      <c r="R466" s="55"/>
      <c r="S466" s="55"/>
      <c r="T466" s="55"/>
      <c r="U466" s="55"/>
    </row>
    <row r="467" spans="1:21" ht="18.75" hidden="1">
      <c r="A467" s="238"/>
      <c r="B467" s="188"/>
      <c r="C467" s="371" t="s">
        <v>184</v>
      </c>
      <c r="D467" s="188"/>
      <c r="E467" s="188"/>
      <c r="F467" s="188"/>
      <c r="G467" s="208"/>
      <c r="H467" s="161" t="s">
        <v>46</v>
      </c>
      <c r="I467" s="54"/>
      <c r="J467" s="212">
        <f>J469+J471</f>
        <v>0</v>
      </c>
      <c r="K467" s="55"/>
      <c r="L467" s="62"/>
      <c r="M467" s="55"/>
      <c r="N467" s="55"/>
      <c r="O467" s="55"/>
      <c r="P467" s="55"/>
      <c r="Q467" s="55"/>
      <c r="R467" s="55"/>
      <c r="S467" s="55"/>
      <c r="T467" s="55"/>
      <c r="U467" s="55"/>
    </row>
    <row r="468" spans="1:21" ht="18.75" hidden="1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212">
        <f>J470+J472</f>
        <v>0</v>
      </c>
      <c r="K468" s="55"/>
      <c r="L468" s="62"/>
      <c r="M468" s="55"/>
      <c r="N468" s="55"/>
      <c r="O468" s="55"/>
      <c r="P468" s="55"/>
      <c r="Q468" s="55"/>
      <c r="R468" s="55"/>
      <c r="S468" s="55"/>
      <c r="T468" s="55"/>
      <c r="U468" s="55"/>
    </row>
    <row r="469" spans="1:21" ht="18.75" hidden="1">
      <c r="A469" s="238"/>
      <c r="B469" s="188"/>
      <c r="C469" s="188"/>
      <c r="D469" s="371" t="s">
        <v>185</v>
      </c>
      <c r="E469" s="188"/>
      <c r="F469" s="188"/>
      <c r="G469" s="208"/>
      <c r="H469" s="161" t="s">
        <v>46</v>
      </c>
      <c r="I469" s="54"/>
      <c r="J469" s="54"/>
      <c r="K469" s="55"/>
      <c r="L469" s="62"/>
      <c r="M469" s="55"/>
      <c r="N469" s="55"/>
      <c r="O469" s="55"/>
      <c r="P469" s="55"/>
      <c r="Q469" s="55"/>
      <c r="R469" s="55"/>
      <c r="S469" s="55"/>
      <c r="T469" s="55"/>
      <c r="U469" s="55"/>
    </row>
    <row r="470" spans="1:21" ht="18.75" hidden="1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54"/>
      <c r="K470" s="55"/>
      <c r="L470" s="62"/>
      <c r="M470" s="55"/>
      <c r="N470" s="55"/>
      <c r="O470" s="55"/>
      <c r="P470" s="55"/>
      <c r="Q470" s="55"/>
      <c r="R470" s="55"/>
      <c r="S470" s="55"/>
      <c r="T470" s="55"/>
      <c r="U470" s="55"/>
    </row>
    <row r="471" spans="1:21" ht="18.75" hidden="1">
      <c r="A471" s="238"/>
      <c r="B471" s="188"/>
      <c r="C471" s="188"/>
      <c r="D471" s="371" t="s">
        <v>186</v>
      </c>
      <c r="E471" s="188"/>
      <c r="F471" s="188"/>
      <c r="G471" s="208"/>
      <c r="H471" s="161" t="s">
        <v>46</v>
      </c>
      <c r="I471" s="54"/>
      <c r="J471" s="54"/>
      <c r="K471" s="55"/>
      <c r="L471" s="62"/>
      <c r="M471" s="55"/>
      <c r="N471" s="55"/>
      <c r="O471" s="55"/>
      <c r="P471" s="55"/>
      <c r="Q471" s="55"/>
      <c r="R471" s="55"/>
      <c r="S471" s="55"/>
      <c r="T471" s="55"/>
      <c r="U471" s="55"/>
    </row>
    <row r="472" spans="1:21" ht="18.75" hidden="1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54"/>
      <c r="K472" s="55"/>
      <c r="L472" s="62"/>
      <c r="M472" s="55"/>
      <c r="N472" s="55"/>
      <c r="O472" s="55"/>
      <c r="P472" s="55"/>
      <c r="Q472" s="55"/>
      <c r="R472" s="55"/>
      <c r="S472" s="55"/>
      <c r="T472" s="55"/>
      <c r="U472" s="55"/>
    </row>
    <row r="473" spans="1:21" ht="18.75" hidden="1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54"/>
      <c r="K473" s="55"/>
      <c r="L473" s="62"/>
      <c r="M473" s="55"/>
      <c r="N473" s="55"/>
      <c r="O473" s="55"/>
      <c r="P473" s="55"/>
      <c r="Q473" s="55"/>
      <c r="R473" s="55"/>
      <c r="S473" s="55"/>
      <c r="T473" s="55"/>
      <c r="U473" s="55"/>
    </row>
    <row r="474" spans="1:21" ht="18.75" hidden="1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54"/>
      <c r="K474" s="55"/>
      <c r="L474" s="62"/>
      <c r="M474" s="55"/>
      <c r="N474" s="55"/>
      <c r="O474" s="55"/>
      <c r="P474" s="55"/>
      <c r="Q474" s="55"/>
      <c r="R474" s="55"/>
      <c r="S474" s="55"/>
      <c r="T474" s="55"/>
      <c r="U474" s="55"/>
    </row>
    <row r="475" spans="1:21" ht="19.5" hidden="1">
      <c r="A475" s="238"/>
      <c r="B475" s="372" t="s">
        <v>188</v>
      </c>
      <c r="C475" s="188"/>
      <c r="D475" s="188"/>
      <c r="E475" s="188"/>
      <c r="F475" s="188"/>
      <c r="G475" s="208"/>
      <c r="H475" s="158" t="s">
        <v>46</v>
      </c>
      <c r="I475" s="373">
        <v>0</v>
      </c>
      <c r="J475" s="373">
        <f>J478+J480</f>
        <v>0</v>
      </c>
      <c r="K475" s="540">
        <f>IF(I475&gt;0,J475*100/I475,0)</f>
        <v>0</v>
      </c>
      <c r="L475" s="62"/>
      <c r="M475" s="55"/>
      <c r="N475" s="55"/>
      <c r="O475" s="55"/>
      <c r="P475" s="55"/>
      <c r="Q475" s="55"/>
      <c r="R475" s="55"/>
      <c r="S475" s="55"/>
      <c r="T475" s="55"/>
      <c r="U475" s="55"/>
    </row>
    <row r="476" spans="1:21" ht="19.5" hidden="1">
      <c r="A476" s="238"/>
      <c r="B476" s="188"/>
      <c r="C476" s="191" t="s">
        <v>189</v>
      </c>
      <c r="D476" s="188"/>
      <c r="E476" s="188"/>
      <c r="F476" s="188"/>
      <c r="G476" s="208"/>
      <c r="H476" s="158" t="s">
        <v>46</v>
      </c>
      <c r="I476" s="373">
        <v>0</v>
      </c>
      <c r="J476" s="373">
        <f>J478+J480</f>
        <v>0</v>
      </c>
      <c r="K476" s="540">
        <f>IF(I476&gt;0,J476*100/I476,0)</f>
        <v>0</v>
      </c>
      <c r="L476" s="62"/>
      <c r="M476" s="55"/>
      <c r="N476" s="55"/>
      <c r="O476" s="55"/>
      <c r="P476" s="55"/>
      <c r="Q476" s="55"/>
      <c r="R476" s="55"/>
      <c r="S476" s="55"/>
      <c r="T476" s="55"/>
      <c r="U476" s="55"/>
    </row>
    <row r="477" spans="1:21" ht="19.5" hidden="1">
      <c r="A477" s="238"/>
      <c r="B477" s="188"/>
      <c r="C477" s="239" t="s">
        <v>190</v>
      </c>
      <c r="D477" s="188"/>
      <c r="E477" s="188"/>
      <c r="F477" s="188"/>
      <c r="G477" s="208"/>
      <c r="H477" s="158" t="s">
        <v>34</v>
      </c>
      <c r="I477" s="373">
        <v>0</v>
      </c>
      <c r="J477" s="373">
        <f>J479+J481</f>
        <v>0</v>
      </c>
      <c r="K477" s="540">
        <f>IF(I477&gt;0,J477*100/I477,0)</f>
        <v>0</v>
      </c>
      <c r="L477" s="62"/>
      <c r="M477" s="55"/>
      <c r="N477" s="55"/>
      <c r="O477" s="55"/>
      <c r="P477" s="55"/>
      <c r="Q477" s="55"/>
      <c r="R477" s="55"/>
      <c r="S477" s="55"/>
      <c r="T477" s="55"/>
      <c r="U477" s="55"/>
    </row>
    <row r="478" spans="1:21" ht="18.75" hidden="1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54"/>
      <c r="K478" s="55"/>
      <c r="L478" s="62"/>
      <c r="M478" s="55"/>
      <c r="N478" s="55"/>
      <c r="O478" s="55"/>
      <c r="P478" s="55"/>
      <c r="Q478" s="55"/>
      <c r="R478" s="55"/>
      <c r="S478" s="55"/>
      <c r="T478" s="55"/>
      <c r="U478" s="55"/>
    </row>
    <row r="479" spans="1:21" ht="18.75" hidden="1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54"/>
      <c r="K479" s="55"/>
      <c r="L479" s="62"/>
      <c r="M479" s="55"/>
      <c r="N479" s="55"/>
      <c r="O479" s="55"/>
      <c r="P479" s="55"/>
      <c r="Q479" s="55"/>
      <c r="R479" s="55"/>
      <c r="S479" s="55"/>
      <c r="T479" s="55"/>
      <c r="U479" s="55"/>
    </row>
    <row r="480" spans="1:21" ht="18.75" hidden="1">
      <c r="A480" s="238"/>
      <c r="B480" s="188"/>
      <c r="C480" s="188"/>
      <c r="D480" s="371" t="s">
        <v>192</v>
      </c>
      <c r="E480" s="188"/>
      <c r="F480" s="188"/>
      <c r="G480" s="208"/>
      <c r="H480" s="161" t="s">
        <v>46</v>
      </c>
      <c r="I480" s="54"/>
      <c r="J480" s="54"/>
      <c r="K480" s="55"/>
      <c r="L480" s="62"/>
      <c r="M480" s="55"/>
      <c r="N480" s="55"/>
      <c r="O480" s="55"/>
      <c r="P480" s="55"/>
      <c r="Q480" s="55"/>
      <c r="R480" s="55"/>
      <c r="S480" s="55"/>
      <c r="T480" s="55"/>
      <c r="U480" s="55"/>
    </row>
    <row r="481" spans="1:21" ht="18.75" hidden="1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54"/>
      <c r="K481" s="55"/>
      <c r="L481" s="62"/>
      <c r="M481" s="55"/>
      <c r="N481" s="55"/>
      <c r="O481" s="55"/>
      <c r="P481" s="55"/>
      <c r="Q481" s="55"/>
      <c r="R481" s="55"/>
      <c r="S481" s="55"/>
      <c r="T481" s="55"/>
      <c r="U481" s="55"/>
    </row>
    <row r="482" spans="1:21" ht="18.75" hidden="1">
      <c r="A482" s="238"/>
      <c r="B482" s="188"/>
      <c r="C482" s="188"/>
      <c r="D482" s="371" t="s">
        <v>193</v>
      </c>
      <c r="E482" s="188"/>
      <c r="F482" s="188"/>
      <c r="G482" s="208"/>
      <c r="H482" s="161" t="s">
        <v>46</v>
      </c>
      <c r="I482" s="54"/>
      <c r="J482" s="212">
        <f ca="1">IFERROR(__xludf.DUMMYFUNCTION("IMPORTRANGE(""https://docs.google.com/spreadsheets/d/1eHaY18a8A9IcSdp1K8H6x8fbOy06t2VsZHhMHf-1x7Y/edit?usp=sharing"",""แผน!HN35"")"),0)</f>
        <v>0</v>
      </c>
      <c r="K482" s="55"/>
      <c r="L482" s="62"/>
      <c r="M482" s="55"/>
      <c r="N482" s="55"/>
      <c r="O482" s="55"/>
      <c r="P482" s="55"/>
      <c r="Q482" s="55"/>
      <c r="R482" s="55"/>
      <c r="S482" s="55"/>
      <c r="T482" s="55"/>
      <c r="U482" s="55"/>
    </row>
    <row r="483" spans="1:21" ht="18.75" hidden="1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212">
        <f ca="1">IFERROR(__xludf.DUMMYFUNCTION("IMPORTRANGE(""https://docs.google.com/spreadsheets/d/1eHaY18a8A9IcSdp1K8H6x8fbOy06t2VsZHhMHf-1x7Y/edit?usp=sharing"",""แผน!HO35"")"),0)</f>
        <v>0</v>
      </c>
      <c r="K483" s="55"/>
      <c r="L483" s="62"/>
      <c r="M483" s="55"/>
      <c r="N483" s="55"/>
      <c r="O483" s="55"/>
      <c r="P483" s="55"/>
      <c r="Q483" s="55"/>
      <c r="R483" s="55"/>
      <c r="S483" s="55"/>
      <c r="T483" s="55"/>
      <c r="U483" s="55"/>
    </row>
    <row r="484" spans="1:21" ht="19.5" hidden="1">
      <c r="A484" s="238"/>
      <c r="B484" s="188"/>
      <c r="C484" s="191" t="s">
        <v>194</v>
      </c>
      <c r="D484" s="188"/>
      <c r="E484" s="188"/>
      <c r="F484" s="188"/>
      <c r="G484" s="208"/>
      <c r="H484" s="158" t="s">
        <v>46</v>
      </c>
      <c r="I484" s="54">
        <f>J480</f>
        <v>0</v>
      </c>
      <c r="J484" s="373">
        <f>J486+J488+J490</f>
        <v>0</v>
      </c>
      <c r="K484" s="540">
        <f>IF(I484&gt;0,J484*100/I484,0)</f>
        <v>0</v>
      </c>
      <c r="L484" s="62"/>
      <c r="M484" s="55"/>
      <c r="N484" s="55"/>
      <c r="O484" s="55"/>
      <c r="P484" s="55"/>
      <c r="Q484" s="55"/>
      <c r="R484" s="55"/>
      <c r="S484" s="55"/>
      <c r="T484" s="55"/>
      <c r="U484" s="55"/>
    </row>
    <row r="485" spans="1:21" ht="19.5" hidden="1">
      <c r="A485" s="238"/>
      <c r="B485" s="188"/>
      <c r="C485" s="239" t="s">
        <v>195</v>
      </c>
      <c r="D485" s="188"/>
      <c r="E485" s="188"/>
      <c r="F485" s="188"/>
      <c r="G485" s="208"/>
      <c r="H485" s="158" t="s">
        <v>34</v>
      </c>
      <c r="I485" s="54">
        <f>J481</f>
        <v>0</v>
      </c>
      <c r="J485" s="373">
        <f>J487+J489+J491</f>
        <v>0</v>
      </c>
      <c r="K485" s="540">
        <f>IF(I485&gt;0,J485*100/I485,0)</f>
        <v>0</v>
      </c>
      <c r="L485" s="62"/>
      <c r="M485" s="55"/>
      <c r="N485" s="55"/>
      <c r="O485" s="55"/>
      <c r="P485" s="55"/>
      <c r="Q485" s="55"/>
      <c r="R485" s="55"/>
      <c r="S485" s="55"/>
      <c r="T485" s="55"/>
      <c r="U485" s="55"/>
    </row>
    <row r="486" spans="1:21" ht="18.75" hidden="1">
      <c r="A486" s="238"/>
      <c r="B486" s="188"/>
      <c r="C486" s="188"/>
      <c r="D486" s="371" t="s">
        <v>196</v>
      </c>
      <c r="E486" s="188"/>
      <c r="F486" s="188"/>
      <c r="G486" s="208"/>
      <c r="H486" s="161" t="s">
        <v>46</v>
      </c>
      <c r="I486" s="54"/>
      <c r="J486" s="54"/>
      <c r="K486" s="55"/>
      <c r="L486" s="62"/>
      <c r="M486" s="55"/>
      <c r="N486" s="55"/>
      <c r="O486" s="55"/>
      <c r="P486" s="55"/>
      <c r="Q486" s="55"/>
      <c r="R486" s="55"/>
      <c r="S486" s="55"/>
      <c r="T486" s="55"/>
      <c r="U486" s="55"/>
    </row>
    <row r="487" spans="1:21" ht="18.75" hidden="1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54"/>
      <c r="K487" s="55"/>
      <c r="L487" s="62"/>
      <c r="M487" s="55"/>
      <c r="N487" s="55"/>
      <c r="O487" s="55"/>
      <c r="P487" s="55"/>
      <c r="Q487" s="55"/>
      <c r="R487" s="55"/>
      <c r="S487" s="55"/>
      <c r="T487" s="55"/>
      <c r="U487" s="55"/>
    </row>
    <row r="488" spans="1:21" ht="18.75" hidden="1">
      <c r="A488" s="238"/>
      <c r="B488" s="188"/>
      <c r="C488" s="188"/>
      <c r="D488" s="371" t="s">
        <v>197</v>
      </c>
      <c r="E488" s="188"/>
      <c r="F488" s="188"/>
      <c r="G488" s="208"/>
      <c r="H488" s="161" t="s">
        <v>46</v>
      </c>
      <c r="I488" s="54"/>
      <c r="J488" s="54"/>
      <c r="K488" s="55"/>
      <c r="L488" s="62"/>
      <c r="M488" s="55"/>
      <c r="N488" s="55"/>
      <c r="O488" s="55"/>
      <c r="P488" s="55"/>
      <c r="Q488" s="55"/>
      <c r="R488" s="55"/>
      <c r="S488" s="55"/>
      <c r="T488" s="55"/>
      <c r="U488" s="55"/>
    </row>
    <row r="489" spans="1:21" ht="18.75" hidden="1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54"/>
      <c r="K489" s="55"/>
      <c r="L489" s="62"/>
      <c r="M489" s="55"/>
      <c r="N489" s="55"/>
      <c r="O489" s="55"/>
      <c r="P489" s="55"/>
      <c r="Q489" s="55"/>
      <c r="R489" s="55"/>
      <c r="S489" s="55"/>
      <c r="T489" s="55"/>
      <c r="U489" s="55"/>
    </row>
    <row r="490" spans="1:21" ht="18.75" hidden="1">
      <c r="A490" s="238"/>
      <c r="B490" s="188"/>
      <c r="C490" s="188"/>
      <c r="D490" s="371" t="s">
        <v>198</v>
      </c>
      <c r="E490" s="188"/>
      <c r="F490" s="188"/>
      <c r="G490" s="208"/>
      <c r="H490" s="161" t="s">
        <v>46</v>
      </c>
      <c r="I490" s="54"/>
      <c r="J490" s="54"/>
      <c r="K490" s="55"/>
      <c r="L490" s="62"/>
      <c r="M490" s="55"/>
      <c r="N490" s="55"/>
      <c r="O490" s="55"/>
      <c r="P490" s="55"/>
      <c r="Q490" s="55"/>
      <c r="R490" s="55"/>
      <c r="S490" s="55"/>
      <c r="T490" s="55"/>
      <c r="U490" s="55"/>
    </row>
    <row r="491" spans="1:21" ht="18.75" hidden="1">
      <c r="A491" s="374"/>
      <c r="B491" s="5"/>
      <c r="C491" s="5"/>
      <c r="D491" s="5"/>
      <c r="E491" s="5"/>
      <c r="F491" s="5"/>
      <c r="G491" s="375"/>
      <c r="H491" s="376" t="s">
        <v>34</v>
      </c>
      <c r="I491" s="67"/>
      <c r="J491" s="67"/>
      <c r="K491" s="6"/>
      <c r="L491" s="68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 hidden="1">
      <c r="A492" s="335"/>
      <c r="B492" s="354" t="s">
        <v>199</v>
      </c>
      <c r="C492" s="337"/>
      <c r="D492" s="337"/>
      <c r="E492" s="328"/>
      <c r="F492" s="328"/>
      <c r="G492" s="329"/>
      <c r="H492" s="366" t="s">
        <v>35</v>
      </c>
      <c r="I492" s="605">
        <f ca="1">I503</f>
        <v>0</v>
      </c>
      <c r="J492" s="605">
        <f ca="1">J503</f>
        <v>0</v>
      </c>
      <c r="K492" s="604">
        <f ca="1">IF(I492&gt;0,J492*100/I492,0)</f>
        <v>0</v>
      </c>
      <c r="L492" s="334"/>
      <c r="M492" s="333"/>
      <c r="N492" s="333"/>
      <c r="O492" s="333"/>
      <c r="P492" s="333"/>
      <c r="Q492" s="333"/>
      <c r="R492" s="333"/>
      <c r="S492" s="333"/>
      <c r="T492" s="333"/>
      <c r="U492" s="333"/>
    </row>
    <row r="493" spans="1:21" ht="19.5" hidden="1">
      <c r="A493" s="155"/>
      <c r="B493" s="188"/>
      <c r="C493" s="205" t="s">
        <v>18</v>
      </c>
      <c r="D493" s="603" t="s">
        <v>19</v>
      </c>
      <c r="E493" s="514"/>
      <c r="F493" s="514"/>
      <c r="G493" s="52"/>
      <c r="H493" s="252" t="s">
        <v>14</v>
      </c>
      <c r="I493" s="54"/>
      <c r="J493" s="54"/>
      <c r="K493" s="55"/>
      <c r="L493" s="541">
        <f>L494+L495</f>
        <v>0</v>
      </c>
      <c r="M493" s="540">
        <f>M494+M495</f>
        <v>0</v>
      </c>
      <c r="N493" s="540">
        <f>N494+N495</f>
        <v>0</v>
      </c>
      <c r="O493" s="540">
        <f>IF(L493&gt;0,N493*100/L493,0)</f>
        <v>0</v>
      </c>
      <c r="P493" s="540">
        <f>IF(M493&gt;0,N493*100/M493,0)</f>
        <v>0</v>
      </c>
      <c r="Q493" s="540">
        <f ca="1">Q494+Q495</f>
        <v>0</v>
      </c>
      <c r="R493" s="540">
        <f ca="1">R494+R495</f>
        <v>0</v>
      </c>
      <c r="S493" s="540">
        <f ca="1">S494+S495</f>
        <v>0</v>
      </c>
      <c r="T493" s="540">
        <f ca="1">IF(Q493&gt;0,S493*100/Q493,0)</f>
        <v>0</v>
      </c>
      <c r="U493" s="540">
        <f ca="1">IF(R493&gt;0,S493*100/R493,0)</f>
        <v>0</v>
      </c>
    </row>
    <row r="494" spans="1:21" ht="18.75" hidden="1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103">
        <f>L497+L500</f>
        <v>0</v>
      </c>
      <c r="M494" s="102">
        <f>M497+M500</f>
        <v>0</v>
      </c>
      <c r="N494" s="102">
        <f>N497+N500</f>
        <v>0</v>
      </c>
      <c r="O494" s="102">
        <f>IF(L494&gt;0,N494*100/L494,0)</f>
        <v>0</v>
      </c>
      <c r="P494" s="102">
        <f>IF(M494&gt;0,N494*100/M494,0)</f>
        <v>0</v>
      </c>
      <c r="Q494" s="102">
        <f>Q497+Q500</f>
        <v>0</v>
      </c>
      <c r="R494" s="102">
        <f>R497+R500</f>
        <v>0</v>
      </c>
      <c r="S494" s="102">
        <f>S497+S500</f>
        <v>0</v>
      </c>
      <c r="T494" s="102">
        <f>IF(Q494&gt;0,S494*100/Q494,0)</f>
        <v>0</v>
      </c>
      <c r="U494" s="102">
        <f>IF(R494&gt;0,S494*100/R494,0)</f>
        <v>0</v>
      </c>
    </row>
    <row r="495" spans="1:21" ht="18.75" hidden="1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256">
        <f>L498+L501</f>
        <v>0</v>
      </c>
      <c r="M495" s="255">
        <f>M498+M501</f>
        <v>0</v>
      </c>
      <c r="N495" s="255">
        <f>N498+N501</f>
        <v>0</v>
      </c>
      <c r="O495" s="255">
        <f>IF(L495&gt;0,N495*100/L495,0)</f>
        <v>0</v>
      </c>
      <c r="P495" s="255">
        <f>IF(M495&gt;0,N495*100/M495,0)</f>
        <v>0</v>
      </c>
      <c r="Q495" s="255">
        <f ca="1">Q498+Q501</f>
        <v>0</v>
      </c>
      <c r="R495" s="255">
        <f ca="1">R498+R501</f>
        <v>0</v>
      </c>
      <c r="S495" s="255">
        <f ca="1">S498+S501</f>
        <v>0</v>
      </c>
      <c r="T495" s="255">
        <f ca="1">IF(Q495&gt;0,S495*100/Q495,0)</f>
        <v>0</v>
      </c>
      <c r="U495" s="255">
        <f ca="1">IF(R495&gt;0,S495*100/R495,0)</f>
        <v>0</v>
      </c>
    </row>
    <row r="496" spans="1:21" ht="18.75" hidden="1">
      <c r="A496" s="155"/>
      <c r="B496" s="188"/>
      <c r="C496" s="188"/>
      <c r="D496" s="602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256">
        <f>L497+L498</f>
        <v>0</v>
      </c>
      <c r="M496" s="255">
        <f>M497+M498</f>
        <v>0</v>
      </c>
      <c r="N496" s="255">
        <f>N497+N498</f>
        <v>0</v>
      </c>
      <c r="O496" s="255">
        <f>IF(L496&gt;0,N496*100/L496,0)</f>
        <v>0</v>
      </c>
      <c r="P496" s="255">
        <f>IF(M496&gt;0,N496*100/M496,0)</f>
        <v>0</v>
      </c>
      <c r="Q496" s="255">
        <f ca="1">Q497+Q498</f>
        <v>0</v>
      </c>
      <c r="R496" s="255">
        <f ca="1">R497+R498</f>
        <v>0</v>
      </c>
      <c r="S496" s="255">
        <f ca="1">S497+S498</f>
        <v>0</v>
      </c>
      <c r="T496" s="255">
        <f ca="1">IF(Q496&gt;0,S496*100/Q496,0)</f>
        <v>0</v>
      </c>
      <c r="U496" s="255">
        <f ca="1">IF(R496&gt;0,S496*100/R496,0)</f>
        <v>0</v>
      </c>
    </row>
    <row r="497" spans="1:21" ht="18.75" hidden="1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103">
        <v>0</v>
      </c>
      <c r="M497" s="102">
        <v>0</v>
      </c>
      <c r="N497" s="102">
        <v>0</v>
      </c>
      <c r="O497" s="102">
        <f>IF(L497&gt;0,N497*100/L497,0)</f>
        <v>0</v>
      </c>
      <c r="P497" s="102">
        <f>IF(M497&gt;0,N497*100/M497,0)</f>
        <v>0</v>
      </c>
      <c r="Q497" s="102">
        <v>0</v>
      </c>
      <c r="R497" s="102">
        <v>0</v>
      </c>
      <c r="S497" s="102">
        <v>0</v>
      </c>
      <c r="T497" s="102">
        <f>IF(Q497&gt;0,S497*100/Q497,0)</f>
        <v>0</v>
      </c>
      <c r="U497" s="102">
        <f>IF(R497&gt;0,S497*100/R497,0)</f>
        <v>0</v>
      </c>
    </row>
    <row r="498" spans="1:21" ht="18.75" hidden="1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256">
        <v>0</v>
      </c>
      <c r="M498" s="255">
        <v>0</v>
      </c>
      <c r="N498" s="255">
        <v>0</v>
      </c>
      <c r="O498" s="255">
        <f>IF(L498&gt;0,N498*100/L498,0)</f>
        <v>0</v>
      </c>
      <c r="P498" s="255">
        <f>IF(M498&gt;0,N498*100/M498,0)</f>
        <v>0</v>
      </c>
      <c r="Q498" s="255">
        <f ca="1">IFERROR(__xludf.DUMMYFUNCTION("IMPORTRANGE(""https://docs.google.com/spreadsheets/d/1ItG2mGa2ceCfYo0BwxsXqNm01IGEUdYcSSLTEv9YCik/edit?usp=sharing"",""เบิกจ่ายกองทุน!X35"")"),0)</f>
        <v>0</v>
      </c>
      <c r="R498" s="255">
        <f ca="1">IFERROR(__xludf.DUMMYFUNCTION("IMPORTRANGE(""https://docs.google.com/spreadsheets/d/1ItG2mGa2ceCfYo0BwxsXqNm01IGEUdYcSSLTEv9YCik/edit?usp=sharing"",""เบิกจ่ายกองทุน!Y35"")"),0)</f>
        <v>0</v>
      </c>
      <c r="S498" s="255">
        <f ca="1">IFERROR(__xludf.DUMMYFUNCTION("IMPORTRANGE(""https://docs.google.com/spreadsheets/d/1ItG2mGa2ceCfYo0BwxsXqNm01IGEUdYcSSLTEv9YCik/edit?usp=sharing"",""เบิกจ่ายกองทุน!Z35"")"),0)</f>
        <v>0</v>
      </c>
      <c r="T498" s="255">
        <f ca="1">IF(Q498&gt;0,S498*100/Q498,0)</f>
        <v>0</v>
      </c>
      <c r="U498" s="255">
        <f ca="1">IF(R498&gt;0,S498*100/R498,0)</f>
        <v>0</v>
      </c>
    </row>
    <row r="499" spans="1:21" ht="18.75" hidden="1">
      <c r="A499" s="155"/>
      <c r="B499" s="188"/>
      <c r="C499" s="188"/>
      <c r="D499" s="602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256">
        <f>L500+L501</f>
        <v>0</v>
      </c>
      <c r="M499" s="255">
        <f>M500+M501</f>
        <v>0</v>
      </c>
      <c r="N499" s="255">
        <f>N500+N501</f>
        <v>0</v>
      </c>
      <c r="O499" s="255">
        <f>IF(L499&gt;0,N499*100/L499,0)</f>
        <v>0</v>
      </c>
      <c r="P499" s="255">
        <f>IF(M499&gt;0,N499*100/M499,0)</f>
        <v>0</v>
      </c>
      <c r="Q499" s="255">
        <f>Q500+Q501</f>
        <v>0</v>
      </c>
      <c r="R499" s="255">
        <f>R500+R501</f>
        <v>0</v>
      </c>
      <c r="S499" s="255">
        <f>S500+S501</f>
        <v>0</v>
      </c>
      <c r="T499" s="255">
        <f>IF(Q499&gt;0,S499*100/Q499,0)</f>
        <v>0</v>
      </c>
      <c r="U499" s="255">
        <f>IF(R499&gt;0,S499*100/R499,0)</f>
        <v>0</v>
      </c>
    </row>
    <row r="500" spans="1:21" ht="18.75" hidden="1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103">
        <v>0</v>
      </c>
      <c r="M500" s="102">
        <v>0</v>
      </c>
      <c r="N500" s="102">
        <v>0</v>
      </c>
      <c r="O500" s="102">
        <f>IF(L500&gt;0,N500*100/L500,0)</f>
        <v>0</v>
      </c>
      <c r="P500" s="102">
        <f>IF(M500&gt;0,N500*100/M500,0)</f>
        <v>0</v>
      </c>
      <c r="Q500" s="102">
        <v>0</v>
      </c>
      <c r="R500" s="102">
        <v>0</v>
      </c>
      <c r="S500" s="102">
        <v>0</v>
      </c>
      <c r="T500" s="102">
        <f>IF(Q500&gt;0,S500*100/Q500,0)</f>
        <v>0</v>
      </c>
      <c r="U500" s="102">
        <f>IF(R500&gt;0,S500*100/R500,0)</f>
        <v>0</v>
      </c>
    </row>
    <row r="501" spans="1:21" ht="18.75" hidden="1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256">
        <v>0</v>
      </c>
      <c r="M501" s="255">
        <v>0</v>
      </c>
      <c r="N501" s="255">
        <v>0</v>
      </c>
      <c r="O501" s="255">
        <f>IF(L501&gt;0,N501*100/L501,0)</f>
        <v>0</v>
      </c>
      <c r="P501" s="255">
        <f>IF(M501&gt;0,N501*100/M501,0)</f>
        <v>0</v>
      </c>
      <c r="Q501" s="255">
        <v>0</v>
      </c>
      <c r="R501" s="255">
        <v>0</v>
      </c>
      <c r="S501" s="255">
        <v>0</v>
      </c>
      <c r="T501" s="255">
        <f>IF(Q501&gt;0,S501*100/Q501,0)</f>
        <v>0</v>
      </c>
      <c r="U501" s="255">
        <f>IF(R501&gt;0,S501*100/R501,0)</f>
        <v>0</v>
      </c>
    </row>
    <row r="502" spans="1:21" ht="19.5" hidden="1">
      <c r="A502" s="166"/>
      <c r="B502" s="167"/>
      <c r="C502" s="205" t="s">
        <v>18</v>
      </c>
      <c r="D502" s="560" t="s">
        <v>38</v>
      </c>
      <c r="E502" s="169"/>
      <c r="F502" s="169"/>
      <c r="G502" s="170"/>
      <c r="H502" s="206"/>
      <c r="I502" s="163"/>
      <c r="J502" s="163"/>
      <c r="K502" s="164"/>
      <c r="L502" s="172"/>
      <c r="M502" s="164"/>
      <c r="N502" s="164"/>
      <c r="O502" s="164"/>
      <c r="P502" s="164"/>
      <c r="Q502" s="164"/>
      <c r="R502" s="164"/>
      <c r="S502" s="164"/>
      <c r="T502" s="164"/>
      <c r="U502" s="164"/>
    </row>
    <row r="503" spans="1:21" ht="19.5" hidden="1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373">
        <f ca="1">IFERROR(__xludf.DUMMYFUNCTION("IMPORTRANGE(""https://docs.google.com/spreadsheets/d/1eHaY18a8A9IcSdp1K8H6x8fbOy06t2VsZHhMHf-1x7Y/edit?usp=sharing"",""แผน!GX35"")"),0)</f>
        <v>0</v>
      </c>
      <c r="J503" s="373">
        <f ca="1">IF(AND(J504=I504,J505=I505,J506=I506,J507=I507),I503,0)</f>
        <v>0</v>
      </c>
      <c r="K503" s="540">
        <f ca="1">IF(I503&gt;0,J503*100/I503,0)</f>
        <v>0</v>
      </c>
      <c r="L503" s="62"/>
      <c r="M503" s="55"/>
      <c r="N503" s="55"/>
      <c r="O503" s="55"/>
      <c r="P503" s="55"/>
      <c r="Q503" s="55"/>
      <c r="R503" s="55"/>
      <c r="S503" s="55"/>
      <c r="T503" s="55"/>
      <c r="U503" s="55"/>
    </row>
    <row r="504" spans="1:21" ht="18.75" hidden="1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212">
        <f ca="1">IFERROR(__xludf.DUMMYFUNCTION("IMPORTRANGE(""https://docs.google.com/spreadsheets/d/1eHaY18a8A9IcSdp1K8H6x8fbOy06t2VsZHhMHf-1x7Y/edit?usp=sharing"",""แผน!GY35"")"),0)</f>
        <v>0</v>
      </c>
      <c r="J504" s="467">
        <v>0</v>
      </c>
      <c r="K504" s="255">
        <f ca="1">IF(I504&gt;0,J504*100/I504,0)</f>
        <v>0</v>
      </c>
      <c r="L504" s="62"/>
      <c r="M504" s="55"/>
      <c r="N504" s="55"/>
      <c r="O504" s="55"/>
      <c r="P504" s="55"/>
      <c r="Q504" s="55"/>
      <c r="R504" s="55"/>
      <c r="S504" s="55"/>
      <c r="T504" s="55"/>
      <c r="U504" s="55"/>
    </row>
    <row r="505" spans="1:21" ht="18.75" hidden="1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212">
        <f ca="1">IFERROR(__xludf.DUMMYFUNCTION("IMPORTRANGE(""https://docs.google.com/spreadsheets/d/1eHaY18a8A9IcSdp1K8H6x8fbOy06t2VsZHhMHf-1x7Y/edit?usp=sharing"",""แผน!GZ35"")"),0)</f>
        <v>0</v>
      </c>
      <c r="J505" s="467">
        <v>0</v>
      </c>
      <c r="K505" s="255">
        <f ca="1">IF(I505&gt;0,J505*100/I505,0)</f>
        <v>0</v>
      </c>
      <c r="L505" s="62"/>
      <c r="M505" s="55"/>
      <c r="N505" s="55"/>
      <c r="O505" s="55"/>
      <c r="P505" s="55"/>
      <c r="Q505" s="55"/>
      <c r="R505" s="55"/>
      <c r="S505" s="55"/>
      <c r="T505" s="55"/>
      <c r="U505" s="55"/>
    </row>
    <row r="506" spans="1:21" ht="18.75" hidden="1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212">
        <f ca="1">IFERROR(__xludf.DUMMYFUNCTION("IMPORTRANGE(""https://docs.google.com/spreadsheets/d/1eHaY18a8A9IcSdp1K8H6x8fbOy06t2VsZHhMHf-1x7Y/edit?usp=sharing"",""แผน!HA35"")"),0)</f>
        <v>0</v>
      </c>
      <c r="J506" s="467">
        <v>0</v>
      </c>
      <c r="K506" s="255">
        <f ca="1">IF(I506&gt;0,J506*100/I506,0)</f>
        <v>0</v>
      </c>
      <c r="L506" s="62"/>
      <c r="M506" s="55"/>
      <c r="N506" s="55"/>
      <c r="O506" s="55"/>
      <c r="P506" s="55"/>
      <c r="Q506" s="55"/>
      <c r="R506" s="55"/>
      <c r="S506" s="55"/>
      <c r="T506" s="55"/>
      <c r="U506" s="55"/>
    </row>
    <row r="507" spans="1:21" ht="18.75" hidden="1">
      <c r="A507" s="238"/>
      <c r="B507" s="188"/>
      <c r="C507" s="188"/>
      <c r="D507" s="188"/>
      <c r="E507" s="377" t="s">
        <v>204</v>
      </c>
      <c r="F507" s="50"/>
      <c r="G507" s="52"/>
      <c r="H507" s="161" t="s">
        <v>35</v>
      </c>
      <c r="I507" s="212">
        <f ca="1">IFERROR(__xludf.DUMMYFUNCTION("IMPORTRANGE(""https://docs.google.com/spreadsheets/d/1eHaY18a8A9IcSdp1K8H6x8fbOy06t2VsZHhMHf-1x7Y/edit?usp=sharing"",""แผน!HB35"")"),0)</f>
        <v>0</v>
      </c>
      <c r="J507" s="467">
        <v>0</v>
      </c>
      <c r="K507" s="255">
        <f ca="1">IF(I507&gt;0,J507*100/I507,0)</f>
        <v>0</v>
      </c>
      <c r="L507" s="62"/>
      <c r="M507" s="55"/>
      <c r="N507" s="55"/>
      <c r="O507" s="55"/>
      <c r="P507" s="55"/>
      <c r="Q507" s="55"/>
      <c r="R507" s="55"/>
      <c r="S507" s="55"/>
      <c r="T507" s="55"/>
      <c r="U507" s="55"/>
    </row>
    <row r="508" spans="1:21" ht="18.75" hidden="1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255">
        <f>IF(I508&gt;0,J508*100/I508,0)</f>
        <v>0</v>
      </c>
      <c r="L508" s="62"/>
      <c r="M508" s="55"/>
      <c r="N508" s="55"/>
      <c r="O508" s="55"/>
      <c r="P508" s="55"/>
      <c r="Q508" s="55"/>
      <c r="R508" s="55"/>
      <c r="S508" s="55"/>
      <c r="T508" s="55"/>
      <c r="U508" s="55"/>
    </row>
    <row r="509" spans="1:21" ht="19.5" hidden="1">
      <c r="A509" s="374"/>
      <c r="B509" s="5"/>
      <c r="C509" s="5"/>
      <c r="D509" s="378" t="s">
        <v>50</v>
      </c>
      <c r="E509" s="4"/>
      <c r="F509" s="4"/>
      <c r="G509" s="65"/>
      <c r="H509" s="376" t="s">
        <v>35</v>
      </c>
      <c r="I509" s="216">
        <f ca="1">IFERROR(__xludf.DUMMYFUNCTION("IMPORTRANGE(""https://docs.google.com/spreadsheets/d/1eHaY18a8A9IcSdp1K8H6x8fbOy06t2VsZHhMHf-1x7Y/edit?usp=sharing"",""แผน!HC35"")"),0)</f>
        <v>0</v>
      </c>
      <c r="J509" s="538">
        <v>0</v>
      </c>
      <c r="K509" s="506">
        <f ca="1">IF(I509&gt;0,J509*100/I509,0)</f>
        <v>0</v>
      </c>
      <c r="L509" s="68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 hidden="1">
      <c r="A510" s="601" t="s">
        <v>206</v>
      </c>
      <c r="B510" s="381"/>
      <c r="C510" s="381"/>
      <c r="D510" s="381"/>
      <c r="E510" s="382"/>
      <c r="F510" s="382"/>
      <c r="G510" s="382"/>
      <c r="H510" s="382"/>
      <c r="I510" s="383"/>
      <c r="J510" s="383"/>
      <c r="K510" s="384"/>
      <c r="L510" s="600"/>
      <c r="M510" s="386"/>
      <c r="N510" s="386"/>
      <c r="O510" s="386"/>
      <c r="P510" s="386"/>
      <c r="Q510" s="386"/>
      <c r="R510" s="386"/>
      <c r="S510" s="386"/>
      <c r="T510" s="386"/>
      <c r="U510" s="386"/>
    </row>
    <row r="511" spans="1:21" ht="19.5" hidden="1">
      <c r="A511" s="599" t="s">
        <v>207</v>
      </c>
      <c r="B511" s="388"/>
      <c r="C511" s="388"/>
      <c r="D511" s="389"/>
      <c r="E511" s="388"/>
      <c r="F511" s="388"/>
      <c r="G511" s="388"/>
      <c r="H511" s="390"/>
      <c r="I511" s="391"/>
      <c r="J511" s="391"/>
      <c r="K511" s="392"/>
      <c r="L511" s="598"/>
      <c r="M511" s="394"/>
      <c r="N511" s="394"/>
      <c r="O511" s="394"/>
      <c r="P511" s="394"/>
      <c r="Q511" s="394"/>
      <c r="R511" s="394"/>
      <c r="S511" s="394"/>
      <c r="T511" s="394"/>
      <c r="U511" s="394"/>
    </row>
    <row r="512" spans="1:21" ht="19.5" hidden="1">
      <c r="A512" s="395"/>
      <c r="B512" s="597" t="s">
        <v>208</v>
      </c>
      <c r="C512" s="397"/>
      <c r="D512" s="398"/>
      <c r="E512" s="398"/>
      <c r="F512" s="398"/>
      <c r="G512" s="399"/>
      <c r="H512" s="596" t="s">
        <v>61</v>
      </c>
      <c r="I512" s="595">
        <f>I524</f>
        <v>0</v>
      </c>
      <c r="J512" s="595">
        <f>J524</f>
        <v>0</v>
      </c>
      <c r="K512" s="594">
        <f>IF(I512&gt;0,J512*100/I512,0)</f>
        <v>0</v>
      </c>
      <c r="L512" s="404"/>
      <c r="M512" s="403"/>
      <c r="N512" s="403"/>
      <c r="O512" s="403"/>
      <c r="P512" s="403"/>
      <c r="Q512" s="403"/>
      <c r="R512" s="403"/>
      <c r="S512" s="403"/>
      <c r="T512" s="403"/>
      <c r="U512" s="403"/>
    </row>
    <row r="513" spans="1:21" ht="19.5" hidden="1">
      <c r="A513" s="155"/>
      <c r="B513" s="50"/>
      <c r="C513" s="591" t="s">
        <v>18</v>
      </c>
      <c r="D513" s="562" t="s">
        <v>19</v>
      </c>
      <c r="E513" s="50"/>
      <c r="F513" s="50"/>
      <c r="G513" s="52"/>
      <c r="H513" s="593" t="s">
        <v>14</v>
      </c>
      <c r="I513" s="54"/>
      <c r="J513" s="54"/>
      <c r="K513" s="55"/>
      <c r="L513" s="541">
        <f ca="1">L514+L515</f>
        <v>0</v>
      </c>
      <c r="M513" s="540">
        <f ca="1">M514+M515</f>
        <v>0</v>
      </c>
      <c r="N513" s="540">
        <f ca="1">N514+N515</f>
        <v>0</v>
      </c>
      <c r="O513" s="540">
        <f ca="1">IF(L513&gt;0,N513*100/L513,0)</f>
        <v>0</v>
      </c>
      <c r="P513" s="540">
        <f ca="1">IF(M513&gt;0,N513*100/M513,0)</f>
        <v>0</v>
      </c>
      <c r="Q513" s="540">
        <f>Q514+Q515</f>
        <v>0</v>
      </c>
      <c r="R513" s="540">
        <f>R514+R515</f>
        <v>0</v>
      </c>
      <c r="S513" s="540">
        <f>S514+S515</f>
        <v>0</v>
      </c>
      <c r="T513" s="540">
        <f>IF(Q513&gt;0,S513*100/Q513,0)</f>
        <v>0</v>
      </c>
      <c r="U513" s="540">
        <f>IF(R513&gt;0,S513*100/R513,0)</f>
        <v>0</v>
      </c>
    </row>
    <row r="514" spans="1:21" ht="18.75" hidden="1">
      <c r="A514" s="155"/>
      <c r="B514" s="50"/>
      <c r="C514" s="50"/>
      <c r="D514" s="50"/>
      <c r="E514" s="186" t="s">
        <v>20</v>
      </c>
      <c r="F514" s="50"/>
      <c r="G514" s="52"/>
      <c r="H514" s="187" t="s">
        <v>14</v>
      </c>
      <c r="I514" s="54"/>
      <c r="J514" s="54"/>
      <c r="K514" s="55"/>
      <c r="L514" s="103">
        <f>L517+L520</f>
        <v>0</v>
      </c>
      <c r="M514" s="102">
        <f>M517+M520</f>
        <v>0</v>
      </c>
      <c r="N514" s="102">
        <f>N517+N520</f>
        <v>0</v>
      </c>
      <c r="O514" s="102">
        <f>IF(L514&gt;0,N514*100/L514,0)</f>
        <v>0</v>
      </c>
      <c r="P514" s="102">
        <f>IF(M514&gt;0,N514*100/M514,0)</f>
        <v>0</v>
      </c>
      <c r="Q514" s="102">
        <f>Q517+Q520</f>
        <v>0</v>
      </c>
      <c r="R514" s="102">
        <f>R517+R520</f>
        <v>0</v>
      </c>
      <c r="S514" s="102">
        <f>S517+S520</f>
        <v>0</v>
      </c>
      <c r="T514" s="102">
        <f>IF(Q514&gt;0,S514*100/Q514,0)</f>
        <v>0</v>
      </c>
      <c r="U514" s="102">
        <f>IF(R514&gt;0,S514*100/R514,0)</f>
        <v>0</v>
      </c>
    </row>
    <row r="515" spans="1:21" ht="18.75" hidden="1">
      <c r="A515" s="155"/>
      <c r="B515" s="50"/>
      <c r="C515" s="50"/>
      <c r="D515" s="50"/>
      <c r="E515" s="186" t="s">
        <v>21</v>
      </c>
      <c r="F515" s="50"/>
      <c r="G515" s="52"/>
      <c r="H515" s="187" t="s">
        <v>14</v>
      </c>
      <c r="I515" s="54"/>
      <c r="J515" s="54"/>
      <c r="K515" s="55"/>
      <c r="L515" s="256">
        <f ca="1">L518+L521</f>
        <v>0</v>
      </c>
      <c r="M515" s="255">
        <f ca="1">M518+M521</f>
        <v>0</v>
      </c>
      <c r="N515" s="255">
        <f ca="1">N518+N521</f>
        <v>0</v>
      </c>
      <c r="O515" s="255">
        <f ca="1">IF(L515&gt;0,N515*100/L515,0)</f>
        <v>0</v>
      </c>
      <c r="P515" s="255">
        <f ca="1">IF(M515&gt;0,N515*100/M515,0)</f>
        <v>0</v>
      </c>
      <c r="Q515" s="255">
        <f>Q518+Q521</f>
        <v>0</v>
      </c>
      <c r="R515" s="255">
        <f>R518+R521</f>
        <v>0</v>
      </c>
      <c r="S515" s="255">
        <f>S518+S521</f>
        <v>0</v>
      </c>
      <c r="T515" s="255">
        <f>IF(Q515&gt;0,S515*100/Q515,0)</f>
        <v>0</v>
      </c>
      <c r="U515" s="255">
        <f>IF(R515&gt;0,S515*100/R515,0)</f>
        <v>0</v>
      </c>
    </row>
    <row r="516" spans="1:21" ht="18.75" hidden="1">
      <c r="A516" s="155"/>
      <c r="B516" s="50"/>
      <c r="C516" s="50"/>
      <c r="D516" s="592" t="s">
        <v>22</v>
      </c>
      <c r="E516" s="50"/>
      <c r="F516" s="50"/>
      <c r="G516" s="52"/>
      <c r="H516" s="189" t="s">
        <v>14</v>
      </c>
      <c r="I516" s="163"/>
      <c r="J516" s="163"/>
      <c r="K516" s="164"/>
      <c r="L516" s="256">
        <f ca="1">L517+L518</f>
        <v>0</v>
      </c>
      <c r="M516" s="255">
        <f ca="1">M517+M518</f>
        <v>0</v>
      </c>
      <c r="N516" s="255">
        <f ca="1">N517+N518</f>
        <v>0</v>
      </c>
      <c r="O516" s="255">
        <f ca="1">IF(L516&gt;0,N516*100/L516,0)</f>
        <v>0</v>
      </c>
      <c r="P516" s="255">
        <f ca="1">IF(M516&gt;0,N516*100/M516,0)</f>
        <v>0</v>
      </c>
      <c r="Q516" s="255">
        <f>Q517+Q518</f>
        <v>0</v>
      </c>
      <c r="R516" s="255">
        <f>R517+R518</f>
        <v>0</v>
      </c>
      <c r="S516" s="255">
        <f>S517+S518</f>
        <v>0</v>
      </c>
      <c r="T516" s="255">
        <f>IF(Q516&gt;0,S516*100/Q516,0)</f>
        <v>0</v>
      </c>
      <c r="U516" s="255">
        <f>IF(R516&gt;0,S516*100/R516,0)</f>
        <v>0</v>
      </c>
    </row>
    <row r="517" spans="1:21" ht="18.75" hidden="1">
      <c r="A517" s="155"/>
      <c r="B517" s="50"/>
      <c r="C517" s="50"/>
      <c r="D517" s="50"/>
      <c r="E517" s="186" t="s">
        <v>36</v>
      </c>
      <c r="F517" s="50"/>
      <c r="G517" s="52"/>
      <c r="H517" s="189" t="s">
        <v>14</v>
      </c>
      <c r="I517" s="163"/>
      <c r="J517" s="163"/>
      <c r="K517" s="164"/>
      <c r="L517" s="103">
        <v>0</v>
      </c>
      <c r="M517" s="102">
        <v>0</v>
      </c>
      <c r="N517" s="102">
        <v>0</v>
      </c>
      <c r="O517" s="102">
        <f>IF(L517&gt;0,N517*100/L517,0)</f>
        <v>0</v>
      </c>
      <c r="P517" s="102">
        <f>IF(M517&gt;0,N517*100/M517,0)</f>
        <v>0</v>
      </c>
      <c r="Q517" s="102">
        <v>0</v>
      </c>
      <c r="R517" s="102">
        <v>0</v>
      </c>
      <c r="S517" s="102">
        <v>0</v>
      </c>
      <c r="T517" s="102">
        <f>IF(Q517&gt;0,S517*100/Q517,0)</f>
        <v>0</v>
      </c>
      <c r="U517" s="102">
        <f>IF(R517&gt;0,S517*100/R517,0)</f>
        <v>0</v>
      </c>
    </row>
    <row r="518" spans="1:21" ht="18.75" hidden="1">
      <c r="A518" s="155"/>
      <c r="B518" s="50"/>
      <c r="C518" s="50"/>
      <c r="D518" s="50"/>
      <c r="E518" s="186" t="s">
        <v>37</v>
      </c>
      <c r="F518" s="50"/>
      <c r="G518" s="52"/>
      <c r="H518" s="189" t="s">
        <v>14</v>
      </c>
      <c r="I518" s="163"/>
      <c r="J518" s="163"/>
      <c r="K518" s="164"/>
      <c r="L518" s="256">
        <f ca="1">IFERROR(__xludf.DUMMYFUNCTION("IMPORTRANGE(""https://docs.google.com/spreadsheets/d/1-uDff_7J0KD5mKrp0Vvzr7lt3OU09vwQwhkpOPPYv2Y/edit?usp=sharing"",""งบพรบ!FM35"")"),0)</f>
        <v>0</v>
      </c>
      <c r="M518" s="255">
        <f ca="1">IFERROR(__xludf.DUMMYFUNCTION("IMPORTRANGE(""https://docs.google.com/spreadsheets/d/1-uDff_7J0KD5mKrp0Vvzr7lt3OU09vwQwhkpOPPYv2Y/edit?usp=sharing"",""งบพรบ!FR35"")"),0)</f>
        <v>0</v>
      </c>
      <c r="N518" s="255">
        <f ca="1">IFERROR(__xludf.DUMMYFUNCTION("IMPORTRANGE(""https://docs.google.com/spreadsheets/d/1-uDff_7J0KD5mKrp0Vvzr7lt3OU09vwQwhkpOPPYv2Y/edit?usp=sharing"",""งบพรบ!FT35"")"),0)</f>
        <v>0</v>
      </c>
      <c r="O518" s="255">
        <f ca="1">IF(L518&gt;0,N518*100/L518,0)</f>
        <v>0</v>
      </c>
      <c r="P518" s="255">
        <f ca="1">IF(M518&gt;0,N518*100/M518,0)</f>
        <v>0</v>
      </c>
      <c r="Q518" s="255">
        <v>0</v>
      </c>
      <c r="R518" s="255">
        <v>0</v>
      </c>
      <c r="S518" s="255">
        <v>0</v>
      </c>
      <c r="T518" s="255">
        <f>IF(Q518&gt;0,S518*100/Q518,0)</f>
        <v>0</v>
      </c>
      <c r="U518" s="255">
        <f>IF(R518&gt;0,S518*100/R518,0)</f>
        <v>0</v>
      </c>
    </row>
    <row r="519" spans="1:21" ht="18.75" hidden="1">
      <c r="A519" s="155"/>
      <c r="B519" s="50"/>
      <c r="C519" s="50"/>
      <c r="D519" s="592" t="s">
        <v>23</v>
      </c>
      <c r="E519" s="50"/>
      <c r="F519" s="50"/>
      <c r="G519" s="52"/>
      <c r="H519" s="421" t="s">
        <v>14</v>
      </c>
      <c r="I519" s="163"/>
      <c r="J519" s="163"/>
      <c r="K519" s="164"/>
      <c r="L519" s="256">
        <f ca="1">L520+L521</f>
        <v>0</v>
      </c>
      <c r="M519" s="255">
        <f ca="1">M520+M521</f>
        <v>0</v>
      </c>
      <c r="N519" s="255">
        <f ca="1">N520+N521</f>
        <v>0</v>
      </c>
      <c r="O519" s="255">
        <f ca="1">IF(L519&gt;0,N519*100/L519,0)</f>
        <v>0</v>
      </c>
      <c r="P519" s="255">
        <f ca="1">IF(M519&gt;0,N519*100/M519,0)</f>
        <v>0</v>
      </c>
      <c r="Q519" s="255">
        <f>Q520+Q521</f>
        <v>0</v>
      </c>
      <c r="R519" s="255">
        <f>R520+R521</f>
        <v>0</v>
      </c>
      <c r="S519" s="255">
        <f>S520+S521</f>
        <v>0</v>
      </c>
      <c r="T519" s="255">
        <f>IF(Q519&gt;0,S519*100/Q519,0)</f>
        <v>0</v>
      </c>
      <c r="U519" s="255">
        <f>IF(R519&gt;0,S519*100/R519,0)</f>
        <v>0</v>
      </c>
    </row>
    <row r="520" spans="1:21" ht="18.75" hidden="1">
      <c r="A520" s="155"/>
      <c r="B520" s="50"/>
      <c r="C520" s="50"/>
      <c r="D520" s="50"/>
      <c r="E520" s="186" t="s">
        <v>20</v>
      </c>
      <c r="F520" s="50"/>
      <c r="G520" s="52"/>
      <c r="H520" s="189" t="s">
        <v>14</v>
      </c>
      <c r="I520" s="163"/>
      <c r="J520" s="163"/>
      <c r="K520" s="164"/>
      <c r="L520" s="103">
        <v>0</v>
      </c>
      <c r="M520" s="102">
        <v>0</v>
      </c>
      <c r="N520" s="102">
        <v>0</v>
      </c>
      <c r="O520" s="102">
        <f>IF(L520&gt;0,N520*100/L520,0)</f>
        <v>0</v>
      </c>
      <c r="P520" s="102">
        <f>IF(M520&gt;0,N520*100/M520,0)</f>
        <v>0</v>
      </c>
      <c r="Q520" s="102">
        <v>0</v>
      </c>
      <c r="R520" s="102">
        <v>0</v>
      </c>
      <c r="S520" s="102">
        <v>0</v>
      </c>
      <c r="T520" s="102">
        <f>IF(Q520&gt;0,S520*100/Q520,0)</f>
        <v>0</v>
      </c>
      <c r="U520" s="102">
        <f>IF(R520&gt;0,S520*100/R520,0)</f>
        <v>0</v>
      </c>
    </row>
    <row r="521" spans="1:21" ht="18.75" hidden="1">
      <c r="A521" s="155"/>
      <c r="B521" s="50"/>
      <c r="C521" s="50"/>
      <c r="D521" s="50"/>
      <c r="E521" s="186" t="s">
        <v>21</v>
      </c>
      <c r="F521" s="50"/>
      <c r="G521" s="52"/>
      <c r="H521" s="421" t="s">
        <v>14</v>
      </c>
      <c r="I521" s="163"/>
      <c r="J521" s="163"/>
      <c r="K521" s="164"/>
      <c r="L521" s="256">
        <f ca="1">IFERROR(__xludf.DUMMYFUNCTION("IMPORTRANGE(""https://docs.google.com/spreadsheets/d/1-uDff_7J0KD5mKrp0Vvzr7lt3OU09vwQwhkpOPPYv2Y/edit?usp=sharing"",""งบพรบ!FP35"")"),0)</f>
        <v>0</v>
      </c>
      <c r="M521" s="255">
        <f ca="1">IFERROR(__xludf.DUMMYFUNCTION("IMPORTRANGE(""https://docs.google.com/spreadsheets/d/1-uDff_7J0KD5mKrp0Vvzr7lt3OU09vwQwhkpOPPYv2Y/edit?usp=sharing"",""งบพรบ!FS35"")"),0)</f>
        <v>0</v>
      </c>
      <c r="N521" s="255">
        <f ca="1">IFERROR(__xludf.DUMMYFUNCTION("IMPORTRANGE(""https://docs.google.com/spreadsheets/d/1-uDff_7J0KD5mKrp0Vvzr7lt3OU09vwQwhkpOPPYv2Y/edit?usp=sharing"",""งบพรบ!FU35"")"),0)</f>
        <v>0</v>
      </c>
      <c r="O521" s="255">
        <f ca="1">IF(L521&gt;0,N521*100/L521,0)</f>
        <v>0</v>
      </c>
      <c r="P521" s="255">
        <f ca="1">IF(M521&gt;0,N521*100/M521,0)</f>
        <v>0</v>
      </c>
      <c r="Q521" s="255">
        <v>0</v>
      </c>
      <c r="R521" s="255">
        <v>0</v>
      </c>
      <c r="S521" s="255">
        <v>0</v>
      </c>
      <c r="T521" s="255">
        <f>IF(Q521&gt;0,S521*100/Q521,0)</f>
        <v>0</v>
      </c>
      <c r="U521" s="255">
        <f>IF(R521&gt;0,S521*100/R521,0)</f>
        <v>0</v>
      </c>
    </row>
    <row r="522" spans="1:21" ht="19.5" hidden="1">
      <c r="A522" s="166"/>
      <c r="B522" s="167"/>
      <c r="C522" s="591" t="s">
        <v>18</v>
      </c>
      <c r="D522" s="574" t="s">
        <v>38</v>
      </c>
      <c r="E522" s="169"/>
      <c r="F522" s="169"/>
      <c r="G522" s="170"/>
      <c r="H522" s="171"/>
      <c r="I522" s="163"/>
      <c r="J522" s="54"/>
      <c r="K522" s="55"/>
      <c r="L522" s="62"/>
      <c r="M522" s="55"/>
      <c r="N522" s="55"/>
      <c r="O522" s="164"/>
      <c r="P522" s="164"/>
      <c r="Q522" s="55"/>
      <c r="R522" s="55"/>
      <c r="S522" s="55"/>
      <c r="T522" s="164"/>
      <c r="U522" s="164"/>
    </row>
    <row r="523" spans="1:21" ht="18.75" hidden="1">
      <c r="A523" s="238"/>
      <c r="B523" s="50"/>
      <c r="C523" s="188"/>
      <c r="D523" s="207" t="s">
        <v>209</v>
      </c>
      <c r="E523" s="167"/>
      <c r="F523" s="50"/>
      <c r="G523" s="52"/>
      <c r="H523" s="590" t="s">
        <v>11</v>
      </c>
      <c r="I523" s="483">
        <v>0</v>
      </c>
      <c r="J523" s="589">
        <v>0</v>
      </c>
      <c r="K523" s="102">
        <f>IF(I523&gt;0,J523*100/I523,0)</f>
        <v>0</v>
      </c>
      <c r="L523" s="62"/>
      <c r="M523" s="55"/>
      <c r="N523" s="55"/>
      <c r="O523" s="55"/>
      <c r="P523" s="55"/>
      <c r="Q523" s="55"/>
      <c r="R523" s="55"/>
      <c r="S523" s="55"/>
      <c r="T523" s="55"/>
      <c r="U523" s="55"/>
    </row>
    <row r="524" spans="1:21" ht="18.75" hidden="1">
      <c r="A524" s="374"/>
      <c r="B524" s="4"/>
      <c r="C524" s="5"/>
      <c r="D524" s="588" t="s">
        <v>210</v>
      </c>
      <c r="E524" s="282"/>
      <c r="F524" s="4"/>
      <c r="G524" s="65"/>
      <c r="H524" s="587" t="s">
        <v>61</v>
      </c>
      <c r="I524" s="486">
        <v>0</v>
      </c>
      <c r="J524" s="586">
        <v>0</v>
      </c>
      <c r="K524" s="585">
        <f>IF(I524&gt;0,J524*100/I524,0)</f>
        <v>0</v>
      </c>
      <c r="L524" s="62"/>
      <c r="M524" s="55"/>
      <c r="N524" s="55"/>
      <c r="O524" s="55"/>
      <c r="P524" s="55"/>
      <c r="Q524" s="55"/>
      <c r="R524" s="55"/>
      <c r="S524" s="55"/>
      <c r="T524" s="55"/>
      <c r="U524" s="55"/>
    </row>
    <row r="525" spans="1:21" ht="12.75" hidden="1">
      <c r="A525" s="584"/>
      <c r="B525" s="583"/>
      <c r="C525" s="583"/>
      <c r="D525" s="582"/>
      <c r="E525" s="582"/>
      <c r="F525" s="582"/>
      <c r="G525" s="581"/>
      <c r="H525" s="580"/>
      <c r="I525" s="579"/>
      <c r="J525" s="579"/>
      <c r="K525" s="578"/>
      <c r="L525" s="265"/>
      <c r="M525" s="264"/>
      <c r="N525" s="264"/>
      <c r="O525" s="264"/>
      <c r="P525" s="264"/>
      <c r="Q525" s="264"/>
      <c r="R525" s="264"/>
      <c r="S525" s="264"/>
      <c r="T525" s="264"/>
      <c r="U525" s="264"/>
    </row>
    <row r="526" spans="1:21" ht="12.75" hidden="1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5"/>
      <c r="M526" s="264"/>
      <c r="N526" s="264"/>
      <c r="O526" s="264"/>
      <c r="P526" s="264"/>
      <c r="Q526" s="264"/>
      <c r="R526" s="264"/>
      <c r="S526" s="264"/>
      <c r="T526" s="264"/>
      <c r="U526" s="264"/>
    </row>
    <row r="527" spans="1:21" ht="12.75" hidden="1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5"/>
      <c r="M527" s="264"/>
      <c r="N527" s="264"/>
      <c r="O527" s="264"/>
      <c r="P527" s="264"/>
      <c r="Q527" s="264"/>
      <c r="R527" s="264"/>
      <c r="S527" s="264"/>
      <c r="T527" s="264"/>
      <c r="U527" s="264"/>
    </row>
    <row r="528" spans="1:21" ht="12.75" hidden="1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5"/>
      <c r="M528" s="264"/>
      <c r="N528" s="264"/>
      <c r="O528" s="264"/>
      <c r="P528" s="264"/>
      <c r="Q528" s="264"/>
      <c r="R528" s="264"/>
      <c r="S528" s="264"/>
      <c r="T528" s="264"/>
      <c r="U528" s="264"/>
    </row>
    <row r="529" spans="1:21" ht="12.75" hidden="1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5"/>
      <c r="M529" s="264"/>
      <c r="N529" s="264"/>
      <c r="O529" s="264"/>
      <c r="P529" s="264"/>
      <c r="Q529" s="264"/>
      <c r="R529" s="264"/>
      <c r="S529" s="264"/>
      <c r="T529" s="264"/>
      <c r="U529" s="264"/>
    </row>
    <row r="530" spans="1:21" ht="12.75" hidden="1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5"/>
      <c r="M530" s="264"/>
      <c r="N530" s="264"/>
      <c r="O530" s="264"/>
      <c r="P530" s="264"/>
      <c r="Q530" s="264"/>
      <c r="R530" s="264"/>
      <c r="S530" s="264"/>
      <c r="T530" s="264"/>
      <c r="U530" s="264"/>
    </row>
    <row r="531" spans="1:21" ht="12.75" hidden="1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5"/>
      <c r="M531" s="264"/>
      <c r="N531" s="264"/>
      <c r="O531" s="264"/>
      <c r="P531" s="264"/>
      <c r="Q531" s="264"/>
      <c r="R531" s="264"/>
      <c r="S531" s="264"/>
      <c r="T531" s="264"/>
      <c r="U531" s="264"/>
    </row>
    <row r="532" spans="1:21" ht="12.75" hidden="1">
      <c r="A532" s="407"/>
      <c r="B532" s="360"/>
      <c r="C532" s="360"/>
      <c r="D532" s="408"/>
      <c r="E532" s="408"/>
      <c r="F532" s="408"/>
      <c r="G532" s="409"/>
      <c r="H532" s="361"/>
      <c r="I532" s="362"/>
      <c r="J532" s="362"/>
      <c r="K532" s="363"/>
      <c r="L532" s="364"/>
      <c r="M532" s="363"/>
      <c r="N532" s="363"/>
      <c r="O532" s="363"/>
      <c r="P532" s="363"/>
      <c r="Q532" s="363"/>
      <c r="R532" s="363"/>
      <c r="S532" s="363"/>
      <c r="T532" s="363"/>
      <c r="U532" s="363"/>
    </row>
    <row r="533" spans="1:21" ht="19.5" hidden="1">
      <c r="A533" s="395"/>
      <c r="B533" s="396" t="s">
        <v>211</v>
      </c>
      <c r="C533" s="397"/>
      <c r="D533" s="398"/>
      <c r="E533" s="398"/>
      <c r="F533" s="398"/>
      <c r="G533" s="399"/>
      <c r="H533" s="410" t="s">
        <v>61</v>
      </c>
      <c r="I533" s="577">
        <f>I545</f>
        <v>0</v>
      </c>
      <c r="J533" s="577">
        <f>J545</f>
        <v>0</v>
      </c>
      <c r="K533" s="576">
        <f>IF(I533&gt;0,J533*100/I533,0)</f>
        <v>0</v>
      </c>
      <c r="L533" s="404"/>
      <c r="M533" s="403"/>
      <c r="N533" s="403"/>
      <c r="O533" s="403"/>
      <c r="P533" s="403"/>
      <c r="Q533" s="403"/>
      <c r="R533" s="403"/>
      <c r="S533" s="403"/>
      <c r="T533" s="403"/>
      <c r="U533" s="403"/>
    </row>
    <row r="534" spans="1:21" ht="19.5" hidden="1">
      <c r="A534" s="155"/>
      <c r="B534" s="50"/>
      <c r="C534" s="156" t="s">
        <v>18</v>
      </c>
      <c r="D534" s="575" t="s">
        <v>19</v>
      </c>
      <c r="E534" s="50"/>
      <c r="F534" s="50"/>
      <c r="G534" s="52"/>
      <c r="H534" s="158" t="s">
        <v>14</v>
      </c>
      <c r="I534" s="54"/>
      <c r="J534" s="54"/>
      <c r="K534" s="55"/>
      <c r="L534" s="541">
        <f>L535+L536</f>
        <v>0</v>
      </c>
      <c r="M534" s="540">
        <f>M535+M536</f>
        <v>0</v>
      </c>
      <c r="N534" s="540">
        <f>N535+N536</f>
        <v>0</v>
      </c>
      <c r="O534" s="540">
        <f>IF(L534&gt;0,N534*100/L534,0)</f>
        <v>0</v>
      </c>
      <c r="P534" s="540">
        <f>IF(M534&gt;0,N534*100/M534,0)</f>
        <v>0</v>
      </c>
      <c r="Q534" s="540">
        <f>Q535+Q536</f>
        <v>0</v>
      </c>
      <c r="R534" s="540">
        <f>R535+R536</f>
        <v>0</v>
      </c>
      <c r="S534" s="540">
        <f>S535+S536</f>
        <v>0</v>
      </c>
      <c r="T534" s="540">
        <f>IF(Q534&gt;0,S534*100/Q534,0)</f>
        <v>0</v>
      </c>
      <c r="U534" s="540">
        <f>IF(R534&gt;0,S534*100/R534,0)</f>
        <v>0</v>
      </c>
    </row>
    <row r="535" spans="1:21" ht="18.75" hidden="1">
      <c r="A535" s="155"/>
      <c r="B535" s="188"/>
      <c r="C535" s="50"/>
      <c r="D535" s="50"/>
      <c r="E535" s="186" t="s">
        <v>20</v>
      </c>
      <c r="F535" s="50"/>
      <c r="G535" s="52"/>
      <c r="H535" s="187" t="s">
        <v>14</v>
      </c>
      <c r="I535" s="54"/>
      <c r="J535" s="54"/>
      <c r="K535" s="55"/>
      <c r="L535" s="103">
        <f>L538+L541</f>
        <v>0</v>
      </c>
      <c r="M535" s="102">
        <f>M538+M541</f>
        <v>0</v>
      </c>
      <c r="N535" s="102">
        <f>N538+N541</f>
        <v>0</v>
      </c>
      <c r="O535" s="102">
        <f>IF(L535&gt;0,N535*100/L535,0)</f>
        <v>0</v>
      </c>
      <c r="P535" s="102">
        <f>IF(M535&gt;0,N535*100/M535,0)</f>
        <v>0</v>
      </c>
      <c r="Q535" s="102">
        <f>Q538+Q541</f>
        <v>0</v>
      </c>
      <c r="R535" s="102">
        <f>R538+R541</f>
        <v>0</v>
      </c>
      <c r="S535" s="102">
        <f>S538+S541</f>
        <v>0</v>
      </c>
      <c r="T535" s="102">
        <f>IF(Q535&gt;0,S535*100/Q535,0)</f>
        <v>0</v>
      </c>
      <c r="U535" s="102">
        <f>IF(R535&gt;0,S535*100/R535,0)</f>
        <v>0</v>
      </c>
    </row>
    <row r="536" spans="1:21" ht="18.75" hidden="1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256">
        <f>L539+L542</f>
        <v>0</v>
      </c>
      <c r="M536" s="255">
        <f>M539+M542</f>
        <v>0</v>
      </c>
      <c r="N536" s="255">
        <f>N539+N542</f>
        <v>0</v>
      </c>
      <c r="O536" s="255">
        <f>IF(L536&gt;0,N536*100/L536,0)</f>
        <v>0</v>
      </c>
      <c r="P536" s="255">
        <f>IF(M536&gt;0,N536*100/M536,0)</f>
        <v>0</v>
      </c>
      <c r="Q536" s="255">
        <f>Q539+Q542</f>
        <v>0</v>
      </c>
      <c r="R536" s="255">
        <f>R539+R542</f>
        <v>0</v>
      </c>
      <c r="S536" s="255">
        <f>S539+S542</f>
        <v>0</v>
      </c>
      <c r="T536" s="255">
        <f>IF(Q536&gt;0,S536*100/Q536,0)</f>
        <v>0</v>
      </c>
      <c r="U536" s="255">
        <f>IF(R536&gt;0,S536*100/R536,0)</f>
        <v>0</v>
      </c>
    </row>
    <row r="537" spans="1:21" ht="18.75" hidden="1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256">
        <f>L538+L539</f>
        <v>0</v>
      </c>
      <c r="M537" s="255">
        <f>M538+M539</f>
        <v>0</v>
      </c>
      <c r="N537" s="255">
        <f>N538+N539</f>
        <v>0</v>
      </c>
      <c r="O537" s="255">
        <f>IF(L537&gt;0,N537*100/L537,0)</f>
        <v>0</v>
      </c>
      <c r="P537" s="255">
        <f>IF(M537&gt;0,N537*100/M537,0)</f>
        <v>0</v>
      </c>
      <c r="Q537" s="255">
        <f>Q538+Q539</f>
        <v>0</v>
      </c>
      <c r="R537" s="255">
        <f>R538+R539</f>
        <v>0</v>
      </c>
      <c r="S537" s="255">
        <f>S538+S539</f>
        <v>0</v>
      </c>
      <c r="T537" s="255">
        <f>IF(Q537&gt;0,S537*100/Q537,0)</f>
        <v>0</v>
      </c>
      <c r="U537" s="255">
        <f>IF(R537&gt;0,S537*100/R537,0)</f>
        <v>0</v>
      </c>
    </row>
    <row r="538" spans="1:21" ht="18.75" hidden="1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103">
        <v>0</v>
      </c>
      <c r="M538" s="102">
        <v>0</v>
      </c>
      <c r="N538" s="102">
        <v>0</v>
      </c>
      <c r="O538" s="102">
        <f>IF(L538&gt;0,N538*100/L538,0)</f>
        <v>0</v>
      </c>
      <c r="P538" s="102">
        <f>IF(M538&gt;0,N538*100/M538,0)</f>
        <v>0</v>
      </c>
      <c r="Q538" s="102">
        <v>0</v>
      </c>
      <c r="R538" s="102">
        <v>0</v>
      </c>
      <c r="S538" s="102">
        <v>0</v>
      </c>
      <c r="T538" s="102">
        <f>IF(Q538&gt;0,S538*100/Q538,0)</f>
        <v>0</v>
      </c>
      <c r="U538" s="102">
        <f>IF(R538&gt;0,S538*100/R538,0)</f>
        <v>0</v>
      </c>
    </row>
    <row r="539" spans="1:21" ht="18.75" hidden="1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256">
        <v>0</v>
      </c>
      <c r="M539" s="255">
        <v>0</v>
      </c>
      <c r="N539" s="255">
        <v>0</v>
      </c>
      <c r="O539" s="255">
        <f>IF(L539&gt;0,N539*100/L539,0)</f>
        <v>0</v>
      </c>
      <c r="P539" s="255">
        <f>IF(M539&gt;0,N539*100/M539,0)</f>
        <v>0</v>
      </c>
      <c r="Q539" s="255">
        <v>0</v>
      </c>
      <c r="R539" s="255">
        <v>0</v>
      </c>
      <c r="S539" s="255">
        <v>0</v>
      </c>
      <c r="T539" s="255">
        <f>IF(Q539&gt;0,S539*100/Q539,0)</f>
        <v>0</v>
      </c>
      <c r="U539" s="255">
        <f>IF(R539&gt;0,S539*100/R539,0)</f>
        <v>0</v>
      </c>
    </row>
    <row r="540" spans="1:21" ht="18.75" hidden="1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256">
        <f>L541+L542</f>
        <v>0</v>
      </c>
      <c r="M540" s="255">
        <f>M541+M542</f>
        <v>0</v>
      </c>
      <c r="N540" s="255">
        <f>N541+N542</f>
        <v>0</v>
      </c>
      <c r="O540" s="255">
        <f>IF(L540&gt;0,N540*100/L540,0)</f>
        <v>0</v>
      </c>
      <c r="P540" s="255">
        <f>IF(M540&gt;0,N540*100/M540,0)</f>
        <v>0</v>
      </c>
      <c r="Q540" s="255">
        <f>Q541+Q542</f>
        <v>0</v>
      </c>
      <c r="R540" s="255">
        <f>R541+R542</f>
        <v>0</v>
      </c>
      <c r="S540" s="255">
        <f>S541+S542</f>
        <v>0</v>
      </c>
      <c r="T540" s="255">
        <f>IF(Q540&gt;0,S540*100/Q540,0)</f>
        <v>0</v>
      </c>
      <c r="U540" s="255">
        <f>IF(R540&gt;0,S540*100/R540,0)</f>
        <v>0</v>
      </c>
    </row>
    <row r="541" spans="1:21" ht="18.75" hidden="1">
      <c r="A541" s="155"/>
      <c r="B541" s="50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103">
        <v>0</v>
      </c>
      <c r="M541" s="102">
        <v>0</v>
      </c>
      <c r="N541" s="102">
        <v>0</v>
      </c>
      <c r="O541" s="102">
        <f>IF(L541&gt;0,N541*100/L541,0)</f>
        <v>0</v>
      </c>
      <c r="P541" s="102">
        <f>IF(M541&gt;0,N541*100/M541,0)</f>
        <v>0</v>
      </c>
      <c r="Q541" s="102">
        <v>0</v>
      </c>
      <c r="R541" s="102">
        <v>0</v>
      </c>
      <c r="S541" s="102">
        <v>0</v>
      </c>
      <c r="T541" s="102">
        <f>IF(Q541&gt;0,S541*100/Q541,0)</f>
        <v>0</v>
      </c>
      <c r="U541" s="102">
        <f>IF(R541&gt;0,S541*100/R541,0)</f>
        <v>0</v>
      </c>
    </row>
    <row r="542" spans="1:21" ht="18.75" hidden="1">
      <c r="A542" s="155"/>
      <c r="B542" s="50"/>
      <c r="C542" s="50"/>
      <c r="D542" s="50"/>
      <c r="E542" s="58" t="s">
        <v>21</v>
      </c>
      <c r="F542" s="50"/>
      <c r="G542" s="52"/>
      <c r="H542" s="165" t="s">
        <v>14</v>
      </c>
      <c r="I542" s="163"/>
      <c r="J542" s="163"/>
      <c r="K542" s="164"/>
      <c r="L542" s="256">
        <v>0</v>
      </c>
      <c r="M542" s="255">
        <v>0</v>
      </c>
      <c r="N542" s="255">
        <v>0</v>
      </c>
      <c r="O542" s="255">
        <f>IF(L542&gt;0,N542*100/L542,0)</f>
        <v>0</v>
      </c>
      <c r="P542" s="255">
        <f>IF(M542&gt;0,N542*100/M542,0)</f>
        <v>0</v>
      </c>
      <c r="Q542" s="255">
        <v>0</v>
      </c>
      <c r="R542" s="255">
        <v>0</v>
      </c>
      <c r="S542" s="255">
        <v>0</v>
      </c>
      <c r="T542" s="255">
        <f>IF(Q542&gt;0,S542*100/Q542,0)</f>
        <v>0</v>
      </c>
      <c r="U542" s="255">
        <f>IF(R542&gt;0,S542*100/R542,0)</f>
        <v>0</v>
      </c>
    </row>
    <row r="543" spans="1:21" ht="19.5" hidden="1">
      <c r="A543" s="166"/>
      <c r="B543" s="167"/>
      <c r="C543" s="411" t="s">
        <v>18</v>
      </c>
      <c r="D543" s="566" t="s">
        <v>38</v>
      </c>
      <c r="E543" s="169"/>
      <c r="F543" s="169"/>
      <c r="G543" s="170"/>
      <c r="H543" s="171"/>
      <c r="I543" s="163"/>
      <c r="J543" s="54"/>
      <c r="K543" s="55"/>
      <c r="L543" s="62"/>
      <c r="M543" s="55"/>
      <c r="N543" s="55"/>
      <c r="O543" s="164"/>
      <c r="P543" s="164"/>
      <c r="Q543" s="55"/>
      <c r="R543" s="55"/>
      <c r="S543" s="55"/>
      <c r="T543" s="164"/>
      <c r="U543" s="164"/>
    </row>
    <row r="544" spans="1:21" ht="12.75" hidden="1">
      <c r="A544" s="258"/>
      <c r="B544" s="260"/>
      <c r="C544" s="259"/>
      <c r="D544" s="260"/>
      <c r="E544" s="259"/>
      <c r="F544" s="260"/>
      <c r="G544" s="261"/>
      <c r="H544" s="261"/>
      <c r="I544" s="263"/>
      <c r="J544" s="263"/>
      <c r="K544" s="264"/>
      <c r="L544" s="265"/>
      <c r="M544" s="264"/>
      <c r="N544" s="264"/>
      <c r="O544" s="264"/>
      <c r="P544" s="264"/>
      <c r="Q544" s="264"/>
      <c r="R544" s="264"/>
      <c r="S544" s="264"/>
      <c r="T544" s="264"/>
      <c r="U544" s="264"/>
    </row>
    <row r="545" spans="1:21" ht="12.75" hidden="1">
      <c r="A545" s="258"/>
      <c r="B545" s="260"/>
      <c r="C545" s="259"/>
      <c r="D545" s="260"/>
      <c r="E545" s="259"/>
      <c r="F545" s="260"/>
      <c r="G545" s="261"/>
      <c r="H545" s="261"/>
      <c r="I545" s="263"/>
      <c r="J545" s="263"/>
      <c r="K545" s="264"/>
      <c r="L545" s="265"/>
      <c r="M545" s="264"/>
      <c r="N545" s="264"/>
      <c r="O545" s="264"/>
      <c r="P545" s="264"/>
      <c r="Q545" s="264"/>
      <c r="R545" s="264"/>
      <c r="S545" s="264"/>
      <c r="T545" s="264"/>
      <c r="U545" s="264"/>
    </row>
    <row r="546" spans="1:21" ht="12.75" hidden="1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5"/>
      <c r="M546" s="264"/>
      <c r="N546" s="264"/>
      <c r="O546" s="264"/>
      <c r="P546" s="264"/>
      <c r="Q546" s="264"/>
      <c r="R546" s="264"/>
      <c r="S546" s="264"/>
      <c r="T546" s="264"/>
      <c r="U546" s="264"/>
    </row>
    <row r="547" spans="1:21" ht="12.75" hidden="1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5"/>
      <c r="M547" s="264"/>
      <c r="N547" s="264"/>
      <c r="O547" s="264"/>
      <c r="P547" s="264"/>
      <c r="Q547" s="264"/>
      <c r="R547" s="264"/>
      <c r="S547" s="264"/>
      <c r="T547" s="264"/>
      <c r="U547" s="264"/>
    </row>
    <row r="548" spans="1:21" ht="12.75" hidden="1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5"/>
      <c r="M548" s="264"/>
      <c r="N548" s="264"/>
      <c r="O548" s="264"/>
      <c r="P548" s="264"/>
      <c r="Q548" s="264"/>
      <c r="R548" s="264"/>
      <c r="S548" s="264"/>
      <c r="T548" s="264"/>
      <c r="U548" s="264"/>
    </row>
    <row r="549" spans="1:21" ht="12.75" hidden="1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5"/>
      <c r="M549" s="264"/>
      <c r="N549" s="264"/>
      <c r="O549" s="264"/>
      <c r="P549" s="264"/>
      <c r="Q549" s="264"/>
      <c r="R549" s="264"/>
      <c r="S549" s="264"/>
      <c r="T549" s="264"/>
      <c r="U549" s="264"/>
    </row>
    <row r="550" spans="1:21" ht="12.75" hidden="1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5"/>
      <c r="M550" s="264"/>
      <c r="N550" s="264"/>
      <c r="O550" s="264"/>
      <c r="P550" s="264"/>
      <c r="Q550" s="264"/>
      <c r="R550" s="264"/>
      <c r="S550" s="264"/>
      <c r="T550" s="264"/>
      <c r="U550" s="264"/>
    </row>
    <row r="551" spans="1:21" ht="12.75" hidden="1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5"/>
      <c r="M551" s="264"/>
      <c r="N551" s="264"/>
      <c r="O551" s="264"/>
      <c r="P551" s="264"/>
      <c r="Q551" s="264"/>
      <c r="R551" s="264"/>
      <c r="S551" s="264"/>
      <c r="T551" s="264"/>
      <c r="U551" s="264"/>
    </row>
    <row r="552" spans="1:21" ht="12.75" hidden="1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5"/>
      <c r="M552" s="264"/>
      <c r="N552" s="264"/>
      <c r="O552" s="264"/>
      <c r="P552" s="264"/>
      <c r="Q552" s="264"/>
      <c r="R552" s="264"/>
      <c r="S552" s="264"/>
      <c r="T552" s="264"/>
      <c r="U552" s="264"/>
    </row>
    <row r="553" spans="1:21" ht="12.75" hidden="1">
      <c r="A553" s="407"/>
      <c r="B553" s="360"/>
      <c r="C553" s="360"/>
      <c r="D553" s="408"/>
      <c r="E553" s="408"/>
      <c r="F553" s="408"/>
      <c r="G553" s="409"/>
      <c r="H553" s="361"/>
      <c r="I553" s="362"/>
      <c r="J553" s="362"/>
      <c r="K553" s="363"/>
      <c r="L553" s="364"/>
      <c r="M553" s="363"/>
      <c r="N553" s="363"/>
      <c r="O553" s="363"/>
      <c r="P553" s="363"/>
      <c r="Q553" s="363"/>
      <c r="R553" s="363"/>
      <c r="S553" s="363"/>
      <c r="T553" s="363"/>
      <c r="U553" s="363"/>
    </row>
    <row r="554" spans="1:21" ht="19.5" hidden="1">
      <c r="A554" s="395"/>
      <c r="B554" s="396" t="s">
        <v>212</v>
      </c>
      <c r="C554" s="397"/>
      <c r="D554" s="398"/>
      <c r="E554" s="398"/>
      <c r="F554" s="398"/>
      <c r="G554" s="399"/>
      <c r="H554" s="410" t="s">
        <v>61</v>
      </c>
      <c r="I554" s="577">
        <f>I566</f>
        <v>0</v>
      </c>
      <c r="J554" s="577">
        <f>J566</f>
        <v>0</v>
      </c>
      <c r="K554" s="576">
        <f>IF(I554&gt;0,J554*100/I554,0)</f>
        <v>0</v>
      </c>
      <c r="L554" s="404"/>
      <c r="M554" s="403"/>
      <c r="N554" s="403"/>
      <c r="O554" s="403"/>
      <c r="P554" s="403"/>
      <c r="Q554" s="403"/>
      <c r="R554" s="403"/>
      <c r="S554" s="403"/>
      <c r="T554" s="403"/>
      <c r="U554" s="403"/>
    </row>
    <row r="555" spans="1:21" ht="19.5" hidden="1">
      <c r="A555" s="155"/>
      <c r="B555" s="50"/>
      <c r="C555" s="156" t="s">
        <v>18</v>
      </c>
      <c r="D555" s="575" t="s">
        <v>19</v>
      </c>
      <c r="E555" s="50"/>
      <c r="F555" s="50"/>
      <c r="G555" s="52"/>
      <c r="H555" s="158" t="s">
        <v>14</v>
      </c>
      <c r="I555" s="54"/>
      <c r="J555" s="54"/>
      <c r="K555" s="55"/>
      <c r="L555" s="541">
        <f>L556+L557</f>
        <v>0</v>
      </c>
      <c r="M555" s="540">
        <f>M556+M557</f>
        <v>0</v>
      </c>
      <c r="N555" s="540">
        <f>N556+N557</f>
        <v>0</v>
      </c>
      <c r="O555" s="540">
        <f>IF(L555&gt;0,N555*100/L555,0)</f>
        <v>0</v>
      </c>
      <c r="P555" s="540">
        <f>IF(M555&gt;0,N555*100/M555,0)</f>
        <v>0</v>
      </c>
      <c r="Q555" s="540">
        <f>Q556+Q557</f>
        <v>0</v>
      </c>
      <c r="R555" s="540">
        <f>R556+R557</f>
        <v>0</v>
      </c>
      <c r="S555" s="540">
        <f>S556+S557</f>
        <v>0</v>
      </c>
      <c r="T555" s="540">
        <f>IF(Q555&gt;0,S555*100/Q555,0)</f>
        <v>0</v>
      </c>
      <c r="U555" s="540">
        <f>IF(R555&gt;0,S555*100/R555,0)</f>
        <v>0</v>
      </c>
    </row>
    <row r="556" spans="1:21" ht="18.75" hidden="1">
      <c r="A556" s="155"/>
      <c r="B556" s="188"/>
      <c r="C556" s="50"/>
      <c r="D556" s="50"/>
      <c r="E556" s="186" t="s">
        <v>20</v>
      </c>
      <c r="F556" s="50"/>
      <c r="G556" s="52"/>
      <c r="H556" s="187" t="s">
        <v>14</v>
      </c>
      <c r="I556" s="54"/>
      <c r="J556" s="54"/>
      <c r="K556" s="55"/>
      <c r="L556" s="103">
        <f>L559+L562</f>
        <v>0</v>
      </c>
      <c r="M556" s="102">
        <f>M559+M562</f>
        <v>0</v>
      </c>
      <c r="N556" s="102">
        <f>N559+N562</f>
        <v>0</v>
      </c>
      <c r="O556" s="102">
        <f>IF(L556&gt;0,N556*100/L556,0)</f>
        <v>0</v>
      </c>
      <c r="P556" s="102">
        <f>IF(M556&gt;0,N556*100/M556,0)</f>
        <v>0</v>
      </c>
      <c r="Q556" s="102">
        <f>Q559+Q562</f>
        <v>0</v>
      </c>
      <c r="R556" s="102">
        <f>R559+R562</f>
        <v>0</v>
      </c>
      <c r="S556" s="102">
        <f>S559+S562</f>
        <v>0</v>
      </c>
      <c r="T556" s="102">
        <f>IF(Q556&gt;0,S556*100/Q556,0)</f>
        <v>0</v>
      </c>
      <c r="U556" s="102">
        <f>IF(R556&gt;0,S556*100/R556,0)</f>
        <v>0</v>
      </c>
    </row>
    <row r="557" spans="1:21" ht="18.75" hidden="1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256">
        <f>L560+L563</f>
        <v>0</v>
      </c>
      <c r="M557" s="255">
        <f>M560+M563</f>
        <v>0</v>
      </c>
      <c r="N557" s="255">
        <f>N560+N563</f>
        <v>0</v>
      </c>
      <c r="O557" s="255">
        <f>IF(L557&gt;0,N557*100/L557,0)</f>
        <v>0</v>
      </c>
      <c r="P557" s="255">
        <f>IF(M557&gt;0,N557*100/M557,0)</f>
        <v>0</v>
      </c>
      <c r="Q557" s="255">
        <f>Q560+Q563</f>
        <v>0</v>
      </c>
      <c r="R557" s="255">
        <f>R560+R563</f>
        <v>0</v>
      </c>
      <c r="S557" s="255">
        <f>S560+S563</f>
        <v>0</v>
      </c>
      <c r="T557" s="255">
        <f>IF(Q557&gt;0,S557*100/Q557,0)</f>
        <v>0</v>
      </c>
      <c r="U557" s="255">
        <f>IF(R557&gt;0,S557*100/R557,0)</f>
        <v>0</v>
      </c>
    </row>
    <row r="558" spans="1:21" ht="18.75" hidden="1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256">
        <f>L559+L560</f>
        <v>0</v>
      </c>
      <c r="M558" s="255">
        <f>M559+M560</f>
        <v>0</v>
      </c>
      <c r="N558" s="255">
        <f>N559+N560</f>
        <v>0</v>
      </c>
      <c r="O558" s="255">
        <f>IF(L558&gt;0,N558*100/L558,0)</f>
        <v>0</v>
      </c>
      <c r="P558" s="255">
        <f>IF(M558&gt;0,N558*100/M558,0)</f>
        <v>0</v>
      </c>
      <c r="Q558" s="255">
        <f>Q559+Q560</f>
        <v>0</v>
      </c>
      <c r="R558" s="255">
        <f>R559+R560</f>
        <v>0</v>
      </c>
      <c r="S558" s="255">
        <f>S559+S560</f>
        <v>0</v>
      </c>
      <c r="T558" s="255">
        <f>IF(Q558&gt;0,S558*100/Q558,0)</f>
        <v>0</v>
      </c>
      <c r="U558" s="255">
        <f>IF(R558&gt;0,S558*100/R558,0)</f>
        <v>0</v>
      </c>
    </row>
    <row r="559" spans="1:21" ht="18.75" hidden="1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103">
        <v>0</v>
      </c>
      <c r="M559" s="102">
        <v>0</v>
      </c>
      <c r="N559" s="102">
        <v>0</v>
      </c>
      <c r="O559" s="102">
        <f>IF(L559&gt;0,N559*100/L559,0)</f>
        <v>0</v>
      </c>
      <c r="P559" s="102">
        <f>IF(M559&gt;0,N559*100/M559,0)</f>
        <v>0</v>
      </c>
      <c r="Q559" s="102">
        <v>0</v>
      </c>
      <c r="R559" s="102">
        <v>0</v>
      </c>
      <c r="S559" s="102">
        <v>0</v>
      </c>
      <c r="T559" s="102">
        <f>IF(Q559&gt;0,S559*100/Q559,0)</f>
        <v>0</v>
      </c>
      <c r="U559" s="102">
        <f>IF(R559&gt;0,S559*100/R559,0)</f>
        <v>0</v>
      </c>
    </row>
    <row r="560" spans="1:21" ht="18.75" hidden="1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256">
        <v>0</v>
      </c>
      <c r="M560" s="255">
        <v>0</v>
      </c>
      <c r="N560" s="255">
        <v>0</v>
      </c>
      <c r="O560" s="255">
        <f>IF(L560&gt;0,N560*100/L560,0)</f>
        <v>0</v>
      </c>
      <c r="P560" s="255">
        <f>IF(M560&gt;0,N560*100/M560,0)</f>
        <v>0</v>
      </c>
      <c r="Q560" s="255">
        <v>0</v>
      </c>
      <c r="R560" s="255">
        <v>0</v>
      </c>
      <c r="S560" s="255">
        <v>0</v>
      </c>
      <c r="T560" s="255">
        <f>IF(Q560&gt;0,S560*100/Q560,0)</f>
        <v>0</v>
      </c>
      <c r="U560" s="255">
        <f>IF(R560&gt;0,S560*100/R560,0)</f>
        <v>0</v>
      </c>
    </row>
    <row r="561" spans="1:21" ht="18.75" hidden="1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256">
        <f>L562+L563</f>
        <v>0</v>
      </c>
      <c r="M561" s="255">
        <f>M562+M563</f>
        <v>0</v>
      </c>
      <c r="N561" s="255">
        <f>N562+N563</f>
        <v>0</v>
      </c>
      <c r="O561" s="255">
        <f>IF(L561&gt;0,N561*100/L561,0)</f>
        <v>0</v>
      </c>
      <c r="P561" s="255">
        <f>IF(M561&gt;0,N561*100/M561,0)</f>
        <v>0</v>
      </c>
      <c r="Q561" s="255">
        <f>Q562+Q563</f>
        <v>0</v>
      </c>
      <c r="R561" s="255">
        <f>R562+R563</f>
        <v>0</v>
      </c>
      <c r="S561" s="255">
        <f>S562+S563</f>
        <v>0</v>
      </c>
      <c r="T561" s="255">
        <f>IF(Q561&gt;0,S561*100/Q561,0)</f>
        <v>0</v>
      </c>
      <c r="U561" s="255">
        <f>IF(R561&gt;0,S561*100/R561,0)</f>
        <v>0</v>
      </c>
    </row>
    <row r="562" spans="1:21" ht="18.75" hidden="1">
      <c r="A562" s="155"/>
      <c r="B562" s="50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103">
        <v>0</v>
      </c>
      <c r="M562" s="102">
        <v>0</v>
      </c>
      <c r="N562" s="102">
        <v>0</v>
      </c>
      <c r="O562" s="102">
        <f>IF(L562&gt;0,N562*100/L562,0)</f>
        <v>0</v>
      </c>
      <c r="P562" s="102">
        <f>IF(M562&gt;0,N562*100/M562,0)</f>
        <v>0</v>
      </c>
      <c r="Q562" s="102">
        <v>0</v>
      </c>
      <c r="R562" s="102">
        <v>0</v>
      </c>
      <c r="S562" s="102">
        <v>0</v>
      </c>
      <c r="T562" s="102">
        <f>IF(Q562&gt;0,S562*100/Q562,0)</f>
        <v>0</v>
      </c>
      <c r="U562" s="102">
        <f>IF(R562&gt;0,S562*100/R562,0)</f>
        <v>0</v>
      </c>
    </row>
    <row r="563" spans="1:21" ht="18.75" hidden="1">
      <c r="A563" s="155"/>
      <c r="B563" s="50"/>
      <c r="C563" s="50"/>
      <c r="D563" s="50"/>
      <c r="E563" s="58" t="s">
        <v>21</v>
      </c>
      <c r="F563" s="50"/>
      <c r="G563" s="52"/>
      <c r="H563" s="165" t="s">
        <v>14</v>
      </c>
      <c r="I563" s="163"/>
      <c r="J563" s="163"/>
      <c r="K563" s="164"/>
      <c r="L563" s="256">
        <v>0</v>
      </c>
      <c r="M563" s="255">
        <v>0</v>
      </c>
      <c r="N563" s="255">
        <v>0</v>
      </c>
      <c r="O563" s="255">
        <f>IF(L563&gt;0,N563*100/L563,0)</f>
        <v>0</v>
      </c>
      <c r="P563" s="255">
        <f>IF(M563&gt;0,N563*100/M563,0)</f>
        <v>0</v>
      </c>
      <c r="Q563" s="255">
        <v>0</v>
      </c>
      <c r="R563" s="255">
        <v>0</v>
      </c>
      <c r="S563" s="255">
        <v>0</v>
      </c>
      <c r="T563" s="255">
        <f>IF(Q563&gt;0,S563*100/Q563,0)</f>
        <v>0</v>
      </c>
      <c r="U563" s="255">
        <f>IF(R563&gt;0,S563*100/R563,0)</f>
        <v>0</v>
      </c>
    </row>
    <row r="564" spans="1:21" ht="19.5" hidden="1">
      <c r="A564" s="166"/>
      <c r="B564" s="167"/>
      <c r="C564" s="411" t="s">
        <v>18</v>
      </c>
      <c r="D564" s="566" t="s">
        <v>38</v>
      </c>
      <c r="E564" s="169"/>
      <c r="F564" s="169"/>
      <c r="G564" s="170"/>
      <c r="H564" s="171"/>
      <c r="I564" s="163"/>
      <c r="J564" s="54"/>
      <c r="K564" s="55"/>
      <c r="L564" s="62"/>
      <c r="M564" s="55"/>
      <c r="N564" s="55"/>
      <c r="O564" s="164"/>
      <c r="P564" s="164"/>
      <c r="Q564" s="55"/>
      <c r="R564" s="55"/>
      <c r="S564" s="55"/>
      <c r="T564" s="164"/>
      <c r="U564" s="164"/>
    </row>
    <row r="565" spans="1:21" ht="12.75" hidden="1">
      <c r="A565" s="258"/>
      <c r="B565" s="260"/>
      <c r="C565" s="259"/>
      <c r="D565" s="260"/>
      <c r="E565" s="259"/>
      <c r="F565" s="260"/>
      <c r="G565" s="261"/>
      <c r="H565" s="261"/>
      <c r="I565" s="263"/>
      <c r="J565" s="263"/>
      <c r="K565" s="264"/>
      <c r="L565" s="265"/>
      <c r="M565" s="264"/>
      <c r="N565" s="264"/>
      <c r="O565" s="264"/>
      <c r="P565" s="264"/>
      <c r="Q565" s="264"/>
      <c r="R565" s="264"/>
      <c r="S565" s="264"/>
      <c r="T565" s="264"/>
      <c r="U565" s="264"/>
    </row>
    <row r="566" spans="1:21" ht="12.75" hidden="1">
      <c r="A566" s="258"/>
      <c r="B566" s="260"/>
      <c r="C566" s="259"/>
      <c r="D566" s="260"/>
      <c r="E566" s="259"/>
      <c r="F566" s="260"/>
      <c r="G566" s="261"/>
      <c r="H566" s="261"/>
      <c r="I566" s="263"/>
      <c r="J566" s="263"/>
      <c r="K566" s="264"/>
      <c r="L566" s="265"/>
      <c r="M566" s="264"/>
      <c r="N566" s="264"/>
      <c r="O566" s="264"/>
      <c r="P566" s="264"/>
      <c r="Q566" s="264"/>
      <c r="R566" s="264"/>
      <c r="S566" s="264"/>
      <c r="T566" s="264"/>
      <c r="U566" s="264"/>
    </row>
    <row r="567" spans="1:21" ht="12.75" hidden="1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5"/>
      <c r="M567" s="264"/>
      <c r="N567" s="264"/>
      <c r="O567" s="264"/>
      <c r="P567" s="264"/>
      <c r="Q567" s="264"/>
      <c r="R567" s="264"/>
      <c r="S567" s="264"/>
      <c r="T567" s="264"/>
      <c r="U567" s="264"/>
    </row>
    <row r="568" spans="1:21" ht="12.75" hidden="1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5"/>
      <c r="M568" s="264"/>
      <c r="N568" s="264"/>
      <c r="O568" s="264"/>
      <c r="P568" s="264"/>
      <c r="Q568" s="264"/>
      <c r="R568" s="264"/>
      <c r="S568" s="264"/>
      <c r="T568" s="264"/>
      <c r="U568" s="264"/>
    </row>
    <row r="569" spans="1:21" ht="12.75" hidden="1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5"/>
      <c r="M569" s="264"/>
      <c r="N569" s="264"/>
      <c r="O569" s="264"/>
      <c r="P569" s="264"/>
      <c r="Q569" s="264"/>
      <c r="R569" s="264"/>
      <c r="S569" s="264"/>
      <c r="T569" s="264"/>
      <c r="U569" s="264"/>
    </row>
    <row r="570" spans="1:21" ht="12.75" hidden="1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5"/>
      <c r="M570" s="264"/>
      <c r="N570" s="264"/>
      <c r="O570" s="264"/>
      <c r="P570" s="264"/>
      <c r="Q570" s="264"/>
      <c r="R570" s="264"/>
      <c r="S570" s="264"/>
      <c r="T570" s="264"/>
      <c r="U570" s="264"/>
    </row>
    <row r="571" spans="1:21" ht="12.75" hidden="1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5"/>
      <c r="M571" s="264"/>
      <c r="N571" s="264"/>
      <c r="O571" s="264"/>
      <c r="P571" s="264"/>
      <c r="Q571" s="264"/>
      <c r="R571" s="264"/>
      <c r="S571" s="264"/>
      <c r="T571" s="264"/>
      <c r="U571" s="264"/>
    </row>
    <row r="572" spans="1:21" ht="12.75" hidden="1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5"/>
      <c r="M572" s="264"/>
      <c r="N572" s="264"/>
      <c r="O572" s="264"/>
      <c r="P572" s="264"/>
      <c r="Q572" s="264"/>
      <c r="R572" s="264"/>
      <c r="S572" s="264"/>
      <c r="T572" s="264"/>
      <c r="U572" s="264"/>
    </row>
    <row r="573" spans="1:21" ht="12.75" hidden="1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5"/>
      <c r="M573" s="264"/>
      <c r="N573" s="264"/>
      <c r="O573" s="264"/>
      <c r="P573" s="264"/>
      <c r="Q573" s="264"/>
      <c r="R573" s="264"/>
      <c r="S573" s="264"/>
      <c r="T573" s="264"/>
      <c r="U573" s="264"/>
    </row>
    <row r="574" spans="1:21" ht="12.75" hidden="1">
      <c r="A574" s="407"/>
      <c r="B574" s="360"/>
      <c r="C574" s="360"/>
      <c r="D574" s="408"/>
      <c r="E574" s="408"/>
      <c r="F574" s="408"/>
      <c r="G574" s="409"/>
      <c r="H574" s="361"/>
      <c r="I574" s="362"/>
      <c r="J574" s="362"/>
      <c r="K574" s="363"/>
      <c r="L574" s="364"/>
      <c r="M574" s="363"/>
      <c r="N574" s="363"/>
      <c r="O574" s="363"/>
      <c r="P574" s="363"/>
      <c r="Q574" s="363"/>
      <c r="R574" s="363"/>
      <c r="S574" s="363"/>
      <c r="T574" s="363"/>
      <c r="U574" s="363"/>
    </row>
    <row r="575" spans="1:21" ht="19.5" hidden="1">
      <c r="A575" s="395"/>
      <c r="B575" s="396" t="s">
        <v>213</v>
      </c>
      <c r="C575" s="397"/>
      <c r="D575" s="398"/>
      <c r="E575" s="398"/>
      <c r="F575" s="398"/>
      <c r="G575" s="399"/>
      <c r="H575" s="410" t="s">
        <v>61</v>
      </c>
      <c r="I575" s="577">
        <f>I587</f>
        <v>0</v>
      </c>
      <c r="J575" s="577">
        <f>J587</f>
        <v>0</v>
      </c>
      <c r="K575" s="576">
        <f>IF(I575&gt;0,J575*100/I575,0)</f>
        <v>0</v>
      </c>
      <c r="L575" s="404"/>
      <c r="M575" s="403"/>
      <c r="N575" s="403"/>
      <c r="O575" s="403"/>
      <c r="P575" s="403"/>
      <c r="Q575" s="403"/>
      <c r="R575" s="403"/>
      <c r="S575" s="403"/>
      <c r="T575" s="403"/>
      <c r="U575" s="403"/>
    </row>
    <row r="576" spans="1:21" ht="19.5" hidden="1">
      <c r="A576" s="155"/>
      <c r="B576" s="50"/>
      <c r="C576" s="156" t="s">
        <v>18</v>
      </c>
      <c r="D576" s="575" t="s">
        <v>19</v>
      </c>
      <c r="E576" s="50"/>
      <c r="F576" s="50"/>
      <c r="G576" s="52"/>
      <c r="H576" s="158" t="s">
        <v>14</v>
      </c>
      <c r="I576" s="54"/>
      <c r="J576" s="54"/>
      <c r="K576" s="55"/>
      <c r="L576" s="541">
        <f>L577+L578</f>
        <v>0</v>
      </c>
      <c r="M576" s="540">
        <f>M577+M578</f>
        <v>0</v>
      </c>
      <c r="N576" s="540">
        <f>N577+N578</f>
        <v>0</v>
      </c>
      <c r="O576" s="540">
        <f>IF(L576&gt;0,N576*100/L576,0)</f>
        <v>0</v>
      </c>
      <c r="P576" s="540">
        <f>IF(M576&gt;0,N576*100/M576,0)</f>
        <v>0</v>
      </c>
      <c r="Q576" s="540">
        <f>Q577+Q578</f>
        <v>0</v>
      </c>
      <c r="R576" s="540">
        <f>R577+R578</f>
        <v>0</v>
      </c>
      <c r="S576" s="540">
        <f>S577+S578</f>
        <v>0</v>
      </c>
      <c r="T576" s="540">
        <f>IF(Q576&gt;0,S576*100/Q576,0)</f>
        <v>0</v>
      </c>
      <c r="U576" s="540">
        <f>IF(R576&gt;0,S576*100/R576,0)</f>
        <v>0</v>
      </c>
    </row>
    <row r="577" spans="1:21" ht="18.75" hidden="1">
      <c r="A577" s="155"/>
      <c r="B577" s="188"/>
      <c r="C577" s="50"/>
      <c r="D577" s="50"/>
      <c r="E577" s="186" t="s">
        <v>20</v>
      </c>
      <c r="F577" s="50"/>
      <c r="G577" s="52"/>
      <c r="H577" s="187" t="s">
        <v>14</v>
      </c>
      <c r="I577" s="54"/>
      <c r="J577" s="54"/>
      <c r="K577" s="55"/>
      <c r="L577" s="103">
        <f>L580+L583</f>
        <v>0</v>
      </c>
      <c r="M577" s="102">
        <f>M580+M583</f>
        <v>0</v>
      </c>
      <c r="N577" s="102">
        <f>N580+N583</f>
        <v>0</v>
      </c>
      <c r="O577" s="102">
        <f>IF(L577&gt;0,N577*100/L577,0)</f>
        <v>0</v>
      </c>
      <c r="P577" s="102">
        <f>IF(M577&gt;0,N577*100/M577,0)</f>
        <v>0</v>
      </c>
      <c r="Q577" s="102">
        <f>Q580+Q583</f>
        <v>0</v>
      </c>
      <c r="R577" s="102">
        <f>R580+R583</f>
        <v>0</v>
      </c>
      <c r="S577" s="102">
        <f>S580+S583</f>
        <v>0</v>
      </c>
      <c r="T577" s="102">
        <f>IF(Q577&gt;0,S577*100/Q577,0)</f>
        <v>0</v>
      </c>
      <c r="U577" s="102">
        <f>IF(R577&gt;0,S577*100/R577,0)</f>
        <v>0</v>
      </c>
    </row>
    <row r="578" spans="1:21" ht="18.75" hidden="1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256">
        <f>L581+L584</f>
        <v>0</v>
      </c>
      <c r="M578" s="255">
        <f>M581+M584</f>
        <v>0</v>
      </c>
      <c r="N578" s="255">
        <f>N581+N584</f>
        <v>0</v>
      </c>
      <c r="O578" s="255">
        <f>IF(L578&gt;0,N578*100/L578,0)</f>
        <v>0</v>
      </c>
      <c r="P578" s="255">
        <f>IF(M578&gt;0,N578*100/M578,0)</f>
        <v>0</v>
      </c>
      <c r="Q578" s="255">
        <f>Q581+Q584</f>
        <v>0</v>
      </c>
      <c r="R578" s="255">
        <f>R581+R584</f>
        <v>0</v>
      </c>
      <c r="S578" s="255">
        <f>S581+S584</f>
        <v>0</v>
      </c>
      <c r="T578" s="255">
        <f>IF(Q578&gt;0,S578*100/Q578,0)</f>
        <v>0</v>
      </c>
      <c r="U578" s="255">
        <f>IF(R578&gt;0,S578*100/R578,0)</f>
        <v>0</v>
      </c>
    </row>
    <row r="579" spans="1:21" ht="18.75" hidden="1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256">
        <f>L580+L581</f>
        <v>0</v>
      </c>
      <c r="M579" s="255">
        <f>M580+M581</f>
        <v>0</v>
      </c>
      <c r="N579" s="255">
        <f>N580+N581</f>
        <v>0</v>
      </c>
      <c r="O579" s="255">
        <f>IF(L579&gt;0,N579*100/L579,0)</f>
        <v>0</v>
      </c>
      <c r="P579" s="255">
        <f>IF(M579&gt;0,N579*100/M579,0)</f>
        <v>0</v>
      </c>
      <c r="Q579" s="255">
        <f>Q580+Q581</f>
        <v>0</v>
      </c>
      <c r="R579" s="255">
        <f>R580+R581</f>
        <v>0</v>
      </c>
      <c r="S579" s="255">
        <f>S580+S581</f>
        <v>0</v>
      </c>
      <c r="T579" s="255">
        <f>IF(Q579&gt;0,S579*100/Q579,0)</f>
        <v>0</v>
      </c>
      <c r="U579" s="255">
        <f>IF(R579&gt;0,S579*100/R579,0)</f>
        <v>0</v>
      </c>
    </row>
    <row r="580" spans="1:21" ht="18.75" hidden="1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103">
        <v>0</v>
      </c>
      <c r="M580" s="102">
        <v>0</v>
      </c>
      <c r="N580" s="102">
        <v>0</v>
      </c>
      <c r="O580" s="102">
        <f>IF(L580&gt;0,N580*100/L580,0)</f>
        <v>0</v>
      </c>
      <c r="P580" s="102">
        <f>IF(M580&gt;0,N580*100/M580,0)</f>
        <v>0</v>
      </c>
      <c r="Q580" s="102">
        <v>0</v>
      </c>
      <c r="R580" s="102">
        <v>0</v>
      </c>
      <c r="S580" s="102">
        <v>0</v>
      </c>
      <c r="T580" s="102">
        <f>IF(Q580&gt;0,S580*100/Q580,0)</f>
        <v>0</v>
      </c>
      <c r="U580" s="102">
        <f>IF(R580&gt;0,S580*100/R580,0)</f>
        <v>0</v>
      </c>
    </row>
    <row r="581" spans="1:21" ht="18.75" hidden="1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256">
        <v>0</v>
      </c>
      <c r="M581" s="255">
        <v>0</v>
      </c>
      <c r="N581" s="255">
        <v>0</v>
      </c>
      <c r="O581" s="255">
        <f>IF(L581&gt;0,N581*100/L581,0)</f>
        <v>0</v>
      </c>
      <c r="P581" s="255">
        <f>IF(M581&gt;0,N581*100/M581,0)</f>
        <v>0</v>
      </c>
      <c r="Q581" s="255">
        <v>0</v>
      </c>
      <c r="R581" s="255">
        <v>0</v>
      </c>
      <c r="S581" s="255">
        <v>0</v>
      </c>
      <c r="T581" s="255">
        <f>IF(Q581&gt;0,S581*100/Q581,0)</f>
        <v>0</v>
      </c>
      <c r="U581" s="255">
        <f>IF(R581&gt;0,S581*100/R581,0)</f>
        <v>0</v>
      </c>
    </row>
    <row r="582" spans="1:21" ht="18.75" hidden="1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256">
        <f>L583+L584</f>
        <v>0</v>
      </c>
      <c r="M582" s="255">
        <f>M583+M584</f>
        <v>0</v>
      </c>
      <c r="N582" s="255">
        <f>N583+N584</f>
        <v>0</v>
      </c>
      <c r="O582" s="255">
        <f>IF(L582&gt;0,N582*100/L582,0)</f>
        <v>0</v>
      </c>
      <c r="P582" s="255">
        <f>IF(M582&gt;0,N582*100/M582,0)</f>
        <v>0</v>
      </c>
      <c r="Q582" s="255">
        <f>Q583+Q584</f>
        <v>0</v>
      </c>
      <c r="R582" s="255">
        <f>R583+R584</f>
        <v>0</v>
      </c>
      <c r="S582" s="255">
        <f>S583+S584</f>
        <v>0</v>
      </c>
      <c r="T582" s="255">
        <f>IF(Q582&gt;0,S582*100/Q582,0)</f>
        <v>0</v>
      </c>
      <c r="U582" s="255">
        <f>IF(R582&gt;0,S582*100/R582,0)</f>
        <v>0</v>
      </c>
    </row>
    <row r="583" spans="1:21" ht="18.75" hidden="1">
      <c r="A583" s="155"/>
      <c r="B583" s="50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103">
        <v>0</v>
      </c>
      <c r="M583" s="102">
        <v>0</v>
      </c>
      <c r="N583" s="102">
        <v>0</v>
      </c>
      <c r="O583" s="102">
        <f>IF(L583&gt;0,N583*100/L583,0)</f>
        <v>0</v>
      </c>
      <c r="P583" s="102">
        <f>IF(M583&gt;0,N583*100/M583,0)</f>
        <v>0</v>
      </c>
      <c r="Q583" s="102">
        <v>0</v>
      </c>
      <c r="R583" s="102">
        <v>0</v>
      </c>
      <c r="S583" s="102">
        <v>0</v>
      </c>
      <c r="T583" s="102">
        <f>IF(Q583&gt;0,S583*100/Q583,0)</f>
        <v>0</v>
      </c>
      <c r="U583" s="102">
        <f>IF(R583&gt;0,S583*100/R583,0)</f>
        <v>0</v>
      </c>
    </row>
    <row r="584" spans="1:21" ht="18.75" hidden="1">
      <c r="A584" s="155"/>
      <c r="B584" s="50"/>
      <c r="C584" s="50"/>
      <c r="D584" s="50"/>
      <c r="E584" s="58" t="s">
        <v>21</v>
      </c>
      <c r="F584" s="50"/>
      <c r="G584" s="52"/>
      <c r="H584" s="165" t="s">
        <v>14</v>
      </c>
      <c r="I584" s="163"/>
      <c r="J584" s="163"/>
      <c r="K584" s="164"/>
      <c r="L584" s="256">
        <v>0</v>
      </c>
      <c r="M584" s="255">
        <v>0</v>
      </c>
      <c r="N584" s="255">
        <v>0</v>
      </c>
      <c r="O584" s="255">
        <f>IF(L584&gt;0,N584*100/L584,0)</f>
        <v>0</v>
      </c>
      <c r="P584" s="255">
        <f>IF(M584&gt;0,N584*100/M584,0)</f>
        <v>0</v>
      </c>
      <c r="Q584" s="255">
        <v>0</v>
      </c>
      <c r="R584" s="255">
        <v>0</v>
      </c>
      <c r="S584" s="255">
        <v>0</v>
      </c>
      <c r="T584" s="255">
        <f>IF(Q584&gt;0,S584*100/Q584,0)</f>
        <v>0</v>
      </c>
      <c r="U584" s="255">
        <f>IF(R584&gt;0,S584*100/R584,0)</f>
        <v>0</v>
      </c>
    </row>
    <row r="585" spans="1:21" ht="19.5" hidden="1">
      <c r="A585" s="166"/>
      <c r="B585" s="167"/>
      <c r="C585" s="411" t="s">
        <v>18</v>
      </c>
      <c r="D585" s="566" t="s">
        <v>38</v>
      </c>
      <c r="E585" s="169"/>
      <c r="F585" s="169"/>
      <c r="G585" s="170"/>
      <c r="H585" s="171"/>
      <c r="I585" s="163"/>
      <c r="J585" s="54"/>
      <c r="K585" s="55"/>
      <c r="L585" s="62"/>
      <c r="M585" s="55"/>
      <c r="N585" s="55"/>
      <c r="O585" s="164"/>
      <c r="P585" s="164"/>
      <c r="Q585" s="55"/>
      <c r="R585" s="55"/>
      <c r="S585" s="55"/>
      <c r="T585" s="164"/>
      <c r="U585" s="164"/>
    </row>
    <row r="586" spans="1:21" ht="12.75" hidden="1">
      <c r="A586" s="258"/>
      <c r="B586" s="260"/>
      <c r="C586" s="259"/>
      <c r="D586" s="260"/>
      <c r="E586" s="259"/>
      <c r="F586" s="260"/>
      <c r="G586" s="261"/>
      <c r="H586" s="261"/>
      <c r="I586" s="263"/>
      <c r="J586" s="263"/>
      <c r="K586" s="264"/>
      <c r="L586" s="265"/>
      <c r="M586" s="264"/>
      <c r="N586" s="264"/>
      <c r="O586" s="264"/>
      <c r="P586" s="264"/>
      <c r="Q586" s="264"/>
      <c r="R586" s="264"/>
      <c r="S586" s="264"/>
      <c r="T586" s="264"/>
      <c r="U586" s="264"/>
    </row>
    <row r="587" spans="1:21" ht="12.75" hidden="1">
      <c r="A587" s="258"/>
      <c r="B587" s="260"/>
      <c r="C587" s="259"/>
      <c r="D587" s="260"/>
      <c r="E587" s="259"/>
      <c r="F587" s="260"/>
      <c r="G587" s="261"/>
      <c r="H587" s="261"/>
      <c r="I587" s="263"/>
      <c r="J587" s="263"/>
      <c r="K587" s="264"/>
      <c r="L587" s="265"/>
      <c r="M587" s="264"/>
      <c r="N587" s="264"/>
      <c r="O587" s="264"/>
      <c r="P587" s="264"/>
      <c r="Q587" s="264"/>
      <c r="R587" s="264"/>
      <c r="S587" s="264"/>
      <c r="T587" s="264"/>
      <c r="U587" s="264"/>
    </row>
    <row r="588" spans="1:21" ht="12.75" hidden="1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5"/>
      <c r="M588" s="264"/>
      <c r="N588" s="264"/>
      <c r="O588" s="264"/>
      <c r="P588" s="264"/>
      <c r="Q588" s="264"/>
      <c r="R588" s="264"/>
      <c r="S588" s="264"/>
      <c r="T588" s="264"/>
      <c r="U588" s="264"/>
    </row>
    <row r="589" spans="1:21" ht="12.75" hidden="1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5"/>
      <c r="M589" s="264"/>
      <c r="N589" s="264"/>
      <c r="O589" s="264"/>
      <c r="P589" s="264"/>
      <c r="Q589" s="264"/>
      <c r="R589" s="264"/>
      <c r="S589" s="264"/>
      <c r="T589" s="264"/>
      <c r="U589" s="264"/>
    </row>
    <row r="590" spans="1:21" ht="12.75" hidden="1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5"/>
      <c r="M590" s="264"/>
      <c r="N590" s="264"/>
      <c r="O590" s="264"/>
      <c r="P590" s="264"/>
      <c r="Q590" s="264"/>
      <c r="R590" s="264"/>
      <c r="S590" s="264"/>
      <c r="T590" s="264"/>
      <c r="U590" s="264"/>
    </row>
    <row r="591" spans="1:21" ht="12.75" hidden="1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5"/>
      <c r="M591" s="264"/>
      <c r="N591" s="264"/>
      <c r="O591" s="264"/>
      <c r="P591" s="264"/>
      <c r="Q591" s="264"/>
      <c r="R591" s="264"/>
      <c r="S591" s="264"/>
      <c r="T591" s="264"/>
      <c r="U591" s="264"/>
    </row>
    <row r="592" spans="1:21" ht="12.75" hidden="1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5"/>
      <c r="M592" s="264"/>
      <c r="N592" s="264"/>
      <c r="O592" s="264"/>
      <c r="P592" s="264"/>
      <c r="Q592" s="264"/>
      <c r="R592" s="264"/>
      <c r="S592" s="264"/>
      <c r="T592" s="264"/>
      <c r="U592" s="264"/>
    </row>
    <row r="593" spans="1:21" ht="12.75" hidden="1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5"/>
      <c r="M593" s="264"/>
      <c r="N593" s="264"/>
      <c r="O593" s="264"/>
      <c r="P593" s="264"/>
      <c r="Q593" s="264"/>
      <c r="R593" s="264"/>
      <c r="S593" s="264"/>
      <c r="T593" s="264"/>
      <c r="U593" s="264"/>
    </row>
    <row r="594" spans="1:21" ht="12.75" hidden="1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5"/>
      <c r="M594" s="264"/>
      <c r="N594" s="264"/>
      <c r="O594" s="264"/>
      <c r="P594" s="264"/>
      <c r="Q594" s="264"/>
      <c r="R594" s="264"/>
      <c r="S594" s="264"/>
      <c r="T594" s="264"/>
      <c r="U594" s="264"/>
    </row>
    <row r="595" spans="1:21" ht="12.75" hidden="1">
      <c r="A595" s="407"/>
      <c r="B595" s="360"/>
      <c r="C595" s="360"/>
      <c r="D595" s="408"/>
      <c r="E595" s="408"/>
      <c r="F595" s="408"/>
      <c r="G595" s="409"/>
      <c r="H595" s="361"/>
      <c r="I595" s="362"/>
      <c r="J595" s="362"/>
      <c r="K595" s="363"/>
      <c r="L595" s="364"/>
      <c r="M595" s="363"/>
      <c r="N595" s="363"/>
      <c r="O595" s="363"/>
      <c r="P595" s="363"/>
      <c r="Q595" s="363"/>
      <c r="R595" s="363"/>
      <c r="S595" s="363"/>
      <c r="T595" s="363"/>
      <c r="U595" s="363"/>
    </row>
    <row r="596" spans="1:21" ht="19.5" hidden="1">
      <c r="A596" s="412" t="s">
        <v>214</v>
      </c>
      <c r="B596" s="144"/>
      <c r="C596" s="196"/>
      <c r="D596" s="144"/>
      <c r="E596" s="144"/>
      <c r="F596" s="144"/>
      <c r="G596" s="144"/>
      <c r="H596" s="145"/>
      <c r="I596" s="197"/>
      <c r="J596" s="197"/>
      <c r="K596" s="19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8"/>
    </row>
    <row r="597" spans="1:21" ht="19.5" hidden="1">
      <c r="A597" s="150"/>
      <c r="B597" s="413" t="s">
        <v>215</v>
      </c>
      <c r="C597" s="200"/>
      <c r="D597" s="151"/>
      <c r="E597" s="34"/>
      <c r="F597" s="34"/>
      <c r="G597" s="34"/>
      <c r="H597" s="414" t="s">
        <v>99</v>
      </c>
      <c r="I597" s="210"/>
      <c r="J597" s="39"/>
      <c r="K597" s="40"/>
      <c r="L597" s="154"/>
      <c r="M597" s="40"/>
      <c r="N597" s="40"/>
      <c r="O597" s="40"/>
      <c r="P597" s="40"/>
      <c r="Q597" s="40"/>
      <c r="R597" s="40"/>
      <c r="S597" s="40"/>
      <c r="T597" s="40"/>
      <c r="U597" s="40"/>
    </row>
    <row r="598" spans="1:21" ht="19.5" hidden="1">
      <c r="A598" s="415"/>
      <c r="B598" s="416" t="s">
        <v>216</v>
      </c>
      <c r="C598" s="151"/>
      <c r="D598" s="34"/>
      <c r="E598" s="34"/>
      <c r="F598" s="34"/>
      <c r="G598" s="37"/>
      <c r="H598" s="417" t="s">
        <v>35</v>
      </c>
      <c r="I598" s="39"/>
      <c r="J598" s="39"/>
      <c r="K598" s="40"/>
      <c r="L598" s="154"/>
      <c r="M598" s="40"/>
      <c r="N598" s="40"/>
      <c r="O598" s="40"/>
      <c r="P598" s="40"/>
      <c r="Q598" s="40"/>
      <c r="R598" s="40"/>
      <c r="S598" s="40"/>
      <c r="T598" s="40"/>
      <c r="U598" s="40"/>
    </row>
    <row r="599" spans="1:21" ht="19.5" hidden="1">
      <c r="A599" s="155"/>
      <c r="B599" s="188"/>
      <c r="C599" s="205" t="s">
        <v>18</v>
      </c>
      <c r="D599" s="563" t="s">
        <v>19</v>
      </c>
      <c r="E599" s="529"/>
      <c r="F599" s="529"/>
      <c r="G599" s="530"/>
      <c r="H599" s="418" t="s">
        <v>14</v>
      </c>
      <c r="I599" s="54"/>
      <c r="J599" s="54"/>
      <c r="K599" s="55"/>
      <c r="L599" s="541">
        <f>L600+L601</f>
        <v>0</v>
      </c>
      <c r="M599" s="540">
        <f>M600+M601</f>
        <v>0</v>
      </c>
      <c r="N599" s="540">
        <f>N600+N601</f>
        <v>0</v>
      </c>
      <c r="O599" s="540">
        <f>IF(L599&gt;0,N599*100/L599,0)</f>
        <v>0</v>
      </c>
      <c r="P599" s="540">
        <f>IF(M599&gt;0,N599*100/M599,0)</f>
        <v>0</v>
      </c>
      <c r="Q599" s="540">
        <f>Q600+Q601</f>
        <v>0</v>
      </c>
      <c r="R599" s="540">
        <f>R600+R601</f>
        <v>0</v>
      </c>
      <c r="S599" s="540">
        <f>S600+S601</f>
        <v>0</v>
      </c>
      <c r="T599" s="540">
        <f>IF(Q599&gt;0,S599*100/Q599,0)</f>
        <v>0</v>
      </c>
      <c r="U599" s="540">
        <f>IF(R599&gt;0,S599*100/R599,0)</f>
        <v>0</v>
      </c>
    </row>
    <row r="600" spans="1:21" ht="18.75" hidden="1">
      <c r="A600" s="155"/>
      <c r="B600" s="188"/>
      <c r="C600" s="188"/>
      <c r="D600" s="174"/>
      <c r="E600" s="186" t="s">
        <v>159</v>
      </c>
      <c r="F600" s="50"/>
      <c r="G600" s="52"/>
      <c r="H600" s="189" t="s">
        <v>14</v>
      </c>
      <c r="I600" s="54"/>
      <c r="J600" s="54"/>
      <c r="K600" s="55"/>
      <c r="L600" s="103">
        <f>L603+L606</f>
        <v>0</v>
      </c>
      <c r="M600" s="102">
        <f>M603+M606</f>
        <v>0</v>
      </c>
      <c r="N600" s="102">
        <f>N603+N606</f>
        <v>0</v>
      </c>
      <c r="O600" s="102">
        <f>IF(L600&gt;0,N600*100/L600,0)</f>
        <v>0</v>
      </c>
      <c r="P600" s="102">
        <f>IF(M600&gt;0,N600*100/M600,0)</f>
        <v>0</v>
      </c>
      <c r="Q600" s="102">
        <f>Q603+Q606</f>
        <v>0</v>
      </c>
      <c r="R600" s="102">
        <f>R603+R606</f>
        <v>0</v>
      </c>
      <c r="S600" s="102">
        <f>S603+S606</f>
        <v>0</v>
      </c>
      <c r="T600" s="102">
        <f>IF(Q600&gt;0,S600*100/Q600,0)</f>
        <v>0</v>
      </c>
      <c r="U600" s="102">
        <f>IF(R600&gt;0,S600*100/R600,0)</f>
        <v>0</v>
      </c>
    </row>
    <row r="601" spans="1:21" ht="18.75" hidden="1">
      <c r="A601" s="155"/>
      <c r="B601" s="188"/>
      <c r="C601" s="188"/>
      <c r="D601" s="174"/>
      <c r="E601" s="186" t="s">
        <v>160</v>
      </c>
      <c r="F601" s="50"/>
      <c r="G601" s="52"/>
      <c r="H601" s="189" t="s">
        <v>14</v>
      </c>
      <c r="I601" s="54"/>
      <c r="J601" s="54"/>
      <c r="K601" s="55"/>
      <c r="L601" s="256">
        <f>L604+L607</f>
        <v>0</v>
      </c>
      <c r="M601" s="255">
        <f>M604+M607</f>
        <v>0</v>
      </c>
      <c r="N601" s="255">
        <f>N604+N607</f>
        <v>0</v>
      </c>
      <c r="O601" s="255">
        <f>IF(L601&gt;0,N601*100/L601,0)</f>
        <v>0</v>
      </c>
      <c r="P601" s="255">
        <f>IF(M601&gt;0,N601*100/M601,0)</f>
        <v>0</v>
      </c>
      <c r="Q601" s="255">
        <f>Q604+Q607</f>
        <v>0</v>
      </c>
      <c r="R601" s="255">
        <f>R604+R607</f>
        <v>0</v>
      </c>
      <c r="S601" s="255">
        <f>S604+S607</f>
        <v>0</v>
      </c>
      <c r="T601" s="255">
        <f>IF(Q601&gt;0,S601*100/Q601,0)</f>
        <v>0</v>
      </c>
      <c r="U601" s="255">
        <f>IF(R601&gt;0,S601*100/R601,0)</f>
        <v>0</v>
      </c>
    </row>
    <row r="602" spans="1:21" ht="19.5" hidden="1">
      <c r="A602" s="155"/>
      <c r="B602" s="188"/>
      <c r="C602" s="188"/>
      <c r="D602" s="562" t="s">
        <v>22</v>
      </c>
      <c r="E602" s="50"/>
      <c r="F602" s="50"/>
      <c r="G602" s="52"/>
      <c r="H602" s="418" t="s">
        <v>14</v>
      </c>
      <c r="I602" s="163"/>
      <c r="J602" s="163"/>
      <c r="K602" s="164"/>
      <c r="L602" s="256">
        <f>L603+L604</f>
        <v>0</v>
      </c>
      <c r="M602" s="255">
        <f>M603+M604</f>
        <v>0</v>
      </c>
      <c r="N602" s="255">
        <f>N603+N604</f>
        <v>0</v>
      </c>
      <c r="O602" s="255">
        <f>IF(L602&gt;0,N602*100/L602,0)</f>
        <v>0</v>
      </c>
      <c r="P602" s="255">
        <f>IF(M602&gt;0,N602*100/M602,0)</f>
        <v>0</v>
      </c>
      <c r="Q602" s="255">
        <f>Q603+Q604</f>
        <v>0</v>
      </c>
      <c r="R602" s="255">
        <f>R603+R604</f>
        <v>0</v>
      </c>
      <c r="S602" s="255">
        <f>S603+S604</f>
        <v>0</v>
      </c>
      <c r="T602" s="255">
        <f>IF(Q602&gt;0,S602*100/Q602,0)</f>
        <v>0</v>
      </c>
      <c r="U602" s="255">
        <f>IF(R602&gt;0,S602*100/R602,0)</f>
        <v>0</v>
      </c>
    </row>
    <row r="603" spans="1:21" ht="18.75" hidden="1">
      <c r="A603" s="155"/>
      <c r="B603" s="188"/>
      <c r="C603" s="188"/>
      <c r="D603" s="174"/>
      <c r="E603" s="186" t="s">
        <v>159</v>
      </c>
      <c r="F603" s="50"/>
      <c r="G603" s="52"/>
      <c r="H603" s="189" t="s">
        <v>14</v>
      </c>
      <c r="I603" s="54"/>
      <c r="J603" s="54"/>
      <c r="K603" s="55"/>
      <c r="L603" s="103">
        <v>0</v>
      </c>
      <c r="M603" s="102">
        <v>0</v>
      </c>
      <c r="N603" s="102">
        <v>0</v>
      </c>
      <c r="O603" s="102">
        <f>IF(L603&gt;0,N603*100/L603,0)</f>
        <v>0</v>
      </c>
      <c r="P603" s="102">
        <f>IF(M603&gt;0,N603*100/M603,0)</f>
        <v>0</v>
      </c>
      <c r="Q603" s="102">
        <v>0</v>
      </c>
      <c r="R603" s="102">
        <v>0</v>
      </c>
      <c r="S603" s="102">
        <v>0</v>
      </c>
      <c r="T603" s="102">
        <f>IF(Q603&gt;0,S603*100/Q603,0)</f>
        <v>0</v>
      </c>
      <c r="U603" s="102">
        <f>IF(R603&gt;0,S603*100/R603,0)</f>
        <v>0</v>
      </c>
    </row>
    <row r="604" spans="1:21" ht="18.75" hidden="1">
      <c r="A604" s="155"/>
      <c r="B604" s="188"/>
      <c r="C604" s="188"/>
      <c r="D604" s="174"/>
      <c r="E604" s="186" t="s">
        <v>160</v>
      </c>
      <c r="F604" s="50"/>
      <c r="G604" s="52"/>
      <c r="H604" s="189" t="s">
        <v>14</v>
      </c>
      <c r="I604" s="54"/>
      <c r="J604" s="54"/>
      <c r="K604" s="55"/>
      <c r="L604" s="256">
        <v>0</v>
      </c>
      <c r="M604" s="255">
        <v>0</v>
      </c>
      <c r="N604" s="255">
        <v>0</v>
      </c>
      <c r="O604" s="255">
        <f>IF(L604&gt;0,N604*100/L604,0)</f>
        <v>0</v>
      </c>
      <c r="P604" s="255">
        <f>IF(M604&gt;0,N604*100/M604,0)</f>
        <v>0</v>
      </c>
      <c r="Q604" s="255">
        <v>0</v>
      </c>
      <c r="R604" s="255">
        <v>0</v>
      </c>
      <c r="S604" s="255">
        <v>0</v>
      </c>
      <c r="T604" s="255">
        <f>IF(Q604&gt;0,S604*100/Q604,0)</f>
        <v>0</v>
      </c>
      <c r="U604" s="255">
        <f>IF(R604&gt;0,S604*100/R604,0)</f>
        <v>0</v>
      </c>
    </row>
    <row r="605" spans="1:21" ht="19.5" hidden="1">
      <c r="A605" s="155"/>
      <c r="B605" s="188"/>
      <c r="C605" s="188"/>
      <c r="D605" s="562" t="s">
        <v>23</v>
      </c>
      <c r="E605" s="188"/>
      <c r="F605" s="50"/>
      <c r="G605" s="52"/>
      <c r="H605" s="420" t="s">
        <v>14</v>
      </c>
      <c r="I605" s="163"/>
      <c r="J605" s="163"/>
      <c r="K605" s="164"/>
      <c r="L605" s="256">
        <f>L606+L607</f>
        <v>0</v>
      </c>
      <c r="M605" s="255">
        <f>M606+M607</f>
        <v>0</v>
      </c>
      <c r="N605" s="255">
        <f>N606+N607</f>
        <v>0</v>
      </c>
      <c r="O605" s="255">
        <f>IF(L605&gt;0,N605*100/L605,0)</f>
        <v>0</v>
      </c>
      <c r="P605" s="255">
        <f>IF(M605&gt;0,N605*100/M605,0)</f>
        <v>0</v>
      </c>
      <c r="Q605" s="255">
        <f>Q606+Q607</f>
        <v>0</v>
      </c>
      <c r="R605" s="255">
        <f>R606+R607</f>
        <v>0</v>
      </c>
      <c r="S605" s="255">
        <f>S606+S607</f>
        <v>0</v>
      </c>
      <c r="T605" s="255">
        <f>IF(Q605&gt;0,S605*100/Q605,0)</f>
        <v>0</v>
      </c>
      <c r="U605" s="255">
        <f>IF(R605&gt;0,S605*100/R605,0)</f>
        <v>0</v>
      </c>
    </row>
    <row r="606" spans="1:21" ht="18.75" hidden="1">
      <c r="A606" s="155"/>
      <c r="B606" s="188"/>
      <c r="C606" s="188"/>
      <c r="D606" s="188"/>
      <c r="E606" s="358" t="s">
        <v>20</v>
      </c>
      <c r="F606" s="50"/>
      <c r="G606" s="52"/>
      <c r="H606" s="189" t="s">
        <v>14</v>
      </c>
      <c r="I606" s="163"/>
      <c r="J606" s="163"/>
      <c r="K606" s="164"/>
      <c r="L606" s="103">
        <v>0</v>
      </c>
      <c r="M606" s="102">
        <v>0</v>
      </c>
      <c r="N606" s="102">
        <v>0</v>
      </c>
      <c r="O606" s="102">
        <f>IF(L606&gt;0,N606*100/L606,0)</f>
        <v>0</v>
      </c>
      <c r="P606" s="102">
        <f>IF(M606&gt;0,N606*100/M606,0)</f>
        <v>0</v>
      </c>
      <c r="Q606" s="102">
        <v>0</v>
      </c>
      <c r="R606" s="102">
        <v>0</v>
      </c>
      <c r="S606" s="102">
        <v>0</v>
      </c>
      <c r="T606" s="102">
        <f>IF(Q606&gt;0,S606*100/Q606,0)</f>
        <v>0</v>
      </c>
      <c r="U606" s="102">
        <f>IF(R606&gt;0,S606*100/R606,0)</f>
        <v>0</v>
      </c>
    </row>
    <row r="607" spans="1:21" ht="18.75" hidden="1">
      <c r="A607" s="155"/>
      <c r="B607" s="188"/>
      <c r="C607" s="188"/>
      <c r="D607" s="50"/>
      <c r="E607" s="358" t="s">
        <v>21</v>
      </c>
      <c r="F607" s="50"/>
      <c r="G607" s="52"/>
      <c r="H607" s="421" t="s">
        <v>14</v>
      </c>
      <c r="I607" s="163"/>
      <c r="J607" s="163"/>
      <c r="K607" s="164"/>
      <c r="L607" s="256">
        <v>0</v>
      </c>
      <c r="M607" s="255">
        <v>0</v>
      </c>
      <c r="N607" s="255">
        <v>0</v>
      </c>
      <c r="O607" s="255">
        <f>IF(L607&gt;0,N607*100/L607,0)</f>
        <v>0</v>
      </c>
      <c r="P607" s="255">
        <f>IF(M607&gt;0,N607*100/M607,0)</f>
        <v>0</v>
      </c>
      <c r="Q607" s="255">
        <v>0</v>
      </c>
      <c r="R607" s="255">
        <v>0</v>
      </c>
      <c r="S607" s="255">
        <v>0</v>
      </c>
      <c r="T607" s="255">
        <f>IF(Q607&gt;0,S607*100/Q607,0)</f>
        <v>0</v>
      </c>
      <c r="U607" s="255">
        <f>IF(R607&gt;0,S607*100/R607,0)</f>
        <v>0</v>
      </c>
    </row>
    <row r="608" spans="1:21" ht="19.5" hidden="1">
      <c r="A608" s="166"/>
      <c r="B608" s="167"/>
      <c r="C608" s="205" t="s">
        <v>18</v>
      </c>
      <c r="D608" s="574" t="s">
        <v>38</v>
      </c>
      <c r="E608" s="169"/>
      <c r="F608" s="169"/>
      <c r="G608" s="170"/>
      <c r="H608" s="206"/>
      <c r="I608" s="163"/>
      <c r="J608" s="163"/>
      <c r="K608" s="164"/>
      <c r="L608" s="62"/>
      <c r="M608" s="55"/>
      <c r="N608" s="55"/>
      <c r="O608" s="55"/>
      <c r="P608" s="55"/>
      <c r="Q608" s="55"/>
      <c r="R608" s="55"/>
      <c r="S608" s="55"/>
      <c r="T608" s="55"/>
      <c r="U608" s="55"/>
    </row>
    <row r="609" spans="1:21" ht="18.75" hidden="1">
      <c r="A609" s="166"/>
      <c r="B609" s="167"/>
      <c r="C609" s="167"/>
      <c r="D609" s="423" t="s">
        <v>217</v>
      </c>
      <c r="E609" s="174"/>
      <c r="F609" s="174"/>
      <c r="G609" s="171"/>
      <c r="H609" s="189" t="s">
        <v>99</v>
      </c>
      <c r="I609" s="54"/>
      <c r="J609" s="54"/>
      <c r="K609" s="164"/>
      <c r="L609" s="62"/>
      <c r="M609" s="55"/>
      <c r="N609" s="55"/>
      <c r="O609" s="55"/>
      <c r="P609" s="55"/>
      <c r="Q609" s="55"/>
      <c r="R609" s="55"/>
      <c r="S609" s="55"/>
      <c r="T609" s="55"/>
      <c r="U609" s="55"/>
    </row>
    <row r="610" spans="1:21" ht="19.5" hidden="1">
      <c r="A610" s="166"/>
      <c r="B610" s="167"/>
      <c r="C610" s="167"/>
      <c r="D610" s="423" t="s">
        <v>218</v>
      </c>
      <c r="E610" s="174"/>
      <c r="F610" s="174"/>
      <c r="G610" s="171"/>
      <c r="H610" s="418" t="s">
        <v>35</v>
      </c>
      <c r="I610" s="54"/>
      <c r="J610" s="54"/>
      <c r="K610" s="164"/>
      <c r="L610" s="62"/>
      <c r="M610" s="55"/>
      <c r="N610" s="55"/>
      <c r="O610" s="55"/>
      <c r="P610" s="55"/>
      <c r="Q610" s="55"/>
      <c r="R610" s="55"/>
      <c r="S610" s="55"/>
      <c r="T610" s="55"/>
      <c r="U610" s="55"/>
    </row>
    <row r="611" spans="1:21" ht="18.75" hidden="1">
      <c r="A611" s="166"/>
      <c r="B611" s="167"/>
      <c r="C611" s="167"/>
      <c r="D611" s="167"/>
      <c r="E611" s="423" t="s">
        <v>219</v>
      </c>
      <c r="F611" s="174"/>
      <c r="G611" s="171"/>
      <c r="H611" s="421" t="s">
        <v>35</v>
      </c>
      <c r="I611" s="54"/>
      <c r="J611" s="54"/>
      <c r="K611" s="164"/>
      <c r="L611" s="62"/>
      <c r="M611" s="55"/>
      <c r="N611" s="55"/>
      <c r="O611" s="55"/>
      <c r="P611" s="55"/>
      <c r="Q611" s="55"/>
      <c r="R611" s="55"/>
      <c r="S611" s="55"/>
      <c r="T611" s="55"/>
      <c r="U611" s="55"/>
    </row>
    <row r="612" spans="1:21" ht="19.5" hidden="1" thickBot="1">
      <c r="A612" s="424"/>
      <c r="B612" s="425"/>
      <c r="C612" s="425"/>
      <c r="D612" s="425"/>
      <c r="E612" s="426" t="s">
        <v>220</v>
      </c>
      <c r="F612" s="427"/>
      <c r="G612" s="428"/>
      <c r="H612" s="429" t="s">
        <v>35</v>
      </c>
      <c r="I612" s="430"/>
      <c r="J612" s="430"/>
      <c r="K612" s="431"/>
      <c r="L612" s="433"/>
      <c r="M612" s="432"/>
      <c r="N612" s="432"/>
      <c r="O612" s="432"/>
      <c r="P612" s="432"/>
      <c r="Q612" s="432"/>
      <c r="R612" s="432"/>
      <c r="S612" s="432"/>
      <c r="T612" s="432"/>
      <c r="U612" s="432"/>
    </row>
    <row r="613" spans="1:21" ht="19.5" hidden="1">
      <c r="A613" s="434" t="s">
        <v>221</v>
      </c>
      <c r="B613" s="435"/>
      <c r="C613" s="435"/>
      <c r="D613" s="436"/>
      <c r="E613" s="436"/>
      <c r="F613" s="436"/>
      <c r="G613" s="437"/>
      <c r="H613" s="438"/>
      <c r="I613" s="439"/>
      <c r="J613" s="439"/>
      <c r="K613" s="440"/>
      <c r="L613" s="441"/>
      <c r="M613" s="440"/>
      <c r="N613" s="440"/>
      <c r="O613" s="440"/>
      <c r="P613" s="440"/>
      <c r="Q613" s="440"/>
      <c r="R613" s="440"/>
      <c r="S613" s="440"/>
      <c r="T613" s="440"/>
      <c r="U613" s="440"/>
    </row>
    <row r="614" spans="1:21" ht="19.5">
      <c r="A614" s="442"/>
      <c r="B614" s="443" t="s">
        <v>222</v>
      </c>
      <c r="C614" s="442"/>
      <c r="D614" s="444"/>
      <c r="E614" s="444"/>
      <c r="F614" s="444"/>
      <c r="G614" s="445"/>
      <c r="H614" s="446"/>
      <c r="I614" s="447"/>
      <c r="J614" s="447"/>
      <c r="K614" s="448"/>
      <c r="L614" s="449"/>
      <c r="M614" s="448"/>
      <c r="N614" s="448"/>
      <c r="O614" s="448"/>
      <c r="P614" s="448"/>
      <c r="Q614" s="448"/>
      <c r="R614" s="448"/>
      <c r="S614" s="448"/>
      <c r="T614" s="448"/>
      <c r="U614" s="448"/>
    </row>
    <row r="615" spans="1:21" ht="19.5">
      <c r="A615" s="450"/>
      <c r="B615" s="451" t="s">
        <v>223</v>
      </c>
      <c r="C615" s="450"/>
      <c r="D615" s="452"/>
      <c r="E615" s="452"/>
      <c r="F615" s="452"/>
      <c r="G615" s="453"/>
      <c r="H615" s="454" t="s">
        <v>46</v>
      </c>
      <c r="I615" s="573">
        <f ca="1">I626</f>
        <v>50</v>
      </c>
      <c r="J615" s="573">
        <f>J626</f>
        <v>0</v>
      </c>
      <c r="K615" s="572">
        <f ca="1">IF(I615&gt;0,J615*100/I615,0)</f>
        <v>0</v>
      </c>
      <c r="L615" s="458"/>
      <c r="M615" s="457"/>
      <c r="N615" s="457"/>
      <c r="O615" s="457"/>
      <c r="P615" s="457"/>
      <c r="Q615" s="457"/>
      <c r="R615" s="457"/>
      <c r="S615" s="457"/>
      <c r="T615" s="457"/>
      <c r="U615" s="457"/>
    </row>
    <row r="616" spans="1:21" ht="19.5">
      <c r="A616" s="155"/>
      <c r="B616" s="188"/>
      <c r="C616" s="205" t="s">
        <v>18</v>
      </c>
      <c r="D616" s="542" t="s">
        <v>19</v>
      </c>
      <c r="E616" s="529"/>
      <c r="F616" s="529"/>
      <c r="G616" s="530"/>
      <c r="H616" s="252" t="s">
        <v>14</v>
      </c>
      <c r="I616" s="54"/>
      <c r="J616" s="54"/>
      <c r="K616" s="55"/>
      <c r="L616" s="541">
        <f>L617+L618</f>
        <v>0</v>
      </c>
      <c r="M616" s="540">
        <f>M617+M618</f>
        <v>0</v>
      </c>
      <c r="N616" s="540">
        <f>N617+N618</f>
        <v>0</v>
      </c>
      <c r="O616" s="540">
        <f>IF(L616&gt;0,N616*100/L616,0)</f>
        <v>0</v>
      </c>
      <c r="P616" s="540">
        <f>IF(M616&gt;0,N616*100/M616,0)</f>
        <v>0</v>
      </c>
      <c r="Q616" s="540">
        <f ca="1">Q617+Q618</f>
        <v>6800</v>
      </c>
      <c r="R616" s="540">
        <f ca="1">R617+R618</f>
        <v>6800</v>
      </c>
      <c r="S616" s="540">
        <f ca="1">S617+S618</f>
        <v>0</v>
      </c>
      <c r="T616" s="540">
        <f ca="1">IF(Q616&gt;0,S616*100/Q616,0)</f>
        <v>0</v>
      </c>
      <c r="U616" s="540">
        <f ca="1">IF(R616&gt;0,S616*100/R616,0)</f>
        <v>0</v>
      </c>
    </row>
    <row r="617" spans="1:21" ht="18.75" hidden="1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103">
        <f>L620+L623</f>
        <v>0</v>
      </c>
      <c r="M617" s="102">
        <f>M620+M623</f>
        <v>0</v>
      </c>
      <c r="N617" s="102">
        <f>N620+N623</f>
        <v>0</v>
      </c>
      <c r="O617" s="102">
        <f>IF(L617&gt;0,N617*100/L617,0)</f>
        <v>0</v>
      </c>
      <c r="P617" s="102">
        <f>IF(M617&gt;0,N617*100/M617,0)</f>
        <v>0</v>
      </c>
      <c r="Q617" s="102">
        <f>Q620+Q623</f>
        <v>0</v>
      </c>
      <c r="R617" s="102">
        <f>R620+R623</f>
        <v>0</v>
      </c>
      <c r="S617" s="102">
        <f>S620+S623</f>
        <v>0</v>
      </c>
      <c r="T617" s="102">
        <f>IF(Q617&gt;0,S617*100/Q617,0)</f>
        <v>0</v>
      </c>
      <c r="U617" s="102">
        <f>IF(R617&gt;0,S617*100/R617,0)</f>
        <v>0</v>
      </c>
    </row>
    <row r="618" spans="1:21" ht="18.75" hidden="1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256">
        <f>L621+L624</f>
        <v>0</v>
      </c>
      <c r="M618" s="255">
        <f>M621+M624</f>
        <v>0</v>
      </c>
      <c r="N618" s="255">
        <f>N621+N624</f>
        <v>0</v>
      </c>
      <c r="O618" s="255">
        <f>IF(L618&gt;0,N618*100/L618,0)</f>
        <v>0</v>
      </c>
      <c r="P618" s="255">
        <f>IF(M618&gt;0,N618*100/M618,0)</f>
        <v>0</v>
      </c>
      <c r="Q618" s="255">
        <f ca="1">Q621+Q624</f>
        <v>6800</v>
      </c>
      <c r="R618" s="255">
        <f ca="1">R621+R624</f>
        <v>6800</v>
      </c>
      <c r="S618" s="255">
        <f ca="1">S621+S624</f>
        <v>0</v>
      </c>
      <c r="T618" s="255">
        <f ca="1">IF(Q618&gt;0,S618*100/Q618,0)</f>
        <v>0</v>
      </c>
      <c r="U618" s="255">
        <f ca="1">IF(R618&gt;0,S618*100/R618,0)</f>
        <v>0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256">
        <f>L620+L621</f>
        <v>0</v>
      </c>
      <c r="M619" s="255">
        <f>M620+M621</f>
        <v>0</v>
      </c>
      <c r="N619" s="255">
        <f>N620+N621</f>
        <v>0</v>
      </c>
      <c r="O619" s="255">
        <f>IF(L619&gt;0,N619*100/L619,0)</f>
        <v>0</v>
      </c>
      <c r="P619" s="255">
        <f>IF(M619&gt;0,N619*100/M619,0)</f>
        <v>0</v>
      </c>
      <c r="Q619" s="255">
        <f ca="1">Q620+Q621</f>
        <v>6800</v>
      </c>
      <c r="R619" s="255">
        <f ca="1">R620+R621</f>
        <v>6800</v>
      </c>
      <c r="S619" s="255">
        <f ca="1">S620+S621</f>
        <v>0</v>
      </c>
      <c r="T619" s="255">
        <f ca="1">IF(Q619&gt;0,S619*100/Q619,0)</f>
        <v>0</v>
      </c>
      <c r="U619" s="255">
        <f ca="1">IF(R619&gt;0,S619*100/R619,0)</f>
        <v>0</v>
      </c>
    </row>
    <row r="620" spans="1:21" ht="18.75" hidden="1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103">
        <v>0</v>
      </c>
      <c r="M620" s="102">
        <v>0</v>
      </c>
      <c r="N620" s="102">
        <v>0</v>
      </c>
      <c r="O620" s="102">
        <f>IF(L620&gt;0,N620*100/L620,0)</f>
        <v>0</v>
      </c>
      <c r="P620" s="102">
        <f>IF(M620&gt;0,N620*100/M620,0)</f>
        <v>0</v>
      </c>
      <c r="Q620" s="102">
        <v>0</v>
      </c>
      <c r="R620" s="102">
        <v>0</v>
      </c>
      <c r="S620" s="102">
        <v>0</v>
      </c>
      <c r="T620" s="102">
        <f>IF(Q620&gt;0,S620*100/Q620,0)</f>
        <v>0</v>
      </c>
      <c r="U620" s="102">
        <f>IF(R620&gt;0,S620*100/R620,0)</f>
        <v>0</v>
      </c>
    </row>
    <row r="621" spans="1:21" ht="18.75" hidden="1">
      <c r="A621" s="155"/>
      <c r="B621" s="188"/>
      <c r="C621" s="188"/>
      <c r="D621" s="174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256">
        <v>0</v>
      </c>
      <c r="M621" s="255">
        <v>0</v>
      </c>
      <c r="N621" s="255">
        <v>0</v>
      </c>
      <c r="O621" s="255">
        <f>IF(L621&gt;0,N621*100/L621,0)</f>
        <v>0</v>
      </c>
      <c r="P621" s="255">
        <f>IF(M621&gt;0,N621*100/M621,0)</f>
        <v>0</v>
      </c>
      <c r="Q621" s="255">
        <f ca="1">IFERROR(__xludf.DUMMYFUNCTION("IMPORTRANGE(""https://docs.google.com/spreadsheets/d/1ItG2mGa2ceCfYo0BwxsXqNm01IGEUdYcSSLTEv9YCik/edit?usp=sharing"",""เบิกจ่ายกองทุน!F35"")"),6800)</f>
        <v>6800</v>
      </c>
      <c r="R621" s="255">
        <f ca="1">IFERROR(__xludf.DUMMYFUNCTION("IMPORTRANGE(""https://docs.google.com/spreadsheets/d/1ItG2mGa2ceCfYo0BwxsXqNm01IGEUdYcSSLTEv9YCik/edit?usp=sharing"",""เบิกจ่ายกองทุน!G35"")"),6800)</f>
        <v>6800</v>
      </c>
      <c r="S621" s="255">
        <f ca="1">IFERROR(__xludf.DUMMYFUNCTION("IMPORTRANGE(""https://docs.google.com/spreadsheets/d/1ItG2mGa2ceCfYo0BwxsXqNm01IGEUdYcSSLTEv9YCik/edit?usp=sharing"",""เบิกจ่ายกองทุน!H35"")"),0)</f>
        <v>0</v>
      </c>
      <c r="T621" s="255">
        <f ca="1">IF(Q621&gt;0,S621*100/Q621,0)</f>
        <v>0</v>
      </c>
      <c r="U621" s="255">
        <f ca="1">IF(R621&gt;0,S621*100/R621,0)</f>
        <v>0</v>
      </c>
    </row>
    <row r="622" spans="1:21" ht="18.75">
      <c r="A622" s="155"/>
      <c r="B622" s="188"/>
      <c r="C622" s="188"/>
      <c r="D622" s="51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256">
        <f>L623+L624</f>
        <v>0</v>
      </c>
      <c r="M622" s="255">
        <f>M623+M624</f>
        <v>0</v>
      </c>
      <c r="N622" s="255">
        <f>N623+N624</f>
        <v>0</v>
      </c>
      <c r="O622" s="255">
        <f>IF(L622&gt;0,N622*100/L622,0)</f>
        <v>0</v>
      </c>
      <c r="P622" s="255">
        <f>IF(M622&gt;0,N622*100/M622,0)</f>
        <v>0</v>
      </c>
      <c r="Q622" s="255">
        <f>Q623+Q624</f>
        <v>0</v>
      </c>
      <c r="R622" s="255">
        <f>R623+R624</f>
        <v>0</v>
      </c>
      <c r="S622" s="255">
        <f>S623+S624</f>
        <v>0</v>
      </c>
      <c r="T622" s="255">
        <f>IF(Q622&gt;0,S622*100/Q622,0)</f>
        <v>0</v>
      </c>
      <c r="U622" s="255">
        <f>IF(R622&gt;0,S622*100/R622,0)</f>
        <v>0</v>
      </c>
    </row>
    <row r="623" spans="1:21" ht="18.75" hidden="1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103">
        <v>0</v>
      </c>
      <c r="M623" s="102">
        <v>0</v>
      </c>
      <c r="N623" s="102">
        <v>0</v>
      </c>
      <c r="O623" s="102">
        <f>IF(L623&gt;0,N623*100/L623,0)</f>
        <v>0</v>
      </c>
      <c r="P623" s="102">
        <f>IF(M623&gt;0,N623*100/M623,0)</f>
        <v>0</v>
      </c>
      <c r="Q623" s="102">
        <v>0</v>
      </c>
      <c r="R623" s="102">
        <v>0</v>
      </c>
      <c r="S623" s="102">
        <v>0</v>
      </c>
      <c r="T623" s="102">
        <f>IF(Q623&gt;0,S623*100/Q623,0)</f>
        <v>0</v>
      </c>
      <c r="U623" s="102">
        <f>IF(R623&gt;0,S623*100/R623,0)</f>
        <v>0</v>
      </c>
    </row>
    <row r="624" spans="1:21" ht="18.75" hidden="1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256">
        <v>0</v>
      </c>
      <c r="M624" s="255">
        <v>0</v>
      </c>
      <c r="N624" s="255">
        <v>0</v>
      </c>
      <c r="O624" s="255">
        <f>IF(L624&gt;0,N624*100/L624,0)</f>
        <v>0</v>
      </c>
      <c r="P624" s="255">
        <f>IF(M624&gt;0,N624*100/M624,0)</f>
        <v>0</v>
      </c>
      <c r="Q624" s="255">
        <v>0</v>
      </c>
      <c r="R624" s="255">
        <v>0</v>
      </c>
      <c r="S624" s="255">
        <v>0</v>
      </c>
      <c r="T624" s="255">
        <f>IF(Q624&gt;0,S624*100/Q624,0)</f>
        <v>0</v>
      </c>
      <c r="U624" s="255">
        <f>IF(R624&gt;0,S624*100/R624,0)</f>
        <v>0</v>
      </c>
    </row>
    <row r="625" spans="1:21" ht="19.5">
      <c r="A625" s="166"/>
      <c r="B625" s="167"/>
      <c r="C625" s="205" t="s">
        <v>18</v>
      </c>
      <c r="D625" s="539" t="s">
        <v>38</v>
      </c>
      <c r="E625" s="169"/>
      <c r="F625" s="169"/>
      <c r="G625" s="170"/>
      <c r="H625" s="206"/>
      <c r="I625" s="163"/>
      <c r="J625" s="163"/>
      <c r="K625" s="164"/>
      <c r="L625" s="172"/>
      <c r="M625" s="164"/>
      <c r="N625" s="164"/>
      <c r="O625" s="164"/>
      <c r="P625" s="164"/>
      <c r="Q625" s="164"/>
      <c r="R625" s="164"/>
      <c r="S625" s="164"/>
      <c r="T625" s="164"/>
      <c r="U625" s="164"/>
    </row>
    <row r="626" spans="1:21" ht="19.5">
      <c r="A626" s="166"/>
      <c r="B626" s="167"/>
      <c r="C626" s="167"/>
      <c r="D626" s="460" t="s">
        <v>224</v>
      </c>
      <c r="E626" s="174"/>
      <c r="F626" s="174"/>
      <c r="G626" s="171"/>
      <c r="H626" s="461" t="s">
        <v>46</v>
      </c>
      <c r="I626" s="373">
        <f ca="1">IFERROR(__xludf.DUMMYFUNCTION("IMPORTRANGE(""https://docs.google.com/spreadsheets/d/1eHaY18a8A9IcSdp1K8H6x8fbOy06t2VsZHhMHf-1x7Y/edit?usp=sharing"",""แผน!ID35"")"),50)</f>
        <v>50</v>
      </c>
      <c r="J626" s="373">
        <f>J632</f>
        <v>0</v>
      </c>
      <c r="K626" s="540">
        <f ca="1">IF(I626&gt;0,J626*100/I626,0)</f>
        <v>0</v>
      </c>
      <c r="L626" s="172"/>
      <c r="M626" s="164"/>
      <c r="N626" s="164"/>
      <c r="O626" s="164"/>
      <c r="P626" s="164"/>
      <c r="Q626" s="164"/>
      <c r="R626" s="164"/>
      <c r="S626" s="164"/>
      <c r="T626" s="164"/>
      <c r="U626" s="164"/>
    </row>
    <row r="627" spans="1:21" ht="18.75">
      <c r="A627" s="166"/>
      <c r="B627" s="167"/>
      <c r="C627" s="167"/>
      <c r="D627" s="167"/>
      <c r="E627" s="178" t="s">
        <v>225</v>
      </c>
      <c r="F627" s="174"/>
      <c r="G627" s="171"/>
      <c r="H627" s="165" t="s">
        <v>61</v>
      </c>
      <c r="I627" s="212">
        <f ca="1">IFERROR(__xludf.DUMMYFUNCTION("IMPORTRANGE(""https://docs.google.com/spreadsheets/d/1eHaY18a8A9IcSdp1K8H6x8fbOy06t2VsZHhMHf-1x7Y/edit?usp=sharing"",""แผน!IC35"")"),0)</f>
        <v>0</v>
      </c>
      <c r="J627" s="467">
        <v>0</v>
      </c>
      <c r="K627" s="255">
        <f ca="1">IF(I627&gt;0,(J627*100)/I627,0)</f>
        <v>0</v>
      </c>
      <c r="L627" s="172"/>
      <c r="M627" s="164"/>
      <c r="N627" s="164"/>
      <c r="O627" s="164"/>
      <c r="P627" s="164"/>
      <c r="Q627" s="164"/>
      <c r="R627" s="164"/>
      <c r="S627" s="164"/>
      <c r="T627" s="164"/>
      <c r="U627" s="164"/>
    </row>
    <row r="628" spans="1:21" ht="18.75">
      <c r="A628" s="166"/>
      <c r="B628" s="167"/>
      <c r="C628" s="167"/>
      <c r="D628" s="167"/>
      <c r="E628" s="178" t="s">
        <v>226</v>
      </c>
      <c r="F628" s="174"/>
      <c r="G628" s="171"/>
      <c r="H628" s="165" t="s">
        <v>61</v>
      </c>
      <c r="I628" s="212">
        <f ca="1">IFERROR(__xludf.DUMMYFUNCTION("IMPORTRANGE(""https://docs.google.com/spreadsheets/d/1eHaY18a8A9IcSdp1K8H6x8fbOy06t2VsZHhMHf-1x7Y/edit?usp=sharing"",""แผน!IC35"")"),0)</f>
        <v>0</v>
      </c>
      <c r="J628" s="467">
        <v>12</v>
      </c>
      <c r="K628" s="255">
        <f ca="1">IF(I628&gt;0,(J628*100)/I628,0)</f>
        <v>0</v>
      </c>
      <c r="L628" s="172"/>
      <c r="M628" s="164"/>
      <c r="N628" s="164"/>
      <c r="O628" s="164"/>
      <c r="P628" s="164"/>
      <c r="Q628" s="164"/>
      <c r="R628" s="164"/>
      <c r="S628" s="164"/>
      <c r="T628" s="164"/>
      <c r="U628" s="164"/>
    </row>
    <row r="629" spans="1:21" ht="18.75">
      <c r="A629" s="166"/>
      <c r="B629" s="167"/>
      <c r="C629" s="167"/>
      <c r="D629" s="167"/>
      <c r="E629" s="178" t="s">
        <v>227</v>
      </c>
      <c r="F629" s="174"/>
      <c r="G629" s="171"/>
      <c r="H629" s="165" t="s">
        <v>46</v>
      </c>
      <c r="I629" s="54"/>
      <c r="J629" s="467">
        <v>0</v>
      </c>
      <c r="K629" s="255">
        <f ca="1">IF(I$626&gt;0,J629*100/I$626,0)</f>
        <v>0</v>
      </c>
      <c r="L629" s="172"/>
      <c r="M629" s="164"/>
      <c r="N629" s="164"/>
      <c r="O629" s="164"/>
      <c r="P629" s="164"/>
      <c r="Q629" s="164"/>
      <c r="R629" s="164"/>
      <c r="S629" s="164"/>
      <c r="T629" s="164"/>
      <c r="U629" s="164"/>
    </row>
    <row r="630" spans="1:21" ht="18.75">
      <c r="A630" s="166"/>
      <c r="B630" s="167"/>
      <c r="C630" s="167"/>
      <c r="D630" s="167"/>
      <c r="E630" s="178" t="s">
        <v>228</v>
      </c>
      <c r="F630" s="174"/>
      <c r="G630" s="171"/>
      <c r="H630" s="165" t="s">
        <v>46</v>
      </c>
      <c r="I630" s="54"/>
      <c r="J630" s="467">
        <v>0</v>
      </c>
      <c r="K630" s="255">
        <f ca="1">IF(I$626&gt;0,J630*100/I$626,0)</f>
        <v>0</v>
      </c>
      <c r="L630" s="172"/>
      <c r="M630" s="164"/>
      <c r="N630" s="164"/>
      <c r="O630" s="164"/>
      <c r="P630" s="164"/>
      <c r="Q630" s="164"/>
      <c r="R630" s="164"/>
      <c r="S630" s="164"/>
      <c r="T630" s="164"/>
      <c r="U630" s="164"/>
    </row>
    <row r="631" spans="1:21" ht="18.75">
      <c r="A631" s="166"/>
      <c r="B631" s="167"/>
      <c r="C631" s="167"/>
      <c r="D631" s="167"/>
      <c r="E631" s="178" t="s">
        <v>229</v>
      </c>
      <c r="F631" s="174"/>
      <c r="G631" s="171"/>
      <c r="H631" s="165" t="s">
        <v>46</v>
      </c>
      <c r="I631" s="54"/>
      <c r="J631" s="467">
        <v>0</v>
      </c>
      <c r="K631" s="255">
        <f ca="1">IF(I$626&gt;0,J631*100/I$626,0)</f>
        <v>0</v>
      </c>
      <c r="L631" s="172"/>
      <c r="M631" s="164"/>
      <c r="N631" s="164"/>
      <c r="O631" s="164"/>
      <c r="P631" s="164"/>
      <c r="Q631" s="164"/>
      <c r="R631" s="164"/>
      <c r="S631" s="164"/>
      <c r="T631" s="164"/>
      <c r="U631" s="164"/>
    </row>
    <row r="632" spans="1:21" ht="19.5">
      <c r="A632" s="166"/>
      <c r="B632" s="167"/>
      <c r="C632" s="167"/>
      <c r="D632" s="167"/>
      <c r="E632" s="178" t="s">
        <v>230</v>
      </c>
      <c r="F632" s="174"/>
      <c r="G632" s="171"/>
      <c r="H632" s="165" t="s">
        <v>46</v>
      </c>
      <c r="I632" s="54"/>
      <c r="J632" s="373">
        <f>J633+J634</f>
        <v>0</v>
      </c>
      <c r="K632" s="540">
        <f ca="1">IF(I626&gt;0,J632*100/I626,0)</f>
        <v>0</v>
      </c>
      <c r="L632" s="172"/>
      <c r="M632" s="164"/>
      <c r="N632" s="164"/>
      <c r="O632" s="164"/>
      <c r="P632" s="164"/>
      <c r="Q632" s="164"/>
      <c r="R632" s="164"/>
      <c r="S632" s="164"/>
      <c r="T632" s="164"/>
      <c r="U632" s="164"/>
    </row>
    <row r="633" spans="1:21" ht="18.75">
      <c r="A633" s="166"/>
      <c r="B633" s="167"/>
      <c r="C633" s="167"/>
      <c r="D633" s="167"/>
      <c r="E633" s="174"/>
      <c r="F633" s="178" t="s">
        <v>231</v>
      </c>
      <c r="G633" s="171"/>
      <c r="H633" s="165" t="s">
        <v>46</v>
      </c>
      <c r="I633" s="54"/>
      <c r="J633" s="467">
        <v>0</v>
      </c>
      <c r="K633" s="55"/>
      <c r="L633" s="172"/>
      <c r="M633" s="164"/>
      <c r="N633" s="164"/>
      <c r="O633" s="164"/>
      <c r="P633" s="164"/>
      <c r="Q633" s="164"/>
      <c r="R633" s="164"/>
      <c r="S633" s="164"/>
      <c r="T633" s="164"/>
      <c r="U633" s="164"/>
    </row>
    <row r="634" spans="1:21" ht="18.75">
      <c r="A634" s="166"/>
      <c r="B634" s="167"/>
      <c r="C634" s="167"/>
      <c r="D634" s="167"/>
      <c r="E634" s="174"/>
      <c r="F634" s="178" t="s">
        <v>232</v>
      </c>
      <c r="G634" s="171"/>
      <c r="H634" s="165" t="s">
        <v>46</v>
      </c>
      <c r="I634" s="54"/>
      <c r="J634" s="467">
        <v>0</v>
      </c>
      <c r="K634" s="55"/>
      <c r="L634" s="172"/>
      <c r="M634" s="164"/>
      <c r="N634" s="164"/>
      <c r="O634" s="164"/>
      <c r="P634" s="164"/>
      <c r="Q634" s="164"/>
      <c r="R634" s="164"/>
      <c r="S634" s="164"/>
      <c r="T634" s="164"/>
      <c r="U634" s="164"/>
    </row>
    <row r="635" spans="1:21" ht="19.5">
      <c r="A635" s="166"/>
      <c r="B635" s="167"/>
      <c r="C635" s="167"/>
      <c r="D635" s="460" t="s">
        <v>233</v>
      </c>
      <c r="E635" s="174"/>
      <c r="F635" s="174"/>
      <c r="G635" s="171"/>
      <c r="H635" s="165" t="s">
        <v>46</v>
      </c>
      <c r="I635" s="373">
        <f ca="1">IFERROR(__xludf.DUMMYFUNCTION("IMPORTRANGE(""https://docs.google.com/spreadsheets/d/1eHaY18a8A9IcSdp1K8H6x8fbOy06t2VsZHhMHf-1x7Y/edit?usp=sharing"",""แผน!IE35"")"),0)</f>
        <v>0</v>
      </c>
      <c r="J635" s="373">
        <f>J636</f>
        <v>0</v>
      </c>
      <c r="K635" s="540">
        <f ca="1">IF(I635&gt;0,J635*100/I635,0)</f>
        <v>0</v>
      </c>
      <c r="L635" s="172"/>
      <c r="M635" s="164"/>
      <c r="N635" s="164"/>
      <c r="O635" s="164"/>
      <c r="P635" s="164"/>
      <c r="Q635" s="164"/>
      <c r="R635" s="164"/>
      <c r="S635" s="164"/>
      <c r="T635" s="164"/>
      <c r="U635" s="164"/>
    </row>
    <row r="636" spans="1:21" ht="18.75">
      <c r="A636" s="166"/>
      <c r="B636" s="167"/>
      <c r="C636" s="167"/>
      <c r="D636" s="167"/>
      <c r="E636" s="178" t="s">
        <v>234</v>
      </c>
      <c r="F636" s="174"/>
      <c r="G636" s="171"/>
      <c r="H636" s="165" t="s">
        <v>46</v>
      </c>
      <c r="I636" s="54"/>
      <c r="J636" s="212">
        <f>J637+J638</f>
        <v>0</v>
      </c>
      <c r="K636" s="55"/>
      <c r="L636" s="172"/>
      <c r="M636" s="164"/>
      <c r="N636" s="164"/>
      <c r="O636" s="164"/>
      <c r="P636" s="164"/>
      <c r="Q636" s="164"/>
      <c r="R636" s="164"/>
      <c r="S636" s="164"/>
      <c r="T636" s="164"/>
      <c r="U636" s="164"/>
    </row>
    <row r="637" spans="1:21" ht="18.75">
      <c r="A637" s="166"/>
      <c r="B637" s="167"/>
      <c r="C637" s="167"/>
      <c r="D637" s="167"/>
      <c r="E637" s="174"/>
      <c r="F637" s="178" t="s">
        <v>231</v>
      </c>
      <c r="G637" s="171"/>
      <c r="H637" s="165" t="s">
        <v>46</v>
      </c>
      <c r="I637" s="54"/>
      <c r="J637" s="467">
        <v>0</v>
      </c>
      <c r="K637" s="55"/>
      <c r="L637" s="172"/>
      <c r="M637" s="164"/>
      <c r="N637" s="164"/>
      <c r="O637" s="164"/>
      <c r="P637" s="164"/>
      <c r="Q637" s="164"/>
      <c r="R637" s="164"/>
      <c r="S637" s="164"/>
      <c r="T637" s="164"/>
      <c r="U637" s="164"/>
    </row>
    <row r="638" spans="1:21" ht="18.75">
      <c r="A638" s="166"/>
      <c r="B638" s="167"/>
      <c r="C638" s="167"/>
      <c r="D638" s="167"/>
      <c r="E638" s="174"/>
      <c r="F638" s="178" t="s">
        <v>232</v>
      </c>
      <c r="G638" s="171"/>
      <c r="H638" s="165" t="s">
        <v>46</v>
      </c>
      <c r="I638" s="54"/>
      <c r="J638" s="467">
        <v>0</v>
      </c>
      <c r="K638" s="55"/>
      <c r="L638" s="172"/>
      <c r="M638" s="164"/>
      <c r="N638" s="164"/>
      <c r="O638" s="164"/>
      <c r="P638" s="164"/>
      <c r="Q638" s="164"/>
      <c r="R638" s="164"/>
      <c r="S638" s="164"/>
      <c r="T638" s="164"/>
      <c r="U638" s="164"/>
    </row>
    <row r="639" spans="1:21" ht="18.75">
      <c r="A639" s="166"/>
      <c r="B639" s="167"/>
      <c r="C639" s="167"/>
      <c r="D639" s="167"/>
      <c r="E639" s="178" t="s">
        <v>235</v>
      </c>
      <c r="F639" s="174"/>
      <c r="G639" s="171"/>
      <c r="H639" s="165" t="s">
        <v>46</v>
      </c>
      <c r="I639" s="54"/>
      <c r="J639" s="467">
        <v>0</v>
      </c>
      <c r="K639" s="55"/>
      <c r="L639" s="172"/>
      <c r="M639" s="164"/>
      <c r="N639" s="164"/>
      <c r="O639" s="164"/>
      <c r="P639" s="164"/>
      <c r="Q639" s="164"/>
      <c r="R639" s="164"/>
      <c r="S639" s="164"/>
      <c r="T639" s="164"/>
      <c r="U639" s="164"/>
    </row>
    <row r="640" spans="1:21" ht="18.75">
      <c r="A640" s="166"/>
      <c r="B640" s="167"/>
      <c r="C640" s="167"/>
      <c r="D640" s="167"/>
      <c r="E640" s="174"/>
      <c r="F640" s="178" t="s">
        <v>236</v>
      </c>
      <c r="G640" s="171"/>
      <c r="H640" s="165" t="s">
        <v>46</v>
      </c>
      <c r="I640" s="54"/>
      <c r="J640" s="467">
        <v>0</v>
      </c>
      <c r="K640" s="55"/>
      <c r="L640" s="172"/>
      <c r="M640" s="164"/>
      <c r="N640" s="164"/>
      <c r="O640" s="164"/>
      <c r="P640" s="164"/>
      <c r="Q640" s="164"/>
      <c r="R640" s="164"/>
      <c r="S640" s="164"/>
      <c r="T640" s="164"/>
      <c r="U640" s="164"/>
    </row>
    <row r="641" spans="1:21" ht="19.5">
      <c r="A641" s="450"/>
      <c r="B641" s="451" t="s">
        <v>237</v>
      </c>
      <c r="C641" s="450"/>
      <c r="D641" s="452"/>
      <c r="E641" s="452"/>
      <c r="F641" s="452"/>
      <c r="G641" s="453"/>
      <c r="H641" s="462"/>
      <c r="I641" s="463"/>
      <c r="J641" s="463"/>
      <c r="K641" s="457"/>
      <c r="L641" s="458"/>
      <c r="M641" s="457"/>
      <c r="N641" s="457"/>
      <c r="O641" s="457"/>
      <c r="P641" s="457"/>
      <c r="Q641" s="457"/>
      <c r="R641" s="457"/>
      <c r="S641" s="457"/>
      <c r="T641" s="457"/>
      <c r="U641" s="457"/>
    </row>
    <row r="642" spans="1:21" ht="19.5">
      <c r="A642" s="155"/>
      <c r="B642" s="188"/>
      <c r="C642" s="239" t="s">
        <v>18</v>
      </c>
      <c r="D642" s="542" t="s">
        <v>19</v>
      </c>
      <c r="E642" s="529"/>
      <c r="F642" s="529"/>
      <c r="G642" s="530"/>
      <c r="H642" s="252" t="s">
        <v>14</v>
      </c>
      <c r="I642" s="54"/>
      <c r="J642" s="54"/>
      <c r="K642" s="55"/>
      <c r="L642" s="541">
        <f>L643+L644</f>
        <v>0</v>
      </c>
      <c r="M642" s="540">
        <f>M643+M644</f>
        <v>0</v>
      </c>
      <c r="N642" s="540">
        <f>N643+N644</f>
        <v>0</v>
      </c>
      <c r="O642" s="540">
        <f>IF(L642&gt;0,N642*100/L642,0)</f>
        <v>0</v>
      </c>
      <c r="P642" s="540">
        <f>IF(M642&gt;0,N642*100/M642,0)</f>
        <v>0</v>
      </c>
      <c r="Q642" s="540">
        <f ca="1">Q643+Q644</f>
        <v>1600</v>
      </c>
      <c r="R642" s="540">
        <f ca="1">R643+R644</f>
        <v>1600</v>
      </c>
      <c r="S642" s="540">
        <f ca="1">S643+S644</f>
        <v>0</v>
      </c>
      <c r="T642" s="540">
        <f ca="1">IF(Q642&gt;0,S642*100/Q642,0)</f>
        <v>0</v>
      </c>
      <c r="U642" s="540">
        <f ca="1">IF(R642&gt;0,S642*100/R642,0)</f>
        <v>0</v>
      </c>
    </row>
    <row r="643" spans="1:21" ht="18.75" hidden="1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103">
        <f>L646+L649</f>
        <v>0</v>
      </c>
      <c r="M643" s="102">
        <f>M646+M649</f>
        <v>0</v>
      </c>
      <c r="N643" s="102">
        <f>N646+N649</f>
        <v>0</v>
      </c>
      <c r="O643" s="102">
        <f>IF(L643&gt;0,N643*100/L643,0)</f>
        <v>0</v>
      </c>
      <c r="P643" s="102">
        <f>IF(M643&gt;0,N643*100/M643,0)</f>
        <v>0</v>
      </c>
      <c r="Q643" s="102">
        <f>Q646+Q649</f>
        <v>0</v>
      </c>
      <c r="R643" s="102">
        <f>R646+R649</f>
        <v>0</v>
      </c>
      <c r="S643" s="102">
        <f>S646+S649</f>
        <v>0</v>
      </c>
      <c r="T643" s="102">
        <f>IF(Q643&gt;0,S643*100/Q643,0)</f>
        <v>0</v>
      </c>
      <c r="U643" s="102">
        <f>IF(R643&gt;0,S643*100/R643,0)</f>
        <v>0</v>
      </c>
    </row>
    <row r="644" spans="1:21" ht="18.75" hidden="1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256">
        <f>L647+L650</f>
        <v>0</v>
      </c>
      <c r="M644" s="255">
        <f>M647+M650</f>
        <v>0</v>
      </c>
      <c r="N644" s="255">
        <f>N647+N650</f>
        <v>0</v>
      </c>
      <c r="O644" s="255">
        <f>IF(L644&gt;0,N644*100/L644,0)</f>
        <v>0</v>
      </c>
      <c r="P644" s="255">
        <f>IF(M644&gt;0,N644*100/M644,0)</f>
        <v>0</v>
      </c>
      <c r="Q644" s="255">
        <f ca="1">Q647+Q650</f>
        <v>1600</v>
      </c>
      <c r="R644" s="255">
        <f ca="1">R647+R650</f>
        <v>1600</v>
      </c>
      <c r="S644" s="255">
        <f ca="1">S647+S650</f>
        <v>0</v>
      </c>
      <c r="T644" s="255">
        <f ca="1">IF(Q644&gt;0,S644*100/Q644,0)</f>
        <v>0</v>
      </c>
      <c r="U644" s="255">
        <f ca="1">IF(R644&gt;0,S644*100/R644,0)</f>
        <v>0</v>
      </c>
    </row>
    <row r="645" spans="1:21" ht="18.75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256">
        <f>L646+L647</f>
        <v>0</v>
      </c>
      <c r="M645" s="255">
        <f>M646+M647</f>
        <v>0</v>
      </c>
      <c r="N645" s="255">
        <f>N646+N647</f>
        <v>0</v>
      </c>
      <c r="O645" s="255">
        <f>IF(L645&gt;0,N645*100/L645,0)</f>
        <v>0</v>
      </c>
      <c r="P645" s="255">
        <f>IF(M645&gt;0,N645*100/M645,0)</f>
        <v>0</v>
      </c>
      <c r="Q645" s="255">
        <f ca="1">Q646+Q647</f>
        <v>1600</v>
      </c>
      <c r="R645" s="255">
        <f ca="1">R646+R647</f>
        <v>1600</v>
      </c>
      <c r="S645" s="255">
        <f ca="1">S646+S647</f>
        <v>0</v>
      </c>
      <c r="T645" s="255">
        <f ca="1">IF(Q645&gt;0,S645*100/Q645,0)</f>
        <v>0</v>
      </c>
      <c r="U645" s="255">
        <f ca="1">IF(R645&gt;0,S645*100/R645,0)</f>
        <v>0</v>
      </c>
    </row>
    <row r="646" spans="1:21" ht="18.75" hidden="1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103">
        <v>0</v>
      </c>
      <c r="M646" s="102">
        <v>0</v>
      </c>
      <c r="N646" s="102">
        <v>0</v>
      </c>
      <c r="O646" s="102">
        <f>IF(L646&gt;0,N646*100/L646,0)</f>
        <v>0</v>
      </c>
      <c r="P646" s="102">
        <f>IF(M646&gt;0,N646*100/M646,0)</f>
        <v>0</v>
      </c>
      <c r="Q646" s="102">
        <v>0</v>
      </c>
      <c r="R646" s="102">
        <v>0</v>
      </c>
      <c r="S646" s="102">
        <v>0</v>
      </c>
      <c r="T646" s="102">
        <f>IF(Q646&gt;0,S646*100/Q646,0)</f>
        <v>0</v>
      </c>
      <c r="U646" s="102">
        <f>IF(R646&gt;0,S646*100/R646,0)</f>
        <v>0</v>
      </c>
    </row>
    <row r="647" spans="1:21" ht="18.75" hidden="1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256">
        <v>0</v>
      </c>
      <c r="M647" s="255">
        <v>0</v>
      </c>
      <c r="N647" s="255">
        <v>0</v>
      </c>
      <c r="O647" s="255">
        <f>IF(L647&gt;0,N647*100/L647,0)</f>
        <v>0</v>
      </c>
      <c r="P647" s="255">
        <f>IF(M647&gt;0,N647*100/M647,0)</f>
        <v>0</v>
      </c>
      <c r="Q647" s="255">
        <f ca="1">IFERROR(__xludf.DUMMYFUNCTION("IMPORTRANGE(""https://docs.google.com/spreadsheets/d/1ItG2mGa2ceCfYo0BwxsXqNm01IGEUdYcSSLTEv9YCik/edit?usp=sharing"",""เบิกจ่ายกองทุน!I35"")"),1600)</f>
        <v>1600</v>
      </c>
      <c r="R647" s="255">
        <f ca="1">IFERROR(__xludf.DUMMYFUNCTION("IMPORTRANGE(""https://docs.google.com/spreadsheets/d/1ItG2mGa2ceCfYo0BwxsXqNm01IGEUdYcSSLTEv9YCik/edit?usp=sharing"",""เบิกจ่ายกองทุน!J35"")"),1600)</f>
        <v>1600</v>
      </c>
      <c r="S647" s="255">
        <f ca="1">IFERROR(__xludf.DUMMYFUNCTION("IMPORTRANGE(""https://docs.google.com/spreadsheets/d/1ItG2mGa2ceCfYo0BwxsXqNm01IGEUdYcSSLTEv9YCik/edit?usp=sharing"",""เบิกจ่ายกองทุน!K35"")"),0)</f>
        <v>0</v>
      </c>
      <c r="T647" s="255">
        <f ca="1">IF(Q647&gt;0,S647*100/Q647,0)</f>
        <v>0</v>
      </c>
      <c r="U647" s="255">
        <f ca="1">IF(R647&gt;0,S647*100/R647,0)</f>
        <v>0</v>
      </c>
    </row>
    <row r="648" spans="1:21" ht="18.75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256">
        <f>L649+L650</f>
        <v>0</v>
      </c>
      <c r="M648" s="255">
        <f>M649+M650</f>
        <v>0</v>
      </c>
      <c r="N648" s="255">
        <f>N649+N650</f>
        <v>0</v>
      </c>
      <c r="O648" s="255">
        <f>IF(L648&gt;0,N648*100/L648,0)</f>
        <v>0</v>
      </c>
      <c r="P648" s="255">
        <f>IF(M648&gt;0,N648*100/M648,0)</f>
        <v>0</v>
      </c>
      <c r="Q648" s="255">
        <f>Q649+Q650</f>
        <v>0</v>
      </c>
      <c r="R648" s="255">
        <f>R649+R650</f>
        <v>0</v>
      </c>
      <c r="S648" s="255">
        <f>S649+S650</f>
        <v>0</v>
      </c>
      <c r="T648" s="255">
        <f>IF(Q648&gt;0,S648*100/Q648,0)</f>
        <v>0</v>
      </c>
      <c r="U648" s="255">
        <f>IF(R648&gt;0,S648*100/R648,0)</f>
        <v>0</v>
      </c>
    </row>
    <row r="649" spans="1:21" ht="18.75" hidden="1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103">
        <v>0</v>
      </c>
      <c r="M649" s="102">
        <v>0</v>
      </c>
      <c r="N649" s="102">
        <v>0</v>
      </c>
      <c r="O649" s="102">
        <f>IF(L649&gt;0,N649*100/L649,0)</f>
        <v>0</v>
      </c>
      <c r="P649" s="102">
        <f>IF(M649&gt;0,N649*100/M649,0)</f>
        <v>0</v>
      </c>
      <c r="Q649" s="102">
        <v>0</v>
      </c>
      <c r="R649" s="102">
        <v>0</v>
      </c>
      <c r="S649" s="102">
        <v>0</v>
      </c>
      <c r="T649" s="102">
        <f>IF(Q649&gt;0,S649*100/Q649,0)</f>
        <v>0</v>
      </c>
      <c r="U649" s="102">
        <f>IF(R649&gt;0,S649*100/R649,0)</f>
        <v>0</v>
      </c>
    </row>
    <row r="650" spans="1:21" ht="18.75" hidden="1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256">
        <v>0</v>
      </c>
      <c r="M650" s="255">
        <v>0</v>
      </c>
      <c r="N650" s="255">
        <v>0</v>
      </c>
      <c r="O650" s="255">
        <f>IF(L650&gt;0,N650*100/L650,0)</f>
        <v>0</v>
      </c>
      <c r="P650" s="255">
        <f>IF(M650&gt;0,N650*100/M650,0)</f>
        <v>0</v>
      </c>
      <c r="Q650" s="255">
        <v>0</v>
      </c>
      <c r="R650" s="255">
        <v>0</v>
      </c>
      <c r="S650" s="255">
        <v>0</v>
      </c>
      <c r="T650" s="255">
        <f>IF(Q650&gt;0,S650*100/Q650,0)</f>
        <v>0</v>
      </c>
      <c r="U650" s="255">
        <f>IF(R650&gt;0,S650*100/R650,0)</f>
        <v>0</v>
      </c>
    </row>
    <row r="651" spans="1:21" ht="19.5">
      <c r="A651" s="166"/>
      <c r="B651" s="167"/>
      <c r="C651" s="239" t="s">
        <v>18</v>
      </c>
      <c r="D651" s="571" t="s">
        <v>38</v>
      </c>
      <c r="E651" s="169"/>
      <c r="F651" s="169"/>
      <c r="G651" s="170"/>
      <c r="H651" s="206"/>
      <c r="I651" s="163"/>
      <c r="J651" s="163"/>
      <c r="K651" s="164"/>
      <c r="L651" s="172"/>
      <c r="M651" s="164"/>
      <c r="N651" s="164"/>
      <c r="O651" s="164"/>
      <c r="P651" s="164"/>
      <c r="Q651" s="55"/>
      <c r="R651" s="55"/>
      <c r="S651" s="55"/>
      <c r="T651" s="164"/>
      <c r="U651" s="164"/>
    </row>
    <row r="652" spans="1:21" ht="18.75" hidden="1">
      <c r="A652" s="238"/>
      <c r="B652" s="188"/>
      <c r="C652" s="188"/>
      <c r="D652" s="58" t="s">
        <v>238</v>
      </c>
      <c r="E652" s="50"/>
      <c r="F652" s="50"/>
      <c r="G652" s="52"/>
      <c r="H652" s="165" t="s">
        <v>46</v>
      </c>
      <c r="I652" s="570">
        <f ca="1">IFERROR(__xludf.DUMMYFUNCTION("IMPORTRANGE(""https://docs.google.com/spreadsheets/d/1eHaY18a8A9IcSdp1K8H6x8fbOy06t2VsZHhMHf-1x7Y/edit?usp=sharing"",""แผน!IF35"")"),0)</f>
        <v>0</v>
      </c>
      <c r="J652" s="212">
        <f ca="1">IFERROR(__xludf.DUMMYFUNCTION("IMPORTRANGE(""https://docs.google.com/spreadsheets/d/1tdoBKaGub7dwA3U6UFTqxio9LNnvDCQjHKmttSEBsFQ/edit?usp=sharing"",""จัดที่ดิน!AU35"")"),0)</f>
        <v>0</v>
      </c>
      <c r="K652" s="255">
        <f ca="1">IF(I652&gt;0,J652*100/I652,0)</f>
        <v>0</v>
      </c>
      <c r="L652" s="62"/>
      <c r="M652" s="55"/>
      <c r="N652" s="468"/>
      <c r="O652" s="55"/>
      <c r="P652" s="55"/>
      <c r="Q652" s="55"/>
      <c r="R652" s="55"/>
      <c r="S652" s="468"/>
      <c r="T652" s="55"/>
      <c r="U652" s="55"/>
    </row>
    <row r="653" spans="1:21" ht="18.75">
      <c r="A653" s="238"/>
      <c r="B653" s="188"/>
      <c r="C653" s="188"/>
      <c r="D653" s="58" t="s">
        <v>239</v>
      </c>
      <c r="E653" s="50"/>
      <c r="F653" s="50"/>
      <c r="G653" s="52"/>
      <c r="H653" s="165" t="s">
        <v>35</v>
      </c>
      <c r="I653" s="570">
        <f ca="1">IFERROR(__xludf.DUMMYFUNCTION("IMPORTRANGE(""https://docs.google.com/spreadsheets/d/1eHaY18a8A9IcSdp1K8H6x8fbOy06t2VsZHhMHf-1x7Y/edit?usp=sharing"",""แผน!IG35"")"),5)</f>
        <v>5</v>
      </c>
      <c r="J653" s="212">
        <f ca="1">IFERROR(__xludf.DUMMYFUNCTION("IMPORTRANGE(""https://docs.google.com/spreadsheets/d/1tdoBKaGub7dwA3U6UFTqxio9LNnvDCQjHKmttSEBsFQ/edit?usp=sharing"",""จัดที่ดิน!AW35"")"),0)</f>
        <v>0</v>
      </c>
      <c r="K653" s="255">
        <f ca="1">IF(I653&gt;0,J653*100/I653,0)</f>
        <v>0</v>
      </c>
      <c r="L653" s="62"/>
      <c r="M653" s="55"/>
      <c r="N653" s="468"/>
      <c r="O653" s="55"/>
      <c r="P653" s="55"/>
      <c r="Q653" s="55"/>
      <c r="R653" s="55"/>
      <c r="S653" s="468"/>
      <c r="T653" s="55"/>
      <c r="U653" s="55"/>
    </row>
    <row r="654" spans="1:21" ht="19.5" hidden="1">
      <c r="A654" s="238"/>
      <c r="B654" s="188"/>
      <c r="C654" s="188"/>
      <c r="D654" s="58" t="s">
        <v>240</v>
      </c>
      <c r="E654" s="50"/>
      <c r="F654" s="50"/>
      <c r="G654" s="52"/>
      <c r="H654" s="461" t="s">
        <v>46</v>
      </c>
      <c r="I654" s="569">
        <f ca="1">IFERROR(__xludf.DUMMYFUNCTION("IMPORTRANGE(""https://docs.google.com/spreadsheets/d/1eHaY18a8A9IcSdp1K8H6x8fbOy06t2VsZHhMHf-1x7Y/edit?usp=sharing"",""แผน!IH35"")"),0)</f>
        <v>0</v>
      </c>
      <c r="J654" s="373">
        <f>J657+J660</f>
        <v>0</v>
      </c>
      <c r="K654" s="540">
        <f ca="1">IF(I654&gt;0,J654*100/I654,0)</f>
        <v>0</v>
      </c>
      <c r="L654" s="62"/>
      <c r="M654" s="55"/>
      <c r="N654" s="468"/>
      <c r="O654" s="55"/>
      <c r="P654" s="55"/>
      <c r="Q654" s="55"/>
      <c r="R654" s="55"/>
      <c r="S654" s="468"/>
      <c r="T654" s="55"/>
      <c r="U654" s="55"/>
    </row>
    <row r="655" spans="1:21" ht="18.75" hidden="1">
      <c r="A655" s="238"/>
      <c r="B655" s="188"/>
      <c r="C655" s="188"/>
      <c r="D655" s="50"/>
      <c r="E655" s="58" t="s">
        <v>241</v>
      </c>
      <c r="F655" s="50"/>
      <c r="G655" s="52"/>
      <c r="H655" s="165" t="s">
        <v>35</v>
      </c>
      <c r="I655" s="208"/>
      <c r="J655" s="467">
        <v>0</v>
      </c>
      <c r="K655" s="55"/>
      <c r="L655" s="62"/>
      <c r="M655" s="55"/>
      <c r="N655" s="468"/>
      <c r="O655" s="55"/>
      <c r="P655" s="55"/>
      <c r="Q655" s="55"/>
      <c r="R655" s="55"/>
      <c r="S655" s="468"/>
      <c r="T655" s="55"/>
      <c r="U655" s="55"/>
    </row>
    <row r="656" spans="1:21" ht="18.75" hidden="1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67">
        <v>0</v>
      </c>
      <c r="K656" s="55"/>
      <c r="L656" s="62"/>
      <c r="M656" s="55"/>
      <c r="N656" s="468"/>
      <c r="O656" s="55"/>
      <c r="P656" s="55"/>
      <c r="Q656" s="55"/>
      <c r="R656" s="55"/>
      <c r="S656" s="468"/>
      <c r="T656" s="55"/>
      <c r="U656" s="55"/>
    </row>
    <row r="657" spans="1:21" ht="18.75" hidden="1">
      <c r="A657" s="238"/>
      <c r="B657" s="188"/>
      <c r="C657" s="188"/>
      <c r="D657" s="50"/>
      <c r="E657" s="50"/>
      <c r="F657" s="50"/>
      <c r="G657" s="52"/>
      <c r="H657" s="165" t="s">
        <v>46</v>
      </c>
      <c r="I657" s="570">
        <f ca="1">IFERROR(__xludf.DUMMYFUNCTION("IMPORTRANGE(""https://docs.google.com/spreadsheets/d/1eHaY18a8A9IcSdp1K8H6x8fbOy06t2VsZHhMHf-1x7Y/edit?usp=sharing"",""แผน!II35"")"),0)</f>
        <v>0</v>
      </c>
      <c r="J657" s="467">
        <v>0</v>
      </c>
      <c r="K657" s="55"/>
      <c r="L657" s="62"/>
      <c r="M657" s="55"/>
      <c r="N657" s="468"/>
      <c r="O657" s="55"/>
      <c r="P657" s="55"/>
      <c r="Q657" s="55"/>
      <c r="R657" s="55"/>
      <c r="S657" s="468"/>
      <c r="T657" s="55"/>
      <c r="U657" s="55"/>
    </row>
    <row r="658" spans="1:21" ht="18.75" hidden="1">
      <c r="A658" s="238"/>
      <c r="B658" s="188"/>
      <c r="C658" s="188"/>
      <c r="D658" s="50"/>
      <c r="E658" s="58" t="s">
        <v>242</v>
      </c>
      <c r="F658" s="50"/>
      <c r="G658" s="52"/>
      <c r="H658" s="165" t="s">
        <v>35</v>
      </c>
      <c r="I658" s="208"/>
      <c r="J658" s="467">
        <v>0</v>
      </c>
      <c r="K658" s="55"/>
      <c r="L658" s="62"/>
      <c r="M658" s="55"/>
      <c r="N658" s="468"/>
      <c r="O658" s="55"/>
      <c r="P658" s="55"/>
      <c r="Q658" s="55"/>
      <c r="R658" s="55"/>
      <c r="S658" s="468"/>
      <c r="T658" s="55"/>
      <c r="U658" s="55"/>
    </row>
    <row r="659" spans="1:21" ht="18.75" hidden="1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67">
        <v>0</v>
      </c>
      <c r="K659" s="55"/>
      <c r="L659" s="62"/>
      <c r="M659" s="55"/>
      <c r="N659" s="468"/>
      <c r="O659" s="55"/>
      <c r="P659" s="55"/>
      <c r="Q659" s="55"/>
      <c r="R659" s="55"/>
      <c r="S659" s="468"/>
      <c r="T659" s="55"/>
      <c r="U659" s="55"/>
    </row>
    <row r="660" spans="1:21" ht="18.75" hidden="1">
      <c r="A660" s="238"/>
      <c r="B660" s="188"/>
      <c r="C660" s="188"/>
      <c r="D660" s="50"/>
      <c r="E660" s="50"/>
      <c r="F660" s="50"/>
      <c r="G660" s="52"/>
      <c r="H660" s="165" t="s">
        <v>46</v>
      </c>
      <c r="I660" s="570">
        <f ca="1">IFERROR(__xludf.DUMMYFUNCTION("IMPORTRANGE(""https://docs.google.com/spreadsheets/d/1eHaY18a8A9IcSdp1K8H6x8fbOy06t2VsZHhMHf-1x7Y/edit?usp=sharing"",""แผน!IJ35"")"),0)</f>
        <v>0</v>
      </c>
      <c r="J660" s="467">
        <v>0</v>
      </c>
      <c r="K660" s="55"/>
      <c r="L660" s="62"/>
      <c r="M660" s="55"/>
      <c r="N660" s="468"/>
      <c r="O660" s="55"/>
      <c r="P660" s="55"/>
      <c r="Q660" s="55"/>
      <c r="R660" s="55"/>
      <c r="S660" s="468"/>
      <c r="T660" s="55"/>
      <c r="U660" s="55"/>
    </row>
    <row r="661" spans="1:21" ht="19.5" hidden="1">
      <c r="A661" s="238"/>
      <c r="B661" s="188"/>
      <c r="C661" s="188"/>
      <c r="D661" s="377" t="s">
        <v>243</v>
      </c>
      <c r="E661" s="50"/>
      <c r="F661" s="50"/>
      <c r="G661" s="52"/>
      <c r="H661" s="461" t="s">
        <v>46</v>
      </c>
      <c r="I661" s="569">
        <f ca="1">IFERROR(__xludf.DUMMYFUNCTION("IMPORTRANGE(""https://docs.google.com/spreadsheets/d/1eHaY18a8A9IcSdp1K8H6x8fbOy06t2VsZHhMHf-1x7Y/edit?usp=sharing"",""แผน!IK35"")"),0)</f>
        <v>0</v>
      </c>
      <c r="J661" s="373">
        <f>J667+J670</f>
        <v>0</v>
      </c>
      <c r="K661" s="540">
        <f ca="1">IF(I661&gt;0,J661*100/I661,0)</f>
        <v>0</v>
      </c>
      <c r="L661" s="62"/>
      <c r="M661" s="55"/>
      <c r="N661" s="468"/>
      <c r="O661" s="55"/>
      <c r="P661" s="55"/>
      <c r="Q661" s="55"/>
      <c r="R661" s="55"/>
      <c r="S661" s="468"/>
      <c r="T661" s="55"/>
      <c r="U661" s="55"/>
    </row>
    <row r="662" spans="1:21" ht="18.75" hidden="1">
      <c r="A662" s="238"/>
      <c r="B662" s="188"/>
      <c r="C662" s="188"/>
      <c r="D662" s="50"/>
      <c r="E662" s="58" t="s">
        <v>244</v>
      </c>
      <c r="F662" s="50"/>
      <c r="G662" s="52"/>
      <c r="H662" s="165" t="s">
        <v>34</v>
      </c>
      <c r="I662" s="208"/>
      <c r="J662" s="467">
        <v>0</v>
      </c>
      <c r="K662" s="55"/>
      <c r="L662" s="469"/>
      <c r="M662" s="55"/>
      <c r="N662" s="468"/>
      <c r="O662" s="55"/>
      <c r="P662" s="55"/>
      <c r="Q662" s="468"/>
      <c r="R662" s="55"/>
      <c r="S662" s="468"/>
      <c r="T662" s="55"/>
      <c r="U662" s="55"/>
    </row>
    <row r="663" spans="1:21" ht="18.75" hidden="1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67">
        <v>0</v>
      </c>
      <c r="K663" s="55"/>
      <c r="L663" s="469"/>
      <c r="M663" s="55"/>
      <c r="N663" s="468"/>
      <c r="O663" s="55"/>
      <c r="P663" s="55"/>
      <c r="Q663" s="468"/>
      <c r="R663" s="55"/>
      <c r="S663" s="468"/>
      <c r="T663" s="55"/>
      <c r="U663" s="55"/>
    </row>
    <row r="664" spans="1:21" ht="18.75" hidden="1">
      <c r="A664" s="238"/>
      <c r="B664" s="188"/>
      <c r="C664" s="188"/>
      <c r="D664" s="50"/>
      <c r="E664" s="58" t="s">
        <v>245</v>
      </c>
      <c r="F664" s="50"/>
      <c r="G664" s="52"/>
      <c r="H664" s="206"/>
      <c r="I664" s="208"/>
      <c r="J664" s="54"/>
      <c r="K664" s="55"/>
      <c r="L664" s="469"/>
      <c r="M664" s="55"/>
      <c r="N664" s="468"/>
      <c r="O664" s="55"/>
      <c r="P664" s="55"/>
      <c r="Q664" s="468"/>
      <c r="R664" s="55"/>
      <c r="S664" s="468"/>
      <c r="T664" s="55"/>
      <c r="U664" s="55"/>
    </row>
    <row r="665" spans="1:21" ht="18.75" hidden="1">
      <c r="A665" s="238"/>
      <c r="B665" s="188"/>
      <c r="C665" s="188"/>
      <c r="D665" s="50"/>
      <c r="E665" s="50"/>
      <c r="F665" s="58" t="s">
        <v>246</v>
      </c>
      <c r="G665" s="52"/>
      <c r="H665" s="165" t="s">
        <v>35</v>
      </c>
      <c r="I665" s="208"/>
      <c r="J665" s="467">
        <v>0</v>
      </c>
      <c r="K665" s="55"/>
      <c r="L665" s="469"/>
      <c r="M665" s="55"/>
      <c r="N665" s="468"/>
      <c r="O665" s="55"/>
      <c r="P665" s="55"/>
      <c r="Q665" s="468"/>
      <c r="R665" s="55"/>
      <c r="S665" s="468"/>
      <c r="T665" s="55"/>
      <c r="U665" s="55"/>
    </row>
    <row r="666" spans="1:21" ht="18.75" hidden="1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67">
        <v>0</v>
      </c>
      <c r="K666" s="55"/>
      <c r="L666" s="469"/>
      <c r="M666" s="55"/>
      <c r="N666" s="468"/>
      <c r="O666" s="55"/>
      <c r="P666" s="55"/>
      <c r="Q666" s="468"/>
      <c r="R666" s="55"/>
      <c r="S666" s="468"/>
      <c r="T666" s="55"/>
      <c r="U666" s="55"/>
    </row>
    <row r="667" spans="1:21" ht="18.75" hidden="1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67">
        <v>0</v>
      </c>
      <c r="K667" s="55"/>
      <c r="L667" s="469"/>
      <c r="M667" s="55"/>
      <c r="N667" s="468"/>
      <c r="O667" s="55"/>
      <c r="P667" s="55"/>
      <c r="Q667" s="468"/>
      <c r="R667" s="55"/>
      <c r="S667" s="468"/>
      <c r="T667" s="55"/>
      <c r="U667" s="55"/>
    </row>
    <row r="668" spans="1:21" ht="18.75" hidden="1">
      <c r="A668" s="238"/>
      <c r="B668" s="188"/>
      <c r="C668" s="188"/>
      <c r="D668" s="50"/>
      <c r="E668" s="50"/>
      <c r="F668" s="58" t="s">
        <v>247</v>
      </c>
      <c r="G668" s="52"/>
      <c r="H668" s="165" t="s">
        <v>35</v>
      </c>
      <c r="I668" s="208"/>
      <c r="J668" s="467">
        <v>0</v>
      </c>
      <c r="K668" s="55"/>
      <c r="L668" s="469"/>
      <c r="M668" s="55"/>
      <c r="N668" s="468"/>
      <c r="O668" s="55"/>
      <c r="P668" s="55"/>
      <c r="Q668" s="468"/>
      <c r="R668" s="55"/>
      <c r="S668" s="468"/>
      <c r="T668" s="55"/>
      <c r="U668" s="55"/>
    </row>
    <row r="669" spans="1:21" ht="18.75" hidden="1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67">
        <v>0</v>
      </c>
      <c r="K669" s="55"/>
      <c r="L669" s="469"/>
      <c r="M669" s="55"/>
      <c r="N669" s="468"/>
      <c r="O669" s="55"/>
      <c r="P669" s="55"/>
      <c r="Q669" s="468"/>
      <c r="R669" s="55"/>
      <c r="S669" s="468"/>
      <c r="T669" s="55"/>
      <c r="U669" s="55"/>
    </row>
    <row r="670" spans="1:21" ht="18.75" hidden="1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67">
        <v>0</v>
      </c>
      <c r="K670" s="55"/>
      <c r="L670" s="469"/>
      <c r="M670" s="55"/>
      <c r="N670" s="468"/>
      <c r="O670" s="55"/>
      <c r="P670" s="55"/>
      <c r="Q670" s="468"/>
      <c r="R670" s="55"/>
      <c r="S670" s="468"/>
      <c r="T670" s="55"/>
      <c r="U670" s="55"/>
    </row>
    <row r="671" spans="1:21" ht="18.75" hidden="1">
      <c r="A671" s="238"/>
      <c r="B671" s="188"/>
      <c r="C671" s="188"/>
      <c r="D671" s="58" t="s">
        <v>248</v>
      </c>
      <c r="E671" s="50"/>
      <c r="F671" s="50"/>
      <c r="G671" s="52"/>
      <c r="H671" s="165" t="s">
        <v>35</v>
      </c>
      <c r="I671" s="208"/>
      <c r="J671" s="212">
        <f ca="1">IFERROR(__xludf.DUMMYFUNCTION("IMPORTRANGE(""https://docs.google.com/spreadsheets/d/1tdoBKaGub7dwA3U6UFTqxio9LNnvDCQjHKmttSEBsFQ/edit?usp=sharing"",""จัดที่ดิน!AY35"")"),0)</f>
        <v>0</v>
      </c>
      <c r="K671" s="55"/>
      <c r="L671" s="62"/>
      <c r="M671" s="55"/>
      <c r="N671" s="468"/>
      <c r="O671" s="55"/>
      <c r="P671" s="55"/>
      <c r="Q671" s="55"/>
      <c r="R671" s="55"/>
      <c r="S671" s="468"/>
      <c r="T671" s="55"/>
      <c r="U671" s="55"/>
    </row>
    <row r="672" spans="1:21" ht="18.75" hidden="1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212">
        <f ca="1">IFERROR(__xludf.DUMMYFUNCTION("IMPORTRANGE(""https://docs.google.com/spreadsheets/d/1tdoBKaGub7dwA3U6UFTqxio9LNnvDCQjHKmttSEBsFQ/edit?usp=sharing"",""จัดที่ดิน!AZ35"")"),0)</f>
        <v>0</v>
      </c>
      <c r="K672" s="55"/>
      <c r="L672" s="469"/>
      <c r="M672" s="55"/>
      <c r="N672" s="468"/>
      <c r="O672" s="55"/>
      <c r="P672" s="55"/>
      <c r="Q672" s="468"/>
      <c r="R672" s="55"/>
      <c r="S672" s="468"/>
      <c r="T672" s="55"/>
      <c r="U672" s="55"/>
    </row>
    <row r="673" spans="1:21" ht="18.75" hidden="1">
      <c r="A673" s="238"/>
      <c r="B673" s="188"/>
      <c r="C673" s="188"/>
      <c r="D673" s="50"/>
      <c r="E673" s="50"/>
      <c r="F673" s="50"/>
      <c r="G673" s="52"/>
      <c r="H673" s="165" t="s">
        <v>46</v>
      </c>
      <c r="I673" s="570">
        <f ca="1">IFERROR(__xludf.DUMMYFUNCTION("IMPORTRANGE(""https://docs.google.com/spreadsheets/d/1eHaY18a8A9IcSdp1K8H6x8fbOy06t2VsZHhMHf-1x7Y/edit?usp=sharing"",""แผน!IL35"")"),0)</f>
        <v>0</v>
      </c>
      <c r="J673" s="212">
        <f ca="1">IFERROR(__xludf.DUMMYFUNCTION("IMPORTRANGE(""https://docs.google.com/spreadsheets/d/1tdoBKaGub7dwA3U6UFTqxio9LNnvDCQjHKmttSEBsFQ/edit?usp=sharing"",""จัดที่ดิน!BA35"")"),0)</f>
        <v>0</v>
      </c>
      <c r="K673" s="255">
        <f ca="1">IF(I673&gt;0,J673*100/I673,0)</f>
        <v>0</v>
      </c>
      <c r="L673" s="469"/>
      <c r="M673" s="55"/>
      <c r="N673" s="468"/>
      <c r="O673" s="55"/>
      <c r="P673" s="55"/>
      <c r="Q673" s="468"/>
      <c r="R673" s="55"/>
      <c r="S673" s="468"/>
      <c r="T673" s="55"/>
      <c r="U673" s="55"/>
    </row>
    <row r="674" spans="1:21" ht="19.5" hidden="1">
      <c r="A674" s="238"/>
      <c r="B674" s="188"/>
      <c r="C674" s="188"/>
      <c r="D674" s="58" t="s">
        <v>249</v>
      </c>
      <c r="E674" s="50"/>
      <c r="F674" s="50"/>
      <c r="G674" s="52"/>
      <c r="H674" s="461" t="s">
        <v>35</v>
      </c>
      <c r="I674" s="569">
        <f ca="1">IFERROR(__xludf.DUMMYFUNCTION("IMPORTRANGE(""https://docs.google.com/spreadsheets/d/1eHaY18a8A9IcSdp1K8H6x8fbOy06t2VsZHhMHf-1x7Y/edit?usp=sharing"",""แผน!IM35"")"),0)</f>
        <v>0</v>
      </c>
      <c r="J674" s="373">
        <f ca="1">J676+J679</f>
        <v>0</v>
      </c>
      <c r="K674" s="540">
        <f ca="1">IF(I674&gt;0,J674*100/I674,0)</f>
        <v>0</v>
      </c>
      <c r="L674" s="469"/>
      <c r="M674" s="55"/>
      <c r="N674" s="468"/>
      <c r="O674" s="55"/>
      <c r="P674" s="55"/>
      <c r="Q674" s="468"/>
      <c r="R674" s="55"/>
      <c r="S674" s="468"/>
      <c r="T674" s="55"/>
      <c r="U674" s="55"/>
    </row>
    <row r="675" spans="1:21" ht="19.5" hidden="1">
      <c r="A675" s="238"/>
      <c r="B675" s="188"/>
      <c r="C675" s="188"/>
      <c r="D675" s="50"/>
      <c r="E675" s="50"/>
      <c r="F675" s="50"/>
      <c r="G675" s="52"/>
      <c r="H675" s="461" t="s">
        <v>46</v>
      </c>
      <c r="I675" s="569">
        <f ca="1">IFERROR(__xludf.DUMMYFUNCTION("IMPORTRANGE(""https://docs.google.com/spreadsheets/d/1eHaY18a8A9IcSdp1K8H6x8fbOy06t2VsZHhMHf-1x7Y/edit?usp=sharing"",""แผน!IN35"")"),0)</f>
        <v>0</v>
      </c>
      <c r="J675" s="373">
        <f ca="1">J678+J681</f>
        <v>0</v>
      </c>
      <c r="K675" s="540">
        <f ca="1">IF(I675&gt;0,J675*100/I675,0)</f>
        <v>0</v>
      </c>
      <c r="L675" s="62"/>
      <c r="M675" s="55"/>
      <c r="N675" s="468"/>
      <c r="O675" s="55"/>
      <c r="P675" s="55"/>
      <c r="Q675" s="55"/>
      <c r="R675" s="55"/>
      <c r="S675" s="468"/>
      <c r="T675" s="55"/>
      <c r="U675" s="55"/>
    </row>
    <row r="676" spans="1:21" ht="18.75" hidden="1">
      <c r="A676" s="238"/>
      <c r="B676" s="188"/>
      <c r="C676" s="188"/>
      <c r="D676" s="50"/>
      <c r="E676" s="58" t="s">
        <v>250</v>
      </c>
      <c r="F676" s="50"/>
      <c r="G676" s="52"/>
      <c r="H676" s="165" t="s">
        <v>35</v>
      </c>
      <c r="I676" s="570">
        <f ca="1">IFERROR(__xludf.DUMMYFUNCTION("IMPORTRANGE(""https://docs.google.com/spreadsheets/d/1eHaY18a8A9IcSdp1K8H6x8fbOy06t2VsZHhMHf-1x7Y/edit?usp=sharing"",""แผน!IO35"")"),0)</f>
        <v>0</v>
      </c>
      <c r="J676" s="212">
        <f ca="1">IFERROR(__xludf.DUMMYFUNCTION("IMPORTRANGE(""https://docs.google.com/spreadsheets/d/1tdoBKaGub7dwA3U6UFTqxio9LNnvDCQjHKmttSEBsFQ/edit?usp=sharing"",""จัดที่ดิน!BF35"")"),0)</f>
        <v>0</v>
      </c>
      <c r="K676" s="255">
        <f ca="1">IF(I676&gt;0,J676*100/I676,0)</f>
        <v>0</v>
      </c>
      <c r="L676" s="62"/>
      <c r="M676" s="55"/>
      <c r="N676" s="468"/>
      <c r="O676" s="55"/>
      <c r="P676" s="55"/>
      <c r="Q676" s="55"/>
      <c r="R676" s="55"/>
      <c r="S676" s="468"/>
      <c r="T676" s="55"/>
      <c r="U676" s="55"/>
    </row>
    <row r="677" spans="1:21" ht="18.75" hidden="1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212">
        <f ca="1">IFERROR(__xludf.DUMMYFUNCTION("IMPORTRANGE(""https://docs.google.com/spreadsheets/d/1tdoBKaGub7dwA3U6UFTqxio9LNnvDCQjHKmttSEBsFQ/edit?usp=sharing"",""จัดที่ดิน!BG35"")"),0)</f>
        <v>0</v>
      </c>
      <c r="K677" s="55"/>
      <c r="L677" s="469"/>
      <c r="M677" s="55"/>
      <c r="N677" s="468"/>
      <c r="O677" s="55"/>
      <c r="P677" s="55"/>
      <c r="Q677" s="468"/>
      <c r="R677" s="55"/>
      <c r="S677" s="468"/>
      <c r="T677" s="55"/>
      <c r="U677" s="55"/>
    </row>
    <row r="678" spans="1:21" ht="18.75" hidden="1">
      <c r="A678" s="238"/>
      <c r="B678" s="188"/>
      <c r="C678" s="188"/>
      <c r="D678" s="50"/>
      <c r="E678" s="50"/>
      <c r="F678" s="50"/>
      <c r="G678" s="52"/>
      <c r="H678" s="165" t="s">
        <v>46</v>
      </c>
      <c r="I678" s="570">
        <f ca="1">IFERROR(__xludf.DUMMYFUNCTION("IMPORTRANGE(""https://docs.google.com/spreadsheets/d/1eHaY18a8A9IcSdp1K8H6x8fbOy06t2VsZHhMHf-1x7Y/edit?usp=sharing"",""แผน!IP35"")"),0)</f>
        <v>0</v>
      </c>
      <c r="J678" s="212">
        <f ca="1">IFERROR(__xludf.DUMMYFUNCTION("IMPORTRANGE(""https://docs.google.com/spreadsheets/d/1tdoBKaGub7dwA3U6UFTqxio9LNnvDCQjHKmttSEBsFQ/edit?usp=sharing"",""จัดที่ดิน!BH35"")"),0)</f>
        <v>0</v>
      </c>
      <c r="K678" s="255">
        <f ca="1">IF(I678&gt;0,J678*100/I678,0)</f>
        <v>0</v>
      </c>
      <c r="L678" s="469"/>
      <c r="M678" s="55"/>
      <c r="N678" s="468"/>
      <c r="O678" s="55"/>
      <c r="P678" s="55"/>
      <c r="Q678" s="468"/>
      <c r="R678" s="55"/>
      <c r="S678" s="468"/>
      <c r="T678" s="55"/>
      <c r="U678" s="55"/>
    </row>
    <row r="679" spans="1:21" ht="18.75" hidden="1">
      <c r="A679" s="238"/>
      <c r="B679" s="188"/>
      <c r="C679" s="188"/>
      <c r="D679" s="50"/>
      <c r="E679" s="58" t="s">
        <v>251</v>
      </c>
      <c r="F679" s="50"/>
      <c r="G679" s="52"/>
      <c r="H679" s="165" t="s">
        <v>35</v>
      </c>
      <c r="I679" s="570">
        <f ca="1">IFERROR(__xludf.DUMMYFUNCTION("IMPORTRANGE(""https://docs.google.com/spreadsheets/d/1eHaY18a8A9IcSdp1K8H6x8fbOy06t2VsZHhMHf-1x7Y/edit?usp=sharing"",""แผน!IQ35"")"),0)</f>
        <v>0</v>
      </c>
      <c r="J679" s="212">
        <f ca="1">IFERROR(__xludf.DUMMYFUNCTION("IMPORTRANGE(""https://docs.google.com/spreadsheets/d/1tdoBKaGub7dwA3U6UFTqxio9LNnvDCQjHKmttSEBsFQ/edit?usp=sharing"",""จัดที่ดิน!BK35"")"),0)</f>
        <v>0</v>
      </c>
      <c r="K679" s="255">
        <f ca="1">IF(I679&gt;0,J679*100/I679,0)</f>
        <v>0</v>
      </c>
      <c r="L679" s="62"/>
      <c r="M679" s="55"/>
      <c r="N679" s="468"/>
      <c r="O679" s="55"/>
      <c r="P679" s="55"/>
      <c r="Q679" s="55"/>
      <c r="R679" s="55"/>
      <c r="S679" s="468"/>
      <c r="T679" s="55"/>
      <c r="U679" s="55"/>
    </row>
    <row r="680" spans="1:21" ht="18.75" hidden="1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212">
        <f ca="1">IFERROR(__xludf.DUMMYFUNCTION("IMPORTRANGE(""https://docs.google.com/spreadsheets/d/1tdoBKaGub7dwA3U6UFTqxio9LNnvDCQjHKmttSEBsFQ/edit?usp=sharing"",""จัดที่ดิน!BL35"")"),0)</f>
        <v>0</v>
      </c>
      <c r="K680" s="55"/>
      <c r="L680" s="469"/>
      <c r="M680" s="55"/>
      <c r="N680" s="468"/>
      <c r="O680" s="55"/>
      <c r="P680" s="55"/>
      <c r="Q680" s="468"/>
      <c r="R680" s="55"/>
      <c r="S680" s="468"/>
      <c r="T680" s="55"/>
      <c r="U680" s="55"/>
    </row>
    <row r="681" spans="1:21" ht="18.75" hidden="1">
      <c r="A681" s="238"/>
      <c r="B681" s="188"/>
      <c r="C681" s="188"/>
      <c r="D681" s="50"/>
      <c r="E681" s="50"/>
      <c r="F681" s="50"/>
      <c r="G681" s="52"/>
      <c r="H681" s="165" t="s">
        <v>46</v>
      </c>
      <c r="I681" s="570">
        <f ca="1">IFERROR(__xludf.DUMMYFUNCTION("IMPORTRANGE(""https://docs.google.com/spreadsheets/d/1eHaY18a8A9IcSdp1K8H6x8fbOy06t2VsZHhMHf-1x7Y/edit?usp=sharing"",""แผน!IR35"")"),0)</f>
        <v>0</v>
      </c>
      <c r="J681" s="212">
        <f ca="1">IFERROR(__xludf.DUMMYFUNCTION("IMPORTRANGE(""https://docs.google.com/spreadsheets/d/1tdoBKaGub7dwA3U6UFTqxio9LNnvDCQjHKmttSEBsFQ/edit?usp=sharing"",""จัดที่ดิน!BM35"")"),0)</f>
        <v>0</v>
      </c>
      <c r="K681" s="255">
        <f ca="1">IF(I681&gt;0,J681*100/I681,0)</f>
        <v>0</v>
      </c>
      <c r="L681" s="469"/>
      <c r="M681" s="55"/>
      <c r="N681" s="468"/>
      <c r="O681" s="55"/>
      <c r="P681" s="55"/>
      <c r="Q681" s="468"/>
      <c r="R681" s="55"/>
      <c r="S681" s="468"/>
      <c r="T681" s="55"/>
      <c r="U681" s="55"/>
    </row>
    <row r="682" spans="1:21" ht="19.5" hidden="1">
      <c r="A682" s="238"/>
      <c r="B682" s="188"/>
      <c r="C682" s="188"/>
      <c r="D682" s="58" t="s">
        <v>252</v>
      </c>
      <c r="E682" s="50"/>
      <c r="F682" s="50"/>
      <c r="G682" s="52"/>
      <c r="H682" s="461" t="s">
        <v>46</v>
      </c>
      <c r="I682" s="569">
        <f ca="1">IFERROR(__xludf.DUMMYFUNCTION("IMPORTRANGE(""https://docs.google.com/spreadsheets/d/1eHaY18a8A9IcSdp1K8H6x8fbOy06t2VsZHhMHf-1x7Y/edit?usp=sharing"",""แผน!IS35"")"),0)</f>
        <v>0</v>
      </c>
      <c r="J682" s="373">
        <f>J685+J688</f>
        <v>0</v>
      </c>
      <c r="K682" s="540">
        <f ca="1">IF(I682&gt;0,J682*100/I682,0)</f>
        <v>0</v>
      </c>
      <c r="L682" s="62"/>
      <c r="M682" s="55"/>
      <c r="N682" s="468"/>
      <c r="O682" s="55"/>
      <c r="P682" s="55"/>
      <c r="Q682" s="55"/>
      <c r="R682" s="55"/>
      <c r="S682" s="468"/>
      <c r="T682" s="55"/>
      <c r="U682" s="55"/>
    </row>
    <row r="683" spans="1:21" ht="18.75" hidden="1">
      <c r="A683" s="238"/>
      <c r="B683" s="188"/>
      <c r="C683" s="188"/>
      <c r="D683" s="50"/>
      <c r="E683" s="58" t="s">
        <v>253</v>
      </c>
      <c r="F683" s="50"/>
      <c r="G683" s="52"/>
      <c r="H683" s="165" t="s">
        <v>35</v>
      </c>
      <c r="I683" s="208"/>
      <c r="J683" s="467">
        <v>0</v>
      </c>
      <c r="K683" s="55"/>
      <c r="L683" s="469"/>
      <c r="M683" s="55"/>
      <c r="N683" s="468"/>
      <c r="O683" s="55"/>
      <c r="P683" s="55"/>
      <c r="Q683" s="468"/>
      <c r="R683" s="55"/>
      <c r="S683" s="468"/>
      <c r="T683" s="55"/>
      <c r="U683" s="55"/>
    </row>
    <row r="684" spans="1:21" ht="18.75" hidden="1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467">
        <v>0</v>
      </c>
      <c r="K684" s="55"/>
      <c r="L684" s="469"/>
      <c r="M684" s="55"/>
      <c r="N684" s="468"/>
      <c r="O684" s="55"/>
      <c r="P684" s="55"/>
      <c r="Q684" s="468"/>
      <c r="R684" s="55"/>
      <c r="S684" s="468"/>
      <c r="T684" s="55"/>
      <c r="U684" s="55"/>
    </row>
    <row r="685" spans="1:21" ht="18.75" hidden="1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467">
        <v>0</v>
      </c>
      <c r="K685" s="55"/>
      <c r="L685" s="469"/>
      <c r="M685" s="55"/>
      <c r="N685" s="468"/>
      <c r="O685" s="55"/>
      <c r="P685" s="55"/>
      <c r="Q685" s="468"/>
      <c r="R685" s="55"/>
      <c r="S685" s="468"/>
      <c r="T685" s="55"/>
      <c r="U685" s="55"/>
    </row>
    <row r="686" spans="1:21" ht="18.75" hidden="1">
      <c r="A686" s="238"/>
      <c r="B686" s="188"/>
      <c r="C686" s="188"/>
      <c r="D686" s="50"/>
      <c r="E686" s="58" t="s">
        <v>254</v>
      </c>
      <c r="F686" s="50"/>
      <c r="G686" s="52"/>
      <c r="H686" s="165" t="s">
        <v>35</v>
      </c>
      <c r="I686" s="208"/>
      <c r="J686" s="467">
        <v>0</v>
      </c>
      <c r="K686" s="55"/>
      <c r="L686" s="469"/>
      <c r="M686" s="55"/>
      <c r="N686" s="468"/>
      <c r="O686" s="55"/>
      <c r="P686" s="55"/>
      <c r="Q686" s="468"/>
      <c r="R686" s="55"/>
      <c r="S686" s="468"/>
      <c r="T686" s="55"/>
      <c r="U686" s="55"/>
    </row>
    <row r="687" spans="1:21" ht="18.75" hidden="1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467">
        <v>0</v>
      </c>
      <c r="K687" s="55"/>
      <c r="L687" s="469"/>
      <c r="M687" s="55"/>
      <c r="N687" s="468"/>
      <c r="O687" s="55"/>
      <c r="P687" s="55"/>
      <c r="Q687" s="468"/>
      <c r="R687" s="55"/>
      <c r="S687" s="468"/>
      <c r="T687" s="55"/>
      <c r="U687" s="55"/>
    </row>
    <row r="688" spans="1:21" ht="19.5" hidden="1">
      <c r="A688" s="281"/>
      <c r="B688" s="470" t="s">
        <v>255</v>
      </c>
      <c r="C688" s="282"/>
      <c r="D688" s="2"/>
      <c r="E688" s="2"/>
      <c r="F688" s="2"/>
      <c r="G688" s="284"/>
      <c r="H688" s="214" t="s">
        <v>46</v>
      </c>
      <c r="I688" s="375"/>
      <c r="J688" s="538">
        <v>0</v>
      </c>
      <c r="K688" s="6"/>
      <c r="L688" s="472"/>
      <c r="M688" s="6"/>
      <c r="N688" s="471"/>
      <c r="O688" s="6"/>
      <c r="P688" s="6"/>
      <c r="Q688" s="471"/>
      <c r="R688" s="6"/>
      <c r="S688" s="471"/>
      <c r="T688" s="6"/>
      <c r="U688" s="6"/>
    </row>
    <row r="689" spans="1:21" ht="19.5">
      <c r="A689" s="442"/>
      <c r="B689" s="443" t="s">
        <v>256</v>
      </c>
      <c r="C689" s="442"/>
      <c r="D689" s="444"/>
      <c r="E689" s="444"/>
      <c r="F689" s="444"/>
      <c r="G689" s="445"/>
      <c r="H689" s="568" t="s">
        <v>35</v>
      </c>
      <c r="I689" s="567">
        <f ca="1">I707</f>
        <v>0</v>
      </c>
      <c r="J689" s="567">
        <f ca="1">J707</f>
        <v>0</v>
      </c>
      <c r="K689" s="543">
        <f ca="1">IF(I689&gt;0,J689*100/I689,0)</f>
        <v>0</v>
      </c>
      <c r="L689" s="449"/>
      <c r="M689" s="448"/>
      <c r="N689" s="448"/>
      <c r="O689" s="448"/>
      <c r="P689" s="448"/>
      <c r="Q689" s="448"/>
      <c r="R689" s="448"/>
      <c r="S689" s="448"/>
      <c r="T689" s="448"/>
      <c r="U689" s="448"/>
    </row>
    <row r="690" spans="1:21" ht="19.5">
      <c r="A690" s="155"/>
      <c r="B690" s="188"/>
      <c r="C690" s="205" t="s">
        <v>18</v>
      </c>
      <c r="D690" s="542" t="s">
        <v>19</v>
      </c>
      <c r="E690" s="529"/>
      <c r="F690" s="529"/>
      <c r="G690" s="530"/>
      <c r="H690" s="252" t="s">
        <v>14</v>
      </c>
      <c r="I690" s="54"/>
      <c r="J690" s="54"/>
      <c r="K690" s="55"/>
      <c r="L690" s="541">
        <f>L691+L692</f>
        <v>0</v>
      </c>
      <c r="M690" s="540">
        <f>M691+M692</f>
        <v>0</v>
      </c>
      <c r="N690" s="540">
        <f>N691+N692</f>
        <v>0</v>
      </c>
      <c r="O690" s="540">
        <f>IF(L690&gt;0,N690*100/L690,0)</f>
        <v>0</v>
      </c>
      <c r="P690" s="540">
        <f>IF(M690&gt;0,N690*100/M690,0)</f>
        <v>0</v>
      </c>
      <c r="Q690" s="540">
        <f ca="1">Q691+Q692</f>
        <v>67330</v>
      </c>
      <c r="R690" s="540">
        <f ca="1">R691+R692</f>
        <v>67330</v>
      </c>
      <c r="S690" s="540">
        <f ca="1">S691+S692</f>
        <v>500</v>
      </c>
      <c r="T690" s="540">
        <f ca="1">IF(Q690&gt;0,S690*100/Q690,0)</f>
        <v>0.74261102034754201</v>
      </c>
      <c r="U690" s="540">
        <f ca="1">IF(R690&gt;0,S690*100/R690,0)</f>
        <v>0.74261102034754201</v>
      </c>
    </row>
    <row r="691" spans="1:21" ht="18.75" hidden="1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103">
        <f>L694+L697</f>
        <v>0</v>
      </c>
      <c r="M691" s="102">
        <f>M694+M697</f>
        <v>0</v>
      </c>
      <c r="N691" s="102">
        <f>N694+N697</f>
        <v>0</v>
      </c>
      <c r="O691" s="102">
        <f>IF(L691&gt;0,N691*100/L691,0)</f>
        <v>0</v>
      </c>
      <c r="P691" s="102">
        <f>IF(M691&gt;0,N691*100/M691,0)</f>
        <v>0</v>
      </c>
      <c r="Q691" s="102">
        <f>Q694+Q697</f>
        <v>0</v>
      </c>
      <c r="R691" s="102">
        <f>R694+R697</f>
        <v>0</v>
      </c>
      <c r="S691" s="102">
        <f>S694+S697</f>
        <v>0</v>
      </c>
      <c r="T691" s="102">
        <f>IF(Q691&gt;0,S691*100/Q691,0)</f>
        <v>0</v>
      </c>
      <c r="U691" s="102">
        <f>IF(R691&gt;0,S691*100/R691,0)</f>
        <v>0</v>
      </c>
    </row>
    <row r="692" spans="1:21" ht="18.75" hidden="1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256">
        <f>L695+L698</f>
        <v>0</v>
      </c>
      <c r="M692" s="255">
        <f>M695+M698</f>
        <v>0</v>
      </c>
      <c r="N692" s="255">
        <f>N695+N698</f>
        <v>0</v>
      </c>
      <c r="O692" s="255">
        <f>IF(L692&gt;0,N692*100/L692,0)</f>
        <v>0</v>
      </c>
      <c r="P692" s="255">
        <f>IF(M692&gt;0,N692*100/M692,0)</f>
        <v>0</v>
      </c>
      <c r="Q692" s="255">
        <f ca="1">Q695+Q698</f>
        <v>67330</v>
      </c>
      <c r="R692" s="255">
        <f ca="1">R695+R698</f>
        <v>67330</v>
      </c>
      <c r="S692" s="255">
        <f ca="1">S695+S698</f>
        <v>500</v>
      </c>
      <c r="T692" s="255">
        <f ca="1">IF(Q692&gt;0,S692*100/Q692,0)</f>
        <v>0.74261102034754201</v>
      </c>
      <c r="U692" s="255">
        <f ca="1">IF(R692&gt;0,S692*100/R692,0)</f>
        <v>0.74261102034754201</v>
      </c>
    </row>
    <row r="693" spans="1:21" ht="18.75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256">
        <f>L694+L695</f>
        <v>0</v>
      </c>
      <c r="M693" s="255">
        <f>M694+M695</f>
        <v>0</v>
      </c>
      <c r="N693" s="255">
        <f>N694+N695</f>
        <v>0</v>
      </c>
      <c r="O693" s="255">
        <f>IF(L693&gt;0,N693*100/L693,0)</f>
        <v>0</v>
      </c>
      <c r="P693" s="255">
        <f>IF(M693&gt;0,N693*100/M693,0)</f>
        <v>0</v>
      </c>
      <c r="Q693" s="255">
        <f ca="1">Q694+Q695</f>
        <v>67330</v>
      </c>
      <c r="R693" s="255">
        <f ca="1">R694+R695</f>
        <v>67330</v>
      </c>
      <c r="S693" s="255">
        <f ca="1">S694+S695</f>
        <v>500</v>
      </c>
      <c r="T693" s="255">
        <f ca="1">IF(Q693&gt;0,S693*100/Q693,0)</f>
        <v>0.74261102034754201</v>
      </c>
      <c r="U693" s="255">
        <f ca="1">IF(R693&gt;0,S693*100/R693,0)</f>
        <v>0.74261102034754201</v>
      </c>
    </row>
    <row r="694" spans="1:21" ht="18.75" hidden="1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103">
        <v>0</v>
      </c>
      <c r="M694" s="102">
        <v>0</v>
      </c>
      <c r="N694" s="102">
        <v>0</v>
      </c>
      <c r="O694" s="102">
        <f>IF(L694&gt;0,N694*100/L694,0)</f>
        <v>0</v>
      </c>
      <c r="P694" s="102">
        <f>IF(M694&gt;0,N694*100/M694,0)</f>
        <v>0</v>
      </c>
      <c r="Q694" s="102">
        <v>0</v>
      </c>
      <c r="R694" s="102">
        <v>0</v>
      </c>
      <c r="S694" s="102">
        <v>0</v>
      </c>
      <c r="T694" s="102">
        <f>IF(Q694&gt;0,S694*100/Q694,0)</f>
        <v>0</v>
      </c>
      <c r="U694" s="102">
        <f>IF(R694&gt;0,S694*100/R694,0)</f>
        <v>0</v>
      </c>
    </row>
    <row r="695" spans="1:21" ht="18.75" hidden="1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256">
        <v>0</v>
      </c>
      <c r="M695" s="255">
        <v>0</v>
      </c>
      <c r="N695" s="255">
        <v>0</v>
      </c>
      <c r="O695" s="255">
        <f>IF(L695&gt;0,N695*100/L695,0)</f>
        <v>0</v>
      </c>
      <c r="P695" s="255">
        <f>IF(M695&gt;0,N695*100/M695,0)</f>
        <v>0</v>
      </c>
      <c r="Q695" s="255">
        <f ca="1">IFERROR(__xludf.DUMMYFUNCTION("IMPORTRANGE(""https://docs.google.com/spreadsheets/d/1ItG2mGa2ceCfYo0BwxsXqNm01IGEUdYcSSLTEv9YCik/edit?usp=sharing"",""เบิกจ่ายกองทุน!L35"")"),67330)</f>
        <v>67330</v>
      </c>
      <c r="R695" s="255">
        <f ca="1">IFERROR(__xludf.DUMMYFUNCTION("IMPORTRANGE(""https://docs.google.com/spreadsheets/d/1ItG2mGa2ceCfYo0BwxsXqNm01IGEUdYcSSLTEv9YCik/edit?usp=sharing"",""เบิกจ่ายกองทุน!M35"")"),67330)</f>
        <v>67330</v>
      </c>
      <c r="S695" s="255">
        <f ca="1">IFERROR(__xludf.DUMMYFUNCTION("IMPORTRANGE(""https://docs.google.com/spreadsheets/d/1ItG2mGa2ceCfYo0BwxsXqNm01IGEUdYcSSLTEv9YCik/edit?usp=sharing"",""เบิกจ่ายกองทุน!N35"")"),500)</f>
        <v>500</v>
      </c>
      <c r="T695" s="255">
        <f ca="1">IF(Q695&gt;0,S695*100/Q695,0)</f>
        <v>0.74261102034754201</v>
      </c>
      <c r="U695" s="255">
        <f ca="1">IF(R695&gt;0,S695*100/R695,0)</f>
        <v>0.74261102034754201</v>
      </c>
    </row>
    <row r="696" spans="1:21" ht="18.75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256">
        <f>L697+L698</f>
        <v>0</v>
      </c>
      <c r="M696" s="255">
        <f>M697+M698</f>
        <v>0</v>
      </c>
      <c r="N696" s="255">
        <f>N697+N698</f>
        <v>0</v>
      </c>
      <c r="O696" s="255">
        <f>IF(L696&gt;0,N696*100/L696,0)</f>
        <v>0</v>
      </c>
      <c r="P696" s="255">
        <f>IF(M696&gt;0,N696*100/M696,0)</f>
        <v>0</v>
      </c>
      <c r="Q696" s="255">
        <f>Q697+Q698</f>
        <v>0</v>
      </c>
      <c r="R696" s="255">
        <f>R697+R698</f>
        <v>0</v>
      </c>
      <c r="S696" s="255">
        <f>S697+S698</f>
        <v>0</v>
      </c>
      <c r="T696" s="255">
        <f>IF(Q696&gt;0,S696*100/Q696,0)</f>
        <v>0</v>
      </c>
      <c r="U696" s="255">
        <f>IF(R696&gt;0,S696*100/R696,0)</f>
        <v>0</v>
      </c>
    </row>
    <row r="697" spans="1:21" ht="18.75" hidden="1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103">
        <v>0</v>
      </c>
      <c r="M697" s="102">
        <v>0</v>
      </c>
      <c r="N697" s="102">
        <v>0</v>
      </c>
      <c r="O697" s="102">
        <f>IF(L697&gt;0,N697*100/L697,0)</f>
        <v>0</v>
      </c>
      <c r="P697" s="102">
        <f>IF(M697&gt;0,N697*100/M697,0)</f>
        <v>0</v>
      </c>
      <c r="Q697" s="102">
        <v>0</v>
      </c>
      <c r="R697" s="102">
        <v>0</v>
      </c>
      <c r="S697" s="102">
        <v>0</v>
      </c>
      <c r="T697" s="102">
        <f>IF(Q697&gt;0,S697*100/Q697,0)</f>
        <v>0</v>
      </c>
      <c r="U697" s="102">
        <f>IF(R697&gt;0,S697*100/R697,0)</f>
        <v>0</v>
      </c>
    </row>
    <row r="698" spans="1:21" ht="18.75" hidden="1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256">
        <v>0</v>
      </c>
      <c r="M698" s="255">
        <v>0</v>
      </c>
      <c r="N698" s="255">
        <v>0</v>
      </c>
      <c r="O698" s="255">
        <f>IF(L698&gt;0,N698*100/L698,0)</f>
        <v>0</v>
      </c>
      <c r="P698" s="255">
        <f>IF(M698&gt;0,N698*100/M698,0)</f>
        <v>0</v>
      </c>
      <c r="Q698" s="255">
        <v>0</v>
      </c>
      <c r="R698" s="255">
        <v>0</v>
      </c>
      <c r="S698" s="255">
        <v>0</v>
      </c>
      <c r="T698" s="255">
        <f>IF(Q698&gt;0,S698*100/Q698,0)</f>
        <v>0</v>
      </c>
      <c r="U698" s="255">
        <f>IF(R698&gt;0,S698*100/R698,0)</f>
        <v>0</v>
      </c>
    </row>
    <row r="699" spans="1:21" ht="19.5">
      <c r="A699" s="166"/>
      <c r="B699" s="167"/>
      <c r="C699" s="205" t="s">
        <v>18</v>
      </c>
      <c r="D699" s="566" t="s">
        <v>38</v>
      </c>
      <c r="E699" s="169"/>
      <c r="F699" s="169"/>
      <c r="G699" s="169"/>
      <c r="H699" s="206"/>
      <c r="I699" s="163"/>
      <c r="J699" s="163"/>
      <c r="K699" s="164"/>
      <c r="L699" s="62"/>
      <c r="M699" s="55"/>
      <c r="N699" s="55"/>
      <c r="O699" s="55"/>
      <c r="P699" s="55"/>
      <c r="Q699" s="55"/>
      <c r="R699" s="55"/>
      <c r="S699" s="55"/>
      <c r="T699" s="55"/>
      <c r="U699" s="55"/>
    </row>
    <row r="700" spans="1:21" ht="18.75">
      <c r="A700" s="238"/>
      <c r="B700" s="188"/>
      <c r="C700" s="188"/>
      <c r="D700" s="174"/>
      <c r="E700" s="173" t="s">
        <v>257</v>
      </c>
      <c r="F700" s="174"/>
      <c r="G700" s="171"/>
      <c r="H700" s="165" t="s">
        <v>258</v>
      </c>
      <c r="I700" s="212">
        <f ca="1">IFERROR(__xludf.DUMMYFUNCTION("IMPORTRANGE(""https://docs.google.com/spreadsheets/d/1eHaY18a8A9IcSdp1K8H6x8fbOy06t2VsZHhMHf-1x7Y/edit?usp=sharing"",""แผน!LC35"")"),0)</f>
        <v>0</v>
      </c>
      <c r="J700" s="467">
        <v>0</v>
      </c>
      <c r="K700" s="565">
        <f ca="1">IF(I700&gt;0,J700*100/I700,0)</f>
        <v>0</v>
      </c>
      <c r="L700" s="172"/>
      <c r="M700" s="164"/>
      <c r="N700" s="55"/>
      <c r="O700" s="164"/>
      <c r="P700" s="164"/>
      <c r="Q700" s="164"/>
      <c r="R700" s="164"/>
      <c r="S700" s="55"/>
      <c r="T700" s="164"/>
      <c r="U700" s="164"/>
    </row>
    <row r="701" spans="1:21" ht="19.5">
      <c r="A701" s="238"/>
      <c r="B701" s="188"/>
      <c r="C701" s="188"/>
      <c r="D701" s="174"/>
      <c r="E701" s="476" t="s">
        <v>259</v>
      </c>
      <c r="F701" s="174"/>
      <c r="G701" s="171"/>
      <c r="H701" s="158" t="s">
        <v>35</v>
      </c>
      <c r="I701" s="373">
        <f ca="1">I703+I705</f>
        <v>3</v>
      </c>
      <c r="J701" s="373">
        <f ca="1">J703+J705</f>
        <v>0</v>
      </c>
      <c r="K701" s="540">
        <f ca="1">IF(I701&gt;0,J701*100/I701,0)</f>
        <v>0</v>
      </c>
      <c r="L701" s="172"/>
      <c r="M701" s="164"/>
      <c r="N701" s="164"/>
      <c r="O701" s="164"/>
      <c r="P701" s="164"/>
      <c r="Q701" s="164"/>
      <c r="R701" s="164"/>
      <c r="S701" s="164"/>
      <c r="T701" s="164"/>
      <c r="U701" s="164"/>
    </row>
    <row r="702" spans="1:21" ht="19.5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73">
        <v>0</v>
      </c>
      <c r="J702" s="373">
        <f ca="1">J704+J706</f>
        <v>0</v>
      </c>
      <c r="K702" s="540">
        <f>IF(I702&gt;0,J702*100/I702,0)</f>
        <v>0</v>
      </c>
      <c r="L702" s="172"/>
      <c r="M702" s="164"/>
      <c r="N702" s="164"/>
      <c r="O702" s="164"/>
      <c r="P702" s="164"/>
      <c r="Q702" s="164"/>
      <c r="R702" s="164"/>
      <c r="S702" s="164"/>
      <c r="T702" s="164"/>
      <c r="U702" s="164"/>
    </row>
    <row r="703" spans="1:21" ht="18.75">
      <c r="A703" s="238"/>
      <c r="B703" s="188"/>
      <c r="C703" s="188"/>
      <c r="D703" s="174"/>
      <c r="E703" s="174"/>
      <c r="F703" s="173" t="s">
        <v>260</v>
      </c>
      <c r="G703" s="171"/>
      <c r="H703" s="165" t="s">
        <v>35</v>
      </c>
      <c r="I703" s="212">
        <f ca="1">IFERROR(__xludf.DUMMYFUNCTION("IMPORTRANGE(""https://docs.google.com/spreadsheets/d/1eHaY18a8A9IcSdp1K8H6x8fbOy06t2VsZHhMHf-1x7Y/edit?usp=sharing"",""แผน!LJ35"")"),0)</f>
        <v>0</v>
      </c>
      <c r="J703" s="212">
        <f ca="1">IFERROR(__xludf.DUMMYFUNCTION("IMPORTRANGE(""https://docs.google.com/spreadsheets/d/1tdoBKaGub7dwA3U6UFTqxio9LNnvDCQjHKmttSEBsFQ/edit?usp=sharing"",""จัดที่ดิน!AP35"")"),0)</f>
        <v>0</v>
      </c>
      <c r="K703" s="255">
        <f ca="1">IF(I703&gt;0,J703*100/I703,0)</f>
        <v>0</v>
      </c>
      <c r="L703" s="172"/>
      <c r="M703" s="164"/>
      <c r="N703" s="164"/>
      <c r="O703" s="164"/>
      <c r="P703" s="164"/>
      <c r="Q703" s="164"/>
      <c r="R703" s="164"/>
      <c r="S703" s="164"/>
      <c r="T703" s="164"/>
      <c r="U703" s="164"/>
    </row>
    <row r="704" spans="1:21" ht="18.75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212">
        <f ca="1">IFERROR(__xludf.DUMMYFUNCTION("IMPORTRANGE(""https://docs.google.com/spreadsheets/d/1tdoBKaGub7dwA3U6UFTqxio9LNnvDCQjHKmttSEBsFQ/edit?usp=sharing"",""จัดที่ดิน!AQ35"")"),0)</f>
        <v>0</v>
      </c>
      <c r="K704" s="255">
        <f>IF(I704&gt;0,J704*100/I704,0)</f>
        <v>0</v>
      </c>
      <c r="L704" s="172"/>
      <c r="M704" s="164"/>
      <c r="N704" s="164"/>
      <c r="O704" s="164"/>
      <c r="P704" s="164"/>
      <c r="Q704" s="164"/>
      <c r="R704" s="164"/>
      <c r="S704" s="164"/>
      <c r="T704" s="164"/>
      <c r="U704" s="164"/>
    </row>
    <row r="705" spans="1:21" ht="18.75">
      <c r="A705" s="238"/>
      <c r="B705" s="188"/>
      <c r="C705" s="188"/>
      <c r="D705" s="174"/>
      <c r="E705" s="174"/>
      <c r="F705" s="173" t="s">
        <v>261</v>
      </c>
      <c r="G705" s="171"/>
      <c r="H705" s="165" t="s">
        <v>35</v>
      </c>
      <c r="I705" s="212">
        <f ca="1">IFERROR(__xludf.DUMMYFUNCTION("IMPORTRANGE(""https://docs.google.com/spreadsheets/d/1eHaY18a8A9IcSdp1K8H6x8fbOy06t2VsZHhMHf-1x7Y/edit?usp=sharing"",""แผน!LK35"")"),3)</f>
        <v>3</v>
      </c>
      <c r="J705" s="212">
        <f ca="1">IFERROR(__xludf.DUMMYFUNCTION("IMPORTRANGE(""https://docs.google.com/spreadsheets/d/1tdoBKaGub7dwA3U6UFTqxio9LNnvDCQjHKmttSEBsFQ/edit?usp=sharing"",""จัดที่ดิน!AR35"")"),0)</f>
        <v>0</v>
      </c>
      <c r="K705" s="565">
        <f ca="1">IF(I705&gt;0,J705*100/I705,0)</f>
        <v>0</v>
      </c>
      <c r="L705" s="172"/>
      <c r="M705" s="164"/>
      <c r="N705" s="164"/>
      <c r="O705" s="164"/>
      <c r="P705" s="164"/>
      <c r="Q705" s="164"/>
      <c r="R705" s="164"/>
      <c r="S705" s="164"/>
      <c r="T705" s="164"/>
      <c r="U705" s="164"/>
    </row>
    <row r="706" spans="1:21" ht="18.75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212">
        <f ca="1">IFERROR(__xludf.DUMMYFUNCTION("IMPORTRANGE(""https://docs.google.com/spreadsheets/d/1tdoBKaGub7dwA3U6UFTqxio9LNnvDCQjHKmttSEBsFQ/edit?usp=sharing"",""จัดที่ดิน!AS35"")"),0)</f>
        <v>0</v>
      </c>
      <c r="K706" s="255">
        <f>IF(I706&gt;0,J706*100/I706,0)</f>
        <v>0</v>
      </c>
      <c r="L706" s="172"/>
      <c r="M706" s="164"/>
      <c r="N706" s="164"/>
      <c r="O706" s="164"/>
      <c r="P706" s="164"/>
      <c r="Q706" s="164"/>
      <c r="R706" s="164"/>
      <c r="S706" s="164"/>
      <c r="T706" s="164"/>
      <c r="U706" s="164"/>
    </row>
    <row r="707" spans="1:21" ht="18.75">
      <c r="A707" s="238"/>
      <c r="B707" s="188"/>
      <c r="C707" s="188"/>
      <c r="D707" s="174"/>
      <c r="E707" s="173" t="s">
        <v>262</v>
      </c>
      <c r="F707" s="174"/>
      <c r="G707" s="171"/>
      <c r="H707" s="162" t="s">
        <v>35</v>
      </c>
      <c r="I707" s="212">
        <f ca="1">IFERROR(__xludf.DUMMYFUNCTION("IMPORTRANGE(""https://docs.google.com/spreadsheets/d/1eHaY18a8A9IcSdp1K8H6x8fbOy06t2VsZHhMHf-1x7Y/edit?usp=sharing"",""แผน!LJ35"")"),0)</f>
        <v>0</v>
      </c>
      <c r="J707" s="212">
        <f ca="1">IFERROR(__xludf.DUMMYFUNCTION("IMPORTRANGE(""https://docs.google.com/spreadsheets/d/1tdoBKaGub7dwA3U6UFTqxio9LNnvDCQjHKmttSEBsFQ/edit?usp=sharing"",""จัดที่ดิน!BN35"")"),0)</f>
        <v>0</v>
      </c>
      <c r="K707" s="255">
        <f ca="1">IF(I707&gt;0,J707*100/I707,0)</f>
        <v>0</v>
      </c>
      <c r="L707" s="172"/>
      <c r="M707" s="164"/>
      <c r="N707" s="164"/>
      <c r="O707" s="164"/>
      <c r="P707" s="164"/>
      <c r="Q707" s="164"/>
      <c r="R707" s="164"/>
      <c r="S707" s="164"/>
      <c r="T707" s="164"/>
      <c r="U707" s="164"/>
    </row>
    <row r="708" spans="1:21" ht="18.75">
      <c r="A708" s="238"/>
      <c r="B708" s="188"/>
      <c r="C708" s="188"/>
      <c r="D708" s="174"/>
      <c r="E708" s="477" t="s">
        <v>263</v>
      </c>
      <c r="F708" s="174"/>
      <c r="G708" s="171"/>
      <c r="H708" s="162" t="s">
        <v>46</v>
      </c>
      <c r="I708" s="212">
        <v>0</v>
      </c>
      <c r="J708" s="212">
        <f ca="1">IFERROR(__xludf.DUMMYFUNCTION("IMPORTRANGE(""https://docs.google.com/spreadsheets/d/1tdoBKaGub7dwA3U6UFTqxio9LNnvDCQjHKmttSEBsFQ/edit?usp=sharing"",""จัดที่ดิน!BO35"")"),0)</f>
        <v>0</v>
      </c>
      <c r="K708" s="255">
        <f>IF(I708&gt;0,J708*100/I708,0)</f>
        <v>0</v>
      </c>
      <c r="L708" s="172"/>
      <c r="M708" s="164"/>
      <c r="N708" s="164"/>
      <c r="O708" s="164"/>
      <c r="P708" s="164"/>
      <c r="Q708" s="164"/>
      <c r="R708" s="164"/>
      <c r="S708" s="164"/>
      <c r="T708" s="164"/>
      <c r="U708" s="164"/>
    </row>
    <row r="709" spans="1:21" ht="18.75">
      <c r="A709" s="238"/>
      <c r="B709" s="188"/>
      <c r="C709" s="188"/>
      <c r="D709" s="50"/>
      <c r="E709" s="58" t="s">
        <v>264</v>
      </c>
      <c r="F709" s="50"/>
      <c r="G709" s="52"/>
      <c r="H709" s="203" t="s">
        <v>35</v>
      </c>
      <c r="I709" s="212">
        <f ca="1">IFERROR(__xludf.DUMMYFUNCTION("IMPORTRANGE(""https://docs.google.com/spreadsheets/d/1eHaY18a8A9IcSdp1K8H6x8fbOy06t2VsZHhMHf-1x7Y/edit?usp=sharing"",""แผน!LK35"")"),3)</f>
        <v>3</v>
      </c>
      <c r="J709" s="212">
        <f ca="1">IFERROR(__xludf.DUMMYFUNCTION("IMPORTRANGE(""https://docs.google.com/spreadsheets/d/1tdoBKaGub7dwA3U6UFTqxio9LNnvDCQjHKmttSEBsFQ/edit?usp=sharing"",""จัดที่ดิน!BP35"")"),1)</f>
        <v>1</v>
      </c>
      <c r="K709" s="255">
        <f ca="1">IF(I709&gt;0,J709*100/I709,0)</f>
        <v>33.333333333333336</v>
      </c>
      <c r="L709" s="62"/>
      <c r="M709" s="55"/>
      <c r="N709" s="55"/>
      <c r="O709" s="55"/>
      <c r="P709" s="55"/>
      <c r="Q709" s="55"/>
      <c r="R709" s="55"/>
      <c r="S709" s="55"/>
      <c r="T709" s="55"/>
      <c r="U709" s="55"/>
    </row>
    <row r="710" spans="1:21" ht="18.75">
      <c r="A710" s="238"/>
      <c r="B710" s="188"/>
      <c r="C710" s="188"/>
      <c r="D710" s="50"/>
      <c r="E710" s="477" t="s">
        <v>265</v>
      </c>
      <c r="F710" s="50"/>
      <c r="G710" s="52"/>
      <c r="H710" s="203" t="s">
        <v>46</v>
      </c>
      <c r="I710" s="212">
        <v>0</v>
      </c>
      <c r="J710" s="212">
        <f ca="1">IFERROR(__xludf.DUMMYFUNCTION("IMPORTRANGE(""https://docs.google.com/spreadsheets/d/1tdoBKaGub7dwA3U6UFTqxio9LNnvDCQjHKmttSEBsFQ/edit?usp=sharing"",""จัดที่ดิน!BQ35"")"),0)</f>
        <v>0</v>
      </c>
      <c r="K710" s="255">
        <f>IF(I710&gt;0,J710*100/I710,0)</f>
        <v>0</v>
      </c>
      <c r="L710" s="62"/>
      <c r="M710" s="55"/>
      <c r="N710" s="55"/>
      <c r="O710" s="55"/>
      <c r="P710" s="55"/>
      <c r="Q710" s="55"/>
      <c r="R710" s="55"/>
      <c r="S710" s="55"/>
      <c r="T710" s="55"/>
      <c r="U710" s="55"/>
    </row>
    <row r="711" spans="1:21" ht="12.75" hidden="1">
      <c r="A711" s="407"/>
      <c r="B711" s="360"/>
      <c r="C711" s="360"/>
      <c r="D711" s="408"/>
      <c r="E711" s="408"/>
      <c r="F711" s="408"/>
      <c r="G711" s="409"/>
      <c r="H711" s="361"/>
      <c r="I711" s="362"/>
      <c r="J711" s="362"/>
      <c r="K711" s="363"/>
      <c r="L711" s="364"/>
      <c r="M711" s="363"/>
      <c r="N711" s="363"/>
      <c r="O711" s="363"/>
      <c r="P711" s="363"/>
      <c r="Q711" s="363"/>
      <c r="R711" s="363"/>
      <c r="S711" s="363"/>
      <c r="T711" s="363"/>
      <c r="U711" s="363"/>
    </row>
    <row r="712" spans="1:21" ht="19.5" hidden="1">
      <c r="A712" s="442"/>
      <c r="B712" s="478" t="s">
        <v>266</v>
      </c>
      <c r="C712" s="442"/>
      <c r="D712" s="444"/>
      <c r="E712" s="444"/>
      <c r="F712" s="444"/>
      <c r="G712" s="445"/>
      <c r="H712" s="479" t="s">
        <v>46</v>
      </c>
      <c r="I712" s="447"/>
      <c r="J712" s="447">
        <f>J724</f>
        <v>0</v>
      </c>
      <c r="K712" s="564">
        <f>IF(I712&gt;0,J712*100/I712,0)</f>
        <v>0</v>
      </c>
      <c r="L712" s="449"/>
      <c r="M712" s="448"/>
      <c r="N712" s="448"/>
      <c r="O712" s="448"/>
      <c r="P712" s="448"/>
      <c r="Q712" s="448"/>
      <c r="R712" s="448"/>
      <c r="S712" s="448"/>
      <c r="T712" s="448"/>
      <c r="U712" s="448"/>
    </row>
    <row r="713" spans="1:21" ht="19.5" hidden="1">
      <c r="A713" s="442"/>
      <c r="B713" s="478" t="s">
        <v>267</v>
      </c>
      <c r="C713" s="442"/>
      <c r="D713" s="444"/>
      <c r="E713" s="444"/>
      <c r="F713" s="444"/>
      <c r="G713" s="445"/>
      <c r="H713" s="446"/>
      <c r="I713" s="447"/>
      <c r="J713" s="447"/>
      <c r="K713" s="448"/>
      <c r="L713" s="449"/>
      <c r="M713" s="448"/>
      <c r="N713" s="448"/>
      <c r="O713" s="448"/>
      <c r="P713" s="448"/>
      <c r="Q713" s="448"/>
      <c r="R713" s="448"/>
      <c r="S713" s="448"/>
      <c r="T713" s="448"/>
      <c r="U713" s="448"/>
    </row>
    <row r="714" spans="1:21" ht="19.5" hidden="1">
      <c r="A714" s="155"/>
      <c r="B714" s="188"/>
      <c r="C714" s="358" t="s">
        <v>18</v>
      </c>
      <c r="D714" s="563" t="s">
        <v>19</v>
      </c>
      <c r="E714" s="529"/>
      <c r="F714" s="529"/>
      <c r="G714" s="530"/>
      <c r="H714" s="418" t="s">
        <v>14</v>
      </c>
      <c r="I714" s="54"/>
      <c r="J714" s="54"/>
      <c r="K714" s="55"/>
      <c r="L714" s="541">
        <f>L715+L716</f>
        <v>0</v>
      </c>
      <c r="M714" s="540">
        <f>M715+M716</f>
        <v>0</v>
      </c>
      <c r="N714" s="540">
        <f>N715+N716</f>
        <v>0</v>
      </c>
      <c r="O714" s="540">
        <f>IF(L714&gt;0,N714*100/L714,0)</f>
        <v>0</v>
      </c>
      <c r="P714" s="540">
        <f>IF(M714&gt;0,N714*100/M714,0)</f>
        <v>0</v>
      </c>
      <c r="Q714" s="540">
        <f>Q715+Q716</f>
        <v>0</v>
      </c>
      <c r="R714" s="540">
        <f>R715+R716</f>
        <v>0</v>
      </c>
      <c r="S714" s="540">
        <f>S715+S716</f>
        <v>0</v>
      </c>
      <c r="T714" s="540">
        <f>IF(Q714&gt;0,S714*100/Q714,0)</f>
        <v>0</v>
      </c>
      <c r="U714" s="540">
        <f>IF(R714&gt;0,S714*100/R714,0)</f>
        <v>0</v>
      </c>
    </row>
    <row r="715" spans="1:21" ht="18.75" hidden="1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103">
        <f>L718+L721</f>
        <v>0</v>
      </c>
      <c r="M715" s="102">
        <f>M718+M721</f>
        <v>0</v>
      </c>
      <c r="N715" s="102">
        <f>N718+N721</f>
        <v>0</v>
      </c>
      <c r="O715" s="102">
        <f>IF(L715&gt;0,N715*100/L715,0)</f>
        <v>0</v>
      </c>
      <c r="P715" s="102">
        <f>IF(M715&gt;0,N715*100/M715,0)</f>
        <v>0</v>
      </c>
      <c r="Q715" s="102">
        <f>Q718+Q721</f>
        <v>0</v>
      </c>
      <c r="R715" s="102">
        <f>R718+R721</f>
        <v>0</v>
      </c>
      <c r="S715" s="102">
        <f>S718+S721</f>
        <v>0</v>
      </c>
      <c r="T715" s="102">
        <f>IF(Q715&gt;0,S715*100/Q715,0)</f>
        <v>0</v>
      </c>
      <c r="U715" s="102">
        <f>IF(R715&gt;0,S715*100/R715,0)</f>
        <v>0</v>
      </c>
    </row>
    <row r="716" spans="1:21" ht="18.75" hidden="1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256">
        <f>L719+L722</f>
        <v>0</v>
      </c>
      <c r="M716" s="255">
        <f>M719+M722</f>
        <v>0</v>
      </c>
      <c r="N716" s="255">
        <f>N719+N722</f>
        <v>0</v>
      </c>
      <c r="O716" s="255">
        <f>IF(L716&gt;0,N716*100/L716,0)</f>
        <v>0</v>
      </c>
      <c r="P716" s="255">
        <f>IF(M716&gt;0,N716*100/M716,0)</f>
        <v>0</v>
      </c>
      <c r="Q716" s="255">
        <f>Q719+Q722</f>
        <v>0</v>
      </c>
      <c r="R716" s="255">
        <f>R719+R722</f>
        <v>0</v>
      </c>
      <c r="S716" s="255">
        <f>S719+S722</f>
        <v>0</v>
      </c>
      <c r="T716" s="255">
        <f>IF(Q716&gt;0,S716*100/Q716,0)</f>
        <v>0</v>
      </c>
      <c r="U716" s="255">
        <f>IF(R716&gt;0,S716*100/R716,0)</f>
        <v>0</v>
      </c>
    </row>
    <row r="717" spans="1:21" ht="19.5" hidden="1">
      <c r="A717" s="155"/>
      <c r="B717" s="188"/>
      <c r="C717" s="188"/>
      <c r="D717" s="562" t="s">
        <v>22</v>
      </c>
      <c r="E717" s="50"/>
      <c r="F717" s="50"/>
      <c r="G717" s="52"/>
      <c r="H717" s="418" t="s">
        <v>14</v>
      </c>
      <c r="I717" s="163"/>
      <c r="J717" s="163"/>
      <c r="K717" s="164"/>
      <c r="L717" s="256">
        <f>L718+L719</f>
        <v>0</v>
      </c>
      <c r="M717" s="255">
        <f>M718+M719</f>
        <v>0</v>
      </c>
      <c r="N717" s="255">
        <f>N718+N719</f>
        <v>0</v>
      </c>
      <c r="O717" s="255">
        <f>IF(L717&gt;0,N717*100/L717,0)</f>
        <v>0</v>
      </c>
      <c r="P717" s="255">
        <f>IF(M717&gt;0,N717*100/M717,0)</f>
        <v>0</v>
      </c>
      <c r="Q717" s="255">
        <f>Q718+Q719</f>
        <v>0</v>
      </c>
      <c r="R717" s="255">
        <f>R718+R719</f>
        <v>0</v>
      </c>
      <c r="S717" s="255">
        <f>S718+S719</f>
        <v>0</v>
      </c>
      <c r="T717" s="255">
        <f>IF(Q717&gt;0,S717*100/Q717,0)</f>
        <v>0</v>
      </c>
      <c r="U717" s="255">
        <f>IF(R717&gt;0,S717*100/R717,0)</f>
        <v>0</v>
      </c>
    </row>
    <row r="718" spans="1:21" ht="18.75" hidden="1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103">
        <v>0</v>
      </c>
      <c r="M718" s="102">
        <v>0</v>
      </c>
      <c r="N718" s="102">
        <v>0</v>
      </c>
      <c r="O718" s="102">
        <f>IF(L718&gt;0,N718*100/L718,0)</f>
        <v>0</v>
      </c>
      <c r="P718" s="102">
        <f>IF(M718&gt;0,N718*100/M718,0)</f>
        <v>0</v>
      </c>
      <c r="Q718" s="102">
        <v>0</v>
      </c>
      <c r="R718" s="102">
        <v>0</v>
      </c>
      <c r="S718" s="102">
        <v>0</v>
      </c>
      <c r="T718" s="102">
        <f>IF(Q718&gt;0,S718*100/Q718,0)</f>
        <v>0</v>
      </c>
      <c r="U718" s="102">
        <f>IF(R718&gt;0,S718*100/R718,0)</f>
        <v>0</v>
      </c>
    </row>
    <row r="719" spans="1:21" ht="18.75" hidden="1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256">
        <v>0</v>
      </c>
      <c r="M719" s="255">
        <v>0</v>
      </c>
      <c r="N719" s="255">
        <v>0</v>
      </c>
      <c r="O719" s="255">
        <f>IF(L719&gt;0,N719*100/L719,0)</f>
        <v>0</v>
      </c>
      <c r="P719" s="255">
        <f>IF(M719&gt;0,N719*100/M719,0)</f>
        <v>0</v>
      </c>
      <c r="Q719" s="255">
        <v>0</v>
      </c>
      <c r="R719" s="255">
        <v>0</v>
      </c>
      <c r="S719" s="255">
        <v>0</v>
      </c>
      <c r="T719" s="255">
        <f>IF(Q719&gt;0,S719*100/Q719,0)</f>
        <v>0</v>
      </c>
      <c r="U719" s="255">
        <f>IF(R719&gt;0,S719*100/R719,0)</f>
        <v>0</v>
      </c>
    </row>
    <row r="720" spans="1:21" ht="19.5" hidden="1">
      <c r="A720" s="155"/>
      <c r="B720" s="188"/>
      <c r="C720" s="188"/>
      <c r="D720" s="562" t="s">
        <v>23</v>
      </c>
      <c r="E720" s="50"/>
      <c r="F720" s="50"/>
      <c r="G720" s="52"/>
      <c r="H720" s="420" t="s">
        <v>14</v>
      </c>
      <c r="I720" s="163"/>
      <c r="J720" s="163"/>
      <c r="K720" s="164"/>
      <c r="L720" s="256">
        <f>L721+L722</f>
        <v>0</v>
      </c>
      <c r="M720" s="255">
        <f>M721+M722</f>
        <v>0</v>
      </c>
      <c r="N720" s="255">
        <f>N721+N722</f>
        <v>0</v>
      </c>
      <c r="O720" s="255">
        <f>IF(L720&gt;0,N720*100/L720,0)</f>
        <v>0</v>
      </c>
      <c r="P720" s="255">
        <f>IF(M720&gt;0,N720*100/M720,0)</f>
        <v>0</v>
      </c>
      <c r="Q720" s="255">
        <f>Q721+Q722</f>
        <v>0</v>
      </c>
      <c r="R720" s="255">
        <f>R721+R722</f>
        <v>0</v>
      </c>
      <c r="S720" s="255">
        <f>S721+S722</f>
        <v>0</v>
      </c>
      <c r="T720" s="255">
        <f>IF(Q720&gt;0,S720*100/Q720,0)</f>
        <v>0</v>
      </c>
      <c r="U720" s="255">
        <f>IF(R720&gt;0,S720*100/R720,0)</f>
        <v>0</v>
      </c>
    </row>
    <row r="721" spans="1:21" ht="18.75" hidden="1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103">
        <v>0</v>
      </c>
      <c r="M721" s="102">
        <v>0</v>
      </c>
      <c r="N721" s="102">
        <v>0</v>
      </c>
      <c r="O721" s="102">
        <f>IF(L721&gt;0,N721*100/L721,0)</f>
        <v>0</v>
      </c>
      <c r="P721" s="102">
        <f>IF(M721&gt;0,N721*100/M721,0)</f>
        <v>0</v>
      </c>
      <c r="Q721" s="102">
        <v>0</v>
      </c>
      <c r="R721" s="102">
        <v>0</v>
      </c>
      <c r="S721" s="102">
        <v>0</v>
      </c>
      <c r="T721" s="102">
        <f>IF(Q721&gt;0,S721*100/Q721,0)</f>
        <v>0</v>
      </c>
      <c r="U721" s="102">
        <f>IF(R721&gt;0,S721*100/R721,0)</f>
        <v>0</v>
      </c>
    </row>
    <row r="722" spans="1:21" ht="18.75" hidden="1">
      <c r="A722" s="155"/>
      <c r="B722" s="188"/>
      <c r="C722" s="188"/>
      <c r="D722" s="50"/>
      <c r="E722" s="186" t="s">
        <v>21</v>
      </c>
      <c r="F722" s="50"/>
      <c r="G722" s="52"/>
      <c r="H722" s="421" t="s">
        <v>14</v>
      </c>
      <c r="I722" s="163"/>
      <c r="J722" s="163"/>
      <c r="K722" s="164"/>
      <c r="L722" s="256">
        <v>0</v>
      </c>
      <c r="M722" s="255">
        <v>0</v>
      </c>
      <c r="N722" s="255">
        <v>0</v>
      </c>
      <c r="O722" s="255">
        <f>IF(L722&gt;0,N722*100/L722,0)</f>
        <v>0</v>
      </c>
      <c r="P722" s="255">
        <f>IF(M722&gt;0,N722*100/M722,0)</f>
        <v>0</v>
      </c>
      <c r="Q722" s="255">
        <v>0</v>
      </c>
      <c r="R722" s="255">
        <v>0</v>
      </c>
      <c r="S722" s="255">
        <v>0</v>
      </c>
      <c r="T722" s="255">
        <f>IF(Q722&gt;0,S722*100/Q722,0)</f>
        <v>0</v>
      </c>
      <c r="U722" s="255">
        <f>IF(R722&gt;0,S722*100/R722,0)</f>
        <v>0</v>
      </c>
    </row>
    <row r="723" spans="1:21" ht="19.5" hidden="1">
      <c r="A723" s="166"/>
      <c r="B723" s="167"/>
      <c r="C723" s="358" t="s">
        <v>18</v>
      </c>
      <c r="D723" s="561" t="s">
        <v>38</v>
      </c>
      <c r="E723" s="169"/>
      <c r="F723" s="169"/>
      <c r="G723" s="170"/>
      <c r="H723" s="206"/>
      <c r="I723" s="163"/>
      <c r="J723" s="163"/>
      <c r="K723" s="164"/>
      <c r="L723" s="172"/>
      <c r="M723" s="164"/>
      <c r="N723" s="164"/>
      <c r="O723" s="164"/>
      <c r="P723" s="164"/>
      <c r="Q723" s="164"/>
      <c r="R723" s="164"/>
      <c r="S723" s="164"/>
      <c r="T723" s="164"/>
      <c r="U723" s="164"/>
    </row>
    <row r="724" spans="1:21" ht="18.75" hidden="1">
      <c r="A724" s="238"/>
      <c r="B724" s="188"/>
      <c r="C724" s="188"/>
      <c r="D724" s="50"/>
      <c r="E724" s="186" t="s">
        <v>268</v>
      </c>
      <c r="F724" s="50"/>
      <c r="G724" s="52"/>
      <c r="H724" s="189" t="s">
        <v>46</v>
      </c>
      <c r="I724" s="483">
        <v>0</v>
      </c>
      <c r="J724" s="54"/>
      <c r="K724" s="55"/>
      <c r="L724" s="62"/>
      <c r="M724" s="55"/>
      <c r="N724" s="55"/>
      <c r="O724" s="55"/>
      <c r="P724" s="55"/>
      <c r="Q724" s="55"/>
      <c r="R724" s="55"/>
      <c r="S724" s="55"/>
      <c r="T724" s="55"/>
      <c r="U724" s="55"/>
    </row>
    <row r="725" spans="1:21" ht="18.75" hidden="1">
      <c r="A725" s="374"/>
      <c r="B725" s="5"/>
      <c r="C725" s="5"/>
      <c r="D725" s="4"/>
      <c r="E725" s="484" t="s">
        <v>269</v>
      </c>
      <c r="F725" s="4"/>
      <c r="G725" s="65"/>
      <c r="H725" s="485" t="s">
        <v>46</v>
      </c>
      <c r="I725" s="486">
        <v>0</v>
      </c>
      <c r="J725" s="67"/>
      <c r="K725" s="6"/>
      <c r="L725" s="68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>
      <c r="A726" s="442"/>
      <c r="B726" s="443" t="s">
        <v>270</v>
      </c>
      <c r="C726" s="442"/>
      <c r="D726" s="444"/>
      <c r="E726" s="444"/>
      <c r="F726" s="444"/>
      <c r="G726" s="445"/>
      <c r="H726" s="473" t="s">
        <v>35</v>
      </c>
      <c r="I726" s="544">
        <f ca="1">IFERROR(__xludf.DUMMYFUNCTION("IMPORTRANGE(""https://docs.google.com/spreadsheets/d/1eHaY18a8A9IcSdp1K8H6x8fbOy06t2VsZHhMHf-1x7Y/edit?usp=sharing"",""แผน!GA35"")"),128)</f>
        <v>128</v>
      </c>
      <c r="J726" s="544">
        <f>J742+J746+J749</f>
        <v>0</v>
      </c>
      <c r="K726" s="543">
        <f ca="1">IF(I726&gt;0,J726*100/I726,0)</f>
        <v>0</v>
      </c>
      <c r="L726" s="449"/>
      <c r="M726" s="448"/>
      <c r="N726" s="448"/>
      <c r="O726" s="448"/>
      <c r="P726" s="448"/>
      <c r="Q726" s="448"/>
      <c r="R726" s="448"/>
      <c r="S726" s="448"/>
      <c r="T726" s="448"/>
      <c r="U726" s="448"/>
    </row>
    <row r="727" spans="1:21" ht="19.5">
      <c r="A727" s="487"/>
      <c r="B727" s="442"/>
      <c r="C727" s="442"/>
      <c r="D727" s="444"/>
      <c r="E727" s="444"/>
      <c r="F727" s="444"/>
      <c r="G727" s="445"/>
      <c r="H727" s="473" t="s">
        <v>46</v>
      </c>
      <c r="I727" s="544">
        <f ca="1">IFERROR(__xludf.DUMMYFUNCTION("IMPORTRANGE(""https://docs.google.com/spreadsheets/d/1eHaY18a8A9IcSdp1K8H6x8fbOy06t2VsZHhMHf-1x7Y/edit?usp=sharing"",""แผน!FZ35"")"),1250)</f>
        <v>1250</v>
      </c>
      <c r="J727" s="544">
        <f>J752+J755</f>
        <v>0</v>
      </c>
      <c r="K727" s="543">
        <f ca="1">IF(I727&gt;0,J727*100/I727,0)</f>
        <v>0</v>
      </c>
      <c r="L727" s="449"/>
      <c r="M727" s="448"/>
      <c r="N727" s="448"/>
      <c r="O727" s="448"/>
      <c r="P727" s="448"/>
      <c r="Q727" s="448"/>
      <c r="R727" s="448"/>
      <c r="S727" s="448"/>
      <c r="T727" s="448"/>
      <c r="U727" s="448"/>
    </row>
    <row r="728" spans="1:21" ht="19.5">
      <c r="A728" s="155"/>
      <c r="B728" s="188"/>
      <c r="C728" s="205" t="s">
        <v>18</v>
      </c>
      <c r="D728" s="542" t="s">
        <v>19</v>
      </c>
      <c r="E728" s="529"/>
      <c r="F728" s="529"/>
      <c r="G728" s="530"/>
      <c r="H728" s="252" t="s">
        <v>14</v>
      </c>
      <c r="I728" s="54"/>
      <c r="J728" s="54"/>
      <c r="K728" s="55"/>
      <c r="L728" s="541">
        <f>L729+L730</f>
        <v>0</v>
      </c>
      <c r="M728" s="540">
        <f>M729+M730</f>
        <v>0</v>
      </c>
      <c r="N728" s="540">
        <f>N729+N730</f>
        <v>0</v>
      </c>
      <c r="O728" s="540">
        <f>IF(L728&gt;0,N728*100/L728,0)</f>
        <v>0</v>
      </c>
      <c r="P728" s="540">
        <f>IF(M728&gt;0,N728*100/M728,0)</f>
        <v>0</v>
      </c>
      <c r="Q728" s="540">
        <f ca="1">Q729+Q730</f>
        <v>1008470</v>
      </c>
      <c r="R728" s="540">
        <f ca="1">R729+R730</f>
        <v>1008470</v>
      </c>
      <c r="S728" s="540">
        <f ca="1">S729+S730</f>
        <v>59710</v>
      </c>
      <c r="T728" s="540">
        <f ca="1">IF(Q728&gt;0,S728*100/Q728,0)</f>
        <v>5.920850397136256</v>
      </c>
      <c r="U728" s="540">
        <f ca="1">IF(R728&gt;0,S728*100/R728,0)</f>
        <v>5.920850397136256</v>
      </c>
    </row>
    <row r="729" spans="1:21" ht="18.75" hidden="1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103">
        <f>L732+L735</f>
        <v>0</v>
      </c>
      <c r="M729" s="102">
        <f>M732+M735</f>
        <v>0</v>
      </c>
      <c r="N729" s="102">
        <f>N732+N735</f>
        <v>0</v>
      </c>
      <c r="O729" s="102">
        <f>IF(L729&gt;0,N729*100/L729,0)</f>
        <v>0</v>
      </c>
      <c r="P729" s="102">
        <f>IF(M729&gt;0,N729*100/M729,0)</f>
        <v>0</v>
      </c>
      <c r="Q729" s="102">
        <f>Q732+Q735</f>
        <v>0</v>
      </c>
      <c r="R729" s="102">
        <f>R732+R735</f>
        <v>0</v>
      </c>
      <c r="S729" s="102">
        <f>S732+S735</f>
        <v>0</v>
      </c>
      <c r="T729" s="102">
        <f>IF(Q729&gt;0,S729*100/Q729,0)</f>
        <v>0</v>
      </c>
      <c r="U729" s="102">
        <f>IF(R729&gt;0,S729*100/R729,0)</f>
        <v>0</v>
      </c>
    </row>
    <row r="730" spans="1:21" ht="18.75" hidden="1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256">
        <f>L733+L736</f>
        <v>0</v>
      </c>
      <c r="M730" s="255">
        <f>M733+M736</f>
        <v>0</v>
      </c>
      <c r="N730" s="255">
        <f>N733+N736</f>
        <v>0</v>
      </c>
      <c r="O730" s="255">
        <f>IF(L730&gt;0,N730*100/L730,0)</f>
        <v>0</v>
      </c>
      <c r="P730" s="255">
        <f>IF(M730&gt;0,N730*100/M730,0)</f>
        <v>0</v>
      </c>
      <c r="Q730" s="255">
        <f ca="1">Q733+Q736</f>
        <v>1008470</v>
      </c>
      <c r="R730" s="255">
        <f ca="1">R733+R736</f>
        <v>1008470</v>
      </c>
      <c r="S730" s="255">
        <f ca="1">S733+S736</f>
        <v>59710</v>
      </c>
      <c r="T730" s="255">
        <f ca="1">IF(Q730&gt;0,S730*100/Q730,0)</f>
        <v>5.920850397136256</v>
      </c>
      <c r="U730" s="255">
        <f ca="1">IF(R730&gt;0,S730*100/R730,0)</f>
        <v>5.920850397136256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256">
        <f>L732+L733</f>
        <v>0</v>
      </c>
      <c r="M731" s="255">
        <f>M732+M733</f>
        <v>0</v>
      </c>
      <c r="N731" s="255">
        <f>N732+N733</f>
        <v>0</v>
      </c>
      <c r="O731" s="255">
        <f>IF(L731&gt;0,N731*100/L731,0)</f>
        <v>0</v>
      </c>
      <c r="P731" s="255">
        <f>IF(M731&gt;0,N731*100/M731,0)</f>
        <v>0</v>
      </c>
      <c r="Q731" s="255">
        <f ca="1">Q732+Q733</f>
        <v>1008470</v>
      </c>
      <c r="R731" s="255">
        <f ca="1">R732+R733</f>
        <v>1008470</v>
      </c>
      <c r="S731" s="255">
        <f ca="1">S732+S733</f>
        <v>59710</v>
      </c>
      <c r="T731" s="255">
        <f ca="1">IF(Q731&gt;0,S731*100/Q731,0)</f>
        <v>5.920850397136256</v>
      </c>
      <c r="U731" s="255">
        <f ca="1">IF(R731&gt;0,S731*100/R731,0)</f>
        <v>5.920850397136256</v>
      </c>
    </row>
    <row r="732" spans="1:21" ht="18.75" hidden="1">
      <c r="A732" s="155"/>
      <c r="B732" s="188"/>
      <c r="C732" s="188"/>
      <c r="D732" s="174"/>
      <c r="E732" s="186" t="s">
        <v>159</v>
      </c>
      <c r="F732" s="50"/>
      <c r="G732" s="52"/>
      <c r="H732" s="189" t="s">
        <v>14</v>
      </c>
      <c r="I732" s="54"/>
      <c r="J732" s="54"/>
      <c r="K732" s="55"/>
      <c r="L732" s="103">
        <v>0</v>
      </c>
      <c r="M732" s="102">
        <v>0</v>
      </c>
      <c r="N732" s="102">
        <v>0</v>
      </c>
      <c r="O732" s="102">
        <f>IF(L732&gt;0,N732*100/L732,0)</f>
        <v>0</v>
      </c>
      <c r="P732" s="102">
        <f>IF(M732&gt;0,N732*100/M732,0)</f>
        <v>0</v>
      </c>
      <c r="Q732" s="102">
        <v>0</v>
      </c>
      <c r="R732" s="102">
        <v>0</v>
      </c>
      <c r="S732" s="102">
        <v>0</v>
      </c>
      <c r="T732" s="102">
        <f>IF(Q732&gt;0,S732*100/Q732,0)</f>
        <v>0</v>
      </c>
      <c r="U732" s="102">
        <f>IF(R732&gt;0,S732*100/R732,0)</f>
        <v>0</v>
      </c>
    </row>
    <row r="733" spans="1:21" ht="18.75" hidden="1">
      <c r="A733" s="155"/>
      <c r="B733" s="188"/>
      <c r="C733" s="188"/>
      <c r="D733" s="174"/>
      <c r="E733" s="58" t="s">
        <v>160</v>
      </c>
      <c r="F733" s="50"/>
      <c r="G733" s="52"/>
      <c r="H733" s="162" t="s">
        <v>14</v>
      </c>
      <c r="I733" s="54"/>
      <c r="J733" s="54"/>
      <c r="K733" s="55"/>
      <c r="L733" s="256">
        <v>0</v>
      </c>
      <c r="M733" s="255">
        <v>0</v>
      </c>
      <c r="N733" s="255">
        <v>0</v>
      </c>
      <c r="O733" s="255">
        <f>IF(L733&gt;0,N733*100/L733,0)</f>
        <v>0</v>
      </c>
      <c r="P733" s="255">
        <f>IF(M733&gt;0,N733*100/M733,0)</f>
        <v>0</v>
      </c>
      <c r="Q733" s="255">
        <f ca="1">IFERROR(__xludf.DUMMYFUNCTION("IMPORTRANGE(""https://docs.google.com/spreadsheets/d/1ItG2mGa2ceCfYo0BwxsXqNm01IGEUdYcSSLTEv9YCik/edit?usp=sharing"",""เบิกจ่ายกองทุน!O35"")"),1008470)</f>
        <v>1008470</v>
      </c>
      <c r="R733" s="255">
        <f ca="1">IFERROR(__xludf.DUMMYFUNCTION("IMPORTRANGE(""https://docs.google.com/spreadsheets/d/1ItG2mGa2ceCfYo0BwxsXqNm01IGEUdYcSSLTEv9YCik/edit?usp=sharing"",""เบิกจ่ายกองทุน!P35"")"),1008470)</f>
        <v>1008470</v>
      </c>
      <c r="S733" s="255">
        <f ca="1">IFERROR(__xludf.DUMMYFUNCTION("IMPORTRANGE(""https://docs.google.com/spreadsheets/d/1ItG2mGa2ceCfYo0BwxsXqNm01IGEUdYcSSLTEv9YCik/edit?usp=sharing"",""เบิกจ่ายกองทุน!Q35"")"),59710)</f>
        <v>59710</v>
      </c>
      <c r="T733" s="255">
        <f ca="1">IF(Q733&gt;0,S733*100/Q733,0)</f>
        <v>5.920850397136256</v>
      </c>
      <c r="U733" s="255">
        <f ca="1">IF(R733&gt;0,S733*100/R733,0)</f>
        <v>5.920850397136256</v>
      </c>
    </row>
    <row r="734" spans="1:21" ht="18.75">
      <c r="A734" s="155"/>
      <c r="B734" s="188"/>
      <c r="C734" s="188"/>
      <c r="D734" s="51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256">
        <f>L735+L736</f>
        <v>0</v>
      </c>
      <c r="M734" s="255">
        <f>M735+M736</f>
        <v>0</v>
      </c>
      <c r="N734" s="255">
        <f>N735+N736</f>
        <v>0</v>
      </c>
      <c r="O734" s="255">
        <f>IF(L734&gt;0,N734*100/L734,0)</f>
        <v>0</v>
      </c>
      <c r="P734" s="255">
        <f>IF(M734&gt;0,N734*100/M734,0)</f>
        <v>0</v>
      </c>
      <c r="Q734" s="255">
        <f>Q735+Q736</f>
        <v>0</v>
      </c>
      <c r="R734" s="255">
        <f>R735+R736</f>
        <v>0</v>
      </c>
      <c r="S734" s="255">
        <f>S735+S736</f>
        <v>0</v>
      </c>
      <c r="T734" s="255">
        <f>IF(Q734&gt;0,S734*100/Q734,0)</f>
        <v>0</v>
      </c>
      <c r="U734" s="255">
        <f>IF(R734&gt;0,S734*100/R734,0)</f>
        <v>0</v>
      </c>
    </row>
    <row r="735" spans="1:21" ht="18.75" hidden="1">
      <c r="A735" s="155"/>
      <c r="B735" s="188"/>
      <c r="C735" s="188"/>
      <c r="D735" s="188"/>
      <c r="E735" s="358" t="s">
        <v>20</v>
      </c>
      <c r="F735" s="188"/>
      <c r="G735" s="52"/>
      <c r="H735" s="189" t="s">
        <v>14</v>
      </c>
      <c r="I735" s="163"/>
      <c r="J735" s="163"/>
      <c r="K735" s="164"/>
      <c r="L735" s="103">
        <v>0</v>
      </c>
      <c r="M735" s="102">
        <v>0</v>
      </c>
      <c r="N735" s="102">
        <v>0</v>
      </c>
      <c r="O735" s="102">
        <f>IF(L735&gt;0,N735*100/L735,0)</f>
        <v>0</v>
      </c>
      <c r="P735" s="102">
        <f>IF(M735&gt;0,N735*100/M735,0)</f>
        <v>0</v>
      </c>
      <c r="Q735" s="102">
        <v>0</v>
      </c>
      <c r="R735" s="102">
        <v>0</v>
      </c>
      <c r="S735" s="102">
        <v>0</v>
      </c>
      <c r="T735" s="102">
        <f>IF(Q735&gt;0,S735*100/Q735,0)</f>
        <v>0</v>
      </c>
      <c r="U735" s="102">
        <f>IF(R735&gt;0,S735*100/R735,0)</f>
        <v>0</v>
      </c>
    </row>
    <row r="736" spans="1:21" ht="18.75" hidden="1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256">
        <v>0</v>
      </c>
      <c r="M736" s="255">
        <v>0</v>
      </c>
      <c r="N736" s="255">
        <v>0</v>
      </c>
      <c r="O736" s="255">
        <f>IF(L736&gt;0,N736*100/L736,0)</f>
        <v>0</v>
      </c>
      <c r="P736" s="255">
        <f>IF(M736&gt;0,N736*100/M736,0)</f>
        <v>0</v>
      </c>
      <c r="Q736" s="255">
        <v>0</v>
      </c>
      <c r="R736" s="255">
        <v>0</v>
      </c>
      <c r="S736" s="255">
        <v>0</v>
      </c>
      <c r="T736" s="255">
        <f>IF(Q736&gt;0,S736*100/Q736,0)</f>
        <v>0</v>
      </c>
      <c r="U736" s="255">
        <f>IF(R736&gt;0,S736*100/R736,0)</f>
        <v>0</v>
      </c>
    </row>
    <row r="737" spans="1:21" ht="19.5">
      <c r="A737" s="166"/>
      <c r="B737" s="167"/>
      <c r="C737" s="205" t="s">
        <v>18</v>
      </c>
      <c r="D737" s="560" t="s">
        <v>38</v>
      </c>
      <c r="E737" s="232"/>
      <c r="F737" s="169"/>
      <c r="G737" s="170"/>
      <c r="H737" s="206"/>
      <c r="I737" s="54"/>
      <c r="J737" s="54"/>
      <c r="K737" s="55"/>
      <c r="L737" s="62"/>
      <c r="M737" s="55"/>
      <c r="N737" s="55"/>
      <c r="O737" s="55"/>
      <c r="P737" s="55"/>
      <c r="Q737" s="55"/>
      <c r="R737" s="55"/>
      <c r="S737" s="55"/>
      <c r="T737" s="55"/>
      <c r="U737" s="55"/>
    </row>
    <row r="738" spans="1:21" ht="19.5">
      <c r="A738" s="166"/>
      <c r="B738" s="167"/>
      <c r="C738" s="167"/>
      <c r="D738" s="488" t="s">
        <v>121</v>
      </c>
      <c r="E738" s="167"/>
      <c r="F738" s="167"/>
      <c r="G738" s="171"/>
      <c r="H738" s="208"/>
      <c r="I738" s="54"/>
      <c r="J738" s="54"/>
      <c r="K738" s="55"/>
      <c r="L738" s="62"/>
      <c r="M738" s="55"/>
      <c r="N738" s="55"/>
      <c r="O738" s="55"/>
      <c r="P738" s="55"/>
      <c r="Q738" s="55"/>
      <c r="R738" s="55"/>
      <c r="S738" s="55"/>
      <c r="T738" s="55"/>
      <c r="U738" s="55"/>
    </row>
    <row r="739" spans="1:21" ht="18.75">
      <c r="A739" s="166"/>
      <c r="B739" s="167"/>
      <c r="C739" s="167"/>
      <c r="D739" s="167"/>
      <c r="E739" s="460" t="s">
        <v>271</v>
      </c>
      <c r="F739" s="167"/>
      <c r="G739" s="171"/>
      <c r="H739" s="208"/>
      <c r="I739" s="54"/>
      <c r="J739" s="54"/>
      <c r="K739" s="55"/>
      <c r="L739" s="62"/>
      <c r="M739" s="55"/>
      <c r="N739" s="55"/>
      <c r="O739" s="55"/>
      <c r="P739" s="55"/>
      <c r="Q739" s="55"/>
      <c r="R739" s="55"/>
      <c r="S739" s="55"/>
      <c r="T739" s="55"/>
      <c r="U739" s="55"/>
    </row>
    <row r="740" spans="1:21" ht="18.75">
      <c r="A740" s="554"/>
      <c r="B740" s="553"/>
      <c r="C740" s="553"/>
      <c r="D740" s="553"/>
      <c r="E740" s="553"/>
      <c r="F740" s="558" t="s">
        <v>272</v>
      </c>
      <c r="G740" s="550"/>
      <c r="H740" s="549" t="s">
        <v>46</v>
      </c>
      <c r="I740" s="556">
        <f ca="1">IFERROR(__xludf.DUMMYFUNCTION("IMPORTRANGE(""https://docs.google.com/spreadsheets/d/1eHaY18a8A9IcSdp1K8H6x8fbOy06t2VsZHhMHf-1x7Y/edit?usp=sharing"",""แผน!GB35"")"),1000)</f>
        <v>1000</v>
      </c>
      <c r="J740" s="547">
        <v>0</v>
      </c>
      <c r="K740" s="555">
        <f ca="1">IF(I740&gt;0,J740*100/I740,0)</f>
        <v>0</v>
      </c>
      <c r="L740" s="546"/>
      <c r="M740" s="545"/>
      <c r="N740" s="545"/>
      <c r="O740" s="545"/>
      <c r="P740" s="545"/>
      <c r="Q740" s="545"/>
      <c r="R740" s="545"/>
      <c r="S740" s="545"/>
      <c r="T740" s="545"/>
      <c r="U740" s="545"/>
    </row>
    <row r="741" spans="1:21" ht="18.75">
      <c r="A741" s="554"/>
      <c r="B741" s="553"/>
      <c r="C741" s="553"/>
      <c r="D741" s="553"/>
      <c r="E741" s="553"/>
      <c r="F741" s="558" t="s">
        <v>307</v>
      </c>
      <c r="G741" s="550"/>
      <c r="H741" s="549" t="s">
        <v>35</v>
      </c>
      <c r="I741" s="548"/>
      <c r="J741" s="547">
        <v>0</v>
      </c>
      <c r="K741" s="545"/>
      <c r="L741" s="546"/>
      <c r="M741" s="545"/>
      <c r="N741" s="545"/>
      <c r="O741" s="545"/>
      <c r="P741" s="545"/>
      <c r="Q741" s="545"/>
      <c r="R741" s="545"/>
      <c r="S741" s="545"/>
      <c r="T741" s="545"/>
      <c r="U741" s="545"/>
    </row>
    <row r="742" spans="1:21" ht="18.75">
      <c r="A742" s="554"/>
      <c r="B742" s="553"/>
      <c r="C742" s="553"/>
      <c r="D742" s="553"/>
      <c r="E742" s="553"/>
      <c r="F742" s="558" t="s">
        <v>306</v>
      </c>
      <c r="G742" s="550"/>
      <c r="H742" s="549" t="s">
        <v>35</v>
      </c>
      <c r="I742" s="556">
        <f ca="1">IFERROR(__xludf.DUMMYFUNCTION("IMPORTRANGE(""https://docs.google.com/spreadsheets/d/1eHaY18a8A9IcSdp1K8H6x8fbOy06t2VsZHhMHf-1x7Y/edit?usp=sharing"",""แผน!GC35"")"),100)</f>
        <v>100</v>
      </c>
      <c r="J742" s="547">
        <v>0</v>
      </c>
      <c r="K742" s="555">
        <f ca="1">IF(I742&gt;0,J742*100/I742,0)</f>
        <v>0</v>
      </c>
      <c r="L742" s="546"/>
      <c r="M742" s="545"/>
      <c r="N742" s="545"/>
      <c r="O742" s="545"/>
      <c r="P742" s="545"/>
      <c r="Q742" s="545"/>
      <c r="R742" s="545"/>
      <c r="S742" s="545"/>
      <c r="T742" s="545"/>
      <c r="U742" s="545"/>
    </row>
    <row r="743" spans="1:21" ht="18.75">
      <c r="A743" s="554"/>
      <c r="B743" s="553"/>
      <c r="C743" s="553"/>
      <c r="D743" s="553"/>
      <c r="E743" s="558" t="s">
        <v>275</v>
      </c>
      <c r="F743" s="553"/>
      <c r="G743" s="550"/>
      <c r="H743" s="557"/>
      <c r="I743" s="548"/>
      <c r="J743" s="548"/>
      <c r="K743" s="545"/>
      <c r="L743" s="546"/>
      <c r="M743" s="545"/>
      <c r="N743" s="545"/>
      <c r="O743" s="545"/>
      <c r="P743" s="545"/>
      <c r="Q743" s="545"/>
      <c r="R743" s="545"/>
      <c r="S743" s="545"/>
      <c r="T743" s="545"/>
      <c r="U743" s="545"/>
    </row>
    <row r="744" spans="1:21" ht="18.75">
      <c r="A744" s="554"/>
      <c r="B744" s="553"/>
      <c r="C744" s="553"/>
      <c r="D744" s="553"/>
      <c r="E744" s="553"/>
      <c r="F744" s="558" t="s">
        <v>272</v>
      </c>
      <c r="G744" s="550"/>
      <c r="H744" s="549" t="s">
        <v>46</v>
      </c>
      <c r="I744" s="556">
        <f ca="1">IFERROR(__xludf.DUMMYFUNCTION("IMPORTRANGE(""https://docs.google.com/spreadsheets/d/1eHaY18a8A9IcSdp1K8H6x8fbOy06t2VsZHhMHf-1x7Y/edit?usp=sharing"",""แผน!GD35"")"),250)</f>
        <v>250</v>
      </c>
      <c r="J744" s="547">
        <v>0</v>
      </c>
      <c r="K744" s="555">
        <f ca="1">IF(I744&gt;0,J744*100/I744,0)</f>
        <v>0</v>
      </c>
      <c r="L744" s="546"/>
      <c r="M744" s="545"/>
      <c r="N744" s="545"/>
      <c r="O744" s="545"/>
      <c r="P744" s="545"/>
      <c r="Q744" s="545"/>
      <c r="R744" s="545"/>
      <c r="S744" s="545"/>
      <c r="T744" s="545"/>
      <c r="U744" s="545"/>
    </row>
    <row r="745" spans="1:21" ht="18.75">
      <c r="A745" s="554"/>
      <c r="B745" s="553"/>
      <c r="C745" s="553"/>
      <c r="D745" s="553"/>
      <c r="E745" s="553"/>
      <c r="F745" s="558" t="s">
        <v>305</v>
      </c>
      <c r="G745" s="550"/>
      <c r="H745" s="549" t="s">
        <v>35</v>
      </c>
      <c r="I745" s="548"/>
      <c r="J745" s="547">
        <v>0</v>
      </c>
      <c r="K745" s="545"/>
      <c r="L745" s="546"/>
      <c r="M745" s="545"/>
      <c r="N745" s="545"/>
      <c r="O745" s="545"/>
      <c r="P745" s="545"/>
      <c r="Q745" s="545"/>
      <c r="R745" s="545"/>
      <c r="S745" s="545"/>
      <c r="T745" s="545"/>
      <c r="U745" s="545"/>
    </row>
    <row r="746" spans="1:21" ht="18.75">
      <c r="A746" s="554"/>
      <c r="B746" s="553"/>
      <c r="C746" s="553"/>
      <c r="D746" s="553"/>
      <c r="E746" s="553"/>
      <c r="F746" s="558" t="s">
        <v>304</v>
      </c>
      <c r="G746" s="550"/>
      <c r="H746" s="549" t="s">
        <v>35</v>
      </c>
      <c r="I746" s="556">
        <f ca="1">IFERROR(__xludf.DUMMYFUNCTION("IMPORTRANGE(""https://docs.google.com/spreadsheets/d/1eHaY18a8A9IcSdp1K8H6x8fbOy06t2VsZHhMHf-1x7Y/edit?usp=sharing"",""แผน!GE35"")"),25)</f>
        <v>25</v>
      </c>
      <c r="J746" s="547">
        <v>0</v>
      </c>
      <c r="K746" s="555">
        <f ca="1">IF(I746&gt;0,J746*100/I746,0)</f>
        <v>0</v>
      </c>
      <c r="L746" s="546"/>
      <c r="M746" s="545"/>
      <c r="N746" s="545"/>
      <c r="O746" s="545"/>
      <c r="P746" s="545"/>
      <c r="Q746" s="545"/>
      <c r="R746" s="545"/>
      <c r="S746" s="545"/>
      <c r="T746" s="545"/>
      <c r="U746" s="545"/>
    </row>
    <row r="747" spans="1:21" ht="18.75">
      <c r="A747" s="554"/>
      <c r="B747" s="553"/>
      <c r="C747" s="553"/>
      <c r="D747" s="553"/>
      <c r="E747" s="558" t="s">
        <v>278</v>
      </c>
      <c r="F747" s="552"/>
      <c r="G747" s="550"/>
      <c r="H747" s="557"/>
      <c r="I747" s="548"/>
      <c r="J747" s="548"/>
      <c r="K747" s="545"/>
      <c r="L747" s="546"/>
      <c r="M747" s="545"/>
      <c r="N747" s="545"/>
      <c r="O747" s="545"/>
      <c r="P747" s="545"/>
      <c r="Q747" s="545"/>
      <c r="R747" s="545"/>
      <c r="S747" s="545"/>
      <c r="T747" s="545"/>
      <c r="U747" s="545"/>
    </row>
    <row r="748" spans="1:21" ht="18.75">
      <c r="A748" s="554"/>
      <c r="B748" s="553"/>
      <c r="C748" s="553"/>
      <c r="D748" s="553"/>
      <c r="E748" s="553"/>
      <c r="F748" s="558" t="s">
        <v>303</v>
      </c>
      <c r="G748" s="550"/>
      <c r="H748" s="549" t="s">
        <v>35</v>
      </c>
      <c r="I748" s="548"/>
      <c r="J748" s="547">
        <v>0</v>
      </c>
      <c r="K748" s="545"/>
      <c r="L748" s="546"/>
      <c r="M748" s="545"/>
      <c r="N748" s="545"/>
      <c r="O748" s="545"/>
      <c r="P748" s="545"/>
      <c r="Q748" s="545"/>
      <c r="R748" s="545"/>
      <c r="S748" s="545"/>
      <c r="T748" s="545"/>
      <c r="U748" s="545"/>
    </row>
    <row r="749" spans="1:21" ht="18.75">
      <c r="A749" s="554"/>
      <c r="B749" s="553"/>
      <c r="C749" s="553"/>
      <c r="D749" s="553"/>
      <c r="E749" s="553"/>
      <c r="F749" s="558" t="s">
        <v>302</v>
      </c>
      <c r="G749" s="550"/>
      <c r="H749" s="549" t="s">
        <v>35</v>
      </c>
      <c r="I749" s="556">
        <f ca="1">IFERROR(__xludf.DUMMYFUNCTION("IMPORTRANGE(""https://docs.google.com/spreadsheets/d/1eHaY18a8A9IcSdp1K8H6x8fbOy06t2VsZHhMHf-1x7Y/edit?usp=sharing"",""แผน!GF35"")"),3)</f>
        <v>3</v>
      </c>
      <c r="J749" s="547">
        <v>0</v>
      </c>
      <c r="K749" s="555">
        <f ca="1">IF(I749&gt;0,J749*100/I749,0)</f>
        <v>0</v>
      </c>
      <c r="L749" s="546"/>
      <c r="M749" s="545"/>
      <c r="N749" s="545"/>
      <c r="O749" s="545"/>
      <c r="P749" s="545"/>
      <c r="Q749" s="545"/>
      <c r="R749" s="545"/>
      <c r="S749" s="545"/>
      <c r="T749" s="545"/>
      <c r="U749" s="545"/>
    </row>
    <row r="750" spans="1:21" ht="19.5">
      <c r="A750" s="554"/>
      <c r="B750" s="553"/>
      <c r="C750" s="553"/>
      <c r="D750" s="559" t="s">
        <v>50</v>
      </c>
      <c r="E750" s="553"/>
      <c r="F750" s="552"/>
      <c r="G750" s="550"/>
      <c r="H750" s="557"/>
      <c r="I750" s="548"/>
      <c r="J750" s="548"/>
      <c r="K750" s="545"/>
      <c r="L750" s="546"/>
      <c r="M750" s="545"/>
      <c r="N750" s="545"/>
      <c r="O750" s="545"/>
      <c r="P750" s="545"/>
      <c r="Q750" s="545"/>
      <c r="R750" s="545"/>
      <c r="S750" s="545"/>
      <c r="T750" s="545"/>
      <c r="U750" s="545"/>
    </row>
    <row r="751" spans="1:21" ht="18.75">
      <c r="A751" s="554"/>
      <c r="B751" s="553"/>
      <c r="C751" s="553"/>
      <c r="D751" s="553"/>
      <c r="E751" s="558" t="s">
        <v>271</v>
      </c>
      <c r="F751" s="552"/>
      <c r="G751" s="550"/>
      <c r="H751" s="557"/>
      <c r="I751" s="548"/>
      <c r="J751" s="548"/>
      <c r="K751" s="545"/>
      <c r="L751" s="546"/>
      <c r="M751" s="545"/>
      <c r="N751" s="545"/>
      <c r="O751" s="545"/>
      <c r="P751" s="545"/>
      <c r="Q751" s="545"/>
      <c r="R751" s="545"/>
      <c r="S751" s="545"/>
      <c r="T751" s="545"/>
      <c r="U751" s="545"/>
    </row>
    <row r="752" spans="1:21" ht="18.75">
      <c r="A752" s="554"/>
      <c r="B752" s="553"/>
      <c r="C752" s="553"/>
      <c r="D752" s="553"/>
      <c r="E752" s="553"/>
      <c r="F752" s="551" t="s">
        <v>301</v>
      </c>
      <c r="G752" s="550"/>
      <c r="H752" s="549" t="s">
        <v>46</v>
      </c>
      <c r="I752" s="556">
        <f ca="1">IFERROR(__xludf.DUMMYFUNCTION("IMPORTRANGE(""https://docs.google.com/spreadsheets/d/1eHaY18a8A9IcSdp1K8H6x8fbOy06t2VsZHhMHf-1x7Y/edit?usp=sharing"",""แผน!GB35"")"),1000)</f>
        <v>1000</v>
      </c>
      <c r="J752" s="547">
        <v>0</v>
      </c>
      <c r="K752" s="555">
        <f ca="1">IF(I752&gt;0,J752*100/I752,0)</f>
        <v>0</v>
      </c>
      <c r="L752" s="546"/>
      <c r="M752" s="545"/>
      <c r="N752" s="545"/>
      <c r="O752" s="545"/>
      <c r="P752" s="545"/>
      <c r="Q752" s="545"/>
      <c r="R752" s="545"/>
      <c r="S752" s="545"/>
      <c r="T752" s="545"/>
      <c r="U752" s="545"/>
    </row>
    <row r="753" spans="1:21" ht="18.75">
      <c r="A753" s="554"/>
      <c r="B753" s="553"/>
      <c r="C753" s="553"/>
      <c r="D753" s="553"/>
      <c r="E753" s="553"/>
      <c r="F753" s="551" t="s">
        <v>300</v>
      </c>
      <c r="G753" s="550"/>
      <c r="H753" s="549" t="s">
        <v>46</v>
      </c>
      <c r="I753" s="548"/>
      <c r="J753" s="547">
        <v>0</v>
      </c>
      <c r="K753" s="545"/>
      <c r="L753" s="546"/>
      <c r="M753" s="545"/>
      <c r="N753" s="545"/>
      <c r="O753" s="545"/>
      <c r="P753" s="545"/>
      <c r="Q753" s="545"/>
      <c r="R753" s="545"/>
      <c r="S753" s="545"/>
      <c r="T753" s="545"/>
      <c r="U753" s="545"/>
    </row>
    <row r="754" spans="1:21" ht="18.75">
      <c r="A754" s="554"/>
      <c r="B754" s="553"/>
      <c r="C754" s="553"/>
      <c r="D754" s="553"/>
      <c r="E754" s="558" t="s">
        <v>275</v>
      </c>
      <c r="F754" s="552"/>
      <c r="G754" s="550"/>
      <c r="H754" s="557"/>
      <c r="I754" s="548"/>
      <c r="J754" s="548"/>
      <c r="K754" s="545"/>
      <c r="L754" s="546"/>
      <c r="M754" s="545"/>
      <c r="N754" s="545"/>
      <c r="O754" s="545"/>
      <c r="P754" s="545"/>
      <c r="Q754" s="545"/>
      <c r="R754" s="545"/>
      <c r="S754" s="545"/>
      <c r="T754" s="545"/>
      <c r="U754" s="545"/>
    </row>
    <row r="755" spans="1:21" ht="18.75">
      <c r="A755" s="554"/>
      <c r="B755" s="553"/>
      <c r="C755" s="553"/>
      <c r="D755" s="553"/>
      <c r="E755" s="552"/>
      <c r="F755" s="551" t="s">
        <v>299</v>
      </c>
      <c r="G755" s="550"/>
      <c r="H755" s="549" t="s">
        <v>46</v>
      </c>
      <c r="I755" s="556">
        <f ca="1">IFERROR(__xludf.DUMMYFUNCTION("IMPORTRANGE(""https://docs.google.com/spreadsheets/d/1eHaY18a8A9IcSdp1K8H6x8fbOy06t2VsZHhMHf-1x7Y/edit?usp=sharing"",""แผน!GD35"")"),250)</f>
        <v>250</v>
      </c>
      <c r="J755" s="547">
        <v>0</v>
      </c>
      <c r="K755" s="555">
        <f ca="1">IF(I755&gt;0,J755*100/I755,0)</f>
        <v>0</v>
      </c>
      <c r="L755" s="546"/>
      <c r="M755" s="545"/>
      <c r="N755" s="545"/>
      <c r="O755" s="545"/>
      <c r="P755" s="545"/>
      <c r="Q755" s="545"/>
      <c r="R755" s="545"/>
      <c r="S755" s="545"/>
      <c r="T755" s="545"/>
      <c r="U755" s="545"/>
    </row>
    <row r="756" spans="1:21" ht="18.75">
      <c r="A756" s="554"/>
      <c r="B756" s="553"/>
      <c r="C756" s="553"/>
      <c r="D756" s="553"/>
      <c r="E756" s="552"/>
      <c r="F756" s="551" t="s">
        <v>298</v>
      </c>
      <c r="G756" s="550"/>
      <c r="H756" s="549" t="s">
        <v>46</v>
      </c>
      <c r="I756" s="548"/>
      <c r="J756" s="547">
        <v>0</v>
      </c>
      <c r="K756" s="545"/>
      <c r="L756" s="546"/>
      <c r="M756" s="545"/>
      <c r="N756" s="545"/>
      <c r="O756" s="545"/>
      <c r="P756" s="545"/>
      <c r="Q756" s="545"/>
      <c r="R756" s="545"/>
      <c r="S756" s="545"/>
      <c r="T756" s="545"/>
      <c r="U756" s="545"/>
    </row>
    <row r="757" spans="1:21" ht="18.75">
      <c r="A757" s="489"/>
      <c r="B757" s="489"/>
      <c r="C757" s="489"/>
      <c r="D757" s="489"/>
      <c r="E757" s="490" t="s">
        <v>285</v>
      </c>
      <c r="F757" s="491"/>
      <c r="G757" s="492"/>
      <c r="H757" s="493" t="s">
        <v>35</v>
      </c>
      <c r="I757" s="494"/>
      <c r="J757" s="495">
        <v>0</v>
      </c>
      <c r="K757" s="496"/>
      <c r="L757" s="496"/>
      <c r="M757" s="496"/>
      <c r="N757" s="496"/>
      <c r="O757" s="496"/>
      <c r="P757" s="496"/>
      <c r="Q757" s="496"/>
      <c r="R757" s="496"/>
      <c r="S757" s="496"/>
      <c r="T757" s="496"/>
      <c r="U757" s="496"/>
    </row>
    <row r="758" spans="1:21" ht="19.5">
      <c r="A758" s="442"/>
      <c r="B758" s="443" t="s">
        <v>286</v>
      </c>
      <c r="C758" s="442"/>
      <c r="D758" s="444"/>
      <c r="E758" s="444"/>
      <c r="F758" s="444"/>
      <c r="G758" s="445"/>
      <c r="H758" s="473" t="s">
        <v>35</v>
      </c>
      <c r="I758" s="544">
        <f ca="1">I772</f>
        <v>55</v>
      </c>
      <c r="J758" s="544">
        <f>J772</f>
        <v>0</v>
      </c>
      <c r="K758" s="543">
        <f ca="1">IF(I758&gt;0,J758*100/I758,0)</f>
        <v>0</v>
      </c>
      <c r="L758" s="449"/>
      <c r="M758" s="448"/>
      <c r="N758" s="448"/>
      <c r="O758" s="448"/>
      <c r="P758" s="448"/>
      <c r="Q758" s="448"/>
      <c r="R758" s="448"/>
      <c r="S758" s="448"/>
      <c r="T758" s="448"/>
      <c r="U758" s="448"/>
    </row>
    <row r="759" spans="1:21" ht="19.5">
      <c r="A759" s="487"/>
      <c r="B759" s="442"/>
      <c r="C759" s="442"/>
      <c r="D759" s="444"/>
      <c r="E759" s="444"/>
      <c r="F759" s="444"/>
      <c r="G759" s="445"/>
      <c r="H759" s="473" t="s">
        <v>46</v>
      </c>
      <c r="I759" s="544">
        <f ca="1">I774</f>
        <v>110</v>
      </c>
      <c r="J759" s="544">
        <f>J774</f>
        <v>0</v>
      </c>
      <c r="K759" s="543">
        <f ca="1">IF(I759&gt;0,J759*100/I759,0)</f>
        <v>0</v>
      </c>
      <c r="L759" s="449"/>
      <c r="M759" s="448"/>
      <c r="N759" s="448"/>
      <c r="O759" s="448"/>
      <c r="P759" s="448"/>
      <c r="Q759" s="448"/>
      <c r="R759" s="448"/>
      <c r="S759" s="448"/>
      <c r="T759" s="448"/>
      <c r="U759" s="448"/>
    </row>
    <row r="760" spans="1:21" ht="19.5">
      <c r="A760" s="155"/>
      <c r="B760" s="188"/>
      <c r="C760" s="205" t="s">
        <v>18</v>
      </c>
      <c r="D760" s="542" t="s">
        <v>19</v>
      </c>
      <c r="E760" s="529"/>
      <c r="F760" s="529"/>
      <c r="G760" s="530"/>
      <c r="H760" s="252" t="s">
        <v>14</v>
      </c>
      <c r="I760" s="54"/>
      <c r="J760" s="54"/>
      <c r="K760" s="55"/>
      <c r="L760" s="541">
        <f>L761+L762</f>
        <v>0</v>
      </c>
      <c r="M760" s="540">
        <f>M761+M762</f>
        <v>0</v>
      </c>
      <c r="N760" s="540">
        <f>N761+N762</f>
        <v>0</v>
      </c>
      <c r="O760" s="540">
        <f>IF(L760&gt;0,N760*100/L760,0)</f>
        <v>0</v>
      </c>
      <c r="P760" s="540">
        <f>IF(M760&gt;0,N760*100/M760,0)</f>
        <v>0</v>
      </c>
      <c r="Q760" s="540">
        <f ca="1">Q761+Q762</f>
        <v>401950</v>
      </c>
      <c r="R760" s="540">
        <f ca="1">R761+R762</f>
        <v>401950</v>
      </c>
      <c r="S760" s="540">
        <f ca="1">S761+S762</f>
        <v>39170.65</v>
      </c>
      <c r="T760" s="540">
        <f ca="1">IF(Q760&gt;0,S760*100/Q760,0)</f>
        <v>9.7451548700087081</v>
      </c>
      <c r="U760" s="540">
        <f ca="1">IF(R760&gt;0,S760*100/R760,0)</f>
        <v>9.7451548700087081</v>
      </c>
    </row>
    <row r="761" spans="1:21" ht="18.75" hidden="1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103">
        <f>L764+L767</f>
        <v>0</v>
      </c>
      <c r="M761" s="102">
        <f>M764+M767</f>
        <v>0</v>
      </c>
      <c r="N761" s="102">
        <f>N764+N767</f>
        <v>0</v>
      </c>
      <c r="O761" s="102">
        <f>IF(L761&gt;0,N761*100/L761,0)</f>
        <v>0</v>
      </c>
      <c r="P761" s="102">
        <f>IF(M761&gt;0,N761*100/M761,0)</f>
        <v>0</v>
      </c>
      <c r="Q761" s="102">
        <f>Q764+Q767</f>
        <v>0</v>
      </c>
      <c r="R761" s="102">
        <f>R764+R767</f>
        <v>0</v>
      </c>
      <c r="S761" s="102">
        <f>S764+S767</f>
        <v>0</v>
      </c>
      <c r="T761" s="102">
        <f>IF(Q761&gt;0,S761*100/Q761,0)</f>
        <v>0</v>
      </c>
      <c r="U761" s="102">
        <f>IF(R761&gt;0,S761*100/R761,0)</f>
        <v>0</v>
      </c>
    </row>
    <row r="762" spans="1:21" ht="18.75" hidden="1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256">
        <f>L765+L768</f>
        <v>0</v>
      </c>
      <c r="M762" s="255">
        <f>M765+M768</f>
        <v>0</v>
      </c>
      <c r="N762" s="255">
        <f>N765+N768</f>
        <v>0</v>
      </c>
      <c r="O762" s="255">
        <f>IF(L762&gt;0,N762*100/L762,0)</f>
        <v>0</v>
      </c>
      <c r="P762" s="255">
        <f>IF(M762&gt;0,N762*100/M762,0)</f>
        <v>0</v>
      </c>
      <c r="Q762" s="255">
        <f ca="1">Q765+Q768</f>
        <v>401950</v>
      </c>
      <c r="R762" s="255">
        <f ca="1">R765+R768</f>
        <v>401950</v>
      </c>
      <c r="S762" s="255">
        <f ca="1">S765+S768</f>
        <v>39170.65</v>
      </c>
      <c r="T762" s="255">
        <f ca="1">IF(Q762&gt;0,S762*100/Q762,0)</f>
        <v>9.7451548700087081</v>
      </c>
      <c r="U762" s="255">
        <f ca="1">IF(R762&gt;0,S762*100/R762,0)</f>
        <v>9.7451548700087081</v>
      </c>
    </row>
    <row r="763" spans="1:21" ht="18.75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256">
        <f>L764+L765</f>
        <v>0</v>
      </c>
      <c r="M763" s="255">
        <f>M764+M765</f>
        <v>0</v>
      </c>
      <c r="N763" s="255">
        <f>N764+N765</f>
        <v>0</v>
      </c>
      <c r="O763" s="255">
        <f>IF(L763&gt;0,N763*100/L763,0)</f>
        <v>0</v>
      </c>
      <c r="P763" s="255">
        <f>IF(M763&gt;0,N763*100/M763,0)</f>
        <v>0</v>
      </c>
      <c r="Q763" s="255">
        <f ca="1">Q764+Q765</f>
        <v>401950</v>
      </c>
      <c r="R763" s="255">
        <f ca="1">R764+R765</f>
        <v>401950</v>
      </c>
      <c r="S763" s="255">
        <f ca="1">S764+S765</f>
        <v>39170.65</v>
      </c>
      <c r="T763" s="255">
        <f ca="1">IF(Q763&gt;0,S763*100/Q763,0)</f>
        <v>9.7451548700087081</v>
      </c>
      <c r="U763" s="255">
        <f ca="1">IF(R763&gt;0,S763*100/R763,0)</f>
        <v>9.7451548700087081</v>
      </c>
    </row>
    <row r="764" spans="1:21" ht="18.75" hidden="1">
      <c r="A764" s="155"/>
      <c r="B764" s="188"/>
      <c r="C764" s="202"/>
      <c r="D764" s="174"/>
      <c r="E764" s="186" t="s">
        <v>159</v>
      </c>
      <c r="F764" s="50"/>
      <c r="G764" s="52"/>
      <c r="H764" s="189" t="s">
        <v>14</v>
      </c>
      <c r="I764" s="54"/>
      <c r="J764" s="54"/>
      <c r="K764" s="55"/>
      <c r="L764" s="103">
        <v>0</v>
      </c>
      <c r="M764" s="102">
        <v>0</v>
      </c>
      <c r="N764" s="102">
        <v>0</v>
      </c>
      <c r="O764" s="102">
        <f>IF(L764&gt;0,N764*100/L764,0)</f>
        <v>0</v>
      </c>
      <c r="P764" s="102">
        <f>IF(M764&gt;0,N764*100/M764,0)</f>
        <v>0</v>
      </c>
      <c r="Q764" s="102">
        <v>0</v>
      </c>
      <c r="R764" s="102">
        <v>0</v>
      </c>
      <c r="S764" s="102">
        <v>0</v>
      </c>
      <c r="T764" s="102">
        <f>IF(Q764&gt;0,S764*100/Q764,0)</f>
        <v>0</v>
      </c>
      <c r="U764" s="102">
        <f>IF(R764&gt;0,S764*100/R764,0)</f>
        <v>0</v>
      </c>
    </row>
    <row r="765" spans="1:21" ht="18.75" hidden="1">
      <c r="A765" s="155"/>
      <c r="B765" s="188"/>
      <c r="C765" s="202"/>
      <c r="D765" s="174"/>
      <c r="E765" s="58" t="s">
        <v>160</v>
      </c>
      <c r="F765" s="50"/>
      <c r="G765" s="52"/>
      <c r="H765" s="162" t="s">
        <v>14</v>
      </c>
      <c r="I765" s="54"/>
      <c r="J765" s="54"/>
      <c r="K765" s="55"/>
      <c r="L765" s="256">
        <v>0</v>
      </c>
      <c r="M765" s="255">
        <v>0</v>
      </c>
      <c r="N765" s="255">
        <v>0</v>
      </c>
      <c r="O765" s="255">
        <f>IF(L765&gt;0,N765*100/L765,0)</f>
        <v>0</v>
      </c>
      <c r="P765" s="255">
        <f>IF(M765&gt;0,N765*100/M765,0)</f>
        <v>0</v>
      </c>
      <c r="Q765" s="255">
        <f ca="1">IFERROR(__xludf.DUMMYFUNCTION("IMPORTRANGE(""https://docs.google.com/spreadsheets/d/1ItG2mGa2ceCfYo0BwxsXqNm01IGEUdYcSSLTEv9YCik/edit?usp=sharing"",""เบิกจ่ายกองทุน!U35"")"),401950)</f>
        <v>401950</v>
      </c>
      <c r="R765" s="255">
        <f ca="1">IFERROR(__xludf.DUMMYFUNCTION("IMPORTRANGE(""https://docs.google.com/spreadsheets/d/1ItG2mGa2ceCfYo0BwxsXqNm01IGEUdYcSSLTEv9YCik/edit?usp=sharing"",""เบิกจ่ายกองทุน!V35"")"),401950)</f>
        <v>401950</v>
      </c>
      <c r="S765" s="255">
        <f ca="1">IFERROR(__xludf.DUMMYFUNCTION("IMPORTRANGE(""https://docs.google.com/spreadsheets/d/1ItG2mGa2ceCfYo0BwxsXqNm01IGEUdYcSSLTEv9YCik/edit?usp=sharing"",""เบิกจ่ายกองทุน!W35"")"),39170.65)</f>
        <v>39170.65</v>
      </c>
      <c r="T765" s="255">
        <f ca="1">IF(Q765&gt;0,S765*100/Q765,0)</f>
        <v>9.7451548700087081</v>
      </c>
      <c r="U765" s="255">
        <f ca="1">IF(R765&gt;0,S765*100/R765,0)</f>
        <v>9.7451548700087081</v>
      </c>
    </row>
    <row r="766" spans="1:21" ht="18.75">
      <c r="A766" s="155"/>
      <c r="B766" s="188"/>
      <c r="C766" s="188"/>
      <c r="D766" s="51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256">
        <f>L767+L768</f>
        <v>0</v>
      </c>
      <c r="M766" s="255">
        <f>M767+M768</f>
        <v>0</v>
      </c>
      <c r="N766" s="255">
        <f>N767+N768</f>
        <v>0</v>
      </c>
      <c r="O766" s="255">
        <f>IF(L766&gt;0,N766*100/L766,0)</f>
        <v>0</v>
      </c>
      <c r="P766" s="255">
        <f>IF(M766&gt;0,N766*100/M766,0)</f>
        <v>0</v>
      </c>
      <c r="Q766" s="255">
        <f>Q767+Q768</f>
        <v>0</v>
      </c>
      <c r="R766" s="255">
        <f>R767+R768</f>
        <v>0</v>
      </c>
      <c r="S766" s="255">
        <f>S767+S768</f>
        <v>0</v>
      </c>
      <c r="T766" s="255">
        <f>IF(Q766&gt;0,S766*100/Q766,0)</f>
        <v>0</v>
      </c>
      <c r="U766" s="255">
        <f>IF(R766&gt;0,S766*100/R766,0)</f>
        <v>0</v>
      </c>
    </row>
    <row r="767" spans="1:21" ht="18.75" hidden="1">
      <c r="A767" s="155"/>
      <c r="B767" s="188"/>
      <c r="C767" s="188"/>
      <c r="D767" s="188"/>
      <c r="E767" s="358" t="s">
        <v>20</v>
      </c>
      <c r="F767" s="50"/>
      <c r="G767" s="52"/>
      <c r="H767" s="189" t="s">
        <v>14</v>
      </c>
      <c r="I767" s="163"/>
      <c r="J767" s="163"/>
      <c r="K767" s="164"/>
      <c r="L767" s="103">
        <v>0</v>
      </c>
      <c r="M767" s="102">
        <v>0</v>
      </c>
      <c r="N767" s="102">
        <v>0</v>
      </c>
      <c r="O767" s="102">
        <f>IF(L767&gt;0,N767*100/L767,0)</f>
        <v>0</v>
      </c>
      <c r="P767" s="102">
        <f>IF(M767&gt;0,N767*100/M767,0)</f>
        <v>0</v>
      </c>
      <c r="Q767" s="102">
        <v>0</v>
      </c>
      <c r="R767" s="102">
        <v>0</v>
      </c>
      <c r="S767" s="102">
        <v>0</v>
      </c>
      <c r="T767" s="102">
        <f>IF(Q767&gt;0,S767*100/Q767,0)</f>
        <v>0</v>
      </c>
      <c r="U767" s="102">
        <f>IF(R767&gt;0,S767*100/R767,0)</f>
        <v>0</v>
      </c>
    </row>
    <row r="768" spans="1:21" ht="18.75" hidden="1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256">
        <v>0</v>
      </c>
      <c r="M768" s="255">
        <v>0</v>
      </c>
      <c r="N768" s="255">
        <v>0</v>
      </c>
      <c r="O768" s="255">
        <f>IF(L768&gt;0,N768*100/L768,0)</f>
        <v>0</v>
      </c>
      <c r="P768" s="255">
        <f>IF(M768&gt;0,N768*100/M768,0)</f>
        <v>0</v>
      </c>
      <c r="Q768" s="255">
        <v>0</v>
      </c>
      <c r="R768" s="255">
        <v>0</v>
      </c>
      <c r="S768" s="255">
        <v>0</v>
      </c>
      <c r="T768" s="255">
        <f>IF(Q768&gt;0,S768*100/Q768,0)</f>
        <v>0</v>
      </c>
      <c r="U768" s="255">
        <f>IF(R768&gt;0,S768*100/R768,0)</f>
        <v>0</v>
      </c>
    </row>
    <row r="769" spans="1:21" ht="19.5">
      <c r="A769" s="166"/>
      <c r="B769" s="167"/>
      <c r="C769" s="497" t="s">
        <v>18</v>
      </c>
      <c r="D769" s="539" t="s">
        <v>38</v>
      </c>
      <c r="E769" s="232"/>
      <c r="F769" s="169"/>
      <c r="G769" s="170"/>
      <c r="H769" s="206"/>
      <c r="I769" s="54"/>
      <c r="J769" s="54"/>
      <c r="K769" s="55"/>
      <c r="L769" s="62"/>
      <c r="M769" s="55"/>
      <c r="N769" s="55"/>
      <c r="O769" s="55"/>
      <c r="P769" s="55"/>
      <c r="Q769" s="55"/>
      <c r="R769" s="55"/>
      <c r="S769" s="55"/>
      <c r="T769" s="55"/>
      <c r="U769" s="55"/>
    </row>
    <row r="770" spans="1:21" ht="18.75" hidden="1">
      <c r="A770" s="166"/>
      <c r="B770" s="167"/>
      <c r="C770" s="167"/>
      <c r="D770" s="423" t="s">
        <v>287</v>
      </c>
      <c r="E770" s="167"/>
      <c r="F770" s="174"/>
      <c r="G770" s="171"/>
      <c r="H770" s="421" t="s">
        <v>35</v>
      </c>
      <c r="I770" s="483">
        <f ca="1">IFERROR(__xludf.DUMMYFUNCTION("IMPORTRANGE(""https://docs.google.com/spreadsheets/d/1eHaY18a8A9IcSdp1K8H6x8fbOy06t2VsZHhMHf-1x7Y/edit?usp=sharing"",""แผน!FI35"")"),0)</f>
        <v>0</v>
      </c>
      <c r="J770" s="483">
        <v>0</v>
      </c>
      <c r="K770" s="102">
        <f ca="1">IF(I770&gt;0,J770*100/I770,0)</f>
        <v>0</v>
      </c>
      <c r="L770" s="62"/>
      <c r="M770" s="55"/>
      <c r="N770" s="55"/>
      <c r="O770" s="55"/>
      <c r="P770" s="55"/>
      <c r="Q770" s="55"/>
      <c r="R770" s="55"/>
      <c r="S770" s="55"/>
      <c r="T770" s="55"/>
      <c r="U770" s="55"/>
    </row>
    <row r="771" spans="1:21" ht="18.75" hidden="1">
      <c r="A771" s="166"/>
      <c r="B771" s="167"/>
      <c r="C771" s="167"/>
      <c r="D771" s="423" t="s">
        <v>288</v>
      </c>
      <c r="E771" s="167"/>
      <c r="F771" s="174"/>
      <c r="G771" s="171"/>
      <c r="H771" s="206"/>
      <c r="I771" s="54"/>
      <c r="J771" s="54"/>
      <c r="K771" s="55"/>
      <c r="L771" s="62"/>
      <c r="M771" s="55"/>
      <c r="N771" s="55"/>
      <c r="O771" s="55"/>
      <c r="P771" s="55"/>
      <c r="Q771" s="55"/>
      <c r="R771" s="55"/>
      <c r="S771" s="55"/>
      <c r="T771" s="55"/>
      <c r="U771" s="55"/>
    </row>
    <row r="772" spans="1:21" ht="18.75">
      <c r="A772" s="166"/>
      <c r="B772" s="167"/>
      <c r="C772" s="167"/>
      <c r="D772" s="460" t="s">
        <v>289</v>
      </c>
      <c r="E772" s="167"/>
      <c r="F772" s="174"/>
      <c r="G772" s="171"/>
      <c r="H772" s="165" t="s">
        <v>35</v>
      </c>
      <c r="I772" s="212">
        <f ca="1">IFERROR(__xludf.DUMMYFUNCTION("IMPORTRANGE(""https://docs.google.com/spreadsheets/d/1eHaY18a8A9IcSdp1K8H6x8fbOy06t2VsZHhMHf-1x7Y/edit?usp=sharing"",""แผน!FQ35"")"),55)</f>
        <v>55</v>
      </c>
      <c r="J772" s="467">
        <v>0</v>
      </c>
      <c r="K772" s="255">
        <f ca="1">IF(I772&gt;0,J772*100/I772,0)</f>
        <v>0</v>
      </c>
      <c r="L772" s="62"/>
      <c r="M772" s="55"/>
      <c r="N772" s="55"/>
      <c r="O772" s="55"/>
      <c r="P772" s="55"/>
      <c r="Q772" s="55"/>
      <c r="R772" s="55"/>
      <c r="S772" s="55"/>
      <c r="T772" s="55"/>
      <c r="U772" s="55"/>
    </row>
    <row r="773" spans="1:21" ht="18.75">
      <c r="A773" s="166"/>
      <c r="B773" s="167"/>
      <c r="C773" s="167"/>
      <c r="D773" s="460" t="s">
        <v>290</v>
      </c>
      <c r="E773" s="167"/>
      <c r="F773" s="174"/>
      <c r="G773" s="171"/>
      <c r="H773" s="206"/>
      <c r="I773" s="54"/>
      <c r="J773" s="54"/>
      <c r="K773" s="55"/>
      <c r="L773" s="62"/>
      <c r="M773" s="55"/>
      <c r="N773" s="55"/>
      <c r="O773" s="55"/>
      <c r="P773" s="55"/>
      <c r="Q773" s="55"/>
      <c r="R773" s="55"/>
      <c r="S773" s="55"/>
      <c r="T773" s="55"/>
      <c r="U773" s="55"/>
    </row>
    <row r="774" spans="1:21" ht="18.75">
      <c r="A774" s="166"/>
      <c r="B774" s="167"/>
      <c r="C774" s="167"/>
      <c r="D774" s="460" t="s">
        <v>291</v>
      </c>
      <c r="E774" s="167"/>
      <c r="F774" s="174"/>
      <c r="G774" s="171"/>
      <c r="H774" s="165" t="s">
        <v>46</v>
      </c>
      <c r="I774" s="212">
        <f ca="1">IFERROR(__xludf.DUMMYFUNCTION("IMPORTRANGE(""https://docs.google.com/spreadsheets/d/1eHaY18a8A9IcSdp1K8H6x8fbOy06t2VsZHhMHf-1x7Y/edit?usp=sharing"",""แผน!FR35"")"),110)</f>
        <v>110</v>
      </c>
      <c r="J774" s="467">
        <v>0</v>
      </c>
      <c r="K774" s="255">
        <f ca="1">IF(I774&gt;0,J774*100/I774,0)</f>
        <v>0</v>
      </c>
      <c r="L774" s="62"/>
      <c r="M774" s="55"/>
      <c r="N774" s="55"/>
      <c r="O774" s="55"/>
      <c r="P774" s="55"/>
      <c r="Q774" s="55"/>
      <c r="R774" s="55"/>
      <c r="S774" s="55"/>
      <c r="T774" s="55"/>
      <c r="U774" s="55"/>
    </row>
    <row r="775" spans="1:21" ht="18.75">
      <c r="A775" s="166"/>
      <c r="B775" s="167"/>
      <c r="C775" s="167"/>
      <c r="D775" s="460" t="s">
        <v>50</v>
      </c>
      <c r="E775" s="174"/>
      <c r="F775" s="50"/>
      <c r="G775" s="52"/>
      <c r="H775" s="165" t="s">
        <v>46</v>
      </c>
      <c r="I775" s="212">
        <f ca="1">IFERROR(__xludf.DUMMYFUNCTION("IMPORTRANGE(""https://docs.google.com/spreadsheets/d/1eHaY18a8A9IcSdp1K8H6x8fbOy06t2VsZHhMHf-1x7Y/edit?usp=sharing"",""แผน!FS35"")"),110)</f>
        <v>110</v>
      </c>
      <c r="J775" s="467">
        <v>0</v>
      </c>
      <c r="K775" s="55"/>
      <c r="L775" s="62"/>
      <c r="M775" s="55"/>
      <c r="N775" s="55"/>
      <c r="O775" s="55"/>
      <c r="P775" s="55"/>
      <c r="Q775" s="55"/>
      <c r="R775" s="55"/>
      <c r="S775" s="55"/>
      <c r="T775" s="55"/>
      <c r="U775" s="55"/>
    </row>
    <row r="776" spans="1:21" ht="18.75">
      <c r="A776" s="281"/>
      <c r="B776" s="282"/>
      <c r="C776" s="282"/>
      <c r="D776" s="282"/>
      <c r="E776" s="2"/>
      <c r="F776" s="2"/>
      <c r="G776" s="65"/>
      <c r="H776" s="214" t="s">
        <v>35</v>
      </c>
      <c r="I776" s="216">
        <f ca="1">IFERROR(__xludf.DUMMYFUNCTION("IMPORTRANGE(""https://docs.google.com/spreadsheets/d/1eHaY18a8A9IcSdp1K8H6x8fbOy06t2VsZHhMHf-1x7Y/edit?usp=sharing"",""แผน!FT35"")"),55)</f>
        <v>55</v>
      </c>
      <c r="J776" s="538">
        <v>0</v>
      </c>
      <c r="K776" s="6"/>
      <c r="L776" s="68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>
      <c r="A777" s="537" t="s">
        <v>292</v>
      </c>
      <c r="B777" s="500"/>
      <c r="C777" s="500"/>
      <c r="D777" s="499"/>
      <c r="E777" s="500"/>
      <c r="F777" s="500"/>
      <c r="G777" s="501"/>
      <c r="H777" s="536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503"/>
      <c r="J777" s="504"/>
      <c r="K777" s="505"/>
      <c r="L777" s="505"/>
      <c r="M777" s="505"/>
      <c r="N777" s="505"/>
      <c r="O777" s="505"/>
      <c r="P777" s="505"/>
      <c r="Q777" s="505"/>
      <c r="R777" s="505"/>
      <c r="S777" s="505"/>
      <c r="T777" s="505"/>
      <c r="U777" s="505"/>
    </row>
    <row r="778" spans="1:21" ht="18.75">
      <c r="A778" s="49"/>
      <c r="B778" s="58" t="s">
        <v>293</v>
      </c>
      <c r="C778" s="50"/>
      <c r="D778" s="188"/>
      <c r="E778" s="50"/>
      <c r="F778" s="50"/>
      <c r="G778" s="52"/>
      <c r="H778" s="53" t="s">
        <v>14</v>
      </c>
      <c r="I778" s="212">
        <f ca="1">IFERROR(__xludf.DUMMYFUNCTION("IMPORTRANGE(""https://docs.google.com/spreadsheets/d/10OvvATaaLtwErnr3qtWFcTmtbfpFEt5Bsqel9sXx0uE/edit?usp=sharing"",""งานกองทุน!D35"")"),2569727.29)</f>
        <v>2569727.29</v>
      </c>
      <c r="J778" s="212">
        <f ca="1">IFERROR(__xludf.DUMMYFUNCTION("IMPORTRANGE(""https://docs.google.com/spreadsheets/d/10OvvATaaLtwErnr3qtWFcTmtbfpFEt5Bsqel9sXx0uE/edit?usp=sharing"",""งานกองทุน!F35"")"),1447218.29)</f>
        <v>1447218.29</v>
      </c>
      <c r="K778" s="255">
        <f ca="1">IF(I778&gt;0,J778*100/I778,0)</f>
        <v>56.317971779799251</v>
      </c>
      <c r="L778" s="55"/>
      <c r="M778" s="55"/>
      <c r="N778" s="55"/>
      <c r="O778" s="55"/>
      <c r="P778" s="55"/>
      <c r="Q778" s="55"/>
      <c r="R778" s="55"/>
      <c r="S778" s="55"/>
      <c r="T778" s="55"/>
      <c r="U778" s="55"/>
    </row>
    <row r="779" spans="1:21" ht="18.75">
      <c r="A779" s="49"/>
      <c r="B779" s="50"/>
      <c r="C779" s="50"/>
      <c r="D779" s="188"/>
      <c r="E779" s="50"/>
      <c r="F779" s="50"/>
      <c r="G779" s="52"/>
      <c r="H779" s="53" t="s">
        <v>35</v>
      </c>
      <c r="I779" s="212">
        <f ca="1">IFERROR(__xludf.DUMMYFUNCTION("IMPORTRANGE(""https://docs.google.com/spreadsheets/d/10OvvATaaLtwErnr3qtWFcTmtbfpFEt5Bsqel9sXx0uE/edit?usp=sharing"",""งานกองทุน!C35"")"),245)</f>
        <v>245</v>
      </c>
      <c r="J779" s="212">
        <f ca="1">IFERROR(__xludf.DUMMYFUNCTION("IMPORTRANGE(""https://docs.google.com/spreadsheets/d/10OvvATaaLtwErnr3qtWFcTmtbfpFEt5Bsqel9sXx0uE/edit?usp=sharing"",""งานกองทุน!E35"")"),146)</f>
        <v>146</v>
      </c>
      <c r="K779" s="255">
        <f ca="1">IF(I779&gt;0,J779*100/I779,0)</f>
        <v>59.591836734693878</v>
      </c>
      <c r="L779" s="55"/>
      <c r="M779" s="55"/>
      <c r="N779" s="55"/>
      <c r="O779" s="55"/>
      <c r="P779" s="55"/>
      <c r="Q779" s="55"/>
      <c r="R779" s="55"/>
      <c r="S779" s="55"/>
      <c r="T779" s="55"/>
      <c r="U779" s="55"/>
    </row>
    <row r="780" spans="1:21" ht="18.75">
      <c r="A780" s="49"/>
      <c r="B780" s="58" t="s">
        <v>294</v>
      </c>
      <c r="C780" s="50"/>
      <c r="D780" s="188"/>
      <c r="E780" s="50"/>
      <c r="F780" s="50"/>
      <c r="G780" s="52"/>
      <c r="H780" s="53" t="s">
        <v>14</v>
      </c>
      <c r="I780" s="212">
        <f ca="1">IFERROR(__xludf.DUMMYFUNCTION("IMPORTRANGE(""https://docs.google.com/spreadsheets/d/10OvvATaaLtwErnr3qtWFcTmtbfpFEt5Bsqel9sXx0uE/edit?usp=sharing"",""งานกองทุน!I35"")"),2753645.49)</f>
        <v>2753645.49</v>
      </c>
      <c r="J780" s="212">
        <f ca="1">IFERROR(__xludf.DUMMYFUNCTION("IMPORTRANGE(""https://docs.google.com/spreadsheets/d/10OvvATaaLtwErnr3qtWFcTmtbfpFEt5Bsqel9sXx0uE/edit?usp=sharing"",""งานกองทุน!K35"")"),199247.25)</f>
        <v>199247.25</v>
      </c>
      <c r="K780" s="255">
        <f ca="1">IF(I780&gt;0,J780*100/I780,0)</f>
        <v>7.235762581769376</v>
      </c>
      <c r="L780" s="55"/>
      <c r="M780" s="55"/>
      <c r="N780" s="55"/>
      <c r="O780" s="55"/>
      <c r="P780" s="55"/>
      <c r="Q780" s="55"/>
      <c r="R780" s="55"/>
      <c r="S780" s="55"/>
      <c r="T780" s="55"/>
      <c r="U780" s="55"/>
    </row>
    <row r="781" spans="1:21" ht="18.75">
      <c r="A781" s="49"/>
      <c r="B781" s="50"/>
      <c r="C781" s="50"/>
      <c r="D781" s="188"/>
      <c r="E781" s="50"/>
      <c r="F781" s="50"/>
      <c r="G781" s="52"/>
      <c r="H781" s="53" t="s">
        <v>35</v>
      </c>
      <c r="I781" s="212">
        <f ca="1">IFERROR(__xludf.DUMMYFUNCTION("IMPORTRANGE(""https://docs.google.com/spreadsheets/d/10OvvATaaLtwErnr3qtWFcTmtbfpFEt5Bsqel9sXx0uE/edit?usp=sharing"",""งานกองทุน!H35"")"),129)</f>
        <v>129</v>
      </c>
      <c r="J781" s="212">
        <f ca="1">IFERROR(__xludf.DUMMYFUNCTION("IMPORTRANGE(""https://docs.google.com/spreadsheets/d/10OvvATaaLtwErnr3qtWFcTmtbfpFEt5Bsqel9sXx0uE/edit?usp=sharing"",""งานกองทุน!J35"")"),50)</f>
        <v>50</v>
      </c>
      <c r="K781" s="255">
        <f ca="1">IF(I781&gt;0,J781*100/I781,0)</f>
        <v>38.759689922480618</v>
      </c>
      <c r="L781" s="55"/>
      <c r="M781" s="55"/>
      <c r="N781" s="55"/>
      <c r="O781" s="55"/>
      <c r="P781" s="55"/>
      <c r="Q781" s="55"/>
      <c r="R781" s="55"/>
      <c r="S781" s="55"/>
      <c r="T781" s="55"/>
      <c r="U781" s="55"/>
    </row>
    <row r="782" spans="1:21" ht="18.75">
      <c r="A782" s="49"/>
      <c r="B782" s="58" t="s">
        <v>295</v>
      </c>
      <c r="C782" s="50"/>
      <c r="D782" s="188"/>
      <c r="E782" s="50"/>
      <c r="F782" s="50"/>
      <c r="G782" s="52"/>
      <c r="H782" s="53" t="s">
        <v>14</v>
      </c>
      <c r="I782" s="212">
        <f ca="1">IFERROR(__xludf.DUMMYFUNCTION("IMPORTRANGE(""https://docs.google.com/spreadsheets/d/10OvvATaaLtwErnr3qtWFcTmtbfpFEt5Bsqel9sXx0uE/edit?usp=sharing"",""งานกองทุน!N35"")"),303126.69)</f>
        <v>303126.69</v>
      </c>
      <c r="J782" s="212">
        <f ca="1">IFERROR(__xludf.DUMMYFUNCTION("IMPORTRANGE(""https://docs.google.com/spreadsheets/d/10OvvATaaLtwErnr3qtWFcTmtbfpFEt5Bsqel9sXx0uE/edit?usp=sharing"",""งานกองทุน!P35"")"),3426.41)</f>
        <v>3426.41</v>
      </c>
      <c r="K782" s="255">
        <f ca="1">IF(I782&gt;0,J782*100/I782,0)</f>
        <v>1.1303557598309801</v>
      </c>
      <c r="L782" s="55"/>
      <c r="M782" s="55"/>
      <c r="N782" s="55"/>
      <c r="O782" s="55"/>
      <c r="P782" s="55"/>
      <c r="Q782" s="55"/>
      <c r="R782" s="55"/>
      <c r="S782" s="55"/>
      <c r="T782" s="55"/>
      <c r="U782" s="55"/>
    </row>
    <row r="783" spans="1:21" ht="18.75">
      <c r="A783" s="49"/>
      <c r="B783" s="50"/>
      <c r="C783" s="50"/>
      <c r="D783" s="188"/>
      <c r="E783" s="50"/>
      <c r="F783" s="50"/>
      <c r="G783" s="52"/>
      <c r="H783" s="53" t="s">
        <v>35</v>
      </c>
      <c r="I783" s="212">
        <f ca="1">IFERROR(__xludf.DUMMYFUNCTION("IMPORTRANGE(""https://docs.google.com/spreadsheets/d/10OvvATaaLtwErnr3qtWFcTmtbfpFEt5Bsqel9sXx0uE/edit?usp=sharing"",""งานกองทุน!M35"")"),22)</f>
        <v>22</v>
      </c>
      <c r="J783" s="212">
        <f ca="1">IFERROR(__xludf.DUMMYFUNCTION("IMPORTRANGE(""https://docs.google.com/spreadsheets/d/10OvvATaaLtwErnr3qtWFcTmtbfpFEt5Bsqel9sXx0uE/edit?usp=sharing"",""งานกองทุน!O35"")"),5)</f>
        <v>5</v>
      </c>
      <c r="K783" s="255">
        <f ca="1">IF(I783&gt;0,J783*100/I783,0)</f>
        <v>22.727272727272727</v>
      </c>
      <c r="L783" s="55"/>
      <c r="M783" s="55"/>
      <c r="N783" s="55"/>
      <c r="O783" s="55"/>
      <c r="P783" s="55"/>
      <c r="Q783" s="55"/>
      <c r="R783" s="55"/>
      <c r="S783" s="55"/>
      <c r="T783" s="55"/>
      <c r="U783" s="55"/>
    </row>
    <row r="784" spans="1:21" ht="18.75">
      <c r="A784" s="49"/>
      <c r="B784" s="58" t="s">
        <v>296</v>
      </c>
      <c r="C784" s="50"/>
      <c r="D784" s="188"/>
      <c r="E784" s="50"/>
      <c r="F784" s="50"/>
      <c r="G784" s="52"/>
      <c r="H784" s="53" t="s">
        <v>14</v>
      </c>
      <c r="I784" s="212">
        <f ca="1">IFERROR(__xludf.DUMMYFUNCTION("IMPORTRANGE(""https://docs.google.com/spreadsheets/d/10OvvATaaLtwErnr3qtWFcTmtbfpFEt5Bsqel9sXx0uE/edit?usp=sharing"",""งานกองทุน!S35"")"),3528000)</f>
        <v>3528000</v>
      </c>
      <c r="J784" s="212">
        <f ca="1">IFERROR(__xludf.DUMMYFUNCTION("IMPORTRANGE(""https://docs.google.com/spreadsheets/d/10OvvATaaLtwErnr3qtWFcTmtbfpFEt5Bsqel9sXx0uE/edit?usp=sharing"",""งานกองทุน!U35"")"),0)</f>
        <v>0</v>
      </c>
      <c r="K784" s="255">
        <f ca="1">IF(I784&gt;0,J784*100/I784,0)</f>
        <v>0</v>
      </c>
      <c r="L784" s="55"/>
      <c r="M784" s="55"/>
      <c r="N784" s="55"/>
      <c r="O784" s="55"/>
      <c r="P784" s="55"/>
      <c r="Q784" s="55"/>
      <c r="R784" s="55"/>
      <c r="S784" s="55"/>
      <c r="T784" s="55"/>
      <c r="U784" s="55"/>
    </row>
    <row r="785" spans="1:21" ht="18.75">
      <c r="A785" s="63"/>
      <c r="B785" s="4"/>
      <c r="C785" s="4"/>
      <c r="D785" s="5"/>
      <c r="E785" s="4"/>
      <c r="F785" s="4"/>
      <c r="G785" s="65"/>
      <c r="H785" s="66" t="s">
        <v>35</v>
      </c>
      <c r="I785" s="216">
        <f ca="1">IFERROR(__xludf.DUMMYFUNCTION("IMPORTRANGE(""https://docs.google.com/spreadsheets/d/10OvvATaaLtwErnr3qtWFcTmtbfpFEt5Bsqel9sXx0uE/edit?usp=sharing"",""งานกองทุน!R35"")"),126)</f>
        <v>126</v>
      </c>
      <c r="J785" s="216">
        <f ca="1">IFERROR(__xludf.DUMMYFUNCTION("IMPORTRANGE(""https://docs.google.com/spreadsheets/d/10OvvATaaLtwErnr3qtWFcTmtbfpFEt5Bsqel9sXx0uE/edit?usp=sharing"",""งานกองทุน!T35"")"),0)</f>
        <v>0</v>
      </c>
      <c r="K785" s="506">
        <f ca="1">IF(I785&gt;0,J785*100/I785,0)</f>
        <v>0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6.5">
      <c r="A787" s="535" t="s">
        <v>297</v>
      </c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6.5">
      <c r="A788" s="535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</v>
      </c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6.5">
      <c r="A789" s="535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</v>
      </c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</sheetData>
  <mergeCells count="26">
    <mergeCell ref="A1:U1"/>
    <mergeCell ref="A2:U2"/>
    <mergeCell ref="A3:U3"/>
    <mergeCell ref="L4:P4"/>
    <mergeCell ref="Q4:U4"/>
    <mergeCell ref="A5:G6"/>
    <mergeCell ref="H5:H6"/>
    <mergeCell ref="I5:K5"/>
    <mergeCell ref="L5:M5"/>
    <mergeCell ref="N5:P5"/>
    <mergeCell ref="D616:G616"/>
    <mergeCell ref="D642:G642"/>
    <mergeCell ref="D690:G690"/>
    <mergeCell ref="D714:G714"/>
    <mergeCell ref="Q5:R5"/>
    <mergeCell ref="S5:U5"/>
    <mergeCell ref="D728:G728"/>
    <mergeCell ref="D760:G760"/>
    <mergeCell ref="A7:G7"/>
    <mergeCell ref="A17:G17"/>
    <mergeCell ref="A30:G30"/>
    <mergeCell ref="A56:G56"/>
    <mergeCell ref="B57:G57"/>
    <mergeCell ref="D413:G413"/>
    <mergeCell ref="D493:F493"/>
    <mergeCell ref="D599:G599"/>
  </mergeCells>
  <printOptions horizontalCentered="1"/>
  <pageMargins left="0.23622047244094491" right="0.23622047244094491" top="0.55118110236220474" bottom="0.55118110236220474" header="0" footer="0"/>
  <pageSetup paperSize="9" scale="29" fitToHeight="0" pageOrder="overThenDown" orientation="portrait" cellComments="atEnd" horizontalDpi="4294967293" verticalDpi="4294967293" r:id="rId1"/>
  <headerFooter>
    <oddFooter>&amp;Cหน้า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C8D1C7-AA91-46E1-9B05-F06347039235}">
  <sheetPr>
    <outlinePr summaryBelow="0" summaryRight="0"/>
    <pageSetUpPr fitToPage="1"/>
  </sheetPr>
  <dimension ref="A1:U789"/>
  <sheetViews>
    <sheetView view="pageBreakPreview" zoomScale="60" zoomScaleNormal="60" workbookViewId="0">
      <pane xSplit="8" ySplit="17" topLeftCell="I18" activePane="bottomRight" state="frozen"/>
      <selection activeCell="T32" sqref="T32"/>
      <selection pane="topRight" activeCell="T32" sqref="T32"/>
      <selection pane="bottomLeft" activeCell="T32" sqref="T32"/>
      <selection pane="bottomRight" activeCell="T32" sqref="T32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bestFit="1" customWidth="1"/>
    <col min="12" max="14" width="21.28515625" bestFit="1" customWidth="1"/>
    <col min="15" max="15" width="20.140625" bestFit="1" customWidth="1"/>
    <col min="16" max="16" width="22" bestFit="1" customWidth="1"/>
    <col min="17" max="19" width="21.28515625" bestFit="1" customWidth="1"/>
    <col min="20" max="20" width="20.140625" bestFit="1" customWidth="1"/>
    <col min="21" max="21" width="22" bestFit="1" customWidth="1"/>
  </cols>
  <sheetData>
    <row r="1" spans="1:21" ht="19.5">
      <c r="A1" s="894" t="s">
        <v>0</v>
      </c>
      <c r="B1" s="894"/>
      <c r="C1" s="894"/>
      <c r="D1" s="894"/>
      <c r="E1" s="894"/>
      <c r="F1" s="894"/>
      <c r="G1" s="894"/>
      <c r="H1" s="894"/>
      <c r="I1" s="894"/>
      <c r="J1" s="894"/>
      <c r="K1" s="894"/>
      <c r="L1" s="894"/>
      <c r="M1" s="894"/>
      <c r="N1" s="894"/>
      <c r="O1" s="894"/>
      <c r="P1" s="894"/>
      <c r="Q1" s="894"/>
      <c r="R1" s="894"/>
      <c r="S1" s="894"/>
      <c r="T1" s="894"/>
      <c r="U1" s="894"/>
    </row>
    <row r="2" spans="1:21" ht="19.5">
      <c r="A2" s="894" t="s">
        <v>316</v>
      </c>
      <c r="B2" s="894"/>
      <c r="C2" s="894"/>
      <c r="D2" s="894"/>
      <c r="E2" s="894"/>
      <c r="F2" s="894"/>
      <c r="G2" s="894"/>
      <c r="H2" s="894"/>
      <c r="I2" s="894"/>
      <c r="J2" s="894"/>
      <c r="K2" s="894"/>
      <c r="L2" s="894"/>
      <c r="M2" s="894"/>
      <c r="N2" s="894"/>
      <c r="O2" s="894"/>
      <c r="P2" s="894"/>
      <c r="Q2" s="894"/>
      <c r="R2" s="894"/>
      <c r="S2" s="894"/>
      <c r="T2" s="894"/>
      <c r="U2" s="894"/>
    </row>
    <row r="3" spans="1:21" ht="19.5">
      <c r="A3" s="894" t="s">
        <v>339</v>
      </c>
      <c r="B3" s="894"/>
      <c r="C3" s="894"/>
      <c r="D3" s="894"/>
      <c r="E3" s="894"/>
      <c r="F3" s="894"/>
      <c r="G3" s="894"/>
      <c r="H3" s="894"/>
      <c r="I3" s="894"/>
      <c r="J3" s="894"/>
      <c r="K3" s="894"/>
      <c r="L3" s="894"/>
      <c r="M3" s="894"/>
      <c r="N3" s="894"/>
      <c r="O3" s="894"/>
      <c r="P3" s="894"/>
      <c r="Q3" s="894"/>
      <c r="R3" s="894"/>
      <c r="S3" s="894"/>
      <c r="T3" s="894"/>
      <c r="U3" s="894"/>
    </row>
    <row r="4" spans="1:21" ht="19.5">
      <c r="A4" s="4"/>
      <c r="B4" s="4"/>
      <c r="C4" s="4"/>
      <c r="D4" s="4"/>
      <c r="E4" s="4"/>
      <c r="F4" s="4"/>
      <c r="G4" s="4"/>
      <c r="H4" s="4"/>
      <c r="I4" s="4"/>
      <c r="J4" s="5"/>
      <c r="K4" s="766"/>
      <c r="L4" s="765" t="s">
        <v>2</v>
      </c>
      <c r="M4" s="514"/>
      <c r="N4" s="514"/>
      <c r="O4" s="514"/>
      <c r="P4" s="512"/>
      <c r="Q4" s="518" t="s">
        <v>3</v>
      </c>
      <c r="R4" s="514"/>
      <c r="S4" s="514"/>
      <c r="T4" s="514"/>
      <c r="U4" s="512"/>
    </row>
    <row r="5" spans="1:21" ht="19.5">
      <c r="A5" s="764" t="s">
        <v>4</v>
      </c>
      <c r="B5" s="516"/>
      <c r="C5" s="516"/>
      <c r="D5" s="516"/>
      <c r="E5" s="516"/>
      <c r="F5" s="516"/>
      <c r="G5" s="763"/>
      <c r="H5" s="772" t="s">
        <v>5</v>
      </c>
      <c r="I5" s="761" t="s">
        <v>6</v>
      </c>
      <c r="J5" s="514"/>
      <c r="K5" s="512"/>
      <c r="L5" s="760" t="s">
        <v>7</v>
      </c>
      <c r="M5" s="512"/>
      <c r="N5" s="513" t="s">
        <v>8</v>
      </c>
      <c r="O5" s="514"/>
      <c r="P5" s="512"/>
      <c r="Q5" s="511" t="s">
        <v>7</v>
      </c>
      <c r="R5" s="512"/>
      <c r="S5" s="513" t="s">
        <v>8</v>
      </c>
      <c r="T5" s="514"/>
      <c r="U5" s="512"/>
    </row>
    <row r="6" spans="1:21" ht="19.5">
      <c r="A6" s="522"/>
      <c r="B6" s="514"/>
      <c r="C6" s="514"/>
      <c r="D6" s="514"/>
      <c r="E6" s="514"/>
      <c r="F6" s="514"/>
      <c r="G6" s="512"/>
      <c r="H6" s="512"/>
      <c r="I6" s="9" t="s">
        <v>9</v>
      </c>
      <c r="J6" s="10" t="s">
        <v>10</v>
      </c>
      <c r="K6" s="9" t="s">
        <v>11</v>
      </c>
      <c r="L6" s="758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 hidden="1">
      <c r="A7" s="750"/>
      <c r="B7" s="514"/>
      <c r="C7" s="514"/>
      <c r="D7" s="514"/>
      <c r="E7" s="514"/>
      <c r="F7" s="514"/>
      <c r="G7" s="512"/>
      <c r="H7" s="17"/>
      <c r="I7" s="18"/>
      <c r="J7" s="18"/>
      <c r="K7" s="19"/>
      <c r="L7" s="28"/>
      <c r="M7" s="19"/>
      <c r="N7" s="19"/>
      <c r="O7" s="19"/>
      <c r="P7" s="19"/>
      <c r="Q7" s="19"/>
      <c r="R7" s="19"/>
      <c r="S7" s="19"/>
      <c r="T7" s="19"/>
      <c r="U7" s="19"/>
    </row>
    <row r="8" spans="1:21" ht="12.75" hidden="1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6"/>
      <c r="M8" s="25"/>
      <c r="N8" s="25"/>
      <c r="O8" s="25"/>
      <c r="P8" s="25"/>
      <c r="Q8" s="25"/>
      <c r="R8" s="25"/>
      <c r="S8" s="25"/>
      <c r="T8" s="25"/>
      <c r="U8" s="25"/>
    </row>
    <row r="9" spans="1:21" ht="12.75" hidden="1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6"/>
      <c r="M9" s="25"/>
      <c r="N9" s="25"/>
      <c r="O9" s="25"/>
      <c r="P9" s="25"/>
      <c r="Q9" s="25"/>
      <c r="R9" s="25"/>
      <c r="S9" s="25"/>
      <c r="T9" s="25"/>
      <c r="U9" s="25"/>
    </row>
    <row r="10" spans="1:21" ht="12.75" hidden="1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6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2.75" hidden="1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6"/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2.75" hidden="1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6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2.75" hidden="1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6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2.75" hidden="1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2.75" hidden="1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6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2.75" hidden="1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28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9.5">
      <c r="A17" s="532" t="s">
        <v>311</v>
      </c>
      <c r="B17" s="514"/>
      <c r="C17" s="514"/>
      <c r="D17" s="514"/>
      <c r="E17" s="514"/>
      <c r="F17" s="514"/>
      <c r="G17" s="512"/>
      <c r="H17" s="29"/>
      <c r="I17" s="30"/>
      <c r="J17" s="30"/>
      <c r="K17" s="31"/>
      <c r="L17" s="32"/>
      <c r="M17" s="31"/>
      <c r="N17" s="31"/>
      <c r="O17" s="31"/>
      <c r="P17" s="31"/>
      <c r="Q17" s="31"/>
      <c r="R17" s="31"/>
      <c r="S17" s="31"/>
      <c r="T17" s="31"/>
      <c r="U17" s="31"/>
    </row>
    <row r="18" spans="1:21" ht="19.5">
      <c r="A18" s="33"/>
      <c r="B18" s="34"/>
      <c r="C18" s="35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757">
        <f ca="1">L19+L20</f>
        <v>3701148</v>
      </c>
      <c r="M18" s="720">
        <f ca="1">M19+M20</f>
        <v>3765552</v>
      </c>
      <c r="N18" s="720">
        <f ca="1">N19+N20</f>
        <v>2898216.4</v>
      </c>
      <c r="O18" s="720">
        <f ca="1">IF(L18&gt;0,N18*100/L18,0)</f>
        <v>78.305876987356356</v>
      </c>
      <c r="P18" s="720">
        <f ca="1">IF(M18&gt;0,N18*100/M18,0)</f>
        <v>76.966574887294087</v>
      </c>
      <c r="Q18" s="720">
        <f ca="1">Q19+Q20</f>
        <v>5586677.2400000002</v>
      </c>
      <c r="R18" s="720">
        <f ca="1">R19+R20</f>
        <v>4836677</v>
      </c>
      <c r="S18" s="720">
        <f ca="1">S19+S20</f>
        <v>1195689.8899999999</v>
      </c>
      <c r="T18" s="720">
        <f ca="1">IF(Q18&gt;0,S18*100/Q18,0)</f>
        <v>21.402523157038509</v>
      </c>
      <c r="U18" s="720">
        <f ca="1">IF(R18&gt;0,S18*100/R18,0)</f>
        <v>24.721309485830869</v>
      </c>
    </row>
    <row r="19" spans="1:21" ht="18.75" hidden="1">
      <c r="A19" s="33"/>
      <c r="B19" s="34"/>
      <c r="C19" s="34"/>
      <c r="D19" s="34"/>
      <c r="E19" s="756" t="s">
        <v>20</v>
      </c>
      <c r="F19" s="34"/>
      <c r="G19" s="37"/>
      <c r="H19" s="755" t="s">
        <v>14</v>
      </c>
      <c r="I19" s="39"/>
      <c r="J19" s="39"/>
      <c r="K19" s="40"/>
      <c r="L19" s="754">
        <f>L22+L25</f>
        <v>0</v>
      </c>
      <c r="M19" s="753">
        <f>M22+M25</f>
        <v>0</v>
      </c>
      <c r="N19" s="753">
        <f>N22+N25</f>
        <v>0</v>
      </c>
      <c r="O19" s="753">
        <f>IF(L19&gt;0,N19*100/L19,0)</f>
        <v>0</v>
      </c>
      <c r="P19" s="753">
        <f>IF(M19&gt;0,N19*100/M19,0)</f>
        <v>0</v>
      </c>
      <c r="Q19" s="753">
        <f>Q22+Q25</f>
        <v>0</v>
      </c>
      <c r="R19" s="753">
        <f>R22+R25</f>
        <v>0</v>
      </c>
      <c r="S19" s="753">
        <f>S22+S25</f>
        <v>0</v>
      </c>
      <c r="T19" s="753">
        <f>IF(Q19&gt;0,S19*100/Q19,0)</f>
        <v>0</v>
      </c>
      <c r="U19" s="753">
        <f>IF(R19&gt;0,S19*100/R19,0)</f>
        <v>0</v>
      </c>
    </row>
    <row r="20" spans="1:21" ht="18.75" hidden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752">
        <f ca="1">L23+L26</f>
        <v>3701148</v>
      </c>
      <c r="M20" s="751">
        <f ca="1">M23+M26</f>
        <v>3765552</v>
      </c>
      <c r="N20" s="751">
        <f ca="1">N23+N26</f>
        <v>2898216.4</v>
      </c>
      <c r="O20" s="751">
        <f ca="1">IF(L20&gt;0,N20*100/L20,0)</f>
        <v>78.305876987356356</v>
      </c>
      <c r="P20" s="751">
        <f ca="1">IF(M20&gt;0,N20*100/M20,0)</f>
        <v>76.966574887294087</v>
      </c>
      <c r="Q20" s="751">
        <f ca="1">Q23+Q26</f>
        <v>5586677.2400000002</v>
      </c>
      <c r="R20" s="751">
        <f ca="1">R23+R26</f>
        <v>4836677</v>
      </c>
      <c r="S20" s="751">
        <f ca="1">S23+S26</f>
        <v>1195689.8899999999</v>
      </c>
      <c r="T20" s="751">
        <f ca="1">IF(Q20&gt;0,S20*100/Q20,0)</f>
        <v>21.402523157038509</v>
      </c>
      <c r="U20" s="751">
        <f ca="1">IF(R20&gt;0,S20*100/R20,0)</f>
        <v>24.721309485830869</v>
      </c>
    </row>
    <row r="21" spans="1:21" ht="18.75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256">
        <f ca="1">L22+L23</f>
        <v>3701148</v>
      </c>
      <c r="M21" s="255">
        <f ca="1">M22+M23</f>
        <v>3765552</v>
      </c>
      <c r="N21" s="255">
        <f ca="1">N22+N23</f>
        <v>2898216.4</v>
      </c>
      <c r="O21" s="255">
        <f ca="1">IF(L21&gt;0,N21*100/L21,0)</f>
        <v>78.305876987356356</v>
      </c>
      <c r="P21" s="255">
        <f ca="1">IF(M21&gt;0,N21*100/M21,0)</f>
        <v>76.966574887294087</v>
      </c>
      <c r="Q21" s="255">
        <f ca="1">Q22+Q23</f>
        <v>5586677.2400000002</v>
      </c>
      <c r="R21" s="255">
        <f ca="1">R22+R23</f>
        <v>4836677</v>
      </c>
      <c r="S21" s="255">
        <f ca="1">S22+S23</f>
        <v>1195689.8899999999</v>
      </c>
      <c r="T21" s="255">
        <f ca="1">IF(Q21&gt;0,S21*100/Q21,0)</f>
        <v>21.402523157038509</v>
      </c>
      <c r="U21" s="255">
        <f ca="1">IF(R21&gt;0,S21*100/R21,0)</f>
        <v>24.721309485830869</v>
      </c>
    </row>
    <row r="22" spans="1:21" ht="18.75" hidden="1">
      <c r="A22" s="49"/>
      <c r="B22" s="50"/>
      <c r="C22" s="50"/>
      <c r="D22" s="50"/>
      <c r="E22" s="186" t="s">
        <v>20</v>
      </c>
      <c r="F22" s="50"/>
      <c r="G22" s="52"/>
      <c r="H22" s="729" t="s">
        <v>14</v>
      </c>
      <c r="I22" s="54"/>
      <c r="J22" s="54"/>
      <c r="K22" s="55"/>
      <c r="L22" s="103">
        <f>L48+L63+L76+L98+L129+L143+L161+L190+L177+L270+L286+L307+L324+L337+L360+L517</f>
        <v>0</v>
      </c>
      <c r="M22" s="102">
        <f>M48+M63+M76+M98+M129+M143+M161+M190+M177+M270+M286+M307+M324+M337+M360+M517</f>
        <v>0</v>
      </c>
      <c r="N22" s="102">
        <f>N48+N63+N76+N98+N129+N143+N161+N190+N177+N270+N286+N307+N324+N337+N360+N517</f>
        <v>0</v>
      </c>
      <c r="O22" s="102">
        <f>IF(L22&gt;0,N22*100/L22,0)</f>
        <v>0</v>
      </c>
      <c r="P22" s="102">
        <f>IF(M22&gt;0,N22*100/M22,0)</f>
        <v>0</v>
      </c>
      <c r="Q22" s="102">
        <f>Q76+Q98+Q121+Q143+Q161+Q177+Q190+Q270+Q286+Q307+Q337+Q379+Q396+Q417+Q497+Q603+Q620+Q646+Q694+Q718+Q732+Q764</f>
        <v>0</v>
      </c>
      <c r="R22" s="102">
        <f>R76+R98+R121+R143+R161+R177+R190+R270+R286+R307+R337+R379+R396+R417+R497+R603+R620+R646+R694+R718+R732+R764</f>
        <v>0</v>
      </c>
      <c r="S22" s="102">
        <f>S76+S98+S121+S143+S161+S177+S190+S270+S286+S307+S337+S379+S396+S417+S497+S603+S620+S646+S694+S718+S732+S764</f>
        <v>0</v>
      </c>
      <c r="T22" s="102">
        <f>IF(Q22&gt;0,S22*100/Q22,0)</f>
        <v>0</v>
      </c>
      <c r="U22" s="102">
        <f>IF(R22&gt;0,S22*100/R22,0)</f>
        <v>0</v>
      </c>
    </row>
    <row r="23" spans="1:21" ht="18.75" hidden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256">
        <f ca="1">L49+L64+L77+L99+L130+L144+L162+L191+L178+L271+L287+L308+L325+L338+L361+L518</f>
        <v>3701148</v>
      </c>
      <c r="M23" s="255">
        <f ca="1">M49+M64+M77+M99+M130+M144+M162+M191+M178+M271+M287+M308+M325+M338+M361+M518</f>
        <v>3765552</v>
      </c>
      <c r="N23" s="255">
        <f ca="1">N49+N64+N77+N99+N130+N144+N162+N191+N178+N271+N287+N308+N325+N338+N361+N518</f>
        <v>2898216.4</v>
      </c>
      <c r="O23" s="255">
        <f ca="1">IF(L23&gt;0,N23*100/L23,0)</f>
        <v>78.305876987356356</v>
      </c>
      <c r="P23" s="255">
        <f ca="1">IF(M23&gt;0,N23*100/M23,0)</f>
        <v>76.966574887294087</v>
      </c>
      <c r="Q23" s="255">
        <f ca="1">Q77+Q99+Q122+Q144+Q162+Q178+Q191+Q271+Q287+Q308+Q338+Q380+Q397+Q418+Q498+Q604+Q621+Q647+Q695+Q719+Q733+Q765</f>
        <v>5586677.2400000002</v>
      </c>
      <c r="R23" s="255">
        <f ca="1">R77+R99+R122+R144+R162+R178+R191+R271+R287+R308+R338+R380+R397+R418+R498+R604+R621+R647+R695+R719+R733+R765</f>
        <v>4836677</v>
      </c>
      <c r="S23" s="255">
        <f ca="1">S77+S99+S122+S144+S162+S178+S191+S271+S287+S308+S338+S380+S397+S418+S498+S604+S621+S647+S695+S719+S733+S765</f>
        <v>1195689.8899999999</v>
      </c>
      <c r="T23" s="255">
        <f ca="1">IF(Q23&gt;0,S23*100/Q23,0)</f>
        <v>21.402523157038509</v>
      </c>
      <c r="U23" s="255">
        <f ca="1">IF(R23&gt;0,S23*100/R23,0)</f>
        <v>24.721309485830869</v>
      </c>
    </row>
    <row r="24" spans="1:21" ht="18.75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256">
        <f ca="1">L25+L26</f>
        <v>0</v>
      </c>
      <c r="M24" s="255">
        <f ca="1">M25+M26</f>
        <v>0</v>
      </c>
      <c r="N24" s="255">
        <f ca="1">N25+N26</f>
        <v>0</v>
      </c>
      <c r="O24" s="255">
        <f ca="1">IF(L24&gt;0,N24*100/L24,0)</f>
        <v>0</v>
      </c>
      <c r="P24" s="255">
        <f ca="1">IF(M24&gt;0,N24*100/M24,0)</f>
        <v>0</v>
      </c>
      <c r="Q24" s="255">
        <f>Q25+Q26</f>
        <v>0</v>
      </c>
      <c r="R24" s="255">
        <f>R25+R26</f>
        <v>0</v>
      </c>
      <c r="S24" s="255">
        <f>S25+S26</f>
        <v>0</v>
      </c>
      <c r="T24" s="255">
        <f>IF(Q24&gt;0,S24*100/Q24,0)</f>
        <v>0</v>
      </c>
      <c r="U24" s="255">
        <f>IF(R24&gt;0,S24*100/R24,0)</f>
        <v>0</v>
      </c>
    </row>
    <row r="25" spans="1:21" ht="18.75" hidden="1">
      <c r="A25" s="49"/>
      <c r="B25" s="50"/>
      <c r="C25" s="50"/>
      <c r="D25" s="50"/>
      <c r="E25" s="186" t="s">
        <v>20</v>
      </c>
      <c r="F25" s="50"/>
      <c r="G25" s="52"/>
      <c r="H25" s="729" t="s">
        <v>14</v>
      </c>
      <c r="I25" s="54"/>
      <c r="J25" s="54"/>
      <c r="K25" s="55"/>
      <c r="L25" s="103">
        <f>L51+L66+L79+L101+L132+L146+L164+L193+L180+L273+L289+L310+L327+L340+L363+L520</f>
        <v>0</v>
      </c>
      <c r="M25" s="102">
        <f>M51+M66+M79+M101+M132+M146+M164+M193+M180+M273+M289+M310+M327+M340+M363+M520</f>
        <v>0</v>
      </c>
      <c r="N25" s="102">
        <f>N51+N66+N79+N101+N132+N146+N164+N193+N180+N273+N289+N310+N327+N340+N363+N520</f>
        <v>0</v>
      </c>
      <c r="O25" s="102">
        <f>IF(L25&gt;0,N25*100/L25,0)</f>
        <v>0</v>
      </c>
      <c r="P25" s="102">
        <f>IF(M25&gt;0,N25*100/M25,0)</f>
        <v>0</v>
      </c>
      <c r="Q25" s="102">
        <f>Q79+Q101+Q124+Q146+Q164+Q180+Q193+Q273+Q289+Q310+Q340+Q382+Q399+Q420+Q500+Q606+Q623+Q649+Q697+Q721+Q735+Q767</f>
        <v>0</v>
      </c>
      <c r="R25" s="102">
        <f>R79+R101+R124+R146+R164+R180+R193+R273+R289+R310+R340+R382+R399+R420+R500+R606+R623+R649+R697+R721+R735+R767</f>
        <v>0</v>
      </c>
      <c r="S25" s="102">
        <f>S79+S101+S124+S146+S164+S180+S193+S273+S289+S310+S340+S382+S399+S420+S500+S606+S623+S649+S697+S721+S735+S767</f>
        <v>0</v>
      </c>
      <c r="T25" s="102">
        <f>IF(Q25&gt;0,S25*100/Q25,0)</f>
        <v>0</v>
      </c>
      <c r="U25" s="102">
        <f>IF(R25&gt;0,S25*100/R25,0)</f>
        <v>0</v>
      </c>
    </row>
    <row r="26" spans="1:21" ht="18.75" hidden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256">
        <f ca="1">L52+L67+L80+L102+L133+L147+L165+L194+L181+L274+L290+L311+L328+L341+L364+L521</f>
        <v>0</v>
      </c>
      <c r="M26" s="255">
        <f ca="1">M52+M67+M80+M102+M133+M147+M165+M194+M181+M274+M290+M311+M328+M341+M364+M521</f>
        <v>0</v>
      </c>
      <c r="N26" s="255">
        <f ca="1">N52+N67+N80+N102+N133+N147+N165+N194+N181+N274+N290+N311+N328+N341+N364+N521</f>
        <v>0</v>
      </c>
      <c r="O26" s="255">
        <f ca="1">IF(L26&gt;0,N26*100/L26,0)</f>
        <v>0</v>
      </c>
      <c r="P26" s="255">
        <f ca="1">IF(M26&gt;0,N26*100/M26,0)</f>
        <v>0</v>
      </c>
      <c r="Q26" s="102">
        <f>Q80+Q102+Q125+Q147+Q165+Q181+Q194+Q274+Q290+Q311+Q341+Q383+Q400+Q421+Q501+Q607+Q624+Q650+Q698+Q722+Q736+Q768</f>
        <v>0</v>
      </c>
      <c r="R26" s="102">
        <f>R80+R102+R125+R147+R165+R181+R194+R274+R290+R311+R341+R383+R400+R421+R501+R607+R624+R650+R698+R722+R736+R768</f>
        <v>0</v>
      </c>
      <c r="S26" s="102">
        <f>S80+S102+S125+S147+S165+S181+S194+S274+S290+S311+S341+S383+S400+S421+S501+S607+S624+S650+S698+S722+S736+S768</f>
        <v>0</v>
      </c>
      <c r="T26" s="255">
        <f>IF(Q26&gt;0,S26*100/Q26,0)</f>
        <v>0</v>
      </c>
      <c r="U26" s="255">
        <f>IF(R26&gt;0,S26*100/R26,0)</f>
        <v>0</v>
      </c>
    </row>
    <row r="27" spans="1:21" ht="18.75">
      <c r="A27" s="49"/>
      <c r="B27" s="50"/>
      <c r="C27" s="50"/>
      <c r="D27" s="51" t="s">
        <v>24</v>
      </c>
      <c r="E27" s="50"/>
      <c r="F27" s="50"/>
      <c r="G27" s="52"/>
      <c r="H27" s="53" t="s">
        <v>14</v>
      </c>
      <c r="I27" s="54"/>
      <c r="J27" s="54"/>
      <c r="K27" s="55"/>
      <c r="L27" s="62"/>
      <c r="M27" s="55"/>
      <c r="N27" s="55"/>
      <c r="O27" s="55"/>
      <c r="P27" s="55"/>
      <c r="Q27" s="55"/>
      <c r="R27" s="55"/>
      <c r="S27" s="55"/>
      <c r="T27" s="55"/>
      <c r="U27" s="55"/>
    </row>
    <row r="28" spans="1:21" ht="18.75" hidden="1">
      <c r="A28" s="49"/>
      <c r="B28" s="50"/>
      <c r="C28" s="50"/>
      <c r="D28" s="50"/>
      <c r="E28" s="186" t="s">
        <v>20</v>
      </c>
      <c r="F28" s="50"/>
      <c r="G28" s="52"/>
      <c r="H28" s="729" t="s">
        <v>14</v>
      </c>
      <c r="I28" s="54"/>
      <c r="J28" s="54"/>
      <c r="K28" s="55"/>
      <c r="L28" s="62"/>
      <c r="M28" s="55"/>
      <c r="N28" s="55"/>
      <c r="O28" s="55"/>
      <c r="P28" s="55"/>
      <c r="Q28" s="55"/>
      <c r="R28" s="55"/>
      <c r="S28" s="55"/>
      <c r="T28" s="55"/>
      <c r="U28" s="55"/>
    </row>
    <row r="29" spans="1:21" ht="18.75" hidden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8"/>
      <c r="M29" s="6"/>
      <c r="N29" s="6"/>
      <c r="O29" s="6"/>
      <c r="P29" s="6"/>
      <c r="Q29" s="6"/>
      <c r="R29" s="6"/>
      <c r="S29" s="6"/>
      <c r="T29" s="6"/>
      <c r="U29" s="6"/>
    </row>
    <row r="30" spans="1:21" ht="12.75" hidden="1">
      <c r="A30" s="750"/>
      <c r="B30" s="514"/>
      <c r="C30" s="514"/>
      <c r="D30" s="514"/>
      <c r="E30" s="514"/>
      <c r="F30" s="514"/>
      <c r="G30" s="512"/>
      <c r="H30" s="17"/>
      <c r="I30" s="18"/>
      <c r="J30" s="18"/>
      <c r="K30" s="19"/>
      <c r="L30" s="28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 hidden="1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6"/>
      <c r="M31" s="25"/>
      <c r="N31" s="25"/>
      <c r="O31" s="25"/>
      <c r="P31" s="25"/>
      <c r="Q31" s="25"/>
      <c r="R31" s="25"/>
      <c r="S31" s="25"/>
      <c r="T31" s="25"/>
      <c r="U31" s="25"/>
    </row>
    <row r="32" spans="1:21" ht="12.75" hidden="1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6"/>
      <c r="M32" s="25"/>
      <c r="N32" s="25"/>
      <c r="O32" s="25"/>
      <c r="P32" s="25"/>
      <c r="Q32" s="25"/>
      <c r="R32" s="25"/>
      <c r="S32" s="25"/>
      <c r="T32" s="25"/>
      <c r="U32" s="25"/>
    </row>
    <row r="33" spans="1:21" ht="12.75" hidden="1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6"/>
      <c r="M33" s="25"/>
      <c r="N33" s="25"/>
      <c r="O33" s="25"/>
      <c r="P33" s="25"/>
      <c r="Q33" s="25"/>
      <c r="R33" s="25"/>
      <c r="S33" s="25"/>
      <c r="T33" s="25"/>
      <c r="U33" s="25"/>
    </row>
    <row r="34" spans="1:21" ht="12.75" hidden="1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6"/>
      <c r="M34" s="25"/>
      <c r="N34" s="25"/>
      <c r="O34" s="25"/>
      <c r="P34" s="25"/>
      <c r="Q34" s="25"/>
      <c r="R34" s="25"/>
      <c r="S34" s="25"/>
      <c r="T34" s="25"/>
      <c r="U34" s="25"/>
    </row>
    <row r="35" spans="1:21" ht="12.75" hidden="1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6"/>
      <c r="M35" s="25"/>
      <c r="N35" s="25"/>
      <c r="O35" s="25"/>
      <c r="P35" s="25"/>
      <c r="Q35" s="25"/>
      <c r="R35" s="25"/>
      <c r="S35" s="25"/>
      <c r="T35" s="25"/>
      <c r="U35" s="25"/>
    </row>
    <row r="36" spans="1:21" ht="12.75" hidden="1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6"/>
      <c r="M36" s="25"/>
      <c r="N36" s="25"/>
      <c r="O36" s="25"/>
      <c r="P36" s="25"/>
      <c r="Q36" s="25"/>
      <c r="R36" s="25"/>
      <c r="S36" s="25"/>
      <c r="T36" s="25"/>
      <c r="U36" s="25"/>
    </row>
    <row r="37" spans="1:21" ht="12.75" hidden="1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6"/>
      <c r="M37" s="25"/>
      <c r="N37" s="25"/>
      <c r="O37" s="25"/>
      <c r="P37" s="25"/>
      <c r="Q37" s="25"/>
      <c r="R37" s="25"/>
      <c r="S37" s="25"/>
      <c r="T37" s="25"/>
      <c r="U37" s="25"/>
    </row>
    <row r="38" spans="1:21" ht="12.75" hidden="1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6"/>
      <c r="M38" s="25"/>
      <c r="N38" s="25"/>
      <c r="O38" s="25"/>
      <c r="P38" s="25"/>
      <c r="Q38" s="25"/>
      <c r="R38" s="25"/>
      <c r="S38" s="25"/>
      <c r="T38" s="25"/>
      <c r="U38" s="25"/>
    </row>
    <row r="39" spans="1:21" ht="12.75" hidden="1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28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9.5" hidden="1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749">
        <f ca="1">L44+L59+L72+L94+L125+L139+L157+L173+L186+L266+L282+L303+L320+L333+L356</f>
        <v>3701148</v>
      </c>
      <c r="M40" s="748">
        <f ca="1">M44+M59+M72+M94+M125+M139+M157+M173+M186+M266+M282+M303+M320+M333+M356</f>
        <v>3765552</v>
      </c>
      <c r="N40" s="748">
        <f ca="1">N44+N59+N72+N94+N125+N139+N157+N173+N186+N266+N282+N303+N320+N333+N356</f>
        <v>2898216.4</v>
      </c>
      <c r="O40" s="748">
        <f ca="1">IF(L40&gt;0,N40*100/L40,0)</f>
        <v>78.305876987356356</v>
      </c>
      <c r="P40" s="748">
        <f ca="1">IF(M40&gt;0,N40*100/M40,0)</f>
        <v>76.966574887294087</v>
      </c>
      <c r="Q40" s="73"/>
      <c r="R40" s="73"/>
      <c r="S40" s="73"/>
      <c r="T40" s="73"/>
      <c r="U40" s="73"/>
    </row>
    <row r="41" spans="1:21" ht="19.5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78"/>
      <c r="R41" s="78"/>
      <c r="S41" s="78"/>
      <c r="T41" s="78"/>
      <c r="U41" s="79"/>
    </row>
    <row r="42" spans="1:21" ht="19.5">
      <c r="A42" s="80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5"/>
      <c r="M42" s="84"/>
      <c r="N42" s="84"/>
      <c r="O42" s="84"/>
      <c r="P42" s="84"/>
      <c r="Q42" s="84"/>
      <c r="R42" s="84"/>
      <c r="S42" s="84"/>
      <c r="T42" s="84"/>
      <c r="U42" s="84"/>
    </row>
    <row r="43" spans="1:21" ht="12.75" hidden="1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6"/>
      <c r="M43" s="25"/>
      <c r="N43" s="25"/>
      <c r="O43" s="25"/>
      <c r="P43" s="25"/>
      <c r="Q43" s="25"/>
      <c r="R43" s="25"/>
      <c r="S43" s="25"/>
      <c r="T43" s="25"/>
      <c r="U43" s="25"/>
    </row>
    <row r="44" spans="1:21" ht="19.5">
      <c r="A44" s="86"/>
      <c r="B44" s="87"/>
      <c r="C44" s="88" t="s">
        <v>18</v>
      </c>
      <c r="D44" s="747" t="s">
        <v>19</v>
      </c>
      <c r="E44" s="87"/>
      <c r="F44" s="87"/>
      <c r="G44" s="90"/>
      <c r="H44" s="91" t="s">
        <v>14</v>
      </c>
      <c r="I44" s="92"/>
      <c r="J44" s="92"/>
      <c r="K44" s="93"/>
      <c r="L44" s="746">
        <f ca="1">L45+L46</f>
        <v>481643</v>
      </c>
      <c r="M44" s="745">
        <f ca="1">M45+M46</f>
        <v>506797</v>
      </c>
      <c r="N44" s="745">
        <f ca="1">N45+N46</f>
        <v>355426</v>
      </c>
      <c r="O44" s="745">
        <f ca="1">IF(L44&gt;0,N44*100/L44,0)</f>
        <v>73.794490940385302</v>
      </c>
      <c r="P44" s="745">
        <f ca="1">IF(M44&gt;0,N44*100/M44,0)</f>
        <v>70.131827931104567</v>
      </c>
      <c r="Q44" s="745">
        <f>Q45+Q46</f>
        <v>0</v>
      </c>
      <c r="R44" s="745">
        <f>R45+R46</f>
        <v>0</v>
      </c>
      <c r="S44" s="745">
        <f>S45+S46</f>
        <v>0</v>
      </c>
      <c r="T44" s="745">
        <f>IF(Q44&gt;0,S44*100/Q44,0)</f>
        <v>0</v>
      </c>
      <c r="U44" s="745">
        <f>IF(R44&gt;0,S44*100/R44,0)</f>
        <v>0</v>
      </c>
    </row>
    <row r="45" spans="1:21" ht="18.75" hidden="1">
      <c r="A45" s="86"/>
      <c r="B45" s="87"/>
      <c r="C45" s="87"/>
      <c r="D45" s="87"/>
      <c r="E45" s="744" t="s">
        <v>20</v>
      </c>
      <c r="F45" s="87"/>
      <c r="G45" s="90"/>
      <c r="H45" s="743" t="s">
        <v>14</v>
      </c>
      <c r="I45" s="92"/>
      <c r="J45" s="92"/>
      <c r="K45" s="93"/>
      <c r="L45" s="742">
        <f>L48+L51</f>
        <v>0</v>
      </c>
      <c r="M45" s="741">
        <f>M48+M51</f>
        <v>0</v>
      </c>
      <c r="N45" s="741">
        <f>N48+N51</f>
        <v>0</v>
      </c>
      <c r="O45" s="741">
        <f>IF(L45&gt;0,N45*100/L45,0)</f>
        <v>0</v>
      </c>
      <c r="P45" s="741">
        <f>IF(M45&gt;0,N45*100/M45,0)</f>
        <v>0</v>
      </c>
      <c r="Q45" s="741">
        <f>Q48+Q51</f>
        <v>0</v>
      </c>
      <c r="R45" s="741">
        <f>R48+R51</f>
        <v>0</v>
      </c>
      <c r="S45" s="741">
        <f>S48+S51</f>
        <v>0</v>
      </c>
      <c r="T45" s="741">
        <f>IF(Q45&gt;0,S45*100/Q45,0)</f>
        <v>0</v>
      </c>
      <c r="U45" s="741">
        <f>IF(R45&gt;0,S45*100/R45,0)</f>
        <v>0</v>
      </c>
    </row>
    <row r="46" spans="1:21" ht="18.75" hidden="1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740">
        <f ca="1">L49+L52</f>
        <v>481643</v>
      </c>
      <c r="M46" s="739">
        <f ca="1">M49+M52</f>
        <v>506797</v>
      </c>
      <c r="N46" s="739">
        <f ca="1">N49+N52</f>
        <v>355426</v>
      </c>
      <c r="O46" s="739">
        <f ca="1">IF(L46&gt;0,N46*100/L46,0)</f>
        <v>73.794490940385302</v>
      </c>
      <c r="P46" s="739">
        <f ca="1">IF(M46&gt;0,N46*100/M46,0)</f>
        <v>70.131827931104567</v>
      </c>
      <c r="Q46" s="739">
        <f>Q49+Q52</f>
        <v>0</v>
      </c>
      <c r="R46" s="739">
        <f>R49+R52</f>
        <v>0</v>
      </c>
      <c r="S46" s="739">
        <f>S49+S52</f>
        <v>0</v>
      </c>
      <c r="T46" s="739">
        <f>IF(Q46&gt;0,S46*100/Q46,0)</f>
        <v>0</v>
      </c>
      <c r="U46" s="739">
        <f>IF(R46&gt;0,S46*100/R46,0)</f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256">
        <f ca="1">L48+L49</f>
        <v>481643</v>
      </c>
      <c r="M47" s="255">
        <f ca="1">M48+M49</f>
        <v>506797</v>
      </c>
      <c r="N47" s="255">
        <f ca="1">N48+N49</f>
        <v>355426</v>
      </c>
      <c r="O47" s="255">
        <f ca="1">IF(L47&gt;0,N47*100/L47,0)</f>
        <v>73.794490940385302</v>
      </c>
      <c r="P47" s="255">
        <f ca="1">IF(M47&gt;0,N47*100/M47,0)</f>
        <v>70.131827931104567</v>
      </c>
      <c r="Q47" s="255">
        <f>Q48+Q49</f>
        <v>0</v>
      </c>
      <c r="R47" s="255">
        <f>R48+R49</f>
        <v>0</v>
      </c>
      <c r="S47" s="255">
        <f>S48+S49</f>
        <v>0</v>
      </c>
      <c r="T47" s="255">
        <f>IF(Q47&gt;0,S47*100/Q47,0)</f>
        <v>0</v>
      </c>
      <c r="U47" s="255">
        <f>IF(R47&gt;0,S47*100/R47,0)</f>
        <v>0</v>
      </c>
    </row>
    <row r="48" spans="1:21" ht="18.75" hidden="1">
      <c r="A48" s="49"/>
      <c r="B48" s="50"/>
      <c r="C48" s="50"/>
      <c r="D48" s="50"/>
      <c r="E48" s="186" t="s">
        <v>20</v>
      </c>
      <c r="F48" s="50"/>
      <c r="G48" s="52"/>
      <c r="H48" s="729" t="s">
        <v>14</v>
      </c>
      <c r="I48" s="54"/>
      <c r="J48" s="54"/>
      <c r="K48" s="55"/>
      <c r="L48" s="103">
        <v>0</v>
      </c>
      <c r="M48" s="102">
        <v>0</v>
      </c>
      <c r="N48" s="102">
        <v>0</v>
      </c>
      <c r="O48" s="102">
        <f>IF(L48&gt;0,N48*100/L48,0)</f>
        <v>0</v>
      </c>
      <c r="P48" s="102">
        <f>IF(M48&gt;0,N48*100/M48,0)</f>
        <v>0</v>
      </c>
      <c r="Q48" s="102">
        <v>0</v>
      </c>
      <c r="R48" s="102">
        <v>0</v>
      </c>
      <c r="S48" s="102">
        <v>0</v>
      </c>
      <c r="T48" s="102">
        <f>IF(Q48&gt;0,S48*100/Q48,0)</f>
        <v>0</v>
      </c>
      <c r="U48" s="102">
        <f>IF(R48&gt;0,S48*100/R48,0)</f>
        <v>0</v>
      </c>
    </row>
    <row r="49" spans="1:21" ht="18.75" hidden="1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256">
        <f ca="1">IFERROR(__xludf.DUMMYFUNCTION("IMPORTRANGE(""https://docs.google.com/spreadsheets/d/1-uDff_7J0KD5mKrp0Vvzr7lt3OU09vwQwhkpOPPYv2Y/edit?usp=sharing"",""งบพรบ!P36"")"),481643)</f>
        <v>481643</v>
      </c>
      <c r="M49" s="255">
        <f ca="1">IFERROR(__xludf.DUMMYFUNCTION("IMPORTRANGE(""https://docs.google.com/spreadsheets/d/1-uDff_7J0KD5mKrp0Vvzr7lt3OU09vwQwhkpOPPYv2Y/edit?usp=sharing"",""งบพรบ!V36"")"),506797)</f>
        <v>506797</v>
      </c>
      <c r="N49" s="255">
        <f ca="1">IFERROR(__xludf.DUMMYFUNCTION("IMPORTRANGE(""https://docs.google.com/spreadsheets/d/1-uDff_7J0KD5mKrp0Vvzr7lt3OU09vwQwhkpOPPYv2Y/edit?usp=sharing"",""งบพรบ!Y36"")"),355426)</f>
        <v>355426</v>
      </c>
      <c r="O49" s="255">
        <f ca="1">IF(L49&gt;0,N49*100/L49,0)</f>
        <v>73.794490940385302</v>
      </c>
      <c r="P49" s="255">
        <f ca="1">IF(M49&gt;0,N49*100/M49,0)</f>
        <v>70.131827931104567</v>
      </c>
      <c r="Q49" s="255">
        <v>0</v>
      </c>
      <c r="R49" s="255">
        <v>0</v>
      </c>
      <c r="S49" s="255">
        <v>0</v>
      </c>
      <c r="T49" s="255">
        <f>IF(Q49&gt;0,S49*100/Q49,0)</f>
        <v>0</v>
      </c>
      <c r="U49" s="255">
        <f>IF(R49&gt;0,S49*100/R49,0)</f>
        <v>0</v>
      </c>
    </row>
    <row r="50" spans="1:21" ht="18.75">
      <c r="A50" s="49"/>
      <c r="B50" s="50"/>
      <c r="C50" s="50"/>
      <c r="D50" s="51" t="s">
        <v>23</v>
      </c>
      <c r="E50" s="50"/>
      <c r="F50" s="50"/>
      <c r="G50" s="52"/>
      <c r="H50" s="53" t="s">
        <v>14</v>
      </c>
      <c r="I50" s="54"/>
      <c r="J50" s="54"/>
      <c r="K50" s="55"/>
      <c r="L50" s="256">
        <f ca="1">L51+L52</f>
        <v>0</v>
      </c>
      <c r="M50" s="255">
        <f ca="1">M51+M52</f>
        <v>0</v>
      </c>
      <c r="N50" s="255">
        <f ca="1">N51+N52</f>
        <v>0</v>
      </c>
      <c r="O50" s="255">
        <f ca="1">IF(L50&gt;0,N50*100/L50,0)</f>
        <v>0</v>
      </c>
      <c r="P50" s="255">
        <f ca="1">IF(M50&gt;0,N50*100/M50,0)</f>
        <v>0</v>
      </c>
      <c r="Q50" s="255">
        <f>Q51+Q52</f>
        <v>0</v>
      </c>
      <c r="R50" s="255">
        <f>R51+R52</f>
        <v>0</v>
      </c>
      <c r="S50" s="255">
        <f>S51+S52</f>
        <v>0</v>
      </c>
      <c r="T50" s="255">
        <f>IF(Q50&gt;0,S50*100/Q50,0)</f>
        <v>0</v>
      </c>
      <c r="U50" s="255">
        <f>IF(R50&gt;0,S50*100/R50,0)</f>
        <v>0</v>
      </c>
    </row>
    <row r="51" spans="1:21" ht="18.75" hidden="1">
      <c r="A51" s="49"/>
      <c r="B51" s="50"/>
      <c r="C51" s="50"/>
      <c r="D51" s="50"/>
      <c r="E51" s="186" t="s">
        <v>20</v>
      </c>
      <c r="F51" s="50"/>
      <c r="G51" s="52"/>
      <c r="H51" s="729" t="s">
        <v>14</v>
      </c>
      <c r="I51" s="54"/>
      <c r="J51" s="54"/>
      <c r="K51" s="55"/>
      <c r="L51" s="103">
        <v>0</v>
      </c>
      <c r="M51" s="102">
        <v>0</v>
      </c>
      <c r="N51" s="102">
        <v>0</v>
      </c>
      <c r="O51" s="102">
        <f>IF(L51&gt;0,N51*100/L51,0)</f>
        <v>0</v>
      </c>
      <c r="P51" s="102">
        <f>IF(M51&gt;0,N51*100/M51,0)</f>
        <v>0</v>
      </c>
      <c r="Q51" s="102">
        <v>0</v>
      </c>
      <c r="R51" s="102">
        <v>0</v>
      </c>
      <c r="S51" s="102">
        <v>0</v>
      </c>
      <c r="T51" s="102">
        <f>IF(Q51&gt;0,S51*100/Q51,0)</f>
        <v>0</v>
      </c>
      <c r="U51" s="102">
        <f>IF(R51&gt;0,S51*100/R51,0)</f>
        <v>0</v>
      </c>
    </row>
    <row r="52" spans="1:21" ht="18.75" hidden="1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256">
        <f ca="1">IFERROR(__xludf.DUMMYFUNCTION("IMPORTRANGE(""https://docs.google.com/spreadsheets/d/1-uDff_7J0KD5mKrp0Vvzr7lt3OU09vwQwhkpOPPYv2Y/edit?usp=sharing"",""งบพรบ!S36"")"),0)</f>
        <v>0</v>
      </c>
      <c r="M52" s="255">
        <f ca="1">IFERROR(__xludf.DUMMYFUNCTION("IMPORTRANGE(""https://docs.google.com/spreadsheets/d/1-uDff_7J0KD5mKrp0Vvzr7lt3OU09vwQwhkpOPPYv2Y/edit?usp=sharing"",""งบพรบ!W36"")"),0)</f>
        <v>0</v>
      </c>
      <c r="N52" s="255">
        <f ca="1">IFERROR(__xludf.DUMMYFUNCTION("IMPORTRANGE(""https://docs.google.com/spreadsheets/d/1-uDff_7J0KD5mKrp0Vvzr7lt3OU09vwQwhkpOPPYv2Y/edit?usp=sharing"",""งบพรบ!Z36"")"),0)</f>
        <v>0</v>
      </c>
      <c r="O52" s="255">
        <f ca="1">IF(L52&gt;0,N52*100/L52,0)</f>
        <v>0</v>
      </c>
      <c r="P52" s="255">
        <f ca="1">IF(M52&gt;0,N52*100/M52,0)</f>
        <v>0</v>
      </c>
      <c r="Q52" s="255">
        <v>0</v>
      </c>
      <c r="R52" s="255">
        <v>0</v>
      </c>
      <c r="S52" s="255">
        <v>0</v>
      </c>
      <c r="T52" s="255">
        <f>IF(Q52&gt;0,S52*100/Q52,0)</f>
        <v>0</v>
      </c>
      <c r="U52" s="255">
        <f>IF(R52&gt;0,S52*100/R52,0)</f>
        <v>0</v>
      </c>
    </row>
    <row r="53" spans="1:21" ht="18.75">
      <c r="A53" s="49"/>
      <c r="B53" s="50"/>
      <c r="C53" s="50"/>
      <c r="D53" s="51" t="s">
        <v>24</v>
      </c>
      <c r="E53" s="50"/>
      <c r="F53" s="50"/>
      <c r="G53" s="52"/>
      <c r="H53" s="53" t="s">
        <v>14</v>
      </c>
      <c r="I53" s="54"/>
      <c r="J53" s="54"/>
      <c r="K53" s="55"/>
      <c r="L53" s="62"/>
      <c r="M53" s="55"/>
      <c r="N53" s="55"/>
      <c r="O53" s="55"/>
      <c r="P53" s="55"/>
      <c r="Q53" s="55"/>
      <c r="R53" s="55"/>
      <c r="S53" s="55"/>
      <c r="T53" s="55"/>
      <c r="U53" s="55"/>
    </row>
    <row r="54" spans="1:21" ht="18.75" hidden="1">
      <c r="A54" s="49"/>
      <c r="B54" s="50"/>
      <c r="C54" s="50"/>
      <c r="D54" s="50"/>
      <c r="E54" s="186" t="s">
        <v>20</v>
      </c>
      <c r="F54" s="50"/>
      <c r="G54" s="52"/>
      <c r="H54" s="729" t="s">
        <v>14</v>
      </c>
      <c r="I54" s="54"/>
      <c r="J54" s="54"/>
      <c r="K54" s="55"/>
      <c r="L54" s="62"/>
      <c r="M54" s="55"/>
      <c r="N54" s="55"/>
      <c r="O54" s="55"/>
      <c r="P54" s="55"/>
      <c r="Q54" s="55"/>
      <c r="R54" s="55"/>
      <c r="S54" s="55"/>
      <c r="T54" s="55"/>
      <c r="U54" s="55"/>
    </row>
    <row r="55" spans="1:21" ht="18.75" hidden="1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8"/>
      <c r="M55" s="6"/>
      <c r="N55" s="6"/>
      <c r="O55" s="6"/>
      <c r="P55" s="6"/>
      <c r="Q55" s="6"/>
      <c r="R55" s="6"/>
      <c r="S55" s="6"/>
      <c r="T55" s="6"/>
      <c r="U55" s="6"/>
    </row>
    <row r="56" spans="1:21" ht="19.5">
      <c r="A56" s="533" t="s">
        <v>28</v>
      </c>
      <c r="B56" s="514"/>
      <c r="C56" s="514"/>
      <c r="D56" s="514"/>
      <c r="E56" s="514"/>
      <c r="F56" s="514"/>
      <c r="G56" s="512"/>
      <c r="H56" s="104"/>
      <c r="I56" s="105"/>
      <c r="J56" s="105"/>
      <c r="K56" s="106"/>
      <c r="L56" s="106"/>
      <c r="M56" s="106"/>
      <c r="N56" s="106"/>
      <c r="O56" s="106"/>
      <c r="P56" s="107"/>
      <c r="Q56" s="106"/>
      <c r="R56" s="106"/>
      <c r="S56" s="106"/>
      <c r="T56" s="106"/>
      <c r="U56" s="107"/>
    </row>
    <row r="57" spans="1:21" ht="19.5">
      <c r="A57" s="108"/>
      <c r="B57" s="534" t="s">
        <v>29</v>
      </c>
      <c r="C57" s="529"/>
      <c r="D57" s="529"/>
      <c r="E57" s="529"/>
      <c r="F57" s="529"/>
      <c r="G57" s="530"/>
      <c r="H57" s="109"/>
      <c r="I57" s="110"/>
      <c r="J57" s="110"/>
      <c r="K57" s="111"/>
      <c r="L57" s="112"/>
      <c r="M57" s="111"/>
      <c r="N57" s="111"/>
      <c r="O57" s="111"/>
      <c r="P57" s="111"/>
      <c r="Q57" s="111"/>
      <c r="R57" s="111"/>
      <c r="S57" s="111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9"/>
      <c r="M58" s="118"/>
      <c r="N58" s="118"/>
      <c r="O58" s="118"/>
      <c r="P58" s="118"/>
      <c r="Q58" s="118"/>
      <c r="R58" s="118"/>
      <c r="S58" s="118"/>
      <c r="T58" s="118"/>
      <c r="U58" s="118"/>
    </row>
    <row r="59" spans="1:21" ht="19.5">
      <c r="A59" s="120"/>
      <c r="B59" s="121"/>
      <c r="C59" s="122" t="s">
        <v>18</v>
      </c>
      <c r="D59" s="738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737">
        <f ca="1">L60+L61</f>
        <v>744700</v>
      </c>
      <c r="M59" s="736">
        <f ca="1">M60+M61</f>
        <v>747200</v>
      </c>
      <c r="N59" s="736">
        <f ca="1">N60+N61</f>
        <v>687569.67</v>
      </c>
      <c r="O59" s="736">
        <f ca="1">IF(L59&gt;0,N59*100/L59,0)</f>
        <v>92.328410098026055</v>
      </c>
      <c r="P59" s="736">
        <f ca="1">IF(M59&gt;0,N59*100/M59,0)</f>
        <v>92.0194954496788</v>
      </c>
      <c r="Q59" s="736">
        <f>Q60+Q61</f>
        <v>0</v>
      </c>
      <c r="R59" s="736">
        <f>R60+R61</f>
        <v>0</v>
      </c>
      <c r="S59" s="736">
        <f>S60+S61</f>
        <v>0</v>
      </c>
      <c r="T59" s="736">
        <f>IF(Q59&gt;0,S59*100/Q59,0)</f>
        <v>0</v>
      </c>
      <c r="U59" s="736">
        <f>IF(R59&gt;0,S59*100/R59,0)</f>
        <v>0</v>
      </c>
    </row>
    <row r="60" spans="1:21" ht="18.75" hidden="1">
      <c r="A60" s="120"/>
      <c r="B60" s="121"/>
      <c r="C60" s="121"/>
      <c r="D60" s="121"/>
      <c r="E60" s="735" t="s">
        <v>20</v>
      </c>
      <c r="F60" s="121"/>
      <c r="G60" s="124"/>
      <c r="H60" s="734" t="s">
        <v>14</v>
      </c>
      <c r="I60" s="126"/>
      <c r="J60" s="126"/>
      <c r="K60" s="127"/>
      <c r="L60" s="733">
        <f>L63+L66</f>
        <v>0</v>
      </c>
      <c r="M60" s="732">
        <f>M63+M66</f>
        <v>0</v>
      </c>
      <c r="N60" s="732">
        <f>N63+N66</f>
        <v>0</v>
      </c>
      <c r="O60" s="732">
        <f>IF(L60&gt;0,N60*100/L60,0)</f>
        <v>0</v>
      </c>
      <c r="P60" s="732">
        <f>IF(M60&gt;0,N60*100/M60,0)</f>
        <v>0</v>
      </c>
      <c r="Q60" s="732">
        <f>Q63+Q66</f>
        <v>0</v>
      </c>
      <c r="R60" s="732">
        <f>R63+R66</f>
        <v>0</v>
      </c>
      <c r="S60" s="732">
        <f>S63+S66</f>
        <v>0</v>
      </c>
      <c r="T60" s="732">
        <f>IF(Q60&gt;0,S60*100/Q60,0)</f>
        <v>0</v>
      </c>
      <c r="U60" s="732">
        <f>IF(R60&gt;0,S60*100/R60,0)</f>
        <v>0</v>
      </c>
    </row>
    <row r="61" spans="1:21" ht="18.75" hidden="1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731">
        <f ca="1">L64+L67</f>
        <v>744700</v>
      </c>
      <c r="M61" s="730">
        <f ca="1">M64+M67</f>
        <v>747200</v>
      </c>
      <c r="N61" s="730">
        <f ca="1">N64+N67</f>
        <v>687569.67</v>
      </c>
      <c r="O61" s="730">
        <f ca="1">IF(L61&gt;0,N61*100/L61,0)</f>
        <v>92.328410098026055</v>
      </c>
      <c r="P61" s="730">
        <f ca="1">IF(M61&gt;0,N61*100/M61,0)</f>
        <v>92.0194954496788</v>
      </c>
      <c r="Q61" s="730">
        <f>Q64+Q67</f>
        <v>0</v>
      </c>
      <c r="R61" s="730">
        <f>R64+R67</f>
        <v>0</v>
      </c>
      <c r="S61" s="730">
        <f>S64+S67</f>
        <v>0</v>
      </c>
      <c r="T61" s="730">
        <f>IF(Q61&gt;0,S61*100/Q61,0)</f>
        <v>0</v>
      </c>
      <c r="U61" s="730">
        <f>IF(R61&gt;0,S61*100/R61,0)</f>
        <v>0</v>
      </c>
    </row>
    <row r="62" spans="1:21" ht="18.75">
      <c r="A62" s="49"/>
      <c r="B62" s="50"/>
      <c r="C62" s="50"/>
      <c r="D62" s="51" t="s">
        <v>22</v>
      </c>
      <c r="E62" s="50"/>
      <c r="F62" s="50"/>
      <c r="G62" s="52"/>
      <c r="H62" s="53" t="s">
        <v>14</v>
      </c>
      <c r="I62" s="54"/>
      <c r="J62" s="54"/>
      <c r="K62" s="55"/>
      <c r="L62" s="256">
        <f ca="1">L63+L64</f>
        <v>744700</v>
      </c>
      <c r="M62" s="255">
        <f ca="1">M63+M64</f>
        <v>747200</v>
      </c>
      <c r="N62" s="255">
        <f ca="1">N63+N64</f>
        <v>687569.67</v>
      </c>
      <c r="O62" s="255">
        <f ca="1">IF(L62&gt;0,N62*100/L62,0)</f>
        <v>92.328410098026055</v>
      </c>
      <c r="P62" s="255">
        <f ca="1">IF(M62&gt;0,N62*100/M62,0)</f>
        <v>92.0194954496788</v>
      </c>
      <c r="Q62" s="255">
        <f>Q63+Q64</f>
        <v>0</v>
      </c>
      <c r="R62" s="255">
        <f>R63+R64</f>
        <v>0</v>
      </c>
      <c r="S62" s="255">
        <f>S63+S64</f>
        <v>0</v>
      </c>
      <c r="T62" s="255">
        <f>IF(Q62&gt;0,S62*100/Q62,0)</f>
        <v>0</v>
      </c>
      <c r="U62" s="255">
        <f>IF(R62&gt;0,S62*100/R62,0)</f>
        <v>0</v>
      </c>
    </row>
    <row r="63" spans="1:21" ht="18.75" hidden="1">
      <c r="A63" s="49"/>
      <c r="B63" s="50"/>
      <c r="C63" s="50"/>
      <c r="D63" s="50"/>
      <c r="E63" s="186" t="s">
        <v>20</v>
      </c>
      <c r="F63" s="50"/>
      <c r="G63" s="52"/>
      <c r="H63" s="729" t="s">
        <v>14</v>
      </c>
      <c r="I63" s="54"/>
      <c r="J63" s="54"/>
      <c r="K63" s="55"/>
      <c r="L63" s="103">
        <v>0</v>
      </c>
      <c r="M63" s="102">
        <v>0</v>
      </c>
      <c r="N63" s="102">
        <v>0</v>
      </c>
      <c r="O63" s="102">
        <f>IF(L63&gt;0,N63*100/L63,0)</f>
        <v>0</v>
      </c>
      <c r="P63" s="102">
        <f>IF(M63&gt;0,N63*100/M63,0)</f>
        <v>0</v>
      </c>
      <c r="Q63" s="102">
        <v>0</v>
      </c>
      <c r="R63" s="102">
        <v>0</v>
      </c>
      <c r="S63" s="102">
        <v>0</v>
      </c>
      <c r="T63" s="102">
        <f>IF(Q63&gt;0,S63*100/Q63,0)</f>
        <v>0</v>
      </c>
      <c r="U63" s="102">
        <f>IF(R63&gt;0,S63*100/R63,0)</f>
        <v>0</v>
      </c>
    </row>
    <row r="64" spans="1:21" ht="18.75" hidden="1">
      <c r="A64" s="49"/>
      <c r="B64" s="50"/>
      <c r="C64" s="50"/>
      <c r="D64" s="50"/>
      <c r="E64" s="58" t="s">
        <v>21</v>
      </c>
      <c r="F64" s="50"/>
      <c r="G64" s="52"/>
      <c r="H64" s="53" t="s">
        <v>14</v>
      </c>
      <c r="I64" s="54"/>
      <c r="J64" s="54"/>
      <c r="K64" s="55"/>
      <c r="L64" s="256">
        <f ca="1">IFERROR(__xludf.DUMMYFUNCTION("IMPORTRANGE(""https://docs.google.com/spreadsheets/d/1-uDff_7J0KD5mKrp0Vvzr7lt3OU09vwQwhkpOPPYv2Y/edit?usp=sharing"",""งบพรบ!AC36"")"),744700)</f>
        <v>744700</v>
      </c>
      <c r="M64" s="255">
        <f ca="1">IFERROR(__xludf.DUMMYFUNCTION("IMPORTRANGE(""https://docs.google.com/spreadsheets/d/1-uDff_7J0KD5mKrp0Vvzr7lt3OU09vwQwhkpOPPYv2Y/edit?usp=sharing"",""งบพรบ!AH36"")"),747200)</f>
        <v>747200</v>
      </c>
      <c r="N64" s="255">
        <f ca="1">IFERROR(__xludf.DUMMYFUNCTION("IMPORTRANGE(""https://docs.google.com/spreadsheets/d/1-uDff_7J0KD5mKrp0Vvzr7lt3OU09vwQwhkpOPPYv2Y/edit?usp=sharing"",""งบพรบ!AJ36"")"),687569.67)</f>
        <v>687569.67</v>
      </c>
      <c r="O64" s="255">
        <f ca="1">IF(L64&gt;0,N64*100/L64,0)</f>
        <v>92.328410098026055</v>
      </c>
      <c r="P64" s="255">
        <f ca="1">IF(M64&gt;0,N64*100/M64,0)</f>
        <v>92.0194954496788</v>
      </c>
      <c r="Q64" s="255">
        <v>0</v>
      </c>
      <c r="R64" s="255">
        <v>0</v>
      </c>
      <c r="S64" s="255">
        <v>0</v>
      </c>
      <c r="T64" s="255">
        <f>IF(Q64&gt;0,S64*100/Q64,0)</f>
        <v>0</v>
      </c>
      <c r="U64" s="255">
        <f>IF(R64&gt;0,S64*100/R64,0)</f>
        <v>0</v>
      </c>
    </row>
    <row r="65" spans="1:21" ht="18.75">
      <c r="A65" s="49"/>
      <c r="B65" s="50"/>
      <c r="C65" s="50"/>
      <c r="D65" s="51" t="s">
        <v>23</v>
      </c>
      <c r="E65" s="50"/>
      <c r="F65" s="50"/>
      <c r="G65" s="52"/>
      <c r="H65" s="53" t="s">
        <v>14</v>
      </c>
      <c r="I65" s="54"/>
      <c r="J65" s="54"/>
      <c r="K65" s="55"/>
      <c r="L65" s="256">
        <f ca="1">L66+L67</f>
        <v>0</v>
      </c>
      <c r="M65" s="255">
        <f ca="1">M66+M67</f>
        <v>0</v>
      </c>
      <c r="N65" s="255">
        <f ca="1">N66+N67</f>
        <v>0</v>
      </c>
      <c r="O65" s="255">
        <f ca="1">IF(L65&gt;0,N65*100/L65,0)</f>
        <v>0</v>
      </c>
      <c r="P65" s="255">
        <f ca="1">IF(M65&gt;0,N65*100/M65,0)</f>
        <v>0</v>
      </c>
      <c r="Q65" s="255">
        <f>Q66+Q67</f>
        <v>0</v>
      </c>
      <c r="R65" s="255">
        <f>R66+R67</f>
        <v>0</v>
      </c>
      <c r="S65" s="255">
        <f>S66+S67</f>
        <v>0</v>
      </c>
      <c r="T65" s="255">
        <f>IF(Q65&gt;0,S65*100/Q65,0)</f>
        <v>0</v>
      </c>
      <c r="U65" s="255">
        <f>IF(R65&gt;0,S65*100/R65,0)</f>
        <v>0</v>
      </c>
    </row>
    <row r="66" spans="1:21" ht="18.75" hidden="1">
      <c r="A66" s="49"/>
      <c r="B66" s="50"/>
      <c r="C66" s="50"/>
      <c r="D66" s="50"/>
      <c r="E66" s="186" t="s">
        <v>20</v>
      </c>
      <c r="F66" s="50"/>
      <c r="G66" s="52"/>
      <c r="H66" s="729" t="s">
        <v>14</v>
      </c>
      <c r="I66" s="54"/>
      <c r="J66" s="54"/>
      <c r="K66" s="55"/>
      <c r="L66" s="103">
        <v>0</v>
      </c>
      <c r="M66" s="102">
        <v>0</v>
      </c>
      <c r="N66" s="102">
        <v>0</v>
      </c>
      <c r="O66" s="102">
        <f>IF(L66&gt;0,N66*100/L66,0)</f>
        <v>0</v>
      </c>
      <c r="P66" s="102">
        <f>IF(M66&gt;0,N66*100/M66,0)</f>
        <v>0</v>
      </c>
      <c r="Q66" s="102">
        <v>0</v>
      </c>
      <c r="R66" s="102">
        <v>0</v>
      </c>
      <c r="S66" s="102">
        <v>0</v>
      </c>
      <c r="T66" s="102">
        <f>IF(Q66&gt;0,S66*100/Q66,0)</f>
        <v>0</v>
      </c>
      <c r="U66" s="102">
        <f>IF(R66&gt;0,S66*100/R66,0)</f>
        <v>0</v>
      </c>
    </row>
    <row r="67" spans="1:21" ht="18.75" hidden="1">
      <c r="A67" s="63"/>
      <c r="B67" s="4"/>
      <c r="C67" s="4"/>
      <c r="D67" s="4"/>
      <c r="E67" s="64" t="s">
        <v>21</v>
      </c>
      <c r="F67" s="4"/>
      <c r="G67" s="65"/>
      <c r="H67" s="66" t="s">
        <v>14</v>
      </c>
      <c r="I67" s="67"/>
      <c r="J67" s="67"/>
      <c r="K67" s="6"/>
      <c r="L67" s="728">
        <f ca="1">IFERROR(__xludf.DUMMYFUNCTION("IMPORTRANGE(""https://docs.google.com/spreadsheets/d/1-uDff_7J0KD5mKrp0Vvzr7lt3OU09vwQwhkpOPPYv2Y/edit?usp=sharing"",""งบพรบ!AF36"")"),0)</f>
        <v>0</v>
      </c>
      <c r="M67" s="506">
        <f ca="1">IFERROR(__xludf.DUMMYFUNCTION("IMPORTRANGE(""https://docs.google.com/spreadsheets/d/1-uDff_7J0KD5mKrp0Vvzr7lt3OU09vwQwhkpOPPYv2Y/edit?usp=sharing"",""งบพรบ!AI36"")"),0)</f>
        <v>0</v>
      </c>
      <c r="N67" s="506">
        <f ca="1">IFERROR(__xludf.DUMMYFUNCTION("IMPORTRANGE(""https://docs.google.com/spreadsheets/d/1-uDff_7J0KD5mKrp0Vvzr7lt3OU09vwQwhkpOPPYv2Y/edit?usp=sharing"",""งบพรบ!AK36"")"),0)</f>
        <v>0</v>
      </c>
      <c r="O67" s="506">
        <f ca="1">IF(L67&gt;0,N67*100/L67,0)</f>
        <v>0</v>
      </c>
      <c r="P67" s="506">
        <f ca="1">IF(M67&gt;0,N67*100/M67,0)</f>
        <v>0</v>
      </c>
      <c r="Q67" s="506">
        <v>0</v>
      </c>
      <c r="R67" s="506">
        <v>0</v>
      </c>
      <c r="S67" s="506">
        <v>0</v>
      </c>
      <c r="T67" s="506">
        <f>IF(Q67&gt;0,S67*100/Q67,0)</f>
        <v>0</v>
      </c>
      <c r="U67" s="506">
        <f>IF(R67&gt;0,S67*100/R67,0)</f>
        <v>0</v>
      </c>
    </row>
    <row r="68" spans="1:21" ht="21" customHeight="1">
      <c r="A68" s="137" t="s">
        <v>31</v>
      </c>
      <c r="B68" s="138"/>
      <c r="C68" s="138"/>
      <c r="D68" s="138"/>
      <c r="E68" s="139"/>
      <c r="F68" s="139"/>
      <c r="G68" s="139"/>
      <c r="H68" s="139"/>
      <c r="I68" s="140"/>
      <c r="J68" s="140"/>
      <c r="K68" s="141"/>
      <c r="L68" s="141"/>
      <c r="M68" s="141"/>
      <c r="N68" s="141"/>
      <c r="O68" s="141"/>
      <c r="P68" s="142"/>
      <c r="Q68" s="141"/>
      <c r="R68" s="141"/>
      <c r="S68" s="141"/>
      <c r="T68" s="141"/>
      <c r="U68" s="142"/>
    </row>
    <row r="69" spans="1:21" ht="19.5">
      <c r="A69" s="143" t="s">
        <v>32</v>
      </c>
      <c r="B69" s="144"/>
      <c r="C69" s="145"/>
      <c r="D69" s="144"/>
      <c r="E69" s="144"/>
      <c r="F69" s="144"/>
      <c r="G69" s="146"/>
      <c r="H69" s="146"/>
      <c r="I69" s="147"/>
      <c r="J69" s="147"/>
      <c r="K69" s="148"/>
      <c r="L69" s="149"/>
      <c r="M69" s="148"/>
      <c r="N69" s="148"/>
      <c r="O69" s="148"/>
      <c r="P69" s="148"/>
      <c r="Q69" s="148"/>
      <c r="R69" s="148"/>
      <c r="S69" s="148"/>
      <c r="T69" s="148"/>
      <c r="U69" s="148"/>
    </row>
    <row r="70" spans="1:21" ht="19.5">
      <c r="A70" s="150"/>
      <c r="B70" s="35" t="s">
        <v>33</v>
      </c>
      <c r="C70" s="34"/>
      <c r="D70" s="151"/>
      <c r="E70" s="34"/>
      <c r="F70" s="34"/>
      <c r="G70" s="37"/>
      <c r="H70" s="152" t="s">
        <v>34</v>
      </c>
      <c r="I70" s="721">
        <f ca="1">I82</f>
        <v>1</v>
      </c>
      <c r="J70" s="721">
        <f>J82</f>
        <v>0</v>
      </c>
      <c r="K70" s="720">
        <f ca="1">IF(I70&gt;0,J70*100/I70,0)</f>
        <v>0</v>
      </c>
      <c r="L70" s="154"/>
      <c r="M70" s="40"/>
      <c r="N70" s="40"/>
      <c r="O70" s="40"/>
      <c r="P70" s="40"/>
      <c r="Q70" s="40"/>
      <c r="R70" s="40"/>
      <c r="S70" s="40"/>
      <c r="T70" s="40"/>
      <c r="U70" s="40"/>
    </row>
    <row r="71" spans="1:21" ht="19.5">
      <c r="A71" s="150"/>
      <c r="B71" s="34"/>
      <c r="C71" s="34"/>
      <c r="D71" s="151"/>
      <c r="E71" s="34"/>
      <c r="F71" s="34"/>
      <c r="G71" s="37"/>
      <c r="H71" s="152" t="s">
        <v>35</v>
      </c>
      <c r="I71" s="721">
        <f ca="1">I83</f>
        <v>31</v>
      </c>
      <c r="J71" s="721">
        <f>J83</f>
        <v>0</v>
      </c>
      <c r="K71" s="720">
        <f ca="1">IF(I71&gt;0,J71*100/I71,0)</f>
        <v>0</v>
      </c>
      <c r="L71" s="154"/>
      <c r="M71" s="40"/>
      <c r="N71" s="40"/>
      <c r="O71" s="40"/>
      <c r="P71" s="40"/>
      <c r="Q71" s="40"/>
      <c r="R71" s="40"/>
      <c r="S71" s="40"/>
      <c r="T71" s="40"/>
      <c r="U71" s="40"/>
    </row>
    <row r="72" spans="1:21" ht="19.5">
      <c r="A72" s="155"/>
      <c r="B72" s="50"/>
      <c r="C72" s="156" t="s">
        <v>18</v>
      </c>
      <c r="D72" s="575" t="s">
        <v>19</v>
      </c>
      <c r="E72" s="50"/>
      <c r="F72" s="50"/>
      <c r="G72" s="52"/>
      <c r="H72" s="158" t="s">
        <v>14</v>
      </c>
      <c r="I72" s="54"/>
      <c r="J72" s="54"/>
      <c r="K72" s="55"/>
      <c r="L72" s="541">
        <f ca="1">L73+L74</f>
        <v>90000</v>
      </c>
      <c r="M72" s="540">
        <f ca="1">M73+M74</f>
        <v>90000</v>
      </c>
      <c r="N72" s="540">
        <f ca="1">N73+N74</f>
        <v>13000</v>
      </c>
      <c r="O72" s="540">
        <f ca="1">IF(L72&gt;0,N72*100/L72,0)</f>
        <v>14.444444444444445</v>
      </c>
      <c r="P72" s="540">
        <f ca="1">IF(M72&gt;0,N72*100/M72,0)</f>
        <v>14.444444444444445</v>
      </c>
      <c r="Q72" s="540">
        <f ca="1">Q73+Q74</f>
        <v>410120</v>
      </c>
      <c r="R72" s="540">
        <f ca="1">R73+R74</f>
        <v>410120</v>
      </c>
      <c r="S72" s="540">
        <f ca="1">S73+S74</f>
        <v>0</v>
      </c>
      <c r="T72" s="540">
        <f ca="1">IF(Q72&gt;0,S72*100/Q72,0)</f>
        <v>0</v>
      </c>
      <c r="U72" s="540">
        <f ca="1">IF(R72&gt;0,S72*100/R72,0)</f>
        <v>0</v>
      </c>
    </row>
    <row r="73" spans="1:21" ht="18.75" hidden="1">
      <c r="A73" s="155"/>
      <c r="B73" s="50"/>
      <c r="C73" s="50"/>
      <c r="D73" s="50"/>
      <c r="E73" s="186" t="s">
        <v>20</v>
      </c>
      <c r="F73" s="50"/>
      <c r="G73" s="52"/>
      <c r="H73" s="187" t="s">
        <v>14</v>
      </c>
      <c r="I73" s="54"/>
      <c r="J73" s="54"/>
      <c r="K73" s="55"/>
      <c r="L73" s="103">
        <f>L76+L79</f>
        <v>0</v>
      </c>
      <c r="M73" s="102">
        <f>M76+M79</f>
        <v>0</v>
      </c>
      <c r="N73" s="102">
        <f>N76+N79</f>
        <v>0</v>
      </c>
      <c r="O73" s="102">
        <f>IF(L73&gt;0,N73*100/L73,0)</f>
        <v>0</v>
      </c>
      <c r="P73" s="102">
        <f>IF(M73&gt;0,N73*100/M73,0)</f>
        <v>0</v>
      </c>
      <c r="Q73" s="102">
        <f>Q76+Q79</f>
        <v>0</v>
      </c>
      <c r="R73" s="102">
        <f>R76+R79</f>
        <v>0</v>
      </c>
      <c r="S73" s="102">
        <f>S76+S79</f>
        <v>0</v>
      </c>
      <c r="T73" s="102">
        <f>IF(Q73&gt;0,S73*100/Q73,0)</f>
        <v>0</v>
      </c>
      <c r="U73" s="102">
        <f>IF(R73&gt;0,S73*100/R73,0)</f>
        <v>0</v>
      </c>
    </row>
    <row r="74" spans="1:21" ht="18.75" hidden="1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256">
        <f ca="1">L77+L80</f>
        <v>90000</v>
      </c>
      <c r="M74" s="255">
        <f ca="1">M77+M80</f>
        <v>90000</v>
      </c>
      <c r="N74" s="255">
        <f ca="1">N77+N80</f>
        <v>13000</v>
      </c>
      <c r="O74" s="255">
        <f ca="1">IF(L74&gt;0,N74*100/L74,0)</f>
        <v>14.444444444444445</v>
      </c>
      <c r="P74" s="255">
        <f ca="1">IF(M74&gt;0,N74*100/M74,0)</f>
        <v>14.444444444444445</v>
      </c>
      <c r="Q74" s="255">
        <f ca="1">Q77+Q80</f>
        <v>410120</v>
      </c>
      <c r="R74" s="255">
        <f ca="1">R77+R80</f>
        <v>410120</v>
      </c>
      <c r="S74" s="255">
        <f ca="1">S77+S80</f>
        <v>0</v>
      </c>
      <c r="T74" s="255">
        <f ca="1">IF(Q74&gt;0,S74*100/Q74,0)</f>
        <v>0</v>
      </c>
      <c r="U74" s="255">
        <f ca="1">IF(R74&gt;0,S74*100/R74,0)</f>
        <v>0</v>
      </c>
    </row>
    <row r="75" spans="1:21" ht="18.75">
      <c r="A75" s="155"/>
      <c r="B75" s="50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256">
        <f ca="1">L76+L77</f>
        <v>90000</v>
      </c>
      <c r="M75" s="255">
        <f ca="1">M76+M77</f>
        <v>90000</v>
      </c>
      <c r="N75" s="255">
        <f ca="1">N76+N77</f>
        <v>13000</v>
      </c>
      <c r="O75" s="255">
        <f ca="1">IF(L75&gt;0,N75*100/L75,0)</f>
        <v>14.444444444444445</v>
      </c>
      <c r="P75" s="255">
        <f ca="1">IF(M75&gt;0,N75*100/M75,0)</f>
        <v>14.444444444444445</v>
      </c>
      <c r="Q75" s="255">
        <f ca="1">Q76+Q77</f>
        <v>410120</v>
      </c>
      <c r="R75" s="255">
        <f ca="1">R76+R77</f>
        <v>410120</v>
      </c>
      <c r="S75" s="255">
        <f ca="1">S76+S77</f>
        <v>0</v>
      </c>
      <c r="T75" s="255">
        <f ca="1">IF(Q75&gt;0,S75*100/Q75,0)</f>
        <v>0</v>
      </c>
      <c r="U75" s="255">
        <f ca="1">IF(R75&gt;0,S75*100/R75,0)</f>
        <v>0</v>
      </c>
    </row>
    <row r="76" spans="1:21" ht="18.75" hidden="1">
      <c r="A76" s="155"/>
      <c r="B76" s="50"/>
      <c r="C76" s="50"/>
      <c r="D76" s="50"/>
      <c r="E76" s="186" t="s">
        <v>36</v>
      </c>
      <c r="F76" s="50"/>
      <c r="G76" s="52"/>
      <c r="H76" s="189" t="s">
        <v>14</v>
      </c>
      <c r="I76" s="163"/>
      <c r="J76" s="163"/>
      <c r="K76" s="164"/>
      <c r="L76" s="103">
        <v>0</v>
      </c>
      <c r="M76" s="102">
        <v>0</v>
      </c>
      <c r="N76" s="102">
        <v>0</v>
      </c>
      <c r="O76" s="102">
        <f>IF(L76&gt;0,N76*100/L76,0)</f>
        <v>0</v>
      </c>
      <c r="P76" s="102">
        <f>IF(M76&gt;0,N76*100/M76,0)</f>
        <v>0</v>
      </c>
      <c r="Q76" s="102">
        <v>0</v>
      </c>
      <c r="R76" s="102">
        <v>0</v>
      </c>
      <c r="S76" s="102">
        <v>0</v>
      </c>
      <c r="T76" s="102">
        <f>IF(Q76&gt;0,S76*100/Q76,0)</f>
        <v>0</v>
      </c>
      <c r="U76" s="102">
        <f>IF(R76&gt;0,S76*100/R76,0)</f>
        <v>0</v>
      </c>
    </row>
    <row r="77" spans="1:21" ht="18.75" hidden="1">
      <c r="A77" s="155"/>
      <c r="B77" s="50"/>
      <c r="C77" s="50"/>
      <c r="D77" s="50"/>
      <c r="E77" s="58" t="s">
        <v>37</v>
      </c>
      <c r="F77" s="50"/>
      <c r="G77" s="52"/>
      <c r="H77" s="162" t="s">
        <v>14</v>
      </c>
      <c r="I77" s="163"/>
      <c r="J77" s="163"/>
      <c r="K77" s="164"/>
      <c r="L77" s="256">
        <f ca="1">IFERROR(__xludf.DUMMYFUNCTION("IMPORTRANGE(""https://docs.google.com/spreadsheets/d/1-uDff_7J0KD5mKrp0Vvzr7lt3OU09vwQwhkpOPPYv2Y/edit?usp=sharing"",""งบพรบ!AM36"")"),90000)</f>
        <v>90000</v>
      </c>
      <c r="M77" s="255">
        <f ca="1">IFERROR(__xludf.DUMMYFUNCTION("IMPORTRANGE(""https://docs.google.com/spreadsheets/d/1-uDff_7J0KD5mKrp0Vvzr7lt3OU09vwQwhkpOPPYv2Y/edit?usp=sharing"",""งบพรบ!AR36"")"),90000)</f>
        <v>90000</v>
      </c>
      <c r="N77" s="255">
        <f ca="1">IFERROR(__xludf.DUMMYFUNCTION("IMPORTRANGE(""https://docs.google.com/spreadsheets/d/1-uDff_7J0KD5mKrp0Vvzr7lt3OU09vwQwhkpOPPYv2Y/edit?usp=sharing"",""งบพรบ!AT36"")"),13000)</f>
        <v>13000</v>
      </c>
      <c r="O77" s="255">
        <f ca="1">IF(L77&gt;0,N77*100/L77,0)</f>
        <v>14.444444444444445</v>
      </c>
      <c r="P77" s="255">
        <f ca="1">IF(M77&gt;0,N77*100/M77,0)</f>
        <v>14.444444444444445</v>
      </c>
      <c r="Q77" s="255">
        <f ca="1">IFERROR(__xludf.DUMMYFUNCTION("IMPORTRANGE(""https://docs.google.com/spreadsheets/d/1ItG2mGa2ceCfYo0BwxsXqNm01IGEUdYcSSLTEv9YCik/edit?usp=sharing"",""เบิกจ่ายกองทุน!AS36"")"),410120)</f>
        <v>410120</v>
      </c>
      <c r="R77" s="255">
        <f ca="1">IFERROR(__xludf.DUMMYFUNCTION("IMPORTRANGE(""https://docs.google.com/spreadsheets/d/1ItG2mGa2ceCfYo0BwxsXqNm01IGEUdYcSSLTEv9YCik/edit?usp=sharing"",""เบิกจ่ายกองทุน!AT36"")"),410120)</f>
        <v>410120</v>
      </c>
      <c r="S77" s="255">
        <f ca="1">IFERROR(__xludf.DUMMYFUNCTION("IMPORTRANGE(""https://docs.google.com/spreadsheets/d/1ItG2mGa2ceCfYo0BwxsXqNm01IGEUdYcSSLTEv9YCik/edit?usp=sharing"",""เบิกจ่ายกองทุน!AU36"")"),0)</f>
        <v>0</v>
      </c>
      <c r="T77" s="255">
        <f ca="1">IF(Q77&gt;0,S77*100/Q77,0)</f>
        <v>0</v>
      </c>
      <c r="U77" s="255">
        <f ca="1">IF(R77&gt;0,S77*100/R77,0)</f>
        <v>0</v>
      </c>
    </row>
    <row r="78" spans="1:21" ht="18.75">
      <c r="A78" s="155"/>
      <c r="B78" s="50"/>
      <c r="C78" s="50"/>
      <c r="D78" s="51" t="s">
        <v>23</v>
      </c>
      <c r="E78" s="50"/>
      <c r="F78" s="50"/>
      <c r="G78" s="52"/>
      <c r="H78" s="165" t="s">
        <v>14</v>
      </c>
      <c r="I78" s="163"/>
      <c r="J78" s="163"/>
      <c r="K78" s="164"/>
      <c r="L78" s="256">
        <f ca="1">L79+L80</f>
        <v>0</v>
      </c>
      <c r="M78" s="255">
        <f ca="1">M79+M80</f>
        <v>0</v>
      </c>
      <c r="N78" s="255">
        <f ca="1">N79+N80</f>
        <v>0</v>
      </c>
      <c r="O78" s="255">
        <f ca="1">IF(L78&gt;0,N78*100/L78,0)</f>
        <v>0</v>
      </c>
      <c r="P78" s="255">
        <f ca="1">IF(M78&gt;0,N78*100/M78,0)</f>
        <v>0</v>
      </c>
      <c r="Q78" s="255">
        <f>Q79+Q80</f>
        <v>0</v>
      </c>
      <c r="R78" s="255">
        <f>R79+R80</f>
        <v>0</v>
      </c>
      <c r="S78" s="255">
        <f>S79+S80</f>
        <v>0</v>
      </c>
      <c r="T78" s="255">
        <f>IF(Q78&gt;0,S78*100/Q78,0)</f>
        <v>0</v>
      </c>
      <c r="U78" s="255">
        <f>IF(R78&gt;0,S78*100/R78,0)</f>
        <v>0</v>
      </c>
    </row>
    <row r="79" spans="1:21" ht="18.75" hidden="1">
      <c r="A79" s="155"/>
      <c r="B79" s="50"/>
      <c r="C79" s="50"/>
      <c r="D79" s="50"/>
      <c r="E79" s="186" t="s">
        <v>20</v>
      </c>
      <c r="F79" s="50"/>
      <c r="G79" s="52"/>
      <c r="H79" s="189" t="s">
        <v>14</v>
      </c>
      <c r="I79" s="163"/>
      <c r="J79" s="163"/>
      <c r="K79" s="164"/>
      <c r="L79" s="103">
        <v>0</v>
      </c>
      <c r="M79" s="255">
        <v>0</v>
      </c>
      <c r="N79" s="255">
        <v>0</v>
      </c>
      <c r="O79" s="102">
        <f>IF(L79&gt;0,N79*100/L79,0)</f>
        <v>0</v>
      </c>
      <c r="P79" s="102">
        <f>IF(M79&gt;0,N79*100/M79,0)</f>
        <v>0</v>
      </c>
      <c r="Q79" s="102">
        <v>0</v>
      </c>
      <c r="R79" s="255">
        <v>0</v>
      </c>
      <c r="S79" s="255">
        <v>0</v>
      </c>
      <c r="T79" s="102">
        <f>IF(Q79&gt;0,S79*100/Q79,0)</f>
        <v>0</v>
      </c>
      <c r="U79" s="102">
        <f>IF(R79&gt;0,S79*100/R79,0)</f>
        <v>0</v>
      </c>
    </row>
    <row r="80" spans="1:21" ht="18.75" hidden="1">
      <c r="A80" s="155"/>
      <c r="B80" s="50"/>
      <c r="C80" s="50"/>
      <c r="D80" s="50"/>
      <c r="E80" s="58" t="s">
        <v>21</v>
      </c>
      <c r="F80" s="50"/>
      <c r="G80" s="52"/>
      <c r="H80" s="165" t="s">
        <v>14</v>
      </c>
      <c r="I80" s="163"/>
      <c r="J80" s="163"/>
      <c r="K80" s="164"/>
      <c r="L80" s="256">
        <f ca="1">IFERROR(__xludf.DUMMYFUNCTION("IMPORTRANGE(""https://docs.google.com/spreadsheets/d/1-uDff_7J0KD5mKrp0Vvzr7lt3OU09vwQwhkpOPPYv2Y/edit?usp=sharing"",""งบพรบ!AP36"")"),0)</f>
        <v>0</v>
      </c>
      <c r="M80" s="255">
        <f ca="1">IFERROR(__xludf.DUMMYFUNCTION("IMPORTRANGE(""https://docs.google.com/spreadsheets/d/1-uDff_7J0KD5mKrp0Vvzr7lt3OU09vwQwhkpOPPYv2Y/edit?usp=sharing"",""งบพรบ!AS36"")"),0)</f>
        <v>0</v>
      </c>
      <c r="N80" s="255">
        <f ca="1">IFERROR(__xludf.DUMMYFUNCTION("IMPORTRANGE(""https://docs.google.com/spreadsheets/d/1-uDff_7J0KD5mKrp0Vvzr7lt3OU09vwQwhkpOPPYv2Y/edit?usp=sharing"",""งบพรบ!AU36"")"),0)</f>
        <v>0</v>
      </c>
      <c r="O80" s="255">
        <f ca="1">IF(L80&gt;0,N80*100/L80,0)</f>
        <v>0</v>
      </c>
      <c r="P80" s="255">
        <f ca="1">IF(M80&gt;0,N80*100/M80,0)</f>
        <v>0</v>
      </c>
      <c r="Q80" s="255">
        <v>0</v>
      </c>
      <c r="R80" s="255">
        <v>0</v>
      </c>
      <c r="S80" s="255">
        <v>0</v>
      </c>
      <c r="T80" s="255">
        <f>IF(Q80&gt;0,S80*100/Q80,0)</f>
        <v>0</v>
      </c>
      <c r="U80" s="255">
        <f>IF(R80&gt;0,S80*100/R80,0)</f>
        <v>0</v>
      </c>
    </row>
    <row r="81" spans="1:21" ht="19.5">
      <c r="A81" s="166"/>
      <c r="B81" s="167"/>
      <c r="C81" s="156" t="s">
        <v>18</v>
      </c>
      <c r="D81" s="566" t="s">
        <v>38</v>
      </c>
      <c r="E81" s="169"/>
      <c r="F81" s="169"/>
      <c r="G81" s="170"/>
      <c r="H81" s="171"/>
      <c r="I81" s="163"/>
      <c r="J81" s="163"/>
      <c r="K81" s="164"/>
      <c r="L81" s="172"/>
      <c r="M81" s="164"/>
      <c r="N81" s="164"/>
      <c r="O81" s="164"/>
      <c r="P81" s="164"/>
      <c r="Q81" s="164"/>
      <c r="R81" s="164"/>
      <c r="S81" s="164"/>
      <c r="T81" s="164"/>
      <c r="U81" s="164"/>
    </row>
    <row r="82" spans="1:21" ht="19.5">
      <c r="A82" s="166"/>
      <c r="B82" s="167"/>
      <c r="C82" s="167"/>
      <c r="D82" s="173" t="s">
        <v>39</v>
      </c>
      <c r="E82" s="174"/>
      <c r="F82" s="174"/>
      <c r="G82" s="171"/>
      <c r="H82" s="175" t="s">
        <v>34</v>
      </c>
      <c r="I82" s="373">
        <f ca="1">I84+I86+I88</f>
        <v>1</v>
      </c>
      <c r="J82" s="373">
        <f>J84+J86+J88</f>
        <v>0</v>
      </c>
      <c r="K82" s="642">
        <f ca="1">IF(I82&gt;0,J82*100/I82,0)</f>
        <v>0</v>
      </c>
      <c r="L82" s="172"/>
      <c r="M82" s="164"/>
      <c r="N82" s="164"/>
      <c r="O82" s="164"/>
      <c r="P82" s="164"/>
      <c r="Q82" s="164"/>
      <c r="R82" s="164"/>
      <c r="S82" s="164"/>
      <c r="T82" s="164"/>
      <c r="U82" s="164"/>
    </row>
    <row r="83" spans="1:21" ht="19.5">
      <c r="A83" s="166"/>
      <c r="B83" s="167"/>
      <c r="C83" s="167"/>
      <c r="D83" s="167"/>
      <c r="E83" s="174"/>
      <c r="F83" s="174"/>
      <c r="G83" s="171"/>
      <c r="H83" s="175" t="s">
        <v>35</v>
      </c>
      <c r="I83" s="373">
        <f ca="1">I85+I87+I89</f>
        <v>31</v>
      </c>
      <c r="J83" s="373">
        <f>J85+J87+J89</f>
        <v>0</v>
      </c>
      <c r="K83" s="642">
        <f ca="1">IF(I83&gt;0,J83*100/I83,0)</f>
        <v>0</v>
      </c>
      <c r="L83" s="172"/>
      <c r="M83" s="164"/>
      <c r="N83" s="164"/>
      <c r="O83" s="164"/>
      <c r="P83" s="164"/>
      <c r="Q83" s="164"/>
      <c r="R83" s="164"/>
      <c r="S83" s="164"/>
      <c r="T83" s="164"/>
      <c r="U83" s="164"/>
    </row>
    <row r="84" spans="1:21" ht="18.75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641">
        <f ca="1">IFERROR(__xludf.DUMMYFUNCTION("IMPORTRANGE(""https://docs.google.com/spreadsheets/d/1eHaY18a8A9IcSdp1K8H6x8fbOy06t2VsZHhMHf-1x7Y/edit?usp=sharing"",""แผน!H36"")"),1)</f>
        <v>1</v>
      </c>
      <c r="J84" s="467">
        <v>0</v>
      </c>
      <c r="K84" s="565">
        <f ca="1">IF(I84&gt;0,J84*100/I84,0)</f>
        <v>0</v>
      </c>
      <c r="L84" s="172"/>
      <c r="M84" s="164"/>
      <c r="N84" s="164"/>
      <c r="O84" s="164"/>
      <c r="P84" s="164"/>
      <c r="Q84" s="164"/>
      <c r="R84" s="164"/>
      <c r="S84" s="164"/>
      <c r="T84" s="164"/>
      <c r="U84" s="164"/>
    </row>
    <row r="85" spans="1:21" ht="18.75">
      <c r="A85" s="166"/>
      <c r="B85" s="167"/>
      <c r="C85" s="167"/>
      <c r="D85" s="167"/>
      <c r="E85" s="174"/>
      <c r="F85" s="174"/>
      <c r="G85" s="171"/>
      <c r="H85" s="179" t="s">
        <v>35</v>
      </c>
      <c r="I85" s="641">
        <f ca="1">IFERROR(__xludf.DUMMYFUNCTION("IMPORTRANGE(""https://docs.google.com/spreadsheets/d/1eHaY18a8A9IcSdp1K8H6x8fbOy06t2VsZHhMHf-1x7Y/edit?usp=sharing"",""แผน!I36"")"),31)</f>
        <v>31</v>
      </c>
      <c r="J85" s="467">
        <v>0</v>
      </c>
      <c r="K85" s="565">
        <f ca="1">IF(I85&gt;0,J85*100/I85,0)</f>
        <v>0</v>
      </c>
      <c r="L85" s="172"/>
      <c r="M85" s="164"/>
      <c r="N85" s="164"/>
      <c r="O85" s="164"/>
      <c r="P85" s="164"/>
      <c r="Q85" s="164"/>
      <c r="R85" s="164"/>
      <c r="S85" s="164"/>
      <c r="T85" s="164"/>
      <c r="U85" s="164"/>
    </row>
    <row r="86" spans="1:21" ht="18.75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641">
        <f ca="1">IFERROR(__xludf.DUMMYFUNCTION("IMPORTRANGE(""https://docs.google.com/spreadsheets/d/1eHaY18a8A9IcSdp1K8H6x8fbOy06t2VsZHhMHf-1x7Y/edit?usp=sharing"",""แผน!F36"")"),0)</f>
        <v>0</v>
      </c>
      <c r="J86" s="467">
        <v>0</v>
      </c>
      <c r="K86" s="565">
        <f ca="1">IF(I86&gt;0,J86*100/I86,0)</f>
        <v>0</v>
      </c>
      <c r="L86" s="172"/>
      <c r="M86" s="164"/>
      <c r="N86" s="164"/>
      <c r="O86" s="164"/>
      <c r="P86" s="164"/>
      <c r="Q86" s="164"/>
      <c r="R86" s="164"/>
      <c r="S86" s="164"/>
      <c r="T86" s="164"/>
      <c r="U86" s="164"/>
    </row>
    <row r="87" spans="1:21" ht="18.75">
      <c r="A87" s="166"/>
      <c r="B87" s="167"/>
      <c r="C87" s="167"/>
      <c r="D87" s="167"/>
      <c r="E87" s="174"/>
      <c r="F87" s="174"/>
      <c r="G87" s="171"/>
      <c r="H87" s="179" t="s">
        <v>35</v>
      </c>
      <c r="I87" s="641">
        <f ca="1">IFERROR(__xludf.DUMMYFUNCTION("IMPORTRANGE(""https://docs.google.com/spreadsheets/d/1eHaY18a8A9IcSdp1K8H6x8fbOy06t2VsZHhMHf-1x7Y/edit?usp=sharing"",""แผน!G36"")"),0)</f>
        <v>0</v>
      </c>
      <c r="J87" s="467">
        <v>0</v>
      </c>
      <c r="K87" s="565">
        <f ca="1">IF(I87&gt;0,J87*100/I87,0)</f>
        <v>0</v>
      </c>
      <c r="L87" s="172"/>
      <c r="M87" s="164"/>
      <c r="N87" s="164"/>
      <c r="O87" s="164"/>
      <c r="P87" s="164"/>
      <c r="Q87" s="164"/>
      <c r="R87" s="164"/>
      <c r="S87" s="164"/>
      <c r="T87" s="164"/>
      <c r="U87" s="164"/>
    </row>
    <row r="88" spans="1:21" ht="18.75">
      <c r="A88" s="166"/>
      <c r="B88" s="167"/>
      <c r="C88" s="167"/>
      <c r="D88" s="167"/>
      <c r="E88" s="178" t="s">
        <v>42</v>
      </c>
      <c r="F88" s="174"/>
      <c r="G88" s="171"/>
      <c r="H88" s="179" t="s">
        <v>34</v>
      </c>
      <c r="I88" s="641">
        <f ca="1">IFERROR(__xludf.DUMMYFUNCTION("IMPORTRANGE(""https://docs.google.com/spreadsheets/d/1eHaY18a8A9IcSdp1K8H6x8fbOy06t2VsZHhMHf-1x7Y/edit?usp=sharing"",""แผน!D36"")"),0)</f>
        <v>0</v>
      </c>
      <c r="J88" s="467">
        <v>0</v>
      </c>
      <c r="K88" s="565">
        <f ca="1">IF(I88&gt;0,J88*100/I88,0)</f>
        <v>0</v>
      </c>
      <c r="L88" s="172"/>
      <c r="M88" s="164"/>
      <c r="N88" s="164"/>
      <c r="O88" s="164"/>
      <c r="P88" s="164"/>
      <c r="Q88" s="164"/>
      <c r="R88" s="164"/>
      <c r="S88" s="164"/>
      <c r="T88" s="164"/>
      <c r="U88" s="164"/>
    </row>
    <row r="89" spans="1:21" ht="18.75">
      <c r="A89" s="166"/>
      <c r="B89" s="167"/>
      <c r="C89" s="167"/>
      <c r="D89" s="167"/>
      <c r="E89" s="174"/>
      <c r="F89" s="174"/>
      <c r="G89" s="171"/>
      <c r="H89" s="179" t="s">
        <v>35</v>
      </c>
      <c r="I89" s="641">
        <f ca="1">IFERROR(__xludf.DUMMYFUNCTION("IMPORTRANGE(""https://docs.google.com/spreadsheets/d/1eHaY18a8A9IcSdp1K8H6x8fbOy06t2VsZHhMHf-1x7Y/edit?usp=sharing"",""แผน!E36"")"),0)</f>
        <v>0</v>
      </c>
      <c r="J89" s="467">
        <v>0</v>
      </c>
      <c r="K89" s="565">
        <f ca="1">IF(I89&gt;0,J89*100/I89,0)</f>
        <v>0</v>
      </c>
      <c r="L89" s="172"/>
      <c r="M89" s="164"/>
      <c r="N89" s="164"/>
      <c r="O89" s="164"/>
      <c r="P89" s="164"/>
      <c r="Q89" s="164"/>
      <c r="R89" s="164"/>
      <c r="S89" s="164"/>
      <c r="T89" s="164"/>
      <c r="U89" s="164"/>
    </row>
    <row r="90" spans="1:21" ht="18.75">
      <c r="A90" s="166"/>
      <c r="B90" s="167"/>
      <c r="C90" s="167"/>
      <c r="D90" s="173" t="s">
        <v>43</v>
      </c>
      <c r="E90" s="174"/>
      <c r="F90" s="174"/>
      <c r="G90" s="171"/>
      <c r="H90" s="183" t="s">
        <v>34</v>
      </c>
      <c r="I90" s="641">
        <f ca="1">IFERROR(__xludf.DUMMYFUNCTION("IMPORTRANGE(""https://docs.google.com/spreadsheets/d/1eHaY18a8A9IcSdp1K8H6x8fbOy06t2VsZHhMHf-1x7Y/edit?usp=sharing"",""แผน!J36"")"),1)</f>
        <v>1</v>
      </c>
      <c r="J90" s="467">
        <v>0</v>
      </c>
      <c r="K90" s="565">
        <f ca="1">IF(I90&gt;0,J90*100/I90,0)</f>
        <v>0</v>
      </c>
      <c r="L90" s="172"/>
      <c r="M90" s="164"/>
      <c r="N90" s="164"/>
      <c r="O90" s="164"/>
      <c r="P90" s="164"/>
      <c r="Q90" s="164"/>
      <c r="R90" s="164"/>
      <c r="S90" s="164"/>
      <c r="T90" s="164"/>
      <c r="U90" s="164"/>
    </row>
    <row r="91" spans="1:21" ht="19.5">
      <c r="A91" s="143" t="s">
        <v>44</v>
      </c>
      <c r="B91" s="144"/>
      <c r="C91" s="145"/>
      <c r="D91" s="144"/>
      <c r="E91" s="144"/>
      <c r="F91" s="144"/>
      <c r="G91" s="146"/>
      <c r="H91" s="146"/>
      <c r="I91" s="147"/>
      <c r="J91" s="147"/>
      <c r="K91" s="148"/>
      <c r="L91" s="149"/>
      <c r="M91" s="148"/>
      <c r="N91" s="148"/>
      <c r="O91" s="148"/>
      <c r="P91" s="148"/>
      <c r="Q91" s="148"/>
      <c r="R91" s="148"/>
      <c r="S91" s="148"/>
      <c r="T91" s="148"/>
      <c r="U91" s="148"/>
    </row>
    <row r="92" spans="1:21" ht="19.5">
      <c r="A92" s="150"/>
      <c r="B92" s="35" t="s">
        <v>45</v>
      </c>
      <c r="C92" s="34"/>
      <c r="D92" s="151"/>
      <c r="E92" s="34"/>
      <c r="F92" s="34"/>
      <c r="G92" s="37"/>
      <c r="H92" s="152" t="s">
        <v>46</v>
      </c>
      <c r="I92" s="721">
        <f ca="1">I108</f>
        <v>60</v>
      </c>
      <c r="J92" s="721">
        <f>J108</f>
        <v>60</v>
      </c>
      <c r="K92" s="720">
        <f ca="1">IF(I92&gt;0,J92*100/I92,0)</f>
        <v>100</v>
      </c>
      <c r="L92" s="154"/>
      <c r="M92" s="40"/>
      <c r="N92" s="40"/>
      <c r="O92" s="40"/>
      <c r="P92" s="40"/>
      <c r="Q92" s="40"/>
      <c r="R92" s="40"/>
      <c r="S92" s="40"/>
      <c r="T92" s="40"/>
      <c r="U92" s="40"/>
    </row>
    <row r="93" spans="1:21" ht="19.5">
      <c r="A93" s="150"/>
      <c r="B93" s="34"/>
      <c r="C93" s="34"/>
      <c r="D93" s="151"/>
      <c r="E93" s="34"/>
      <c r="F93" s="34"/>
      <c r="G93" s="37"/>
      <c r="H93" s="152" t="s">
        <v>35</v>
      </c>
      <c r="I93" s="721">
        <f ca="1">I109</f>
        <v>20</v>
      </c>
      <c r="J93" s="721">
        <f>J109</f>
        <v>20</v>
      </c>
      <c r="K93" s="720">
        <f ca="1">IF(I93&gt;0,J93*100/I93,0)</f>
        <v>100</v>
      </c>
      <c r="L93" s="154"/>
      <c r="M93" s="40"/>
      <c r="N93" s="40"/>
      <c r="O93" s="40"/>
      <c r="P93" s="40"/>
      <c r="Q93" s="40"/>
      <c r="R93" s="40"/>
      <c r="S93" s="40"/>
      <c r="T93" s="40"/>
      <c r="U93" s="40"/>
    </row>
    <row r="94" spans="1:21" ht="19.5">
      <c r="A94" s="155"/>
      <c r="B94" s="50"/>
      <c r="C94" s="156" t="s">
        <v>18</v>
      </c>
      <c r="D94" s="575" t="s">
        <v>19</v>
      </c>
      <c r="E94" s="50"/>
      <c r="F94" s="50"/>
      <c r="G94" s="52"/>
      <c r="H94" s="158" t="s">
        <v>14</v>
      </c>
      <c r="I94" s="54"/>
      <c r="J94" s="54"/>
      <c r="K94" s="55"/>
      <c r="L94" s="541">
        <f ca="1">L95+L96</f>
        <v>0</v>
      </c>
      <c r="M94" s="540">
        <f ca="1">M95+M96</f>
        <v>39000</v>
      </c>
      <c r="N94" s="540">
        <f ca="1">N95+N96</f>
        <v>24000</v>
      </c>
      <c r="O94" s="540">
        <f ca="1">IF(L94&gt;0,N94*100/L94,0)</f>
        <v>0</v>
      </c>
      <c r="P94" s="540">
        <f ca="1">IF(M94&gt;0,N94*100/M94,0)</f>
        <v>61.53846153846154</v>
      </c>
      <c r="Q94" s="540">
        <f ca="1">Q95+Q96</f>
        <v>129840</v>
      </c>
      <c r="R94" s="540">
        <f ca="1">R95+R96</f>
        <v>129840</v>
      </c>
      <c r="S94" s="540">
        <f ca="1">S95+S96</f>
        <v>20632.5</v>
      </c>
      <c r="T94" s="540">
        <f ca="1">IF(Q94&gt;0,S94*100/Q94,0)</f>
        <v>15.890711645101664</v>
      </c>
      <c r="U94" s="540">
        <f ca="1">IF(R94&gt;0,S94*100/R94,0)</f>
        <v>15.890711645101664</v>
      </c>
    </row>
    <row r="95" spans="1:21" ht="18.75" hidden="1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103">
        <f>L98+L101</f>
        <v>0</v>
      </c>
      <c r="M95" s="102">
        <f>M98+M101</f>
        <v>0</v>
      </c>
      <c r="N95" s="102">
        <f>N98+N101</f>
        <v>0</v>
      </c>
      <c r="O95" s="102">
        <f>IF(L95&gt;0,N95*100/L95,0)</f>
        <v>0</v>
      </c>
      <c r="P95" s="102">
        <f>IF(M95&gt;0,N95*100/M95,0)</f>
        <v>0</v>
      </c>
      <c r="Q95" s="102">
        <f>Q98+Q101</f>
        <v>0</v>
      </c>
      <c r="R95" s="102">
        <f>R98+R101</f>
        <v>0</v>
      </c>
      <c r="S95" s="102">
        <f>S98+S101</f>
        <v>0</v>
      </c>
      <c r="T95" s="102">
        <f>IF(Q95&gt;0,S95*100/Q95,0)</f>
        <v>0</v>
      </c>
      <c r="U95" s="102">
        <f>IF(R95&gt;0,S95*100/R95,0)</f>
        <v>0</v>
      </c>
    </row>
    <row r="96" spans="1:21" ht="18.75" hidden="1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256">
        <f ca="1">L99+L102</f>
        <v>0</v>
      </c>
      <c r="M96" s="255">
        <f ca="1">M99+M102</f>
        <v>39000</v>
      </c>
      <c r="N96" s="255">
        <f ca="1">N99+N102</f>
        <v>24000</v>
      </c>
      <c r="O96" s="255">
        <f ca="1">IF(L96&gt;0,N96*100/L96,0)</f>
        <v>0</v>
      </c>
      <c r="P96" s="255">
        <f ca="1">IF(M96&gt;0,N96*100/M96,0)</f>
        <v>61.53846153846154</v>
      </c>
      <c r="Q96" s="255">
        <f ca="1">Q99+Q102</f>
        <v>129840</v>
      </c>
      <c r="R96" s="255">
        <f ca="1">R99+R102</f>
        <v>129840</v>
      </c>
      <c r="S96" s="255">
        <f ca="1">S99+S102</f>
        <v>20632.5</v>
      </c>
      <c r="T96" s="255">
        <f ca="1">IF(Q96&gt;0,S96*100/Q96,0)</f>
        <v>15.890711645101664</v>
      </c>
      <c r="U96" s="255">
        <f ca="1">IF(R96&gt;0,S96*100/R96,0)</f>
        <v>15.890711645101664</v>
      </c>
    </row>
    <row r="97" spans="1:21" ht="18.75">
      <c r="A97" s="155"/>
      <c r="B97" s="50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256">
        <f ca="1">L98+L99</f>
        <v>0</v>
      </c>
      <c r="M97" s="255">
        <f ca="1">M98+M99</f>
        <v>39000</v>
      </c>
      <c r="N97" s="255">
        <f ca="1">N98+N99</f>
        <v>24000</v>
      </c>
      <c r="O97" s="255">
        <f ca="1">IF(L97&gt;0,N97*100/L97,0)</f>
        <v>0</v>
      </c>
      <c r="P97" s="255">
        <f ca="1">IF(M97&gt;0,N97*100/M97,0)</f>
        <v>61.53846153846154</v>
      </c>
      <c r="Q97" s="255">
        <f ca="1">Q98+Q99</f>
        <v>129840</v>
      </c>
      <c r="R97" s="255">
        <f ca="1">R98+R99</f>
        <v>129840</v>
      </c>
      <c r="S97" s="255">
        <f ca="1">S98+S99</f>
        <v>20632.5</v>
      </c>
      <c r="T97" s="255">
        <f ca="1">IF(Q97&gt;0,S97*100/Q97,0)</f>
        <v>15.890711645101664</v>
      </c>
      <c r="U97" s="255">
        <f ca="1">IF(R97&gt;0,S97*100/R97,0)</f>
        <v>15.890711645101664</v>
      </c>
    </row>
    <row r="98" spans="1:21" ht="18.75" hidden="1">
      <c r="A98" s="155"/>
      <c r="B98" s="50"/>
      <c r="C98" s="50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103">
        <v>0</v>
      </c>
      <c r="M98" s="102">
        <v>0</v>
      </c>
      <c r="N98" s="102">
        <v>0</v>
      </c>
      <c r="O98" s="102">
        <f>IF(L98&gt;0,N98*100/L98,0)</f>
        <v>0</v>
      </c>
      <c r="P98" s="102">
        <f>IF(M98&gt;0,N98*100/M98,0)</f>
        <v>0</v>
      </c>
      <c r="Q98" s="102">
        <v>0</v>
      </c>
      <c r="R98" s="102">
        <v>0</v>
      </c>
      <c r="S98" s="102">
        <v>0</v>
      </c>
      <c r="T98" s="102">
        <f>IF(Q98&gt;0,S98*100/Q98,0)</f>
        <v>0</v>
      </c>
      <c r="U98" s="102">
        <f>IF(R98&gt;0,S98*100/R98,0)</f>
        <v>0</v>
      </c>
    </row>
    <row r="99" spans="1:21" ht="18.75" hidden="1">
      <c r="A99" s="155"/>
      <c r="B99" s="50"/>
      <c r="C99" s="50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256">
        <f ca="1">IFERROR(__xludf.DUMMYFUNCTION("IMPORTRANGE(""https://docs.google.com/spreadsheets/d/1-uDff_7J0KD5mKrp0Vvzr7lt3OU09vwQwhkpOPPYv2Y/edit?usp=sharing"",""งบพรบ!AW36"")"),0)</f>
        <v>0</v>
      </c>
      <c r="M99" s="255">
        <f ca="1">IFERROR(__xludf.DUMMYFUNCTION("IMPORTRANGE(""https://docs.google.com/spreadsheets/d/1-uDff_7J0KD5mKrp0Vvzr7lt3OU09vwQwhkpOPPYv2Y/edit?usp=sharing"",""งบพรบ!BB36"")"),39000)</f>
        <v>39000</v>
      </c>
      <c r="N99" s="255">
        <f ca="1">IFERROR(__xludf.DUMMYFUNCTION("IMPORTRANGE(""https://docs.google.com/spreadsheets/d/1-uDff_7J0KD5mKrp0Vvzr7lt3OU09vwQwhkpOPPYv2Y/edit?usp=sharing"",""งบพรบ!BD36"")"),24000)</f>
        <v>24000</v>
      </c>
      <c r="O99" s="255">
        <f ca="1">IF(L99&gt;0,N99*100/L99,0)</f>
        <v>0</v>
      </c>
      <c r="P99" s="255">
        <f ca="1">IF(M99&gt;0,N99*100/M99,0)</f>
        <v>61.53846153846154</v>
      </c>
      <c r="Q99" s="255">
        <f ca="1">IFERROR(__xludf.DUMMYFUNCTION("IMPORTRANGE(""https://docs.google.com/spreadsheets/d/1ItG2mGa2ceCfYo0BwxsXqNm01IGEUdYcSSLTEv9YCik/edit?usp=sharing"",""เบิกจ่ายกองทุน!AD36"")"),129840)</f>
        <v>129840</v>
      </c>
      <c r="R99" s="255">
        <f ca="1">IFERROR(__xludf.DUMMYFUNCTION("IMPORTRANGE(""https://docs.google.com/spreadsheets/d/1ItG2mGa2ceCfYo0BwxsXqNm01IGEUdYcSSLTEv9YCik/edit?usp=sharing"",""เบิกจ่ายกองทุน!AE36"")"),129840)</f>
        <v>129840</v>
      </c>
      <c r="S99" s="255">
        <f ca="1">IFERROR(__xludf.DUMMYFUNCTION("IMPORTRANGE(""https://docs.google.com/spreadsheets/d/1ItG2mGa2ceCfYo0BwxsXqNm01IGEUdYcSSLTEv9YCik/edit?usp=sharing"",""เบิกจ่ายกองทุน!AF36"")"),20632.5)</f>
        <v>20632.5</v>
      </c>
      <c r="T99" s="255">
        <f ca="1">IF(Q99&gt;0,S99*100/Q99,0)</f>
        <v>15.890711645101664</v>
      </c>
      <c r="U99" s="255">
        <f ca="1">IF(R99&gt;0,S99*100/R99,0)</f>
        <v>15.890711645101664</v>
      </c>
    </row>
    <row r="100" spans="1:21" ht="18.75">
      <c r="A100" s="155"/>
      <c r="B100" s="50"/>
      <c r="C100" s="50"/>
      <c r="D100" s="51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256">
        <f ca="1">L101+L102</f>
        <v>0</v>
      </c>
      <c r="M100" s="255">
        <f ca="1">M101+M102</f>
        <v>0</v>
      </c>
      <c r="N100" s="255">
        <f ca="1">N101+N102</f>
        <v>0</v>
      </c>
      <c r="O100" s="255">
        <f ca="1">IF(L100&gt;0,N100*100/L100,0)</f>
        <v>0</v>
      </c>
      <c r="P100" s="255">
        <f ca="1">IF(M100&gt;0,N100*100/M100,0)</f>
        <v>0</v>
      </c>
      <c r="Q100" s="255">
        <f>Q101+Q102</f>
        <v>0</v>
      </c>
      <c r="R100" s="255">
        <f>R101+R102</f>
        <v>0</v>
      </c>
      <c r="S100" s="255">
        <f>S101+S102</f>
        <v>0</v>
      </c>
      <c r="T100" s="255">
        <f>IF(Q100&gt;0,S100*100/Q100,0)</f>
        <v>0</v>
      </c>
      <c r="U100" s="255">
        <f>IF(R100&gt;0,S100*100/R100,0)</f>
        <v>0</v>
      </c>
    </row>
    <row r="101" spans="1:21" ht="18.75" hidden="1">
      <c r="A101" s="155"/>
      <c r="B101" s="50"/>
      <c r="C101" s="50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103">
        <v>0</v>
      </c>
      <c r="M101" s="102">
        <v>0</v>
      </c>
      <c r="N101" s="102">
        <v>0</v>
      </c>
      <c r="O101" s="102">
        <f>IF(L101&gt;0,N101*100/L101,0)</f>
        <v>0</v>
      </c>
      <c r="P101" s="102">
        <f>IF(M101&gt;0,N101*100/M101,0)</f>
        <v>0</v>
      </c>
      <c r="Q101" s="102">
        <v>0</v>
      </c>
      <c r="R101" s="102">
        <v>0</v>
      </c>
      <c r="S101" s="102">
        <v>0</v>
      </c>
      <c r="T101" s="102">
        <f>IF(Q101&gt;0,S101*100/Q101,0)</f>
        <v>0</v>
      </c>
      <c r="U101" s="102">
        <f>IF(R101&gt;0,S101*100/R101,0)</f>
        <v>0</v>
      </c>
    </row>
    <row r="102" spans="1:21" ht="18.75" hidden="1">
      <c r="A102" s="155"/>
      <c r="B102" s="50"/>
      <c r="C102" s="50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256">
        <f ca="1">IFERROR(__xludf.DUMMYFUNCTION("IMPORTRANGE(""https://docs.google.com/spreadsheets/d/1-uDff_7J0KD5mKrp0Vvzr7lt3OU09vwQwhkpOPPYv2Y/edit?usp=sharing"",""งบพรบ!AZ36"")"),0)</f>
        <v>0</v>
      </c>
      <c r="M102" s="255">
        <f ca="1">IFERROR(__xludf.DUMMYFUNCTION("IMPORTRANGE(""https://docs.google.com/spreadsheets/d/1-uDff_7J0KD5mKrp0Vvzr7lt3OU09vwQwhkpOPPYv2Y/edit?usp=sharing"",""งบพรบ!BC36"")"),0)</f>
        <v>0</v>
      </c>
      <c r="N102" s="255">
        <f ca="1">IFERROR(__xludf.DUMMYFUNCTION("IMPORTRANGE(""https://docs.google.com/spreadsheets/d/1-uDff_7J0KD5mKrp0Vvzr7lt3OU09vwQwhkpOPPYv2Y/edit?usp=sharing"",""งบพรบ!BE36"")"),0)</f>
        <v>0</v>
      </c>
      <c r="O102" s="255">
        <f ca="1">IF(L102&gt;0,N102*100/L102,0)</f>
        <v>0</v>
      </c>
      <c r="P102" s="255">
        <f ca="1">IF(M102&gt;0,N102*100/M102,0)</f>
        <v>0</v>
      </c>
      <c r="Q102" s="255">
        <v>0</v>
      </c>
      <c r="R102" s="255">
        <v>0</v>
      </c>
      <c r="S102" s="255">
        <v>0</v>
      </c>
      <c r="T102" s="255">
        <f>IF(Q102&gt;0,S102*100/Q102,0)</f>
        <v>0</v>
      </c>
      <c r="U102" s="255">
        <f>IF(R102&gt;0,S102*100/R102,0)</f>
        <v>0</v>
      </c>
    </row>
    <row r="103" spans="1:21" ht="19.5">
      <c r="A103" s="166"/>
      <c r="B103" s="167"/>
      <c r="C103" s="156" t="s">
        <v>18</v>
      </c>
      <c r="D103" s="566" t="s">
        <v>38</v>
      </c>
      <c r="E103" s="169"/>
      <c r="F103" s="169"/>
      <c r="G103" s="170"/>
      <c r="H103" s="171"/>
      <c r="I103" s="163"/>
      <c r="J103" s="54"/>
      <c r="K103" s="55"/>
      <c r="L103" s="62"/>
      <c r="M103" s="55"/>
      <c r="N103" s="55"/>
      <c r="O103" s="164"/>
      <c r="P103" s="164"/>
      <c r="Q103" s="55"/>
      <c r="R103" s="55"/>
      <c r="S103" s="55"/>
      <c r="T103" s="164"/>
      <c r="U103" s="164"/>
    </row>
    <row r="104" spans="1:21" ht="12.75" hidden="1">
      <c r="A104" s="192"/>
      <c r="B104" s="193"/>
      <c r="C104" s="193"/>
      <c r="D104" s="22"/>
      <c r="E104" s="22"/>
      <c r="F104" s="22"/>
      <c r="G104" s="23"/>
      <c r="H104" s="23"/>
      <c r="I104" s="24"/>
      <c r="J104" s="24"/>
      <c r="K104" s="25"/>
      <c r="L104" s="26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2.75" hidden="1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6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2.75" hidden="1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9.5" hidden="1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62"/>
      <c r="M107" s="55"/>
      <c r="N107" s="55"/>
      <c r="O107" s="164"/>
      <c r="P107" s="164"/>
      <c r="Q107" s="55"/>
      <c r="R107" s="55"/>
      <c r="S107" s="55"/>
      <c r="T107" s="164"/>
      <c r="U107" s="164"/>
    </row>
    <row r="108" spans="1:21" ht="18.75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212">
        <f ca="1">IFERROR(__xludf.DUMMYFUNCTION("IMPORTRANGE(""https://docs.google.com/spreadsheets/d/1eHaY18a8A9IcSdp1K8H6x8fbOy06t2VsZHhMHf-1x7Y/edit?usp=sharing"",""แผน!N36"")"),60)</f>
        <v>60</v>
      </c>
      <c r="J108" s="467">
        <v>60</v>
      </c>
      <c r="K108" s="255">
        <f ca="1">IF(I108&gt;0,J108*100/I108,0)</f>
        <v>100</v>
      </c>
      <c r="L108" s="62"/>
      <c r="M108" s="55"/>
      <c r="N108" s="55"/>
      <c r="O108" s="164"/>
      <c r="P108" s="164"/>
      <c r="Q108" s="55"/>
      <c r="R108" s="55"/>
      <c r="S108" s="55"/>
      <c r="T108" s="164"/>
      <c r="U108" s="164"/>
    </row>
    <row r="109" spans="1:21" ht="18.75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212">
        <f ca="1">IFERROR(__xludf.DUMMYFUNCTION("IMPORTRANGE(""https://docs.google.com/spreadsheets/d/1eHaY18a8A9IcSdp1K8H6x8fbOy06t2VsZHhMHf-1x7Y/edit?usp=sharing"",""แผน!O36"")"),20)</f>
        <v>20</v>
      </c>
      <c r="J109" s="467">
        <v>20</v>
      </c>
      <c r="K109" s="255">
        <f ca="1">IF(I109&gt;0,J109*100/I109,0)</f>
        <v>100</v>
      </c>
      <c r="L109" s="62"/>
      <c r="M109" s="55"/>
      <c r="N109" s="55"/>
      <c r="O109" s="164"/>
      <c r="P109" s="164"/>
      <c r="Q109" s="55"/>
      <c r="R109" s="55"/>
      <c r="S109" s="55"/>
      <c r="T109" s="164"/>
      <c r="U109" s="164"/>
    </row>
    <row r="110" spans="1:21" ht="12.75" hidden="1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6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2.75" hidden="1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6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2.75" hidden="1">
      <c r="A112" s="192"/>
      <c r="B112" s="193"/>
      <c r="C112" s="193"/>
      <c r="D112" s="22"/>
      <c r="E112" s="22"/>
      <c r="F112" s="22"/>
      <c r="G112" s="23"/>
      <c r="H112" s="23"/>
      <c r="I112" s="24"/>
      <c r="J112" s="24"/>
      <c r="K112" s="25"/>
      <c r="L112" s="26"/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8.75">
      <c r="A113" s="771"/>
      <c r="B113" s="489"/>
      <c r="C113" s="489"/>
      <c r="D113" s="345" t="s">
        <v>50</v>
      </c>
      <c r="E113" s="491"/>
      <c r="F113" s="491"/>
      <c r="G113" s="492"/>
      <c r="H113" s="770" t="s">
        <v>46</v>
      </c>
      <c r="I113" s="769">
        <f ca="1">IFERROR(__xludf.DUMMYFUNCTION("IMPORTRANGE(""https://docs.google.com/spreadsheets/d/1eHaY18a8A9IcSdp1K8H6x8fbOy06t2VsZHhMHf-1x7Y/edit?usp=sharing"",""แผน!N36"")"),60)</f>
        <v>60</v>
      </c>
      <c r="J113" s="495">
        <v>0</v>
      </c>
      <c r="K113" s="708">
        <f ca="1">IF(I113&gt;0,J113*100/I113,0)</f>
        <v>0</v>
      </c>
      <c r="L113" s="350"/>
      <c r="M113" s="350"/>
      <c r="N113" s="350"/>
      <c r="O113" s="496"/>
      <c r="P113" s="496"/>
      <c r="Q113" s="350"/>
      <c r="R113" s="350"/>
      <c r="S113" s="350"/>
      <c r="T113" s="496"/>
      <c r="U113" s="496"/>
    </row>
    <row r="114" spans="1:21" ht="18.75">
      <c r="A114" s="166"/>
      <c r="B114" s="167"/>
      <c r="C114" s="167"/>
      <c r="D114" s="174"/>
      <c r="E114" s="174"/>
      <c r="F114" s="174"/>
      <c r="G114" s="171"/>
      <c r="H114" s="179" t="s">
        <v>35</v>
      </c>
      <c r="I114" s="641">
        <f ca="1">IFERROR(__xludf.DUMMYFUNCTION("IMPORTRANGE(""https://docs.google.com/spreadsheets/d/1eHaY18a8A9IcSdp1K8H6x8fbOy06t2VsZHhMHf-1x7Y/edit?usp=sharing"",""แผน!O36"")"),20)</f>
        <v>20</v>
      </c>
      <c r="J114" s="467">
        <v>0</v>
      </c>
      <c r="K114" s="255">
        <f ca="1">IF(I114&gt;0,J114*100/I114,0)</f>
        <v>0</v>
      </c>
      <c r="L114" s="55"/>
      <c r="M114" s="55"/>
      <c r="N114" s="55"/>
      <c r="O114" s="164"/>
      <c r="P114" s="164"/>
      <c r="Q114" s="55"/>
      <c r="R114" s="55"/>
      <c r="S114" s="55"/>
      <c r="T114" s="164"/>
      <c r="U114" s="164"/>
    </row>
    <row r="115" spans="1:21" ht="19.5">
      <c r="A115" s="727" t="s">
        <v>51</v>
      </c>
      <c r="B115" s="724"/>
      <c r="C115" s="726"/>
      <c r="D115" s="725"/>
      <c r="E115" s="725"/>
      <c r="F115" s="725"/>
      <c r="G115" s="725"/>
      <c r="H115" s="724"/>
      <c r="I115" s="723"/>
      <c r="J115" s="723"/>
      <c r="K115" s="722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721">
        <f ca="1">I127</f>
        <v>165</v>
      </c>
      <c r="J116" s="721">
        <f>J127</f>
        <v>0</v>
      </c>
      <c r="K116" s="720">
        <f ca="1">IF(I116&gt;0,J116*100/I116,0)</f>
        <v>0</v>
      </c>
      <c r="L116" s="154"/>
      <c r="M116" s="40"/>
      <c r="N116" s="40"/>
      <c r="O116" s="40"/>
      <c r="P116" s="40"/>
      <c r="Q116" s="40"/>
      <c r="R116" s="40"/>
      <c r="S116" s="40"/>
      <c r="T116" s="40"/>
      <c r="U116" s="40"/>
    </row>
    <row r="117" spans="1:21" ht="19.5">
      <c r="A117" s="155"/>
      <c r="B117" s="188"/>
      <c r="C117" s="191" t="s">
        <v>18</v>
      </c>
      <c r="D117" s="575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541">
        <f ca="1">L118+L119</f>
        <v>0</v>
      </c>
      <c r="M117" s="540">
        <f ca="1">M118+M119</f>
        <v>0</v>
      </c>
      <c r="N117" s="540">
        <f ca="1">N118+N119</f>
        <v>0</v>
      </c>
      <c r="O117" s="540">
        <f ca="1">IF(L117&gt;0,N117*100/L117,0)</f>
        <v>0</v>
      </c>
      <c r="P117" s="540">
        <f ca="1">IF(M117&gt;0,N117*100/M117,0)</f>
        <v>0</v>
      </c>
      <c r="Q117" s="540">
        <f ca="1">Q118+Q119</f>
        <v>619440</v>
      </c>
      <c r="R117" s="540">
        <f ca="1">R118+R119</f>
        <v>619440</v>
      </c>
      <c r="S117" s="540">
        <f ca="1">S118+S119</f>
        <v>40106.720000000001</v>
      </c>
      <c r="T117" s="540">
        <f ca="1">IF(Q117&gt;0,S117*100/Q117,0)</f>
        <v>6.4746738990055537</v>
      </c>
      <c r="U117" s="540">
        <f ca="1">IF(R117&gt;0,S117*100/R117,0)</f>
        <v>6.4746738990055537</v>
      </c>
    </row>
    <row r="118" spans="1:21" ht="18.75" hidden="1">
      <c r="A118" s="155"/>
      <c r="B118" s="188"/>
      <c r="C118" s="188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103">
        <f>L121+L124</f>
        <v>0</v>
      </c>
      <c r="M118" s="102">
        <f>M121+M124</f>
        <v>0</v>
      </c>
      <c r="N118" s="102">
        <f>N121+N124</f>
        <v>0</v>
      </c>
      <c r="O118" s="102">
        <f>IF(L118&gt;0,N118*100/L118,0)</f>
        <v>0</v>
      </c>
      <c r="P118" s="102">
        <f>IF(M118&gt;0,N118*100/M118,0)</f>
        <v>0</v>
      </c>
      <c r="Q118" s="102">
        <f>Q121+Q124</f>
        <v>0</v>
      </c>
      <c r="R118" s="102">
        <f>R121+R124</f>
        <v>0</v>
      </c>
      <c r="S118" s="102">
        <f>S121+S124</f>
        <v>0</v>
      </c>
      <c r="T118" s="102">
        <f>IF(Q118&gt;0,S118*100/Q118,0)</f>
        <v>0</v>
      </c>
      <c r="U118" s="102">
        <f>IF(R118&gt;0,S118*100/R118,0)</f>
        <v>0</v>
      </c>
    </row>
    <row r="119" spans="1:21" ht="18.75" hidden="1">
      <c r="A119" s="155"/>
      <c r="B119" s="188"/>
      <c r="C119" s="188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256">
        <f ca="1">L122+L125</f>
        <v>0</v>
      </c>
      <c r="M119" s="255">
        <f ca="1">M122+M125</f>
        <v>0</v>
      </c>
      <c r="N119" s="255">
        <f ca="1">N122+N125</f>
        <v>0</v>
      </c>
      <c r="O119" s="255">
        <f ca="1">IF(L119&gt;0,N119*100/L119,0)</f>
        <v>0</v>
      </c>
      <c r="P119" s="255">
        <f ca="1">IF(M119&gt;0,N119*100/M119,0)</f>
        <v>0</v>
      </c>
      <c r="Q119" s="255">
        <f ca="1">Q122+Q125</f>
        <v>619440</v>
      </c>
      <c r="R119" s="255">
        <f ca="1">R122+R125</f>
        <v>619440</v>
      </c>
      <c r="S119" s="255">
        <f ca="1">S122+S125</f>
        <v>40106.720000000001</v>
      </c>
      <c r="T119" s="255">
        <f ca="1">IF(Q119&gt;0,S119*100/Q119,0)</f>
        <v>6.4746738990055537</v>
      </c>
      <c r="U119" s="255">
        <f ca="1">IF(R119&gt;0,S119*100/R119,0)</f>
        <v>6.4746738990055537</v>
      </c>
    </row>
    <row r="120" spans="1:21" ht="18.75">
      <c r="A120" s="155"/>
      <c r="B120" s="188"/>
      <c r="C120" s="202"/>
      <c r="D120" s="602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256">
        <f ca="1">L121+L122</f>
        <v>0</v>
      </c>
      <c r="M120" s="255">
        <f ca="1">M121+M122</f>
        <v>0</v>
      </c>
      <c r="N120" s="255">
        <f ca="1">N121+N122</f>
        <v>0</v>
      </c>
      <c r="O120" s="255">
        <f ca="1">IF(L120&gt;0,N120*100/L120,0)</f>
        <v>0</v>
      </c>
      <c r="P120" s="255">
        <f ca="1">IF(M120&gt;0,N120*100/M120,0)</f>
        <v>0</v>
      </c>
      <c r="Q120" s="255">
        <f ca="1">Q121+Q122</f>
        <v>619440</v>
      </c>
      <c r="R120" s="255">
        <f ca="1">R121+R122</f>
        <v>619440</v>
      </c>
      <c r="S120" s="255">
        <f ca="1">S121+S122</f>
        <v>40106.720000000001</v>
      </c>
      <c r="T120" s="255">
        <f ca="1">IF(Q120&gt;0,S120*100/Q120,0)</f>
        <v>6.4746738990055537</v>
      </c>
      <c r="U120" s="255">
        <f ca="1">IF(R120&gt;0,S120*100/R120,0)</f>
        <v>6.4746738990055537</v>
      </c>
    </row>
    <row r="121" spans="1:21" ht="18.75" hidden="1">
      <c r="A121" s="155"/>
      <c r="B121" s="188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103">
        <v>0</v>
      </c>
      <c r="M121" s="102">
        <v>0</v>
      </c>
      <c r="N121" s="102">
        <v>0</v>
      </c>
      <c r="O121" s="102">
        <f>IF(L121&gt;0,N121*100/L121,0)</f>
        <v>0</v>
      </c>
      <c r="P121" s="102">
        <f>IF(M121&gt;0,N121*100/M121,0)</f>
        <v>0</v>
      </c>
      <c r="Q121" s="102">
        <v>0</v>
      </c>
      <c r="R121" s="102">
        <v>0</v>
      </c>
      <c r="S121" s="102">
        <v>0</v>
      </c>
      <c r="T121" s="102">
        <f>IF(Q121&gt;0,S121*100/Q121,0)</f>
        <v>0</v>
      </c>
      <c r="U121" s="102">
        <f>IF(R121&gt;0,S121*100/R121,0)</f>
        <v>0</v>
      </c>
    </row>
    <row r="122" spans="1:21" ht="18.75" hidden="1">
      <c r="A122" s="155"/>
      <c r="B122" s="188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256">
        <f ca="1">IFERROR(__xludf.DUMMYFUNCTION("IMPORTRANGE(""https://docs.google.com/spreadsheets/d/1-uDff_7J0KD5mKrp0Vvzr7lt3OU09vwQwhkpOPPYv2Y/edit?usp=sharing"",""งบพรบ!BG36"")"),0)</f>
        <v>0</v>
      </c>
      <c r="M122" s="255">
        <f ca="1">IFERROR(__xludf.DUMMYFUNCTION("IMPORTRANGE(""https://docs.google.com/spreadsheets/d/1-uDff_7J0KD5mKrp0Vvzr7lt3OU09vwQwhkpOPPYv2Y/edit?usp=sharing"",""งบพรบ!BL36"")"),0)</f>
        <v>0</v>
      </c>
      <c r="N122" s="255">
        <f ca="1">IFERROR(__xludf.DUMMYFUNCTION("IMPORTRANGE(""https://docs.google.com/spreadsheets/d/1-uDff_7J0KD5mKrp0Vvzr7lt3OU09vwQwhkpOPPYv2Y/edit?usp=sharing"",""งบพรบ!BN36"")"),0)</f>
        <v>0</v>
      </c>
      <c r="O122" s="255">
        <f ca="1">IF(L122&gt;0,N122*100/L122,0)</f>
        <v>0</v>
      </c>
      <c r="P122" s="255">
        <f ca="1">IF(M122&gt;0,N122*100/M122,0)</f>
        <v>0</v>
      </c>
      <c r="Q122" s="255">
        <f ca="1">IFERROR(__xludf.DUMMYFUNCTION("IMPORTRANGE(""https://docs.google.com/spreadsheets/d/1ItG2mGa2ceCfYo0BwxsXqNm01IGEUdYcSSLTEv9YCik/edit?usp=sharing"",""เบิกจ่ายกองทุน!R36"")"),619440)</f>
        <v>619440</v>
      </c>
      <c r="R122" s="255">
        <f ca="1">IFERROR(__xludf.DUMMYFUNCTION("IMPORTRANGE(""https://docs.google.com/spreadsheets/d/1ItG2mGa2ceCfYo0BwxsXqNm01IGEUdYcSSLTEv9YCik/edit?usp=sharing"",""เบิกจ่ายกองทุน!S36"")"),619440)</f>
        <v>619440</v>
      </c>
      <c r="S122" s="255">
        <f ca="1">IFERROR(__xludf.DUMMYFUNCTION("IMPORTRANGE(""https://docs.google.com/spreadsheets/d/1ItG2mGa2ceCfYo0BwxsXqNm01IGEUdYcSSLTEv9YCik/edit?usp=sharing"",""เบิกจ่ายกองทุน!T36"")"),40106.72)</f>
        <v>40106.720000000001</v>
      </c>
      <c r="T122" s="255">
        <f ca="1">IF(Q122&gt;0,S122*100/Q122,0)</f>
        <v>6.4746738990055537</v>
      </c>
      <c r="U122" s="255">
        <f ca="1">IF(R122&gt;0,S122*100/R122,0)</f>
        <v>6.4746738990055537</v>
      </c>
    </row>
    <row r="123" spans="1:21" ht="18.75">
      <c r="A123" s="155"/>
      <c r="B123" s="50"/>
      <c r="C123" s="202"/>
      <c r="D123" s="602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256">
        <f ca="1">L124+L125</f>
        <v>0</v>
      </c>
      <c r="M123" s="255">
        <f ca="1">M124+M125</f>
        <v>0</v>
      </c>
      <c r="N123" s="255">
        <f ca="1">N124+N125</f>
        <v>0</v>
      </c>
      <c r="O123" s="255">
        <f ca="1">IF(L123&gt;0,N123*100/L123,0)</f>
        <v>0</v>
      </c>
      <c r="P123" s="255">
        <f ca="1">IF(M123&gt;0,N123*100/M123,0)</f>
        <v>0</v>
      </c>
      <c r="Q123" s="255">
        <f>Q124+Q125</f>
        <v>0</v>
      </c>
      <c r="R123" s="255">
        <f>R124+R125</f>
        <v>0</v>
      </c>
      <c r="S123" s="255">
        <f>S124+S125</f>
        <v>0</v>
      </c>
      <c r="T123" s="255">
        <f>IF(Q123&gt;0,S123*100/Q123,0)</f>
        <v>0</v>
      </c>
      <c r="U123" s="255">
        <f>IF(R123&gt;0,S123*100/R123,0)</f>
        <v>0</v>
      </c>
    </row>
    <row r="124" spans="1:21" ht="18.75" hidden="1">
      <c r="A124" s="155"/>
      <c r="B124" s="50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103">
        <v>0</v>
      </c>
      <c r="M124" s="102">
        <v>0</v>
      </c>
      <c r="N124" s="102">
        <v>0</v>
      </c>
      <c r="O124" s="102">
        <f>IF(L124&gt;0,N124*100/L124,0)</f>
        <v>0</v>
      </c>
      <c r="P124" s="102">
        <f>IF(M124&gt;0,N124*100/M124,0)</f>
        <v>0</v>
      </c>
      <c r="Q124" s="102">
        <v>0</v>
      </c>
      <c r="R124" s="102">
        <v>0</v>
      </c>
      <c r="S124" s="102">
        <v>0</v>
      </c>
      <c r="T124" s="102">
        <f>IF(Q124&gt;0,S124*100/Q124,0)</f>
        <v>0</v>
      </c>
      <c r="U124" s="102">
        <f>IF(R124&gt;0,S124*100/R124,0)</f>
        <v>0</v>
      </c>
    </row>
    <row r="125" spans="1:21" ht="18.75" hidden="1">
      <c r="A125" s="155"/>
      <c r="B125" s="50"/>
      <c r="C125" s="50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256">
        <f ca="1">IFERROR(__xludf.DUMMYFUNCTION("IMPORTRANGE(""https://docs.google.com/spreadsheets/d/1-uDff_7J0KD5mKrp0Vvzr7lt3OU09vwQwhkpOPPYv2Y/edit?usp=sharing"",""งบพรบ!BJ36"")"),0)</f>
        <v>0</v>
      </c>
      <c r="M125" s="255">
        <f ca="1">IFERROR(__xludf.DUMMYFUNCTION("IMPORTRANGE(""https://docs.google.com/spreadsheets/d/1-uDff_7J0KD5mKrp0Vvzr7lt3OU09vwQwhkpOPPYv2Y/edit?usp=sharing"",""งบพรบ!BM36"")"),0)</f>
        <v>0</v>
      </c>
      <c r="N125" s="255">
        <f ca="1">IFERROR(__xludf.DUMMYFUNCTION("IMPORTRANGE(""https://docs.google.com/spreadsheets/d/1-uDff_7J0KD5mKrp0Vvzr7lt3OU09vwQwhkpOPPYv2Y/edit?usp=sharing"",""งบพรบ!BO36"")"),0)</f>
        <v>0</v>
      </c>
      <c r="O125" s="255">
        <f ca="1">IF(L125&gt;0,N125*100/L125,0)</f>
        <v>0</v>
      </c>
      <c r="P125" s="255">
        <f ca="1">IF(M125&gt;0,N125*100/M125,0)</f>
        <v>0</v>
      </c>
      <c r="Q125" s="255">
        <v>0</v>
      </c>
      <c r="R125" s="255">
        <v>0</v>
      </c>
      <c r="S125" s="255">
        <v>0</v>
      </c>
      <c r="T125" s="255">
        <f>IF(Q125&gt;0,S125*100/Q125,0)</f>
        <v>0</v>
      </c>
      <c r="U125" s="255">
        <f>IF(R125&gt;0,S125*100/R125,0)</f>
        <v>0</v>
      </c>
    </row>
    <row r="126" spans="1:21" ht="19.5">
      <c r="A126" s="166"/>
      <c r="B126" s="167"/>
      <c r="C126" s="205" t="s">
        <v>18</v>
      </c>
      <c r="D126" s="566" t="s">
        <v>38</v>
      </c>
      <c r="E126" s="169"/>
      <c r="F126" s="169"/>
      <c r="G126" s="170"/>
      <c r="H126" s="206"/>
      <c r="I126" s="54"/>
      <c r="J126" s="54"/>
      <c r="K126" s="55"/>
      <c r="L126" s="62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212">
        <f ca="1">IFERROR(__xludf.DUMMYFUNCTION("IMPORTRANGE(""https://docs.google.com/spreadsheets/d/1eHaY18a8A9IcSdp1K8H6x8fbOy06t2VsZHhMHf-1x7Y/edit?usp=sharing"",""แผน!FF36"")"),165)</f>
        <v>165</v>
      </c>
      <c r="J127" s="467">
        <v>0</v>
      </c>
      <c r="K127" s="255">
        <f ca="1">IF(I127&gt;0,J127*100/I127,0)</f>
        <v>0</v>
      </c>
      <c r="L127" s="62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212">
        <f ca="1">IFERROR(__xludf.DUMMYFUNCTION("IMPORTRANGE(""https://docs.google.com/spreadsheets/d/1eHaY18a8A9IcSdp1K8H6x8fbOy06t2VsZHhMHf-1x7Y/edit?usp=sharing"",""แผน!FG36"")"),0)</f>
        <v>0</v>
      </c>
      <c r="J128" s="467">
        <v>0</v>
      </c>
      <c r="K128" s="255">
        <f ca="1">IF(I128&gt;0,J128*100/I128,0)</f>
        <v>0</v>
      </c>
      <c r="L128" s="62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212">
        <f ca="1">IFERROR(__xludf.DUMMYFUNCTION("IMPORTRANGE(""https://docs.google.com/spreadsheets/d/1eHaY18a8A9IcSdp1K8H6x8fbOy06t2VsZHhMHf-1x7Y/edit?usp=sharing"",""แผน!FH36"")"),65)</f>
        <v>65</v>
      </c>
      <c r="J129" s="467">
        <v>0</v>
      </c>
      <c r="K129" s="255">
        <f ca="1">IF(I129&gt;0,J129*100/I129,0)</f>
        <v>0</v>
      </c>
      <c r="L129" s="62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212">
        <f ca="1">IFERROR(__xludf.DUMMYFUNCTION("IMPORTRANGE(""https://docs.google.com/spreadsheets/d/1eHaY18a8A9IcSdp1K8H6x8fbOy06t2VsZHhMHf-1x7Y/edit?usp=sharing"",""แผน!FI36"")"),0)</f>
        <v>0</v>
      </c>
      <c r="J130" s="467">
        <v>0</v>
      </c>
      <c r="K130" s="255">
        <f ca="1">IF(I130&gt;0,J130*100/I130,0)</f>
        <v>0</v>
      </c>
      <c r="L130" s="62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8.75" hidden="1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62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8.75" hidden="1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62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2.75" hidden="1">
      <c r="A133" s="192"/>
      <c r="B133" s="193"/>
      <c r="C133" s="193"/>
      <c r="D133" s="22"/>
      <c r="E133" s="22"/>
      <c r="F133" s="22"/>
      <c r="G133" s="23"/>
      <c r="H133" s="209"/>
      <c r="I133" s="24"/>
      <c r="J133" s="24"/>
      <c r="K133" s="25"/>
      <c r="L133" s="26"/>
      <c r="M133" s="25"/>
      <c r="N133" s="25"/>
      <c r="O133" s="25"/>
      <c r="P133" s="25"/>
      <c r="Q133" s="25"/>
      <c r="R133" s="25"/>
      <c r="S133" s="25"/>
      <c r="T133" s="25"/>
      <c r="U133" s="25"/>
    </row>
    <row r="134" spans="1:21" ht="19.5">
      <c r="A134" s="143" t="s">
        <v>58</v>
      </c>
      <c r="B134" s="144"/>
      <c r="C134" s="196"/>
      <c r="D134" s="144"/>
      <c r="E134" s="144"/>
      <c r="F134" s="144"/>
      <c r="G134" s="144"/>
      <c r="H134" s="144"/>
      <c r="I134" s="197"/>
      <c r="J134" s="197"/>
      <c r="K134" s="19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</row>
    <row r="135" spans="1:21" ht="19.5">
      <c r="A135" s="150"/>
      <c r="B135" s="35" t="s">
        <v>59</v>
      </c>
      <c r="C135" s="200"/>
      <c r="D135" s="151"/>
      <c r="E135" s="34"/>
      <c r="F135" s="34"/>
      <c r="G135" s="34"/>
      <c r="H135" s="34"/>
      <c r="I135" s="210"/>
      <c r="J135" s="39"/>
      <c r="K135" s="40"/>
      <c r="L135" s="154"/>
      <c r="M135" s="40"/>
      <c r="N135" s="40"/>
      <c r="O135" s="40"/>
      <c r="P135" s="40"/>
      <c r="Q135" s="40"/>
      <c r="R135" s="40"/>
      <c r="S135" s="40"/>
      <c r="T135" s="40"/>
      <c r="U135" s="40"/>
    </row>
    <row r="136" spans="1:21" ht="19.5">
      <c r="A136" s="150"/>
      <c r="B136" s="34"/>
      <c r="C136" s="211" t="s">
        <v>60</v>
      </c>
      <c r="D136" s="151"/>
      <c r="E136" s="34"/>
      <c r="F136" s="34"/>
      <c r="G136" s="37"/>
      <c r="H136" s="152" t="s">
        <v>61</v>
      </c>
      <c r="I136" s="721">
        <f ca="1">I154</f>
        <v>2</v>
      </c>
      <c r="J136" s="721">
        <f>J154</f>
        <v>0</v>
      </c>
      <c r="K136" s="720">
        <f ca="1">IF(I136&gt;0,J136*100/I136,0)</f>
        <v>0</v>
      </c>
      <c r="L136" s="154"/>
      <c r="M136" s="40"/>
      <c r="N136" s="40"/>
      <c r="O136" s="40"/>
      <c r="P136" s="40"/>
      <c r="Q136" s="40"/>
      <c r="R136" s="40"/>
      <c r="S136" s="40"/>
      <c r="T136" s="40"/>
      <c r="U136" s="40"/>
    </row>
    <row r="137" spans="1:21" ht="19.5">
      <c r="A137" s="150"/>
      <c r="B137" s="34"/>
      <c r="C137" s="211" t="s">
        <v>62</v>
      </c>
      <c r="D137" s="151"/>
      <c r="E137" s="34"/>
      <c r="F137" s="34"/>
      <c r="G137" s="37"/>
      <c r="H137" s="152" t="s">
        <v>35</v>
      </c>
      <c r="I137" s="721">
        <f ca="1">I152</f>
        <v>60</v>
      </c>
      <c r="J137" s="721">
        <f>J152</f>
        <v>0</v>
      </c>
      <c r="K137" s="720">
        <f ca="1">IF(I137&gt;0,J137*100/I137,0)</f>
        <v>0</v>
      </c>
      <c r="L137" s="154"/>
      <c r="M137" s="40"/>
      <c r="N137" s="40"/>
      <c r="O137" s="40"/>
      <c r="P137" s="40"/>
      <c r="Q137" s="40"/>
      <c r="R137" s="40"/>
      <c r="S137" s="40"/>
      <c r="T137" s="40"/>
      <c r="U137" s="40"/>
    </row>
    <row r="138" spans="1:21" ht="19.5">
      <c r="A138" s="150"/>
      <c r="B138" s="34"/>
      <c r="C138" s="200"/>
      <c r="D138" s="151"/>
      <c r="E138" s="34"/>
      <c r="F138" s="34"/>
      <c r="G138" s="37"/>
      <c r="H138" s="152" t="s">
        <v>54</v>
      </c>
      <c r="I138" s="721">
        <f ca="1">I153</f>
        <v>6</v>
      </c>
      <c r="J138" s="721">
        <f>J153</f>
        <v>0</v>
      </c>
      <c r="K138" s="720">
        <f ca="1">IF(I138&gt;0,J138*100/I138,0)</f>
        <v>0</v>
      </c>
      <c r="L138" s="154"/>
      <c r="M138" s="40"/>
      <c r="N138" s="40"/>
      <c r="O138" s="40"/>
      <c r="P138" s="40"/>
      <c r="Q138" s="40"/>
      <c r="R138" s="40"/>
      <c r="S138" s="40"/>
      <c r="T138" s="40"/>
      <c r="U138" s="40"/>
    </row>
    <row r="139" spans="1:21" ht="19.5">
      <c r="A139" s="155"/>
      <c r="B139" s="50"/>
      <c r="C139" s="156" t="s">
        <v>18</v>
      </c>
      <c r="D139" s="575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541">
        <f ca="1">L140+L141</f>
        <v>91400</v>
      </c>
      <c r="M139" s="540">
        <f ca="1">M140+M141</f>
        <v>86400</v>
      </c>
      <c r="N139" s="540">
        <f ca="1">N140+N141</f>
        <v>31480</v>
      </c>
      <c r="O139" s="540">
        <f ca="1">IF(L139&gt;0,N139*100/L139,0)</f>
        <v>34.442013129102847</v>
      </c>
      <c r="P139" s="540">
        <f ca="1">IF(M139&gt;0,N139*100/M139,0)</f>
        <v>36.435185185185183</v>
      </c>
      <c r="Q139" s="540">
        <f ca="1">Q140+Q141</f>
        <v>0</v>
      </c>
      <c r="R139" s="540">
        <f ca="1">R140+R141</f>
        <v>0</v>
      </c>
      <c r="S139" s="540">
        <f ca="1">S140+S141</f>
        <v>0</v>
      </c>
      <c r="T139" s="540">
        <f ca="1">IF(Q139&gt;0,S139*100/Q139,0)</f>
        <v>0</v>
      </c>
      <c r="U139" s="540">
        <f ca="1">IF(R139&gt;0,S139*100/R139,0)</f>
        <v>0</v>
      </c>
    </row>
    <row r="140" spans="1:21" ht="18.75" hidden="1">
      <c r="A140" s="155"/>
      <c r="B140" s="50"/>
      <c r="C140" s="50"/>
      <c r="D140" s="50"/>
      <c r="E140" s="186" t="s">
        <v>20</v>
      </c>
      <c r="F140" s="50"/>
      <c r="G140" s="52"/>
      <c r="H140" s="187" t="s">
        <v>14</v>
      </c>
      <c r="I140" s="54"/>
      <c r="J140" s="54"/>
      <c r="K140" s="55"/>
      <c r="L140" s="103">
        <f>L143+L146</f>
        <v>0</v>
      </c>
      <c r="M140" s="102">
        <f>M143+M146</f>
        <v>0</v>
      </c>
      <c r="N140" s="102">
        <f>N143+N146</f>
        <v>0</v>
      </c>
      <c r="O140" s="102">
        <f>IF(L140&gt;0,N140*100/L140,0)</f>
        <v>0</v>
      </c>
      <c r="P140" s="102">
        <f>IF(M140&gt;0,N140*100/M140,0)</f>
        <v>0</v>
      </c>
      <c r="Q140" s="102">
        <f>Q143+Q146</f>
        <v>0</v>
      </c>
      <c r="R140" s="102">
        <f>R143+R146</f>
        <v>0</v>
      </c>
      <c r="S140" s="102">
        <f>S143+S146</f>
        <v>0</v>
      </c>
      <c r="T140" s="102">
        <f>IF(Q140&gt;0,S140*100/Q140,0)</f>
        <v>0</v>
      </c>
      <c r="U140" s="102">
        <f>IF(R140&gt;0,S140*100/R140,0)</f>
        <v>0</v>
      </c>
    </row>
    <row r="141" spans="1:21" ht="18.75" hidden="1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256">
        <f ca="1">L144+L147</f>
        <v>91400</v>
      </c>
      <c r="M141" s="255">
        <f ca="1">M144+M147</f>
        <v>86400</v>
      </c>
      <c r="N141" s="255">
        <f ca="1">N144+N147</f>
        <v>31480</v>
      </c>
      <c r="O141" s="255">
        <f ca="1">IF(L141&gt;0,N141*100/L141,0)</f>
        <v>34.442013129102847</v>
      </c>
      <c r="P141" s="255">
        <f ca="1">IF(M141&gt;0,N141*100/M141,0)</f>
        <v>36.435185185185183</v>
      </c>
      <c r="Q141" s="255">
        <f ca="1">Q144+Q147</f>
        <v>0</v>
      </c>
      <c r="R141" s="255">
        <f ca="1">R144+R147</f>
        <v>0</v>
      </c>
      <c r="S141" s="255">
        <f ca="1">S144+S147</f>
        <v>0</v>
      </c>
      <c r="T141" s="255">
        <f ca="1">IF(Q141&gt;0,S141*100/Q141,0)</f>
        <v>0</v>
      </c>
      <c r="U141" s="255">
        <f ca="1">IF(R141&gt;0,S141*100/R141,0)</f>
        <v>0</v>
      </c>
    </row>
    <row r="142" spans="1:21" ht="18.75">
      <c r="A142" s="155"/>
      <c r="B142" s="50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256">
        <f ca="1">L143+L144</f>
        <v>91400</v>
      </c>
      <c r="M142" s="255">
        <f ca="1">M143+M144</f>
        <v>86400</v>
      </c>
      <c r="N142" s="255">
        <f ca="1">N143+N144</f>
        <v>31480</v>
      </c>
      <c r="O142" s="255">
        <f ca="1">IF(L142&gt;0,N142*100/L142,0)</f>
        <v>34.442013129102847</v>
      </c>
      <c r="P142" s="255">
        <f ca="1">IF(M142&gt;0,N142*100/M142,0)</f>
        <v>36.435185185185183</v>
      </c>
      <c r="Q142" s="255">
        <f ca="1">Q143+Q144</f>
        <v>0</v>
      </c>
      <c r="R142" s="255">
        <f ca="1">R143+R144</f>
        <v>0</v>
      </c>
      <c r="S142" s="255">
        <f ca="1">S143+S144</f>
        <v>0</v>
      </c>
      <c r="T142" s="255">
        <f ca="1">IF(Q142&gt;0,S142*100/Q142,0)</f>
        <v>0</v>
      </c>
      <c r="U142" s="255">
        <f ca="1">IF(R142&gt;0,S142*100/R142,0)</f>
        <v>0</v>
      </c>
    </row>
    <row r="143" spans="1:21" ht="18.75" hidden="1">
      <c r="A143" s="155"/>
      <c r="B143" s="50"/>
      <c r="C143" s="50"/>
      <c r="D143" s="50"/>
      <c r="E143" s="186" t="s">
        <v>36</v>
      </c>
      <c r="F143" s="50"/>
      <c r="G143" s="52"/>
      <c r="H143" s="189" t="s">
        <v>14</v>
      </c>
      <c r="I143" s="163"/>
      <c r="J143" s="163"/>
      <c r="K143" s="164"/>
      <c r="L143" s="103">
        <v>0</v>
      </c>
      <c r="M143" s="102">
        <v>0</v>
      </c>
      <c r="N143" s="102">
        <v>0</v>
      </c>
      <c r="O143" s="102">
        <f>IF(L143&gt;0,N143*100/L143,0)</f>
        <v>0</v>
      </c>
      <c r="P143" s="102">
        <f>IF(M143&gt;0,N143*100/M143,0)</f>
        <v>0</v>
      </c>
      <c r="Q143" s="102">
        <v>0</v>
      </c>
      <c r="R143" s="102">
        <v>0</v>
      </c>
      <c r="S143" s="102">
        <v>0</v>
      </c>
      <c r="T143" s="102">
        <f>IF(Q143&gt;0,S143*100/Q143,0)</f>
        <v>0</v>
      </c>
      <c r="U143" s="102">
        <f>IF(R143&gt;0,S143*100/R143,0)</f>
        <v>0</v>
      </c>
    </row>
    <row r="144" spans="1:21" ht="18.75" hidden="1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256">
        <f ca="1">IFERROR(__xludf.DUMMYFUNCTION("IMPORTRANGE(""https://docs.google.com/spreadsheets/d/1-uDff_7J0KD5mKrp0Vvzr7lt3OU09vwQwhkpOPPYv2Y/edit?usp=sharing"",""งบพรบ!BQ36"")"),91400)</f>
        <v>91400</v>
      </c>
      <c r="M144" s="255">
        <f ca="1">IFERROR(__xludf.DUMMYFUNCTION("IMPORTRANGE(""https://docs.google.com/spreadsheets/d/1-uDff_7J0KD5mKrp0Vvzr7lt3OU09vwQwhkpOPPYv2Y/edit?usp=sharing"",""งบพรบ!BV36"")"),86400)</f>
        <v>86400</v>
      </c>
      <c r="N144" s="255">
        <f ca="1">IFERROR(__xludf.DUMMYFUNCTION("IMPORTRANGE(""https://docs.google.com/spreadsheets/d/1-uDff_7J0KD5mKrp0Vvzr7lt3OU09vwQwhkpOPPYv2Y/edit?usp=sharing"",""งบพรบ!BX36"")"),31480)</f>
        <v>31480</v>
      </c>
      <c r="O144" s="255">
        <f ca="1">IF(L144&gt;0,N144*100/L144,0)</f>
        <v>34.442013129102847</v>
      </c>
      <c r="P144" s="255">
        <f ca="1">IF(M144&gt;0,N144*100/M144,0)</f>
        <v>36.435185185185183</v>
      </c>
      <c r="Q144" s="255">
        <f ca="1">IFERROR(__xludf.DUMMYFUNCTION("IMPORTRANGE(""https://docs.google.com/spreadsheets/d/1ItG2mGa2ceCfYo0BwxsXqNm01IGEUdYcSSLTEv9YCik/edit?usp=sharing"",""เบิกจ่ายกองทุน!BB36"")"),0)</f>
        <v>0</v>
      </c>
      <c r="R144" s="255">
        <f ca="1">IFERROR(__xludf.DUMMYFUNCTION("IMPORTRANGE(""https://docs.google.com/spreadsheets/d/1ItG2mGa2ceCfYo0BwxsXqNm01IGEUdYcSSLTEv9YCik/edit?usp=sharing"",""เบิกจ่ายกองทุน!BC36"")"),0)</f>
        <v>0</v>
      </c>
      <c r="S144" s="255">
        <f ca="1">IFERROR(__xludf.DUMMYFUNCTION("IMPORTRANGE(""https://docs.google.com/spreadsheets/d/1ItG2mGa2ceCfYo0BwxsXqNm01IGEUdYcSSLTEv9YCik/edit?usp=sharing"",""เบิกจ่ายกองทุน!BD36"")"),0)</f>
        <v>0</v>
      </c>
      <c r="T144" s="255">
        <f ca="1">IF(Q144&gt;0,S144*100/Q144,0)</f>
        <v>0</v>
      </c>
      <c r="U144" s="255">
        <f ca="1">IF(R144&gt;0,S144*100/R144,0)</f>
        <v>0</v>
      </c>
    </row>
    <row r="145" spans="1:21" ht="18.75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256">
        <f ca="1">L146+L147</f>
        <v>0</v>
      </c>
      <c r="M145" s="255">
        <f ca="1">M146+M147</f>
        <v>0</v>
      </c>
      <c r="N145" s="255">
        <f ca="1">N146+N147</f>
        <v>0</v>
      </c>
      <c r="O145" s="255">
        <f ca="1">IF(L145&gt;0,N145*100/L145,0)</f>
        <v>0</v>
      </c>
      <c r="P145" s="255">
        <f ca="1">IF(M145&gt;0,N145*100/M145,0)</f>
        <v>0</v>
      </c>
      <c r="Q145" s="255">
        <f>Q146+Q147</f>
        <v>0</v>
      </c>
      <c r="R145" s="255">
        <f>R146+R147</f>
        <v>0</v>
      </c>
      <c r="S145" s="255">
        <f>S146+S147</f>
        <v>0</v>
      </c>
      <c r="T145" s="255">
        <f>IF(Q145&gt;0,S145*100/Q145,0)</f>
        <v>0</v>
      </c>
      <c r="U145" s="255">
        <f>IF(R145&gt;0,S145*100/R145,0)</f>
        <v>0</v>
      </c>
    </row>
    <row r="146" spans="1:21" ht="18.75" hidden="1">
      <c r="A146" s="155"/>
      <c r="B146" s="50"/>
      <c r="C146" s="50"/>
      <c r="D146" s="50"/>
      <c r="E146" s="186" t="s">
        <v>20</v>
      </c>
      <c r="F146" s="50"/>
      <c r="G146" s="52"/>
      <c r="H146" s="189" t="s">
        <v>14</v>
      </c>
      <c r="I146" s="163"/>
      <c r="J146" s="163"/>
      <c r="K146" s="164"/>
      <c r="L146" s="103">
        <v>0</v>
      </c>
      <c r="M146" s="102">
        <v>0</v>
      </c>
      <c r="N146" s="102">
        <v>0</v>
      </c>
      <c r="O146" s="102">
        <f>IF(L146&gt;0,N146*100/L146,0)</f>
        <v>0</v>
      </c>
      <c r="P146" s="102">
        <f>IF(M146&gt;0,N146*100/M146,0)</f>
        <v>0</v>
      </c>
      <c r="Q146" s="102">
        <v>0</v>
      </c>
      <c r="R146" s="102">
        <v>0</v>
      </c>
      <c r="S146" s="102">
        <v>0</v>
      </c>
      <c r="T146" s="102">
        <f>IF(Q146&gt;0,S146*100/Q146,0)</f>
        <v>0</v>
      </c>
      <c r="U146" s="102">
        <f>IF(R146&gt;0,S146*100/R146,0)</f>
        <v>0</v>
      </c>
    </row>
    <row r="147" spans="1:21" ht="18.75" hidden="1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256">
        <f ca="1">IFERROR(__xludf.DUMMYFUNCTION("IMPORTRANGE(""https://docs.google.com/spreadsheets/d/1-uDff_7J0KD5mKrp0Vvzr7lt3OU09vwQwhkpOPPYv2Y/edit?usp=sharing"",""งบพรบ!BT36"")"),0)</f>
        <v>0</v>
      </c>
      <c r="M147" s="255">
        <f ca="1">IFERROR(__xludf.DUMMYFUNCTION("IMPORTRANGE(""https://docs.google.com/spreadsheets/d/1-uDff_7J0KD5mKrp0Vvzr7lt3OU09vwQwhkpOPPYv2Y/edit?usp=sharing"",""งบพรบ!BW36"")"),0)</f>
        <v>0</v>
      </c>
      <c r="N147" s="255">
        <f ca="1">IFERROR(__xludf.DUMMYFUNCTION("IMPORTRANGE(""https://docs.google.com/spreadsheets/d/1-uDff_7J0KD5mKrp0Vvzr7lt3OU09vwQwhkpOPPYv2Y/edit?usp=sharing"",""งบพรบ!BY36"")"),0)</f>
        <v>0</v>
      </c>
      <c r="O147" s="255">
        <f ca="1">IF(L147&gt;0,N147*100/L147,0)</f>
        <v>0</v>
      </c>
      <c r="P147" s="255">
        <f ca="1">IF(M147&gt;0,N147*100/M147,0)</f>
        <v>0</v>
      </c>
      <c r="Q147" s="255">
        <v>0</v>
      </c>
      <c r="R147" s="255">
        <v>0</v>
      </c>
      <c r="S147" s="255">
        <v>0</v>
      </c>
      <c r="T147" s="255">
        <f>IF(Q147&gt;0,S147*100/Q147,0)</f>
        <v>0</v>
      </c>
      <c r="U147" s="255">
        <f>IF(R147&gt;0,S147*100/R147,0)</f>
        <v>0</v>
      </c>
    </row>
    <row r="148" spans="1:21" ht="19.5">
      <c r="A148" s="166"/>
      <c r="B148" s="167"/>
      <c r="C148" s="156" t="s">
        <v>18</v>
      </c>
      <c r="D148" s="566" t="s">
        <v>38</v>
      </c>
      <c r="E148" s="169"/>
      <c r="F148" s="169"/>
      <c r="G148" s="170"/>
      <c r="H148" s="206"/>
      <c r="I148" s="54"/>
      <c r="J148" s="54"/>
      <c r="K148" s="55"/>
      <c r="L148" s="62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8.75">
      <c r="A149" s="155"/>
      <c r="B149" s="50"/>
      <c r="C149" s="50"/>
      <c r="D149" s="58" t="s">
        <v>63</v>
      </c>
      <c r="E149" s="50"/>
      <c r="F149" s="50"/>
      <c r="G149" s="52"/>
      <c r="H149" s="206"/>
      <c r="I149" s="54"/>
      <c r="J149" s="467">
        <v>0</v>
      </c>
      <c r="K149" s="55"/>
      <c r="L149" s="62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9.5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212">
        <f ca="1">IFERROR(__xludf.DUMMYFUNCTION("IMPORTRANGE(""https://docs.google.com/spreadsheets/d/1eHaY18a8A9IcSdp1K8H6x8fbOy06t2VsZHhMHf-1x7Y/edit?usp=sharing"",""แผน!U36"")"),20)</f>
        <v>20</v>
      </c>
      <c r="J150" s="467">
        <v>0</v>
      </c>
      <c r="K150" s="255">
        <f ca="1">IF(I150&gt;0,J150*100/I150,0)</f>
        <v>0</v>
      </c>
      <c r="L150" s="62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8.75">
      <c r="A151" s="155"/>
      <c r="B151" s="50"/>
      <c r="C151" s="50"/>
      <c r="D151" s="174"/>
      <c r="E151" s="50"/>
      <c r="F151" s="50"/>
      <c r="G151" s="52"/>
      <c r="H151" s="165" t="s">
        <v>54</v>
      </c>
      <c r="I151" s="212">
        <f ca="1">IFERROR(__xludf.DUMMYFUNCTION("IMPORTRANGE(""https://docs.google.com/spreadsheets/d/1eHaY18a8A9IcSdp1K8H6x8fbOy06t2VsZHhMHf-1x7Y/edit?usp=sharing"",""แผน!V36"")"),2)</f>
        <v>2</v>
      </c>
      <c r="J151" s="467">
        <v>0</v>
      </c>
      <c r="K151" s="255">
        <f ca="1">IF(I151&gt;0,J151*100/I151,0)</f>
        <v>0</v>
      </c>
      <c r="L151" s="62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9.5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212">
        <f ca="1">IFERROR(__xludf.DUMMYFUNCTION("IMPORTRANGE(""https://docs.google.com/spreadsheets/d/1eHaY18a8A9IcSdp1K8H6x8fbOy06t2VsZHhMHf-1x7Y/edit?usp=sharing"",""แผน!W36"")"),60)</f>
        <v>60</v>
      </c>
      <c r="J152" s="467">
        <v>0</v>
      </c>
      <c r="K152" s="255">
        <f ca="1">IF(I152&gt;0,J152*100/I152,0)</f>
        <v>0</v>
      </c>
      <c r="L152" s="62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8.75">
      <c r="A153" s="155"/>
      <c r="B153" s="50"/>
      <c r="C153" s="50"/>
      <c r="D153" s="50"/>
      <c r="E153" s="50"/>
      <c r="F153" s="50"/>
      <c r="G153" s="52"/>
      <c r="H153" s="165" t="s">
        <v>54</v>
      </c>
      <c r="I153" s="212">
        <f ca="1">IFERROR(__xludf.DUMMYFUNCTION("IMPORTRANGE(""https://docs.google.com/spreadsheets/d/1eHaY18a8A9IcSdp1K8H6x8fbOy06t2VsZHhMHf-1x7Y/edit?usp=sharing"",""แผน!X36"")"),6)</f>
        <v>6</v>
      </c>
      <c r="J153" s="467">
        <v>0</v>
      </c>
      <c r="K153" s="255">
        <f ca="1">IF(I153&gt;0,J153*100/I153,0)</f>
        <v>0</v>
      </c>
      <c r="L153" s="62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8.75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212">
        <f ca="1">IFERROR(__xludf.DUMMYFUNCTION("IMPORTRANGE(""https://docs.google.com/spreadsheets/d/1eHaY18a8A9IcSdp1K8H6x8fbOy06t2VsZHhMHf-1x7Y/edit?usp=sharing"",""แผน!Y36"")"),2)</f>
        <v>2</v>
      </c>
      <c r="J154" s="467">
        <v>0</v>
      </c>
      <c r="K154" s="255">
        <f ca="1">IF(I154&gt;0,J154*100/I154,0)</f>
        <v>0</v>
      </c>
      <c r="L154" s="62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9.5">
      <c r="A155" s="143" t="s">
        <v>67</v>
      </c>
      <c r="B155" s="144"/>
      <c r="C155" s="196"/>
      <c r="D155" s="144"/>
      <c r="E155" s="144"/>
      <c r="F155" s="144"/>
      <c r="G155" s="144"/>
      <c r="H155" s="144"/>
      <c r="I155" s="197"/>
      <c r="J155" s="197"/>
      <c r="K155" s="19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</row>
    <row r="156" spans="1:21" ht="19.5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721">
        <f ca="1">I167</f>
        <v>15</v>
      </c>
      <c r="J156" s="721">
        <f>J167</f>
        <v>15</v>
      </c>
      <c r="K156" s="720">
        <f ca="1">IF(I156&gt;0,J156*100/I156,0)</f>
        <v>100</v>
      </c>
      <c r="L156" s="154"/>
      <c r="M156" s="40"/>
      <c r="N156" s="40"/>
      <c r="O156" s="40"/>
      <c r="P156" s="40"/>
      <c r="Q156" s="40"/>
      <c r="R156" s="40"/>
      <c r="S156" s="40"/>
      <c r="T156" s="40"/>
      <c r="U156" s="40"/>
    </row>
    <row r="157" spans="1:21" ht="19.5">
      <c r="A157" s="155"/>
      <c r="B157" s="50"/>
      <c r="C157" s="156" t="s">
        <v>18</v>
      </c>
      <c r="D157" s="575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541">
        <f ca="1">L158+L159</f>
        <v>3000</v>
      </c>
      <c r="M157" s="540">
        <f ca="1">M158+M159</f>
        <v>6410</v>
      </c>
      <c r="N157" s="540">
        <f ca="1">N158+N159</f>
        <v>4160</v>
      </c>
      <c r="O157" s="540">
        <f ca="1">IF(L157&gt;0,N157*100/L157,0)</f>
        <v>138.66666666666666</v>
      </c>
      <c r="P157" s="540">
        <f ca="1">IF(M157&gt;0,N157*100/M157,0)</f>
        <v>64.898595943837748</v>
      </c>
      <c r="Q157" s="540">
        <f ca="1">Q158+Q159</f>
        <v>0</v>
      </c>
      <c r="R157" s="540">
        <f ca="1">R158+R159</f>
        <v>0</v>
      </c>
      <c r="S157" s="540">
        <f ca="1">S158+S159</f>
        <v>0</v>
      </c>
      <c r="T157" s="540">
        <f ca="1">IF(Q157&gt;0,S157*100/Q157,0)</f>
        <v>0</v>
      </c>
      <c r="U157" s="540">
        <f ca="1">IF(R157&gt;0,S157*100/R157,0)</f>
        <v>0</v>
      </c>
    </row>
    <row r="158" spans="1:21" ht="18.75" hidden="1">
      <c r="A158" s="155"/>
      <c r="B158" s="50"/>
      <c r="C158" s="50"/>
      <c r="D158" s="50"/>
      <c r="E158" s="186" t="s">
        <v>20</v>
      </c>
      <c r="F158" s="50"/>
      <c r="G158" s="52"/>
      <c r="H158" s="187" t="s">
        <v>14</v>
      </c>
      <c r="I158" s="54"/>
      <c r="J158" s="54"/>
      <c r="K158" s="55"/>
      <c r="L158" s="103">
        <f>L161+L164</f>
        <v>0</v>
      </c>
      <c r="M158" s="102">
        <f>M161+M164</f>
        <v>0</v>
      </c>
      <c r="N158" s="102">
        <f>N161+N164</f>
        <v>0</v>
      </c>
      <c r="O158" s="102">
        <f>IF(L158&gt;0,N158*100/L158,0)</f>
        <v>0</v>
      </c>
      <c r="P158" s="102">
        <f>IF(M158&gt;0,N158*100/M158,0)</f>
        <v>0</v>
      </c>
      <c r="Q158" s="102">
        <f>Q161+Q164</f>
        <v>0</v>
      </c>
      <c r="R158" s="102">
        <f>R161+R164</f>
        <v>0</v>
      </c>
      <c r="S158" s="102">
        <f>S161+S164</f>
        <v>0</v>
      </c>
      <c r="T158" s="102">
        <f>IF(Q158&gt;0,S158*100/Q158,0)</f>
        <v>0</v>
      </c>
      <c r="U158" s="102">
        <f>IF(R158&gt;0,S158*100/R158,0)</f>
        <v>0</v>
      </c>
    </row>
    <row r="159" spans="1:21" ht="18.75" hidden="1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256">
        <f ca="1">L162+L165</f>
        <v>3000</v>
      </c>
      <c r="M159" s="255">
        <f ca="1">M162+M165</f>
        <v>6410</v>
      </c>
      <c r="N159" s="255">
        <f ca="1">N162+N165</f>
        <v>4160</v>
      </c>
      <c r="O159" s="255">
        <f ca="1">IF(L159&gt;0,N159*100/L159,0)</f>
        <v>138.66666666666666</v>
      </c>
      <c r="P159" s="255">
        <f ca="1">IF(M159&gt;0,N159*100/M159,0)</f>
        <v>64.898595943837748</v>
      </c>
      <c r="Q159" s="255">
        <f ca="1">Q162+Q165</f>
        <v>0</v>
      </c>
      <c r="R159" s="255">
        <f ca="1">R162+R165</f>
        <v>0</v>
      </c>
      <c r="S159" s="255">
        <f ca="1">S162+S165</f>
        <v>0</v>
      </c>
      <c r="T159" s="255">
        <f ca="1">IF(Q159&gt;0,S159*100/Q159,0)</f>
        <v>0</v>
      </c>
      <c r="U159" s="255">
        <f ca="1">IF(R159&gt;0,S159*100/R159,0)</f>
        <v>0</v>
      </c>
    </row>
    <row r="160" spans="1:21" ht="18.75">
      <c r="A160" s="155"/>
      <c r="B160" s="50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256">
        <f ca="1">L161+L162</f>
        <v>3000</v>
      </c>
      <c r="M160" s="255">
        <f ca="1">M161+M162</f>
        <v>6410</v>
      </c>
      <c r="N160" s="255">
        <f ca="1">N161+N162</f>
        <v>4160</v>
      </c>
      <c r="O160" s="255">
        <f ca="1">IF(L160&gt;0,N160*100/L160,0)</f>
        <v>138.66666666666666</v>
      </c>
      <c r="P160" s="255">
        <f ca="1">IF(M160&gt;0,N160*100/M160,0)</f>
        <v>64.898595943837748</v>
      </c>
      <c r="Q160" s="255">
        <f ca="1">Q161+Q162</f>
        <v>0</v>
      </c>
      <c r="R160" s="255">
        <f ca="1">R161+R162</f>
        <v>0</v>
      </c>
      <c r="S160" s="255">
        <f ca="1">S161+S162</f>
        <v>0</v>
      </c>
      <c r="T160" s="255">
        <f ca="1">IF(Q160&gt;0,S160*100/Q160,0)</f>
        <v>0</v>
      </c>
      <c r="U160" s="255">
        <f ca="1">IF(R160&gt;0,S160*100/R160,0)</f>
        <v>0</v>
      </c>
    </row>
    <row r="161" spans="1:21" ht="18.75" hidden="1">
      <c r="A161" s="155"/>
      <c r="B161" s="50"/>
      <c r="C161" s="50"/>
      <c r="D161" s="50"/>
      <c r="E161" s="186" t="s">
        <v>36</v>
      </c>
      <c r="F161" s="50"/>
      <c r="G161" s="52"/>
      <c r="H161" s="189" t="s">
        <v>14</v>
      </c>
      <c r="I161" s="163"/>
      <c r="J161" s="163"/>
      <c r="K161" s="164"/>
      <c r="L161" s="103">
        <v>0</v>
      </c>
      <c r="M161" s="102">
        <v>0</v>
      </c>
      <c r="N161" s="102">
        <v>0</v>
      </c>
      <c r="O161" s="102">
        <f>IF(L161&gt;0,N161*100/L161,0)</f>
        <v>0</v>
      </c>
      <c r="P161" s="102">
        <f>IF(M161&gt;0,N161*100/M161,0)</f>
        <v>0</v>
      </c>
      <c r="Q161" s="102">
        <v>0</v>
      </c>
      <c r="R161" s="102">
        <v>0</v>
      </c>
      <c r="S161" s="102">
        <v>0</v>
      </c>
      <c r="T161" s="102">
        <f>IF(Q161&gt;0,S161*100/Q161,0)</f>
        <v>0</v>
      </c>
      <c r="U161" s="102">
        <f>IF(R161&gt;0,S161*100/R161,0)</f>
        <v>0</v>
      </c>
    </row>
    <row r="162" spans="1:21" ht="18.75" hidden="1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256">
        <f ca="1">IFERROR(__xludf.DUMMYFUNCTION("IMPORTRANGE(""https://docs.google.com/spreadsheets/d/1-uDff_7J0KD5mKrp0Vvzr7lt3OU09vwQwhkpOPPYv2Y/edit?usp=sharing"",""งบพรบ!CA36"")"),3000)</f>
        <v>3000</v>
      </c>
      <c r="M162" s="255">
        <f ca="1">IFERROR(__xludf.DUMMYFUNCTION("IMPORTRANGE(""https://docs.google.com/spreadsheets/d/1-uDff_7J0KD5mKrp0Vvzr7lt3OU09vwQwhkpOPPYv2Y/edit?usp=sharing"",""งบพรบ!CF36"")"),6410)</f>
        <v>6410</v>
      </c>
      <c r="N162" s="255">
        <f ca="1">IFERROR(__xludf.DUMMYFUNCTION("IMPORTRANGE(""https://docs.google.com/spreadsheets/d/1-uDff_7J0KD5mKrp0Vvzr7lt3OU09vwQwhkpOPPYv2Y/edit?usp=sharing"",""งบพรบ!CH36"")"),4160)</f>
        <v>4160</v>
      </c>
      <c r="O162" s="255">
        <f ca="1">IF(L162&gt;0,N162*100/L162,0)</f>
        <v>138.66666666666666</v>
      </c>
      <c r="P162" s="255">
        <f ca="1">IF(M162&gt;0,N162*100/M162,0)</f>
        <v>64.898595943837748</v>
      </c>
      <c r="Q162" s="255">
        <f ca="1">IFERROR(__xludf.DUMMYFUNCTION("IMPORTRANGE(""https://docs.google.com/spreadsheets/d/1ItG2mGa2ceCfYo0BwxsXqNm01IGEUdYcSSLTEv9YCik/edit?usp=sharing"",""เบิกจ่ายกองทุน!AG36"")"),0)</f>
        <v>0</v>
      </c>
      <c r="R162" s="255">
        <f ca="1">IFERROR(__xludf.DUMMYFUNCTION("IMPORTRANGE(""https://docs.google.com/spreadsheets/d/1ItG2mGa2ceCfYo0BwxsXqNm01IGEUdYcSSLTEv9YCik/edit?usp=sharing"",""เบิกจ่ายกองทุน!AH36"")"),0)</f>
        <v>0</v>
      </c>
      <c r="S162" s="255">
        <f ca="1">IFERROR(__xludf.DUMMYFUNCTION("IMPORTRANGE(""https://docs.google.com/spreadsheets/d/1ItG2mGa2ceCfYo0BwxsXqNm01IGEUdYcSSLTEv9YCik/edit?usp=sharing"",""เบิกจ่ายกองทุน!AI36"")"),0)</f>
        <v>0</v>
      </c>
      <c r="T162" s="255">
        <f ca="1">IF(Q162&gt;0,S162*100/Q162,0)</f>
        <v>0</v>
      </c>
      <c r="U162" s="255">
        <f ca="1">IF(R162&gt;0,S162*100/R162,0)</f>
        <v>0</v>
      </c>
    </row>
    <row r="163" spans="1:21" ht="18.75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256">
        <f ca="1">L164+L165</f>
        <v>0</v>
      </c>
      <c r="M163" s="255">
        <f ca="1">M164+M165</f>
        <v>0</v>
      </c>
      <c r="N163" s="255">
        <f ca="1">N164+N165</f>
        <v>0</v>
      </c>
      <c r="O163" s="255">
        <f ca="1">IF(L163&gt;0,N163*100/L163,0)</f>
        <v>0</v>
      </c>
      <c r="P163" s="255">
        <f ca="1">IF(M163&gt;0,N163*100/M163,0)</f>
        <v>0</v>
      </c>
      <c r="Q163" s="255">
        <f>Q164+Q165</f>
        <v>0</v>
      </c>
      <c r="R163" s="255">
        <f>R164+R165</f>
        <v>0</v>
      </c>
      <c r="S163" s="255">
        <f>S164+S165</f>
        <v>0</v>
      </c>
      <c r="T163" s="255">
        <f>IF(Q163&gt;0,S163*100/Q163,0)</f>
        <v>0</v>
      </c>
      <c r="U163" s="255">
        <f>IF(R163&gt;0,S163*100/R163,0)</f>
        <v>0</v>
      </c>
    </row>
    <row r="164" spans="1:21" ht="18.75" hidden="1">
      <c r="A164" s="155"/>
      <c r="B164" s="50"/>
      <c r="C164" s="50"/>
      <c r="D164" s="50"/>
      <c r="E164" s="186" t="s">
        <v>20</v>
      </c>
      <c r="F164" s="50"/>
      <c r="G164" s="52"/>
      <c r="H164" s="189" t="s">
        <v>14</v>
      </c>
      <c r="I164" s="163"/>
      <c r="J164" s="163"/>
      <c r="K164" s="164"/>
      <c r="L164" s="103">
        <v>0</v>
      </c>
      <c r="M164" s="102">
        <v>0</v>
      </c>
      <c r="N164" s="102">
        <v>0</v>
      </c>
      <c r="O164" s="102">
        <f>IF(L164&gt;0,N164*100/L164,0)</f>
        <v>0</v>
      </c>
      <c r="P164" s="102">
        <f>IF(M164&gt;0,N164*100/M164,0)</f>
        <v>0</v>
      </c>
      <c r="Q164" s="102">
        <v>0</v>
      </c>
      <c r="R164" s="102">
        <v>0</v>
      </c>
      <c r="S164" s="102">
        <v>0</v>
      </c>
      <c r="T164" s="102">
        <f>IF(Q164&gt;0,S164*100/Q164,0)</f>
        <v>0</v>
      </c>
      <c r="U164" s="102">
        <f>IF(R164&gt;0,S164*100/R164,0)</f>
        <v>0</v>
      </c>
    </row>
    <row r="165" spans="1:21" ht="18.75" hidden="1">
      <c r="A165" s="155"/>
      <c r="B165" s="50"/>
      <c r="C165" s="50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256">
        <f ca="1">IFERROR(__xludf.DUMMYFUNCTION("IMPORTRANGE(""https://docs.google.com/spreadsheets/d/1-uDff_7J0KD5mKrp0Vvzr7lt3OU09vwQwhkpOPPYv2Y/edit?usp=sharing"",""งบพรบ!CD36"")"),0)</f>
        <v>0</v>
      </c>
      <c r="M165" s="255">
        <f ca="1">IFERROR(__xludf.DUMMYFUNCTION("IMPORTRANGE(""https://docs.google.com/spreadsheets/d/1-uDff_7J0KD5mKrp0Vvzr7lt3OU09vwQwhkpOPPYv2Y/edit?usp=sharing"",""งบพรบ!CG36"")"),0)</f>
        <v>0</v>
      </c>
      <c r="N165" s="255">
        <f ca="1">IFERROR(__xludf.DUMMYFUNCTION("IMPORTRANGE(""https://docs.google.com/spreadsheets/d/1-uDff_7J0KD5mKrp0Vvzr7lt3OU09vwQwhkpOPPYv2Y/edit?usp=sharing"",""งบพรบ!CI36"")"),0)</f>
        <v>0</v>
      </c>
      <c r="O165" s="255">
        <f ca="1">IF(L165&gt;0,N165*100/L165,0)</f>
        <v>0</v>
      </c>
      <c r="P165" s="255">
        <f ca="1">IF(M165&gt;0,N165*100/M165,0)</f>
        <v>0</v>
      </c>
      <c r="Q165" s="255">
        <v>0</v>
      </c>
      <c r="R165" s="255">
        <v>0</v>
      </c>
      <c r="S165" s="255">
        <v>0</v>
      </c>
      <c r="T165" s="255">
        <f>IF(Q165&gt;0,S165*100/Q165,0)</f>
        <v>0</v>
      </c>
      <c r="U165" s="255">
        <f>IF(R165&gt;0,S165*100/R165,0)</f>
        <v>0</v>
      </c>
    </row>
    <row r="166" spans="1:21" ht="19.5">
      <c r="A166" s="166"/>
      <c r="B166" s="167"/>
      <c r="C166" s="156" t="s">
        <v>18</v>
      </c>
      <c r="D166" s="566" t="s">
        <v>38</v>
      </c>
      <c r="E166" s="169"/>
      <c r="F166" s="169"/>
      <c r="G166" s="170"/>
      <c r="H166" s="206"/>
      <c r="I166" s="54"/>
      <c r="J166" s="54"/>
      <c r="K166" s="55"/>
      <c r="L166" s="62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8.75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212">
        <f ca="1">IFERROR(__xludf.DUMMYFUNCTION("IMPORTRANGE(""https://docs.google.com/spreadsheets/d/1eHaY18a8A9IcSdp1K8H6x8fbOy06t2VsZHhMHf-1x7Y/edit?usp=sharing"",""แผน!Z36"")"),15)</f>
        <v>15</v>
      </c>
      <c r="J167" s="467">
        <v>15</v>
      </c>
      <c r="K167" s="255">
        <f ca="1">IF(I167&gt;0,J167*100/I167,0)</f>
        <v>100</v>
      </c>
      <c r="L167" s="62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8.75" hidden="1">
      <c r="A168" s="155"/>
      <c r="B168" s="50"/>
      <c r="C168" s="50"/>
      <c r="D168" s="186" t="s">
        <v>70</v>
      </c>
      <c r="E168" s="50"/>
      <c r="F168" s="50"/>
      <c r="G168" s="52"/>
      <c r="H168" s="421" t="s">
        <v>35</v>
      </c>
      <c r="I168" s="483">
        <f ca="1">I167</f>
        <v>15</v>
      </c>
      <c r="J168" s="589">
        <v>0</v>
      </c>
      <c r="K168" s="102">
        <f ca="1">IF(I168&gt;0,J168*100/I168,0)</f>
        <v>0</v>
      </c>
      <c r="L168" s="62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8.75" hidden="1">
      <c r="A169" s="213"/>
      <c r="B169" s="4"/>
      <c r="C169" s="4"/>
      <c r="D169" s="484" t="s">
        <v>71</v>
      </c>
      <c r="E169" s="4"/>
      <c r="F169" s="4"/>
      <c r="G169" s="65"/>
      <c r="H169" s="719" t="s">
        <v>35</v>
      </c>
      <c r="I169" s="486">
        <f ca="1">I167</f>
        <v>15</v>
      </c>
      <c r="J169" s="586">
        <v>0</v>
      </c>
      <c r="K169" s="585">
        <f ca="1">IF(I169&gt;0,J169*100/I169,0)</f>
        <v>0</v>
      </c>
      <c r="L169" s="68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9"/>
      <c r="I170" s="220"/>
      <c r="J170" s="220"/>
      <c r="K170" s="221"/>
      <c r="L170" s="221"/>
      <c r="M170" s="221"/>
      <c r="N170" s="221"/>
      <c r="O170" s="221"/>
      <c r="P170" s="222"/>
      <c r="Q170" s="221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226"/>
      <c r="I171" s="227"/>
      <c r="J171" s="227"/>
      <c r="K171" s="228"/>
      <c r="L171" s="229"/>
      <c r="M171" s="228"/>
      <c r="N171" s="228"/>
      <c r="O171" s="228"/>
      <c r="P171" s="228"/>
      <c r="Q171" s="228"/>
      <c r="R171" s="228"/>
      <c r="S171" s="228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233" t="s">
        <v>35</v>
      </c>
      <c r="I172" s="718">
        <f ca="1">I183+I184</f>
        <v>8</v>
      </c>
      <c r="J172" s="718">
        <f>J183+J184</f>
        <v>8</v>
      </c>
      <c r="K172" s="717">
        <f ca="1">IF(I172&gt;0,J172*100/I172,0)</f>
        <v>100</v>
      </c>
      <c r="L172" s="237"/>
      <c r="M172" s="236"/>
      <c r="N172" s="236"/>
      <c r="O172" s="236"/>
      <c r="P172" s="236"/>
      <c r="Q172" s="236"/>
      <c r="R172" s="236"/>
      <c r="S172" s="236"/>
      <c r="T172" s="236"/>
      <c r="U172" s="236"/>
    </row>
    <row r="173" spans="1:21" ht="19.5">
      <c r="A173" s="155"/>
      <c r="B173" s="50"/>
      <c r="C173" s="156" t="s">
        <v>18</v>
      </c>
      <c r="D173" s="575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541">
        <f ca="1">L174+L175</f>
        <v>20960</v>
      </c>
      <c r="M173" s="540">
        <f ca="1">M174+M175</f>
        <v>38140</v>
      </c>
      <c r="N173" s="540">
        <f ca="1">N174+N175</f>
        <v>38140</v>
      </c>
      <c r="O173" s="540">
        <f ca="1">IF(L173&gt;0,N173*100/L173,0)</f>
        <v>181.96564885496184</v>
      </c>
      <c r="P173" s="540">
        <f ca="1">IF(M173&gt;0,N173*100/M173,0)</f>
        <v>100</v>
      </c>
      <c r="Q173" s="540">
        <f ca="1">Q174+Q175</f>
        <v>0</v>
      </c>
      <c r="R173" s="540">
        <f ca="1">R174+R175</f>
        <v>0</v>
      </c>
      <c r="S173" s="540">
        <f ca="1">S174+S175</f>
        <v>0</v>
      </c>
      <c r="T173" s="540">
        <f ca="1">IF(Q173&gt;0,S173*100/Q173,0)</f>
        <v>0</v>
      </c>
      <c r="U173" s="540">
        <f ca="1">IF(R173&gt;0,S173*100/R173,0)</f>
        <v>0</v>
      </c>
    </row>
    <row r="174" spans="1:21" ht="18.75" hidden="1">
      <c r="A174" s="155"/>
      <c r="B174" s="50"/>
      <c r="C174" s="50"/>
      <c r="D174" s="50"/>
      <c r="E174" s="186" t="s">
        <v>20</v>
      </c>
      <c r="F174" s="50"/>
      <c r="G174" s="52"/>
      <c r="H174" s="187" t="s">
        <v>14</v>
      </c>
      <c r="I174" s="54"/>
      <c r="J174" s="54"/>
      <c r="K174" s="55"/>
      <c r="L174" s="103">
        <f>L177+L180</f>
        <v>0</v>
      </c>
      <c r="M174" s="102">
        <f>M177+M180</f>
        <v>0</v>
      </c>
      <c r="N174" s="102">
        <f>N177+N180</f>
        <v>0</v>
      </c>
      <c r="O174" s="102">
        <f>IF(L174&gt;0,N174*100/L174,0)</f>
        <v>0</v>
      </c>
      <c r="P174" s="102">
        <f>IF(M174&gt;0,N174*100/M174,0)</f>
        <v>0</v>
      </c>
      <c r="Q174" s="102">
        <f>Q177+Q180</f>
        <v>0</v>
      </c>
      <c r="R174" s="102">
        <f>R177+R180</f>
        <v>0</v>
      </c>
      <c r="S174" s="102">
        <f>S177+S180</f>
        <v>0</v>
      </c>
      <c r="T174" s="102">
        <f>IF(Q174&gt;0,S174*100/Q174,0)</f>
        <v>0</v>
      </c>
      <c r="U174" s="102">
        <f>IF(R174&gt;0,S174*100/R174,0)</f>
        <v>0</v>
      </c>
    </row>
    <row r="175" spans="1:21" ht="18.75" hidden="1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256">
        <f ca="1">L178+L181</f>
        <v>20960</v>
      </c>
      <c r="M175" s="255">
        <f ca="1">M178+M181</f>
        <v>38140</v>
      </c>
      <c r="N175" s="255">
        <f ca="1">N178+N181</f>
        <v>38140</v>
      </c>
      <c r="O175" s="255">
        <f ca="1">IF(L175&gt;0,N175*100/L175,0)</f>
        <v>181.96564885496184</v>
      </c>
      <c r="P175" s="255">
        <f ca="1">IF(M175&gt;0,N175*100/M175,0)</f>
        <v>100</v>
      </c>
      <c r="Q175" s="255">
        <f ca="1">Q178+Q181</f>
        <v>0</v>
      </c>
      <c r="R175" s="255">
        <f ca="1">R178+R181</f>
        <v>0</v>
      </c>
      <c r="S175" s="255">
        <f ca="1">S178+S181</f>
        <v>0</v>
      </c>
      <c r="T175" s="255">
        <f ca="1">IF(Q175&gt;0,S175*100/Q175,0)</f>
        <v>0</v>
      </c>
      <c r="U175" s="255">
        <f ca="1">IF(R175&gt;0,S175*100/R175,0)</f>
        <v>0</v>
      </c>
    </row>
    <row r="176" spans="1:21" ht="18.75">
      <c r="A176" s="155"/>
      <c r="B176" s="50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256">
        <f ca="1">L177+L178</f>
        <v>20960</v>
      </c>
      <c r="M176" s="255">
        <f ca="1">M177+M178</f>
        <v>38140</v>
      </c>
      <c r="N176" s="255">
        <f ca="1">N177+N178</f>
        <v>38140</v>
      </c>
      <c r="O176" s="255">
        <f ca="1">IF(L176&gt;0,N176*100/L176,0)</f>
        <v>181.96564885496184</v>
      </c>
      <c r="P176" s="255">
        <f ca="1">IF(M176&gt;0,N176*100/M176,0)</f>
        <v>100</v>
      </c>
      <c r="Q176" s="255">
        <f ca="1">Q177+Q178</f>
        <v>0</v>
      </c>
      <c r="R176" s="255">
        <f ca="1">R177+R178</f>
        <v>0</v>
      </c>
      <c r="S176" s="255">
        <f ca="1">S177+S178</f>
        <v>0</v>
      </c>
      <c r="T176" s="255">
        <f ca="1">IF(Q176&gt;0,S176*100/Q176,0)</f>
        <v>0</v>
      </c>
      <c r="U176" s="255">
        <f ca="1">IF(R176&gt;0,S176*100/R176,0)</f>
        <v>0</v>
      </c>
    </row>
    <row r="177" spans="1:21" ht="18.75" hidden="1">
      <c r="A177" s="155"/>
      <c r="B177" s="50"/>
      <c r="C177" s="50"/>
      <c r="D177" s="50"/>
      <c r="E177" s="186" t="s">
        <v>36</v>
      </c>
      <c r="F177" s="50"/>
      <c r="G177" s="52"/>
      <c r="H177" s="189" t="s">
        <v>14</v>
      </c>
      <c r="I177" s="163"/>
      <c r="J177" s="163"/>
      <c r="K177" s="164"/>
      <c r="L177" s="103">
        <v>0</v>
      </c>
      <c r="M177" s="102">
        <v>0</v>
      </c>
      <c r="N177" s="102">
        <v>0</v>
      </c>
      <c r="O177" s="102">
        <f>IF(L177&gt;0,N177*100/L177,0)</f>
        <v>0</v>
      </c>
      <c r="P177" s="102">
        <f>IF(M177&gt;0,N177*100/M177,0)</f>
        <v>0</v>
      </c>
      <c r="Q177" s="102">
        <v>0</v>
      </c>
      <c r="R177" s="102">
        <v>0</v>
      </c>
      <c r="S177" s="102">
        <v>0</v>
      </c>
      <c r="T177" s="102">
        <f>IF(Q177&gt;0,S177*100/Q177,0)</f>
        <v>0</v>
      </c>
      <c r="U177" s="102">
        <f>IF(R177&gt;0,S177*100/R177,0)</f>
        <v>0</v>
      </c>
    </row>
    <row r="178" spans="1:21" ht="18.75" hidden="1">
      <c r="A178" s="155"/>
      <c r="B178" s="50"/>
      <c r="C178" s="50"/>
      <c r="D178" s="50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256">
        <f ca="1">IFERROR(__xludf.DUMMYFUNCTION("IMPORTRANGE(""https://docs.google.com/spreadsheets/d/1-uDff_7J0KD5mKrp0Vvzr7lt3OU09vwQwhkpOPPYv2Y/edit?usp=sharing"",""งบพรบ!CK36"")"),20960)</f>
        <v>20960</v>
      </c>
      <c r="M178" s="255">
        <f ca="1">IFERROR(__xludf.DUMMYFUNCTION("IMPORTRANGE(""https://docs.google.com/spreadsheets/d/1-uDff_7J0KD5mKrp0Vvzr7lt3OU09vwQwhkpOPPYv2Y/edit?usp=sharing"",""งบพรบ!CP36"")"),38140)</f>
        <v>38140</v>
      </c>
      <c r="N178" s="255">
        <f ca="1">IFERROR(__xludf.DUMMYFUNCTION("IMPORTRANGE(""https://docs.google.com/spreadsheets/d/1-uDff_7J0KD5mKrp0Vvzr7lt3OU09vwQwhkpOPPYv2Y/edit?usp=sharing"",""งบพรบ!CR36"")"),38140)</f>
        <v>38140</v>
      </c>
      <c r="O178" s="255">
        <f ca="1">IF(L178&gt;0,N178*100/L178,0)</f>
        <v>181.96564885496184</v>
      </c>
      <c r="P178" s="255">
        <f ca="1">IF(M178&gt;0,N178*100/M178,0)</f>
        <v>100</v>
      </c>
      <c r="Q178" s="255">
        <f ca="1">IFERROR(__xludf.DUMMYFUNCTION("IMPORTRANGE(""https://docs.google.com/spreadsheets/d/1ItG2mGa2ceCfYo0BwxsXqNm01IGEUdYcSSLTEv9YCik/edit?usp=sharing"",""เบิกจ่ายกองทุน!BE36"")"),0)</f>
        <v>0</v>
      </c>
      <c r="R178" s="255">
        <f ca="1">IFERROR(__xludf.DUMMYFUNCTION("IMPORTRANGE(""https://docs.google.com/spreadsheets/d/1ItG2mGa2ceCfYo0BwxsXqNm01IGEUdYcSSLTEv9YCik/edit?usp=sharing"",""เบิกจ่ายกองทุน!BF36"")"),0)</f>
        <v>0</v>
      </c>
      <c r="S178" s="255">
        <f ca="1">IFERROR(__xludf.DUMMYFUNCTION("IMPORTRANGE(""https://docs.google.com/spreadsheets/d/1ItG2mGa2ceCfYo0BwxsXqNm01IGEUdYcSSLTEv9YCik/edit?usp=sharing"",""เบิกจ่ายกองทุน!BG36"")"),0)</f>
        <v>0</v>
      </c>
      <c r="T178" s="255">
        <f ca="1">IF(Q178&gt;0,S178*100/Q178,0)</f>
        <v>0</v>
      </c>
      <c r="U178" s="255">
        <f ca="1">IF(R178&gt;0,S178*100/R178,0)</f>
        <v>0</v>
      </c>
    </row>
    <row r="179" spans="1:21" ht="18.75">
      <c r="A179" s="155"/>
      <c r="B179" s="50"/>
      <c r="C179" s="50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256">
        <f ca="1">L180+L181</f>
        <v>0</v>
      </c>
      <c r="M179" s="255">
        <f ca="1">M180+M181</f>
        <v>0</v>
      </c>
      <c r="N179" s="255">
        <f ca="1">N180+N181</f>
        <v>0</v>
      </c>
      <c r="O179" s="255">
        <f ca="1">IF(L179&gt;0,N179*100/L179,0)</f>
        <v>0</v>
      </c>
      <c r="P179" s="255">
        <f ca="1">IF(M179&gt;0,N179*100/M179,0)</f>
        <v>0</v>
      </c>
      <c r="Q179" s="255">
        <f>Q180+Q181</f>
        <v>0</v>
      </c>
      <c r="R179" s="255">
        <f>R180+R181</f>
        <v>0</v>
      </c>
      <c r="S179" s="255">
        <f>S180+S181</f>
        <v>0</v>
      </c>
      <c r="T179" s="255">
        <f>IF(Q179&gt;0,S179*100/Q179,0)</f>
        <v>0</v>
      </c>
      <c r="U179" s="255">
        <f>IF(R179&gt;0,S179*100/R179,0)</f>
        <v>0</v>
      </c>
    </row>
    <row r="180" spans="1:21" ht="18.75" hidden="1">
      <c r="A180" s="155"/>
      <c r="B180" s="50"/>
      <c r="C180" s="50"/>
      <c r="D180" s="50"/>
      <c r="E180" s="186" t="s">
        <v>20</v>
      </c>
      <c r="F180" s="50"/>
      <c r="G180" s="52"/>
      <c r="H180" s="189" t="s">
        <v>14</v>
      </c>
      <c r="I180" s="163"/>
      <c r="J180" s="163"/>
      <c r="K180" s="164"/>
      <c r="L180" s="103">
        <v>0</v>
      </c>
      <c r="M180" s="102">
        <v>0</v>
      </c>
      <c r="N180" s="102">
        <v>0</v>
      </c>
      <c r="O180" s="102">
        <f>IF(L180&gt;0,N180*100/L180,0)</f>
        <v>0</v>
      </c>
      <c r="P180" s="102">
        <f>IF(M180&gt;0,N180*100/M180,0)</f>
        <v>0</v>
      </c>
      <c r="Q180" s="102">
        <v>0</v>
      </c>
      <c r="R180" s="102">
        <v>0</v>
      </c>
      <c r="S180" s="102">
        <v>0</v>
      </c>
      <c r="T180" s="102">
        <f>IF(Q180&gt;0,S180*100/Q180,0)</f>
        <v>0</v>
      </c>
      <c r="U180" s="102">
        <f>IF(R180&gt;0,S180*100/R180,0)</f>
        <v>0</v>
      </c>
    </row>
    <row r="181" spans="1:21" ht="18.75" hidden="1">
      <c r="A181" s="155"/>
      <c r="B181" s="50"/>
      <c r="C181" s="50"/>
      <c r="D181" s="50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256">
        <f ca="1">IFERROR(__xludf.DUMMYFUNCTION("IMPORTRANGE(""https://docs.google.com/spreadsheets/d/1-uDff_7J0KD5mKrp0Vvzr7lt3OU09vwQwhkpOPPYv2Y/edit?usp=sharing"",""งบพรบ!CN36"")"),0)</f>
        <v>0</v>
      </c>
      <c r="M181" s="255">
        <f ca="1">IFERROR(__xludf.DUMMYFUNCTION("IMPORTRANGE(""https://docs.google.com/spreadsheets/d/1-uDff_7J0KD5mKrp0Vvzr7lt3OU09vwQwhkpOPPYv2Y/edit?usp=sharing"",""งบพรบ!CQ36"")"),0)</f>
        <v>0</v>
      </c>
      <c r="N181" s="255">
        <f ca="1">IFERROR(__xludf.DUMMYFUNCTION("IMPORTRANGE(""https://docs.google.com/spreadsheets/d/1-uDff_7J0KD5mKrp0Vvzr7lt3OU09vwQwhkpOPPYv2Y/edit?usp=sharing"",""งบพรบ!CS36"")"),0)</f>
        <v>0</v>
      </c>
      <c r="O181" s="255">
        <f ca="1">IF(L181&gt;0,N181*100/L181,0)</f>
        <v>0</v>
      </c>
      <c r="P181" s="255">
        <f ca="1">IF(M181&gt;0,N181*100/M181,0)</f>
        <v>0</v>
      </c>
      <c r="Q181" s="255">
        <v>0</v>
      </c>
      <c r="R181" s="255">
        <v>0</v>
      </c>
      <c r="S181" s="255">
        <v>0</v>
      </c>
      <c r="T181" s="255">
        <f>IF(Q181&gt;0,S181*100/Q181,0)</f>
        <v>0</v>
      </c>
      <c r="U181" s="255">
        <f>IF(R181&gt;0,S181*100/R181,0)</f>
        <v>0</v>
      </c>
    </row>
    <row r="182" spans="1:21" ht="19.5">
      <c r="A182" s="166"/>
      <c r="B182" s="167"/>
      <c r="C182" s="156" t="s">
        <v>18</v>
      </c>
      <c r="D182" s="566" t="s">
        <v>38</v>
      </c>
      <c r="E182" s="169"/>
      <c r="F182" s="169"/>
      <c r="G182" s="170"/>
      <c r="H182" s="206"/>
      <c r="I182" s="54"/>
      <c r="J182" s="54"/>
      <c r="K182" s="55"/>
      <c r="L182" s="62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40" t="s">
        <v>35</v>
      </c>
      <c r="I183" s="212">
        <f ca="1">IFERROR(__xludf.DUMMYFUNCTION("IMPORTRANGE(""https://docs.google.com/spreadsheets/d/1eHaY18a8A9IcSdp1K8H6x8fbOy06t2VsZHhMHf-1x7Y/edit?usp=sharing"",""แผน!AA36"")"),8)</f>
        <v>8</v>
      </c>
      <c r="J183" s="467">
        <v>8</v>
      </c>
      <c r="K183" s="255">
        <f ca="1">IF(I183&gt;0,J183*100/I183,0)</f>
        <v>100</v>
      </c>
      <c r="L183" s="62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8.75" hidden="1">
      <c r="A184" s="238"/>
      <c r="B184" s="188"/>
      <c r="C184" s="188"/>
      <c r="D184" s="358" t="s">
        <v>76</v>
      </c>
      <c r="E184" s="50"/>
      <c r="F184" s="50"/>
      <c r="G184" s="52"/>
      <c r="H184" s="590" t="s">
        <v>35</v>
      </c>
      <c r="I184" s="483">
        <v>0</v>
      </c>
      <c r="J184" s="483">
        <v>0</v>
      </c>
      <c r="K184" s="102">
        <f>IF(I184&gt;0,J184*100/I184,0)</f>
        <v>0</v>
      </c>
      <c r="L184" s="62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233" t="s">
        <v>35</v>
      </c>
      <c r="I185" s="718">
        <f ca="1">I230+I231</f>
        <v>0</v>
      </c>
      <c r="J185" s="718">
        <f>J230+J231</f>
        <v>0</v>
      </c>
      <c r="K185" s="717">
        <f ca="1">IF(I185&gt;0,J185*100/I185,0)</f>
        <v>0</v>
      </c>
      <c r="L185" s="237"/>
      <c r="M185" s="236"/>
      <c r="N185" s="236"/>
      <c r="O185" s="236"/>
      <c r="P185" s="236"/>
      <c r="Q185" s="236"/>
      <c r="R185" s="236"/>
      <c r="S185" s="236"/>
      <c r="T185" s="236"/>
      <c r="U185" s="236"/>
    </row>
    <row r="186" spans="1:21" ht="19.5">
      <c r="A186" s="155"/>
      <c r="B186" s="50"/>
      <c r="C186" s="156" t="s">
        <v>18</v>
      </c>
      <c r="D186" s="575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541">
        <f ca="1">L187+L188</f>
        <v>255500</v>
      </c>
      <c r="M186" s="540">
        <f ca="1">M187+M188</f>
        <v>227660</v>
      </c>
      <c r="N186" s="540">
        <f ca="1">N187+N188</f>
        <v>136544</v>
      </c>
      <c r="O186" s="540">
        <f ca="1">IF(L186&gt;0,N186*100/L186,0)</f>
        <v>53.44187866927593</v>
      </c>
      <c r="P186" s="540">
        <f ca="1">IF(M186&gt;0,N186*100/M186,0)</f>
        <v>59.977158921198281</v>
      </c>
      <c r="Q186" s="540">
        <f ca="1">Q187+Q188</f>
        <v>56000</v>
      </c>
      <c r="R186" s="540">
        <f ca="1">R187+R188</f>
        <v>56000</v>
      </c>
      <c r="S186" s="540">
        <f ca="1">S187+S188</f>
        <v>0</v>
      </c>
      <c r="T186" s="540">
        <f ca="1">IF(Q186&gt;0,S186*100/Q186,0)</f>
        <v>0</v>
      </c>
      <c r="U186" s="540">
        <f ca="1">IF(R186&gt;0,S186*100/R186,0)</f>
        <v>0</v>
      </c>
    </row>
    <row r="187" spans="1:21" ht="18.75" hidden="1">
      <c r="A187" s="155"/>
      <c r="B187" s="50"/>
      <c r="C187" s="50"/>
      <c r="D187" s="50"/>
      <c r="E187" s="186" t="s">
        <v>20</v>
      </c>
      <c r="F187" s="50"/>
      <c r="G187" s="52"/>
      <c r="H187" s="187" t="s">
        <v>14</v>
      </c>
      <c r="I187" s="54"/>
      <c r="J187" s="54"/>
      <c r="K187" s="55"/>
      <c r="L187" s="103">
        <f>L190+L193</f>
        <v>0</v>
      </c>
      <c r="M187" s="102">
        <f>M190+M193</f>
        <v>0</v>
      </c>
      <c r="N187" s="102">
        <f>N190+N193</f>
        <v>0</v>
      </c>
      <c r="O187" s="102">
        <f>IF(L187&gt;0,N187*100/L187,0)</f>
        <v>0</v>
      </c>
      <c r="P187" s="102">
        <f>IF(M187&gt;0,N187*100/M187,0)</f>
        <v>0</v>
      </c>
      <c r="Q187" s="102">
        <f>Q190+Q193</f>
        <v>0</v>
      </c>
      <c r="R187" s="102">
        <f>R190+R193</f>
        <v>0</v>
      </c>
      <c r="S187" s="102">
        <f>S190+S193</f>
        <v>0</v>
      </c>
      <c r="T187" s="102">
        <f>IF(Q187&gt;0,S187*100/Q187,0)</f>
        <v>0</v>
      </c>
      <c r="U187" s="102">
        <f>IF(R187&gt;0,S187*100/R187,0)</f>
        <v>0</v>
      </c>
    </row>
    <row r="188" spans="1:21" ht="18.75" hidden="1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256">
        <f ca="1">L191+L194</f>
        <v>255500</v>
      </c>
      <c r="M188" s="255">
        <f ca="1">M191+M194</f>
        <v>227660</v>
      </c>
      <c r="N188" s="255">
        <f ca="1">N191+N194</f>
        <v>136544</v>
      </c>
      <c r="O188" s="255">
        <f ca="1">IF(L188&gt;0,N188*100/L188,0)</f>
        <v>53.44187866927593</v>
      </c>
      <c r="P188" s="255">
        <f ca="1">IF(M188&gt;0,N188*100/M188,0)</f>
        <v>59.977158921198281</v>
      </c>
      <c r="Q188" s="255">
        <f ca="1">Q191+Q194</f>
        <v>56000</v>
      </c>
      <c r="R188" s="255">
        <f ca="1">R191+R194</f>
        <v>56000</v>
      </c>
      <c r="S188" s="255">
        <f ca="1">S191+S194</f>
        <v>0</v>
      </c>
      <c r="T188" s="255">
        <f ca="1">IF(Q188&gt;0,S188*100/Q188,0)</f>
        <v>0</v>
      </c>
      <c r="U188" s="255">
        <f ca="1">IF(R188&gt;0,S188*100/R188,0)</f>
        <v>0</v>
      </c>
    </row>
    <row r="189" spans="1:21" ht="18.75">
      <c r="A189" s="155"/>
      <c r="B189" s="50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256">
        <f ca="1">L190+L191</f>
        <v>255500</v>
      </c>
      <c r="M189" s="255">
        <f ca="1">M190+M191</f>
        <v>227660</v>
      </c>
      <c r="N189" s="255">
        <f ca="1">N190+N191</f>
        <v>136544</v>
      </c>
      <c r="O189" s="255">
        <f ca="1">IF(L189&gt;0,N189*100/L189,0)</f>
        <v>53.44187866927593</v>
      </c>
      <c r="P189" s="255">
        <f ca="1">IF(M189&gt;0,N189*100/M189,0)</f>
        <v>59.977158921198281</v>
      </c>
      <c r="Q189" s="255">
        <f ca="1">Q190+Q191</f>
        <v>56000</v>
      </c>
      <c r="R189" s="255">
        <f ca="1">R190+R191</f>
        <v>56000</v>
      </c>
      <c r="S189" s="255">
        <f ca="1">S190+S191</f>
        <v>0</v>
      </c>
      <c r="T189" s="255">
        <f ca="1">IF(Q189&gt;0,S189*100/Q189,0)</f>
        <v>0</v>
      </c>
      <c r="U189" s="255">
        <f ca="1">IF(R189&gt;0,S189*100/R189,0)</f>
        <v>0</v>
      </c>
    </row>
    <row r="190" spans="1:21" ht="18.75" hidden="1">
      <c r="A190" s="155"/>
      <c r="B190" s="50"/>
      <c r="C190" s="50"/>
      <c r="D190" s="50"/>
      <c r="E190" s="186" t="s">
        <v>36</v>
      </c>
      <c r="F190" s="50"/>
      <c r="G190" s="52"/>
      <c r="H190" s="189" t="s">
        <v>14</v>
      </c>
      <c r="I190" s="163"/>
      <c r="J190" s="163"/>
      <c r="K190" s="164"/>
      <c r="L190" s="103">
        <v>0</v>
      </c>
      <c r="M190" s="102">
        <v>0</v>
      </c>
      <c r="N190" s="102">
        <v>0</v>
      </c>
      <c r="O190" s="102">
        <f>IF(L190&gt;0,N190*100/L190,0)</f>
        <v>0</v>
      </c>
      <c r="P190" s="102">
        <f>IF(M190&gt;0,N190*100/M190,0)</f>
        <v>0</v>
      </c>
      <c r="Q190" s="102">
        <v>0</v>
      </c>
      <c r="R190" s="102">
        <v>0</v>
      </c>
      <c r="S190" s="102">
        <v>0</v>
      </c>
      <c r="T190" s="102">
        <f>IF(Q190&gt;0,S190*100/Q190,0)</f>
        <v>0</v>
      </c>
      <c r="U190" s="102">
        <f>IF(R190&gt;0,S190*100/R190,0)</f>
        <v>0</v>
      </c>
    </row>
    <row r="191" spans="1:21" ht="18.75" hidden="1">
      <c r="A191" s="155"/>
      <c r="B191" s="50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256">
        <f ca="1">IFERROR(__xludf.DUMMYFUNCTION("IMPORTRANGE(""https://docs.google.com/spreadsheets/d/1-uDff_7J0KD5mKrp0Vvzr7lt3OU09vwQwhkpOPPYv2Y/edit?usp=sharing"",""งบพรบ!CU36"")"),255500)</f>
        <v>255500</v>
      </c>
      <c r="M191" s="255">
        <f ca="1">IFERROR(__xludf.DUMMYFUNCTION("IMPORTRANGE(""https://docs.google.com/spreadsheets/d/1-uDff_7J0KD5mKrp0Vvzr7lt3OU09vwQwhkpOPPYv2Y/edit?usp=sharing"",""งบพรบ!CZ36"")"),227660)</f>
        <v>227660</v>
      </c>
      <c r="N191" s="255">
        <f ca="1">IFERROR(__xludf.DUMMYFUNCTION("IMPORTRANGE(""https://docs.google.com/spreadsheets/d/1-uDff_7J0KD5mKrp0Vvzr7lt3OU09vwQwhkpOPPYv2Y/edit?usp=sharing"",""งบพรบ!DB36"")"),136544)</f>
        <v>136544</v>
      </c>
      <c r="O191" s="255">
        <f ca="1">IF(L191&gt;0,N191*100/L191,0)</f>
        <v>53.44187866927593</v>
      </c>
      <c r="P191" s="255">
        <f ca="1">IF(M191&gt;0,N191*100/M191,0)</f>
        <v>59.977158921198281</v>
      </c>
      <c r="Q191" s="255">
        <f ca="1">IFERROR(__xludf.DUMMYFUNCTION("IMPORTRANGE(""https://docs.google.com/spreadsheets/d/1ItG2mGa2ceCfYo0BwxsXqNm01IGEUdYcSSLTEv9YCik/edit?usp=sharing"",""เบิกจ่ายกองทุน!AV36"")"),56000)</f>
        <v>56000</v>
      </c>
      <c r="R191" s="255">
        <f ca="1">IFERROR(__xludf.DUMMYFUNCTION("IMPORTRANGE(""https://docs.google.com/spreadsheets/d/1ItG2mGa2ceCfYo0BwxsXqNm01IGEUdYcSSLTEv9YCik/edit?usp=sharing"",""เบิกจ่ายกองทุน!AW36"")"),56000)</f>
        <v>56000</v>
      </c>
      <c r="S191" s="255">
        <f ca="1">IFERROR(__xludf.DUMMYFUNCTION("IMPORTRANGE(""https://docs.google.com/spreadsheets/d/1ItG2mGa2ceCfYo0BwxsXqNm01IGEUdYcSSLTEv9YCik/edit?usp=sharing"",""เบิกจ่ายกองทุน!AX36"")"),0)</f>
        <v>0</v>
      </c>
      <c r="T191" s="255">
        <f ca="1">IF(Q191&gt;0,S191*100/Q191,0)</f>
        <v>0</v>
      </c>
      <c r="U191" s="255">
        <f ca="1">IF(R191&gt;0,S191*100/R191,0)</f>
        <v>0</v>
      </c>
    </row>
    <row r="192" spans="1:21" ht="18.75">
      <c r="A192" s="155"/>
      <c r="B192" s="50"/>
      <c r="C192" s="50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256">
        <f ca="1">L193+L194</f>
        <v>0</v>
      </c>
      <c r="M192" s="255">
        <f ca="1">M193+M194</f>
        <v>0</v>
      </c>
      <c r="N192" s="255">
        <f ca="1">N193+N194</f>
        <v>0</v>
      </c>
      <c r="O192" s="255">
        <f ca="1">IF(L192&gt;0,N192*100/L192,0)</f>
        <v>0</v>
      </c>
      <c r="P192" s="255">
        <f ca="1">IF(M192&gt;0,N192*100/M192,0)</f>
        <v>0</v>
      </c>
      <c r="Q192" s="255">
        <f>Q193+Q194</f>
        <v>0</v>
      </c>
      <c r="R192" s="255">
        <f>R193+R194</f>
        <v>0</v>
      </c>
      <c r="S192" s="255">
        <f>S193+S194</f>
        <v>0</v>
      </c>
      <c r="T192" s="255">
        <f>IF(Q192&gt;0,S192*100/Q192,0)</f>
        <v>0</v>
      </c>
      <c r="U192" s="255">
        <f>IF(R192&gt;0,S192*100/R192,0)</f>
        <v>0</v>
      </c>
    </row>
    <row r="193" spans="1:21" ht="18.75" hidden="1">
      <c r="A193" s="155"/>
      <c r="B193" s="50"/>
      <c r="C193" s="50"/>
      <c r="D193" s="50"/>
      <c r="E193" s="186" t="s">
        <v>20</v>
      </c>
      <c r="F193" s="50"/>
      <c r="G193" s="52"/>
      <c r="H193" s="189" t="s">
        <v>14</v>
      </c>
      <c r="I193" s="163"/>
      <c r="J193" s="163"/>
      <c r="K193" s="164"/>
      <c r="L193" s="103">
        <v>0</v>
      </c>
      <c r="M193" s="102">
        <v>0</v>
      </c>
      <c r="N193" s="102">
        <v>0</v>
      </c>
      <c r="O193" s="102">
        <f>IF(L193&gt;0,N193*100/L193,0)</f>
        <v>0</v>
      </c>
      <c r="P193" s="102">
        <f>IF(M193&gt;0,N193*100/M193,0)</f>
        <v>0</v>
      </c>
      <c r="Q193" s="102">
        <v>0</v>
      </c>
      <c r="R193" s="102">
        <v>0</v>
      </c>
      <c r="S193" s="102">
        <v>0</v>
      </c>
      <c r="T193" s="102">
        <f>IF(Q193&gt;0,S193*100/Q193,0)</f>
        <v>0</v>
      </c>
      <c r="U193" s="102">
        <f>IF(R193&gt;0,S193*100/R193,0)</f>
        <v>0</v>
      </c>
    </row>
    <row r="194" spans="1:21" ht="18.75" hidden="1">
      <c r="A194" s="155"/>
      <c r="B194" s="50"/>
      <c r="C194" s="50"/>
      <c r="D194" s="50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256">
        <f ca="1">IFERROR(__xludf.DUMMYFUNCTION("IMPORTRANGE(""https://docs.google.com/spreadsheets/d/1-uDff_7J0KD5mKrp0Vvzr7lt3OU09vwQwhkpOPPYv2Y/edit?usp=sharing"",""งบพรบ!CX36"")"),0)</f>
        <v>0</v>
      </c>
      <c r="M194" s="255">
        <f ca="1">IFERROR(__xludf.DUMMYFUNCTION("IMPORTRANGE(""https://docs.google.com/spreadsheets/d/1-uDff_7J0KD5mKrp0Vvzr7lt3OU09vwQwhkpOPPYv2Y/edit?usp=sharing"",""งบพรบ!DA36"")"),0)</f>
        <v>0</v>
      </c>
      <c r="N194" s="255">
        <f ca="1">IFERROR(__xludf.DUMMYFUNCTION("IMPORTRANGE(""https://docs.google.com/spreadsheets/d/1-uDff_7J0KD5mKrp0Vvzr7lt3OU09vwQwhkpOPPYv2Y/edit?usp=sharing"",""งบพรบ!DC36"")"),0)</f>
        <v>0</v>
      </c>
      <c r="O194" s="255">
        <f ca="1">IF(L194&gt;0,N194*100/L194,0)</f>
        <v>0</v>
      </c>
      <c r="P194" s="255">
        <f ca="1">IF(M194&gt;0,N194*100/M194,0)</f>
        <v>0</v>
      </c>
      <c r="Q194" s="255">
        <v>0</v>
      </c>
      <c r="R194" s="255">
        <v>0</v>
      </c>
      <c r="S194" s="255">
        <v>0</v>
      </c>
      <c r="T194" s="255">
        <f>IF(Q194&gt;0,S194*100/Q194,0)</f>
        <v>0</v>
      </c>
      <c r="U194" s="255">
        <f>IF(R194&gt;0,S194*100/R194,0)</f>
        <v>0</v>
      </c>
    </row>
    <row r="195" spans="1:21" ht="19.5">
      <c r="A195" s="241"/>
      <c r="B195" s="242"/>
      <c r="C195" s="243" t="s">
        <v>78</v>
      </c>
      <c r="D195" s="244"/>
      <c r="E195" s="244"/>
      <c r="F195" s="244"/>
      <c r="G195" s="245"/>
      <c r="H195" s="246" t="s">
        <v>79</v>
      </c>
      <c r="I195" s="339">
        <f ca="1">I198</f>
        <v>4</v>
      </c>
      <c r="J195" s="339">
        <f>J198</f>
        <v>2</v>
      </c>
      <c r="K195" s="340">
        <f ca="1">IF(I195&gt;0,J195*100/I195,0)</f>
        <v>50</v>
      </c>
      <c r="L195" s="250"/>
      <c r="M195" s="249"/>
      <c r="N195" s="249"/>
      <c r="O195" s="249"/>
      <c r="P195" s="249"/>
      <c r="Q195" s="249"/>
      <c r="R195" s="249"/>
      <c r="S195" s="249"/>
      <c r="T195" s="249"/>
      <c r="U195" s="249"/>
    </row>
    <row r="196" spans="1:21" ht="19.5">
      <c r="A196" s="155"/>
      <c r="B196" s="50"/>
      <c r="C196" s="156" t="s">
        <v>18</v>
      </c>
      <c r="D196" s="713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541">
        <f ca="1">IFERROR(__xludf.DUMMYFUNCTION("IMPORTRANGE(""https://docs.google.com/spreadsheets/d/1eHaY18a8A9IcSdp1K8H6x8fbOy06t2VsZHhMHf-1x7Y/edit?usp=sharing"",""แผน!AB36"")"),6000)</f>
        <v>6000</v>
      </c>
      <c r="M196" s="55"/>
      <c r="N196" s="716">
        <v>0</v>
      </c>
      <c r="O196" s="540">
        <f ca="1">IF(L196&gt;0,N196*100/L196,0)</f>
        <v>0</v>
      </c>
      <c r="P196" s="540">
        <f>IF(M196&gt;0,N196*100/M196,0)</f>
        <v>0</v>
      </c>
      <c r="Q196" s="55"/>
      <c r="R196" s="55"/>
      <c r="S196" s="55"/>
      <c r="T196" s="55"/>
      <c r="U196" s="55"/>
    </row>
    <row r="197" spans="1:21" ht="19.5">
      <c r="A197" s="166"/>
      <c r="B197" s="167"/>
      <c r="C197" s="156" t="s">
        <v>18</v>
      </c>
      <c r="D197" s="566" t="s">
        <v>38</v>
      </c>
      <c r="E197" s="169"/>
      <c r="F197" s="169"/>
      <c r="G197" s="170"/>
      <c r="H197" s="171"/>
      <c r="I197" s="54"/>
      <c r="J197" s="54"/>
      <c r="K197" s="55"/>
      <c r="L197" s="62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8.75">
      <c r="A198" s="166"/>
      <c r="B198" s="167"/>
      <c r="C198" s="167"/>
      <c r="D198" s="178" t="s">
        <v>80</v>
      </c>
      <c r="E198" s="174"/>
      <c r="F198" s="174"/>
      <c r="G198" s="171"/>
      <c r="H198" s="179" t="s">
        <v>79</v>
      </c>
      <c r="I198" s="212">
        <f ca="1">IFERROR(__xludf.DUMMYFUNCTION("IMPORTRANGE(""https://docs.google.com/spreadsheets/d/1eHaY18a8A9IcSdp1K8H6x8fbOy06t2VsZHhMHf-1x7Y/edit?usp=sharing"",""แผน!AE36"")"),4)</f>
        <v>4</v>
      </c>
      <c r="J198" s="467">
        <v>2</v>
      </c>
      <c r="K198" s="255">
        <f ca="1">IF(I198&gt;0,J198*100/I198,0)</f>
        <v>50</v>
      </c>
      <c r="L198" s="62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8.75">
      <c r="A199" s="166"/>
      <c r="B199" s="167"/>
      <c r="C199" s="167"/>
      <c r="D199" s="178" t="s">
        <v>81</v>
      </c>
      <c r="E199" s="174"/>
      <c r="F199" s="174"/>
      <c r="G199" s="171"/>
      <c r="H199" s="240" t="s">
        <v>35</v>
      </c>
      <c r="I199" s="54"/>
      <c r="J199" s="212">
        <f>J200+J201</f>
        <v>0</v>
      </c>
      <c r="K199" s="55"/>
      <c r="L199" s="62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467">
        <v>0</v>
      </c>
      <c r="K200" s="55"/>
      <c r="L200" s="62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40" t="s">
        <v>35</v>
      </c>
      <c r="I201" s="54"/>
      <c r="J201" s="467">
        <v>0</v>
      </c>
      <c r="K201" s="55"/>
      <c r="L201" s="62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254" t="s">
        <v>85</v>
      </c>
      <c r="I202" s="339">
        <f ca="1">I209</f>
        <v>4</v>
      </c>
      <c r="J202" s="339">
        <f>J209</f>
        <v>0</v>
      </c>
      <c r="K202" s="340">
        <f ca="1">IF(I202&gt;0,J202*100/I202,0)</f>
        <v>0</v>
      </c>
      <c r="L202" s="250"/>
      <c r="M202" s="249"/>
      <c r="N202" s="249"/>
      <c r="O202" s="249"/>
      <c r="P202" s="249"/>
      <c r="Q202" s="249"/>
      <c r="R202" s="249"/>
      <c r="S202" s="249"/>
      <c r="T202" s="249"/>
      <c r="U202" s="249"/>
    </row>
    <row r="203" spans="1:21" ht="19.5">
      <c r="A203" s="155"/>
      <c r="B203" s="50"/>
      <c r="C203" s="156" t="s">
        <v>18</v>
      </c>
      <c r="D203" s="713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541">
        <f ca="1">L204+L205+L206+L207</f>
        <v>25000</v>
      </c>
      <c r="M203" s="55"/>
      <c r="N203" s="540">
        <f>N204+N205+N206+N207</f>
        <v>0</v>
      </c>
      <c r="O203" s="540">
        <f ca="1">IF(L203&gt;0,N203*100/L203,0)</f>
        <v>0</v>
      </c>
      <c r="P203" s="540">
        <f>IF(M203&gt;0,N203*100/M203,0)</f>
        <v>0</v>
      </c>
      <c r="Q203" s="715">
        <f ca="1">Q204+Q205+Q206+Q207</f>
        <v>56000</v>
      </c>
      <c r="R203" s="350"/>
      <c r="S203" s="714">
        <f>S204+S205+S206+S207</f>
        <v>0</v>
      </c>
      <c r="T203" s="714">
        <f ca="1">IF(Q203&gt;0,S203*100/Q203,0)</f>
        <v>0</v>
      </c>
      <c r="U203" s="714">
        <f>IF(R203&gt;0,S203*100/R203,0)</f>
        <v>0</v>
      </c>
    </row>
    <row r="204" spans="1:21" ht="18.75">
      <c r="A204" s="155"/>
      <c r="B204" s="188"/>
      <c r="C204" s="50"/>
      <c r="D204" s="712" t="s">
        <v>310</v>
      </c>
      <c r="E204" s="50"/>
      <c r="F204" s="50"/>
      <c r="G204" s="52"/>
      <c r="H204" s="162" t="s">
        <v>14</v>
      </c>
      <c r="I204" s="163"/>
      <c r="J204" s="163"/>
      <c r="K204" s="164"/>
      <c r="L204" s="256">
        <f ca="1">IFERROR(__xludf.DUMMYFUNCTION("IMPORTRANGE(""https://docs.google.com/spreadsheets/d/1eHaY18a8A9IcSdp1K8H6x8fbOy06t2VsZHhMHf-1x7Y/edit?usp=sharing"",""แผน!AG36"")"),4000)</f>
        <v>4000</v>
      </c>
      <c r="M204" s="55"/>
      <c r="N204" s="702">
        <v>0</v>
      </c>
      <c r="O204" s="164"/>
      <c r="P204" s="55"/>
      <c r="Q204" s="256">
        <v>0</v>
      </c>
      <c r="R204" s="55"/>
      <c r="S204" s="255">
        <v>0</v>
      </c>
      <c r="T204" s="164"/>
      <c r="U204" s="55"/>
    </row>
    <row r="205" spans="1:21" ht="18.75">
      <c r="A205" s="238"/>
      <c r="B205" s="188"/>
      <c r="C205" s="50"/>
      <c r="D205" s="58" t="s">
        <v>308</v>
      </c>
      <c r="E205" s="50"/>
      <c r="F205" s="50"/>
      <c r="G205" s="52"/>
      <c r="H205" s="53" t="s">
        <v>14</v>
      </c>
      <c r="I205" s="54"/>
      <c r="J205" s="54"/>
      <c r="K205" s="55"/>
      <c r="L205" s="256">
        <f ca="1">IFERROR(__xludf.DUMMYFUNCTION("IMPORTRANGE(""https://docs.google.com/spreadsheets/d/1eHaY18a8A9IcSdp1K8H6x8fbOy06t2VsZHhMHf-1x7Y/edit?usp=sharing"",""แผน!AH36"")"),0)</f>
        <v>0</v>
      </c>
      <c r="M205" s="55"/>
      <c r="N205" s="702">
        <v>0</v>
      </c>
      <c r="O205" s="164"/>
      <c r="P205" s="55"/>
      <c r="Q205" s="256">
        <v>0</v>
      </c>
      <c r="R205" s="55"/>
      <c r="S205" s="255">
        <v>0</v>
      </c>
      <c r="T205" s="164"/>
      <c r="U205" s="55"/>
    </row>
    <row r="206" spans="1:21" ht="18.75">
      <c r="A206" s="238"/>
      <c r="B206" s="188"/>
      <c r="C206" s="50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256">
        <f ca="1">IFERROR(__xludf.DUMMYFUNCTION("IMPORTRANGE(""https://docs.google.com/spreadsheets/d/1eHaY18a8A9IcSdp1K8H6x8fbOy06t2VsZHhMHf-1x7Y/edit?usp=sharing"",""แผน!AI36"")"),0)</f>
        <v>0</v>
      </c>
      <c r="M206" s="55"/>
      <c r="N206" s="702">
        <v>0</v>
      </c>
      <c r="O206" s="164"/>
      <c r="P206" s="55"/>
      <c r="Q206" s="256">
        <f ca="1">IFERROR(__xludf.DUMMYFUNCTION("IMPORTRANGE(""https://docs.google.com/spreadsheets/d/1eHaY18a8A9IcSdp1K8H6x8fbOy06t2VsZHhMHf-1x7Y/edit?usp=sharing"",""แผน!LV36"")"),56000)</f>
        <v>56000</v>
      </c>
      <c r="R206" s="55"/>
      <c r="S206" s="702">
        <v>0</v>
      </c>
      <c r="T206" s="164"/>
      <c r="U206" s="55"/>
    </row>
    <row r="207" spans="1:21" ht="18.75">
      <c r="A207" s="238"/>
      <c r="B207" s="188"/>
      <c r="C207" s="50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256">
        <f ca="1">IFERROR(__xludf.DUMMYFUNCTION("IMPORTRANGE(""https://docs.google.com/spreadsheets/d/1eHaY18a8A9IcSdp1K8H6x8fbOy06t2VsZHhMHf-1x7Y/edit?usp=sharing"",""แผน!AJ36"")"),21000)</f>
        <v>21000</v>
      </c>
      <c r="M207" s="55"/>
      <c r="N207" s="702">
        <v>0</v>
      </c>
      <c r="O207" s="164"/>
      <c r="P207" s="55"/>
      <c r="Q207" s="256">
        <v>0</v>
      </c>
      <c r="R207" s="55"/>
      <c r="S207" s="255">
        <v>0</v>
      </c>
      <c r="T207" s="164"/>
      <c r="U207" s="55"/>
    </row>
    <row r="208" spans="1:21" ht="19.5">
      <c r="A208" s="166"/>
      <c r="B208" s="167"/>
      <c r="C208" s="156" t="s">
        <v>18</v>
      </c>
      <c r="D208" s="566" t="s">
        <v>38</v>
      </c>
      <c r="E208" s="169"/>
      <c r="F208" s="169"/>
      <c r="G208" s="170"/>
      <c r="H208" s="171"/>
      <c r="I208" s="163"/>
      <c r="J208" s="163"/>
      <c r="K208" s="164"/>
      <c r="L208" s="172"/>
      <c r="M208" s="164"/>
      <c r="N208" s="164"/>
      <c r="O208" s="164"/>
      <c r="P208" s="164"/>
      <c r="Q208" s="172"/>
      <c r="R208" s="164"/>
      <c r="S208" s="164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257" t="s">
        <v>85</v>
      </c>
      <c r="I209" s="212">
        <f ca="1">IFERROR(__xludf.DUMMYFUNCTION("IMPORTRANGE(""https://docs.google.com/spreadsheets/d/1eHaY18a8A9IcSdp1K8H6x8fbOy06t2VsZHhMHf-1x7Y/edit?usp=sharing"",""แผน!AK36"")"),4)</f>
        <v>4</v>
      </c>
      <c r="J209" s="467">
        <v>0</v>
      </c>
      <c r="K209" s="565">
        <f ca="1">IF(I209&gt;0,J209*100/I209,0)</f>
        <v>0</v>
      </c>
      <c r="L209" s="62"/>
      <c r="M209" s="55"/>
      <c r="N209" s="55"/>
      <c r="O209" s="55"/>
      <c r="P209" s="55"/>
      <c r="Q209" s="62"/>
      <c r="R209" s="55"/>
      <c r="S209" s="55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171"/>
      <c r="I210" s="54"/>
      <c r="J210" s="54"/>
      <c r="K210" s="164"/>
      <c r="L210" s="62"/>
      <c r="M210" s="55"/>
      <c r="N210" s="55"/>
      <c r="O210" s="55"/>
      <c r="P210" s="55"/>
      <c r="Q210" s="62"/>
      <c r="R210" s="55"/>
      <c r="S210" s="55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257" t="s">
        <v>85</v>
      </c>
      <c r="I211" s="212">
        <f ca="1">IFERROR(__xludf.DUMMYFUNCTION("IMPORTRANGE(""https://docs.google.com/spreadsheets/d/1eHaY18a8A9IcSdp1K8H6x8fbOy06t2VsZHhMHf-1x7Y/edit?usp=sharing"",""แผน!JX36"")"),4)</f>
        <v>4</v>
      </c>
      <c r="J211" s="467">
        <v>0</v>
      </c>
      <c r="K211" s="565">
        <f ca="1">IF(I211&gt;0,J211*100/I211,0)</f>
        <v>0</v>
      </c>
      <c r="L211" s="62"/>
      <c r="M211" s="55"/>
      <c r="N211" s="55"/>
      <c r="O211" s="55"/>
      <c r="P211" s="55"/>
      <c r="Q211" s="62"/>
      <c r="R211" s="55"/>
      <c r="S211" s="55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79" t="s">
        <v>93</v>
      </c>
      <c r="I212" s="212">
        <f ca="1">IFERROR(__xludf.DUMMYFUNCTION("IMPORTRANGE(""https://docs.google.com/spreadsheets/d/1eHaY18a8A9IcSdp1K8H6x8fbOy06t2VsZHhMHf-1x7Y/edit?usp=sharing"",""แผน!JY36"")"),1)</f>
        <v>1</v>
      </c>
      <c r="J212" s="467">
        <v>0</v>
      </c>
      <c r="K212" s="565">
        <f ca="1">IF(I212&gt;0,J212*100/I212,0)</f>
        <v>0</v>
      </c>
      <c r="L212" s="62"/>
      <c r="M212" s="55"/>
      <c r="N212" s="55"/>
      <c r="O212" s="55"/>
      <c r="P212" s="55"/>
      <c r="Q212" s="62"/>
      <c r="R212" s="55"/>
      <c r="S212" s="55"/>
      <c r="T212" s="55"/>
      <c r="U212" s="55"/>
    </row>
    <row r="213" spans="1:21" ht="19.5" hidden="1">
      <c r="A213" s="241"/>
      <c r="B213" s="242"/>
      <c r="C213" s="243" t="s">
        <v>94</v>
      </c>
      <c r="D213" s="244"/>
      <c r="E213" s="244"/>
      <c r="F213" s="244"/>
      <c r="G213" s="245"/>
      <c r="H213" s="254" t="s">
        <v>85</v>
      </c>
      <c r="I213" s="339">
        <f ca="1">I220</f>
        <v>0</v>
      </c>
      <c r="J213" s="339">
        <f>J220</f>
        <v>0</v>
      </c>
      <c r="K213" s="340">
        <f ca="1">IF(I213&gt;0,J213*100/I213,0)</f>
        <v>0</v>
      </c>
      <c r="L213" s="250"/>
      <c r="M213" s="249"/>
      <c r="N213" s="249"/>
      <c r="O213" s="249"/>
      <c r="P213" s="249"/>
      <c r="Q213" s="250"/>
      <c r="R213" s="249"/>
      <c r="S213" s="249"/>
      <c r="T213" s="249"/>
      <c r="U213" s="249"/>
    </row>
    <row r="214" spans="1:21" ht="19.5" hidden="1">
      <c r="A214" s="155"/>
      <c r="B214" s="50"/>
      <c r="C214" s="156" t="s">
        <v>18</v>
      </c>
      <c r="D214" s="713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541">
        <f ca="1">L215+L216+L217</f>
        <v>0</v>
      </c>
      <c r="M214" s="55"/>
      <c r="N214" s="540">
        <f>N215+N216+N217</f>
        <v>0</v>
      </c>
      <c r="O214" s="540">
        <f ca="1">IF(L214&gt;0,N214*100/L214,0)</f>
        <v>0</v>
      </c>
      <c r="P214" s="540">
        <f>IF(M214&gt;0,N214*100/M214,0)</f>
        <v>0</v>
      </c>
      <c r="Q214" s="541">
        <f ca="1">Q215+Q216+Q217</f>
        <v>0</v>
      </c>
      <c r="R214" s="55"/>
      <c r="S214" s="540">
        <f>S215+S216+S217</f>
        <v>0</v>
      </c>
      <c r="T214" s="540">
        <f ca="1">IF(Q214&gt;0,S214*100/Q214,0)</f>
        <v>0</v>
      </c>
      <c r="U214" s="540">
        <f>IF(R214&gt;0,S214*100/R214,0)</f>
        <v>0</v>
      </c>
    </row>
    <row r="215" spans="1:21" ht="18.75" hidden="1">
      <c r="A215" s="155"/>
      <c r="B215" s="188"/>
      <c r="C215" s="50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256">
        <f ca="1">IFERROR(__xludf.DUMMYFUNCTION("IMPORTRANGE(""https://docs.google.com/spreadsheets/d/1eHaY18a8A9IcSdp1K8H6x8fbOy06t2VsZHhMHf-1x7Y/edit?usp=sharing"",""แผน!AM36"")"),0)</f>
        <v>0</v>
      </c>
      <c r="M215" s="55"/>
      <c r="N215" s="702">
        <v>0</v>
      </c>
      <c r="O215" s="164"/>
      <c r="P215" s="55"/>
      <c r="Q215" s="256">
        <v>0</v>
      </c>
      <c r="R215" s="55"/>
      <c r="S215" s="255">
        <v>0</v>
      </c>
      <c r="T215" s="164"/>
      <c r="U215" s="55"/>
    </row>
    <row r="216" spans="1:21" ht="18.75" hidden="1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256">
        <f ca="1">IFERROR(__xludf.DUMMYFUNCTION("IMPORTRANGE(""https://docs.google.com/spreadsheets/d/1eHaY18a8A9IcSdp1K8H6x8fbOy06t2VsZHhMHf-1x7Y/edit?usp=sharing"",""แผน!AN36"")"),0)</f>
        <v>0</v>
      </c>
      <c r="M216" s="55"/>
      <c r="N216" s="702">
        <v>0</v>
      </c>
      <c r="O216" s="164"/>
      <c r="P216" s="55"/>
      <c r="Q216" s="256">
        <v>0</v>
      </c>
      <c r="R216" s="55"/>
      <c r="S216" s="255">
        <v>0</v>
      </c>
      <c r="T216" s="164"/>
      <c r="U216" s="55"/>
    </row>
    <row r="217" spans="1:21" ht="18.75" hidden="1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256">
        <f ca="1">IFERROR(__xludf.DUMMYFUNCTION("IMPORTRANGE(""https://docs.google.com/spreadsheets/d/1eHaY18a8A9IcSdp1K8H6x8fbOy06t2VsZHhMHf-1x7Y/edit?usp=sharing"",""แผน!AO36"")"),0)</f>
        <v>0</v>
      </c>
      <c r="M217" s="55"/>
      <c r="N217" s="702">
        <v>0</v>
      </c>
      <c r="O217" s="164"/>
      <c r="P217" s="55"/>
      <c r="Q217" s="256">
        <f ca="1">IFERROR(__xludf.DUMMYFUNCTION("IMPORTRANGE(""https://docs.google.com/spreadsheets/d/1eHaY18a8A9IcSdp1K8H6x8fbOy06t2VsZHhMHf-1x7Y/edit?usp=sharing"",""แผน!LY36"")"),0)</f>
        <v>0</v>
      </c>
      <c r="R217" s="55"/>
      <c r="S217" s="702">
        <v>0</v>
      </c>
      <c r="T217" s="164"/>
      <c r="U217" s="55"/>
    </row>
    <row r="218" spans="1:21" ht="19.5" hidden="1">
      <c r="A218" s="166"/>
      <c r="B218" s="167"/>
      <c r="C218" s="191" t="s">
        <v>18</v>
      </c>
      <c r="D218" s="566" t="s">
        <v>38</v>
      </c>
      <c r="E218" s="169"/>
      <c r="F218" s="169"/>
      <c r="G218" s="170"/>
      <c r="H218" s="171"/>
      <c r="I218" s="163"/>
      <c r="J218" s="54"/>
      <c r="K218" s="55"/>
      <c r="L218" s="62"/>
      <c r="M218" s="55"/>
      <c r="N218" s="55"/>
      <c r="O218" s="164"/>
      <c r="P218" s="164"/>
      <c r="Q218" s="62"/>
      <c r="R218" s="55"/>
      <c r="S218" s="55"/>
      <c r="T218" s="164"/>
      <c r="U218" s="164"/>
    </row>
    <row r="219" spans="1:21" ht="18.75" hidden="1">
      <c r="A219" s="166"/>
      <c r="B219" s="167"/>
      <c r="C219" s="167"/>
      <c r="D219" s="173" t="s">
        <v>96</v>
      </c>
      <c r="E219" s="174"/>
      <c r="F219" s="174"/>
      <c r="G219" s="171"/>
      <c r="H219" s="257" t="s">
        <v>85</v>
      </c>
      <c r="I219" s="212">
        <f ca="1">IFERROR(__xludf.DUMMYFUNCTION("IMPORTRANGE(""https://docs.google.com/spreadsheets/d/1eHaY18a8A9IcSdp1K8H6x8fbOy06t2VsZHhMHf-1x7Y/edit?usp=sharing"",""แผน!AP36"")"),0)</f>
        <v>0</v>
      </c>
      <c r="J219" s="467">
        <v>0</v>
      </c>
      <c r="K219" s="255">
        <f ca="1">IF(I219&gt;0,J219*100/I219,0)</f>
        <v>0</v>
      </c>
      <c r="L219" s="62"/>
      <c r="M219" s="55"/>
      <c r="N219" s="55"/>
      <c r="O219" s="55"/>
      <c r="P219" s="55"/>
      <c r="Q219" s="62"/>
      <c r="R219" s="55"/>
      <c r="S219" s="55"/>
      <c r="T219" s="55"/>
      <c r="U219" s="55"/>
    </row>
    <row r="220" spans="1:21" ht="18.75" hidden="1">
      <c r="A220" s="166"/>
      <c r="B220" s="167"/>
      <c r="C220" s="167"/>
      <c r="D220" s="173" t="s">
        <v>97</v>
      </c>
      <c r="E220" s="174"/>
      <c r="F220" s="174"/>
      <c r="G220" s="171"/>
      <c r="H220" s="257" t="s">
        <v>85</v>
      </c>
      <c r="I220" s="212">
        <f ca="1">IFERROR(__xludf.DUMMYFUNCTION("IMPORTRANGE(""https://docs.google.com/spreadsheets/d/1eHaY18a8A9IcSdp1K8H6x8fbOy06t2VsZHhMHf-1x7Y/edit?usp=sharing"",""แผน!AP36"")"),0)</f>
        <v>0</v>
      </c>
      <c r="J220" s="467">
        <v>0</v>
      </c>
      <c r="K220" s="255">
        <f ca="1">IF(I220&gt;0,J220*100/I220,0)</f>
        <v>0</v>
      </c>
      <c r="L220" s="62"/>
      <c r="M220" s="55"/>
      <c r="N220" s="55"/>
      <c r="O220" s="55"/>
      <c r="P220" s="55"/>
      <c r="Q220" s="62"/>
      <c r="R220" s="55"/>
      <c r="S220" s="55"/>
      <c r="T220" s="55"/>
      <c r="U220" s="55"/>
    </row>
    <row r="221" spans="1:21" ht="19.5">
      <c r="A221" s="241"/>
      <c r="B221" s="242"/>
      <c r="C221" s="243" t="s">
        <v>98</v>
      </c>
      <c r="D221" s="244"/>
      <c r="E221" s="244"/>
      <c r="F221" s="244"/>
      <c r="G221" s="245"/>
      <c r="H221" s="246" t="s">
        <v>99</v>
      </c>
      <c r="I221" s="339">
        <f ca="1">I229</f>
        <v>70000</v>
      </c>
      <c r="J221" s="339">
        <f>J229</f>
        <v>0</v>
      </c>
      <c r="K221" s="340">
        <f ca="1">IF(I221&gt;0,J221*100/I221,0)</f>
        <v>0</v>
      </c>
      <c r="L221" s="250"/>
      <c r="M221" s="249"/>
      <c r="N221" s="249"/>
      <c r="O221" s="249"/>
      <c r="P221" s="249"/>
      <c r="Q221" s="249"/>
      <c r="R221" s="249"/>
      <c r="S221" s="249"/>
      <c r="T221" s="249"/>
      <c r="U221" s="249"/>
    </row>
    <row r="222" spans="1:21" ht="19.5">
      <c r="A222" s="155"/>
      <c r="B222" s="50"/>
      <c r="C222" s="156" t="s">
        <v>18</v>
      </c>
      <c r="D222" s="713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541">
        <f ca="1">L223+L224+L225</f>
        <v>10500</v>
      </c>
      <c r="M222" s="55"/>
      <c r="N222" s="540">
        <f>N223+N224+N225</f>
        <v>0</v>
      </c>
      <c r="O222" s="540">
        <f ca="1">IF(L222&gt;0,N222*100/L222,0)</f>
        <v>0</v>
      </c>
      <c r="P222" s="540">
        <f>IF(M222&gt;0,N222*100/M222,0)</f>
        <v>0</v>
      </c>
      <c r="Q222" s="55"/>
      <c r="R222" s="55"/>
      <c r="S222" s="55"/>
      <c r="T222" s="55"/>
      <c r="U222" s="55"/>
    </row>
    <row r="223" spans="1:21" ht="18.75">
      <c r="A223" s="155"/>
      <c r="B223" s="188"/>
      <c r="C223" s="50"/>
      <c r="D223" s="712" t="s">
        <v>309</v>
      </c>
      <c r="E223" s="50"/>
      <c r="F223" s="50"/>
      <c r="G223" s="52"/>
      <c r="H223" s="162" t="s">
        <v>14</v>
      </c>
      <c r="I223" s="163"/>
      <c r="J223" s="163"/>
      <c r="K223" s="164"/>
      <c r="L223" s="256">
        <f ca="1">IFERROR(__xludf.DUMMYFUNCTION("IMPORTRANGE(""https://docs.google.com/spreadsheets/d/1eHaY18a8A9IcSdp1K8H6x8fbOy06t2VsZHhMHf-1x7Y/edit?usp=sharing"",""แผน!AR36"")"),2500)</f>
        <v>2500</v>
      </c>
      <c r="M223" s="55"/>
      <c r="N223" s="702">
        <v>0</v>
      </c>
      <c r="O223" s="164"/>
      <c r="P223" s="55"/>
      <c r="Q223" s="55"/>
      <c r="R223" s="55"/>
      <c r="S223" s="55"/>
      <c r="T223" s="164"/>
      <c r="U223" s="55"/>
    </row>
    <row r="224" spans="1:21" ht="18.75">
      <c r="A224" s="238"/>
      <c r="B224" s="188"/>
      <c r="C224" s="188"/>
      <c r="D224" s="58" t="s">
        <v>308</v>
      </c>
      <c r="E224" s="50"/>
      <c r="F224" s="50"/>
      <c r="G224" s="52"/>
      <c r="H224" s="162" t="s">
        <v>14</v>
      </c>
      <c r="I224" s="54"/>
      <c r="J224" s="54"/>
      <c r="K224" s="55"/>
      <c r="L224" s="256">
        <f ca="1">IFERROR(__xludf.DUMMYFUNCTION("IMPORTRANGE(""https://docs.google.com/spreadsheets/d/1eHaY18a8A9IcSdp1K8H6x8fbOy06t2VsZHhMHf-1x7Y/edit?usp=sharing"",""แผน!AS36"")"),8000)</f>
        <v>8000</v>
      </c>
      <c r="M224" s="55"/>
      <c r="N224" s="702">
        <v>0</v>
      </c>
      <c r="O224" s="164"/>
      <c r="P224" s="55"/>
      <c r="Q224" s="55"/>
      <c r="R224" s="55"/>
      <c r="S224" s="55"/>
      <c r="T224" s="164"/>
      <c r="U224" s="55"/>
    </row>
    <row r="225" spans="1:21" ht="18.75">
      <c r="A225" s="238"/>
      <c r="B225" s="188"/>
      <c r="C225" s="188"/>
      <c r="D225" s="58" t="s">
        <v>88</v>
      </c>
      <c r="E225" s="50"/>
      <c r="F225" s="50"/>
      <c r="G225" s="52"/>
      <c r="H225" s="162" t="s">
        <v>14</v>
      </c>
      <c r="I225" s="54"/>
      <c r="J225" s="54"/>
      <c r="K225" s="55"/>
      <c r="L225" s="256">
        <f ca="1">IFERROR(__xludf.DUMMYFUNCTION("IMPORTRANGE(""https://docs.google.com/spreadsheets/d/1eHaY18a8A9IcSdp1K8H6x8fbOy06t2VsZHhMHf-1x7Y/edit?usp=sharing"",""แผน!AT36"")"),0)</f>
        <v>0</v>
      </c>
      <c r="M225" s="55"/>
      <c r="N225" s="702">
        <v>0</v>
      </c>
      <c r="O225" s="164"/>
      <c r="P225" s="55"/>
      <c r="Q225" s="55"/>
      <c r="R225" s="55"/>
      <c r="S225" s="55"/>
      <c r="T225" s="164"/>
      <c r="U225" s="55"/>
    </row>
    <row r="226" spans="1:21" ht="19.5">
      <c r="A226" s="166"/>
      <c r="B226" s="167"/>
      <c r="C226" s="191" t="s">
        <v>18</v>
      </c>
      <c r="D226" s="566" t="s">
        <v>38</v>
      </c>
      <c r="E226" s="169"/>
      <c r="F226" s="169"/>
      <c r="G226" s="170"/>
      <c r="H226" s="171"/>
      <c r="I226" s="163"/>
      <c r="J226" s="163"/>
      <c r="K226" s="164"/>
      <c r="L226" s="172"/>
      <c r="M226" s="164"/>
      <c r="N226" s="164"/>
      <c r="O226" s="164"/>
      <c r="P226" s="164"/>
      <c r="Q226" s="164"/>
      <c r="R226" s="164"/>
      <c r="S226" s="164"/>
      <c r="T226" s="164"/>
      <c r="U226" s="164"/>
    </row>
    <row r="227" spans="1:21" ht="18.75">
      <c r="A227" s="166"/>
      <c r="B227" s="167"/>
      <c r="C227" s="167"/>
      <c r="D227" s="58" t="s">
        <v>101</v>
      </c>
      <c r="E227" s="174"/>
      <c r="F227" s="174"/>
      <c r="G227" s="171"/>
      <c r="H227" s="171"/>
      <c r="I227" s="54"/>
      <c r="J227" s="54"/>
      <c r="K227" s="164"/>
      <c r="L227" s="172"/>
      <c r="M227" s="164"/>
      <c r="N227" s="164"/>
      <c r="O227" s="164"/>
      <c r="P227" s="164"/>
      <c r="Q227" s="164"/>
      <c r="R227" s="164"/>
      <c r="S227" s="164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79" t="s">
        <v>99</v>
      </c>
      <c r="I228" s="212">
        <f ca="1">IFERROR(__xludf.DUMMYFUNCTION("IMPORTRANGE(""https://docs.google.com/spreadsheets/d/1eHaY18a8A9IcSdp1K8H6x8fbOy06t2VsZHhMHf-1x7Y/edit?usp=sharing"",""แผน!AV36"")"),70000)</f>
        <v>70000</v>
      </c>
      <c r="J228" s="467">
        <v>0</v>
      </c>
      <c r="K228" s="565">
        <f ca="1">IF(I228&gt;0,J228*100/I228,0)</f>
        <v>0</v>
      </c>
      <c r="L228" s="172"/>
      <c r="M228" s="164"/>
      <c r="N228" s="164"/>
      <c r="O228" s="164"/>
      <c r="P228" s="164"/>
      <c r="Q228" s="164"/>
      <c r="R228" s="164"/>
      <c r="S228" s="164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79" t="s">
        <v>99</v>
      </c>
      <c r="I229" s="212">
        <f ca="1">IFERROR(__xludf.DUMMYFUNCTION("IMPORTRANGE(""https://docs.google.com/spreadsheets/d/1eHaY18a8A9IcSdp1K8H6x8fbOy06t2VsZHhMHf-1x7Y/edit?usp=sharing"",""แผน!AV36"")"),70000)</f>
        <v>70000</v>
      </c>
      <c r="J229" s="467">
        <v>0</v>
      </c>
      <c r="K229" s="565">
        <f ca="1">IF(I229&gt;0,J229*100/I229,0)</f>
        <v>0</v>
      </c>
      <c r="L229" s="62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79" t="s">
        <v>35</v>
      </c>
      <c r="I230" s="212">
        <f ca="1">IFERROR(__xludf.DUMMYFUNCTION("IMPORTRANGE(""https://docs.google.com/spreadsheets/d/1eHaY18a8A9IcSdp1K8H6x8fbOy06t2VsZHhMHf-1x7Y/edit?usp=sharing"",""แผน!AU36"")"),0)</f>
        <v>0</v>
      </c>
      <c r="J230" s="467">
        <v>0</v>
      </c>
      <c r="K230" s="565">
        <f ca="1">IF(I230&gt;0,J230*100/I230,0)</f>
        <v>0</v>
      </c>
      <c r="L230" s="62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9.5" hidden="1">
      <c r="A231" s="241"/>
      <c r="B231" s="242"/>
      <c r="C231" s="243" t="s">
        <v>105</v>
      </c>
      <c r="D231" s="244"/>
      <c r="E231" s="244"/>
      <c r="F231" s="244"/>
      <c r="G231" s="245"/>
      <c r="H231" s="246" t="s">
        <v>35</v>
      </c>
      <c r="I231" s="339">
        <f ca="1">I242+I253</f>
        <v>0</v>
      </c>
      <c r="J231" s="339">
        <f>J242+J253</f>
        <v>0</v>
      </c>
      <c r="K231" s="340">
        <f ca="1">IF(I231&gt;0,J231*100/I231,0)</f>
        <v>0</v>
      </c>
      <c r="L231" s="250"/>
      <c r="M231" s="249"/>
      <c r="N231" s="249"/>
      <c r="O231" s="249"/>
      <c r="P231" s="249"/>
      <c r="Q231" s="249"/>
      <c r="R231" s="249"/>
      <c r="S231" s="249"/>
      <c r="T231" s="249"/>
      <c r="U231" s="249"/>
    </row>
    <row r="232" spans="1:21" ht="19.5" hidden="1">
      <c r="A232" s="155"/>
      <c r="B232" s="50"/>
      <c r="C232" s="156" t="s">
        <v>18</v>
      </c>
      <c r="D232" s="575" t="s">
        <v>19</v>
      </c>
      <c r="E232" s="50"/>
      <c r="F232" s="50"/>
      <c r="G232" s="52"/>
      <c r="H232" s="252" t="s">
        <v>14</v>
      </c>
      <c r="I232" s="163"/>
      <c r="J232" s="163"/>
      <c r="K232" s="164"/>
      <c r="L232" s="711">
        <f ca="1">L243+L254</f>
        <v>0</v>
      </c>
      <c r="M232" s="55"/>
      <c r="N232" s="710">
        <f>N243+N254</f>
        <v>0</v>
      </c>
      <c r="O232" s="55"/>
      <c r="P232" s="55"/>
      <c r="Q232" s="55"/>
      <c r="R232" s="55"/>
      <c r="S232" s="55"/>
      <c r="T232" s="55"/>
      <c r="U232" s="55"/>
    </row>
    <row r="233" spans="1:21" ht="18.75" hidden="1">
      <c r="A233" s="155"/>
      <c r="B233" s="188"/>
      <c r="C233" s="50"/>
      <c r="D233" s="58" t="s">
        <v>86</v>
      </c>
      <c r="E233" s="50"/>
      <c r="F233" s="50"/>
      <c r="G233" s="52"/>
      <c r="H233" s="162" t="s">
        <v>14</v>
      </c>
      <c r="I233" s="163"/>
      <c r="J233" s="163"/>
      <c r="K233" s="164"/>
      <c r="L233" s="103">
        <f ca="1">L244+L255</f>
        <v>0</v>
      </c>
      <c r="M233" s="55"/>
      <c r="N233" s="102">
        <f>N244+N255</f>
        <v>0</v>
      </c>
      <c r="O233" s="55"/>
      <c r="P233" s="55"/>
      <c r="Q233" s="709">
        <v>0</v>
      </c>
      <c r="R233" s="708">
        <v>0</v>
      </c>
      <c r="S233" s="708">
        <v>0</v>
      </c>
      <c r="T233" s="55"/>
      <c r="U233" s="55"/>
    </row>
    <row r="234" spans="1:21" ht="18.75" hidden="1">
      <c r="A234" s="238"/>
      <c r="B234" s="188"/>
      <c r="C234" s="188"/>
      <c r="D234" s="58" t="s">
        <v>88</v>
      </c>
      <c r="E234" s="50"/>
      <c r="F234" s="50"/>
      <c r="G234" s="52"/>
      <c r="H234" s="162" t="s">
        <v>14</v>
      </c>
      <c r="I234" s="54"/>
      <c r="J234" s="54"/>
      <c r="K234" s="55"/>
      <c r="L234" s="103">
        <f ca="1">L245+L256</f>
        <v>0</v>
      </c>
      <c r="M234" s="55"/>
      <c r="N234" s="102">
        <f>N245+N256</f>
        <v>0</v>
      </c>
      <c r="O234" s="55"/>
      <c r="P234" s="55"/>
      <c r="Q234" s="256">
        <v>0</v>
      </c>
      <c r="R234" s="255">
        <v>0</v>
      </c>
      <c r="S234" s="255">
        <v>0</v>
      </c>
      <c r="T234" s="55"/>
      <c r="U234" s="55"/>
    </row>
    <row r="235" spans="1:21" ht="18.75" hidden="1">
      <c r="A235" s="238"/>
      <c r="B235" s="188"/>
      <c r="C235" s="188"/>
      <c r="D235" s="58" t="s">
        <v>106</v>
      </c>
      <c r="E235" s="50"/>
      <c r="F235" s="50"/>
      <c r="G235" s="52"/>
      <c r="H235" s="162" t="s">
        <v>14</v>
      </c>
      <c r="I235" s="54"/>
      <c r="J235" s="54"/>
      <c r="K235" s="55"/>
      <c r="L235" s="103">
        <f ca="1">L246+L257</f>
        <v>0</v>
      </c>
      <c r="M235" s="55"/>
      <c r="N235" s="102">
        <f>N246+N257</f>
        <v>0</v>
      </c>
      <c r="O235" s="55"/>
      <c r="P235" s="55"/>
      <c r="Q235" s="256">
        <v>0</v>
      </c>
      <c r="R235" s="255">
        <v>0</v>
      </c>
      <c r="S235" s="255">
        <v>0</v>
      </c>
      <c r="T235" s="55"/>
      <c r="U235" s="55"/>
    </row>
    <row r="236" spans="1:21" ht="18.75" hidden="1">
      <c r="A236" s="238"/>
      <c r="B236" s="188"/>
      <c r="C236" s="188"/>
      <c r="D236" s="58" t="s">
        <v>107</v>
      </c>
      <c r="E236" s="50"/>
      <c r="F236" s="50"/>
      <c r="G236" s="52"/>
      <c r="H236" s="162" t="s">
        <v>14</v>
      </c>
      <c r="I236" s="54"/>
      <c r="J236" s="54"/>
      <c r="K236" s="55"/>
      <c r="L236" s="103">
        <f ca="1">L247+L258</f>
        <v>0</v>
      </c>
      <c r="M236" s="55"/>
      <c r="N236" s="102">
        <f>N247+N258</f>
        <v>0</v>
      </c>
      <c r="O236" s="55"/>
      <c r="P236" s="55"/>
      <c r="Q236" s="256">
        <v>0</v>
      </c>
      <c r="R236" s="255">
        <v>0</v>
      </c>
      <c r="S236" s="255">
        <v>0</v>
      </c>
      <c r="T236" s="55"/>
      <c r="U236" s="55"/>
    </row>
    <row r="237" spans="1:21" ht="19.5" hidden="1">
      <c r="A237" s="166"/>
      <c r="B237" s="167"/>
      <c r="C237" s="191" t="s">
        <v>18</v>
      </c>
      <c r="D237" s="566" t="s">
        <v>38</v>
      </c>
      <c r="E237" s="169"/>
      <c r="F237" s="169"/>
      <c r="G237" s="170"/>
      <c r="H237" s="171"/>
      <c r="I237" s="163"/>
      <c r="J237" s="54"/>
      <c r="K237" s="55"/>
      <c r="L237" s="62"/>
      <c r="M237" s="55"/>
      <c r="N237" s="55"/>
      <c r="O237" s="164"/>
      <c r="P237" s="164"/>
      <c r="Q237" s="55"/>
      <c r="R237" s="55"/>
      <c r="S237" s="55"/>
      <c r="T237" s="164"/>
      <c r="U237" s="164"/>
    </row>
    <row r="238" spans="1:21" ht="18.75" hidden="1">
      <c r="A238" s="166"/>
      <c r="B238" s="167"/>
      <c r="C238" s="167"/>
      <c r="D238" s="178" t="s">
        <v>108</v>
      </c>
      <c r="E238" s="174"/>
      <c r="F238" s="174"/>
      <c r="G238" s="171"/>
      <c r="H238" s="179" t="s">
        <v>35</v>
      </c>
      <c r="I238" s="212">
        <f ca="1">I249+I260</f>
        <v>0</v>
      </c>
      <c r="J238" s="212">
        <f>J249+J260</f>
        <v>0</v>
      </c>
      <c r="K238" s="255">
        <f ca="1">IF(I238&gt;0,J238*100/I238,0)</f>
        <v>0</v>
      </c>
      <c r="L238" s="62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ht="18.75" hidden="1">
      <c r="A239" s="166"/>
      <c r="B239" s="167"/>
      <c r="C239" s="167"/>
      <c r="D239" s="266" t="s">
        <v>43</v>
      </c>
      <c r="E239" s="174"/>
      <c r="F239" s="174"/>
      <c r="G239" s="171"/>
      <c r="H239" s="171"/>
      <c r="I239" s="54"/>
      <c r="J239" s="54"/>
      <c r="K239" s="55"/>
      <c r="L239" s="62"/>
      <c r="M239" s="55"/>
      <c r="N239" s="55"/>
      <c r="O239" s="164"/>
      <c r="P239" s="164"/>
      <c r="Q239" s="55"/>
      <c r="R239" s="55"/>
      <c r="S239" s="55"/>
      <c r="T239" s="164"/>
      <c r="U239" s="164"/>
    </row>
    <row r="240" spans="1:21" ht="18.75" hidden="1">
      <c r="A240" s="166"/>
      <c r="B240" s="167"/>
      <c r="C240" s="167"/>
      <c r="D240" s="167"/>
      <c r="E240" s="173" t="s">
        <v>109</v>
      </c>
      <c r="F240" s="174"/>
      <c r="G240" s="171"/>
      <c r="H240" s="179" t="s">
        <v>35</v>
      </c>
      <c r="I240" s="212">
        <f>I251+I262</f>
        <v>0</v>
      </c>
      <c r="J240" s="212">
        <f>J251+J262</f>
        <v>0</v>
      </c>
      <c r="K240" s="255">
        <f>IF(I240&gt;0,J240*100/I240,0)</f>
        <v>0</v>
      </c>
      <c r="L240" s="62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ht="18.75" hidden="1">
      <c r="A241" s="166"/>
      <c r="B241" s="167"/>
      <c r="C241" s="167"/>
      <c r="D241" s="167"/>
      <c r="E241" s="173" t="s">
        <v>110</v>
      </c>
      <c r="F241" s="174"/>
      <c r="G241" s="171"/>
      <c r="H241" s="179" t="s">
        <v>61</v>
      </c>
      <c r="I241" s="212">
        <f>I252+I263</f>
        <v>0</v>
      </c>
      <c r="J241" s="212">
        <f>J252+J263</f>
        <v>0</v>
      </c>
      <c r="K241" s="255">
        <f>IF(I241&gt;0,J241*100/I241,0)</f>
        <v>0</v>
      </c>
      <c r="L241" s="62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ht="19.5" hidden="1">
      <c r="A242" s="241"/>
      <c r="B242" s="242"/>
      <c r="C242" s="707" t="s">
        <v>111</v>
      </c>
      <c r="D242" s="244"/>
      <c r="E242" s="244"/>
      <c r="F242" s="244"/>
      <c r="G242" s="245"/>
      <c r="H242" s="706" t="s">
        <v>35</v>
      </c>
      <c r="I242" s="705">
        <f ca="1">I249</f>
        <v>0</v>
      </c>
      <c r="J242" s="705">
        <f>J249</f>
        <v>0</v>
      </c>
      <c r="K242" s="704">
        <f ca="1">IF(I242&gt;0,J242*100/I242,0)</f>
        <v>0</v>
      </c>
      <c r="L242" s="250"/>
      <c r="M242" s="249"/>
      <c r="N242" s="249"/>
      <c r="O242" s="249"/>
      <c r="P242" s="249"/>
      <c r="Q242" s="249"/>
      <c r="R242" s="249"/>
      <c r="S242" s="249"/>
      <c r="T242" s="249"/>
      <c r="U242" s="249"/>
    </row>
    <row r="243" spans="1:21" ht="19.5" hidden="1">
      <c r="A243" s="155"/>
      <c r="B243" s="50"/>
      <c r="C243" s="591" t="s">
        <v>18</v>
      </c>
      <c r="D243" s="562" t="s">
        <v>19</v>
      </c>
      <c r="E243" s="50"/>
      <c r="F243" s="50"/>
      <c r="G243" s="52"/>
      <c r="H243" s="418" t="s">
        <v>14</v>
      </c>
      <c r="I243" s="163"/>
      <c r="J243" s="163"/>
      <c r="K243" s="164"/>
      <c r="L243" s="541">
        <f ca="1">L244+L245+L246+L247</f>
        <v>0</v>
      </c>
      <c r="M243" s="55"/>
      <c r="N243" s="540">
        <f>N244+N245+N246+N247</f>
        <v>0</v>
      </c>
      <c r="O243" s="540">
        <f ca="1">IF(L243&gt;0,N243*100/L243,0)</f>
        <v>0</v>
      </c>
      <c r="P243" s="540">
        <f>IF(M243&gt;0,N243*100/M243,0)</f>
        <v>0</v>
      </c>
      <c r="Q243" s="55"/>
      <c r="R243" s="55"/>
      <c r="S243" s="55"/>
      <c r="T243" s="55"/>
      <c r="U243" s="55"/>
    </row>
    <row r="244" spans="1:21" ht="18.75" hidden="1">
      <c r="A244" s="155"/>
      <c r="B244" s="188"/>
      <c r="C244" s="50"/>
      <c r="D244" s="186" t="s">
        <v>86</v>
      </c>
      <c r="E244" s="50"/>
      <c r="F244" s="50"/>
      <c r="G244" s="52"/>
      <c r="H244" s="189" t="s">
        <v>14</v>
      </c>
      <c r="I244" s="163"/>
      <c r="J244" s="163"/>
      <c r="K244" s="164"/>
      <c r="L244" s="256">
        <f ca="1">IFERROR(__xludf.DUMMYFUNCTION("IMPORTRANGE(""https://docs.google.com/spreadsheets/d/1eHaY18a8A9IcSdp1K8H6x8fbOy06t2VsZHhMHf-1x7Y/edit?usp=sharing"",""แผน!AX36"")"),0)</f>
        <v>0</v>
      </c>
      <c r="M244" s="55"/>
      <c r="N244" s="702">
        <v>0</v>
      </c>
      <c r="O244" s="55"/>
      <c r="P244" s="55"/>
      <c r="Q244" s="55"/>
      <c r="R244" s="55"/>
      <c r="S244" s="55"/>
      <c r="T244" s="55"/>
      <c r="U244" s="55"/>
    </row>
    <row r="245" spans="1:21" ht="18.75" hidden="1">
      <c r="A245" s="238"/>
      <c r="B245" s="188"/>
      <c r="C245" s="188"/>
      <c r="D245" s="186" t="s">
        <v>88</v>
      </c>
      <c r="E245" s="50"/>
      <c r="F245" s="50"/>
      <c r="G245" s="52"/>
      <c r="H245" s="189" t="s">
        <v>14</v>
      </c>
      <c r="I245" s="54"/>
      <c r="J245" s="54"/>
      <c r="K245" s="55"/>
      <c r="L245" s="256">
        <f ca="1">IFERROR(__xludf.DUMMYFUNCTION("IMPORTRANGE(""https://docs.google.com/spreadsheets/d/1eHaY18a8A9IcSdp1K8H6x8fbOy06t2VsZHhMHf-1x7Y/edit?usp=sharing"",""แผน!AY36"")"),0)</f>
        <v>0</v>
      </c>
      <c r="M245" s="55"/>
      <c r="N245" s="702">
        <v>0</v>
      </c>
      <c r="O245" s="55"/>
      <c r="P245" s="55"/>
      <c r="Q245" s="55"/>
      <c r="R245" s="55"/>
      <c r="S245" s="55"/>
      <c r="T245" s="55"/>
      <c r="U245" s="55"/>
    </row>
    <row r="246" spans="1:21" ht="18.75" hidden="1">
      <c r="A246" s="238"/>
      <c r="B246" s="188"/>
      <c r="C246" s="188"/>
      <c r="D246" s="186" t="s">
        <v>106</v>
      </c>
      <c r="E246" s="50"/>
      <c r="F246" s="50"/>
      <c r="G246" s="52"/>
      <c r="H246" s="189" t="s">
        <v>14</v>
      </c>
      <c r="I246" s="54"/>
      <c r="J246" s="54"/>
      <c r="K246" s="55"/>
      <c r="L246" s="256">
        <f ca="1">IFERROR(__xludf.DUMMYFUNCTION("IMPORTRANGE(""https://docs.google.com/spreadsheets/d/1eHaY18a8A9IcSdp1K8H6x8fbOy06t2VsZHhMHf-1x7Y/edit?usp=sharing"",""แผน!AZ36"")"),0)</f>
        <v>0</v>
      </c>
      <c r="M246" s="55"/>
      <c r="N246" s="702">
        <v>0</v>
      </c>
      <c r="O246" s="55"/>
      <c r="P246" s="55"/>
      <c r="Q246" s="55"/>
      <c r="R246" s="55"/>
      <c r="S246" s="55"/>
      <c r="T246" s="55"/>
      <c r="U246" s="55"/>
    </row>
    <row r="247" spans="1:21" ht="18.75" hidden="1">
      <c r="A247" s="238"/>
      <c r="B247" s="188"/>
      <c r="C247" s="188"/>
      <c r="D247" s="186" t="s">
        <v>107</v>
      </c>
      <c r="E247" s="50"/>
      <c r="F247" s="50"/>
      <c r="G247" s="52"/>
      <c r="H247" s="189" t="s">
        <v>14</v>
      </c>
      <c r="I247" s="54"/>
      <c r="J247" s="54"/>
      <c r="K247" s="55"/>
      <c r="L247" s="256">
        <f ca="1">IFERROR(__xludf.DUMMYFUNCTION("IMPORTRANGE(""https://docs.google.com/spreadsheets/d/1eHaY18a8A9IcSdp1K8H6x8fbOy06t2VsZHhMHf-1x7Y/edit?usp=sharing"",""แผน!BA36"")"),0)</f>
        <v>0</v>
      </c>
      <c r="M247" s="55"/>
      <c r="N247" s="702">
        <v>0</v>
      </c>
      <c r="O247" s="55"/>
      <c r="P247" s="55"/>
      <c r="Q247" s="55"/>
      <c r="R247" s="55"/>
      <c r="S247" s="55"/>
      <c r="T247" s="55"/>
      <c r="U247" s="55"/>
    </row>
    <row r="248" spans="1:21" ht="19.5" hidden="1">
      <c r="A248" s="166"/>
      <c r="B248" s="167"/>
      <c r="C248" s="701" t="s">
        <v>18</v>
      </c>
      <c r="D248" s="574" t="s">
        <v>38</v>
      </c>
      <c r="E248" s="169"/>
      <c r="F248" s="169"/>
      <c r="G248" s="170"/>
      <c r="H248" s="171"/>
      <c r="I248" s="163"/>
      <c r="J248" s="54"/>
      <c r="K248" s="55"/>
      <c r="L248" s="62"/>
      <c r="M248" s="55"/>
      <c r="N248" s="55"/>
      <c r="O248" s="164"/>
      <c r="P248" s="164"/>
      <c r="Q248" s="55"/>
      <c r="R248" s="55"/>
      <c r="S248" s="55"/>
      <c r="T248" s="164"/>
      <c r="U248" s="164"/>
    </row>
    <row r="249" spans="1:21" ht="18.75" hidden="1">
      <c r="A249" s="166"/>
      <c r="B249" s="167"/>
      <c r="C249" s="167"/>
      <c r="D249" s="207" t="s">
        <v>108</v>
      </c>
      <c r="E249" s="174"/>
      <c r="F249" s="174"/>
      <c r="G249" s="171"/>
      <c r="H249" s="698" t="s">
        <v>35</v>
      </c>
      <c r="I249" s="483">
        <f ca="1">IFERROR(__xludf.DUMMYFUNCTION("IMPORTRANGE(""https://docs.google.com/spreadsheets/d/1eHaY18a8A9IcSdp1K8H6x8fbOy06t2VsZHhMHf-1x7Y/edit?usp=sharing"",""แผน!BG36"")"),0)</f>
        <v>0</v>
      </c>
      <c r="J249" s="589">
        <v>0</v>
      </c>
      <c r="K249" s="102">
        <f ca="1">IF(I249&gt;0,J249*100/I249,0)</f>
        <v>0</v>
      </c>
      <c r="L249" s="62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8.75" hidden="1">
      <c r="A250" s="166"/>
      <c r="B250" s="167"/>
      <c r="C250" s="167"/>
      <c r="D250" s="700" t="s">
        <v>43</v>
      </c>
      <c r="E250" s="174"/>
      <c r="F250" s="174"/>
      <c r="G250" s="171"/>
      <c r="H250" s="171"/>
      <c r="I250" s="54"/>
      <c r="J250" s="54"/>
      <c r="K250" s="55"/>
      <c r="L250" s="62"/>
      <c r="M250" s="55"/>
      <c r="N250" s="55"/>
      <c r="O250" s="164"/>
      <c r="P250" s="164"/>
      <c r="Q250" s="55"/>
      <c r="R250" s="55"/>
      <c r="S250" s="55"/>
      <c r="T250" s="164"/>
      <c r="U250" s="164"/>
    </row>
    <row r="251" spans="1:21" ht="18.75" hidden="1">
      <c r="A251" s="166"/>
      <c r="B251" s="167"/>
      <c r="C251" s="167"/>
      <c r="D251" s="167"/>
      <c r="E251" s="699" t="s">
        <v>109</v>
      </c>
      <c r="F251" s="174"/>
      <c r="G251" s="171"/>
      <c r="H251" s="698" t="s">
        <v>35</v>
      </c>
      <c r="I251" s="483">
        <v>0</v>
      </c>
      <c r="J251" s="589">
        <v>0</v>
      </c>
      <c r="K251" s="102">
        <f>IF(I251&gt;0,J251*100/I251,0)</f>
        <v>0</v>
      </c>
      <c r="L251" s="62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8.75" hidden="1">
      <c r="A252" s="166"/>
      <c r="B252" s="167"/>
      <c r="C252" s="167"/>
      <c r="D252" s="167"/>
      <c r="E252" s="699" t="s">
        <v>110</v>
      </c>
      <c r="F252" s="174"/>
      <c r="G252" s="171"/>
      <c r="H252" s="698" t="s">
        <v>61</v>
      </c>
      <c r="I252" s="483">
        <v>0</v>
      </c>
      <c r="J252" s="589">
        <v>0</v>
      </c>
      <c r="K252" s="102">
        <f>IF(I252&gt;0,J252*100/I252,0)</f>
        <v>0</v>
      </c>
      <c r="L252" s="62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9.5" hidden="1">
      <c r="A253" s="241"/>
      <c r="B253" s="242"/>
      <c r="C253" s="707" t="s">
        <v>112</v>
      </c>
      <c r="D253" s="244"/>
      <c r="E253" s="244"/>
      <c r="F253" s="244"/>
      <c r="G253" s="245"/>
      <c r="H253" s="706" t="s">
        <v>35</v>
      </c>
      <c r="I253" s="705">
        <f ca="1">I260</f>
        <v>0</v>
      </c>
      <c r="J253" s="705">
        <f>J260</f>
        <v>0</v>
      </c>
      <c r="K253" s="704">
        <f ca="1">IF(I253&gt;0,J253*100/I253,0)</f>
        <v>0</v>
      </c>
      <c r="L253" s="250"/>
      <c r="M253" s="249"/>
      <c r="N253" s="249"/>
      <c r="O253" s="249"/>
      <c r="P253" s="249"/>
      <c r="Q253" s="249"/>
      <c r="R253" s="249"/>
      <c r="S253" s="249"/>
      <c r="T253" s="249"/>
      <c r="U253" s="249"/>
    </row>
    <row r="254" spans="1:21" ht="19.5" hidden="1">
      <c r="A254" s="155"/>
      <c r="B254" s="50"/>
      <c r="C254" s="591" t="s">
        <v>18</v>
      </c>
      <c r="D254" s="703" t="s">
        <v>19</v>
      </c>
      <c r="E254" s="50"/>
      <c r="F254" s="50"/>
      <c r="G254" s="52"/>
      <c r="H254" s="418" t="s">
        <v>14</v>
      </c>
      <c r="I254" s="163"/>
      <c r="J254" s="163"/>
      <c r="K254" s="164"/>
      <c r="L254" s="541">
        <f ca="1">L255+L256+L257+L258</f>
        <v>0</v>
      </c>
      <c r="M254" s="55"/>
      <c r="N254" s="540">
        <f>N255+N256+N257+N258</f>
        <v>0</v>
      </c>
      <c r="O254" s="540">
        <f ca="1">IF(L254&gt;0,N254*100/L254,0)</f>
        <v>0</v>
      </c>
      <c r="P254" s="540">
        <f>IF(M254&gt;0,N254*100/M254,0)</f>
        <v>0</v>
      </c>
      <c r="Q254" s="55"/>
      <c r="R254" s="55"/>
      <c r="S254" s="55"/>
      <c r="T254" s="55"/>
      <c r="U254" s="55"/>
    </row>
    <row r="255" spans="1:21" ht="18.75" hidden="1">
      <c r="A255" s="155"/>
      <c r="B255" s="188"/>
      <c r="C255" s="50"/>
      <c r="D255" s="186" t="s">
        <v>86</v>
      </c>
      <c r="E255" s="50"/>
      <c r="F255" s="50"/>
      <c r="G255" s="52"/>
      <c r="H255" s="189" t="s">
        <v>14</v>
      </c>
      <c r="I255" s="163"/>
      <c r="J255" s="163"/>
      <c r="K255" s="164"/>
      <c r="L255" s="256">
        <f ca="1">IFERROR(__xludf.DUMMYFUNCTION("IMPORTRANGE(""https://docs.google.com/spreadsheets/d/1eHaY18a8A9IcSdp1K8H6x8fbOy06t2VsZHhMHf-1x7Y/edit?usp=sharing"",""แผน!BB36"")"),0)</f>
        <v>0</v>
      </c>
      <c r="M255" s="55"/>
      <c r="N255" s="702">
        <v>0</v>
      </c>
      <c r="O255" s="55"/>
      <c r="P255" s="55"/>
      <c r="Q255" s="55"/>
      <c r="R255" s="55"/>
      <c r="S255" s="55"/>
      <c r="T255" s="55"/>
      <c r="U255" s="55"/>
    </row>
    <row r="256" spans="1:21" ht="18.75" hidden="1">
      <c r="A256" s="238"/>
      <c r="B256" s="188"/>
      <c r="C256" s="188"/>
      <c r="D256" s="186" t="s">
        <v>88</v>
      </c>
      <c r="E256" s="50"/>
      <c r="F256" s="50"/>
      <c r="G256" s="52"/>
      <c r="H256" s="189" t="s">
        <v>14</v>
      </c>
      <c r="I256" s="54"/>
      <c r="J256" s="54"/>
      <c r="K256" s="55"/>
      <c r="L256" s="256">
        <f ca="1">IFERROR(__xludf.DUMMYFUNCTION("IMPORTRANGE(""https://docs.google.com/spreadsheets/d/1eHaY18a8A9IcSdp1K8H6x8fbOy06t2VsZHhMHf-1x7Y/edit?usp=sharing"",""แผน!BC36"")"),0)</f>
        <v>0</v>
      </c>
      <c r="M256" s="55"/>
      <c r="N256" s="702">
        <v>0</v>
      </c>
      <c r="O256" s="55"/>
      <c r="P256" s="55"/>
      <c r="Q256" s="55"/>
      <c r="R256" s="55"/>
      <c r="S256" s="55"/>
      <c r="T256" s="55"/>
      <c r="U256" s="55"/>
    </row>
    <row r="257" spans="1:21" ht="18.75" hidden="1">
      <c r="A257" s="238"/>
      <c r="B257" s="188"/>
      <c r="C257" s="188"/>
      <c r="D257" s="186" t="s">
        <v>106</v>
      </c>
      <c r="E257" s="50"/>
      <c r="F257" s="50"/>
      <c r="G257" s="52"/>
      <c r="H257" s="189" t="s">
        <v>14</v>
      </c>
      <c r="I257" s="54"/>
      <c r="J257" s="54"/>
      <c r="K257" s="55"/>
      <c r="L257" s="256">
        <f ca="1">IFERROR(__xludf.DUMMYFUNCTION("IMPORTRANGE(""https://docs.google.com/spreadsheets/d/1eHaY18a8A9IcSdp1K8H6x8fbOy06t2VsZHhMHf-1x7Y/edit?usp=sharing"",""แผน!BD36"")"),0)</f>
        <v>0</v>
      </c>
      <c r="M257" s="55"/>
      <c r="N257" s="702">
        <v>0</v>
      </c>
      <c r="O257" s="55"/>
      <c r="P257" s="55"/>
      <c r="Q257" s="55"/>
      <c r="R257" s="55"/>
      <c r="S257" s="55"/>
      <c r="T257" s="55"/>
      <c r="U257" s="55"/>
    </row>
    <row r="258" spans="1:21" ht="18.75" hidden="1">
      <c r="A258" s="238"/>
      <c r="B258" s="188"/>
      <c r="C258" s="188"/>
      <c r="D258" s="186" t="s">
        <v>107</v>
      </c>
      <c r="E258" s="50"/>
      <c r="F258" s="50"/>
      <c r="G258" s="52"/>
      <c r="H258" s="189" t="s">
        <v>14</v>
      </c>
      <c r="I258" s="54"/>
      <c r="J258" s="54"/>
      <c r="K258" s="55"/>
      <c r="L258" s="256">
        <f ca="1">IFERROR(__xludf.DUMMYFUNCTION("IMPORTRANGE(""https://docs.google.com/spreadsheets/d/1eHaY18a8A9IcSdp1K8H6x8fbOy06t2VsZHhMHf-1x7Y/edit?usp=sharing"",""แผน!BE36"")"),0)</f>
        <v>0</v>
      </c>
      <c r="M258" s="55"/>
      <c r="N258" s="702">
        <v>0</v>
      </c>
      <c r="O258" s="55"/>
      <c r="P258" s="55"/>
      <c r="Q258" s="55"/>
      <c r="R258" s="55"/>
      <c r="S258" s="55"/>
      <c r="T258" s="55"/>
      <c r="U258" s="55"/>
    </row>
    <row r="259" spans="1:21" ht="19.5" hidden="1">
      <c r="A259" s="166"/>
      <c r="B259" s="167"/>
      <c r="C259" s="701" t="s">
        <v>18</v>
      </c>
      <c r="D259" s="574" t="s">
        <v>38</v>
      </c>
      <c r="E259" s="169"/>
      <c r="F259" s="169"/>
      <c r="G259" s="170"/>
      <c r="H259" s="171"/>
      <c r="I259" s="163"/>
      <c r="J259" s="54"/>
      <c r="K259" s="55"/>
      <c r="L259" s="62"/>
      <c r="M259" s="55"/>
      <c r="N259" s="55"/>
      <c r="O259" s="164"/>
      <c r="P259" s="164"/>
      <c r="Q259" s="55"/>
      <c r="R259" s="55"/>
      <c r="S259" s="55"/>
      <c r="T259" s="164"/>
      <c r="U259" s="164"/>
    </row>
    <row r="260" spans="1:21" ht="18.75" hidden="1">
      <c r="A260" s="166"/>
      <c r="B260" s="167"/>
      <c r="C260" s="167"/>
      <c r="D260" s="207" t="s">
        <v>108</v>
      </c>
      <c r="E260" s="174"/>
      <c r="F260" s="174"/>
      <c r="G260" s="171"/>
      <c r="H260" s="698" t="s">
        <v>35</v>
      </c>
      <c r="I260" s="483">
        <f ca="1">IFERROR(__xludf.DUMMYFUNCTION("IMPORTRANGE(""https://docs.google.com/spreadsheets/d/1eHaY18a8A9IcSdp1K8H6x8fbOy06t2VsZHhMHf-1x7Y/edit?usp=sharing"",""แผน!BH36"")"),0)</f>
        <v>0</v>
      </c>
      <c r="J260" s="589">
        <v>0</v>
      </c>
      <c r="K260" s="102">
        <f ca="1">IF(I260&gt;0,J260*100/I260,0)</f>
        <v>0</v>
      </c>
      <c r="L260" s="62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8.75" hidden="1">
      <c r="A261" s="166"/>
      <c r="B261" s="167"/>
      <c r="C261" s="167"/>
      <c r="D261" s="700" t="s">
        <v>43</v>
      </c>
      <c r="E261" s="174"/>
      <c r="F261" s="174"/>
      <c r="G261" s="171"/>
      <c r="H261" s="171"/>
      <c r="I261" s="54"/>
      <c r="J261" s="54"/>
      <c r="K261" s="55"/>
      <c r="L261" s="62"/>
      <c r="M261" s="55"/>
      <c r="N261" s="55"/>
      <c r="O261" s="164"/>
      <c r="P261" s="164"/>
      <c r="Q261" s="55"/>
      <c r="R261" s="55"/>
      <c r="S261" s="55"/>
      <c r="T261" s="164"/>
      <c r="U261" s="164"/>
    </row>
    <row r="262" spans="1:21" ht="18.75" hidden="1">
      <c r="A262" s="166"/>
      <c r="B262" s="167"/>
      <c r="C262" s="167"/>
      <c r="D262" s="167"/>
      <c r="E262" s="699" t="s">
        <v>109</v>
      </c>
      <c r="F262" s="174"/>
      <c r="G262" s="171"/>
      <c r="H262" s="698" t="s">
        <v>35</v>
      </c>
      <c r="I262" s="54"/>
      <c r="J262" s="589">
        <v>0</v>
      </c>
      <c r="K262" s="102">
        <f>IF(I262&gt;0,J262*100/I262,0)</f>
        <v>0</v>
      </c>
      <c r="L262" s="62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8.75" hidden="1">
      <c r="A263" s="166"/>
      <c r="B263" s="167"/>
      <c r="C263" s="167"/>
      <c r="D263" s="167"/>
      <c r="E263" s="699" t="s">
        <v>110</v>
      </c>
      <c r="F263" s="174"/>
      <c r="G263" s="171"/>
      <c r="H263" s="698" t="s">
        <v>61</v>
      </c>
      <c r="I263" s="54"/>
      <c r="J263" s="589">
        <v>0</v>
      </c>
      <c r="K263" s="102">
        <f>IF(I263&gt;0,J263*100/I263,0)</f>
        <v>0</v>
      </c>
      <c r="L263" s="62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9.5">
      <c r="A264" s="697" t="s">
        <v>113</v>
      </c>
      <c r="B264" s="696"/>
      <c r="C264" s="696"/>
      <c r="D264" s="695"/>
      <c r="E264" s="695"/>
      <c r="F264" s="695"/>
      <c r="G264" s="694"/>
      <c r="H264" s="694"/>
      <c r="I264" s="693"/>
      <c r="J264" s="693"/>
      <c r="K264" s="691"/>
      <c r="L264" s="692"/>
      <c r="M264" s="691"/>
      <c r="N264" s="691"/>
      <c r="O264" s="691"/>
      <c r="P264" s="691"/>
      <c r="Q264" s="691"/>
      <c r="R264" s="691"/>
      <c r="S264" s="691"/>
      <c r="T264" s="691"/>
      <c r="U264" s="691"/>
    </row>
    <row r="265" spans="1:21" ht="19.5">
      <c r="A265" s="690"/>
      <c r="B265" s="689" t="s">
        <v>114</v>
      </c>
      <c r="C265" s="688"/>
      <c r="D265" s="661"/>
      <c r="E265" s="661"/>
      <c r="F265" s="661"/>
      <c r="G265" s="660"/>
      <c r="H265" s="687" t="s">
        <v>35</v>
      </c>
      <c r="I265" s="686">
        <f ca="1">I276</f>
        <v>24</v>
      </c>
      <c r="J265" s="686">
        <f>J276</f>
        <v>0</v>
      </c>
      <c r="K265" s="685">
        <f ca="1">IF(I265&gt;0,J265*100/I265,0)</f>
        <v>0</v>
      </c>
      <c r="L265" s="684"/>
      <c r="M265" s="683"/>
      <c r="N265" s="683"/>
      <c r="O265" s="683"/>
      <c r="P265" s="683"/>
      <c r="Q265" s="683"/>
      <c r="R265" s="683"/>
      <c r="S265" s="683"/>
      <c r="T265" s="683"/>
      <c r="U265" s="683"/>
    </row>
    <row r="266" spans="1:21" ht="19.5">
      <c r="A266" s="668"/>
      <c r="B266" s="667"/>
      <c r="C266" s="682" t="s">
        <v>18</v>
      </c>
      <c r="D266" s="681" t="s">
        <v>19</v>
      </c>
      <c r="E266" s="667"/>
      <c r="F266" s="667"/>
      <c r="G266" s="666"/>
      <c r="H266" s="680" t="s">
        <v>14</v>
      </c>
      <c r="I266" s="548"/>
      <c r="J266" s="548"/>
      <c r="K266" s="545"/>
      <c r="L266" s="679">
        <f ca="1">L267+L268</f>
        <v>0</v>
      </c>
      <c r="M266" s="678">
        <f ca="1">M267+M268</f>
        <v>5000</v>
      </c>
      <c r="N266" s="678">
        <f ca="1">N267+N268</f>
        <v>0</v>
      </c>
      <c r="O266" s="678">
        <f ca="1">IF(L266&gt;0,N266*100/L266,0)</f>
        <v>0</v>
      </c>
      <c r="P266" s="678">
        <f ca="1">IF(M266&gt;0,N266*100/M266,0)</f>
        <v>0</v>
      </c>
      <c r="Q266" s="678">
        <f ca="1">Q267+Q268</f>
        <v>53440</v>
      </c>
      <c r="R266" s="678">
        <f ca="1">R267+R268</f>
        <v>53440</v>
      </c>
      <c r="S266" s="678">
        <f ca="1">S267+S268</f>
        <v>47000</v>
      </c>
      <c r="T266" s="678">
        <f ca="1">IF(Q266&gt;0,S266*100/Q266,0)</f>
        <v>87.949101796407192</v>
      </c>
      <c r="U266" s="678">
        <f ca="1">IF(R266&gt;0,S266*100/R266,0)</f>
        <v>87.949101796407192</v>
      </c>
    </row>
    <row r="267" spans="1:21" ht="18.75" hidden="1">
      <c r="A267" s="673"/>
      <c r="B267" s="672"/>
      <c r="C267" s="672"/>
      <c r="D267" s="672"/>
      <c r="E267" s="186" t="s">
        <v>20</v>
      </c>
      <c r="F267" s="672"/>
      <c r="G267" s="671"/>
      <c r="H267" s="187" t="s">
        <v>14</v>
      </c>
      <c r="I267" s="677"/>
      <c r="J267" s="677"/>
      <c r="K267" s="676"/>
      <c r="L267" s="103">
        <f>L270+L273</f>
        <v>0</v>
      </c>
      <c r="M267" s="102">
        <f>M270+M273</f>
        <v>0</v>
      </c>
      <c r="N267" s="102">
        <f>N270+N273</f>
        <v>0</v>
      </c>
      <c r="O267" s="102">
        <f>IF(L267&gt;0,N267*100/L267,0)</f>
        <v>0</v>
      </c>
      <c r="P267" s="102">
        <f>IF(M267&gt;0,N267*100/M267,0)</f>
        <v>0</v>
      </c>
      <c r="Q267" s="102">
        <f>Q270+Q273</f>
        <v>0</v>
      </c>
      <c r="R267" s="102">
        <f>R270+R273</f>
        <v>0</v>
      </c>
      <c r="S267" s="102">
        <f>S270+S273</f>
        <v>0</v>
      </c>
      <c r="T267" s="102">
        <f>IF(Q267&gt;0,S267*100/Q267,0)</f>
        <v>0</v>
      </c>
      <c r="U267" s="102">
        <f>IF(R267&gt;0,S267*100/R267,0)</f>
        <v>0</v>
      </c>
    </row>
    <row r="268" spans="1:21" ht="18.75" hidden="1">
      <c r="A268" s="668"/>
      <c r="B268" s="667"/>
      <c r="C268" s="667"/>
      <c r="D268" s="667"/>
      <c r="E268" s="663" t="s">
        <v>21</v>
      </c>
      <c r="F268" s="667"/>
      <c r="G268" s="666"/>
      <c r="H268" s="549" t="s">
        <v>14</v>
      </c>
      <c r="I268" s="548"/>
      <c r="J268" s="548"/>
      <c r="K268" s="545"/>
      <c r="L268" s="664">
        <f ca="1">L271+L274</f>
        <v>0</v>
      </c>
      <c r="M268" s="555">
        <f ca="1">M271+M274</f>
        <v>5000</v>
      </c>
      <c r="N268" s="555">
        <f ca="1">N271+N274</f>
        <v>0</v>
      </c>
      <c r="O268" s="555">
        <f ca="1">IF(L268&gt;0,N268*100/L268,0)</f>
        <v>0</v>
      </c>
      <c r="P268" s="555">
        <f ca="1">IF(M268&gt;0,N268*100/M268,0)</f>
        <v>0</v>
      </c>
      <c r="Q268" s="555">
        <f ca="1">Q271+Q274</f>
        <v>53440</v>
      </c>
      <c r="R268" s="555">
        <f ca="1">R271+R274</f>
        <v>53440</v>
      </c>
      <c r="S268" s="555">
        <f ca="1">S271+S274</f>
        <v>47000</v>
      </c>
      <c r="T268" s="555">
        <f ca="1">IF(Q268&gt;0,S268*100/Q268,0)</f>
        <v>87.949101796407192</v>
      </c>
      <c r="U268" s="555">
        <f ca="1">IF(R268&gt;0,S268*100/R268,0)</f>
        <v>87.949101796407192</v>
      </c>
    </row>
    <row r="269" spans="1:21" ht="18.75">
      <c r="A269" s="668"/>
      <c r="B269" s="667"/>
      <c r="C269" s="667"/>
      <c r="D269" s="674" t="s">
        <v>22</v>
      </c>
      <c r="E269" s="667"/>
      <c r="F269" s="667"/>
      <c r="G269" s="666"/>
      <c r="H269" s="675" t="s">
        <v>14</v>
      </c>
      <c r="I269" s="659"/>
      <c r="J269" s="659"/>
      <c r="K269" s="657"/>
      <c r="L269" s="664">
        <f ca="1">L270+L271</f>
        <v>0</v>
      </c>
      <c r="M269" s="555">
        <f ca="1">M270+M271</f>
        <v>5000</v>
      </c>
      <c r="N269" s="555">
        <f ca="1">N270+N271</f>
        <v>0</v>
      </c>
      <c r="O269" s="555">
        <f ca="1">IF(L269&gt;0,N269*100/L269,0)</f>
        <v>0</v>
      </c>
      <c r="P269" s="555">
        <f ca="1">IF(M269&gt;0,N269*100/M269,0)</f>
        <v>0</v>
      </c>
      <c r="Q269" s="555">
        <f ca="1">Q270+Q271</f>
        <v>53440</v>
      </c>
      <c r="R269" s="555">
        <f ca="1">R270+R271</f>
        <v>53440</v>
      </c>
      <c r="S269" s="555">
        <f ca="1">S270+S271</f>
        <v>47000</v>
      </c>
      <c r="T269" s="555">
        <f ca="1">IF(Q269&gt;0,S269*100/Q269,0)</f>
        <v>87.949101796407192</v>
      </c>
      <c r="U269" s="555">
        <f ca="1">IF(R269&gt;0,S269*100/R269,0)</f>
        <v>87.949101796407192</v>
      </c>
    </row>
    <row r="270" spans="1:21" ht="18.75" hidden="1">
      <c r="A270" s="673"/>
      <c r="B270" s="672"/>
      <c r="C270" s="672"/>
      <c r="D270" s="672"/>
      <c r="E270" s="186" t="s">
        <v>36</v>
      </c>
      <c r="F270" s="672"/>
      <c r="G270" s="671"/>
      <c r="H270" s="189" t="s">
        <v>14</v>
      </c>
      <c r="I270" s="670"/>
      <c r="J270" s="670"/>
      <c r="K270" s="669"/>
      <c r="L270" s="103">
        <v>0</v>
      </c>
      <c r="M270" s="102">
        <v>0</v>
      </c>
      <c r="N270" s="102">
        <v>0</v>
      </c>
      <c r="O270" s="102">
        <f>IF(L270&gt;0,N270*100/L270,0)</f>
        <v>0</v>
      </c>
      <c r="P270" s="102">
        <f>IF(M270&gt;0,N270*100/M270,0)</f>
        <v>0</v>
      </c>
      <c r="Q270" s="102">
        <v>0</v>
      </c>
      <c r="R270" s="102">
        <v>0</v>
      </c>
      <c r="S270" s="102">
        <v>0</v>
      </c>
      <c r="T270" s="102">
        <f>IF(Q270&gt;0,S270*100/Q270,0)</f>
        <v>0</v>
      </c>
      <c r="U270" s="102">
        <f>IF(R270&gt;0,S270*100/R270,0)</f>
        <v>0</v>
      </c>
    </row>
    <row r="271" spans="1:21" ht="18.75" hidden="1">
      <c r="A271" s="668"/>
      <c r="B271" s="667"/>
      <c r="C271" s="667"/>
      <c r="D271" s="667"/>
      <c r="E271" s="663" t="s">
        <v>37</v>
      </c>
      <c r="F271" s="667"/>
      <c r="G271" s="666"/>
      <c r="H271" s="675" t="s">
        <v>14</v>
      </c>
      <c r="I271" s="659"/>
      <c r="J271" s="659"/>
      <c r="K271" s="657"/>
      <c r="L271" s="664">
        <f ca="1">IFERROR(__xludf.DUMMYFUNCTION("IMPORTRANGE(""https://docs.google.com/spreadsheets/d/1-uDff_7J0KD5mKrp0Vvzr7lt3OU09vwQwhkpOPPYv2Y/edit?usp=sharing"",""งบพรบ!DE36"")"),0)</f>
        <v>0</v>
      </c>
      <c r="M271" s="555">
        <f ca="1">IFERROR(__xludf.DUMMYFUNCTION("IMPORTRANGE(""https://docs.google.com/spreadsheets/d/1-uDff_7J0KD5mKrp0Vvzr7lt3OU09vwQwhkpOPPYv2Y/edit?usp=sharing"",""งบพรบ!DJ36"")"),5000)</f>
        <v>5000</v>
      </c>
      <c r="N271" s="555">
        <f ca="1">IFERROR(__xludf.DUMMYFUNCTION("IMPORTRANGE(""https://docs.google.com/spreadsheets/d/1-uDff_7J0KD5mKrp0Vvzr7lt3OU09vwQwhkpOPPYv2Y/edit?usp=sharing"",""งบพรบ!DL36"")"),0)</f>
        <v>0</v>
      </c>
      <c r="O271" s="555">
        <f ca="1">IF(L271&gt;0,N271*100/L271,0)</f>
        <v>0</v>
      </c>
      <c r="P271" s="555">
        <f ca="1">IF(M271&gt;0,N271*100/M271,0)</f>
        <v>0</v>
      </c>
      <c r="Q271" s="555">
        <f ca="1">IFERROR(__xludf.DUMMYFUNCTION("IMPORTRANGE(""https://docs.google.com/spreadsheets/d/1ItG2mGa2ceCfYo0BwxsXqNm01IGEUdYcSSLTEv9YCik/edit?usp=sharing"",""เบิกจ่ายกองทุน!AJ36"")"),53440)</f>
        <v>53440</v>
      </c>
      <c r="R271" s="555">
        <f ca="1">IFERROR(__xludf.DUMMYFUNCTION("IMPORTRANGE(""https://docs.google.com/spreadsheets/d/1ItG2mGa2ceCfYo0BwxsXqNm01IGEUdYcSSLTEv9YCik/edit?usp=sharing"",""เบิกจ่ายกองทุน!AK36"")"),53440)</f>
        <v>53440</v>
      </c>
      <c r="S271" s="555">
        <f ca="1">IFERROR(__xludf.DUMMYFUNCTION("IMPORTRANGE(""https://docs.google.com/spreadsheets/d/1ItG2mGa2ceCfYo0BwxsXqNm01IGEUdYcSSLTEv9YCik/edit?usp=sharing"",""เบิกจ่ายกองทุน!AL36"")"),47000)</f>
        <v>47000</v>
      </c>
      <c r="T271" s="555">
        <f ca="1">IF(Q271&gt;0,S271*100/Q271,0)</f>
        <v>87.949101796407192</v>
      </c>
      <c r="U271" s="555">
        <f ca="1">IF(R271&gt;0,S271*100/R271,0)</f>
        <v>87.949101796407192</v>
      </c>
    </row>
    <row r="272" spans="1:21" ht="18.75">
      <c r="A272" s="668"/>
      <c r="B272" s="667"/>
      <c r="C272" s="667"/>
      <c r="D272" s="674" t="s">
        <v>23</v>
      </c>
      <c r="E272" s="667"/>
      <c r="F272" s="667"/>
      <c r="G272" s="666"/>
      <c r="H272" s="665" t="s">
        <v>14</v>
      </c>
      <c r="I272" s="659"/>
      <c r="J272" s="659"/>
      <c r="K272" s="657"/>
      <c r="L272" s="664">
        <f ca="1">L273+L274</f>
        <v>0</v>
      </c>
      <c r="M272" s="555">
        <f ca="1">M273+M274</f>
        <v>0</v>
      </c>
      <c r="N272" s="555">
        <f ca="1">N273+N274</f>
        <v>0</v>
      </c>
      <c r="O272" s="555">
        <f ca="1">IF(L272&gt;0,N272*100/L272,0)</f>
        <v>0</v>
      </c>
      <c r="P272" s="555">
        <f ca="1">IF(M272&gt;0,N272*100/M272,0)</f>
        <v>0</v>
      </c>
      <c r="Q272" s="555">
        <f>Q273+Q274</f>
        <v>0</v>
      </c>
      <c r="R272" s="555">
        <f>R273+R274</f>
        <v>0</v>
      </c>
      <c r="S272" s="555">
        <f>S273+S274</f>
        <v>0</v>
      </c>
      <c r="T272" s="555">
        <f>IF(Q272&gt;0,S272*100/Q272,0)</f>
        <v>0</v>
      </c>
      <c r="U272" s="555">
        <f>IF(R272&gt;0,S272*100/R272,0)</f>
        <v>0</v>
      </c>
    </row>
    <row r="273" spans="1:21" ht="18.75" hidden="1">
      <c r="A273" s="673"/>
      <c r="B273" s="672"/>
      <c r="C273" s="672"/>
      <c r="D273" s="672"/>
      <c r="E273" s="186" t="s">
        <v>20</v>
      </c>
      <c r="F273" s="672"/>
      <c r="G273" s="671"/>
      <c r="H273" s="189" t="s">
        <v>14</v>
      </c>
      <c r="I273" s="670"/>
      <c r="J273" s="670"/>
      <c r="K273" s="669"/>
      <c r="L273" s="103">
        <v>0</v>
      </c>
      <c r="M273" s="102">
        <v>0</v>
      </c>
      <c r="N273" s="102">
        <v>0</v>
      </c>
      <c r="O273" s="102">
        <f>IF(L273&gt;0,N273*100/L273,0)</f>
        <v>0</v>
      </c>
      <c r="P273" s="102">
        <f>IF(M273&gt;0,N273*100/M273,0)</f>
        <v>0</v>
      </c>
      <c r="Q273" s="102">
        <v>0</v>
      </c>
      <c r="R273" s="102">
        <v>0</v>
      </c>
      <c r="S273" s="102">
        <v>0</v>
      </c>
      <c r="T273" s="102">
        <f>IF(Q273&gt;0,S273*100/Q273,0)</f>
        <v>0</v>
      </c>
      <c r="U273" s="102">
        <f>IF(R273&gt;0,S273*100/R273,0)</f>
        <v>0</v>
      </c>
    </row>
    <row r="274" spans="1:21" ht="18.75" hidden="1">
      <c r="A274" s="668"/>
      <c r="B274" s="667"/>
      <c r="C274" s="667"/>
      <c r="D274" s="667"/>
      <c r="E274" s="663" t="s">
        <v>21</v>
      </c>
      <c r="F274" s="667"/>
      <c r="G274" s="666"/>
      <c r="H274" s="665" t="s">
        <v>14</v>
      </c>
      <c r="I274" s="659"/>
      <c r="J274" s="659"/>
      <c r="K274" s="657"/>
      <c r="L274" s="664">
        <f ca="1">IFERROR(__xludf.DUMMYFUNCTION("IMPORTRANGE(""https://docs.google.com/spreadsheets/d/1-uDff_7J0KD5mKrp0Vvzr7lt3OU09vwQwhkpOPPYv2Y/edit?usp=sharing"",""งบพรบ!DH36"")"),0)</f>
        <v>0</v>
      </c>
      <c r="M274" s="555">
        <f ca="1">IFERROR(__xludf.DUMMYFUNCTION("IMPORTRANGE(""https://docs.google.com/spreadsheets/d/1-uDff_7J0KD5mKrp0Vvzr7lt3OU09vwQwhkpOPPYv2Y/edit?usp=sharing"",""งบพรบ!DK36"")"),0)</f>
        <v>0</v>
      </c>
      <c r="N274" s="555">
        <f ca="1">IFERROR(__xludf.DUMMYFUNCTION("IMPORTRANGE(""https://docs.google.com/spreadsheets/d/1-uDff_7J0KD5mKrp0Vvzr7lt3OU09vwQwhkpOPPYv2Y/edit?usp=sharing"",""งบพรบ!DM36"")"),0)</f>
        <v>0</v>
      </c>
      <c r="O274" s="555">
        <f ca="1">IF(L274&gt;0,N274*100/L274,0)</f>
        <v>0</v>
      </c>
      <c r="P274" s="555">
        <f ca="1">IF(M274&gt;0,N274*100/M274,0)</f>
        <v>0</v>
      </c>
      <c r="Q274" s="555">
        <v>0</v>
      </c>
      <c r="R274" s="555">
        <v>0</v>
      </c>
      <c r="S274" s="555">
        <v>0</v>
      </c>
      <c r="T274" s="555">
        <f>IF(Q274&gt;0,S274*100/Q274,0)</f>
        <v>0</v>
      </c>
      <c r="U274" s="555">
        <f>IF(R274&gt;0,S274*100/R274,0)</f>
        <v>0</v>
      </c>
    </row>
    <row r="275" spans="1:21" ht="19.5">
      <c r="A275" s="554"/>
      <c r="B275" s="553"/>
      <c r="C275" s="663" t="s">
        <v>18</v>
      </c>
      <c r="D275" s="662" t="s">
        <v>38</v>
      </c>
      <c r="E275" s="661"/>
      <c r="F275" s="661"/>
      <c r="G275" s="660"/>
      <c r="H275" s="550"/>
      <c r="I275" s="659"/>
      <c r="J275" s="659"/>
      <c r="K275" s="657"/>
      <c r="L275" s="658"/>
      <c r="M275" s="657"/>
      <c r="N275" s="657"/>
      <c r="O275" s="657"/>
      <c r="P275" s="657"/>
      <c r="Q275" s="657"/>
      <c r="R275" s="657"/>
      <c r="S275" s="657"/>
      <c r="T275" s="657"/>
      <c r="U275" s="657"/>
    </row>
    <row r="276" spans="1:21" ht="18.75">
      <c r="A276" s="783"/>
      <c r="B276" s="343"/>
      <c r="C276" s="343"/>
      <c r="D276" s="782" t="s">
        <v>115</v>
      </c>
      <c r="E276" s="344"/>
      <c r="F276" s="344"/>
      <c r="G276" s="346"/>
      <c r="H276" s="347" t="s">
        <v>35</v>
      </c>
      <c r="I276" s="349">
        <f ca="1">IFERROR(__xludf.DUMMYFUNCTION("IMPORTRANGE(""https://docs.google.com/spreadsheets/d/1eHaY18a8A9IcSdp1K8H6x8fbOy06t2VsZHhMHf-1x7Y/edit?usp=sharing"",""แผน!EC36"")"),24)</f>
        <v>24</v>
      </c>
      <c r="J276" s="495">
        <v>0</v>
      </c>
      <c r="K276" s="708">
        <f ca="1">IF(I276&gt;0,J276*100/I276,0)</f>
        <v>0</v>
      </c>
      <c r="L276" s="62"/>
      <c r="M276" s="55"/>
      <c r="N276" s="55"/>
      <c r="O276" s="55"/>
      <c r="P276" s="55"/>
      <c r="Q276" s="55"/>
      <c r="R276" s="55"/>
      <c r="S276" s="55"/>
      <c r="T276" s="55"/>
      <c r="U276" s="55"/>
    </row>
    <row r="277" spans="1:21" ht="18.75" hidden="1">
      <c r="A277" s="281"/>
      <c r="B277" s="282"/>
      <c r="C277" s="282"/>
      <c r="D277" s="647" t="s">
        <v>116</v>
      </c>
      <c r="E277" s="2"/>
      <c r="F277" s="2"/>
      <c r="G277" s="284"/>
      <c r="H277" s="646" t="s">
        <v>35</v>
      </c>
      <c r="I277" s="486">
        <v>0</v>
      </c>
      <c r="J277" s="486">
        <v>0</v>
      </c>
      <c r="K277" s="645">
        <v>0</v>
      </c>
      <c r="L277" s="287"/>
      <c r="M277" s="286"/>
      <c r="N277" s="286"/>
      <c r="O277" s="286"/>
      <c r="P277" s="286"/>
      <c r="Q277" s="286"/>
      <c r="R277" s="286"/>
      <c r="S277" s="286"/>
      <c r="T277" s="286"/>
      <c r="U277" s="286"/>
    </row>
    <row r="278" spans="1:21" ht="19.5">
      <c r="A278" s="288" t="s">
        <v>117</v>
      </c>
      <c r="B278" s="289"/>
      <c r="C278" s="289"/>
      <c r="D278" s="289"/>
      <c r="E278" s="290"/>
      <c r="F278" s="290"/>
      <c r="G278" s="290"/>
      <c r="H278" s="290"/>
      <c r="I278" s="291"/>
      <c r="J278" s="291"/>
      <c r="K278" s="292"/>
      <c r="L278" s="292"/>
      <c r="M278" s="292"/>
      <c r="N278" s="292"/>
      <c r="O278" s="292"/>
      <c r="P278" s="293"/>
      <c r="Q278" s="292"/>
      <c r="R278" s="292"/>
      <c r="S278" s="292"/>
      <c r="T278" s="292"/>
      <c r="U278" s="293"/>
    </row>
    <row r="279" spans="1:21" ht="19.5">
      <c r="A279" s="294" t="s">
        <v>118</v>
      </c>
      <c r="B279" s="295"/>
      <c r="C279" s="296"/>
      <c r="D279" s="295"/>
      <c r="E279" s="295"/>
      <c r="F279" s="295"/>
      <c r="G279" s="295"/>
      <c r="H279" s="295"/>
      <c r="I279" s="297"/>
      <c r="J279" s="298"/>
      <c r="K279" s="299"/>
      <c r="L279" s="300"/>
      <c r="M279" s="299"/>
      <c r="N279" s="299"/>
      <c r="O279" s="299"/>
      <c r="P279" s="299"/>
      <c r="Q279" s="299"/>
      <c r="R279" s="299"/>
      <c r="S279" s="299"/>
      <c r="T279" s="299"/>
      <c r="U279" s="299"/>
    </row>
    <row r="280" spans="1:21" ht="19.5">
      <c r="A280" s="301"/>
      <c r="B280" s="302" t="s">
        <v>119</v>
      </c>
      <c r="C280" s="303"/>
      <c r="D280" s="304"/>
      <c r="E280" s="303"/>
      <c r="F280" s="303"/>
      <c r="G280" s="305"/>
      <c r="H280" s="306" t="s">
        <v>35</v>
      </c>
      <c r="I280" s="644">
        <f ca="1">I293</f>
        <v>60</v>
      </c>
      <c r="J280" s="644">
        <f>J293</f>
        <v>60</v>
      </c>
      <c r="K280" s="643">
        <f ca="1">IF(I280&gt;0,J280*100/I280,0)</f>
        <v>100</v>
      </c>
      <c r="L280" s="310"/>
      <c r="M280" s="309"/>
      <c r="N280" s="309"/>
      <c r="O280" s="309"/>
      <c r="P280" s="309"/>
      <c r="Q280" s="309"/>
      <c r="R280" s="309"/>
      <c r="S280" s="309"/>
      <c r="T280" s="309"/>
      <c r="U280" s="309"/>
    </row>
    <row r="281" spans="1:21" ht="19.5">
      <c r="A281" s="301"/>
      <c r="B281" s="303"/>
      <c r="C281" s="303"/>
      <c r="D281" s="304"/>
      <c r="E281" s="303"/>
      <c r="F281" s="303"/>
      <c r="G281" s="305"/>
      <c r="H281" s="306" t="s">
        <v>46</v>
      </c>
      <c r="I281" s="644">
        <f ca="1">I292</f>
        <v>600</v>
      </c>
      <c r="J281" s="644">
        <f>J292</f>
        <v>600</v>
      </c>
      <c r="K281" s="643">
        <f ca="1">IF(I281&gt;0,J281*100/I281,0)</f>
        <v>100</v>
      </c>
      <c r="L281" s="310"/>
      <c r="M281" s="309"/>
      <c r="N281" s="309"/>
      <c r="O281" s="309"/>
      <c r="P281" s="309"/>
      <c r="Q281" s="309"/>
      <c r="R281" s="309"/>
      <c r="S281" s="309"/>
      <c r="T281" s="309"/>
      <c r="U281" s="309"/>
    </row>
    <row r="282" spans="1:21" ht="19.5">
      <c r="A282" s="155"/>
      <c r="B282" s="50"/>
      <c r="C282" s="156" t="s">
        <v>18</v>
      </c>
      <c r="D282" s="575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541">
        <f ca="1">L283+L284</f>
        <v>219620</v>
      </c>
      <c r="M282" s="540">
        <f ca="1">M283+M284</f>
        <v>219620</v>
      </c>
      <c r="N282" s="540">
        <f ca="1">N283+N284</f>
        <v>131744.5</v>
      </c>
      <c r="O282" s="540">
        <f ca="1">IF(L282&gt;0,N282*100/L282,0)</f>
        <v>59.98747837173299</v>
      </c>
      <c r="P282" s="540">
        <f ca="1">IF(M282&gt;0,N282*100/M282,0)</f>
        <v>59.98747837173299</v>
      </c>
      <c r="Q282" s="540">
        <f>Q283+Q284</f>
        <v>0</v>
      </c>
      <c r="R282" s="540">
        <f>R283+R284</f>
        <v>0</v>
      </c>
      <c r="S282" s="540">
        <f>S283+S284</f>
        <v>0</v>
      </c>
      <c r="T282" s="540">
        <f>IF(Q282&gt;0,S282*100/Q282,0)</f>
        <v>0</v>
      </c>
      <c r="U282" s="540">
        <f>IF(R282&gt;0,S282*100/R282,0)</f>
        <v>0</v>
      </c>
    </row>
    <row r="283" spans="1:21" ht="18.75" hidden="1">
      <c r="A283" s="155"/>
      <c r="B283" s="50"/>
      <c r="C283" s="50"/>
      <c r="D283" s="50"/>
      <c r="E283" s="186" t="s">
        <v>20</v>
      </c>
      <c r="F283" s="50"/>
      <c r="G283" s="52"/>
      <c r="H283" s="187" t="s">
        <v>14</v>
      </c>
      <c r="I283" s="54"/>
      <c r="J283" s="54"/>
      <c r="K283" s="55"/>
      <c r="L283" s="103">
        <f>L286+L289</f>
        <v>0</v>
      </c>
      <c r="M283" s="102">
        <f>M286+M289</f>
        <v>0</v>
      </c>
      <c r="N283" s="102">
        <f>N286+N289</f>
        <v>0</v>
      </c>
      <c r="O283" s="102">
        <f>IF(L283&gt;0,N283*100/L283,0)</f>
        <v>0</v>
      </c>
      <c r="P283" s="102">
        <f>IF(M283&gt;0,N283*100/M283,0)</f>
        <v>0</v>
      </c>
      <c r="Q283" s="102">
        <f>Q286+Q289</f>
        <v>0</v>
      </c>
      <c r="R283" s="102">
        <f>R286+R289</f>
        <v>0</v>
      </c>
      <c r="S283" s="102">
        <f>S286+S289</f>
        <v>0</v>
      </c>
      <c r="T283" s="102">
        <f>IF(Q283&gt;0,S283*100/Q283,0)</f>
        <v>0</v>
      </c>
      <c r="U283" s="102">
        <f>IF(R283&gt;0,S283*100/R283,0)</f>
        <v>0</v>
      </c>
    </row>
    <row r="284" spans="1:21" ht="18.75" hidden="1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256">
        <f ca="1">L287+L290</f>
        <v>219620</v>
      </c>
      <c r="M284" s="255">
        <f ca="1">M287+M290</f>
        <v>219620</v>
      </c>
      <c r="N284" s="255">
        <f ca="1">N287+N290</f>
        <v>131744.5</v>
      </c>
      <c r="O284" s="255">
        <f ca="1">IF(L284&gt;0,N284*100/L284,0)</f>
        <v>59.98747837173299</v>
      </c>
      <c r="P284" s="255">
        <f ca="1">IF(M284&gt;0,N284*100/M284,0)</f>
        <v>59.98747837173299</v>
      </c>
      <c r="Q284" s="255">
        <f>Q287+Q290</f>
        <v>0</v>
      </c>
      <c r="R284" s="255">
        <f>R287+R290</f>
        <v>0</v>
      </c>
      <c r="S284" s="255">
        <f>S287+S290</f>
        <v>0</v>
      </c>
      <c r="T284" s="255">
        <f>IF(Q284&gt;0,S284*100/Q284,0)</f>
        <v>0</v>
      </c>
      <c r="U284" s="255">
        <f>IF(R284&gt;0,S284*100/R284,0)</f>
        <v>0</v>
      </c>
    </row>
    <row r="285" spans="1:21" ht="18.75">
      <c r="A285" s="155"/>
      <c r="B285" s="50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256">
        <f ca="1">L286+L287</f>
        <v>219620</v>
      </c>
      <c r="M285" s="255">
        <f ca="1">M286+M287</f>
        <v>219620</v>
      </c>
      <c r="N285" s="255">
        <f ca="1">N286+N287</f>
        <v>131744.5</v>
      </c>
      <c r="O285" s="255">
        <f ca="1">IF(L285&gt;0,N285*100/L285,0)</f>
        <v>59.98747837173299</v>
      </c>
      <c r="P285" s="255">
        <f ca="1">IF(M285&gt;0,N285*100/M285,0)</f>
        <v>59.98747837173299</v>
      </c>
      <c r="Q285" s="255">
        <f>Q286+Q287</f>
        <v>0</v>
      </c>
      <c r="R285" s="255">
        <f>R286+R287</f>
        <v>0</v>
      </c>
      <c r="S285" s="255">
        <f>S286+S287</f>
        <v>0</v>
      </c>
      <c r="T285" s="255">
        <f>IF(Q285&gt;0,S285*100/Q285,0)</f>
        <v>0</v>
      </c>
      <c r="U285" s="255">
        <f>IF(R285&gt;0,S285*100/R285,0)</f>
        <v>0</v>
      </c>
    </row>
    <row r="286" spans="1:21" ht="18.75" hidden="1">
      <c r="A286" s="155"/>
      <c r="B286" s="50"/>
      <c r="C286" s="50"/>
      <c r="D286" s="50"/>
      <c r="E286" s="186" t="s">
        <v>36</v>
      </c>
      <c r="F286" s="50"/>
      <c r="G286" s="52"/>
      <c r="H286" s="189" t="s">
        <v>14</v>
      </c>
      <c r="I286" s="163"/>
      <c r="J286" s="163"/>
      <c r="K286" s="164"/>
      <c r="L286" s="103">
        <v>0</v>
      </c>
      <c r="M286" s="102">
        <v>0</v>
      </c>
      <c r="N286" s="102">
        <v>0</v>
      </c>
      <c r="O286" s="102">
        <f>IF(L286&gt;0,N286*100/L286,0)</f>
        <v>0</v>
      </c>
      <c r="P286" s="102">
        <f>IF(M286&gt;0,N286*100/M286,0)</f>
        <v>0</v>
      </c>
      <c r="Q286" s="102">
        <v>0</v>
      </c>
      <c r="R286" s="102">
        <v>0</v>
      </c>
      <c r="S286" s="102">
        <v>0</v>
      </c>
      <c r="T286" s="102">
        <f>IF(Q286&gt;0,S286*100/Q286,0)</f>
        <v>0</v>
      </c>
      <c r="U286" s="102">
        <f>IF(R286&gt;0,S286*100/R286,0)</f>
        <v>0</v>
      </c>
    </row>
    <row r="287" spans="1:21" ht="18.75" hidden="1">
      <c r="A287" s="155"/>
      <c r="B287" s="50"/>
      <c r="C287" s="50"/>
      <c r="D287" s="50"/>
      <c r="E287" s="58" t="s">
        <v>37</v>
      </c>
      <c r="F287" s="50"/>
      <c r="G287" s="52"/>
      <c r="H287" s="162" t="s">
        <v>14</v>
      </c>
      <c r="I287" s="163"/>
      <c r="J287" s="163"/>
      <c r="K287" s="164"/>
      <c r="L287" s="256">
        <f ca="1">IFERROR(__xludf.DUMMYFUNCTION("IMPORTRANGE(""https://docs.google.com/spreadsheets/d/1-uDff_7J0KD5mKrp0Vvzr7lt3OU09vwQwhkpOPPYv2Y/edit?usp=sharing"",""งบพรบ!DO36"")"),219620)</f>
        <v>219620</v>
      </c>
      <c r="M287" s="255">
        <f ca="1">IFERROR(__xludf.DUMMYFUNCTION("IMPORTRANGE(""https://docs.google.com/spreadsheets/d/1-uDff_7J0KD5mKrp0Vvzr7lt3OU09vwQwhkpOPPYv2Y/edit?usp=sharing"",""งบพรบ!DT36"")"),219620)</f>
        <v>219620</v>
      </c>
      <c r="N287" s="255">
        <f ca="1">IFERROR(__xludf.DUMMYFUNCTION("IMPORTRANGE(""https://docs.google.com/spreadsheets/d/1-uDff_7J0KD5mKrp0Vvzr7lt3OU09vwQwhkpOPPYv2Y/edit?usp=sharing"",""งบพรบ!DV36"")"),131744.5)</f>
        <v>131744.5</v>
      </c>
      <c r="O287" s="255">
        <f ca="1">IF(L287&gt;0,N287*100/L287,0)</f>
        <v>59.98747837173299</v>
      </c>
      <c r="P287" s="255">
        <f ca="1">IF(M287&gt;0,N287*100/M287,0)</f>
        <v>59.98747837173299</v>
      </c>
      <c r="Q287" s="255">
        <v>0</v>
      </c>
      <c r="R287" s="255">
        <v>0</v>
      </c>
      <c r="S287" s="255">
        <v>0</v>
      </c>
      <c r="T287" s="102">
        <f>IF(Q287&gt;0,S287*100/Q287,0)</f>
        <v>0</v>
      </c>
      <c r="U287" s="102">
        <f>IF(R287&gt;0,S287*100/R287,0)</f>
        <v>0</v>
      </c>
    </row>
    <row r="288" spans="1:21" ht="18.75">
      <c r="A288" s="155"/>
      <c r="B288" s="50"/>
      <c r="C288" s="50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256">
        <f ca="1">L289+L290</f>
        <v>0</v>
      </c>
      <c r="M288" s="255">
        <f ca="1">M289+M290</f>
        <v>0</v>
      </c>
      <c r="N288" s="255">
        <f ca="1">N289+N290</f>
        <v>0</v>
      </c>
      <c r="O288" s="255">
        <f ca="1">IF(L288&gt;0,N288*100/L288,0)</f>
        <v>0</v>
      </c>
      <c r="P288" s="255">
        <f ca="1">IF(M288&gt;0,N288*100/M288,0)</f>
        <v>0</v>
      </c>
      <c r="Q288" s="255">
        <f>Q289+Q290</f>
        <v>0</v>
      </c>
      <c r="R288" s="255">
        <f>R289+R290</f>
        <v>0</v>
      </c>
      <c r="S288" s="255">
        <f>S289+S290</f>
        <v>0</v>
      </c>
      <c r="T288" s="255">
        <f>IF(Q288&gt;0,S288*100/Q288,0)</f>
        <v>0</v>
      </c>
      <c r="U288" s="255">
        <f>IF(R288&gt;0,S288*100/R288,0)</f>
        <v>0</v>
      </c>
    </row>
    <row r="289" spans="1:21" ht="18.75" hidden="1">
      <c r="A289" s="155"/>
      <c r="B289" s="50"/>
      <c r="C289" s="50"/>
      <c r="D289" s="50"/>
      <c r="E289" s="186" t="s">
        <v>20</v>
      </c>
      <c r="F289" s="50"/>
      <c r="G289" s="52"/>
      <c r="H289" s="189" t="s">
        <v>14</v>
      </c>
      <c r="I289" s="163"/>
      <c r="J289" s="163"/>
      <c r="K289" s="164"/>
      <c r="L289" s="103">
        <v>0</v>
      </c>
      <c r="M289" s="102">
        <v>0</v>
      </c>
      <c r="N289" s="102">
        <v>0</v>
      </c>
      <c r="O289" s="102">
        <f>IF(L289&gt;0,N289*100/L289,0)</f>
        <v>0</v>
      </c>
      <c r="P289" s="102">
        <f>IF(M289&gt;0,N289*100/M289,0)</f>
        <v>0</v>
      </c>
      <c r="Q289" s="102">
        <v>0</v>
      </c>
      <c r="R289" s="102">
        <v>0</v>
      </c>
      <c r="S289" s="102">
        <v>0</v>
      </c>
      <c r="T289" s="102">
        <f>IF(Q289&gt;0,S289*100/Q289,0)</f>
        <v>0</v>
      </c>
      <c r="U289" s="102">
        <f>IF(R289&gt;0,S289*100/R289,0)</f>
        <v>0</v>
      </c>
    </row>
    <row r="290" spans="1:21" ht="18.75" hidden="1">
      <c r="A290" s="155"/>
      <c r="B290" s="50"/>
      <c r="C290" s="50"/>
      <c r="D290" s="50"/>
      <c r="E290" s="58" t="s">
        <v>21</v>
      </c>
      <c r="F290" s="50"/>
      <c r="G290" s="52"/>
      <c r="H290" s="165" t="s">
        <v>14</v>
      </c>
      <c r="I290" s="163"/>
      <c r="J290" s="163"/>
      <c r="K290" s="164"/>
      <c r="L290" s="256">
        <f ca="1">IFERROR(__xludf.DUMMYFUNCTION("IMPORTRANGE(""https://docs.google.com/spreadsheets/d/1-uDff_7J0KD5mKrp0Vvzr7lt3OU09vwQwhkpOPPYv2Y/edit?usp=sharing"",""งบพรบ!DR36"")"),0)</f>
        <v>0</v>
      </c>
      <c r="M290" s="255">
        <f ca="1">IFERROR(__xludf.DUMMYFUNCTION("IMPORTRANGE(""https://docs.google.com/spreadsheets/d/1-uDff_7J0KD5mKrp0Vvzr7lt3OU09vwQwhkpOPPYv2Y/edit?usp=sharing"",""งบพรบ!DU36"")"),0)</f>
        <v>0</v>
      </c>
      <c r="N290" s="255">
        <f ca="1">IFERROR(__xludf.DUMMYFUNCTION("IMPORTRANGE(""https://docs.google.com/spreadsheets/d/1-uDff_7J0KD5mKrp0Vvzr7lt3OU09vwQwhkpOPPYv2Y/edit?usp=sharing"",""งบพรบ!DW36"")"),0)</f>
        <v>0</v>
      </c>
      <c r="O290" s="255">
        <f ca="1">IF(L290&gt;0,N290*100/L290,0)</f>
        <v>0</v>
      </c>
      <c r="P290" s="255">
        <f ca="1">IF(M290&gt;0,N290*100/M290,0)</f>
        <v>0</v>
      </c>
      <c r="Q290" s="255">
        <v>0</v>
      </c>
      <c r="R290" s="255">
        <v>0</v>
      </c>
      <c r="S290" s="255">
        <v>0</v>
      </c>
      <c r="T290" s="255">
        <f>IF(Q290&gt;0,S290*100/Q290,0)</f>
        <v>0</v>
      </c>
      <c r="U290" s="255">
        <f>IF(R290&gt;0,S290*100/R290,0)</f>
        <v>0</v>
      </c>
    </row>
    <row r="291" spans="1:21" ht="19.5">
      <c r="A291" s="166"/>
      <c r="B291" s="167"/>
      <c r="C291" s="156" t="s">
        <v>18</v>
      </c>
      <c r="D291" s="566" t="s">
        <v>38</v>
      </c>
      <c r="E291" s="169"/>
      <c r="F291" s="169"/>
      <c r="G291" s="170"/>
      <c r="H291" s="171"/>
      <c r="I291" s="163"/>
      <c r="J291" s="163"/>
      <c r="K291" s="164"/>
      <c r="L291" s="172"/>
      <c r="M291" s="164"/>
      <c r="N291" s="164"/>
      <c r="O291" s="164"/>
      <c r="P291" s="164"/>
      <c r="Q291" s="164"/>
      <c r="R291" s="164"/>
      <c r="S291" s="164"/>
      <c r="T291" s="164"/>
      <c r="U291" s="164"/>
    </row>
    <row r="292" spans="1:21" ht="18.75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212">
        <f ca="1">IFERROR(__xludf.DUMMYFUNCTION("IMPORTRANGE(""https://docs.google.com/spreadsheets/d/1eHaY18a8A9IcSdp1K8H6x8fbOy06t2VsZHhMHf-1x7Y/edit?usp=sharing"",""แผน!EE36"")"),600)</f>
        <v>600</v>
      </c>
      <c r="J292" s="467">
        <v>600</v>
      </c>
      <c r="K292" s="565">
        <f ca="1">IF(I292&gt;0,J292*100/I292,0)</f>
        <v>100</v>
      </c>
      <c r="L292" s="172"/>
      <c r="M292" s="164"/>
      <c r="N292" s="164"/>
      <c r="O292" s="164"/>
      <c r="P292" s="164"/>
      <c r="Q292" s="164"/>
      <c r="R292" s="164"/>
      <c r="S292" s="164"/>
      <c r="T292" s="164"/>
      <c r="U292" s="164"/>
    </row>
    <row r="293" spans="1:21" ht="19.5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373">
        <f ca="1">IFERROR(__xludf.DUMMYFUNCTION("IMPORTRANGE(""https://docs.google.com/spreadsheets/d/1eHaY18a8A9IcSdp1K8H6x8fbOy06t2VsZHhMHf-1x7Y/edit?usp=sharing"",""แผน!ED36"")"),60)</f>
        <v>60</v>
      </c>
      <c r="J293" s="373">
        <f>J296</f>
        <v>60</v>
      </c>
      <c r="K293" s="642">
        <f ca="1">IF(I293&gt;0,J293*100/I293,0)</f>
        <v>100</v>
      </c>
      <c r="L293" s="172"/>
      <c r="M293" s="164"/>
      <c r="N293" s="164"/>
      <c r="O293" s="164"/>
      <c r="P293" s="164"/>
      <c r="Q293" s="164"/>
      <c r="R293" s="164"/>
      <c r="S293" s="164"/>
      <c r="T293" s="164"/>
      <c r="U293" s="164"/>
    </row>
    <row r="294" spans="1:21" ht="19.5">
      <c r="A294" s="166"/>
      <c r="B294" s="167"/>
      <c r="C294" s="167"/>
      <c r="D294" s="174"/>
      <c r="E294" s="194" t="s">
        <v>122</v>
      </c>
      <c r="F294" s="174"/>
      <c r="G294" s="171"/>
      <c r="H294" s="171"/>
      <c r="I294" s="163"/>
      <c r="J294" s="54"/>
      <c r="K294" s="164"/>
      <c r="L294" s="172"/>
      <c r="M294" s="164"/>
      <c r="N294" s="164"/>
      <c r="O294" s="164"/>
      <c r="P294" s="164"/>
      <c r="Q294" s="164"/>
      <c r="R294" s="164"/>
      <c r="S294" s="164"/>
      <c r="T294" s="164"/>
      <c r="U294" s="164"/>
    </row>
    <row r="295" spans="1:21" ht="19.5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641">
        <f ca="1">IFERROR(__xludf.DUMMYFUNCTION("IMPORTRANGE(""https://docs.google.com/spreadsheets/d/1eHaY18a8A9IcSdp1K8H6x8fbOy06t2VsZHhMHf-1x7Y/edit?usp=sharing"",""แผน!ED36"")"),60)</f>
        <v>60</v>
      </c>
      <c r="J295" s="467">
        <v>60</v>
      </c>
      <c r="K295" s="565">
        <f ca="1">IF(I295&gt;0,J295*100/I295,0)</f>
        <v>100</v>
      </c>
      <c r="L295" s="172"/>
      <c r="M295" s="164"/>
      <c r="N295" s="164"/>
      <c r="O295" s="164"/>
      <c r="P295" s="164"/>
      <c r="Q295" s="164"/>
      <c r="R295" s="164"/>
      <c r="S295" s="164"/>
      <c r="T295" s="164"/>
      <c r="U295" s="164"/>
    </row>
    <row r="296" spans="1:21" ht="19.5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641">
        <f ca="1">IFERROR(__xludf.DUMMYFUNCTION("IMPORTRANGE(""https://docs.google.com/spreadsheets/d/1eHaY18a8A9IcSdp1K8H6x8fbOy06t2VsZHhMHf-1x7Y/edit?usp=sharing"",""แผน!ED36"")"),60)</f>
        <v>60</v>
      </c>
      <c r="J296" s="467">
        <v>60</v>
      </c>
      <c r="K296" s="565">
        <f ca="1">IF(I296&gt;0,J296*100/I296,0)</f>
        <v>100</v>
      </c>
      <c r="L296" s="172"/>
      <c r="M296" s="164"/>
      <c r="N296" s="164"/>
      <c r="O296" s="164"/>
      <c r="P296" s="164"/>
      <c r="Q296" s="164"/>
      <c r="R296" s="164"/>
      <c r="S296" s="164"/>
      <c r="T296" s="164"/>
      <c r="U296" s="164"/>
    </row>
    <row r="297" spans="1:21" ht="12.75" hidden="1">
      <c r="A297" s="192"/>
      <c r="B297" s="193"/>
      <c r="C297" s="193"/>
      <c r="D297" s="22"/>
      <c r="E297" s="22"/>
      <c r="F297" s="22"/>
      <c r="G297" s="23"/>
      <c r="H297" s="23"/>
      <c r="I297" s="24"/>
      <c r="J297" s="24"/>
      <c r="K297" s="25"/>
      <c r="L297" s="26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2.75" hidden="1">
      <c r="A298" s="192"/>
      <c r="B298" s="193"/>
      <c r="C298" s="193"/>
      <c r="D298" s="22"/>
      <c r="E298" s="22"/>
      <c r="F298" s="22"/>
      <c r="G298" s="23"/>
      <c r="H298" s="23"/>
      <c r="I298" s="24"/>
      <c r="J298" s="24"/>
      <c r="K298" s="25"/>
      <c r="L298" s="26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2.75" hidden="1">
      <c r="A299" s="311"/>
      <c r="B299" s="312"/>
      <c r="C299" s="312"/>
      <c r="D299" s="27"/>
      <c r="E299" s="27"/>
      <c r="F299" s="27"/>
      <c r="G299" s="17"/>
      <c r="H299" s="17"/>
      <c r="I299" s="18"/>
      <c r="J299" s="18"/>
      <c r="K299" s="19"/>
      <c r="L299" s="28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>
      <c r="A300" s="313" t="s">
        <v>125</v>
      </c>
      <c r="B300" s="314"/>
      <c r="C300" s="314"/>
      <c r="D300" s="314"/>
      <c r="E300" s="315"/>
      <c r="F300" s="315"/>
      <c r="G300" s="315"/>
      <c r="H300" s="315"/>
      <c r="I300" s="316"/>
      <c r="J300" s="316"/>
      <c r="K300" s="317"/>
      <c r="L300" s="317"/>
      <c r="M300" s="317"/>
      <c r="N300" s="317"/>
      <c r="O300" s="317"/>
      <c r="P300" s="318"/>
      <c r="Q300" s="317"/>
      <c r="R300" s="317"/>
      <c r="S300" s="317"/>
      <c r="T300" s="317"/>
      <c r="U300" s="318"/>
    </row>
    <row r="301" spans="1:21" ht="19.5">
      <c r="A301" s="319" t="s">
        <v>126</v>
      </c>
      <c r="B301" s="320"/>
      <c r="C301" s="320"/>
      <c r="D301" s="321"/>
      <c r="E301" s="321"/>
      <c r="F301" s="321"/>
      <c r="G301" s="322"/>
      <c r="H301" s="322"/>
      <c r="I301" s="323"/>
      <c r="J301" s="323"/>
      <c r="K301" s="324"/>
      <c r="L301" s="325"/>
      <c r="M301" s="324"/>
      <c r="N301" s="324"/>
      <c r="O301" s="324"/>
      <c r="P301" s="324"/>
      <c r="Q301" s="324"/>
      <c r="R301" s="324"/>
      <c r="S301" s="324"/>
      <c r="T301" s="324"/>
      <c r="U301" s="324"/>
    </row>
    <row r="302" spans="1:21" ht="19.5">
      <c r="A302" s="326"/>
      <c r="B302" s="327" t="s">
        <v>127</v>
      </c>
      <c r="C302" s="328"/>
      <c r="D302" s="328"/>
      <c r="E302" s="328"/>
      <c r="F302" s="328"/>
      <c r="G302" s="329"/>
      <c r="H302" s="330" t="s">
        <v>35</v>
      </c>
      <c r="I302" s="605">
        <f ca="1">I314</f>
        <v>25</v>
      </c>
      <c r="J302" s="605">
        <f>J314</f>
        <v>25</v>
      </c>
      <c r="K302" s="604">
        <f ca="1">IF(I302&gt;0,J302*100/I302,0)</f>
        <v>100</v>
      </c>
      <c r="L302" s="334"/>
      <c r="M302" s="333"/>
      <c r="N302" s="333"/>
      <c r="O302" s="333"/>
      <c r="P302" s="333"/>
      <c r="Q302" s="333"/>
      <c r="R302" s="333"/>
      <c r="S302" s="333"/>
      <c r="T302" s="333"/>
      <c r="U302" s="333"/>
    </row>
    <row r="303" spans="1:21" ht="19.5">
      <c r="A303" s="155"/>
      <c r="B303" s="50"/>
      <c r="C303" s="156" t="s">
        <v>18</v>
      </c>
      <c r="D303" s="575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541">
        <f ca="1">L304+L305</f>
        <v>305400</v>
      </c>
      <c r="M303" s="540">
        <f ca="1">M304+M305</f>
        <v>305400</v>
      </c>
      <c r="N303" s="540">
        <f ca="1">N304+N305</f>
        <v>270257.33</v>
      </c>
      <c r="O303" s="540">
        <f ca="1">IF(L303&gt;0,N303*100/L303,0)</f>
        <v>88.492904387688284</v>
      </c>
      <c r="P303" s="540">
        <f ca="1">IF(M303&gt;0,N303*100/M303,0)</f>
        <v>88.492904387688284</v>
      </c>
      <c r="Q303" s="540">
        <f ca="1">Q304+Q305</f>
        <v>166057.24</v>
      </c>
      <c r="R303" s="540">
        <f ca="1">R304+R305</f>
        <v>166057</v>
      </c>
      <c r="S303" s="540">
        <f ca="1">S304+S305</f>
        <v>63780</v>
      </c>
      <c r="T303" s="540">
        <f ca="1">IF(Q303&gt;0,S303*100/Q303,0)</f>
        <v>38.40844277551524</v>
      </c>
      <c r="U303" s="540">
        <f ca="1">IF(R303&gt;0,S303*100/R303,0)</f>
        <v>38.408498286732872</v>
      </c>
    </row>
    <row r="304" spans="1:21" ht="18.75" hidden="1">
      <c r="A304" s="155"/>
      <c r="B304" s="50"/>
      <c r="C304" s="50"/>
      <c r="D304" s="50"/>
      <c r="E304" s="186" t="s">
        <v>20</v>
      </c>
      <c r="F304" s="50"/>
      <c r="G304" s="52"/>
      <c r="H304" s="187" t="s">
        <v>14</v>
      </c>
      <c r="I304" s="54"/>
      <c r="J304" s="54"/>
      <c r="K304" s="55"/>
      <c r="L304" s="103">
        <f>L307+L310</f>
        <v>0</v>
      </c>
      <c r="M304" s="102">
        <f>M307+M310</f>
        <v>0</v>
      </c>
      <c r="N304" s="102">
        <f>N307+N310</f>
        <v>0</v>
      </c>
      <c r="O304" s="102">
        <f>IF(L304&gt;0,N304*100/L304,0)</f>
        <v>0</v>
      </c>
      <c r="P304" s="102">
        <f>IF(M304&gt;0,N304*100/M304,0)</f>
        <v>0</v>
      </c>
      <c r="Q304" s="102">
        <f>Q307+Q310</f>
        <v>0</v>
      </c>
      <c r="R304" s="102">
        <f>R307+R310</f>
        <v>0</v>
      </c>
      <c r="S304" s="102">
        <f>S307+S310</f>
        <v>0</v>
      </c>
      <c r="T304" s="102">
        <f>IF(Q304&gt;0,S304*100/Q304,0)</f>
        <v>0</v>
      </c>
      <c r="U304" s="102">
        <f>IF(R304&gt;0,S304*100/R304,0)</f>
        <v>0</v>
      </c>
    </row>
    <row r="305" spans="1:21" ht="18.75" hidden="1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256">
        <f ca="1">L308+L311</f>
        <v>305400</v>
      </c>
      <c r="M305" s="255">
        <f ca="1">M308+M311</f>
        <v>305400</v>
      </c>
      <c r="N305" s="255">
        <f ca="1">N308+N311</f>
        <v>270257.33</v>
      </c>
      <c r="O305" s="255">
        <f ca="1">IF(L305&gt;0,N305*100/L305,0)</f>
        <v>88.492904387688284</v>
      </c>
      <c r="P305" s="255">
        <f ca="1">IF(M305&gt;0,N305*100/M305,0)</f>
        <v>88.492904387688284</v>
      </c>
      <c r="Q305" s="255">
        <f ca="1">Q308+Q311</f>
        <v>166057.24</v>
      </c>
      <c r="R305" s="255">
        <f ca="1">R308+R311</f>
        <v>166057</v>
      </c>
      <c r="S305" s="255">
        <f ca="1">S308+S311</f>
        <v>63780</v>
      </c>
      <c r="T305" s="255">
        <f ca="1">IF(Q305&gt;0,S305*100/Q305,0)</f>
        <v>38.40844277551524</v>
      </c>
      <c r="U305" s="255">
        <f ca="1">IF(R305&gt;0,S305*100/R305,0)</f>
        <v>38.408498286732872</v>
      </c>
    </row>
    <row r="306" spans="1:21" ht="18.75">
      <c r="A306" s="155"/>
      <c r="B306" s="50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256">
        <f ca="1">L307+L308</f>
        <v>305400</v>
      </c>
      <c r="M306" s="255">
        <f ca="1">M307+M308</f>
        <v>305400</v>
      </c>
      <c r="N306" s="255">
        <f ca="1">N307+N308</f>
        <v>270257.33</v>
      </c>
      <c r="O306" s="255">
        <f ca="1">IF(L306&gt;0,N306*100/L306,0)</f>
        <v>88.492904387688284</v>
      </c>
      <c r="P306" s="255">
        <f ca="1">IF(M306&gt;0,N306*100/M306,0)</f>
        <v>88.492904387688284</v>
      </c>
      <c r="Q306" s="255">
        <f ca="1">Q307+Q308</f>
        <v>166057.24</v>
      </c>
      <c r="R306" s="255">
        <f ca="1">R307+R308</f>
        <v>166057</v>
      </c>
      <c r="S306" s="255">
        <f ca="1">S307+S308</f>
        <v>63780</v>
      </c>
      <c r="T306" s="255">
        <f ca="1">IF(Q306&gt;0,S306*100/Q306,0)</f>
        <v>38.40844277551524</v>
      </c>
      <c r="U306" s="255">
        <f ca="1">IF(R306&gt;0,S306*100/R306,0)</f>
        <v>38.408498286732872</v>
      </c>
    </row>
    <row r="307" spans="1:21" ht="18.75" hidden="1">
      <c r="A307" s="155"/>
      <c r="B307" s="50"/>
      <c r="C307" s="50"/>
      <c r="D307" s="50"/>
      <c r="E307" s="186" t="s">
        <v>36</v>
      </c>
      <c r="F307" s="50"/>
      <c r="G307" s="52"/>
      <c r="H307" s="189" t="s">
        <v>14</v>
      </c>
      <c r="I307" s="163"/>
      <c r="J307" s="163"/>
      <c r="K307" s="164"/>
      <c r="L307" s="103">
        <v>0</v>
      </c>
      <c r="M307" s="102">
        <v>0</v>
      </c>
      <c r="N307" s="102">
        <v>0</v>
      </c>
      <c r="O307" s="102">
        <f>IF(L307&gt;0,N307*100/L307,0)</f>
        <v>0</v>
      </c>
      <c r="P307" s="102">
        <f>IF(M307&gt;0,N307*100/M307,0)</f>
        <v>0</v>
      </c>
      <c r="Q307" s="102">
        <v>0</v>
      </c>
      <c r="R307" s="102">
        <v>0</v>
      </c>
      <c r="S307" s="102">
        <v>0</v>
      </c>
      <c r="T307" s="102">
        <f>IF(Q307&gt;0,S307*100/Q307,0)</f>
        <v>0</v>
      </c>
      <c r="U307" s="102">
        <f>IF(R307&gt;0,S307*100/R307,0)</f>
        <v>0</v>
      </c>
    </row>
    <row r="308" spans="1:21" ht="18.75" hidden="1">
      <c r="A308" s="155"/>
      <c r="B308" s="50"/>
      <c r="C308" s="50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256">
        <f ca="1">IFERROR(__xludf.DUMMYFUNCTION("IMPORTRANGE(""https://docs.google.com/spreadsheets/d/1-uDff_7J0KD5mKrp0Vvzr7lt3OU09vwQwhkpOPPYv2Y/edit?usp=sharing"",""งบพรบ!DY36"")"),305400)</f>
        <v>305400</v>
      </c>
      <c r="M308" s="255">
        <f ca="1">IFERROR(__xludf.DUMMYFUNCTION("IMPORTRANGE(""https://docs.google.com/spreadsheets/d/1-uDff_7J0KD5mKrp0Vvzr7lt3OU09vwQwhkpOPPYv2Y/edit?usp=sharing"",""งบพรบ!ED36"")"),305400)</f>
        <v>305400</v>
      </c>
      <c r="N308" s="255">
        <f ca="1">IFERROR(__xludf.DUMMYFUNCTION("IMPORTRANGE(""https://docs.google.com/spreadsheets/d/1-uDff_7J0KD5mKrp0Vvzr7lt3OU09vwQwhkpOPPYv2Y/edit?usp=sharing"",""งบพรบ!EF36"")"),270257.33)</f>
        <v>270257.33</v>
      </c>
      <c r="O308" s="255">
        <f ca="1">IF(L308&gt;0,N308*100/L308,0)</f>
        <v>88.492904387688284</v>
      </c>
      <c r="P308" s="255">
        <f ca="1">IF(M308&gt;0,N308*100/M308,0)</f>
        <v>88.492904387688284</v>
      </c>
      <c r="Q308" s="255">
        <f ca="1">IFERROR(__xludf.DUMMYFUNCTION("IMPORTRANGE(""https://docs.google.com/spreadsheets/d/1ItG2mGa2ceCfYo0BwxsXqNm01IGEUdYcSSLTEv9YCik/edit?usp=sharing"",""เบิกจ่ายกองทุน!AP36"")"),166057.24)</f>
        <v>166057.24</v>
      </c>
      <c r="R308" s="255">
        <f ca="1">IFERROR(__xludf.DUMMYFUNCTION("IMPORTRANGE(""https://docs.google.com/spreadsheets/d/1ItG2mGa2ceCfYo0BwxsXqNm01IGEUdYcSSLTEv9YCik/edit?usp=sharing"",""เบิกจ่ายกองทุน!AQ36"")"),166057)</f>
        <v>166057</v>
      </c>
      <c r="S308" s="255">
        <f ca="1">IFERROR(__xludf.DUMMYFUNCTION("IMPORTRANGE(""https://docs.google.com/spreadsheets/d/1ItG2mGa2ceCfYo0BwxsXqNm01IGEUdYcSSLTEv9YCik/edit?usp=sharing"",""เบิกจ่ายกองทุน!AR36"")"),63780)</f>
        <v>63780</v>
      </c>
      <c r="T308" s="255">
        <f ca="1">IF(Q308&gt;0,S308*100/Q308,0)</f>
        <v>38.40844277551524</v>
      </c>
      <c r="U308" s="255">
        <f ca="1">IF(R308&gt;0,S308*100/R308,0)</f>
        <v>38.408498286732872</v>
      </c>
    </row>
    <row r="309" spans="1:21" ht="18.75">
      <c r="A309" s="155"/>
      <c r="B309" s="50"/>
      <c r="C309" s="50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256">
        <f ca="1">L310+L311</f>
        <v>0</v>
      </c>
      <c r="M309" s="255">
        <f ca="1">M310+M311</f>
        <v>0</v>
      </c>
      <c r="N309" s="255">
        <f ca="1">N310+N311</f>
        <v>0</v>
      </c>
      <c r="O309" s="255">
        <f ca="1">IF(L309&gt;0,N309*100/L309,0)</f>
        <v>0</v>
      </c>
      <c r="P309" s="255">
        <f ca="1">IF(M309&gt;0,N309*100/M309,0)</f>
        <v>0</v>
      </c>
      <c r="Q309" s="255">
        <f>Q310+Q311</f>
        <v>0</v>
      </c>
      <c r="R309" s="255">
        <f>R310+R311</f>
        <v>0</v>
      </c>
      <c r="S309" s="255">
        <f>S310+S311</f>
        <v>0</v>
      </c>
      <c r="T309" s="255">
        <f>IF(Q309&gt;0,S309*100/Q309,0)</f>
        <v>0</v>
      </c>
      <c r="U309" s="255">
        <f>IF(R309&gt;0,S309*100/R309,0)</f>
        <v>0</v>
      </c>
    </row>
    <row r="310" spans="1:21" ht="18.75" hidden="1">
      <c r="A310" s="155"/>
      <c r="B310" s="50"/>
      <c r="C310" s="50"/>
      <c r="D310" s="50"/>
      <c r="E310" s="186" t="s">
        <v>20</v>
      </c>
      <c r="F310" s="50"/>
      <c r="G310" s="52"/>
      <c r="H310" s="189" t="s">
        <v>14</v>
      </c>
      <c r="I310" s="163"/>
      <c r="J310" s="163"/>
      <c r="K310" s="164"/>
      <c r="L310" s="103">
        <v>0</v>
      </c>
      <c r="M310" s="102">
        <v>0</v>
      </c>
      <c r="N310" s="102">
        <v>0</v>
      </c>
      <c r="O310" s="102">
        <f>IF(L310&gt;0,N310*100/L310,0)</f>
        <v>0</v>
      </c>
      <c r="P310" s="102">
        <f>IF(M310&gt;0,N310*100/M310,0)</f>
        <v>0</v>
      </c>
      <c r="Q310" s="102">
        <v>0</v>
      </c>
      <c r="R310" s="102">
        <v>0</v>
      </c>
      <c r="S310" s="102">
        <v>0</v>
      </c>
      <c r="T310" s="102">
        <f>IF(Q310&gt;0,S310*100/Q310,0)</f>
        <v>0</v>
      </c>
      <c r="U310" s="102">
        <f>IF(R310&gt;0,S310*100/R310,0)</f>
        <v>0</v>
      </c>
    </row>
    <row r="311" spans="1:21" ht="18.75" hidden="1">
      <c r="A311" s="155"/>
      <c r="B311" s="50"/>
      <c r="C311" s="50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256">
        <f ca="1">IFERROR(__xludf.DUMMYFUNCTION("IMPORTRANGE(""https://docs.google.com/spreadsheets/d/1-uDff_7J0KD5mKrp0Vvzr7lt3OU09vwQwhkpOPPYv2Y/edit?usp=sharing"",""งบพรบ!EB36"")"),0)</f>
        <v>0</v>
      </c>
      <c r="M311" s="255">
        <f ca="1">IFERROR(__xludf.DUMMYFUNCTION("IMPORTRANGE(""https://docs.google.com/spreadsheets/d/1-uDff_7J0KD5mKrp0Vvzr7lt3OU09vwQwhkpOPPYv2Y/edit?usp=sharing"",""งบพรบ!EE36"")"),0)</f>
        <v>0</v>
      </c>
      <c r="N311" s="255">
        <f ca="1">IFERROR(__xludf.DUMMYFUNCTION("IMPORTRANGE(""https://docs.google.com/spreadsheets/d/1-uDff_7J0KD5mKrp0Vvzr7lt3OU09vwQwhkpOPPYv2Y/edit?usp=sharing"",""งบพรบ!EG36"")"),0)</f>
        <v>0</v>
      </c>
      <c r="O311" s="255">
        <f ca="1">IF(L311&gt;0,N311*100/L311,0)</f>
        <v>0</v>
      </c>
      <c r="P311" s="255">
        <f ca="1">IF(M311&gt;0,N311*100/M311,0)</f>
        <v>0</v>
      </c>
      <c r="Q311" s="255">
        <v>0</v>
      </c>
      <c r="R311" s="255">
        <v>0</v>
      </c>
      <c r="S311" s="255">
        <v>0</v>
      </c>
      <c r="T311" s="255">
        <f>IF(Q311&gt;0,S311*100/Q311,0)</f>
        <v>0</v>
      </c>
      <c r="U311" s="255">
        <f>IF(R311&gt;0,S311*100/R311,0)</f>
        <v>0</v>
      </c>
    </row>
    <row r="312" spans="1:21" ht="19.5">
      <c r="A312" s="166"/>
      <c r="B312" s="167"/>
      <c r="C312" s="156" t="s">
        <v>18</v>
      </c>
      <c r="D312" s="566" t="s">
        <v>38</v>
      </c>
      <c r="E312" s="169"/>
      <c r="F312" s="169"/>
      <c r="G312" s="170"/>
      <c r="H312" s="171"/>
      <c r="I312" s="54"/>
      <c r="J312" s="54"/>
      <c r="K312" s="55"/>
      <c r="L312" s="62"/>
      <c r="M312" s="55"/>
      <c r="N312" s="55"/>
      <c r="O312" s="55"/>
      <c r="P312" s="55"/>
      <c r="Q312" s="55"/>
      <c r="R312" s="55"/>
      <c r="S312" s="55"/>
      <c r="T312" s="55"/>
      <c r="U312" s="55"/>
    </row>
    <row r="313" spans="1:21" ht="18.75" hidden="1">
      <c r="A313" s="192"/>
      <c r="B313" s="193"/>
      <c r="C313" s="193"/>
      <c r="D313" s="640"/>
      <c r="E313" s="22"/>
      <c r="F313" s="22"/>
      <c r="G313" s="23"/>
      <c r="H313" s="23"/>
      <c r="I313" s="24"/>
      <c r="J313" s="638"/>
      <c r="K313" s="25"/>
      <c r="L313" s="26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8.75">
      <c r="A314" s="166"/>
      <c r="B314" s="167"/>
      <c r="C314" s="167"/>
      <c r="D314" s="178" t="s">
        <v>121</v>
      </c>
      <c r="E314" s="174"/>
      <c r="F314" s="174"/>
      <c r="G314" s="171"/>
      <c r="H314" s="179" t="s">
        <v>35</v>
      </c>
      <c r="I314" s="212">
        <f ca="1">IFERROR(__xludf.DUMMYFUNCTION("IMPORTRANGE(""https://docs.google.com/spreadsheets/d/1eHaY18a8A9IcSdp1K8H6x8fbOy06t2VsZHhMHf-1x7Y/edit?usp=sharing"",""แผน!EF36"")"),25)</f>
        <v>25</v>
      </c>
      <c r="J314" s="467">
        <v>25</v>
      </c>
      <c r="K314" s="255">
        <f ca="1">IF(I314&gt;0,J314*100/I314,0)</f>
        <v>100</v>
      </c>
      <c r="L314" s="62"/>
      <c r="M314" s="55"/>
      <c r="N314" s="55"/>
      <c r="O314" s="55"/>
      <c r="P314" s="55"/>
      <c r="Q314" s="55"/>
      <c r="R314" s="55"/>
      <c r="S314" s="55"/>
      <c r="T314" s="55"/>
      <c r="U314" s="55"/>
    </row>
    <row r="315" spans="1:21" ht="18.75" hidden="1">
      <c r="A315" s="192"/>
      <c r="B315" s="193"/>
      <c r="C315" s="193"/>
      <c r="D315" s="640"/>
      <c r="E315" s="22"/>
      <c r="F315" s="22"/>
      <c r="G315" s="23"/>
      <c r="H315" s="639"/>
      <c r="I315" s="638"/>
      <c r="J315" s="638"/>
      <c r="K315" s="637"/>
      <c r="L315" s="26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8.75" hidden="1">
      <c r="A316" s="192"/>
      <c r="B316" s="193"/>
      <c r="C316" s="193"/>
      <c r="D316" s="640"/>
      <c r="E316" s="22"/>
      <c r="F316" s="22"/>
      <c r="G316" s="23"/>
      <c r="H316" s="639"/>
      <c r="I316" s="638"/>
      <c r="J316" s="638"/>
      <c r="K316" s="637"/>
      <c r="L316" s="26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8.75" hidden="1">
      <c r="A317" s="192"/>
      <c r="B317" s="193"/>
      <c r="C317" s="193"/>
      <c r="D317" s="636"/>
      <c r="E317" s="22"/>
      <c r="F317" s="22"/>
      <c r="G317" s="23"/>
      <c r="H317" s="635"/>
      <c r="I317" s="638"/>
      <c r="J317" s="634"/>
      <c r="K317" s="633"/>
      <c r="L317" s="26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9.5">
      <c r="A318" s="319" t="s">
        <v>131</v>
      </c>
      <c r="B318" s="320"/>
      <c r="C318" s="320"/>
      <c r="D318" s="321"/>
      <c r="E318" s="320"/>
      <c r="F318" s="320"/>
      <c r="G318" s="320"/>
      <c r="H318" s="321"/>
      <c r="I318" s="323"/>
      <c r="J318" s="323"/>
      <c r="K318" s="324"/>
      <c r="L318" s="325"/>
      <c r="M318" s="324"/>
      <c r="N318" s="324"/>
      <c r="O318" s="324"/>
      <c r="P318" s="324"/>
      <c r="Q318" s="324"/>
      <c r="R318" s="324"/>
      <c r="S318" s="324"/>
      <c r="T318" s="324"/>
      <c r="U318" s="324"/>
    </row>
    <row r="319" spans="1:21" ht="19.5">
      <c r="A319" s="335"/>
      <c r="B319" s="327" t="s">
        <v>132</v>
      </c>
      <c r="C319" s="336"/>
      <c r="D319" s="337"/>
      <c r="E319" s="328"/>
      <c r="F319" s="328"/>
      <c r="G319" s="329"/>
      <c r="H319" s="330" t="s">
        <v>133</v>
      </c>
      <c r="I319" s="605">
        <f ca="1">I330</f>
        <v>1</v>
      </c>
      <c r="J319" s="605">
        <f>J330</f>
        <v>0</v>
      </c>
      <c r="K319" s="604">
        <f ca="1">IF(I319&gt;0,J319*100/I319,0)</f>
        <v>0</v>
      </c>
      <c r="L319" s="334"/>
      <c r="M319" s="333"/>
      <c r="N319" s="333"/>
      <c r="O319" s="333"/>
      <c r="P319" s="333"/>
      <c r="Q319" s="333"/>
      <c r="R319" s="333"/>
      <c r="S319" s="333"/>
      <c r="T319" s="333"/>
      <c r="U319" s="333"/>
    </row>
    <row r="320" spans="1:21" ht="19.5">
      <c r="A320" s="155"/>
      <c r="B320" s="50"/>
      <c r="C320" s="156" t="s">
        <v>18</v>
      </c>
      <c r="D320" s="575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541">
        <f ca="1">L321+L322</f>
        <v>30000</v>
      </c>
      <c r="M320" s="540">
        <f ca="1">M321+M322</f>
        <v>30000</v>
      </c>
      <c r="N320" s="540">
        <f ca="1">N321+N322</f>
        <v>4600</v>
      </c>
      <c r="O320" s="540">
        <f ca="1">IF(L320&gt;0,N320*100/L320,0)</f>
        <v>15.333333333333334</v>
      </c>
      <c r="P320" s="540">
        <f ca="1">IF(M320&gt;0,N320*100/M320,0)</f>
        <v>15.333333333333334</v>
      </c>
      <c r="Q320" s="540">
        <f>Q321+Q322</f>
        <v>0</v>
      </c>
      <c r="R320" s="540">
        <f>R321+R322</f>
        <v>0</v>
      </c>
      <c r="S320" s="540">
        <f>S321+S322</f>
        <v>0</v>
      </c>
      <c r="T320" s="540">
        <f>IF(Q320&gt;0,S320*100/Q320,0)</f>
        <v>0</v>
      </c>
      <c r="U320" s="540">
        <f>IF(R320&gt;0,S320*100/R320,0)</f>
        <v>0</v>
      </c>
    </row>
    <row r="321" spans="1:21" ht="18.75" hidden="1">
      <c r="A321" s="155"/>
      <c r="B321" s="50"/>
      <c r="C321" s="50"/>
      <c r="D321" s="50"/>
      <c r="E321" s="186" t="s">
        <v>20</v>
      </c>
      <c r="F321" s="50"/>
      <c r="G321" s="52"/>
      <c r="H321" s="187" t="s">
        <v>14</v>
      </c>
      <c r="I321" s="54"/>
      <c r="J321" s="54"/>
      <c r="K321" s="55"/>
      <c r="L321" s="103">
        <f>L324+L327</f>
        <v>0</v>
      </c>
      <c r="M321" s="102">
        <f>M324+M327</f>
        <v>0</v>
      </c>
      <c r="N321" s="102">
        <f>N324+N327</f>
        <v>0</v>
      </c>
      <c r="O321" s="102">
        <f>IF(L321&gt;0,N321*100/L321,0)</f>
        <v>0</v>
      </c>
      <c r="P321" s="102">
        <f>IF(M321&gt;0,N321*100/M321,0)</f>
        <v>0</v>
      </c>
      <c r="Q321" s="102">
        <f>Q324+Q327</f>
        <v>0</v>
      </c>
      <c r="R321" s="102">
        <f>R324+R327</f>
        <v>0</v>
      </c>
      <c r="S321" s="102">
        <f>S324+S327</f>
        <v>0</v>
      </c>
      <c r="T321" s="102">
        <f>IF(Q321&gt;0,S321*100/Q321,0)</f>
        <v>0</v>
      </c>
      <c r="U321" s="102">
        <f>IF(R321&gt;0,S321*100/R321,0)</f>
        <v>0</v>
      </c>
    </row>
    <row r="322" spans="1:21" ht="18.75" hidden="1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256">
        <f ca="1">L325+L328</f>
        <v>30000</v>
      </c>
      <c r="M322" s="255">
        <f ca="1">M325+M328</f>
        <v>30000</v>
      </c>
      <c r="N322" s="255">
        <f ca="1">N325+N328</f>
        <v>4600</v>
      </c>
      <c r="O322" s="255">
        <f ca="1">IF(L322&gt;0,N322*100/L322,0)</f>
        <v>15.333333333333334</v>
      </c>
      <c r="P322" s="255">
        <f ca="1">IF(M322&gt;0,N322*100/M322,0)</f>
        <v>15.333333333333334</v>
      </c>
      <c r="Q322" s="255">
        <f>Q325+Q328</f>
        <v>0</v>
      </c>
      <c r="R322" s="255">
        <f>R325+R328</f>
        <v>0</v>
      </c>
      <c r="S322" s="255">
        <f>S325+S328</f>
        <v>0</v>
      </c>
      <c r="T322" s="255">
        <f>IF(Q322&gt;0,S322*100/Q322,0)</f>
        <v>0</v>
      </c>
      <c r="U322" s="255">
        <f>IF(R322&gt;0,S322*100/R322,0)</f>
        <v>0</v>
      </c>
    </row>
    <row r="323" spans="1:21" ht="18.75">
      <c r="A323" s="155"/>
      <c r="B323" s="50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256">
        <f ca="1">L324+L325</f>
        <v>30000</v>
      </c>
      <c r="M323" s="255">
        <f ca="1">M324+M325</f>
        <v>30000</v>
      </c>
      <c r="N323" s="255">
        <f ca="1">N324+N325</f>
        <v>4600</v>
      </c>
      <c r="O323" s="255">
        <f ca="1">IF(L323&gt;0,N323*100/L323,0)</f>
        <v>15.333333333333334</v>
      </c>
      <c r="P323" s="255">
        <f ca="1">IF(M323&gt;0,N323*100/M323,0)</f>
        <v>15.333333333333334</v>
      </c>
      <c r="Q323" s="255">
        <f>Q324+Q325</f>
        <v>0</v>
      </c>
      <c r="R323" s="255">
        <f>R324+R325</f>
        <v>0</v>
      </c>
      <c r="S323" s="255">
        <f>S324+S325</f>
        <v>0</v>
      </c>
      <c r="T323" s="255">
        <f>IF(Q323&gt;0,S323*100/Q323,0)</f>
        <v>0</v>
      </c>
      <c r="U323" s="255">
        <f>IF(R323&gt;0,S323*100/R323,0)</f>
        <v>0</v>
      </c>
    </row>
    <row r="324" spans="1:21" ht="18.75" hidden="1">
      <c r="A324" s="155"/>
      <c r="B324" s="50"/>
      <c r="C324" s="50"/>
      <c r="D324" s="50"/>
      <c r="E324" s="186" t="s">
        <v>36</v>
      </c>
      <c r="F324" s="50"/>
      <c r="G324" s="52"/>
      <c r="H324" s="189" t="s">
        <v>14</v>
      </c>
      <c r="I324" s="163"/>
      <c r="J324" s="163"/>
      <c r="K324" s="164"/>
      <c r="L324" s="103">
        <v>0</v>
      </c>
      <c r="M324" s="102">
        <v>0</v>
      </c>
      <c r="N324" s="102">
        <v>0</v>
      </c>
      <c r="O324" s="102">
        <f>IF(L324&gt;0,N324*100/L324,0)</f>
        <v>0</v>
      </c>
      <c r="P324" s="102">
        <f>IF(M324&gt;0,N324*100/M324,0)</f>
        <v>0</v>
      </c>
      <c r="Q324" s="102">
        <v>0</v>
      </c>
      <c r="R324" s="102">
        <v>0</v>
      </c>
      <c r="S324" s="102">
        <v>0</v>
      </c>
      <c r="T324" s="102">
        <f>IF(Q324&gt;0,S324*100/Q324,0)</f>
        <v>0</v>
      </c>
      <c r="U324" s="102">
        <f>IF(R324&gt;0,S324*100/R324,0)</f>
        <v>0</v>
      </c>
    </row>
    <row r="325" spans="1:21" ht="18.75" hidden="1">
      <c r="A325" s="155"/>
      <c r="B325" s="50"/>
      <c r="C325" s="50"/>
      <c r="D325" s="50"/>
      <c r="E325" s="58" t="s">
        <v>37</v>
      </c>
      <c r="F325" s="50"/>
      <c r="G325" s="52"/>
      <c r="H325" s="162" t="s">
        <v>14</v>
      </c>
      <c r="I325" s="163"/>
      <c r="J325" s="163"/>
      <c r="K325" s="164"/>
      <c r="L325" s="256">
        <f ca="1">IFERROR(__xludf.DUMMYFUNCTION("IMPORTRANGE(""https://docs.google.com/spreadsheets/d/1-uDff_7J0KD5mKrp0Vvzr7lt3OU09vwQwhkpOPPYv2Y/edit?usp=sharing"",""งบพรบ!EI36"")"),30000)</f>
        <v>30000</v>
      </c>
      <c r="M325" s="255">
        <f ca="1">IFERROR(__xludf.DUMMYFUNCTION("IMPORTRANGE(""https://docs.google.com/spreadsheets/d/1-uDff_7J0KD5mKrp0Vvzr7lt3OU09vwQwhkpOPPYv2Y/edit?usp=sharing"",""งบพรบ!EN36"")"),30000)</f>
        <v>30000</v>
      </c>
      <c r="N325" s="255">
        <f ca="1">IFERROR(__xludf.DUMMYFUNCTION("IMPORTRANGE(""https://docs.google.com/spreadsheets/d/1-uDff_7J0KD5mKrp0Vvzr7lt3OU09vwQwhkpOPPYv2Y/edit?usp=sharing"",""งบพรบ!EP36"")"),4600)</f>
        <v>4600</v>
      </c>
      <c r="O325" s="255">
        <f ca="1">IF(L325&gt;0,N325*100/L325,0)</f>
        <v>15.333333333333334</v>
      </c>
      <c r="P325" s="255">
        <f ca="1">IF(M325&gt;0,N325*100/M325,0)</f>
        <v>15.333333333333334</v>
      </c>
      <c r="Q325" s="255">
        <v>0</v>
      </c>
      <c r="R325" s="255">
        <v>0</v>
      </c>
      <c r="S325" s="255">
        <v>0</v>
      </c>
      <c r="T325" s="255">
        <f>IF(Q325&gt;0,S325*100/Q325,0)</f>
        <v>0</v>
      </c>
      <c r="U325" s="255">
        <f>IF(R325&gt;0,S325*100/R325,0)</f>
        <v>0</v>
      </c>
    </row>
    <row r="326" spans="1:21" ht="18.75">
      <c r="A326" s="155"/>
      <c r="B326" s="50"/>
      <c r="C326" s="50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256">
        <f ca="1">L327+L328</f>
        <v>0</v>
      </c>
      <c r="M326" s="255">
        <f ca="1">M327+M328</f>
        <v>0</v>
      </c>
      <c r="N326" s="255">
        <f ca="1">N327+N328</f>
        <v>0</v>
      </c>
      <c r="O326" s="255">
        <f ca="1">IF(L326&gt;0,N326*100/L326,0)</f>
        <v>0</v>
      </c>
      <c r="P326" s="255">
        <f ca="1">IF(M326&gt;0,N326*100/M326,0)</f>
        <v>0</v>
      </c>
      <c r="Q326" s="255">
        <f>Q327+Q328</f>
        <v>0</v>
      </c>
      <c r="R326" s="255">
        <f>R327+R328</f>
        <v>0</v>
      </c>
      <c r="S326" s="255">
        <f>S327+S328</f>
        <v>0</v>
      </c>
      <c r="T326" s="255">
        <f>IF(Q326&gt;0,S326*100/Q326,0)</f>
        <v>0</v>
      </c>
      <c r="U326" s="255">
        <f>IF(R326&gt;0,S326*100/R326,0)</f>
        <v>0</v>
      </c>
    </row>
    <row r="327" spans="1:21" ht="18.75" hidden="1">
      <c r="A327" s="155"/>
      <c r="B327" s="50"/>
      <c r="C327" s="50"/>
      <c r="D327" s="50"/>
      <c r="E327" s="186" t="s">
        <v>20</v>
      </c>
      <c r="F327" s="50"/>
      <c r="G327" s="52"/>
      <c r="H327" s="189" t="s">
        <v>14</v>
      </c>
      <c r="I327" s="163"/>
      <c r="J327" s="163"/>
      <c r="K327" s="164"/>
      <c r="L327" s="103">
        <v>0</v>
      </c>
      <c r="M327" s="102">
        <v>0</v>
      </c>
      <c r="N327" s="102">
        <v>0</v>
      </c>
      <c r="O327" s="102">
        <f>IF(L327&gt;0,N327*100/L327,0)</f>
        <v>0</v>
      </c>
      <c r="P327" s="102">
        <f>IF(M327&gt;0,N327*100/M327,0)</f>
        <v>0</v>
      </c>
      <c r="Q327" s="102">
        <v>0</v>
      </c>
      <c r="R327" s="102">
        <v>0</v>
      </c>
      <c r="S327" s="102">
        <v>0</v>
      </c>
      <c r="T327" s="102">
        <f>IF(Q327&gt;0,S327*100/Q327,0)</f>
        <v>0</v>
      </c>
      <c r="U327" s="102">
        <f>IF(R327&gt;0,S327*100/R327,0)</f>
        <v>0</v>
      </c>
    </row>
    <row r="328" spans="1:21" ht="18.75" hidden="1">
      <c r="A328" s="155"/>
      <c r="B328" s="50"/>
      <c r="C328" s="50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256">
        <f ca="1">IFERROR(__xludf.DUMMYFUNCTION("IMPORTRANGE(""https://docs.google.com/spreadsheets/d/1-uDff_7J0KD5mKrp0Vvzr7lt3OU09vwQwhkpOPPYv2Y/edit?usp=sharing"",""งบพรบ!EL36"")"),0)</f>
        <v>0</v>
      </c>
      <c r="M328" s="255">
        <f ca="1">IFERROR(__xludf.DUMMYFUNCTION("IMPORTRANGE(""https://docs.google.com/spreadsheets/d/1-uDff_7J0KD5mKrp0Vvzr7lt3OU09vwQwhkpOPPYv2Y/edit?usp=sharing"",""งบพรบ!EO36"")"),0)</f>
        <v>0</v>
      </c>
      <c r="N328" s="255">
        <f ca="1">IFERROR(__xludf.DUMMYFUNCTION("IMPORTRANGE(""https://docs.google.com/spreadsheets/d/1-uDff_7J0KD5mKrp0Vvzr7lt3OU09vwQwhkpOPPYv2Y/edit?usp=sharing"",""งบพรบ!EQ36"")"),0)</f>
        <v>0</v>
      </c>
      <c r="O328" s="255">
        <f ca="1">IF(L328&gt;0,N328*100/L328,0)</f>
        <v>0</v>
      </c>
      <c r="P328" s="255">
        <f ca="1">IF(M328&gt;0,N328*100/M328,0)</f>
        <v>0</v>
      </c>
      <c r="Q328" s="255">
        <v>0</v>
      </c>
      <c r="R328" s="255">
        <v>0</v>
      </c>
      <c r="S328" s="255">
        <v>0</v>
      </c>
      <c r="T328" s="255">
        <f>IF(Q328&gt;0,S328*100/Q328,0)</f>
        <v>0</v>
      </c>
      <c r="U328" s="255">
        <f>IF(R328&gt;0,S328*100/R328,0)</f>
        <v>0</v>
      </c>
    </row>
    <row r="329" spans="1:21" ht="19.5">
      <c r="A329" s="166"/>
      <c r="B329" s="167"/>
      <c r="C329" s="156" t="s">
        <v>18</v>
      </c>
      <c r="D329" s="566" t="s">
        <v>38</v>
      </c>
      <c r="E329" s="169"/>
      <c r="F329" s="169"/>
      <c r="G329" s="170"/>
      <c r="H329" s="171"/>
      <c r="I329" s="163"/>
      <c r="J329" s="54"/>
      <c r="K329" s="55"/>
      <c r="L329" s="62"/>
      <c r="M329" s="55"/>
      <c r="N329" s="55"/>
      <c r="O329" s="164"/>
      <c r="P329" s="164"/>
      <c r="Q329" s="55"/>
      <c r="R329" s="55"/>
      <c r="S329" s="55"/>
      <c r="T329" s="164"/>
      <c r="U329" s="164"/>
    </row>
    <row r="330" spans="1:21" ht="18.75">
      <c r="A330" s="166"/>
      <c r="B330" s="167"/>
      <c r="C330" s="167"/>
      <c r="D330" s="173" t="s">
        <v>134</v>
      </c>
      <c r="E330" s="174"/>
      <c r="F330" s="174"/>
      <c r="G330" s="171"/>
      <c r="H330" s="53" t="s">
        <v>133</v>
      </c>
      <c r="I330" s="212">
        <f ca="1">IFERROR(__xludf.DUMMYFUNCTION("IMPORTRANGE(""https://docs.google.com/spreadsheets/d/1eHaY18a8A9IcSdp1K8H6x8fbOy06t2VsZHhMHf-1x7Y/edit?usp=sharing"",""แผน!EJ36"")"),1)</f>
        <v>1</v>
      </c>
      <c r="J330" s="467">
        <v>0</v>
      </c>
      <c r="K330" s="255">
        <f ca="1">IF(I330&gt;0,J330*100/I330,0)</f>
        <v>0</v>
      </c>
      <c r="L330" s="62"/>
      <c r="M330" s="55"/>
      <c r="N330" s="55"/>
      <c r="O330" s="164"/>
      <c r="P330" s="164"/>
      <c r="Q330" s="55"/>
      <c r="R330" s="55"/>
      <c r="S330" s="55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1"/>
      <c r="I331" s="323"/>
      <c r="J331" s="323"/>
      <c r="K331" s="324"/>
      <c r="L331" s="325"/>
      <c r="M331" s="324"/>
      <c r="N331" s="324"/>
      <c r="O331" s="324"/>
      <c r="P331" s="324"/>
      <c r="Q331" s="324"/>
      <c r="R331" s="324"/>
      <c r="S331" s="324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30" t="s">
        <v>35</v>
      </c>
      <c r="I332" s="632">
        <f ca="1">I344</f>
        <v>5740</v>
      </c>
      <c r="J332" s="631">
        <f ca="1">J344+J347+J348+J349+J353+J354</f>
        <v>7121</v>
      </c>
      <c r="K332" s="630">
        <f ca="1">IF(I332&gt;0,J332*100/I332,0)</f>
        <v>124.05923344947735</v>
      </c>
      <c r="L332" s="334"/>
      <c r="M332" s="333"/>
      <c r="N332" s="333"/>
      <c r="O332" s="333"/>
      <c r="P332" s="333"/>
      <c r="Q332" s="333"/>
      <c r="R332" s="333"/>
      <c r="S332" s="333"/>
      <c r="T332" s="333"/>
      <c r="U332" s="333"/>
    </row>
    <row r="333" spans="1:21" ht="19.5">
      <c r="A333" s="155"/>
      <c r="B333" s="50"/>
      <c r="C333" s="156" t="s">
        <v>18</v>
      </c>
      <c r="D333" s="575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541">
        <f ca="1">L334+L335</f>
        <v>126000</v>
      </c>
      <c r="M333" s="540">
        <f ca="1">M334+M335</f>
        <v>131000</v>
      </c>
      <c r="N333" s="540">
        <f ca="1">N334+N335</f>
        <v>82080.649999999994</v>
      </c>
      <c r="O333" s="540">
        <f ca="1">IF(L333&gt;0,N333*100/L333,0)</f>
        <v>65.14337301587301</v>
      </c>
      <c r="P333" s="540">
        <f ca="1">IF(M333&gt;0,N333*100/M333,0)</f>
        <v>62.656984732824419</v>
      </c>
      <c r="Q333" s="540">
        <f>Q334+Q335</f>
        <v>0</v>
      </c>
      <c r="R333" s="540">
        <f>R334+R335</f>
        <v>0</v>
      </c>
      <c r="S333" s="540">
        <f>S334+S335</f>
        <v>0</v>
      </c>
      <c r="T333" s="540">
        <f>IF(Q333&gt;0,S333*100/Q333,0)</f>
        <v>0</v>
      </c>
      <c r="U333" s="540">
        <f>IF(R333&gt;0,S333*100/R333,0)</f>
        <v>0</v>
      </c>
    </row>
    <row r="334" spans="1:21" ht="18.75" hidden="1">
      <c r="A334" s="155"/>
      <c r="B334" s="50"/>
      <c r="C334" s="50"/>
      <c r="D334" s="50"/>
      <c r="E334" s="186" t="s">
        <v>20</v>
      </c>
      <c r="F334" s="50"/>
      <c r="G334" s="52"/>
      <c r="H334" s="187" t="s">
        <v>14</v>
      </c>
      <c r="I334" s="54"/>
      <c r="J334" s="54"/>
      <c r="K334" s="55"/>
      <c r="L334" s="103">
        <f>L337+L340</f>
        <v>0</v>
      </c>
      <c r="M334" s="102">
        <f>M337+M340</f>
        <v>0</v>
      </c>
      <c r="N334" s="102">
        <f>N337+N340</f>
        <v>0</v>
      </c>
      <c r="O334" s="102">
        <f>IF(L334&gt;0,N334*100/L334,0)</f>
        <v>0</v>
      </c>
      <c r="P334" s="102">
        <f>IF(M334&gt;0,N334*100/M334,0)</f>
        <v>0</v>
      </c>
      <c r="Q334" s="102">
        <f>Q337+Q340</f>
        <v>0</v>
      </c>
      <c r="R334" s="102">
        <f>R337+R340</f>
        <v>0</v>
      </c>
      <c r="S334" s="102">
        <f>S337+S340</f>
        <v>0</v>
      </c>
      <c r="T334" s="102">
        <f>IF(Q334&gt;0,S334*100/Q334,0)</f>
        <v>0</v>
      </c>
      <c r="U334" s="102">
        <f>IF(R334&gt;0,S334*100/R334,0)</f>
        <v>0</v>
      </c>
    </row>
    <row r="335" spans="1:21" ht="18.75" hidden="1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256">
        <f ca="1">L338+L341</f>
        <v>126000</v>
      </c>
      <c r="M335" s="255">
        <f ca="1">M338+M341</f>
        <v>131000</v>
      </c>
      <c r="N335" s="255">
        <f ca="1">N338+N341</f>
        <v>82080.649999999994</v>
      </c>
      <c r="O335" s="255">
        <f ca="1">IF(L335&gt;0,N335*100/L335,0)</f>
        <v>65.14337301587301</v>
      </c>
      <c r="P335" s="255">
        <f ca="1">IF(M335&gt;0,N335*100/M335,0)</f>
        <v>62.656984732824419</v>
      </c>
      <c r="Q335" s="255">
        <f>Q338+Q341</f>
        <v>0</v>
      </c>
      <c r="R335" s="255">
        <f>R338+R341</f>
        <v>0</v>
      </c>
      <c r="S335" s="255">
        <f>S338+S341</f>
        <v>0</v>
      </c>
      <c r="T335" s="255">
        <f>IF(Q335&gt;0,S335*100/Q335,0)</f>
        <v>0</v>
      </c>
      <c r="U335" s="255">
        <f>IF(R335&gt;0,S335*100/R335,0)</f>
        <v>0</v>
      </c>
    </row>
    <row r="336" spans="1:21" ht="18.75">
      <c r="A336" s="155"/>
      <c r="B336" s="50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256">
        <f ca="1">L337+L338</f>
        <v>126000</v>
      </c>
      <c r="M336" s="255">
        <f ca="1">M337+M338</f>
        <v>131000</v>
      </c>
      <c r="N336" s="255">
        <f ca="1">N337+N338</f>
        <v>82080.649999999994</v>
      </c>
      <c r="O336" s="255">
        <f ca="1">IF(L336&gt;0,N336*100/L336,0)</f>
        <v>65.14337301587301</v>
      </c>
      <c r="P336" s="255">
        <f ca="1">IF(M336&gt;0,N336*100/M336,0)</f>
        <v>62.656984732824419</v>
      </c>
      <c r="Q336" s="255">
        <f>Q337+Q338</f>
        <v>0</v>
      </c>
      <c r="R336" s="255">
        <f>R337+R338</f>
        <v>0</v>
      </c>
      <c r="S336" s="255">
        <f>S337+S338</f>
        <v>0</v>
      </c>
      <c r="T336" s="255">
        <f>IF(Q336&gt;0,S336*100/Q336,0)</f>
        <v>0</v>
      </c>
      <c r="U336" s="255">
        <f>IF(R336&gt;0,S336*100/R336,0)</f>
        <v>0</v>
      </c>
    </row>
    <row r="337" spans="1:21" ht="18.75" hidden="1">
      <c r="A337" s="155"/>
      <c r="B337" s="50"/>
      <c r="C337" s="50"/>
      <c r="D337" s="50"/>
      <c r="E337" s="186" t="s">
        <v>36</v>
      </c>
      <c r="F337" s="50"/>
      <c r="G337" s="52"/>
      <c r="H337" s="189" t="s">
        <v>14</v>
      </c>
      <c r="I337" s="163"/>
      <c r="J337" s="163"/>
      <c r="K337" s="164"/>
      <c r="L337" s="103">
        <v>0</v>
      </c>
      <c r="M337" s="102">
        <v>0</v>
      </c>
      <c r="N337" s="102">
        <v>0</v>
      </c>
      <c r="O337" s="102">
        <f>IF(L337&gt;0,N337*100/L337,0)</f>
        <v>0</v>
      </c>
      <c r="P337" s="102">
        <f>IF(M337&gt;0,N337*100/M337,0)</f>
        <v>0</v>
      </c>
      <c r="Q337" s="102">
        <v>0</v>
      </c>
      <c r="R337" s="102">
        <v>0</v>
      </c>
      <c r="S337" s="102">
        <v>0</v>
      </c>
      <c r="T337" s="102">
        <f>IF(Q337&gt;0,S337*100/Q337,0)</f>
        <v>0</v>
      </c>
      <c r="U337" s="102">
        <f>IF(R337&gt;0,S337*100/R337,0)</f>
        <v>0</v>
      </c>
    </row>
    <row r="338" spans="1:21" ht="18.75" hidden="1">
      <c r="A338" s="155"/>
      <c r="B338" s="50"/>
      <c r="C338" s="50"/>
      <c r="D338" s="50"/>
      <c r="E338" s="58" t="s">
        <v>37</v>
      </c>
      <c r="F338" s="50"/>
      <c r="G338" s="52"/>
      <c r="H338" s="162" t="s">
        <v>14</v>
      </c>
      <c r="I338" s="163"/>
      <c r="J338" s="163"/>
      <c r="K338" s="164"/>
      <c r="L338" s="256">
        <f ca="1">IFERROR(__xludf.DUMMYFUNCTION("IMPORTRANGE(""https://docs.google.com/spreadsheets/d/1-uDff_7J0KD5mKrp0Vvzr7lt3OU09vwQwhkpOPPYv2Y/edit?usp=sharing"",""งบพรบ!ES36"")"),126000)</f>
        <v>126000</v>
      </c>
      <c r="M338" s="255">
        <f ca="1">IFERROR(__xludf.DUMMYFUNCTION("IMPORTRANGE(""https://docs.google.com/spreadsheets/d/1-uDff_7J0KD5mKrp0Vvzr7lt3OU09vwQwhkpOPPYv2Y/edit?usp=sharing"",""งบพรบ!EX36"")"),131000)</f>
        <v>131000</v>
      </c>
      <c r="N338" s="255">
        <f ca="1">IFERROR(__xludf.DUMMYFUNCTION("IMPORTRANGE(""https://docs.google.com/spreadsheets/d/1-uDff_7J0KD5mKrp0Vvzr7lt3OU09vwQwhkpOPPYv2Y/edit?usp=sharing"",""งบพรบ!EZ36"")"),82080.65)</f>
        <v>82080.649999999994</v>
      </c>
      <c r="O338" s="255">
        <f ca="1">IF(L338&gt;0,N338*100/L338,0)</f>
        <v>65.14337301587301</v>
      </c>
      <c r="P338" s="255">
        <f ca="1">IF(M338&gt;0,N338*100/M338,0)</f>
        <v>62.656984732824419</v>
      </c>
      <c r="Q338" s="255">
        <v>0</v>
      </c>
      <c r="R338" s="255">
        <v>0</v>
      </c>
      <c r="S338" s="255">
        <v>0</v>
      </c>
      <c r="T338" s="255">
        <f>IF(Q338&gt;0,S338*100/Q338,0)</f>
        <v>0</v>
      </c>
      <c r="U338" s="255">
        <f>IF(R338&gt;0,S338*100/R338,0)</f>
        <v>0</v>
      </c>
    </row>
    <row r="339" spans="1:21" ht="18.75">
      <c r="A339" s="155"/>
      <c r="B339" s="50"/>
      <c r="C339" s="50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256">
        <f ca="1">L340+L341</f>
        <v>0</v>
      </c>
      <c r="M339" s="255">
        <f ca="1">M340+M341</f>
        <v>0</v>
      </c>
      <c r="N339" s="255">
        <f ca="1">N340+N341</f>
        <v>0</v>
      </c>
      <c r="O339" s="255">
        <f ca="1">IF(L339&gt;0,N339*100/L339,0)</f>
        <v>0</v>
      </c>
      <c r="P339" s="255">
        <f ca="1">IF(M339&gt;0,N339*100/M339,0)</f>
        <v>0</v>
      </c>
      <c r="Q339" s="255">
        <f>Q340+Q341</f>
        <v>0</v>
      </c>
      <c r="R339" s="255">
        <f>R340+R341</f>
        <v>0</v>
      </c>
      <c r="S339" s="255">
        <f>S340+S341</f>
        <v>0</v>
      </c>
      <c r="T339" s="255">
        <f>IF(Q339&gt;0,S339*100/Q339,0)</f>
        <v>0</v>
      </c>
      <c r="U339" s="255">
        <f>IF(R339&gt;0,S339*100/R339,0)</f>
        <v>0</v>
      </c>
    </row>
    <row r="340" spans="1:21" ht="18.75" hidden="1">
      <c r="A340" s="155"/>
      <c r="B340" s="50"/>
      <c r="C340" s="50"/>
      <c r="D340" s="50"/>
      <c r="E340" s="186" t="s">
        <v>20</v>
      </c>
      <c r="F340" s="50"/>
      <c r="G340" s="52"/>
      <c r="H340" s="189" t="s">
        <v>14</v>
      </c>
      <c r="I340" s="163"/>
      <c r="J340" s="163"/>
      <c r="K340" s="164"/>
      <c r="L340" s="103">
        <v>0</v>
      </c>
      <c r="M340" s="102">
        <v>0</v>
      </c>
      <c r="N340" s="102">
        <v>0</v>
      </c>
      <c r="O340" s="102">
        <f>IF(L340&gt;0,N340*100/L340,0)</f>
        <v>0</v>
      </c>
      <c r="P340" s="102">
        <f>IF(M340&gt;0,N340*100/M340,0)</f>
        <v>0</v>
      </c>
      <c r="Q340" s="102">
        <v>0</v>
      </c>
      <c r="R340" s="102">
        <v>0</v>
      </c>
      <c r="S340" s="102">
        <v>0</v>
      </c>
      <c r="T340" s="102">
        <f>IF(Q340&gt;0,S340*100/Q340,0)</f>
        <v>0</v>
      </c>
      <c r="U340" s="102">
        <f>IF(R340&gt;0,S340*100/R340,0)</f>
        <v>0</v>
      </c>
    </row>
    <row r="341" spans="1:21" ht="18.75" hidden="1">
      <c r="A341" s="155"/>
      <c r="B341" s="50"/>
      <c r="C341" s="50"/>
      <c r="D341" s="50"/>
      <c r="E341" s="58" t="s">
        <v>21</v>
      </c>
      <c r="F341" s="50"/>
      <c r="G341" s="52"/>
      <c r="H341" s="165" t="s">
        <v>14</v>
      </c>
      <c r="I341" s="163"/>
      <c r="J341" s="163"/>
      <c r="K341" s="164"/>
      <c r="L341" s="256">
        <f ca="1">IFERROR(__xludf.DUMMYFUNCTION("IMPORTRANGE(""https://docs.google.com/spreadsheets/d/1-uDff_7J0KD5mKrp0Vvzr7lt3OU09vwQwhkpOPPYv2Y/edit?usp=sharing"",""งบพรบ!EV36"")"),0)</f>
        <v>0</v>
      </c>
      <c r="M341" s="255">
        <f ca="1">IFERROR(__xludf.DUMMYFUNCTION("IMPORTRANGE(""https://docs.google.com/spreadsheets/d/1-uDff_7J0KD5mKrp0Vvzr7lt3OU09vwQwhkpOPPYv2Y/edit?usp=sharing"",""งบพรบ!EY36"")"),0)</f>
        <v>0</v>
      </c>
      <c r="N341" s="255">
        <f ca="1">IFERROR(__xludf.DUMMYFUNCTION("IMPORTRANGE(""https://docs.google.com/spreadsheets/d/1-uDff_7J0KD5mKrp0Vvzr7lt3OU09vwQwhkpOPPYv2Y/edit?usp=sharing"",""งบพรบ!FA36"")"),0)</f>
        <v>0</v>
      </c>
      <c r="O341" s="255">
        <f ca="1">IF(L341&gt;0,N341*100/L341,0)</f>
        <v>0</v>
      </c>
      <c r="P341" s="255">
        <f ca="1">IF(M341&gt;0,N341*100/M341,0)</f>
        <v>0</v>
      </c>
      <c r="Q341" s="255">
        <v>0</v>
      </c>
      <c r="R341" s="255">
        <v>0</v>
      </c>
      <c r="S341" s="255">
        <v>0</v>
      </c>
      <c r="T341" s="255">
        <f>IF(Q341&gt;0,S341*100/Q341,0)</f>
        <v>0</v>
      </c>
      <c r="U341" s="255">
        <f>IF(R341&gt;0,S341*100/R341,0)</f>
        <v>0</v>
      </c>
    </row>
    <row r="342" spans="1:21" ht="19.5">
      <c r="A342" s="166"/>
      <c r="B342" s="167"/>
      <c r="C342" s="156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62"/>
      <c r="M342" s="55"/>
      <c r="N342" s="55"/>
      <c r="O342" s="164"/>
      <c r="P342" s="164"/>
      <c r="Q342" s="55"/>
      <c r="R342" s="55"/>
      <c r="S342" s="55"/>
      <c r="T342" s="164"/>
      <c r="U342" s="164"/>
    </row>
    <row r="343" spans="1:21" ht="19.5">
      <c r="A343" s="629"/>
      <c r="B343" s="626"/>
      <c r="C343" s="628"/>
      <c r="D343" s="626"/>
      <c r="E343" s="627" t="s">
        <v>137</v>
      </c>
      <c r="F343" s="626"/>
      <c r="G343" s="625"/>
      <c r="H343" s="624" t="s">
        <v>35</v>
      </c>
      <c r="I343" s="623">
        <v>0</v>
      </c>
      <c r="J343" s="623">
        <f ca="1">J344+J347+J348+J349</f>
        <v>5604</v>
      </c>
      <c r="K343" s="622">
        <v>0</v>
      </c>
      <c r="L343" s="250"/>
      <c r="M343" s="249"/>
      <c r="N343" s="249"/>
      <c r="O343" s="249"/>
      <c r="P343" s="249"/>
      <c r="Q343" s="249"/>
      <c r="R343" s="249"/>
      <c r="S343" s="249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40" t="s">
        <v>35</v>
      </c>
      <c r="I344" s="212">
        <f ca="1">IFERROR(__xludf.DUMMYFUNCTION("IMPORTRANGE(""https://docs.google.com/spreadsheets/d/1eHaY18a8A9IcSdp1K8H6x8fbOy06t2VsZHhMHf-1x7Y/edit?usp=sharing"",""แผน!EK36"")"),5740)</f>
        <v>5740</v>
      </c>
      <c r="J344" s="212">
        <f ca="1">IFERROR(__xludf.DUMMYFUNCTION("IMPORTRANGE(""https://docs.google.com/spreadsheets/d/1awYsYK3VOup2i3Pq_Yjnu8DRu_mYwSBnCR2QPthd0rU/edit?usp=sharing"",""ศูนย์ยกเว้นโฉนด!D36"")"),5273)</f>
        <v>5273</v>
      </c>
      <c r="K344" s="255">
        <f ca="1">IF(I344&gt;0,J344*100/I344,0)</f>
        <v>91.864111498257842</v>
      </c>
      <c r="L344" s="62"/>
      <c r="M344" s="55"/>
      <c r="N344" s="55"/>
      <c r="O344" s="55"/>
      <c r="P344" s="55"/>
      <c r="Q344" s="55"/>
      <c r="R344" s="55"/>
      <c r="S344" s="55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62"/>
      <c r="M345" s="55"/>
      <c r="N345" s="55"/>
      <c r="O345" s="55"/>
      <c r="P345" s="55"/>
      <c r="Q345" s="55"/>
      <c r="R345" s="55"/>
      <c r="S345" s="55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212">
        <f ca="1">IFERROR(__xludf.DUMMYFUNCTION("IMPORTRANGE(""https://docs.google.com/spreadsheets/d/1eHaY18a8A9IcSdp1K8H6x8fbOy06t2VsZHhMHf-1x7Y/edit?usp=sharing"",""แผน!EL36"")"),10)</f>
        <v>10</v>
      </c>
      <c r="J346" s="212">
        <f ca="1">IFERROR(__xludf.DUMMYFUNCTION("IMPORTRANGE(""https://docs.google.com/spreadsheets/d/1awYsYK3VOup2i3Pq_Yjnu8DRu_mYwSBnCR2QPthd0rU/edit?usp=sharing"",""ศูนย์รวม!E36"")"),0)</f>
        <v>0</v>
      </c>
      <c r="K346" s="255">
        <f ca="1">IF(I346&gt;0,J346*100/I346,0)</f>
        <v>0</v>
      </c>
      <c r="L346" s="62"/>
      <c r="M346" s="55"/>
      <c r="N346" s="55"/>
      <c r="O346" s="55"/>
      <c r="P346" s="55"/>
      <c r="Q346" s="55"/>
      <c r="R346" s="55"/>
      <c r="S346" s="55"/>
      <c r="T346" s="55"/>
      <c r="U346" s="55"/>
    </row>
    <row r="347" spans="1:21" ht="18.75">
      <c r="A347" s="238"/>
      <c r="B347" s="50"/>
      <c r="C347" s="188"/>
      <c r="D347" s="174"/>
      <c r="E347" s="174"/>
      <c r="F347" s="178" t="s">
        <v>142</v>
      </c>
      <c r="G347" s="52"/>
      <c r="H347" s="203" t="s">
        <v>35</v>
      </c>
      <c r="I347" s="54"/>
      <c r="J347" s="212">
        <f ca="1">IFERROR(__xludf.DUMMYFUNCTION("IMPORTRANGE(""https://docs.google.com/spreadsheets/d/1awYsYK3VOup2i3Pq_Yjnu8DRu_mYwSBnCR2QPthd0rU/edit?usp=sharing"",""ศูนย์ยกเว้นโฉนด!F36"")"),328)</f>
        <v>328</v>
      </c>
      <c r="K347" s="55"/>
      <c r="L347" s="62"/>
      <c r="M347" s="55"/>
      <c r="N347" s="55"/>
      <c r="O347" s="55"/>
      <c r="P347" s="55"/>
      <c r="Q347" s="55"/>
      <c r="R347" s="55"/>
      <c r="S347" s="55"/>
      <c r="T347" s="55"/>
      <c r="U347" s="55"/>
    </row>
    <row r="348" spans="1:21" ht="18.75">
      <c r="A348" s="238"/>
      <c r="B348" s="50"/>
      <c r="C348" s="188"/>
      <c r="D348" s="174"/>
      <c r="E348" s="178" t="s">
        <v>143</v>
      </c>
      <c r="F348" s="174"/>
      <c r="G348" s="52"/>
      <c r="H348" s="203" t="s">
        <v>35</v>
      </c>
      <c r="I348" s="54"/>
      <c r="J348" s="212">
        <f ca="1">IFERROR(__xludf.DUMMYFUNCTION("IMPORTRANGE(""https://docs.google.com/spreadsheets/d/1awYsYK3VOup2i3Pq_Yjnu8DRu_mYwSBnCR2QPthd0rU/edit?usp=sharing"",""ศูนย์ยกเว้นโฉนด!G36"")"),3)</f>
        <v>3</v>
      </c>
      <c r="K348" s="55"/>
      <c r="L348" s="62"/>
      <c r="M348" s="55"/>
      <c r="N348" s="55"/>
      <c r="O348" s="55"/>
      <c r="P348" s="55"/>
      <c r="Q348" s="55"/>
      <c r="R348" s="55"/>
      <c r="S348" s="55"/>
      <c r="T348" s="55"/>
      <c r="U348" s="55"/>
    </row>
    <row r="349" spans="1:21" ht="18.75">
      <c r="A349" s="238"/>
      <c r="B349" s="50"/>
      <c r="C349" s="188"/>
      <c r="D349" s="167"/>
      <c r="E349" s="178" t="s">
        <v>144</v>
      </c>
      <c r="F349" s="174"/>
      <c r="G349" s="52"/>
      <c r="H349" s="203" t="s">
        <v>35</v>
      </c>
      <c r="I349" s="54"/>
      <c r="J349" s="212">
        <f ca="1">IFERROR(__xludf.DUMMYFUNCTION("IMPORTRANGE(""https://docs.google.com/spreadsheets/d/1awYsYK3VOup2i3Pq_Yjnu8DRu_mYwSBnCR2QPthd0rU/edit?usp=sharing"",""ศูนย์ยกเว้นโฉนด!H36"")"),0)</f>
        <v>0</v>
      </c>
      <c r="K349" s="55"/>
      <c r="L349" s="62"/>
      <c r="M349" s="55"/>
      <c r="N349" s="55"/>
      <c r="O349" s="55"/>
      <c r="P349" s="55"/>
      <c r="Q349" s="55"/>
      <c r="R349" s="55"/>
      <c r="S349" s="55"/>
      <c r="T349" s="55"/>
      <c r="U349" s="55"/>
    </row>
    <row r="350" spans="1:21" ht="16.5">
      <c r="A350" s="18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0" s="50"/>
      <c r="F350" s="50"/>
      <c r="G350" s="52"/>
      <c r="H350" s="208"/>
      <c r="I350" s="54"/>
      <c r="J350" s="54"/>
      <c r="K350" s="55"/>
      <c r="L350" s="62"/>
      <c r="M350" s="55"/>
      <c r="N350" s="55"/>
      <c r="O350" s="55"/>
      <c r="P350" s="55"/>
      <c r="Q350" s="55"/>
      <c r="R350" s="55"/>
      <c r="S350" s="55"/>
      <c r="T350" s="55"/>
      <c r="U350" s="55"/>
    </row>
    <row r="351" spans="1:21" ht="19.5">
      <c r="A351" s="241"/>
      <c r="B351" s="244"/>
      <c r="C351" s="242"/>
      <c r="D351" s="244"/>
      <c r="E351" s="621" t="s">
        <v>145</v>
      </c>
      <c r="F351" s="244"/>
      <c r="G351" s="245"/>
      <c r="H351" s="246" t="s">
        <v>35</v>
      </c>
      <c r="I351" s="339">
        <v>0</v>
      </c>
      <c r="J351" s="339">
        <f ca="1">J352+J353+J354</f>
        <v>7361</v>
      </c>
      <c r="K351" s="340">
        <v>0</v>
      </c>
      <c r="L351" s="250"/>
      <c r="M351" s="249"/>
      <c r="N351" s="249"/>
      <c r="O351" s="249"/>
      <c r="P351" s="249"/>
      <c r="Q351" s="249"/>
      <c r="R351" s="249"/>
      <c r="S351" s="249"/>
      <c r="T351" s="249"/>
      <c r="U351" s="249"/>
    </row>
    <row r="352" spans="1:21" ht="18.75">
      <c r="A352" s="188"/>
      <c r="B352" s="50"/>
      <c r="C352" s="188"/>
      <c r="D352" s="174"/>
      <c r="E352" s="178" t="s">
        <v>146</v>
      </c>
      <c r="F352" s="50"/>
      <c r="G352" s="52"/>
      <c r="H352" s="161" t="s">
        <v>35</v>
      </c>
      <c r="I352" s="54"/>
      <c r="J352" s="212">
        <f ca="1">IFERROR(__xludf.DUMMYFUNCTION("IMPORTRANGE(""https://docs.google.com/spreadsheets/d/1awYsYK3VOup2i3Pq_Yjnu8DRu_mYwSBnCR2QPthd0rU/edit?usp=sharing"",""โฉนดM3!G36"")"),5844)</f>
        <v>5844</v>
      </c>
      <c r="K352" s="55"/>
      <c r="L352" s="62"/>
      <c r="M352" s="55"/>
      <c r="N352" s="55"/>
      <c r="O352" s="55"/>
      <c r="P352" s="55"/>
      <c r="Q352" s="55"/>
      <c r="R352" s="55"/>
      <c r="S352" s="55"/>
      <c r="T352" s="55"/>
      <c r="U352" s="55"/>
    </row>
    <row r="353" spans="1:21" ht="18.75">
      <c r="A353" s="18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212">
        <f ca="1">IFERROR(__xludf.DUMMYFUNCTION("IMPORTRANGE(""https://docs.google.com/spreadsheets/d/1awYsYK3VOup2i3Pq_Yjnu8DRu_mYwSBnCR2QPthd0rU/edit?usp=sharing"",""โฉนดM3!H36"")"),1517)</f>
        <v>1517</v>
      </c>
      <c r="K353" s="55"/>
      <c r="L353" s="62"/>
      <c r="M353" s="55"/>
      <c r="N353" s="55"/>
      <c r="O353" s="55"/>
      <c r="P353" s="55"/>
      <c r="Q353" s="55"/>
      <c r="R353" s="55"/>
      <c r="S353" s="55"/>
      <c r="T353" s="55"/>
      <c r="U353" s="55"/>
    </row>
    <row r="354" spans="1:21" ht="18.75">
      <c r="A354" s="343"/>
      <c r="B354" s="344"/>
      <c r="C354" s="343"/>
      <c r="D354" s="343"/>
      <c r="E354" s="345" t="s">
        <v>148</v>
      </c>
      <c r="F354" s="344"/>
      <c r="G354" s="346"/>
      <c r="H354" s="347" t="s">
        <v>35</v>
      </c>
      <c r="I354" s="348"/>
      <c r="J354" s="349">
        <f ca="1">IFERROR(__xludf.DUMMYFUNCTION("IMPORTRANGE(""https://docs.google.com/spreadsheets/d/1awYsYK3VOup2i3Pq_Yjnu8DRu_mYwSBnCR2QPthd0rU/edit?usp=sharing"",""โฉนดM3!I36"")"),0)</f>
        <v>0</v>
      </c>
      <c r="K354" s="350"/>
      <c r="L354" s="350"/>
      <c r="M354" s="350"/>
      <c r="N354" s="350"/>
      <c r="O354" s="350"/>
      <c r="P354" s="350"/>
      <c r="Q354" s="350"/>
      <c r="R354" s="350"/>
      <c r="S354" s="350"/>
      <c r="T354" s="350"/>
      <c r="U354" s="350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29"/>
      <c r="I355" s="351"/>
      <c r="J355" s="351"/>
      <c r="K355" s="333"/>
      <c r="L355" s="334"/>
      <c r="M355" s="333"/>
      <c r="N355" s="333"/>
      <c r="O355" s="333"/>
      <c r="P355" s="333"/>
      <c r="Q355" s="333"/>
      <c r="R355" s="333"/>
      <c r="S355" s="333"/>
      <c r="T355" s="333"/>
      <c r="U355" s="333"/>
    </row>
    <row r="356" spans="1:21" ht="19.5">
      <c r="A356" s="155"/>
      <c r="B356" s="50"/>
      <c r="C356" s="156" t="s">
        <v>18</v>
      </c>
      <c r="D356" s="575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541">
        <f ca="1">L357+L358</f>
        <v>1332925</v>
      </c>
      <c r="M356" s="540">
        <f ca="1">M357+M358</f>
        <v>1332925</v>
      </c>
      <c r="N356" s="540">
        <f ca="1">N357+N358</f>
        <v>1119214.25</v>
      </c>
      <c r="O356" s="540">
        <f ca="1">IF(L356&gt;0,N356*100/L356,0)</f>
        <v>83.966783577470594</v>
      </c>
      <c r="P356" s="540">
        <f ca="1">IF(M356&gt;0,N356*100/M356,0)</f>
        <v>83.966783577470594</v>
      </c>
      <c r="Q356" s="540">
        <f>Q357+Q358</f>
        <v>0</v>
      </c>
      <c r="R356" s="540">
        <f>R357+R358</f>
        <v>0</v>
      </c>
      <c r="S356" s="540">
        <f>S357+S358</f>
        <v>0</v>
      </c>
      <c r="T356" s="540">
        <f>IF(Q356&gt;0,S356*100/Q356,0)</f>
        <v>0</v>
      </c>
      <c r="U356" s="540">
        <f>IF(R356&gt;0,S356*100/R356,0)</f>
        <v>0</v>
      </c>
    </row>
    <row r="357" spans="1:21" ht="18.75" hidden="1">
      <c r="A357" s="155"/>
      <c r="B357" s="50"/>
      <c r="C357" s="50"/>
      <c r="D357" s="50"/>
      <c r="E357" s="186" t="s">
        <v>20</v>
      </c>
      <c r="F357" s="50"/>
      <c r="G357" s="52"/>
      <c r="H357" s="187" t="s">
        <v>14</v>
      </c>
      <c r="I357" s="54"/>
      <c r="J357" s="54"/>
      <c r="K357" s="55"/>
      <c r="L357" s="103">
        <f>L360+L363</f>
        <v>0</v>
      </c>
      <c r="M357" s="102">
        <f>M360+M363</f>
        <v>0</v>
      </c>
      <c r="N357" s="102">
        <f>N360+N363</f>
        <v>0</v>
      </c>
      <c r="O357" s="102">
        <f>IF(L357&gt;0,N357*100/L357,0)</f>
        <v>0</v>
      </c>
      <c r="P357" s="102">
        <f>IF(M357&gt;0,N357*100/M357,0)</f>
        <v>0</v>
      </c>
      <c r="Q357" s="102">
        <f>Q360+Q363</f>
        <v>0</v>
      </c>
      <c r="R357" s="102">
        <f>R360+R363</f>
        <v>0</v>
      </c>
      <c r="S357" s="102">
        <f>S360+S363</f>
        <v>0</v>
      </c>
      <c r="T357" s="102">
        <f>IF(Q357&gt;0,S357*100/Q357,0)</f>
        <v>0</v>
      </c>
      <c r="U357" s="102">
        <f>IF(R357&gt;0,S357*100/R357,0)</f>
        <v>0</v>
      </c>
    </row>
    <row r="358" spans="1:21" ht="18.75" hidden="1">
      <c r="A358" s="155"/>
      <c r="B358" s="50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256">
        <f ca="1">L361+L364</f>
        <v>1332925</v>
      </c>
      <c r="M358" s="255">
        <f ca="1">M361+M364</f>
        <v>1332925</v>
      </c>
      <c r="N358" s="255">
        <f ca="1">N361+N364</f>
        <v>1119214.25</v>
      </c>
      <c r="O358" s="255">
        <f ca="1">IF(L358&gt;0,N358*100/L358,0)</f>
        <v>83.966783577470594</v>
      </c>
      <c r="P358" s="255">
        <f ca="1">IF(M358&gt;0,N358*100/M358,0)</f>
        <v>83.966783577470594</v>
      </c>
      <c r="Q358" s="255">
        <f>Q361+Q364</f>
        <v>0</v>
      </c>
      <c r="R358" s="255">
        <f>R361+R364</f>
        <v>0</v>
      </c>
      <c r="S358" s="255">
        <f>S361+S364</f>
        <v>0</v>
      </c>
      <c r="T358" s="255">
        <f>IF(Q358&gt;0,S358*100/Q358,0)</f>
        <v>0</v>
      </c>
      <c r="U358" s="255">
        <f>IF(R358&gt;0,S358*100/R358,0)</f>
        <v>0</v>
      </c>
    </row>
    <row r="359" spans="1:21" ht="18.75">
      <c r="A359" s="155"/>
      <c r="B359" s="50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256">
        <f ca="1">L360+L361</f>
        <v>1332925</v>
      </c>
      <c r="M359" s="255">
        <f ca="1">M360+M361</f>
        <v>1332925</v>
      </c>
      <c r="N359" s="255">
        <f ca="1">N360+N361</f>
        <v>1119214.25</v>
      </c>
      <c r="O359" s="255">
        <f ca="1">IF(L359&gt;0,N359*100/L359,0)</f>
        <v>83.966783577470594</v>
      </c>
      <c r="P359" s="255">
        <f ca="1">IF(M359&gt;0,N359*100/M359,0)</f>
        <v>83.966783577470594</v>
      </c>
      <c r="Q359" s="255">
        <f>Q360+Q361</f>
        <v>0</v>
      </c>
      <c r="R359" s="255">
        <f>R360+R361</f>
        <v>0</v>
      </c>
      <c r="S359" s="255">
        <f>S360+S361</f>
        <v>0</v>
      </c>
      <c r="T359" s="255">
        <f>IF(Q359&gt;0,S359*100/Q359,0)</f>
        <v>0</v>
      </c>
      <c r="U359" s="255">
        <f>IF(R359&gt;0,S359*100/R359,0)</f>
        <v>0</v>
      </c>
    </row>
    <row r="360" spans="1:21" ht="18.75" hidden="1">
      <c r="A360" s="155"/>
      <c r="B360" s="50"/>
      <c r="C360" s="50"/>
      <c r="D360" s="50"/>
      <c r="E360" s="186" t="s">
        <v>36</v>
      </c>
      <c r="F360" s="50"/>
      <c r="G360" s="52"/>
      <c r="H360" s="189" t="s">
        <v>14</v>
      </c>
      <c r="I360" s="163"/>
      <c r="J360" s="163"/>
      <c r="K360" s="164"/>
      <c r="L360" s="103">
        <v>0</v>
      </c>
      <c r="M360" s="102">
        <v>0</v>
      </c>
      <c r="N360" s="102">
        <v>0</v>
      </c>
      <c r="O360" s="102">
        <f>IF(L360&gt;0,N360*100/L360,0)</f>
        <v>0</v>
      </c>
      <c r="P360" s="102">
        <f>IF(M360&gt;0,N360*100/M360,0)</f>
        <v>0</v>
      </c>
      <c r="Q360" s="102">
        <v>0</v>
      </c>
      <c r="R360" s="102">
        <v>0</v>
      </c>
      <c r="S360" s="102">
        <v>0</v>
      </c>
      <c r="T360" s="102">
        <f>IF(Q360&gt;0,S360*100/Q360,0)</f>
        <v>0</v>
      </c>
      <c r="U360" s="102">
        <f>IF(R360&gt;0,S360*100/R360,0)</f>
        <v>0</v>
      </c>
    </row>
    <row r="361" spans="1:21" ht="18.75" hidden="1">
      <c r="A361" s="155"/>
      <c r="B361" s="50"/>
      <c r="C361" s="50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256">
        <f ca="1">IFERROR(__xludf.DUMMYFUNCTION("IMPORTRANGE(""https://docs.google.com/spreadsheets/d/1-uDff_7J0KD5mKrp0Vvzr7lt3OU09vwQwhkpOPPYv2Y/edit?usp=sharing"",""งบพรบ!FC36"")"),1332925)</f>
        <v>1332925</v>
      </c>
      <c r="M361" s="255">
        <f ca="1">IFERROR(__xludf.DUMMYFUNCTION("IMPORTRANGE(""https://docs.google.com/spreadsheets/d/1-uDff_7J0KD5mKrp0Vvzr7lt3OU09vwQwhkpOPPYv2Y/edit?usp=sharing"",""งบพรบ!FH36"")"),1332925)</f>
        <v>1332925</v>
      </c>
      <c r="N361" s="255">
        <f ca="1">IFERROR(__xludf.DUMMYFUNCTION("IMPORTRANGE(""https://docs.google.com/spreadsheets/d/1-uDff_7J0KD5mKrp0Vvzr7lt3OU09vwQwhkpOPPYv2Y/edit?usp=sharing"",""งบพรบ!FJ36"")"),1119214.25)</f>
        <v>1119214.25</v>
      </c>
      <c r="O361" s="255">
        <f ca="1">IF(L361&gt;0,N361*100/L361,0)</f>
        <v>83.966783577470594</v>
      </c>
      <c r="P361" s="255">
        <f ca="1">IF(M361&gt;0,N361*100/M361,0)</f>
        <v>83.966783577470594</v>
      </c>
      <c r="Q361" s="255">
        <v>0</v>
      </c>
      <c r="R361" s="255">
        <v>0</v>
      </c>
      <c r="S361" s="255">
        <v>0</v>
      </c>
      <c r="T361" s="255">
        <f>IF(Q361&gt;0,S361*100/Q361,0)</f>
        <v>0</v>
      </c>
      <c r="U361" s="255">
        <f>IF(R361&gt;0,S361*100/R361,0)</f>
        <v>0</v>
      </c>
    </row>
    <row r="362" spans="1:21" ht="18.75">
      <c r="A362" s="155"/>
      <c r="B362" s="50"/>
      <c r="C362" s="50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256">
        <f ca="1">L363+L364</f>
        <v>0</v>
      </c>
      <c r="M362" s="255">
        <f ca="1">M363+M364</f>
        <v>0</v>
      </c>
      <c r="N362" s="255">
        <f ca="1">N363+N364</f>
        <v>0</v>
      </c>
      <c r="O362" s="255">
        <f ca="1">IF(L362&gt;0,N362*100/L362,0)</f>
        <v>0</v>
      </c>
      <c r="P362" s="255">
        <f ca="1">IF(M362&gt;0,N362*100/M362,0)</f>
        <v>0</v>
      </c>
      <c r="Q362" s="255">
        <f>Q363+Q364</f>
        <v>0</v>
      </c>
      <c r="R362" s="255">
        <f>R363+R364</f>
        <v>0</v>
      </c>
      <c r="S362" s="255">
        <f>S363+S364</f>
        <v>0</v>
      </c>
      <c r="T362" s="255">
        <f>IF(Q362&gt;0,S362*100/Q362,0)</f>
        <v>0</v>
      </c>
      <c r="U362" s="255">
        <f>IF(R362&gt;0,S362*100/R362,0)</f>
        <v>0</v>
      </c>
    </row>
    <row r="363" spans="1:21" ht="18.75" hidden="1">
      <c r="A363" s="155"/>
      <c r="B363" s="50"/>
      <c r="C363" s="50"/>
      <c r="D363" s="50"/>
      <c r="E363" s="186" t="s">
        <v>20</v>
      </c>
      <c r="F363" s="50"/>
      <c r="G363" s="52"/>
      <c r="H363" s="189" t="s">
        <v>14</v>
      </c>
      <c r="I363" s="163"/>
      <c r="J363" s="163"/>
      <c r="K363" s="164"/>
      <c r="L363" s="103">
        <v>0</v>
      </c>
      <c r="M363" s="102">
        <v>0</v>
      </c>
      <c r="N363" s="102">
        <v>0</v>
      </c>
      <c r="O363" s="102">
        <f>IF(L363&gt;0,N363*100/L363,0)</f>
        <v>0</v>
      </c>
      <c r="P363" s="102">
        <f>IF(M363&gt;0,N363*100/M363,0)</f>
        <v>0</v>
      </c>
      <c r="Q363" s="102">
        <v>0</v>
      </c>
      <c r="R363" s="102">
        <v>0</v>
      </c>
      <c r="S363" s="102">
        <v>0</v>
      </c>
      <c r="T363" s="102">
        <f>IF(Q363&gt;0,S363*100/Q363,0)</f>
        <v>0</v>
      </c>
      <c r="U363" s="102">
        <f>IF(R363&gt;0,S363*100/R363,0)</f>
        <v>0</v>
      </c>
    </row>
    <row r="364" spans="1:21" ht="18.75" hidden="1">
      <c r="A364" s="155"/>
      <c r="B364" s="50"/>
      <c r="C364" s="50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256">
        <f ca="1">IFERROR(__xludf.DUMMYFUNCTION("IMPORTRANGE(""https://docs.google.com/spreadsheets/d/1-uDff_7J0KD5mKrp0Vvzr7lt3OU09vwQwhkpOPPYv2Y/edit?usp=sharing"",""งบพรบ!FF36"")"),0)</f>
        <v>0</v>
      </c>
      <c r="M364" s="255">
        <f ca="1">IFERROR(__xludf.DUMMYFUNCTION("IMPORTRANGE(""https://docs.google.com/spreadsheets/d/1-uDff_7J0KD5mKrp0Vvzr7lt3OU09vwQwhkpOPPYv2Y/edit?usp=sharing"",""งบพรบ!FI36"")"),0)</f>
        <v>0</v>
      </c>
      <c r="N364" s="255">
        <f ca="1">IFERROR(__xludf.DUMMYFUNCTION("IMPORTRANGE(""https://docs.google.com/spreadsheets/d/1-uDff_7J0KD5mKrp0Vvzr7lt3OU09vwQwhkpOPPYv2Y/edit?usp=sharing"",""งบพรบ!FK36"")"),0)</f>
        <v>0</v>
      </c>
      <c r="O364" s="255">
        <f ca="1">IF(L364&gt;0,N364*100/L364,0)</f>
        <v>0</v>
      </c>
      <c r="P364" s="255">
        <f ca="1">IF(M364&gt;0,N364*100/M364,0)</f>
        <v>0</v>
      </c>
      <c r="Q364" s="255">
        <v>0</v>
      </c>
      <c r="R364" s="255">
        <v>0</v>
      </c>
      <c r="S364" s="255">
        <v>0</v>
      </c>
      <c r="T364" s="255">
        <f>IF(Q364&gt;0,S364*100/Q364,0)</f>
        <v>0</v>
      </c>
      <c r="U364" s="255">
        <f>IF(R364&gt;0,S364*100/R364,0)</f>
        <v>0</v>
      </c>
    </row>
    <row r="365" spans="1:21" ht="19.5">
      <c r="A365" s="241"/>
      <c r="B365" s="242"/>
      <c r="C365" s="244"/>
      <c r="D365" s="621" t="s">
        <v>150</v>
      </c>
      <c r="E365" s="244"/>
      <c r="F365" s="244"/>
      <c r="G365" s="245"/>
      <c r="H365" s="254" t="s">
        <v>35</v>
      </c>
      <c r="I365" s="339">
        <f ca="1">I371</f>
        <v>1241</v>
      </c>
      <c r="J365" s="339">
        <f ca="1">J371</f>
        <v>648</v>
      </c>
      <c r="K365" s="340">
        <f ca="1">IF(I365&gt;0,J365*100/I365,0)</f>
        <v>52.215954875100728</v>
      </c>
      <c r="L365" s="250"/>
      <c r="M365" s="249"/>
      <c r="N365" s="249"/>
      <c r="O365" s="249"/>
      <c r="P365" s="249"/>
      <c r="Q365" s="249"/>
      <c r="R365" s="249"/>
      <c r="S365" s="249"/>
      <c r="T365" s="249"/>
      <c r="U365" s="249"/>
    </row>
    <row r="366" spans="1:21" ht="19.5">
      <c r="A366" s="166"/>
      <c r="B366" s="167"/>
      <c r="C366" s="156" t="s">
        <v>18</v>
      </c>
      <c r="D366" s="566" t="s">
        <v>38</v>
      </c>
      <c r="E366" s="169"/>
      <c r="F366" s="169"/>
      <c r="G366" s="170"/>
      <c r="H366" s="171"/>
      <c r="I366" s="54"/>
      <c r="J366" s="54"/>
      <c r="K366" s="55"/>
      <c r="L366" s="172"/>
      <c r="M366" s="164"/>
      <c r="N366" s="164"/>
      <c r="O366" s="164"/>
      <c r="P366" s="164"/>
      <c r="Q366" s="164"/>
      <c r="R366" s="164"/>
      <c r="S366" s="164"/>
      <c r="T366" s="164"/>
      <c r="U366" s="164"/>
    </row>
    <row r="367" spans="1:21" ht="18.75">
      <c r="A367" s="166"/>
      <c r="B367" s="174"/>
      <c r="C367" s="167"/>
      <c r="D367" s="174"/>
      <c r="E367" s="173" t="s">
        <v>151</v>
      </c>
      <c r="F367" s="174"/>
      <c r="G367" s="171"/>
      <c r="H367" s="183" t="s">
        <v>35</v>
      </c>
      <c r="I367" s="212">
        <v>0</v>
      </c>
      <c r="J367" s="212">
        <f ca="1">IFERROR(__xludf.DUMMYFUNCTION("IMPORTRANGE(""https://docs.google.com/spreadsheets/d/1tdoBKaGub7dwA3U6UFTqxio9LNnvDCQjHKmttSEBsFQ/edit?usp=sharing"",""จัดที่ดิน!AB36"")"),664)</f>
        <v>664</v>
      </c>
      <c r="K367" s="255">
        <f>IF(I367&gt;0,J367*100/I367,0)</f>
        <v>0</v>
      </c>
      <c r="L367" s="172"/>
      <c r="M367" s="164"/>
      <c r="N367" s="164"/>
      <c r="O367" s="164"/>
      <c r="P367" s="164"/>
      <c r="Q367" s="164"/>
      <c r="R367" s="164"/>
      <c r="S367" s="164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212">
        <f ca="1">IFERROR(__xludf.DUMMYFUNCTION("IMPORTRANGE(""https://docs.google.com/spreadsheets/d/1eHaY18a8A9IcSdp1K8H6x8fbOy06t2VsZHhMHf-1x7Y/edit?usp=sharing"",""แผน!EW36"")"),6115)</f>
        <v>6115</v>
      </c>
      <c r="J368" s="620">
        <f ca="1">IFERROR(__xludf.DUMMYFUNCTION("IMPORTRANGE(""https://docs.google.com/spreadsheets/d/1tdoBKaGub7dwA3U6UFTqxio9LNnvDCQjHKmttSEBsFQ/edit?usp=sharing"",""จัดที่ดิน!AC36"")"),6864.78)</f>
        <v>6864.78</v>
      </c>
      <c r="K368" s="255">
        <f ca="1">IF(I368&gt;0,J368*100/I368,0)</f>
        <v>112.26132461161079</v>
      </c>
      <c r="L368" s="172"/>
      <c r="M368" s="164"/>
      <c r="N368" s="164"/>
      <c r="O368" s="164"/>
      <c r="P368" s="164"/>
      <c r="Q368" s="164"/>
      <c r="R368" s="164"/>
      <c r="S368" s="164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79" t="s">
        <v>35</v>
      </c>
      <c r="I369" s="212">
        <f ca="1">IFERROR(__xludf.DUMMYFUNCTION("IMPORTRANGE(""https://docs.google.com/spreadsheets/d/1eHaY18a8A9IcSdp1K8H6x8fbOy06t2VsZHhMHf-1x7Y/edit?usp=sharing"",""แผน!EX36"")"),1241)</f>
        <v>1241</v>
      </c>
      <c r="J369" s="212">
        <f ca="1">IFERROR(__xludf.DUMMYFUNCTION("IMPORTRANGE(""https://docs.google.com/spreadsheets/d/1tdoBKaGub7dwA3U6UFTqxio9LNnvDCQjHKmttSEBsFQ/edit?usp=sharing"",""จัดที่ดิน!AD36"")"),1072)</f>
        <v>1072</v>
      </c>
      <c r="K369" s="255">
        <f ca="1">IF(I369&gt;0,J369*100/I369,0)</f>
        <v>86.381950040290093</v>
      </c>
      <c r="L369" s="172"/>
      <c r="M369" s="164"/>
      <c r="N369" s="164"/>
      <c r="O369" s="164"/>
      <c r="P369" s="164"/>
      <c r="Q369" s="164"/>
      <c r="R369" s="164"/>
      <c r="S369" s="164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79" t="s">
        <v>46</v>
      </c>
      <c r="I370" s="212">
        <v>0</v>
      </c>
      <c r="J370" s="620">
        <f ca="1">IFERROR(__xludf.DUMMYFUNCTION("IMPORTRANGE(""https://docs.google.com/spreadsheets/d/1tdoBKaGub7dwA3U6UFTqxio9LNnvDCQjHKmttSEBsFQ/edit?usp=sharing"",""จัดที่ดิน!AE36"")"),13801.46)</f>
        <v>13801.46</v>
      </c>
      <c r="K370" s="255">
        <f>IF(I370&gt;0,J370*100/I370,0)</f>
        <v>0</v>
      </c>
      <c r="L370" s="172"/>
      <c r="M370" s="164"/>
      <c r="N370" s="164"/>
      <c r="O370" s="164"/>
      <c r="P370" s="164"/>
      <c r="Q370" s="164"/>
      <c r="R370" s="164"/>
      <c r="S370" s="164"/>
      <c r="T370" s="164"/>
      <c r="U370" s="164"/>
    </row>
    <row r="371" spans="1:21" ht="18.75">
      <c r="A371" s="166"/>
      <c r="B371" s="174"/>
      <c r="C371" s="167"/>
      <c r="D371" s="174"/>
      <c r="E371" s="352" t="s">
        <v>153</v>
      </c>
      <c r="F371" s="174"/>
      <c r="G371" s="171"/>
      <c r="H371" s="179" t="s">
        <v>35</v>
      </c>
      <c r="I371" s="212">
        <f ca="1">IFERROR(__xludf.DUMMYFUNCTION("IMPORTRANGE(""https://docs.google.com/spreadsheets/d/1eHaY18a8A9IcSdp1K8H6x8fbOy06t2VsZHhMHf-1x7Y/edit?usp=sharing"",""แผน!EY36"")"),1241)</f>
        <v>1241</v>
      </c>
      <c r="J371" s="212">
        <f ca="1">IFERROR(__xludf.DUMMYFUNCTION("IMPORTRANGE(""https://docs.google.com/spreadsheets/d/1tdoBKaGub7dwA3U6UFTqxio9LNnvDCQjHKmttSEBsFQ/edit?usp=sharing"",""จัดที่ดิน!AF36"")"),648)</f>
        <v>648</v>
      </c>
      <c r="K371" s="255">
        <f ca="1">IF(I371&gt;0,J371*100/I371,0)</f>
        <v>52.215954875100728</v>
      </c>
      <c r="L371" s="172"/>
      <c r="M371" s="164"/>
      <c r="N371" s="164"/>
      <c r="O371" s="164"/>
      <c r="P371" s="164"/>
      <c r="Q371" s="164"/>
      <c r="R371" s="164"/>
      <c r="S371" s="164"/>
      <c r="T371" s="164"/>
      <c r="U371" s="164"/>
    </row>
    <row r="372" spans="1:21" ht="18.75">
      <c r="A372" s="166"/>
      <c r="B372" s="174"/>
      <c r="C372" s="167"/>
      <c r="D372" s="174"/>
      <c r="E372" s="174"/>
      <c r="F372" s="174"/>
      <c r="G372" s="171"/>
      <c r="H372" s="179" t="s">
        <v>46</v>
      </c>
      <c r="I372" s="212">
        <v>0</v>
      </c>
      <c r="J372" s="620">
        <f ca="1">IFERROR(__xludf.DUMMYFUNCTION("IMPORTRANGE(""https://docs.google.com/spreadsheets/d/1tdoBKaGub7dwA3U6UFTqxio9LNnvDCQjHKmttSEBsFQ/edit?usp=sharing"",""จัดที่ดิน!AG36"")"),9197.27999999999)</f>
        <v>9197.2799999999897</v>
      </c>
      <c r="K372" s="255">
        <f>IF(I372&gt;0,J372*100/I372,0)</f>
        <v>0</v>
      </c>
      <c r="L372" s="172"/>
      <c r="M372" s="164"/>
      <c r="N372" s="164"/>
      <c r="O372" s="164"/>
      <c r="P372" s="164"/>
      <c r="Q372" s="164"/>
      <c r="R372" s="164"/>
      <c r="S372" s="164"/>
      <c r="T372" s="164"/>
      <c r="U372" s="164"/>
    </row>
    <row r="373" spans="1:21" ht="16.5">
      <c r="A373" s="5"/>
      <c r="B373" s="4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พ.ค. 67 เวลา 07.29 น.]")</f>
        <v xml:space="preserve"> [ข้อมูลจาก ระบบ ALRO Land Online ข้อมูล ณ 1 พ.ค. 67 เวลา 07.29 น.]</v>
      </c>
      <c r="E373" s="4"/>
      <c r="F373" s="4"/>
      <c r="G373" s="65"/>
      <c r="H373" s="65"/>
      <c r="I373" s="67"/>
      <c r="J373" s="67"/>
      <c r="K373" s="6"/>
      <c r="L373" s="68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>
      <c r="A374" s="619"/>
      <c r="B374" s="618" t="s">
        <v>154</v>
      </c>
      <c r="C374" s="617"/>
      <c r="D374" s="616"/>
      <c r="E374" s="615"/>
      <c r="F374" s="615"/>
      <c r="G374" s="614"/>
      <c r="H374" s="613" t="s">
        <v>46</v>
      </c>
      <c r="I374" s="612">
        <f ca="1">I386+I388</f>
        <v>98400</v>
      </c>
      <c r="J374" s="612">
        <f ca="1">J386+J388</f>
        <v>18449.46</v>
      </c>
      <c r="K374" s="611">
        <f ca="1">IF(I374&gt;0,J374*100/I374,0)</f>
        <v>18.749451219512196</v>
      </c>
      <c r="L374" s="334"/>
      <c r="M374" s="333"/>
      <c r="N374" s="333"/>
      <c r="O374" s="333"/>
      <c r="P374" s="333"/>
      <c r="Q374" s="333"/>
      <c r="R374" s="333"/>
      <c r="S374" s="333"/>
      <c r="T374" s="333"/>
      <c r="U374" s="333"/>
    </row>
    <row r="375" spans="1:21" ht="19.5">
      <c r="A375" s="155"/>
      <c r="B375" s="188"/>
      <c r="C375" s="191" t="s">
        <v>18</v>
      </c>
      <c r="D375" s="608" t="s">
        <v>19</v>
      </c>
      <c r="E375" s="50"/>
      <c r="F375" s="50"/>
      <c r="G375" s="52"/>
      <c r="H375" s="158" t="s">
        <v>14</v>
      </c>
      <c r="I375" s="54"/>
      <c r="J375" s="54"/>
      <c r="K375" s="55"/>
      <c r="L375" s="541">
        <f>L376+L377</f>
        <v>0</v>
      </c>
      <c r="M375" s="540">
        <f>M376+M377</f>
        <v>0</v>
      </c>
      <c r="N375" s="540">
        <f>N376+N377</f>
        <v>0</v>
      </c>
      <c r="O375" s="540">
        <f>IF(L375&gt;0,N375*100/L375,0)</f>
        <v>0</v>
      </c>
      <c r="P375" s="540">
        <f>IF(M375&gt;0,N375*100/M375,0)</f>
        <v>0</v>
      </c>
      <c r="Q375" s="540">
        <f ca="1">Q376+Q377</f>
        <v>750000</v>
      </c>
      <c r="R375" s="540">
        <f ca="1">R376+R377</f>
        <v>0</v>
      </c>
      <c r="S375" s="540">
        <f ca="1">S376+S377</f>
        <v>0</v>
      </c>
      <c r="T375" s="540">
        <f ca="1">IF(Q375&gt;0,S375*100/Q375,0)</f>
        <v>0</v>
      </c>
      <c r="U375" s="540">
        <f ca="1">IF(R375&gt;0,S375*100/R375,0)</f>
        <v>0</v>
      </c>
    </row>
    <row r="376" spans="1:21" ht="18.75" hidden="1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103">
        <f>L379+L382</f>
        <v>0</v>
      </c>
      <c r="M376" s="102">
        <f>M379+M382</f>
        <v>0</v>
      </c>
      <c r="N376" s="102">
        <f>N379+N382</f>
        <v>0</v>
      </c>
      <c r="O376" s="102">
        <f>IF(L376&gt;0,N376*100/L376,0)</f>
        <v>0</v>
      </c>
      <c r="P376" s="102">
        <f>IF(M376&gt;0,N376*100/M376,0)</f>
        <v>0</v>
      </c>
      <c r="Q376" s="102">
        <f>Q379+Q382</f>
        <v>0</v>
      </c>
      <c r="R376" s="102">
        <f>R379+R382</f>
        <v>0</v>
      </c>
      <c r="S376" s="102">
        <f>S379+S382</f>
        <v>0</v>
      </c>
      <c r="T376" s="102">
        <f>IF(Q376&gt;0,S376*100/Q376,0)</f>
        <v>0</v>
      </c>
      <c r="U376" s="102">
        <f>IF(R376&gt;0,S376*100/R376,0)</f>
        <v>0</v>
      </c>
    </row>
    <row r="377" spans="1:21" ht="18.75" hidden="1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256">
        <f>L380+L383</f>
        <v>0</v>
      </c>
      <c r="M377" s="255">
        <f>M380+M383</f>
        <v>0</v>
      </c>
      <c r="N377" s="255">
        <f>N380+N383</f>
        <v>0</v>
      </c>
      <c r="O377" s="255">
        <f>IF(L377&gt;0,N377*100/L377,0)</f>
        <v>0</v>
      </c>
      <c r="P377" s="255">
        <f>IF(M377&gt;0,N377*100/M377,0)</f>
        <v>0</v>
      </c>
      <c r="Q377" s="255">
        <f ca="1">Q380+Q383</f>
        <v>750000</v>
      </c>
      <c r="R377" s="255">
        <f ca="1">R380+R383</f>
        <v>0</v>
      </c>
      <c r="S377" s="255">
        <f ca="1">S380+S383</f>
        <v>0</v>
      </c>
      <c r="T377" s="255">
        <f ca="1">IF(Q377&gt;0,S377*100/Q377,0)</f>
        <v>0</v>
      </c>
      <c r="U377" s="255">
        <f ca="1">IF(R377&gt;0,S377*100/R377,0)</f>
        <v>0</v>
      </c>
    </row>
    <row r="378" spans="1:21" ht="18.75">
      <c r="A378" s="155"/>
      <c r="B378" s="188"/>
      <c r="C378" s="188"/>
      <c r="D378" s="602" t="s">
        <v>22</v>
      </c>
      <c r="E378" s="50"/>
      <c r="F378" s="50"/>
      <c r="G378" s="52"/>
      <c r="H378" s="162" t="s">
        <v>14</v>
      </c>
      <c r="I378" s="163"/>
      <c r="J378" s="163"/>
      <c r="K378" s="164"/>
      <c r="L378" s="256">
        <f>L379+L380</f>
        <v>0</v>
      </c>
      <c r="M378" s="255">
        <f>M379+M380</f>
        <v>0</v>
      </c>
      <c r="N378" s="255">
        <f>N379+N380</f>
        <v>0</v>
      </c>
      <c r="O378" s="255">
        <f>IF(L378&gt;0,N378*100/L378,0)</f>
        <v>0</v>
      </c>
      <c r="P378" s="255">
        <f>IF(M378&gt;0,N378*100/M378,0)</f>
        <v>0</v>
      </c>
      <c r="Q378" s="255">
        <f ca="1">Q379+Q380</f>
        <v>750000</v>
      </c>
      <c r="R378" s="255">
        <f ca="1">R379+R380</f>
        <v>0</v>
      </c>
      <c r="S378" s="255">
        <f ca="1">S379+S380</f>
        <v>0</v>
      </c>
      <c r="T378" s="255">
        <f ca="1">IF(Q378&gt;0,S378*100/Q378,0)</f>
        <v>0</v>
      </c>
      <c r="U378" s="255">
        <f ca="1">IF(R378&gt;0,S378*100/R378,0)</f>
        <v>0</v>
      </c>
    </row>
    <row r="379" spans="1:21" ht="18.75" hidden="1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103">
        <v>0</v>
      </c>
      <c r="M379" s="102">
        <v>0</v>
      </c>
      <c r="N379" s="102">
        <v>0</v>
      </c>
      <c r="O379" s="102">
        <f>IF(L379&gt;0,N379*100/L379,0)</f>
        <v>0</v>
      </c>
      <c r="P379" s="102">
        <f>IF(M379&gt;0,N379*100/M379,0)</f>
        <v>0</v>
      </c>
      <c r="Q379" s="102">
        <v>0</v>
      </c>
      <c r="R379" s="102">
        <v>0</v>
      </c>
      <c r="S379" s="102">
        <v>0</v>
      </c>
      <c r="T379" s="102">
        <f>IF(Q379&gt;0,S379*100/Q379,0)</f>
        <v>0</v>
      </c>
      <c r="U379" s="102">
        <f>IF(R379&gt;0,S379*100/R379,0)</f>
        <v>0</v>
      </c>
    </row>
    <row r="380" spans="1:21" ht="18.75" hidden="1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256">
        <v>0</v>
      </c>
      <c r="M380" s="255">
        <v>0</v>
      </c>
      <c r="N380" s="255">
        <v>0</v>
      </c>
      <c r="O380" s="255">
        <f>IF(L380&gt;0,N380*100/L380,0)</f>
        <v>0</v>
      </c>
      <c r="P380" s="255">
        <f>IF(M380&gt;0,N380*100/M380,0)</f>
        <v>0</v>
      </c>
      <c r="Q380" s="255">
        <f ca="1">IFERROR(__xludf.DUMMYFUNCTION("IMPORTRANGE(""https://docs.google.com/spreadsheets/d/1ItG2mGa2ceCfYo0BwxsXqNm01IGEUdYcSSLTEv9YCik/edit?usp=sharing"",""เบิกจ่ายกองทุน!AY36"")"),750000)</f>
        <v>750000</v>
      </c>
      <c r="R380" s="255">
        <f ca="1">IFERROR(__xludf.DUMMYFUNCTION("IMPORTRANGE(""https://docs.google.com/spreadsheets/d/1ItG2mGa2ceCfYo0BwxsXqNm01IGEUdYcSSLTEv9YCik/edit?usp=sharing"",""เบิกจ่ายกองทุน!AZ36"")"),0)</f>
        <v>0</v>
      </c>
      <c r="S380" s="255">
        <f ca="1">IFERROR(__xludf.DUMMYFUNCTION("IMPORTRANGE(""https://docs.google.com/spreadsheets/d/1ItG2mGa2ceCfYo0BwxsXqNm01IGEUdYcSSLTEv9YCik/edit?usp=sharing"",""เบิกจ่ายกองทุน!BA36"")"),0)</f>
        <v>0</v>
      </c>
      <c r="T380" s="255">
        <f ca="1">IF(Q380&gt;0,S380*100/Q380,0)</f>
        <v>0</v>
      </c>
      <c r="U380" s="255">
        <f ca="1">IF(R380&gt;0,S380*100/R380,0)</f>
        <v>0</v>
      </c>
    </row>
    <row r="381" spans="1:21" ht="18.75">
      <c r="A381" s="155"/>
      <c r="B381" s="188"/>
      <c r="C381" s="188"/>
      <c r="D381" s="602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256">
        <f>L382+L383</f>
        <v>0</v>
      </c>
      <c r="M381" s="255">
        <f>M382+M383</f>
        <v>0</v>
      </c>
      <c r="N381" s="255">
        <f>N382+N383</f>
        <v>0</v>
      </c>
      <c r="O381" s="255">
        <f>IF(L381&gt;0,N381*100/L381,0)</f>
        <v>0</v>
      </c>
      <c r="P381" s="255">
        <f>IF(M381&gt;0,N381*100/M381,0)</f>
        <v>0</v>
      </c>
      <c r="Q381" s="255">
        <f>Q382+Q383</f>
        <v>0</v>
      </c>
      <c r="R381" s="255">
        <f>R382+R383</f>
        <v>0</v>
      </c>
      <c r="S381" s="255">
        <f>S382+S383</f>
        <v>0</v>
      </c>
      <c r="T381" s="255">
        <f>IF(Q381&gt;0,S381*100/Q381,0)</f>
        <v>0</v>
      </c>
      <c r="U381" s="255">
        <f>IF(R381&gt;0,S381*100/R381,0)</f>
        <v>0</v>
      </c>
    </row>
    <row r="382" spans="1:21" ht="18.75" hidden="1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103">
        <v>0</v>
      </c>
      <c r="M382" s="102">
        <v>0</v>
      </c>
      <c r="N382" s="102">
        <v>0</v>
      </c>
      <c r="O382" s="102">
        <f>IF(L382&gt;0,N382*100/L382,0)</f>
        <v>0</v>
      </c>
      <c r="P382" s="102">
        <f>IF(M382&gt;0,N382*100/M382,0)</f>
        <v>0</v>
      </c>
      <c r="Q382" s="102">
        <v>0</v>
      </c>
      <c r="R382" s="102">
        <v>0</v>
      </c>
      <c r="S382" s="102">
        <v>0</v>
      </c>
      <c r="T382" s="102">
        <f>IF(Q382&gt;0,S382*100/Q382,0)</f>
        <v>0</v>
      </c>
      <c r="U382" s="102">
        <f>IF(R382&gt;0,S382*100/R382,0)</f>
        <v>0</v>
      </c>
    </row>
    <row r="383" spans="1:21" ht="18.75" hidden="1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256">
        <v>0</v>
      </c>
      <c r="M383" s="255">
        <v>0</v>
      </c>
      <c r="N383" s="255">
        <v>0</v>
      </c>
      <c r="O383" s="255">
        <f>IF(L383&gt;0,N383*100/L383,0)</f>
        <v>0</v>
      </c>
      <c r="P383" s="255">
        <f>IF(M383&gt;0,N383*100/M383,0)</f>
        <v>0</v>
      </c>
      <c r="Q383" s="255">
        <v>0</v>
      </c>
      <c r="R383" s="255">
        <v>0</v>
      </c>
      <c r="S383" s="255">
        <v>0</v>
      </c>
      <c r="T383" s="255">
        <f>IF(Q383&gt;0,S383*100/Q383,0)</f>
        <v>0</v>
      </c>
      <c r="U383" s="255">
        <f>IF(R383&gt;0,S383*100/R383,0)</f>
        <v>0</v>
      </c>
    </row>
    <row r="384" spans="1:21" ht="19.5">
      <c r="A384" s="166"/>
      <c r="B384" s="167"/>
      <c r="C384" s="191" t="s">
        <v>18</v>
      </c>
      <c r="D384" s="560" t="s">
        <v>38</v>
      </c>
      <c r="E384" s="169"/>
      <c r="F384" s="169"/>
      <c r="G384" s="170"/>
      <c r="H384" s="206"/>
      <c r="I384" s="163"/>
      <c r="J384" s="54"/>
      <c r="K384" s="55"/>
      <c r="L384" s="62"/>
      <c r="M384" s="55"/>
      <c r="N384" s="55"/>
      <c r="O384" s="164"/>
      <c r="P384" s="164"/>
      <c r="Q384" s="55"/>
      <c r="R384" s="55"/>
      <c r="S384" s="55"/>
      <c r="T384" s="164"/>
      <c r="U384" s="164"/>
    </row>
    <row r="385" spans="1:21" ht="18.75">
      <c r="A385" s="238"/>
      <c r="B385" s="188"/>
      <c r="C385" s="188"/>
      <c r="D385" s="188"/>
      <c r="E385" s="58" t="s">
        <v>155</v>
      </c>
      <c r="F385" s="50"/>
      <c r="G385" s="52"/>
      <c r="H385" s="161" t="s">
        <v>34</v>
      </c>
      <c r="I385" s="212">
        <v>0</v>
      </c>
      <c r="J385" s="212">
        <f ca="1">IFERROR(__xludf.DUMMYFUNCTION("IMPORTRANGE(""https://docs.google.com/spreadsheets/d/1w5rwWK1o49a35cNtocGL0gxDwhFSTZUQu90BiH9_zqM/edit?usp=sharing"",""RTK!H36"")"),0)</f>
        <v>0</v>
      </c>
      <c r="K385" s="255">
        <f>IF(I385&gt;0,J385*100/I385,0)</f>
        <v>0</v>
      </c>
      <c r="L385" s="62"/>
      <c r="M385" s="55"/>
      <c r="N385" s="55"/>
      <c r="O385" s="55"/>
      <c r="P385" s="55"/>
      <c r="Q385" s="55"/>
      <c r="R385" s="55"/>
      <c r="S385" s="55"/>
      <c r="T385" s="55"/>
      <c r="U385" s="55"/>
    </row>
    <row r="386" spans="1:21" ht="18.75">
      <c r="A386" s="188"/>
      <c r="B386" s="188"/>
      <c r="C386" s="188"/>
      <c r="D386" s="188"/>
      <c r="E386" s="188"/>
      <c r="F386" s="188"/>
      <c r="G386" s="208"/>
      <c r="H386" s="161" t="s">
        <v>46</v>
      </c>
      <c r="I386" s="212">
        <f ca="1">IFERROR(__xludf.DUMMYFUNCTION("IMPORTRANGE(""https://docs.google.com/spreadsheets/d/1w5rwWK1o49a35cNtocGL0gxDwhFSTZUQu90BiH9_zqM/edit?usp=sharing"",""RTK!G36"")"),12000)</f>
        <v>12000</v>
      </c>
      <c r="J386" s="212">
        <f ca="1">IFERROR(__xludf.DUMMYFUNCTION("IMPORTRANGE(""https://docs.google.com/spreadsheets/d/1w5rwWK1o49a35cNtocGL0gxDwhFSTZUQu90BiH9_zqM/edit?usp=sharing"",""RTK!I36"")"),0)</f>
        <v>0</v>
      </c>
      <c r="K386" s="255">
        <f ca="1">IF(I386&gt;0,J386*100/I386,0)</f>
        <v>0</v>
      </c>
      <c r="L386" s="62"/>
      <c r="M386" s="55"/>
      <c r="N386" s="55"/>
      <c r="O386" s="55"/>
      <c r="P386" s="55"/>
      <c r="Q386" s="55"/>
      <c r="R386" s="55"/>
      <c r="S386" s="55"/>
      <c r="T386" s="55"/>
      <c r="U386" s="55"/>
    </row>
    <row r="387" spans="1:21" ht="18.75">
      <c r="A387" s="609"/>
      <c r="B387" s="609"/>
      <c r="C387" s="609"/>
      <c r="D387" s="609"/>
      <c r="E387" s="610" t="s">
        <v>156</v>
      </c>
      <c r="F387" s="609"/>
      <c r="G387" s="557"/>
      <c r="H387" s="549" t="s">
        <v>34</v>
      </c>
      <c r="I387" s="556">
        <v>0</v>
      </c>
      <c r="J387" s="556">
        <f ca="1">IFERROR(__xludf.DUMMYFUNCTION("IMPORTRANGE(""https://docs.google.com/spreadsheets/d/1w5rwWK1o49a35cNtocGL0gxDwhFSTZUQu90BiH9_zqM/edit?usp=sharing"",""RTK!L36"")"),1423)</f>
        <v>1423</v>
      </c>
      <c r="K387" s="555">
        <f>IF(I387&gt;0,J387*100/I387,0)</f>
        <v>0</v>
      </c>
      <c r="L387" s="546"/>
      <c r="M387" s="545"/>
      <c r="N387" s="545"/>
      <c r="O387" s="545"/>
      <c r="P387" s="545"/>
      <c r="Q387" s="545"/>
      <c r="R387" s="545"/>
      <c r="S387" s="545"/>
      <c r="T387" s="545"/>
      <c r="U387" s="545"/>
    </row>
    <row r="388" spans="1:21" ht="18.75">
      <c r="A388" s="609"/>
      <c r="B388" s="609"/>
      <c r="C388" s="609"/>
      <c r="D388" s="609"/>
      <c r="E388" s="609"/>
      <c r="F388" s="609"/>
      <c r="G388" s="557"/>
      <c r="H388" s="549" t="s">
        <v>46</v>
      </c>
      <c r="I388" s="556">
        <f ca="1">IFERROR(__xludf.DUMMYFUNCTION("IMPORTRANGE(""https://docs.google.com/spreadsheets/d/1w5rwWK1o49a35cNtocGL0gxDwhFSTZUQu90BiH9_zqM/edit?usp=sharing"",""RTK!K36"")"),86400)</f>
        <v>86400</v>
      </c>
      <c r="J388" s="556">
        <f ca="1">IFERROR(__xludf.DUMMYFUNCTION("IMPORTRANGE(""https://docs.google.com/spreadsheets/d/1w5rwWK1o49a35cNtocGL0gxDwhFSTZUQu90BiH9_zqM/edit?usp=sharing"",""RTK!M36"")"),18449.46)</f>
        <v>18449.46</v>
      </c>
      <c r="K388" s="555">
        <f ca="1">IF(I388&gt;0,J388*100/I388,0)</f>
        <v>21.353541666666668</v>
      </c>
      <c r="L388" s="546"/>
      <c r="M388" s="545"/>
      <c r="N388" s="545"/>
      <c r="O388" s="545"/>
      <c r="P388" s="545"/>
      <c r="Q388" s="545"/>
      <c r="R388" s="545"/>
      <c r="S388" s="545"/>
      <c r="T388" s="545"/>
      <c r="U388" s="545"/>
    </row>
    <row r="389" spans="1:21" ht="12.75" hidden="1">
      <c r="A389" s="259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5"/>
      <c r="M389" s="264"/>
      <c r="N389" s="264"/>
      <c r="O389" s="264"/>
      <c r="P389" s="264"/>
      <c r="Q389" s="264"/>
      <c r="R389" s="264"/>
      <c r="S389" s="264"/>
      <c r="T389" s="264"/>
      <c r="U389" s="264"/>
    </row>
    <row r="390" spans="1:21" ht="12.75" hidden="1">
      <c r="A390" s="360"/>
      <c r="B390" s="360"/>
      <c r="C390" s="360"/>
      <c r="D390" s="360"/>
      <c r="E390" s="360"/>
      <c r="F390" s="360"/>
      <c r="G390" s="361"/>
      <c r="H390" s="361"/>
      <c r="I390" s="362"/>
      <c r="J390" s="362"/>
      <c r="K390" s="363"/>
      <c r="L390" s="364"/>
      <c r="M390" s="363"/>
      <c r="N390" s="363"/>
      <c r="O390" s="363"/>
      <c r="P390" s="363"/>
      <c r="Q390" s="363"/>
      <c r="R390" s="363"/>
      <c r="S390" s="363"/>
      <c r="T390" s="363"/>
      <c r="U390" s="363"/>
    </row>
    <row r="391" spans="1:21" ht="19.5" hidden="1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51">
        <f>I402</f>
        <v>0</v>
      </c>
      <c r="J391" s="351">
        <f>J402</f>
        <v>0</v>
      </c>
      <c r="K391" s="604">
        <f>IF(I391&gt;0,J391*100/I391,0)</f>
        <v>0</v>
      </c>
      <c r="L391" s="334"/>
      <c r="M391" s="333"/>
      <c r="N391" s="333"/>
      <c r="O391" s="333"/>
      <c r="P391" s="333"/>
      <c r="Q391" s="333"/>
      <c r="R391" s="333"/>
      <c r="S391" s="333"/>
      <c r="T391" s="333"/>
      <c r="U391" s="333"/>
    </row>
    <row r="392" spans="1:21" ht="19.5" hidden="1">
      <c r="A392" s="155"/>
      <c r="B392" s="188"/>
      <c r="C392" s="191" t="s">
        <v>18</v>
      </c>
      <c r="D392" s="608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541">
        <f>L393+L394</f>
        <v>0</v>
      </c>
      <c r="M392" s="540">
        <f>M393+M394</f>
        <v>0</v>
      </c>
      <c r="N392" s="540">
        <f>N393+N394</f>
        <v>0</v>
      </c>
      <c r="O392" s="540">
        <f>IF(L392&gt;0,N392*100/L392,0)</f>
        <v>0</v>
      </c>
      <c r="P392" s="540">
        <f>IF(M392&gt;0,N392*100/M392,0)</f>
        <v>0</v>
      </c>
      <c r="Q392" s="540">
        <f>Q393+Q394</f>
        <v>0</v>
      </c>
      <c r="R392" s="540">
        <f>R393+R394</f>
        <v>0</v>
      </c>
      <c r="S392" s="540">
        <f>S393+S394</f>
        <v>0</v>
      </c>
      <c r="T392" s="540">
        <f>IF(Q392&gt;0,S392*100/Q392,0)</f>
        <v>0</v>
      </c>
      <c r="U392" s="540">
        <f>IF(R392&gt;0,S392*100/R392,0)</f>
        <v>0</v>
      </c>
    </row>
    <row r="393" spans="1:21" ht="18.75" hidden="1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103">
        <f>L396+L399</f>
        <v>0</v>
      </c>
      <c r="M393" s="102">
        <f>M396+M399</f>
        <v>0</v>
      </c>
      <c r="N393" s="102">
        <f>N396+N399</f>
        <v>0</v>
      </c>
      <c r="O393" s="102">
        <f>IF(L393&gt;0,N393*100/L393,0)</f>
        <v>0</v>
      </c>
      <c r="P393" s="102">
        <f>IF(M393&gt;0,N393*100/M393,0)</f>
        <v>0</v>
      </c>
      <c r="Q393" s="102">
        <f>Q396+Q399</f>
        <v>0</v>
      </c>
      <c r="R393" s="102">
        <f>R396+R399</f>
        <v>0</v>
      </c>
      <c r="S393" s="102">
        <f>S396+S399</f>
        <v>0</v>
      </c>
      <c r="T393" s="102">
        <f>IF(Q393&gt;0,S393*100/Q393,0)</f>
        <v>0</v>
      </c>
      <c r="U393" s="102">
        <f>IF(R393&gt;0,S393*100/R393,0)</f>
        <v>0</v>
      </c>
    </row>
    <row r="394" spans="1:21" ht="18.75" hidden="1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256">
        <f>L397+L400</f>
        <v>0</v>
      </c>
      <c r="M394" s="255">
        <f>M397+M400</f>
        <v>0</v>
      </c>
      <c r="N394" s="255">
        <f>N397+N400</f>
        <v>0</v>
      </c>
      <c r="O394" s="255">
        <f>IF(L394&gt;0,N394*100/L394,0)</f>
        <v>0</v>
      </c>
      <c r="P394" s="255">
        <f>IF(M394&gt;0,N394*100/M394,0)</f>
        <v>0</v>
      </c>
      <c r="Q394" s="255">
        <f>Q397+Q400</f>
        <v>0</v>
      </c>
      <c r="R394" s="255">
        <f>R397+R400</f>
        <v>0</v>
      </c>
      <c r="S394" s="255">
        <f>S397+S400</f>
        <v>0</v>
      </c>
      <c r="T394" s="255">
        <f>IF(Q394&gt;0,S394*100/Q394,0)</f>
        <v>0</v>
      </c>
      <c r="U394" s="255">
        <f>IF(R394&gt;0,S394*100/R394,0)</f>
        <v>0</v>
      </c>
    </row>
    <row r="395" spans="1:21" ht="18.75" hidden="1">
      <c r="A395" s="155"/>
      <c r="B395" s="188"/>
      <c r="C395" s="188"/>
      <c r="D395" s="602" t="s">
        <v>22</v>
      </c>
      <c r="E395" s="50"/>
      <c r="F395" s="50"/>
      <c r="G395" s="52"/>
      <c r="H395" s="162" t="s">
        <v>14</v>
      </c>
      <c r="I395" s="163"/>
      <c r="J395" s="163"/>
      <c r="K395" s="164"/>
      <c r="L395" s="256">
        <f>L396+L397</f>
        <v>0</v>
      </c>
      <c r="M395" s="255">
        <f>M396+M397</f>
        <v>0</v>
      </c>
      <c r="N395" s="255">
        <f>N396+N397</f>
        <v>0</v>
      </c>
      <c r="O395" s="255">
        <f>IF(L395&gt;0,N395*100/L395,0)</f>
        <v>0</v>
      </c>
      <c r="P395" s="255">
        <f>IF(M395&gt;0,N395*100/M395,0)</f>
        <v>0</v>
      </c>
      <c r="Q395" s="255">
        <f>Q396+Q397</f>
        <v>0</v>
      </c>
      <c r="R395" s="255">
        <f>R396+R397</f>
        <v>0</v>
      </c>
      <c r="S395" s="255">
        <f>S396+S397</f>
        <v>0</v>
      </c>
      <c r="T395" s="255">
        <f>IF(Q395&gt;0,S395*100/Q395,0)</f>
        <v>0</v>
      </c>
      <c r="U395" s="255">
        <f>IF(R395&gt;0,S395*100/R395,0)</f>
        <v>0</v>
      </c>
    </row>
    <row r="396" spans="1:21" ht="18.75" hidden="1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103">
        <v>0</v>
      </c>
      <c r="M396" s="102">
        <v>0</v>
      </c>
      <c r="N396" s="102">
        <v>0</v>
      </c>
      <c r="O396" s="102">
        <f>IF(L396&gt;0,N396*100/L396,0)</f>
        <v>0</v>
      </c>
      <c r="P396" s="102">
        <f>IF(M396&gt;0,N396*100/M396,0)</f>
        <v>0</v>
      </c>
      <c r="Q396" s="102">
        <v>0</v>
      </c>
      <c r="R396" s="102">
        <v>0</v>
      </c>
      <c r="S396" s="102">
        <v>0</v>
      </c>
      <c r="T396" s="102">
        <f>IF(Q396&gt;0,S396*100/Q396,0)</f>
        <v>0</v>
      </c>
      <c r="U396" s="102">
        <f>IF(R396&gt;0,S396*100/R396,0)</f>
        <v>0</v>
      </c>
    </row>
    <row r="397" spans="1:21" ht="18.75" hidden="1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256">
        <v>0</v>
      </c>
      <c r="M397" s="255">
        <v>0</v>
      </c>
      <c r="N397" s="255">
        <v>0</v>
      </c>
      <c r="O397" s="255">
        <f>IF(L397&gt;0,N397*100/L397,0)</f>
        <v>0</v>
      </c>
      <c r="P397" s="255">
        <f>IF(M397&gt;0,N397*100/M397,0)</f>
        <v>0</v>
      </c>
      <c r="Q397" s="255">
        <v>0</v>
      </c>
      <c r="R397" s="255">
        <v>0</v>
      </c>
      <c r="S397" s="255">
        <v>0</v>
      </c>
      <c r="T397" s="255">
        <f>IF(Q397&gt;0,S397*100/Q397,0)</f>
        <v>0</v>
      </c>
      <c r="U397" s="255">
        <f>IF(R397&gt;0,S397*100/R397,0)</f>
        <v>0</v>
      </c>
    </row>
    <row r="398" spans="1:21" ht="18.75" hidden="1">
      <c r="A398" s="155"/>
      <c r="B398" s="188"/>
      <c r="C398" s="188"/>
      <c r="D398" s="602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256">
        <f>L399+L400</f>
        <v>0</v>
      </c>
      <c r="M398" s="255">
        <f>M399+M400</f>
        <v>0</v>
      </c>
      <c r="N398" s="255">
        <f>N399+N400</f>
        <v>0</v>
      </c>
      <c r="O398" s="255">
        <f>IF(L398&gt;0,N398*100/L398,0)</f>
        <v>0</v>
      </c>
      <c r="P398" s="255">
        <f>IF(M398&gt;0,N398*100/M398,0)</f>
        <v>0</v>
      </c>
      <c r="Q398" s="255">
        <f>Q399+Q400</f>
        <v>0</v>
      </c>
      <c r="R398" s="255">
        <f>R399+R400</f>
        <v>0</v>
      </c>
      <c r="S398" s="255">
        <f>S399+S400</f>
        <v>0</v>
      </c>
      <c r="T398" s="255">
        <f>IF(Q398&gt;0,S398*100/Q398,0)</f>
        <v>0</v>
      </c>
      <c r="U398" s="255">
        <f>IF(R398&gt;0,S398*100/R398,0)</f>
        <v>0</v>
      </c>
    </row>
    <row r="399" spans="1:21" ht="18.75" hidden="1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103">
        <v>0</v>
      </c>
      <c r="M399" s="102">
        <v>0</v>
      </c>
      <c r="N399" s="102">
        <v>0</v>
      </c>
      <c r="O399" s="102">
        <f>IF(L399&gt;0,N399*100/L399,0)</f>
        <v>0</v>
      </c>
      <c r="P399" s="102">
        <f>IF(M399&gt;0,N399*100/M399,0)</f>
        <v>0</v>
      </c>
      <c r="Q399" s="102">
        <v>0</v>
      </c>
      <c r="R399" s="102">
        <v>0</v>
      </c>
      <c r="S399" s="102">
        <v>0</v>
      </c>
      <c r="T399" s="102">
        <f>IF(Q399&gt;0,S399*100/Q399,0)</f>
        <v>0</v>
      </c>
      <c r="U399" s="102">
        <f>IF(R399&gt;0,S399*100/R399,0)</f>
        <v>0</v>
      </c>
    </row>
    <row r="400" spans="1:21" ht="18.75" hidden="1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256">
        <v>0</v>
      </c>
      <c r="M400" s="255">
        <v>0</v>
      </c>
      <c r="N400" s="255">
        <v>0</v>
      </c>
      <c r="O400" s="255">
        <f>IF(L400&gt;0,N400*100/L400,0)</f>
        <v>0</v>
      </c>
      <c r="P400" s="255">
        <f>IF(M400&gt;0,N400*100/M400,0)</f>
        <v>0</v>
      </c>
      <c r="Q400" s="255">
        <v>0</v>
      </c>
      <c r="R400" s="255">
        <v>0</v>
      </c>
      <c r="S400" s="255">
        <v>0</v>
      </c>
      <c r="T400" s="255">
        <f>IF(Q400&gt;0,S400*100/Q400,0)</f>
        <v>0</v>
      </c>
      <c r="U400" s="255">
        <f>IF(R400&gt;0,S400*100/R400,0)</f>
        <v>0</v>
      </c>
    </row>
    <row r="401" spans="1:21" ht="19.5" hidden="1">
      <c r="A401" s="166"/>
      <c r="B401" s="167"/>
      <c r="C401" s="191" t="s">
        <v>18</v>
      </c>
      <c r="D401" s="560" t="s">
        <v>38</v>
      </c>
      <c r="E401" s="169"/>
      <c r="F401" s="169"/>
      <c r="G401" s="170"/>
      <c r="H401" s="206"/>
      <c r="I401" s="163"/>
      <c r="J401" s="54"/>
      <c r="K401" s="55"/>
      <c r="L401" s="62"/>
      <c r="M401" s="55"/>
      <c r="N401" s="55"/>
      <c r="O401" s="164"/>
      <c r="P401" s="164"/>
      <c r="Q401" s="55"/>
      <c r="R401" s="55"/>
      <c r="S401" s="55"/>
      <c r="T401" s="164"/>
      <c r="U401" s="164"/>
    </row>
    <row r="402" spans="1:21" ht="12.75" hidden="1">
      <c r="A402" s="258"/>
      <c r="B402" s="259"/>
      <c r="C402" s="259"/>
      <c r="D402" s="259"/>
      <c r="E402" s="260"/>
      <c r="F402" s="260"/>
      <c r="G402" s="261"/>
      <c r="H402" s="262"/>
      <c r="I402" s="263"/>
      <c r="J402" s="263"/>
      <c r="K402" s="264"/>
      <c r="L402" s="265"/>
      <c r="M402" s="264"/>
      <c r="N402" s="264"/>
      <c r="O402" s="264"/>
      <c r="P402" s="264"/>
      <c r="Q402" s="264"/>
      <c r="R402" s="264"/>
      <c r="S402" s="264"/>
      <c r="T402" s="264"/>
      <c r="U402" s="264"/>
    </row>
    <row r="403" spans="1:21" ht="12.75" hidden="1">
      <c r="A403" s="259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5"/>
      <c r="M403" s="264"/>
      <c r="N403" s="264"/>
      <c r="O403" s="264"/>
      <c r="P403" s="264"/>
      <c r="Q403" s="264"/>
      <c r="R403" s="264"/>
      <c r="S403" s="264"/>
      <c r="T403" s="264"/>
      <c r="U403" s="264"/>
    </row>
    <row r="404" spans="1:21" ht="12.75" hidden="1">
      <c r="A404" s="259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5"/>
      <c r="M404" s="264"/>
      <c r="N404" s="264"/>
      <c r="O404" s="264"/>
      <c r="P404" s="264"/>
      <c r="Q404" s="264"/>
      <c r="R404" s="264"/>
      <c r="S404" s="264"/>
      <c r="T404" s="264"/>
      <c r="U404" s="264"/>
    </row>
    <row r="405" spans="1:21" ht="12.75" hidden="1">
      <c r="A405" s="259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5"/>
      <c r="M405" s="264"/>
      <c r="N405" s="264"/>
      <c r="O405" s="264"/>
      <c r="P405" s="264"/>
      <c r="Q405" s="264"/>
      <c r="R405" s="264"/>
      <c r="S405" s="264"/>
      <c r="T405" s="264"/>
      <c r="U405" s="264"/>
    </row>
    <row r="406" spans="1:21" ht="12.75" hidden="1">
      <c r="A406" s="259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5"/>
      <c r="M406" s="264"/>
      <c r="N406" s="264"/>
      <c r="O406" s="264"/>
      <c r="P406" s="264"/>
      <c r="Q406" s="264"/>
      <c r="R406" s="264"/>
      <c r="S406" s="264"/>
      <c r="T406" s="264"/>
      <c r="U406" s="264"/>
    </row>
    <row r="407" spans="1:21" ht="12.75" hidden="1">
      <c r="A407" s="259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5"/>
      <c r="M407" s="264"/>
      <c r="N407" s="264"/>
      <c r="O407" s="264"/>
      <c r="P407" s="264"/>
      <c r="Q407" s="264"/>
      <c r="R407" s="264"/>
      <c r="S407" s="264"/>
      <c r="T407" s="264"/>
      <c r="U407" s="264"/>
    </row>
    <row r="408" spans="1:21" ht="12.75" hidden="1">
      <c r="A408" s="259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5"/>
      <c r="M408" s="264"/>
      <c r="N408" s="264"/>
      <c r="O408" s="264"/>
      <c r="P408" s="264"/>
      <c r="Q408" s="264"/>
      <c r="R408" s="264"/>
      <c r="S408" s="264"/>
      <c r="T408" s="264"/>
      <c r="U408" s="264"/>
    </row>
    <row r="409" spans="1:21" ht="12.75" hidden="1">
      <c r="A409" s="259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5"/>
      <c r="M409" s="264"/>
      <c r="N409" s="264"/>
      <c r="O409" s="264"/>
      <c r="P409" s="264"/>
      <c r="Q409" s="264"/>
      <c r="R409" s="264"/>
      <c r="S409" s="264"/>
      <c r="T409" s="264"/>
      <c r="U409" s="264"/>
    </row>
    <row r="410" spans="1:21" ht="12.75" hidden="1">
      <c r="A410" s="259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5"/>
      <c r="M410" s="264"/>
      <c r="N410" s="264"/>
      <c r="O410" s="264"/>
      <c r="P410" s="264"/>
      <c r="Q410" s="264"/>
      <c r="R410" s="264"/>
      <c r="S410" s="264"/>
      <c r="T410" s="264"/>
      <c r="U410" s="264"/>
    </row>
    <row r="411" spans="1:21" ht="12.75" hidden="1">
      <c r="A411" s="360"/>
      <c r="B411" s="360"/>
      <c r="C411" s="360"/>
      <c r="D411" s="360"/>
      <c r="E411" s="360"/>
      <c r="F411" s="360"/>
      <c r="G411" s="361"/>
      <c r="H411" s="361"/>
      <c r="I411" s="362"/>
      <c r="J411" s="362"/>
      <c r="K411" s="363"/>
      <c r="L411" s="364"/>
      <c r="M411" s="363"/>
      <c r="N411" s="363"/>
      <c r="O411" s="363"/>
      <c r="P411" s="363"/>
      <c r="Q411" s="363"/>
      <c r="R411" s="363"/>
      <c r="S411" s="363"/>
      <c r="T411" s="363"/>
      <c r="U411" s="363"/>
    </row>
    <row r="412" spans="1:21" ht="19.5" hidden="1">
      <c r="A412" s="337"/>
      <c r="B412" s="354" t="s">
        <v>158</v>
      </c>
      <c r="C412" s="337"/>
      <c r="D412" s="337"/>
      <c r="E412" s="337"/>
      <c r="F412" s="337"/>
      <c r="G412" s="365"/>
      <c r="H412" s="366" t="s">
        <v>46</v>
      </c>
      <c r="I412" s="605">
        <f ca="1">I423</f>
        <v>0</v>
      </c>
      <c r="J412" s="605">
        <f>J423</f>
        <v>0</v>
      </c>
      <c r="K412" s="604">
        <f ca="1">IF(I412&gt;0,J412*100/I412,0)</f>
        <v>0</v>
      </c>
      <c r="L412" s="334"/>
      <c r="M412" s="333"/>
      <c r="N412" s="333"/>
      <c r="O412" s="333"/>
      <c r="P412" s="333"/>
      <c r="Q412" s="333"/>
      <c r="R412" s="333"/>
      <c r="S412" s="333"/>
      <c r="T412" s="333"/>
      <c r="U412" s="333"/>
    </row>
    <row r="413" spans="1:21" ht="19.5" hidden="1">
      <c r="A413" s="155"/>
      <c r="B413" s="188"/>
      <c r="C413" s="367" t="s">
        <v>18</v>
      </c>
      <c r="D413" s="603" t="s">
        <v>19</v>
      </c>
      <c r="E413" s="514"/>
      <c r="F413" s="514"/>
      <c r="G413" s="512"/>
      <c r="H413" s="368" t="s">
        <v>14</v>
      </c>
      <c r="I413" s="54"/>
      <c r="J413" s="54"/>
      <c r="K413" s="55"/>
      <c r="L413" s="541">
        <f>L414+L415</f>
        <v>0</v>
      </c>
      <c r="M413" s="540">
        <f>M414+M415</f>
        <v>0</v>
      </c>
      <c r="N413" s="540">
        <f>N414+N415</f>
        <v>0</v>
      </c>
      <c r="O413" s="540">
        <f>IF(L413&gt;0,N413*100/L413,0)</f>
        <v>0</v>
      </c>
      <c r="P413" s="540">
        <f>IF(M413&gt;0,N413*100/M413,0)</f>
        <v>0</v>
      </c>
      <c r="Q413" s="540">
        <f ca="1">Q414+Q415</f>
        <v>0</v>
      </c>
      <c r="R413" s="540">
        <f ca="1">R414+R415</f>
        <v>0</v>
      </c>
      <c r="S413" s="540">
        <f ca="1">S414+S415</f>
        <v>0</v>
      </c>
      <c r="T413" s="540">
        <f ca="1">IF(Q413&gt;0,S413*100/Q413,0)</f>
        <v>0</v>
      </c>
      <c r="U413" s="540">
        <f ca="1">IF(R413&gt;0,S413*100/R413,0)</f>
        <v>0</v>
      </c>
    </row>
    <row r="414" spans="1:21" ht="18.75" hidden="1">
      <c r="A414" s="155"/>
      <c r="B414" s="188"/>
      <c r="C414" s="188"/>
      <c r="D414" s="188"/>
      <c r="E414" s="358" t="s">
        <v>159</v>
      </c>
      <c r="F414" s="188"/>
      <c r="G414" s="208"/>
      <c r="H414" s="204" t="s">
        <v>14</v>
      </c>
      <c r="I414" s="54"/>
      <c r="J414" s="54"/>
      <c r="K414" s="55"/>
      <c r="L414" s="103">
        <f>L417+L420</f>
        <v>0</v>
      </c>
      <c r="M414" s="102">
        <f>M417+M420</f>
        <v>0</v>
      </c>
      <c r="N414" s="102">
        <f>N417+N420</f>
        <v>0</v>
      </c>
      <c r="O414" s="102">
        <f>IF(L414&gt;0,N414*100/L414,0)</f>
        <v>0</v>
      </c>
      <c r="P414" s="102">
        <f>IF(M414&gt;0,N414*100/M414,0)</f>
        <v>0</v>
      </c>
      <c r="Q414" s="102">
        <f>Q417+Q420</f>
        <v>0</v>
      </c>
      <c r="R414" s="102">
        <f>R417+R420</f>
        <v>0</v>
      </c>
      <c r="S414" s="102">
        <f>S417+S420</f>
        <v>0</v>
      </c>
      <c r="T414" s="102">
        <f>IF(Q414&gt;0,S414*100/Q414,0)</f>
        <v>0</v>
      </c>
      <c r="U414" s="102">
        <f>IF(R414&gt;0,S414*100/R414,0)</f>
        <v>0</v>
      </c>
    </row>
    <row r="415" spans="1:21" ht="18.75" hidden="1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256">
        <f>L418+L421</f>
        <v>0</v>
      </c>
      <c r="M415" s="255">
        <f>M418+M421</f>
        <v>0</v>
      </c>
      <c r="N415" s="255">
        <f>N418+N421</f>
        <v>0</v>
      </c>
      <c r="O415" s="255">
        <f>IF(L415&gt;0,N415*100/L415,0)</f>
        <v>0</v>
      </c>
      <c r="P415" s="255">
        <f>IF(M415&gt;0,N415*100/M415,0)</f>
        <v>0</v>
      </c>
      <c r="Q415" s="255">
        <f ca="1">Q418+Q421</f>
        <v>0</v>
      </c>
      <c r="R415" s="255">
        <f ca="1">R418+R421</f>
        <v>0</v>
      </c>
      <c r="S415" s="255">
        <f ca="1">S418+S421</f>
        <v>0</v>
      </c>
      <c r="T415" s="255">
        <f ca="1">IF(Q415&gt;0,S415*100/Q415,0)</f>
        <v>0</v>
      </c>
      <c r="U415" s="255">
        <f ca="1">IF(R415&gt;0,S415*100/R415,0)</f>
        <v>0</v>
      </c>
    </row>
    <row r="416" spans="1:21" ht="19.5" hidden="1">
      <c r="A416" s="155"/>
      <c r="B416" s="188"/>
      <c r="C416" s="188"/>
      <c r="D416" s="608" t="s">
        <v>22</v>
      </c>
      <c r="E416" s="188"/>
      <c r="F416" s="188"/>
      <c r="G416" s="208"/>
      <c r="H416" s="368" t="s">
        <v>14</v>
      </c>
      <c r="I416" s="54"/>
      <c r="J416" s="54"/>
      <c r="K416" s="55"/>
      <c r="L416" s="256">
        <f>L417+L418</f>
        <v>0</v>
      </c>
      <c r="M416" s="255">
        <f>M417+M418</f>
        <v>0</v>
      </c>
      <c r="N416" s="255">
        <f>N417+N418</f>
        <v>0</v>
      </c>
      <c r="O416" s="255">
        <f>IF(L416&gt;0,N416*100/L416,0)</f>
        <v>0</v>
      </c>
      <c r="P416" s="255">
        <f>IF(M416&gt;0,N416*100/M416,0)</f>
        <v>0</v>
      </c>
      <c r="Q416" s="255">
        <f ca="1">Q417+Q418</f>
        <v>0</v>
      </c>
      <c r="R416" s="255">
        <f ca="1">R417+R418</f>
        <v>0</v>
      </c>
      <c r="S416" s="255">
        <f ca="1">S417+S418</f>
        <v>0</v>
      </c>
      <c r="T416" s="255">
        <f ca="1">IF(Q416&gt;0,S416*100/Q416,0)</f>
        <v>0</v>
      </c>
      <c r="U416" s="255">
        <f ca="1">IF(R416&gt;0,S416*100/R416,0)</f>
        <v>0</v>
      </c>
    </row>
    <row r="417" spans="1:21" ht="18.75" hidden="1">
      <c r="A417" s="155"/>
      <c r="B417" s="188"/>
      <c r="C417" s="188"/>
      <c r="D417" s="188"/>
      <c r="E417" s="358" t="s">
        <v>159</v>
      </c>
      <c r="F417" s="188"/>
      <c r="G417" s="208"/>
      <c r="H417" s="204" t="s">
        <v>14</v>
      </c>
      <c r="I417" s="54"/>
      <c r="J417" s="54"/>
      <c r="K417" s="55"/>
      <c r="L417" s="103">
        <v>0</v>
      </c>
      <c r="M417" s="102">
        <v>0</v>
      </c>
      <c r="N417" s="102">
        <v>0</v>
      </c>
      <c r="O417" s="102">
        <f>IF(L417&gt;0,N417*100/L417,0)</f>
        <v>0</v>
      </c>
      <c r="P417" s="102">
        <f>IF(M417&gt;0,N417*100/M417,0)</f>
        <v>0</v>
      </c>
      <c r="Q417" s="102">
        <v>0</v>
      </c>
      <c r="R417" s="102">
        <v>0</v>
      </c>
      <c r="S417" s="102">
        <v>0</v>
      </c>
      <c r="T417" s="102">
        <f>IF(Q417&gt;0,S417*100/Q417,0)</f>
        <v>0</v>
      </c>
      <c r="U417" s="102">
        <f>IF(R417&gt;0,S417*100/R417,0)</f>
        <v>0</v>
      </c>
    </row>
    <row r="418" spans="1:21" ht="18.75" hidden="1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256">
        <v>0</v>
      </c>
      <c r="M418" s="255">
        <v>0</v>
      </c>
      <c r="N418" s="255">
        <v>0</v>
      </c>
      <c r="O418" s="255">
        <f>IF(L418&gt;0,N418*100/L418,0)</f>
        <v>0</v>
      </c>
      <c r="P418" s="255">
        <f>IF(M418&gt;0,N418*100/M418,0)</f>
        <v>0</v>
      </c>
      <c r="Q418" s="255">
        <f ca="1">IFERROR(__xludf.DUMMYFUNCTION("IMPORTRANGE(""https://docs.google.com/spreadsheets/d/1ItG2mGa2ceCfYo0BwxsXqNm01IGEUdYcSSLTEv9YCik/edit?usp=sharing"",""เบิกจ่ายกองทุน!BH36"")"),0)</f>
        <v>0</v>
      </c>
      <c r="R418" s="255">
        <f ca="1">IFERROR(__xludf.DUMMYFUNCTION("IMPORTRANGE(""https://docs.google.com/spreadsheets/d/1ItG2mGa2ceCfYo0BwxsXqNm01IGEUdYcSSLTEv9YCik/edit?usp=sharing"",""เบิกจ่ายกองทุน!BI36"")"),0)</f>
        <v>0</v>
      </c>
      <c r="S418" s="255">
        <f ca="1">IFERROR(__xludf.DUMMYFUNCTION("IMPORTRANGE(""https://docs.google.com/spreadsheets/d/1ItG2mGa2ceCfYo0BwxsXqNm01IGEUdYcSSLTEv9YCik/edit?usp=sharing"",""เบิกจ่ายกองทุน!BJ36"")"),0)</f>
        <v>0</v>
      </c>
      <c r="T418" s="255">
        <f ca="1">IF(Q418&gt;0,S418*100/Q418,0)</f>
        <v>0</v>
      </c>
      <c r="U418" s="255">
        <f ca="1">IF(R418&gt;0,S418*100/R418,0)</f>
        <v>0</v>
      </c>
    </row>
    <row r="419" spans="1:21" ht="19.5" hidden="1">
      <c r="A419" s="155"/>
      <c r="B419" s="188"/>
      <c r="C419" s="188"/>
      <c r="D419" s="608" t="s">
        <v>23</v>
      </c>
      <c r="E419" s="188"/>
      <c r="F419" s="188"/>
      <c r="G419" s="208"/>
      <c r="H419" s="158" t="s">
        <v>14</v>
      </c>
      <c r="I419" s="54"/>
      <c r="J419" s="54"/>
      <c r="K419" s="55"/>
      <c r="L419" s="256">
        <f>L420+L421</f>
        <v>0</v>
      </c>
      <c r="M419" s="255">
        <f>M420+M421</f>
        <v>0</v>
      </c>
      <c r="N419" s="255">
        <f>N420+N421</f>
        <v>0</v>
      </c>
      <c r="O419" s="255">
        <f>IF(L419&gt;0,N419*100/L419,0)</f>
        <v>0</v>
      </c>
      <c r="P419" s="255">
        <f>IF(M419&gt;0,N419*100/M419,0)</f>
        <v>0</v>
      </c>
      <c r="Q419" s="255">
        <f>Q420+Q421</f>
        <v>0</v>
      </c>
      <c r="R419" s="255">
        <f>R420+R421</f>
        <v>0</v>
      </c>
      <c r="S419" s="255">
        <f>S420+S421</f>
        <v>0</v>
      </c>
      <c r="T419" s="255">
        <f>IF(Q419&gt;0,S419*100/Q419,0)</f>
        <v>0</v>
      </c>
      <c r="U419" s="255">
        <f>IF(R419&gt;0,S419*100/R419,0)</f>
        <v>0</v>
      </c>
    </row>
    <row r="420" spans="1:21" ht="18.75" hidden="1">
      <c r="A420" s="155"/>
      <c r="B420" s="188"/>
      <c r="C420" s="188"/>
      <c r="D420" s="188"/>
      <c r="E420" s="358" t="s">
        <v>20</v>
      </c>
      <c r="F420" s="188"/>
      <c r="G420" s="208"/>
      <c r="H420" s="204" t="s">
        <v>14</v>
      </c>
      <c r="I420" s="54"/>
      <c r="J420" s="54"/>
      <c r="K420" s="55"/>
      <c r="L420" s="103">
        <v>0</v>
      </c>
      <c r="M420" s="102">
        <v>0</v>
      </c>
      <c r="N420" s="102">
        <v>0</v>
      </c>
      <c r="O420" s="102">
        <f>IF(L420&gt;0,N420*100/L420,0)</f>
        <v>0</v>
      </c>
      <c r="P420" s="102">
        <f>IF(M420&gt;0,N420*100/M420,0)</f>
        <v>0</v>
      </c>
      <c r="Q420" s="102">
        <v>0</v>
      </c>
      <c r="R420" s="102">
        <v>0</v>
      </c>
      <c r="S420" s="102">
        <v>0</v>
      </c>
      <c r="T420" s="102">
        <f>IF(Q420&gt;0,S420*100/Q420,0)</f>
        <v>0</v>
      </c>
      <c r="U420" s="102">
        <f>IF(R420&gt;0,S420*100/R420,0)</f>
        <v>0</v>
      </c>
    </row>
    <row r="421" spans="1:21" ht="18.75" hidden="1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256">
        <v>0</v>
      </c>
      <c r="M421" s="255">
        <v>0</v>
      </c>
      <c r="N421" s="255">
        <v>0</v>
      </c>
      <c r="O421" s="255">
        <f>IF(L421&gt;0,N421*100/L421,0)</f>
        <v>0</v>
      </c>
      <c r="P421" s="255">
        <f>IF(M421&gt;0,N421*100/M421,0)</f>
        <v>0</v>
      </c>
      <c r="Q421" s="255">
        <v>0</v>
      </c>
      <c r="R421" s="255">
        <v>0</v>
      </c>
      <c r="S421" s="255">
        <v>0</v>
      </c>
      <c r="T421" s="255">
        <f>IF(Q421&gt;0,S421*100/Q421,0)</f>
        <v>0</v>
      </c>
      <c r="U421" s="255">
        <f>IF(R421&gt;0,S421*100/R421,0)</f>
        <v>0</v>
      </c>
    </row>
    <row r="422" spans="1:21" ht="19.5" hidden="1">
      <c r="A422" s="238"/>
      <c r="B422" s="188"/>
      <c r="C422" s="367" t="s">
        <v>18</v>
      </c>
      <c r="D422" s="607" t="s">
        <v>38</v>
      </c>
      <c r="E422" s="188"/>
      <c r="F422" s="188"/>
      <c r="G422" s="208"/>
      <c r="H422" s="208"/>
      <c r="I422" s="54"/>
      <c r="J422" s="54"/>
      <c r="K422" s="55"/>
      <c r="L422" s="62"/>
      <c r="M422" s="55"/>
      <c r="N422" s="55"/>
      <c r="O422" s="55"/>
      <c r="P422" s="55"/>
      <c r="Q422" s="55"/>
      <c r="R422" s="55"/>
      <c r="S422" s="55"/>
      <c r="T422" s="55"/>
      <c r="U422" s="55"/>
    </row>
    <row r="423" spans="1:21" ht="19.5" hidden="1">
      <c r="A423" s="238"/>
      <c r="B423" s="191" t="s">
        <v>161</v>
      </c>
      <c r="C423" s="188"/>
      <c r="D423" s="188"/>
      <c r="E423" s="188"/>
      <c r="F423" s="188"/>
      <c r="G423" s="208"/>
      <c r="H423" s="368" t="s">
        <v>46</v>
      </c>
      <c r="I423" s="373">
        <f ca="1">I440</f>
        <v>0</v>
      </c>
      <c r="J423" s="373">
        <f>J440</f>
        <v>0</v>
      </c>
      <c r="K423" s="540">
        <f ca="1">IF(I423&gt;0,J423*100/I423,0)</f>
        <v>0</v>
      </c>
      <c r="L423" s="62"/>
      <c r="M423" s="55"/>
      <c r="N423" s="55"/>
      <c r="O423" s="55"/>
      <c r="P423" s="55"/>
      <c r="Q423" s="55"/>
      <c r="R423" s="55"/>
      <c r="S423" s="55"/>
      <c r="T423" s="55"/>
      <c r="U423" s="55"/>
    </row>
    <row r="424" spans="1:21" ht="19.5" hidden="1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373">
        <f ca="1">IFERROR(__xludf.DUMMYFUNCTION("IMPORTRANGE(""https://docs.google.com/spreadsheets/d/1eHaY18a8A9IcSdp1K8H6x8fbOy06t2VsZHhMHf-1x7Y/edit?usp=sharing"",""แผน!HJ36"")"),0)</f>
        <v>0</v>
      </c>
      <c r="J424" s="373">
        <f>J426+J428+J430</f>
        <v>0</v>
      </c>
      <c r="K424" s="540">
        <f ca="1">IF(I424&gt;0,J424*100/I424,0)</f>
        <v>0</v>
      </c>
      <c r="L424" s="62"/>
      <c r="M424" s="55"/>
      <c r="N424" s="55"/>
      <c r="O424" s="55"/>
      <c r="P424" s="55"/>
      <c r="Q424" s="55"/>
      <c r="R424" s="55"/>
      <c r="S424" s="55"/>
      <c r="T424" s="55"/>
      <c r="U424" s="55"/>
    </row>
    <row r="425" spans="1:21" ht="19.5" hidden="1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373">
        <f ca="1">IFERROR(__xludf.DUMMYFUNCTION("IMPORTRANGE(""https://docs.google.com/spreadsheets/d/1eHaY18a8A9IcSdp1K8H6x8fbOy06t2VsZHhMHf-1x7Y/edit?usp=sharing"",""แผน!HK36"")"),0)</f>
        <v>0</v>
      </c>
      <c r="J425" s="373">
        <f>J427+J429+J431</f>
        <v>0</v>
      </c>
      <c r="K425" s="540">
        <f ca="1">IF(I425&gt;0,J425*100/I425,0)</f>
        <v>0</v>
      </c>
      <c r="L425" s="62"/>
      <c r="M425" s="55"/>
      <c r="N425" s="55"/>
      <c r="O425" s="55"/>
      <c r="P425" s="55"/>
      <c r="Q425" s="55"/>
      <c r="R425" s="55"/>
      <c r="S425" s="55"/>
      <c r="T425" s="55"/>
      <c r="U425" s="55"/>
    </row>
    <row r="426" spans="1:21" ht="18.75" hidden="1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54"/>
      <c r="K426" s="55"/>
      <c r="L426" s="62"/>
      <c r="M426" s="55"/>
      <c r="N426" s="55"/>
      <c r="O426" s="55"/>
      <c r="P426" s="55"/>
      <c r="Q426" s="55"/>
      <c r="R426" s="55"/>
      <c r="S426" s="55"/>
      <c r="T426" s="55"/>
      <c r="U426" s="55"/>
    </row>
    <row r="427" spans="1:21" ht="18.75" hidden="1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54"/>
      <c r="K427" s="55"/>
      <c r="L427" s="62"/>
      <c r="M427" s="55"/>
      <c r="N427" s="55"/>
      <c r="O427" s="55"/>
      <c r="P427" s="55"/>
      <c r="Q427" s="55"/>
      <c r="R427" s="55"/>
      <c r="S427" s="55"/>
      <c r="T427" s="55"/>
      <c r="U427" s="55"/>
    </row>
    <row r="428" spans="1:21" ht="18.75" hidden="1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54"/>
      <c r="K428" s="55"/>
      <c r="L428" s="62"/>
      <c r="M428" s="55"/>
      <c r="N428" s="55"/>
      <c r="O428" s="55"/>
      <c r="P428" s="55"/>
      <c r="Q428" s="55"/>
      <c r="R428" s="55"/>
      <c r="S428" s="55"/>
      <c r="T428" s="55"/>
      <c r="U428" s="55"/>
    </row>
    <row r="429" spans="1:21" ht="18.75" hidden="1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54"/>
      <c r="K429" s="55"/>
      <c r="L429" s="62"/>
      <c r="M429" s="55"/>
      <c r="N429" s="55"/>
      <c r="O429" s="55"/>
      <c r="P429" s="55"/>
      <c r="Q429" s="55"/>
      <c r="R429" s="55"/>
      <c r="S429" s="55"/>
      <c r="T429" s="55"/>
      <c r="U429" s="55"/>
    </row>
    <row r="430" spans="1:21" ht="18.75" hidden="1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54"/>
      <c r="K430" s="55"/>
      <c r="L430" s="62"/>
      <c r="M430" s="55"/>
      <c r="N430" s="55"/>
      <c r="O430" s="55"/>
      <c r="P430" s="55"/>
      <c r="Q430" s="55"/>
      <c r="R430" s="55"/>
      <c r="S430" s="55"/>
      <c r="T430" s="55"/>
      <c r="U430" s="55"/>
    </row>
    <row r="431" spans="1:21" ht="18.75" hidden="1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54"/>
      <c r="K431" s="55"/>
      <c r="L431" s="62"/>
      <c r="M431" s="55"/>
      <c r="N431" s="55"/>
      <c r="O431" s="55"/>
      <c r="P431" s="55"/>
      <c r="Q431" s="55"/>
      <c r="R431" s="55"/>
      <c r="S431" s="55"/>
      <c r="T431" s="55"/>
      <c r="U431" s="55"/>
    </row>
    <row r="432" spans="1:21" ht="19.5" hidden="1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373">
        <f ca="1">IFERROR(__xludf.DUMMYFUNCTION("IMPORTRANGE(""https://docs.google.com/spreadsheets/d/1eHaY18a8A9IcSdp1K8H6x8fbOy06t2VsZHhMHf-1x7Y/edit?usp=sharing"",""แผน!HJ36"")"),0)</f>
        <v>0</v>
      </c>
      <c r="J432" s="373">
        <f>J434+J436+J438</f>
        <v>0</v>
      </c>
      <c r="K432" s="540">
        <f ca="1">IF(I432&gt;0,J432*100/I432,0)</f>
        <v>0</v>
      </c>
      <c r="L432" s="62"/>
      <c r="M432" s="55"/>
      <c r="N432" s="55"/>
      <c r="O432" s="55"/>
      <c r="P432" s="55"/>
      <c r="Q432" s="55"/>
      <c r="R432" s="55"/>
      <c r="S432" s="55"/>
      <c r="T432" s="55"/>
      <c r="U432" s="55"/>
    </row>
    <row r="433" spans="1:21" ht="19.5" hidden="1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373">
        <f ca="1">IFERROR(__xludf.DUMMYFUNCTION("IMPORTRANGE(""https://docs.google.com/spreadsheets/d/1eHaY18a8A9IcSdp1K8H6x8fbOy06t2VsZHhMHf-1x7Y/edit?usp=sharing"",""แผน!HK36"")"),0)</f>
        <v>0</v>
      </c>
      <c r="J433" s="373">
        <f>J435+J437+J439</f>
        <v>0</v>
      </c>
      <c r="K433" s="540">
        <f ca="1">IF(I433&gt;0,J433*100/I433,0)</f>
        <v>0</v>
      </c>
      <c r="L433" s="62"/>
      <c r="M433" s="55"/>
      <c r="N433" s="55"/>
      <c r="O433" s="55"/>
      <c r="P433" s="55"/>
      <c r="Q433" s="55"/>
      <c r="R433" s="55"/>
      <c r="S433" s="55"/>
      <c r="T433" s="55"/>
      <c r="U433" s="55"/>
    </row>
    <row r="434" spans="1:21" ht="18.75" hidden="1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54"/>
      <c r="K434" s="55"/>
      <c r="L434" s="62"/>
      <c r="M434" s="55"/>
      <c r="N434" s="55"/>
      <c r="O434" s="55"/>
      <c r="P434" s="55"/>
      <c r="Q434" s="55"/>
      <c r="R434" s="55"/>
      <c r="S434" s="55"/>
      <c r="T434" s="55"/>
      <c r="U434" s="55"/>
    </row>
    <row r="435" spans="1:21" ht="18.75" hidden="1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54"/>
      <c r="K435" s="55"/>
      <c r="L435" s="62"/>
      <c r="M435" s="55"/>
      <c r="N435" s="55"/>
      <c r="O435" s="55"/>
      <c r="P435" s="55"/>
      <c r="Q435" s="55"/>
      <c r="R435" s="55"/>
      <c r="S435" s="55"/>
      <c r="T435" s="55"/>
      <c r="U435" s="55"/>
    </row>
    <row r="436" spans="1:21" ht="18.75" hidden="1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54"/>
      <c r="K436" s="55"/>
      <c r="L436" s="62"/>
      <c r="M436" s="55"/>
      <c r="N436" s="55"/>
      <c r="O436" s="55"/>
      <c r="P436" s="55"/>
      <c r="Q436" s="55"/>
      <c r="R436" s="55"/>
      <c r="S436" s="55"/>
      <c r="T436" s="55"/>
      <c r="U436" s="55"/>
    </row>
    <row r="437" spans="1:21" ht="18.75" hidden="1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54"/>
      <c r="K437" s="55"/>
      <c r="L437" s="62"/>
      <c r="M437" s="55"/>
      <c r="N437" s="55"/>
      <c r="O437" s="55"/>
      <c r="P437" s="55"/>
      <c r="Q437" s="55"/>
      <c r="R437" s="55"/>
      <c r="S437" s="55"/>
      <c r="T437" s="55"/>
      <c r="U437" s="55"/>
    </row>
    <row r="438" spans="1:21" ht="18.75" hidden="1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54"/>
      <c r="K438" s="55"/>
      <c r="L438" s="62"/>
      <c r="M438" s="55"/>
      <c r="N438" s="55"/>
      <c r="O438" s="55"/>
      <c r="P438" s="55"/>
      <c r="Q438" s="55"/>
      <c r="R438" s="55"/>
      <c r="S438" s="55"/>
      <c r="T438" s="55"/>
      <c r="U438" s="55"/>
    </row>
    <row r="439" spans="1:21" ht="18.75" hidden="1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54"/>
      <c r="K439" s="55"/>
      <c r="L439" s="62"/>
      <c r="M439" s="55"/>
      <c r="N439" s="55"/>
      <c r="O439" s="55"/>
      <c r="P439" s="55"/>
      <c r="Q439" s="55"/>
      <c r="R439" s="55"/>
      <c r="S439" s="55"/>
      <c r="T439" s="55"/>
      <c r="U439" s="55"/>
    </row>
    <row r="440" spans="1:21" ht="19.5" hidden="1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373">
        <f ca="1">IFERROR(__xludf.DUMMYFUNCTION("IMPORTRANGE(""https://docs.google.com/spreadsheets/d/1eHaY18a8A9IcSdp1K8H6x8fbOy06t2VsZHhMHf-1x7Y/edit?usp=sharing"",""แผน!HJ36"")"),0)</f>
        <v>0</v>
      </c>
      <c r="J440" s="373">
        <f>J442+J444+J446+J452+J454</f>
        <v>0</v>
      </c>
      <c r="K440" s="540">
        <f ca="1">IF(I440&gt;0,J440*100/I440,0)</f>
        <v>0</v>
      </c>
      <c r="L440" s="62"/>
      <c r="M440" s="55"/>
      <c r="N440" s="55"/>
      <c r="O440" s="55"/>
      <c r="P440" s="55"/>
      <c r="Q440" s="55"/>
      <c r="R440" s="55"/>
      <c r="S440" s="55"/>
      <c r="T440" s="55"/>
      <c r="U440" s="55"/>
    </row>
    <row r="441" spans="1:21" ht="19.5" hidden="1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373">
        <f ca="1">IFERROR(__xludf.DUMMYFUNCTION("IMPORTRANGE(""https://docs.google.com/spreadsheets/d/1eHaY18a8A9IcSdp1K8H6x8fbOy06t2VsZHhMHf-1x7Y/edit?usp=sharing"",""แผน!HK36"")"),0)</f>
        <v>0</v>
      </c>
      <c r="J441" s="373">
        <f>J443+J445+J447+J453+J455</f>
        <v>0</v>
      </c>
      <c r="K441" s="540">
        <f ca="1">IF(I441&gt;0,J441*100/I441,0)</f>
        <v>0</v>
      </c>
      <c r="L441" s="62"/>
      <c r="M441" s="55"/>
      <c r="N441" s="55"/>
      <c r="O441" s="55"/>
      <c r="P441" s="55"/>
      <c r="Q441" s="55"/>
      <c r="R441" s="55"/>
      <c r="S441" s="55"/>
      <c r="T441" s="55"/>
      <c r="U441" s="55"/>
    </row>
    <row r="442" spans="1:21" ht="18.75" hidden="1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54"/>
      <c r="K442" s="55"/>
      <c r="L442" s="62"/>
      <c r="M442" s="55"/>
      <c r="N442" s="55"/>
      <c r="O442" s="55"/>
      <c r="P442" s="55"/>
      <c r="Q442" s="55"/>
      <c r="R442" s="55"/>
      <c r="S442" s="55"/>
      <c r="T442" s="55"/>
      <c r="U442" s="55"/>
    </row>
    <row r="443" spans="1:21" ht="18.75" hidden="1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54"/>
      <c r="K443" s="55"/>
      <c r="L443" s="62"/>
      <c r="M443" s="55"/>
      <c r="N443" s="55"/>
      <c r="O443" s="55"/>
      <c r="P443" s="55"/>
      <c r="Q443" s="55"/>
      <c r="R443" s="55"/>
      <c r="S443" s="55"/>
      <c r="T443" s="55"/>
      <c r="U443" s="55"/>
    </row>
    <row r="444" spans="1:21" ht="18.75" hidden="1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54"/>
      <c r="K444" s="55"/>
      <c r="L444" s="62"/>
      <c r="M444" s="55"/>
      <c r="N444" s="55"/>
      <c r="O444" s="55"/>
      <c r="P444" s="55"/>
      <c r="Q444" s="55"/>
      <c r="R444" s="55"/>
      <c r="S444" s="55"/>
      <c r="T444" s="55"/>
      <c r="U444" s="55"/>
    </row>
    <row r="445" spans="1:21" ht="18.75" hidden="1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54"/>
      <c r="K445" s="55"/>
      <c r="L445" s="62"/>
      <c r="M445" s="55"/>
      <c r="N445" s="55"/>
      <c r="O445" s="55"/>
      <c r="P445" s="55"/>
      <c r="Q445" s="55"/>
      <c r="R445" s="55"/>
      <c r="S445" s="55"/>
      <c r="T445" s="55"/>
      <c r="U445" s="55"/>
    </row>
    <row r="446" spans="1:21" ht="19.5" hidden="1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373">
        <f>J448+J450</f>
        <v>0</v>
      </c>
      <c r="K446" s="55"/>
      <c r="L446" s="62"/>
      <c r="M446" s="55"/>
      <c r="N446" s="55"/>
      <c r="O446" s="55"/>
      <c r="P446" s="55"/>
      <c r="Q446" s="55"/>
      <c r="R446" s="55"/>
      <c r="S446" s="55"/>
      <c r="T446" s="55"/>
      <c r="U446" s="55"/>
    </row>
    <row r="447" spans="1:21" ht="19.5" hidden="1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373">
        <f>J449+J451</f>
        <v>0</v>
      </c>
      <c r="K447" s="55"/>
      <c r="L447" s="62"/>
      <c r="M447" s="55"/>
      <c r="N447" s="55"/>
      <c r="O447" s="55"/>
      <c r="P447" s="55"/>
      <c r="Q447" s="55"/>
      <c r="R447" s="55"/>
      <c r="S447" s="55"/>
      <c r="T447" s="55"/>
      <c r="U447" s="55"/>
    </row>
    <row r="448" spans="1:21" ht="18.75" hidden="1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54"/>
      <c r="K448" s="55"/>
      <c r="L448" s="62"/>
      <c r="M448" s="55"/>
      <c r="N448" s="55"/>
      <c r="O448" s="55"/>
      <c r="P448" s="55"/>
      <c r="Q448" s="55"/>
      <c r="R448" s="55"/>
      <c r="S448" s="55"/>
      <c r="T448" s="55"/>
      <c r="U448" s="55"/>
    </row>
    <row r="449" spans="1:21" ht="18.75" hidden="1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54"/>
      <c r="K449" s="55"/>
      <c r="L449" s="62"/>
      <c r="M449" s="55"/>
      <c r="N449" s="55"/>
      <c r="O449" s="55"/>
      <c r="P449" s="55"/>
      <c r="Q449" s="55"/>
      <c r="R449" s="55"/>
      <c r="S449" s="55"/>
      <c r="T449" s="55"/>
      <c r="U449" s="55"/>
    </row>
    <row r="450" spans="1:21" ht="18.75" hidden="1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54"/>
      <c r="K450" s="55"/>
      <c r="L450" s="62"/>
      <c r="M450" s="55"/>
      <c r="N450" s="55"/>
      <c r="O450" s="55"/>
      <c r="P450" s="55"/>
      <c r="Q450" s="55"/>
      <c r="R450" s="55"/>
      <c r="S450" s="55"/>
      <c r="T450" s="55"/>
      <c r="U450" s="55"/>
    </row>
    <row r="451" spans="1:21" ht="18.75" hidden="1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54"/>
      <c r="K451" s="55"/>
      <c r="L451" s="62"/>
      <c r="M451" s="55"/>
      <c r="N451" s="55"/>
      <c r="O451" s="55"/>
      <c r="P451" s="55"/>
      <c r="Q451" s="55"/>
      <c r="R451" s="55"/>
      <c r="S451" s="55"/>
      <c r="T451" s="55"/>
      <c r="U451" s="55"/>
    </row>
    <row r="452" spans="1:21" ht="18.75" hidden="1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54"/>
      <c r="K452" s="55"/>
      <c r="L452" s="62"/>
      <c r="M452" s="55"/>
      <c r="N452" s="55"/>
      <c r="O452" s="55"/>
      <c r="P452" s="55"/>
      <c r="Q452" s="55"/>
      <c r="R452" s="55"/>
      <c r="S452" s="55"/>
      <c r="T452" s="55"/>
      <c r="U452" s="55"/>
    </row>
    <row r="453" spans="1:21" ht="18.75" hidden="1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54"/>
      <c r="K453" s="55"/>
      <c r="L453" s="62"/>
      <c r="M453" s="55"/>
      <c r="N453" s="55"/>
      <c r="O453" s="55"/>
      <c r="P453" s="55"/>
      <c r="Q453" s="55"/>
      <c r="R453" s="55"/>
      <c r="S453" s="55"/>
      <c r="T453" s="55"/>
      <c r="U453" s="55"/>
    </row>
    <row r="454" spans="1:21" ht="18.75" hidden="1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606"/>
      <c r="K454" s="55"/>
      <c r="L454" s="62"/>
      <c r="M454" s="55"/>
      <c r="N454" s="55"/>
      <c r="O454" s="55"/>
      <c r="P454" s="55"/>
      <c r="Q454" s="55"/>
      <c r="R454" s="55"/>
      <c r="S454" s="55"/>
      <c r="T454" s="55"/>
      <c r="U454" s="55"/>
    </row>
    <row r="455" spans="1:21" ht="18.75" hidden="1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54"/>
      <c r="K455" s="55"/>
      <c r="L455" s="62"/>
      <c r="M455" s="55"/>
      <c r="N455" s="55"/>
      <c r="O455" s="55"/>
      <c r="P455" s="55"/>
      <c r="Q455" s="55"/>
      <c r="R455" s="55"/>
      <c r="S455" s="55"/>
      <c r="T455" s="55"/>
      <c r="U455" s="55"/>
    </row>
    <row r="456" spans="1:21" ht="19.5" hidden="1">
      <c r="A456" s="238"/>
      <c r="B456" s="191" t="s">
        <v>178</v>
      </c>
      <c r="C456" s="188"/>
      <c r="D456" s="188"/>
      <c r="E456" s="188"/>
      <c r="F456" s="188"/>
      <c r="G456" s="208"/>
      <c r="H456" s="368" t="s">
        <v>46</v>
      </c>
      <c r="I456" s="373">
        <f ca="1">I457</f>
        <v>0</v>
      </c>
      <c r="J456" s="373">
        <f>J457</f>
        <v>0</v>
      </c>
      <c r="K456" s="540">
        <f ca="1">IF(I456&gt;0,J456*100/I456,0)</f>
        <v>0</v>
      </c>
      <c r="L456" s="62"/>
      <c r="M456" s="55"/>
      <c r="N456" s="55"/>
      <c r="O456" s="55"/>
      <c r="P456" s="55"/>
      <c r="Q456" s="55"/>
      <c r="R456" s="55"/>
      <c r="S456" s="55"/>
      <c r="T456" s="55"/>
      <c r="U456" s="55"/>
    </row>
    <row r="457" spans="1:21" ht="19.5" hidden="1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373">
        <f ca="1">IFERROR(__xludf.DUMMYFUNCTION("IMPORTRANGE(""https://docs.google.com/spreadsheets/d/1eHaY18a8A9IcSdp1K8H6x8fbOy06t2VsZHhMHf-1x7Y/edit?usp=sharing"",""แผน!HL36"")"),0)</f>
        <v>0</v>
      </c>
      <c r="J457" s="373">
        <f>J459+J467+J473</f>
        <v>0</v>
      </c>
      <c r="K457" s="540">
        <f ca="1">IF(I457&gt;0,J457*100/I457,0)</f>
        <v>0</v>
      </c>
      <c r="L457" s="62"/>
      <c r="M457" s="55"/>
      <c r="N457" s="55"/>
      <c r="O457" s="55"/>
      <c r="P457" s="55"/>
      <c r="Q457" s="55"/>
      <c r="R457" s="55"/>
      <c r="S457" s="55"/>
      <c r="T457" s="55"/>
      <c r="U457" s="55"/>
    </row>
    <row r="458" spans="1:21" ht="19.5" hidden="1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373">
        <f ca="1">IFERROR(__xludf.DUMMYFUNCTION("IMPORTRANGE(""https://docs.google.com/spreadsheets/d/1eHaY18a8A9IcSdp1K8H6x8fbOy06t2VsZHhMHf-1x7Y/edit?usp=sharing"",""แผน!HM36"")"),0)</f>
        <v>0</v>
      </c>
      <c r="J458" s="373">
        <f>J460+J468+J474</f>
        <v>0</v>
      </c>
      <c r="K458" s="540">
        <f ca="1">IF(I458&gt;0,J458*100/I458,0)</f>
        <v>0</v>
      </c>
      <c r="L458" s="62"/>
      <c r="M458" s="55"/>
      <c r="N458" s="55"/>
      <c r="O458" s="55"/>
      <c r="P458" s="55"/>
      <c r="Q458" s="55"/>
      <c r="R458" s="55"/>
      <c r="S458" s="55"/>
      <c r="T458" s="55"/>
      <c r="U458" s="55"/>
    </row>
    <row r="459" spans="1:21" ht="18.75" hidden="1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212">
        <f>J461+J463</f>
        <v>0</v>
      </c>
      <c r="K459" s="55"/>
      <c r="L459" s="62"/>
      <c r="M459" s="55"/>
      <c r="N459" s="55"/>
      <c r="O459" s="55"/>
      <c r="P459" s="55"/>
      <c r="Q459" s="55"/>
      <c r="R459" s="55"/>
      <c r="S459" s="55"/>
      <c r="T459" s="55"/>
      <c r="U459" s="55"/>
    </row>
    <row r="460" spans="1:21" ht="18.75" hidden="1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212">
        <f>J462+J464</f>
        <v>0</v>
      </c>
      <c r="K460" s="55"/>
      <c r="L460" s="62"/>
      <c r="M460" s="55"/>
      <c r="N460" s="55"/>
      <c r="O460" s="55"/>
      <c r="P460" s="55"/>
      <c r="Q460" s="55"/>
      <c r="R460" s="55"/>
      <c r="S460" s="55"/>
      <c r="T460" s="55"/>
      <c r="U460" s="55"/>
    </row>
    <row r="461" spans="1:21" ht="18.75" hidden="1">
      <c r="A461" s="238"/>
      <c r="B461" s="188"/>
      <c r="C461" s="188"/>
      <c r="D461" s="371" t="s">
        <v>181</v>
      </c>
      <c r="E461" s="188"/>
      <c r="F461" s="188"/>
      <c r="G461" s="208"/>
      <c r="H461" s="161" t="s">
        <v>46</v>
      </c>
      <c r="I461" s="54"/>
      <c r="J461" s="54"/>
      <c r="K461" s="55"/>
      <c r="L461" s="62"/>
      <c r="M461" s="55"/>
      <c r="N461" s="55"/>
      <c r="O461" s="55"/>
      <c r="P461" s="55"/>
      <c r="Q461" s="55"/>
      <c r="R461" s="55"/>
      <c r="S461" s="55"/>
      <c r="T461" s="55"/>
      <c r="U461" s="55"/>
    </row>
    <row r="462" spans="1:21" ht="18.75" hidden="1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54"/>
      <c r="K462" s="55"/>
      <c r="L462" s="62"/>
      <c r="M462" s="55"/>
      <c r="N462" s="55"/>
      <c r="O462" s="55"/>
      <c r="P462" s="55"/>
      <c r="Q462" s="55"/>
      <c r="R462" s="55"/>
      <c r="S462" s="55"/>
      <c r="T462" s="55"/>
      <c r="U462" s="55"/>
    </row>
    <row r="463" spans="1:21" ht="18.75" hidden="1">
      <c r="A463" s="238"/>
      <c r="B463" s="188"/>
      <c r="C463" s="188"/>
      <c r="D463" s="371" t="s">
        <v>182</v>
      </c>
      <c r="E463" s="188"/>
      <c r="F463" s="188"/>
      <c r="G463" s="208"/>
      <c r="H463" s="161" t="s">
        <v>46</v>
      </c>
      <c r="I463" s="54"/>
      <c r="J463" s="54"/>
      <c r="K463" s="55"/>
      <c r="L463" s="62"/>
      <c r="M463" s="55"/>
      <c r="N463" s="55"/>
      <c r="O463" s="55"/>
      <c r="P463" s="55"/>
      <c r="Q463" s="55"/>
      <c r="R463" s="55"/>
      <c r="S463" s="55"/>
      <c r="T463" s="55"/>
      <c r="U463" s="55"/>
    </row>
    <row r="464" spans="1:21" ht="18.75" hidden="1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54"/>
      <c r="K464" s="55"/>
      <c r="L464" s="62"/>
      <c r="M464" s="55"/>
      <c r="N464" s="55"/>
      <c r="O464" s="55"/>
      <c r="P464" s="55"/>
      <c r="Q464" s="55"/>
      <c r="R464" s="55"/>
      <c r="S464" s="55"/>
      <c r="T464" s="55"/>
      <c r="U464" s="55"/>
    </row>
    <row r="465" spans="1:21" ht="18.75" hidden="1">
      <c r="A465" s="238"/>
      <c r="B465" s="188"/>
      <c r="C465" s="188"/>
      <c r="D465" s="371" t="s">
        <v>183</v>
      </c>
      <c r="E465" s="188"/>
      <c r="F465" s="188"/>
      <c r="G465" s="208"/>
      <c r="H465" s="161" t="s">
        <v>46</v>
      </c>
      <c r="I465" s="54"/>
      <c r="J465" s="54"/>
      <c r="K465" s="55"/>
      <c r="L465" s="62"/>
      <c r="M465" s="55"/>
      <c r="N465" s="55"/>
      <c r="O465" s="55"/>
      <c r="P465" s="55"/>
      <c r="Q465" s="55"/>
      <c r="R465" s="55"/>
      <c r="S465" s="55"/>
      <c r="T465" s="55"/>
      <c r="U465" s="55"/>
    </row>
    <row r="466" spans="1:21" ht="18.75" hidden="1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54"/>
      <c r="K466" s="55"/>
      <c r="L466" s="62"/>
      <c r="M466" s="55"/>
      <c r="N466" s="55"/>
      <c r="O466" s="55"/>
      <c r="P466" s="55"/>
      <c r="Q466" s="55"/>
      <c r="R466" s="55"/>
      <c r="S466" s="55"/>
      <c r="T466" s="55"/>
      <c r="U466" s="55"/>
    </row>
    <row r="467" spans="1:21" ht="18.75" hidden="1">
      <c r="A467" s="238"/>
      <c r="B467" s="188"/>
      <c r="C467" s="371" t="s">
        <v>184</v>
      </c>
      <c r="D467" s="188"/>
      <c r="E467" s="188"/>
      <c r="F467" s="188"/>
      <c r="G467" s="208"/>
      <c r="H467" s="161" t="s">
        <v>46</v>
      </c>
      <c r="I467" s="54"/>
      <c r="J467" s="212">
        <f>J469+J471</f>
        <v>0</v>
      </c>
      <c r="K467" s="55"/>
      <c r="L467" s="62"/>
      <c r="M467" s="55"/>
      <c r="N467" s="55"/>
      <c r="O467" s="55"/>
      <c r="P467" s="55"/>
      <c r="Q467" s="55"/>
      <c r="R467" s="55"/>
      <c r="S467" s="55"/>
      <c r="T467" s="55"/>
      <c r="U467" s="55"/>
    </row>
    <row r="468" spans="1:21" ht="18.75" hidden="1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212">
        <f>J470+J472</f>
        <v>0</v>
      </c>
      <c r="K468" s="55"/>
      <c r="L468" s="62"/>
      <c r="M468" s="55"/>
      <c r="N468" s="55"/>
      <c r="O468" s="55"/>
      <c r="P468" s="55"/>
      <c r="Q468" s="55"/>
      <c r="R468" s="55"/>
      <c r="S468" s="55"/>
      <c r="T468" s="55"/>
      <c r="U468" s="55"/>
    </row>
    <row r="469" spans="1:21" ht="18.75" hidden="1">
      <c r="A469" s="238"/>
      <c r="B469" s="188"/>
      <c r="C469" s="188"/>
      <c r="D469" s="371" t="s">
        <v>185</v>
      </c>
      <c r="E469" s="188"/>
      <c r="F469" s="188"/>
      <c r="G469" s="208"/>
      <c r="H469" s="161" t="s">
        <v>46</v>
      </c>
      <c r="I469" s="54"/>
      <c r="J469" s="54"/>
      <c r="K469" s="55"/>
      <c r="L469" s="62"/>
      <c r="M469" s="55"/>
      <c r="N469" s="55"/>
      <c r="O469" s="55"/>
      <c r="P469" s="55"/>
      <c r="Q469" s="55"/>
      <c r="R469" s="55"/>
      <c r="S469" s="55"/>
      <c r="T469" s="55"/>
      <c r="U469" s="55"/>
    </row>
    <row r="470" spans="1:21" ht="18.75" hidden="1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54"/>
      <c r="K470" s="55"/>
      <c r="L470" s="62"/>
      <c r="M470" s="55"/>
      <c r="N470" s="55"/>
      <c r="O470" s="55"/>
      <c r="P470" s="55"/>
      <c r="Q470" s="55"/>
      <c r="R470" s="55"/>
      <c r="S470" s="55"/>
      <c r="T470" s="55"/>
      <c r="U470" s="55"/>
    </row>
    <row r="471" spans="1:21" ht="18.75" hidden="1">
      <c r="A471" s="238"/>
      <c r="B471" s="188"/>
      <c r="C471" s="188"/>
      <c r="D471" s="371" t="s">
        <v>186</v>
      </c>
      <c r="E471" s="188"/>
      <c r="F471" s="188"/>
      <c r="G471" s="208"/>
      <c r="H471" s="161" t="s">
        <v>46</v>
      </c>
      <c r="I471" s="54"/>
      <c r="J471" s="54"/>
      <c r="K471" s="55"/>
      <c r="L471" s="62"/>
      <c r="M471" s="55"/>
      <c r="N471" s="55"/>
      <c r="O471" s="55"/>
      <c r="P471" s="55"/>
      <c r="Q471" s="55"/>
      <c r="R471" s="55"/>
      <c r="S471" s="55"/>
      <c r="T471" s="55"/>
      <c r="U471" s="55"/>
    </row>
    <row r="472" spans="1:21" ht="18.75" hidden="1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54"/>
      <c r="K472" s="55"/>
      <c r="L472" s="62"/>
      <c r="M472" s="55"/>
      <c r="N472" s="55"/>
      <c r="O472" s="55"/>
      <c r="P472" s="55"/>
      <c r="Q472" s="55"/>
      <c r="R472" s="55"/>
      <c r="S472" s="55"/>
      <c r="T472" s="55"/>
      <c r="U472" s="55"/>
    </row>
    <row r="473" spans="1:21" ht="18.75" hidden="1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54"/>
      <c r="K473" s="55"/>
      <c r="L473" s="62"/>
      <c r="M473" s="55"/>
      <c r="N473" s="55"/>
      <c r="O473" s="55"/>
      <c r="P473" s="55"/>
      <c r="Q473" s="55"/>
      <c r="R473" s="55"/>
      <c r="S473" s="55"/>
      <c r="T473" s="55"/>
      <c r="U473" s="55"/>
    </row>
    <row r="474" spans="1:21" ht="18.75" hidden="1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54"/>
      <c r="K474" s="55"/>
      <c r="L474" s="62"/>
      <c r="M474" s="55"/>
      <c r="N474" s="55"/>
      <c r="O474" s="55"/>
      <c r="P474" s="55"/>
      <c r="Q474" s="55"/>
      <c r="R474" s="55"/>
      <c r="S474" s="55"/>
      <c r="T474" s="55"/>
      <c r="U474" s="55"/>
    </row>
    <row r="475" spans="1:21" ht="19.5" hidden="1">
      <c r="A475" s="238"/>
      <c r="B475" s="372" t="s">
        <v>188</v>
      </c>
      <c r="C475" s="188"/>
      <c r="D475" s="188"/>
      <c r="E475" s="188"/>
      <c r="F475" s="188"/>
      <c r="G475" s="208"/>
      <c r="H475" s="158" t="s">
        <v>46</v>
      </c>
      <c r="I475" s="373">
        <v>0</v>
      </c>
      <c r="J475" s="373">
        <f>J478+J480</f>
        <v>0</v>
      </c>
      <c r="K475" s="540">
        <f>IF(I475&gt;0,J475*100/I475,0)</f>
        <v>0</v>
      </c>
      <c r="L475" s="62"/>
      <c r="M475" s="55"/>
      <c r="N475" s="55"/>
      <c r="O475" s="55"/>
      <c r="P475" s="55"/>
      <c r="Q475" s="55"/>
      <c r="R475" s="55"/>
      <c r="S475" s="55"/>
      <c r="T475" s="55"/>
      <c r="U475" s="55"/>
    </row>
    <row r="476" spans="1:21" ht="19.5" hidden="1">
      <c r="A476" s="238"/>
      <c r="B476" s="188"/>
      <c r="C476" s="191" t="s">
        <v>189</v>
      </c>
      <c r="D476" s="188"/>
      <c r="E476" s="188"/>
      <c r="F476" s="188"/>
      <c r="G476" s="208"/>
      <c r="H476" s="158" t="s">
        <v>46</v>
      </c>
      <c r="I476" s="373">
        <v>0</v>
      </c>
      <c r="J476" s="373">
        <f>J478+J480</f>
        <v>0</v>
      </c>
      <c r="K476" s="540">
        <f>IF(I476&gt;0,J476*100/I476,0)</f>
        <v>0</v>
      </c>
      <c r="L476" s="62"/>
      <c r="M476" s="55"/>
      <c r="N476" s="55"/>
      <c r="O476" s="55"/>
      <c r="P476" s="55"/>
      <c r="Q476" s="55"/>
      <c r="R476" s="55"/>
      <c r="S476" s="55"/>
      <c r="T476" s="55"/>
      <c r="U476" s="55"/>
    </row>
    <row r="477" spans="1:21" ht="19.5" hidden="1">
      <c r="A477" s="238"/>
      <c r="B477" s="188"/>
      <c r="C477" s="239" t="s">
        <v>190</v>
      </c>
      <c r="D477" s="188"/>
      <c r="E477" s="188"/>
      <c r="F477" s="188"/>
      <c r="G477" s="208"/>
      <c r="H477" s="158" t="s">
        <v>34</v>
      </c>
      <c r="I477" s="373">
        <v>0</v>
      </c>
      <c r="J477" s="373">
        <f>J479+J481</f>
        <v>0</v>
      </c>
      <c r="K477" s="540">
        <f>IF(I477&gt;0,J477*100/I477,0)</f>
        <v>0</v>
      </c>
      <c r="L477" s="62"/>
      <c r="M477" s="55"/>
      <c r="N477" s="55"/>
      <c r="O477" s="55"/>
      <c r="P477" s="55"/>
      <c r="Q477" s="55"/>
      <c r="R477" s="55"/>
      <c r="S477" s="55"/>
      <c r="T477" s="55"/>
      <c r="U477" s="55"/>
    </row>
    <row r="478" spans="1:21" ht="18.75" hidden="1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54"/>
      <c r="K478" s="55"/>
      <c r="L478" s="62"/>
      <c r="M478" s="55"/>
      <c r="N478" s="55"/>
      <c r="O478" s="55"/>
      <c r="P478" s="55"/>
      <c r="Q478" s="55"/>
      <c r="R478" s="55"/>
      <c r="S478" s="55"/>
      <c r="T478" s="55"/>
      <c r="U478" s="55"/>
    </row>
    <row r="479" spans="1:21" ht="18.75" hidden="1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54"/>
      <c r="K479" s="55"/>
      <c r="L479" s="62"/>
      <c r="M479" s="55"/>
      <c r="N479" s="55"/>
      <c r="O479" s="55"/>
      <c r="P479" s="55"/>
      <c r="Q479" s="55"/>
      <c r="R479" s="55"/>
      <c r="S479" s="55"/>
      <c r="T479" s="55"/>
      <c r="U479" s="55"/>
    </row>
    <row r="480" spans="1:21" ht="18.75" hidden="1">
      <c r="A480" s="238"/>
      <c r="B480" s="188"/>
      <c r="C480" s="188"/>
      <c r="D480" s="371" t="s">
        <v>192</v>
      </c>
      <c r="E480" s="188"/>
      <c r="F480" s="188"/>
      <c r="G480" s="208"/>
      <c r="H480" s="161" t="s">
        <v>46</v>
      </c>
      <c r="I480" s="54"/>
      <c r="J480" s="54"/>
      <c r="K480" s="55"/>
      <c r="L480" s="62"/>
      <c r="M480" s="55"/>
      <c r="N480" s="55"/>
      <c r="O480" s="55"/>
      <c r="P480" s="55"/>
      <c r="Q480" s="55"/>
      <c r="R480" s="55"/>
      <c r="S480" s="55"/>
      <c r="T480" s="55"/>
      <c r="U480" s="55"/>
    </row>
    <row r="481" spans="1:21" ht="18.75" hidden="1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54"/>
      <c r="K481" s="55"/>
      <c r="L481" s="62"/>
      <c r="M481" s="55"/>
      <c r="N481" s="55"/>
      <c r="O481" s="55"/>
      <c r="P481" s="55"/>
      <c r="Q481" s="55"/>
      <c r="R481" s="55"/>
      <c r="S481" s="55"/>
      <c r="T481" s="55"/>
      <c r="U481" s="55"/>
    </row>
    <row r="482" spans="1:21" ht="18.75" hidden="1">
      <c r="A482" s="238"/>
      <c r="B482" s="188"/>
      <c r="C482" s="188"/>
      <c r="D482" s="371" t="s">
        <v>193</v>
      </c>
      <c r="E482" s="188"/>
      <c r="F482" s="188"/>
      <c r="G482" s="208"/>
      <c r="H482" s="161" t="s">
        <v>46</v>
      </c>
      <c r="I482" s="54"/>
      <c r="J482" s="212">
        <f ca="1">IFERROR(__xludf.DUMMYFUNCTION("IMPORTRANGE(""https://docs.google.com/spreadsheets/d/1eHaY18a8A9IcSdp1K8H6x8fbOy06t2VsZHhMHf-1x7Y/edit?usp=sharing"",""แผน!HN36"")"),0)</f>
        <v>0</v>
      </c>
      <c r="K482" s="55"/>
      <c r="L482" s="62"/>
      <c r="M482" s="55"/>
      <c r="N482" s="55"/>
      <c r="O482" s="55"/>
      <c r="P482" s="55"/>
      <c r="Q482" s="55"/>
      <c r="R482" s="55"/>
      <c r="S482" s="55"/>
      <c r="T482" s="55"/>
      <c r="U482" s="55"/>
    </row>
    <row r="483" spans="1:21" ht="18.75" hidden="1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212">
        <f ca="1">IFERROR(__xludf.DUMMYFUNCTION("IMPORTRANGE(""https://docs.google.com/spreadsheets/d/1eHaY18a8A9IcSdp1K8H6x8fbOy06t2VsZHhMHf-1x7Y/edit?usp=sharing"",""แผน!HO36"")"),0)</f>
        <v>0</v>
      </c>
      <c r="K483" s="55"/>
      <c r="L483" s="62"/>
      <c r="M483" s="55"/>
      <c r="N483" s="55"/>
      <c r="O483" s="55"/>
      <c r="P483" s="55"/>
      <c r="Q483" s="55"/>
      <c r="R483" s="55"/>
      <c r="S483" s="55"/>
      <c r="T483" s="55"/>
      <c r="U483" s="55"/>
    </row>
    <row r="484" spans="1:21" ht="19.5" hidden="1">
      <c r="A484" s="238"/>
      <c r="B484" s="188"/>
      <c r="C484" s="191" t="s">
        <v>194</v>
      </c>
      <c r="D484" s="188"/>
      <c r="E484" s="188"/>
      <c r="F484" s="188"/>
      <c r="G484" s="208"/>
      <c r="H484" s="158" t="s">
        <v>46</v>
      </c>
      <c r="I484" s="54">
        <f>J480</f>
        <v>0</v>
      </c>
      <c r="J484" s="373">
        <f>J486+J488+J490</f>
        <v>0</v>
      </c>
      <c r="K484" s="540">
        <f>IF(I484&gt;0,J484*100/I484,0)</f>
        <v>0</v>
      </c>
      <c r="L484" s="62"/>
      <c r="M484" s="55"/>
      <c r="N484" s="55"/>
      <c r="O484" s="55"/>
      <c r="P484" s="55"/>
      <c r="Q484" s="55"/>
      <c r="R484" s="55"/>
      <c r="S484" s="55"/>
      <c r="T484" s="55"/>
      <c r="U484" s="55"/>
    </row>
    <row r="485" spans="1:21" ht="19.5" hidden="1">
      <c r="A485" s="238"/>
      <c r="B485" s="188"/>
      <c r="C485" s="239" t="s">
        <v>195</v>
      </c>
      <c r="D485" s="188"/>
      <c r="E485" s="188"/>
      <c r="F485" s="188"/>
      <c r="G485" s="208"/>
      <c r="H485" s="158" t="s">
        <v>34</v>
      </c>
      <c r="I485" s="54">
        <f>J481</f>
        <v>0</v>
      </c>
      <c r="J485" s="373">
        <f>J487+J489+J491</f>
        <v>0</v>
      </c>
      <c r="K485" s="540">
        <f>IF(I485&gt;0,J485*100/I485,0)</f>
        <v>0</v>
      </c>
      <c r="L485" s="62"/>
      <c r="M485" s="55"/>
      <c r="N485" s="55"/>
      <c r="O485" s="55"/>
      <c r="P485" s="55"/>
      <c r="Q485" s="55"/>
      <c r="R485" s="55"/>
      <c r="S485" s="55"/>
      <c r="T485" s="55"/>
      <c r="U485" s="55"/>
    </row>
    <row r="486" spans="1:21" ht="18.75" hidden="1">
      <c r="A486" s="238"/>
      <c r="B486" s="188"/>
      <c r="C486" s="188"/>
      <c r="D486" s="371" t="s">
        <v>196</v>
      </c>
      <c r="E486" s="188"/>
      <c r="F486" s="188"/>
      <c r="G486" s="208"/>
      <c r="H486" s="161" t="s">
        <v>46</v>
      </c>
      <c r="I486" s="54"/>
      <c r="J486" s="54"/>
      <c r="K486" s="55"/>
      <c r="L486" s="62"/>
      <c r="M486" s="55"/>
      <c r="N486" s="55"/>
      <c r="O486" s="55"/>
      <c r="P486" s="55"/>
      <c r="Q486" s="55"/>
      <c r="R486" s="55"/>
      <c r="S486" s="55"/>
      <c r="T486" s="55"/>
      <c r="U486" s="55"/>
    </row>
    <row r="487" spans="1:21" ht="18.75" hidden="1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54"/>
      <c r="K487" s="55"/>
      <c r="L487" s="62"/>
      <c r="M487" s="55"/>
      <c r="N487" s="55"/>
      <c r="O487" s="55"/>
      <c r="P487" s="55"/>
      <c r="Q487" s="55"/>
      <c r="R487" s="55"/>
      <c r="S487" s="55"/>
      <c r="T487" s="55"/>
      <c r="U487" s="55"/>
    </row>
    <row r="488" spans="1:21" ht="18.75" hidden="1">
      <c r="A488" s="238"/>
      <c r="B488" s="188"/>
      <c r="C488" s="188"/>
      <c r="D488" s="371" t="s">
        <v>197</v>
      </c>
      <c r="E488" s="188"/>
      <c r="F488" s="188"/>
      <c r="G488" s="208"/>
      <c r="H488" s="161" t="s">
        <v>46</v>
      </c>
      <c r="I488" s="54"/>
      <c r="J488" s="54"/>
      <c r="K488" s="55"/>
      <c r="L488" s="62"/>
      <c r="M488" s="55"/>
      <c r="N488" s="55"/>
      <c r="O488" s="55"/>
      <c r="P488" s="55"/>
      <c r="Q488" s="55"/>
      <c r="R488" s="55"/>
      <c r="S488" s="55"/>
      <c r="T488" s="55"/>
      <c r="U488" s="55"/>
    </row>
    <row r="489" spans="1:21" ht="18.75" hidden="1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54"/>
      <c r="K489" s="55"/>
      <c r="L489" s="62"/>
      <c r="M489" s="55"/>
      <c r="N489" s="55"/>
      <c r="O489" s="55"/>
      <c r="P489" s="55"/>
      <c r="Q489" s="55"/>
      <c r="R489" s="55"/>
      <c r="S489" s="55"/>
      <c r="T489" s="55"/>
      <c r="U489" s="55"/>
    </row>
    <row r="490" spans="1:21" ht="18.75" hidden="1">
      <c r="A490" s="238"/>
      <c r="B490" s="188"/>
      <c r="C490" s="188"/>
      <c r="D490" s="371" t="s">
        <v>198</v>
      </c>
      <c r="E490" s="188"/>
      <c r="F490" s="188"/>
      <c r="G490" s="208"/>
      <c r="H490" s="161" t="s">
        <v>46</v>
      </c>
      <c r="I490" s="54"/>
      <c r="J490" s="54"/>
      <c r="K490" s="55"/>
      <c r="L490" s="62"/>
      <c r="M490" s="55"/>
      <c r="N490" s="55"/>
      <c r="O490" s="55"/>
      <c r="P490" s="55"/>
      <c r="Q490" s="55"/>
      <c r="R490" s="55"/>
      <c r="S490" s="55"/>
      <c r="T490" s="55"/>
      <c r="U490" s="55"/>
    </row>
    <row r="491" spans="1:21" ht="18.75" hidden="1">
      <c r="A491" s="374"/>
      <c r="B491" s="5"/>
      <c r="C491" s="5"/>
      <c r="D491" s="5"/>
      <c r="E491" s="5"/>
      <c r="F491" s="5"/>
      <c r="G491" s="375"/>
      <c r="H491" s="376" t="s">
        <v>34</v>
      </c>
      <c r="I491" s="67"/>
      <c r="J491" s="67"/>
      <c r="K491" s="6"/>
      <c r="L491" s="68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>
      <c r="A492" s="335"/>
      <c r="B492" s="354" t="s">
        <v>199</v>
      </c>
      <c r="C492" s="337"/>
      <c r="D492" s="337"/>
      <c r="E492" s="328"/>
      <c r="F492" s="328"/>
      <c r="G492" s="329"/>
      <c r="H492" s="366" t="s">
        <v>35</v>
      </c>
      <c r="I492" s="605">
        <f ca="1">I503</f>
        <v>40</v>
      </c>
      <c r="J492" s="605">
        <f ca="1">J503</f>
        <v>0</v>
      </c>
      <c r="K492" s="604">
        <f ca="1">IF(I492&gt;0,J492*100/I492,0)</f>
        <v>0</v>
      </c>
      <c r="L492" s="334"/>
      <c r="M492" s="333"/>
      <c r="N492" s="333"/>
      <c r="O492" s="333"/>
      <c r="P492" s="333"/>
      <c r="Q492" s="333"/>
      <c r="R492" s="333"/>
      <c r="S492" s="333"/>
      <c r="T492" s="333"/>
      <c r="U492" s="333"/>
    </row>
    <row r="493" spans="1:21" ht="19.5">
      <c r="A493" s="155"/>
      <c r="B493" s="188"/>
      <c r="C493" s="205" t="s">
        <v>18</v>
      </c>
      <c r="D493" s="781" t="s">
        <v>19</v>
      </c>
      <c r="E493" s="529"/>
      <c r="F493" s="529"/>
      <c r="G493" s="530"/>
      <c r="H493" s="252" t="s">
        <v>14</v>
      </c>
      <c r="I493" s="54"/>
      <c r="J493" s="54"/>
      <c r="K493" s="55"/>
      <c r="L493" s="541">
        <f>L494+L495</f>
        <v>0</v>
      </c>
      <c r="M493" s="540">
        <f>M494+M495</f>
        <v>0</v>
      </c>
      <c r="N493" s="540">
        <f>N494+N495</f>
        <v>0</v>
      </c>
      <c r="O493" s="540">
        <f>IF(L493&gt;0,N493*100/L493,0)</f>
        <v>0</v>
      </c>
      <c r="P493" s="540">
        <f>IF(M493&gt;0,N493*100/M493,0)</f>
        <v>0</v>
      </c>
      <c r="Q493" s="540">
        <f ca="1">Q494+Q495</f>
        <v>605930</v>
      </c>
      <c r="R493" s="540">
        <f ca="1">R494+R495</f>
        <v>605930</v>
      </c>
      <c r="S493" s="540">
        <f ca="1">S494+S495</f>
        <v>53421.95</v>
      </c>
      <c r="T493" s="540">
        <f ca="1">IF(Q493&gt;0,S493*100/Q493,0)</f>
        <v>8.8165217104285976</v>
      </c>
      <c r="U493" s="540">
        <f ca="1">IF(R493&gt;0,S493*100/R493,0)</f>
        <v>8.8165217104285976</v>
      </c>
    </row>
    <row r="494" spans="1:21" ht="18.75" hidden="1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103">
        <f>L497+L500</f>
        <v>0</v>
      </c>
      <c r="M494" s="102">
        <f>M497+M500</f>
        <v>0</v>
      </c>
      <c r="N494" s="102">
        <f>N497+N500</f>
        <v>0</v>
      </c>
      <c r="O494" s="102">
        <f>IF(L494&gt;0,N494*100/L494,0)</f>
        <v>0</v>
      </c>
      <c r="P494" s="102">
        <f>IF(M494&gt;0,N494*100/M494,0)</f>
        <v>0</v>
      </c>
      <c r="Q494" s="102">
        <f>Q497+Q500</f>
        <v>0</v>
      </c>
      <c r="R494" s="102">
        <f>R497+R500</f>
        <v>0</v>
      </c>
      <c r="S494" s="102">
        <f>S497+S500</f>
        <v>0</v>
      </c>
      <c r="T494" s="102">
        <f>IF(Q494&gt;0,S494*100/Q494,0)</f>
        <v>0</v>
      </c>
      <c r="U494" s="102">
        <f>IF(R494&gt;0,S494*100/R494,0)</f>
        <v>0</v>
      </c>
    </row>
    <row r="495" spans="1:21" ht="18.75" hidden="1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256">
        <f>L498+L501</f>
        <v>0</v>
      </c>
      <c r="M495" s="255">
        <f>M498+M501</f>
        <v>0</v>
      </c>
      <c r="N495" s="255">
        <f>N498+N501</f>
        <v>0</v>
      </c>
      <c r="O495" s="255">
        <f>IF(L495&gt;0,N495*100/L495,0)</f>
        <v>0</v>
      </c>
      <c r="P495" s="255">
        <f>IF(M495&gt;0,N495*100/M495,0)</f>
        <v>0</v>
      </c>
      <c r="Q495" s="255">
        <f ca="1">Q498+Q501</f>
        <v>605930</v>
      </c>
      <c r="R495" s="255">
        <f ca="1">R498+R501</f>
        <v>605930</v>
      </c>
      <c r="S495" s="255">
        <f ca="1">S498+S501</f>
        <v>53421.95</v>
      </c>
      <c r="T495" s="255">
        <f ca="1">IF(Q495&gt;0,S495*100/Q495,0)</f>
        <v>8.8165217104285976</v>
      </c>
      <c r="U495" s="255">
        <f ca="1">IF(R495&gt;0,S495*100/R495,0)</f>
        <v>8.8165217104285976</v>
      </c>
    </row>
    <row r="496" spans="1:21" ht="18.75">
      <c r="A496" s="155"/>
      <c r="B496" s="188"/>
      <c r="C496" s="188"/>
      <c r="D496" s="602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256">
        <f>L497+L498</f>
        <v>0</v>
      </c>
      <c r="M496" s="255">
        <f>M497+M498</f>
        <v>0</v>
      </c>
      <c r="N496" s="255">
        <f>N497+N498</f>
        <v>0</v>
      </c>
      <c r="O496" s="255">
        <f>IF(L496&gt;0,N496*100/L496,0)</f>
        <v>0</v>
      </c>
      <c r="P496" s="255">
        <f>IF(M496&gt;0,N496*100/M496,0)</f>
        <v>0</v>
      </c>
      <c r="Q496" s="255">
        <f ca="1">Q497+Q498</f>
        <v>605930</v>
      </c>
      <c r="R496" s="255">
        <f ca="1">R497+R498</f>
        <v>605930</v>
      </c>
      <c r="S496" s="255">
        <f ca="1">S497+S498</f>
        <v>53421.95</v>
      </c>
      <c r="T496" s="255">
        <f ca="1">IF(Q496&gt;0,S496*100/Q496,0)</f>
        <v>8.8165217104285976</v>
      </c>
      <c r="U496" s="255">
        <f ca="1">IF(R496&gt;0,S496*100/R496,0)</f>
        <v>8.8165217104285976</v>
      </c>
    </row>
    <row r="497" spans="1:21" ht="18.75" hidden="1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103">
        <v>0</v>
      </c>
      <c r="M497" s="102">
        <v>0</v>
      </c>
      <c r="N497" s="102">
        <v>0</v>
      </c>
      <c r="O497" s="102">
        <f>IF(L497&gt;0,N497*100/L497,0)</f>
        <v>0</v>
      </c>
      <c r="P497" s="102">
        <f>IF(M497&gt;0,N497*100/M497,0)</f>
        <v>0</v>
      </c>
      <c r="Q497" s="102">
        <v>0</v>
      </c>
      <c r="R497" s="102">
        <v>0</v>
      </c>
      <c r="S497" s="102">
        <v>0</v>
      </c>
      <c r="T497" s="102">
        <f>IF(Q497&gt;0,S497*100/Q497,0)</f>
        <v>0</v>
      </c>
      <c r="U497" s="102">
        <f>IF(R497&gt;0,S497*100/R497,0)</f>
        <v>0</v>
      </c>
    </row>
    <row r="498" spans="1:21" ht="18.75" hidden="1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256">
        <v>0</v>
      </c>
      <c r="M498" s="255">
        <v>0</v>
      </c>
      <c r="N498" s="255">
        <v>0</v>
      </c>
      <c r="O498" s="255">
        <f>IF(L498&gt;0,N498*100/L498,0)</f>
        <v>0</v>
      </c>
      <c r="P498" s="255">
        <f>IF(M498&gt;0,N498*100/M498,0)</f>
        <v>0</v>
      </c>
      <c r="Q498" s="255">
        <f ca="1">IFERROR(__xludf.DUMMYFUNCTION("IMPORTRANGE(""https://docs.google.com/spreadsheets/d/1ItG2mGa2ceCfYo0BwxsXqNm01IGEUdYcSSLTEv9YCik/edit?usp=sharing"",""เบิกจ่ายกองทุน!X36"")"),605930)</f>
        <v>605930</v>
      </c>
      <c r="R498" s="255">
        <f ca="1">IFERROR(__xludf.DUMMYFUNCTION("IMPORTRANGE(""https://docs.google.com/spreadsheets/d/1ItG2mGa2ceCfYo0BwxsXqNm01IGEUdYcSSLTEv9YCik/edit?usp=sharing"",""เบิกจ่ายกองทุน!Y36"")"),605930)</f>
        <v>605930</v>
      </c>
      <c r="S498" s="255">
        <f ca="1">IFERROR(__xludf.DUMMYFUNCTION("IMPORTRANGE(""https://docs.google.com/spreadsheets/d/1ItG2mGa2ceCfYo0BwxsXqNm01IGEUdYcSSLTEv9YCik/edit?usp=sharing"",""เบิกจ่ายกองทุน!Z36"")"),53421.95)</f>
        <v>53421.95</v>
      </c>
      <c r="T498" s="255">
        <f ca="1">IF(Q498&gt;0,S498*100/Q498,0)</f>
        <v>8.8165217104285976</v>
      </c>
      <c r="U498" s="255">
        <f ca="1">IF(R498&gt;0,S498*100/R498,0)</f>
        <v>8.8165217104285976</v>
      </c>
    </row>
    <row r="499" spans="1:21" ht="18.75">
      <c r="A499" s="155"/>
      <c r="B499" s="188"/>
      <c r="C499" s="188"/>
      <c r="D499" s="602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256">
        <f>L500+L501</f>
        <v>0</v>
      </c>
      <c r="M499" s="255">
        <f>M500+M501</f>
        <v>0</v>
      </c>
      <c r="N499" s="255">
        <f>N500+N501</f>
        <v>0</v>
      </c>
      <c r="O499" s="255">
        <f>IF(L499&gt;0,N499*100/L499,0)</f>
        <v>0</v>
      </c>
      <c r="P499" s="255">
        <f>IF(M499&gt;0,N499*100/M499,0)</f>
        <v>0</v>
      </c>
      <c r="Q499" s="255">
        <f>Q500+Q501</f>
        <v>0</v>
      </c>
      <c r="R499" s="255">
        <f>R500+R501</f>
        <v>0</v>
      </c>
      <c r="S499" s="255">
        <f>S500+S501</f>
        <v>0</v>
      </c>
      <c r="T499" s="255">
        <f>IF(Q499&gt;0,S499*100/Q499,0)</f>
        <v>0</v>
      </c>
      <c r="U499" s="255">
        <f>IF(R499&gt;0,S499*100/R499,0)</f>
        <v>0</v>
      </c>
    </row>
    <row r="500" spans="1:21" ht="18.75" hidden="1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103">
        <v>0</v>
      </c>
      <c r="M500" s="102">
        <v>0</v>
      </c>
      <c r="N500" s="102">
        <v>0</v>
      </c>
      <c r="O500" s="102">
        <f>IF(L500&gt;0,N500*100/L500,0)</f>
        <v>0</v>
      </c>
      <c r="P500" s="102">
        <f>IF(M500&gt;0,N500*100/M500,0)</f>
        <v>0</v>
      </c>
      <c r="Q500" s="102">
        <v>0</v>
      </c>
      <c r="R500" s="102">
        <v>0</v>
      </c>
      <c r="S500" s="102">
        <v>0</v>
      </c>
      <c r="T500" s="102">
        <f>IF(Q500&gt;0,S500*100/Q500,0)</f>
        <v>0</v>
      </c>
      <c r="U500" s="102">
        <f>IF(R500&gt;0,S500*100/R500,0)</f>
        <v>0</v>
      </c>
    </row>
    <row r="501" spans="1:21" ht="18.75" hidden="1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256">
        <v>0</v>
      </c>
      <c r="M501" s="255">
        <v>0</v>
      </c>
      <c r="N501" s="255">
        <v>0</v>
      </c>
      <c r="O501" s="255">
        <f>IF(L501&gt;0,N501*100/L501,0)</f>
        <v>0</v>
      </c>
      <c r="P501" s="255">
        <f>IF(M501&gt;0,N501*100/M501,0)</f>
        <v>0</v>
      </c>
      <c r="Q501" s="255">
        <v>0</v>
      </c>
      <c r="R501" s="255">
        <v>0</v>
      </c>
      <c r="S501" s="255">
        <v>0</v>
      </c>
      <c r="T501" s="255">
        <f>IF(Q501&gt;0,S501*100/Q501,0)</f>
        <v>0</v>
      </c>
      <c r="U501" s="255">
        <f>IF(R501&gt;0,S501*100/R501,0)</f>
        <v>0</v>
      </c>
    </row>
    <row r="502" spans="1:21" ht="19.5">
      <c r="A502" s="166"/>
      <c r="B502" s="167"/>
      <c r="C502" s="205" t="s">
        <v>18</v>
      </c>
      <c r="D502" s="560" t="s">
        <v>38</v>
      </c>
      <c r="E502" s="169"/>
      <c r="F502" s="169"/>
      <c r="G502" s="170"/>
      <c r="H502" s="206"/>
      <c r="I502" s="163"/>
      <c r="J502" s="163"/>
      <c r="K502" s="164"/>
      <c r="L502" s="172"/>
      <c r="M502" s="164"/>
      <c r="N502" s="164"/>
      <c r="O502" s="164"/>
      <c r="P502" s="164"/>
      <c r="Q502" s="164"/>
      <c r="R502" s="164"/>
      <c r="S502" s="164"/>
      <c r="T502" s="164"/>
      <c r="U502" s="164"/>
    </row>
    <row r="503" spans="1:21" ht="19.5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373">
        <f ca="1">IFERROR(__xludf.DUMMYFUNCTION("IMPORTRANGE(""https://docs.google.com/spreadsheets/d/1eHaY18a8A9IcSdp1K8H6x8fbOy06t2VsZHhMHf-1x7Y/edit?usp=sharing"",""แผน!GX36"")"),40)</f>
        <v>40</v>
      </c>
      <c r="J503" s="373">
        <f ca="1">IF(AND(J504=I503,J505=I503,J506=I503,J507=I503),I503,0)</f>
        <v>0</v>
      </c>
      <c r="K503" s="540">
        <f ca="1">IF(I503&gt;0,J503*100/I503,0)</f>
        <v>0</v>
      </c>
      <c r="L503" s="62"/>
      <c r="M503" s="55"/>
      <c r="N503" s="55"/>
      <c r="O503" s="55"/>
      <c r="P503" s="55"/>
      <c r="Q503" s="55"/>
      <c r="R503" s="55"/>
      <c r="S503" s="55"/>
      <c r="T503" s="55"/>
      <c r="U503" s="55"/>
    </row>
    <row r="504" spans="1:21" ht="18.75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212">
        <f ca="1">IFERROR(__xludf.DUMMYFUNCTION("IMPORTRANGE(""https://docs.google.com/spreadsheets/d/1eHaY18a8A9IcSdp1K8H6x8fbOy06t2VsZHhMHf-1x7Y/edit?usp=sharing"",""แผน!GY36"")"),0)</f>
        <v>0</v>
      </c>
      <c r="J504" s="467">
        <v>0</v>
      </c>
      <c r="K504" s="255">
        <f ca="1">IF(I504&gt;0,J504*100/I504,0)</f>
        <v>0</v>
      </c>
      <c r="L504" s="62"/>
      <c r="M504" s="55"/>
      <c r="N504" s="55"/>
      <c r="O504" s="55"/>
      <c r="P504" s="55"/>
      <c r="Q504" s="55"/>
      <c r="R504" s="55"/>
      <c r="S504" s="55"/>
      <c r="T504" s="55"/>
      <c r="U504" s="55"/>
    </row>
    <row r="505" spans="1:21" ht="18.75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212">
        <f ca="1">IFERROR(__xludf.DUMMYFUNCTION("IMPORTRANGE(""https://docs.google.com/spreadsheets/d/1eHaY18a8A9IcSdp1K8H6x8fbOy06t2VsZHhMHf-1x7Y/edit?usp=sharing"",""แผน!GZ36"")"),0)</f>
        <v>0</v>
      </c>
      <c r="J505" s="467">
        <v>0</v>
      </c>
      <c r="K505" s="255">
        <f ca="1">IF(I505&gt;0,J505*100/I505,0)</f>
        <v>0</v>
      </c>
      <c r="L505" s="62"/>
      <c r="M505" s="55"/>
      <c r="N505" s="55"/>
      <c r="O505" s="55"/>
      <c r="P505" s="55"/>
      <c r="Q505" s="55"/>
      <c r="R505" s="55"/>
      <c r="S505" s="55"/>
      <c r="T505" s="55"/>
      <c r="U505" s="55"/>
    </row>
    <row r="506" spans="1:21" ht="18.75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212">
        <f ca="1">IFERROR(__xludf.DUMMYFUNCTION("IMPORTRANGE(""https://docs.google.com/spreadsheets/d/1eHaY18a8A9IcSdp1K8H6x8fbOy06t2VsZHhMHf-1x7Y/edit?usp=sharing"",""แผน!HA36"")"),0)</f>
        <v>0</v>
      </c>
      <c r="J506" s="467">
        <v>0</v>
      </c>
      <c r="K506" s="255">
        <f ca="1">IF(I506&gt;0,J506*100/I506,0)</f>
        <v>0</v>
      </c>
      <c r="L506" s="62"/>
      <c r="M506" s="55"/>
      <c r="N506" s="55"/>
      <c r="O506" s="55"/>
      <c r="P506" s="55"/>
      <c r="Q506" s="55"/>
      <c r="R506" s="55"/>
      <c r="S506" s="55"/>
      <c r="T506" s="55"/>
      <c r="U506" s="55"/>
    </row>
    <row r="507" spans="1:21" ht="18.75">
      <c r="A507" s="238"/>
      <c r="B507" s="188"/>
      <c r="C507" s="188"/>
      <c r="D507" s="188"/>
      <c r="E507" s="377" t="s">
        <v>204</v>
      </c>
      <c r="F507" s="50"/>
      <c r="G507" s="52"/>
      <c r="H507" s="161" t="s">
        <v>35</v>
      </c>
      <c r="I507" s="212">
        <f ca="1">IFERROR(__xludf.DUMMYFUNCTION("IMPORTRANGE(""https://docs.google.com/spreadsheets/d/1eHaY18a8A9IcSdp1K8H6x8fbOy06t2VsZHhMHf-1x7Y/edit?usp=sharing"",""แผน!HB36"")"),0)</f>
        <v>0</v>
      </c>
      <c r="J507" s="467">
        <v>0</v>
      </c>
      <c r="K507" s="255">
        <f ca="1">IF(I507&gt;0,J507*100/I507,0)</f>
        <v>0</v>
      </c>
      <c r="L507" s="62"/>
      <c r="M507" s="55"/>
      <c r="N507" s="55"/>
      <c r="O507" s="55"/>
      <c r="P507" s="55"/>
      <c r="Q507" s="55"/>
      <c r="R507" s="55"/>
      <c r="S507" s="55"/>
      <c r="T507" s="55"/>
      <c r="U507" s="55"/>
    </row>
    <row r="508" spans="1:21" ht="18.75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255">
        <f>IF(I508&gt;0,J508*100/I508,0)</f>
        <v>0</v>
      </c>
      <c r="L508" s="62"/>
      <c r="M508" s="55"/>
      <c r="N508" s="55"/>
      <c r="O508" s="55"/>
      <c r="P508" s="55"/>
      <c r="Q508" s="55"/>
      <c r="R508" s="55"/>
      <c r="S508" s="55"/>
      <c r="T508" s="55"/>
      <c r="U508" s="55"/>
    </row>
    <row r="509" spans="1:21" ht="19.5">
      <c r="A509" s="374"/>
      <c r="B509" s="5"/>
      <c r="C509" s="5"/>
      <c r="D509" s="378" t="s">
        <v>50</v>
      </c>
      <c r="E509" s="4"/>
      <c r="F509" s="4"/>
      <c r="G509" s="65"/>
      <c r="H509" s="376" t="s">
        <v>35</v>
      </c>
      <c r="I509" s="216">
        <f ca="1">IFERROR(__xludf.DUMMYFUNCTION("IMPORTRANGE(""https://docs.google.com/spreadsheets/d/1eHaY18a8A9IcSdp1K8H6x8fbOy06t2VsZHhMHf-1x7Y/edit?usp=sharing"",""แผน!HC36"")"),0)</f>
        <v>0</v>
      </c>
      <c r="J509" s="538">
        <v>0</v>
      </c>
      <c r="K509" s="506">
        <f ca="1">IF(I509&gt;0,J509*100/I509,0)</f>
        <v>0</v>
      </c>
      <c r="L509" s="68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 hidden="1">
      <c r="A510" s="601" t="s">
        <v>206</v>
      </c>
      <c r="B510" s="381"/>
      <c r="C510" s="381"/>
      <c r="D510" s="381"/>
      <c r="E510" s="382"/>
      <c r="F510" s="382"/>
      <c r="G510" s="382"/>
      <c r="H510" s="382"/>
      <c r="I510" s="383"/>
      <c r="J510" s="383"/>
      <c r="K510" s="384"/>
      <c r="L510" s="600"/>
      <c r="M510" s="386"/>
      <c r="N510" s="386"/>
      <c r="O510" s="386"/>
      <c r="P510" s="386"/>
      <c r="Q510" s="386"/>
      <c r="R510" s="386"/>
      <c r="S510" s="386"/>
      <c r="T510" s="386"/>
      <c r="U510" s="386"/>
    </row>
    <row r="511" spans="1:21" ht="19.5" hidden="1">
      <c r="A511" s="599" t="s">
        <v>207</v>
      </c>
      <c r="B511" s="388"/>
      <c r="C511" s="388"/>
      <c r="D511" s="389"/>
      <c r="E511" s="388"/>
      <c r="F511" s="388"/>
      <c r="G511" s="388"/>
      <c r="H511" s="390"/>
      <c r="I511" s="391"/>
      <c r="J511" s="391"/>
      <c r="K511" s="392"/>
      <c r="L511" s="598"/>
      <c r="M511" s="394"/>
      <c r="N511" s="394"/>
      <c r="O511" s="394"/>
      <c r="P511" s="394"/>
      <c r="Q511" s="394"/>
      <c r="R511" s="394"/>
      <c r="S511" s="394"/>
      <c r="T511" s="394"/>
      <c r="U511" s="394"/>
    </row>
    <row r="512" spans="1:21" ht="19.5" hidden="1">
      <c r="A512" s="395"/>
      <c r="B512" s="597" t="s">
        <v>208</v>
      </c>
      <c r="C512" s="397"/>
      <c r="D512" s="398"/>
      <c r="E512" s="398"/>
      <c r="F512" s="398"/>
      <c r="G512" s="399"/>
      <c r="H512" s="596" t="s">
        <v>61</v>
      </c>
      <c r="I512" s="595">
        <f>I524</f>
        <v>0</v>
      </c>
      <c r="J512" s="595">
        <f>J524</f>
        <v>0</v>
      </c>
      <c r="K512" s="594">
        <f>IF(I512&gt;0,J512*100/I512,0)</f>
        <v>0</v>
      </c>
      <c r="L512" s="404"/>
      <c r="M512" s="403"/>
      <c r="N512" s="403"/>
      <c r="O512" s="403"/>
      <c r="P512" s="403"/>
      <c r="Q512" s="403"/>
      <c r="R512" s="403"/>
      <c r="S512" s="403"/>
      <c r="T512" s="403"/>
      <c r="U512" s="403"/>
    </row>
    <row r="513" spans="1:21" ht="19.5" hidden="1">
      <c r="A513" s="155"/>
      <c r="B513" s="50"/>
      <c r="C513" s="591" t="s">
        <v>18</v>
      </c>
      <c r="D513" s="562" t="s">
        <v>19</v>
      </c>
      <c r="E513" s="50"/>
      <c r="F513" s="50"/>
      <c r="G513" s="52"/>
      <c r="H513" s="593" t="s">
        <v>14</v>
      </c>
      <c r="I513" s="54"/>
      <c r="J513" s="54"/>
      <c r="K513" s="55"/>
      <c r="L513" s="541">
        <f ca="1">L514+L515</f>
        <v>0</v>
      </c>
      <c r="M513" s="540">
        <f ca="1">M514+M515</f>
        <v>0</v>
      </c>
      <c r="N513" s="540">
        <f ca="1">N514+N515</f>
        <v>0</v>
      </c>
      <c r="O513" s="540">
        <f ca="1">IF(L513&gt;0,N513*100/L513,0)</f>
        <v>0</v>
      </c>
      <c r="P513" s="540">
        <f ca="1">IF(M513&gt;0,N513*100/M513,0)</f>
        <v>0</v>
      </c>
      <c r="Q513" s="540">
        <f>Q514+Q515</f>
        <v>0</v>
      </c>
      <c r="R513" s="540">
        <f>R514+R515</f>
        <v>0</v>
      </c>
      <c r="S513" s="540">
        <f>S514+S515</f>
        <v>0</v>
      </c>
      <c r="T513" s="540">
        <f>IF(Q513&gt;0,S513*100/Q513,0)</f>
        <v>0</v>
      </c>
      <c r="U513" s="540">
        <f>IF(R513&gt;0,S513*100/R513,0)</f>
        <v>0</v>
      </c>
    </row>
    <row r="514" spans="1:21" ht="18.75" hidden="1">
      <c r="A514" s="155"/>
      <c r="B514" s="50"/>
      <c r="C514" s="50"/>
      <c r="D514" s="50"/>
      <c r="E514" s="186" t="s">
        <v>20</v>
      </c>
      <c r="F514" s="50"/>
      <c r="G514" s="52"/>
      <c r="H514" s="187" t="s">
        <v>14</v>
      </c>
      <c r="I514" s="54"/>
      <c r="J514" s="54"/>
      <c r="K514" s="55"/>
      <c r="L514" s="103">
        <f>L517+L520</f>
        <v>0</v>
      </c>
      <c r="M514" s="102">
        <f>M517+M520</f>
        <v>0</v>
      </c>
      <c r="N514" s="102">
        <f>N517+N520</f>
        <v>0</v>
      </c>
      <c r="O514" s="102">
        <f>IF(L514&gt;0,N514*100/L514,0)</f>
        <v>0</v>
      </c>
      <c r="P514" s="102">
        <f>IF(M514&gt;0,N514*100/M514,0)</f>
        <v>0</v>
      </c>
      <c r="Q514" s="102">
        <f>Q517+Q520</f>
        <v>0</v>
      </c>
      <c r="R514" s="102">
        <f>R517+R520</f>
        <v>0</v>
      </c>
      <c r="S514" s="102">
        <f>S517+S520</f>
        <v>0</v>
      </c>
      <c r="T514" s="102">
        <f>IF(Q514&gt;0,S514*100/Q514,0)</f>
        <v>0</v>
      </c>
      <c r="U514" s="102">
        <f>IF(R514&gt;0,S514*100/R514,0)</f>
        <v>0</v>
      </c>
    </row>
    <row r="515" spans="1:21" ht="18.75" hidden="1">
      <c r="A515" s="155"/>
      <c r="B515" s="50"/>
      <c r="C515" s="50"/>
      <c r="D515" s="50"/>
      <c r="E515" s="186" t="s">
        <v>21</v>
      </c>
      <c r="F515" s="50"/>
      <c r="G515" s="52"/>
      <c r="H515" s="187" t="s">
        <v>14</v>
      </c>
      <c r="I515" s="54"/>
      <c r="J515" s="54"/>
      <c r="K515" s="55"/>
      <c r="L515" s="256">
        <f ca="1">L518+L521</f>
        <v>0</v>
      </c>
      <c r="M515" s="255">
        <f ca="1">M518+M521</f>
        <v>0</v>
      </c>
      <c r="N515" s="255">
        <f ca="1">N518+N521</f>
        <v>0</v>
      </c>
      <c r="O515" s="255">
        <f ca="1">IF(L515&gt;0,N515*100/L515,0)</f>
        <v>0</v>
      </c>
      <c r="P515" s="255">
        <f ca="1">IF(M515&gt;0,N515*100/M515,0)</f>
        <v>0</v>
      </c>
      <c r="Q515" s="255">
        <f>Q518+Q521</f>
        <v>0</v>
      </c>
      <c r="R515" s="255">
        <f>R518+R521</f>
        <v>0</v>
      </c>
      <c r="S515" s="255">
        <f>S518+S521</f>
        <v>0</v>
      </c>
      <c r="T515" s="255">
        <f>IF(Q515&gt;0,S515*100/Q515,0)</f>
        <v>0</v>
      </c>
      <c r="U515" s="255">
        <f>IF(R515&gt;0,S515*100/R515,0)</f>
        <v>0</v>
      </c>
    </row>
    <row r="516" spans="1:21" ht="18.75" hidden="1">
      <c r="A516" s="155"/>
      <c r="B516" s="50"/>
      <c r="C516" s="50"/>
      <c r="D516" s="592" t="s">
        <v>22</v>
      </c>
      <c r="E516" s="50"/>
      <c r="F516" s="50"/>
      <c r="G516" s="52"/>
      <c r="H516" s="189" t="s">
        <v>14</v>
      </c>
      <c r="I516" s="163"/>
      <c r="J516" s="163"/>
      <c r="K516" s="164"/>
      <c r="L516" s="256">
        <f ca="1">L517+L518</f>
        <v>0</v>
      </c>
      <c r="M516" s="255">
        <f ca="1">M517+M518</f>
        <v>0</v>
      </c>
      <c r="N516" s="255">
        <f ca="1">N517+N518</f>
        <v>0</v>
      </c>
      <c r="O516" s="255">
        <f ca="1">IF(L516&gt;0,N516*100/L516,0)</f>
        <v>0</v>
      </c>
      <c r="P516" s="255">
        <f ca="1">IF(M516&gt;0,N516*100/M516,0)</f>
        <v>0</v>
      </c>
      <c r="Q516" s="255">
        <f>Q517+Q518</f>
        <v>0</v>
      </c>
      <c r="R516" s="255">
        <f>R517+R518</f>
        <v>0</v>
      </c>
      <c r="S516" s="255">
        <f>S517+S518</f>
        <v>0</v>
      </c>
      <c r="T516" s="255">
        <f>IF(Q516&gt;0,S516*100/Q516,0)</f>
        <v>0</v>
      </c>
      <c r="U516" s="255">
        <f>IF(R516&gt;0,S516*100/R516,0)</f>
        <v>0</v>
      </c>
    </row>
    <row r="517" spans="1:21" ht="18.75" hidden="1">
      <c r="A517" s="155"/>
      <c r="B517" s="50"/>
      <c r="C517" s="50"/>
      <c r="D517" s="50"/>
      <c r="E517" s="186" t="s">
        <v>36</v>
      </c>
      <c r="F517" s="50"/>
      <c r="G517" s="52"/>
      <c r="H517" s="189" t="s">
        <v>14</v>
      </c>
      <c r="I517" s="163"/>
      <c r="J517" s="163"/>
      <c r="K517" s="164"/>
      <c r="L517" s="103">
        <v>0</v>
      </c>
      <c r="M517" s="102">
        <v>0</v>
      </c>
      <c r="N517" s="102">
        <v>0</v>
      </c>
      <c r="O517" s="102">
        <f>IF(L517&gt;0,N517*100/L517,0)</f>
        <v>0</v>
      </c>
      <c r="P517" s="102">
        <f>IF(M517&gt;0,N517*100/M517,0)</f>
        <v>0</v>
      </c>
      <c r="Q517" s="102">
        <v>0</v>
      </c>
      <c r="R517" s="102">
        <v>0</v>
      </c>
      <c r="S517" s="102">
        <v>0</v>
      </c>
      <c r="T517" s="102">
        <f>IF(Q517&gt;0,S517*100/Q517,0)</f>
        <v>0</v>
      </c>
      <c r="U517" s="102">
        <f>IF(R517&gt;0,S517*100/R517,0)</f>
        <v>0</v>
      </c>
    </row>
    <row r="518" spans="1:21" ht="18.75" hidden="1">
      <c r="A518" s="155"/>
      <c r="B518" s="50"/>
      <c r="C518" s="50"/>
      <c r="D518" s="50"/>
      <c r="E518" s="186" t="s">
        <v>37</v>
      </c>
      <c r="F518" s="50"/>
      <c r="G518" s="52"/>
      <c r="H518" s="189" t="s">
        <v>14</v>
      </c>
      <c r="I518" s="163"/>
      <c r="J518" s="163"/>
      <c r="K518" s="164"/>
      <c r="L518" s="256">
        <f ca="1">IFERROR(__xludf.DUMMYFUNCTION("IMPORTRANGE(""https://docs.google.com/spreadsheets/d/1-uDff_7J0KD5mKrp0Vvzr7lt3OU09vwQwhkpOPPYv2Y/edit?usp=sharing"",""งบพรบ!FM36"")"),0)</f>
        <v>0</v>
      </c>
      <c r="M518" s="255">
        <f ca="1">IFERROR(__xludf.DUMMYFUNCTION("IMPORTRANGE(""https://docs.google.com/spreadsheets/d/1-uDff_7J0KD5mKrp0Vvzr7lt3OU09vwQwhkpOPPYv2Y/edit?usp=sharing"",""งบพรบ!FR36"")"),0)</f>
        <v>0</v>
      </c>
      <c r="N518" s="255">
        <f ca="1">IFERROR(__xludf.DUMMYFUNCTION("IMPORTRANGE(""https://docs.google.com/spreadsheets/d/1-uDff_7J0KD5mKrp0Vvzr7lt3OU09vwQwhkpOPPYv2Y/edit?usp=sharing"",""งบพรบ!FT36"")"),0)</f>
        <v>0</v>
      </c>
      <c r="O518" s="255">
        <f ca="1">IF(L518&gt;0,N518*100/L518,0)</f>
        <v>0</v>
      </c>
      <c r="P518" s="255">
        <f ca="1">IF(M518&gt;0,N518*100/M518,0)</f>
        <v>0</v>
      </c>
      <c r="Q518" s="255">
        <v>0</v>
      </c>
      <c r="R518" s="255">
        <v>0</v>
      </c>
      <c r="S518" s="255">
        <v>0</v>
      </c>
      <c r="T518" s="255">
        <f>IF(Q518&gt;0,S518*100/Q518,0)</f>
        <v>0</v>
      </c>
      <c r="U518" s="255">
        <f>IF(R518&gt;0,S518*100/R518,0)</f>
        <v>0</v>
      </c>
    </row>
    <row r="519" spans="1:21" ht="18.75" hidden="1">
      <c r="A519" s="155"/>
      <c r="B519" s="50"/>
      <c r="C519" s="50"/>
      <c r="D519" s="592" t="s">
        <v>23</v>
      </c>
      <c r="E519" s="50"/>
      <c r="F519" s="50"/>
      <c r="G519" s="52"/>
      <c r="H519" s="421" t="s">
        <v>14</v>
      </c>
      <c r="I519" s="163"/>
      <c r="J519" s="163"/>
      <c r="K519" s="164"/>
      <c r="L519" s="256">
        <f ca="1">L520+L521</f>
        <v>0</v>
      </c>
      <c r="M519" s="255">
        <f ca="1">M520+M521</f>
        <v>0</v>
      </c>
      <c r="N519" s="255">
        <f ca="1">N520+N521</f>
        <v>0</v>
      </c>
      <c r="O519" s="255">
        <f ca="1">IF(L519&gt;0,N519*100/L519,0)</f>
        <v>0</v>
      </c>
      <c r="P519" s="255">
        <f ca="1">IF(M519&gt;0,N519*100/M519,0)</f>
        <v>0</v>
      </c>
      <c r="Q519" s="255">
        <f>Q520+Q521</f>
        <v>0</v>
      </c>
      <c r="R519" s="255">
        <f>R520+R521</f>
        <v>0</v>
      </c>
      <c r="S519" s="255">
        <f>S520+S521</f>
        <v>0</v>
      </c>
      <c r="T519" s="255">
        <f>IF(Q519&gt;0,S519*100/Q519,0)</f>
        <v>0</v>
      </c>
      <c r="U519" s="255">
        <f>IF(R519&gt;0,S519*100/R519,0)</f>
        <v>0</v>
      </c>
    </row>
    <row r="520" spans="1:21" ht="18.75" hidden="1">
      <c r="A520" s="155"/>
      <c r="B520" s="50"/>
      <c r="C520" s="50"/>
      <c r="D520" s="50"/>
      <c r="E520" s="186" t="s">
        <v>20</v>
      </c>
      <c r="F520" s="50"/>
      <c r="G520" s="52"/>
      <c r="H520" s="189" t="s">
        <v>14</v>
      </c>
      <c r="I520" s="163"/>
      <c r="J520" s="163"/>
      <c r="K520" s="164"/>
      <c r="L520" s="103">
        <v>0</v>
      </c>
      <c r="M520" s="102">
        <v>0</v>
      </c>
      <c r="N520" s="102">
        <v>0</v>
      </c>
      <c r="O520" s="102">
        <f>IF(L520&gt;0,N520*100/L520,0)</f>
        <v>0</v>
      </c>
      <c r="P520" s="102">
        <f>IF(M520&gt;0,N520*100/M520,0)</f>
        <v>0</v>
      </c>
      <c r="Q520" s="102">
        <v>0</v>
      </c>
      <c r="R520" s="102">
        <v>0</v>
      </c>
      <c r="S520" s="102">
        <v>0</v>
      </c>
      <c r="T520" s="102">
        <f>IF(Q520&gt;0,S520*100/Q520,0)</f>
        <v>0</v>
      </c>
      <c r="U520" s="102">
        <f>IF(R520&gt;0,S520*100/R520,0)</f>
        <v>0</v>
      </c>
    </row>
    <row r="521" spans="1:21" ht="18.75" hidden="1">
      <c r="A521" s="155"/>
      <c r="B521" s="50"/>
      <c r="C521" s="50"/>
      <c r="D521" s="50"/>
      <c r="E521" s="186" t="s">
        <v>21</v>
      </c>
      <c r="F521" s="50"/>
      <c r="G521" s="52"/>
      <c r="H521" s="421" t="s">
        <v>14</v>
      </c>
      <c r="I521" s="163"/>
      <c r="J521" s="163"/>
      <c r="K521" s="164"/>
      <c r="L521" s="256">
        <f ca="1">IFERROR(__xludf.DUMMYFUNCTION("IMPORTRANGE(""https://docs.google.com/spreadsheets/d/1-uDff_7J0KD5mKrp0Vvzr7lt3OU09vwQwhkpOPPYv2Y/edit?usp=sharing"",""งบพรบ!FP36"")"),0)</f>
        <v>0</v>
      </c>
      <c r="M521" s="255">
        <f ca="1">IFERROR(__xludf.DUMMYFUNCTION("IMPORTRANGE(""https://docs.google.com/spreadsheets/d/1-uDff_7J0KD5mKrp0Vvzr7lt3OU09vwQwhkpOPPYv2Y/edit?usp=sharing"",""งบพรบ!FS36"")"),0)</f>
        <v>0</v>
      </c>
      <c r="N521" s="255">
        <f ca="1">IFERROR(__xludf.DUMMYFUNCTION("IMPORTRANGE(""https://docs.google.com/spreadsheets/d/1-uDff_7J0KD5mKrp0Vvzr7lt3OU09vwQwhkpOPPYv2Y/edit?usp=sharing"",""งบพรบ!FU36"")"),0)</f>
        <v>0</v>
      </c>
      <c r="O521" s="255">
        <f ca="1">IF(L521&gt;0,N521*100/L521,0)</f>
        <v>0</v>
      </c>
      <c r="P521" s="255">
        <f ca="1">IF(M521&gt;0,N521*100/M521,0)</f>
        <v>0</v>
      </c>
      <c r="Q521" s="255">
        <v>0</v>
      </c>
      <c r="R521" s="255">
        <v>0</v>
      </c>
      <c r="S521" s="255">
        <v>0</v>
      </c>
      <c r="T521" s="255">
        <f>IF(Q521&gt;0,S521*100/Q521,0)</f>
        <v>0</v>
      </c>
      <c r="U521" s="255">
        <f>IF(R521&gt;0,S521*100/R521,0)</f>
        <v>0</v>
      </c>
    </row>
    <row r="522" spans="1:21" ht="19.5" hidden="1">
      <c r="A522" s="166"/>
      <c r="B522" s="167"/>
      <c r="C522" s="591" t="s">
        <v>18</v>
      </c>
      <c r="D522" s="574" t="s">
        <v>38</v>
      </c>
      <c r="E522" s="169"/>
      <c r="F522" s="169"/>
      <c r="G522" s="170"/>
      <c r="H522" s="171"/>
      <c r="I522" s="163"/>
      <c r="J522" s="54"/>
      <c r="K522" s="55"/>
      <c r="L522" s="62"/>
      <c r="M522" s="55"/>
      <c r="N522" s="55"/>
      <c r="O522" s="164"/>
      <c r="P522" s="164"/>
      <c r="Q522" s="55"/>
      <c r="R522" s="55"/>
      <c r="S522" s="55"/>
      <c r="T522" s="164"/>
      <c r="U522" s="164"/>
    </row>
    <row r="523" spans="1:21" ht="18.75" hidden="1">
      <c r="A523" s="238"/>
      <c r="B523" s="50"/>
      <c r="C523" s="188"/>
      <c r="D523" s="207" t="s">
        <v>209</v>
      </c>
      <c r="E523" s="167"/>
      <c r="F523" s="50"/>
      <c r="G523" s="52"/>
      <c r="H523" s="590" t="s">
        <v>11</v>
      </c>
      <c r="I523" s="483">
        <v>0</v>
      </c>
      <c r="J523" s="589">
        <v>0</v>
      </c>
      <c r="K523" s="102">
        <f>IF(I523&gt;0,J523*100/I523,0)</f>
        <v>0</v>
      </c>
      <c r="L523" s="62"/>
      <c r="M523" s="55"/>
      <c r="N523" s="55"/>
      <c r="O523" s="55"/>
      <c r="P523" s="55"/>
      <c r="Q523" s="55"/>
      <c r="R523" s="55"/>
      <c r="S523" s="55"/>
      <c r="T523" s="55"/>
      <c r="U523" s="55"/>
    </row>
    <row r="524" spans="1:21" ht="18.75" hidden="1">
      <c r="A524" s="374"/>
      <c r="B524" s="4"/>
      <c r="C524" s="5"/>
      <c r="D524" s="588" t="s">
        <v>210</v>
      </c>
      <c r="E524" s="282"/>
      <c r="F524" s="4"/>
      <c r="G524" s="65"/>
      <c r="H524" s="587" t="s">
        <v>61</v>
      </c>
      <c r="I524" s="486">
        <v>0</v>
      </c>
      <c r="J524" s="586">
        <v>0</v>
      </c>
      <c r="K524" s="585">
        <f>IF(I524&gt;0,J524*100/I524,0)</f>
        <v>0</v>
      </c>
      <c r="L524" s="62"/>
      <c r="M524" s="55"/>
      <c r="N524" s="55"/>
      <c r="O524" s="55"/>
      <c r="P524" s="55"/>
      <c r="Q524" s="55"/>
      <c r="R524" s="55"/>
      <c r="S524" s="55"/>
      <c r="T524" s="55"/>
      <c r="U524" s="55"/>
    </row>
    <row r="525" spans="1:21" ht="12.75" hidden="1">
      <c r="A525" s="584"/>
      <c r="B525" s="583"/>
      <c r="C525" s="583"/>
      <c r="D525" s="582"/>
      <c r="E525" s="582"/>
      <c r="F525" s="582"/>
      <c r="G525" s="581"/>
      <c r="H525" s="580"/>
      <c r="I525" s="579"/>
      <c r="J525" s="579"/>
      <c r="K525" s="578"/>
      <c r="L525" s="265"/>
      <c r="M525" s="264"/>
      <c r="N525" s="264"/>
      <c r="O525" s="264"/>
      <c r="P525" s="264"/>
      <c r="Q525" s="264"/>
      <c r="R525" s="264"/>
      <c r="S525" s="264"/>
      <c r="T525" s="264"/>
      <c r="U525" s="264"/>
    </row>
    <row r="526" spans="1:21" ht="12.75" hidden="1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5"/>
      <c r="M526" s="264"/>
      <c r="N526" s="264"/>
      <c r="O526" s="264"/>
      <c r="P526" s="264"/>
      <c r="Q526" s="264"/>
      <c r="R526" s="264"/>
      <c r="S526" s="264"/>
      <c r="T526" s="264"/>
      <c r="U526" s="264"/>
    </row>
    <row r="527" spans="1:21" ht="12.75" hidden="1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5"/>
      <c r="M527" s="264"/>
      <c r="N527" s="264"/>
      <c r="O527" s="264"/>
      <c r="P527" s="264"/>
      <c r="Q527" s="264"/>
      <c r="R527" s="264"/>
      <c r="S527" s="264"/>
      <c r="T527" s="264"/>
      <c r="U527" s="264"/>
    </row>
    <row r="528" spans="1:21" ht="12.75" hidden="1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5"/>
      <c r="M528" s="264"/>
      <c r="N528" s="264"/>
      <c r="O528" s="264"/>
      <c r="P528" s="264"/>
      <c r="Q528" s="264"/>
      <c r="R528" s="264"/>
      <c r="S528" s="264"/>
      <c r="T528" s="264"/>
      <c r="U528" s="264"/>
    </row>
    <row r="529" spans="1:21" ht="12.75" hidden="1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5"/>
      <c r="M529" s="264"/>
      <c r="N529" s="264"/>
      <c r="O529" s="264"/>
      <c r="P529" s="264"/>
      <c r="Q529" s="264"/>
      <c r="R529" s="264"/>
      <c r="S529" s="264"/>
      <c r="T529" s="264"/>
      <c r="U529" s="264"/>
    </row>
    <row r="530" spans="1:21" ht="12.75" hidden="1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5"/>
      <c r="M530" s="264"/>
      <c r="N530" s="264"/>
      <c r="O530" s="264"/>
      <c r="P530" s="264"/>
      <c r="Q530" s="264"/>
      <c r="R530" s="264"/>
      <c r="S530" s="264"/>
      <c r="T530" s="264"/>
      <c r="U530" s="264"/>
    </row>
    <row r="531" spans="1:21" ht="12.75" hidden="1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5"/>
      <c r="M531" s="264"/>
      <c r="N531" s="264"/>
      <c r="O531" s="264"/>
      <c r="P531" s="264"/>
      <c r="Q531" s="264"/>
      <c r="R531" s="264"/>
      <c r="S531" s="264"/>
      <c r="T531" s="264"/>
      <c r="U531" s="264"/>
    </row>
    <row r="532" spans="1:21" ht="12.75" hidden="1">
      <c r="A532" s="407"/>
      <c r="B532" s="360"/>
      <c r="C532" s="360"/>
      <c r="D532" s="408"/>
      <c r="E532" s="408"/>
      <c r="F532" s="408"/>
      <c r="G532" s="409"/>
      <c r="H532" s="361"/>
      <c r="I532" s="362"/>
      <c r="J532" s="362"/>
      <c r="K532" s="363"/>
      <c r="L532" s="364"/>
      <c r="M532" s="363"/>
      <c r="N532" s="363"/>
      <c r="O532" s="363"/>
      <c r="P532" s="363"/>
      <c r="Q532" s="363"/>
      <c r="R532" s="363"/>
      <c r="S532" s="363"/>
      <c r="T532" s="363"/>
      <c r="U532" s="363"/>
    </row>
    <row r="533" spans="1:21" ht="19.5" hidden="1">
      <c r="A533" s="395"/>
      <c r="B533" s="396" t="s">
        <v>211</v>
      </c>
      <c r="C533" s="397"/>
      <c r="D533" s="398"/>
      <c r="E533" s="398"/>
      <c r="F533" s="398"/>
      <c r="G533" s="399"/>
      <c r="H533" s="410" t="s">
        <v>61</v>
      </c>
      <c r="I533" s="577">
        <f>I545</f>
        <v>0</v>
      </c>
      <c r="J533" s="577">
        <f>J545</f>
        <v>0</v>
      </c>
      <c r="K533" s="576">
        <f>IF(I533&gt;0,J533*100/I533,0)</f>
        <v>0</v>
      </c>
      <c r="L533" s="404"/>
      <c r="M533" s="403"/>
      <c r="N533" s="403"/>
      <c r="O533" s="403"/>
      <c r="P533" s="403"/>
      <c r="Q533" s="403"/>
      <c r="R533" s="403"/>
      <c r="S533" s="403"/>
      <c r="T533" s="403"/>
      <c r="U533" s="403"/>
    </row>
    <row r="534" spans="1:21" ht="19.5" hidden="1">
      <c r="A534" s="155"/>
      <c r="B534" s="50"/>
      <c r="C534" s="156" t="s">
        <v>18</v>
      </c>
      <c r="D534" s="575" t="s">
        <v>19</v>
      </c>
      <c r="E534" s="50"/>
      <c r="F534" s="50"/>
      <c r="G534" s="52"/>
      <c r="H534" s="158" t="s">
        <v>14</v>
      </c>
      <c r="I534" s="54"/>
      <c r="J534" s="54"/>
      <c r="K534" s="55"/>
      <c r="L534" s="541">
        <f>L535+L536</f>
        <v>0</v>
      </c>
      <c r="M534" s="540">
        <f>M535+M536</f>
        <v>0</v>
      </c>
      <c r="N534" s="540">
        <f>N535+N536</f>
        <v>0</v>
      </c>
      <c r="O534" s="540">
        <f>IF(L534&gt;0,N534*100/L534,0)</f>
        <v>0</v>
      </c>
      <c r="P534" s="540">
        <f>IF(M534&gt;0,N534*100/M534,0)</f>
        <v>0</v>
      </c>
      <c r="Q534" s="540">
        <f>Q535+Q536</f>
        <v>0</v>
      </c>
      <c r="R534" s="540">
        <f>R535+R536</f>
        <v>0</v>
      </c>
      <c r="S534" s="540">
        <f>S535+S536</f>
        <v>0</v>
      </c>
      <c r="T534" s="540">
        <f>IF(Q534&gt;0,S534*100/Q534,0)</f>
        <v>0</v>
      </c>
      <c r="U534" s="540">
        <f>IF(R534&gt;0,S534*100/R534,0)</f>
        <v>0</v>
      </c>
    </row>
    <row r="535" spans="1:21" ht="18.75" hidden="1">
      <c r="A535" s="155"/>
      <c r="B535" s="188"/>
      <c r="C535" s="50"/>
      <c r="D535" s="50"/>
      <c r="E535" s="186" t="s">
        <v>20</v>
      </c>
      <c r="F535" s="50"/>
      <c r="G535" s="52"/>
      <c r="H535" s="187" t="s">
        <v>14</v>
      </c>
      <c r="I535" s="54"/>
      <c r="J535" s="54"/>
      <c r="K535" s="55"/>
      <c r="L535" s="103">
        <f>L538+L541</f>
        <v>0</v>
      </c>
      <c r="M535" s="102">
        <f>M538+M541</f>
        <v>0</v>
      </c>
      <c r="N535" s="102">
        <f>N538+N541</f>
        <v>0</v>
      </c>
      <c r="O535" s="102">
        <f>IF(L535&gt;0,N535*100/L535,0)</f>
        <v>0</v>
      </c>
      <c r="P535" s="102">
        <f>IF(M535&gt;0,N535*100/M535,0)</f>
        <v>0</v>
      </c>
      <c r="Q535" s="102">
        <f>Q538+Q541</f>
        <v>0</v>
      </c>
      <c r="R535" s="102">
        <f>R538+R541</f>
        <v>0</v>
      </c>
      <c r="S535" s="102">
        <f>S538+S541</f>
        <v>0</v>
      </c>
      <c r="T535" s="102">
        <f>IF(Q535&gt;0,S535*100/Q535,0)</f>
        <v>0</v>
      </c>
      <c r="U535" s="102">
        <f>IF(R535&gt;0,S535*100/R535,0)</f>
        <v>0</v>
      </c>
    </row>
    <row r="536" spans="1:21" ht="18.75" hidden="1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256">
        <f>L539+L542</f>
        <v>0</v>
      </c>
      <c r="M536" s="255">
        <f>M539+M542</f>
        <v>0</v>
      </c>
      <c r="N536" s="255">
        <f>N539+N542</f>
        <v>0</v>
      </c>
      <c r="O536" s="255">
        <f>IF(L536&gt;0,N536*100/L536,0)</f>
        <v>0</v>
      </c>
      <c r="P536" s="255">
        <f>IF(M536&gt;0,N536*100/M536,0)</f>
        <v>0</v>
      </c>
      <c r="Q536" s="255">
        <f>Q539+Q542</f>
        <v>0</v>
      </c>
      <c r="R536" s="255">
        <f>R539+R542</f>
        <v>0</v>
      </c>
      <c r="S536" s="255">
        <f>S539+S542</f>
        <v>0</v>
      </c>
      <c r="T536" s="255">
        <f>IF(Q536&gt;0,S536*100/Q536,0)</f>
        <v>0</v>
      </c>
      <c r="U536" s="255">
        <f>IF(R536&gt;0,S536*100/R536,0)</f>
        <v>0</v>
      </c>
    </row>
    <row r="537" spans="1:21" ht="18.75" hidden="1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256">
        <f>L538+L539</f>
        <v>0</v>
      </c>
      <c r="M537" s="255">
        <f>M538+M539</f>
        <v>0</v>
      </c>
      <c r="N537" s="255">
        <f>N538+N539</f>
        <v>0</v>
      </c>
      <c r="O537" s="255">
        <f>IF(L537&gt;0,N537*100/L537,0)</f>
        <v>0</v>
      </c>
      <c r="P537" s="255">
        <f>IF(M537&gt;0,N537*100/M537,0)</f>
        <v>0</v>
      </c>
      <c r="Q537" s="255">
        <f>Q538+Q539</f>
        <v>0</v>
      </c>
      <c r="R537" s="255">
        <f>R538+R539</f>
        <v>0</v>
      </c>
      <c r="S537" s="255">
        <f>S538+S539</f>
        <v>0</v>
      </c>
      <c r="T537" s="255">
        <f>IF(Q537&gt;0,S537*100/Q537,0)</f>
        <v>0</v>
      </c>
      <c r="U537" s="255">
        <f>IF(R537&gt;0,S537*100/R537,0)</f>
        <v>0</v>
      </c>
    </row>
    <row r="538" spans="1:21" ht="18.75" hidden="1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103">
        <v>0</v>
      </c>
      <c r="M538" s="102">
        <v>0</v>
      </c>
      <c r="N538" s="102">
        <v>0</v>
      </c>
      <c r="O538" s="102">
        <f>IF(L538&gt;0,N538*100/L538,0)</f>
        <v>0</v>
      </c>
      <c r="P538" s="102">
        <f>IF(M538&gt;0,N538*100/M538,0)</f>
        <v>0</v>
      </c>
      <c r="Q538" s="102">
        <v>0</v>
      </c>
      <c r="R538" s="102">
        <v>0</v>
      </c>
      <c r="S538" s="102">
        <v>0</v>
      </c>
      <c r="T538" s="102">
        <f>IF(Q538&gt;0,S538*100/Q538,0)</f>
        <v>0</v>
      </c>
      <c r="U538" s="102">
        <f>IF(R538&gt;0,S538*100/R538,0)</f>
        <v>0</v>
      </c>
    </row>
    <row r="539" spans="1:21" ht="18.75" hidden="1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256">
        <v>0</v>
      </c>
      <c r="M539" s="255">
        <v>0</v>
      </c>
      <c r="N539" s="255">
        <v>0</v>
      </c>
      <c r="O539" s="255">
        <f>IF(L539&gt;0,N539*100/L539,0)</f>
        <v>0</v>
      </c>
      <c r="P539" s="255">
        <f>IF(M539&gt;0,N539*100/M539,0)</f>
        <v>0</v>
      </c>
      <c r="Q539" s="255">
        <v>0</v>
      </c>
      <c r="R539" s="255">
        <v>0</v>
      </c>
      <c r="S539" s="255">
        <v>0</v>
      </c>
      <c r="T539" s="255">
        <f>IF(Q539&gt;0,S539*100/Q539,0)</f>
        <v>0</v>
      </c>
      <c r="U539" s="255">
        <f>IF(R539&gt;0,S539*100/R539,0)</f>
        <v>0</v>
      </c>
    </row>
    <row r="540" spans="1:21" ht="18.75" hidden="1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256">
        <f>L541+L542</f>
        <v>0</v>
      </c>
      <c r="M540" s="255">
        <f>M541+M542</f>
        <v>0</v>
      </c>
      <c r="N540" s="255">
        <f>N541+N542</f>
        <v>0</v>
      </c>
      <c r="O540" s="255">
        <f>IF(L540&gt;0,N540*100/L540,0)</f>
        <v>0</v>
      </c>
      <c r="P540" s="255">
        <f>IF(M540&gt;0,N540*100/M540,0)</f>
        <v>0</v>
      </c>
      <c r="Q540" s="255">
        <f>Q541+Q542</f>
        <v>0</v>
      </c>
      <c r="R540" s="255">
        <f>R541+R542</f>
        <v>0</v>
      </c>
      <c r="S540" s="255">
        <f>S541+S542</f>
        <v>0</v>
      </c>
      <c r="T540" s="255">
        <f>IF(Q540&gt;0,S540*100/Q540,0)</f>
        <v>0</v>
      </c>
      <c r="U540" s="255">
        <f>IF(R540&gt;0,S540*100/R540,0)</f>
        <v>0</v>
      </c>
    </row>
    <row r="541" spans="1:21" ht="18.75" hidden="1">
      <c r="A541" s="155"/>
      <c r="B541" s="50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103">
        <v>0</v>
      </c>
      <c r="M541" s="102">
        <v>0</v>
      </c>
      <c r="N541" s="102">
        <v>0</v>
      </c>
      <c r="O541" s="102">
        <f>IF(L541&gt;0,N541*100/L541,0)</f>
        <v>0</v>
      </c>
      <c r="P541" s="102">
        <f>IF(M541&gt;0,N541*100/M541,0)</f>
        <v>0</v>
      </c>
      <c r="Q541" s="102">
        <v>0</v>
      </c>
      <c r="R541" s="102">
        <v>0</v>
      </c>
      <c r="S541" s="102">
        <v>0</v>
      </c>
      <c r="T541" s="102">
        <f>IF(Q541&gt;0,S541*100/Q541,0)</f>
        <v>0</v>
      </c>
      <c r="U541" s="102">
        <f>IF(R541&gt;0,S541*100/R541,0)</f>
        <v>0</v>
      </c>
    </row>
    <row r="542" spans="1:21" ht="18.75" hidden="1">
      <c r="A542" s="155"/>
      <c r="B542" s="50"/>
      <c r="C542" s="50"/>
      <c r="D542" s="50"/>
      <c r="E542" s="58" t="s">
        <v>21</v>
      </c>
      <c r="F542" s="50"/>
      <c r="G542" s="52"/>
      <c r="H542" s="165" t="s">
        <v>14</v>
      </c>
      <c r="I542" s="163"/>
      <c r="J542" s="163"/>
      <c r="K542" s="164"/>
      <c r="L542" s="256">
        <v>0</v>
      </c>
      <c r="M542" s="255">
        <v>0</v>
      </c>
      <c r="N542" s="255">
        <v>0</v>
      </c>
      <c r="O542" s="255">
        <f>IF(L542&gt;0,N542*100/L542,0)</f>
        <v>0</v>
      </c>
      <c r="P542" s="255">
        <f>IF(M542&gt;0,N542*100/M542,0)</f>
        <v>0</v>
      </c>
      <c r="Q542" s="255">
        <v>0</v>
      </c>
      <c r="R542" s="255">
        <v>0</v>
      </c>
      <c r="S542" s="255">
        <v>0</v>
      </c>
      <c r="T542" s="255">
        <f>IF(Q542&gt;0,S542*100/Q542,0)</f>
        <v>0</v>
      </c>
      <c r="U542" s="255">
        <f>IF(R542&gt;0,S542*100/R542,0)</f>
        <v>0</v>
      </c>
    </row>
    <row r="543" spans="1:21" ht="19.5" hidden="1">
      <c r="A543" s="166"/>
      <c r="B543" s="167"/>
      <c r="C543" s="411" t="s">
        <v>18</v>
      </c>
      <c r="D543" s="566" t="s">
        <v>38</v>
      </c>
      <c r="E543" s="169"/>
      <c r="F543" s="169"/>
      <c r="G543" s="170"/>
      <c r="H543" s="171"/>
      <c r="I543" s="163"/>
      <c r="J543" s="54"/>
      <c r="K543" s="55"/>
      <c r="L543" s="62"/>
      <c r="M543" s="55"/>
      <c r="N543" s="55"/>
      <c r="O543" s="164"/>
      <c r="P543" s="164"/>
      <c r="Q543" s="55"/>
      <c r="R543" s="55"/>
      <c r="S543" s="55"/>
      <c r="T543" s="164"/>
      <c r="U543" s="164"/>
    </row>
    <row r="544" spans="1:21" ht="12.75" hidden="1">
      <c r="A544" s="258"/>
      <c r="B544" s="260"/>
      <c r="C544" s="259"/>
      <c r="D544" s="260"/>
      <c r="E544" s="259"/>
      <c r="F544" s="260"/>
      <c r="G544" s="261"/>
      <c r="H544" s="261"/>
      <c r="I544" s="263"/>
      <c r="J544" s="263"/>
      <c r="K544" s="264"/>
      <c r="L544" s="265"/>
      <c r="M544" s="264"/>
      <c r="N544" s="264"/>
      <c r="O544" s="264"/>
      <c r="P544" s="264"/>
      <c r="Q544" s="264"/>
      <c r="R544" s="264"/>
      <c r="S544" s="264"/>
      <c r="T544" s="264"/>
      <c r="U544" s="264"/>
    </row>
    <row r="545" spans="1:21" ht="12.75" hidden="1">
      <c r="A545" s="258"/>
      <c r="B545" s="260"/>
      <c r="C545" s="259"/>
      <c r="D545" s="260"/>
      <c r="E545" s="259"/>
      <c r="F545" s="260"/>
      <c r="G545" s="261"/>
      <c r="H545" s="261"/>
      <c r="I545" s="263"/>
      <c r="J545" s="263"/>
      <c r="K545" s="264"/>
      <c r="L545" s="265"/>
      <c r="M545" s="264"/>
      <c r="N545" s="264"/>
      <c r="O545" s="264"/>
      <c r="P545" s="264"/>
      <c r="Q545" s="264"/>
      <c r="R545" s="264"/>
      <c r="S545" s="264"/>
      <c r="T545" s="264"/>
      <c r="U545" s="264"/>
    </row>
    <row r="546" spans="1:21" ht="12.75" hidden="1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5"/>
      <c r="M546" s="264"/>
      <c r="N546" s="264"/>
      <c r="O546" s="264"/>
      <c r="P546" s="264"/>
      <c r="Q546" s="264"/>
      <c r="R546" s="264"/>
      <c r="S546" s="264"/>
      <c r="T546" s="264"/>
      <c r="U546" s="264"/>
    </row>
    <row r="547" spans="1:21" ht="12.75" hidden="1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5"/>
      <c r="M547" s="264"/>
      <c r="N547" s="264"/>
      <c r="O547" s="264"/>
      <c r="P547" s="264"/>
      <c r="Q547" s="264"/>
      <c r="R547" s="264"/>
      <c r="S547" s="264"/>
      <c r="T547" s="264"/>
      <c r="U547" s="264"/>
    </row>
    <row r="548" spans="1:21" ht="12.75" hidden="1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5"/>
      <c r="M548" s="264"/>
      <c r="N548" s="264"/>
      <c r="O548" s="264"/>
      <c r="P548" s="264"/>
      <c r="Q548" s="264"/>
      <c r="R548" s="264"/>
      <c r="S548" s="264"/>
      <c r="T548" s="264"/>
      <c r="U548" s="264"/>
    </row>
    <row r="549" spans="1:21" ht="12.75" hidden="1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5"/>
      <c r="M549" s="264"/>
      <c r="N549" s="264"/>
      <c r="O549" s="264"/>
      <c r="P549" s="264"/>
      <c r="Q549" s="264"/>
      <c r="R549" s="264"/>
      <c r="S549" s="264"/>
      <c r="T549" s="264"/>
      <c r="U549" s="264"/>
    </row>
    <row r="550" spans="1:21" ht="12.75" hidden="1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5"/>
      <c r="M550" s="264"/>
      <c r="N550" s="264"/>
      <c r="O550" s="264"/>
      <c r="P550" s="264"/>
      <c r="Q550" s="264"/>
      <c r="R550" s="264"/>
      <c r="S550" s="264"/>
      <c r="T550" s="264"/>
      <c r="U550" s="264"/>
    </row>
    <row r="551" spans="1:21" ht="12.75" hidden="1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5"/>
      <c r="M551" s="264"/>
      <c r="N551" s="264"/>
      <c r="O551" s="264"/>
      <c r="P551" s="264"/>
      <c r="Q551" s="264"/>
      <c r="R551" s="264"/>
      <c r="S551" s="264"/>
      <c r="T551" s="264"/>
      <c r="U551" s="264"/>
    </row>
    <row r="552" spans="1:21" ht="12.75" hidden="1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5"/>
      <c r="M552" s="264"/>
      <c r="N552" s="264"/>
      <c r="O552" s="264"/>
      <c r="P552" s="264"/>
      <c r="Q552" s="264"/>
      <c r="R552" s="264"/>
      <c r="S552" s="264"/>
      <c r="T552" s="264"/>
      <c r="U552" s="264"/>
    </row>
    <row r="553" spans="1:21" ht="12.75" hidden="1">
      <c r="A553" s="407"/>
      <c r="B553" s="360"/>
      <c r="C553" s="360"/>
      <c r="D553" s="408"/>
      <c r="E553" s="408"/>
      <c r="F553" s="408"/>
      <c r="G553" s="409"/>
      <c r="H553" s="361"/>
      <c r="I553" s="362"/>
      <c r="J553" s="362"/>
      <c r="K553" s="363"/>
      <c r="L553" s="364"/>
      <c r="M553" s="363"/>
      <c r="N553" s="363"/>
      <c r="O553" s="363"/>
      <c r="P553" s="363"/>
      <c r="Q553" s="363"/>
      <c r="R553" s="363"/>
      <c r="S553" s="363"/>
      <c r="T553" s="363"/>
      <c r="U553" s="363"/>
    </row>
    <row r="554" spans="1:21" ht="19.5" hidden="1">
      <c r="A554" s="395"/>
      <c r="B554" s="396" t="s">
        <v>212</v>
      </c>
      <c r="C554" s="397"/>
      <c r="D554" s="398"/>
      <c r="E554" s="398"/>
      <c r="F554" s="398"/>
      <c r="G554" s="399"/>
      <c r="H554" s="410" t="s">
        <v>61</v>
      </c>
      <c r="I554" s="577">
        <f>I566</f>
        <v>0</v>
      </c>
      <c r="J554" s="577">
        <f>J566</f>
        <v>0</v>
      </c>
      <c r="K554" s="576">
        <f>IF(I554&gt;0,J554*100/I554,0)</f>
        <v>0</v>
      </c>
      <c r="L554" s="404"/>
      <c r="M554" s="403"/>
      <c r="N554" s="403"/>
      <c r="O554" s="403"/>
      <c r="P554" s="403"/>
      <c r="Q554" s="403"/>
      <c r="R554" s="403"/>
      <c r="S554" s="403"/>
      <c r="T554" s="403"/>
      <c r="U554" s="403"/>
    </row>
    <row r="555" spans="1:21" ht="19.5" hidden="1">
      <c r="A555" s="155"/>
      <c r="B555" s="50"/>
      <c r="C555" s="156" t="s">
        <v>18</v>
      </c>
      <c r="D555" s="575" t="s">
        <v>19</v>
      </c>
      <c r="E555" s="50"/>
      <c r="F555" s="50"/>
      <c r="G555" s="52"/>
      <c r="H555" s="158" t="s">
        <v>14</v>
      </c>
      <c r="I555" s="54"/>
      <c r="J555" s="54"/>
      <c r="K555" s="55"/>
      <c r="L555" s="541">
        <f>L556+L557</f>
        <v>0</v>
      </c>
      <c r="M555" s="540">
        <f>M556+M557</f>
        <v>0</v>
      </c>
      <c r="N555" s="540">
        <f>N556+N557</f>
        <v>0</v>
      </c>
      <c r="O555" s="540">
        <f>IF(L555&gt;0,N555*100/L555,0)</f>
        <v>0</v>
      </c>
      <c r="P555" s="540">
        <f>IF(M555&gt;0,N555*100/M555,0)</f>
        <v>0</v>
      </c>
      <c r="Q555" s="540">
        <f>Q556+Q557</f>
        <v>0</v>
      </c>
      <c r="R555" s="540">
        <f>R556+R557</f>
        <v>0</v>
      </c>
      <c r="S555" s="540">
        <f>S556+S557</f>
        <v>0</v>
      </c>
      <c r="T555" s="540">
        <f>IF(Q555&gt;0,S555*100/Q555,0)</f>
        <v>0</v>
      </c>
      <c r="U555" s="540">
        <f>IF(R555&gt;0,S555*100/R555,0)</f>
        <v>0</v>
      </c>
    </row>
    <row r="556" spans="1:21" ht="18.75" hidden="1">
      <c r="A556" s="155"/>
      <c r="B556" s="188"/>
      <c r="C556" s="50"/>
      <c r="D556" s="50"/>
      <c r="E556" s="186" t="s">
        <v>20</v>
      </c>
      <c r="F556" s="50"/>
      <c r="G556" s="52"/>
      <c r="H556" s="187" t="s">
        <v>14</v>
      </c>
      <c r="I556" s="54"/>
      <c r="J556" s="54"/>
      <c r="K556" s="55"/>
      <c r="L556" s="103">
        <f>L559+L562</f>
        <v>0</v>
      </c>
      <c r="M556" s="102">
        <f>M559+M562</f>
        <v>0</v>
      </c>
      <c r="N556" s="102">
        <f>N559+N562</f>
        <v>0</v>
      </c>
      <c r="O556" s="102">
        <f>IF(L556&gt;0,N556*100/L556,0)</f>
        <v>0</v>
      </c>
      <c r="P556" s="102">
        <f>IF(M556&gt;0,N556*100/M556,0)</f>
        <v>0</v>
      </c>
      <c r="Q556" s="102">
        <f>Q559+Q562</f>
        <v>0</v>
      </c>
      <c r="R556" s="102">
        <f>R559+R562</f>
        <v>0</v>
      </c>
      <c r="S556" s="102">
        <f>S559+S562</f>
        <v>0</v>
      </c>
      <c r="T556" s="102">
        <f>IF(Q556&gt;0,S556*100/Q556,0)</f>
        <v>0</v>
      </c>
      <c r="U556" s="102">
        <f>IF(R556&gt;0,S556*100/R556,0)</f>
        <v>0</v>
      </c>
    </row>
    <row r="557" spans="1:21" ht="18.75" hidden="1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256">
        <f>L560+L563</f>
        <v>0</v>
      </c>
      <c r="M557" s="255">
        <f>M560+M563</f>
        <v>0</v>
      </c>
      <c r="N557" s="255">
        <f>N560+N563</f>
        <v>0</v>
      </c>
      <c r="O557" s="255">
        <f>IF(L557&gt;0,N557*100/L557,0)</f>
        <v>0</v>
      </c>
      <c r="P557" s="255">
        <f>IF(M557&gt;0,N557*100/M557,0)</f>
        <v>0</v>
      </c>
      <c r="Q557" s="255">
        <f>Q560+Q563</f>
        <v>0</v>
      </c>
      <c r="R557" s="255">
        <f>R560+R563</f>
        <v>0</v>
      </c>
      <c r="S557" s="255">
        <f>S560+S563</f>
        <v>0</v>
      </c>
      <c r="T557" s="255">
        <f>IF(Q557&gt;0,S557*100/Q557,0)</f>
        <v>0</v>
      </c>
      <c r="U557" s="255">
        <f>IF(R557&gt;0,S557*100/R557,0)</f>
        <v>0</v>
      </c>
    </row>
    <row r="558" spans="1:21" ht="18.75" hidden="1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256">
        <f>L559+L560</f>
        <v>0</v>
      </c>
      <c r="M558" s="255">
        <f>M559+M560</f>
        <v>0</v>
      </c>
      <c r="N558" s="255">
        <f>N559+N560</f>
        <v>0</v>
      </c>
      <c r="O558" s="255">
        <f>IF(L558&gt;0,N558*100/L558,0)</f>
        <v>0</v>
      </c>
      <c r="P558" s="255">
        <f>IF(M558&gt;0,N558*100/M558,0)</f>
        <v>0</v>
      </c>
      <c r="Q558" s="255">
        <f>Q559+Q560</f>
        <v>0</v>
      </c>
      <c r="R558" s="255">
        <f>R559+R560</f>
        <v>0</v>
      </c>
      <c r="S558" s="255">
        <f>S559+S560</f>
        <v>0</v>
      </c>
      <c r="T558" s="255">
        <f>IF(Q558&gt;0,S558*100/Q558,0)</f>
        <v>0</v>
      </c>
      <c r="U558" s="255">
        <f>IF(R558&gt;0,S558*100/R558,0)</f>
        <v>0</v>
      </c>
    </row>
    <row r="559" spans="1:21" ht="18.75" hidden="1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103">
        <v>0</v>
      </c>
      <c r="M559" s="102">
        <v>0</v>
      </c>
      <c r="N559" s="102">
        <v>0</v>
      </c>
      <c r="O559" s="102">
        <f>IF(L559&gt;0,N559*100/L559,0)</f>
        <v>0</v>
      </c>
      <c r="P559" s="102">
        <f>IF(M559&gt;0,N559*100/M559,0)</f>
        <v>0</v>
      </c>
      <c r="Q559" s="102">
        <v>0</v>
      </c>
      <c r="R559" s="102">
        <v>0</v>
      </c>
      <c r="S559" s="102">
        <v>0</v>
      </c>
      <c r="T559" s="102">
        <f>IF(Q559&gt;0,S559*100/Q559,0)</f>
        <v>0</v>
      </c>
      <c r="U559" s="102">
        <f>IF(R559&gt;0,S559*100/R559,0)</f>
        <v>0</v>
      </c>
    </row>
    <row r="560" spans="1:21" ht="18.75" hidden="1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256">
        <v>0</v>
      </c>
      <c r="M560" s="255">
        <v>0</v>
      </c>
      <c r="N560" s="255">
        <v>0</v>
      </c>
      <c r="O560" s="255">
        <f>IF(L560&gt;0,N560*100/L560,0)</f>
        <v>0</v>
      </c>
      <c r="P560" s="255">
        <f>IF(M560&gt;0,N560*100/M560,0)</f>
        <v>0</v>
      </c>
      <c r="Q560" s="255">
        <v>0</v>
      </c>
      <c r="R560" s="255">
        <v>0</v>
      </c>
      <c r="S560" s="255">
        <v>0</v>
      </c>
      <c r="T560" s="255">
        <f>IF(Q560&gt;0,S560*100/Q560,0)</f>
        <v>0</v>
      </c>
      <c r="U560" s="255">
        <f>IF(R560&gt;0,S560*100/R560,0)</f>
        <v>0</v>
      </c>
    </row>
    <row r="561" spans="1:21" ht="18.75" hidden="1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256">
        <f>L562+L563</f>
        <v>0</v>
      </c>
      <c r="M561" s="255">
        <f>M562+M563</f>
        <v>0</v>
      </c>
      <c r="N561" s="255">
        <f>N562+N563</f>
        <v>0</v>
      </c>
      <c r="O561" s="255">
        <f>IF(L561&gt;0,N561*100/L561,0)</f>
        <v>0</v>
      </c>
      <c r="P561" s="255">
        <f>IF(M561&gt;0,N561*100/M561,0)</f>
        <v>0</v>
      </c>
      <c r="Q561" s="255">
        <f>Q562+Q563</f>
        <v>0</v>
      </c>
      <c r="R561" s="255">
        <f>R562+R563</f>
        <v>0</v>
      </c>
      <c r="S561" s="255">
        <f>S562+S563</f>
        <v>0</v>
      </c>
      <c r="T561" s="255">
        <f>IF(Q561&gt;0,S561*100/Q561,0)</f>
        <v>0</v>
      </c>
      <c r="U561" s="255">
        <f>IF(R561&gt;0,S561*100/R561,0)</f>
        <v>0</v>
      </c>
    </row>
    <row r="562" spans="1:21" ht="18.75" hidden="1">
      <c r="A562" s="155"/>
      <c r="B562" s="50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103">
        <v>0</v>
      </c>
      <c r="M562" s="102">
        <v>0</v>
      </c>
      <c r="N562" s="102">
        <v>0</v>
      </c>
      <c r="O562" s="102">
        <f>IF(L562&gt;0,N562*100/L562,0)</f>
        <v>0</v>
      </c>
      <c r="P562" s="102">
        <f>IF(M562&gt;0,N562*100/M562,0)</f>
        <v>0</v>
      </c>
      <c r="Q562" s="102">
        <v>0</v>
      </c>
      <c r="R562" s="102">
        <v>0</v>
      </c>
      <c r="S562" s="102">
        <v>0</v>
      </c>
      <c r="T562" s="102">
        <f>IF(Q562&gt;0,S562*100/Q562,0)</f>
        <v>0</v>
      </c>
      <c r="U562" s="102">
        <f>IF(R562&gt;0,S562*100/R562,0)</f>
        <v>0</v>
      </c>
    </row>
    <row r="563" spans="1:21" ht="18.75" hidden="1">
      <c r="A563" s="155"/>
      <c r="B563" s="50"/>
      <c r="C563" s="50"/>
      <c r="D563" s="50"/>
      <c r="E563" s="58" t="s">
        <v>21</v>
      </c>
      <c r="F563" s="50"/>
      <c r="G563" s="52"/>
      <c r="H563" s="165" t="s">
        <v>14</v>
      </c>
      <c r="I563" s="163"/>
      <c r="J563" s="163"/>
      <c r="K563" s="164"/>
      <c r="L563" s="256">
        <v>0</v>
      </c>
      <c r="M563" s="255">
        <v>0</v>
      </c>
      <c r="N563" s="255">
        <v>0</v>
      </c>
      <c r="O563" s="255">
        <f>IF(L563&gt;0,N563*100/L563,0)</f>
        <v>0</v>
      </c>
      <c r="P563" s="255">
        <f>IF(M563&gt;0,N563*100/M563,0)</f>
        <v>0</v>
      </c>
      <c r="Q563" s="255">
        <v>0</v>
      </c>
      <c r="R563" s="255">
        <v>0</v>
      </c>
      <c r="S563" s="255">
        <v>0</v>
      </c>
      <c r="T563" s="255">
        <f>IF(Q563&gt;0,S563*100/Q563,0)</f>
        <v>0</v>
      </c>
      <c r="U563" s="255">
        <f>IF(R563&gt;0,S563*100/R563,0)</f>
        <v>0</v>
      </c>
    </row>
    <row r="564" spans="1:21" ht="19.5" hidden="1">
      <c r="A564" s="166"/>
      <c r="B564" s="167"/>
      <c r="C564" s="411" t="s">
        <v>18</v>
      </c>
      <c r="D564" s="566" t="s">
        <v>38</v>
      </c>
      <c r="E564" s="169"/>
      <c r="F564" s="169"/>
      <c r="G564" s="170"/>
      <c r="H564" s="171"/>
      <c r="I564" s="163"/>
      <c r="J564" s="54"/>
      <c r="K564" s="55"/>
      <c r="L564" s="62"/>
      <c r="M564" s="55"/>
      <c r="N564" s="55"/>
      <c r="O564" s="164"/>
      <c r="P564" s="164"/>
      <c r="Q564" s="55"/>
      <c r="R564" s="55"/>
      <c r="S564" s="55"/>
      <c r="T564" s="164"/>
      <c r="U564" s="164"/>
    </row>
    <row r="565" spans="1:21" ht="12.75" hidden="1">
      <c r="A565" s="258"/>
      <c r="B565" s="260"/>
      <c r="C565" s="259"/>
      <c r="D565" s="260"/>
      <c r="E565" s="259"/>
      <c r="F565" s="260"/>
      <c r="G565" s="261"/>
      <c r="H565" s="261"/>
      <c r="I565" s="263"/>
      <c r="J565" s="263"/>
      <c r="K565" s="264"/>
      <c r="L565" s="265"/>
      <c r="M565" s="264"/>
      <c r="N565" s="264"/>
      <c r="O565" s="264"/>
      <c r="P565" s="264"/>
      <c r="Q565" s="264"/>
      <c r="R565" s="264"/>
      <c r="S565" s="264"/>
      <c r="T565" s="264"/>
      <c r="U565" s="264"/>
    </row>
    <row r="566" spans="1:21" ht="12.75" hidden="1">
      <c r="A566" s="258"/>
      <c r="B566" s="260"/>
      <c r="C566" s="259"/>
      <c r="D566" s="260"/>
      <c r="E566" s="259"/>
      <c r="F566" s="260"/>
      <c r="G566" s="261"/>
      <c r="H566" s="261"/>
      <c r="I566" s="263"/>
      <c r="J566" s="263"/>
      <c r="K566" s="264"/>
      <c r="L566" s="265"/>
      <c r="M566" s="264"/>
      <c r="N566" s="264"/>
      <c r="O566" s="264"/>
      <c r="P566" s="264"/>
      <c r="Q566" s="264"/>
      <c r="R566" s="264"/>
      <c r="S566" s="264"/>
      <c r="T566" s="264"/>
      <c r="U566" s="264"/>
    </row>
    <row r="567" spans="1:21" ht="12.75" hidden="1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5"/>
      <c r="M567" s="264"/>
      <c r="N567" s="264"/>
      <c r="O567" s="264"/>
      <c r="P567" s="264"/>
      <c r="Q567" s="264"/>
      <c r="R567" s="264"/>
      <c r="S567" s="264"/>
      <c r="T567" s="264"/>
      <c r="U567" s="264"/>
    </row>
    <row r="568" spans="1:21" ht="12.75" hidden="1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5"/>
      <c r="M568" s="264"/>
      <c r="N568" s="264"/>
      <c r="O568" s="264"/>
      <c r="P568" s="264"/>
      <c r="Q568" s="264"/>
      <c r="R568" s="264"/>
      <c r="S568" s="264"/>
      <c r="T568" s="264"/>
      <c r="U568" s="264"/>
    </row>
    <row r="569" spans="1:21" ht="12.75" hidden="1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5"/>
      <c r="M569" s="264"/>
      <c r="N569" s="264"/>
      <c r="O569" s="264"/>
      <c r="P569" s="264"/>
      <c r="Q569" s="264"/>
      <c r="R569" s="264"/>
      <c r="S569" s="264"/>
      <c r="T569" s="264"/>
      <c r="U569" s="264"/>
    </row>
    <row r="570" spans="1:21" ht="12.75" hidden="1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5"/>
      <c r="M570" s="264"/>
      <c r="N570" s="264"/>
      <c r="O570" s="264"/>
      <c r="P570" s="264"/>
      <c r="Q570" s="264"/>
      <c r="R570" s="264"/>
      <c r="S570" s="264"/>
      <c r="T570" s="264"/>
      <c r="U570" s="264"/>
    </row>
    <row r="571" spans="1:21" ht="12.75" hidden="1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5"/>
      <c r="M571" s="264"/>
      <c r="N571" s="264"/>
      <c r="O571" s="264"/>
      <c r="P571" s="264"/>
      <c r="Q571" s="264"/>
      <c r="R571" s="264"/>
      <c r="S571" s="264"/>
      <c r="T571" s="264"/>
      <c r="U571" s="264"/>
    </row>
    <row r="572" spans="1:21" ht="12.75" hidden="1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5"/>
      <c r="M572" s="264"/>
      <c r="N572" s="264"/>
      <c r="O572" s="264"/>
      <c r="P572" s="264"/>
      <c r="Q572" s="264"/>
      <c r="R572" s="264"/>
      <c r="S572" s="264"/>
      <c r="T572" s="264"/>
      <c r="U572" s="264"/>
    </row>
    <row r="573" spans="1:21" ht="12.75" hidden="1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5"/>
      <c r="M573" s="264"/>
      <c r="N573" s="264"/>
      <c r="O573" s="264"/>
      <c r="P573" s="264"/>
      <c r="Q573" s="264"/>
      <c r="R573" s="264"/>
      <c r="S573" s="264"/>
      <c r="T573" s="264"/>
      <c r="U573" s="264"/>
    </row>
    <row r="574" spans="1:21" ht="12.75" hidden="1">
      <c r="A574" s="407"/>
      <c r="B574" s="360"/>
      <c r="C574" s="360"/>
      <c r="D574" s="408"/>
      <c r="E574" s="408"/>
      <c r="F574" s="408"/>
      <c r="G574" s="409"/>
      <c r="H574" s="361"/>
      <c r="I574" s="362"/>
      <c r="J574" s="362"/>
      <c r="K574" s="363"/>
      <c r="L574" s="364"/>
      <c r="M574" s="363"/>
      <c r="N574" s="363"/>
      <c r="O574" s="363"/>
      <c r="P574" s="363"/>
      <c r="Q574" s="363"/>
      <c r="R574" s="363"/>
      <c r="S574" s="363"/>
      <c r="T574" s="363"/>
      <c r="U574" s="363"/>
    </row>
    <row r="575" spans="1:21" ht="19.5" hidden="1">
      <c r="A575" s="395"/>
      <c r="B575" s="396" t="s">
        <v>213</v>
      </c>
      <c r="C575" s="397"/>
      <c r="D575" s="398"/>
      <c r="E575" s="398"/>
      <c r="F575" s="398"/>
      <c r="G575" s="399"/>
      <c r="H575" s="410" t="s">
        <v>61</v>
      </c>
      <c r="I575" s="577">
        <f>I587</f>
        <v>0</v>
      </c>
      <c r="J575" s="577">
        <f>J587</f>
        <v>0</v>
      </c>
      <c r="K575" s="576">
        <f>IF(I575&gt;0,J575*100/I575,0)</f>
        <v>0</v>
      </c>
      <c r="L575" s="404"/>
      <c r="M575" s="403"/>
      <c r="N575" s="403"/>
      <c r="O575" s="403"/>
      <c r="P575" s="403"/>
      <c r="Q575" s="403"/>
      <c r="R575" s="403"/>
      <c r="S575" s="403"/>
      <c r="T575" s="403"/>
      <c r="U575" s="403"/>
    </row>
    <row r="576" spans="1:21" ht="19.5" hidden="1">
      <c r="A576" s="155"/>
      <c r="B576" s="50"/>
      <c r="C576" s="156" t="s">
        <v>18</v>
      </c>
      <c r="D576" s="575" t="s">
        <v>19</v>
      </c>
      <c r="E576" s="50"/>
      <c r="F576" s="50"/>
      <c r="G576" s="52"/>
      <c r="H576" s="158" t="s">
        <v>14</v>
      </c>
      <c r="I576" s="54"/>
      <c r="J576" s="54"/>
      <c r="K576" s="55"/>
      <c r="L576" s="541">
        <f>L577+L578</f>
        <v>0</v>
      </c>
      <c r="M576" s="540">
        <f>M577+M578</f>
        <v>0</v>
      </c>
      <c r="N576" s="540">
        <f>N577+N578</f>
        <v>0</v>
      </c>
      <c r="O576" s="540">
        <f>IF(L576&gt;0,N576*100/L576,0)</f>
        <v>0</v>
      </c>
      <c r="P576" s="540">
        <f>IF(M576&gt;0,N576*100/M576,0)</f>
        <v>0</v>
      </c>
      <c r="Q576" s="540">
        <f>Q577+Q578</f>
        <v>0</v>
      </c>
      <c r="R576" s="540">
        <f>R577+R578</f>
        <v>0</v>
      </c>
      <c r="S576" s="540">
        <f>S577+S578</f>
        <v>0</v>
      </c>
      <c r="T576" s="540">
        <f>IF(Q576&gt;0,S576*100/Q576,0)</f>
        <v>0</v>
      </c>
      <c r="U576" s="540">
        <f>IF(R576&gt;0,S576*100/R576,0)</f>
        <v>0</v>
      </c>
    </row>
    <row r="577" spans="1:21" ht="18.75" hidden="1">
      <c r="A577" s="155"/>
      <c r="B577" s="188"/>
      <c r="C577" s="50"/>
      <c r="D577" s="50"/>
      <c r="E577" s="186" t="s">
        <v>20</v>
      </c>
      <c r="F577" s="50"/>
      <c r="G577" s="52"/>
      <c r="H577" s="187" t="s">
        <v>14</v>
      </c>
      <c r="I577" s="54"/>
      <c r="J577" s="54"/>
      <c r="K577" s="55"/>
      <c r="L577" s="103">
        <f>L580+L583</f>
        <v>0</v>
      </c>
      <c r="M577" s="102">
        <f>M580+M583</f>
        <v>0</v>
      </c>
      <c r="N577" s="102">
        <f>N580+N583</f>
        <v>0</v>
      </c>
      <c r="O577" s="102">
        <f>IF(L577&gt;0,N577*100/L577,0)</f>
        <v>0</v>
      </c>
      <c r="P577" s="102">
        <f>IF(M577&gt;0,N577*100/M577,0)</f>
        <v>0</v>
      </c>
      <c r="Q577" s="102">
        <f>Q580+Q583</f>
        <v>0</v>
      </c>
      <c r="R577" s="102">
        <f>R580+R583</f>
        <v>0</v>
      </c>
      <c r="S577" s="102">
        <f>S580+S583</f>
        <v>0</v>
      </c>
      <c r="T577" s="102">
        <f>IF(Q577&gt;0,S577*100/Q577,0)</f>
        <v>0</v>
      </c>
      <c r="U577" s="102">
        <f>IF(R577&gt;0,S577*100/R577,0)</f>
        <v>0</v>
      </c>
    </row>
    <row r="578" spans="1:21" ht="18.75" hidden="1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256">
        <f>L581+L584</f>
        <v>0</v>
      </c>
      <c r="M578" s="255">
        <f>M581+M584</f>
        <v>0</v>
      </c>
      <c r="N578" s="255">
        <f>N581+N584</f>
        <v>0</v>
      </c>
      <c r="O578" s="255">
        <f>IF(L578&gt;0,N578*100/L578,0)</f>
        <v>0</v>
      </c>
      <c r="P578" s="255">
        <f>IF(M578&gt;0,N578*100/M578,0)</f>
        <v>0</v>
      </c>
      <c r="Q578" s="255">
        <f>Q581+Q584</f>
        <v>0</v>
      </c>
      <c r="R578" s="255">
        <f>R581+R584</f>
        <v>0</v>
      </c>
      <c r="S578" s="255">
        <f>S581+S584</f>
        <v>0</v>
      </c>
      <c r="T578" s="255">
        <f>IF(Q578&gt;0,S578*100/Q578,0)</f>
        <v>0</v>
      </c>
      <c r="U578" s="255">
        <f>IF(R578&gt;0,S578*100/R578,0)</f>
        <v>0</v>
      </c>
    </row>
    <row r="579" spans="1:21" ht="18.75" hidden="1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256">
        <f>L580+L581</f>
        <v>0</v>
      </c>
      <c r="M579" s="255">
        <f>M580+M581</f>
        <v>0</v>
      </c>
      <c r="N579" s="255">
        <f>N580+N581</f>
        <v>0</v>
      </c>
      <c r="O579" s="255">
        <f>IF(L579&gt;0,N579*100/L579,0)</f>
        <v>0</v>
      </c>
      <c r="P579" s="255">
        <f>IF(M579&gt;0,N579*100/M579,0)</f>
        <v>0</v>
      </c>
      <c r="Q579" s="255">
        <f>Q580+Q581</f>
        <v>0</v>
      </c>
      <c r="R579" s="255">
        <f>R580+R581</f>
        <v>0</v>
      </c>
      <c r="S579" s="255">
        <f>S580+S581</f>
        <v>0</v>
      </c>
      <c r="T579" s="255">
        <f>IF(Q579&gt;0,S579*100/Q579,0)</f>
        <v>0</v>
      </c>
      <c r="U579" s="255">
        <f>IF(R579&gt;0,S579*100/R579,0)</f>
        <v>0</v>
      </c>
    </row>
    <row r="580" spans="1:21" ht="18.75" hidden="1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103">
        <v>0</v>
      </c>
      <c r="M580" s="102">
        <v>0</v>
      </c>
      <c r="N580" s="102">
        <v>0</v>
      </c>
      <c r="O580" s="102">
        <f>IF(L580&gt;0,N580*100/L580,0)</f>
        <v>0</v>
      </c>
      <c r="P580" s="102">
        <f>IF(M580&gt;0,N580*100/M580,0)</f>
        <v>0</v>
      </c>
      <c r="Q580" s="102">
        <v>0</v>
      </c>
      <c r="R580" s="102">
        <v>0</v>
      </c>
      <c r="S580" s="102">
        <v>0</v>
      </c>
      <c r="T580" s="102">
        <f>IF(Q580&gt;0,S580*100/Q580,0)</f>
        <v>0</v>
      </c>
      <c r="U580" s="102">
        <f>IF(R580&gt;0,S580*100/R580,0)</f>
        <v>0</v>
      </c>
    </row>
    <row r="581" spans="1:21" ht="18.75" hidden="1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256">
        <v>0</v>
      </c>
      <c r="M581" s="255">
        <v>0</v>
      </c>
      <c r="N581" s="255">
        <v>0</v>
      </c>
      <c r="O581" s="255">
        <f>IF(L581&gt;0,N581*100/L581,0)</f>
        <v>0</v>
      </c>
      <c r="P581" s="255">
        <f>IF(M581&gt;0,N581*100/M581,0)</f>
        <v>0</v>
      </c>
      <c r="Q581" s="255">
        <v>0</v>
      </c>
      <c r="R581" s="255">
        <v>0</v>
      </c>
      <c r="S581" s="255">
        <v>0</v>
      </c>
      <c r="T581" s="255">
        <f>IF(Q581&gt;0,S581*100/Q581,0)</f>
        <v>0</v>
      </c>
      <c r="U581" s="255">
        <f>IF(R581&gt;0,S581*100/R581,0)</f>
        <v>0</v>
      </c>
    </row>
    <row r="582" spans="1:21" ht="18.75" hidden="1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256">
        <f>L583+L584</f>
        <v>0</v>
      </c>
      <c r="M582" s="255">
        <f>M583+M584</f>
        <v>0</v>
      </c>
      <c r="N582" s="255">
        <f>N583+N584</f>
        <v>0</v>
      </c>
      <c r="O582" s="255">
        <f>IF(L582&gt;0,N582*100/L582,0)</f>
        <v>0</v>
      </c>
      <c r="P582" s="255">
        <f>IF(M582&gt;0,N582*100/M582,0)</f>
        <v>0</v>
      </c>
      <c r="Q582" s="255">
        <f>Q583+Q584</f>
        <v>0</v>
      </c>
      <c r="R582" s="255">
        <f>R583+R584</f>
        <v>0</v>
      </c>
      <c r="S582" s="255">
        <f>S583+S584</f>
        <v>0</v>
      </c>
      <c r="T582" s="255">
        <f>IF(Q582&gt;0,S582*100/Q582,0)</f>
        <v>0</v>
      </c>
      <c r="U582" s="255">
        <f>IF(R582&gt;0,S582*100/R582,0)</f>
        <v>0</v>
      </c>
    </row>
    <row r="583" spans="1:21" ht="18.75" hidden="1">
      <c r="A583" s="155"/>
      <c r="B583" s="50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103">
        <v>0</v>
      </c>
      <c r="M583" s="102">
        <v>0</v>
      </c>
      <c r="N583" s="102">
        <v>0</v>
      </c>
      <c r="O583" s="102">
        <f>IF(L583&gt;0,N583*100/L583,0)</f>
        <v>0</v>
      </c>
      <c r="P583" s="102">
        <f>IF(M583&gt;0,N583*100/M583,0)</f>
        <v>0</v>
      </c>
      <c r="Q583" s="102">
        <v>0</v>
      </c>
      <c r="R583" s="102">
        <v>0</v>
      </c>
      <c r="S583" s="102">
        <v>0</v>
      </c>
      <c r="T583" s="102">
        <f>IF(Q583&gt;0,S583*100/Q583,0)</f>
        <v>0</v>
      </c>
      <c r="U583" s="102">
        <f>IF(R583&gt;0,S583*100/R583,0)</f>
        <v>0</v>
      </c>
    </row>
    <row r="584" spans="1:21" ht="18.75" hidden="1">
      <c r="A584" s="155"/>
      <c r="B584" s="50"/>
      <c r="C584" s="50"/>
      <c r="D584" s="50"/>
      <c r="E584" s="58" t="s">
        <v>21</v>
      </c>
      <c r="F584" s="50"/>
      <c r="G584" s="52"/>
      <c r="H584" s="165" t="s">
        <v>14</v>
      </c>
      <c r="I584" s="163"/>
      <c r="J584" s="163"/>
      <c r="K584" s="164"/>
      <c r="L584" s="256">
        <v>0</v>
      </c>
      <c r="M584" s="255">
        <v>0</v>
      </c>
      <c r="N584" s="255">
        <v>0</v>
      </c>
      <c r="O584" s="255">
        <f>IF(L584&gt;0,N584*100/L584,0)</f>
        <v>0</v>
      </c>
      <c r="P584" s="255">
        <f>IF(M584&gt;0,N584*100/M584,0)</f>
        <v>0</v>
      </c>
      <c r="Q584" s="255">
        <v>0</v>
      </c>
      <c r="R584" s="255">
        <v>0</v>
      </c>
      <c r="S584" s="255">
        <v>0</v>
      </c>
      <c r="T584" s="255">
        <f>IF(Q584&gt;0,S584*100/Q584,0)</f>
        <v>0</v>
      </c>
      <c r="U584" s="255">
        <f>IF(R584&gt;0,S584*100/R584,0)</f>
        <v>0</v>
      </c>
    </row>
    <row r="585" spans="1:21" ht="19.5" hidden="1">
      <c r="A585" s="166"/>
      <c r="B585" s="167"/>
      <c r="C585" s="411" t="s">
        <v>18</v>
      </c>
      <c r="D585" s="566" t="s">
        <v>38</v>
      </c>
      <c r="E585" s="169"/>
      <c r="F585" s="169"/>
      <c r="G585" s="170"/>
      <c r="H585" s="171"/>
      <c r="I585" s="163"/>
      <c r="J585" s="54"/>
      <c r="K585" s="55"/>
      <c r="L585" s="62"/>
      <c r="M585" s="55"/>
      <c r="N585" s="55"/>
      <c r="O585" s="164"/>
      <c r="P585" s="164"/>
      <c r="Q585" s="55"/>
      <c r="R585" s="55"/>
      <c r="S585" s="55"/>
      <c r="T585" s="164"/>
      <c r="U585" s="164"/>
    </row>
    <row r="586" spans="1:21" ht="12.75" hidden="1">
      <c r="A586" s="258"/>
      <c r="B586" s="260"/>
      <c r="C586" s="259"/>
      <c r="D586" s="260"/>
      <c r="E586" s="259"/>
      <c r="F586" s="260"/>
      <c r="G586" s="261"/>
      <c r="H586" s="261"/>
      <c r="I586" s="263"/>
      <c r="J586" s="263"/>
      <c r="K586" s="264"/>
      <c r="L586" s="265"/>
      <c r="M586" s="264"/>
      <c r="N586" s="264"/>
      <c r="O586" s="264"/>
      <c r="P586" s="264"/>
      <c r="Q586" s="264"/>
      <c r="R586" s="264"/>
      <c r="S586" s="264"/>
      <c r="T586" s="264"/>
      <c r="U586" s="264"/>
    </row>
    <row r="587" spans="1:21" ht="12.75" hidden="1">
      <c r="A587" s="258"/>
      <c r="B587" s="260"/>
      <c r="C587" s="259"/>
      <c r="D587" s="260"/>
      <c r="E587" s="259"/>
      <c r="F587" s="260"/>
      <c r="G587" s="261"/>
      <c r="H587" s="261"/>
      <c r="I587" s="263"/>
      <c r="J587" s="263"/>
      <c r="K587" s="264"/>
      <c r="L587" s="265"/>
      <c r="M587" s="264"/>
      <c r="N587" s="264"/>
      <c r="O587" s="264"/>
      <c r="P587" s="264"/>
      <c r="Q587" s="264"/>
      <c r="R587" s="264"/>
      <c r="S587" s="264"/>
      <c r="T587" s="264"/>
      <c r="U587" s="264"/>
    </row>
    <row r="588" spans="1:21" ht="12.75" hidden="1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5"/>
      <c r="M588" s="264"/>
      <c r="N588" s="264"/>
      <c r="O588" s="264"/>
      <c r="P588" s="264"/>
      <c r="Q588" s="264"/>
      <c r="R588" s="264"/>
      <c r="S588" s="264"/>
      <c r="T588" s="264"/>
      <c r="U588" s="264"/>
    </row>
    <row r="589" spans="1:21" ht="12.75" hidden="1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5"/>
      <c r="M589" s="264"/>
      <c r="N589" s="264"/>
      <c r="O589" s="264"/>
      <c r="P589" s="264"/>
      <c r="Q589" s="264"/>
      <c r="R589" s="264"/>
      <c r="S589" s="264"/>
      <c r="T589" s="264"/>
      <c r="U589" s="264"/>
    </row>
    <row r="590" spans="1:21" ht="12.75" hidden="1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5"/>
      <c r="M590" s="264"/>
      <c r="N590" s="264"/>
      <c r="O590" s="264"/>
      <c r="P590" s="264"/>
      <c r="Q590" s="264"/>
      <c r="R590" s="264"/>
      <c r="S590" s="264"/>
      <c r="T590" s="264"/>
      <c r="U590" s="264"/>
    </row>
    <row r="591" spans="1:21" ht="12.75" hidden="1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5"/>
      <c r="M591" s="264"/>
      <c r="N591" s="264"/>
      <c r="O591" s="264"/>
      <c r="P591" s="264"/>
      <c r="Q591" s="264"/>
      <c r="R591" s="264"/>
      <c r="S591" s="264"/>
      <c r="T591" s="264"/>
      <c r="U591" s="264"/>
    </row>
    <row r="592" spans="1:21" ht="12.75" hidden="1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5"/>
      <c r="M592" s="264"/>
      <c r="N592" s="264"/>
      <c r="O592" s="264"/>
      <c r="P592" s="264"/>
      <c r="Q592" s="264"/>
      <c r="R592" s="264"/>
      <c r="S592" s="264"/>
      <c r="T592" s="264"/>
      <c r="U592" s="264"/>
    </row>
    <row r="593" spans="1:21" ht="12.75" hidden="1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5"/>
      <c r="M593" s="264"/>
      <c r="N593" s="264"/>
      <c r="O593" s="264"/>
      <c r="P593" s="264"/>
      <c r="Q593" s="264"/>
      <c r="R593" s="264"/>
      <c r="S593" s="264"/>
      <c r="T593" s="264"/>
      <c r="U593" s="264"/>
    </row>
    <row r="594" spans="1:21" ht="12.75" hidden="1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5"/>
      <c r="M594" s="264"/>
      <c r="N594" s="264"/>
      <c r="O594" s="264"/>
      <c r="P594" s="264"/>
      <c r="Q594" s="264"/>
      <c r="R594" s="264"/>
      <c r="S594" s="264"/>
      <c r="T594" s="264"/>
      <c r="U594" s="264"/>
    </row>
    <row r="595" spans="1:21" ht="12.75" hidden="1">
      <c r="A595" s="407"/>
      <c r="B595" s="360"/>
      <c r="C595" s="360"/>
      <c r="D595" s="408"/>
      <c r="E595" s="408"/>
      <c r="F595" s="408"/>
      <c r="G595" s="409"/>
      <c r="H595" s="361"/>
      <c r="I595" s="362"/>
      <c r="J595" s="362"/>
      <c r="K595" s="363"/>
      <c r="L595" s="364"/>
      <c r="M595" s="363"/>
      <c r="N595" s="363"/>
      <c r="O595" s="363"/>
      <c r="P595" s="363"/>
      <c r="Q595" s="363"/>
      <c r="R595" s="363"/>
      <c r="S595" s="363"/>
      <c r="T595" s="363"/>
      <c r="U595" s="363"/>
    </row>
    <row r="596" spans="1:21" ht="19.5" hidden="1">
      <c r="A596" s="412" t="s">
        <v>214</v>
      </c>
      <c r="B596" s="144"/>
      <c r="C596" s="196"/>
      <c r="D596" s="144"/>
      <c r="E596" s="144"/>
      <c r="F596" s="144"/>
      <c r="G596" s="144"/>
      <c r="H596" s="145"/>
      <c r="I596" s="197"/>
      <c r="J596" s="197"/>
      <c r="K596" s="19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8"/>
    </row>
    <row r="597" spans="1:21" ht="19.5" hidden="1">
      <c r="A597" s="150"/>
      <c r="B597" s="413" t="s">
        <v>215</v>
      </c>
      <c r="C597" s="200"/>
      <c r="D597" s="151"/>
      <c r="E597" s="34"/>
      <c r="F597" s="34"/>
      <c r="G597" s="34"/>
      <c r="H597" s="414" t="s">
        <v>99</v>
      </c>
      <c r="I597" s="210"/>
      <c r="J597" s="39"/>
      <c r="K597" s="40"/>
      <c r="L597" s="154"/>
      <c r="M597" s="40"/>
      <c r="N597" s="40"/>
      <c r="O597" s="40"/>
      <c r="P597" s="40"/>
      <c r="Q597" s="40"/>
      <c r="R597" s="40"/>
      <c r="S597" s="40"/>
      <c r="T597" s="40"/>
      <c r="U597" s="40"/>
    </row>
    <row r="598" spans="1:21" ht="19.5" hidden="1">
      <c r="A598" s="415"/>
      <c r="B598" s="416" t="s">
        <v>216</v>
      </c>
      <c r="C598" s="151"/>
      <c r="D598" s="34"/>
      <c r="E598" s="34"/>
      <c r="F598" s="34"/>
      <c r="G598" s="37"/>
      <c r="H598" s="417" t="s">
        <v>35</v>
      </c>
      <c r="I598" s="39"/>
      <c r="J598" s="39"/>
      <c r="K598" s="40"/>
      <c r="L598" s="154"/>
      <c r="M598" s="40"/>
      <c r="N598" s="40"/>
      <c r="O598" s="40"/>
      <c r="P598" s="40"/>
      <c r="Q598" s="40"/>
      <c r="R598" s="40"/>
      <c r="S598" s="40"/>
      <c r="T598" s="40"/>
      <c r="U598" s="40"/>
    </row>
    <row r="599" spans="1:21" ht="19.5" hidden="1">
      <c r="A599" s="155"/>
      <c r="B599" s="188"/>
      <c r="C599" s="205" t="s">
        <v>18</v>
      </c>
      <c r="D599" s="563" t="s">
        <v>19</v>
      </c>
      <c r="E599" s="529"/>
      <c r="F599" s="529"/>
      <c r="G599" s="530"/>
      <c r="H599" s="418" t="s">
        <v>14</v>
      </c>
      <c r="I599" s="54"/>
      <c r="J599" s="54"/>
      <c r="K599" s="55"/>
      <c r="L599" s="541">
        <f>L600+L601</f>
        <v>0</v>
      </c>
      <c r="M599" s="540">
        <f>M600+M601</f>
        <v>0</v>
      </c>
      <c r="N599" s="540">
        <f>N600+N601</f>
        <v>0</v>
      </c>
      <c r="O599" s="540">
        <f>IF(L599&gt;0,N599*100/L599,0)</f>
        <v>0</v>
      </c>
      <c r="P599" s="540">
        <f>IF(M599&gt;0,N599*100/M599,0)</f>
        <v>0</v>
      </c>
      <c r="Q599" s="540">
        <f>Q600+Q601</f>
        <v>0</v>
      </c>
      <c r="R599" s="540">
        <f>R600+R601</f>
        <v>0</v>
      </c>
      <c r="S599" s="540">
        <f>S600+S601</f>
        <v>0</v>
      </c>
      <c r="T599" s="540">
        <f>IF(Q599&gt;0,S599*100/Q599,0)</f>
        <v>0</v>
      </c>
      <c r="U599" s="540">
        <f>IF(R599&gt;0,S599*100/R599,0)</f>
        <v>0</v>
      </c>
    </row>
    <row r="600" spans="1:21" ht="18.75" hidden="1">
      <c r="A600" s="155"/>
      <c r="B600" s="188"/>
      <c r="C600" s="188"/>
      <c r="D600" s="174"/>
      <c r="E600" s="186" t="s">
        <v>159</v>
      </c>
      <c r="F600" s="50"/>
      <c r="G600" s="52"/>
      <c r="H600" s="189" t="s">
        <v>14</v>
      </c>
      <c r="I600" s="54"/>
      <c r="J600" s="54"/>
      <c r="K600" s="55"/>
      <c r="L600" s="103">
        <f>L603+L606</f>
        <v>0</v>
      </c>
      <c r="M600" s="102">
        <f>M603+M606</f>
        <v>0</v>
      </c>
      <c r="N600" s="102">
        <f>N603+N606</f>
        <v>0</v>
      </c>
      <c r="O600" s="102">
        <f>IF(L600&gt;0,N600*100/L600,0)</f>
        <v>0</v>
      </c>
      <c r="P600" s="102">
        <f>IF(M600&gt;0,N600*100/M600,0)</f>
        <v>0</v>
      </c>
      <c r="Q600" s="102">
        <f>Q603+Q606</f>
        <v>0</v>
      </c>
      <c r="R600" s="102">
        <f>R603+R606</f>
        <v>0</v>
      </c>
      <c r="S600" s="102">
        <f>S603+S606</f>
        <v>0</v>
      </c>
      <c r="T600" s="102">
        <f>IF(Q600&gt;0,S600*100/Q600,0)</f>
        <v>0</v>
      </c>
      <c r="U600" s="102">
        <f>IF(R600&gt;0,S600*100/R600,0)</f>
        <v>0</v>
      </c>
    </row>
    <row r="601" spans="1:21" ht="18.75" hidden="1">
      <c r="A601" s="155"/>
      <c r="B601" s="188"/>
      <c r="C601" s="188"/>
      <c r="D601" s="174"/>
      <c r="E601" s="186" t="s">
        <v>160</v>
      </c>
      <c r="F601" s="50"/>
      <c r="G601" s="52"/>
      <c r="H601" s="189" t="s">
        <v>14</v>
      </c>
      <c r="I601" s="54"/>
      <c r="J601" s="54"/>
      <c r="K601" s="55"/>
      <c r="L601" s="256">
        <f>L604+L607</f>
        <v>0</v>
      </c>
      <c r="M601" s="255">
        <f>M604+M607</f>
        <v>0</v>
      </c>
      <c r="N601" s="255">
        <f>N604+N607</f>
        <v>0</v>
      </c>
      <c r="O601" s="255">
        <f>IF(L601&gt;0,N601*100/L601,0)</f>
        <v>0</v>
      </c>
      <c r="P601" s="255">
        <f>IF(M601&gt;0,N601*100/M601,0)</f>
        <v>0</v>
      </c>
      <c r="Q601" s="255">
        <f>Q604+Q607</f>
        <v>0</v>
      </c>
      <c r="R601" s="255">
        <f>R604+R607</f>
        <v>0</v>
      </c>
      <c r="S601" s="255">
        <f>S604+S607</f>
        <v>0</v>
      </c>
      <c r="T601" s="255">
        <f>IF(Q601&gt;0,S601*100/Q601,0)</f>
        <v>0</v>
      </c>
      <c r="U601" s="255">
        <f>IF(R601&gt;0,S601*100/R601,0)</f>
        <v>0</v>
      </c>
    </row>
    <row r="602" spans="1:21" ht="19.5" hidden="1">
      <c r="A602" s="155"/>
      <c r="B602" s="188"/>
      <c r="C602" s="188"/>
      <c r="D602" s="562" t="s">
        <v>22</v>
      </c>
      <c r="E602" s="50"/>
      <c r="F602" s="50"/>
      <c r="G602" s="52"/>
      <c r="H602" s="418" t="s">
        <v>14</v>
      </c>
      <c r="I602" s="163"/>
      <c r="J602" s="163"/>
      <c r="K602" s="164"/>
      <c r="L602" s="256">
        <f>L603+L604</f>
        <v>0</v>
      </c>
      <c r="M602" s="255">
        <f>M603+M604</f>
        <v>0</v>
      </c>
      <c r="N602" s="255">
        <f>N603+N604</f>
        <v>0</v>
      </c>
      <c r="O602" s="255">
        <f>IF(L602&gt;0,N602*100/L602,0)</f>
        <v>0</v>
      </c>
      <c r="P602" s="255">
        <f>IF(M602&gt;0,N602*100/M602,0)</f>
        <v>0</v>
      </c>
      <c r="Q602" s="255">
        <f>Q603+Q604</f>
        <v>0</v>
      </c>
      <c r="R602" s="255">
        <f>R603+R604</f>
        <v>0</v>
      </c>
      <c r="S602" s="255">
        <f>S603+S604</f>
        <v>0</v>
      </c>
      <c r="T602" s="255">
        <f>IF(Q602&gt;0,S602*100/Q602,0)</f>
        <v>0</v>
      </c>
      <c r="U602" s="255">
        <f>IF(R602&gt;0,S602*100/R602,0)</f>
        <v>0</v>
      </c>
    </row>
    <row r="603" spans="1:21" ht="18.75" hidden="1">
      <c r="A603" s="155"/>
      <c r="B603" s="188"/>
      <c r="C603" s="188"/>
      <c r="D603" s="174"/>
      <c r="E603" s="186" t="s">
        <v>159</v>
      </c>
      <c r="F603" s="50"/>
      <c r="G603" s="52"/>
      <c r="H603" s="189" t="s">
        <v>14</v>
      </c>
      <c r="I603" s="54"/>
      <c r="J603" s="54"/>
      <c r="K603" s="55"/>
      <c r="L603" s="103">
        <v>0</v>
      </c>
      <c r="M603" s="102">
        <v>0</v>
      </c>
      <c r="N603" s="102">
        <v>0</v>
      </c>
      <c r="O603" s="102">
        <f>IF(L603&gt;0,N603*100/L603,0)</f>
        <v>0</v>
      </c>
      <c r="P603" s="102">
        <f>IF(M603&gt;0,N603*100/M603,0)</f>
        <v>0</v>
      </c>
      <c r="Q603" s="102">
        <v>0</v>
      </c>
      <c r="R603" s="102">
        <v>0</v>
      </c>
      <c r="S603" s="102">
        <v>0</v>
      </c>
      <c r="T603" s="102">
        <f>IF(Q603&gt;0,S603*100/Q603,0)</f>
        <v>0</v>
      </c>
      <c r="U603" s="102">
        <f>IF(R603&gt;0,S603*100/R603,0)</f>
        <v>0</v>
      </c>
    </row>
    <row r="604" spans="1:21" ht="18.75" hidden="1">
      <c r="A604" s="155"/>
      <c r="B604" s="188"/>
      <c r="C604" s="188"/>
      <c r="D604" s="174"/>
      <c r="E604" s="186" t="s">
        <v>160</v>
      </c>
      <c r="F604" s="50"/>
      <c r="G604" s="52"/>
      <c r="H604" s="189" t="s">
        <v>14</v>
      </c>
      <c r="I604" s="54"/>
      <c r="J604" s="54"/>
      <c r="K604" s="55"/>
      <c r="L604" s="256">
        <v>0</v>
      </c>
      <c r="M604" s="255">
        <v>0</v>
      </c>
      <c r="N604" s="255">
        <v>0</v>
      </c>
      <c r="O604" s="255">
        <f>IF(L604&gt;0,N604*100/L604,0)</f>
        <v>0</v>
      </c>
      <c r="P604" s="255">
        <f>IF(M604&gt;0,N604*100/M604,0)</f>
        <v>0</v>
      </c>
      <c r="Q604" s="255">
        <v>0</v>
      </c>
      <c r="R604" s="255">
        <v>0</v>
      </c>
      <c r="S604" s="255">
        <v>0</v>
      </c>
      <c r="T604" s="255">
        <f>IF(Q604&gt;0,S604*100/Q604,0)</f>
        <v>0</v>
      </c>
      <c r="U604" s="255">
        <f>IF(R604&gt;0,S604*100/R604,0)</f>
        <v>0</v>
      </c>
    </row>
    <row r="605" spans="1:21" ht="19.5" hidden="1">
      <c r="A605" s="155"/>
      <c r="B605" s="188"/>
      <c r="C605" s="188"/>
      <c r="D605" s="562" t="s">
        <v>23</v>
      </c>
      <c r="E605" s="188"/>
      <c r="F605" s="50"/>
      <c r="G605" s="52"/>
      <c r="H605" s="420" t="s">
        <v>14</v>
      </c>
      <c r="I605" s="163"/>
      <c r="J605" s="163"/>
      <c r="K605" s="164"/>
      <c r="L605" s="256">
        <f>L606+L607</f>
        <v>0</v>
      </c>
      <c r="M605" s="255">
        <f>M606+M607</f>
        <v>0</v>
      </c>
      <c r="N605" s="255">
        <f>N606+N607</f>
        <v>0</v>
      </c>
      <c r="O605" s="255">
        <f>IF(L605&gt;0,N605*100/L605,0)</f>
        <v>0</v>
      </c>
      <c r="P605" s="255">
        <f>IF(M605&gt;0,N605*100/M605,0)</f>
        <v>0</v>
      </c>
      <c r="Q605" s="255">
        <f>Q606+Q607</f>
        <v>0</v>
      </c>
      <c r="R605" s="255">
        <f>R606+R607</f>
        <v>0</v>
      </c>
      <c r="S605" s="255">
        <f>S606+S607</f>
        <v>0</v>
      </c>
      <c r="T605" s="255">
        <f>IF(Q605&gt;0,S605*100/Q605,0)</f>
        <v>0</v>
      </c>
      <c r="U605" s="255">
        <f>IF(R605&gt;0,S605*100/R605,0)</f>
        <v>0</v>
      </c>
    </row>
    <row r="606" spans="1:21" ht="18.75" hidden="1">
      <c r="A606" s="155"/>
      <c r="B606" s="188"/>
      <c r="C606" s="188"/>
      <c r="D606" s="188"/>
      <c r="E606" s="358" t="s">
        <v>20</v>
      </c>
      <c r="F606" s="50"/>
      <c r="G606" s="52"/>
      <c r="H606" s="189" t="s">
        <v>14</v>
      </c>
      <c r="I606" s="163"/>
      <c r="J606" s="163"/>
      <c r="K606" s="164"/>
      <c r="L606" s="103">
        <v>0</v>
      </c>
      <c r="M606" s="102">
        <v>0</v>
      </c>
      <c r="N606" s="102">
        <v>0</v>
      </c>
      <c r="O606" s="102">
        <f>IF(L606&gt;0,N606*100/L606,0)</f>
        <v>0</v>
      </c>
      <c r="P606" s="102">
        <f>IF(M606&gt;0,N606*100/M606,0)</f>
        <v>0</v>
      </c>
      <c r="Q606" s="102">
        <v>0</v>
      </c>
      <c r="R606" s="102">
        <v>0</v>
      </c>
      <c r="S606" s="102">
        <v>0</v>
      </c>
      <c r="T606" s="102">
        <f>IF(Q606&gt;0,S606*100/Q606,0)</f>
        <v>0</v>
      </c>
      <c r="U606" s="102">
        <f>IF(R606&gt;0,S606*100/R606,0)</f>
        <v>0</v>
      </c>
    </row>
    <row r="607" spans="1:21" ht="18.75" hidden="1">
      <c r="A607" s="155"/>
      <c r="B607" s="188"/>
      <c r="C607" s="188"/>
      <c r="D607" s="50"/>
      <c r="E607" s="358" t="s">
        <v>21</v>
      </c>
      <c r="F607" s="50"/>
      <c r="G607" s="52"/>
      <c r="H607" s="421" t="s">
        <v>14</v>
      </c>
      <c r="I607" s="163"/>
      <c r="J607" s="163"/>
      <c r="K607" s="164"/>
      <c r="L607" s="256">
        <v>0</v>
      </c>
      <c r="M607" s="255">
        <v>0</v>
      </c>
      <c r="N607" s="255">
        <v>0</v>
      </c>
      <c r="O607" s="255">
        <f>IF(L607&gt;0,N607*100/L607,0)</f>
        <v>0</v>
      </c>
      <c r="P607" s="255">
        <f>IF(M607&gt;0,N607*100/M607,0)</f>
        <v>0</v>
      </c>
      <c r="Q607" s="255">
        <v>0</v>
      </c>
      <c r="R607" s="255">
        <v>0</v>
      </c>
      <c r="S607" s="255">
        <v>0</v>
      </c>
      <c r="T607" s="255">
        <f>IF(Q607&gt;0,S607*100/Q607,0)</f>
        <v>0</v>
      </c>
      <c r="U607" s="255">
        <f>IF(R607&gt;0,S607*100/R607,0)</f>
        <v>0</v>
      </c>
    </row>
    <row r="608" spans="1:21" ht="19.5" hidden="1">
      <c r="A608" s="166"/>
      <c r="B608" s="167"/>
      <c r="C608" s="205" t="s">
        <v>18</v>
      </c>
      <c r="D608" s="574" t="s">
        <v>38</v>
      </c>
      <c r="E608" s="169"/>
      <c r="F608" s="169"/>
      <c r="G608" s="170"/>
      <c r="H608" s="206"/>
      <c r="I608" s="163"/>
      <c r="J608" s="163"/>
      <c r="K608" s="164"/>
      <c r="L608" s="62"/>
      <c r="M608" s="55"/>
      <c r="N608" s="55"/>
      <c r="O608" s="55"/>
      <c r="P608" s="55"/>
      <c r="Q608" s="55"/>
      <c r="R608" s="55"/>
      <c r="S608" s="55"/>
      <c r="T608" s="55"/>
      <c r="U608" s="55"/>
    </row>
    <row r="609" spans="1:21" ht="18.75" hidden="1">
      <c r="A609" s="166"/>
      <c r="B609" s="167"/>
      <c r="C609" s="167"/>
      <c r="D609" s="423" t="s">
        <v>217</v>
      </c>
      <c r="E609" s="174"/>
      <c r="F609" s="174"/>
      <c r="G609" s="171"/>
      <c r="H609" s="189" t="s">
        <v>99</v>
      </c>
      <c r="I609" s="54"/>
      <c r="J609" s="54"/>
      <c r="K609" s="164"/>
      <c r="L609" s="62"/>
      <c r="M609" s="55"/>
      <c r="N609" s="55"/>
      <c r="O609" s="55"/>
      <c r="P609" s="55"/>
      <c r="Q609" s="55"/>
      <c r="R609" s="55"/>
      <c r="S609" s="55"/>
      <c r="T609" s="55"/>
      <c r="U609" s="55"/>
    </row>
    <row r="610" spans="1:21" ht="19.5" hidden="1">
      <c r="A610" s="166"/>
      <c r="B610" s="167"/>
      <c r="C610" s="167"/>
      <c r="D610" s="423" t="s">
        <v>218</v>
      </c>
      <c r="E610" s="174"/>
      <c r="F610" s="174"/>
      <c r="G610" s="171"/>
      <c r="H610" s="418" t="s">
        <v>35</v>
      </c>
      <c r="I610" s="54"/>
      <c r="J610" s="54"/>
      <c r="K610" s="164"/>
      <c r="L610" s="62"/>
      <c r="M610" s="55"/>
      <c r="N610" s="55"/>
      <c r="O610" s="55"/>
      <c r="P610" s="55"/>
      <c r="Q610" s="55"/>
      <c r="R610" s="55"/>
      <c r="S610" s="55"/>
      <c r="T610" s="55"/>
      <c r="U610" s="55"/>
    </row>
    <row r="611" spans="1:21" ht="18.75" hidden="1">
      <c r="A611" s="166"/>
      <c r="B611" s="167"/>
      <c r="C611" s="167"/>
      <c r="D611" s="167"/>
      <c r="E611" s="423" t="s">
        <v>219</v>
      </c>
      <c r="F611" s="174"/>
      <c r="G611" s="171"/>
      <c r="H611" s="421" t="s">
        <v>35</v>
      </c>
      <c r="I611" s="54"/>
      <c r="J611" s="54"/>
      <c r="K611" s="164"/>
      <c r="L611" s="62"/>
      <c r="M611" s="55"/>
      <c r="N611" s="55"/>
      <c r="O611" s="55"/>
      <c r="P611" s="55"/>
      <c r="Q611" s="55"/>
      <c r="R611" s="55"/>
      <c r="S611" s="55"/>
      <c r="T611" s="55"/>
      <c r="U611" s="55"/>
    </row>
    <row r="612" spans="1:21" ht="19.5" hidden="1" thickBot="1">
      <c r="A612" s="424"/>
      <c r="B612" s="425"/>
      <c r="C612" s="425"/>
      <c r="D612" s="425"/>
      <c r="E612" s="426" t="s">
        <v>220</v>
      </c>
      <c r="F612" s="427"/>
      <c r="G612" s="428"/>
      <c r="H612" s="429" t="s">
        <v>35</v>
      </c>
      <c r="I612" s="430"/>
      <c r="J612" s="430"/>
      <c r="K612" s="431"/>
      <c r="L612" s="433"/>
      <c r="M612" s="432"/>
      <c r="N612" s="432"/>
      <c r="O612" s="432"/>
      <c r="P612" s="432"/>
      <c r="Q612" s="432"/>
      <c r="R612" s="432"/>
      <c r="S612" s="432"/>
      <c r="T612" s="432"/>
      <c r="U612" s="432"/>
    </row>
    <row r="613" spans="1:21" ht="19.5" hidden="1">
      <c r="A613" s="434" t="s">
        <v>221</v>
      </c>
      <c r="B613" s="435"/>
      <c r="C613" s="435"/>
      <c r="D613" s="436"/>
      <c r="E613" s="436"/>
      <c r="F613" s="436"/>
      <c r="G613" s="437"/>
      <c r="H613" s="438"/>
      <c r="I613" s="439"/>
      <c r="J613" s="439"/>
      <c r="K613" s="440"/>
      <c r="L613" s="441"/>
      <c r="M613" s="440"/>
      <c r="N613" s="440"/>
      <c r="O613" s="440"/>
      <c r="P613" s="440"/>
      <c r="Q613" s="440"/>
      <c r="R613" s="440"/>
      <c r="S613" s="440"/>
      <c r="T613" s="440"/>
      <c r="U613" s="440"/>
    </row>
    <row r="614" spans="1:21" ht="19.5">
      <c r="A614" s="442"/>
      <c r="B614" s="443" t="s">
        <v>222</v>
      </c>
      <c r="C614" s="442"/>
      <c r="D614" s="444"/>
      <c r="E614" s="444"/>
      <c r="F614" s="444"/>
      <c r="G614" s="445"/>
      <c r="H614" s="446"/>
      <c r="I614" s="447"/>
      <c r="J614" s="447"/>
      <c r="K614" s="448"/>
      <c r="L614" s="449"/>
      <c r="M614" s="448"/>
      <c r="N614" s="448"/>
      <c r="O614" s="448"/>
      <c r="P614" s="448"/>
      <c r="Q614" s="448"/>
      <c r="R614" s="448"/>
      <c r="S614" s="448"/>
      <c r="T614" s="448"/>
      <c r="U614" s="448"/>
    </row>
    <row r="615" spans="1:21" ht="19.5">
      <c r="A615" s="450"/>
      <c r="B615" s="451" t="s">
        <v>223</v>
      </c>
      <c r="C615" s="450"/>
      <c r="D615" s="452"/>
      <c r="E615" s="452"/>
      <c r="F615" s="452"/>
      <c r="G615" s="453"/>
      <c r="H615" s="454" t="s">
        <v>46</v>
      </c>
      <c r="I615" s="573">
        <f ca="1">I626</f>
        <v>200</v>
      </c>
      <c r="J615" s="573">
        <f>J626</f>
        <v>0</v>
      </c>
      <c r="K615" s="572">
        <f ca="1">IF(I615&gt;0,J615*100/I615,0)</f>
        <v>0</v>
      </c>
      <c r="L615" s="458"/>
      <c r="M615" s="457"/>
      <c r="N615" s="457"/>
      <c r="O615" s="457"/>
      <c r="P615" s="457"/>
      <c r="Q615" s="457"/>
      <c r="R615" s="457"/>
      <c r="S615" s="457"/>
      <c r="T615" s="457"/>
      <c r="U615" s="457"/>
    </row>
    <row r="616" spans="1:21" ht="19.5">
      <c r="A616" s="155"/>
      <c r="B616" s="188"/>
      <c r="C616" s="205" t="s">
        <v>18</v>
      </c>
      <c r="D616" s="542" t="s">
        <v>19</v>
      </c>
      <c r="E616" s="529"/>
      <c r="F616" s="529"/>
      <c r="G616" s="530"/>
      <c r="H616" s="252" t="s">
        <v>14</v>
      </c>
      <c r="I616" s="54"/>
      <c r="J616" s="54"/>
      <c r="K616" s="55"/>
      <c r="L616" s="541">
        <f>L617+L618</f>
        <v>0</v>
      </c>
      <c r="M616" s="540">
        <f>M617+M618</f>
        <v>0</v>
      </c>
      <c r="N616" s="540">
        <f>N617+N618</f>
        <v>0</v>
      </c>
      <c r="O616" s="540">
        <f>IF(L616&gt;0,N616*100/L616,0)</f>
        <v>0</v>
      </c>
      <c r="P616" s="540">
        <f>IF(M616&gt;0,N616*100/M616,0)</f>
        <v>0</v>
      </c>
      <c r="Q616" s="540">
        <f ca="1">Q617+Q618</f>
        <v>22300</v>
      </c>
      <c r="R616" s="540">
        <f ca="1">R617+R618</f>
        <v>22300</v>
      </c>
      <c r="S616" s="540">
        <f ca="1">S617+S618</f>
        <v>1418</v>
      </c>
      <c r="T616" s="540">
        <f ca="1">IF(Q616&gt;0,S616*100/Q616,0)</f>
        <v>6.3587443946188342</v>
      </c>
      <c r="U616" s="540">
        <f ca="1">IF(R616&gt;0,S616*100/R616,0)</f>
        <v>6.3587443946188342</v>
      </c>
    </row>
    <row r="617" spans="1:21" ht="18.75" hidden="1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103">
        <f>L620+L623</f>
        <v>0</v>
      </c>
      <c r="M617" s="102">
        <f>M620+M623</f>
        <v>0</v>
      </c>
      <c r="N617" s="102">
        <f>N620+N623</f>
        <v>0</v>
      </c>
      <c r="O617" s="102">
        <f>IF(L617&gt;0,N617*100/L617,0)</f>
        <v>0</v>
      </c>
      <c r="P617" s="102">
        <f>IF(M617&gt;0,N617*100/M617,0)</f>
        <v>0</v>
      </c>
      <c r="Q617" s="102">
        <f>Q620+Q623</f>
        <v>0</v>
      </c>
      <c r="R617" s="102">
        <f>R620+R623</f>
        <v>0</v>
      </c>
      <c r="S617" s="102">
        <f>S620+S623</f>
        <v>0</v>
      </c>
      <c r="T617" s="102">
        <f>IF(Q617&gt;0,S617*100/Q617,0)</f>
        <v>0</v>
      </c>
      <c r="U617" s="102">
        <f>IF(R617&gt;0,S617*100/R617,0)</f>
        <v>0</v>
      </c>
    </row>
    <row r="618" spans="1:21" ht="18.75" hidden="1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256">
        <f>L621+L624</f>
        <v>0</v>
      </c>
      <c r="M618" s="255">
        <f>M621+M624</f>
        <v>0</v>
      </c>
      <c r="N618" s="255">
        <f>N621+N624</f>
        <v>0</v>
      </c>
      <c r="O618" s="255">
        <f>IF(L618&gt;0,N618*100/L618,0)</f>
        <v>0</v>
      </c>
      <c r="P618" s="255">
        <f>IF(M618&gt;0,N618*100/M618,0)</f>
        <v>0</v>
      </c>
      <c r="Q618" s="255">
        <f ca="1">Q621+Q624</f>
        <v>22300</v>
      </c>
      <c r="R618" s="255">
        <f ca="1">R621+R624</f>
        <v>22300</v>
      </c>
      <c r="S618" s="255">
        <f ca="1">S621+S624</f>
        <v>1418</v>
      </c>
      <c r="T618" s="255">
        <f ca="1">IF(Q618&gt;0,S618*100/Q618,0)</f>
        <v>6.3587443946188342</v>
      </c>
      <c r="U618" s="255">
        <f ca="1">IF(R618&gt;0,S618*100/R618,0)</f>
        <v>6.3587443946188342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256">
        <f>L620+L621</f>
        <v>0</v>
      </c>
      <c r="M619" s="255">
        <f>M620+M621</f>
        <v>0</v>
      </c>
      <c r="N619" s="255">
        <f>N620+N621</f>
        <v>0</v>
      </c>
      <c r="O619" s="255">
        <f>IF(L619&gt;0,N619*100/L619,0)</f>
        <v>0</v>
      </c>
      <c r="P619" s="255">
        <f>IF(M619&gt;0,N619*100/M619,0)</f>
        <v>0</v>
      </c>
      <c r="Q619" s="255">
        <f ca="1">Q620+Q621</f>
        <v>22300</v>
      </c>
      <c r="R619" s="255">
        <f ca="1">R620+R621</f>
        <v>22300</v>
      </c>
      <c r="S619" s="255">
        <f ca="1">S620+S621</f>
        <v>1418</v>
      </c>
      <c r="T619" s="255">
        <f ca="1">IF(Q619&gt;0,S619*100/Q619,0)</f>
        <v>6.3587443946188342</v>
      </c>
      <c r="U619" s="255">
        <f ca="1">IF(R619&gt;0,S619*100/R619,0)</f>
        <v>6.3587443946188342</v>
      </c>
    </row>
    <row r="620" spans="1:21" ht="18.75" hidden="1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103">
        <v>0</v>
      </c>
      <c r="M620" s="102">
        <v>0</v>
      </c>
      <c r="N620" s="102">
        <v>0</v>
      </c>
      <c r="O620" s="102">
        <f>IF(L620&gt;0,N620*100/L620,0)</f>
        <v>0</v>
      </c>
      <c r="P620" s="102">
        <f>IF(M620&gt;0,N620*100/M620,0)</f>
        <v>0</v>
      </c>
      <c r="Q620" s="102">
        <v>0</v>
      </c>
      <c r="R620" s="102">
        <v>0</v>
      </c>
      <c r="S620" s="102">
        <v>0</v>
      </c>
      <c r="T620" s="102">
        <f>IF(Q620&gt;0,S620*100/Q620,0)</f>
        <v>0</v>
      </c>
      <c r="U620" s="102">
        <f>IF(R620&gt;0,S620*100/R620,0)</f>
        <v>0</v>
      </c>
    </row>
    <row r="621" spans="1:21" ht="18.75" hidden="1">
      <c r="A621" s="155"/>
      <c r="B621" s="188"/>
      <c r="C621" s="188"/>
      <c r="D621" s="174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256">
        <v>0</v>
      </c>
      <c r="M621" s="255">
        <v>0</v>
      </c>
      <c r="N621" s="255">
        <v>0</v>
      </c>
      <c r="O621" s="255">
        <f>IF(L621&gt;0,N621*100/L621,0)</f>
        <v>0</v>
      </c>
      <c r="P621" s="255">
        <f>IF(M621&gt;0,N621*100/M621,0)</f>
        <v>0</v>
      </c>
      <c r="Q621" s="255">
        <f ca="1">IFERROR(__xludf.DUMMYFUNCTION("IMPORTRANGE(""https://docs.google.com/spreadsheets/d/1ItG2mGa2ceCfYo0BwxsXqNm01IGEUdYcSSLTEv9YCik/edit?usp=sharing"",""เบิกจ่ายกองทุน!F36"")"),22300)</f>
        <v>22300</v>
      </c>
      <c r="R621" s="255">
        <f ca="1">IFERROR(__xludf.DUMMYFUNCTION("IMPORTRANGE(""https://docs.google.com/spreadsheets/d/1ItG2mGa2ceCfYo0BwxsXqNm01IGEUdYcSSLTEv9YCik/edit?usp=sharing"",""เบิกจ่ายกองทุน!G36"")"),22300)</f>
        <v>22300</v>
      </c>
      <c r="S621" s="255">
        <f ca="1">IFERROR(__xludf.DUMMYFUNCTION("IMPORTRANGE(""https://docs.google.com/spreadsheets/d/1ItG2mGa2ceCfYo0BwxsXqNm01IGEUdYcSSLTEv9YCik/edit?usp=sharing"",""เบิกจ่ายกองทุน!H36"")"),1418)</f>
        <v>1418</v>
      </c>
      <c r="T621" s="255">
        <f ca="1">IF(Q621&gt;0,S621*100/Q621,0)</f>
        <v>6.3587443946188342</v>
      </c>
      <c r="U621" s="255">
        <f ca="1">IF(R621&gt;0,S621*100/R621,0)</f>
        <v>6.3587443946188342</v>
      </c>
    </row>
    <row r="622" spans="1:21" ht="18.75">
      <c r="A622" s="155"/>
      <c r="B622" s="188"/>
      <c r="C622" s="188"/>
      <c r="D622" s="51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256">
        <f>L623+L624</f>
        <v>0</v>
      </c>
      <c r="M622" s="255">
        <f>M623+M624</f>
        <v>0</v>
      </c>
      <c r="N622" s="255">
        <f>N623+N624</f>
        <v>0</v>
      </c>
      <c r="O622" s="255">
        <f>IF(L622&gt;0,N622*100/L622,0)</f>
        <v>0</v>
      </c>
      <c r="P622" s="255">
        <f>IF(M622&gt;0,N622*100/M622,0)</f>
        <v>0</v>
      </c>
      <c r="Q622" s="255">
        <f>Q623+Q624</f>
        <v>0</v>
      </c>
      <c r="R622" s="255">
        <f>R623+R624</f>
        <v>0</v>
      </c>
      <c r="S622" s="255">
        <f>S623+S624</f>
        <v>0</v>
      </c>
      <c r="T622" s="255">
        <f>IF(Q622&gt;0,S622*100/Q622,0)</f>
        <v>0</v>
      </c>
      <c r="U622" s="255">
        <f>IF(R622&gt;0,S622*100/R622,0)</f>
        <v>0</v>
      </c>
    </row>
    <row r="623" spans="1:21" ht="18.75" hidden="1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103">
        <v>0</v>
      </c>
      <c r="M623" s="102">
        <v>0</v>
      </c>
      <c r="N623" s="102">
        <v>0</v>
      </c>
      <c r="O623" s="102">
        <f>IF(L623&gt;0,N623*100/L623,0)</f>
        <v>0</v>
      </c>
      <c r="P623" s="102">
        <f>IF(M623&gt;0,N623*100/M623,0)</f>
        <v>0</v>
      </c>
      <c r="Q623" s="102">
        <v>0</v>
      </c>
      <c r="R623" s="102">
        <v>0</v>
      </c>
      <c r="S623" s="102">
        <v>0</v>
      </c>
      <c r="T623" s="102">
        <f>IF(Q623&gt;0,S623*100/Q623,0)</f>
        <v>0</v>
      </c>
      <c r="U623" s="102">
        <f>IF(R623&gt;0,S623*100/R623,0)</f>
        <v>0</v>
      </c>
    </row>
    <row r="624" spans="1:21" ht="18.75" hidden="1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256">
        <v>0</v>
      </c>
      <c r="M624" s="255">
        <v>0</v>
      </c>
      <c r="N624" s="255">
        <v>0</v>
      </c>
      <c r="O624" s="255">
        <f>IF(L624&gt;0,N624*100/L624,0)</f>
        <v>0</v>
      </c>
      <c r="P624" s="255">
        <f>IF(M624&gt;0,N624*100/M624,0)</f>
        <v>0</v>
      </c>
      <c r="Q624" s="255">
        <v>0</v>
      </c>
      <c r="R624" s="255">
        <v>0</v>
      </c>
      <c r="S624" s="255">
        <v>0</v>
      </c>
      <c r="T624" s="255">
        <f>IF(Q624&gt;0,S624*100/Q624,0)</f>
        <v>0</v>
      </c>
      <c r="U624" s="255">
        <f>IF(R624&gt;0,S624*100/R624,0)</f>
        <v>0</v>
      </c>
    </row>
    <row r="625" spans="1:21" ht="19.5">
      <c r="A625" s="166"/>
      <c r="B625" s="167"/>
      <c r="C625" s="205" t="s">
        <v>18</v>
      </c>
      <c r="D625" s="539" t="s">
        <v>38</v>
      </c>
      <c r="E625" s="169"/>
      <c r="F625" s="169"/>
      <c r="G625" s="170"/>
      <c r="H625" s="206"/>
      <c r="I625" s="163"/>
      <c r="J625" s="163"/>
      <c r="K625" s="164"/>
      <c r="L625" s="172"/>
      <c r="M625" s="164"/>
      <c r="N625" s="164"/>
      <c r="O625" s="164"/>
      <c r="P625" s="164"/>
      <c r="Q625" s="164"/>
      <c r="R625" s="164"/>
      <c r="S625" s="164"/>
      <c r="T625" s="164"/>
      <c r="U625" s="164"/>
    </row>
    <row r="626" spans="1:21" ht="19.5">
      <c r="A626" s="166"/>
      <c r="B626" s="167"/>
      <c r="C626" s="167"/>
      <c r="D626" s="460" t="s">
        <v>224</v>
      </c>
      <c r="E626" s="174"/>
      <c r="F626" s="174"/>
      <c r="G626" s="171"/>
      <c r="H626" s="461" t="s">
        <v>46</v>
      </c>
      <c r="I626" s="373">
        <f ca="1">IFERROR(__xludf.DUMMYFUNCTION("IMPORTRANGE(""https://docs.google.com/spreadsheets/d/1eHaY18a8A9IcSdp1K8H6x8fbOy06t2VsZHhMHf-1x7Y/edit?usp=sharing"",""แผน!ID36"")"),200)</f>
        <v>200</v>
      </c>
      <c r="J626" s="373">
        <f>J632</f>
        <v>0</v>
      </c>
      <c r="K626" s="540">
        <f ca="1">IF(I626&gt;0,J626*100/I626,0)</f>
        <v>0</v>
      </c>
      <c r="L626" s="172"/>
      <c r="M626" s="164"/>
      <c r="N626" s="164"/>
      <c r="O626" s="164"/>
      <c r="P626" s="164"/>
      <c r="Q626" s="164"/>
      <c r="R626" s="164"/>
      <c r="S626" s="164"/>
      <c r="T626" s="164"/>
      <c r="U626" s="164"/>
    </row>
    <row r="627" spans="1:21" ht="18.75">
      <c r="A627" s="166"/>
      <c r="B627" s="167"/>
      <c r="C627" s="167"/>
      <c r="D627" s="167"/>
      <c r="E627" s="178" t="s">
        <v>225</v>
      </c>
      <c r="F627" s="174"/>
      <c r="G627" s="171"/>
      <c r="H627" s="165" t="s">
        <v>61</v>
      </c>
      <c r="I627" s="212">
        <f ca="1">IFERROR(__xludf.DUMMYFUNCTION("IMPORTRANGE(""https://docs.google.com/spreadsheets/d/1eHaY18a8A9IcSdp1K8H6x8fbOy06t2VsZHhMHf-1x7Y/edit?usp=sharing"",""แผน!IC36"")"),0)</f>
        <v>0</v>
      </c>
      <c r="J627" s="467">
        <v>0</v>
      </c>
      <c r="K627" s="255">
        <f ca="1">IF(I627&gt;0,(J627*100)/I627,0)</f>
        <v>0</v>
      </c>
      <c r="L627" s="172"/>
      <c r="M627" s="164"/>
      <c r="N627" s="164"/>
      <c r="O627" s="164"/>
      <c r="P627" s="164"/>
      <c r="Q627" s="164"/>
      <c r="R627" s="164"/>
      <c r="S627" s="164"/>
      <c r="T627" s="164"/>
      <c r="U627" s="164"/>
    </row>
    <row r="628" spans="1:21" ht="18.75">
      <c r="A628" s="166"/>
      <c r="B628" s="167"/>
      <c r="C628" s="167"/>
      <c r="D628" s="167"/>
      <c r="E628" s="178" t="s">
        <v>226</v>
      </c>
      <c r="F628" s="174"/>
      <c r="G628" s="171"/>
      <c r="H628" s="165" t="s">
        <v>61</v>
      </c>
      <c r="I628" s="212">
        <f ca="1">IFERROR(__xludf.DUMMYFUNCTION("IMPORTRANGE(""https://docs.google.com/spreadsheets/d/1eHaY18a8A9IcSdp1K8H6x8fbOy06t2VsZHhMHf-1x7Y/edit?usp=sharing"",""แผน!IC36"")"),0)</f>
        <v>0</v>
      </c>
      <c r="J628" s="467">
        <v>0</v>
      </c>
      <c r="K628" s="255">
        <f ca="1">IF(I628&gt;0,(J628*100)/I628,0)</f>
        <v>0</v>
      </c>
      <c r="L628" s="172"/>
      <c r="M628" s="164"/>
      <c r="N628" s="164"/>
      <c r="O628" s="164"/>
      <c r="P628" s="164"/>
      <c r="Q628" s="164"/>
      <c r="R628" s="164"/>
      <c r="S628" s="164"/>
      <c r="T628" s="164"/>
      <c r="U628" s="164"/>
    </row>
    <row r="629" spans="1:21" ht="18.75">
      <c r="A629" s="166"/>
      <c r="B629" s="167"/>
      <c r="C629" s="167"/>
      <c r="D629" s="167"/>
      <c r="E629" s="178" t="s">
        <v>227</v>
      </c>
      <c r="F629" s="174"/>
      <c r="G629" s="171"/>
      <c r="H629" s="165" t="s">
        <v>46</v>
      </c>
      <c r="I629" s="54"/>
      <c r="J629" s="467">
        <v>0</v>
      </c>
      <c r="K629" s="255">
        <f ca="1">IF(I$626&gt;0,J629*100/I$626,0)</f>
        <v>0</v>
      </c>
      <c r="L629" s="172"/>
      <c r="M629" s="164"/>
      <c r="N629" s="164"/>
      <c r="O629" s="164"/>
      <c r="P629" s="164"/>
      <c r="Q629" s="164"/>
      <c r="R629" s="164"/>
      <c r="S629" s="164"/>
      <c r="T629" s="164"/>
      <c r="U629" s="164"/>
    </row>
    <row r="630" spans="1:21" ht="18.75">
      <c r="A630" s="166"/>
      <c r="B630" s="167"/>
      <c r="C630" s="167"/>
      <c r="D630" s="167"/>
      <c r="E630" s="178" t="s">
        <v>228</v>
      </c>
      <c r="F630" s="174"/>
      <c r="G630" s="171"/>
      <c r="H630" s="165" t="s">
        <v>46</v>
      </c>
      <c r="I630" s="54"/>
      <c r="J630" s="467">
        <v>0</v>
      </c>
      <c r="K630" s="255">
        <f ca="1">IF(I$626&gt;0,J630*100/I$626,0)</f>
        <v>0</v>
      </c>
      <c r="L630" s="172"/>
      <c r="M630" s="164"/>
      <c r="N630" s="164"/>
      <c r="O630" s="164"/>
      <c r="P630" s="164"/>
      <c r="Q630" s="164"/>
      <c r="R630" s="164"/>
      <c r="S630" s="164"/>
      <c r="T630" s="164"/>
      <c r="U630" s="164"/>
    </row>
    <row r="631" spans="1:21" ht="18.75">
      <c r="A631" s="166"/>
      <c r="B631" s="167"/>
      <c r="C631" s="167"/>
      <c r="D631" s="167"/>
      <c r="E631" s="178" t="s">
        <v>229</v>
      </c>
      <c r="F631" s="174"/>
      <c r="G631" s="171"/>
      <c r="H631" s="165" t="s">
        <v>46</v>
      </c>
      <c r="I631" s="54"/>
      <c r="J631" s="467">
        <v>0</v>
      </c>
      <c r="K631" s="255">
        <f ca="1">IF(I$626&gt;0,J631*100/I$626,0)</f>
        <v>0</v>
      </c>
      <c r="L631" s="172"/>
      <c r="M631" s="164"/>
      <c r="N631" s="164"/>
      <c r="O631" s="164"/>
      <c r="P631" s="164"/>
      <c r="Q631" s="164"/>
      <c r="R631" s="164"/>
      <c r="S631" s="164"/>
      <c r="T631" s="164"/>
      <c r="U631" s="164"/>
    </row>
    <row r="632" spans="1:21" ht="19.5">
      <c r="A632" s="166"/>
      <c r="B632" s="167"/>
      <c r="C632" s="167"/>
      <c r="D632" s="167"/>
      <c r="E632" s="178" t="s">
        <v>230</v>
      </c>
      <c r="F632" s="174"/>
      <c r="G632" s="171"/>
      <c r="H632" s="165" t="s">
        <v>46</v>
      </c>
      <c r="I632" s="54"/>
      <c r="J632" s="373">
        <f>J633+J634</f>
        <v>0</v>
      </c>
      <c r="K632" s="540">
        <f ca="1">IF(I626&gt;0,J632*100/I626,0)</f>
        <v>0</v>
      </c>
      <c r="L632" s="172"/>
      <c r="M632" s="164"/>
      <c r="N632" s="164"/>
      <c r="O632" s="164"/>
      <c r="P632" s="164"/>
      <c r="Q632" s="164"/>
      <c r="R632" s="164"/>
      <c r="S632" s="164"/>
      <c r="T632" s="164"/>
      <c r="U632" s="164"/>
    </row>
    <row r="633" spans="1:21" ht="18.75">
      <c r="A633" s="166"/>
      <c r="B633" s="167"/>
      <c r="C633" s="167"/>
      <c r="D633" s="167"/>
      <c r="E633" s="174"/>
      <c r="F633" s="178" t="s">
        <v>231</v>
      </c>
      <c r="G633" s="171"/>
      <c r="H633" s="165" t="s">
        <v>46</v>
      </c>
      <c r="I633" s="54"/>
      <c r="J633" s="467">
        <v>0</v>
      </c>
      <c r="K633" s="55"/>
      <c r="L633" s="172"/>
      <c r="M633" s="164"/>
      <c r="N633" s="164"/>
      <c r="O633" s="164"/>
      <c r="P633" s="164"/>
      <c r="Q633" s="164"/>
      <c r="R633" s="164"/>
      <c r="S633" s="164"/>
      <c r="T633" s="164"/>
      <c r="U633" s="164"/>
    </row>
    <row r="634" spans="1:21" ht="18.75">
      <c r="A634" s="166"/>
      <c r="B634" s="167"/>
      <c r="C634" s="167"/>
      <c r="D634" s="167"/>
      <c r="E634" s="174"/>
      <c r="F634" s="178" t="s">
        <v>232</v>
      </c>
      <c r="G634" s="171"/>
      <c r="H634" s="165" t="s">
        <v>46</v>
      </c>
      <c r="I634" s="54"/>
      <c r="J634" s="467">
        <v>0</v>
      </c>
      <c r="K634" s="55"/>
      <c r="L634" s="172"/>
      <c r="M634" s="164"/>
      <c r="N634" s="164"/>
      <c r="O634" s="164"/>
      <c r="P634" s="164"/>
      <c r="Q634" s="164"/>
      <c r="R634" s="164"/>
      <c r="S634" s="164"/>
      <c r="T634" s="164"/>
      <c r="U634" s="164"/>
    </row>
    <row r="635" spans="1:21" ht="19.5">
      <c r="A635" s="166"/>
      <c r="B635" s="167"/>
      <c r="C635" s="167"/>
      <c r="D635" s="460" t="s">
        <v>233</v>
      </c>
      <c r="E635" s="174"/>
      <c r="F635" s="174"/>
      <c r="G635" s="171"/>
      <c r="H635" s="165" t="s">
        <v>46</v>
      </c>
      <c r="I635" s="373">
        <f ca="1">IFERROR(__xludf.DUMMYFUNCTION("IMPORTRANGE(""https://docs.google.com/spreadsheets/d/1eHaY18a8A9IcSdp1K8H6x8fbOy06t2VsZHhMHf-1x7Y/edit?usp=sharing"",""แผน!IE36"")"),0)</f>
        <v>0</v>
      </c>
      <c r="J635" s="373">
        <f>J636</f>
        <v>0</v>
      </c>
      <c r="K635" s="540">
        <f ca="1">IF(I635&gt;0,J635*100/I635,0)</f>
        <v>0</v>
      </c>
      <c r="L635" s="172"/>
      <c r="M635" s="164"/>
      <c r="N635" s="164"/>
      <c r="O635" s="164"/>
      <c r="P635" s="164"/>
      <c r="Q635" s="164"/>
      <c r="R635" s="164"/>
      <c r="S635" s="164"/>
      <c r="T635" s="164"/>
      <c r="U635" s="164"/>
    </row>
    <row r="636" spans="1:21" ht="18.75">
      <c r="A636" s="166"/>
      <c r="B636" s="167"/>
      <c r="C636" s="167"/>
      <c r="D636" s="167"/>
      <c r="E636" s="178" t="s">
        <v>234</v>
      </c>
      <c r="F636" s="174"/>
      <c r="G636" s="171"/>
      <c r="H636" s="165" t="s">
        <v>46</v>
      </c>
      <c r="I636" s="54"/>
      <c r="J636" s="212">
        <f>J637+J638</f>
        <v>0</v>
      </c>
      <c r="K636" s="55"/>
      <c r="L636" s="172"/>
      <c r="M636" s="164"/>
      <c r="N636" s="164"/>
      <c r="O636" s="164"/>
      <c r="P636" s="164"/>
      <c r="Q636" s="164"/>
      <c r="R636" s="164"/>
      <c r="S636" s="164"/>
      <c r="T636" s="164"/>
      <c r="U636" s="164"/>
    </row>
    <row r="637" spans="1:21" ht="18.75">
      <c r="A637" s="166"/>
      <c r="B637" s="167"/>
      <c r="C637" s="167"/>
      <c r="D637" s="167"/>
      <c r="E637" s="174"/>
      <c r="F637" s="178" t="s">
        <v>231</v>
      </c>
      <c r="G637" s="171"/>
      <c r="H637" s="165" t="s">
        <v>46</v>
      </c>
      <c r="I637" s="54"/>
      <c r="J637" s="467">
        <v>0</v>
      </c>
      <c r="K637" s="55"/>
      <c r="L637" s="172"/>
      <c r="M637" s="164"/>
      <c r="N637" s="164"/>
      <c r="O637" s="164"/>
      <c r="P637" s="164"/>
      <c r="Q637" s="164"/>
      <c r="R637" s="164"/>
      <c r="S637" s="164"/>
      <c r="T637" s="164"/>
      <c r="U637" s="164"/>
    </row>
    <row r="638" spans="1:21" ht="18.75">
      <c r="A638" s="166"/>
      <c r="B638" s="167"/>
      <c r="C638" s="167"/>
      <c r="D638" s="167"/>
      <c r="E638" s="174"/>
      <c r="F638" s="178" t="s">
        <v>232</v>
      </c>
      <c r="G638" s="171"/>
      <c r="H638" s="165" t="s">
        <v>46</v>
      </c>
      <c r="I638" s="54"/>
      <c r="J638" s="467">
        <v>0</v>
      </c>
      <c r="K638" s="55"/>
      <c r="L638" s="172"/>
      <c r="M638" s="164"/>
      <c r="N638" s="164"/>
      <c r="O638" s="164"/>
      <c r="P638" s="164"/>
      <c r="Q638" s="164"/>
      <c r="R638" s="164"/>
      <c r="S638" s="164"/>
      <c r="T638" s="164"/>
      <c r="U638" s="164"/>
    </row>
    <row r="639" spans="1:21" ht="18.75">
      <c r="A639" s="166"/>
      <c r="B639" s="167"/>
      <c r="C639" s="167"/>
      <c r="D639" s="167"/>
      <c r="E639" s="178" t="s">
        <v>235</v>
      </c>
      <c r="F639" s="174"/>
      <c r="G639" s="171"/>
      <c r="H639" s="165" t="s">
        <v>46</v>
      </c>
      <c r="I639" s="54"/>
      <c r="J639" s="467">
        <v>0</v>
      </c>
      <c r="K639" s="55"/>
      <c r="L639" s="172"/>
      <c r="M639" s="164"/>
      <c r="N639" s="164"/>
      <c r="O639" s="164"/>
      <c r="P639" s="164"/>
      <c r="Q639" s="164"/>
      <c r="R639" s="164"/>
      <c r="S639" s="164"/>
      <c r="T639" s="164"/>
      <c r="U639" s="164"/>
    </row>
    <row r="640" spans="1:21" ht="18.75">
      <c r="A640" s="166"/>
      <c r="B640" s="167"/>
      <c r="C640" s="167"/>
      <c r="D640" s="167"/>
      <c r="E640" s="174"/>
      <c r="F640" s="178" t="s">
        <v>236</v>
      </c>
      <c r="G640" s="171"/>
      <c r="H640" s="165" t="s">
        <v>46</v>
      </c>
      <c r="I640" s="54"/>
      <c r="J640" s="467">
        <v>0</v>
      </c>
      <c r="K640" s="55"/>
      <c r="L640" s="172"/>
      <c r="M640" s="164"/>
      <c r="N640" s="164"/>
      <c r="O640" s="164"/>
      <c r="P640" s="164"/>
      <c r="Q640" s="164"/>
      <c r="R640" s="164"/>
      <c r="S640" s="164"/>
      <c r="T640" s="164"/>
      <c r="U640" s="164"/>
    </row>
    <row r="641" spans="1:21" ht="19.5" hidden="1">
      <c r="A641" s="450"/>
      <c r="B641" s="451" t="s">
        <v>237</v>
      </c>
      <c r="C641" s="450"/>
      <c r="D641" s="452"/>
      <c r="E641" s="452"/>
      <c r="F641" s="452"/>
      <c r="G641" s="453"/>
      <c r="H641" s="462"/>
      <c r="I641" s="463"/>
      <c r="J641" s="463"/>
      <c r="K641" s="457"/>
      <c r="L641" s="458"/>
      <c r="M641" s="457"/>
      <c r="N641" s="457"/>
      <c r="O641" s="457"/>
      <c r="P641" s="457"/>
      <c r="Q641" s="457"/>
      <c r="R641" s="457"/>
      <c r="S641" s="457"/>
      <c r="T641" s="457"/>
      <c r="U641" s="457"/>
    </row>
    <row r="642" spans="1:21" ht="19.5" hidden="1">
      <c r="A642" s="155"/>
      <c r="B642" s="188"/>
      <c r="C642" s="239" t="s">
        <v>18</v>
      </c>
      <c r="D642" s="542" t="s">
        <v>19</v>
      </c>
      <c r="E642" s="529"/>
      <c r="F642" s="529"/>
      <c r="G642" s="530"/>
      <c r="H642" s="252" t="s">
        <v>14</v>
      </c>
      <c r="I642" s="54"/>
      <c r="J642" s="54"/>
      <c r="K642" s="55"/>
      <c r="L642" s="541">
        <f>L643+L644</f>
        <v>0</v>
      </c>
      <c r="M642" s="540">
        <f>M643+M644</f>
        <v>0</v>
      </c>
      <c r="N642" s="540">
        <f>N643+N644</f>
        <v>0</v>
      </c>
      <c r="O642" s="540">
        <f>IF(L642&gt;0,N642*100/L642,0)</f>
        <v>0</v>
      </c>
      <c r="P642" s="540">
        <f>IF(M642&gt;0,N642*100/M642,0)</f>
        <v>0</v>
      </c>
      <c r="Q642" s="540">
        <f ca="1">Q643+Q644</f>
        <v>0</v>
      </c>
      <c r="R642" s="540">
        <f ca="1">R643+R644</f>
        <v>0</v>
      </c>
      <c r="S642" s="540">
        <f ca="1">S643+S644</f>
        <v>0</v>
      </c>
      <c r="T642" s="540">
        <f ca="1">IF(Q642&gt;0,S642*100/Q642,0)</f>
        <v>0</v>
      </c>
      <c r="U642" s="540">
        <f ca="1">IF(R642&gt;0,S642*100/R642,0)</f>
        <v>0</v>
      </c>
    </row>
    <row r="643" spans="1:21" ht="18.75" hidden="1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103">
        <f>L646+L649</f>
        <v>0</v>
      </c>
      <c r="M643" s="102">
        <f>M646+M649</f>
        <v>0</v>
      </c>
      <c r="N643" s="102">
        <f>N646+N649</f>
        <v>0</v>
      </c>
      <c r="O643" s="102">
        <f>IF(L643&gt;0,N643*100/L643,0)</f>
        <v>0</v>
      </c>
      <c r="P643" s="102">
        <f>IF(M643&gt;0,N643*100/M643,0)</f>
        <v>0</v>
      </c>
      <c r="Q643" s="102">
        <f>Q646+Q649</f>
        <v>0</v>
      </c>
      <c r="R643" s="102">
        <f>R646+R649</f>
        <v>0</v>
      </c>
      <c r="S643" s="102">
        <f>S646+S649</f>
        <v>0</v>
      </c>
      <c r="T643" s="102">
        <f>IF(Q643&gt;0,S643*100/Q643,0)</f>
        <v>0</v>
      </c>
      <c r="U643" s="102">
        <f>IF(R643&gt;0,S643*100/R643,0)</f>
        <v>0</v>
      </c>
    </row>
    <row r="644" spans="1:21" ht="18.75" hidden="1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256">
        <f>L647+L650</f>
        <v>0</v>
      </c>
      <c r="M644" s="255">
        <f>M647+M650</f>
        <v>0</v>
      </c>
      <c r="N644" s="255">
        <f>N647+N650</f>
        <v>0</v>
      </c>
      <c r="O644" s="255">
        <f>IF(L644&gt;0,N644*100/L644,0)</f>
        <v>0</v>
      </c>
      <c r="P644" s="255">
        <f>IF(M644&gt;0,N644*100/M644,0)</f>
        <v>0</v>
      </c>
      <c r="Q644" s="255">
        <f ca="1">Q647+Q650</f>
        <v>0</v>
      </c>
      <c r="R644" s="255">
        <f ca="1">R647+R650</f>
        <v>0</v>
      </c>
      <c r="S644" s="255">
        <f ca="1">S647+S650</f>
        <v>0</v>
      </c>
      <c r="T644" s="255">
        <f ca="1">IF(Q644&gt;0,S644*100/Q644,0)</f>
        <v>0</v>
      </c>
      <c r="U644" s="255">
        <f ca="1">IF(R644&gt;0,S644*100/R644,0)</f>
        <v>0</v>
      </c>
    </row>
    <row r="645" spans="1:21" ht="18.75" hidden="1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256">
        <f>L646+L647</f>
        <v>0</v>
      </c>
      <c r="M645" s="255">
        <f>M646+M647</f>
        <v>0</v>
      </c>
      <c r="N645" s="255">
        <f>N646+N647</f>
        <v>0</v>
      </c>
      <c r="O645" s="255">
        <f>IF(L645&gt;0,N645*100/L645,0)</f>
        <v>0</v>
      </c>
      <c r="P645" s="255">
        <f>IF(M645&gt;0,N645*100/M645,0)</f>
        <v>0</v>
      </c>
      <c r="Q645" s="255">
        <f ca="1">Q646+Q647</f>
        <v>0</v>
      </c>
      <c r="R645" s="255">
        <f ca="1">R646+R647</f>
        <v>0</v>
      </c>
      <c r="S645" s="255">
        <f ca="1">S646+S647</f>
        <v>0</v>
      </c>
      <c r="T645" s="255">
        <f ca="1">IF(Q645&gt;0,S645*100/Q645,0)</f>
        <v>0</v>
      </c>
      <c r="U645" s="255">
        <f ca="1">IF(R645&gt;0,S645*100/R645,0)</f>
        <v>0</v>
      </c>
    </row>
    <row r="646" spans="1:21" ht="18.75" hidden="1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103">
        <v>0</v>
      </c>
      <c r="M646" s="102">
        <v>0</v>
      </c>
      <c r="N646" s="102">
        <v>0</v>
      </c>
      <c r="O646" s="102">
        <f>IF(L646&gt;0,N646*100/L646,0)</f>
        <v>0</v>
      </c>
      <c r="P646" s="102">
        <f>IF(M646&gt;0,N646*100/M646,0)</f>
        <v>0</v>
      </c>
      <c r="Q646" s="102">
        <v>0</v>
      </c>
      <c r="R646" s="102">
        <v>0</v>
      </c>
      <c r="S646" s="102">
        <v>0</v>
      </c>
      <c r="T646" s="102">
        <f>IF(Q646&gt;0,S646*100/Q646,0)</f>
        <v>0</v>
      </c>
      <c r="U646" s="102">
        <f>IF(R646&gt;0,S646*100/R646,0)</f>
        <v>0</v>
      </c>
    </row>
    <row r="647" spans="1:21" ht="18.75" hidden="1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256">
        <v>0</v>
      </c>
      <c r="M647" s="255">
        <v>0</v>
      </c>
      <c r="N647" s="255">
        <v>0</v>
      </c>
      <c r="O647" s="255">
        <f>IF(L647&gt;0,N647*100/L647,0)</f>
        <v>0</v>
      </c>
      <c r="P647" s="255">
        <f>IF(M647&gt;0,N647*100/M647,0)</f>
        <v>0</v>
      </c>
      <c r="Q647" s="255">
        <f ca="1">IFERROR(__xludf.DUMMYFUNCTION("IMPORTRANGE(""https://docs.google.com/spreadsheets/d/1ItG2mGa2ceCfYo0BwxsXqNm01IGEUdYcSSLTEv9YCik/edit?usp=sharing"",""เบิกจ่ายกองทุน!I36"")"),0)</f>
        <v>0</v>
      </c>
      <c r="R647" s="255">
        <f ca="1">IFERROR(__xludf.DUMMYFUNCTION("IMPORTRANGE(""https://docs.google.com/spreadsheets/d/1ItG2mGa2ceCfYo0BwxsXqNm01IGEUdYcSSLTEv9YCik/edit?usp=sharing"",""เบิกจ่ายกองทุน!J36"")"),0)</f>
        <v>0</v>
      </c>
      <c r="S647" s="255">
        <f ca="1">IFERROR(__xludf.DUMMYFUNCTION("IMPORTRANGE(""https://docs.google.com/spreadsheets/d/1ItG2mGa2ceCfYo0BwxsXqNm01IGEUdYcSSLTEv9YCik/edit?usp=sharing"",""เบิกจ่ายกองทุน!K36"")"),0)</f>
        <v>0</v>
      </c>
      <c r="T647" s="255">
        <f ca="1">IF(Q647&gt;0,S647*100/Q647,0)</f>
        <v>0</v>
      </c>
      <c r="U647" s="255">
        <f ca="1">IF(R647&gt;0,S647*100/R647,0)</f>
        <v>0</v>
      </c>
    </row>
    <row r="648" spans="1:21" ht="18.75" hidden="1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256">
        <f>L649+L650</f>
        <v>0</v>
      </c>
      <c r="M648" s="255">
        <f>M649+M650</f>
        <v>0</v>
      </c>
      <c r="N648" s="255">
        <f>N649+N650</f>
        <v>0</v>
      </c>
      <c r="O648" s="255">
        <f>IF(L648&gt;0,N648*100/L648,0)</f>
        <v>0</v>
      </c>
      <c r="P648" s="255">
        <f>IF(M648&gt;0,N648*100/M648,0)</f>
        <v>0</v>
      </c>
      <c r="Q648" s="255">
        <f>Q649+Q650</f>
        <v>0</v>
      </c>
      <c r="R648" s="255">
        <f>R649+R650</f>
        <v>0</v>
      </c>
      <c r="S648" s="255">
        <f>S649+S650</f>
        <v>0</v>
      </c>
      <c r="T648" s="255">
        <f>IF(Q648&gt;0,S648*100/Q648,0)</f>
        <v>0</v>
      </c>
      <c r="U648" s="255">
        <f>IF(R648&gt;0,S648*100/R648,0)</f>
        <v>0</v>
      </c>
    </row>
    <row r="649" spans="1:21" ht="18.75" hidden="1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103">
        <v>0</v>
      </c>
      <c r="M649" s="102">
        <v>0</v>
      </c>
      <c r="N649" s="102">
        <v>0</v>
      </c>
      <c r="O649" s="102">
        <f>IF(L649&gt;0,N649*100/L649,0)</f>
        <v>0</v>
      </c>
      <c r="P649" s="102">
        <f>IF(M649&gt;0,N649*100/M649,0)</f>
        <v>0</v>
      </c>
      <c r="Q649" s="102">
        <v>0</v>
      </c>
      <c r="R649" s="102">
        <v>0</v>
      </c>
      <c r="S649" s="102">
        <v>0</v>
      </c>
      <c r="T649" s="102">
        <f>IF(Q649&gt;0,S649*100/Q649,0)</f>
        <v>0</v>
      </c>
      <c r="U649" s="102">
        <f>IF(R649&gt;0,S649*100/R649,0)</f>
        <v>0</v>
      </c>
    </row>
    <row r="650" spans="1:21" ht="18.75" hidden="1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256">
        <v>0</v>
      </c>
      <c r="M650" s="255">
        <v>0</v>
      </c>
      <c r="N650" s="255">
        <v>0</v>
      </c>
      <c r="O650" s="255">
        <f>IF(L650&gt;0,N650*100/L650,0)</f>
        <v>0</v>
      </c>
      <c r="P650" s="255">
        <f>IF(M650&gt;0,N650*100/M650,0)</f>
        <v>0</v>
      </c>
      <c r="Q650" s="255">
        <v>0</v>
      </c>
      <c r="R650" s="255">
        <v>0</v>
      </c>
      <c r="S650" s="255">
        <v>0</v>
      </c>
      <c r="T650" s="255">
        <f>IF(Q650&gt;0,S650*100/Q650,0)</f>
        <v>0</v>
      </c>
      <c r="U650" s="255">
        <f>IF(R650&gt;0,S650*100/R650,0)</f>
        <v>0</v>
      </c>
    </row>
    <row r="651" spans="1:21" ht="19.5" hidden="1">
      <c r="A651" s="166"/>
      <c r="B651" s="167"/>
      <c r="C651" s="239" t="s">
        <v>18</v>
      </c>
      <c r="D651" s="571" t="s">
        <v>38</v>
      </c>
      <c r="E651" s="169"/>
      <c r="F651" s="169"/>
      <c r="G651" s="170"/>
      <c r="H651" s="206"/>
      <c r="I651" s="163"/>
      <c r="J651" s="163"/>
      <c r="K651" s="164"/>
      <c r="L651" s="172"/>
      <c r="M651" s="164"/>
      <c r="N651" s="164"/>
      <c r="O651" s="164"/>
      <c r="P651" s="164"/>
      <c r="Q651" s="55"/>
      <c r="R651" s="55"/>
      <c r="S651" s="55"/>
      <c r="T651" s="164"/>
      <c r="U651" s="164"/>
    </row>
    <row r="652" spans="1:21" ht="18.75" hidden="1">
      <c r="A652" s="238"/>
      <c r="B652" s="188"/>
      <c r="C652" s="188"/>
      <c r="D652" s="58" t="s">
        <v>238</v>
      </c>
      <c r="E652" s="50"/>
      <c r="F652" s="50"/>
      <c r="G652" s="52"/>
      <c r="H652" s="165" t="s">
        <v>46</v>
      </c>
      <c r="I652" s="570">
        <f ca="1">IFERROR(__xludf.DUMMYFUNCTION("IMPORTRANGE(""https://docs.google.com/spreadsheets/d/1eHaY18a8A9IcSdp1K8H6x8fbOy06t2VsZHhMHf-1x7Y/edit?usp=sharing"",""แผน!IF36"")"),0)</f>
        <v>0</v>
      </c>
      <c r="J652" s="212">
        <f ca="1">IFERROR(__xludf.DUMMYFUNCTION("IMPORTRANGE(""https://docs.google.com/spreadsheets/d/1tdoBKaGub7dwA3U6UFTqxio9LNnvDCQjHKmttSEBsFQ/edit?usp=sharing"",""จัดที่ดิน!AU36"")"),0)</f>
        <v>0</v>
      </c>
      <c r="K652" s="255">
        <f ca="1">IF(I652&gt;0,J652*100/I652,0)</f>
        <v>0</v>
      </c>
      <c r="L652" s="62"/>
      <c r="M652" s="55"/>
      <c r="N652" s="468"/>
      <c r="O652" s="55"/>
      <c r="P652" s="55"/>
      <c r="Q652" s="55"/>
      <c r="R652" s="55"/>
      <c r="S652" s="468"/>
      <c r="T652" s="55"/>
      <c r="U652" s="55"/>
    </row>
    <row r="653" spans="1:21" ht="18.75" hidden="1">
      <c r="A653" s="238"/>
      <c r="B653" s="188"/>
      <c r="C653" s="188"/>
      <c r="D653" s="58" t="s">
        <v>239</v>
      </c>
      <c r="E653" s="50"/>
      <c r="F653" s="50"/>
      <c r="G653" s="52"/>
      <c r="H653" s="165" t="s">
        <v>35</v>
      </c>
      <c r="I653" s="570">
        <f ca="1">IFERROR(__xludf.DUMMYFUNCTION("IMPORTRANGE(""https://docs.google.com/spreadsheets/d/1eHaY18a8A9IcSdp1K8H6x8fbOy06t2VsZHhMHf-1x7Y/edit?usp=sharing"",""แผน!IG36"")"),0)</f>
        <v>0</v>
      </c>
      <c r="J653" s="212">
        <f ca="1">IFERROR(__xludf.DUMMYFUNCTION("IMPORTRANGE(""https://docs.google.com/spreadsheets/d/1tdoBKaGub7dwA3U6UFTqxio9LNnvDCQjHKmttSEBsFQ/edit?usp=sharing"",""จัดที่ดิน!AW36"")"),0)</f>
        <v>0</v>
      </c>
      <c r="K653" s="255">
        <f ca="1">IF(I653&gt;0,J653*100/I653,0)</f>
        <v>0</v>
      </c>
      <c r="L653" s="62"/>
      <c r="M653" s="55"/>
      <c r="N653" s="468"/>
      <c r="O653" s="55"/>
      <c r="P653" s="55"/>
      <c r="Q653" s="55"/>
      <c r="R653" s="55"/>
      <c r="S653" s="468"/>
      <c r="T653" s="55"/>
      <c r="U653" s="55"/>
    </row>
    <row r="654" spans="1:21" ht="19.5" hidden="1">
      <c r="A654" s="238"/>
      <c r="B654" s="188"/>
      <c r="C654" s="188"/>
      <c r="D654" s="58" t="s">
        <v>240</v>
      </c>
      <c r="E654" s="50"/>
      <c r="F654" s="50"/>
      <c r="G654" s="52"/>
      <c r="H654" s="461" t="s">
        <v>46</v>
      </c>
      <c r="I654" s="569">
        <f ca="1">IFERROR(__xludf.DUMMYFUNCTION("IMPORTRANGE(""https://docs.google.com/spreadsheets/d/1eHaY18a8A9IcSdp1K8H6x8fbOy06t2VsZHhMHf-1x7Y/edit?usp=sharing"",""แผน!IH36"")"),0)</f>
        <v>0</v>
      </c>
      <c r="J654" s="373">
        <f>J657+J660</f>
        <v>0</v>
      </c>
      <c r="K654" s="540">
        <f ca="1">IF(I654&gt;0,J654*100/I654,0)</f>
        <v>0</v>
      </c>
      <c r="L654" s="62"/>
      <c r="M654" s="55"/>
      <c r="N654" s="468"/>
      <c r="O654" s="55"/>
      <c r="P654" s="55"/>
      <c r="Q654" s="55"/>
      <c r="R654" s="55"/>
      <c r="S654" s="468"/>
      <c r="T654" s="55"/>
      <c r="U654" s="55"/>
    </row>
    <row r="655" spans="1:21" ht="18.75" hidden="1">
      <c r="A655" s="238"/>
      <c r="B655" s="188"/>
      <c r="C655" s="188"/>
      <c r="D655" s="50"/>
      <c r="E655" s="58" t="s">
        <v>241</v>
      </c>
      <c r="F655" s="50"/>
      <c r="G655" s="52"/>
      <c r="H655" s="165" t="s">
        <v>35</v>
      </c>
      <c r="I655" s="208"/>
      <c r="J655" s="467">
        <v>0</v>
      </c>
      <c r="K655" s="55"/>
      <c r="L655" s="62"/>
      <c r="M655" s="55"/>
      <c r="N655" s="468"/>
      <c r="O655" s="55"/>
      <c r="P655" s="55"/>
      <c r="Q655" s="55"/>
      <c r="R655" s="55"/>
      <c r="S655" s="468"/>
      <c r="T655" s="55"/>
      <c r="U655" s="55"/>
    </row>
    <row r="656" spans="1:21" ht="18.75" hidden="1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67">
        <v>0</v>
      </c>
      <c r="K656" s="55"/>
      <c r="L656" s="62"/>
      <c r="M656" s="55"/>
      <c r="N656" s="468"/>
      <c r="O656" s="55"/>
      <c r="P656" s="55"/>
      <c r="Q656" s="55"/>
      <c r="R656" s="55"/>
      <c r="S656" s="468"/>
      <c r="T656" s="55"/>
      <c r="U656" s="55"/>
    </row>
    <row r="657" spans="1:21" ht="18.75" hidden="1">
      <c r="A657" s="238"/>
      <c r="B657" s="188"/>
      <c r="C657" s="188"/>
      <c r="D657" s="50"/>
      <c r="E657" s="50"/>
      <c r="F657" s="50"/>
      <c r="G657" s="52"/>
      <c r="H657" s="165" t="s">
        <v>46</v>
      </c>
      <c r="I657" s="570">
        <f ca="1">IFERROR(__xludf.DUMMYFUNCTION("IMPORTRANGE(""https://docs.google.com/spreadsheets/d/1eHaY18a8A9IcSdp1K8H6x8fbOy06t2VsZHhMHf-1x7Y/edit?usp=sharing"",""แผน!II36"")"),0)</f>
        <v>0</v>
      </c>
      <c r="J657" s="467">
        <v>0</v>
      </c>
      <c r="K657" s="55"/>
      <c r="L657" s="62"/>
      <c r="M657" s="55"/>
      <c r="N657" s="468"/>
      <c r="O657" s="55"/>
      <c r="P657" s="55"/>
      <c r="Q657" s="55"/>
      <c r="R657" s="55"/>
      <c r="S657" s="468"/>
      <c r="T657" s="55"/>
      <c r="U657" s="55"/>
    </row>
    <row r="658" spans="1:21" ht="18.75" hidden="1">
      <c r="A658" s="238"/>
      <c r="B658" s="188"/>
      <c r="C658" s="188"/>
      <c r="D658" s="50"/>
      <c r="E658" s="58" t="s">
        <v>242</v>
      </c>
      <c r="F658" s="50"/>
      <c r="G658" s="52"/>
      <c r="H658" s="165" t="s">
        <v>35</v>
      </c>
      <c r="I658" s="208"/>
      <c r="J658" s="467">
        <v>0</v>
      </c>
      <c r="K658" s="55"/>
      <c r="L658" s="62"/>
      <c r="M658" s="55"/>
      <c r="N658" s="468"/>
      <c r="O658" s="55"/>
      <c r="P658" s="55"/>
      <c r="Q658" s="55"/>
      <c r="R658" s="55"/>
      <c r="S658" s="468"/>
      <c r="T658" s="55"/>
      <c r="U658" s="55"/>
    </row>
    <row r="659" spans="1:21" ht="18.75" hidden="1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67">
        <v>0</v>
      </c>
      <c r="K659" s="55"/>
      <c r="L659" s="62"/>
      <c r="M659" s="55"/>
      <c r="N659" s="468"/>
      <c r="O659" s="55"/>
      <c r="P659" s="55"/>
      <c r="Q659" s="55"/>
      <c r="R659" s="55"/>
      <c r="S659" s="468"/>
      <c r="T659" s="55"/>
      <c r="U659" s="55"/>
    </row>
    <row r="660" spans="1:21" ht="18.75" hidden="1">
      <c r="A660" s="238"/>
      <c r="B660" s="188"/>
      <c r="C660" s="188"/>
      <c r="D660" s="50"/>
      <c r="E660" s="50"/>
      <c r="F660" s="50"/>
      <c r="G660" s="52"/>
      <c r="H660" s="165" t="s">
        <v>46</v>
      </c>
      <c r="I660" s="570">
        <f ca="1">IFERROR(__xludf.DUMMYFUNCTION("IMPORTRANGE(""https://docs.google.com/spreadsheets/d/1eHaY18a8A9IcSdp1K8H6x8fbOy06t2VsZHhMHf-1x7Y/edit?usp=sharing"",""แผน!IJ36"")"),0)</f>
        <v>0</v>
      </c>
      <c r="J660" s="467">
        <v>0</v>
      </c>
      <c r="K660" s="55"/>
      <c r="L660" s="62"/>
      <c r="M660" s="55"/>
      <c r="N660" s="468"/>
      <c r="O660" s="55"/>
      <c r="P660" s="55"/>
      <c r="Q660" s="55"/>
      <c r="R660" s="55"/>
      <c r="S660" s="468"/>
      <c r="T660" s="55"/>
      <c r="U660" s="55"/>
    </row>
    <row r="661" spans="1:21" ht="19.5" hidden="1">
      <c r="A661" s="238"/>
      <c r="B661" s="188"/>
      <c r="C661" s="188"/>
      <c r="D661" s="377" t="s">
        <v>243</v>
      </c>
      <c r="E661" s="50"/>
      <c r="F661" s="50"/>
      <c r="G661" s="52"/>
      <c r="H661" s="461" t="s">
        <v>46</v>
      </c>
      <c r="I661" s="569">
        <f ca="1">IFERROR(__xludf.DUMMYFUNCTION("IMPORTRANGE(""https://docs.google.com/spreadsheets/d/1eHaY18a8A9IcSdp1K8H6x8fbOy06t2VsZHhMHf-1x7Y/edit?usp=sharing"",""แผน!IK36"")"),0)</f>
        <v>0</v>
      </c>
      <c r="J661" s="373">
        <f>J667+J670</f>
        <v>0</v>
      </c>
      <c r="K661" s="540">
        <f ca="1">IF(I661&gt;0,J661*100/I661,0)</f>
        <v>0</v>
      </c>
      <c r="L661" s="62"/>
      <c r="M661" s="55"/>
      <c r="N661" s="468"/>
      <c r="O661" s="55"/>
      <c r="P661" s="55"/>
      <c r="Q661" s="55"/>
      <c r="R661" s="55"/>
      <c r="S661" s="468"/>
      <c r="T661" s="55"/>
      <c r="U661" s="55"/>
    </row>
    <row r="662" spans="1:21" ht="18.75" hidden="1">
      <c r="A662" s="238"/>
      <c r="B662" s="188"/>
      <c r="C662" s="188"/>
      <c r="D662" s="50"/>
      <c r="E662" s="58" t="s">
        <v>244</v>
      </c>
      <c r="F662" s="50"/>
      <c r="G662" s="52"/>
      <c r="H662" s="165" t="s">
        <v>34</v>
      </c>
      <c r="I662" s="208"/>
      <c r="J662" s="467">
        <v>0</v>
      </c>
      <c r="K662" s="55"/>
      <c r="L662" s="469"/>
      <c r="M662" s="55"/>
      <c r="N662" s="468"/>
      <c r="O662" s="55"/>
      <c r="P662" s="55"/>
      <c r="Q662" s="468"/>
      <c r="R662" s="55"/>
      <c r="S662" s="468"/>
      <c r="T662" s="55"/>
      <c r="U662" s="55"/>
    </row>
    <row r="663" spans="1:21" ht="18.75" hidden="1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67">
        <v>0</v>
      </c>
      <c r="K663" s="55"/>
      <c r="L663" s="469"/>
      <c r="M663" s="55"/>
      <c r="N663" s="468"/>
      <c r="O663" s="55"/>
      <c r="P663" s="55"/>
      <c r="Q663" s="468"/>
      <c r="R663" s="55"/>
      <c r="S663" s="468"/>
      <c r="T663" s="55"/>
      <c r="U663" s="55"/>
    </row>
    <row r="664" spans="1:21" ht="18.75" hidden="1">
      <c r="A664" s="238"/>
      <c r="B664" s="188"/>
      <c r="C664" s="188"/>
      <c r="D664" s="50"/>
      <c r="E664" s="58" t="s">
        <v>245</v>
      </c>
      <c r="F664" s="50"/>
      <c r="G664" s="52"/>
      <c r="H664" s="206"/>
      <c r="I664" s="208"/>
      <c r="J664" s="54"/>
      <c r="K664" s="55"/>
      <c r="L664" s="469"/>
      <c r="M664" s="55"/>
      <c r="N664" s="468"/>
      <c r="O664" s="55"/>
      <c r="P664" s="55"/>
      <c r="Q664" s="468"/>
      <c r="R664" s="55"/>
      <c r="S664" s="468"/>
      <c r="T664" s="55"/>
      <c r="U664" s="55"/>
    </row>
    <row r="665" spans="1:21" ht="18.75" hidden="1">
      <c r="A665" s="238"/>
      <c r="B665" s="188"/>
      <c r="C665" s="188"/>
      <c r="D665" s="50"/>
      <c r="E665" s="50"/>
      <c r="F665" s="58" t="s">
        <v>246</v>
      </c>
      <c r="G665" s="52"/>
      <c r="H665" s="165" t="s">
        <v>35</v>
      </c>
      <c r="I665" s="208"/>
      <c r="J665" s="467">
        <v>0</v>
      </c>
      <c r="K665" s="55"/>
      <c r="L665" s="469"/>
      <c r="M665" s="55"/>
      <c r="N665" s="468"/>
      <c r="O665" s="55"/>
      <c r="P665" s="55"/>
      <c r="Q665" s="468"/>
      <c r="R665" s="55"/>
      <c r="S665" s="468"/>
      <c r="T665" s="55"/>
      <c r="U665" s="55"/>
    </row>
    <row r="666" spans="1:21" ht="18.75" hidden="1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67">
        <v>0</v>
      </c>
      <c r="K666" s="55"/>
      <c r="L666" s="469"/>
      <c r="M666" s="55"/>
      <c r="N666" s="468"/>
      <c r="O666" s="55"/>
      <c r="P666" s="55"/>
      <c r="Q666" s="468"/>
      <c r="R666" s="55"/>
      <c r="S666" s="468"/>
      <c r="T666" s="55"/>
      <c r="U666" s="55"/>
    </row>
    <row r="667" spans="1:21" ht="18.75" hidden="1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67">
        <v>0</v>
      </c>
      <c r="K667" s="55"/>
      <c r="L667" s="469"/>
      <c r="M667" s="55"/>
      <c r="N667" s="468"/>
      <c r="O667" s="55"/>
      <c r="P667" s="55"/>
      <c r="Q667" s="468"/>
      <c r="R667" s="55"/>
      <c r="S667" s="468"/>
      <c r="T667" s="55"/>
      <c r="U667" s="55"/>
    </row>
    <row r="668" spans="1:21" ht="18.75" hidden="1">
      <c r="A668" s="238"/>
      <c r="B668" s="188"/>
      <c r="C668" s="188"/>
      <c r="D668" s="50"/>
      <c r="E668" s="50"/>
      <c r="F668" s="58" t="s">
        <v>247</v>
      </c>
      <c r="G668" s="52"/>
      <c r="H668" s="165" t="s">
        <v>35</v>
      </c>
      <c r="I668" s="208"/>
      <c r="J668" s="467">
        <v>0</v>
      </c>
      <c r="K668" s="55"/>
      <c r="L668" s="469"/>
      <c r="M668" s="55"/>
      <c r="N668" s="468"/>
      <c r="O668" s="55"/>
      <c r="P668" s="55"/>
      <c r="Q668" s="468"/>
      <c r="R668" s="55"/>
      <c r="S668" s="468"/>
      <c r="T668" s="55"/>
      <c r="U668" s="55"/>
    </row>
    <row r="669" spans="1:21" ht="18.75" hidden="1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67">
        <v>0</v>
      </c>
      <c r="K669" s="55"/>
      <c r="L669" s="469"/>
      <c r="M669" s="55"/>
      <c r="N669" s="468"/>
      <c r="O669" s="55"/>
      <c r="P669" s="55"/>
      <c r="Q669" s="468"/>
      <c r="R669" s="55"/>
      <c r="S669" s="468"/>
      <c r="T669" s="55"/>
      <c r="U669" s="55"/>
    </row>
    <row r="670" spans="1:21" ht="18.75" hidden="1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67">
        <v>0</v>
      </c>
      <c r="K670" s="55"/>
      <c r="L670" s="469"/>
      <c r="M670" s="55"/>
      <c r="N670" s="468"/>
      <c r="O670" s="55"/>
      <c r="P670" s="55"/>
      <c r="Q670" s="468"/>
      <c r="R670" s="55"/>
      <c r="S670" s="468"/>
      <c r="T670" s="55"/>
      <c r="U670" s="55"/>
    </row>
    <row r="671" spans="1:21" ht="18.75" hidden="1">
      <c r="A671" s="238"/>
      <c r="B671" s="188"/>
      <c r="C671" s="188"/>
      <c r="D671" s="58" t="s">
        <v>248</v>
      </c>
      <c r="E671" s="50"/>
      <c r="F671" s="50"/>
      <c r="G671" s="52"/>
      <c r="H671" s="165" t="s">
        <v>35</v>
      </c>
      <c r="I671" s="208"/>
      <c r="J671" s="212">
        <f ca="1">IFERROR(__xludf.DUMMYFUNCTION("IMPORTRANGE(""https://docs.google.com/spreadsheets/d/1tdoBKaGub7dwA3U6UFTqxio9LNnvDCQjHKmttSEBsFQ/edit?usp=sharing"",""จัดที่ดิน!AY36"")"),0)</f>
        <v>0</v>
      </c>
      <c r="K671" s="55"/>
      <c r="L671" s="62"/>
      <c r="M671" s="55"/>
      <c r="N671" s="468"/>
      <c r="O671" s="55"/>
      <c r="P671" s="55"/>
      <c r="Q671" s="55"/>
      <c r="R671" s="55"/>
      <c r="S671" s="468"/>
      <c r="T671" s="55"/>
      <c r="U671" s="55"/>
    </row>
    <row r="672" spans="1:21" ht="18.75" hidden="1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212">
        <f ca="1">IFERROR(__xludf.DUMMYFUNCTION("IMPORTRANGE(""https://docs.google.com/spreadsheets/d/1tdoBKaGub7dwA3U6UFTqxio9LNnvDCQjHKmttSEBsFQ/edit?usp=sharing"",""จัดที่ดิน!AZ36"")"),0)</f>
        <v>0</v>
      </c>
      <c r="K672" s="55"/>
      <c r="L672" s="469"/>
      <c r="M672" s="55"/>
      <c r="N672" s="468"/>
      <c r="O672" s="55"/>
      <c r="P672" s="55"/>
      <c r="Q672" s="468"/>
      <c r="R672" s="55"/>
      <c r="S672" s="468"/>
      <c r="T672" s="55"/>
      <c r="U672" s="55"/>
    </row>
    <row r="673" spans="1:21" ht="18.75" hidden="1">
      <c r="A673" s="238"/>
      <c r="B673" s="188"/>
      <c r="C673" s="188"/>
      <c r="D673" s="50"/>
      <c r="E673" s="50"/>
      <c r="F673" s="50"/>
      <c r="G673" s="52"/>
      <c r="H673" s="165" t="s">
        <v>46</v>
      </c>
      <c r="I673" s="570">
        <f ca="1">IFERROR(__xludf.DUMMYFUNCTION("IMPORTRANGE(""https://docs.google.com/spreadsheets/d/1eHaY18a8A9IcSdp1K8H6x8fbOy06t2VsZHhMHf-1x7Y/edit?usp=sharing"",""แผน!IL36"")"),0)</f>
        <v>0</v>
      </c>
      <c r="J673" s="212">
        <f ca="1">IFERROR(__xludf.DUMMYFUNCTION("IMPORTRANGE(""https://docs.google.com/spreadsheets/d/1tdoBKaGub7dwA3U6UFTqxio9LNnvDCQjHKmttSEBsFQ/edit?usp=sharing"",""จัดที่ดิน!BA36"")"),0)</f>
        <v>0</v>
      </c>
      <c r="K673" s="255">
        <f ca="1">IF(I673&gt;0,J673*100/I673,0)</f>
        <v>0</v>
      </c>
      <c r="L673" s="469"/>
      <c r="M673" s="55"/>
      <c r="N673" s="468"/>
      <c r="O673" s="55"/>
      <c r="P673" s="55"/>
      <c r="Q673" s="468"/>
      <c r="R673" s="55"/>
      <c r="S673" s="468"/>
      <c r="T673" s="55"/>
      <c r="U673" s="55"/>
    </row>
    <row r="674" spans="1:21" ht="19.5" hidden="1">
      <c r="A674" s="238"/>
      <c r="B674" s="188"/>
      <c r="C674" s="188"/>
      <c r="D674" s="58" t="s">
        <v>249</v>
      </c>
      <c r="E674" s="50"/>
      <c r="F674" s="50"/>
      <c r="G674" s="52"/>
      <c r="H674" s="461" t="s">
        <v>35</v>
      </c>
      <c r="I674" s="569">
        <f ca="1">IFERROR(__xludf.DUMMYFUNCTION("IMPORTRANGE(""https://docs.google.com/spreadsheets/d/1eHaY18a8A9IcSdp1K8H6x8fbOy06t2VsZHhMHf-1x7Y/edit?usp=sharing"",""แผน!IM36"")"),0)</f>
        <v>0</v>
      </c>
      <c r="J674" s="373">
        <f ca="1">J676+J679</f>
        <v>0</v>
      </c>
      <c r="K674" s="540">
        <f ca="1">IF(I674&gt;0,J674*100/I674,0)</f>
        <v>0</v>
      </c>
      <c r="L674" s="469"/>
      <c r="M674" s="55"/>
      <c r="N674" s="468"/>
      <c r="O674" s="55"/>
      <c r="P674" s="55"/>
      <c r="Q674" s="468"/>
      <c r="R674" s="55"/>
      <c r="S674" s="468"/>
      <c r="T674" s="55"/>
      <c r="U674" s="55"/>
    </row>
    <row r="675" spans="1:21" ht="19.5" hidden="1">
      <c r="A675" s="238"/>
      <c r="B675" s="188"/>
      <c r="C675" s="188"/>
      <c r="D675" s="50"/>
      <c r="E675" s="50"/>
      <c r="F675" s="50"/>
      <c r="G675" s="52"/>
      <c r="H675" s="461" t="s">
        <v>46</v>
      </c>
      <c r="I675" s="569">
        <f ca="1">IFERROR(__xludf.DUMMYFUNCTION("IMPORTRANGE(""https://docs.google.com/spreadsheets/d/1eHaY18a8A9IcSdp1K8H6x8fbOy06t2VsZHhMHf-1x7Y/edit?usp=sharing"",""แผน!IN36"")"),0)</f>
        <v>0</v>
      </c>
      <c r="J675" s="373">
        <f ca="1">J678+J681</f>
        <v>0</v>
      </c>
      <c r="K675" s="540">
        <f ca="1">IF(I675&gt;0,J675*100/I675,0)</f>
        <v>0</v>
      </c>
      <c r="L675" s="62"/>
      <c r="M675" s="55"/>
      <c r="N675" s="468"/>
      <c r="O675" s="55"/>
      <c r="P675" s="55"/>
      <c r="Q675" s="55"/>
      <c r="R675" s="55"/>
      <c r="S675" s="468"/>
      <c r="T675" s="55"/>
      <c r="U675" s="55"/>
    </row>
    <row r="676" spans="1:21" ht="18.75" hidden="1">
      <c r="A676" s="238"/>
      <c r="B676" s="188"/>
      <c r="C676" s="188"/>
      <c r="D676" s="50"/>
      <c r="E676" s="58" t="s">
        <v>250</v>
      </c>
      <c r="F676" s="50"/>
      <c r="G676" s="52"/>
      <c r="H676" s="165" t="s">
        <v>35</v>
      </c>
      <c r="I676" s="570">
        <f ca="1">IFERROR(__xludf.DUMMYFUNCTION("IMPORTRANGE(""https://docs.google.com/spreadsheets/d/1eHaY18a8A9IcSdp1K8H6x8fbOy06t2VsZHhMHf-1x7Y/edit?usp=sharing"",""แผน!IO36"")"),0)</f>
        <v>0</v>
      </c>
      <c r="J676" s="212">
        <f ca="1">IFERROR(__xludf.DUMMYFUNCTION("IMPORTRANGE(""https://docs.google.com/spreadsheets/d/1tdoBKaGub7dwA3U6UFTqxio9LNnvDCQjHKmttSEBsFQ/edit?usp=sharing"",""จัดที่ดิน!BF36"")"),0)</f>
        <v>0</v>
      </c>
      <c r="K676" s="255">
        <f ca="1">IF(I676&gt;0,J676*100/I676,0)</f>
        <v>0</v>
      </c>
      <c r="L676" s="62"/>
      <c r="M676" s="55"/>
      <c r="N676" s="468"/>
      <c r="O676" s="55"/>
      <c r="P676" s="55"/>
      <c r="Q676" s="55"/>
      <c r="R676" s="55"/>
      <c r="S676" s="468"/>
      <c r="T676" s="55"/>
      <c r="U676" s="55"/>
    </row>
    <row r="677" spans="1:21" ht="18.75" hidden="1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212">
        <f ca="1">IFERROR(__xludf.DUMMYFUNCTION("IMPORTRANGE(""https://docs.google.com/spreadsheets/d/1tdoBKaGub7dwA3U6UFTqxio9LNnvDCQjHKmttSEBsFQ/edit?usp=sharing"",""จัดที่ดิน!BG36"")"),0)</f>
        <v>0</v>
      </c>
      <c r="K677" s="55"/>
      <c r="L677" s="469"/>
      <c r="M677" s="55"/>
      <c r="N677" s="468"/>
      <c r="O677" s="55"/>
      <c r="P677" s="55"/>
      <c r="Q677" s="468"/>
      <c r="R677" s="55"/>
      <c r="S677" s="468"/>
      <c r="T677" s="55"/>
      <c r="U677" s="55"/>
    </row>
    <row r="678" spans="1:21" ht="18.75" hidden="1">
      <c r="A678" s="238"/>
      <c r="B678" s="188"/>
      <c r="C678" s="188"/>
      <c r="D678" s="50"/>
      <c r="E678" s="50"/>
      <c r="F678" s="50"/>
      <c r="G678" s="52"/>
      <c r="H678" s="165" t="s">
        <v>46</v>
      </c>
      <c r="I678" s="570">
        <f ca="1">IFERROR(__xludf.DUMMYFUNCTION("IMPORTRANGE(""https://docs.google.com/spreadsheets/d/1eHaY18a8A9IcSdp1K8H6x8fbOy06t2VsZHhMHf-1x7Y/edit?usp=sharing"",""แผน!IP36"")"),0)</f>
        <v>0</v>
      </c>
      <c r="J678" s="212">
        <f ca="1">IFERROR(__xludf.DUMMYFUNCTION("IMPORTRANGE(""https://docs.google.com/spreadsheets/d/1tdoBKaGub7dwA3U6UFTqxio9LNnvDCQjHKmttSEBsFQ/edit?usp=sharing"",""จัดที่ดิน!BH36"")"),0)</f>
        <v>0</v>
      </c>
      <c r="K678" s="255">
        <f ca="1">IF(I678&gt;0,J678*100/I678,0)</f>
        <v>0</v>
      </c>
      <c r="L678" s="469"/>
      <c r="M678" s="55"/>
      <c r="N678" s="468"/>
      <c r="O678" s="55"/>
      <c r="P678" s="55"/>
      <c r="Q678" s="468"/>
      <c r="R678" s="55"/>
      <c r="S678" s="468"/>
      <c r="T678" s="55"/>
      <c r="U678" s="55"/>
    </row>
    <row r="679" spans="1:21" ht="18.75" hidden="1">
      <c r="A679" s="238"/>
      <c r="B679" s="188"/>
      <c r="C679" s="188"/>
      <c r="D679" s="50"/>
      <c r="E679" s="58" t="s">
        <v>251</v>
      </c>
      <c r="F679" s="50"/>
      <c r="G679" s="52"/>
      <c r="H679" s="165" t="s">
        <v>35</v>
      </c>
      <c r="I679" s="570">
        <f ca="1">IFERROR(__xludf.DUMMYFUNCTION("IMPORTRANGE(""https://docs.google.com/spreadsheets/d/1eHaY18a8A9IcSdp1K8H6x8fbOy06t2VsZHhMHf-1x7Y/edit?usp=sharing"",""แผน!IQ36"")"),0)</f>
        <v>0</v>
      </c>
      <c r="J679" s="212">
        <f ca="1">IFERROR(__xludf.DUMMYFUNCTION("IMPORTRANGE(""https://docs.google.com/spreadsheets/d/1tdoBKaGub7dwA3U6UFTqxio9LNnvDCQjHKmttSEBsFQ/edit?usp=sharing"",""จัดที่ดิน!BK36"")"),0)</f>
        <v>0</v>
      </c>
      <c r="K679" s="255">
        <f ca="1">IF(I679&gt;0,J679*100/I679,0)</f>
        <v>0</v>
      </c>
      <c r="L679" s="62"/>
      <c r="M679" s="55"/>
      <c r="N679" s="468"/>
      <c r="O679" s="55"/>
      <c r="P679" s="55"/>
      <c r="Q679" s="55"/>
      <c r="R679" s="55"/>
      <c r="S679" s="468"/>
      <c r="T679" s="55"/>
      <c r="U679" s="55"/>
    </row>
    <row r="680" spans="1:21" ht="18.75" hidden="1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212">
        <f ca="1">IFERROR(__xludf.DUMMYFUNCTION("IMPORTRANGE(""https://docs.google.com/spreadsheets/d/1tdoBKaGub7dwA3U6UFTqxio9LNnvDCQjHKmttSEBsFQ/edit?usp=sharing"",""จัดที่ดิน!BL36"")"),0)</f>
        <v>0</v>
      </c>
      <c r="K680" s="55"/>
      <c r="L680" s="469"/>
      <c r="M680" s="55"/>
      <c r="N680" s="468"/>
      <c r="O680" s="55"/>
      <c r="P680" s="55"/>
      <c r="Q680" s="468"/>
      <c r="R680" s="55"/>
      <c r="S680" s="468"/>
      <c r="T680" s="55"/>
      <c r="U680" s="55"/>
    </row>
    <row r="681" spans="1:21" ht="18.75" hidden="1">
      <c r="A681" s="238"/>
      <c r="B681" s="188"/>
      <c r="C681" s="188"/>
      <c r="D681" s="50"/>
      <c r="E681" s="50"/>
      <c r="F681" s="50"/>
      <c r="G681" s="52"/>
      <c r="H681" s="165" t="s">
        <v>46</v>
      </c>
      <c r="I681" s="570">
        <f ca="1">IFERROR(__xludf.DUMMYFUNCTION("IMPORTRANGE(""https://docs.google.com/spreadsheets/d/1eHaY18a8A9IcSdp1K8H6x8fbOy06t2VsZHhMHf-1x7Y/edit?usp=sharing"",""แผน!IR36"")"),0)</f>
        <v>0</v>
      </c>
      <c r="J681" s="212">
        <f ca="1">IFERROR(__xludf.DUMMYFUNCTION("IMPORTRANGE(""https://docs.google.com/spreadsheets/d/1tdoBKaGub7dwA3U6UFTqxio9LNnvDCQjHKmttSEBsFQ/edit?usp=sharing"",""จัดที่ดิน!BM36"")"),0)</f>
        <v>0</v>
      </c>
      <c r="K681" s="255">
        <f ca="1">IF(I681&gt;0,J681*100/I681,0)</f>
        <v>0</v>
      </c>
      <c r="L681" s="469"/>
      <c r="M681" s="55"/>
      <c r="N681" s="468"/>
      <c r="O681" s="55"/>
      <c r="P681" s="55"/>
      <c r="Q681" s="468"/>
      <c r="R681" s="55"/>
      <c r="S681" s="468"/>
      <c r="T681" s="55"/>
      <c r="U681" s="55"/>
    </row>
    <row r="682" spans="1:21" ht="19.5" hidden="1">
      <c r="A682" s="238"/>
      <c r="B682" s="188"/>
      <c r="C682" s="188"/>
      <c r="D682" s="58" t="s">
        <v>252</v>
      </c>
      <c r="E682" s="50"/>
      <c r="F682" s="50"/>
      <c r="G682" s="52"/>
      <c r="H682" s="461" t="s">
        <v>46</v>
      </c>
      <c r="I682" s="569">
        <f ca="1">IFERROR(__xludf.DUMMYFUNCTION("IMPORTRANGE(""https://docs.google.com/spreadsheets/d/1eHaY18a8A9IcSdp1K8H6x8fbOy06t2VsZHhMHf-1x7Y/edit?usp=sharing"",""แผน!IS36"")"),0)</f>
        <v>0</v>
      </c>
      <c r="J682" s="373">
        <f>J685+J688</f>
        <v>0</v>
      </c>
      <c r="K682" s="540">
        <f ca="1">IF(I682&gt;0,J682*100/I682,0)</f>
        <v>0</v>
      </c>
      <c r="L682" s="62"/>
      <c r="M682" s="55"/>
      <c r="N682" s="468"/>
      <c r="O682" s="55"/>
      <c r="P682" s="55"/>
      <c r="Q682" s="55"/>
      <c r="R682" s="55"/>
      <c r="S682" s="468"/>
      <c r="T682" s="55"/>
      <c r="U682" s="55"/>
    </row>
    <row r="683" spans="1:21" ht="18.75" hidden="1">
      <c r="A683" s="238"/>
      <c r="B683" s="188"/>
      <c r="C683" s="188"/>
      <c r="D683" s="50"/>
      <c r="E683" s="58" t="s">
        <v>253</v>
      </c>
      <c r="F683" s="50"/>
      <c r="G683" s="52"/>
      <c r="H683" s="165" t="s">
        <v>35</v>
      </c>
      <c r="I683" s="208"/>
      <c r="J683" s="467">
        <v>0</v>
      </c>
      <c r="K683" s="55"/>
      <c r="L683" s="469"/>
      <c r="M683" s="55"/>
      <c r="N683" s="468"/>
      <c r="O683" s="55"/>
      <c r="P683" s="55"/>
      <c r="Q683" s="468"/>
      <c r="R683" s="55"/>
      <c r="S683" s="468"/>
      <c r="T683" s="55"/>
      <c r="U683" s="55"/>
    </row>
    <row r="684" spans="1:21" ht="18.75" hidden="1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467">
        <v>0</v>
      </c>
      <c r="K684" s="55"/>
      <c r="L684" s="469"/>
      <c r="M684" s="55"/>
      <c r="N684" s="468"/>
      <c r="O684" s="55"/>
      <c r="P684" s="55"/>
      <c r="Q684" s="468"/>
      <c r="R684" s="55"/>
      <c r="S684" s="468"/>
      <c r="T684" s="55"/>
      <c r="U684" s="55"/>
    </row>
    <row r="685" spans="1:21" ht="18.75" hidden="1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467">
        <v>0</v>
      </c>
      <c r="K685" s="55"/>
      <c r="L685" s="469"/>
      <c r="M685" s="55"/>
      <c r="N685" s="468"/>
      <c r="O685" s="55"/>
      <c r="P685" s="55"/>
      <c r="Q685" s="468"/>
      <c r="R685" s="55"/>
      <c r="S685" s="468"/>
      <c r="T685" s="55"/>
      <c r="U685" s="55"/>
    </row>
    <row r="686" spans="1:21" ht="18.75" hidden="1">
      <c r="A686" s="238"/>
      <c r="B686" s="188"/>
      <c r="C686" s="188"/>
      <c r="D686" s="50"/>
      <c r="E686" s="58" t="s">
        <v>254</v>
      </c>
      <c r="F686" s="50"/>
      <c r="G686" s="52"/>
      <c r="H686" s="165" t="s">
        <v>35</v>
      </c>
      <c r="I686" s="208"/>
      <c r="J686" s="467">
        <v>0</v>
      </c>
      <c r="K686" s="55"/>
      <c r="L686" s="469"/>
      <c r="M686" s="55"/>
      <c r="N686" s="468"/>
      <c r="O686" s="55"/>
      <c r="P686" s="55"/>
      <c r="Q686" s="468"/>
      <c r="R686" s="55"/>
      <c r="S686" s="468"/>
      <c r="T686" s="55"/>
      <c r="U686" s="55"/>
    </row>
    <row r="687" spans="1:21" ht="18.75" hidden="1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467">
        <v>0</v>
      </c>
      <c r="K687" s="55"/>
      <c r="L687" s="469"/>
      <c r="M687" s="55"/>
      <c r="N687" s="468"/>
      <c r="O687" s="55"/>
      <c r="P687" s="55"/>
      <c r="Q687" s="468"/>
      <c r="R687" s="55"/>
      <c r="S687" s="468"/>
      <c r="T687" s="55"/>
      <c r="U687" s="55"/>
    </row>
    <row r="688" spans="1:21" ht="19.5" hidden="1">
      <c r="A688" s="281"/>
      <c r="B688" s="470" t="s">
        <v>255</v>
      </c>
      <c r="C688" s="282"/>
      <c r="D688" s="2"/>
      <c r="E688" s="2"/>
      <c r="F688" s="2"/>
      <c r="G688" s="284"/>
      <c r="H688" s="214" t="s">
        <v>46</v>
      </c>
      <c r="I688" s="375"/>
      <c r="J688" s="538">
        <v>0</v>
      </c>
      <c r="K688" s="6"/>
      <c r="L688" s="472"/>
      <c r="M688" s="6"/>
      <c r="N688" s="471"/>
      <c r="O688" s="6"/>
      <c r="P688" s="6"/>
      <c r="Q688" s="471"/>
      <c r="R688" s="6"/>
      <c r="S688" s="471"/>
      <c r="T688" s="6"/>
      <c r="U688" s="6"/>
    </row>
    <row r="689" spans="1:21" ht="19.5">
      <c r="A689" s="442"/>
      <c r="B689" s="443" t="s">
        <v>256</v>
      </c>
      <c r="C689" s="442"/>
      <c r="D689" s="444"/>
      <c r="E689" s="444"/>
      <c r="F689" s="444"/>
      <c r="G689" s="445"/>
      <c r="H689" s="473" t="s">
        <v>35</v>
      </c>
      <c r="I689" s="544">
        <f ca="1">I707</f>
        <v>1000</v>
      </c>
      <c r="J689" s="544">
        <f ca="1">J707</f>
        <v>0</v>
      </c>
      <c r="K689" s="543">
        <f ca="1">IF(I689&gt;0,J689*100/I689,0)</f>
        <v>0</v>
      </c>
      <c r="L689" s="449"/>
      <c r="M689" s="448"/>
      <c r="N689" s="448"/>
      <c r="O689" s="448"/>
      <c r="P689" s="448"/>
      <c r="Q689" s="448"/>
      <c r="R689" s="448"/>
      <c r="S689" s="448"/>
      <c r="T689" s="448"/>
      <c r="U689" s="448"/>
    </row>
    <row r="690" spans="1:21" ht="19.5">
      <c r="A690" s="155"/>
      <c r="B690" s="188"/>
      <c r="C690" s="205" t="s">
        <v>18</v>
      </c>
      <c r="D690" s="542" t="s">
        <v>19</v>
      </c>
      <c r="E690" s="529"/>
      <c r="F690" s="529"/>
      <c r="G690" s="530"/>
      <c r="H690" s="252" t="s">
        <v>14</v>
      </c>
      <c r="I690" s="54"/>
      <c r="J690" s="54"/>
      <c r="K690" s="55"/>
      <c r="L690" s="541">
        <f>L691+L692</f>
        <v>0</v>
      </c>
      <c r="M690" s="540">
        <f>M691+M692</f>
        <v>0</v>
      </c>
      <c r="N690" s="540">
        <f>N691+N692</f>
        <v>0</v>
      </c>
      <c r="O690" s="540">
        <f>IF(L690&gt;0,N690*100/L690,0)</f>
        <v>0</v>
      </c>
      <c r="P690" s="540">
        <f>IF(M690&gt;0,N690*100/M690,0)</f>
        <v>0</v>
      </c>
      <c r="Q690" s="540">
        <f ca="1">Q691+Q692</f>
        <v>1142900</v>
      </c>
      <c r="R690" s="540">
        <f ca="1">R691+R692</f>
        <v>1142900</v>
      </c>
      <c r="S690" s="540">
        <f ca="1">S691+S692</f>
        <v>354339.72</v>
      </c>
      <c r="T690" s="540">
        <f ca="1">IF(Q690&gt;0,S690*100/Q690,0)</f>
        <v>31.00356286639251</v>
      </c>
      <c r="U690" s="540">
        <f ca="1">IF(R690&gt;0,S690*100/R690,0)</f>
        <v>31.00356286639251</v>
      </c>
    </row>
    <row r="691" spans="1:21" ht="18.75" hidden="1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103">
        <f>L694+L697</f>
        <v>0</v>
      </c>
      <c r="M691" s="102">
        <f>M694+M697</f>
        <v>0</v>
      </c>
      <c r="N691" s="102">
        <f>N694+N697</f>
        <v>0</v>
      </c>
      <c r="O691" s="102">
        <f>IF(L691&gt;0,N691*100/L691,0)</f>
        <v>0</v>
      </c>
      <c r="P691" s="102">
        <f>IF(M691&gt;0,N691*100/M691,0)</f>
        <v>0</v>
      </c>
      <c r="Q691" s="102">
        <f>Q694+Q697</f>
        <v>0</v>
      </c>
      <c r="R691" s="102">
        <f>R694+R697</f>
        <v>0</v>
      </c>
      <c r="S691" s="102">
        <f>S694+S697</f>
        <v>0</v>
      </c>
      <c r="T691" s="102">
        <f>IF(Q691&gt;0,S691*100/Q691,0)</f>
        <v>0</v>
      </c>
      <c r="U691" s="102">
        <f>IF(R691&gt;0,S691*100/R691,0)</f>
        <v>0</v>
      </c>
    </row>
    <row r="692" spans="1:21" ht="18.75" hidden="1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256">
        <f>L695+L698</f>
        <v>0</v>
      </c>
      <c r="M692" s="255">
        <f>M695+M698</f>
        <v>0</v>
      </c>
      <c r="N692" s="255">
        <f>N695+N698</f>
        <v>0</v>
      </c>
      <c r="O692" s="255">
        <f>IF(L692&gt;0,N692*100/L692,0)</f>
        <v>0</v>
      </c>
      <c r="P692" s="255">
        <f>IF(M692&gt;0,N692*100/M692,0)</f>
        <v>0</v>
      </c>
      <c r="Q692" s="255">
        <f ca="1">Q695+Q698</f>
        <v>1142900</v>
      </c>
      <c r="R692" s="255">
        <f ca="1">R695+R698</f>
        <v>1142900</v>
      </c>
      <c r="S692" s="255">
        <f ca="1">S695+S698</f>
        <v>354339.72</v>
      </c>
      <c r="T692" s="255">
        <f ca="1">IF(Q692&gt;0,S692*100/Q692,0)</f>
        <v>31.00356286639251</v>
      </c>
      <c r="U692" s="255">
        <f ca="1">IF(R692&gt;0,S692*100/R692,0)</f>
        <v>31.00356286639251</v>
      </c>
    </row>
    <row r="693" spans="1:21" ht="18.75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256">
        <f>L694+L695</f>
        <v>0</v>
      </c>
      <c r="M693" s="255">
        <f>M694+M695</f>
        <v>0</v>
      </c>
      <c r="N693" s="255">
        <f>N694+N695</f>
        <v>0</v>
      </c>
      <c r="O693" s="255">
        <f>IF(L693&gt;0,N693*100/L693,0)</f>
        <v>0</v>
      </c>
      <c r="P693" s="255">
        <f>IF(M693&gt;0,N693*100/M693,0)</f>
        <v>0</v>
      </c>
      <c r="Q693" s="255">
        <f ca="1">Q694+Q695</f>
        <v>1142900</v>
      </c>
      <c r="R693" s="255">
        <f ca="1">R694+R695</f>
        <v>1142900</v>
      </c>
      <c r="S693" s="255">
        <f ca="1">S694+S695</f>
        <v>354339.72</v>
      </c>
      <c r="T693" s="255">
        <f ca="1">IF(Q693&gt;0,S693*100/Q693,0)</f>
        <v>31.00356286639251</v>
      </c>
      <c r="U693" s="255">
        <f ca="1">IF(R693&gt;0,S693*100/R693,0)</f>
        <v>31.00356286639251</v>
      </c>
    </row>
    <row r="694" spans="1:21" ht="18.75" hidden="1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103">
        <v>0</v>
      </c>
      <c r="M694" s="102">
        <v>0</v>
      </c>
      <c r="N694" s="102">
        <v>0</v>
      </c>
      <c r="O694" s="102">
        <f>IF(L694&gt;0,N694*100/L694,0)</f>
        <v>0</v>
      </c>
      <c r="P694" s="102">
        <f>IF(M694&gt;0,N694*100/M694,0)</f>
        <v>0</v>
      </c>
      <c r="Q694" s="102">
        <v>0</v>
      </c>
      <c r="R694" s="102">
        <v>0</v>
      </c>
      <c r="S694" s="102">
        <v>0</v>
      </c>
      <c r="T694" s="102">
        <f>IF(Q694&gt;0,S694*100/Q694,0)</f>
        <v>0</v>
      </c>
      <c r="U694" s="102">
        <f>IF(R694&gt;0,S694*100/R694,0)</f>
        <v>0</v>
      </c>
    </row>
    <row r="695" spans="1:21" ht="18.75" hidden="1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256">
        <v>0</v>
      </c>
      <c r="M695" s="255">
        <v>0</v>
      </c>
      <c r="N695" s="255">
        <v>0</v>
      </c>
      <c r="O695" s="255">
        <f>IF(L695&gt;0,N695*100/L695,0)</f>
        <v>0</v>
      </c>
      <c r="P695" s="255">
        <f>IF(M695&gt;0,N695*100/M695,0)</f>
        <v>0</v>
      </c>
      <c r="Q695" s="255">
        <f ca="1">IFERROR(__xludf.DUMMYFUNCTION("IMPORTRANGE(""https://docs.google.com/spreadsheets/d/1ItG2mGa2ceCfYo0BwxsXqNm01IGEUdYcSSLTEv9YCik/edit?usp=sharing"",""เบิกจ่ายกองทุน!L36"")"),1142900)</f>
        <v>1142900</v>
      </c>
      <c r="R695" s="255">
        <f ca="1">IFERROR(__xludf.DUMMYFUNCTION("IMPORTRANGE(""https://docs.google.com/spreadsheets/d/1ItG2mGa2ceCfYo0BwxsXqNm01IGEUdYcSSLTEv9YCik/edit?usp=sharing"",""เบิกจ่ายกองทุน!M36"")"),1142900)</f>
        <v>1142900</v>
      </c>
      <c r="S695" s="255">
        <f ca="1">IFERROR(__xludf.DUMMYFUNCTION("IMPORTRANGE(""https://docs.google.com/spreadsheets/d/1ItG2mGa2ceCfYo0BwxsXqNm01IGEUdYcSSLTEv9YCik/edit?usp=sharing"",""เบิกจ่ายกองทุน!N36"")"),354339.72)</f>
        <v>354339.72</v>
      </c>
      <c r="T695" s="255">
        <f ca="1">IF(Q695&gt;0,S695*100/Q695,0)</f>
        <v>31.00356286639251</v>
      </c>
      <c r="U695" s="255">
        <f ca="1">IF(R695&gt;0,S695*100/R695,0)</f>
        <v>31.00356286639251</v>
      </c>
    </row>
    <row r="696" spans="1:21" ht="18.75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256">
        <f>L697+L698</f>
        <v>0</v>
      </c>
      <c r="M696" s="255">
        <f>M697+M698</f>
        <v>0</v>
      </c>
      <c r="N696" s="255">
        <f>N697+N698</f>
        <v>0</v>
      </c>
      <c r="O696" s="255">
        <f>IF(L696&gt;0,N696*100/L696,0)</f>
        <v>0</v>
      </c>
      <c r="P696" s="255">
        <f>IF(M696&gt;0,N696*100/M696,0)</f>
        <v>0</v>
      </c>
      <c r="Q696" s="255">
        <f>Q697+Q698</f>
        <v>0</v>
      </c>
      <c r="R696" s="255">
        <f>R697+R698</f>
        <v>0</v>
      </c>
      <c r="S696" s="255">
        <f>S697+S698</f>
        <v>0</v>
      </c>
      <c r="T696" s="255">
        <f>IF(Q696&gt;0,S696*100/Q696,0)</f>
        <v>0</v>
      </c>
      <c r="U696" s="255">
        <f>IF(R696&gt;0,S696*100/R696,0)</f>
        <v>0</v>
      </c>
    </row>
    <row r="697" spans="1:21" ht="18.75" hidden="1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103">
        <v>0</v>
      </c>
      <c r="M697" s="102">
        <v>0</v>
      </c>
      <c r="N697" s="102">
        <v>0</v>
      </c>
      <c r="O697" s="102">
        <f>IF(L697&gt;0,N697*100/L697,0)</f>
        <v>0</v>
      </c>
      <c r="P697" s="102">
        <f>IF(M697&gt;0,N697*100/M697,0)</f>
        <v>0</v>
      </c>
      <c r="Q697" s="102">
        <v>0</v>
      </c>
      <c r="R697" s="102">
        <v>0</v>
      </c>
      <c r="S697" s="102">
        <v>0</v>
      </c>
      <c r="T697" s="102">
        <f>IF(Q697&gt;0,S697*100/Q697,0)</f>
        <v>0</v>
      </c>
      <c r="U697" s="102">
        <f>IF(R697&gt;0,S697*100/R697,0)</f>
        <v>0</v>
      </c>
    </row>
    <row r="698" spans="1:21" ht="18.75" hidden="1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256">
        <v>0</v>
      </c>
      <c r="M698" s="255">
        <v>0</v>
      </c>
      <c r="N698" s="255">
        <v>0</v>
      </c>
      <c r="O698" s="255">
        <f>IF(L698&gt;0,N698*100/L698,0)</f>
        <v>0</v>
      </c>
      <c r="P698" s="255">
        <f>IF(M698&gt;0,N698*100/M698,0)</f>
        <v>0</v>
      </c>
      <c r="Q698" s="255">
        <v>0</v>
      </c>
      <c r="R698" s="255">
        <v>0</v>
      </c>
      <c r="S698" s="255">
        <v>0</v>
      </c>
      <c r="T698" s="255">
        <f>IF(Q698&gt;0,S698*100/Q698,0)</f>
        <v>0</v>
      </c>
      <c r="U698" s="255">
        <f>IF(R698&gt;0,S698*100/R698,0)</f>
        <v>0</v>
      </c>
    </row>
    <row r="699" spans="1:21" ht="19.5">
      <c r="A699" s="166"/>
      <c r="B699" s="167"/>
      <c r="C699" s="205" t="s">
        <v>18</v>
      </c>
      <c r="D699" s="566" t="s">
        <v>38</v>
      </c>
      <c r="E699" s="169"/>
      <c r="F699" s="169"/>
      <c r="G699" s="169"/>
      <c r="H699" s="206"/>
      <c r="I699" s="163"/>
      <c r="J699" s="163"/>
      <c r="K699" s="164"/>
      <c r="L699" s="62"/>
      <c r="M699" s="55"/>
      <c r="N699" s="55"/>
      <c r="O699" s="55"/>
      <c r="P699" s="55"/>
      <c r="Q699" s="55"/>
      <c r="R699" s="55"/>
      <c r="S699" s="55"/>
      <c r="T699" s="55"/>
      <c r="U699" s="55"/>
    </row>
    <row r="700" spans="1:21" ht="18.75">
      <c r="A700" s="238"/>
      <c r="B700" s="188"/>
      <c r="C700" s="188"/>
      <c r="D700" s="174"/>
      <c r="E700" s="173" t="s">
        <v>257</v>
      </c>
      <c r="F700" s="174"/>
      <c r="G700" s="171"/>
      <c r="H700" s="165" t="s">
        <v>258</v>
      </c>
      <c r="I700" s="212">
        <f ca="1">IFERROR(__xludf.DUMMYFUNCTION("IMPORTRANGE(""https://docs.google.com/spreadsheets/d/1eHaY18a8A9IcSdp1K8H6x8fbOy06t2VsZHhMHf-1x7Y/edit?usp=sharing"",""แผน!LC36"")"),0)</f>
        <v>0</v>
      </c>
      <c r="J700" s="467">
        <v>0</v>
      </c>
      <c r="K700" s="565">
        <f ca="1">IF(I700&gt;0,J700*100/I700,0)</f>
        <v>0</v>
      </c>
      <c r="L700" s="172"/>
      <c r="M700" s="164"/>
      <c r="N700" s="55"/>
      <c r="O700" s="164"/>
      <c r="P700" s="164"/>
      <c r="Q700" s="164"/>
      <c r="R700" s="164"/>
      <c r="S700" s="55"/>
      <c r="T700" s="164"/>
      <c r="U700" s="164"/>
    </row>
    <row r="701" spans="1:21" ht="19.5">
      <c r="A701" s="238"/>
      <c r="B701" s="188"/>
      <c r="C701" s="188"/>
      <c r="D701" s="174"/>
      <c r="E701" s="476" t="s">
        <v>259</v>
      </c>
      <c r="F701" s="174"/>
      <c r="G701" s="171"/>
      <c r="H701" s="158" t="s">
        <v>35</v>
      </c>
      <c r="I701" s="373">
        <f ca="1">I703+I705</f>
        <v>1004</v>
      </c>
      <c r="J701" s="373">
        <f ca="1">J703+J705</f>
        <v>747</v>
      </c>
      <c r="K701" s="540">
        <f ca="1">IF(I701&gt;0,J701*100/I701,0)</f>
        <v>74.402390438247011</v>
      </c>
      <c r="L701" s="172"/>
      <c r="M701" s="164"/>
      <c r="N701" s="164"/>
      <c r="O701" s="164"/>
      <c r="P701" s="164"/>
      <c r="Q701" s="164"/>
      <c r="R701" s="164"/>
      <c r="S701" s="164"/>
      <c r="T701" s="164"/>
      <c r="U701" s="164"/>
    </row>
    <row r="702" spans="1:21" ht="19.5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73">
        <v>0</v>
      </c>
      <c r="J702" s="373">
        <f ca="1">J704+J706</f>
        <v>530.66</v>
      </c>
      <c r="K702" s="540">
        <f>IF(I702&gt;0,J702*100/I702,0)</f>
        <v>0</v>
      </c>
      <c r="L702" s="172"/>
      <c r="M702" s="164"/>
      <c r="N702" s="164"/>
      <c r="O702" s="164"/>
      <c r="P702" s="164"/>
      <c r="Q702" s="164"/>
      <c r="R702" s="164"/>
      <c r="S702" s="164"/>
      <c r="T702" s="164"/>
      <c r="U702" s="164"/>
    </row>
    <row r="703" spans="1:21" ht="18.75">
      <c r="A703" s="238"/>
      <c r="B703" s="188"/>
      <c r="C703" s="188"/>
      <c r="D703" s="174"/>
      <c r="E703" s="174"/>
      <c r="F703" s="173" t="s">
        <v>260</v>
      </c>
      <c r="G703" s="171"/>
      <c r="H703" s="165" t="s">
        <v>35</v>
      </c>
      <c r="I703" s="212">
        <f ca="1">IFERROR(__xludf.DUMMYFUNCTION("IMPORTRANGE(""https://docs.google.com/spreadsheets/d/1eHaY18a8A9IcSdp1K8H6x8fbOy06t2VsZHhMHf-1x7Y/edit?usp=sharing"",""แผน!LJ36"")"),1000)</f>
        <v>1000</v>
      </c>
      <c r="J703" s="212">
        <f ca="1">IFERROR(__xludf.DUMMYFUNCTION("IMPORTRANGE(""https://docs.google.com/spreadsheets/d/1tdoBKaGub7dwA3U6UFTqxio9LNnvDCQjHKmttSEBsFQ/edit?usp=sharing"",""จัดที่ดิน!AP36"")"),747)</f>
        <v>747</v>
      </c>
      <c r="K703" s="255">
        <f ca="1">IF(I703&gt;0,J703*100/I703,0)</f>
        <v>74.7</v>
      </c>
      <c r="L703" s="172"/>
      <c r="M703" s="164"/>
      <c r="N703" s="164"/>
      <c r="O703" s="164"/>
      <c r="P703" s="164"/>
      <c r="Q703" s="164"/>
      <c r="R703" s="164"/>
      <c r="S703" s="164"/>
      <c r="T703" s="164"/>
      <c r="U703" s="164"/>
    </row>
    <row r="704" spans="1:21" ht="18.75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212">
        <f ca="1">IFERROR(__xludf.DUMMYFUNCTION("IMPORTRANGE(""https://docs.google.com/spreadsheets/d/1tdoBKaGub7dwA3U6UFTqxio9LNnvDCQjHKmttSEBsFQ/edit?usp=sharing"",""จัดที่ดิน!AQ36"")"),530.66)</f>
        <v>530.66</v>
      </c>
      <c r="K704" s="255">
        <f>IF(I704&gt;0,J704*100/I704,0)</f>
        <v>0</v>
      </c>
      <c r="L704" s="172"/>
      <c r="M704" s="164"/>
      <c r="N704" s="164"/>
      <c r="O704" s="164"/>
      <c r="P704" s="164"/>
      <c r="Q704" s="164"/>
      <c r="R704" s="164"/>
      <c r="S704" s="164"/>
      <c r="T704" s="164"/>
      <c r="U704" s="164"/>
    </row>
    <row r="705" spans="1:21" ht="18.75">
      <c r="A705" s="238"/>
      <c r="B705" s="188"/>
      <c r="C705" s="188"/>
      <c r="D705" s="174"/>
      <c r="E705" s="174"/>
      <c r="F705" s="173" t="s">
        <v>261</v>
      </c>
      <c r="G705" s="171"/>
      <c r="H705" s="165" t="s">
        <v>35</v>
      </c>
      <c r="I705" s="212">
        <f ca="1">IFERROR(__xludf.DUMMYFUNCTION("IMPORTRANGE(""https://docs.google.com/spreadsheets/d/1eHaY18a8A9IcSdp1K8H6x8fbOy06t2VsZHhMHf-1x7Y/edit?usp=sharing"",""แผน!LK36"")"),4)</f>
        <v>4</v>
      </c>
      <c r="J705" s="212">
        <f ca="1">IFERROR(__xludf.DUMMYFUNCTION("IMPORTRANGE(""https://docs.google.com/spreadsheets/d/1tdoBKaGub7dwA3U6UFTqxio9LNnvDCQjHKmttSEBsFQ/edit?usp=sharing"",""จัดที่ดิน!AR36"")"),0)</f>
        <v>0</v>
      </c>
      <c r="K705" s="565">
        <f ca="1">IF(I705&gt;0,J705*100/I705,0)</f>
        <v>0</v>
      </c>
      <c r="L705" s="172"/>
      <c r="M705" s="164"/>
      <c r="N705" s="164"/>
      <c r="O705" s="164"/>
      <c r="P705" s="164"/>
      <c r="Q705" s="164"/>
      <c r="R705" s="164"/>
      <c r="S705" s="164"/>
      <c r="T705" s="164"/>
      <c r="U705" s="164"/>
    </row>
    <row r="706" spans="1:21" ht="18.75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212">
        <f ca="1">IFERROR(__xludf.DUMMYFUNCTION("IMPORTRANGE(""https://docs.google.com/spreadsheets/d/1tdoBKaGub7dwA3U6UFTqxio9LNnvDCQjHKmttSEBsFQ/edit?usp=sharing"",""จัดที่ดิน!AS36"")"),0)</f>
        <v>0</v>
      </c>
      <c r="K706" s="255">
        <f>IF(I706&gt;0,J706*100/I706,0)</f>
        <v>0</v>
      </c>
      <c r="L706" s="172"/>
      <c r="M706" s="164"/>
      <c r="N706" s="164"/>
      <c r="O706" s="164"/>
      <c r="P706" s="164"/>
      <c r="Q706" s="164"/>
      <c r="R706" s="164"/>
      <c r="S706" s="164"/>
      <c r="T706" s="164"/>
      <c r="U706" s="164"/>
    </row>
    <row r="707" spans="1:21" ht="18.75">
      <c r="A707" s="238"/>
      <c r="B707" s="188"/>
      <c r="C707" s="188"/>
      <c r="D707" s="174"/>
      <c r="E707" s="173" t="s">
        <v>262</v>
      </c>
      <c r="F707" s="174"/>
      <c r="G707" s="171"/>
      <c r="H707" s="162" t="s">
        <v>35</v>
      </c>
      <c r="I707" s="212">
        <f ca="1">IFERROR(__xludf.DUMMYFUNCTION("IMPORTRANGE(""https://docs.google.com/spreadsheets/d/1eHaY18a8A9IcSdp1K8H6x8fbOy06t2VsZHhMHf-1x7Y/edit?usp=sharing"",""แผน!LJ36"")"),1000)</f>
        <v>1000</v>
      </c>
      <c r="J707" s="212">
        <f ca="1">IFERROR(__xludf.DUMMYFUNCTION("IMPORTRANGE(""https://docs.google.com/spreadsheets/d/1tdoBKaGub7dwA3U6UFTqxio9LNnvDCQjHKmttSEBsFQ/edit?usp=sharing"",""จัดที่ดิน!BN36"")"),0)</f>
        <v>0</v>
      </c>
      <c r="K707" s="255">
        <f ca="1">IF(I707&gt;0,J707*100/I707,0)</f>
        <v>0</v>
      </c>
      <c r="L707" s="172"/>
      <c r="M707" s="164"/>
      <c r="N707" s="164"/>
      <c r="O707" s="164"/>
      <c r="P707" s="164"/>
      <c r="Q707" s="164"/>
      <c r="R707" s="164"/>
      <c r="S707" s="164"/>
      <c r="T707" s="164"/>
      <c r="U707" s="164"/>
    </row>
    <row r="708" spans="1:21" ht="18.75">
      <c r="A708" s="238"/>
      <c r="B708" s="188"/>
      <c r="C708" s="188"/>
      <c r="D708" s="174"/>
      <c r="E708" s="477" t="s">
        <v>263</v>
      </c>
      <c r="F708" s="174"/>
      <c r="G708" s="171"/>
      <c r="H708" s="162" t="s">
        <v>46</v>
      </c>
      <c r="I708" s="212">
        <v>0</v>
      </c>
      <c r="J708" s="212">
        <f ca="1">IFERROR(__xludf.DUMMYFUNCTION("IMPORTRANGE(""https://docs.google.com/spreadsheets/d/1tdoBKaGub7dwA3U6UFTqxio9LNnvDCQjHKmttSEBsFQ/edit?usp=sharing"",""จัดที่ดิน!BO36"")"),0)</f>
        <v>0</v>
      </c>
      <c r="K708" s="255">
        <f>IF(I708&gt;0,J708*100/I708,0)</f>
        <v>0</v>
      </c>
      <c r="L708" s="172"/>
      <c r="M708" s="164"/>
      <c r="N708" s="164"/>
      <c r="O708" s="164"/>
      <c r="P708" s="164"/>
      <c r="Q708" s="164"/>
      <c r="R708" s="164"/>
      <c r="S708" s="164"/>
      <c r="T708" s="164"/>
      <c r="U708" s="164"/>
    </row>
    <row r="709" spans="1:21" ht="18.75">
      <c r="A709" s="238"/>
      <c r="B709" s="188"/>
      <c r="C709" s="188"/>
      <c r="D709" s="50"/>
      <c r="E709" s="58" t="s">
        <v>264</v>
      </c>
      <c r="F709" s="50"/>
      <c r="G709" s="52"/>
      <c r="H709" s="203" t="s">
        <v>35</v>
      </c>
      <c r="I709" s="212">
        <f ca="1">IFERROR(__xludf.DUMMYFUNCTION("IMPORTRANGE(""https://docs.google.com/spreadsheets/d/1eHaY18a8A9IcSdp1K8H6x8fbOy06t2VsZHhMHf-1x7Y/edit?usp=sharing"",""แผน!LK36"")"),4)</f>
        <v>4</v>
      </c>
      <c r="J709" s="212">
        <f ca="1">IFERROR(__xludf.DUMMYFUNCTION("IMPORTRANGE(""https://docs.google.com/spreadsheets/d/1tdoBKaGub7dwA3U6UFTqxio9LNnvDCQjHKmttSEBsFQ/edit?usp=sharing"",""จัดที่ดิน!BP36"")"),0)</f>
        <v>0</v>
      </c>
      <c r="K709" s="255">
        <f ca="1">IF(I709&gt;0,J709*100/I709,0)</f>
        <v>0</v>
      </c>
      <c r="L709" s="62"/>
      <c r="M709" s="55"/>
      <c r="N709" s="55"/>
      <c r="O709" s="55"/>
      <c r="P709" s="55"/>
      <c r="Q709" s="55"/>
      <c r="R709" s="55"/>
      <c r="S709" s="55"/>
      <c r="T709" s="55"/>
      <c r="U709" s="55"/>
    </row>
    <row r="710" spans="1:21" ht="18.75">
      <c r="A710" s="238"/>
      <c r="B710" s="188"/>
      <c r="C710" s="188"/>
      <c r="D710" s="50"/>
      <c r="E710" s="477" t="s">
        <v>265</v>
      </c>
      <c r="F710" s="50"/>
      <c r="G710" s="52"/>
      <c r="H710" s="203" t="s">
        <v>46</v>
      </c>
      <c r="I710" s="212">
        <v>0</v>
      </c>
      <c r="J710" s="212">
        <f ca="1">IFERROR(__xludf.DUMMYFUNCTION("IMPORTRANGE(""https://docs.google.com/spreadsheets/d/1tdoBKaGub7dwA3U6UFTqxio9LNnvDCQjHKmttSEBsFQ/edit?usp=sharing"",""จัดที่ดิน!BQ36"")"),0)</f>
        <v>0</v>
      </c>
      <c r="K710" s="255">
        <f>IF(I710&gt;0,J710*100/I710,0)</f>
        <v>0</v>
      </c>
      <c r="L710" s="62"/>
      <c r="M710" s="55"/>
      <c r="N710" s="55"/>
      <c r="O710" s="55"/>
      <c r="P710" s="55"/>
      <c r="Q710" s="55"/>
      <c r="R710" s="55"/>
      <c r="S710" s="55"/>
      <c r="T710" s="55"/>
      <c r="U710" s="55"/>
    </row>
    <row r="711" spans="1:21" ht="12.75" hidden="1">
      <c r="A711" s="407"/>
      <c r="B711" s="360"/>
      <c r="C711" s="360"/>
      <c r="D711" s="408"/>
      <c r="E711" s="408"/>
      <c r="F711" s="408"/>
      <c r="G711" s="409"/>
      <c r="H711" s="361"/>
      <c r="I711" s="362"/>
      <c r="J711" s="362"/>
      <c r="K711" s="363"/>
      <c r="L711" s="364"/>
      <c r="M711" s="363"/>
      <c r="N711" s="363"/>
      <c r="O711" s="363"/>
      <c r="P711" s="363"/>
      <c r="Q711" s="363"/>
      <c r="R711" s="363"/>
      <c r="S711" s="363"/>
      <c r="T711" s="363"/>
      <c r="U711" s="363"/>
    </row>
    <row r="712" spans="1:21" ht="19.5" hidden="1">
      <c r="A712" s="442"/>
      <c r="B712" s="478" t="s">
        <v>266</v>
      </c>
      <c r="C712" s="442"/>
      <c r="D712" s="444"/>
      <c r="E712" s="444"/>
      <c r="F712" s="444"/>
      <c r="G712" s="445"/>
      <c r="H712" s="479" t="s">
        <v>46</v>
      </c>
      <c r="I712" s="447"/>
      <c r="J712" s="447">
        <f>J724</f>
        <v>0</v>
      </c>
      <c r="K712" s="564">
        <f>IF(I712&gt;0,J712*100/I712,0)</f>
        <v>0</v>
      </c>
      <c r="L712" s="449"/>
      <c r="M712" s="448"/>
      <c r="N712" s="448"/>
      <c r="O712" s="448"/>
      <c r="P712" s="448"/>
      <c r="Q712" s="448"/>
      <c r="R712" s="448"/>
      <c r="S712" s="448"/>
      <c r="T712" s="448"/>
      <c r="U712" s="448"/>
    </row>
    <row r="713" spans="1:21" ht="19.5" hidden="1">
      <c r="A713" s="442"/>
      <c r="B713" s="478" t="s">
        <v>267</v>
      </c>
      <c r="C713" s="442"/>
      <c r="D713" s="444"/>
      <c r="E713" s="444"/>
      <c r="F713" s="444"/>
      <c r="G713" s="445"/>
      <c r="H713" s="446"/>
      <c r="I713" s="447"/>
      <c r="J713" s="447"/>
      <c r="K713" s="448"/>
      <c r="L713" s="449"/>
      <c r="M713" s="448"/>
      <c r="N713" s="448"/>
      <c r="O713" s="448"/>
      <c r="P713" s="448"/>
      <c r="Q713" s="448"/>
      <c r="R713" s="448"/>
      <c r="S713" s="448"/>
      <c r="T713" s="448"/>
      <c r="U713" s="448"/>
    </row>
    <row r="714" spans="1:21" ht="19.5" hidden="1">
      <c r="A714" s="155"/>
      <c r="B714" s="188"/>
      <c r="C714" s="358" t="s">
        <v>18</v>
      </c>
      <c r="D714" s="563" t="s">
        <v>19</v>
      </c>
      <c r="E714" s="529"/>
      <c r="F714" s="529"/>
      <c r="G714" s="530"/>
      <c r="H714" s="418" t="s">
        <v>14</v>
      </c>
      <c r="I714" s="54"/>
      <c r="J714" s="54"/>
      <c r="K714" s="55"/>
      <c r="L714" s="541">
        <f>L715+L716</f>
        <v>0</v>
      </c>
      <c r="M714" s="540">
        <f>M715+M716</f>
        <v>0</v>
      </c>
      <c r="N714" s="540">
        <f>N715+N716</f>
        <v>0</v>
      </c>
      <c r="O714" s="540">
        <f>IF(L714&gt;0,N714*100/L714,0)</f>
        <v>0</v>
      </c>
      <c r="P714" s="540">
        <f>IF(M714&gt;0,N714*100/M714,0)</f>
        <v>0</v>
      </c>
      <c r="Q714" s="540">
        <f>Q715+Q716</f>
        <v>0</v>
      </c>
      <c r="R714" s="540">
        <f>R715+R716</f>
        <v>0</v>
      </c>
      <c r="S714" s="540">
        <f>S715+S716</f>
        <v>0</v>
      </c>
      <c r="T714" s="540">
        <f>IF(Q714&gt;0,S714*100/Q714,0)</f>
        <v>0</v>
      </c>
      <c r="U714" s="540">
        <f>IF(R714&gt;0,S714*100/R714,0)</f>
        <v>0</v>
      </c>
    </row>
    <row r="715" spans="1:21" ht="18.75" hidden="1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103">
        <f>L718+L721</f>
        <v>0</v>
      </c>
      <c r="M715" s="102">
        <f>M718+M721</f>
        <v>0</v>
      </c>
      <c r="N715" s="102">
        <f>N718+N721</f>
        <v>0</v>
      </c>
      <c r="O715" s="102">
        <f>IF(L715&gt;0,N715*100/L715,0)</f>
        <v>0</v>
      </c>
      <c r="P715" s="102">
        <f>IF(M715&gt;0,N715*100/M715,0)</f>
        <v>0</v>
      </c>
      <c r="Q715" s="102">
        <f>Q718+Q721</f>
        <v>0</v>
      </c>
      <c r="R715" s="102">
        <f>R718+R721</f>
        <v>0</v>
      </c>
      <c r="S715" s="102">
        <f>S718+S721</f>
        <v>0</v>
      </c>
      <c r="T715" s="102">
        <f>IF(Q715&gt;0,S715*100/Q715,0)</f>
        <v>0</v>
      </c>
      <c r="U715" s="102">
        <f>IF(R715&gt;0,S715*100/R715,0)</f>
        <v>0</v>
      </c>
    </row>
    <row r="716" spans="1:21" ht="18.75" hidden="1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256">
        <f>L719+L722</f>
        <v>0</v>
      </c>
      <c r="M716" s="255">
        <f>M719+M722</f>
        <v>0</v>
      </c>
      <c r="N716" s="255">
        <f>N719+N722</f>
        <v>0</v>
      </c>
      <c r="O716" s="255">
        <f>IF(L716&gt;0,N716*100/L716,0)</f>
        <v>0</v>
      </c>
      <c r="P716" s="255">
        <f>IF(M716&gt;0,N716*100/M716,0)</f>
        <v>0</v>
      </c>
      <c r="Q716" s="255">
        <f>Q719+Q722</f>
        <v>0</v>
      </c>
      <c r="R716" s="255">
        <f>R719+R722</f>
        <v>0</v>
      </c>
      <c r="S716" s="255">
        <f>S719+S722</f>
        <v>0</v>
      </c>
      <c r="T716" s="255">
        <f>IF(Q716&gt;0,S716*100/Q716,0)</f>
        <v>0</v>
      </c>
      <c r="U716" s="255">
        <f>IF(R716&gt;0,S716*100/R716,0)</f>
        <v>0</v>
      </c>
    </row>
    <row r="717" spans="1:21" ht="19.5" hidden="1">
      <c r="A717" s="155"/>
      <c r="B717" s="188"/>
      <c r="C717" s="188"/>
      <c r="D717" s="562" t="s">
        <v>22</v>
      </c>
      <c r="E717" s="50"/>
      <c r="F717" s="50"/>
      <c r="G717" s="52"/>
      <c r="H717" s="418" t="s">
        <v>14</v>
      </c>
      <c r="I717" s="163"/>
      <c r="J717" s="163"/>
      <c r="K717" s="164"/>
      <c r="L717" s="256">
        <f>L718+L719</f>
        <v>0</v>
      </c>
      <c r="M717" s="255">
        <f>M718+M719</f>
        <v>0</v>
      </c>
      <c r="N717" s="255">
        <f>N718+N719</f>
        <v>0</v>
      </c>
      <c r="O717" s="255">
        <f>IF(L717&gt;0,N717*100/L717,0)</f>
        <v>0</v>
      </c>
      <c r="P717" s="255">
        <f>IF(M717&gt;0,N717*100/M717,0)</f>
        <v>0</v>
      </c>
      <c r="Q717" s="255">
        <f>Q718+Q719</f>
        <v>0</v>
      </c>
      <c r="R717" s="255">
        <f>R718+R719</f>
        <v>0</v>
      </c>
      <c r="S717" s="255">
        <f>S718+S719</f>
        <v>0</v>
      </c>
      <c r="T717" s="255">
        <f>IF(Q717&gt;0,S717*100/Q717,0)</f>
        <v>0</v>
      </c>
      <c r="U717" s="255">
        <f>IF(R717&gt;0,S717*100/R717,0)</f>
        <v>0</v>
      </c>
    </row>
    <row r="718" spans="1:21" ht="18.75" hidden="1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103">
        <v>0</v>
      </c>
      <c r="M718" s="102">
        <v>0</v>
      </c>
      <c r="N718" s="102">
        <v>0</v>
      </c>
      <c r="O718" s="102">
        <f>IF(L718&gt;0,N718*100/L718,0)</f>
        <v>0</v>
      </c>
      <c r="P718" s="102">
        <f>IF(M718&gt;0,N718*100/M718,0)</f>
        <v>0</v>
      </c>
      <c r="Q718" s="102">
        <v>0</v>
      </c>
      <c r="R718" s="102">
        <v>0</v>
      </c>
      <c r="S718" s="102">
        <v>0</v>
      </c>
      <c r="T718" s="102">
        <f>IF(Q718&gt;0,S718*100/Q718,0)</f>
        <v>0</v>
      </c>
      <c r="U718" s="102">
        <f>IF(R718&gt;0,S718*100/R718,0)</f>
        <v>0</v>
      </c>
    </row>
    <row r="719" spans="1:21" ht="18.75" hidden="1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256">
        <v>0</v>
      </c>
      <c r="M719" s="255">
        <v>0</v>
      </c>
      <c r="N719" s="255">
        <v>0</v>
      </c>
      <c r="O719" s="255">
        <f>IF(L719&gt;0,N719*100/L719,0)</f>
        <v>0</v>
      </c>
      <c r="P719" s="255">
        <f>IF(M719&gt;0,N719*100/M719,0)</f>
        <v>0</v>
      </c>
      <c r="Q719" s="255">
        <v>0</v>
      </c>
      <c r="R719" s="255">
        <v>0</v>
      </c>
      <c r="S719" s="255">
        <v>0</v>
      </c>
      <c r="T719" s="255">
        <f>IF(Q719&gt;0,S719*100/Q719,0)</f>
        <v>0</v>
      </c>
      <c r="U719" s="255">
        <f>IF(R719&gt;0,S719*100/R719,0)</f>
        <v>0</v>
      </c>
    </row>
    <row r="720" spans="1:21" ht="19.5" hidden="1">
      <c r="A720" s="155"/>
      <c r="B720" s="188"/>
      <c r="C720" s="188"/>
      <c r="D720" s="562" t="s">
        <v>23</v>
      </c>
      <c r="E720" s="50"/>
      <c r="F720" s="50"/>
      <c r="G720" s="52"/>
      <c r="H720" s="420" t="s">
        <v>14</v>
      </c>
      <c r="I720" s="163"/>
      <c r="J720" s="163"/>
      <c r="K720" s="164"/>
      <c r="L720" s="256">
        <f>L721+L722</f>
        <v>0</v>
      </c>
      <c r="M720" s="255">
        <f>M721+M722</f>
        <v>0</v>
      </c>
      <c r="N720" s="255">
        <f>N721+N722</f>
        <v>0</v>
      </c>
      <c r="O720" s="255">
        <f>IF(L720&gt;0,N720*100/L720,0)</f>
        <v>0</v>
      </c>
      <c r="P720" s="255">
        <f>IF(M720&gt;0,N720*100/M720,0)</f>
        <v>0</v>
      </c>
      <c r="Q720" s="255">
        <f>Q721+Q722</f>
        <v>0</v>
      </c>
      <c r="R720" s="255">
        <f>R721+R722</f>
        <v>0</v>
      </c>
      <c r="S720" s="255">
        <f>S721+S722</f>
        <v>0</v>
      </c>
      <c r="T720" s="255">
        <f>IF(Q720&gt;0,S720*100/Q720,0)</f>
        <v>0</v>
      </c>
      <c r="U720" s="255">
        <f>IF(R720&gt;0,S720*100/R720,0)</f>
        <v>0</v>
      </c>
    </row>
    <row r="721" spans="1:21" ht="18.75" hidden="1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103">
        <v>0</v>
      </c>
      <c r="M721" s="102">
        <v>0</v>
      </c>
      <c r="N721" s="102">
        <v>0</v>
      </c>
      <c r="O721" s="102">
        <f>IF(L721&gt;0,N721*100/L721,0)</f>
        <v>0</v>
      </c>
      <c r="P721" s="102">
        <f>IF(M721&gt;0,N721*100/M721,0)</f>
        <v>0</v>
      </c>
      <c r="Q721" s="102">
        <v>0</v>
      </c>
      <c r="R721" s="102">
        <v>0</v>
      </c>
      <c r="S721" s="102">
        <v>0</v>
      </c>
      <c r="T721" s="102">
        <f>IF(Q721&gt;0,S721*100/Q721,0)</f>
        <v>0</v>
      </c>
      <c r="U721" s="102">
        <f>IF(R721&gt;0,S721*100/R721,0)</f>
        <v>0</v>
      </c>
    </row>
    <row r="722" spans="1:21" ht="18.75" hidden="1">
      <c r="A722" s="155"/>
      <c r="B722" s="188"/>
      <c r="C722" s="188"/>
      <c r="D722" s="50"/>
      <c r="E722" s="186" t="s">
        <v>21</v>
      </c>
      <c r="F722" s="50"/>
      <c r="G722" s="52"/>
      <c r="H722" s="421" t="s">
        <v>14</v>
      </c>
      <c r="I722" s="163"/>
      <c r="J722" s="163"/>
      <c r="K722" s="164"/>
      <c r="L722" s="256">
        <v>0</v>
      </c>
      <c r="M722" s="255">
        <v>0</v>
      </c>
      <c r="N722" s="255">
        <v>0</v>
      </c>
      <c r="O722" s="255">
        <f>IF(L722&gt;0,N722*100/L722,0)</f>
        <v>0</v>
      </c>
      <c r="P722" s="255">
        <f>IF(M722&gt;0,N722*100/M722,0)</f>
        <v>0</v>
      </c>
      <c r="Q722" s="255">
        <v>0</v>
      </c>
      <c r="R722" s="255">
        <v>0</v>
      </c>
      <c r="S722" s="255">
        <v>0</v>
      </c>
      <c r="T722" s="255">
        <f>IF(Q722&gt;0,S722*100/Q722,0)</f>
        <v>0</v>
      </c>
      <c r="U722" s="255">
        <f>IF(R722&gt;0,S722*100/R722,0)</f>
        <v>0</v>
      </c>
    </row>
    <row r="723" spans="1:21" ht="19.5" hidden="1">
      <c r="A723" s="166"/>
      <c r="B723" s="167"/>
      <c r="C723" s="358" t="s">
        <v>18</v>
      </c>
      <c r="D723" s="561" t="s">
        <v>38</v>
      </c>
      <c r="E723" s="169"/>
      <c r="F723" s="169"/>
      <c r="G723" s="170"/>
      <c r="H723" s="206"/>
      <c r="I723" s="163"/>
      <c r="J723" s="163"/>
      <c r="K723" s="164"/>
      <c r="L723" s="172"/>
      <c r="M723" s="164"/>
      <c r="N723" s="164"/>
      <c r="O723" s="164"/>
      <c r="P723" s="164"/>
      <c r="Q723" s="164"/>
      <c r="R723" s="164"/>
      <c r="S723" s="164"/>
      <c r="T723" s="164"/>
      <c r="U723" s="164"/>
    </row>
    <row r="724" spans="1:21" ht="18.75" hidden="1">
      <c r="A724" s="238"/>
      <c r="B724" s="188"/>
      <c r="C724" s="188"/>
      <c r="D724" s="50"/>
      <c r="E724" s="186" t="s">
        <v>268</v>
      </c>
      <c r="F724" s="50"/>
      <c r="G724" s="52"/>
      <c r="H724" s="189" t="s">
        <v>46</v>
      </c>
      <c r="I724" s="483">
        <v>0</v>
      </c>
      <c r="J724" s="54"/>
      <c r="K724" s="55"/>
      <c r="L724" s="62"/>
      <c r="M724" s="55"/>
      <c r="N724" s="55"/>
      <c r="O724" s="55"/>
      <c r="P724" s="55"/>
      <c r="Q724" s="55"/>
      <c r="R724" s="55"/>
      <c r="S724" s="55"/>
      <c r="T724" s="55"/>
      <c r="U724" s="55"/>
    </row>
    <row r="725" spans="1:21" ht="18.75" hidden="1">
      <c r="A725" s="374"/>
      <c r="B725" s="5"/>
      <c r="C725" s="5"/>
      <c r="D725" s="4"/>
      <c r="E725" s="484" t="s">
        <v>269</v>
      </c>
      <c r="F725" s="4"/>
      <c r="G725" s="65"/>
      <c r="H725" s="485" t="s">
        <v>46</v>
      </c>
      <c r="I725" s="486">
        <v>0</v>
      </c>
      <c r="J725" s="67"/>
      <c r="K725" s="6"/>
      <c r="L725" s="68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>
      <c r="A726" s="442"/>
      <c r="B726" s="443" t="s">
        <v>270</v>
      </c>
      <c r="C726" s="442"/>
      <c r="D726" s="444"/>
      <c r="E726" s="444"/>
      <c r="F726" s="444"/>
      <c r="G726" s="445"/>
      <c r="H726" s="473" t="s">
        <v>35</v>
      </c>
      <c r="I726" s="544">
        <f ca="1">IFERROR(__xludf.DUMMYFUNCTION("IMPORTRANGE(""https://docs.google.com/spreadsheets/d/1eHaY18a8A9IcSdp1K8H6x8fbOy06t2VsZHhMHf-1x7Y/edit?usp=sharing"",""แผน!GA36"")"),128)</f>
        <v>128</v>
      </c>
      <c r="J726" s="544">
        <f>J742+J746+J749</f>
        <v>0</v>
      </c>
      <c r="K726" s="543">
        <f ca="1">IF(I726&gt;0,J726*100/I726,0)</f>
        <v>0</v>
      </c>
      <c r="L726" s="449"/>
      <c r="M726" s="448"/>
      <c r="N726" s="448"/>
      <c r="O726" s="448"/>
      <c r="P726" s="448"/>
      <c r="Q726" s="448"/>
      <c r="R726" s="448"/>
      <c r="S726" s="448"/>
      <c r="T726" s="448"/>
      <c r="U726" s="448"/>
    </row>
    <row r="727" spans="1:21" ht="19.5">
      <c r="A727" s="487"/>
      <c r="B727" s="442"/>
      <c r="C727" s="442"/>
      <c r="D727" s="444"/>
      <c r="E727" s="444"/>
      <c r="F727" s="444"/>
      <c r="G727" s="445"/>
      <c r="H727" s="473" t="s">
        <v>46</v>
      </c>
      <c r="I727" s="544">
        <f ca="1">IFERROR(__xludf.DUMMYFUNCTION("IMPORTRANGE(""https://docs.google.com/spreadsheets/d/1eHaY18a8A9IcSdp1K8H6x8fbOy06t2VsZHhMHf-1x7Y/edit?usp=sharing"",""แผน!FZ36"")"),1250)</f>
        <v>1250</v>
      </c>
      <c r="J727" s="544">
        <f>J752+J755</f>
        <v>0</v>
      </c>
      <c r="K727" s="543">
        <f ca="1">IF(I727&gt;0,J727*100/I727,0)</f>
        <v>0</v>
      </c>
      <c r="L727" s="449"/>
      <c r="M727" s="448"/>
      <c r="N727" s="448"/>
      <c r="O727" s="448"/>
      <c r="P727" s="448"/>
      <c r="Q727" s="448"/>
      <c r="R727" s="448"/>
      <c r="S727" s="448"/>
      <c r="T727" s="448"/>
      <c r="U727" s="448"/>
    </row>
    <row r="728" spans="1:21" ht="19.5">
      <c r="A728" s="155"/>
      <c r="B728" s="188"/>
      <c r="C728" s="205" t="s">
        <v>18</v>
      </c>
      <c r="D728" s="542" t="s">
        <v>19</v>
      </c>
      <c r="E728" s="529"/>
      <c r="F728" s="529"/>
      <c r="G728" s="530"/>
      <c r="H728" s="252" t="s">
        <v>14</v>
      </c>
      <c r="I728" s="54"/>
      <c r="J728" s="54"/>
      <c r="K728" s="55"/>
      <c r="L728" s="541">
        <f>L729+L730</f>
        <v>0</v>
      </c>
      <c r="M728" s="540">
        <f>M729+M730</f>
        <v>0</v>
      </c>
      <c r="N728" s="540">
        <f>N729+N730</f>
        <v>0</v>
      </c>
      <c r="O728" s="540">
        <f>IF(L728&gt;0,N728*100/L728,0)</f>
        <v>0</v>
      </c>
      <c r="P728" s="540">
        <f>IF(M728&gt;0,N728*100/M728,0)</f>
        <v>0</v>
      </c>
      <c r="Q728" s="540">
        <f ca="1">Q729+Q730</f>
        <v>1008470</v>
      </c>
      <c r="R728" s="540">
        <f ca="1">R729+R730</f>
        <v>1008470</v>
      </c>
      <c r="S728" s="540">
        <f ca="1">S729+S730</f>
        <v>124282</v>
      </c>
      <c r="T728" s="540">
        <f ca="1">IF(Q728&gt;0,S728*100/Q728,0)</f>
        <v>12.323817267742223</v>
      </c>
      <c r="U728" s="540">
        <f ca="1">IF(R728&gt;0,S728*100/R728,0)</f>
        <v>12.323817267742223</v>
      </c>
    </row>
    <row r="729" spans="1:21" ht="18.75" hidden="1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103">
        <f>L732+L735</f>
        <v>0</v>
      </c>
      <c r="M729" s="102">
        <f>M732+M735</f>
        <v>0</v>
      </c>
      <c r="N729" s="102">
        <f>N732+N735</f>
        <v>0</v>
      </c>
      <c r="O729" s="102">
        <f>IF(L729&gt;0,N729*100/L729,0)</f>
        <v>0</v>
      </c>
      <c r="P729" s="102">
        <f>IF(M729&gt;0,N729*100/M729,0)</f>
        <v>0</v>
      </c>
      <c r="Q729" s="102">
        <f>Q732+Q735</f>
        <v>0</v>
      </c>
      <c r="R729" s="102">
        <f>R732+R735</f>
        <v>0</v>
      </c>
      <c r="S729" s="102">
        <f>S732+S735</f>
        <v>0</v>
      </c>
      <c r="T729" s="102">
        <f>IF(Q729&gt;0,S729*100/Q729,0)</f>
        <v>0</v>
      </c>
      <c r="U729" s="102">
        <f>IF(R729&gt;0,S729*100/R729,0)</f>
        <v>0</v>
      </c>
    </row>
    <row r="730" spans="1:21" ht="18.75" hidden="1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256">
        <f>L733+L736</f>
        <v>0</v>
      </c>
      <c r="M730" s="255">
        <f>M733+M736</f>
        <v>0</v>
      </c>
      <c r="N730" s="255">
        <f>N733+N736</f>
        <v>0</v>
      </c>
      <c r="O730" s="255">
        <f>IF(L730&gt;0,N730*100/L730,0)</f>
        <v>0</v>
      </c>
      <c r="P730" s="255">
        <f>IF(M730&gt;0,N730*100/M730,0)</f>
        <v>0</v>
      </c>
      <c r="Q730" s="255">
        <f ca="1">Q733+Q736</f>
        <v>1008470</v>
      </c>
      <c r="R730" s="255">
        <f ca="1">R733+R736</f>
        <v>1008470</v>
      </c>
      <c r="S730" s="255">
        <f ca="1">S733+S736</f>
        <v>124282</v>
      </c>
      <c r="T730" s="255">
        <f ca="1">IF(Q730&gt;0,S730*100/Q730,0)</f>
        <v>12.323817267742223</v>
      </c>
      <c r="U730" s="255">
        <f ca="1">IF(R730&gt;0,S730*100/R730,0)</f>
        <v>12.323817267742223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256">
        <f>L732+L733</f>
        <v>0</v>
      </c>
      <c r="M731" s="255">
        <f>M732+M733</f>
        <v>0</v>
      </c>
      <c r="N731" s="255">
        <f>N732+N733</f>
        <v>0</v>
      </c>
      <c r="O731" s="255">
        <f>IF(L731&gt;0,N731*100/L731,0)</f>
        <v>0</v>
      </c>
      <c r="P731" s="255">
        <f>IF(M731&gt;0,N731*100/M731,0)</f>
        <v>0</v>
      </c>
      <c r="Q731" s="255">
        <f ca="1">Q732+Q733</f>
        <v>1008470</v>
      </c>
      <c r="R731" s="255">
        <f ca="1">R732+R733</f>
        <v>1008470</v>
      </c>
      <c r="S731" s="255">
        <f ca="1">S732+S733</f>
        <v>124282</v>
      </c>
      <c r="T731" s="255">
        <f ca="1">IF(Q731&gt;0,S731*100/Q731,0)</f>
        <v>12.323817267742223</v>
      </c>
      <c r="U731" s="255">
        <f ca="1">IF(R731&gt;0,S731*100/R731,0)</f>
        <v>12.323817267742223</v>
      </c>
    </row>
    <row r="732" spans="1:21" ht="18.75" hidden="1">
      <c r="A732" s="155"/>
      <c r="B732" s="188"/>
      <c r="C732" s="188"/>
      <c r="D732" s="174"/>
      <c r="E732" s="186" t="s">
        <v>159</v>
      </c>
      <c r="F732" s="50"/>
      <c r="G732" s="52"/>
      <c r="H732" s="189" t="s">
        <v>14</v>
      </c>
      <c r="I732" s="54"/>
      <c r="J732" s="54"/>
      <c r="K732" s="55"/>
      <c r="L732" s="103">
        <v>0</v>
      </c>
      <c r="M732" s="102">
        <v>0</v>
      </c>
      <c r="N732" s="102">
        <v>0</v>
      </c>
      <c r="O732" s="102">
        <f>IF(L732&gt;0,N732*100/L732,0)</f>
        <v>0</v>
      </c>
      <c r="P732" s="102">
        <f>IF(M732&gt;0,N732*100/M732,0)</f>
        <v>0</v>
      </c>
      <c r="Q732" s="102">
        <v>0</v>
      </c>
      <c r="R732" s="102">
        <v>0</v>
      </c>
      <c r="S732" s="102">
        <v>0</v>
      </c>
      <c r="T732" s="102">
        <f>IF(Q732&gt;0,S732*100/Q732,0)</f>
        <v>0</v>
      </c>
      <c r="U732" s="102">
        <f>IF(R732&gt;0,S732*100/R732,0)</f>
        <v>0</v>
      </c>
    </row>
    <row r="733" spans="1:21" ht="18.75" hidden="1">
      <c r="A733" s="155"/>
      <c r="B733" s="188"/>
      <c r="C733" s="188"/>
      <c r="D733" s="174"/>
      <c r="E733" s="58" t="s">
        <v>160</v>
      </c>
      <c r="F733" s="50"/>
      <c r="G733" s="52"/>
      <c r="H733" s="162" t="s">
        <v>14</v>
      </c>
      <c r="I733" s="54"/>
      <c r="J733" s="54"/>
      <c r="K733" s="55"/>
      <c r="L733" s="256">
        <v>0</v>
      </c>
      <c r="M733" s="255">
        <v>0</v>
      </c>
      <c r="N733" s="255">
        <v>0</v>
      </c>
      <c r="O733" s="255">
        <f>IF(L733&gt;0,N733*100/L733,0)</f>
        <v>0</v>
      </c>
      <c r="P733" s="255">
        <f>IF(M733&gt;0,N733*100/M733,0)</f>
        <v>0</v>
      </c>
      <c r="Q733" s="255">
        <f ca="1">IFERROR(__xludf.DUMMYFUNCTION("IMPORTRANGE(""https://docs.google.com/spreadsheets/d/1ItG2mGa2ceCfYo0BwxsXqNm01IGEUdYcSSLTEv9YCik/edit?usp=sharing"",""เบิกจ่ายกองทุน!O36"")"),1008470)</f>
        <v>1008470</v>
      </c>
      <c r="R733" s="255">
        <f ca="1">IFERROR(__xludf.DUMMYFUNCTION("IMPORTRANGE(""https://docs.google.com/spreadsheets/d/1ItG2mGa2ceCfYo0BwxsXqNm01IGEUdYcSSLTEv9YCik/edit?usp=sharing"",""เบิกจ่ายกองทุน!P36"")"),1008470)</f>
        <v>1008470</v>
      </c>
      <c r="S733" s="255">
        <f ca="1">IFERROR(__xludf.DUMMYFUNCTION("IMPORTRANGE(""https://docs.google.com/spreadsheets/d/1ItG2mGa2ceCfYo0BwxsXqNm01IGEUdYcSSLTEv9YCik/edit?usp=sharing"",""เบิกจ่ายกองทุน!Q36"")"),124282)</f>
        <v>124282</v>
      </c>
      <c r="T733" s="255">
        <f ca="1">IF(Q733&gt;0,S733*100/Q733,0)</f>
        <v>12.323817267742223</v>
      </c>
      <c r="U733" s="255">
        <f ca="1">IF(R733&gt;0,S733*100/R733,0)</f>
        <v>12.323817267742223</v>
      </c>
    </row>
    <row r="734" spans="1:21" ht="18.75">
      <c r="A734" s="155"/>
      <c r="B734" s="188"/>
      <c r="C734" s="188"/>
      <c r="D734" s="51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256">
        <f>L735+L736</f>
        <v>0</v>
      </c>
      <c r="M734" s="255">
        <f>M735+M736</f>
        <v>0</v>
      </c>
      <c r="N734" s="255">
        <f>N735+N736</f>
        <v>0</v>
      </c>
      <c r="O734" s="255">
        <f>IF(L734&gt;0,N734*100/L734,0)</f>
        <v>0</v>
      </c>
      <c r="P734" s="255">
        <f>IF(M734&gt;0,N734*100/M734,0)</f>
        <v>0</v>
      </c>
      <c r="Q734" s="255">
        <f>Q735+Q736</f>
        <v>0</v>
      </c>
      <c r="R734" s="255">
        <f>R735+R736</f>
        <v>0</v>
      </c>
      <c r="S734" s="255">
        <f>S735+S736</f>
        <v>0</v>
      </c>
      <c r="T734" s="255">
        <f>IF(Q734&gt;0,S734*100/Q734,0)</f>
        <v>0</v>
      </c>
      <c r="U734" s="255">
        <f>IF(R734&gt;0,S734*100/R734,0)</f>
        <v>0</v>
      </c>
    </row>
    <row r="735" spans="1:21" ht="18.75" hidden="1">
      <c r="A735" s="155"/>
      <c r="B735" s="188"/>
      <c r="C735" s="188"/>
      <c r="D735" s="188"/>
      <c r="E735" s="358" t="s">
        <v>20</v>
      </c>
      <c r="F735" s="188"/>
      <c r="G735" s="52"/>
      <c r="H735" s="189" t="s">
        <v>14</v>
      </c>
      <c r="I735" s="163"/>
      <c r="J735" s="163"/>
      <c r="K735" s="164"/>
      <c r="L735" s="103">
        <v>0</v>
      </c>
      <c r="M735" s="102">
        <v>0</v>
      </c>
      <c r="N735" s="102">
        <v>0</v>
      </c>
      <c r="O735" s="102">
        <f>IF(L735&gt;0,N735*100/L735,0)</f>
        <v>0</v>
      </c>
      <c r="P735" s="102">
        <f>IF(M735&gt;0,N735*100/M735,0)</f>
        <v>0</v>
      </c>
      <c r="Q735" s="102">
        <v>0</v>
      </c>
      <c r="R735" s="102">
        <v>0</v>
      </c>
      <c r="S735" s="102">
        <v>0</v>
      </c>
      <c r="T735" s="102">
        <f>IF(Q735&gt;0,S735*100/Q735,0)</f>
        <v>0</v>
      </c>
      <c r="U735" s="102">
        <f>IF(R735&gt;0,S735*100/R735,0)</f>
        <v>0</v>
      </c>
    </row>
    <row r="736" spans="1:21" ht="18.75" hidden="1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256">
        <v>0</v>
      </c>
      <c r="M736" s="255">
        <v>0</v>
      </c>
      <c r="N736" s="255">
        <v>0</v>
      </c>
      <c r="O736" s="255">
        <f>IF(L736&gt;0,N736*100/L736,0)</f>
        <v>0</v>
      </c>
      <c r="P736" s="255">
        <f>IF(M736&gt;0,N736*100/M736,0)</f>
        <v>0</v>
      </c>
      <c r="Q736" s="255">
        <v>0</v>
      </c>
      <c r="R736" s="255">
        <v>0</v>
      </c>
      <c r="S736" s="255">
        <v>0</v>
      </c>
      <c r="T736" s="255">
        <f>IF(Q736&gt;0,S736*100/Q736,0)</f>
        <v>0</v>
      </c>
      <c r="U736" s="255">
        <f>IF(R736&gt;0,S736*100/R736,0)</f>
        <v>0</v>
      </c>
    </row>
    <row r="737" spans="1:21" ht="19.5">
      <c r="A737" s="166"/>
      <c r="B737" s="167"/>
      <c r="C737" s="205" t="s">
        <v>18</v>
      </c>
      <c r="D737" s="560" t="s">
        <v>38</v>
      </c>
      <c r="E737" s="232"/>
      <c r="F737" s="169"/>
      <c r="G737" s="170"/>
      <c r="H737" s="206"/>
      <c r="I737" s="54"/>
      <c r="J737" s="54"/>
      <c r="K737" s="55"/>
      <c r="L737" s="62"/>
      <c r="M737" s="55"/>
      <c r="N737" s="55"/>
      <c r="O737" s="55"/>
      <c r="P737" s="55"/>
      <c r="Q737" s="55"/>
      <c r="R737" s="55"/>
      <c r="S737" s="55"/>
      <c r="T737" s="55"/>
      <c r="U737" s="55"/>
    </row>
    <row r="738" spans="1:21" ht="19.5">
      <c r="A738" s="166"/>
      <c r="B738" s="167"/>
      <c r="C738" s="167"/>
      <c r="D738" s="488" t="s">
        <v>121</v>
      </c>
      <c r="E738" s="167"/>
      <c r="F738" s="167"/>
      <c r="G738" s="171"/>
      <c r="H738" s="208"/>
      <c r="I738" s="54"/>
      <c r="J738" s="54"/>
      <c r="K738" s="55"/>
      <c r="L738" s="62"/>
      <c r="M738" s="55"/>
      <c r="N738" s="55"/>
      <c r="O738" s="55"/>
      <c r="P738" s="55"/>
      <c r="Q738" s="55"/>
      <c r="R738" s="55"/>
      <c r="S738" s="55"/>
      <c r="T738" s="55"/>
      <c r="U738" s="55"/>
    </row>
    <row r="739" spans="1:21" ht="18.75">
      <c r="A739" s="166"/>
      <c r="B739" s="167"/>
      <c r="C739" s="167"/>
      <c r="D739" s="167"/>
      <c r="E739" s="460" t="s">
        <v>271</v>
      </c>
      <c r="F739" s="167"/>
      <c r="G739" s="171"/>
      <c r="H739" s="208"/>
      <c r="I739" s="54"/>
      <c r="J739" s="54"/>
      <c r="K739" s="55"/>
      <c r="L739" s="62"/>
      <c r="M739" s="55"/>
      <c r="N739" s="55"/>
      <c r="O739" s="55"/>
      <c r="P739" s="55"/>
      <c r="Q739" s="55"/>
      <c r="R739" s="55"/>
      <c r="S739" s="55"/>
      <c r="T739" s="55"/>
      <c r="U739" s="55"/>
    </row>
    <row r="740" spans="1:21" ht="18.75">
      <c r="A740" s="554"/>
      <c r="B740" s="553"/>
      <c r="C740" s="553"/>
      <c r="D740" s="553"/>
      <c r="E740" s="553"/>
      <c r="F740" s="558" t="s">
        <v>272</v>
      </c>
      <c r="G740" s="550"/>
      <c r="H740" s="549" t="s">
        <v>46</v>
      </c>
      <c r="I740" s="556">
        <f ca="1">IFERROR(__xludf.DUMMYFUNCTION("IMPORTRANGE(""https://docs.google.com/spreadsheets/d/1eHaY18a8A9IcSdp1K8H6x8fbOy06t2VsZHhMHf-1x7Y/edit?usp=sharing"",""แผน!GB36"")"),1000)</f>
        <v>1000</v>
      </c>
      <c r="J740" s="547">
        <v>0</v>
      </c>
      <c r="K740" s="555">
        <f ca="1">IF(I740&gt;0,J740*100/I740,0)</f>
        <v>0</v>
      </c>
      <c r="L740" s="546"/>
      <c r="M740" s="545"/>
      <c r="N740" s="545"/>
      <c r="O740" s="545"/>
      <c r="P740" s="545"/>
      <c r="Q740" s="545"/>
      <c r="R740" s="545"/>
      <c r="S740" s="545"/>
      <c r="T740" s="545"/>
      <c r="U740" s="545"/>
    </row>
    <row r="741" spans="1:21" ht="18.75">
      <c r="A741" s="554"/>
      <c r="B741" s="553"/>
      <c r="C741" s="553"/>
      <c r="D741" s="553"/>
      <c r="E741" s="553"/>
      <c r="F741" s="558" t="s">
        <v>307</v>
      </c>
      <c r="G741" s="550"/>
      <c r="H741" s="549" t="s">
        <v>35</v>
      </c>
      <c r="I741" s="548"/>
      <c r="J741" s="547">
        <v>0</v>
      </c>
      <c r="K741" s="545"/>
      <c r="L741" s="546"/>
      <c r="M741" s="545"/>
      <c r="N741" s="545"/>
      <c r="O741" s="545"/>
      <c r="P741" s="545"/>
      <c r="Q741" s="545"/>
      <c r="R741" s="545"/>
      <c r="S741" s="545"/>
      <c r="T741" s="545"/>
      <c r="U741" s="545"/>
    </row>
    <row r="742" spans="1:21" ht="18.75">
      <c r="A742" s="554"/>
      <c r="B742" s="553"/>
      <c r="C742" s="553"/>
      <c r="D742" s="553"/>
      <c r="E742" s="553"/>
      <c r="F742" s="558" t="s">
        <v>306</v>
      </c>
      <c r="G742" s="550"/>
      <c r="H742" s="549" t="s">
        <v>35</v>
      </c>
      <c r="I742" s="556">
        <f ca="1">IFERROR(__xludf.DUMMYFUNCTION("IMPORTRANGE(""https://docs.google.com/spreadsheets/d/1eHaY18a8A9IcSdp1K8H6x8fbOy06t2VsZHhMHf-1x7Y/edit?usp=sharing"",""แผน!GC36"")"),100)</f>
        <v>100</v>
      </c>
      <c r="J742" s="547">
        <v>0</v>
      </c>
      <c r="K742" s="555">
        <f ca="1">IF(I742&gt;0,J742*100/I742,0)</f>
        <v>0</v>
      </c>
      <c r="L742" s="546"/>
      <c r="M742" s="545"/>
      <c r="N742" s="545"/>
      <c r="O742" s="545"/>
      <c r="P742" s="545"/>
      <c r="Q742" s="545"/>
      <c r="R742" s="545"/>
      <c r="S742" s="545"/>
      <c r="T742" s="545"/>
      <c r="U742" s="545"/>
    </row>
    <row r="743" spans="1:21" ht="18.75">
      <c r="A743" s="554"/>
      <c r="B743" s="553"/>
      <c r="C743" s="553"/>
      <c r="D743" s="553"/>
      <c r="E743" s="558" t="s">
        <v>275</v>
      </c>
      <c r="F743" s="553"/>
      <c r="G743" s="550"/>
      <c r="H743" s="557"/>
      <c r="I743" s="548"/>
      <c r="J743" s="548"/>
      <c r="K743" s="545"/>
      <c r="L743" s="546"/>
      <c r="M743" s="545"/>
      <c r="N743" s="545"/>
      <c r="O743" s="545"/>
      <c r="P743" s="545"/>
      <c r="Q743" s="545"/>
      <c r="R743" s="545"/>
      <c r="S743" s="545"/>
      <c r="T743" s="545"/>
      <c r="U743" s="545"/>
    </row>
    <row r="744" spans="1:21" ht="18.75">
      <c r="A744" s="554"/>
      <c r="B744" s="553"/>
      <c r="C744" s="553"/>
      <c r="D744" s="553"/>
      <c r="E744" s="553"/>
      <c r="F744" s="558" t="s">
        <v>272</v>
      </c>
      <c r="G744" s="550"/>
      <c r="H744" s="549" t="s">
        <v>46</v>
      </c>
      <c r="I744" s="556">
        <f ca="1">IFERROR(__xludf.DUMMYFUNCTION("IMPORTRANGE(""https://docs.google.com/spreadsheets/d/1eHaY18a8A9IcSdp1K8H6x8fbOy06t2VsZHhMHf-1x7Y/edit?usp=sharing"",""แผน!GD36"")"),250)</f>
        <v>250</v>
      </c>
      <c r="J744" s="547">
        <v>0</v>
      </c>
      <c r="K744" s="555">
        <f ca="1">IF(I744&gt;0,J744*100/I744,0)</f>
        <v>0</v>
      </c>
      <c r="L744" s="546"/>
      <c r="M744" s="545"/>
      <c r="N744" s="545"/>
      <c r="O744" s="545"/>
      <c r="P744" s="545"/>
      <c r="Q744" s="545"/>
      <c r="R744" s="545"/>
      <c r="S744" s="545"/>
      <c r="T744" s="545"/>
      <c r="U744" s="545"/>
    </row>
    <row r="745" spans="1:21" ht="18.75">
      <c r="A745" s="554"/>
      <c r="B745" s="553"/>
      <c r="C745" s="553"/>
      <c r="D745" s="553"/>
      <c r="E745" s="553"/>
      <c r="F745" s="558" t="s">
        <v>305</v>
      </c>
      <c r="G745" s="550"/>
      <c r="H745" s="549" t="s">
        <v>35</v>
      </c>
      <c r="I745" s="548"/>
      <c r="J745" s="547">
        <v>0</v>
      </c>
      <c r="K745" s="545"/>
      <c r="L745" s="546"/>
      <c r="M745" s="545"/>
      <c r="N745" s="545"/>
      <c r="O745" s="545"/>
      <c r="P745" s="545"/>
      <c r="Q745" s="545"/>
      <c r="R745" s="545"/>
      <c r="S745" s="545"/>
      <c r="T745" s="545"/>
      <c r="U745" s="545"/>
    </row>
    <row r="746" spans="1:21" ht="18.75">
      <c r="A746" s="554"/>
      <c r="B746" s="553"/>
      <c r="C746" s="553"/>
      <c r="D746" s="553"/>
      <c r="E746" s="553"/>
      <c r="F746" s="558" t="s">
        <v>304</v>
      </c>
      <c r="G746" s="550"/>
      <c r="H746" s="549" t="s">
        <v>35</v>
      </c>
      <c r="I746" s="556">
        <f ca="1">IFERROR(__xludf.DUMMYFUNCTION("IMPORTRANGE(""https://docs.google.com/spreadsheets/d/1eHaY18a8A9IcSdp1K8H6x8fbOy06t2VsZHhMHf-1x7Y/edit?usp=sharing"",""แผน!GE36"")"),25)</f>
        <v>25</v>
      </c>
      <c r="J746" s="547">
        <v>0</v>
      </c>
      <c r="K746" s="555">
        <f ca="1">IF(I746&gt;0,J746*100/I746,0)</f>
        <v>0</v>
      </c>
      <c r="L746" s="546"/>
      <c r="M746" s="545"/>
      <c r="N746" s="545"/>
      <c r="O746" s="545"/>
      <c r="P746" s="545"/>
      <c r="Q746" s="545"/>
      <c r="R746" s="545"/>
      <c r="S746" s="545"/>
      <c r="T746" s="545"/>
      <c r="U746" s="545"/>
    </row>
    <row r="747" spans="1:21" ht="18.75">
      <c r="A747" s="554"/>
      <c r="B747" s="553"/>
      <c r="C747" s="553"/>
      <c r="D747" s="553"/>
      <c r="E747" s="558" t="s">
        <v>278</v>
      </c>
      <c r="F747" s="552"/>
      <c r="G747" s="550"/>
      <c r="H747" s="557"/>
      <c r="I747" s="548"/>
      <c r="J747" s="548"/>
      <c r="K747" s="545"/>
      <c r="L747" s="546"/>
      <c r="M747" s="545"/>
      <c r="N747" s="545"/>
      <c r="O747" s="545"/>
      <c r="P747" s="545"/>
      <c r="Q747" s="545"/>
      <c r="R747" s="545"/>
      <c r="S747" s="545"/>
      <c r="T747" s="545"/>
      <c r="U747" s="545"/>
    </row>
    <row r="748" spans="1:21" ht="18.75">
      <c r="A748" s="554"/>
      <c r="B748" s="553"/>
      <c r="C748" s="553"/>
      <c r="D748" s="553"/>
      <c r="E748" s="553"/>
      <c r="F748" s="558" t="s">
        <v>303</v>
      </c>
      <c r="G748" s="550"/>
      <c r="H748" s="549" t="s">
        <v>35</v>
      </c>
      <c r="I748" s="548"/>
      <c r="J748" s="547">
        <v>0</v>
      </c>
      <c r="K748" s="545"/>
      <c r="L748" s="546"/>
      <c r="M748" s="545"/>
      <c r="N748" s="545"/>
      <c r="O748" s="545"/>
      <c r="P748" s="545"/>
      <c r="Q748" s="545"/>
      <c r="R748" s="545"/>
      <c r="S748" s="545"/>
      <c r="T748" s="545"/>
      <c r="U748" s="545"/>
    </row>
    <row r="749" spans="1:21" ht="18.75">
      <c r="A749" s="554"/>
      <c r="B749" s="553"/>
      <c r="C749" s="553"/>
      <c r="D749" s="553"/>
      <c r="E749" s="553"/>
      <c r="F749" s="558" t="s">
        <v>302</v>
      </c>
      <c r="G749" s="550"/>
      <c r="H749" s="549" t="s">
        <v>35</v>
      </c>
      <c r="I749" s="556">
        <f ca="1">IFERROR(__xludf.DUMMYFUNCTION("IMPORTRANGE(""https://docs.google.com/spreadsheets/d/1eHaY18a8A9IcSdp1K8H6x8fbOy06t2VsZHhMHf-1x7Y/edit?usp=sharing"",""แผน!GF36"")"),3)</f>
        <v>3</v>
      </c>
      <c r="J749" s="547">
        <v>0</v>
      </c>
      <c r="K749" s="555">
        <f ca="1">IF(I749&gt;0,J749*100/I749,0)</f>
        <v>0</v>
      </c>
      <c r="L749" s="546"/>
      <c r="M749" s="545"/>
      <c r="N749" s="545"/>
      <c r="O749" s="545"/>
      <c r="P749" s="545"/>
      <c r="Q749" s="545"/>
      <c r="R749" s="545"/>
      <c r="S749" s="545"/>
      <c r="T749" s="545"/>
      <c r="U749" s="545"/>
    </row>
    <row r="750" spans="1:21" ht="19.5">
      <c r="A750" s="554"/>
      <c r="B750" s="553"/>
      <c r="C750" s="553"/>
      <c r="D750" s="559" t="s">
        <v>50</v>
      </c>
      <c r="E750" s="553"/>
      <c r="F750" s="552"/>
      <c r="G750" s="550"/>
      <c r="H750" s="557"/>
      <c r="I750" s="548"/>
      <c r="J750" s="548"/>
      <c r="K750" s="545"/>
      <c r="L750" s="546"/>
      <c r="M750" s="545"/>
      <c r="N750" s="545"/>
      <c r="O750" s="545"/>
      <c r="P750" s="545"/>
      <c r="Q750" s="545"/>
      <c r="R750" s="545"/>
      <c r="S750" s="545"/>
      <c r="T750" s="545"/>
      <c r="U750" s="545"/>
    </row>
    <row r="751" spans="1:21" ht="18.75">
      <c r="A751" s="554"/>
      <c r="B751" s="553"/>
      <c r="C751" s="553"/>
      <c r="D751" s="553"/>
      <c r="E751" s="558" t="s">
        <v>271</v>
      </c>
      <c r="F751" s="552"/>
      <c r="G751" s="550"/>
      <c r="H751" s="557"/>
      <c r="I751" s="548"/>
      <c r="J751" s="548"/>
      <c r="K751" s="545"/>
      <c r="L751" s="546"/>
      <c r="M751" s="545"/>
      <c r="N751" s="545"/>
      <c r="O751" s="545"/>
      <c r="P751" s="545"/>
      <c r="Q751" s="545"/>
      <c r="R751" s="545"/>
      <c r="S751" s="545"/>
      <c r="T751" s="545"/>
      <c r="U751" s="545"/>
    </row>
    <row r="752" spans="1:21" ht="18.75">
      <c r="A752" s="554"/>
      <c r="B752" s="553"/>
      <c r="C752" s="553"/>
      <c r="D752" s="553"/>
      <c r="E752" s="553"/>
      <c r="F752" s="551" t="s">
        <v>301</v>
      </c>
      <c r="G752" s="550"/>
      <c r="H752" s="549" t="s">
        <v>46</v>
      </c>
      <c r="I752" s="556">
        <f ca="1">IFERROR(__xludf.DUMMYFUNCTION("IMPORTRANGE(""https://docs.google.com/spreadsheets/d/1eHaY18a8A9IcSdp1K8H6x8fbOy06t2VsZHhMHf-1x7Y/edit?usp=sharing"",""แผน!GB36"")"),1000)</f>
        <v>1000</v>
      </c>
      <c r="J752" s="547">
        <v>0</v>
      </c>
      <c r="K752" s="555">
        <f ca="1">IF(I752&gt;0,J752*100/I752,0)</f>
        <v>0</v>
      </c>
      <c r="L752" s="546"/>
      <c r="M752" s="545"/>
      <c r="N752" s="545"/>
      <c r="O752" s="545"/>
      <c r="P752" s="545"/>
      <c r="Q752" s="545"/>
      <c r="R752" s="545"/>
      <c r="S752" s="545"/>
      <c r="T752" s="545"/>
      <c r="U752" s="545"/>
    </row>
    <row r="753" spans="1:21" ht="18.75">
      <c r="A753" s="554"/>
      <c r="B753" s="553"/>
      <c r="C753" s="553"/>
      <c r="D753" s="553"/>
      <c r="E753" s="553"/>
      <c r="F753" s="551" t="s">
        <v>300</v>
      </c>
      <c r="G753" s="550"/>
      <c r="H753" s="549" t="s">
        <v>46</v>
      </c>
      <c r="I753" s="548"/>
      <c r="J753" s="547">
        <v>0</v>
      </c>
      <c r="K753" s="545"/>
      <c r="L753" s="546"/>
      <c r="M753" s="545"/>
      <c r="N753" s="545"/>
      <c r="O753" s="545"/>
      <c r="P753" s="545"/>
      <c r="Q753" s="545"/>
      <c r="R753" s="545"/>
      <c r="S753" s="545"/>
      <c r="T753" s="545"/>
      <c r="U753" s="545"/>
    </row>
    <row r="754" spans="1:21" ht="18.75">
      <c r="A754" s="554"/>
      <c r="B754" s="553"/>
      <c r="C754" s="553"/>
      <c r="D754" s="553"/>
      <c r="E754" s="558" t="s">
        <v>275</v>
      </c>
      <c r="F754" s="552"/>
      <c r="G754" s="550"/>
      <c r="H754" s="557"/>
      <c r="I754" s="548"/>
      <c r="J754" s="548"/>
      <c r="K754" s="545"/>
      <c r="L754" s="546"/>
      <c r="M754" s="545"/>
      <c r="N754" s="545"/>
      <c r="O754" s="545"/>
      <c r="P754" s="545"/>
      <c r="Q754" s="545"/>
      <c r="R754" s="545"/>
      <c r="S754" s="545"/>
      <c r="T754" s="545"/>
      <c r="U754" s="545"/>
    </row>
    <row r="755" spans="1:21" ht="18.75">
      <c r="A755" s="554"/>
      <c r="B755" s="553"/>
      <c r="C755" s="553"/>
      <c r="D755" s="553"/>
      <c r="E755" s="552"/>
      <c r="F755" s="551" t="s">
        <v>299</v>
      </c>
      <c r="G755" s="550"/>
      <c r="H755" s="549" t="s">
        <v>46</v>
      </c>
      <c r="I755" s="556">
        <f ca="1">IFERROR(__xludf.DUMMYFUNCTION("IMPORTRANGE(""https://docs.google.com/spreadsheets/d/1eHaY18a8A9IcSdp1K8H6x8fbOy06t2VsZHhMHf-1x7Y/edit?usp=sharing"",""แผน!GD36"")"),250)</f>
        <v>250</v>
      </c>
      <c r="J755" s="547">
        <v>0</v>
      </c>
      <c r="K755" s="555">
        <f ca="1">IF(I755&gt;0,J755*100/I755,0)</f>
        <v>0</v>
      </c>
      <c r="L755" s="546"/>
      <c r="M755" s="545"/>
      <c r="N755" s="545"/>
      <c r="O755" s="545"/>
      <c r="P755" s="545"/>
      <c r="Q755" s="545"/>
      <c r="R755" s="545"/>
      <c r="S755" s="545"/>
      <c r="T755" s="545"/>
      <c r="U755" s="545"/>
    </row>
    <row r="756" spans="1:21" ht="18.75">
      <c r="A756" s="554"/>
      <c r="B756" s="553"/>
      <c r="C756" s="553"/>
      <c r="D756" s="553"/>
      <c r="E756" s="552"/>
      <c r="F756" s="551" t="s">
        <v>298</v>
      </c>
      <c r="G756" s="550"/>
      <c r="H756" s="549" t="s">
        <v>46</v>
      </c>
      <c r="I756" s="548"/>
      <c r="J756" s="547">
        <v>0</v>
      </c>
      <c r="K756" s="545"/>
      <c r="L756" s="546"/>
      <c r="M756" s="545"/>
      <c r="N756" s="545"/>
      <c r="O756" s="545"/>
      <c r="P756" s="545"/>
      <c r="Q756" s="545"/>
      <c r="R756" s="545"/>
      <c r="S756" s="545"/>
      <c r="T756" s="545"/>
      <c r="U756" s="545"/>
    </row>
    <row r="757" spans="1:21" ht="18.75">
      <c r="A757" s="489"/>
      <c r="B757" s="489"/>
      <c r="C757" s="489"/>
      <c r="D757" s="489"/>
      <c r="E757" s="490" t="s">
        <v>285</v>
      </c>
      <c r="F757" s="491"/>
      <c r="G757" s="492"/>
      <c r="H757" s="493" t="s">
        <v>35</v>
      </c>
      <c r="I757" s="494"/>
      <c r="J757" s="495">
        <v>0</v>
      </c>
      <c r="K757" s="496"/>
      <c r="L757" s="496"/>
      <c r="M757" s="496"/>
      <c r="N757" s="496"/>
      <c r="O757" s="496"/>
      <c r="P757" s="496"/>
      <c r="Q757" s="496"/>
      <c r="R757" s="496"/>
      <c r="S757" s="496"/>
      <c r="T757" s="496"/>
      <c r="U757" s="496"/>
    </row>
    <row r="758" spans="1:21" ht="19.5">
      <c r="A758" s="442"/>
      <c r="B758" s="443" t="s">
        <v>286</v>
      </c>
      <c r="C758" s="442"/>
      <c r="D758" s="444"/>
      <c r="E758" s="444"/>
      <c r="F758" s="444"/>
      <c r="G758" s="445"/>
      <c r="H758" s="473" t="s">
        <v>35</v>
      </c>
      <c r="I758" s="544">
        <f ca="1">I772</f>
        <v>100</v>
      </c>
      <c r="J758" s="544">
        <f>J772</f>
        <v>100</v>
      </c>
      <c r="K758" s="543">
        <f ca="1">IF(I758&gt;0,J758*100/I758,0)</f>
        <v>100</v>
      </c>
      <c r="L758" s="449"/>
      <c r="M758" s="448"/>
      <c r="N758" s="448"/>
      <c r="O758" s="448"/>
      <c r="P758" s="448"/>
      <c r="Q758" s="448"/>
      <c r="R758" s="448"/>
      <c r="S758" s="448"/>
      <c r="T758" s="448"/>
      <c r="U758" s="448"/>
    </row>
    <row r="759" spans="1:21" ht="19.5">
      <c r="A759" s="487"/>
      <c r="B759" s="442"/>
      <c r="C759" s="442"/>
      <c r="D759" s="444"/>
      <c r="E759" s="444"/>
      <c r="F759" s="444"/>
      <c r="G759" s="445"/>
      <c r="H759" s="473" t="s">
        <v>46</v>
      </c>
      <c r="I759" s="544">
        <f ca="1">I774</f>
        <v>200</v>
      </c>
      <c r="J759" s="544">
        <f>J774</f>
        <v>200</v>
      </c>
      <c r="K759" s="543">
        <f ca="1">IF(I759&gt;0,J759*100/I759,0)</f>
        <v>100</v>
      </c>
      <c r="L759" s="449"/>
      <c r="M759" s="448"/>
      <c r="N759" s="448"/>
      <c r="O759" s="448"/>
      <c r="P759" s="448"/>
      <c r="Q759" s="448"/>
      <c r="R759" s="448"/>
      <c r="S759" s="448"/>
      <c r="T759" s="448"/>
      <c r="U759" s="448"/>
    </row>
    <row r="760" spans="1:21" ht="19.5">
      <c r="A760" s="155"/>
      <c r="B760" s="188"/>
      <c r="C760" s="205" t="s">
        <v>18</v>
      </c>
      <c r="D760" s="542" t="s">
        <v>19</v>
      </c>
      <c r="E760" s="529"/>
      <c r="F760" s="529"/>
      <c r="G760" s="530"/>
      <c r="H760" s="252" t="s">
        <v>14</v>
      </c>
      <c r="I760" s="54"/>
      <c r="J760" s="54"/>
      <c r="K760" s="55"/>
      <c r="L760" s="541">
        <f>L761+L762</f>
        <v>0</v>
      </c>
      <c r="M760" s="540">
        <f>M761+M762</f>
        <v>0</v>
      </c>
      <c r="N760" s="540">
        <f>N761+N762</f>
        <v>0</v>
      </c>
      <c r="O760" s="540">
        <f>IF(L760&gt;0,N760*100/L760,0)</f>
        <v>0</v>
      </c>
      <c r="P760" s="540">
        <f>IF(M760&gt;0,N760*100/M760,0)</f>
        <v>0</v>
      </c>
      <c r="Q760" s="540">
        <f ca="1">Q761+Q762</f>
        <v>622180</v>
      </c>
      <c r="R760" s="540">
        <f ca="1">R761+R762</f>
        <v>622180</v>
      </c>
      <c r="S760" s="540">
        <f ca="1">S761+S762</f>
        <v>490709</v>
      </c>
      <c r="T760" s="540">
        <f ca="1">IF(Q760&gt;0,S760*100/Q760,0)</f>
        <v>78.869298273811438</v>
      </c>
      <c r="U760" s="540">
        <f ca="1">IF(R760&gt;0,S760*100/R760,0)</f>
        <v>78.869298273811438</v>
      </c>
    </row>
    <row r="761" spans="1:21" ht="18.75" hidden="1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103">
        <f>L764+L767</f>
        <v>0</v>
      </c>
      <c r="M761" s="102">
        <f>M764+M767</f>
        <v>0</v>
      </c>
      <c r="N761" s="102">
        <f>N764+N767</f>
        <v>0</v>
      </c>
      <c r="O761" s="102">
        <f>IF(L761&gt;0,N761*100/L761,0)</f>
        <v>0</v>
      </c>
      <c r="P761" s="102">
        <f>IF(M761&gt;0,N761*100/M761,0)</f>
        <v>0</v>
      </c>
      <c r="Q761" s="102">
        <f>Q764+Q767</f>
        <v>0</v>
      </c>
      <c r="R761" s="102">
        <f>R764+R767</f>
        <v>0</v>
      </c>
      <c r="S761" s="102">
        <f>S764+S767</f>
        <v>0</v>
      </c>
      <c r="T761" s="102">
        <f>IF(Q761&gt;0,S761*100/Q761,0)</f>
        <v>0</v>
      </c>
      <c r="U761" s="102">
        <f>IF(R761&gt;0,S761*100/R761,0)</f>
        <v>0</v>
      </c>
    </row>
    <row r="762" spans="1:21" ht="18.75" hidden="1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256">
        <f>L765+L768</f>
        <v>0</v>
      </c>
      <c r="M762" s="255">
        <f>M765+M768</f>
        <v>0</v>
      </c>
      <c r="N762" s="255">
        <f>N765+N768</f>
        <v>0</v>
      </c>
      <c r="O762" s="255">
        <f>IF(L762&gt;0,N762*100/L762,0)</f>
        <v>0</v>
      </c>
      <c r="P762" s="255">
        <f>IF(M762&gt;0,N762*100/M762,0)</f>
        <v>0</v>
      </c>
      <c r="Q762" s="255">
        <f ca="1">Q765+Q768</f>
        <v>622180</v>
      </c>
      <c r="R762" s="255">
        <f ca="1">R765+R768</f>
        <v>622180</v>
      </c>
      <c r="S762" s="255">
        <f ca="1">S765+S768</f>
        <v>490709</v>
      </c>
      <c r="T762" s="255">
        <f ca="1">IF(Q762&gt;0,S762*100/Q762,0)</f>
        <v>78.869298273811438</v>
      </c>
      <c r="U762" s="255">
        <f ca="1">IF(R762&gt;0,S762*100/R762,0)</f>
        <v>78.869298273811438</v>
      </c>
    </row>
    <row r="763" spans="1:21" ht="18.75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256">
        <f>L764+L765</f>
        <v>0</v>
      </c>
      <c r="M763" s="255">
        <f>M764+M765</f>
        <v>0</v>
      </c>
      <c r="N763" s="255">
        <f>N764+N765</f>
        <v>0</v>
      </c>
      <c r="O763" s="255">
        <f>IF(L763&gt;0,N763*100/L763,0)</f>
        <v>0</v>
      </c>
      <c r="P763" s="255">
        <f>IF(M763&gt;0,N763*100/M763,0)</f>
        <v>0</v>
      </c>
      <c r="Q763" s="255">
        <f ca="1">Q764+Q765</f>
        <v>622180</v>
      </c>
      <c r="R763" s="255">
        <f ca="1">R764+R765</f>
        <v>622180</v>
      </c>
      <c r="S763" s="255">
        <f ca="1">S764+S765</f>
        <v>490709</v>
      </c>
      <c r="T763" s="255">
        <f ca="1">IF(Q763&gt;0,S763*100/Q763,0)</f>
        <v>78.869298273811438</v>
      </c>
      <c r="U763" s="255">
        <f ca="1">IF(R763&gt;0,S763*100/R763,0)</f>
        <v>78.869298273811438</v>
      </c>
    </row>
    <row r="764" spans="1:21" ht="18.75" hidden="1">
      <c r="A764" s="155"/>
      <c r="B764" s="188"/>
      <c r="C764" s="202"/>
      <c r="D764" s="174"/>
      <c r="E764" s="186" t="s">
        <v>159</v>
      </c>
      <c r="F764" s="50"/>
      <c r="G764" s="52"/>
      <c r="H764" s="189" t="s">
        <v>14</v>
      </c>
      <c r="I764" s="54"/>
      <c r="J764" s="54"/>
      <c r="K764" s="55"/>
      <c r="L764" s="103">
        <v>0</v>
      </c>
      <c r="M764" s="102">
        <v>0</v>
      </c>
      <c r="N764" s="102">
        <v>0</v>
      </c>
      <c r="O764" s="102">
        <f>IF(L764&gt;0,N764*100/L764,0)</f>
        <v>0</v>
      </c>
      <c r="P764" s="102">
        <f>IF(M764&gt;0,N764*100/M764,0)</f>
        <v>0</v>
      </c>
      <c r="Q764" s="102">
        <v>0</v>
      </c>
      <c r="R764" s="102">
        <v>0</v>
      </c>
      <c r="S764" s="102">
        <v>0</v>
      </c>
      <c r="T764" s="102">
        <f>IF(Q764&gt;0,S764*100/Q764,0)</f>
        <v>0</v>
      </c>
      <c r="U764" s="102">
        <f>IF(R764&gt;0,S764*100/R764,0)</f>
        <v>0</v>
      </c>
    </row>
    <row r="765" spans="1:21" ht="18.75" hidden="1">
      <c r="A765" s="155"/>
      <c r="B765" s="188"/>
      <c r="C765" s="202"/>
      <c r="D765" s="174"/>
      <c r="E765" s="58" t="s">
        <v>160</v>
      </c>
      <c r="F765" s="50"/>
      <c r="G765" s="52"/>
      <c r="H765" s="162" t="s">
        <v>14</v>
      </c>
      <c r="I765" s="54"/>
      <c r="J765" s="54"/>
      <c r="K765" s="55"/>
      <c r="L765" s="256">
        <v>0</v>
      </c>
      <c r="M765" s="255">
        <v>0</v>
      </c>
      <c r="N765" s="255">
        <v>0</v>
      </c>
      <c r="O765" s="255">
        <f>IF(L765&gt;0,N765*100/L765,0)</f>
        <v>0</v>
      </c>
      <c r="P765" s="255">
        <f>IF(M765&gt;0,N765*100/M765,0)</f>
        <v>0</v>
      </c>
      <c r="Q765" s="255">
        <f ca="1">IFERROR(__xludf.DUMMYFUNCTION("IMPORTRANGE(""https://docs.google.com/spreadsheets/d/1ItG2mGa2ceCfYo0BwxsXqNm01IGEUdYcSSLTEv9YCik/edit?usp=sharing"",""เบิกจ่ายกองทุน!U36"")"),622180)</f>
        <v>622180</v>
      </c>
      <c r="R765" s="255">
        <f ca="1">IFERROR(__xludf.DUMMYFUNCTION("IMPORTRANGE(""https://docs.google.com/spreadsheets/d/1ItG2mGa2ceCfYo0BwxsXqNm01IGEUdYcSSLTEv9YCik/edit?usp=sharing"",""เบิกจ่ายกองทุน!V36"")"),622180)</f>
        <v>622180</v>
      </c>
      <c r="S765" s="255">
        <f ca="1">IFERROR(__xludf.DUMMYFUNCTION("IMPORTRANGE(""https://docs.google.com/spreadsheets/d/1ItG2mGa2ceCfYo0BwxsXqNm01IGEUdYcSSLTEv9YCik/edit?usp=sharing"",""เบิกจ่ายกองทุน!W36"")"),490709)</f>
        <v>490709</v>
      </c>
      <c r="T765" s="255">
        <f ca="1">IF(Q765&gt;0,S765*100/Q765,0)</f>
        <v>78.869298273811438</v>
      </c>
      <c r="U765" s="255">
        <f ca="1">IF(R765&gt;0,S765*100/R765,0)</f>
        <v>78.869298273811438</v>
      </c>
    </row>
    <row r="766" spans="1:21" ht="18.75">
      <c r="A766" s="155"/>
      <c r="B766" s="188"/>
      <c r="C766" s="188"/>
      <c r="D766" s="51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256">
        <f>L767+L768</f>
        <v>0</v>
      </c>
      <c r="M766" s="255">
        <f>M767+M768</f>
        <v>0</v>
      </c>
      <c r="N766" s="255">
        <f>N767+N768</f>
        <v>0</v>
      </c>
      <c r="O766" s="255">
        <f>IF(L766&gt;0,N766*100/L766,0)</f>
        <v>0</v>
      </c>
      <c r="P766" s="255">
        <f>IF(M766&gt;0,N766*100/M766,0)</f>
        <v>0</v>
      </c>
      <c r="Q766" s="255">
        <f>Q767+Q768</f>
        <v>0</v>
      </c>
      <c r="R766" s="255">
        <f>R767+R768</f>
        <v>0</v>
      </c>
      <c r="S766" s="255">
        <f>S767+S768</f>
        <v>0</v>
      </c>
      <c r="T766" s="255">
        <f>IF(Q766&gt;0,S766*100/Q766,0)</f>
        <v>0</v>
      </c>
      <c r="U766" s="255">
        <f>IF(R766&gt;0,S766*100/R766,0)</f>
        <v>0</v>
      </c>
    </row>
    <row r="767" spans="1:21" ht="18.75" hidden="1">
      <c r="A767" s="155"/>
      <c r="B767" s="188"/>
      <c r="C767" s="188"/>
      <c r="D767" s="188"/>
      <c r="E767" s="358" t="s">
        <v>20</v>
      </c>
      <c r="F767" s="50"/>
      <c r="G767" s="52"/>
      <c r="H767" s="189" t="s">
        <v>14</v>
      </c>
      <c r="I767" s="163"/>
      <c r="J767" s="163"/>
      <c r="K767" s="164"/>
      <c r="L767" s="103">
        <v>0</v>
      </c>
      <c r="M767" s="102">
        <v>0</v>
      </c>
      <c r="N767" s="102">
        <v>0</v>
      </c>
      <c r="O767" s="102">
        <f>IF(L767&gt;0,N767*100/L767,0)</f>
        <v>0</v>
      </c>
      <c r="P767" s="102">
        <f>IF(M767&gt;0,N767*100/M767,0)</f>
        <v>0</v>
      </c>
      <c r="Q767" s="102">
        <v>0</v>
      </c>
      <c r="R767" s="102">
        <v>0</v>
      </c>
      <c r="S767" s="102">
        <v>0</v>
      </c>
      <c r="T767" s="102">
        <f>IF(Q767&gt;0,S767*100/Q767,0)</f>
        <v>0</v>
      </c>
      <c r="U767" s="102">
        <f>IF(R767&gt;0,S767*100/R767,0)</f>
        <v>0</v>
      </c>
    </row>
    <row r="768" spans="1:21" ht="18.75" hidden="1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256">
        <v>0</v>
      </c>
      <c r="M768" s="255">
        <v>0</v>
      </c>
      <c r="N768" s="255">
        <v>0</v>
      </c>
      <c r="O768" s="255">
        <f>IF(L768&gt;0,N768*100/L768,0)</f>
        <v>0</v>
      </c>
      <c r="P768" s="255">
        <f>IF(M768&gt;0,N768*100/M768,0)</f>
        <v>0</v>
      </c>
      <c r="Q768" s="255">
        <v>0</v>
      </c>
      <c r="R768" s="255">
        <v>0</v>
      </c>
      <c r="S768" s="255">
        <v>0</v>
      </c>
      <c r="T768" s="255">
        <f>IF(Q768&gt;0,S768*100/Q768,0)</f>
        <v>0</v>
      </c>
      <c r="U768" s="255">
        <f>IF(R768&gt;0,S768*100/R768,0)</f>
        <v>0</v>
      </c>
    </row>
    <row r="769" spans="1:21" ht="19.5">
      <c r="A769" s="166"/>
      <c r="B769" s="167"/>
      <c r="C769" s="497" t="s">
        <v>18</v>
      </c>
      <c r="D769" s="539" t="s">
        <v>38</v>
      </c>
      <c r="E769" s="232"/>
      <c r="F769" s="169"/>
      <c r="G769" s="170"/>
      <c r="H769" s="206"/>
      <c r="I769" s="54"/>
      <c r="J769" s="54"/>
      <c r="K769" s="55"/>
      <c r="L769" s="62"/>
      <c r="M769" s="55"/>
      <c r="N769" s="55"/>
      <c r="O769" s="55"/>
      <c r="P769" s="55"/>
      <c r="Q769" s="55"/>
      <c r="R769" s="55"/>
      <c r="S769" s="55"/>
      <c r="T769" s="55"/>
      <c r="U769" s="55"/>
    </row>
    <row r="770" spans="1:21" ht="18.75" hidden="1">
      <c r="A770" s="166"/>
      <c r="B770" s="167"/>
      <c r="C770" s="167"/>
      <c r="D770" s="423" t="s">
        <v>287</v>
      </c>
      <c r="E770" s="167"/>
      <c r="F770" s="174"/>
      <c r="G770" s="171"/>
      <c r="H770" s="421" t="s">
        <v>35</v>
      </c>
      <c r="I770" s="483">
        <f ca="1">IFERROR(__xludf.DUMMYFUNCTION("IMPORTRANGE(""https://docs.google.com/spreadsheets/d/1eHaY18a8A9IcSdp1K8H6x8fbOy06t2VsZHhMHf-1x7Y/edit?usp=sharing"",""แผน!FI36"")"),0)</f>
        <v>0</v>
      </c>
      <c r="J770" s="483">
        <v>0</v>
      </c>
      <c r="K770" s="102">
        <f ca="1">IF(I770&gt;0,J770*100/I770,0)</f>
        <v>0</v>
      </c>
      <c r="L770" s="62"/>
      <c r="M770" s="55"/>
      <c r="N770" s="55"/>
      <c r="O770" s="55"/>
      <c r="P770" s="55"/>
      <c r="Q770" s="55"/>
      <c r="R770" s="55"/>
      <c r="S770" s="55"/>
      <c r="T770" s="55"/>
      <c r="U770" s="55"/>
    </row>
    <row r="771" spans="1:21" ht="18.75" hidden="1">
      <c r="A771" s="166"/>
      <c r="B771" s="167"/>
      <c r="C771" s="167"/>
      <c r="D771" s="423" t="s">
        <v>288</v>
      </c>
      <c r="E771" s="167"/>
      <c r="F771" s="174"/>
      <c r="G771" s="171"/>
      <c r="H771" s="206"/>
      <c r="I771" s="54"/>
      <c r="J771" s="54"/>
      <c r="K771" s="55"/>
      <c r="L771" s="62"/>
      <c r="M771" s="55"/>
      <c r="N771" s="55"/>
      <c r="O771" s="55"/>
      <c r="P771" s="55"/>
      <c r="Q771" s="55"/>
      <c r="R771" s="55"/>
      <c r="S771" s="55"/>
      <c r="T771" s="55"/>
      <c r="U771" s="55"/>
    </row>
    <row r="772" spans="1:21" ht="18.75">
      <c r="A772" s="166"/>
      <c r="B772" s="167"/>
      <c r="C772" s="167"/>
      <c r="D772" s="460" t="s">
        <v>289</v>
      </c>
      <c r="E772" s="167"/>
      <c r="F772" s="174"/>
      <c r="G772" s="171"/>
      <c r="H772" s="165" t="s">
        <v>35</v>
      </c>
      <c r="I772" s="212">
        <f ca="1">IFERROR(__xludf.DUMMYFUNCTION("IMPORTRANGE(""https://docs.google.com/spreadsheets/d/1eHaY18a8A9IcSdp1K8H6x8fbOy06t2VsZHhMHf-1x7Y/edit?usp=sharing"",""แผน!FQ36"")"),100)</f>
        <v>100</v>
      </c>
      <c r="J772" s="467">
        <v>100</v>
      </c>
      <c r="K772" s="255">
        <f ca="1">IF(I772&gt;0,J772*100/I772,0)</f>
        <v>100</v>
      </c>
      <c r="L772" s="62"/>
      <c r="M772" s="55"/>
      <c r="N772" s="55"/>
      <c r="O772" s="55"/>
      <c r="P772" s="55"/>
      <c r="Q772" s="55"/>
      <c r="R772" s="55"/>
      <c r="S772" s="55"/>
      <c r="T772" s="55"/>
      <c r="U772" s="55"/>
    </row>
    <row r="773" spans="1:21" ht="18.75">
      <c r="A773" s="166"/>
      <c r="B773" s="167"/>
      <c r="C773" s="167"/>
      <c r="D773" s="460" t="s">
        <v>290</v>
      </c>
      <c r="E773" s="167"/>
      <c r="F773" s="174"/>
      <c r="G773" s="171"/>
      <c r="H773" s="206"/>
      <c r="I773" s="54"/>
      <c r="J773" s="54"/>
      <c r="K773" s="55"/>
      <c r="L773" s="62"/>
      <c r="M773" s="55"/>
      <c r="N773" s="55"/>
      <c r="O773" s="55"/>
      <c r="P773" s="55"/>
      <c r="Q773" s="55"/>
      <c r="R773" s="55"/>
      <c r="S773" s="55"/>
      <c r="T773" s="55"/>
      <c r="U773" s="55"/>
    </row>
    <row r="774" spans="1:21" ht="18.75">
      <c r="A774" s="166"/>
      <c r="B774" s="167"/>
      <c r="C774" s="167"/>
      <c r="D774" s="460" t="s">
        <v>291</v>
      </c>
      <c r="E774" s="167"/>
      <c r="F774" s="174"/>
      <c r="G774" s="171"/>
      <c r="H774" s="165" t="s">
        <v>46</v>
      </c>
      <c r="I774" s="212">
        <f ca="1">IFERROR(__xludf.DUMMYFUNCTION("IMPORTRANGE(""https://docs.google.com/spreadsheets/d/1eHaY18a8A9IcSdp1K8H6x8fbOy06t2VsZHhMHf-1x7Y/edit?usp=sharing"",""แผน!FR36"")"),200)</f>
        <v>200</v>
      </c>
      <c r="J774" s="467">
        <v>200</v>
      </c>
      <c r="K774" s="255">
        <f ca="1">IF(I774&gt;0,J774*100/I774,0)</f>
        <v>100</v>
      </c>
      <c r="L774" s="62"/>
      <c r="M774" s="55"/>
      <c r="N774" s="55"/>
      <c r="O774" s="55"/>
      <c r="P774" s="55"/>
      <c r="Q774" s="55"/>
      <c r="R774" s="55"/>
      <c r="S774" s="55"/>
      <c r="T774" s="55"/>
      <c r="U774" s="55"/>
    </row>
    <row r="775" spans="1:21" ht="18.75">
      <c r="A775" s="166"/>
      <c r="B775" s="167"/>
      <c r="C775" s="167"/>
      <c r="D775" s="460" t="s">
        <v>50</v>
      </c>
      <c r="E775" s="174"/>
      <c r="F775" s="50"/>
      <c r="G775" s="52"/>
      <c r="H775" s="165" t="s">
        <v>46</v>
      </c>
      <c r="I775" s="212">
        <f ca="1">IFERROR(__xludf.DUMMYFUNCTION("IMPORTRANGE(""https://docs.google.com/spreadsheets/d/1eHaY18a8A9IcSdp1K8H6x8fbOy06t2VsZHhMHf-1x7Y/edit?usp=sharing"",""แผน!FS36"")"),200)</f>
        <v>200</v>
      </c>
      <c r="J775" s="467">
        <v>200</v>
      </c>
      <c r="K775" s="55"/>
      <c r="L775" s="62"/>
      <c r="M775" s="55"/>
      <c r="N775" s="55"/>
      <c r="O775" s="55"/>
      <c r="P775" s="55"/>
      <c r="Q775" s="55"/>
      <c r="R775" s="55"/>
      <c r="S775" s="55"/>
      <c r="T775" s="55"/>
      <c r="U775" s="55"/>
    </row>
    <row r="776" spans="1:21" ht="18.75">
      <c r="A776" s="281"/>
      <c r="B776" s="282"/>
      <c r="C776" s="282"/>
      <c r="D776" s="282"/>
      <c r="E776" s="2"/>
      <c r="F776" s="2"/>
      <c r="G776" s="65"/>
      <c r="H776" s="214" t="s">
        <v>35</v>
      </c>
      <c r="I776" s="216">
        <f ca="1">IFERROR(__xludf.DUMMYFUNCTION("IMPORTRANGE(""https://docs.google.com/spreadsheets/d/1eHaY18a8A9IcSdp1K8H6x8fbOy06t2VsZHhMHf-1x7Y/edit?usp=sharing"",""แผน!FT36"")"),100)</f>
        <v>100</v>
      </c>
      <c r="J776" s="538">
        <v>100</v>
      </c>
      <c r="K776" s="6"/>
      <c r="L776" s="68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>
      <c r="A777" s="537" t="s">
        <v>292</v>
      </c>
      <c r="B777" s="500"/>
      <c r="C777" s="500"/>
      <c r="D777" s="499"/>
      <c r="E777" s="500"/>
      <c r="F777" s="500"/>
      <c r="G777" s="501"/>
      <c r="H777" s="536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503"/>
      <c r="J777" s="504"/>
      <c r="K777" s="505"/>
      <c r="L777" s="505"/>
      <c r="M777" s="505"/>
      <c r="N777" s="505"/>
      <c r="O777" s="505"/>
      <c r="P777" s="505"/>
      <c r="Q777" s="505"/>
      <c r="R777" s="505"/>
      <c r="S777" s="505"/>
      <c r="T777" s="505"/>
      <c r="U777" s="505"/>
    </row>
    <row r="778" spans="1:21" ht="18.75">
      <c r="A778" s="49"/>
      <c r="B778" s="58" t="s">
        <v>293</v>
      </c>
      <c r="C778" s="50"/>
      <c r="D778" s="188"/>
      <c r="E778" s="50"/>
      <c r="F778" s="50"/>
      <c r="G778" s="52"/>
      <c r="H778" s="53" t="s">
        <v>14</v>
      </c>
      <c r="I778" s="212">
        <f ca="1">IFERROR(__xludf.DUMMYFUNCTION("IMPORTRANGE(""https://docs.google.com/spreadsheets/d/10OvvATaaLtwErnr3qtWFcTmtbfpFEt5Bsqel9sXx0uE/edit?usp=sharing"",""งานกองทุน!D36"")"),14959470.43)</f>
        <v>14959470.43</v>
      </c>
      <c r="J778" s="212">
        <f ca="1">IFERROR(__xludf.DUMMYFUNCTION("IMPORTRANGE(""https://docs.google.com/spreadsheets/d/10OvvATaaLtwErnr3qtWFcTmtbfpFEt5Bsqel9sXx0uE/edit?usp=sharing"",""งานกองทุน!F36"")"),5156407.4)</f>
        <v>5156407.4000000004</v>
      </c>
      <c r="K778" s="255">
        <f ca="1">IF(I778&gt;0,J778*100/I778,0)</f>
        <v>34.469184080602517</v>
      </c>
      <c r="L778" s="55"/>
      <c r="M778" s="55"/>
      <c r="N778" s="55"/>
      <c r="O778" s="55"/>
      <c r="P778" s="55"/>
      <c r="Q778" s="55"/>
      <c r="R778" s="55"/>
      <c r="S778" s="55"/>
      <c r="T778" s="55"/>
      <c r="U778" s="55"/>
    </row>
    <row r="779" spans="1:21" ht="18.75">
      <c r="A779" s="49"/>
      <c r="B779" s="50"/>
      <c r="C779" s="50"/>
      <c r="D779" s="188"/>
      <c r="E779" s="50"/>
      <c r="F779" s="50"/>
      <c r="G779" s="52"/>
      <c r="H779" s="53" t="s">
        <v>35</v>
      </c>
      <c r="I779" s="212">
        <f ca="1">IFERROR(__xludf.DUMMYFUNCTION("IMPORTRANGE(""https://docs.google.com/spreadsheets/d/10OvvATaaLtwErnr3qtWFcTmtbfpFEt5Bsqel9sXx0uE/edit?usp=sharing"",""งานกองทุน!C36"")"),396)</f>
        <v>396</v>
      </c>
      <c r="J779" s="212">
        <f ca="1">IFERROR(__xludf.DUMMYFUNCTION("IMPORTRANGE(""https://docs.google.com/spreadsheets/d/10OvvATaaLtwErnr3qtWFcTmtbfpFEt5Bsqel9sXx0uE/edit?usp=sharing"",""งานกองทุน!E36"")"),208)</f>
        <v>208</v>
      </c>
      <c r="K779" s="255">
        <f ca="1">IF(I779&gt;0,J779*100/I779,0)</f>
        <v>52.525252525252526</v>
      </c>
      <c r="L779" s="55"/>
      <c r="M779" s="55"/>
      <c r="N779" s="55"/>
      <c r="O779" s="55"/>
      <c r="P779" s="55"/>
      <c r="Q779" s="55"/>
      <c r="R779" s="55"/>
      <c r="S779" s="55"/>
      <c r="T779" s="55"/>
      <c r="U779" s="55"/>
    </row>
    <row r="780" spans="1:21" ht="18.75">
      <c r="A780" s="49"/>
      <c r="B780" s="58" t="s">
        <v>294</v>
      </c>
      <c r="C780" s="50"/>
      <c r="D780" s="188"/>
      <c r="E780" s="50"/>
      <c r="F780" s="50"/>
      <c r="G780" s="52"/>
      <c r="H780" s="53" t="s">
        <v>14</v>
      </c>
      <c r="I780" s="212">
        <f ca="1">IFERROR(__xludf.DUMMYFUNCTION("IMPORTRANGE(""https://docs.google.com/spreadsheets/d/10OvvATaaLtwErnr3qtWFcTmtbfpFEt5Bsqel9sXx0uE/edit?usp=sharing"",""งานกองทุน!I36"")"),6699643.16)</f>
        <v>6699643.1600000001</v>
      </c>
      <c r="J780" s="212">
        <f ca="1">IFERROR(__xludf.DUMMYFUNCTION("IMPORTRANGE(""https://docs.google.com/spreadsheets/d/10OvvATaaLtwErnr3qtWFcTmtbfpFEt5Bsqel9sXx0uE/edit?usp=sharing"",""งานกองทุน!K36"")"),164991.78)</f>
        <v>164991.78</v>
      </c>
      <c r="K780" s="255">
        <f ca="1">IF(I780&gt;0,J780*100/I780,0)</f>
        <v>2.4626950429998722</v>
      </c>
      <c r="L780" s="55"/>
      <c r="M780" s="55"/>
      <c r="N780" s="55"/>
      <c r="O780" s="55"/>
      <c r="P780" s="55"/>
      <c r="Q780" s="55"/>
      <c r="R780" s="55"/>
      <c r="S780" s="55"/>
      <c r="T780" s="55"/>
      <c r="U780" s="55"/>
    </row>
    <row r="781" spans="1:21" ht="18.75">
      <c r="A781" s="49"/>
      <c r="B781" s="50"/>
      <c r="C781" s="50"/>
      <c r="D781" s="188"/>
      <c r="E781" s="50"/>
      <c r="F781" s="50"/>
      <c r="G781" s="52"/>
      <c r="H781" s="53" t="s">
        <v>35</v>
      </c>
      <c r="I781" s="212">
        <f ca="1">IFERROR(__xludf.DUMMYFUNCTION("IMPORTRANGE(""https://docs.google.com/spreadsheets/d/10OvvATaaLtwErnr3qtWFcTmtbfpFEt5Bsqel9sXx0uE/edit?usp=sharing"",""งานกองทุน!H36"")"),212)</f>
        <v>212</v>
      </c>
      <c r="J781" s="212">
        <f ca="1">IFERROR(__xludf.DUMMYFUNCTION("IMPORTRANGE(""https://docs.google.com/spreadsheets/d/10OvvATaaLtwErnr3qtWFcTmtbfpFEt5Bsqel9sXx0uE/edit?usp=sharing"",""งานกองทุน!J36"")"),19)</f>
        <v>19</v>
      </c>
      <c r="K781" s="255">
        <f ca="1">IF(I781&gt;0,J781*100/I781,0)</f>
        <v>8.9622641509433958</v>
      </c>
      <c r="L781" s="55"/>
      <c r="M781" s="55"/>
      <c r="N781" s="55"/>
      <c r="O781" s="55"/>
      <c r="P781" s="55"/>
      <c r="Q781" s="55"/>
      <c r="R781" s="55"/>
      <c r="S781" s="55"/>
      <c r="T781" s="55"/>
      <c r="U781" s="55"/>
    </row>
    <row r="782" spans="1:21" ht="18.75">
      <c r="A782" s="49"/>
      <c r="B782" s="58" t="s">
        <v>295</v>
      </c>
      <c r="C782" s="50"/>
      <c r="D782" s="188"/>
      <c r="E782" s="50"/>
      <c r="F782" s="50"/>
      <c r="G782" s="52"/>
      <c r="H782" s="53" t="s">
        <v>14</v>
      </c>
      <c r="I782" s="212">
        <f ca="1">IFERROR(__xludf.DUMMYFUNCTION("IMPORTRANGE(""https://docs.google.com/spreadsheets/d/10OvvATaaLtwErnr3qtWFcTmtbfpFEt5Bsqel9sXx0uE/edit?usp=sharing"",""งานกองทุน!N36"")"),52413)</f>
        <v>52413</v>
      </c>
      <c r="J782" s="212">
        <f ca="1">IFERROR(__xludf.DUMMYFUNCTION("IMPORTRANGE(""https://docs.google.com/spreadsheets/d/10OvvATaaLtwErnr3qtWFcTmtbfpFEt5Bsqel9sXx0uE/edit?usp=sharing"",""งานกองทุน!P36"")"),30950)</f>
        <v>30950</v>
      </c>
      <c r="K782" s="255">
        <f ca="1">IF(I782&gt;0,J782*100/I782,0)</f>
        <v>59.050235628565432</v>
      </c>
      <c r="L782" s="55"/>
      <c r="M782" s="55"/>
      <c r="N782" s="55"/>
      <c r="O782" s="55"/>
      <c r="P782" s="55"/>
      <c r="Q782" s="55"/>
      <c r="R782" s="55"/>
      <c r="S782" s="55"/>
      <c r="T782" s="55"/>
      <c r="U782" s="55"/>
    </row>
    <row r="783" spans="1:21" ht="18.75">
      <c r="A783" s="49"/>
      <c r="B783" s="50"/>
      <c r="C783" s="50"/>
      <c r="D783" s="188"/>
      <c r="E783" s="50"/>
      <c r="F783" s="50"/>
      <c r="G783" s="52"/>
      <c r="H783" s="53" t="s">
        <v>35</v>
      </c>
      <c r="I783" s="212">
        <f ca="1">IFERROR(__xludf.DUMMYFUNCTION("IMPORTRANGE(""https://docs.google.com/spreadsheets/d/10OvvATaaLtwErnr3qtWFcTmtbfpFEt5Bsqel9sXx0uE/edit?usp=sharing"",""งานกองทุน!M36"")"),273)</f>
        <v>273</v>
      </c>
      <c r="J783" s="212">
        <f ca="1">IFERROR(__xludf.DUMMYFUNCTION("IMPORTRANGE(""https://docs.google.com/spreadsheets/d/10OvvATaaLtwErnr3qtWFcTmtbfpFEt5Bsqel9sXx0uE/edit?usp=sharing"",""งานกองทุน!O36"")"),164)</f>
        <v>164</v>
      </c>
      <c r="K783" s="255">
        <f ca="1">IF(I783&gt;0,J783*100/I783,0)</f>
        <v>60.073260073260073</v>
      </c>
      <c r="L783" s="55"/>
      <c r="M783" s="55"/>
      <c r="N783" s="55"/>
      <c r="O783" s="55"/>
      <c r="P783" s="55"/>
      <c r="Q783" s="55"/>
      <c r="R783" s="55"/>
      <c r="S783" s="55"/>
      <c r="T783" s="55"/>
      <c r="U783" s="55"/>
    </row>
    <row r="784" spans="1:21" ht="18.75">
      <c r="A784" s="49"/>
      <c r="B784" s="58" t="s">
        <v>296</v>
      </c>
      <c r="C784" s="50"/>
      <c r="D784" s="188"/>
      <c r="E784" s="50"/>
      <c r="F784" s="50"/>
      <c r="G784" s="52"/>
      <c r="H784" s="53" t="s">
        <v>14</v>
      </c>
      <c r="I784" s="212">
        <f ca="1">IFERROR(__xludf.DUMMYFUNCTION("IMPORTRANGE(""https://docs.google.com/spreadsheets/d/10OvvATaaLtwErnr3qtWFcTmtbfpFEt5Bsqel9sXx0uE/edit?usp=sharing"",""งานกองทุน!S36"")"),20104000)</f>
        <v>20104000</v>
      </c>
      <c r="J784" s="212">
        <f ca="1">IFERROR(__xludf.DUMMYFUNCTION("IMPORTRANGE(""https://docs.google.com/spreadsheets/d/10OvvATaaLtwErnr3qtWFcTmtbfpFEt5Bsqel9sXx0uE/edit?usp=sharing"",""งานกองทุน!U36"")"),3874800)</f>
        <v>3874800</v>
      </c>
      <c r="K784" s="255">
        <f ca="1">IF(I784&gt;0,J784*100/I784,0)</f>
        <v>19.273776362912852</v>
      </c>
      <c r="L784" s="55"/>
      <c r="M784" s="55"/>
      <c r="N784" s="55"/>
      <c r="O784" s="55"/>
      <c r="P784" s="55"/>
      <c r="Q784" s="55"/>
      <c r="R784" s="55"/>
      <c r="S784" s="55"/>
      <c r="T784" s="55"/>
      <c r="U784" s="55"/>
    </row>
    <row r="785" spans="1:21" ht="18.75">
      <c r="A785" s="63"/>
      <c r="B785" s="4"/>
      <c r="C785" s="4"/>
      <c r="D785" s="5"/>
      <c r="E785" s="4"/>
      <c r="F785" s="4"/>
      <c r="G785" s="65"/>
      <c r="H785" s="66" t="s">
        <v>35</v>
      </c>
      <c r="I785" s="216">
        <f ca="1">IFERROR(__xludf.DUMMYFUNCTION("IMPORTRANGE(""https://docs.google.com/spreadsheets/d/10OvvATaaLtwErnr3qtWFcTmtbfpFEt5Bsqel9sXx0uE/edit?usp=sharing"",""งานกองทุน!R36"")"),718)</f>
        <v>718</v>
      </c>
      <c r="J785" s="216">
        <f ca="1">IFERROR(__xludf.DUMMYFUNCTION("IMPORTRANGE(""https://docs.google.com/spreadsheets/d/10OvvATaaLtwErnr3qtWFcTmtbfpFEt5Bsqel9sXx0uE/edit?usp=sharing"",""งานกองทุน!T36"")"),104)</f>
        <v>104</v>
      </c>
      <c r="K785" s="506">
        <f ca="1">IF(I785&gt;0,J785*100/I785,0)</f>
        <v>14.484679665738161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6.5">
      <c r="A787" s="535" t="s">
        <v>297</v>
      </c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6.5">
      <c r="A788" s="535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</v>
      </c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6.5">
      <c r="A789" s="535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</v>
      </c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</sheetData>
  <mergeCells count="26">
    <mergeCell ref="A1:U1"/>
    <mergeCell ref="A2:U2"/>
    <mergeCell ref="A3:U3"/>
    <mergeCell ref="L4:P4"/>
    <mergeCell ref="Q4:U4"/>
    <mergeCell ref="A5:G6"/>
    <mergeCell ref="H5:H6"/>
    <mergeCell ref="I5:K5"/>
    <mergeCell ref="L5:M5"/>
    <mergeCell ref="N5:P5"/>
    <mergeCell ref="D616:G616"/>
    <mergeCell ref="D642:G642"/>
    <mergeCell ref="D690:G690"/>
    <mergeCell ref="D714:G714"/>
    <mergeCell ref="Q5:R5"/>
    <mergeCell ref="S5:U5"/>
    <mergeCell ref="D728:G728"/>
    <mergeCell ref="D760:G760"/>
    <mergeCell ref="A7:G7"/>
    <mergeCell ref="A17:G17"/>
    <mergeCell ref="A30:G30"/>
    <mergeCell ref="A56:G56"/>
    <mergeCell ref="B57:G57"/>
    <mergeCell ref="D413:G413"/>
    <mergeCell ref="D493:G493"/>
    <mergeCell ref="D599:G599"/>
  </mergeCells>
  <printOptions horizontalCentered="1"/>
  <pageMargins left="0.23622047244094491" right="0.23622047244094491" top="0.55118110236220474" bottom="0.55118110236220474" header="0" footer="0"/>
  <pageSetup paperSize="9" scale="28" fitToHeight="0" pageOrder="overThenDown" orientation="portrait" cellComments="atEnd" horizontalDpi="4294967293" verticalDpi="4294967293" r:id="rId1"/>
  <headerFooter>
    <oddFooter>&amp;Cหน้า 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BACB10-20DA-4CC1-8634-6FD7DF9890BF}">
  <sheetPr>
    <outlinePr summaryBelow="0" summaryRight="0"/>
    <pageSetUpPr fitToPage="1"/>
  </sheetPr>
  <dimension ref="A1:U789"/>
  <sheetViews>
    <sheetView view="pageBreakPreview" zoomScale="60" zoomScaleNormal="60" workbookViewId="0">
      <pane xSplit="8" ySplit="17" topLeftCell="I18" activePane="bottomRight" state="frozen"/>
      <selection activeCell="T32" sqref="T32"/>
      <selection pane="topRight" activeCell="T32" sqref="T32"/>
      <selection pane="bottomLeft" activeCell="T32" sqref="T32"/>
      <selection pane="bottomRight" activeCell="T32" sqref="T32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9" width="16.85546875" bestFit="1" customWidth="1"/>
    <col min="10" max="10" width="15.140625" customWidth="1"/>
    <col min="11" max="11" width="12.5703125" bestFit="1" customWidth="1"/>
    <col min="12" max="14" width="21.28515625" bestFit="1" customWidth="1"/>
    <col min="15" max="15" width="20.140625" bestFit="1" customWidth="1"/>
    <col min="16" max="16" width="22" bestFit="1" customWidth="1"/>
    <col min="17" max="18" width="21.28515625" bestFit="1" customWidth="1"/>
    <col min="19" max="19" width="18.7109375" bestFit="1" customWidth="1"/>
    <col min="20" max="20" width="20.140625" bestFit="1" customWidth="1"/>
    <col min="21" max="21" width="22" bestFit="1" customWidth="1"/>
  </cols>
  <sheetData>
    <row r="1" spans="1:21" ht="19.5">
      <c r="A1" s="894" t="s">
        <v>0</v>
      </c>
      <c r="B1" s="894"/>
      <c r="C1" s="894"/>
      <c r="D1" s="894"/>
      <c r="E1" s="894"/>
      <c r="F1" s="894"/>
      <c r="G1" s="894"/>
      <c r="H1" s="894"/>
      <c r="I1" s="894"/>
      <c r="J1" s="894"/>
      <c r="K1" s="894"/>
      <c r="L1" s="894"/>
      <c r="M1" s="894"/>
      <c r="N1" s="894"/>
      <c r="O1" s="894"/>
      <c r="P1" s="894"/>
      <c r="Q1" s="894"/>
      <c r="R1" s="894"/>
      <c r="S1" s="894"/>
      <c r="T1" s="894"/>
      <c r="U1" s="894"/>
    </row>
    <row r="2" spans="1:21" ht="19.5">
      <c r="A2" s="894" t="s">
        <v>317</v>
      </c>
      <c r="B2" s="894"/>
      <c r="C2" s="894"/>
      <c r="D2" s="894"/>
      <c r="E2" s="894"/>
      <c r="F2" s="894"/>
      <c r="G2" s="894"/>
      <c r="H2" s="894"/>
      <c r="I2" s="894"/>
      <c r="J2" s="894"/>
      <c r="K2" s="894"/>
      <c r="L2" s="894"/>
      <c r="M2" s="894"/>
      <c r="N2" s="894"/>
      <c r="O2" s="894"/>
      <c r="P2" s="894"/>
      <c r="Q2" s="894"/>
      <c r="R2" s="894"/>
      <c r="S2" s="894"/>
      <c r="T2" s="894"/>
      <c r="U2" s="894"/>
    </row>
    <row r="3" spans="1:21" ht="19.5">
      <c r="A3" s="894" t="s">
        <v>339</v>
      </c>
      <c r="B3" s="894"/>
      <c r="C3" s="894"/>
      <c r="D3" s="894"/>
      <c r="E3" s="894"/>
      <c r="F3" s="894"/>
      <c r="G3" s="894"/>
      <c r="H3" s="894"/>
      <c r="I3" s="894"/>
      <c r="J3" s="894"/>
      <c r="K3" s="894"/>
      <c r="L3" s="894"/>
      <c r="M3" s="894"/>
      <c r="N3" s="894"/>
      <c r="O3" s="894"/>
      <c r="P3" s="894"/>
      <c r="Q3" s="894"/>
      <c r="R3" s="894"/>
      <c r="S3" s="894"/>
      <c r="T3" s="894"/>
      <c r="U3" s="894"/>
    </row>
    <row r="4" spans="1:21" ht="19.5">
      <c r="A4" s="4"/>
      <c r="B4" s="4"/>
      <c r="C4" s="4"/>
      <c r="D4" s="4"/>
      <c r="E4" s="4"/>
      <c r="F4" s="4"/>
      <c r="G4" s="4"/>
      <c r="H4" s="4"/>
      <c r="I4" s="4"/>
      <c r="J4" s="5"/>
      <c r="K4" s="766"/>
      <c r="L4" s="765" t="s">
        <v>2</v>
      </c>
      <c r="M4" s="514"/>
      <c r="N4" s="514"/>
      <c r="O4" s="514"/>
      <c r="P4" s="512"/>
      <c r="Q4" s="518" t="s">
        <v>3</v>
      </c>
      <c r="R4" s="514"/>
      <c r="S4" s="514"/>
      <c r="T4" s="514"/>
      <c r="U4" s="512"/>
    </row>
    <row r="5" spans="1:21" ht="19.5">
      <c r="A5" s="764" t="s">
        <v>4</v>
      </c>
      <c r="B5" s="516"/>
      <c r="C5" s="516"/>
      <c r="D5" s="516"/>
      <c r="E5" s="516"/>
      <c r="F5" s="516"/>
      <c r="G5" s="763"/>
      <c r="H5" s="772" t="s">
        <v>5</v>
      </c>
      <c r="I5" s="761" t="s">
        <v>6</v>
      </c>
      <c r="J5" s="514"/>
      <c r="K5" s="512"/>
      <c r="L5" s="760" t="s">
        <v>7</v>
      </c>
      <c r="M5" s="512"/>
      <c r="N5" s="513" t="s">
        <v>8</v>
      </c>
      <c r="O5" s="514"/>
      <c r="P5" s="512"/>
      <c r="Q5" s="511" t="s">
        <v>7</v>
      </c>
      <c r="R5" s="512"/>
      <c r="S5" s="513" t="s">
        <v>8</v>
      </c>
      <c r="T5" s="514"/>
      <c r="U5" s="512"/>
    </row>
    <row r="6" spans="1:21" ht="19.5">
      <c r="A6" s="522"/>
      <c r="B6" s="514"/>
      <c r="C6" s="514"/>
      <c r="D6" s="514"/>
      <c r="E6" s="514"/>
      <c r="F6" s="514"/>
      <c r="G6" s="512"/>
      <c r="H6" s="512"/>
      <c r="I6" s="9" t="s">
        <v>9</v>
      </c>
      <c r="J6" s="10" t="s">
        <v>10</v>
      </c>
      <c r="K6" s="9" t="s">
        <v>11</v>
      </c>
      <c r="L6" s="758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 hidden="1">
      <c r="A7" s="750"/>
      <c r="B7" s="514"/>
      <c r="C7" s="514"/>
      <c r="D7" s="514"/>
      <c r="E7" s="514"/>
      <c r="F7" s="514"/>
      <c r="G7" s="512"/>
      <c r="H7" s="17"/>
      <c r="I7" s="18"/>
      <c r="J7" s="18"/>
      <c r="K7" s="19"/>
      <c r="L7" s="28"/>
      <c r="M7" s="19"/>
      <c r="N7" s="19"/>
      <c r="O7" s="19"/>
      <c r="P7" s="19"/>
      <c r="Q7" s="19"/>
      <c r="R7" s="19"/>
      <c r="S7" s="19"/>
      <c r="T7" s="19"/>
      <c r="U7" s="19"/>
    </row>
    <row r="8" spans="1:21" ht="12.75" hidden="1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6"/>
      <c r="M8" s="25"/>
      <c r="N8" s="25"/>
      <c r="O8" s="25"/>
      <c r="P8" s="25"/>
      <c r="Q8" s="25"/>
      <c r="R8" s="25"/>
      <c r="S8" s="25"/>
      <c r="T8" s="25"/>
      <c r="U8" s="25"/>
    </row>
    <row r="9" spans="1:21" ht="12.75" hidden="1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6"/>
      <c r="M9" s="25"/>
      <c r="N9" s="25"/>
      <c r="O9" s="25"/>
      <c r="P9" s="25"/>
      <c r="Q9" s="25"/>
      <c r="R9" s="25"/>
      <c r="S9" s="25"/>
      <c r="T9" s="25"/>
      <c r="U9" s="25"/>
    </row>
    <row r="10" spans="1:21" ht="12.75" hidden="1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6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2.75" hidden="1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6"/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2.75" hidden="1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6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2.75" hidden="1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6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2.75" hidden="1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2.75" hidden="1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6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2.75" hidden="1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28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9.5">
      <c r="A17" s="532" t="s">
        <v>311</v>
      </c>
      <c r="B17" s="514"/>
      <c r="C17" s="514"/>
      <c r="D17" s="514"/>
      <c r="E17" s="514"/>
      <c r="F17" s="514"/>
      <c r="G17" s="512"/>
      <c r="H17" s="29"/>
      <c r="I17" s="30"/>
      <c r="J17" s="30"/>
      <c r="K17" s="31"/>
      <c r="L17" s="32"/>
      <c r="M17" s="31"/>
      <c r="N17" s="31"/>
      <c r="O17" s="31"/>
      <c r="P17" s="31"/>
      <c r="Q17" s="31"/>
      <c r="R17" s="31"/>
      <c r="S17" s="31"/>
      <c r="T17" s="31"/>
      <c r="U17" s="31"/>
    </row>
    <row r="18" spans="1:21" ht="19.5">
      <c r="A18" s="33"/>
      <c r="B18" s="34"/>
      <c r="C18" s="35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757">
        <f ca="1">L19+L20</f>
        <v>2132350</v>
      </c>
      <c r="M18" s="720">
        <f ca="1">M19+M20</f>
        <v>2139855</v>
      </c>
      <c r="N18" s="720">
        <f ca="1">N19+N20</f>
        <v>1574032.01</v>
      </c>
      <c r="O18" s="720">
        <f ca="1">IF(L18&gt;0,N18*100/L18,0)</f>
        <v>73.816775388655714</v>
      </c>
      <c r="P18" s="720">
        <f ca="1">IF(M18&gt;0,N18*100/M18,0)</f>
        <v>73.557881725630949</v>
      </c>
      <c r="Q18" s="720">
        <f ca="1">Q19+Q20</f>
        <v>2541714</v>
      </c>
      <c r="R18" s="720">
        <f ca="1">R19+R20</f>
        <v>2541714</v>
      </c>
      <c r="S18" s="720">
        <f ca="1">S19+S20</f>
        <v>276148</v>
      </c>
      <c r="T18" s="720">
        <f ca="1">IF(Q18&gt;0,S18*100/Q18,0)</f>
        <v>10.864637012661534</v>
      </c>
      <c r="U18" s="720">
        <f ca="1">IF(R18&gt;0,S18*100/R18,0)</f>
        <v>10.864637012661534</v>
      </c>
    </row>
    <row r="19" spans="1:21" ht="18.75" hidden="1">
      <c r="A19" s="33"/>
      <c r="B19" s="34"/>
      <c r="C19" s="34"/>
      <c r="D19" s="34"/>
      <c r="E19" s="756" t="s">
        <v>20</v>
      </c>
      <c r="F19" s="34"/>
      <c r="G19" s="37"/>
      <c r="H19" s="755" t="s">
        <v>14</v>
      </c>
      <c r="I19" s="39"/>
      <c r="J19" s="39"/>
      <c r="K19" s="40"/>
      <c r="L19" s="754">
        <f>L22+L25</f>
        <v>0</v>
      </c>
      <c r="M19" s="753">
        <f>M22+M25</f>
        <v>0</v>
      </c>
      <c r="N19" s="753">
        <f>N22+N25</f>
        <v>0</v>
      </c>
      <c r="O19" s="753">
        <f>IF(L19&gt;0,N19*100/L19,0)</f>
        <v>0</v>
      </c>
      <c r="P19" s="753">
        <f>IF(M19&gt;0,N19*100/M19,0)</f>
        <v>0</v>
      </c>
      <c r="Q19" s="753">
        <f>Q22+Q25</f>
        <v>0</v>
      </c>
      <c r="R19" s="753">
        <f>R22+R25</f>
        <v>0</v>
      </c>
      <c r="S19" s="753">
        <f>S22+S25</f>
        <v>0</v>
      </c>
      <c r="T19" s="753">
        <f>IF(Q19&gt;0,S19*100/Q19,0)</f>
        <v>0</v>
      </c>
      <c r="U19" s="753">
        <f>IF(R19&gt;0,S19*100/R19,0)</f>
        <v>0</v>
      </c>
    </row>
    <row r="20" spans="1:21" ht="18.75" hidden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752">
        <f ca="1">L23+L26</f>
        <v>2132350</v>
      </c>
      <c r="M20" s="751">
        <f ca="1">M23+M26</f>
        <v>2139855</v>
      </c>
      <c r="N20" s="751">
        <f ca="1">N23+N26</f>
        <v>1574032.01</v>
      </c>
      <c r="O20" s="751">
        <f ca="1">IF(L20&gt;0,N20*100/L20,0)</f>
        <v>73.816775388655714</v>
      </c>
      <c r="P20" s="751">
        <f ca="1">IF(M20&gt;0,N20*100/M20,0)</f>
        <v>73.557881725630949</v>
      </c>
      <c r="Q20" s="751">
        <f ca="1">Q23+Q26</f>
        <v>2541714</v>
      </c>
      <c r="R20" s="751">
        <f ca="1">R23+R26</f>
        <v>2541714</v>
      </c>
      <c r="S20" s="751">
        <f ca="1">S23+S26</f>
        <v>276148</v>
      </c>
      <c r="T20" s="751">
        <f ca="1">IF(Q20&gt;0,S20*100/Q20,0)</f>
        <v>10.864637012661534</v>
      </c>
      <c r="U20" s="751">
        <f ca="1">IF(R20&gt;0,S20*100/R20,0)</f>
        <v>10.864637012661534</v>
      </c>
    </row>
    <row r="21" spans="1:21" ht="18.75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256">
        <f ca="1">L22+L23</f>
        <v>2132350</v>
      </c>
      <c r="M21" s="255">
        <f ca="1">M22+M23</f>
        <v>2139855</v>
      </c>
      <c r="N21" s="255">
        <f ca="1">N22+N23</f>
        <v>1574032.01</v>
      </c>
      <c r="O21" s="255">
        <f ca="1">IF(L21&gt;0,N21*100/L21,0)</f>
        <v>73.816775388655714</v>
      </c>
      <c r="P21" s="255">
        <f ca="1">IF(M21&gt;0,N21*100/M21,0)</f>
        <v>73.557881725630949</v>
      </c>
      <c r="Q21" s="255">
        <f ca="1">Q22+Q23</f>
        <v>2541714</v>
      </c>
      <c r="R21" s="255">
        <f ca="1">R22+R23</f>
        <v>2541714</v>
      </c>
      <c r="S21" s="255">
        <f ca="1">S22+S23</f>
        <v>276148</v>
      </c>
      <c r="T21" s="255">
        <f ca="1">IF(Q21&gt;0,S21*100/Q21,0)</f>
        <v>10.864637012661534</v>
      </c>
      <c r="U21" s="255">
        <f ca="1">IF(R21&gt;0,S21*100/R21,0)</f>
        <v>10.864637012661534</v>
      </c>
    </row>
    <row r="22" spans="1:21" ht="18.75" hidden="1">
      <c r="A22" s="49"/>
      <c r="B22" s="50"/>
      <c r="C22" s="50"/>
      <c r="D22" s="50"/>
      <c r="E22" s="186" t="s">
        <v>20</v>
      </c>
      <c r="F22" s="50"/>
      <c r="G22" s="52"/>
      <c r="H22" s="729" t="s">
        <v>14</v>
      </c>
      <c r="I22" s="54"/>
      <c r="J22" s="54"/>
      <c r="K22" s="55"/>
      <c r="L22" s="103">
        <f>L48+L63+L76+L98+L129+L143+L161+L190+L177+L270+L286+L307+L324+L337+L360+L517</f>
        <v>0</v>
      </c>
      <c r="M22" s="102">
        <f>M48+M63+M76+M98+M129+M143+M161+M190+M177+M270+M286+M307+M324+M337+M360+M517</f>
        <v>0</v>
      </c>
      <c r="N22" s="102">
        <f>N48+N63+N76+N98+N129+N143+N161+N190+N177+N270+N286+N307+N324+N337+N360+N517</f>
        <v>0</v>
      </c>
      <c r="O22" s="102">
        <f>IF(L22&gt;0,N22*100/L22,0)</f>
        <v>0</v>
      </c>
      <c r="P22" s="102">
        <f>IF(M22&gt;0,N22*100/M22,0)</f>
        <v>0</v>
      </c>
      <c r="Q22" s="102">
        <f>Q76+Q98+Q121+Q143+Q161+Q177+Q190+Q270+Q286+Q307+Q337+Q379+Q396+Q417+Q497+Q603+Q620+Q646+Q694+Q718+Q732+Q764</f>
        <v>0</v>
      </c>
      <c r="R22" s="102">
        <f>R76+R98+R121+R143+R161+R177+R190+R270+R286+R307+R337+R379+R396+R417+R497+R603+R620+R646+R694+R718+R732+R764</f>
        <v>0</v>
      </c>
      <c r="S22" s="102">
        <f>S76+S98+S121+S143+S161+S177+S190+S270+S286+S307+S337+S379+S396+S417+S497+S603+S620+S646+S694+S718+S732+S764</f>
        <v>0</v>
      </c>
      <c r="T22" s="102">
        <f>IF(Q22&gt;0,S22*100/Q22,0)</f>
        <v>0</v>
      </c>
      <c r="U22" s="102">
        <f>IF(R22&gt;0,S22*100/R22,0)</f>
        <v>0</v>
      </c>
    </row>
    <row r="23" spans="1:21" ht="18.75" hidden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256">
        <f ca="1">L49+L64+L77+L99+L130+L144+L162+L191+L178+L271+L287+L308+L325+L338+L361+L518</f>
        <v>2132350</v>
      </c>
      <c r="M23" s="255">
        <f ca="1">M49+M64+M77+M99+M130+M144+M162+M191+M178+M271+M287+M308+M325+M338+M361+M518</f>
        <v>2139855</v>
      </c>
      <c r="N23" s="255">
        <f ca="1">N49+N64+N77+N99+N130+N144+N162+N191+N178+N271+N287+N308+N325+N338+N361+N518</f>
        <v>1574032.01</v>
      </c>
      <c r="O23" s="255">
        <f ca="1">IF(L23&gt;0,N23*100/L23,0)</f>
        <v>73.816775388655714</v>
      </c>
      <c r="P23" s="255">
        <f ca="1">IF(M23&gt;0,N23*100/M23,0)</f>
        <v>73.557881725630949</v>
      </c>
      <c r="Q23" s="255">
        <f ca="1">Q77+Q99+Q122+Q144+Q162+Q178+Q191+Q271+Q287+Q308+Q338+Q380+Q397+Q418+Q498+Q604+Q621+Q647+Q695+Q719+Q733+Q765</f>
        <v>2541714</v>
      </c>
      <c r="R23" s="255">
        <f ca="1">R77+R99+R122+R144+R162+R178+R191+R271+R287+R308+R338+R380+R397+R418+R498+R604+R621+R647+R695+R719+R733+R765</f>
        <v>2541714</v>
      </c>
      <c r="S23" s="255">
        <f ca="1">S77+S99+S122+S144+S162+S178+S191+S271+S287+S308+S338+S380+S397+S418+S498+S604+S621+S647+S695+S719+S733+S765</f>
        <v>276148</v>
      </c>
      <c r="T23" s="255">
        <f ca="1">IF(Q23&gt;0,S23*100/Q23,0)</f>
        <v>10.864637012661534</v>
      </c>
      <c r="U23" s="255">
        <f ca="1">IF(R23&gt;0,S23*100/R23,0)</f>
        <v>10.864637012661534</v>
      </c>
    </row>
    <row r="24" spans="1:21" ht="18.75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256">
        <f ca="1">L25+L26</f>
        <v>0</v>
      </c>
      <c r="M24" s="255">
        <f ca="1">M25+M26</f>
        <v>0</v>
      </c>
      <c r="N24" s="255">
        <f ca="1">N25+N26</f>
        <v>0</v>
      </c>
      <c r="O24" s="255">
        <f ca="1">IF(L24&gt;0,N24*100/L24,0)</f>
        <v>0</v>
      </c>
      <c r="P24" s="255">
        <f ca="1">IF(M24&gt;0,N24*100/M24,0)</f>
        <v>0</v>
      </c>
      <c r="Q24" s="255">
        <f>Q25+Q26</f>
        <v>0</v>
      </c>
      <c r="R24" s="255">
        <f>R25+R26</f>
        <v>0</v>
      </c>
      <c r="S24" s="255">
        <f>S25+S26</f>
        <v>0</v>
      </c>
      <c r="T24" s="255">
        <f>IF(Q24&gt;0,S24*100/Q24,0)</f>
        <v>0</v>
      </c>
      <c r="U24" s="255">
        <f>IF(R24&gt;0,S24*100/R24,0)</f>
        <v>0</v>
      </c>
    </row>
    <row r="25" spans="1:21" ht="18.75" hidden="1">
      <c r="A25" s="49"/>
      <c r="B25" s="50"/>
      <c r="C25" s="50"/>
      <c r="D25" s="50"/>
      <c r="E25" s="186" t="s">
        <v>20</v>
      </c>
      <c r="F25" s="50"/>
      <c r="G25" s="52"/>
      <c r="H25" s="729" t="s">
        <v>14</v>
      </c>
      <c r="I25" s="54"/>
      <c r="J25" s="54"/>
      <c r="K25" s="55"/>
      <c r="L25" s="103">
        <f>L51+L66+L79+L101+L132+L146+L164+L193+L180+L273+L289+L310+L327+L340+L363+L520</f>
        <v>0</v>
      </c>
      <c r="M25" s="102">
        <f>M51+M66+M79+M101+M132+M146+M164+M193+M180+M273+M289+M310+M327+M340+M363+M520</f>
        <v>0</v>
      </c>
      <c r="N25" s="102">
        <f>N51+N66+N79+N101+N132+N146+N164+N193+N180+N273+N289+N310+N327+N340+N363+N520</f>
        <v>0</v>
      </c>
      <c r="O25" s="102">
        <f>IF(L25&gt;0,N25*100/L25,0)</f>
        <v>0</v>
      </c>
      <c r="P25" s="102">
        <f>IF(M25&gt;0,N25*100/M25,0)</f>
        <v>0</v>
      </c>
      <c r="Q25" s="102">
        <f>Q79+Q101+Q124+Q146+Q164+Q180+Q193+Q273+Q289+Q310+Q340+Q382+Q399+Q420+Q500+Q606+Q623+Q649+Q697+Q721+Q735+Q767</f>
        <v>0</v>
      </c>
      <c r="R25" s="102">
        <f>R79+R101+R124+R146+R164+R180+R193+R273+R289+R310+R340+R382+R399+R420+R500+R606+R623+R649+R697+R721+R735+R767</f>
        <v>0</v>
      </c>
      <c r="S25" s="102">
        <f>S79+S101+S124+S146+S164+S180+S193+S273+S289+S310+S340+S382+S399+S420+S500+S606+S623+S649+S697+S721+S735+S767</f>
        <v>0</v>
      </c>
      <c r="T25" s="102">
        <f>IF(Q25&gt;0,S25*100/Q25,0)</f>
        <v>0</v>
      </c>
      <c r="U25" s="102">
        <f>IF(R25&gt;0,S25*100/R25,0)</f>
        <v>0</v>
      </c>
    </row>
    <row r="26" spans="1:21" ht="18.75" hidden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256">
        <f ca="1">L52+L67+L80+L102+L133+L147+L165+L194+L181+L274+L290+L311+L328+L341+L364+L521</f>
        <v>0</v>
      </c>
      <c r="M26" s="255">
        <f ca="1">M52+M67+M80+M102+M133+M147+M165+M194+M181+M274+M290+M311+M328+M341+M364+M521</f>
        <v>0</v>
      </c>
      <c r="N26" s="255">
        <f ca="1">N52+N67+N80+N102+N133+N147+N165+N194+N181+N274+N290+N311+N328+N341+N364+N521</f>
        <v>0</v>
      </c>
      <c r="O26" s="255">
        <f ca="1">IF(L26&gt;0,N26*100/L26,0)</f>
        <v>0</v>
      </c>
      <c r="P26" s="255">
        <f ca="1">IF(M26&gt;0,N26*100/M26,0)</f>
        <v>0</v>
      </c>
      <c r="Q26" s="102">
        <f>Q80+Q102+Q125+Q147+Q165+Q181+Q194+Q274+Q290+Q311+Q341+Q383+Q400+Q421+Q501+Q607+Q624+Q650+Q698+Q722+Q736+Q768</f>
        <v>0</v>
      </c>
      <c r="R26" s="102">
        <f>R80+R102+R125+R147+R165+R181+R194+R274+R290+R311+R341+R383+R400+R421+R501+R607+R624+R650+R698+R722+R736+R768</f>
        <v>0</v>
      </c>
      <c r="S26" s="102">
        <f>S80+S102+S125+S147+S165+S181+S194+S274+S290+S311+S341+S383+S400+S421+S501+S607+S624+S650+S698+S722+S736+S768</f>
        <v>0</v>
      </c>
      <c r="T26" s="255">
        <f>IF(Q26&gt;0,S26*100/Q26,0)</f>
        <v>0</v>
      </c>
      <c r="U26" s="255">
        <f>IF(R26&gt;0,S26*100/R26,0)</f>
        <v>0</v>
      </c>
    </row>
    <row r="27" spans="1:21" ht="18.75">
      <c r="A27" s="49"/>
      <c r="B27" s="50"/>
      <c r="C27" s="50"/>
      <c r="D27" s="51" t="s">
        <v>24</v>
      </c>
      <c r="E27" s="50"/>
      <c r="F27" s="50"/>
      <c r="G27" s="52"/>
      <c r="H27" s="53" t="s">
        <v>14</v>
      </c>
      <c r="I27" s="54"/>
      <c r="J27" s="54"/>
      <c r="K27" s="55"/>
      <c r="L27" s="62"/>
      <c r="M27" s="55"/>
      <c r="N27" s="55"/>
      <c r="O27" s="55"/>
      <c r="P27" s="55"/>
      <c r="Q27" s="55"/>
      <c r="R27" s="55"/>
      <c r="S27" s="55"/>
      <c r="T27" s="55"/>
      <c r="U27" s="55"/>
    </row>
    <row r="28" spans="1:21" ht="18.75" hidden="1">
      <c r="A28" s="49"/>
      <c r="B28" s="50"/>
      <c r="C28" s="50"/>
      <c r="D28" s="50"/>
      <c r="E28" s="186" t="s">
        <v>20</v>
      </c>
      <c r="F28" s="50"/>
      <c r="G28" s="52"/>
      <c r="H28" s="729" t="s">
        <v>14</v>
      </c>
      <c r="I28" s="54"/>
      <c r="J28" s="54"/>
      <c r="K28" s="55"/>
      <c r="L28" s="62"/>
      <c r="M28" s="55"/>
      <c r="N28" s="55"/>
      <c r="O28" s="55"/>
      <c r="P28" s="55"/>
      <c r="Q28" s="55"/>
      <c r="R28" s="55"/>
      <c r="S28" s="55"/>
      <c r="T28" s="55"/>
      <c r="U28" s="55"/>
    </row>
    <row r="29" spans="1:21" ht="18.75" hidden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8"/>
      <c r="M29" s="6"/>
      <c r="N29" s="6"/>
      <c r="O29" s="6"/>
      <c r="P29" s="6"/>
      <c r="Q29" s="6"/>
      <c r="R29" s="6"/>
      <c r="S29" s="6"/>
      <c r="T29" s="6"/>
      <c r="U29" s="6"/>
    </row>
    <row r="30" spans="1:21" ht="12.75" hidden="1">
      <c r="A30" s="750"/>
      <c r="B30" s="514"/>
      <c r="C30" s="514"/>
      <c r="D30" s="514"/>
      <c r="E30" s="514"/>
      <c r="F30" s="514"/>
      <c r="G30" s="512"/>
      <c r="H30" s="17"/>
      <c r="I30" s="18"/>
      <c r="J30" s="18"/>
      <c r="K30" s="19"/>
      <c r="L30" s="28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 hidden="1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6"/>
      <c r="M31" s="25"/>
      <c r="N31" s="25"/>
      <c r="O31" s="25"/>
      <c r="P31" s="25"/>
      <c r="Q31" s="25"/>
      <c r="R31" s="25"/>
      <c r="S31" s="25"/>
      <c r="T31" s="25"/>
      <c r="U31" s="25"/>
    </row>
    <row r="32" spans="1:21" ht="12.75" hidden="1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6"/>
      <c r="M32" s="25"/>
      <c r="N32" s="25"/>
      <c r="O32" s="25"/>
      <c r="P32" s="25"/>
      <c r="Q32" s="25"/>
      <c r="R32" s="25"/>
      <c r="S32" s="25"/>
      <c r="T32" s="25"/>
      <c r="U32" s="25"/>
    </row>
    <row r="33" spans="1:21" ht="12.75" hidden="1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6"/>
      <c r="M33" s="25"/>
      <c r="N33" s="25"/>
      <c r="O33" s="25"/>
      <c r="P33" s="25"/>
      <c r="Q33" s="25"/>
      <c r="R33" s="25"/>
      <c r="S33" s="25"/>
      <c r="T33" s="25"/>
      <c r="U33" s="25"/>
    </row>
    <row r="34" spans="1:21" ht="12.75" hidden="1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6"/>
      <c r="M34" s="25"/>
      <c r="N34" s="25"/>
      <c r="O34" s="25"/>
      <c r="P34" s="25"/>
      <c r="Q34" s="25"/>
      <c r="R34" s="25"/>
      <c r="S34" s="25"/>
      <c r="T34" s="25"/>
      <c r="U34" s="25"/>
    </row>
    <row r="35" spans="1:21" ht="12.75" hidden="1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6"/>
      <c r="M35" s="25"/>
      <c r="N35" s="25"/>
      <c r="O35" s="25"/>
      <c r="P35" s="25"/>
      <c r="Q35" s="25"/>
      <c r="R35" s="25"/>
      <c r="S35" s="25"/>
      <c r="T35" s="25"/>
      <c r="U35" s="25"/>
    </row>
    <row r="36" spans="1:21" ht="12.75" hidden="1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6"/>
      <c r="M36" s="25"/>
      <c r="N36" s="25"/>
      <c r="O36" s="25"/>
      <c r="P36" s="25"/>
      <c r="Q36" s="25"/>
      <c r="R36" s="25"/>
      <c r="S36" s="25"/>
      <c r="T36" s="25"/>
      <c r="U36" s="25"/>
    </row>
    <row r="37" spans="1:21" ht="12.75" hidden="1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6"/>
      <c r="M37" s="25"/>
      <c r="N37" s="25"/>
      <c r="O37" s="25"/>
      <c r="P37" s="25"/>
      <c r="Q37" s="25"/>
      <c r="R37" s="25"/>
      <c r="S37" s="25"/>
      <c r="T37" s="25"/>
      <c r="U37" s="25"/>
    </row>
    <row r="38" spans="1:21" ht="12.75" hidden="1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6"/>
      <c r="M38" s="25"/>
      <c r="N38" s="25"/>
      <c r="O38" s="25"/>
      <c r="P38" s="25"/>
      <c r="Q38" s="25"/>
      <c r="R38" s="25"/>
      <c r="S38" s="25"/>
      <c r="T38" s="25"/>
      <c r="U38" s="25"/>
    </row>
    <row r="39" spans="1:21" ht="12.75" hidden="1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28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9.5" hidden="1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749">
        <f ca="1">L44+L59+L72+L94+L125+L139+L157+L173+L186+L266+L282+L303+L320+L333+L356</f>
        <v>2132350</v>
      </c>
      <c r="M40" s="748">
        <f ca="1">M44+M59+M72+M94+M125+M139+M157+M173+M186+M266+M282+M303+M320+M333+M356</f>
        <v>2139855</v>
      </c>
      <c r="N40" s="748">
        <f ca="1">N44+N59+N72+N94+N125+N139+N157+N173+N186+N266+N282+N303+N320+N333+N356</f>
        <v>1574032.01</v>
      </c>
      <c r="O40" s="748">
        <f ca="1">IF(L40&gt;0,N40*100/L40,0)</f>
        <v>73.816775388655714</v>
      </c>
      <c r="P40" s="748">
        <f ca="1">IF(M40&gt;0,N40*100/M40,0)</f>
        <v>73.557881725630949</v>
      </c>
      <c r="Q40" s="73"/>
      <c r="R40" s="73"/>
      <c r="S40" s="73"/>
      <c r="T40" s="73"/>
      <c r="U40" s="73"/>
    </row>
    <row r="41" spans="1:21" ht="19.5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78"/>
      <c r="R41" s="78"/>
      <c r="S41" s="78"/>
      <c r="T41" s="78"/>
      <c r="U41" s="79"/>
    </row>
    <row r="42" spans="1:21" ht="19.5">
      <c r="A42" s="80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5"/>
      <c r="M42" s="84"/>
      <c r="N42" s="84"/>
      <c r="O42" s="84"/>
      <c r="P42" s="84"/>
      <c r="Q42" s="84"/>
      <c r="R42" s="84"/>
      <c r="S42" s="84"/>
      <c r="T42" s="84"/>
      <c r="U42" s="84"/>
    </row>
    <row r="43" spans="1:21" ht="12.75" hidden="1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6"/>
      <c r="M43" s="25"/>
      <c r="N43" s="25"/>
      <c r="O43" s="25"/>
      <c r="P43" s="25"/>
      <c r="Q43" s="25"/>
      <c r="R43" s="25"/>
      <c r="S43" s="25"/>
      <c r="T43" s="25"/>
      <c r="U43" s="25"/>
    </row>
    <row r="44" spans="1:21" ht="19.5">
      <c r="A44" s="86"/>
      <c r="B44" s="87"/>
      <c r="C44" s="88" t="s">
        <v>18</v>
      </c>
      <c r="D44" s="747" t="s">
        <v>19</v>
      </c>
      <c r="E44" s="87"/>
      <c r="F44" s="87"/>
      <c r="G44" s="90"/>
      <c r="H44" s="91" t="s">
        <v>14</v>
      </c>
      <c r="I44" s="92"/>
      <c r="J44" s="92"/>
      <c r="K44" s="93"/>
      <c r="L44" s="746">
        <f ca="1">L45+L46</f>
        <v>468920</v>
      </c>
      <c r="M44" s="745">
        <f ca="1">M45+M46</f>
        <v>476650</v>
      </c>
      <c r="N44" s="745">
        <f ca="1">N45+N46</f>
        <v>343328</v>
      </c>
      <c r="O44" s="745">
        <f ca="1">IF(L44&gt;0,N44*100/L44,0)</f>
        <v>73.216753390770279</v>
      </c>
      <c r="P44" s="745">
        <f ca="1">IF(M44&gt;0,N44*100/M44,0)</f>
        <v>72.029371656351614</v>
      </c>
      <c r="Q44" s="745">
        <f>Q45+Q46</f>
        <v>0</v>
      </c>
      <c r="R44" s="745">
        <f>R45+R46</f>
        <v>0</v>
      </c>
      <c r="S44" s="745">
        <f>S45+S46</f>
        <v>0</v>
      </c>
      <c r="T44" s="745">
        <f>IF(Q44&gt;0,S44*100/Q44,0)</f>
        <v>0</v>
      </c>
      <c r="U44" s="745">
        <f>IF(R44&gt;0,S44*100/R44,0)</f>
        <v>0</v>
      </c>
    </row>
    <row r="45" spans="1:21" ht="18.75" hidden="1">
      <c r="A45" s="86"/>
      <c r="B45" s="87"/>
      <c r="C45" s="87"/>
      <c r="D45" s="87"/>
      <c r="E45" s="744" t="s">
        <v>20</v>
      </c>
      <c r="F45" s="87"/>
      <c r="G45" s="90"/>
      <c r="H45" s="743" t="s">
        <v>14</v>
      </c>
      <c r="I45" s="92"/>
      <c r="J45" s="92"/>
      <c r="K45" s="93"/>
      <c r="L45" s="742">
        <f>L48+L51</f>
        <v>0</v>
      </c>
      <c r="M45" s="741">
        <f>M48+M51</f>
        <v>0</v>
      </c>
      <c r="N45" s="741">
        <f>N48+N51</f>
        <v>0</v>
      </c>
      <c r="O45" s="741">
        <f>IF(L45&gt;0,N45*100/L45,0)</f>
        <v>0</v>
      </c>
      <c r="P45" s="741">
        <f>IF(M45&gt;0,N45*100/M45,0)</f>
        <v>0</v>
      </c>
      <c r="Q45" s="741">
        <f>Q48+Q51</f>
        <v>0</v>
      </c>
      <c r="R45" s="741">
        <f>R48+R51</f>
        <v>0</v>
      </c>
      <c r="S45" s="741">
        <f>S48+S51</f>
        <v>0</v>
      </c>
      <c r="T45" s="741">
        <f>IF(Q45&gt;0,S45*100/Q45,0)</f>
        <v>0</v>
      </c>
      <c r="U45" s="741">
        <f>IF(R45&gt;0,S45*100/R45,0)</f>
        <v>0</v>
      </c>
    </row>
    <row r="46" spans="1:21" ht="18.75" hidden="1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740">
        <f ca="1">L49+L52</f>
        <v>468920</v>
      </c>
      <c r="M46" s="739">
        <f ca="1">M49+M52</f>
        <v>476650</v>
      </c>
      <c r="N46" s="739">
        <f ca="1">N49+N52</f>
        <v>343328</v>
      </c>
      <c r="O46" s="739">
        <f ca="1">IF(L46&gt;0,N46*100/L46,0)</f>
        <v>73.216753390770279</v>
      </c>
      <c r="P46" s="739">
        <f ca="1">IF(M46&gt;0,N46*100/M46,0)</f>
        <v>72.029371656351614</v>
      </c>
      <c r="Q46" s="739">
        <f>Q49+Q52</f>
        <v>0</v>
      </c>
      <c r="R46" s="739">
        <f>R49+R52</f>
        <v>0</v>
      </c>
      <c r="S46" s="739">
        <f>S49+S52</f>
        <v>0</v>
      </c>
      <c r="T46" s="739">
        <f>IF(Q46&gt;0,S46*100/Q46,0)</f>
        <v>0</v>
      </c>
      <c r="U46" s="739">
        <f>IF(R46&gt;0,S46*100/R46,0)</f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256">
        <f ca="1">L48+L49</f>
        <v>468920</v>
      </c>
      <c r="M47" s="255">
        <f ca="1">M48+M49</f>
        <v>476650</v>
      </c>
      <c r="N47" s="255">
        <f ca="1">N48+N49</f>
        <v>343328</v>
      </c>
      <c r="O47" s="255">
        <f ca="1">IF(L47&gt;0,N47*100/L47,0)</f>
        <v>73.216753390770279</v>
      </c>
      <c r="P47" s="255">
        <f ca="1">IF(M47&gt;0,N47*100/M47,0)</f>
        <v>72.029371656351614</v>
      </c>
      <c r="Q47" s="255">
        <f>Q48+Q49</f>
        <v>0</v>
      </c>
      <c r="R47" s="255">
        <f>R48+R49</f>
        <v>0</v>
      </c>
      <c r="S47" s="255">
        <f>S48+S49</f>
        <v>0</v>
      </c>
      <c r="T47" s="255">
        <f>IF(Q47&gt;0,S47*100/Q47,0)</f>
        <v>0</v>
      </c>
      <c r="U47" s="255">
        <f>IF(R47&gt;0,S47*100/R47,0)</f>
        <v>0</v>
      </c>
    </row>
    <row r="48" spans="1:21" ht="18.75" hidden="1">
      <c r="A48" s="49"/>
      <c r="B48" s="50"/>
      <c r="C48" s="50"/>
      <c r="D48" s="50"/>
      <c r="E48" s="186" t="s">
        <v>20</v>
      </c>
      <c r="F48" s="50"/>
      <c r="G48" s="52"/>
      <c r="H48" s="729" t="s">
        <v>14</v>
      </c>
      <c r="I48" s="54"/>
      <c r="J48" s="54"/>
      <c r="K48" s="55"/>
      <c r="L48" s="103">
        <v>0</v>
      </c>
      <c r="M48" s="102">
        <v>0</v>
      </c>
      <c r="N48" s="102">
        <v>0</v>
      </c>
      <c r="O48" s="102">
        <f>IF(L48&gt;0,N48*100/L48,0)</f>
        <v>0</v>
      </c>
      <c r="P48" s="102">
        <f>IF(M48&gt;0,N48*100/M48,0)</f>
        <v>0</v>
      </c>
      <c r="Q48" s="102">
        <v>0</v>
      </c>
      <c r="R48" s="102">
        <v>0</v>
      </c>
      <c r="S48" s="102">
        <v>0</v>
      </c>
      <c r="T48" s="102">
        <f>IF(Q48&gt;0,S48*100/Q48,0)</f>
        <v>0</v>
      </c>
      <c r="U48" s="102">
        <f>IF(R48&gt;0,S48*100/R48,0)</f>
        <v>0</v>
      </c>
    </row>
    <row r="49" spans="1:21" ht="18.75" hidden="1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256">
        <f ca="1">IFERROR(__xludf.DUMMYFUNCTION("IMPORTRANGE(""https://docs.google.com/spreadsheets/d/1-uDff_7J0KD5mKrp0Vvzr7lt3OU09vwQwhkpOPPYv2Y/edit?usp=sharing"",""งบพรบ!P37"")"),468920)</f>
        <v>468920</v>
      </c>
      <c r="M49" s="255">
        <f ca="1">IFERROR(__xludf.DUMMYFUNCTION("IMPORTRANGE(""https://docs.google.com/spreadsheets/d/1-uDff_7J0KD5mKrp0Vvzr7lt3OU09vwQwhkpOPPYv2Y/edit?usp=sharing"",""งบพรบ!V37"")"),476650)</f>
        <v>476650</v>
      </c>
      <c r="N49" s="255">
        <f ca="1">IFERROR(__xludf.DUMMYFUNCTION("IMPORTRANGE(""https://docs.google.com/spreadsheets/d/1-uDff_7J0KD5mKrp0Vvzr7lt3OU09vwQwhkpOPPYv2Y/edit?usp=sharing"",""งบพรบ!Y37"")"),343328)</f>
        <v>343328</v>
      </c>
      <c r="O49" s="255">
        <f ca="1">IF(L49&gt;0,N49*100/L49,0)</f>
        <v>73.216753390770279</v>
      </c>
      <c r="P49" s="255">
        <f ca="1">IF(M49&gt;0,N49*100/M49,0)</f>
        <v>72.029371656351614</v>
      </c>
      <c r="Q49" s="255">
        <v>0</v>
      </c>
      <c r="R49" s="255">
        <v>0</v>
      </c>
      <c r="S49" s="255">
        <v>0</v>
      </c>
      <c r="T49" s="255">
        <f>IF(Q49&gt;0,S49*100/Q49,0)</f>
        <v>0</v>
      </c>
      <c r="U49" s="255">
        <f>IF(R49&gt;0,S49*100/R49,0)</f>
        <v>0</v>
      </c>
    </row>
    <row r="50" spans="1:21" ht="18.75">
      <c r="A50" s="49"/>
      <c r="B50" s="50"/>
      <c r="C50" s="50"/>
      <c r="D50" s="51" t="s">
        <v>23</v>
      </c>
      <c r="E50" s="50"/>
      <c r="F50" s="50"/>
      <c r="G50" s="52"/>
      <c r="H50" s="53" t="s">
        <v>14</v>
      </c>
      <c r="I50" s="54"/>
      <c r="J50" s="54"/>
      <c r="K50" s="55"/>
      <c r="L50" s="256">
        <f ca="1">L51+L52</f>
        <v>0</v>
      </c>
      <c r="M50" s="255">
        <f ca="1">M51+M52</f>
        <v>0</v>
      </c>
      <c r="N50" s="255">
        <f ca="1">N51+N52</f>
        <v>0</v>
      </c>
      <c r="O50" s="255">
        <f ca="1">IF(L50&gt;0,N50*100/L50,0)</f>
        <v>0</v>
      </c>
      <c r="P50" s="255">
        <f ca="1">IF(M50&gt;0,N50*100/M50,0)</f>
        <v>0</v>
      </c>
      <c r="Q50" s="255">
        <f>Q51+Q52</f>
        <v>0</v>
      </c>
      <c r="R50" s="255">
        <f>R51+R52</f>
        <v>0</v>
      </c>
      <c r="S50" s="255">
        <f>S51+S52</f>
        <v>0</v>
      </c>
      <c r="T50" s="255">
        <f>IF(Q50&gt;0,S50*100/Q50,0)</f>
        <v>0</v>
      </c>
      <c r="U50" s="255">
        <f>IF(R50&gt;0,S50*100/R50,0)</f>
        <v>0</v>
      </c>
    </row>
    <row r="51" spans="1:21" ht="18.75" hidden="1">
      <c r="A51" s="49"/>
      <c r="B51" s="50"/>
      <c r="C51" s="50"/>
      <c r="D51" s="50"/>
      <c r="E51" s="186" t="s">
        <v>20</v>
      </c>
      <c r="F51" s="50"/>
      <c r="G51" s="52"/>
      <c r="H51" s="729" t="s">
        <v>14</v>
      </c>
      <c r="I51" s="54"/>
      <c r="J51" s="54"/>
      <c r="K51" s="55"/>
      <c r="L51" s="103">
        <v>0</v>
      </c>
      <c r="M51" s="102">
        <v>0</v>
      </c>
      <c r="N51" s="102">
        <v>0</v>
      </c>
      <c r="O51" s="102">
        <f>IF(L51&gt;0,N51*100/L51,0)</f>
        <v>0</v>
      </c>
      <c r="P51" s="102">
        <f>IF(M51&gt;0,N51*100/M51,0)</f>
        <v>0</v>
      </c>
      <c r="Q51" s="102">
        <v>0</v>
      </c>
      <c r="R51" s="102">
        <v>0</v>
      </c>
      <c r="S51" s="102">
        <v>0</v>
      </c>
      <c r="T51" s="102">
        <f>IF(Q51&gt;0,S51*100/Q51,0)</f>
        <v>0</v>
      </c>
      <c r="U51" s="102">
        <f>IF(R51&gt;0,S51*100/R51,0)</f>
        <v>0</v>
      </c>
    </row>
    <row r="52" spans="1:21" ht="18.75" hidden="1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256">
        <f ca="1">IFERROR(__xludf.DUMMYFUNCTION("IMPORTRANGE(""https://docs.google.com/spreadsheets/d/1-uDff_7J0KD5mKrp0Vvzr7lt3OU09vwQwhkpOPPYv2Y/edit?usp=sharing"",""งบพรบ!S37"")"),0)</f>
        <v>0</v>
      </c>
      <c r="M52" s="255">
        <f ca="1">IFERROR(__xludf.DUMMYFUNCTION("IMPORTRANGE(""https://docs.google.com/spreadsheets/d/1-uDff_7J0KD5mKrp0Vvzr7lt3OU09vwQwhkpOPPYv2Y/edit?usp=sharing"",""งบพรบ!W37"")"),0)</f>
        <v>0</v>
      </c>
      <c r="N52" s="255">
        <f ca="1">IFERROR(__xludf.DUMMYFUNCTION("IMPORTRANGE(""https://docs.google.com/spreadsheets/d/1-uDff_7J0KD5mKrp0Vvzr7lt3OU09vwQwhkpOPPYv2Y/edit?usp=sharing"",""งบพรบ!Z37"")"),0)</f>
        <v>0</v>
      </c>
      <c r="O52" s="255">
        <f ca="1">IF(L52&gt;0,N52*100/L52,0)</f>
        <v>0</v>
      </c>
      <c r="P52" s="255">
        <f ca="1">IF(M52&gt;0,N52*100/M52,0)</f>
        <v>0</v>
      </c>
      <c r="Q52" s="255">
        <v>0</v>
      </c>
      <c r="R52" s="255">
        <v>0</v>
      </c>
      <c r="S52" s="255">
        <v>0</v>
      </c>
      <c r="T52" s="255">
        <f>IF(Q52&gt;0,S52*100/Q52,0)</f>
        <v>0</v>
      </c>
      <c r="U52" s="255">
        <f>IF(R52&gt;0,S52*100/R52,0)</f>
        <v>0</v>
      </c>
    </row>
    <row r="53" spans="1:21" ht="18.75">
      <c r="A53" s="49"/>
      <c r="B53" s="50"/>
      <c r="C53" s="50"/>
      <c r="D53" s="51" t="s">
        <v>24</v>
      </c>
      <c r="E53" s="50"/>
      <c r="F53" s="50"/>
      <c r="G53" s="52"/>
      <c r="H53" s="53" t="s">
        <v>14</v>
      </c>
      <c r="I53" s="54"/>
      <c r="J53" s="54"/>
      <c r="K53" s="55"/>
      <c r="L53" s="62"/>
      <c r="M53" s="55"/>
      <c r="N53" s="55"/>
      <c r="O53" s="55"/>
      <c r="P53" s="55"/>
      <c r="Q53" s="55"/>
      <c r="R53" s="55"/>
      <c r="S53" s="55"/>
      <c r="T53" s="55"/>
      <c r="U53" s="55"/>
    </row>
    <row r="54" spans="1:21" ht="18.75" hidden="1">
      <c r="A54" s="49"/>
      <c r="B54" s="50"/>
      <c r="C54" s="50"/>
      <c r="D54" s="50"/>
      <c r="E54" s="186" t="s">
        <v>20</v>
      </c>
      <c r="F54" s="50"/>
      <c r="G54" s="52"/>
      <c r="H54" s="729" t="s">
        <v>14</v>
      </c>
      <c r="I54" s="54"/>
      <c r="J54" s="54"/>
      <c r="K54" s="55"/>
      <c r="L54" s="62"/>
      <c r="M54" s="55"/>
      <c r="N54" s="55"/>
      <c r="O54" s="55"/>
      <c r="P54" s="55"/>
      <c r="Q54" s="55"/>
      <c r="R54" s="55"/>
      <c r="S54" s="55"/>
      <c r="T54" s="55"/>
      <c r="U54" s="55"/>
    </row>
    <row r="55" spans="1:21" ht="18.75" hidden="1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8"/>
      <c r="M55" s="6"/>
      <c r="N55" s="6"/>
      <c r="O55" s="6"/>
      <c r="P55" s="6"/>
      <c r="Q55" s="6"/>
      <c r="R55" s="6"/>
      <c r="S55" s="6"/>
      <c r="T55" s="6"/>
      <c r="U55" s="6"/>
    </row>
    <row r="56" spans="1:21" ht="19.5">
      <c r="A56" s="533" t="s">
        <v>28</v>
      </c>
      <c r="B56" s="514"/>
      <c r="C56" s="514"/>
      <c r="D56" s="514"/>
      <c r="E56" s="514"/>
      <c r="F56" s="514"/>
      <c r="G56" s="512"/>
      <c r="H56" s="104"/>
      <c r="I56" s="105"/>
      <c r="J56" s="105"/>
      <c r="K56" s="106"/>
      <c r="L56" s="106"/>
      <c r="M56" s="106"/>
      <c r="N56" s="106"/>
      <c r="O56" s="106"/>
      <c r="P56" s="107"/>
      <c r="Q56" s="106"/>
      <c r="R56" s="106"/>
      <c r="S56" s="106"/>
      <c r="T56" s="106"/>
      <c r="U56" s="107"/>
    </row>
    <row r="57" spans="1:21" ht="19.5">
      <c r="A57" s="108"/>
      <c r="B57" s="534" t="s">
        <v>29</v>
      </c>
      <c r="C57" s="529"/>
      <c r="D57" s="529"/>
      <c r="E57" s="529"/>
      <c r="F57" s="529"/>
      <c r="G57" s="530"/>
      <c r="H57" s="109"/>
      <c r="I57" s="110"/>
      <c r="J57" s="110"/>
      <c r="K57" s="111"/>
      <c r="L57" s="112"/>
      <c r="M57" s="111"/>
      <c r="N57" s="111"/>
      <c r="O57" s="111"/>
      <c r="P57" s="111"/>
      <c r="Q57" s="111"/>
      <c r="R57" s="111"/>
      <c r="S57" s="111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9"/>
      <c r="M58" s="118"/>
      <c r="N58" s="118"/>
      <c r="O58" s="118"/>
      <c r="P58" s="118"/>
      <c r="Q58" s="118"/>
      <c r="R58" s="118"/>
      <c r="S58" s="118"/>
      <c r="T58" s="118"/>
      <c r="U58" s="118"/>
    </row>
    <row r="59" spans="1:21" ht="19.5">
      <c r="A59" s="120"/>
      <c r="B59" s="121"/>
      <c r="C59" s="122" t="s">
        <v>18</v>
      </c>
      <c r="D59" s="738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737">
        <f ca="1">L60+L61</f>
        <v>416300</v>
      </c>
      <c r="M59" s="736">
        <f ca="1">M60+M61</f>
        <v>416300</v>
      </c>
      <c r="N59" s="736">
        <f ca="1">N60+N61</f>
        <v>372174.01</v>
      </c>
      <c r="O59" s="736">
        <f ca="1">IF(L59&gt;0,N59*100/L59,0)</f>
        <v>89.400434782608698</v>
      </c>
      <c r="P59" s="736">
        <f ca="1">IF(M59&gt;0,N59*100/M59,0)</f>
        <v>89.400434782608698</v>
      </c>
      <c r="Q59" s="736">
        <f>Q60+Q61</f>
        <v>0</v>
      </c>
      <c r="R59" s="736">
        <f>R60+R61</f>
        <v>0</v>
      </c>
      <c r="S59" s="736">
        <f>S60+S61</f>
        <v>0</v>
      </c>
      <c r="T59" s="736">
        <f>IF(Q59&gt;0,S59*100/Q59,0)</f>
        <v>0</v>
      </c>
      <c r="U59" s="736">
        <f>IF(R59&gt;0,S59*100/R59,0)</f>
        <v>0</v>
      </c>
    </row>
    <row r="60" spans="1:21" ht="18.75" hidden="1">
      <c r="A60" s="120"/>
      <c r="B60" s="121"/>
      <c r="C60" s="121"/>
      <c r="D60" s="121"/>
      <c r="E60" s="735" t="s">
        <v>20</v>
      </c>
      <c r="F60" s="121"/>
      <c r="G60" s="124"/>
      <c r="H60" s="734" t="s">
        <v>14</v>
      </c>
      <c r="I60" s="126"/>
      <c r="J60" s="126"/>
      <c r="K60" s="127"/>
      <c r="L60" s="733">
        <f>L63+L66</f>
        <v>0</v>
      </c>
      <c r="M60" s="732">
        <f>M63+M66</f>
        <v>0</v>
      </c>
      <c r="N60" s="732">
        <f>N63+N66</f>
        <v>0</v>
      </c>
      <c r="O60" s="732">
        <f>IF(L60&gt;0,N60*100/L60,0)</f>
        <v>0</v>
      </c>
      <c r="P60" s="732">
        <f>IF(M60&gt;0,N60*100/M60,0)</f>
        <v>0</v>
      </c>
      <c r="Q60" s="732">
        <f>Q63+Q66</f>
        <v>0</v>
      </c>
      <c r="R60" s="732">
        <f>R63+R66</f>
        <v>0</v>
      </c>
      <c r="S60" s="732">
        <f>S63+S66</f>
        <v>0</v>
      </c>
      <c r="T60" s="732">
        <f>IF(Q60&gt;0,S60*100/Q60,0)</f>
        <v>0</v>
      </c>
      <c r="U60" s="732">
        <f>IF(R60&gt;0,S60*100/R60,0)</f>
        <v>0</v>
      </c>
    </row>
    <row r="61" spans="1:21" ht="18.75" hidden="1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731">
        <f ca="1">L64+L67</f>
        <v>416300</v>
      </c>
      <c r="M61" s="730">
        <f ca="1">M64+M67</f>
        <v>416300</v>
      </c>
      <c r="N61" s="730">
        <f ca="1">N64+N67</f>
        <v>372174.01</v>
      </c>
      <c r="O61" s="730">
        <f ca="1">IF(L61&gt;0,N61*100/L61,0)</f>
        <v>89.400434782608698</v>
      </c>
      <c r="P61" s="730">
        <f ca="1">IF(M61&gt;0,N61*100/M61,0)</f>
        <v>89.400434782608698</v>
      </c>
      <c r="Q61" s="730">
        <f>Q64+Q67</f>
        <v>0</v>
      </c>
      <c r="R61" s="730">
        <f>R64+R67</f>
        <v>0</v>
      </c>
      <c r="S61" s="730">
        <f>S64+S67</f>
        <v>0</v>
      </c>
      <c r="T61" s="730">
        <f>IF(Q61&gt;0,S61*100/Q61,0)</f>
        <v>0</v>
      </c>
      <c r="U61" s="730">
        <f>IF(R61&gt;0,S61*100/R61,0)</f>
        <v>0</v>
      </c>
    </row>
    <row r="62" spans="1:21" ht="18.75">
      <c r="A62" s="49"/>
      <c r="B62" s="50"/>
      <c r="C62" s="50"/>
      <c r="D62" s="51" t="s">
        <v>22</v>
      </c>
      <c r="E62" s="50"/>
      <c r="F62" s="50"/>
      <c r="G62" s="52"/>
      <c r="H62" s="53" t="s">
        <v>14</v>
      </c>
      <c r="I62" s="54"/>
      <c r="J62" s="54"/>
      <c r="K62" s="55"/>
      <c r="L62" s="256">
        <f ca="1">L63+L64</f>
        <v>416300</v>
      </c>
      <c r="M62" s="255">
        <f ca="1">M63+M64</f>
        <v>416300</v>
      </c>
      <c r="N62" s="255">
        <f ca="1">N63+N64</f>
        <v>372174.01</v>
      </c>
      <c r="O62" s="255">
        <f ca="1">IF(L62&gt;0,N62*100/L62,0)</f>
        <v>89.400434782608698</v>
      </c>
      <c r="P62" s="255">
        <f ca="1">IF(M62&gt;0,N62*100/M62,0)</f>
        <v>89.400434782608698</v>
      </c>
      <c r="Q62" s="255">
        <f>Q63+Q64</f>
        <v>0</v>
      </c>
      <c r="R62" s="255">
        <f>R63+R64</f>
        <v>0</v>
      </c>
      <c r="S62" s="255">
        <f>S63+S64</f>
        <v>0</v>
      </c>
      <c r="T62" s="255">
        <f>IF(Q62&gt;0,S62*100/Q62,0)</f>
        <v>0</v>
      </c>
      <c r="U62" s="255">
        <f>IF(R62&gt;0,S62*100/R62,0)</f>
        <v>0</v>
      </c>
    </row>
    <row r="63" spans="1:21" ht="18.75" hidden="1">
      <c r="A63" s="49"/>
      <c r="B63" s="50"/>
      <c r="C63" s="50"/>
      <c r="D63" s="50"/>
      <c r="E63" s="186" t="s">
        <v>20</v>
      </c>
      <c r="F63" s="50"/>
      <c r="G63" s="52"/>
      <c r="H63" s="729" t="s">
        <v>14</v>
      </c>
      <c r="I63" s="54"/>
      <c r="J63" s="54"/>
      <c r="K63" s="55"/>
      <c r="L63" s="103">
        <v>0</v>
      </c>
      <c r="M63" s="102">
        <v>0</v>
      </c>
      <c r="N63" s="102">
        <v>0</v>
      </c>
      <c r="O63" s="102">
        <f>IF(L63&gt;0,N63*100/L63,0)</f>
        <v>0</v>
      </c>
      <c r="P63" s="102">
        <f>IF(M63&gt;0,N63*100/M63,0)</f>
        <v>0</v>
      </c>
      <c r="Q63" s="102">
        <v>0</v>
      </c>
      <c r="R63" s="102">
        <v>0</v>
      </c>
      <c r="S63" s="102">
        <v>0</v>
      </c>
      <c r="T63" s="102">
        <f>IF(Q63&gt;0,S63*100/Q63,0)</f>
        <v>0</v>
      </c>
      <c r="U63" s="102">
        <f>IF(R63&gt;0,S63*100/R63,0)</f>
        <v>0</v>
      </c>
    </row>
    <row r="64" spans="1:21" ht="18.75" hidden="1">
      <c r="A64" s="49"/>
      <c r="B64" s="50"/>
      <c r="C64" s="50"/>
      <c r="D64" s="50"/>
      <c r="E64" s="58" t="s">
        <v>21</v>
      </c>
      <c r="F64" s="50"/>
      <c r="G64" s="52"/>
      <c r="H64" s="53" t="s">
        <v>14</v>
      </c>
      <c r="I64" s="54"/>
      <c r="J64" s="54"/>
      <c r="K64" s="55"/>
      <c r="L64" s="256">
        <f ca="1">IFERROR(__xludf.DUMMYFUNCTION("IMPORTRANGE(""https://docs.google.com/spreadsheets/d/1-uDff_7J0KD5mKrp0Vvzr7lt3OU09vwQwhkpOPPYv2Y/edit?usp=sharing"",""งบพรบ!AC37"")"),416300)</f>
        <v>416300</v>
      </c>
      <c r="M64" s="255">
        <f ca="1">IFERROR(__xludf.DUMMYFUNCTION("IMPORTRANGE(""https://docs.google.com/spreadsheets/d/1-uDff_7J0KD5mKrp0Vvzr7lt3OU09vwQwhkpOPPYv2Y/edit?usp=sharing"",""งบพรบ!AH37"")"),416300)</f>
        <v>416300</v>
      </c>
      <c r="N64" s="255">
        <f ca="1">IFERROR(__xludf.DUMMYFUNCTION("IMPORTRANGE(""https://docs.google.com/spreadsheets/d/1-uDff_7J0KD5mKrp0Vvzr7lt3OU09vwQwhkpOPPYv2Y/edit?usp=sharing"",""งบพรบ!AJ37"")"),372174.01)</f>
        <v>372174.01</v>
      </c>
      <c r="O64" s="255">
        <f ca="1">IF(L64&gt;0,N64*100/L64,0)</f>
        <v>89.400434782608698</v>
      </c>
      <c r="P64" s="255">
        <f ca="1">IF(M64&gt;0,N64*100/M64,0)</f>
        <v>89.400434782608698</v>
      </c>
      <c r="Q64" s="255">
        <v>0</v>
      </c>
      <c r="R64" s="255">
        <v>0</v>
      </c>
      <c r="S64" s="255">
        <v>0</v>
      </c>
      <c r="T64" s="255">
        <f>IF(Q64&gt;0,S64*100/Q64,0)</f>
        <v>0</v>
      </c>
      <c r="U64" s="255">
        <f>IF(R64&gt;0,S64*100/R64,0)</f>
        <v>0</v>
      </c>
    </row>
    <row r="65" spans="1:21" ht="18.75">
      <c r="A65" s="49"/>
      <c r="B65" s="50"/>
      <c r="C65" s="50"/>
      <c r="D65" s="51" t="s">
        <v>23</v>
      </c>
      <c r="E65" s="50"/>
      <c r="F65" s="50"/>
      <c r="G65" s="52"/>
      <c r="H65" s="53" t="s">
        <v>14</v>
      </c>
      <c r="I65" s="54"/>
      <c r="J65" s="54"/>
      <c r="K65" s="55"/>
      <c r="L65" s="256">
        <f ca="1">L66+L67</f>
        <v>0</v>
      </c>
      <c r="M65" s="255">
        <f ca="1">M66+M67</f>
        <v>0</v>
      </c>
      <c r="N65" s="255">
        <f ca="1">N66+N67</f>
        <v>0</v>
      </c>
      <c r="O65" s="255">
        <f ca="1">IF(L65&gt;0,N65*100/L65,0)</f>
        <v>0</v>
      </c>
      <c r="P65" s="255">
        <f ca="1">IF(M65&gt;0,N65*100/M65,0)</f>
        <v>0</v>
      </c>
      <c r="Q65" s="255">
        <f>Q66+Q67</f>
        <v>0</v>
      </c>
      <c r="R65" s="255">
        <f>R66+R67</f>
        <v>0</v>
      </c>
      <c r="S65" s="255">
        <f>S66+S67</f>
        <v>0</v>
      </c>
      <c r="T65" s="255">
        <f>IF(Q65&gt;0,S65*100/Q65,0)</f>
        <v>0</v>
      </c>
      <c r="U65" s="255">
        <f>IF(R65&gt;0,S65*100/R65,0)</f>
        <v>0</v>
      </c>
    </row>
    <row r="66" spans="1:21" ht="18.75" hidden="1">
      <c r="A66" s="49"/>
      <c r="B66" s="50"/>
      <c r="C66" s="50"/>
      <c r="D66" s="50"/>
      <c r="E66" s="186" t="s">
        <v>20</v>
      </c>
      <c r="F66" s="50"/>
      <c r="G66" s="52"/>
      <c r="H66" s="729" t="s">
        <v>14</v>
      </c>
      <c r="I66" s="54"/>
      <c r="J66" s="54"/>
      <c r="K66" s="55"/>
      <c r="L66" s="103">
        <v>0</v>
      </c>
      <c r="M66" s="102">
        <v>0</v>
      </c>
      <c r="N66" s="102">
        <v>0</v>
      </c>
      <c r="O66" s="102">
        <f>IF(L66&gt;0,N66*100/L66,0)</f>
        <v>0</v>
      </c>
      <c r="P66" s="102">
        <f>IF(M66&gt;0,N66*100/M66,0)</f>
        <v>0</v>
      </c>
      <c r="Q66" s="102">
        <v>0</v>
      </c>
      <c r="R66" s="102">
        <v>0</v>
      </c>
      <c r="S66" s="102">
        <v>0</v>
      </c>
      <c r="T66" s="102">
        <f>IF(Q66&gt;0,S66*100/Q66,0)</f>
        <v>0</v>
      </c>
      <c r="U66" s="102">
        <f>IF(R66&gt;0,S66*100/R66,0)</f>
        <v>0</v>
      </c>
    </row>
    <row r="67" spans="1:21" ht="18.75" hidden="1">
      <c r="A67" s="63"/>
      <c r="B67" s="4"/>
      <c r="C67" s="4"/>
      <c r="D67" s="4"/>
      <c r="E67" s="64" t="s">
        <v>21</v>
      </c>
      <c r="F67" s="4"/>
      <c r="G67" s="65"/>
      <c r="H67" s="66" t="s">
        <v>14</v>
      </c>
      <c r="I67" s="67"/>
      <c r="J67" s="67"/>
      <c r="K67" s="6"/>
      <c r="L67" s="728">
        <f ca="1">IFERROR(__xludf.DUMMYFUNCTION("IMPORTRANGE(""https://docs.google.com/spreadsheets/d/1-uDff_7J0KD5mKrp0Vvzr7lt3OU09vwQwhkpOPPYv2Y/edit?usp=sharing"",""งบพรบ!AF37"")"),0)</f>
        <v>0</v>
      </c>
      <c r="M67" s="506">
        <f ca="1">IFERROR(__xludf.DUMMYFUNCTION("IMPORTRANGE(""https://docs.google.com/spreadsheets/d/1-uDff_7J0KD5mKrp0Vvzr7lt3OU09vwQwhkpOPPYv2Y/edit?usp=sharing"",""งบพรบ!AI37"")"),0)</f>
        <v>0</v>
      </c>
      <c r="N67" s="506">
        <f ca="1">IFERROR(__xludf.DUMMYFUNCTION("IMPORTRANGE(""https://docs.google.com/spreadsheets/d/1-uDff_7J0KD5mKrp0Vvzr7lt3OU09vwQwhkpOPPYv2Y/edit?usp=sharing"",""งบพรบ!AK37"")"),0)</f>
        <v>0</v>
      </c>
      <c r="O67" s="506">
        <f ca="1">IF(L67&gt;0,N67*100/L67,0)</f>
        <v>0</v>
      </c>
      <c r="P67" s="506">
        <f ca="1">IF(M67&gt;0,N67*100/M67,0)</f>
        <v>0</v>
      </c>
      <c r="Q67" s="506">
        <v>0</v>
      </c>
      <c r="R67" s="506">
        <v>0</v>
      </c>
      <c r="S67" s="506">
        <v>0</v>
      </c>
      <c r="T67" s="506">
        <f>IF(Q67&gt;0,S67*100/Q67,0)</f>
        <v>0</v>
      </c>
      <c r="U67" s="506">
        <f>IF(R67&gt;0,S67*100/R67,0)</f>
        <v>0</v>
      </c>
    </row>
    <row r="68" spans="1:21" ht="19.5">
      <c r="A68" s="137" t="s">
        <v>31</v>
      </c>
      <c r="B68" s="138"/>
      <c r="C68" s="138"/>
      <c r="D68" s="138"/>
      <c r="E68" s="139"/>
      <c r="F68" s="139"/>
      <c r="G68" s="139"/>
      <c r="H68" s="139"/>
      <c r="I68" s="140"/>
      <c r="J68" s="140"/>
      <c r="K68" s="141"/>
      <c r="L68" s="141"/>
      <c r="M68" s="141"/>
      <c r="N68" s="141"/>
      <c r="O68" s="141"/>
      <c r="P68" s="142"/>
      <c r="Q68" s="141"/>
      <c r="R68" s="141"/>
      <c r="S68" s="141"/>
      <c r="T68" s="141"/>
      <c r="U68" s="142"/>
    </row>
    <row r="69" spans="1:21" ht="19.5" hidden="1">
      <c r="A69" s="143" t="s">
        <v>32</v>
      </c>
      <c r="B69" s="144"/>
      <c r="C69" s="145"/>
      <c r="D69" s="144"/>
      <c r="E69" s="144"/>
      <c r="F69" s="144"/>
      <c r="G69" s="146"/>
      <c r="H69" s="146"/>
      <c r="I69" s="147"/>
      <c r="J69" s="147"/>
      <c r="K69" s="148"/>
      <c r="L69" s="149"/>
      <c r="M69" s="148"/>
      <c r="N69" s="148"/>
      <c r="O69" s="148"/>
      <c r="P69" s="148"/>
      <c r="Q69" s="148"/>
      <c r="R69" s="148"/>
      <c r="S69" s="148"/>
      <c r="T69" s="148"/>
      <c r="U69" s="148"/>
    </row>
    <row r="70" spans="1:21" ht="19.5" hidden="1">
      <c r="A70" s="150"/>
      <c r="B70" s="35" t="s">
        <v>33</v>
      </c>
      <c r="C70" s="34"/>
      <c r="D70" s="151"/>
      <c r="E70" s="34"/>
      <c r="F70" s="34"/>
      <c r="G70" s="37"/>
      <c r="H70" s="152" t="s">
        <v>34</v>
      </c>
      <c r="I70" s="721">
        <f ca="1">I82</f>
        <v>0</v>
      </c>
      <c r="J70" s="721">
        <f>J82</f>
        <v>0</v>
      </c>
      <c r="K70" s="720">
        <f ca="1">IF(I70&gt;0,J70*100/I70,0)</f>
        <v>0</v>
      </c>
      <c r="L70" s="154"/>
      <c r="M70" s="40"/>
      <c r="N70" s="40"/>
      <c r="O70" s="40"/>
      <c r="P70" s="40"/>
      <c r="Q70" s="40"/>
      <c r="R70" s="40"/>
      <c r="S70" s="40"/>
      <c r="T70" s="40"/>
      <c r="U70" s="40"/>
    </row>
    <row r="71" spans="1:21" ht="19.5" hidden="1">
      <c r="A71" s="150"/>
      <c r="B71" s="34"/>
      <c r="C71" s="34"/>
      <c r="D71" s="151"/>
      <c r="E71" s="34"/>
      <c r="F71" s="34"/>
      <c r="G71" s="37"/>
      <c r="H71" s="152" t="s">
        <v>35</v>
      </c>
      <c r="I71" s="721">
        <f ca="1">I83</f>
        <v>0</v>
      </c>
      <c r="J71" s="721">
        <f>J83</f>
        <v>0</v>
      </c>
      <c r="K71" s="720">
        <f ca="1">IF(I71&gt;0,J71*100/I71,0)</f>
        <v>0</v>
      </c>
      <c r="L71" s="154"/>
      <c r="M71" s="40"/>
      <c r="N71" s="40"/>
      <c r="O71" s="40"/>
      <c r="P71" s="40"/>
      <c r="Q71" s="40"/>
      <c r="R71" s="40"/>
      <c r="S71" s="40"/>
      <c r="T71" s="40"/>
      <c r="U71" s="40"/>
    </row>
    <row r="72" spans="1:21" ht="19.5" hidden="1">
      <c r="A72" s="155"/>
      <c r="B72" s="50"/>
      <c r="C72" s="156" t="s">
        <v>18</v>
      </c>
      <c r="D72" s="575" t="s">
        <v>19</v>
      </c>
      <c r="E72" s="50"/>
      <c r="F72" s="50"/>
      <c r="G72" s="52"/>
      <c r="H72" s="158" t="s">
        <v>14</v>
      </c>
      <c r="I72" s="54"/>
      <c r="J72" s="54"/>
      <c r="K72" s="55"/>
      <c r="L72" s="541">
        <f ca="1">L73+L74</f>
        <v>0</v>
      </c>
      <c r="M72" s="540">
        <f ca="1">M73+M74</f>
        <v>0</v>
      </c>
      <c r="N72" s="540">
        <f ca="1">N73+N74</f>
        <v>0</v>
      </c>
      <c r="O72" s="540">
        <f ca="1">IF(L72&gt;0,N72*100/L72,0)</f>
        <v>0</v>
      </c>
      <c r="P72" s="540">
        <f ca="1">IF(M72&gt;0,N72*100/M72,0)</f>
        <v>0</v>
      </c>
      <c r="Q72" s="540">
        <f ca="1">Q73+Q74</f>
        <v>0</v>
      </c>
      <c r="R72" s="540">
        <f ca="1">R73+R74</f>
        <v>0</v>
      </c>
      <c r="S72" s="540">
        <f ca="1">S73+S74</f>
        <v>0</v>
      </c>
      <c r="T72" s="540">
        <f ca="1">IF(Q72&gt;0,S72*100/Q72,0)</f>
        <v>0</v>
      </c>
      <c r="U72" s="540">
        <f ca="1">IF(R72&gt;0,S72*100/R72,0)</f>
        <v>0</v>
      </c>
    </row>
    <row r="73" spans="1:21" ht="18.75" hidden="1">
      <c r="A73" s="155"/>
      <c r="B73" s="50"/>
      <c r="C73" s="50"/>
      <c r="D73" s="50"/>
      <c r="E73" s="186" t="s">
        <v>20</v>
      </c>
      <c r="F73" s="50"/>
      <c r="G73" s="52"/>
      <c r="H73" s="187" t="s">
        <v>14</v>
      </c>
      <c r="I73" s="54"/>
      <c r="J73" s="54"/>
      <c r="K73" s="55"/>
      <c r="L73" s="103">
        <f>L76+L79</f>
        <v>0</v>
      </c>
      <c r="M73" s="102">
        <f>M76+M79</f>
        <v>0</v>
      </c>
      <c r="N73" s="102">
        <f>N76+N79</f>
        <v>0</v>
      </c>
      <c r="O73" s="102">
        <f>IF(L73&gt;0,N73*100/L73,0)</f>
        <v>0</v>
      </c>
      <c r="P73" s="102">
        <f>IF(M73&gt;0,N73*100/M73,0)</f>
        <v>0</v>
      </c>
      <c r="Q73" s="102">
        <f>Q76+Q79</f>
        <v>0</v>
      </c>
      <c r="R73" s="102">
        <f>R76+R79</f>
        <v>0</v>
      </c>
      <c r="S73" s="102">
        <f>S76+S79</f>
        <v>0</v>
      </c>
      <c r="T73" s="102">
        <f>IF(Q73&gt;0,S73*100/Q73,0)</f>
        <v>0</v>
      </c>
      <c r="U73" s="102">
        <f>IF(R73&gt;0,S73*100/R73,0)</f>
        <v>0</v>
      </c>
    </row>
    <row r="74" spans="1:21" ht="18.75" hidden="1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256">
        <f ca="1">L77+L80</f>
        <v>0</v>
      </c>
      <c r="M74" s="255">
        <f ca="1">M77+M80</f>
        <v>0</v>
      </c>
      <c r="N74" s="255">
        <f ca="1">N77+N80</f>
        <v>0</v>
      </c>
      <c r="O74" s="255">
        <f ca="1">IF(L74&gt;0,N74*100/L74,0)</f>
        <v>0</v>
      </c>
      <c r="P74" s="255">
        <f ca="1">IF(M74&gt;0,N74*100/M74,0)</f>
        <v>0</v>
      </c>
      <c r="Q74" s="255">
        <f ca="1">Q77+Q80</f>
        <v>0</v>
      </c>
      <c r="R74" s="255">
        <f ca="1">R77+R80</f>
        <v>0</v>
      </c>
      <c r="S74" s="255">
        <f ca="1">S77+S80</f>
        <v>0</v>
      </c>
      <c r="T74" s="255">
        <f ca="1">IF(Q74&gt;0,S74*100/Q74,0)</f>
        <v>0</v>
      </c>
      <c r="U74" s="255">
        <f ca="1">IF(R74&gt;0,S74*100/R74,0)</f>
        <v>0</v>
      </c>
    </row>
    <row r="75" spans="1:21" ht="18.75" hidden="1">
      <c r="A75" s="155"/>
      <c r="B75" s="50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256">
        <f ca="1">L76+L77</f>
        <v>0</v>
      </c>
      <c r="M75" s="255">
        <f ca="1">M76+M77</f>
        <v>0</v>
      </c>
      <c r="N75" s="255">
        <f ca="1">N76+N77</f>
        <v>0</v>
      </c>
      <c r="O75" s="255">
        <f ca="1">IF(L75&gt;0,N75*100/L75,0)</f>
        <v>0</v>
      </c>
      <c r="P75" s="255">
        <f ca="1">IF(M75&gt;0,N75*100/M75,0)</f>
        <v>0</v>
      </c>
      <c r="Q75" s="255">
        <f ca="1">Q76+Q77</f>
        <v>0</v>
      </c>
      <c r="R75" s="255">
        <f ca="1">R76+R77</f>
        <v>0</v>
      </c>
      <c r="S75" s="255">
        <f ca="1">S76+S77</f>
        <v>0</v>
      </c>
      <c r="T75" s="255">
        <f ca="1">IF(Q75&gt;0,S75*100/Q75,0)</f>
        <v>0</v>
      </c>
      <c r="U75" s="255">
        <f ca="1">IF(R75&gt;0,S75*100/R75,0)</f>
        <v>0</v>
      </c>
    </row>
    <row r="76" spans="1:21" ht="18.75" hidden="1">
      <c r="A76" s="155"/>
      <c r="B76" s="50"/>
      <c r="C76" s="50"/>
      <c r="D76" s="50"/>
      <c r="E76" s="186" t="s">
        <v>36</v>
      </c>
      <c r="F76" s="50"/>
      <c r="G76" s="52"/>
      <c r="H76" s="189" t="s">
        <v>14</v>
      </c>
      <c r="I76" s="163"/>
      <c r="J76" s="163"/>
      <c r="K76" s="164"/>
      <c r="L76" s="103">
        <v>0</v>
      </c>
      <c r="M76" s="102">
        <v>0</v>
      </c>
      <c r="N76" s="102">
        <v>0</v>
      </c>
      <c r="O76" s="102">
        <f>IF(L76&gt;0,N76*100/L76,0)</f>
        <v>0</v>
      </c>
      <c r="P76" s="102">
        <f>IF(M76&gt;0,N76*100/M76,0)</f>
        <v>0</v>
      </c>
      <c r="Q76" s="102">
        <v>0</v>
      </c>
      <c r="R76" s="102">
        <v>0</v>
      </c>
      <c r="S76" s="102">
        <v>0</v>
      </c>
      <c r="T76" s="102">
        <f>IF(Q76&gt;0,S76*100/Q76,0)</f>
        <v>0</v>
      </c>
      <c r="U76" s="102">
        <f>IF(R76&gt;0,S76*100/R76,0)</f>
        <v>0</v>
      </c>
    </row>
    <row r="77" spans="1:21" ht="18.75" hidden="1">
      <c r="A77" s="155"/>
      <c r="B77" s="50"/>
      <c r="C77" s="50"/>
      <c r="D77" s="50"/>
      <c r="E77" s="58" t="s">
        <v>37</v>
      </c>
      <c r="F77" s="50"/>
      <c r="G77" s="52"/>
      <c r="H77" s="162" t="s">
        <v>14</v>
      </c>
      <c r="I77" s="163"/>
      <c r="J77" s="163"/>
      <c r="K77" s="164"/>
      <c r="L77" s="256">
        <f ca="1">IFERROR(__xludf.DUMMYFUNCTION("IMPORTRANGE(""https://docs.google.com/spreadsheets/d/1-uDff_7J0KD5mKrp0Vvzr7lt3OU09vwQwhkpOPPYv2Y/edit?usp=sharing"",""งบพรบ!AM37"")"),0)</f>
        <v>0</v>
      </c>
      <c r="M77" s="255">
        <f ca="1">IFERROR(__xludf.DUMMYFUNCTION("IMPORTRANGE(""https://docs.google.com/spreadsheets/d/1-uDff_7J0KD5mKrp0Vvzr7lt3OU09vwQwhkpOPPYv2Y/edit?usp=sharing"",""งบพรบ!AR37"")"),0)</f>
        <v>0</v>
      </c>
      <c r="N77" s="255">
        <f ca="1">IFERROR(__xludf.DUMMYFUNCTION("IMPORTRANGE(""https://docs.google.com/spreadsheets/d/1-uDff_7J0KD5mKrp0Vvzr7lt3OU09vwQwhkpOPPYv2Y/edit?usp=sharing"",""งบพรบ!AT37"")"),0)</f>
        <v>0</v>
      </c>
      <c r="O77" s="255">
        <f ca="1">IF(L77&gt;0,N77*100/L77,0)</f>
        <v>0</v>
      </c>
      <c r="P77" s="255">
        <f ca="1">IF(M77&gt;0,N77*100/M77,0)</f>
        <v>0</v>
      </c>
      <c r="Q77" s="255">
        <f ca="1">IFERROR(__xludf.DUMMYFUNCTION("IMPORTRANGE(""https://docs.google.com/spreadsheets/d/1ItG2mGa2ceCfYo0BwxsXqNm01IGEUdYcSSLTEv9YCik/edit?usp=sharing"",""เบิกจ่ายกองทุน!AS37"")"),0)</f>
        <v>0</v>
      </c>
      <c r="R77" s="255">
        <f ca="1">IFERROR(__xludf.DUMMYFUNCTION("IMPORTRANGE(""https://docs.google.com/spreadsheets/d/1ItG2mGa2ceCfYo0BwxsXqNm01IGEUdYcSSLTEv9YCik/edit?usp=sharing"",""เบิกจ่ายกองทุน!AT37"")"),0)</f>
        <v>0</v>
      </c>
      <c r="S77" s="255">
        <f ca="1">IFERROR(__xludf.DUMMYFUNCTION("IMPORTRANGE(""https://docs.google.com/spreadsheets/d/1ItG2mGa2ceCfYo0BwxsXqNm01IGEUdYcSSLTEv9YCik/edit?usp=sharing"",""เบิกจ่ายกองทุน!AU37"")"),0)</f>
        <v>0</v>
      </c>
      <c r="T77" s="255">
        <f ca="1">IF(Q77&gt;0,S77*100/Q77,0)</f>
        <v>0</v>
      </c>
      <c r="U77" s="255">
        <f ca="1">IF(R77&gt;0,S77*100/R77,0)</f>
        <v>0</v>
      </c>
    </row>
    <row r="78" spans="1:21" ht="18.75" hidden="1">
      <c r="A78" s="155"/>
      <c r="B78" s="50"/>
      <c r="C78" s="50"/>
      <c r="D78" s="51" t="s">
        <v>23</v>
      </c>
      <c r="E78" s="50"/>
      <c r="F78" s="50"/>
      <c r="G78" s="52"/>
      <c r="H78" s="165" t="s">
        <v>14</v>
      </c>
      <c r="I78" s="163"/>
      <c r="J78" s="163"/>
      <c r="K78" s="164"/>
      <c r="L78" s="256">
        <f ca="1">L79+L80</f>
        <v>0</v>
      </c>
      <c r="M78" s="255">
        <f ca="1">M79+M80</f>
        <v>0</v>
      </c>
      <c r="N78" s="255">
        <f ca="1">N79+N80</f>
        <v>0</v>
      </c>
      <c r="O78" s="255">
        <f ca="1">IF(L78&gt;0,N78*100/L78,0)</f>
        <v>0</v>
      </c>
      <c r="P78" s="255">
        <f ca="1">IF(M78&gt;0,N78*100/M78,0)</f>
        <v>0</v>
      </c>
      <c r="Q78" s="255">
        <f>Q79+Q80</f>
        <v>0</v>
      </c>
      <c r="R78" s="255">
        <f>R79+R80</f>
        <v>0</v>
      </c>
      <c r="S78" s="255">
        <f>S79+S80</f>
        <v>0</v>
      </c>
      <c r="T78" s="255">
        <f>IF(Q78&gt;0,S78*100/Q78,0)</f>
        <v>0</v>
      </c>
      <c r="U78" s="255">
        <f>IF(R78&gt;0,S78*100/R78,0)</f>
        <v>0</v>
      </c>
    </row>
    <row r="79" spans="1:21" ht="18.75" hidden="1">
      <c r="A79" s="155"/>
      <c r="B79" s="50"/>
      <c r="C79" s="50"/>
      <c r="D79" s="50"/>
      <c r="E79" s="186" t="s">
        <v>20</v>
      </c>
      <c r="F79" s="50"/>
      <c r="G79" s="52"/>
      <c r="H79" s="189" t="s">
        <v>14</v>
      </c>
      <c r="I79" s="163"/>
      <c r="J79" s="163"/>
      <c r="K79" s="164"/>
      <c r="L79" s="103">
        <v>0</v>
      </c>
      <c r="M79" s="255">
        <v>0</v>
      </c>
      <c r="N79" s="255">
        <v>0</v>
      </c>
      <c r="O79" s="102">
        <f>IF(L79&gt;0,N79*100/L79,0)</f>
        <v>0</v>
      </c>
      <c r="P79" s="102">
        <f>IF(M79&gt;0,N79*100/M79,0)</f>
        <v>0</v>
      </c>
      <c r="Q79" s="102">
        <v>0</v>
      </c>
      <c r="R79" s="255">
        <v>0</v>
      </c>
      <c r="S79" s="255">
        <v>0</v>
      </c>
      <c r="T79" s="102">
        <f>IF(Q79&gt;0,S79*100/Q79,0)</f>
        <v>0</v>
      </c>
      <c r="U79" s="102">
        <f>IF(R79&gt;0,S79*100/R79,0)</f>
        <v>0</v>
      </c>
    </row>
    <row r="80" spans="1:21" ht="18.75" hidden="1">
      <c r="A80" s="155"/>
      <c r="B80" s="50"/>
      <c r="C80" s="50"/>
      <c r="D80" s="50"/>
      <c r="E80" s="58" t="s">
        <v>21</v>
      </c>
      <c r="F80" s="50"/>
      <c r="G80" s="52"/>
      <c r="H80" s="165" t="s">
        <v>14</v>
      </c>
      <c r="I80" s="163"/>
      <c r="J80" s="163"/>
      <c r="K80" s="164"/>
      <c r="L80" s="256">
        <f ca="1">IFERROR(__xludf.DUMMYFUNCTION("IMPORTRANGE(""https://docs.google.com/spreadsheets/d/1-uDff_7J0KD5mKrp0Vvzr7lt3OU09vwQwhkpOPPYv2Y/edit?usp=sharing"",""งบพรบ!AP37"")"),0)</f>
        <v>0</v>
      </c>
      <c r="M80" s="255">
        <f ca="1">IFERROR(__xludf.DUMMYFUNCTION("IMPORTRANGE(""https://docs.google.com/spreadsheets/d/1-uDff_7J0KD5mKrp0Vvzr7lt3OU09vwQwhkpOPPYv2Y/edit?usp=sharing"",""งบพรบ!AS37"")"),0)</f>
        <v>0</v>
      </c>
      <c r="N80" s="255">
        <f ca="1">IFERROR(__xludf.DUMMYFUNCTION("IMPORTRANGE(""https://docs.google.com/spreadsheets/d/1-uDff_7J0KD5mKrp0Vvzr7lt3OU09vwQwhkpOPPYv2Y/edit?usp=sharing"",""งบพรบ!AU37"")"),0)</f>
        <v>0</v>
      </c>
      <c r="O80" s="255">
        <f ca="1">IF(L80&gt;0,N80*100/L80,0)</f>
        <v>0</v>
      </c>
      <c r="P80" s="255">
        <f ca="1">IF(M80&gt;0,N80*100/M80,0)</f>
        <v>0</v>
      </c>
      <c r="Q80" s="255">
        <v>0</v>
      </c>
      <c r="R80" s="255">
        <v>0</v>
      </c>
      <c r="S80" s="255">
        <v>0</v>
      </c>
      <c r="T80" s="255">
        <f>IF(Q80&gt;0,S80*100/Q80,0)</f>
        <v>0</v>
      </c>
      <c r="U80" s="255">
        <f>IF(R80&gt;0,S80*100/R80,0)</f>
        <v>0</v>
      </c>
    </row>
    <row r="81" spans="1:21" ht="19.5" hidden="1">
      <c r="A81" s="166"/>
      <c r="B81" s="167"/>
      <c r="C81" s="156" t="s">
        <v>18</v>
      </c>
      <c r="D81" s="566" t="s">
        <v>38</v>
      </c>
      <c r="E81" s="169"/>
      <c r="F81" s="169"/>
      <c r="G81" s="170"/>
      <c r="H81" s="171"/>
      <c r="I81" s="163"/>
      <c r="J81" s="163"/>
      <c r="K81" s="164"/>
      <c r="L81" s="172"/>
      <c r="M81" s="164"/>
      <c r="N81" s="164"/>
      <c r="O81" s="164"/>
      <c r="P81" s="164"/>
      <c r="Q81" s="164"/>
      <c r="R81" s="164"/>
      <c r="S81" s="164"/>
      <c r="T81" s="164"/>
      <c r="U81" s="164"/>
    </row>
    <row r="82" spans="1:21" ht="19.5" hidden="1">
      <c r="A82" s="166"/>
      <c r="B82" s="167"/>
      <c r="C82" s="167"/>
      <c r="D82" s="173" t="s">
        <v>39</v>
      </c>
      <c r="E82" s="174"/>
      <c r="F82" s="174"/>
      <c r="G82" s="171"/>
      <c r="H82" s="175" t="s">
        <v>34</v>
      </c>
      <c r="I82" s="373">
        <f ca="1">I84+I86+I88</f>
        <v>0</v>
      </c>
      <c r="J82" s="373">
        <f>J84+J86+J88</f>
        <v>0</v>
      </c>
      <c r="K82" s="642">
        <f ca="1">IF(I82&gt;0,J82*100/I82,0)</f>
        <v>0</v>
      </c>
      <c r="L82" s="172"/>
      <c r="M82" s="164"/>
      <c r="N82" s="164"/>
      <c r="O82" s="164"/>
      <c r="P82" s="164"/>
      <c r="Q82" s="164"/>
      <c r="R82" s="164"/>
      <c r="S82" s="164"/>
      <c r="T82" s="164"/>
      <c r="U82" s="164"/>
    </row>
    <row r="83" spans="1:21" ht="19.5" hidden="1">
      <c r="A83" s="166"/>
      <c r="B83" s="167"/>
      <c r="C83" s="167"/>
      <c r="D83" s="167"/>
      <c r="E83" s="174"/>
      <c r="F83" s="174"/>
      <c r="G83" s="171"/>
      <c r="H83" s="175" t="s">
        <v>35</v>
      </c>
      <c r="I83" s="373">
        <f ca="1">I85+I87+I89</f>
        <v>0</v>
      </c>
      <c r="J83" s="373">
        <f>J85+J87+J89</f>
        <v>0</v>
      </c>
      <c r="K83" s="642">
        <f ca="1">IF(I83&gt;0,J83*100/I83,0)</f>
        <v>0</v>
      </c>
      <c r="L83" s="172"/>
      <c r="M83" s="164"/>
      <c r="N83" s="164"/>
      <c r="O83" s="164"/>
      <c r="P83" s="164"/>
      <c r="Q83" s="164"/>
      <c r="R83" s="164"/>
      <c r="S83" s="164"/>
      <c r="T83" s="164"/>
      <c r="U83" s="164"/>
    </row>
    <row r="84" spans="1:21" ht="18.75" hidden="1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641">
        <f ca="1">IFERROR(__xludf.DUMMYFUNCTION("IMPORTRANGE(""https://docs.google.com/spreadsheets/d/1eHaY18a8A9IcSdp1K8H6x8fbOy06t2VsZHhMHf-1x7Y/edit?usp=sharing"",""แผน!H37"")"),0)</f>
        <v>0</v>
      </c>
      <c r="J84" s="467">
        <v>0</v>
      </c>
      <c r="K84" s="565">
        <f ca="1">IF(I84&gt;0,J84*100/I84,0)</f>
        <v>0</v>
      </c>
      <c r="L84" s="172"/>
      <c r="M84" s="164"/>
      <c r="N84" s="164"/>
      <c r="O84" s="164"/>
      <c r="P84" s="164"/>
      <c r="Q84" s="164"/>
      <c r="R84" s="164"/>
      <c r="S84" s="164"/>
      <c r="T84" s="164"/>
      <c r="U84" s="164"/>
    </row>
    <row r="85" spans="1:21" ht="18.75" hidden="1">
      <c r="A85" s="166"/>
      <c r="B85" s="167"/>
      <c r="C85" s="167"/>
      <c r="D85" s="167"/>
      <c r="E85" s="174"/>
      <c r="F85" s="174"/>
      <c r="G85" s="171"/>
      <c r="H85" s="179" t="s">
        <v>35</v>
      </c>
      <c r="I85" s="641">
        <f ca="1">IFERROR(__xludf.DUMMYFUNCTION("IMPORTRANGE(""https://docs.google.com/spreadsheets/d/1eHaY18a8A9IcSdp1K8H6x8fbOy06t2VsZHhMHf-1x7Y/edit?usp=sharing"",""แผน!I37"")"),0)</f>
        <v>0</v>
      </c>
      <c r="J85" s="467">
        <v>0</v>
      </c>
      <c r="K85" s="565">
        <f ca="1">IF(I85&gt;0,J85*100/I85,0)</f>
        <v>0</v>
      </c>
      <c r="L85" s="172"/>
      <c r="M85" s="164"/>
      <c r="N85" s="164"/>
      <c r="O85" s="164"/>
      <c r="P85" s="164"/>
      <c r="Q85" s="164"/>
      <c r="R85" s="164"/>
      <c r="S85" s="164"/>
      <c r="T85" s="164"/>
      <c r="U85" s="164"/>
    </row>
    <row r="86" spans="1:21" ht="18.75" hidden="1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641">
        <f ca="1">IFERROR(__xludf.DUMMYFUNCTION("IMPORTRANGE(""https://docs.google.com/spreadsheets/d/1eHaY18a8A9IcSdp1K8H6x8fbOy06t2VsZHhMHf-1x7Y/edit?usp=sharing"",""แผน!F37"")"),0)</f>
        <v>0</v>
      </c>
      <c r="J86" s="467">
        <v>0</v>
      </c>
      <c r="K86" s="565">
        <f ca="1">IF(I86&gt;0,J86*100/I86,0)</f>
        <v>0</v>
      </c>
      <c r="L86" s="172"/>
      <c r="M86" s="164"/>
      <c r="N86" s="164"/>
      <c r="O86" s="164"/>
      <c r="P86" s="164"/>
      <c r="Q86" s="164"/>
      <c r="R86" s="164"/>
      <c r="S86" s="164"/>
      <c r="T86" s="164"/>
      <c r="U86" s="164"/>
    </row>
    <row r="87" spans="1:21" ht="18.75" hidden="1">
      <c r="A87" s="166"/>
      <c r="B87" s="167"/>
      <c r="C87" s="167"/>
      <c r="D87" s="167"/>
      <c r="E87" s="174"/>
      <c r="F87" s="174"/>
      <c r="G87" s="171"/>
      <c r="H87" s="179" t="s">
        <v>35</v>
      </c>
      <c r="I87" s="641">
        <f ca="1">IFERROR(__xludf.DUMMYFUNCTION("IMPORTRANGE(""https://docs.google.com/spreadsheets/d/1eHaY18a8A9IcSdp1K8H6x8fbOy06t2VsZHhMHf-1x7Y/edit?usp=sharing"",""แผน!G37"")"),0)</f>
        <v>0</v>
      </c>
      <c r="J87" s="467">
        <v>0</v>
      </c>
      <c r="K87" s="565">
        <f ca="1">IF(I87&gt;0,J87*100/I87,0)</f>
        <v>0</v>
      </c>
      <c r="L87" s="172"/>
      <c r="M87" s="164"/>
      <c r="N87" s="164"/>
      <c r="O87" s="164"/>
      <c r="P87" s="164"/>
      <c r="Q87" s="164"/>
      <c r="R87" s="164"/>
      <c r="S87" s="164"/>
      <c r="T87" s="164"/>
      <c r="U87" s="164"/>
    </row>
    <row r="88" spans="1:21" ht="18.75" hidden="1">
      <c r="A88" s="166"/>
      <c r="B88" s="167"/>
      <c r="C88" s="167"/>
      <c r="D88" s="167"/>
      <c r="E88" s="178" t="s">
        <v>42</v>
      </c>
      <c r="F88" s="174"/>
      <c r="G88" s="171"/>
      <c r="H88" s="179" t="s">
        <v>34</v>
      </c>
      <c r="I88" s="641">
        <f ca="1">IFERROR(__xludf.DUMMYFUNCTION("IMPORTRANGE(""https://docs.google.com/spreadsheets/d/1eHaY18a8A9IcSdp1K8H6x8fbOy06t2VsZHhMHf-1x7Y/edit?usp=sharing"",""แผน!D37"")"),0)</f>
        <v>0</v>
      </c>
      <c r="J88" s="467">
        <v>0</v>
      </c>
      <c r="K88" s="565">
        <f ca="1">IF(I88&gt;0,J88*100/I88,0)</f>
        <v>0</v>
      </c>
      <c r="L88" s="172"/>
      <c r="M88" s="164"/>
      <c r="N88" s="164"/>
      <c r="O88" s="164"/>
      <c r="P88" s="164"/>
      <c r="Q88" s="164"/>
      <c r="R88" s="164"/>
      <c r="S88" s="164"/>
      <c r="T88" s="164"/>
      <c r="U88" s="164"/>
    </row>
    <row r="89" spans="1:21" ht="18.75" hidden="1">
      <c r="A89" s="166"/>
      <c r="B89" s="167"/>
      <c r="C89" s="167"/>
      <c r="D89" s="167"/>
      <c r="E89" s="174"/>
      <c r="F89" s="174"/>
      <c r="G89" s="171"/>
      <c r="H89" s="179" t="s">
        <v>35</v>
      </c>
      <c r="I89" s="641">
        <f ca="1">IFERROR(__xludf.DUMMYFUNCTION("IMPORTRANGE(""https://docs.google.com/spreadsheets/d/1eHaY18a8A9IcSdp1K8H6x8fbOy06t2VsZHhMHf-1x7Y/edit?usp=sharing"",""แผน!E37"")"),0)</f>
        <v>0</v>
      </c>
      <c r="J89" s="467">
        <v>0</v>
      </c>
      <c r="K89" s="565">
        <f ca="1">IF(I89&gt;0,J89*100/I89,0)</f>
        <v>0</v>
      </c>
      <c r="L89" s="172"/>
      <c r="M89" s="164"/>
      <c r="N89" s="164"/>
      <c r="O89" s="164"/>
      <c r="P89" s="164"/>
      <c r="Q89" s="164"/>
      <c r="R89" s="164"/>
      <c r="S89" s="164"/>
      <c r="T89" s="164"/>
      <c r="U89" s="164"/>
    </row>
    <row r="90" spans="1:21" ht="18.75" hidden="1">
      <c r="A90" s="166"/>
      <c r="B90" s="167"/>
      <c r="C90" s="167"/>
      <c r="D90" s="173" t="s">
        <v>43</v>
      </c>
      <c r="E90" s="174"/>
      <c r="F90" s="174"/>
      <c r="G90" s="171"/>
      <c r="H90" s="183" t="s">
        <v>34</v>
      </c>
      <c r="I90" s="641">
        <f ca="1">IFERROR(__xludf.DUMMYFUNCTION("IMPORTRANGE(""https://docs.google.com/spreadsheets/d/1eHaY18a8A9IcSdp1K8H6x8fbOy06t2VsZHhMHf-1x7Y/edit?usp=sharing"",""แผน!J37"")"),0)</f>
        <v>0</v>
      </c>
      <c r="J90" s="467">
        <v>0</v>
      </c>
      <c r="K90" s="565">
        <f ca="1">IF(I90&gt;0,J90*100/I90,0)</f>
        <v>0</v>
      </c>
      <c r="L90" s="172"/>
      <c r="M90" s="164"/>
      <c r="N90" s="164"/>
      <c r="O90" s="164"/>
      <c r="P90" s="164"/>
      <c r="Q90" s="164"/>
      <c r="R90" s="164"/>
      <c r="S90" s="164"/>
      <c r="T90" s="164"/>
      <c r="U90" s="164"/>
    </row>
    <row r="91" spans="1:21" ht="19.5">
      <c r="A91" s="143" t="s">
        <v>44</v>
      </c>
      <c r="B91" s="144"/>
      <c r="C91" s="145"/>
      <c r="D91" s="144"/>
      <c r="E91" s="144"/>
      <c r="F91" s="144"/>
      <c r="G91" s="146"/>
      <c r="H91" s="146"/>
      <c r="I91" s="147"/>
      <c r="J91" s="147"/>
      <c r="K91" s="148"/>
      <c r="L91" s="149"/>
      <c r="M91" s="148"/>
      <c r="N91" s="148"/>
      <c r="O91" s="148"/>
      <c r="P91" s="148"/>
      <c r="Q91" s="148"/>
      <c r="R91" s="148"/>
      <c r="S91" s="148"/>
      <c r="T91" s="148"/>
      <c r="U91" s="148"/>
    </row>
    <row r="92" spans="1:21" ht="19.5">
      <c r="A92" s="150"/>
      <c r="B92" s="35" t="s">
        <v>45</v>
      </c>
      <c r="C92" s="34"/>
      <c r="D92" s="151"/>
      <c r="E92" s="34"/>
      <c r="F92" s="34"/>
      <c r="G92" s="37"/>
      <c r="H92" s="152" t="s">
        <v>46</v>
      </c>
      <c r="I92" s="721">
        <f ca="1">I108</f>
        <v>51</v>
      </c>
      <c r="J92" s="721">
        <f>J108</f>
        <v>51</v>
      </c>
      <c r="K92" s="720">
        <f ca="1">IF(I92&gt;0,J92*100/I92,0)</f>
        <v>100</v>
      </c>
      <c r="L92" s="154"/>
      <c r="M92" s="40"/>
      <c r="N92" s="40"/>
      <c r="O92" s="40"/>
      <c r="P92" s="40"/>
      <c r="Q92" s="40"/>
      <c r="R92" s="40"/>
      <c r="S92" s="40"/>
      <c r="T92" s="40"/>
      <c r="U92" s="40"/>
    </row>
    <row r="93" spans="1:21" ht="19.5">
      <c r="A93" s="150"/>
      <c r="B93" s="34"/>
      <c r="C93" s="34"/>
      <c r="D93" s="151"/>
      <c r="E93" s="34"/>
      <c r="F93" s="34"/>
      <c r="G93" s="37"/>
      <c r="H93" s="152" t="s">
        <v>35</v>
      </c>
      <c r="I93" s="721">
        <f ca="1">I109</f>
        <v>17</v>
      </c>
      <c r="J93" s="721">
        <f>J109</f>
        <v>17</v>
      </c>
      <c r="K93" s="720">
        <f ca="1">IF(I93&gt;0,J93*100/I93,0)</f>
        <v>100</v>
      </c>
      <c r="L93" s="154"/>
      <c r="M93" s="40"/>
      <c r="N93" s="40"/>
      <c r="O93" s="40"/>
      <c r="P93" s="40"/>
      <c r="Q93" s="40"/>
      <c r="R93" s="40"/>
      <c r="S93" s="40"/>
      <c r="T93" s="40"/>
      <c r="U93" s="40"/>
    </row>
    <row r="94" spans="1:21" ht="19.5">
      <c r="A94" s="155"/>
      <c r="B94" s="50"/>
      <c r="C94" s="156" t="s">
        <v>18</v>
      </c>
      <c r="D94" s="575" t="s">
        <v>19</v>
      </c>
      <c r="E94" s="50"/>
      <c r="F94" s="50"/>
      <c r="G94" s="52"/>
      <c r="H94" s="158" t="s">
        <v>14</v>
      </c>
      <c r="I94" s="54"/>
      <c r="J94" s="54"/>
      <c r="K94" s="55"/>
      <c r="L94" s="541">
        <f ca="1">L95+L96</f>
        <v>151000</v>
      </c>
      <c r="M94" s="540">
        <f ca="1">M95+M96</f>
        <v>91150</v>
      </c>
      <c r="N94" s="540">
        <f ca="1">N95+N96</f>
        <v>57892</v>
      </c>
      <c r="O94" s="540">
        <f ca="1">IF(L94&gt;0,N94*100/L94,0)</f>
        <v>38.339072847682118</v>
      </c>
      <c r="P94" s="540">
        <f ca="1">IF(M94&gt;0,N94*100/M94,0)</f>
        <v>63.512890839275919</v>
      </c>
      <c r="Q94" s="540">
        <f ca="1">Q95+Q96</f>
        <v>110364</v>
      </c>
      <c r="R94" s="540">
        <f ca="1">R95+R96</f>
        <v>110364</v>
      </c>
      <c r="S94" s="540">
        <f ca="1">S95+S96</f>
        <v>9270</v>
      </c>
      <c r="T94" s="540">
        <f ca="1">IF(Q94&gt;0,S94*100/Q94,0)</f>
        <v>8.3994780906817432</v>
      </c>
      <c r="U94" s="540">
        <f ca="1">IF(R94&gt;0,S94*100/R94,0)</f>
        <v>8.3994780906817432</v>
      </c>
    </row>
    <row r="95" spans="1:21" ht="18.75" hidden="1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103">
        <f>L98+L101</f>
        <v>0</v>
      </c>
      <c r="M95" s="102">
        <f>M98+M101</f>
        <v>0</v>
      </c>
      <c r="N95" s="102">
        <f>N98+N101</f>
        <v>0</v>
      </c>
      <c r="O95" s="102">
        <f>IF(L95&gt;0,N95*100/L95,0)</f>
        <v>0</v>
      </c>
      <c r="P95" s="102">
        <f>IF(M95&gt;0,N95*100/M95,0)</f>
        <v>0</v>
      </c>
      <c r="Q95" s="102">
        <f>Q98+Q101</f>
        <v>0</v>
      </c>
      <c r="R95" s="102">
        <f>R98+R101</f>
        <v>0</v>
      </c>
      <c r="S95" s="102">
        <f>S98+S101</f>
        <v>0</v>
      </c>
      <c r="T95" s="102">
        <f>IF(Q95&gt;0,S95*100/Q95,0)</f>
        <v>0</v>
      </c>
      <c r="U95" s="102">
        <f>IF(R95&gt;0,S95*100/R95,0)</f>
        <v>0</v>
      </c>
    </row>
    <row r="96" spans="1:21" ht="18.75" hidden="1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256">
        <f ca="1">L99+L102</f>
        <v>151000</v>
      </c>
      <c r="M96" s="255">
        <f ca="1">M99+M102</f>
        <v>91150</v>
      </c>
      <c r="N96" s="255">
        <f ca="1">N99+N102</f>
        <v>57892</v>
      </c>
      <c r="O96" s="255">
        <f ca="1">IF(L96&gt;0,N96*100/L96,0)</f>
        <v>38.339072847682118</v>
      </c>
      <c r="P96" s="255">
        <f ca="1">IF(M96&gt;0,N96*100/M96,0)</f>
        <v>63.512890839275919</v>
      </c>
      <c r="Q96" s="255">
        <f ca="1">Q99+Q102</f>
        <v>110364</v>
      </c>
      <c r="R96" s="255">
        <f ca="1">R99+R102</f>
        <v>110364</v>
      </c>
      <c r="S96" s="255">
        <f ca="1">S99+S102</f>
        <v>9270</v>
      </c>
      <c r="T96" s="255">
        <f ca="1">IF(Q96&gt;0,S96*100/Q96,0)</f>
        <v>8.3994780906817432</v>
      </c>
      <c r="U96" s="255">
        <f ca="1">IF(R96&gt;0,S96*100/R96,0)</f>
        <v>8.3994780906817432</v>
      </c>
    </row>
    <row r="97" spans="1:21" ht="18.75">
      <c r="A97" s="155"/>
      <c r="B97" s="50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256">
        <f ca="1">L98+L99</f>
        <v>151000</v>
      </c>
      <c r="M97" s="255">
        <f ca="1">M98+M99</f>
        <v>91150</v>
      </c>
      <c r="N97" s="255">
        <f ca="1">N98+N99</f>
        <v>57892</v>
      </c>
      <c r="O97" s="255">
        <f ca="1">IF(L97&gt;0,N97*100/L97,0)</f>
        <v>38.339072847682118</v>
      </c>
      <c r="P97" s="255">
        <f ca="1">IF(M97&gt;0,N97*100/M97,0)</f>
        <v>63.512890839275919</v>
      </c>
      <c r="Q97" s="255">
        <f ca="1">Q98+Q99</f>
        <v>110364</v>
      </c>
      <c r="R97" s="255">
        <f ca="1">R98+R99</f>
        <v>110364</v>
      </c>
      <c r="S97" s="255">
        <f ca="1">S98+S99</f>
        <v>9270</v>
      </c>
      <c r="T97" s="255">
        <f ca="1">IF(Q97&gt;0,S97*100/Q97,0)</f>
        <v>8.3994780906817432</v>
      </c>
      <c r="U97" s="255">
        <f ca="1">IF(R97&gt;0,S97*100/R97,0)</f>
        <v>8.3994780906817432</v>
      </c>
    </row>
    <row r="98" spans="1:21" ht="18.75" hidden="1">
      <c r="A98" s="155"/>
      <c r="B98" s="50"/>
      <c r="C98" s="50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103">
        <v>0</v>
      </c>
      <c r="M98" s="102">
        <v>0</v>
      </c>
      <c r="N98" s="102">
        <v>0</v>
      </c>
      <c r="O98" s="102">
        <f>IF(L98&gt;0,N98*100/L98,0)</f>
        <v>0</v>
      </c>
      <c r="P98" s="102">
        <f>IF(M98&gt;0,N98*100/M98,0)</f>
        <v>0</v>
      </c>
      <c r="Q98" s="102">
        <v>0</v>
      </c>
      <c r="R98" s="102">
        <v>0</v>
      </c>
      <c r="S98" s="102">
        <v>0</v>
      </c>
      <c r="T98" s="102">
        <f>IF(Q98&gt;0,S98*100/Q98,0)</f>
        <v>0</v>
      </c>
      <c r="U98" s="102">
        <f>IF(R98&gt;0,S98*100/R98,0)</f>
        <v>0</v>
      </c>
    </row>
    <row r="99" spans="1:21" ht="18.75" hidden="1">
      <c r="A99" s="155"/>
      <c r="B99" s="50"/>
      <c r="C99" s="50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256">
        <f ca="1">IFERROR(__xludf.DUMMYFUNCTION("IMPORTRANGE(""https://docs.google.com/spreadsheets/d/1-uDff_7J0KD5mKrp0Vvzr7lt3OU09vwQwhkpOPPYv2Y/edit?usp=sharing"",""งบพรบ!AW37"")"),151000)</f>
        <v>151000</v>
      </c>
      <c r="M99" s="255">
        <f ca="1">IFERROR(__xludf.DUMMYFUNCTION("IMPORTRANGE(""https://docs.google.com/spreadsheets/d/1-uDff_7J0KD5mKrp0Vvzr7lt3OU09vwQwhkpOPPYv2Y/edit?usp=sharing"",""งบพรบ!BB37"")"),91150)</f>
        <v>91150</v>
      </c>
      <c r="N99" s="255">
        <f ca="1">IFERROR(__xludf.DUMMYFUNCTION("IMPORTRANGE(""https://docs.google.com/spreadsheets/d/1-uDff_7J0KD5mKrp0Vvzr7lt3OU09vwQwhkpOPPYv2Y/edit?usp=sharing"",""งบพรบ!BD37"")"),57892)</f>
        <v>57892</v>
      </c>
      <c r="O99" s="255">
        <f ca="1">IF(L99&gt;0,N99*100/L99,0)</f>
        <v>38.339072847682118</v>
      </c>
      <c r="P99" s="255">
        <f ca="1">IF(M99&gt;0,N99*100/M99,0)</f>
        <v>63.512890839275919</v>
      </c>
      <c r="Q99" s="255">
        <f ca="1">IFERROR(__xludf.DUMMYFUNCTION("IMPORTRANGE(""https://docs.google.com/spreadsheets/d/1ItG2mGa2ceCfYo0BwxsXqNm01IGEUdYcSSLTEv9YCik/edit?usp=sharing"",""เบิกจ่ายกองทุน!AD37"")"),110364)</f>
        <v>110364</v>
      </c>
      <c r="R99" s="255">
        <f ca="1">IFERROR(__xludf.DUMMYFUNCTION("IMPORTRANGE(""https://docs.google.com/spreadsheets/d/1ItG2mGa2ceCfYo0BwxsXqNm01IGEUdYcSSLTEv9YCik/edit?usp=sharing"",""เบิกจ่ายกองทุน!AE37"")"),110364)</f>
        <v>110364</v>
      </c>
      <c r="S99" s="255">
        <f ca="1">IFERROR(__xludf.DUMMYFUNCTION("IMPORTRANGE(""https://docs.google.com/spreadsheets/d/1ItG2mGa2ceCfYo0BwxsXqNm01IGEUdYcSSLTEv9YCik/edit?usp=sharing"",""เบิกจ่ายกองทุน!AF37"")"),9270)</f>
        <v>9270</v>
      </c>
      <c r="T99" s="255">
        <f ca="1">IF(Q99&gt;0,S99*100/Q99,0)</f>
        <v>8.3994780906817432</v>
      </c>
      <c r="U99" s="255">
        <f ca="1">IF(R99&gt;0,S99*100/R99,0)</f>
        <v>8.3994780906817432</v>
      </c>
    </row>
    <row r="100" spans="1:21" ht="18.75">
      <c r="A100" s="155"/>
      <c r="B100" s="50"/>
      <c r="C100" s="50"/>
      <c r="D100" s="51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256">
        <f ca="1">L101+L102</f>
        <v>0</v>
      </c>
      <c r="M100" s="255">
        <f ca="1">M101+M102</f>
        <v>0</v>
      </c>
      <c r="N100" s="255">
        <f ca="1">N101+N102</f>
        <v>0</v>
      </c>
      <c r="O100" s="255">
        <f ca="1">IF(L100&gt;0,N100*100/L100,0)</f>
        <v>0</v>
      </c>
      <c r="P100" s="255">
        <f ca="1">IF(M100&gt;0,N100*100/M100,0)</f>
        <v>0</v>
      </c>
      <c r="Q100" s="255">
        <f>Q101+Q102</f>
        <v>0</v>
      </c>
      <c r="R100" s="255">
        <f>R101+R102</f>
        <v>0</v>
      </c>
      <c r="S100" s="255">
        <f>S101+S102</f>
        <v>0</v>
      </c>
      <c r="T100" s="255">
        <f>IF(Q100&gt;0,S100*100/Q100,0)</f>
        <v>0</v>
      </c>
      <c r="U100" s="255">
        <f>IF(R100&gt;0,S100*100/R100,0)</f>
        <v>0</v>
      </c>
    </row>
    <row r="101" spans="1:21" ht="18.75" hidden="1">
      <c r="A101" s="155"/>
      <c r="B101" s="50"/>
      <c r="C101" s="50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103">
        <v>0</v>
      </c>
      <c r="M101" s="102">
        <v>0</v>
      </c>
      <c r="N101" s="102">
        <v>0</v>
      </c>
      <c r="O101" s="102">
        <f>IF(L101&gt;0,N101*100/L101,0)</f>
        <v>0</v>
      </c>
      <c r="P101" s="102">
        <f>IF(M101&gt;0,N101*100/M101,0)</f>
        <v>0</v>
      </c>
      <c r="Q101" s="102">
        <v>0</v>
      </c>
      <c r="R101" s="102">
        <v>0</v>
      </c>
      <c r="S101" s="102">
        <v>0</v>
      </c>
      <c r="T101" s="102">
        <f>IF(Q101&gt;0,S101*100/Q101,0)</f>
        <v>0</v>
      </c>
      <c r="U101" s="102">
        <f>IF(R101&gt;0,S101*100/R101,0)</f>
        <v>0</v>
      </c>
    </row>
    <row r="102" spans="1:21" ht="18.75" hidden="1">
      <c r="A102" s="155"/>
      <c r="B102" s="50"/>
      <c r="C102" s="50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256">
        <f ca="1">IFERROR(__xludf.DUMMYFUNCTION("IMPORTRANGE(""https://docs.google.com/spreadsheets/d/1-uDff_7J0KD5mKrp0Vvzr7lt3OU09vwQwhkpOPPYv2Y/edit?usp=sharing"",""งบพรบ!AZ37"")"),0)</f>
        <v>0</v>
      </c>
      <c r="M102" s="255">
        <f ca="1">IFERROR(__xludf.DUMMYFUNCTION("IMPORTRANGE(""https://docs.google.com/spreadsheets/d/1-uDff_7J0KD5mKrp0Vvzr7lt3OU09vwQwhkpOPPYv2Y/edit?usp=sharing"",""งบพรบ!BC37"")"),0)</f>
        <v>0</v>
      </c>
      <c r="N102" s="255">
        <f ca="1">IFERROR(__xludf.DUMMYFUNCTION("IMPORTRANGE(""https://docs.google.com/spreadsheets/d/1-uDff_7J0KD5mKrp0Vvzr7lt3OU09vwQwhkpOPPYv2Y/edit?usp=sharing"",""งบพรบ!BE37"")"),0)</f>
        <v>0</v>
      </c>
      <c r="O102" s="255">
        <f ca="1">IF(L102&gt;0,N102*100/L102,0)</f>
        <v>0</v>
      </c>
      <c r="P102" s="255">
        <f ca="1">IF(M102&gt;0,N102*100/M102,0)</f>
        <v>0</v>
      </c>
      <c r="Q102" s="255">
        <v>0</v>
      </c>
      <c r="R102" s="255">
        <v>0</v>
      </c>
      <c r="S102" s="255">
        <v>0</v>
      </c>
      <c r="T102" s="255">
        <f>IF(Q102&gt;0,S102*100/Q102,0)</f>
        <v>0</v>
      </c>
      <c r="U102" s="255">
        <f>IF(R102&gt;0,S102*100/R102,0)</f>
        <v>0</v>
      </c>
    </row>
    <row r="103" spans="1:21" ht="19.5">
      <c r="A103" s="166"/>
      <c r="B103" s="167"/>
      <c r="C103" s="156" t="s">
        <v>18</v>
      </c>
      <c r="D103" s="566" t="s">
        <v>38</v>
      </c>
      <c r="E103" s="169"/>
      <c r="F103" s="169"/>
      <c r="G103" s="170"/>
      <c r="H103" s="171"/>
      <c r="I103" s="163"/>
      <c r="J103" s="54"/>
      <c r="K103" s="55"/>
      <c r="L103" s="62"/>
      <c r="M103" s="55"/>
      <c r="N103" s="55"/>
      <c r="O103" s="164"/>
      <c r="P103" s="164"/>
      <c r="Q103" s="55"/>
      <c r="R103" s="55"/>
      <c r="S103" s="55"/>
      <c r="T103" s="164"/>
      <c r="U103" s="164"/>
    </row>
    <row r="104" spans="1:21" ht="12.75" hidden="1">
      <c r="A104" s="192"/>
      <c r="B104" s="193"/>
      <c r="C104" s="193"/>
      <c r="D104" s="22"/>
      <c r="E104" s="22"/>
      <c r="F104" s="22"/>
      <c r="G104" s="23"/>
      <c r="H104" s="23"/>
      <c r="I104" s="24"/>
      <c r="J104" s="24"/>
      <c r="K104" s="25"/>
      <c r="L104" s="26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2.75" hidden="1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6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2.75" hidden="1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9.5" hidden="1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62"/>
      <c r="M107" s="55"/>
      <c r="N107" s="55"/>
      <c r="O107" s="164"/>
      <c r="P107" s="164"/>
      <c r="Q107" s="55"/>
      <c r="R107" s="55"/>
      <c r="S107" s="55"/>
      <c r="T107" s="164"/>
      <c r="U107" s="164"/>
    </row>
    <row r="108" spans="1:21" ht="18.75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212">
        <f ca="1">IFERROR(__xludf.DUMMYFUNCTION("IMPORTRANGE(""https://docs.google.com/spreadsheets/d/1eHaY18a8A9IcSdp1K8H6x8fbOy06t2VsZHhMHf-1x7Y/edit?usp=sharing"",""แผน!N37"")"),51)</f>
        <v>51</v>
      </c>
      <c r="J108" s="467">
        <v>51</v>
      </c>
      <c r="K108" s="255">
        <f ca="1">IF(I108&gt;0,J108*100/I108,0)</f>
        <v>100</v>
      </c>
      <c r="L108" s="62"/>
      <c r="M108" s="55"/>
      <c r="N108" s="55"/>
      <c r="O108" s="164"/>
      <c r="P108" s="164"/>
      <c r="Q108" s="55"/>
      <c r="R108" s="55"/>
      <c r="S108" s="55"/>
      <c r="T108" s="164"/>
      <c r="U108" s="164"/>
    </row>
    <row r="109" spans="1:21" ht="18.75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212">
        <f ca="1">IFERROR(__xludf.DUMMYFUNCTION("IMPORTRANGE(""https://docs.google.com/spreadsheets/d/1eHaY18a8A9IcSdp1K8H6x8fbOy06t2VsZHhMHf-1x7Y/edit?usp=sharing"",""แผน!O37"")"),17)</f>
        <v>17</v>
      </c>
      <c r="J109" s="467">
        <v>17</v>
      </c>
      <c r="K109" s="255">
        <f ca="1">IF(I109&gt;0,J109*100/I109,0)</f>
        <v>100</v>
      </c>
      <c r="L109" s="62"/>
      <c r="M109" s="55"/>
      <c r="N109" s="55"/>
      <c r="O109" s="164"/>
      <c r="P109" s="164"/>
      <c r="Q109" s="55"/>
      <c r="R109" s="55"/>
      <c r="S109" s="55"/>
      <c r="T109" s="164"/>
      <c r="U109" s="164"/>
    </row>
    <row r="110" spans="1:21" ht="12.75" hidden="1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6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2.75" hidden="1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6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2.75" hidden="1">
      <c r="A112" s="192"/>
      <c r="B112" s="193"/>
      <c r="C112" s="193"/>
      <c r="D112" s="22"/>
      <c r="E112" s="22"/>
      <c r="F112" s="22"/>
      <c r="G112" s="23"/>
      <c r="H112" s="23"/>
      <c r="I112" s="24"/>
      <c r="J112" s="24"/>
      <c r="K112" s="25"/>
      <c r="L112" s="26"/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8.75">
      <c r="A113" s="771"/>
      <c r="B113" s="489"/>
      <c r="C113" s="489"/>
      <c r="D113" s="345" t="s">
        <v>50</v>
      </c>
      <c r="E113" s="491"/>
      <c r="F113" s="491"/>
      <c r="G113" s="492"/>
      <c r="H113" s="770" t="s">
        <v>46</v>
      </c>
      <c r="I113" s="769">
        <f ca="1">IFERROR(__xludf.DUMMYFUNCTION("IMPORTRANGE(""https://docs.google.com/spreadsheets/d/1eHaY18a8A9IcSdp1K8H6x8fbOy06t2VsZHhMHf-1x7Y/edit?usp=sharing"",""แผน!N37"")"),51)</f>
        <v>51</v>
      </c>
      <c r="J113" s="495">
        <v>0</v>
      </c>
      <c r="K113" s="708">
        <f ca="1">IF(I113&gt;0,J113*100/I113,0)</f>
        <v>0</v>
      </c>
      <c r="L113" s="350"/>
      <c r="M113" s="350"/>
      <c r="N113" s="350"/>
      <c r="O113" s="496"/>
      <c r="P113" s="496"/>
      <c r="Q113" s="350"/>
      <c r="R113" s="350"/>
      <c r="S113" s="350"/>
      <c r="T113" s="496"/>
      <c r="U113" s="496"/>
    </row>
    <row r="114" spans="1:21" ht="18.75">
      <c r="A114" s="166"/>
      <c r="B114" s="167"/>
      <c r="C114" s="167"/>
      <c r="D114" s="174"/>
      <c r="E114" s="174"/>
      <c r="F114" s="174"/>
      <c r="G114" s="171"/>
      <c r="H114" s="179" t="s">
        <v>35</v>
      </c>
      <c r="I114" s="641">
        <f ca="1">IFERROR(__xludf.DUMMYFUNCTION("IMPORTRANGE(""https://docs.google.com/spreadsheets/d/1eHaY18a8A9IcSdp1K8H6x8fbOy06t2VsZHhMHf-1x7Y/edit?usp=sharing"",""แผน!O37"")"),17)</f>
        <v>17</v>
      </c>
      <c r="J114" s="467">
        <v>0</v>
      </c>
      <c r="K114" s="255">
        <f ca="1">IF(I114&gt;0,J114*100/I114,0)</f>
        <v>0</v>
      </c>
      <c r="L114" s="55"/>
      <c r="M114" s="55"/>
      <c r="N114" s="55"/>
      <c r="O114" s="164"/>
      <c r="P114" s="164"/>
      <c r="Q114" s="55"/>
      <c r="R114" s="55"/>
      <c r="S114" s="55"/>
      <c r="T114" s="164"/>
      <c r="U114" s="164"/>
    </row>
    <row r="115" spans="1:21" ht="19.5">
      <c r="A115" s="727" t="s">
        <v>51</v>
      </c>
      <c r="B115" s="724"/>
      <c r="C115" s="726"/>
      <c r="D115" s="725"/>
      <c r="E115" s="725"/>
      <c r="F115" s="725"/>
      <c r="G115" s="725"/>
      <c r="H115" s="724"/>
      <c r="I115" s="723"/>
      <c r="J115" s="723"/>
      <c r="K115" s="722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721">
        <f ca="1">I127</f>
        <v>15</v>
      </c>
      <c r="J116" s="721">
        <f>J127</f>
        <v>15</v>
      </c>
      <c r="K116" s="720">
        <f ca="1">IF(I116&gt;0,J116*100/I116,0)</f>
        <v>100</v>
      </c>
      <c r="L116" s="154"/>
      <c r="M116" s="40"/>
      <c r="N116" s="40"/>
      <c r="O116" s="40"/>
      <c r="P116" s="40"/>
      <c r="Q116" s="40"/>
      <c r="R116" s="40"/>
      <c r="S116" s="40"/>
      <c r="T116" s="40"/>
      <c r="U116" s="40"/>
    </row>
    <row r="117" spans="1:21" ht="19.5">
      <c r="A117" s="155"/>
      <c r="B117" s="188"/>
      <c r="C117" s="191" t="s">
        <v>18</v>
      </c>
      <c r="D117" s="575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541">
        <f ca="1">L118+L119</f>
        <v>0</v>
      </c>
      <c r="M117" s="540">
        <f ca="1">M118+M119</f>
        <v>0</v>
      </c>
      <c r="N117" s="540">
        <f ca="1">N118+N119</f>
        <v>0</v>
      </c>
      <c r="O117" s="540">
        <f ca="1">IF(L117&gt;0,N117*100/L117,0)</f>
        <v>0</v>
      </c>
      <c r="P117" s="540">
        <f ca="1">IF(M117&gt;0,N117*100/M117,0)</f>
        <v>0</v>
      </c>
      <c r="Q117" s="540">
        <f ca="1">Q118+Q119</f>
        <v>191460</v>
      </c>
      <c r="R117" s="540">
        <f ca="1">R118+R119</f>
        <v>191460</v>
      </c>
      <c r="S117" s="540">
        <f ca="1">S118+S119</f>
        <v>30970</v>
      </c>
      <c r="T117" s="540">
        <f ca="1">IF(Q117&gt;0,S117*100/Q117,0)</f>
        <v>16.175702496605034</v>
      </c>
      <c r="U117" s="540">
        <f ca="1">IF(R117&gt;0,S117*100/R117,0)</f>
        <v>16.175702496605034</v>
      </c>
    </row>
    <row r="118" spans="1:21" ht="18.75" hidden="1">
      <c r="A118" s="155"/>
      <c r="B118" s="188"/>
      <c r="C118" s="188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103">
        <f>L121+L124</f>
        <v>0</v>
      </c>
      <c r="M118" s="102">
        <f>M121+M124</f>
        <v>0</v>
      </c>
      <c r="N118" s="102">
        <f>N121+N124</f>
        <v>0</v>
      </c>
      <c r="O118" s="102">
        <f>IF(L118&gt;0,N118*100/L118,0)</f>
        <v>0</v>
      </c>
      <c r="P118" s="102">
        <f>IF(M118&gt;0,N118*100/M118,0)</f>
        <v>0</v>
      </c>
      <c r="Q118" s="102">
        <f>Q121+Q124</f>
        <v>0</v>
      </c>
      <c r="R118" s="102">
        <f>R121+R124</f>
        <v>0</v>
      </c>
      <c r="S118" s="102">
        <f>S121+S124</f>
        <v>0</v>
      </c>
      <c r="T118" s="102">
        <f>IF(Q118&gt;0,S118*100/Q118,0)</f>
        <v>0</v>
      </c>
      <c r="U118" s="102">
        <f>IF(R118&gt;0,S118*100/R118,0)</f>
        <v>0</v>
      </c>
    </row>
    <row r="119" spans="1:21" ht="18.75" hidden="1">
      <c r="A119" s="155"/>
      <c r="B119" s="188"/>
      <c r="C119" s="188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256">
        <f ca="1">L122+L125</f>
        <v>0</v>
      </c>
      <c r="M119" s="255">
        <f ca="1">M122+M125</f>
        <v>0</v>
      </c>
      <c r="N119" s="255">
        <f ca="1">N122+N125</f>
        <v>0</v>
      </c>
      <c r="O119" s="255">
        <f ca="1">IF(L119&gt;0,N119*100/L119,0)</f>
        <v>0</v>
      </c>
      <c r="P119" s="255">
        <f ca="1">IF(M119&gt;0,N119*100/M119,0)</f>
        <v>0</v>
      </c>
      <c r="Q119" s="255">
        <f ca="1">Q122+Q125</f>
        <v>191460</v>
      </c>
      <c r="R119" s="255">
        <f ca="1">R122+R125</f>
        <v>191460</v>
      </c>
      <c r="S119" s="255">
        <f ca="1">S122+S125</f>
        <v>30970</v>
      </c>
      <c r="T119" s="255">
        <f ca="1">IF(Q119&gt;0,S119*100/Q119,0)</f>
        <v>16.175702496605034</v>
      </c>
      <c r="U119" s="255">
        <f ca="1">IF(R119&gt;0,S119*100/R119,0)</f>
        <v>16.175702496605034</v>
      </c>
    </row>
    <row r="120" spans="1:21" ht="18.75">
      <c r="A120" s="155"/>
      <c r="B120" s="188"/>
      <c r="C120" s="202"/>
      <c r="D120" s="602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256">
        <f ca="1">L121+L122</f>
        <v>0</v>
      </c>
      <c r="M120" s="255">
        <f ca="1">M121+M122</f>
        <v>0</v>
      </c>
      <c r="N120" s="255">
        <f ca="1">N121+N122</f>
        <v>0</v>
      </c>
      <c r="O120" s="255">
        <f ca="1">IF(L120&gt;0,N120*100/L120,0)</f>
        <v>0</v>
      </c>
      <c r="P120" s="255">
        <f ca="1">IF(M120&gt;0,N120*100/M120,0)</f>
        <v>0</v>
      </c>
      <c r="Q120" s="255">
        <f ca="1">Q121+Q122</f>
        <v>191460</v>
      </c>
      <c r="R120" s="255">
        <f ca="1">R121+R122</f>
        <v>191460</v>
      </c>
      <c r="S120" s="255">
        <f ca="1">S121+S122</f>
        <v>30970</v>
      </c>
      <c r="T120" s="255">
        <f ca="1">IF(Q120&gt;0,S120*100/Q120,0)</f>
        <v>16.175702496605034</v>
      </c>
      <c r="U120" s="255">
        <f ca="1">IF(R120&gt;0,S120*100/R120,0)</f>
        <v>16.175702496605034</v>
      </c>
    </row>
    <row r="121" spans="1:21" ht="18.75" hidden="1">
      <c r="A121" s="155"/>
      <c r="B121" s="188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103">
        <v>0</v>
      </c>
      <c r="M121" s="102">
        <v>0</v>
      </c>
      <c r="N121" s="102">
        <v>0</v>
      </c>
      <c r="O121" s="102">
        <f>IF(L121&gt;0,N121*100/L121,0)</f>
        <v>0</v>
      </c>
      <c r="P121" s="102">
        <f>IF(M121&gt;0,N121*100/M121,0)</f>
        <v>0</v>
      </c>
      <c r="Q121" s="102">
        <v>0</v>
      </c>
      <c r="R121" s="102">
        <v>0</v>
      </c>
      <c r="S121" s="102">
        <v>0</v>
      </c>
      <c r="T121" s="102">
        <f>IF(Q121&gt;0,S121*100/Q121,0)</f>
        <v>0</v>
      </c>
      <c r="U121" s="102">
        <f>IF(R121&gt;0,S121*100/R121,0)</f>
        <v>0</v>
      </c>
    </row>
    <row r="122" spans="1:21" ht="18.75" hidden="1">
      <c r="A122" s="155"/>
      <c r="B122" s="188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256">
        <f ca="1">IFERROR(__xludf.DUMMYFUNCTION("IMPORTRANGE(""https://docs.google.com/spreadsheets/d/1-uDff_7J0KD5mKrp0Vvzr7lt3OU09vwQwhkpOPPYv2Y/edit?usp=sharing"",""งบพรบ!BG37"")"),0)</f>
        <v>0</v>
      </c>
      <c r="M122" s="255">
        <f ca="1">IFERROR(__xludf.DUMMYFUNCTION("IMPORTRANGE(""https://docs.google.com/spreadsheets/d/1-uDff_7J0KD5mKrp0Vvzr7lt3OU09vwQwhkpOPPYv2Y/edit?usp=sharing"",""งบพรบ!BL37"")"),0)</f>
        <v>0</v>
      </c>
      <c r="N122" s="255">
        <f ca="1">IFERROR(__xludf.DUMMYFUNCTION("IMPORTRANGE(""https://docs.google.com/spreadsheets/d/1-uDff_7J0KD5mKrp0Vvzr7lt3OU09vwQwhkpOPPYv2Y/edit?usp=sharing"",""งบพรบ!BN37"")"),0)</f>
        <v>0</v>
      </c>
      <c r="O122" s="255">
        <f ca="1">IF(L122&gt;0,N122*100/L122,0)</f>
        <v>0</v>
      </c>
      <c r="P122" s="255">
        <f ca="1">IF(M122&gt;0,N122*100/M122,0)</f>
        <v>0</v>
      </c>
      <c r="Q122" s="255">
        <f ca="1">IFERROR(__xludf.DUMMYFUNCTION("IMPORTRANGE(""https://docs.google.com/spreadsheets/d/1ItG2mGa2ceCfYo0BwxsXqNm01IGEUdYcSSLTEv9YCik/edit?usp=sharing"",""เบิกจ่ายกองทุน!R37"")"),191460)</f>
        <v>191460</v>
      </c>
      <c r="R122" s="255">
        <f ca="1">IFERROR(__xludf.DUMMYFUNCTION("IMPORTRANGE(""https://docs.google.com/spreadsheets/d/1ItG2mGa2ceCfYo0BwxsXqNm01IGEUdYcSSLTEv9YCik/edit?usp=sharing"",""เบิกจ่ายกองทุน!S37"")"),191460)</f>
        <v>191460</v>
      </c>
      <c r="S122" s="255">
        <f ca="1">IFERROR(__xludf.DUMMYFUNCTION("IMPORTRANGE(""https://docs.google.com/spreadsheets/d/1ItG2mGa2ceCfYo0BwxsXqNm01IGEUdYcSSLTEv9YCik/edit?usp=sharing"",""เบิกจ่ายกองทุน!T37"")"),30970)</f>
        <v>30970</v>
      </c>
      <c r="T122" s="255">
        <f ca="1">IF(Q122&gt;0,S122*100/Q122,0)</f>
        <v>16.175702496605034</v>
      </c>
      <c r="U122" s="255">
        <f ca="1">IF(R122&gt;0,S122*100/R122,0)</f>
        <v>16.175702496605034</v>
      </c>
    </row>
    <row r="123" spans="1:21" ht="18.75">
      <c r="A123" s="155"/>
      <c r="B123" s="50"/>
      <c r="C123" s="202"/>
      <c r="D123" s="602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256">
        <f ca="1">L124+L125</f>
        <v>0</v>
      </c>
      <c r="M123" s="255">
        <f ca="1">M124+M125</f>
        <v>0</v>
      </c>
      <c r="N123" s="255">
        <f ca="1">N124+N125</f>
        <v>0</v>
      </c>
      <c r="O123" s="255">
        <f ca="1">IF(L123&gt;0,N123*100/L123,0)</f>
        <v>0</v>
      </c>
      <c r="P123" s="255">
        <f ca="1">IF(M123&gt;0,N123*100/M123,0)</f>
        <v>0</v>
      </c>
      <c r="Q123" s="255">
        <f>Q124+Q125</f>
        <v>0</v>
      </c>
      <c r="R123" s="255">
        <f>R124+R125</f>
        <v>0</v>
      </c>
      <c r="S123" s="255">
        <f>S124+S125</f>
        <v>0</v>
      </c>
      <c r="T123" s="255">
        <f>IF(Q123&gt;0,S123*100/Q123,0)</f>
        <v>0</v>
      </c>
      <c r="U123" s="255">
        <f>IF(R123&gt;0,S123*100/R123,0)</f>
        <v>0</v>
      </c>
    </row>
    <row r="124" spans="1:21" ht="18.75" hidden="1">
      <c r="A124" s="155"/>
      <c r="B124" s="50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103">
        <v>0</v>
      </c>
      <c r="M124" s="102">
        <v>0</v>
      </c>
      <c r="N124" s="102">
        <v>0</v>
      </c>
      <c r="O124" s="102">
        <f>IF(L124&gt;0,N124*100/L124,0)</f>
        <v>0</v>
      </c>
      <c r="P124" s="102">
        <f>IF(M124&gt;0,N124*100/M124,0)</f>
        <v>0</v>
      </c>
      <c r="Q124" s="102">
        <v>0</v>
      </c>
      <c r="R124" s="102">
        <v>0</v>
      </c>
      <c r="S124" s="102">
        <v>0</v>
      </c>
      <c r="T124" s="102">
        <f>IF(Q124&gt;0,S124*100/Q124,0)</f>
        <v>0</v>
      </c>
      <c r="U124" s="102">
        <f>IF(R124&gt;0,S124*100/R124,0)</f>
        <v>0</v>
      </c>
    </row>
    <row r="125" spans="1:21" ht="18.75" hidden="1">
      <c r="A125" s="155"/>
      <c r="B125" s="50"/>
      <c r="C125" s="50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256">
        <f ca="1">IFERROR(__xludf.DUMMYFUNCTION("IMPORTRANGE(""https://docs.google.com/spreadsheets/d/1-uDff_7J0KD5mKrp0Vvzr7lt3OU09vwQwhkpOPPYv2Y/edit?usp=sharing"",""งบพรบ!BJ37"")"),0)</f>
        <v>0</v>
      </c>
      <c r="M125" s="255">
        <f ca="1">IFERROR(__xludf.DUMMYFUNCTION("IMPORTRANGE(""https://docs.google.com/spreadsheets/d/1-uDff_7J0KD5mKrp0Vvzr7lt3OU09vwQwhkpOPPYv2Y/edit?usp=sharing"",""งบพรบ!BM37"")"),0)</f>
        <v>0</v>
      </c>
      <c r="N125" s="255">
        <f ca="1">IFERROR(__xludf.DUMMYFUNCTION("IMPORTRANGE(""https://docs.google.com/spreadsheets/d/1-uDff_7J0KD5mKrp0Vvzr7lt3OU09vwQwhkpOPPYv2Y/edit?usp=sharing"",""งบพรบ!BO37"")"),0)</f>
        <v>0</v>
      </c>
      <c r="O125" s="255">
        <f ca="1">IF(L125&gt;0,N125*100/L125,0)</f>
        <v>0</v>
      </c>
      <c r="P125" s="255">
        <f ca="1">IF(M125&gt;0,N125*100/M125,0)</f>
        <v>0</v>
      </c>
      <c r="Q125" s="255">
        <v>0</v>
      </c>
      <c r="R125" s="255">
        <v>0</v>
      </c>
      <c r="S125" s="255">
        <v>0</v>
      </c>
      <c r="T125" s="255">
        <f>IF(Q125&gt;0,S125*100/Q125,0)</f>
        <v>0</v>
      </c>
      <c r="U125" s="255">
        <f>IF(R125&gt;0,S125*100/R125,0)</f>
        <v>0</v>
      </c>
    </row>
    <row r="126" spans="1:21" ht="19.5">
      <c r="A126" s="166"/>
      <c r="B126" s="167"/>
      <c r="C126" s="205" t="s">
        <v>18</v>
      </c>
      <c r="D126" s="566" t="s">
        <v>38</v>
      </c>
      <c r="E126" s="169"/>
      <c r="F126" s="169"/>
      <c r="G126" s="170"/>
      <c r="H126" s="206"/>
      <c r="I126" s="54"/>
      <c r="J126" s="54"/>
      <c r="K126" s="55"/>
      <c r="L126" s="62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212">
        <f ca="1">IFERROR(__xludf.DUMMYFUNCTION("IMPORTRANGE(""https://docs.google.com/spreadsheets/d/1eHaY18a8A9IcSdp1K8H6x8fbOy06t2VsZHhMHf-1x7Y/edit?usp=sharing"",""แผน!FF37"")"),15)</f>
        <v>15</v>
      </c>
      <c r="J127" s="467">
        <v>15</v>
      </c>
      <c r="K127" s="255">
        <f ca="1">IF(I127&gt;0,J127*100/I127,0)</f>
        <v>100</v>
      </c>
      <c r="L127" s="62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212">
        <f ca="1">IFERROR(__xludf.DUMMYFUNCTION("IMPORTRANGE(""https://docs.google.com/spreadsheets/d/1eHaY18a8A9IcSdp1K8H6x8fbOy06t2VsZHhMHf-1x7Y/edit?usp=sharing"",""แผน!FG37"")"),0)</f>
        <v>0</v>
      </c>
      <c r="J128" s="467">
        <v>0</v>
      </c>
      <c r="K128" s="255">
        <f ca="1">IF(I128&gt;0,J128*100/I128,0)</f>
        <v>0</v>
      </c>
      <c r="L128" s="62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212">
        <f ca="1">IFERROR(__xludf.DUMMYFUNCTION("IMPORTRANGE(""https://docs.google.com/spreadsheets/d/1eHaY18a8A9IcSdp1K8H6x8fbOy06t2VsZHhMHf-1x7Y/edit?usp=sharing"",""แผน!FH37"")"),15)</f>
        <v>15</v>
      </c>
      <c r="J129" s="467">
        <v>0</v>
      </c>
      <c r="K129" s="255">
        <f ca="1">IF(I129&gt;0,J129*100/I129,0)</f>
        <v>0</v>
      </c>
      <c r="L129" s="62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212">
        <f ca="1">IFERROR(__xludf.DUMMYFUNCTION("IMPORTRANGE(""https://docs.google.com/spreadsheets/d/1eHaY18a8A9IcSdp1K8H6x8fbOy06t2VsZHhMHf-1x7Y/edit?usp=sharing"",""แผน!FI37"")"),0)</f>
        <v>0</v>
      </c>
      <c r="J130" s="467">
        <v>0</v>
      </c>
      <c r="K130" s="255">
        <f ca="1">IF(I130&gt;0,J130*100/I130,0)</f>
        <v>0</v>
      </c>
      <c r="L130" s="62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8.75" hidden="1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62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8.75" hidden="1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62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2.75" hidden="1">
      <c r="A133" s="192"/>
      <c r="B133" s="193"/>
      <c r="C133" s="193"/>
      <c r="D133" s="22"/>
      <c r="E133" s="22"/>
      <c r="F133" s="22"/>
      <c r="G133" s="23"/>
      <c r="H133" s="209"/>
      <c r="I133" s="24"/>
      <c r="J133" s="24"/>
      <c r="K133" s="25"/>
      <c r="L133" s="26"/>
      <c r="M133" s="25"/>
      <c r="N133" s="25"/>
      <c r="O133" s="25"/>
      <c r="P133" s="25"/>
      <c r="Q133" s="25"/>
      <c r="R133" s="25"/>
      <c r="S133" s="25"/>
      <c r="T133" s="25"/>
      <c r="U133" s="25"/>
    </row>
    <row r="134" spans="1:21" ht="19.5">
      <c r="A134" s="143" t="s">
        <v>58</v>
      </c>
      <c r="B134" s="144"/>
      <c r="C134" s="196"/>
      <c r="D134" s="144"/>
      <c r="E134" s="144"/>
      <c r="F134" s="144"/>
      <c r="G134" s="144"/>
      <c r="H134" s="144"/>
      <c r="I134" s="197"/>
      <c r="J134" s="197"/>
      <c r="K134" s="19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</row>
    <row r="135" spans="1:21" ht="19.5">
      <c r="A135" s="150"/>
      <c r="B135" s="35" t="s">
        <v>59</v>
      </c>
      <c r="C135" s="200"/>
      <c r="D135" s="151"/>
      <c r="E135" s="34"/>
      <c r="F135" s="34"/>
      <c r="G135" s="34"/>
      <c r="H135" s="34"/>
      <c r="I135" s="210"/>
      <c r="J135" s="39"/>
      <c r="K135" s="40"/>
      <c r="L135" s="154"/>
      <c r="M135" s="40"/>
      <c r="N135" s="40"/>
      <c r="O135" s="40"/>
      <c r="P135" s="40"/>
      <c r="Q135" s="40"/>
      <c r="R135" s="40"/>
      <c r="S135" s="40"/>
      <c r="T135" s="40"/>
      <c r="U135" s="40"/>
    </row>
    <row r="136" spans="1:21" ht="19.5">
      <c r="A136" s="150"/>
      <c r="B136" s="34"/>
      <c r="C136" s="211" t="s">
        <v>60</v>
      </c>
      <c r="D136" s="151"/>
      <c r="E136" s="34"/>
      <c r="F136" s="34"/>
      <c r="G136" s="37"/>
      <c r="H136" s="152" t="s">
        <v>61</v>
      </c>
      <c r="I136" s="721">
        <f ca="1">I154</f>
        <v>0</v>
      </c>
      <c r="J136" s="721">
        <f>J154</f>
        <v>0</v>
      </c>
      <c r="K136" s="720">
        <f ca="1">IF(I136&gt;0,J136*100/I136,0)</f>
        <v>0</v>
      </c>
      <c r="L136" s="154"/>
      <c r="M136" s="40"/>
      <c r="N136" s="40"/>
      <c r="O136" s="40"/>
      <c r="P136" s="40"/>
      <c r="Q136" s="40"/>
      <c r="R136" s="40"/>
      <c r="S136" s="40"/>
      <c r="T136" s="40"/>
      <c r="U136" s="40"/>
    </row>
    <row r="137" spans="1:21" ht="19.5">
      <c r="A137" s="150"/>
      <c r="B137" s="34"/>
      <c r="C137" s="211" t="s">
        <v>62</v>
      </c>
      <c r="D137" s="151"/>
      <c r="E137" s="34"/>
      <c r="F137" s="34"/>
      <c r="G137" s="37"/>
      <c r="H137" s="152" t="s">
        <v>35</v>
      </c>
      <c r="I137" s="721">
        <f ca="1">I152</f>
        <v>10</v>
      </c>
      <c r="J137" s="721">
        <f>J152</f>
        <v>10</v>
      </c>
      <c r="K137" s="720">
        <f ca="1">IF(I137&gt;0,J137*100/I137,0)</f>
        <v>100</v>
      </c>
      <c r="L137" s="154"/>
      <c r="M137" s="40"/>
      <c r="N137" s="40"/>
      <c r="O137" s="40"/>
      <c r="P137" s="40"/>
      <c r="Q137" s="40"/>
      <c r="R137" s="40"/>
      <c r="S137" s="40"/>
      <c r="T137" s="40"/>
      <c r="U137" s="40"/>
    </row>
    <row r="138" spans="1:21" ht="19.5">
      <c r="A138" s="150"/>
      <c r="B138" s="34"/>
      <c r="C138" s="200"/>
      <c r="D138" s="151"/>
      <c r="E138" s="34"/>
      <c r="F138" s="34"/>
      <c r="G138" s="37"/>
      <c r="H138" s="152" t="s">
        <v>54</v>
      </c>
      <c r="I138" s="721">
        <f ca="1">I153</f>
        <v>1</v>
      </c>
      <c r="J138" s="721">
        <f>J153</f>
        <v>1</v>
      </c>
      <c r="K138" s="720">
        <f ca="1">IF(I138&gt;0,J138*100/I138,0)</f>
        <v>100</v>
      </c>
      <c r="L138" s="154"/>
      <c r="M138" s="40"/>
      <c r="N138" s="40"/>
      <c r="O138" s="40"/>
      <c r="P138" s="40"/>
      <c r="Q138" s="40"/>
      <c r="R138" s="40"/>
      <c r="S138" s="40"/>
      <c r="T138" s="40"/>
      <c r="U138" s="40"/>
    </row>
    <row r="139" spans="1:21" ht="19.5">
      <c r="A139" s="155"/>
      <c r="B139" s="50"/>
      <c r="C139" s="156" t="s">
        <v>18</v>
      </c>
      <c r="D139" s="575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541">
        <f ca="1">L140+L141</f>
        <v>23300</v>
      </c>
      <c r="M139" s="540">
        <f ca="1">M140+M141</f>
        <v>18300</v>
      </c>
      <c r="N139" s="540">
        <f ca="1">N140+N141</f>
        <v>14255</v>
      </c>
      <c r="O139" s="540">
        <f ca="1">IF(L139&gt;0,N139*100/L139,0)</f>
        <v>61.180257510729611</v>
      </c>
      <c r="P139" s="540">
        <f ca="1">IF(M139&gt;0,N139*100/M139,0)</f>
        <v>77.896174863387984</v>
      </c>
      <c r="Q139" s="540">
        <f ca="1">Q140+Q141</f>
        <v>0</v>
      </c>
      <c r="R139" s="540">
        <f ca="1">R140+R141</f>
        <v>0</v>
      </c>
      <c r="S139" s="540">
        <f ca="1">S140+S141</f>
        <v>0</v>
      </c>
      <c r="T139" s="540">
        <f ca="1">IF(Q139&gt;0,S139*100/Q139,0)</f>
        <v>0</v>
      </c>
      <c r="U139" s="540">
        <f ca="1">IF(R139&gt;0,S139*100/R139,0)</f>
        <v>0</v>
      </c>
    </row>
    <row r="140" spans="1:21" ht="18.75" hidden="1">
      <c r="A140" s="155"/>
      <c r="B140" s="50"/>
      <c r="C140" s="50"/>
      <c r="D140" s="50"/>
      <c r="E140" s="186" t="s">
        <v>20</v>
      </c>
      <c r="F140" s="50"/>
      <c r="G140" s="52"/>
      <c r="H140" s="187" t="s">
        <v>14</v>
      </c>
      <c r="I140" s="54"/>
      <c r="J140" s="54"/>
      <c r="K140" s="55"/>
      <c r="L140" s="103">
        <f>L143+L146</f>
        <v>0</v>
      </c>
      <c r="M140" s="102">
        <f>M143+M146</f>
        <v>0</v>
      </c>
      <c r="N140" s="102">
        <f>N143+N146</f>
        <v>0</v>
      </c>
      <c r="O140" s="102">
        <f>IF(L140&gt;0,N140*100/L140,0)</f>
        <v>0</v>
      </c>
      <c r="P140" s="102">
        <f>IF(M140&gt;0,N140*100/M140,0)</f>
        <v>0</v>
      </c>
      <c r="Q140" s="102">
        <f>Q143+Q146</f>
        <v>0</v>
      </c>
      <c r="R140" s="102">
        <f>R143+R146</f>
        <v>0</v>
      </c>
      <c r="S140" s="102">
        <f>S143+S146</f>
        <v>0</v>
      </c>
      <c r="T140" s="102">
        <f>IF(Q140&gt;0,S140*100/Q140,0)</f>
        <v>0</v>
      </c>
      <c r="U140" s="102">
        <f>IF(R140&gt;0,S140*100/R140,0)</f>
        <v>0</v>
      </c>
    </row>
    <row r="141" spans="1:21" ht="18.75" hidden="1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256">
        <f ca="1">L144+L147</f>
        <v>23300</v>
      </c>
      <c r="M141" s="255">
        <f ca="1">M144+M147</f>
        <v>18300</v>
      </c>
      <c r="N141" s="255">
        <f ca="1">N144+N147</f>
        <v>14255</v>
      </c>
      <c r="O141" s="255">
        <f ca="1">IF(L141&gt;0,N141*100/L141,0)</f>
        <v>61.180257510729611</v>
      </c>
      <c r="P141" s="255">
        <f ca="1">IF(M141&gt;0,N141*100/M141,0)</f>
        <v>77.896174863387984</v>
      </c>
      <c r="Q141" s="255">
        <f ca="1">Q144+Q147</f>
        <v>0</v>
      </c>
      <c r="R141" s="255">
        <f ca="1">R144+R147</f>
        <v>0</v>
      </c>
      <c r="S141" s="255">
        <f ca="1">S144+S147</f>
        <v>0</v>
      </c>
      <c r="T141" s="255">
        <f ca="1">IF(Q141&gt;0,S141*100/Q141,0)</f>
        <v>0</v>
      </c>
      <c r="U141" s="255">
        <f ca="1">IF(R141&gt;0,S141*100/R141,0)</f>
        <v>0</v>
      </c>
    </row>
    <row r="142" spans="1:21" ht="18.75">
      <c r="A142" s="155"/>
      <c r="B142" s="50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256">
        <f ca="1">L143+L144</f>
        <v>23300</v>
      </c>
      <c r="M142" s="255">
        <f ca="1">M143+M144</f>
        <v>18300</v>
      </c>
      <c r="N142" s="255">
        <f ca="1">N143+N144</f>
        <v>14255</v>
      </c>
      <c r="O142" s="255">
        <f ca="1">IF(L142&gt;0,N142*100/L142,0)</f>
        <v>61.180257510729611</v>
      </c>
      <c r="P142" s="255">
        <f ca="1">IF(M142&gt;0,N142*100/M142,0)</f>
        <v>77.896174863387984</v>
      </c>
      <c r="Q142" s="255">
        <f ca="1">Q143+Q144</f>
        <v>0</v>
      </c>
      <c r="R142" s="255">
        <f ca="1">R143+R144</f>
        <v>0</v>
      </c>
      <c r="S142" s="255">
        <f ca="1">S143+S144</f>
        <v>0</v>
      </c>
      <c r="T142" s="255">
        <f ca="1">IF(Q142&gt;0,S142*100/Q142,0)</f>
        <v>0</v>
      </c>
      <c r="U142" s="255">
        <f ca="1">IF(R142&gt;0,S142*100/R142,0)</f>
        <v>0</v>
      </c>
    </row>
    <row r="143" spans="1:21" ht="18.75" hidden="1">
      <c r="A143" s="155"/>
      <c r="B143" s="50"/>
      <c r="C143" s="50"/>
      <c r="D143" s="50"/>
      <c r="E143" s="186" t="s">
        <v>36</v>
      </c>
      <c r="F143" s="50"/>
      <c r="G143" s="52"/>
      <c r="H143" s="189" t="s">
        <v>14</v>
      </c>
      <c r="I143" s="163"/>
      <c r="J143" s="163"/>
      <c r="K143" s="164"/>
      <c r="L143" s="103">
        <v>0</v>
      </c>
      <c r="M143" s="102">
        <v>0</v>
      </c>
      <c r="N143" s="102">
        <v>0</v>
      </c>
      <c r="O143" s="102">
        <f>IF(L143&gt;0,N143*100/L143,0)</f>
        <v>0</v>
      </c>
      <c r="P143" s="102">
        <f>IF(M143&gt;0,N143*100/M143,0)</f>
        <v>0</v>
      </c>
      <c r="Q143" s="102">
        <v>0</v>
      </c>
      <c r="R143" s="102">
        <v>0</v>
      </c>
      <c r="S143" s="102">
        <v>0</v>
      </c>
      <c r="T143" s="102">
        <f>IF(Q143&gt;0,S143*100/Q143,0)</f>
        <v>0</v>
      </c>
      <c r="U143" s="102">
        <f>IF(R143&gt;0,S143*100/R143,0)</f>
        <v>0</v>
      </c>
    </row>
    <row r="144" spans="1:21" ht="18.75" hidden="1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256">
        <f ca="1">IFERROR(__xludf.DUMMYFUNCTION("IMPORTRANGE(""https://docs.google.com/spreadsheets/d/1-uDff_7J0KD5mKrp0Vvzr7lt3OU09vwQwhkpOPPYv2Y/edit?usp=sharing"",""งบพรบ!BQ37"")"),23300)</f>
        <v>23300</v>
      </c>
      <c r="M144" s="255">
        <f ca="1">IFERROR(__xludf.DUMMYFUNCTION("IMPORTRANGE(""https://docs.google.com/spreadsheets/d/1-uDff_7J0KD5mKrp0Vvzr7lt3OU09vwQwhkpOPPYv2Y/edit?usp=sharing"",""งบพรบ!BV37"")"),18300)</f>
        <v>18300</v>
      </c>
      <c r="N144" s="255">
        <f ca="1">IFERROR(__xludf.DUMMYFUNCTION("IMPORTRANGE(""https://docs.google.com/spreadsheets/d/1-uDff_7J0KD5mKrp0Vvzr7lt3OU09vwQwhkpOPPYv2Y/edit?usp=sharing"",""งบพรบ!BX37"")"),14255)</f>
        <v>14255</v>
      </c>
      <c r="O144" s="255">
        <f ca="1">IF(L144&gt;0,N144*100/L144,0)</f>
        <v>61.180257510729611</v>
      </c>
      <c r="P144" s="255">
        <f ca="1">IF(M144&gt;0,N144*100/M144,0)</f>
        <v>77.896174863387984</v>
      </c>
      <c r="Q144" s="255">
        <f ca="1">IFERROR(__xludf.DUMMYFUNCTION("IMPORTRANGE(""https://docs.google.com/spreadsheets/d/1ItG2mGa2ceCfYo0BwxsXqNm01IGEUdYcSSLTEv9YCik/edit?usp=sharing"",""เบิกจ่ายกองทุน!BB37"")"),0)</f>
        <v>0</v>
      </c>
      <c r="R144" s="255">
        <f ca="1">IFERROR(__xludf.DUMMYFUNCTION("IMPORTRANGE(""https://docs.google.com/spreadsheets/d/1ItG2mGa2ceCfYo0BwxsXqNm01IGEUdYcSSLTEv9YCik/edit?usp=sharing"",""เบิกจ่ายกองทุน!BC37"")"),0)</f>
        <v>0</v>
      </c>
      <c r="S144" s="255">
        <f ca="1">IFERROR(__xludf.DUMMYFUNCTION("IMPORTRANGE(""https://docs.google.com/spreadsheets/d/1ItG2mGa2ceCfYo0BwxsXqNm01IGEUdYcSSLTEv9YCik/edit?usp=sharing"",""เบิกจ่ายกองทุน!BD37"")"),0)</f>
        <v>0</v>
      </c>
      <c r="T144" s="255">
        <f ca="1">IF(Q144&gt;0,S144*100/Q144,0)</f>
        <v>0</v>
      </c>
      <c r="U144" s="255">
        <f ca="1">IF(R144&gt;0,S144*100/R144,0)</f>
        <v>0</v>
      </c>
    </row>
    <row r="145" spans="1:21" ht="18.75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256">
        <f ca="1">L146+L147</f>
        <v>0</v>
      </c>
      <c r="M145" s="255">
        <f ca="1">M146+M147</f>
        <v>0</v>
      </c>
      <c r="N145" s="255">
        <f ca="1">N146+N147</f>
        <v>0</v>
      </c>
      <c r="O145" s="255">
        <f ca="1">IF(L145&gt;0,N145*100/L145,0)</f>
        <v>0</v>
      </c>
      <c r="P145" s="255">
        <f ca="1">IF(M145&gt;0,N145*100/M145,0)</f>
        <v>0</v>
      </c>
      <c r="Q145" s="255">
        <f>Q146+Q147</f>
        <v>0</v>
      </c>
      <c r="R145" s="255">
        <f>R146+R147</f>
        <v>0</v>
      </c>
      <c r="S145" s="255">
        <f>S146+S147</f>
        <v>0</v>
      </c>
      <c r="T145" s="255">
        <f>IF(Q145&gt;0,S145*100/Q145,0)</f>
        <v>0</v>
      </c>
      <c r="U145" s="255">
        <f>IF(R145&gt;0,S145*100/R145,0)</f>
        <v>0</v>
      </c>
    </row>
    <row r="146" spans="1:21" ht="18.75" hidden="1">
      <c r="A146" s="155"/>
      <c r="B146" s="50"/>
      <c r="C146" s="50"/>
      <c r="D146" s="50"/>
      <c r="E146" s="186" t="s">
        <v>20</v>
      </c>
      <c r="F146" s="50"/>
      <c r="G146" s="52"/>
      <c r="H146" s="189" t="s">
        <v>14</v>
      </c>
      <c r="I146" s="163"/>
      <c r="J146" s="163"/>
      <c r="K146" s="164"/>
      <c r="L146" s="103">
        <v>0</v>
      </c>
      <c r="M146" s="102">
        <v>0</v>
      </c>
      <c r="N146" s="102">
        <v>0</v>
      </c>
      <c r="O146" s="102">
        <f>IF(L146&gt;0,N146*100/L146,0)</f>
        <v>0</v>
      </c>
      <c r="P146" s="102">
        <f>IF(M146&gt;0,N146*100/M146,0)</f>
        <v>0</v>
      </c>
      <c r="Q146" s="102">
        <v>0</v>
      </c>
      <c r="R146" s="102">
        <v>0</v>
      </c>
      <c r="S146" s="102">
        <v>0</v>
      </c>
      <c r="T146" s="102">
        <f>IF(Q146&gt;0,S146*100/Q146,0)</f>
        <v>0</v>
      </c>
      <c r="U146" s="102">
        <f>IF(R146&gt;0,S146*100/R146,0)</f>
        <v>0</v>
      </c>
    </row>
    <row r="147" spans="1:21" ht="18.75" hidden="1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256">
        <f ca="1">IFERROR(__xludf.DUMMYFUNCTION("IMPORTRANGE(""https://docs.google.com/spreadsheets/d/1-uDff_7J0KD5mKrp0Vvzr7lt3OU09vwQwhkpOPPYv2Y/edit?usp=sharing"",""งบพรบ!BT37"")"),0)</f>
        <v>0</v>
      </c>
      <c r="M147" s="255">
        <f ca="1">IFERROR(__xludf.DUMMYFUNCTION("IMPORTRANGE(""https://docs.google.com/spreadsheets/d/1-uDff_7J0KD5mKrp0Vvzr7lt3OU09vwQwhkpOPPYv2Y/edit?usp=sharing"",""งบพรบ!BW37"")"),0)</f>
        <v>0</v>
      </c>
      <c r="N147" s="255">
        <f ca="1">IFERROR(__xludf.DUMMYFUNCTION("IMPORTRANGE(""https://docs.google.com/spreadsheets/d/1-uDff_7J0KD5mKrp0Vvzr7lt3OU09vwQwhkpOPPYv2Y/edit?usp=sharing"",""งบพรบ!BY37"")"),0)</f>
        <v>0</v>
      </c>
      <c r="O147" s="255">
        <f ca="1">IF(L147&gt;0,N147*100/L147,0)</f>
        <v>0</v>
      </c>
      <c r="P147" s="255">
        <f ca="1">IF(M147&gt;0,N147*100/M147,0)</f>
        <v>0</v>
      </c>
      <c r="Q147" s="255">
        <v>0</v>
      </c>
      <c r="R147" s="255">
        <v>0</v>
      </c>
      <c r="S147" s="255">
        <v>0</v>
      </c>
      <c r="T147" s="255">
        <f>IF(Q147&gt;0,S147*100/Q147,0)</f>
        <v>0</v>
      </c>
      <c r="U147" s="255">
        <f>IF(R147&gt;0,S147*100/R147,0)</f>
        <v>0</v>
      </c>
    </row>
    <row r="148" spans="1:21" ht="19.5">
      <c r="A148" s="166"/>
      <c r="B148" s="167"/>
      <c r="C148" s="156" t="s">
        <v>18</v>
      </c>
      <c r="D148" s="566" t="s">
        <v>38</v>
      </c>
      <c r="E148" s="169"/>
      <c r="F148" s="169"/>
      <c r="G148" s="170"/>
      <c r="H148" s="206"/>
      <c r="I148" s="54"/>
      <c r="J148" s="54"/>
      <c r="K148" s="55"/>
      <c r="L148" s="62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8.75">
      <c r="A149" s="155"/>
      <c r="B149" s="50"/>
      <c r="C149" s="50"/>
      <c r="D149" s="58" t="s">
        <v>63</v>
      </c>
      <c r="E149" s="50"/>
      <c r="F149" s="50"/>
      <c r="G149" s="52"/>
      <c r="H149" s="206"/>
      <c r="I149" s="54"/>
      <c r="J149" s="467">
        <v>0</v>
      </c>
      <c r="K149" s="55"/>
      <c r="L149" s="62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9.5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212">
        <f ca="1">IFERROR(__xludf.DUMMYFUNCTION("IMPORTRANGE(""https://docs.google.com/spreadsheets/d/1eHaY18a8A9IcSdp1K8H6x8fbOy06t2VsZHhMHf-1x7Y/edit?usp=sharing"",""แผน!U37"")"),0)</f>
        <v>0</v>
      </c>
      <c r="J150" s="467">
        <v>0</v>
      </c>
      <c r="K150" s="255">
        <f ca="1">IF(I150&gt;0,J150*100/I150,0)</f>
        <v>0</v>
      </c>
      <c r="L150" s="62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8.75">
      <c r="A151" s="155"/>
      <c r="B151" s="50"/>
      <c r="C151" s="50"/>
      <c r="D151" s="174"/>
      <c r="E151" s="50"/>
      <c r="F151" s="50"/>
      <c r="G151" s="52"/>
      <c r="H151" s="165" t="s">
        <v>54</v>
      </c>
      <c r="I151" s="212">
        <f ca="1">IFERROR(__xludf.DUMMYFUNCTION("IMPORTRANGE(""https://docs.google.com/spreadsheets/d/1eHaY18a8A9IcSdp1K8H6x8fbOy06t2VsZHhMHf-1x7Y/edit?usp=sharing"",""แผน!V37"")"),0)</f>
        <v>0</v>
      </c>
      <c r="J151" s="467">
        <v>0</v>
      </c>
      <c r="K151" s="255">
        <f ca="1">IF(I151&gt;0,J151*100/I151,0)</f>
        <v>0</v>
      </c>
      <c r="L151" s="62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9.5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212">
        <f ca="1">IFERROR(__xludf.DUMMYFUNCTION("IMPORTRANGE(""https://docs.google.com/spreadsheets/d/1eHaY18a8A9IcSdp1K8H6x8fbOy06t2VsZHhMHf-1x7Y/edit?usp=sharing"",""แผน!W37"")"),10)</f>
        <v>10</v>
      </c>
      <c r="J152" s="467">
        <v>10</v>
      </c>
      <c r="K152" s="255">
        <f ca="1">IF(I152&gt;0,J152*100/I152,0)</f>
        <v>100</v>
      </c>
      <c r="L152" s="62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8.75">
      <c r="A153" s="155"/>
      <c r="B153" s="50"/>
      <c r="C153" s="50"/>
      <c r="D153" s="50"/>
      <c r="E153" s="50"/>
      <c r="F153" s="50"/>
      <c r="G153" s="52"/>
      <c r="H153" s="165" t="s">
        <v>54</v>
      </c>
      <c r="I153" s="212">
        <f ca="1">IFERROR(__xludf.DUMMYFUNCTION("IMPORTRANGE(""https://docs.google.com/spreadsheets/d/1eHaY18a8A9IcSdp1K8H6x8fbOy06t2VsZHhMHf-1x7Y/edit?usp=sharing"",""แผน!X37"")"),1)</f>
        <v>1</v>
      </c>
      <c r="J153" s="467">
        <v>1</v>
      </c>
      <c r="K153" s="255">
        <f ca="1">IF(I153&gt;0,J153*100/I153,0)</f>
        <v>100</v>
      </c>
      <c r="L153" s="62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8.75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212">
        <f ca="1">IFERROR(__xludf.DUMMYFUNCTION("IMPORTRANGE(""https://docs.google.com/spreadsheets/d/1eHaY18a8A9IcSdp1K8H6x8fbOy06t2VsZHhMHf-1x7Y/edit?usp=sharing"",""แผน!Y37"")"),0)</f>
        <v>0</v>
      </c>
      <c r="J154" s="467">
        <v>0</v>
      </c>
      <c r="K154" s="255">
        <f ca="1">IF(I154&gt;0,J154*100/I154,0)</f>
        <v>0</v>
      </c>
      <c r="L154" s="62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9.5">
      <c r="A155" s="143" t="s">
        <v>67</v>
      </c>
      <c r="B155" s="144"/>
      <c r="C155" s="196"/>
      <c r="D155" s="144"/>
      <c r="E155" s="144"/>
      <c r="F155" s="144"/>
      <c r="G155" s="144"/>
      <c r="H155" s="144"/>
      <c r="I155" s="197"/>
      <c r="J155" s="197"/>
      <c r="K155" s="19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</row>
    <row r="156" spans="1:21" ht="19.5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721">
        <f ca="1">I167</f>
        <v>20</v>
      </c>
      <c r="J156" s="721">
        <f>J167</f>
        <v>20</v>
      </c>
      <c r="K156" s="720">
        <f ca="1">IF(I156&gt;0,J156*100/I156,0)</f>
        <v>100</v>
      </c>
      <c r="L156" s="154"/>
      <c r="M156" s="40"/>
      <c r="N156" s="40"/>
      <c r="O156" s="40"/>
      <c r="P156" s="40"/>
      <c r="Q156" s="40"/>
      <c r="R156" s="40"/>
      <c r="S156" s="40"/>
      <c r="T156" s="40"/>
      <c r="U156" s="40"/>
    </row>
    <row r="157" spans="1:21" ht="19.5">
      <c r="A157" s="155"/>
      <c r="B157" s="50"/>
      <c r="C157" s="156" t="s">
        <v>18</v>
      </c>
      <c r="D157" s="575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541">
        <f ca="1">L158+L159</f>
        <v>3000</v>
      </c>
      <c r="M157" s="540">
        <f ca="1">M158+M159</f>
        <v>8120</v>
      </c>
      <c r="N157" s="540">
        <f ca="1">N158+N159</f>
        <v>6480</v>
      </c>
      <c r="O157" s="540">
        <f ca="1">IF(L157&gt;0,N157*100/L157,0)</f>
        <v>216</v>
      </c>
      <c r="P157" s="540">
        <f ca="1">IF(M157&gt;0,N157*100/M157,0)</f>
        <v>79.802955665024626</v>
      </c>
      <c r="Q157" s="540">
        <f ca="1">Q158+Q159</f>
        <v>0</v>
      </c>
      <c r="R157" s="540">
        <f ca="1">R158+R159</f>
        <v>0</v>
      </c>
      <c r="S157" s="540">
        <f ca="1">S158+S159</f>
        <v>0</v>
      </c>
      <c r="T157" s="540">
        <f ca="1">IF(Q157&gt;0,S157*100/Q157,0)</f>
        <v>0</v>
      </c>
      <c r="U157" s="540">
        <f ca="1">IF(R157&gt;0,S157*100/R157,0)</f>
        <v>0</v>
      </c>
    </row>
    <row r="158" spans="1:21" ht="18.75" hidden="1">
      <c r="A158" s="155"/>
      <c r="B158" s="50"/>
      <c r="C158" s="50"/>
      <c r="D158" s="50"/>
      <c r="E158" s="186" t="s">
        <v>20</v>
      </c>
      <c r="F158" s="50"/>
      <c r="G158" s="52"/>
      <c r="H158" s="187" t="s">
        <v>14</v>
      </c>
      <c r="I158" s="54"/>
      <c r="J158" s="54"/>
      <c r="K158" s="55"/>
      <c r="L158" s="103">
        <f>L161+L164</f>
        <v>0</v>
      </c>
      <c r="M158" s="102">
        <f>M161+M164</f>
        <v>0</v>
      </c>
      <c r="N158" s="102">
        <f>N161+N164</f>
        <v>0</v>
      </c>
      <c r="O158" s="102">
        <f>IF(L158&gt;0,N158*100/L158,0)</f>
        <v>0</v>
      </c>
      <c r="P158" s="102">
        <f>IF(M158&gt;0,N158*100/M158,0)</f>
        <v>0</v>
      </c>
      <c r="Q158" s="102">
        <f>Q161+Q164</f>
        <v>0</v>
      </c>
      <c r="R158" s="102">
        <f>R161+R164</f>
        <v>0</v>
      </c>
      <c r="S158" s="102">
        <f>S161+S164</f>
        <v>0</v>
      </c>
      <c r="T158" s="102">
        <f>IF(Q158&gt;0,S158*100/Q158,0)</f>
        <v>0</v>
      </c>
      <c r="U158" s="102">
        <f>IF(R158&gt;0,S158*100/R158,0)</f>
        <v>0</v>
      </c>
    </row>
    <row r="159" spans="1:21" ht="18.75" hidden="1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256">
        <f ca="1">L162+L165</f>
        <v>3000</v>
      </c>
      <c r="M159" s="255">
        <f ca="1">M162+M165</f>
        <v>8120</v>
      </c>
      <c r="N159" s="255">
        <f ca="1">N162+N165</f>
        <v>6480</v>
      </c>
      <c r="O159" s="255">
        <f ca="1">IF(L159&gt;0,N159*100/L159,0)</f>
        <v>216</v>
      </c>
      <c r="P159" s="255">
        <f ca="1">IF(M159&gt;0,N159*100/M159,0)</f>
        <v>79.802955665024626</v>
      </c>
      <c r="Q159" s="255">
        <f ca="1">Q162+Q165</f>
        <v>0</v>
      </c>
      <c r="R159" s="255">
        <f ca="1">R162+R165</f>
        <v>0</v>
      </c>
      <c r="S159" s="255">
        <f ca="1">S162+S165</f>
        <v>0</v>
      </c>
      <c r="T159" s="255">
        <f ca="1">IF(Q159&gt;0,S159*100/Q159,0)</f>
        <v>0</v>
      </c>
      <c r="U159" s="255">
        <f ca="1">IF(R159&gt;0,S159*100/R159,0)</f>
        <v>0</v>
      </c>
    </row>
    <row r="160" spans="1:21" ht="18.75">
      <c r="A160" s="155"/>
      <c r="B160" s="50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256">
        <f ca="1">L161+L162</f>
        <v>3000</v>
      </c>
      <c r="M160" s="255">
        <f ca="1">M161+M162</f>
        <v>8120</v>
      </c>
      <c r="N160" s="255">
        <f ca="1">N161+N162</f>
        <v>6480</v>
      </c>
      <c r="O160" s="255">
        <f ca="1">IF(L160&gt;0,N160*100/L160,0)</f>
        <v>216</v>
      </c>
      <c r="P160" s="255">
        <f ca="1">IF(M160&gt;0,N160*100/M160,0)</f>
        <v>79.802955665024626</v>
      </c>
      <c r="Q160" s="255">
        <f ca="1">Q161+Q162</f>
        <v>0</v>
      </c>
      <c r="R160" s="255">
        <f ca="1">R161+R162</f>
        <v>0</v>
      </c>
      <c r="S160" s="255">
        <f ca="1">S161+S162</f>
        <v>0</v>
      </c>
      <c r="T160" s="255">
        <f ca="1">IF(Q160&gt;0,S160*100/Q160,0)</f>
        <v>0</v>
      </c>
      <c r="U160" s="255">
        <f ca="1">IF(R160&gt;0,S160*100/R160,0)</f>
        <v>0</v>
      </c>
    </row>
    <row r="161" spans="1:21" ht="18.75" hidden="1">
      <c r="A161" s="155"/>
      <c r="B161" s="50"/>
      <c r="C161" s="50"/>
      <c r="D161" s="50"/>
      <c r="E161" s="186" t="s">
        <v>36</v>
      </c>
      <c r="F161" s="50"/>
      <c r="G161" s="52"/>
      <c r="H161" s="189" t="s">
        <v>14</v>
      </c>
      <c r="I161" s="163"/>
      <c r="J161" s="163"/>
      <c r="K161" s="164"/>
      <c r="L161" s="103">
        <v>0</v>
      </c>
      <c r="M161" s="102">
        <v>0</v>
      </c>
      <c r="N161" s="102">
        <v>0</v>
      </c>
      <c r="O161" s="102">
        <f>IF(L161&gt;0,N161*100/L161,0)</f>
        <v>0</v>
      </c>
      <c r="P161" s="102">
        <f>IF(M161&gt;0,N161*100/M161,0)</f>
        <v>0</v>
      </c>
      <c r="Q161" s="102">
        <v>0</v>
      </c>
      <c r="R161" s="102">
        <v>0</v>
      </c>
      <c r="S161" s="102">
        <v>0</v>
      </c>
      <c r="T161" s="102">
        <f>IF(Q161&gt;0,S161*100/Q161,0)</f>
        <v>0</v>
      </c>
      <c r="U161" s="102">
        <f>IF(R161&gt;0,S161*100/R161,0)</f>
        <v>0</v>
      </c>
    </row>
    <row r="162" spans="1:21" ht="18.75" hidden="1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256">
        <f ca="1">IFERROR(__xludf.DUMMYFUNCTION("IMPORTRANGE(""https://docs.google.com/spreadsheets/d/1-uDff_7J0KD5mKrp0Vvzr7lt3OU09vwQwhkpOPPYv2Y/edit?usp=sharing"",""งบพรบ!CA37"")"),3000)</f>
        <v>3000</v>
      </c>
      <c r="M162" s="255">
        <f ca="1">IFERROR(__xludf.DUMMYFUNCTION("IMPORTRANGE(""https://docs.google.com/spreadsheets/d/1-uDff_7J0KD5mKrp0Vvzr7lt3OU09vwQwhkpOPPYv2Y/edit?usp=sharing"",""งบพรบ!CF37"")"),8120)</f>
        <v>8120</v>
      </c>
      <c r="N162" s="255">
        <f ca="1">IFERROR(__xludf.DUMMYFUNCTION("IMPORTRANGE(""https://docs.google.com/spreadsheets/d/1-uDff_7J0KD5mKrp0Vvzr7lt3OU09vwQwhkpOPPYv2Y/edit?usp=sharing"",""งบพรบ!CH37"")"),6480)</f>
        <v>6480</v>
      </c>
      <c r="O162" s="255">
        <f ca="1">IF(L162&gt;0,N162*100/L162,0)</f>
        <v>216</v>
      </c>
      <c r="P162" s="255">
        <f ca="1">IF(M162&gt;0,N162*100/M162,0)</f>
        <v>79.802955665024626</v>
      </c>
      <c r="Q162" s="255">
        <f ca="1">IFERROR(__xludf.DUMMYFUNCTION("IMPORTRANGE(""https://docs.google.com/spreadsheets/d/1ItG2mGa2ceCfYo0BwxsXqNm01IGEUdYcSSLTEv9YCik/edit?usp=sharing"",""เบิกจ่ายกองทุน!AG37"")"),0)</f>
        <v>0</v>
      </c>
      <c r="R162" s="255">
        <f ca="1">IFERROR(__xludf.DUMMYFUNCTION("IMPORTRANGE(""https://docs.google.com/spreadsheets/d/1ItG2mGa2ceCfYo0BwxsXqNm01IGEUdYcSSLTEv9YCik/edit?usp=sharing"",""เบิกจ่ายกองทุน!AH37"")"),0)</f>
        <v>0</v>
      </c>
      <c r="S162" s="255">
        <f ca="1">IFERROR(__xludf.DUMMYFUNCTION("IMPORTRANGE(""https://docs.google.com/spreadsheets/d/1ItG2mGa2ceCfYo0BwxsXqNm01IGEUdYcSSLTEv9YCik/edit?usp=sharing"",""เบิกจ่ายกองทุน!AI37"")"),0)</f>
        <v>0</v>
      </c>
      <c r="T162" s="255">
        <f ca="1">IF(Q162&gt;0,S162*100/Q162,0)</f>
        <v>0</v>
      </c>
      <c r="U162" s="255">
        <f ca="1">IF(R162&gt;0,S162*100/R162,0)</f>
        <v>0</v>
      </c>
    </row>
    <row r="163" spans="1:21" ht="18.75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256">
        <f ca="1">L164+L165</f>
        <v>0</v>
      </c>
      <c r="M163" s="255">
        <f ca="1">M164+M165</f>
        <v>0</v>
      </c>
      <c r="N163" s="255">
        <f ca="1">N164+N165</f>
        <v>0</v>
      </c>
      <c r="O163" s="255">
        <f ca="1">IF(L163&gt;0,N163*100/L163,0)</f>
        <v>0</v>
      </c>
      <c r="P163" s="255">
        <f ca="1">IF(M163&gt;0,N163*100/M163,0)</f>
        <v>0</v>
      </c>
      <c r="Q163" s="255">
        <f>Q164+Q165</f>
        <v>0</v>
      </c>
      <c r="R163" s="255">
        <f>R164+R165</f>
        <v>0</v>
      </c>
      <c r="S163" s="255">
        <f>S164+S165</f>
        <v>0</v>
      </c>
      <c r="T163" s="255">
        <f>IF(Q163&gt;0,S163*100/Q163,0)</f>
        <v>0</v>
      </c>
      <c r="U163" s="255">
        <f>IF(R163&gt;0,S163*100/R163,0)</f>
        <v>0</v>
      </c>
    </row>
    <row r="164" spans="1:21" ht="18.75" hidden="1">
      <c r="A164" s="155"/>
      <c r="B164" s="50"/>
      <c r="C164" s="50"/>
      <c r="D164" s="50"/>
      <c r="E164" s="186" t="s">
        <v>20</v>
      </c>
      <c r="F164" s="50"/>
      <c r="G164" s="52"/>
      <c r="H164" s="189" t="s">
        <v>14</v>
      </c>
      <c r="I164" s="163"/>
      <c r="J164" s="163"/>
      <c r="K164" s="164"/>
      <c r="L164" s="103">
        <v>0</v>
      </c>
      <c r="M164" s="102">
        <v>0</v>
      </c>
      <c r="N164" s="102">
        <v>0</v>
      </c>
      <c r="O164" s="102">
        <f>IF(L164&gt;0,N164*100/L164,0)</f>
        <v>0</v>
      </c>
      <c r="P164" s="102">
        <f>IF(M164&gt;0,N164*100/M164,0)</f>
        <v>0</v>
      </c>
      <c r="Q164" s="102">
        <v>0</v>
      </c>
      <c r="R164" s="102">
        <v>0</v>
      </c>
      <c r="S164" s="102">
        <v>0</v>
      </c>
      <c r="T164" s="102">
        <f>IF(Q164&gt;0,S164*100/Q164,0)</f>
        <v>0</v>
      </c>
      <c r="U164" s="102">
        <f>IF(R164&gt;0,S164*100/R164,0)</f>
        <v>0</v>
      </c>
    </row>
    <row r="165" spans="1:21" ht="18.75" hidden="1">
      <c r="A165" s="155"/>
      <c r="B165" s="50"/>
      <c r="C165" s="50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256">
        <f ca="1">IFERROR(__xludf.DUMMYFUNCTION("IMPORTRANGE(""https://docs.google.com/spreadsheets/d/1-uDff_7J0KD5mKrp0Vvzr7lt3OU09vwQwhkpOPPYv2Y/edit?usp=sharing"",""งบพรบ!CD37"")"),0)</f>
        <v>0</v>
      </c>
      <c r="M165" s="255">
        <f ca="1">IFERROR(__xludf.DUMMYFUNCTION("IMPORTRANGE(""https://docs.google.com/spreadsheets/d/1-uDff_7J0KD5mKrp0Vvzr7lt3OU09vwQwhkpOPPYv2Y/edit?usp=sharing"",""งบพรบ!CG37"")"),0)</f>
        <v>0</v>
      </c>
      <c r="N165" s="255">
        <f ca="1">IFERROR(__xludf.DUMMYFUNCTION("IMPORTRANGE(""https://docs.google.com/spreadsheets/d/1-uDff_7J0KD5mKrp0Vvzr7lt3OU09vwQwhkpOPPYv2Y/edit?usp=sharing"",""งบพรบ!CI37"")"),0)</f>
        <v>0</v>
      </c>
      <c r="O165" s="255">
        <f ca="1">IF(L165&gt;0,N165*100/L165,0)</f>
        <v>0</v>
      </c>
      <c r="P165" s="255">
        <f ca="1">IF(M165&gt;0,N165*100/M165,0)</f>
        <v>0</v>
      </c>
      <c r="Q165" s="255">
        <v>0</v>
      </c>
      <c r="R165" s="255">
        <v>0</v>
      </c>
      <c r="S165" s="255">
        <v>0</v>
      </c>
      <c r="T165" s="255">
        <f>IF(Q165&gt;0,S165*100/Q165,0)</f>
        <v>0</v>
      </c>
      <c r="U165" s="255">
        <f>IF(R165&gt;0,S165*100/R165,0)</f>
        <v>0</v>
      </c>
    </row>
    <row r="166" spans="1:21" ht="19.5">
      <c r="A166" s="166"/>
      <c r="B166" s="167"/>
      <c r="C166" s="156" t="s">
        <v>18</v>
      </c>
      <c r="D166" s="566" t="s">
        <v>38</v>
      </c>
      <c r="E166" s="169"/>
      <c r="F166" s="169"/>
      <c r="G166" s="170"/>
      <c r="H166" s="206"/>
      <c r="I166" s="54"/>
      <c r="J166" s="54"/>
      <c r="K166" s="55"/>
      <c r="L166" s="62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8.75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212">
        <f ca="1">IFERROR(__xludf.DUMMYFUNCTION("IMPORTRANGE(""https://docs.google.com/spreadsheets/d/1eHaY18a8A9IcSdp1K8H6x8fbOy06t2VsZHhMHf-1x7Y/edit?usp=sharing"",""แผน!Z37"")"),20)</f>
        <v>20</v>
      </c>
      <c r="J167" s="467">
        <v>20</v>
      </c>
      <c r="K167" s="255">
        <f ca="1">IF(I167&gt;0,J167*100/I167,0)</f>
        <v>100</v>
      </c>
      <c r="L167" s="62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8.75" hidden="1">
      <c r="A168" s="155"/>
      <c r="B168" s="50"/>
      <c r="C168" s="50"/>
      <c r="D168" s="186" t="s">
        <v>70</v>
      </c>
      <c r="E168" s="50"/>
      <c r="F168" s="50"/>
      <c r="G168" s="52"/>
      <c r="H168" s="421" t="s">
        <v>35</v>
      </c>
      <c r="I168" s="483">
        <f ca="1">I167</f>
        <v>20</v>
      </c>
      <c r="J168" s="589">
        <v>0</v>
      </c>
      <c r="K168" s="102">
        <f ca="1">IF(I168&gt;0,J168*100/I168,0)</f>
        <v>0</v>
      </c>
      <c r="L168" s="62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8.75" hidden="1">
      <c r="A169" s="213"/>
      <c r="B169" s="4"/>
      <c r="C169" s="4"/>
      <c r="D169" s="484" t="s">
        <v>71</v>
      </c>
      <c r="E169" s="4"/>
      <c r="F169" s="4"/>
      <c r="G169" s="65"/>
      <c r="H169" s="719" t="s">
        <v>35</v>
      </c>
      <c r="I169" s="486">
        <f ca="1">I167</f>
        <v>20</v>
      </c>
      <c r="J169" s="586">
        <v>0</v>
      </c>
      <c r="K169" s="585">
        <f ca="1">IF(I169&gt;0,J169*100/I169,0)</f>
        <v>0</v>
      </c>
      <c r="L169" s="68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9"/>
      <c r="I170" s="220"/>
      <c r="J170" s="220"/>
      <c r="K170" s="221"/>
      <c r="L170" s="221"/>
      <c r="M170" s="221"/>
      <c r="N170" s="221"/>
      <c r="O170" s="221"/>
      <c r="P170" s="222"/>
      <c r="Q170" s="221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226"/>
      <c r="I171" s="227"/>
      <c r="J171" s="227"/>
      <c r="K171" s="228"/>
      <c r="L171" s="229"/>
      <c r="M171" s="228"/>
      <c r="N171" s="228"/>
      <c r="O171" s="228"/>
      <c r="P171" s="228"/>
      <c r="Q171" s="228"/>
      <c r="R171" s="228"/>
      <c r="S171" s="228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233" t="s">
        <v>35</v>
      </c>
      <c r="I172" s="718">
        <f ca="1">I183+I184</f>
        <v>7</v>
      </c>
      <c r="J172" s="718">
        <f>J183+J184</f>
        <v>7</v>
      </c>
      <c r="K172" s="717">
        <f ca="1">IF(I172&gt;0,J172*100/I172,0)</f>
        <v>100</v>
      </c>
      <c r="L172" s="237"/>
      <c r="M172" s="236"/>
      <c r="N172" s="236"/>
      <c r="O172" s="236"/>
      <c r="P172" s="236"/>
      <c r="Q172" s="236"/>
      <c r="R172" s="236"/>
      <c r="S172" s="236"/>
      <c r="T172" s="236"/>
      <c r="U172" s="236"/>
    </row>
    <row r="173" spans="1:21" ht="19.5">
      <c r="A173" s="155"/>
      <c r="B173" s="50"/>
      <c r="C173" s="156" t="s">
        <v>18</v>
      </c>
      <c r="D173" s="575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541">
        <f ca="1">L174+L175</f>
        <v>19590</v>
      </c>
      <c r="M173" s="540">
        <f ca="1">M174+M175</f>
        <v>36340</v>
      </c>
      <c r="N173" s="540">
        <f ca="1">N174+N175</f>
        <v>34690</v>
      </c>
      <c r="O173" s="540">
        <f ca="1">IF(L173&gt;0,N173*100/L173,0)</f>
        <v>177.08014293006636</v>
      </c>
      <c r="P173" s="540">
        <f ca="1">IF(M173&gt;0,N173*100/M173,0)</f>
        <v>95.459548706659334</v>
      </c>
      <c r="Q173" s="540">
        <f ca="1">Q174+Q175</f>
        <v>0</v>
      </c>
      <c r="R173" s="540">
        <f ca="1">R174+R175</f>
        <v>0</v>
      </c>
      <c r="S173" s="540">
        <f ca="1">S174+S175</f>
        <v>0</v>
      </c>
      <c r="T173" s="540">
        <f ca="1">IF(Q173&gt;0,S173*100/Q173,0)</f>
        <v>0</v>
      </c>
      <c r="U173" s="540">
        <f ca="1">IF(R173&gt;0,S173*100/R173,0)</f>
        <v>0</v>
      </c>
    </row>
    <row r="174" spans="1:21" ht="18.75" hidden="1">
      <c r="A174" s="155"/>
      <c r="B174" s="50"/>
      <c r="C174" s="50"/>
      <c r="D174" s="50"/>
      <c r="E174" s="186" t="s">
        <v>20</v>
      </c>
      <c r="F174" s="50"/>
      <c r="G174" s="52"/>
      <c r="H174" s="187" t="s">
        <v>14</v>
      </c>
      <c r="I174" s="54"/>
      <c r="J174" s="54"/>
      <c r="K174" s="55"/>
      <c r="L174" s="103">
        <f>L177+L180</f>
        <v>0</v>
      </c>
      <c r="M174" s="102">
        <f>M177+M180</f>
        <v>0</v>
      </c>
      <c r="N174" s="102">
        <f>N177+N180</f>
        <v>0</v>
      </c>
      <c r="O174" s="102">
        <f>IF(L174&gt;0,N174*100/L174,0)</f>
        <v>0</v>
      </c>
      <c r="P174" s="102">
        <f>IF(M174&gt;0,N174*100/M174,0)</f>
        <v>0</v>
      </c>
      <c r="Q174" s="102">
        <f>Q177+Q180</f>
        <v>0</v>
      </c>
      <c r="R174" s="102">
        <f>R177+R180</f>
        <v>0</v>
      </c>
      <c r="S174" s="102">
        <f>S177+S180</f>
        <v>0</v>
      </c>
      <c r="T174" s="102">
        <f>IF(Q174&gt;0,S174*100/Q174,0)</f>
        <v>0</v>
      </c>
      <c r="U174" s="102">
        <f>IF(R174&gt;0,S174*100/R174,0)</f>
        <v>0</v>
      </c>
    </row>
    <row r="175" spans="1:21" ht="18.75" hidden="1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256">
        <f ca="1">L178+L181</f>
        <v>19590</v>
      </c>
      <c r="M175" s="255">
        <f ca="1">M178+M181</f>
        <v>36340</v>
      </c>
      <c r="N175" s="255">
        <f ca="1">N178+N181</f>
        <v>34690</v>
      </c>
      <c r="O175" s="255">
        <f ca="1">IF(L175&gt;0,N175*100/L175,0)</f>
        <v>177.08014293006636</v>
      </c>
      <c r="P175" s="255">
        <f ca="1">IF(M175&gt;0,N175*100/M175,0)</f>
        <v>95.459548706659334</v>
      </c>
      <c r="Q175" s="255">
        <f ca="1">Q178+Q181</f>
        <v>0</v>
      </c>
      <c r="R175" s="255">
        <f ca="1">R178+R181</f>
        <v>0</v>
      </c>
      <c r="S175" s="255">
        <f ca="1">S178+S181</f>
        <v>0</v>
      </c>
      <c r="T175" s="255">
        <f ca="1">IF(Q175&gt;0,S175*100/Q175,0)</f>
        <v>0</v>
      </c>
      <c r="U175" s="255">
        <f ca="1">IF(R175&gt;0,S175*100/R175,0)</f>
        <v>0</v>
      </c>
    </row>
    <row r="176" spans="1:21" ht="18.75">
      <c r="A176" s="155"/>
      <c r="B176" s="50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256">
        <f ca="1">L177+L178</f>
        <v>19590</v>
      </c>
      <c r="M176" s="255">
        <f ca="1">M177+M178</f>
        <v>36340</v>
      </c>
      <c r="N176" s="255">
        <f ca="1">N177+N178</f>
        <v>34690</v>
      </c>
      <c r="O176" s="255">
        <f ca="1">IF(L176&gt;0,N176*100/L176,0)</f>
        <v>177.08014293006636</v>
      </c>
      <c r="P176" s="255">
        <f ca="1">IF(M176&gt;0,N176*100/M176,0)</f>
        <v>95.459548706659334</v>
      </c>
      <c r="Q176" s="255">
        <f ca="1">Q177+Q178</f>
        <v>0</v>
      </c>
      <c r="R176" s="255">
        <f ca="1">R177+R178</f>
        <v>0</v>
      </c>
      <c r="S176" s="255">
        <f ca="1">S177+S178</f>
        <v>0</v>
      </c>
      <c r="T176" s="255">
        <f ca="1">IF(Q176&gt;0,S176*100/Q176,0)</f>
        <v>0</v>
      </c>
      <c r="U176" s="255">
        <f ca="1">IF(R176&gt;0,S176*100/R176,0)</f>
        <v>0</v>
      </c>
    </row>
    <row r="177" spans="1:21" ht="18.75" hidden="1">
      <c r="A177" s="155"/>
      <c r="B177" s="50"/>
      <c r="C177" s="50"/>
      <c r="D177" s="50"/>
      <c r="E177" s="186" t="s">
        <v>36</v>
      </c>
      <c r="F177" s="50"/>
      <c r="G177" s="52"/>
      <c r="H177" s="189" t="s">
        <v>14</v>
      </c>
      <c r="I177" s="163"/>
      <c r="J177" s="163"/>
      <c r="K177" s="164"/>
      <c r="L177" s="103">
        <v>0</v>
      </c>
      <c r="M177" s="102">
        <v>0</v>
      </c>
      <c r="N177" s="102">
        <v>0</v>
      </c>
      <c r="O177" s="102">
        <f>IF(L177&gt;0,N177*100/L177,0)</f>
        <v>0</v>
      </c>
      <c r="P177" s="102">
        <f>IF(M177&gt;0,N177*100/M177,0)</f>
        <v>0</v>
      </c>
      <c r="Q177" s="102">
        <v>0</v>
      </c>
      <c r="R177" s="102">
        <v>0</v>
      </c>
      <c r="S177" s="102">
        <v>0</v>
      </c>
      <c r="T177" s="102">
        <f>IF(Q177&gt;0,S177*100/Q177,0)</f>
        <v>0</v>
      </c>
      <c r="U177" s="102">
        <f>IF(R177&gt;0,S177*100/R177,0)</f>
        <v>0</v>
      </c>
    </row>
    <row r="178" spans="1:21" ht="18.75" hidden="1">
      <c r="A178" s="155"/>
      <c r="B178" s="50"/>
      <c r="C178" s="50"/>
      <c r="D178" s="50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256">
        <f ca="1">IFERROR(__xludf.DUMMYFUNCTION("IMPORTRANGE(""https://docs.google.com/spreadsheets/d/1-uDff_7J0KD5mKrp0Vvzr7lt3OU09vwQwhkpOPPYv2Y/edit?usp=sharing"",""งบพรบ!CK37"")"),19590)</f>
        <v>19590</v>
      </c>
      <c r="M178" s="255">
        <f ca="1">IFERROR(__xludf.DUMMYFUNCTION("IMPORTRANGE(""https://docs.google.com/spreadsheets/d/1-uDff_7J0KD5mKrp0Vvzr7lt3OU09vwQwhkpOPPYv2Y/edit?usp=sharing"",""งบพรบ!CP37"")"),36340)</f>
        <v>36340</v>
      </c>
      <c r="N178" s="255">
        <f ca="1">IFERROR(__xludf.DUMMYFUNCTION("IMPORTRANGE(""https://docs.google.com/spreadsheets/d/1-uDff_7J0KD5mKrp0Vvzr7lt3OU09vwQwhkpOPPYv2Y/edit?usp=sharing"",""งบพรบ!CR37"")"),34690)</f>
        <v>34690</v>
      </c>
      <c r="O178" s="255">
        <f ca="1">IF(L178&gt;0,N178*100/L178,0)</f>
        <v>177.08014293006636</v>
      </c>
      <c r="P178" s="255">
        <f ca="1">IF(M178&gt;0,N178*100/M178,0)</f>
        <v>95.459548706659334</v>
      </c>
      <c r="Q178" s="255">
        <f ca="1">IFERROR(__xludf.DUMMYFUNCTION("IMPORTRANGE(""https://docs.google.com/spreadsheets/d/1ItG2mGa2ceCfYo0BwxsXqNm01IGEUdYcSSLTEv9YCik/edit?usp=sharing"",""เบิกจ่ายกองทุน!BE37"")"),0)</f>
        <v>0</v>
      </c>
      <c r="R178" s="255">
        <f ca="1">IFERROR(__xludf.DUMMYFUNCTION("IMPORTRANGE(""https://docs.google.com/spreadsheets/d/1ItG2mGa2ceCfYo0BwxsXqNm01IGEUdYcSSLTEv9YCik/edit?usp=sharing"",""เบิกจ่ายกองทุน!BF37"")"),0)</f>
        <v>0</v>
      </c>
      <c r="S178" s="255">
        <f ca="1">IFERROR(__xludf.DUMMYFUNCTION("IMPORTRANGE(""https://docs.google.com/spreadsheets/d/1ItG2mGa2ceCfYo0BwxsXqNm01IGEUdYcSSLTEv9YCik/edit?usp=sharing"",""เบิกจ่ายกองทุน!BG37"")"),0)</f>
        <v>0</v>
      </c>
      <c r="T178" s="255">
        <f ca="1">IF(Q178&gt;0,S178*100/Q178,0)</f>
        <v>0</v>
      </c>
      <c r="U178" s="255">
        <f ca="1">IF(R178&gt;0,S178*100/R178,0)</f>
        <v>0</v>
      </c>
    </row>
    <row r="179" spans="1:21" ht="18.75">
      <c r="A179" s="155"/>
      <c r="B179" s="50"/>
      <c r="C179" s="50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256">
        <f ca="1">L180+L181</f>
        <v>0</v>
      </c>
      <c r="M179" s="255">
        <f ca="1">M180+M181</f>
        <v>0</v>
      </c>
      <c r="N179" s="255">
        <f ca="1">N180+N181</f>
        <v>0</v>
      </c>
      <c r="O179" s="255">
        <f ca="1">IF(L179&gt;0,N179*100/L179,0)</f>
        <v>0</v>
      </c>
      <c r="P179" s="255">
        <f ca="1">IF(M179&gt;0,N179*100/M179,0)</f>
        <v>0</v>
      </c>
      <c r="Q179" s="255">
        <f>Q180+Q181</f>
        <v>0</v>
      </c>
      <c r="R179" s="255">
        <f>R180+R181</f>
        <v>0</v>
      </c>
      <c r="S179" s="255">
        <f>S180+S181</f>
        <v>0</v>
      </c>
      <c r="T179" s="255">
        <f>IF(Q179&gt;0,S179*100/Q179,0)</f>
        <v>0</v>
      </c>
      <c r="U179" s="255">
        <f>IF(R179&gt;0,S179*100/R179,0)</f>
        <v>0</v>
      </c>
    </row>
    <row r="180" spans="1:21" ht="18.75" hidden="1">
      <c r="A180" s="155"/>
      <c r="B180" s="50"/>
      <c r="C180" s="50"/>
      <c r="D180" s="50"/>
      <c r="E180" s="186" t="s">
        <v>20</v>
      </c>
      <c r="F180" s="50"/>
      <c r="G180" s="52"/>
      <c r="H180" s="189" t="s">
        <v>14</v>
      </c>
      <c r="I180" s="163"/>
      <c r="J180" s="163"/>
      <c r="K180" s="164"/>
      <c r="L180" s="103">
        <v>0</v>
      </c>
      <c r="M180" s="102">
        <v>0</v>
      </c>
      <c r="N180" s="102">
        <v>0</v>
      </c>
      <c r="O180" s="102">
        <f>IF(L180&gt;0,N180*100/L180,0)</f>
        <v>0</v>
      </c>
      <c r="P180" s="102">
        <f>IF(M180&gt;0,N180*100/M180,0)</f>
        <v>0</v>
      </c>
      <c r="Q180" s="102">
        <v>0</v>
      </c>
      <c r="R180" s="102">
        <v>0</v>
      </c>
      <c r="S180" s="102">
        <v>0</v>
      </c>
      <c r="T180" s="102">
        <f>IF(Q180&gt;0,S180*100/Q180,0)</f>
        <v>0</v>
      </c>
      <c r="U180" s="102">
        <f>IF(R180&gt;0,S180*100/R180,0)</f>
        <v>0</v>
      </c>
    </row>
    <row r="181" spans="1:21" ht="18.75" hidden="1">
      <c r="A181" s="155"/>
      <c r="B181" s="50"/>
      <c r="C181" s="50"/>
      <c r="D181" s="50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256">
        <f ca="1">IFERROR(__xludf.DUMMYFUNCTION("IMPORTRANGE(""https://docs.google.com/spreadsheets/d/1-uDff_7J0KD5mKrp0Vvzr7lt3OU09vwQwhkpOPPYv2Y/edit?usp=sharing"",""งบพรบ!CN37"")"),0)</f>
        <v>0</v>
      </c>
      <c r="M181" s="255">
        <f ca="1">IFERROR(__xludf.DUMMYFUNCTION("IMPORTRANGE(""https://docs.google.com/spreadsheets/d/1-uDff_7J0KD5mKrp0Vvzr7lt3OU09vwQwhkpOPPYv2Y/edit?usp=sharing"",""งบพรบ!CQ37"")"),0)</f>
        <v>0</v>
      </c>
      <c r="N181" s="255">
        <f ca="1">IFERROR(__xludf.DUMMYFUNCTION("IMPORTRANGE(""https://docs.google.com/spreadsheets/d/1-uDff_7J0KD5mKrp0Vvzr7lt3OU09vwQwhkpOPPYv2Y/edit?usp=sharing"",""งบพรบ!CS37"")"),0)</f>
        <v>0</v>
      </c>
      <c r="O181" s="255">
        <f ca="1">IF(L181&gt;0,N181*100/L181,0)</f>
        <v>0</v>
      </c>
      <c r="P181" s="255">
        <f ca="1">IF(M181&gt;0,N181*100/M181,0)</f>
        <v>0</v>
      </c>
      <c r="Q181" s="255">
        <v>0</v>
      </c>
      <c r="R181" s="255">
        <v>0</v>
      </c>
      <c r="S181" s="255">
        <v>0</v>
      </c>
      <c r="T181" s="255">
        <f>IF(Q181&gt;0,S181*100/Q181,0)</f>
        <v>0</v>
      </c>
      <c r="U181" s="255">
        <f>IF(R181&gt;0,S181*100/R181,0)</f>
        <v>0</v>
      </c>
    </row>
    <row r="182" spans="1:21" ht="19.5">
      <c r="A182" s="166"/>
      <c r="B182" s="167"/>
      <c r="C182" s="156" t="s">
        <v>18</v>
      </c>
      <c r="D182" s="566" t="s">
        <v>38</v>
      </c>
      <c r="E182" s="169"/>
      <c r="F182" s="169"/>
      <c r="G182" s="170"/>
      <c r="H182" s="206"/>
      <c r="I182" s="54"/>
      <c r="J182" s="54"/>
      <c r="K182" s="55"/>
      <c r="L182" s="62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40" t="s">
        <v>35</v>
      </c>
      <c r="I183" s="212">
        <f ca="1">IFERROR(__xludf.DUMMYFUNCTION("IMPORTRANGE(""https://docs.google.com/spreadsheets/d/1eHaY18a8A9IcSdp1K8H6x8fbOy06t2VsZHhMHf-1x7Y/edit?usp=sharing"",""แผน!AA37"")"),7)</f>
        <v>7</v>
      </c>
      <c r="J183" s="467">
        <v>7</v>
      </c>
      <c r="K183" s="255">
        <f ca="1">IF(I183&gt;0,J183*100/I183,0)</f>
        <v>100</v>
      </c>
      <c r="L183" s="62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8.75" hidden="1">
      <c r="A184" s="238"/>
      <c r="B184" s="188"/>
      <c r="C184" s="188"/>
      <c r="D184" s="358" t="s">
        <v>76</v>
      </c>
      <c r="E184" s="50"/>
      <c r="F184" s="50"/>
      <c r="G184" s="52"/>
      <c r="H184" s="590" t="s">
        <v>35</v>
      </c>
      <c r="I184" s="483">
        <v>0</v>
      </c>
      <c r="J184" s="483">
        <v>0</v>
      </c>
      <c r="K184" s="102">
        <f>IF(I184&gt;0,J184*100/I184,0)</f>
        <v>0</v>
      </c>
      <c r="L184" s="62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233" t="s">
        <v>35</v>
      </c>
      <c r="I185" s="718">
        <f ca="1">I230+I231</f>
        <v>0</v>
      </c>
      <c r="J185" s="718">
        <f>J230+J231</f>
        <v>0</v>
      </c>
      <c r="K185" s="717">
        <f ca="1">IF(I185&gt;0,J185*100/I185,0)</f>
        <v>0</v>
      </c>
      <c r="L185" s="237"/>
      <c r="M185" s="236"/>
      <c r="N185" s="236"/>
      <c r="O185" s="236"/>
      <c r="P185" s="236"/>
      <c r="Q185" s="236"/>
      <c r="R185" s="236"/>
      <c r="S185" s="236"/>
      <c r="T185" s="236"/>
      <c r="U185" s="236"/>
    </row>
    <row r="186" spans="1:21" ht="19.5">
      <c r="A186" s="155"/>
      <c r="B186" s="50"/>
      <c r="C186" s="156" t="s">
        <v>18</v>
      </c>
      <c r="D186" s="575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541">
        <f ca="1">L187+L188</f>
        <v>163500</v>
      </c>
      <c r="M186" s="540">
        <f ca="1">M187+M188</f>
        <v>131500</v>
      </c>
      <c r="N186" s="540">
        <f ca="1">N187+N188</f>
        <v>59613</v>
      </c>
      <c r="O186" s="540">
        <f ca="1">IF(L186&gt;0,N186*100/L186,0)</f>
        <v>36.460550458715595</v>
      </c>
      <c r="P186" s="540">
        <f ca="1">IF(M186&gt;0,N186*100/M186,0)</f>
        <v>45.333079847908742</v>
      </c>
      <c r="Q186" s="540">
        <f ca="1">Q187+Q188</f>
        <v>127400</v>
      </c>
      <c r="R186" s="540">
        <f ca="1">R187+R188</f>
        <v>127400</v>
      </c>
      <c r="S186" s="540">
        <f ca="1">S187+S188</f>
        <v>0</v>
      </c>
      <c r="T186" s="540">
        <f ca="1">IF(Q186&gt;0,S186*100/Q186,0)</f>
        <v>0</v>
      </c>
      <c r="U186" s="540">
        <f ca="1">IF(R186&gt;0,S186*100/R186,0)</f>
        <v>0</v>
      </c>
    </row>
    <row r="187" spans="1:21" ht="18.75" hidden="1">
      <c r="A187" s="155"/>
      <c r="B187" s="50"/>
      <c r="C187" s="50"/>
      <c r="D187" s="50"/>
      <c r="E187" s="186" t="s">
        <v>20</v>
      </c>
      <c r="F187" s="50"/>
      <c r="G187" s="52"/>
      <c r="H187" s="187" t="s">
        <v>14</v>
      </c>
      <c r="I187" s="54"/>
      <c r="J187" s="54"/>
      <c r="K187" s="55"/>
      <c r="L187" s="103">
        <f>L190+L193</f>
        <v>0</v>
      </c>
      <c r="M187" s="102">
        <f>M190+M193</f>
        <v>0</v>
      </c>
      <c r="N187" s="102">
        <f>N190+N193</f>
        <v>0</v>
      </c>
      <c r="O187" s="102">
        <f>IF(L187&gt;0,N187*100/L187,0)</f>
        <v>0</v>
      </c>
      <c r="P187" s="102">
        <f>IF(M187&gt;0,N187*100/M187,0)</f>
        <v>0</v>
      </c>
      <c r="Q187" s="102">
        <f>Q190+Q193</f>
        <v>0</v>
      </c>
      <c r="R187" s="102">
        <f>R190+R193</f>
        <v>0</v>
      </c>
      <c r="S187" s="102">
        <f>S190+S193</f>
        <v>0</v>
      </c>
      <c r="T187" s="102">
        <f>IF(Q187&gt;0,S187*100/Q187,0)</f>
        <v>0</v>
      </c>
      <c r="U187" s="102">
        <f>IF(R187&gt;0,S187*100/R187,0)</f>
        <v>0</v>
      </c>
    </row>
    <row r="188" spans="1:21" ht="18.75" hidden="1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256">
        <f ca="1">L191+L194</f>
        <v>163500</v>
      </c>
      <c r="M188" s="255">
        <f ca="1">M191+M194</f>
        <v>131500</v>
      </c>
      <c r="N188" s="255">
        <f ca="1">N191+N194</f>
        <v>59613</v>
      </c>
      <c r="O188" s="255">
        <f ca="1">IF(L188&gt;0,N188*100/L188,0)</f>
        <v>36.460550458715595</v>
      </c>
      <c r="P188" s="255">
        <f ca="1">IF(M188&gt;0,N188*100/M188,0)</f>
        <v>45.333079847908742</v>
      </c>
      <c r="Q188" s="255">
        <f ca="1">Q191+Q194</f>
        <v>127400</v>
      </c>
      <c r="R188" s="255">
        <f ca="1">R191+R194</f>
        <v>127400</v>
      </c>
      <c r="S188" s="255">
        <f ca="1">S191+S194</f>
        <v>0</v>
      </c>
      <c r="T188" s="255">
        <f ca="1">IF(Q188&gt;0,S188*100/Q188,0)</f>
        <v>0</v>
      </c>
      <c r="U188" s="255">
        <f ca="1">IF(R188&gt;0,S188*100/R188,0)</f>
        <v>0</v>
      </c>
    </row>
    <row r="189" spans="1:21" ht="18.75">
      <c r="A189" s="155"/>
      <c r="B189" s="50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256">
        <f ca="1">L190+L191</f>
        <v>163500</v>
      </c>
      <c r="M189" s="255">
        <f ca="1">M190+M191</f>
        <v>131500</v>
      </c>
      <c r="N189" s="255">
        <f ca="1">N190+N191</f>
        <v>59613</v>
      </c>
      <c r="O189" s="255">
        <f ca="1">IF(L189&gt;0,N189*100/L189,0)</f>
        <v>36.460550458715595</v>
      </c>
      <c r="P189" s="255">
        <f ca="1">IF(M189&gt;0,N189*100/M189,0)</f>
        <v>45.333079847908742</v>
      </c>
      <c r="Q189" s="255">
        <f ca="1">Q190+Q191</f>
        <v>127400</v>
      </c>
      <c r="R189" s="255">
        <f ca="1">R190+R191</f>
        <v>127400</v>
      </c>
      <c r="S189" s="255">
        <f ca="1">S190+S191</f>
        <v>0</v>
      </c>
      <c r="T189" s="255">
        <f ca="1">IF(Q189&gt;0,S189*100/Q189,0)</f>
        <v>0</v>
      </c>
      <c r="U189" s="255">
        <f ca="1">IF(R189&gt;0,S189*100/R189,0)</f>
        <v>0</v>
      </c>
    </row>
    <row r="190" spans="1:21" ht="18.75" hidden="1">
      <c r="A190" s="155"/>
      <c r="B190" s="50"/>
      <c r="C190" s="50"/>
      <c r="D190" s="50"/>
      <c r="E190" s="186" t="s">
        <v>36</v>
      </c>
      <c r="F190" s="50"/>
      <c r="G190" s="52"/>
      <c r="H190" s="189" t="s">
        <v>14</v>
      </c>
      <c r="I190" s="163"/>
      <c r="J190" s="163"/>
      <c r="K190" s="164"/>
      <c r="L190" s="103">
        <v>0</v>
      </c>
      <c r="M190" s="102">
        <v>0</v>
      </c>
      <c r="N190" s="102">
        <v>0</v>
      </c>
      <c r="O190" s="102">
        <f>IF(L190&gt;0,N190*100/L190,0)</f>
        <v>0</v>
      </c>
      <c r="P190" s="102">
        <f>IF(M190&gt;0,N190*100/M190,0)</f>
        <v>0</v>
      </c>
      <c r="Q190" s="102">
        <v>0</v>
      </c>
      <c r="R190" s="102">
        <v>0</v>
      </c>
      <c r="S190" s="102">
        <v>0</v>
      </c>
      <c r="T190" s="102">
        <f>IF(Q190&gt;0,S190*100/Q190,0)</f>
        <v>0</v>
      </c>
      <c r="U190" s="102">
        <f>IF(R190&gt;0,S190*100/R190,0)</f>
        <v>0</v>
      </c>
    </row>
    <row r="191" spans="1:21" ht="18.75" hidden="1">
      <c r="A191" s="155"/>
      <c r="B191" s="50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256">
        <f ca="1">IFERROR(__xludf.DUMMYFUNCTION("IMPORTRANGE(""https://docs.google.com/spreadsheets/d/1-uDff_7J0KD5mKrp0Vvzr7lt3OU09vwQwhkpOPPYv2Y/edit?usp=sharing"",""งบพรบ!CU37"")"),163500)</f>
        <v>163500</v>
      </c>
      <c r="M191" s="255">
        <f ca="1">IFERROR(__xludf.DUMMYFUNCTION("IMPORTRANGE(""https://docs.google.com/spreadsheets/d/1-uDff_7J0KD5mKrp0Vvzr7lt3OU09vwQwhkpOPPYv2Y/edit?usp=sharing"",""งบพรบ!CZ37"")"),131500)</f>
        <v>131500</v>
      </c>
      <c r="N191" s="255">
        <f ca="1">IFERROR(__xludf.DUMMYFUNCTION("IMPORTRANGE(""https://docs.google.com/spreadsheets/d/1-uDff_7J0KD5mKrp0Vvzr7lt3OU09vwQwhkpOPPYv2Y/edit?usp=sharing"",""งบพรบ!DB37"")"),59613)</f>
        <v>59613</v>
      </c>
      <c r="O191" s="255">
        <f ca="1">IF(L191&gt;0,N191*100/L191,0)</f>
        <v>36.460550458715595</v>
      </c>
      <c r="P191" s="255">
        <f ca="1">IF(M191&gt;0,N191*100/M191,0)</f>
        <v>45.333079847908742</v>
      </c>
      <c r="Q191" s="255">
        <f ca="1">IFERROR(__xludf.DUMMYFUNCTION("IMPORTRANGE(""https://docs.google.com/spreadsheets/d/1ItG2mGa2ceCfYo0BwxsXqNm01IGEUdYcSSLTEv9YCik/edit?usp=sharing"",""เบิกจ่ายกองทุน!AV37"")"),127400)</f>
        <v>127400</v>
      </c>
      <c r="R191" s="255">
        <f ca="1">IFERROR(__xludf.DUMMYFUNCTION("IMPORTRANGE(""https://docs.google.com/spreadsheets/d/1ItG2mGa2ceCfYo0BwxsXqNm01IGEUdYcSSLTEv9YCik/edit?usp=sharing"",""เบิกจ่ายกองทุน!AW37"")"),127400)</f>
        <v>127400</v>
      </c>
      <c r="S191" s="255">
        <f ca="1">IFERROR(__xludf.DUMMYFUNCTION("IMPORTRANGE(""https://docs.google.com/spreadsheets/d/1ItG2mGa2ceCfYo0BwxsXqNm01IGEUdYcSSLTEv9YCik/edit?usp=sharing"",""เบิกจ่ายกองทุน!AX37"")"),0)</f>
        <v>0</v>
      </c>
      <c r="T191" s="255">
        <f ca="1">IF(Q191&gt;0,S191*100/Q191,0)</f>
        <v>0</v>
      </c>
      <c r="U191" s="255">
        <f ca="1">IF(R191&gt;0,S191*100/R191,0)</f>
        <v>0</v>
      </c>
    </row>
    <row r="192" spans="1:21" ht="18.75">
      <c r="A192" s="155"/>
      <c r="B192" s="50"/>
      <c r="C192" s="50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256">
        <f ca="1">L193+L194</f>
        <v>0</v>
      </c>
      <c r="M192" s="255">
        <f ca="1">M193+M194</f>
        <v>0</v>
      </c>
      <c r="N192" s="255">
        <f ca="1">N193+N194</f>
        <v>0</v>
      </c>
      <c r="O192" s="255">
        <f ca="1">IF(L192&gt;0,N192*100/L192,0)</f>
        <v>0</v>
      </c>
      <c r="P192" s="255">
        <f ca="1">IF(M192&gt;0,N192*100/M192,0)</f>
        <v>0</v>
      </c>
      <c r="Q192" s="255">
        <f>Q193+Q194</f>
        <v>0</v>
      </c>
      <c r="R192" s="255">
        <f>R193+R194</f>
        <v>0</v>
      </c>
      <c r="S192" s="255">
        <f>S193+S194</f>
        <v>0</v>
      </c>
      <c r="T192" s="255">
        <f>IF(Q192&gt;0,S192*100/Q192,0)</f>
        <v>0</v>
      </c>
      <c r="U192" s="255">
        <f>IF(R192&gt;0,S192*100/R192,0)</f>
        <v>0</v>
      </c>
    </row>
    <row r="193" spans="1:21" ht="18.75" hidden="1">
      <c r="A193" s="155"/>
      <c r="B193" s="50"/>
      <c r="C193" s="50"/>
      <c r="D193" s="50"/>
      <c r="E193" s="186" t="s">
        <v>20</v>
      </c>
      <c r="F193" s="50"/>
      <c r="G193" s="52"/>
      <c r="H193" s="189" t="s">
        <v>14</v>
      </c>
      <c r="I193" s="163"/>
      <c r="J193" s="163"/>
      <c r="K193" s="164"/>
      <c r="L193" s="103">
        <v>0</v>
      </c>
      <c r="M193" s="102">
        <v>0</v>
      </c>
      <c r="N193" s="102">
        <v>0</v>
      </c>
      <c r="O193" s="102">
        <f>IF(L193&gt;0,N193*100/L193,0)</f>
        <v>0</v>
      </c>
      <c r="P193" s="102">
        <f>IF(M193&gt;0,N193*100/M193,0)</f>
        <v>0</v>
      </c>
      <c r="Q193" s="102">
        <v>0</v>
      </c>
      <c r="R193" s="102">
        <v>0</v>
      </c>
      <c r="S193" s="102">
        <v>0</v>
      </c>
      <c r="T193" s="102">
        <f>IF(Q193&gt;0,S193*100/Q193,0)</f>
        <v>0</v>
      </c>
      <c r="U193" s="102">
        <f>IF(R193&gt;0,S193*100/R193,0)</f>
        <v>0</v>
      </c>
    </row>
    <row r="194" spans="1:21" ht="18.75" hidden="1">
      <c r="A194" s="155"/>
      <c r="B194" s="50"/>
      <c r="C194" s="50"/>
      <c r="D194" s="50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256">
        <f ca="1">IFERROR(__xludf.DUMMYFUNCTION("IMPORTRANGE(""https://docs.google.com/spreadsheets/d/1-uDff_7J0KD5mKrp0Vvzr7lt3OU09vwQwhkpOPPYv2Y/edit?usp=sharing"",""งบพรบ!CX37"")"),0)</f>
        <v>0</v>
      </c>
      <c r="M194" s="255">
        <f ca="1">IFERROR(__xludf.DUMMYFUNCTION("IMPORTRANGE(""https://docs.google.com/spreadsheets/d/1-uDff_7J0KD5mKrp0Vvzr7lt3OU09vwQwhkpOPPYv2Y/edit?usp=sharing"",""งบพรบ!DA37"")"),0)</f>
        <v>0</v>
      </c>
      <c r="N194" s="255">
        <f ca="1">IFERROR(__xludf.DUMMYFUNCTION("IMPORTRANGE(""https://docs.google.com/spreadsheets/d/1-uDff_7J0KD5mKrp0Vvzr7lt3OU09vwQwhkpOPPYv2Y/edit?usp=sharing"",""งบพรบ!DC37"")"),0)</f>
        <v>0</v>
      </c>
      <c r="O194" s="255">
        <f ca="1">IF(L194&gt;0,N194*100/L194,0)</f>
        <v>0</v>
      </c>
      <c r="P194" s="255">
        <f ca="1">IF(M194&gt;0,N194*100/M194,0)</f>
        <v>0</v>
      </c>
      <c r="Q194" s="255">
        <v>0</v>
      </c>
      <c r="R194" s="255">
        <v>0</v>
      </c>
      <c r="S194" s="255">
        <v>0</v>
      </c>
      <c r="T194" s="255">
        <f>IF(Q194&gt;0,S194*100/Q194,0)</f>
        <v>0</v>
      </c>
      <c r="U194" s="255">
        <f>IF(R194&gt;0,S194*100/R194,0)</f>
        <v>0</v>
      </c>
    </row>
    <row r="195" spans="1:21" ht="19.5">
      <c r="A195" s="241"/>
      <c r="B195" s="242"/>
      <c r="C195" s="243" t="s">
        <v>78</v>
      </c>
      <c r="D195" s="244"/>
      <c r="E195" s="244"/>
      <c r="F195" s="244"/>
      <c r="G195" s="245"/>
      <c r="H195" s="246" t="s">
        <v>79</v>
      </c>
      <c r="I195" s="339">
        <f ca="1">I198</f>
        <v>4</v>
      </c>
      <c r="J195" s="339">
        <f>J198</f>
        <v>2</v>
      </c>
      <c r="K195" s="340">
        <f ca="1">IF(I195&gt;0,J195*100/I195,0)</f>
        <v>50</v>
      </c>
      <c r="L195" s="250"/>
      <c r="M195" s="249"/>
      <c r="N195" s="249"/>
      <c r="O195" s="249"/>
      <c r="P195" s="249"/>
      <c r="Q195" s="249"/>
      <c r="R195" s="249"/>
      <c r="S195" s="249"/>
      <c r="T195" s="249"/>
      <c r="U195" s="249"/>
    </row>
    <row r="196" spans="1:21" ht="19.5">
      <c r="A196" s="155"/>
      <c r="B196" s="50"/>
      <c r="C196" s="156" t="s">
        <v>18</v>
      </c>
      <c r="D196" s="713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541">
        <f ca="1">IFERROR(__xludf.DUMMYFUNCTION("IMPORTRANGE(""https://docs.google.com/spreadsheets/d/1eHaY18a8A9IcSdp1K8H6x8fbOy06t2VsZHhMHf-1x7Y/edit?usp=sharing"",""แผน!AB37"")"),6000)</f>
        <v>6000</v>
      </c>
      <c r="M196" s="55"/>
      <c r="N196" s="716">
        <v>0</v>
      </c>
      <c r="O196" s="540">
        <f ca="1">IF(L196&gt;0,N196*100/L196,0)</f>
        <v>0</v>
      </c>
      <c r="P196" s="540">
        <f>IF(M196&gt;0,N196*100/M196,0)</f>
        <v>0</v>
      </c>
      <c r="Q196" s="55"/>
      <c r="R196" s="55"/>
      <c r="S196" s="55"/>
      <c r="T196" s="55"/>
      <c r="U196" s="55"/>
    </row>
    <row r="197" spans="1:21" ht="19.5">
      <c r="A197" s="166"/>
      <c r="B197" s="167"/>
      <c r="C197" s="156" t="s">
        <v>18</v>
      </c>
      <c r="D197" s="566" t="s">
        <v>38</v>
      </c>
      <c r="E197" s="169"/>
      <c r="F197" s="169"/>
      <c r="G197" s="170"/>
      <c r="H197" s="171"/>
      <c r="I197" s="54"/>
      <c r="J197" s="54"/>
      <c r="K197" s="55"/>
      <c r="L197" s="62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8.75">
      <c r="A198" s="166"/>
      <c r="B198" s="167"/>
      <c r="C198" s="167"/>
      <c r="D198" s="178" t="s">
        <v>80</v>
      </c>
      <c r="E198" s="174"/>
      <c r="F198" s="174"/>
      <c r="G198" s="171"/>
      <c r="H198" s="179" t="s">
        <v>79</v>
      </c>
      <c r="I198" s="212">
        <f ca="1">IFERROR(__xludf.DUMMYFUNCTION("IMPORTRANGE(""https://docs.google.com/spreadsheets/d/1eHaY18a8A9IcSdp1K8H6x8fbOy06t2VsZHhMHf-1x7Y/edit?usp=sharing"",""แผน!AE37"")"),4)</f>
        <v>4</v>
      </c>
      <c r="J198" s="467">
        <v>2</v>
      </c>
      <c r="K198" s="255">
        <f ca="1">IF(I198&gt;0,J198*100/I198,0)</f>
        <v>50</v>
      </c>
      <c r="L198" s="62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8.75">
      <c r="A199" s="166"/>
      <c r="B199" s="167"/>
      <c r="C199" s="167"/>
      <c r="D199" s="178" t="s">
        <v>81</v>
      </c>
      <c r="E199" s="174"/>
      <c r="F199" s="174"/>
      <c r="G199" s="171"/>
      <c r="H199" s="240" t="s">
        <v>35</v>
      </c>
      <c r="I199" s="54"/>
      <c r="J199" s="212">
        <f>J200+J201</f>
        <v>0</v>
      </c>
      <c r="K199" s="55"/>
      <c r="L199" s="62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467">
        <v>0</v>
      </c>
      <c r="K200" s="55"/>
      <c r="L200" s="62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40" t="s">
        <v>35</v>
      </c>
      <c r="I201" s="54"/>
      <c r="J201" s="467">
        <v>0</v>
      </c>
      <c r="K201" s="55"/>
      <c r="L201" s="62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254" t="s">
        <v>85</v>
      </c>
      <c r="I202" s="339">
        <f ca="1">I209</f>
        <v>2</v>
      </c>
      <c r="J202" s="339">
        <f>J209</f>
        <v>0</v>
      </c>
      <c r="K202" s="340">
        <f ca="1">IF(I202&gt;0,J202*100/I202,0)</f>
        <v>0</v>
      </c>
      <c r="L202" s="250"/>
      <c r="M202" s="249"/>
      <c r="N202" s="249"/>
      <c r="O202" s="249"/>
      <c r="P202" s="249"/>
      <c r="Q202" s="249"/>
      <c r="R202" s="249"/>
      <c r="S202" s="249"/>
      <c r="T202" s="249"/>
      <c r="U202" s="249"/>
    </row>
    <row r="203" spans="1:21" ht="19.5">
      <c r="A203" s="155"/>
      <c r="B203" s="50"/>
      <c r="C203" s="156" t="s">
        <v>18</v>
      </c>
      <c r="D203" s="713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541">
        <f ca="1">L204+L205+L206+L207</f>
        <v>18000</v>
      </c>
      <c r="M203" s="55"/>
      <c r="N203" s="540">
        <f>N204+N205+N206+N207</f>
        <v>0</v>
      </c>
      <c r="O203" s="540">
        <f ca="1">IF(L203&gt;0,N203*100/L203,0)</f>
        <v>0</v>
      </c>
      <c r="P203" s="540">
        <f>IF(M203&gt;0,N203*100/M203,0)</f>
        <v>0</v>
      </c>
      <c r="Q203" s="715">
        <f ca="1">Q204+Q205+Q206+Q207</f>
        <v>28000</v>
      </c>
      <c r="R203" s="350"/>
      <c r="S203" s="714">
        <f>S204+S205+S206+S207</f>
        <v>0</v>
      </c>
      <c r="T203" s="714">
        <f ca="1">IF(Q203&gt;0,S203*100/Q203,0)</f>
        <v>0</v>
      </c>
      <c r="U203" s="714">
        <f>IF(R203&gt;0,S203*100/R203,0)</f>
        <v>0</v>
      </c>
    </row>
    <row r="204" spans="1:21" ht="18.75">
      <c r="A204" s="155"/>
      <c r="B204" s="188"/>
      <c r="C204" s="50"/>
      <c r="D204" s="712" t="s">
        <v>310</v>
      </c>
      <c r="E204" s="50"/>
      <c r="F204" s="50"/>
      <c r="G204" s="52"/>
      <c r="H204" s="162" t="s">
        <v>14</v>
      </c>
      <c r="I204" s="163"/>
      <c r="J204" s="163"/>
      <c r="K204" s="164"/>
      <c r="L204" s="256">
        <f ca="1">IFERROR(__xludf.DUMMYFUNCTION("IMPORTRANGE(""https://docs.google.com/spreadsheets/d/1eHaY18a8A9IcSdp1K8H6x8fbOy06t2VsZHhMHf-1x7Y/edit?usp=sharing"",""แผน!AG37"")"),2000)</f>
        <v>2000</v>
      </c>
      <c r="M204" s="55"/>
      <c r="N204" s="702">
        <v>0</v>
      </c>
      <c r="O204" s="164"/>
      <c r="P204" s="55"/>
      <c r="Q204" s="256">
        <v>0</v>
      </c>
      <c r="R204" s="55"/>
      <c r="S204" s="255">
        <v>0</v>
      </c>
      <c r="T204" s="164"/>
      <c r="U204" s="55"/>
    </row>
    <row r="205" spans="1:21" ht="18.75">
      <c r="A205" s="238"/>
      <c r="B205" s="188"/>
      <c r="C205" s="50"/>
      <c r="D205" s="58" t="s">
        <v>308</v>
      </c>
      <c r="E205" s="50"/>
      <c r="F205" s="50"/>
      <c r="G205" s="52"/>
      <c r="H205" s="53" t="s">
        <v>14</v>
      </c>
      <c r="I205" s="54"/>
      <c r="J205" s="54"/>
      <c r="K205" s="55"/>
      <c r="L205" s="256">
        <f ca="1">IFERROR(__xludf.DUMMYFUNCTION("IMPORTRANGE(""https://docs.google.com/spreadsheets/d/1eHaY18a8A9IcSdp1K8H6x8fbOy06t2VsZHhMHf-1x7Y/edit?usp=sharing"",""แผน!AH37"")"),0)</f>
        <v>0</v>
      </c>
      <c r="M205" s="55"/>
      <c r="N205" s="702">
        <v>0</v>
      </c>
      <c r="O205" s="164"/>
      <c r="P205" s="55"/>
      <c r="Q205" s="256">
        <v>0</v>
      </c>
      <c r="R205" s="55"/>
      <c r="S205" s="255">
        <v>0</v>
      </c>
      <c r="T205" s="164"/>
      <c r="U205" s="55"/>
    </row>
    <row r="206" spans="1:21" ht="18.75">
      <c r="A206" s="238"/>
      <c r="B206" s="188"/>
      <c r="C206" s="50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256">
        <f ca="1">IFERROR(__xludf.DUMMYFUNCTION("IMPORTRANGE(""https://docs.google.com/spreadsheets/d/1eHaY18a8A9IcSdp1K8H6x8fbOy06t2VsZHhMHf-1x7Y/edit?usp=sharing"",""แผน!AI37"")"),0)</f>
        <v>0</v>
      </c>
      <c r="M206" s="55"/>
      <c r="N206" s="702">
        <v>0</v>
      </c>
      <c r="O206" s="164"/>
      <c r="P206" s="55"/>
      <c r="Q206" s="256">
        <f ca="1">IFERROR(__xludf.DUMMYFUNCTION("IMPORTRANGE(""https://docs.google.com/spreadsheets/d/1eHaY18a8A9IcSdp1K8H6x8fbOy06t2VsZHhMHf-1x7Y/edit?usp=sharing"",""แผน!LV37"")"),28000)</f>
        <v>28000</v>
      </c>
      <c r="R206" s="55"/>
      <c r="S206" s="702">
        <v>0</v>
      </c>
      <c r="T206" s="164"/>
      <c r="U206" s="55"/>
    </row>
    <row r="207" spans="1:21" ht="18.75">
      <c r="A207" s="238"/>
      <c r="B207" s="188"/>
      <c r="C207" s="50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256">
        <f ca="1">IFERROR(__xludf.DUMMYFUNCTION("IMPORTRANGE(""https://docs.google.com/spreadsheets/d/1eHaY18a8A9IcSdp1K8H6x8fbOy06t2VsZHhMHf-1x7Y/edit?usp=sharing"",""แผน!AJ37"")"),16000)</f>
        <v>16000</v>
      </c>
      <c r="M207" s="55"/>
      <c r="N207" s="702">
        <v>0</v>
      </c>
      <c r="O207" s="164"/>
      <c r="P207" s="55"/>
      <c r="Q207" s="256">
        <v>0</v>
      </c>
      <c r="R207" s="55"/>
      <c r="S207" s="255">
        <v>0</v>
      </c>
      <c r="T207" s="164"/>
      <c r="U207" s="55"/>
    </row>
    <row r="208" spans="1:21" ht="19.5">
      <c r="A208" s="166"/>
      <c r="B208" s="167"/>
      <c r="C208" s="156" t="s">
        <v>18</v>
      </c>
      <c r="D208" s="566" t="s">
        <v>38</v>
      </c>
      <c r="E208" s="169"/>
      <c r="F208" s="169"/>
      <c r="G208" s="170"/>
      <c r="H208" s="171"/>
      <c r="I208" s="163"/>
      <c r="J208" s="163"/>
      <c r="K208" s="164"/>
      <c r="L208" s="172"/>
      <c r="M208" s="164"/>
      <c r="N208" s="164"/>
      <c r="O208" s="164"/>
      <c r="P208" s="164"/>
      <c r="Q208" s="172"/>
      <c r="R208" s="164"/>
      <c r="S208" s="164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257" t="s">
        <v>85</v>
      </c>
      <c r="I209" s="212">
        <f ca="1">IFERROR(__xludf.DUMMYFUNCTION("IMPORTRANGE(""https://docs.google.com/spreadsheets/d/1eHaY18a8A9IcSdp1K8H6x8fbOy06t2VsZHhMHf-1x7Y/edit?usp=sharing"",""แผน!AK37"")"),2)</f>
        <v>2</v>
      </c>
      <c r="J209" s="467">
        <v>0</v>
      </c>
      <c r="K209" s="565">
        <f ca="1">IF(I209&gt;0,J209*100/I209,0)</f>
        <v>0</v>
      </c>
      <c r="L209" s="62"/>
      <c r="M209" s="55"/>
      <c r="N209" s="55"/>
      <c r="O209" s="55"/>
      <c r="P209" s="55"/>
      <c r="Q209" s="62"/>
      <c r="R209" s="55"/>
      <c r="S209" s="55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171"/>
      <c r="I210" s="54"/>
      <c r="J210" s="54"/>
      <c r="K210" s="164"/>
      <c r="L210" s="62"/>
      <c r="M210" s="55"/>
      <c r="N210" s="55"/>
      <c r="O210" s="55"/>
      <c r="P210" s="55"/>
      <c r="Q210" s="62"/>
      <c r="R210" s="55"/>
      <c r="S210" s="55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257" t="s">
        <v>85</v>
      </c>
      <c r="I211" s="212">
        <f ca="1">IFERROR(__xludf.DUMMYFUNCTION("IMPORTRANGE(""https://docs.google.com/spreadsheets/d/1eHaY18a8A9IcSdp1K8H6x8fbOy06t2VsZHhMHf-1x7Y/edit?usp=sharing"",""แผน!JX37"")"),2)</f>
        <v>2</v>
      </c>
      <c r="J211" s="467">
        <v>0</v>
      </c>
      <c r="K211" s="565">
        <f ca="1">IF(I211&gt;0,J211*100/I211,0)</f>
        <v>0</v>
      </c>
      <c r="L211" s="62"/>
      <c r="M211" s="55"/>
      <c r="N211" s="55"/>
      <c r="O211" s="55"/>
      <c r="P211" s="55"/>
      <c r="Q211" s="62"/>
      <c r="R211" s="55"/>
      <c r="S211" s="55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79" t="s">
        <v>93</v>
      </c>
      <c r="I212" s="212">
        <f ca="1">IFERROR(__xludf.DUMMYFUNCTION("IMPORTRANGE(""https://docs.google.com/spreadsheets/d/1eHaY18a8A9IcSdp1K8H6x8fbOy06t2VsZHhMHf-1x7Y/edit?usp=sharing"",""แผน!JY37"")"),2)</f>
        <v>2</v>
      </c>
      <c r="J212" s="467">
        <v>0</v>
      </c>
      <c r="K212" s="565">
        <f ca="1">IF(I212&gt;0,J212*100/I212,0)</f>
        <v>0</v>
      </c>
      <c r="L212" s="62"/>
      <c r="M212" s="55"/>
      <c r="N212" s="55"/>
      <c r="O212" s="55"/>
      <c r="P212" s="55"/>
      <c r="Q212" s="62"/>
      <c r="R212" s="55"/>
      <c r="S212" s="55"/>
      <c r="T212" s="55"/>
      <c r="U212" s="55"/>
    </row>
    <row r="213" spans="1:21" ht="19.5">
      <c r="A213" s="241"/>
      <c r="B213" s="242"/>
      <c r="C213" s="243" t="s">
        <v>94</v>
      </c>
      <c r="D213" s="244"/>
      <c r="E213" s="244"/>
      <c r="F213" s="244"/>
      <c r="G213" s="245"/>
      <c r="H213" s="254" t="s">
        <v>85</v>
      </c>
      <c r="I213" s="339">
        <f ca="1">I220</f>
        <v>2</v>
      </c>
      <c r="J213" s="339">
        <f>J220</f>
        <v>0</v>
      </c>
      <c r="K213" s="340">
        <f ca="1">IF(I213&gt;0,J213*100/I213,0)</f>
        <v>0</v>
      </c>
      <c r="L213" s="250"/>
      <c r="M213" s="249"/>
      <c r="N213" s="249"/>
      <c r="O213" s="249"/>
      <c r="P213" s="249"/>
      <c r="Q213" s="250"/>
      <c r="R213" s="249"/>
      <c r="S213" s="249"/>
      <c r="T213" s="249"/>
      <c r="U213" s="249"/>
    </row>
    <row r="214" spans="1:21" ht="19.5">
      <c r="A214" s="155"/>
      <c r="B214" s="50"/>
      <c r="C214" s="156" t="s">
        <v>18</v>
      </c>
      <c r="D214" s="713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541">
        <f ca="1">L215+L216+L217</f>
        <v>12000</v>
      </c>
      <c r="M214" s="55"/>
      <c r="N214" s="540">
        <f>N215+N216+N217</f>
        <v>0</v>
      </c>
      <c r="O214" s="540">
        <f ca="1">IF(L214&gt;0,N214*100/L214,0)</f>
        <v>0</v>
      </c>
      <c r="P214" s="540">
        <f>IF(M214&gt;0,N214*100/M214,0)</f>
        <v>0</v>
      </c>
      <c r="Q214" s="541">
        <f ca="1">Q215+Q216+Q217</f>
        <v>99400</v>
      </c>
      <c r="R214" s="55"/>
      <c r="S214" s="540">
        <f>S215+S216+S217</f>
        <v>0</v>
      </c>
      <c r="T214" s="540">
        <f ca="1">IF(Q214&gt;0,S214*100/Q214,0)</f>
        <v>0</v>
      </c>
      <c r="U214" s="540">
        <f>IF(R214&gt;0,S214*100/R214,0)</f>
        <v>0</v>
      </c>
    </row>
    <row r="215" spans="1:21" ht="18.75">
      <c r="A215" s="155"/>
      <c r="B215" s="188"/>
      <c r="C215" s="50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256">
        <f ca="1">IFERROR(__xludf.DUMMYFUNCTION("IMPORTRANGE(""https://docs.google.com/spreadsheets/d/1eHaY18a8A9IcSdp1K8H6x8fbOy06t2VsZHhMHf-1x7Y/edit?usp=sharing"",""แผน!AM37"")"),2000)</f>
        <v>2000</v>
      </c>
      <c r="M215" s="55"/>
      <c r="N215" s="702">
        <v>0</v>
      </c>
      <c r="O215" s="164"/>
      <c r="P215" s="55"/>
      <c r="Q215" s="256">
        <v>0</v>
      </c>
      <c r="R215" s="55"/>
      <c r="S215" s="255">
        <v>0</v>
      </c>
      <c r="T215" s="164"/>
      <c r="U215" s="55"/>
    </row>
    <row r="216" spans="1:21" ht="18.75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256">
        <f ca="1">IFERROR(__xludf.DUMMYFUNCTION("IMPORTRANGE(""https://docs.google.com/spreadsheets/d/1eHaY18a8A9IcSdp1K8H6x8fbOy06t2VsZHhMHf-1x7Y/edit?usp=sharing"",""แผน!AN37"")"),10000)</f>
        <v>10000</v>
      </c>
      <c r="M216" s="55"/>
      <c r="N216" s="702">
        <v>0</v>
      </c>
      <c r="O216" s="164"/>
      <c r="P216" s="55"/>
      <c r="Q216" s="256">
        <v>0</v>
      </c>
      <c r="R216" s="55"/>
      <c r="S216" s="255">
        <v>0</v>
      </c>
      <c r="T216" s="164"/>
      <c r="U216" s="55"/>
    </row>
    <row r="217" spans="1:21" ht="18.75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256">
        <f ca="1">IFERROR(__xludf.DUMMYFUNCTION("IMPORTRANGE(""https://docs.google.com/spreadsheets/d/1eHaY18a8A9IcSdp1K8H6x8fbOy06t2VsZHhMHf-1x7Y/edit?usp=sharing"",""แผน!AO37"")"),0)</f>
        <v>0</v>
      </c>
      <c r="M217" s="55"/>
      <c r="N217" s="702">
        <v>0</v>
      </c>
      <c r="O217" s="164"/>
      <c r="P217" s="55"/>
      <c r="Q217" s="256">
        <f ca="1">IFERROR(__xludf.DUMMYFUNCTION("IMPORTRANGE(""https://docs.google.com/spreadsheets/d/1eHaY18a8A9IcSdp1K8H6x8fbOy06t2VsZHhMHf-1x7Y/edit?usp=sharing"",""แผน!LY37"")"),99400)</f>
        <v>99400</v>
      </c>
      <c r="R217" s="55"/>
      <c r="S217" s="702">
        <v>0</v>
      </c>
      <c r="T217" s="164"/>
      <c r="U217" s="55"/>
    </row>
    <row r="218" spans="1:21" ht="19.5">
      <c r="A218" s="166"/>
      <c r="B218" s="167"/>
      <c r="C218" s="191" t="s">
        <v>18</v>
      </c>
      <c r="D218" s="566" t="s">
        <v>38</v>
      </c>
      <c r="E218" s="169"/>
      <c r="F218" s="169"/>
      <c r="G218" s="170"/>
      <c r="H218" s="171"/>
      <c r="I218" s="163"/>
      <c r="J218" s="54"/>
      <c r="K218" s="55"/>
      <c r="L218" s="62"/>
      <c r="M218" s="55"/>
      <c r="N218" s="55"/>
      <c r="O218" s="164"/>
      <c r="P218" s="164"/>
      <c r="Q218" s="62"/>
      <c r="R218" s="55"/>
      <c r="S218" s="55"/>
      <c r="T218" s="164"/>
      <c r="U218" s="164"/>
    </row>
    <row r="219" spans="1:21" ht="18.75">
      <c r="A219" s="166"/>
      <c r="B219" s="167"/>
      <c r="C219" s="167"/>
      <c r="D219" s="173" t="s">
        <v>96</v>
      </c>
      <c r="E219" s="174"/>
      <c r="F219" s="174"/>
      <c r="G219" s="171"/>
      <c r="H219" s="257" t="s">
        <v>85</v>
      </c>
      <c r="I219" s="212">
        <f ca="1">IFERROR(__xludf.DUMMYFUNCTION("IMPORTRANGE(""https://docs.google.com/spreadsheets/d/1eHaY18a8A9IcSdp1K8H6x8fbOy06t2VsZHhMHf-1x7Y/edit?usp=sharing"",""แผน!AP37"")"),2)</f>
        <v>2</v>
      </c>
      <c r="J219" s="467">
        <v>0</v>
      </c>
      <c r="K219" s="255">
        <f ca="1">IF(I219&gt;0,J219*100/I219,0)</f>
        <v>0</v>
      </c>
      <c r="L219" s="62"/>
      <c r="M219" s="55"/>
      <c r="N219" s="55"/>
      <c r="O219" s="55"/>
      <c r="P219" s="55"/>
      <c r="Q219" s="62"/>
      <c r="R219" s="55"/>
      <c r="S219" s="55"/>
      <c r="T219" s="55"/>
      <c r="U219" s="55"/>
    </row>
    <row r="220" spans="1:21" ht="18.75">
      <c r="A220" s="166"/>
      <c r="B220" s="167"/>
      <c r="C220" s="167"/>
      <c r="D220" s="173" t="s">
        <v>97</v>
      </c>
      <c r="E220" s="174"/>
      <c r="F220" s="174"/>
      <c r="G220" s="171"/>
      <c r="H220" s="257" t="s">
        <v>85</v>
      </c>
      <c r="I220" s="212">
        <f ca="1">IFERROR(__xludf.DUMMYFUNCTION("IMPORTRANGE(""https://docs.google.com/spreadsheets/d/1eHaY18a8A9IcSdp1K8H6x8fbOy06t2VsZHhMHf-1x7Y/edit?usp=sharing"",""แผน!AP37"")"),2)</f>
        <v>2</v>
      </c>
      <c r="J220" s="467">
        <v>0</v>
      </c>
      <c r="K220" s="255">
        <f ca="1">IF(I220&gt;0,J220*100/I220,0)</f>
        <v>0</v>
      </c>
      <c r="L220" s="62"/>
      <c r="M220" s="55"/>
      <c r="N220" s="55"/>
      <c r="O220" s="55"/>
      <c r="P220" s="55"/>
      <c r="Q220" s="62"/>
      <c r="R220" s="55"/>
      <c r="S220" s="55"/>
      <c r="T220" s="55"/>
      <c r="U220" s="55"/>
    </row>
    <row r="221" spans="1:21" ht="19.5">
      <c r="A221" s="241"/>
      <c r="B221" s="242"/>
      <c r="C221" s="243" t="s">
        <v>98</v>
      </c>
      <c r="D221" s="244"/>
      <c r="E221" s="244"/>
      <c r="F221" s="244"/>
      <c r="G221" s="245"/>
      <c r="H221" s="246" t="s">
        <v>99</v>
      </c>
      <c r="I221" s="339">
        <f ca="1">I229</f>
        <v>20000</v>
      </c>
      <c r="J221" s="339">
        <f>J229</f>
        <v>0</v>
      </c>
      <c r="K221" s="340">
        <f ca="1">IF(I221&gt;0,J221*100/I221,0)</f>
        <v>0</v>
      </c>
      <c r="L221" s="250"/>
      <c r="M221" s="249"/>
      <c r="N221" s="249"/>
      <c r="O221" s="249"/>
      <c r="P221" s="249"/>
      <c r="Q221" s="249"/>
      <c r="R221" s="249"/>
      <c r="S221" s="249"/>
      <c r="T221" s="249"/>
      <c r="U221" s="249"/>
    </row>
    <row r="222" spans="1:21" ht="19.5">
      <c r="A222" s="155"/>
      <c r="B222" s="50"/>
      <c r="C222" s="156" t="s">
        <v>18</v>
      </c>
      <c r="D222" s="713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541">
        <f ca="1">L223+L224+L225</f>
        <v>4500</v>
      </c>
      <c r="M222" s="55"/>
      <c r="N222" s="540">
        <f>N223+N224+N225</f>
        <v>0</v>
      </c>
      <c r="O222" s="540">
        <f ca="1">IF(L222&gt;0,N222*100/L222,0)</f>
        <v>0</v>
      </c>
      <c r="P222" s="540">
        <f>IF(M222&gt;0,N222*100/M222,0)</f>
        <v>0</v>
      </c>
      <c r="Q222" s="55"/>
      <c r="R222" s="55"/>
      <c r="S222" s="55"/>
      <c r="T222" s="55"/>
      <c r="U222" s="55"/>
    </row>
    <row r="223" spans="1:21" ht="18.75">
      <c r="A223" s="155"/>
      <c r="B223" s="188"/>
      <c r="C223" s="50"/>
      <c r="D223" s="712" t="s">
        <v>309</v>
      </c>
      <c r="E223" s="50"/>
      <c r="F223" s="50"/>
      <c r="G223" s="52"/>
      <c r="H223" s="162" t="s">
        <v>14</v>
      </c>
      <c r="I223" s="163"/>
      <c r="J223" s="163"/>
      <c r="K223" s="164"/>
      <c r="L223" s="256">
        <f ca="1">IFERROR(__xludf.DUMMYFUNCTION("IMPORTRANGE(""https://docs.google.com/spreadsheets/d/1eHaY18a8A9IcSdp1K8H6x8fbOy06t2VsZHhMHf-1x7Y/edit?usp=sharing"",""แผน!AR37"")"),2500)</f>
        <v>2500</v>
      </c>
      <c r="M223" s="55"/>
      <c r="N223" s="702">
        <v>0</v>
      </c>
      <c r="O223" s="164"/>
      <c r="P223" s="55"/>
      <c r="Q223" s="55"/>
      <c r="R223" s="55"/>
      <c r="S223" s="55"/>
      <c r="T223" s="164"/>
      <c r="U223" s="55"/>
    </row>
    <row r="224" spans="1:21" ht="18.75">
      <c r="A224" s="238"/>
      <c r="B224" s="188"/>
      <c r="C224" s="188"/>
      <c r="D224" s="58" t="s">
        <v>308</v>
      </c>
      <c r="E224" s="50"/>
      <c r="F224" s="50"/>
      <c r="G224" s="52"/>
      <c r="H224" s="162" t="s">
        <v>14</v>
      </c>
      <c r="I224" s="54"/>
      <c r="J224" s="54"/>
      <c r="K224" s="55"/>
      <c r="L224" s="256">
        <f ca="1">IFERROR(__xludf.DUMMYFUNCTION("IMPORTRANGE(""https://docs.google.com/spreadsheets/d/1eHaY18a8A9IcSdp1K8H6x8fbOy06t2VsZHhMHf-1x7Y/edit?usp=sharing"",""แผน!AS37"")"),2000)</f>
        <v>2000</v>
      </c>
      <c r="M224" s="55"/>
      <c r="N224" s="702">
        <v>0</v>
      </c>
      <c r="O224" s="164"/>
      <c r="P224" s="55"/>
      <c r="Q224" s="55"/>
      <c r="R224" s="55"/>
      <c r="S224" s="55"/>
      <c r="T224" s="164"/>
      <c r="U224" s="55"/>
    </row>
    <row r="225" spans="1:21" ht="18.75">
      <c r="A225" s="238"/>
      <c r="B225" s="188"/>
      <c r="C225" s="188"/>
      <c r="D225" s="58" t="s">
        <v>88</v>
      </c>
      <c r="E225" s="50"/>
      <c r="F225" s="50"/>
      <c r="G225" s="52"/>
      <c r="H225" s="162" t="s">
        <v>14</v>
      </c>
      <c r="I225" s="54"/>
      <c r="J225" s="54"/>
      <c r="K225" s="55"/>
      <c r="L225" s="256">
        <f ca="1">IFERROR(__xludf.DUMMYFUNCTION("IMPORTRANGE(""https://docs.google.com/spreadsheets/d/1eHaY18a8A9IcSdp1K8H6x8fbOy06t2VsZHhMHf-1x7Y/edit?usp=sharing"",""แผน!AT37"")"),0)</f>
        <v>0</v>
      </c>
      <c r="M225" s="55"/>
      <c r="N225" s="702">
        <v>0</v>
      </c>
      <c r="O225" s="164"/>
      <c r="P225" s="55"/>
      <c r="Q225" s="55"/>
      <c r="R225" s="55"/>
      <c r="S225" s="55"/>
      <c r="T225" s="164"/>
      <c r="U225" s="55"/>
    </row>
    <row r="226" spans="1:21" ht="19.5">
      <c r="A226" s="166"/>
      <c r="B226" s="167"/>
      <c r="C226" s="191" t="s">
        <v>18</v>
      </c>
      <c r="D226" s="566" t="s">
        <v>38</v>
      </c>
      <c r="E226" s="169"/>
      <c r="F226" s="169"/>
      <c r="G226" s="170"/>
      <c r="H226" s="171"/>
      <c r="I226" s="163"/>
      <c r="J226" s="163"/>
      <c r="K226" s="164"/>
      <c r="L226" s="172"/>
      <c r="M226" s="164"/>
      <c r="N226" s="164"/>
      <c r="O226" s="164"/>
      <c r="P226" s="164"/>
      <c r="Q226" s="164"/>
      <c r="R226" s="164"/>
      <c r="S226" s="164"/>
      <c r="T226" s="164"/>
      <c r="U226" s="164"/>
    </row>
    <row r="227" spans="1:21" ht="18.75">
      <c r="A227" s="166"/>
      <c r="B227" s="167"/>
      <c r="C227" s="167"/>
      <c r="D227" s="58" t="s">
        <v>101</v>
      </c>
      <c r="E227" s="174"/>
      <c r="F227" s="174"/>
      <c r="G227" s="171"/>
      <c r="H227" s="171"/>
      <c r="I227" s="54"/>
      <c r="J227" s="54"/>
      <c r="K227" s="164"/>
      <c r="L227" s="172"/>
      <c r="M227" s="164"/>
      <c r="N227" s="164"/>
      <c r="O227" s="164"/>
      <c r="P227" s="164"/>
      <c r="Q227" s="164"/>
      <c r="R227" s="164"/>
      <c r="S227" s="164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79" t="s">
        <v>99</v>
      </c>
      <c r="I228" s="212">
        <f ca="1">IFERROR(__xludf.DUMMYFUNCTION("IMPORTRANGE(""https://docs.google.com/spreadsheets/d/1eHaY18a8A9IcSdp1K8H6x8fbOy06t2VsZHhMHf-1x7Y/edit?usp=sharing"",""แผน!AV37"")"),20000)</f>
        <v>20000</v>
      </c>
      <c r="J228" s="467">
        <v>0</v>
      </c>
      <c r="K228" s="565">
        <f ca="1">IF(I228&gt;0,J228*100/I228,0)</f>
        <v>0</v>
      </c>
      <c r="L228" s="172"/>
      <c r="M228" s="164"/>
      <c r="N228" s="164"/>
      <c r="O228" s="164"/>
      <c r="P228" s="164"/>
      <c r="Q228" s="164"/>
      <c r="R228" s="164"/>
      <c r="S228" s="164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79" t="s">
        <v>99</v>
      </c>
      <c r="I229" s="212">
        <f ca="1">IFERROR(__xludf.DUMMYFUNCTION("IMPORTRANGE(""https://docs.google.com/spreadsheets/d/1eHaY18a8A9IcSdp1K8H6x8fbOy06t2VsZHhMHf-1x7Y/edit?usp=sharing"",""แผน!AV37"")"),20000)</f>
        <v>20000</v>
      </c>
      <c r="J229" s="467">
        <v>0</v>
      </c>
      <c r="K229" s="565">
        <f ca="1">IF(I229&gt;0,J229*100/I229,0)</f>
        <v>0</v>
      </c>
      <c r="L229" s="62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79" t="s">
        <v>35</v>
      </c>
      <c r="I230" s="212">
        <f ca="1">IFERROR(__xludf.DUMMYFUNCTION("IMPORTRANGE(""https://docs.google.com/spreadsheets/d/1eHaY18a8A9IcSdp1K8H6x8fbOy06t2VsZHhMHf-1x7Y/edit?usp=sharing"",""แผน!AU37"")"),0)</f>
        <v>0</v>
      </c>
      <c r="J230" s="467">
        <v>0</v>
      </c>
      <c r="K230" s="565">
        <f ca="1">IF(I230&gt;0,J230*100/I230,0)</f>
        <v>0</v>
      </c>
      <c r="L230" s="62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9.5" hidden="1">
      <c r="A231" s="241"/>
      <c r="B231" s="242"/>
      <c r="C231" s="243" t="s">
        <v>105</v>
      </c>
      <c r="D231" s="244"/>
      <c r="E231" s="244"/>
      <c r="F231" s="244"/>
      <c r="G231" s="245"/>
      <c r="H231" s="246" t="s">
        <v>35</v>
      </c>
      <c r="I231" s="339">
        <f ca="1">I242+I253</f>
        <v>0</v>
      </c>
      <c r="J231" s="339">
        <f>J242+J253</f>
        <v>0</v>
      </c>
      <c r="K231" s="340">
        <f ca="1">IF(I231&gt;0,J231*100/I231,0)</f>
        <v>0</v>
      </c>
      <c r="L231" s="250"/>
      <c r="M231" s="249"/>
      <c r="N231" s="249"/>
      <c r="O231" s="249"/>
      <c r="P231" s="249"/>
      <c r="Q231" s="249"/>
      <c r="R231" s="249"/>
      <c r="S231" s="249"/>
      <c r="T231" s="249"/>
      <c r="U231" s="249"/>
    </row>
    <row r="232" spans="1:21" ht="19.5" hidden="1">
      <c r="A232" s="155"/>
      <c r="B232" s="50"/>
      <c r="C232" s="156" t="s">
        <v>18</v>
      </c>
      <c r="D232" s="575" t="s">
        <v>19</v>
      </c>
      <c r="E232" s="50"/>
      <c r="F232" s="50"/>
      <c r="G232" s="52"/>
      <c r="H232" s="252" t="s">
        <v>14</v>
      </c>
      <c r="I232" s="163"/>
      <c r="J232" s="163"/>
      <c r="K232" s="164"/>
      <c r="L232" s="711">
        <f ca="1">L243+L254</f>
        <v>0</v>
      </c>
      <c r="M232" s="55"/>
      <c r="N232" s="710">
        <f>N243+N254</f>
        <v>0</v>
      </c>
      <c r="O232" s="55"/>
      <c r="P232" s="55"/>
      <c r="Q232" s="55"/>
      <c r="R232" s="55"/>
      <c r="S232" s="55"/>
      <c r="T232" s="55"/>
      <c r="U232" s="55"/>
    </row>
    <row r="233" spans="1:21" ht="18.75" hidden="1">
      <c r="A233" s="155"/>
      <c r="B233" s="188"/>
      <c r="C233" s="50"/>
      <c r="D233" s="58" t="s">
        <v>86</v>
      </c>
      <c r="E233" s="50"/>
      <c r="F233" s="50"/>
      <c r="G233" s="52"/>
      <c r="H233" s="162" t="s">
        <v>14</v>
      </c>
      <c r="I233" s="163"/>
      <c r="J233" s="163"/>
      <c r="K233" s="164"/>
      <c r="L233" s="103">
        <f ca="1">L244+L255</f>
        <v>0</v>
      </c>
      <c r="M233" s="55"/>
      <c r="N233" s="102">
        <f>N244+N255</f>
        <v>0</v>
      </c>
      <c r="O233" s="55"/>
      <c r="P233" s="55"/>
      <c r="Q233" s="709">
        <v>0</v>
      </c>
      <c r="R233" s="708">
        <v>0</v>
      </c>
      <c r="S233" s="708">
        <v>0</v>
      </c>
      <c r="T233" s="55"/>
      <c r="U233" s="55"/>
    </row>
    <row r="234" spans="1:21" ht="18.75" hidden="1">
      <c r="A234" s="238"/>
      <c r="B234" s="188"/>
      <c r="C234" s="188"/>
      <c r="D234" s="58" t="s">
        <v>88</v>
      </c>
      <c r="E234" s="50"/>
      <c r="F234" s="50"/>
      <c r="G234" s="52"/>
      <c r="H234" s="162" t="s">
        <v>14</v>
      </c>
      <c r="I234" s="54"/>
      <c r="J234" s="54"/>
      <c r="K234" s="55"/>
      <c r="L234" s="103">
        <f ca="1">L245+L256</f>
        <v>0</v>
      </c>
      <c r="M234" s="55"/>
      <c r="N234" s="102">
        <f>N245+N256</f>
        <v>0</v>
      </c>
      <c r="O234" s="55"/>
      <c r="P234" s="55"/>
      <c r="Q234" s="256">
        <v>0</v>
      </c>
      <c r="R234" s="255">
        <v>0</v>
      </c>
      <c r="S234" s="255">
        <v>0</v>
      </c>
      <c r="T234" s="55"/>
      <c r="U234" s="55"/>
    </row>
    <row r="235" spans="1:21" ht="18.75" hidden="1">
      <c r="A235" s="238"/>
      <c r="B235" s="188"/>
      <c r="C235" s="188"/>
      <c r="D235" s="58" t="s">
        <v>106</v>
      </c>
      <c r="E235" s="50"/>
      <c r="F235" s="50"/>
      <c r="G235" s="52"/>
      <c r="H235" s="162" t="s">
        <v>14</v>
      </c>
      <c r="I235" s="54"/>
      <c r="J235" s="54"/>
      <c r="K235" s="55"/>
      <c r="L235" s="103">
        <f ca="1">L246+L257</f>
        <v>0</v>
      </c>
      <c r="M235" s="55"/>
      <c r="N235" s="102">
        <f>N246+N257</f>
        <v>0</v>
      </c>
      <c r="O235" s="55"/>
      <c r="P235" s="55"/>
      <c r="Q235" s="256">
        <v>0</v>
      </c>
      <c r="R235" s="255">
        <v>0</v>
      </c>
      <c r="S235" s="255">
        <v>0</v>
      </c>
      <c r="T235" s="55"/>
      <c r="U235" s="55"/>
    </row>
    <row r="236" spans="1:21" ht="18.75" hidden="1">
      <c r="A236" s="238"/>
      <c r="B236" s="188"/>
      <c r="C236" s="188"/>
      <c r="D236" s="58" t="s">
        <v>107</v>
      </c>
      <c r="E236" s="50"/>
      <c r="F236" s="50"/>
      <c r="G236" s="52"/>
      <c r="H236" s="162" t="s">
        <v>14</v>
      </c>
      <c r="I236" s="54"/>
      <c r="J236" s="54"/>
      <c r="K236" s="55"/>
      <c r="L236" s="103">
        <f ca="1">L247+L258</f>
        <v>0</v>
      </c>
      <c r="M236" s="55"/>
      <c r="N236" s="102">
        <f>N247+N258</f>
        <v>0</v>
      </c>
      <c r="O236" s="55"/>
      <c r="P236" s="55"/>
      <c r="Q236" s="256">
        <v>0</v>
      </c>
      <c r="R236" s="255">
        <v>0</v>
      </c>
      <c r="S236" s="255">
        <v>0</v>
      </c>
      <c r="T236" s="55"/>
      <c r="U236" s="55"/>
    </row>
    <row r="237" spans="1:21" ht="19.5" hidden="1">
      <c r="A237" s="166"/>
      <c r="B237" s="167"/>
      <c r="C237" s="191" t="s">
        <v>18</v>
      </c>
      <c r="D237" s="566" t="s">
        <v>38</v>
      </c>
      <c r="E237" s="169"/>
      <c r="F237" s="169"/>
      <c r="G237" s="170"/>
      <c r="H237" s="171"/>
      <c r="I237" s="163"/>
      <c r="J237" s="54"/>
      <c r="K237" s="55"/>
      <c r="L237" s="62"/>
      <c r="M237" s="55"/>
      <c r="N237" s="55"/>
      <c r="O237" s="164"/>
      <c r="P237" s="164"/>
      <c r="Q237" s="55"/>
      <c r="R237" s="55"/>
      <c r="S237" s="55"/>
      <c r="T237" s="164"/>
      <c r="U237" s="164"/>
    </row>
    <row r="238" spans="1:21" ht="18.75" hidden="1">
      <c r="A238" s="166"/>
      <c r="B238" s="167"/>
      <c r="C238" s="167"/>
      <c r="D238" s="178" t="s">
        <v>108</v>
      </c>
      <c r="E238" s="174"/>
      <c r="F238" s="174"/>
      <c r="G238" s="171"/>
      <c r="H238" s="179" t="s">
        <v>35</v>
      </c>
      <c r="I238" s="212">
        <f ca="1">I249+I260</f>
        <v>0</v>
      </c>
      <c r="J238" s="212">
        <f>J249+J260</f>
        <v>0</v>
      </c>
      <c r="K238" s="255">
        <f ca="1">IF(I238&gt;0,J238*100/I238,0)</f>
        <v>0</v>
      </c>
      <c r="L238" s="62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ht="18.75" hidden="1">
      <c r="A239" s="166"/>
      <c r="B239" s="167"/>
      <c r="C239" s="167"/>
      <c r="D239" s="266" t="s">
        <v>43</v>
      </c>
      <c r="E239" s="174"/>
      <c r="F239" s="174"/>
      <c r="G239" s="171"/>
      <c r="H239" s="171"/>
      <c r="I239" s="54"/>
      <c r="J239" s="54"/>
      <c r="K239" s="55"/>
      <c r="L239" s="62"/>
      <c r="M239" s="55"/>
      <c r="N239" s="55"/>
      <c r="O239" s="164"/>
      <c r="P239" s="164"/>
      <c r="Q239" s="55"/>
      <c r="R239" s="55"/>
      <c r="S239" s="55"/>
      <c r="T239" s="164"/>
      <c r="U239" s="164"/>
    </row>
    <row r="240" spans="1:21" ht="18.75" hidden="1">
      <c r="A240" s="166"/>
      <c r="B240" s="167"/>
      <c r="C240" s="167"/>
      <c r="D240" s="167"/>
      <c r="E240" s="173" t="s">
        <v>109</v>
      </c>
      <c r="F240" s="174"/>
      <c r="G240" s="171"/>
      <c r="H240" s="179" t="s">
        <v>35</v>
      </c>
      <c r="I240" s="212">
        <f>I251+I262</f>
        <v>0</v>
      </c>
      <c r="J240" s="212">
        <f>J251+J262</f>
        <v>0</v>
      </c>
      <c r="K240" s="255">
        <f>IF(I240&gt;0,J240*100/I240,0)</f>
        <v>0</v>
      </c>
      <c r="L240" s="62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ht="18.75" hidden="1">
      <c r="A241" s="166"/>
      <c r="B241" s="167"/>
      <c r="C241" s="167"/>
      <c r="D241" s="167"/>
      <c r="E241" s="173" t="s">
        <v>110</v>
      </c>
      <c r="F241" s="174"/>
      <c r="G241" s="171"/>
      <c r="H241" s="179" t="s">
        <v>61</v>
      </c>
      <c r="I241" s="212">
        <f>I252+I263</f>
        <v>0</v>
      </c>
      <c r="J241" s="212">
        <f>J252+J263</f>
        <v>0</v>
      </c>
      <c r="K241" s="255">
        <f>IF(I241&gt;0,J241*100/I241,0)</f>
        <v>0</v>
      </c>
      <c r="L241" s="62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ht="19.5" hidden="1">
      <c r="A242" s="241"/>
      <c r="B242" s="242"/>
      <c r="C242" s="707" t="s">
        <v>111</v>
      </c>
      <c r="D242" s="244"/>
      <c r="E242" s="244"/>
      <c r="F242" s="244"/>
      <c r="G242" s="245"/>
      <c r="H242" s="706" t="s">
        <v>35</v>
      </c>
      <c r="I242" s="705">
        <f ca="1">I249</f>
        <v>0</v>
      </c>
      <c r="J242" s="705">
        <f>J249</f>
        <v>0</v>
      </c>
      <c r="K242" s="704">
        <f ca="1">IF(I242&gt;0,J242*100/I242,0)</f>
        <v>0</v>
      </c>
      <c r="L242" s="250"/>
      <c r="M242" s="249"/>
      <c r="N242" s="249"/>
      <c r="O242" s="249"/>
      <c r="P242" s="249"/>
      <c r="Q242" s="249"/>
      <c r="R242" s="249"/>
      <c r="S242" s="249"/>
      <c r="T242" s="249"/>
      <c r="U242" s="249"/>
    </row>
    <row r="243" spans="1:21" ht="19.5" hidden="1">
      <c r="A243" s="155"/>
      <c r="B243" s="50"/>
      <c r="C243" s="591" t="s">
        <v>18</v>
      </c>
      <c r="D243" s="562" t="s">
        <v>19</v>
      </c>
      <c r="E243" s="50"/>
      <c r="F243" s="50"/>
      <c r="G243" s="52"/>
      <c r="H243" s="418" t="s">
        <v>14</v>
      </c>
      <c r="I243" s="163"/>
      <c r="J243" s="163"/>
      <c r="K243" s="164"/>
      <c r="L243" s="541">
        <f ca="1">L244+L245+L246+L247</f>
        <v>0</v>
      </c>
      <c r="M243" s="55"/>
      <c r="N243" s="540">
        <f>N244+N245+N246+N247</f>
        <v>0</v>
      </c>
      <c r="O243" s="540">
        <f ca="1">IF(L243&gt;0,N243*100/L243,0)</f>
        <v>0</v>
      </c>
      <c r="P243" s="540">
        <f>IF(M243&gt;0,N243*100/M243,0)</f>
        <v>0</v>
      </c>
      <c r="Q243" s="55"/>
      <c r="R243" s="55"/>
      <c r="S243" s="55"/>
      <c r="T243" s="55"/>
      <c r="U243" s="55"/>
    </row>
    <row r="244" spans="1:21" ht="18.75" hidden="1">
      <c r="A244" s="155"/>
      <c r="B244" s="188"/>
      <c r="C244" s="50"/>
      <c r="D244" s="186" t="s">
        <v>86</v>
      </c>
      <c r="E244" s="50"/>
      <c r="F244" s="50"/>
      <c r="G244" s="52"/>
      <c r="H244" s="189" t="s">
        <v>14</v>
      </c>
      <c r="I244" s="163"/>
      <c r="J244" s="163"/>
      <c r="K244" s="164"/>
      <c r="L244" s="256">
        <f ca="1">IFERROR(__xludf.DUMMYFUNCTION("IMPORTRANGE(""https://docs.google.com/spreadsheets/d/1eHaY18a8A9IcSdp1K8H6x8fbOy06t2VsZHhMHf-1x7Y/edit?usp=sharing"",""แผน!AX37"")"),0)</f>
        <v>0</v>
      </c>
      <c r="M244" s="55"/>
      <c r="N244" s="702">
        <v>0</v>
      </c>
      <c r="O244" s="55"/>
      <c r="P244" s="55"/>
      <c r="Q244" s="55"/>
      <c r="R244" s="55"/>
      <c r="S244" s="55"/>
      <c r="T244" s="55"/>
      <c r="U244" s="55"/>
    </row>
    <row r="245" spans="1:21" ht="18.75" hidden="1">
      <c r="A245" s="238"/>
      <c r="B245" s="188"/>
      <c r="C245" s="188"/>
      <c r="D245" s="186" t="s">
        <v>88</v>
      </c>
      <c r="E245" s="50"/>
      <c r="F245" s="50"/>
      <c r="G245" s="52"/>
      <c r="H245" s="189" t="s">
        <v>14</v>
      </c>
      <c r="I245" s="54"/>
      <c r="J245" s="54"/>
      <c r="K245" s="55"/>
      <c r="L245" s="256">
        <f ca="1">IFERROR(__xludf.DUMMYFUNCTION("IMPORTRANGE(""https://docs.google.com/spreadsheets/d/1eHaY18a8A9IcSdp1K8H6x8fbOy06t2VsZHhMHf-1x7Y/edit?usp=sharing"",""แผน!AY37"")"),0)</f>
        <v>0</v>
      </c>
      <c r="M245" s="55"/>
      <c r="N245" s="702">
        <v>0</v>
      </c>
      <c r="O245" s="55"/>
      <c r="P245" s="55"/>
      <c r="Q245" s="55"/>
      <c r="R245" s="55"/>
      <c r="S245" s="55"/>
      <c r="T245" s="55"/>
      <c r="U245" s="55"/>
    </row>
    <row r="246" spans="1:21" ht="18.75" hidden="1">
      <c r="A246" s="238"/>
      <c r="B246" s="188"/>
      <c r="C246" s="188"/>
      <c r="D246" s="186" t="s">
        <v>106</v>
      </c>
      <c r="E246" s="50"/>
      <c r="F246" s="50"/>
      <c r="G246" s="52"/>
      <c r="H246" s="189" t="s">
        <v>14</v>
      </c>
      <c r="I246" s="54"/>
      <c r="J246" s="54"/>
      <c r="K246" s="55"/>
      <c r="L246" s="256">
        <f ca="1">IFERROR(__xludf.DUMMYFUNCTION("IMPORTRANGE(""https://docs.google.com/spreadsheets/d/1eHaY18a8A9IcSdp1K8H6x8fbOy06t2VsZHhMHf-1x7Y/edit?usp=sharing"",""แผน!AZ37"")"),0)</f>
        <v>0</v>
      </c>
      <c r="M246" s="55"/>
      <c r="N246" s="702">
        <v>0</v>
      </c>
      <c r="O246" s="55"/>
      <c r="P246" s="55"/>
      <c r="Q246" s="55"/>
      <c r="R246" s="55"/>
      <c r="S246" s="55"/>
      <c r="T246" s="55"/>
      <c r="U246" s="55"/>
    </row>
    <row r="247" spans="1:21" ht="18.75" hidden="1">
      <c r="A247" s="238"/>
      <c r="B247" s="188"/>
      <c r="C247" s="188"/>
      <c r="D247" s="186" t="s">
        <v>107</v>
      </c>
      <c r="E247" s="50"/>
      <c r="F247" s="50"/>
      <c r="G247" s="52"/>
      <c r="H247" s="189" t="s">
        <v>14</v>
      </c>
      <c r="I247" s="54"/>
      <c r="J247" s="54"/>
      <c r="K247" s="55"/>
      <c r="L247" s="256">
        <f ca="1">IFERROR(__xludf.DUMMYFUNCTION("IMPORTRANGE(""https://docs.google.com/spreadsheets/d/1eHaY18a8A9IcSdp1K8H6x8fbOy06t2VsZHhMHf-1x7Y/edit?usp=sharing"",""แผน!BA37"")"),0)</f>
        <v>0</v>
      </c>
      <c r="M247" s="55"/>
      <c r="N247" s="702">
        <v>0</v>
      </c>
      <c r="O247" s="55"/>
      <c r="P247" s="55"/>
      <c r="Q247" s="55"/>
      <c r="R247" s="55"/>
      <c r="S247" s="55"/>
      <c r="T247" s="55"/>
      <c r="U247" s="55"/>
    </row>
    <row r="248" spans="1:21" ht="19.5" hidden="1">
      <c r="A248" s="166"/>
      <c r="B248" s="167"/>
      <c r="C248" s="701" t="s">
        <v>18</v>
      </c>
      <c r="D248" s="574" t="s">
        <v>38</v>
      </c>
      <c r="E248" s="169"/>
      <c r="F248" s="169"/>
      <c r="G248" s="170"/>
      <c r="H248" s="171"/>
      <c r="I248" s="163"/>
      <c r="J248" s="54"/>
      <c r="K248" s="55"/>
      <c r="L248" s="62"/>
      <c r="M248" s="55"/>
      <c r="N248" s="55"/>
      <c r="O248" s="164"/>
      <c r="P248" s="164"/>
      <c r="Q248" s="55"/>
      <c r="R248" s="55"/>
      <c r="S248" s="55"/>
      <c r="T248" s="164"/>
      <c r="U248" s="164"/>
    </row>
    <row r="249" spans="1:21" ht="18.75" hidden="1">
      <c r="A249" s="166"/>
      <c r="B249" s="167"/>
      <c r="C249" s="167"/>
      <c r="D249" s="207" t="s">
        <v>108</v>
      </c>
      <c r="E249" s="174"/>
      <c r="F249" s="174"/>
      <c r="G249" s="171"/>
      <c r="H249" s="698" t="s">
        <v>35</v>
      </c>
      <c r="I249" s="483">
        <f ca="1">IFERROR(__xludf.DUMMYFUNCTION("IMPORTRANGE(""https://docs.google.com/spreadsheets/d/1eHaY18a8A9IcSdp1K8H6x8fbOy06t2VsZHhMHf-1x7Y/edit?usp=sharing"",""แผน!BG37"")"),0)</f>
        <v>0</v>
      </c>
      <c r="J249" s="589">
        <v>0</v>
      </c>
      <c r="K249" s="102">
        <f ca="1">IF(I249&gt;0,J249*100/I249,0)</f>
        <v>0</v>
      </c>
      <c r="L249" s="62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8.75" hidden="1">
      <c r="A250" s="166"/>
      <c r="B250" s="167"/>
      <c r="C250" s="167"/>
      <c r="D250" s="700" t="s">
        <v>43</v>
      </c>
      <c r="E250" s="174"/>
      <c r="F250" s="174"/>
      <c r="G250" s="171"/>
      <c r="H250" s="171"/>
      <c r="I250" s="54"/>
      <c r="J250" s="54"/>
      <c r="K250" s="55"/>
      <c r="L250" s="62"/>
      <c r="M250" s="55"/>
      <c r="N250" s="55"/>
      <c r="O250" s="164"/>
      <c r="P250" s="164"/>
      <c r="Q250" s="55"/>
      <c r="R250" s="55"/>
      <c r="S250" s="55"/>
      <c r="T250" s="164"/>
      <c r="U250" s="164"/>
    </row>
    <row r="251" spans="1:21" ht="18.75" hidden="1">
      <c r="A251" s="166"/>
      <c r="B251" s="167"/>
      <c r="C251" s="167"/>
      <c r="D251" s="167"/>
      <c r="E251" s="699" t="s">
        <v>109</v>
      </c>
      <c r="F251" s="174"/>
      <c r="G251" s="171"/>
      <c r="H251" s="698" t="s">
        <v>35</v>
      </c>
      <c r="I251" s="483">
        <v>0</v>
      </c>
      <c r="J251" s="589">
        <v>0</v>
      </c>
      <c r="K251" s="102">
        <f>IF(I251&gt;0,J251*100/I251,0)</f>
        <v>0</v>
      </c>
      <c r="L251" s="62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8.75" hidden="1">
      <c r="A252" s="166"/>
      <c r="B252" s="167"/>
      <c r="C252" s="167"/>
      <c r="D252" s="167"/>
      <c r="E252" s="699" t="s">
        <v>110</v>
      </c>
      <c r="F252" s="174"/>
      <c r="G252" s="171"/>
      <c r="H252" s="698" t="s">
        <v>61</v>
      </c>
      <c r="I252" s="483">
        <v>0</v>
      </c>
      <c r="J252" s="589">
        <v>0</v>
      </c>
      <c r="K252" s="102">
        <f>IF(I252&gt;0,J252*100/I252,0)</f>
        <v>0</v>
      </c>
      <c r="L252" s="62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9.5" hidden="1">
      <c r="A253" s="241"/>
      <c r="B253" s="242"/>
      <c r="C253" s="707" t="s">
        <v>112</v>
      </c>
      <c r="D253" s="244"/>
      <c r="E253" s="244"/>
      <c r="F253" s="244"/>
      <c r="G253" s="245"/>
      <c r="H253" s="706" t="s">
        <v>35</v>
      </c>
      <c r="I253" s="705">
        <f ca="1">I260</f>
        <v>0</v>
      </c>
      <c r="J253" s="705">
        <f>J260</f>
        <v>0</v>
      </c>
      <c r="K253" s="704">
        <f ca="1">IF(I253&gt;0,J253*100/I253,0)</f>
        <v>0</v>
      </c>
      <c r="L253" s="250"/>
      <c r="M253" s="249"/>
      <c r="N253" s="249"/>
      <c r="O253" s="249"/>
      <c r="P253" s="249"/>
      <c r="Q253" s="249"/>
      <c r="R253" s="249"/>
      <c r="S253" s="249"/>
      <c r="T253" s="249"/>
      <c r="U253" s="249"/>
    </row>
    <row r="254" spans="1:21" ht="19.5" hidden="1">
      <c r="A254" s="155"/>
      <c r="B254" s="50"/>
      <c r="C254" s="591" t="s">
        <v>18</v>
      </c>
      <c r="D254" s="703" t="s">
        <v>19</v>
      </c>
      <c r="E254" s="50"/>
      <c r="F254" s="50"/>
      <c r="G254" s="52"/>
      <c r="H254" s="418" t="s">
        <v>14</v>
      </c>
      <c r="I254" s="163"/>
      <c r="J254" s="163"/>
      <c r="K254" s="164"/>
      <c r="L254" s="541">
        <f ca="1">L255+L256+L257+L258</f>
        <v>0</v>
      </c>
      <c r="M254" s="55"/>
      <c r="N254" s="540">
        <f>N255+N256+N257+N258</f>
        <v>0</v>
      </c>
      <c r="O254" s="540">
        <f ca="1">IF(L254&gt;0,N254*100/L254,0)</f>
        <v>0</v>
      </c>
      <c r="P254" s="540">
        <f>IF(M254&gt;0,N254*100/M254,0)</f>
        <v>0</v>
      </c>
      <c r="Q254" s="55"/>
      <c r="R254" s="55"/>
      <c r="S254" s="55"/>
      <c r="T254" s="55"/>
      <c r="U254" s="55"/>
    </row>
    <row r="255" spans="1:21" ht="18.75" hidden="1">
      <c r="A255" s="155"/>
      <c r="B255" s="188"/>
      <c r="C255" s="50"/>
      <c r="D255" s="186" t="s">
        <v>86</v>
      </c>
      <c r="E255" s="50"/>
      <c r="F255" s="50"/>
      <c r="G255" s="52"/>
      <c r="H255" s="189" t="s">
        <v>14</v>
      </c>
      <c r="I255" s="163"/>
      <c r="J255" s="163"/>
      <c r="K255" s="164"/>
      <c r="L255" s="256">
        <f ca="1">IFERROR(__xludf.DUMMYFUNCTION("IMPORTRANGE(""https://docs.google.com/spreadsheets/d/1eHaY18a8A9IcSdp1K8H6x8fbOy06t2VsZHhMHf-1x7Y/edit?usp=sharing"",""แผน!BB37"")"),0)</f>
        <v>0</v>
      </c>
      <c r="M255" s="55"/>
      <c r="N255" s="702">
        <v>0</v>
      </c>
      <c r="O255" s="55"/>
      <c r="P255" s="55"/>
      <c r="Q255" s="55"/>
      <c r="R255" s="55"/>
      <c r="S255" s="55"/>
      <c r="T255" s="55"/>
      <c r="U255" s="55"/>
    </row>
    <row r="256" spans="1:21" ht="18.75" hidden="1">
      <c r="A256" s="238"/>
      <c r="B256" s="188"/>
      <c r="C256" s="188"/>
      <c r="D256" s="186" t="s">
        <v>88</v>
      </c>
      <c r="E256" s="50"/>
      <c r="F256" s="50"/>
      <c r="G256" s="52"/>
      <c r="H256" s="189" t="s">
        <v>14</v>
      </c>
      <c r="I256" s="54"/>
      <c r="J256" s="54"/>
      <c r="K256" s="55"/>
      <c r="L256" s="256">
        <f ca="1">IFERROR(__xludf.DUMMYFUNCTION("IMPORTRANGE(""https://docs.google.com/spreadsheets/d/1eHaY18a8A9IcSdp1K8H6x8fbOy06t2VsZHhMHf-1x7Y/edit?usp=sharing"",""แผน!BC37"")"),0)</f>
        <v>0</v>
      </c>
      <c r="M256" s="55"/>
      <c r="N256" s="702">
        <v>0</v>
      </c>
      <c r="O256" s="55"/>
      <c r="P256" s="55"/>
      <c r="Q256" s="55"/>
      <c r="R256" s="55"/>
      <c r="S256" s="55"/>
      <c r="T256" s="55"/>
      <c r="U256" s="55"/>
    </row>
    <row r="257" spans="1:21" ht="18.75" hidden="1">
      <c r="A257" s="238"/>
      <c r="B257" s="188"/>
      <c r="C257" s="188"/>
      <c r="D257" s="186" t="s">
        <v>106</v>
      </c>
      <c r="E257" s="50"/>
      <c r="F257" s="50"/>
      <c r="G257" s="52"/>
      <c r="H257" s="189" t="s">
        <v>14</v>
      </c>
      <c r="I257" s="54"/>
      <c r="J257" s="54"/>
      <c r="K257" s="55"/>
      <c r="L257" s="256">
        <f ca="1">IFERROR(__xludf.DUMMYFUNCTION("IMPORTRANGE(""https://docs.google.com/spreadsheets/d/1eHaY18a8A9IcSdp1K8H6x8fbOy06t2VsZHhMHf-1x7Y/edit?usp=sharing"",""แผน!BD37"")"),0)</f>
        <v>0</v>
      </c>
      <c r="M257" s="55"/>
      <c r="N257" s="702">
        <v>0</v>
      </c>
      <c r="O257" s="55"/>
      <c r="P257" s="55"/>
      <c r="Q257" s="55"/>
      <c r="R257" s="55"/>
      <c r="S257" s="55"/>
      <c r="T257" s="55"/>
      <c r="U257" s="55"/>
    </row>
    <row r="258" spans="1:21" ht="18.75" hidden="1">
      <c r="A258" s="238"/>
      <c r="B258" s="188"/>
      <c r="C258" s="188"/>
      <c r="D258" s="186" t="s">
        <v>107</v>
      </c>
      <c r="E258" s="50"/>
      <c r="F258" s="50"/>
      <c r="G258" s="52"/>
      <c r="H258" s="189" t="s">
        <v>14</v>
      </c>
      <c r="I258" s="54"/>
      <c r="J258" s="54"/>
      <c r="K258" s="55"/>
      <c r="L258" s="256">
        <f ca="1">IFERROR(__xludf.DUMMYFUNCTION("IMPORTRANGE(""https://docs.google.com/spreadsheets/d/1eHaY18a8A9IcSdp1K8H6x8fbOy06t2VsZHhMHf-1x7Y/edit?usp=sharing"",""แผน!BE37"")"),0)</f>
        <v>0</v>
      </c>
      <c r="M258" s="55"/>
      <c r="N258" s="702">
        <v>0</v>
      </c>
      <c r="O258" s="55"/>
      <c r="P258" s="55"/>
      <c r="Q258" s="55"/>
      <c r="R258" s="55"/>
      <c r="S258" s="55"/>
      <c r="T258" s="55"/>
      <c r="U258" s="55"/>
    </row>
    <row r="259" spans="1:21" ht="19.5" hidden="1">
      <c r="A259" s="166"/>
      <c r="B259" s="167"/>
      <c r="C259" s="701" t="s">
        <v>18</v>
      </c>
      <c r="D259" s="574" t="s">
        <v>38</v>
      </c>
      <c r="E259" s="169"/>
      <c r="F259" s="169"/>
      <c r="G259" s="170"/>
      <c r="H259" s="171"/>
      <c r="I259" s="163"/>
      <c r="J259" s="54"/>
      <c r="K259" s="55"/>
      <c r="L259" s="62"/>
      <c r="M259" s="55"/>
      <c r="N259" s="55"/>
      <c r="O259" s="164"/>
      <c r="P259" s="164"/>
      <c r="Q259" s="55"/>
      <c r="R259" s="55"/>
      <c r="S259" s="55"/>
      <c r="T259" s="164"/>
      <c r="U259" s="164"/>
    </row>
    <row r="260" spans="1:21" ht="18.75" hidden="1">
      <c r="A260" s="166"/>
      <c r="B260" s="167"/>
      <c r="C260" s="167"/>
      <c r="D260" s="207" t="s">
        <v>108</v>
      </c>
      <c r="E260" s="174"/>
      <c r="F260" s="174"/>
      <c r="G260" s="171"/>
      <c r="H260" s="698" t="s">
        <v>35</v>
      </c>
      <c r="I260" s="483">
        <f ca="1">IFERROR(__xludf.DUMMYFUNCTION("IMPORTRANGE(""https://docs.google.com/spreadsheets/d/1eHaY18a8A9IcSdp1K8H6x8fbOy06t2VsZHhMHf-1x7Y/edit?usp=sharing"",""แผน!BH37"")"),0)</f>
        <v>0</v>
      </c>
      <c r="J260" s="589">
        <v>0</v>
      </c>
      <c r="K260" s="102">
        <f ca="1">IF(I260&gt;0,J260*100/I260,0)</f>
        <v>0</v>
      </c>
      <c r="L260" s="62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8.75" hidden="1">
      <c r="A261" s="166"/>
      <c r="B261" s="167"/>
      <c r="C261" s="167"/>
      <c r="D261" s="700" t="s">
        <v>43</v>
      </c>
      <c r="E261" s="174"/>
      <c r="F261" s="174"/>
      <c r="G261" s="171"/>
      <c r="H261" s="171"/>
      <c r="I261" s="54"/>
      <c r="J261" s="54"/>
      <c r="K261" s="55"/>
      <c r="L261" s="62"/>
      <c r="M261" s="55"/>
      <c r="N261" s="55"/>
      <c r="O261" s="164"/>
      <c r="P261" s="164"/>
      <c r="Q261" s="55"/>
      <c r="R261" s="55"/>
      <c r="S261" s="55"/>
      <c r="T261" s="164"/>
      <c r="U261" s="164"/>
    </row>
    <row r="262" spans="1:21" ht="18.75" hidden="1">
      <c r="A262" s="166"/>
      <c r="B262" s="167"/>
      <c r="C262" s="167"/>
      <c r="D262" s="167"/>
      <c r="E262" s="699" t="s">
        <v>109</v>
      </c>
      <c r="F262" s="174"/>
      <c r="G262" s="171"/>
      <c r="H262" s="698" t="s">
        <v>35</v>
      </c>
      <c r="I262" s="54"/>
      <c r="J262" s="589">
        <v>0</v>
      </c>
      <c r="K262" s="102">
        <f>IF(I262&gt;0,J262*100/I262,0)</f>
        <v>0</v>
      </c>
      <c r="L262" s="62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8.75" hidden="1">
      <c r="A263" s="166"/>
      <c r="B263" s="167"/>
      <c r="C263" s="167"/>
      <c r="D263" s="167"/>
      <c r="E263" s="699" t="s">
        <v>110</v>
      </c>
      <c r="F263" s="174"/>
      <c r="G263" s="171"/>
      <c r="H263" s="698" t="s">
        <v>61</v>
      </c>
      <c r="I263" s="54"/>
      <c r="J263" s="589">
        <v>0</v>
      </c>
      <c r="K263" s="102">
        <f>IF(I263&gt;0,J263*100/I263,0)</f>
        <v>0</v>
      </c>
      <c r="L263" s="62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9.5">
      <c r="A264" s="697" t="s">
        <v>113</v>
      </c>
      <c r="B264" s="696"/>
      <c r="C264" s="696"/>
      <c r="D264" s="695"/>
      <c r="E264" s="695"/>
      <c r="F264" s="695"/>
      <c r="G264" s="694"/>
      <c r="H264" s="694"/>
      <c r="I264" s="693"/>
      <c r="J264" s="693"/>
      <c r="K264" s="691"/>
      <c r="L264" s="692"/>
      <c r="M264" s="691"/>
      <c r="N264" s="691"/>
      <c r="O264" s="691"/>
      <c r="P264" s="691"/>
      <c r="Q264" s="691"/>
      <c r="R264" s="691"/>
      <c r="S264" s="691"/>
      <c r="T264" s="691"/>
      <c r="U264" s="691"/>
    </row>
    <row r="265" spans="1:21" ht="19.5">
      <c r="A265" s="690"/>
      <c r="B265" s="689" t="s">
        <v>114</v>
      </c>
      <c r="C265" s="688"/>
      <c r="D265" s="661"/>
      <c r="E265" s="661"/>
      <c r="F265" s="661"/>
      <c r="G265" s="660"/>
      <c r="H265" s="687" t="s">
        <v>35</v>
      </c>
      <c r="I265" s="686">
        <f ca="1">I276</f>
        <v>24</v>
      </c>
      <c r="J265" s="686">
        <f>J276</f>
        <v>24</v>
      </c>
      <c r="K265" s="685">
        <f ca="1">IF(I265&gt;0,J265*100/I265,0)</f>
        <v>100</v>
      </c>
      <c r="L265" s="684"/>
      <c r="M265" s="683"/>
      <c r="N265" s="683"/>
      <c r="O265" s="683"/>
      <c r="P265" s="683"/>
      <c r="Q265" s="683"/>
      <c r="R265" s="683"/>
      <c r="S265" s="683"/>
      <c r="T265" s="683"/>
      <c r="U265" s="683"/>
    </row>
    <row r="266" spans="1:21" ht="19.5">
      <c r="A266" s="668"/>
      <c r="B266" s="667"/>
      <c r="C266" s="682" t="s">
        <v>18</v>
      </c>
      <c r="D266" s="681" t="s">
        <v>19</v>
      </c>
      <c r="E266" s="667"/>
      <c r="F266" s="667"/>
      <c r="G266" s="666"/>
      <c r="H266" s="680" t="s">
        <v>14</v>
      </c>
      <c r="I266" s="548"/>
      <c r="J266" s="548"/>
      <c r="K266" s="545"/>
      <c r="L266" s="679">
        <f ca="1">L267+L268</f>
        <v>0</v>
      </c>
      <c r="M266" s="678">
        <f ca="1">M267+M268</f>
        <v>5000</v>
      </c>
      <c r="N266" s="678">
        <f ca="1">N267+N268</f>
        <v>0</v>
      </c>
      <c r="O266" s="678">
        <f ca="1">IF(L266&gt;0,N266*100/L266,0)</f>
        <v>0</v>
      </c>
      <c r="P266" s="678">
        <f ca="1">IF(M266&gt;0,N266*100/M266,0)</f>
        <v>0</v>
      </c>
      <c r="Q266" s="678">
        <f ca="1">Q267+Q268</f>
        <v>53440</v>
      </c>
      <c r="R266" s="678">
        <f ca="1">R267+R268</f>
        <v>53440</v>
      </c>
      <c r="S266" s="678">
        <f ca="1">S267+S268</f>
        <v>43600</v>
      </c>
      <c r="T266" s="678">
        <f ca="1">IF(Q266&gt;0,S266*100/Q266,0)</f>
        <v>81.58682634730539</v>
      </c>
      <c r="U266" s="678">
        <f ca="1">IF(R266&gt;0,S266*100/R266,0)</f>
        <v>81.58682634730539</v>
      </c>
    </row>
    <row r="267" spans="1:21" ht="18.75" hidden="1">
      <c r="A267" s="673"/>
      <c r="B267" s="672"/>
      <c r="C267" s="672"/>
      <c r="D267" s="672"/>
      <c r="E267" s="186" t="s">
        <v>20</v>
      </c>
      <c r="F267" s="672"/>
      <c r="G267" s="671"/>
      <c r="H267" s="187" t="s">
        <v>14</v>
      </c>
      <c r="I267" s="677"/>
      <c r="J267" s="677"/>
      <c r="K267" s="676"/>
      <c r="L267" s="103">
        <f>L270+L273</f>
        <v>0</v>
      </c>
      <c r="M267" s="102">
        <f>M270+M273</f>
        <v>0</v>
      </c>
      <c r="N267" s="102">
        <f>N270+N273</f>
        <v>0</v>
      </c>
      <c r="O267" s="102">
        <f>IF(L267&gt;0,N267*100/L267,0)</f>
        <v>0</v>
      </c>
      <c r="P267" s="102">
        <f>IF(M267&gt;0,N267*100/M267,0)</f>
        <v>0</v>
      </c>
      <c r="Q267" s="102">
        <f>Q270+Q273</f>
        <v>0</v>
      </c>
      <c r="R267" s="102">
        <f>R270+R273</f>
        <v>0</v>
      </c>
      <c r="S267" s="102">
        <f>S270+S273</f>
        <v>0</v>
      </c>
      <c r="T267" s="102">
        <f>IF(Q267&gt;0,S267*100/Q267,0)</f>
        <v>0</v>
      </c>
      <c r="U267" s="102">
        <f>IF(R267&gt;0,S267*100/R267,0)</f>
        <v>0</v>
      </c>
    </row>
    <row r="268" spans="1:21" ht="18.75" hidden="1">
      <c r="A268" s="668"/>
      <c r="B268" s="667"/>
      <c r="C268" s="667"/>
      <c r="D268" s="667"/>
      <c r="E268" s="663" t="s">
        <v>21</v>
      </c>
      <c r="F268" s="667"/>
      <c r="G268" s="666"/>
      <c r="H268" s="549" t="s">
        <v>14</v>
      </c>
      <c r="I268" s="548"/>
      <c r="J268" s="548"/>
      <c r="K268" s="545"/>
      <c r="L268" s="664">
        <f ca="1">L271+L274</f>
        <v>0</v>
      </c>
      <c r="M268" s="555">
        <f ca="1">M271+M274</f>
        <v>5000</v>
      </c>
      <c r="N268" s="555">
        <f ca="1">N271+N274</f>
        <v>0</v>
      </c>
      <c r="O268" s="555">
        <f ca="1">IF(L268&gt;0,N268*100/L268,0)</f>
        <v>0</v>
      </c>
      <c r="P268" s="555">
        <f ca="1">IF(M268&gt;0,N268*100/M268,0)</f>
        <v>0</v>
      </c>
      <c r="Q268" s="555">
        <f ca="1">Q271+Q274</f>
        <v>53440</v>
      </c>
      <c r="R268" s="555">
        <f ca="1">R271+R274</f>
        <v>53440</v>
      </c>
      <c r="S268" s="555">
        <f ca="1">S271+S274</f>
        <v>43600</v>
      </c>
      <c r="T268" s="555">
        <f ca="1">IF(Q268&gt;0,S268*100/Q268,0)</f>
        <v>81.58682634730539</v>
      </c>
      <c r="U268" s="555">
        <f ca="1">IF(R268&gt;0,S268*100/R268,0)</f>
        <v>81.58682634730539</v>
      </c>
    </row>
    <row r="269" spans="1:21" ht="18.75">
      <c r="A269" s="668"/>
      <c r="B269" s="667"/>
      <c r="C269" s="667"/>
      <c r="D269" s="674" t="s">
        <v>22</v>
      </c>
      <c r="E269" s="667"/>
      <c r="F269" s="667"/>
      <c r="G269" s="666"/>
      <c r="H269" s="675" t="s">
        <v>14</v>
      </c>
      <c r="I269" s="659"/>
      <c r="J269" s="659"/>
      <c r="K269" s="657"/>
      <c r="L269" s="664">
        <f ca="1">L270+L271</f>
        <v>0</v>
      </c>
      <c r="M269" s="555">
        <f ca="1">M270+M271</f>
        <v>5000</v>
      </c>
      <c r="N269" s="555">
        <f ca="1">N270+N271</f>
        <v>0</v>
      </c>
      <c r="O269" s="555">
        <f ca="1">IF(L269&gt;0,N269*100/L269,0)</f>
        <v>0</v>
      </c>
      <c r="P269" s="555">
        <f ca="1">IF(M269&gt;0,N269*100/M269,0)</f>
        <v>0</v>
      </c>
      <c r="Q269" s="555">
        <f ca="1">Q270+Q271</f>
        <v>53440</v>
      </c>
      <c r="R269" s="555">
        <f ca="1">R270+R271</f>
        <v>53440</v>
      </c>
      <c r="S269" s="555">
        <f ca="1">S270+S271</f>
        <v>43600</v>
      </c>
      <c r="T269" s="555">
        <f ca="1">IF(Q269&gt;0,S269*100/Q269,0)</f>
        <v>81.58682634730539</v>
      </c>
      <c r="U269" s="555">
        <f ca="1">IF(R269&gt;0,S269*100/R269,0)</f>
        <v>81.58682634730539</v>
      </c>
    </row>
    <row r="270" spans="1:21" ht="18.75" hidden="1">
      <c r="A270" s="673"/>
      <c r="B270" s="672"/>
      <c r="C270" s="672"/>
      <c r="D270" s="672"/>
      <c r="E270" s="186" t="s">
        <v>36</v>
      </c>
      <c r="F270" s="672"/>
      <c r="G270" s="671"/>
      <c r="H270" s="189" t="s">
        <v>14</v>
      </c>
      <c r="I270" s="670"/>
      <c r="J270" s="670"/>
      <c r="K270" s="669"/>
      <c r="L270" s="103">
        <v>0</v>
      </c>
      <c r="M270" s="102">
        <v>0</v>
      </c>
      <c r="N270" s="102">
        <v>0</v>
      </c>
      <c r="O270" s="102">
        <f>IF(L270&gt;0,N270*100/L270,0)</f>
        <v>0</v>
      </c>
      <c r="P270" s="102">
        <f>IF(M270&gt;0,N270*100/M270,0)</f>
        <v>0</v>
      </c>
      <c r="Q270" s="102">
        <v>0</v>
      </c>
      <c r="R270" s="102">
        <v>0</v>
      </c>
      <c r="S270" s="102">
        <v>0</v>
      </c>
      <c r="T270" s="102">
        <f>IF(Q270&gt;0,S270*100/Q270,0)</f>
        <v>0</v>
      </c>
      <c r="U270" s="102">
        <f>IF(R270&gt;0,S270*100/R270,0)</f>
        <v>0</v>
      </c>
    </row>
    <row r="271" spans="1:21" ht="18.75" hidden="1">
      <c r="A271" s="668"/>
      <c r="B271" s="667"/>
      <c r="C271" s="667"/>
      <c r="D271" s="667"/>
      <c r="E271" s="663" t="s">
        <v>37</v>
      </c>
      <c r="F271" s="667"/>
      <c r="G271" s="666"/>
      <c r="H271" s="675" t="s">
        <v>14</v>
      </c>
      <c r="I271" s="659"/>
      <c r="J271" s="659"/>
      <c r="K271" s="657"/>
      <c r="L271" s="664">
        <f ca="1">IFERROR(__xludf.DUMMYFUNCTION("IMPORTRANGE(""https://docs.google.com/spreadsheets/d/1-uDff_7J0KD5mKrp0Vvzr7lt3OU09vwQwhkpOPPYv2Y/edit?usp=sharing"",""งบพรบ!DE37"")"),0)</f>
        <v>0</v>
      </c>
      <c r="M271" s="555">
        <f ca="1">IFERROR(__xludf.DUMMYFUNCTION("IMPORTRANGE(""https://docs.google.com/spreadsheets/d/1-uDff_7J0KD5mKrp0Vvzr7lt3OU09vwQwhkpOPPYv2Y/edit?usp=sharing"",""งบพรบ!DJ37"")"),5000)</f>
        <v>5000</v>
      </c>
      <c r="N271" s="555">
        <f ca="1">IFERROR(__xludf.DUMMYFUNCTION("IMPORTRANGE(""https://docs.google.com/spreadsheets/d/1-uDff_7J0KD5mKrp0Vvzr7lt3OU09vwQwhkpOPPYv2Y/edit?usp=sharing"",""งบพรบ!DL37"")"),0)</f>
        <v>0</v>
      </c>
      <c r="O271" s="555">
        <f ca="1">IF(L271&gt;0,N271*100/L271,0)</f>
        <v>0</v>
      </c>
      <c r="P271" s="555">
        <f ca="1">IF(M271&gt;0,N271*100/M271,0)</f>
        <v>0</v>
      </c>
      <c r="Q271" s="555">
        <f ca="1">IFERROR(__xludf.DUMMYFUNCTION("IMPORTRANGE(""https://docs.google.com/spreadsheets/d/1ItG2mGa2ceCfYo0BwxsXqNm01IGEUdYcSSLTEv9YCik/edit?usp=sharing"",""เบิกจ่ายกองทุน!AJ37"")"),53440)</f>
        <v>53440</v>
      </c>
      <c r="R271" s="555">
        <f ca="1">IFERROR(__xludf.DUMMYFUNCTION("IMPORTRANGE(""https://docs.google.com/spreadsheets/d/1ItG2mGa2ceCfYo0BwxsXqNm01IGEUdYcSSLTEv9YCik/edit?usp=sharing"",""เบิกจ่ายกองทุน!AK37"")"),53440)</f>
        <v>53440</v>
      </c>
      <c r="S271" s="555">
        <f ca="1">IFERROR(__xludf.DUMMYFUNCTION("IMPORTRANGE(""https://docs.google.com/spreadsheets/d/1ItG2mGa2ceCfYo0BwxsXqNm01IGEUdYcSSLTEv9YCik/edit?usp=sharing"",""เบิกจ่ายกองทุน!AL37"")"),43600)</f>
        <v>43600</v>
      </c>
      <c r="T271" s="555">
        <f ca="1">IF(Q271&gt;0,S271*100/Q271,0)</f>
        <v>81.58682634730539</v>
      </c>
      <c r="U271" s="555">
        <f ca="1">IF(R271&gt;0,S271*100/R271,0)</f>
        <v>81.58682634730539</v>
      </c>
    </row>
    <row r="272" spans="1:21" ht="18.75">
      <c r="A272" s="668"/>
      <c r="B272" s="667"/>
      <c r="C272" s="667"/>
      <c r="D272" s="674" t="s">
        <v>23</v>
      </c>
      <c r="E272" s="667"/>
      <c r="F272" s="667"/>
      <c r="G272" s="666"/>
      <c r="H272" s="665" t="s">
        <v>14</v>
      </c>
      <c r="I272" s="659"/>
      <c r="J272" s="659"/>
      <c r="K272" s="657"/>
      <c r="L272" s="664">
        <f ca="1">L273+L274</f>
        <v>0</v>
      </c>
      <c r="M272" s="555">
        <f ca="1">M273+M274</f>
        <v>0</v>
      </c>
      <c r="N272" s="555">
        <f ca="1">N273+N274</f>
        <v>0</v>
      </c>
      <c r="O272" s="555">
        <f ca="1">IF(L272&gt;0,N272*100/L272,0)</f>
        <v>0</v>
      </c>
      <c r="P272" s="555">
        <f ca="1">IF(M272&gt;0,N272*100/M272,0)</f>
        <v>0</v>
      </c>
      <c r="Q272" s="555">
        <f>Q273+Q274</f>
        <v>0</v>
      </c>
      <c r="R272" s="555">
        <f>R273+R274</f>
        <v>0</v>
      </c>
      <c r="S272" s="555">
        <f>S273+S274</f>
        <v>0</v>
      </c>
      <c r="T272" s="555">
        <f>IF(Q272&gt;0,S272*100/Q272,0)</f>
        <v>0</v>
      </c>
      <c r="U272" s="555">
        <f>IF(R272&gt;0,S272*100/R272,0)</f>
        <v>0</v>
      </c>
    </row>
    <row r="273" spans="1:21" ht="18.75" hidden="1">
      <c r="A273" s="673"/>
      <c r="B273" s="672"/>
      <c r="C273" s="672"/>
      <c r="D273" s="672"/>
      <c r="E273" s="186" t="s">
        <v>20</v>
      </c>
      <c r="F273" s="672"/>
      <c r="G273" s="671"/>
      <c r="H273" s="189" t="s">
        <v>14</v>
      </c>
      <c r="I273" s="670"/>
      <c r="J273" s="670"/>
      <c r="K273" s="669"/>
      <c r="L273" s="103">
        <v>0</v>
      </c>
      <c r="M273" s="102">
        <v>0</v>
      </c>
      <c r="N273" s="102">
        <v>0</v>
      </c>
      <c r="O273" s="102">
        <f>IF(L273&gt;0,N273*100/L273,0)</f>
        <v>0</v>
      </c>
      <c r="P273" s="102">
        <f>IF(M273&gt;0,N273*100/M273,0)</f>
        <v>0</v>
      </c>
      <c r="Q273" s="102">
        <v>0</v>
      </c>
      <c r="R273" s="102">
        <v>0</v>
      </c>
      <c r="S273" s="102">
        <v>0</v>
      </c>
      <c r="T273" s="102">
        <f>IF(Q273&gt;0,S273*100/Q273,0)</f>
        <v>0</v>
      </c>
      <c r="U273" s="102">
        <f>IF(R273&gt;0,S273*100/R273,0)</f>
        <v>0</v>
      </c>
    </row>
    <row r="274" spans="1:21" ht="18.75" hidden="1">
      <c r="A274" s="668"/>
      <c r="B274" s="667"/>
      <c r="C274" s="667"/>
      <c r="D274" s="667"/>
      <c r="E274" s="663" t="s">
        <v>21</v>
      </c>
      <c r="F274" s="667"/>
      <c r="G274" s="666"/>
      <c r="H274" s="665" t="s">
        <v>14</v>
      </c>
      <c r="I274" s="659"/>
      <c r="J274" s="659"/>
      <c r="K274" s="657"/>
      <c r="L274" s="664">
        <f ca="1">IFERROR(__xludf.DUMMYFUNCTION("IMPORTRANGE(""https://docs.google.com/spreadsheets/d/1-uDff_7J0KD5mKrp0Vvzr7lt3OU09vwQwhkpOPPYv2Y/edit?usp=sharing"",""งบพรบ!DH37"")"),0)</f>
        <v>0</v>
      </c>
      <c r="M274" s="555">
        <f ca="1">IFERROR(__xludf.DUMMYFUNCTION("IMPORTRANGE(""https://docs.google.com/spreadsheets/d/1-uDff_7J0KD5mKrp0Vvzr7lt3OU09vwQwhkpOPPYv2Y/edit?usp=sharing"",""งบพรบ!DK37"")"),0)</f>
        <v>0</v>
      </c>
      <c r="N274" s="555">
        <f ca="1">IFERROR(__xludf.DUMMYFUNCTION("IMPORTRANGE(""https://docs.google.com/spreadsheets/d/1-uDff_7J0KD5mKrp0Vvzr7lt3OU09vwQwhkpOPPYv2Y/edit?usp=sharing"",""งบพรบ!DM37"")"),0)</f>
        <v>0</v>
      </c>
      <c r="O274" s="555">
        <f ca="1">IF(L274&gt;0,N274*100/L274,0)</f>
        <v>0</v>
      </c>
      <c r="P274" s="555">
        <f ca="1">IF(M274&gt;0,N274*100/M274,0)</f>
        <v>0</v>
      </c>
      <c r="Q274" s="555">
        <v>0</v>
      </c>
      <c r="R274" s="555">
        <v>0</v>
      </c>
      <c r="S274" s="555">
        <v>0</v>
      </c>
      <c r="T274" s="555">
        <f>IF(Q274&gt;0,S274*100/Q274,0)</f>
        <v>0</v>
      </c>
      <c r="U274" s="555">
        <f>IF(R274&gt;0,S274*100/R274,0)</f>
        <v>0</v>
      </c>
    </row>
    <row r="275" spans="1:21" ht="19.5">
      <c r="A275" s="554"/>
      <c r="B275" s="553"/>
      <c r="C275" s="663" t="s">
        <v>18</v>
      </c>
      <c r="D275" s="662" t="s">
        <v>38</v>
      </c>
      <c r="E275" s="661"/>
      <c r="F275" s="661"/>
      <c r="G275" s="660"/>
      <c r="H275" s="550"/>
      <c r="I275" s="659"/>
      <c r="J275" s="659"/>
      <c r="K275" s="657"/>
      <c r="L275" s="658"/>
      <c r="M275" s="657"/>
      <c r="N275" s="657"/>
      <c r="O275" s="657"/>
      <c r="P275" s="657"/>
      <c r="Q275" s="657"/>
      <c r="R275" s="657"/>
      <c r="S275" s="657"/>
      <c r="T275" s="657"/>
      <c r="U275" s="657"/>
    </row>
    <row r="276" spans="1:21" ht="18.75">
      <c r="A276" s="783"/>
      <c r="B276" s="343"/>
      <c r="C276" s="343"/>
      <c r="D276" s="782" t="s">
        <v>115</v>
      </c>
      <c r="E276" s="344"/>
      <c r="F276" s="344"/>
      <c r="G276" s="346"/>
      <c r="H276" s="347" t="s">
        <v>35</v>
      </c>
      <c r="I276" s="349">
        <f ca="1">IFERROR(__xludf.DUMMYFUNCTION("IMPORTRANGE(""https://docs.google.com/spreadsheets/d/1eHaY18a8A9IcSdp1K8H6x8fbOy06t2VsZHhMHf-1x7Y/edit?usp=sharing"",""แผน!EC37"")"),24)</f>
        <v>24</v>
      </c>
      <c r="J276" s="495">
        <v>24</v>
      </c>
      <c r="K276" s="708">
        <f ca="1">IF(I276&gt;0,J276*100/I276,0)</f>
        <v>100</v>
      </c>
      <c r="L276" s="62"/>
      <c r="M276" s="55"/>
      <c r="N276" s="55"/>
      <c r="O276" s="55"/>
      <c r="P276" s="55"/>
      <c r="Q276" s="55"/>
      <c r="R276" s="55"/>
      <c r="S276" s="55"/>
      <c r="T276" s="55"/>
      <c r="U276" s="55"/>
    </row>
    <row r="277" spans="1:21" ht="18.75" hidden="1">
      <c r="A277" s="281"/>
      <c r="B277" s="282"/>
      <c r="C277" s="282"/>
      <c r="D277" s="647" t="s">
        <v>116</v>
      </c>
      <c r="E277" s="2"/>
      <c r="F277" s="2"/>
      <c r="G277" s="284"/>
      <c r="H277" s="646" t="s">
        <v>35</v>
      </c>
      <c r="I277" s="486">
        <v>0</v>
      </c>
      <c r="J277" s="486">
        <v>0</v>
      </c>
      <c r="K277" s="645">
        <v>0</v>
      </c>
      <c r="L277" s="287"/>
      <c r="M277" s="286"/>
      <c r="N277" s="286"/>
      <c r="O277" s="286"/>
      <c r="P277" s="286"/>
      <c r="Q277" s="286"/>
      <c r="R277" s="286"/>
      <c r="S277" s="286"/>
      <c r="T277" s="286"/>
      <c r="U277" s="286"/>
    </row>
    <row r="278" spans="1:21" ht="19.5" hidden="1">
      <c r="A278" s="288" t="s">
        <v>117</v>
      </c>
      <c r="B278" s="289"/>
      <c r="C278" s="289"/>
      <c r="D278" s="289"/>
      <c r="E278" s="290"/>
      <c r="F278" s="290"/>
      <c r="G278" s="290"/>
      <c r="H278" s="290"/>
      <c r="I278" s="291"/>
      <c r="J278" s="291"/>
      <c r="K278" s="292"/>
      <c r="L278" s="292"/>
      <c r="M278" s="292"/>
      <c r="N278" s="292"/>
      <c r="O278" s="292"/>
      <c r="P278" s="293"/>
      <c r="Q278" s="292"/>
      <c r="R278" s="292"/>
      <c r="S278" s="292"/>
      <c r="T278" s="292"/>
      <c r="U278" s="293"/>
    </row>
    <row r="279" spans="1:21" ht="19.5" hidden="1">
      <c r="A279" s="294" t="s">
        <v>118</v>
      </c>
      <c r="B279" s="295"/>
      <c r="C279" s="296"/>
      <c r="D279" s="295"/>
      <c r="E279" s="295"/>
      <c r="F279" s="295"/>
      <c r="G279" s="295"/>
      <c r="H279" s="295"/>
      <c r="I279" s="297"/>
      <c r="J279" s="298"/>
      <c r="K279" s="299"/>
      <c r="L279" s="300"/>
      <c r="M279" s="299"/>
      <c r="N279" s="299"/>
      <c r="O279" s="299"/>
      <c r="P279" s="299"/>
      <c r="Q279" s="299"/>
      <c r="R279" s="299"/>
      <c r="S279" s="299"/>
      <c r="T279" s="299"/>
      <c r="U279" s="299"/>
    </row>
    <row r="280" spans="1:21" ht="19.5" hidden="1">
      <c r="A280" s="301"/>
      <c r="B280" s="302" t="s">
        <v>119</v>
      </c>
      <c r="C280" s="303"/>
      <c r="D280" s="304"/>
      <c r="E280" s="303"/>
      <c r="F280" s="303"/>
      <c r="G280" s="305"/>
      <c r="H280" s="306" t="s">
        <v>35</v>
      </c>
      <c r="I280" s="644">
        <f ca="1">I293</f>
        <v>0</v>
      </c>
      <c r="J280" s="644">
        <f>J293</f>
        <v>0</v>
      </c>
      <c r="K280" s="643">
        <f ca="1">IF(I280&gt;0,J280*100/I280,0)</f>
        <v>0</v>
      </c>
      <c r="L280" s="310"/>
      <c r="M280" s="309"/>
      <c r="N280" s="309"/>
      <c r="O280" s="309"/>
      <c r="P280" s="309"/>
      <c r="Q280" s="309"/>
      <c r="R280" s="309"/>
      <c r="S280" s="309"/>
      <c r="T280" s="309"/>
      <c r="U280" s="309"/>
    </row>
    <row r="281" spans="1:21" ht="19.5" hidden="1">
      <c r="A281" s="301"/>
      <c r="B281" s="303"/>
      <c r="C281" s="303"/>
      <c r="D281" s="304"/>
      <c r="E281" s="303"/>
      <c r="F281" s="303"/>
      <c r="G281" s="305"/>
      <c r="H281" s="306" t="s">
        <v>46</v>
      </c>
      <c r="I281" s="644">
        <f ca="1">I292</f>
        <v>0</v>
      </c>
      <c r="J281" s="644">
        <f>J292</f>
        <v>0</v>
      </c>
      <c r="K281" s="643">
        <f ca="1">IF(I281&gt;0,J281*100/I281,0)</f>
        <v>0</v>
      </c>
      <c r="L281" s="310"/>
      <c r="M281" s="309"/>
      <c r="N281" s="309"/>
      <c r="O281" s="309"/>
      <c r="P281" s="309"/>
      <c r="Q281" s="309"/>
      <c r="R281" s="309"/>
      <c r="S281" s="309"/>
      <c r="T281" s="309"/>
      <c r="U281" s="309"/>
    </row>
    <row r="282" spans="1:21" ht="19.5" hidden="1">
      <c r="A282" s="155"/>
      <c r="B282" s="50"/>
      <c r="C282" s="156" t="s">
        <v>18</v>
      </c>
      <c r="D282" s="575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541">
        <f ca="1">L283+L284</f>
        <v>0</v>
      </c>
      <c r="M282" s="540">
        <f ca="1">M283+M284</f>
        <v>0</v>
      </c>
      <c r="N282" s="540">
        <f ca="1">N283+N284</f>
        <v>0</v>
      </c>
      <c r="O282" s="540">
        <f ca="1">IF(L282&gt;0,N282*100/L282,0)</f>
        <v>0</v>
      </c>
      <c r="P282" s="540">
        <f ca="1">IF(M282&gt;0,N282*100/M282,0)</f>
        <v>0</v>
      </c>
      <c r="Q282" s="540">
        <f>Q283+Q284</f>
        <v>0</v>
      </c>
      <c r="R282" s="540">
        <f>R283+R284</f>
        <v>0</v>
      </c>
      <c r="S282" s="540">
        <f>S283+S284</f>
        <v>0</v>
      </c>
      <c r="T282" s="540">
        <f>IF(Q282&gt;0,S282*100/Q282,0)</f>
        <v>0</v>
      </c>
      <c r="U282" s="540">
        <f>IF(R282&gt;0,S282*100/R282,0)</f>
        <v>0</v>
      </c>
    </row>
    <row r="283" spans="1:21" ht="18.75" hidden="1">
      <c r="A283" s="155"/>
      <c r="B283" s="50"/>
      <c r="C283" s="50"/>
      <c r="D283" s="50"/>
      <c r="E283" s="186" t="s">
        <v>20</v>
      </c>
      <c r="F283" s="50"/>
      <c r="G283" s="52"/>
      <c r="H283" s="187" t="s">
        <v>14</v>
      </c>
      <c r="I283" s="54"/>
      <c r="J283" s="54"/>
      <c r="K283" s="55"/>
      <c r="L283" s="103">
        <f>L286+L289</f>
        <v>0</v>
      </c>
      <c r="M283" s="102">
        <f>M286+M289</f>
        <v>0</v>
      </c>
      <c r="N283" s="102">
        <f>N286+N289</f>
        <v>0</v>
      </c>
      <c r="O283" s="102">
        <f>IF(L283&gt;0,N283*100/L283,0)</f>
        <v>0</v>
      </c>
      <c r="P283" s="102">
        <f>IF(M283&gt;0,N283*100/M283,0)</f>
        <v>0</v>
      </c>
      <c r="Q283" s="102">
        <f>Q286+Q289</f>
        <v>0</v>
      </c>
      <c r="R283" s="102">
        <f>R286+R289</f>
        <v>0</v>
      </c>
      <c r="S283" s="102">
        <f>S286+S289</f>
        <v>0</v>
      </c>
      <c r="T283" s="102">
        <f>IF(Q283&gt;0,S283*100/Q283,0)</f>
        <v>0</v>
      </c>
      <c r="U283" s="102">
        <f>IF(R283&gt;0,S283*100/R283,0)</f>
        <v>0</v>
      </c>
    </row>
    <row r="284" spans="1:21" ht="18.75" hidden="1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256">
        <f ca="1">L287+L290</f>
        <v>0</v>
      </c>
      <c r="M284" s="255">
        <f ca="1">M287+M290</f>
        <v>0</v>
      </c>
      <c r="N284" s="255">
        <f ca="1">N287+N290</f>
        <v>0</v>
      </c>
      <c r="O284" s="255">
        <f ca="1">IF(L284&gt;0,N284*100/L284,0)</f>
        <v>0</v>
      </c>
      <c r="P284" s="255">
        <f ca="1">IF(M284&gt;0,N284*100/M284,0)</f>
        <v>0</v>
      </c>
      <c r="Q284" s="255">
        <f>Q287+Q290</f>
        <v>0</v>
      </c>
      <c r="R284" s="255">
        <f>R287+R290</f>
        <v>0</v>
      </c>
      <c r="S284" s="255">
        <f>S287+S290</f>
        <v>0</v>
      </c>
      <c r="T284" s="255">
        <f>IF(Q284&gt;0,S284*100/Q284,0)</f>
        <v>0</v>
      </c>
      <c r="U284" s="255">
        <f>IF(R284&gt;0,S284*100/R284,0)</f>
        <v>0</v>
      </c>
    </row>
    <row r="285" spans="1:21" ht="18.75" hidden="1">
      <c r="A285" s="155"/>
      <c r="B285" s="50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256">
        <f ca="1">L286+L287</f>
        <v>0</v>
      </c>
      <c r="M285" s="255">
        <f ca="1">M286+M287</f>
        <v>0</v>
      </c>
      <c r="N285" s="255">
        <f ca="1">N286+N287</f>
        <v>0</v>
      </c>
      <c r="O285" s="255">
        <f ca="1">IF(L285&gt;0,N285*100/L285,0)</f>
        <v>0</v>
      </c>
      <c r="P285" s="255">
        <f ca="1">IF(M285&gt;0,N285*100/M285,0)</f>
        <v>0</v>
      </c>
      <c r="Q285" s="255">
        <f>Q286+Q287</f>
        <v>0</v>
      </c>
      <c r="R285" s="255">
        <f>R286+R287</f>
        <v>0</v>
      </c>
      <c r="S285" s="255">
        <f>S286+S287</f>
        <v>0</v>
      </c>
      <c r="T285" s="255">
        <f>IF(Q285&gt;0,S285*100/Q285,0)</f>
        <v>0</v>
      </c>
      <c r="U285" s="255">
        <f>IF(R285&gt;0,S285*100/R285,0)</f>
        <v>0</v>
      </c>
    </row>
    <row r="286" spans="1:21" ht="18.75" hidden="1">
      <c r="A286" s="155"/>
      <c r="B286" s="50"/>
      <c r="C286" s="50"/>
      <c r="D286" s="50"/>
      <c r="E286" s="186" t="s">
        <v>36</v>
      </c>
      <c r="F286" s="50"/>
      <c r="G286" s="52"/>
      <c r="H286" s="189" t="s">
        <v>14</v>
      </c>
      <c r="I286" s="163"/>
      <c r="J286" s="163"/>
      <c r="K286" s="164"/>
      <c r="L286" s="103">
        <v>0</v>
      </c>
      <c r="M286" s="102">
        <v>0</v>
      </c>
      <c r="N286" s="102">
        <v>0</v>
      </c>
      <c r="O286" s="102">
        <f>IF(L286&gt;0,N286*100/L286,0)</f>
        <v>0</v>
      </c>
      <c r="P286" s="102">
        <f>IF(M286&gt;0,N286*100/M286,0)</f>
        <v>0</v>
      </c>
      <c r="Q286" s="102">
        <v>0</v>
      </c>
      <c r="R286" s="102">
        <v>0</v>
      </c>
      <c r="S286" s="102">
        <v>0</v>
      </c>
      <c r="T286" s="102">
        <f>IF(Q286&gt;0,S286*100/Q286,0)</f>
        <v>0</v>
      </c>
      <c r="U286" s="102">
        <f>IF(R286&gt;0,S286*100/R286,0)</f>
        <v>0</v>
      </c>
    </row>
    <row r="287" spans="1:21" ht="18.75" hidden="1">
      <c r="A287" s="155"/>
      <c r="B287" s="50"/>
      <c r="C287" s="50"/>
      <c r="D287" s="50"/>
      <c r="E287" s="58" t="s">
        <v>37</v>
      </c>
      <c r="F287" s="50"/>
      <c r="G287" s="52"/>
      <c r="H287" s="162" t="s">
        <v>14</v>
      </c>
      <c r="I287" s="163"/>
      <c r="J287" s="163"/>
      <c r="K287" s="164"/>
      <c r="L287" s="256">
        <f ca="1">IFERROR(__xludf.DUMMYFUNCTION("IMPORTRANGE(""https://docs.google.com/spreadsheets/d/1-uDff_7J0KD5mKrp0Vvzr7lt3OU09vwQwhkpOPPYv2Y/edit?usp=sharing"",""งบพรบ!DO37"")"),0)</f>
        <v>0</v>
      </c>
      <c r="M287" s="255">
        <f ca="1">IFERROR(__xludf.DUMMYFUNCTION("IMPORTRANGE(""https://docs.google.com/spreadsheets/d/1-uDff_7J0KD5mKrp0Vvzr7lt3OU09vwQwhkpOPPYv2Y/edit?usp=sharing"",""งบพรบ!DT37"")"),0)</f>
        <v>0</v>
      </c>
      <c r="N287" s="255">
        <f ca="1">IFERROR(__xludf.DUMMYFUNCTION("IMPORTRANGE(""https://docs.google.com/spreadsheets/d/1-uDff_7J0KD5mKrp0Vvzr7lt3OU09vwQwhkpOPPYv2Y/edit?usp=sharing"",""งบพรบ!DV37"")"),0)</f>
        <v>0</v>
      </c>
      <c r="O287" s="255">
        <f ca="1">IF(L287&gt;0,N287*100/L287,0)</f>
        <v>0</v>
      </c>
      <c r="P287" s="255">
        <f ca="1">IF(M287&gt;0,N287*100/M287,0)</f>
        <v>0</v>
      </c>
      <c r="Q287" s="255">
        <v>0</v>
      </c>
      <c r="R287" s="255">
        <v>0</v>
      </c>
      <c r="S287" s="255">
        <v>0</v>
      </c>
      <c r="T287" s="102">
        <f>IF(Q287&gt;0,S287*100/Q287,0)</f>
        <v>0</v>
      </c>
      <c r="U287" s="102">
        <f>IF(R287&gt;0,S287*100/R287,0)</f>
        <v>0</v>
      </c>
    </row>
    <row r="288" spans="1:21" ht="18.75" hidden="1">
      <c r="A288" s="155"/>
      <c r="B288" s="50"/>
      <c r="C288" s="50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256">
        <f ca="1">L289+L290</f>
        <v>0</v>
      </c>
      <c r="M288" s="255">
        <f ca="1">M289+M290</f>
        <v>0</v>
      </c>
      <c r="N288" s="255">
        <f ca="1">N289+N290</f>
        <v>0</v>
      </c>
      <c r="O288" s="255">
        <f ca="1">IF(L288&gt;0,N288*100/L288,0)</f>
        <v>0</v>
      </c>
      <c r="P288" s="255">
        <f ca="1">IF(M288&gt;0,N288*100/M288,0)</f>
        <v>0</v>
      </c>
      <c r="Q288" s="255">
        <f>Q289+Q290</f>
        <v>0</v>
      </c>
      <c r="R288" s="255">
        <f>R289+R290</f>
        <v>0</v>
      </c>
      <c r="S288" s="255">
        <f>S289+S290</f>
        <v>0</v>
      </c>
      <c r="T288" s="255">
        <f>IF(Q288&gt;0,S288*100/Q288,0)</f>
        <v>0</v>
      </c>
      <c r="U288" s="255">
        <f>IF(R288&gt;0,S288*100/R288,0)</f>
        <v>0</v>
      </c>
    </row>
    <row r="289" spans="1:21" ht="18.75" hidden="1">
      <c r="A289" s="155"/>
      <c r="B289" s="50"/>
      <c r="C289" s="50"/>
      <c r="D289" s="50"/>
      <c r="E289" s="186" t="s">
        <v>20</v>
      </c>
      <c r="F289" s="50"/>
      <c r="G289" s="52"/>
      <c r="H289" s="189" t="s">
        <v>14</v>
      </c>
      <c r="I289" s="163"/>
      <c r="J289" s="163"/>
      <c r="K289" s="164"/>
      <c r="L289" s="103">
        <v>0</v>
      </c>
      <c r="M289" s="102">
        <v>0</v>
      </c>
      <c r="N289" s="102">
        <v>0</v>
      </c>
      <c r="O289" s="102">
        <f>IF(L289&gt;0,N289*100/L289,0)</f>
        <v>0</v>
      </c>
      <c r="P289" s="102">
        <f>IF(M289&gt;0,N289*100/M289,0)</f>
        <v>0</v>
      </c>
      <c r="Q289" s="102">
        <v>0</v>
      </c>
      <c r="R289" s="102">
        <v>0</v>
      </c>
      <c r="S289" s="102">
        <v>0</v>
      </c>
      <c r="T289" s="102">
        <f>IF(Q289&gt;0,S289*100/Q289,0)</f>
        <v>0</v>
      </c>
      <c r="U289" s="102">
        <f>IF(R289&gt;0,S289*100/R289,0)</f>
        <v>0</v>
      </c>
    </row>
    <row r="290" spans="1:21" ht="18.75" hidden="1">
      <c r="A290" s="155"/>
      <c r="B290" s="50"/>
      <c r="C290" s="50"/>
      <c r="D290" s="50"/>
      <c r="E290" s="58" t="s">
        <v>21</v>
      </c>
      <c r="F290" s="50"/>
      <c r="G290" s="52"/>
      <c r="H290" s="165" t="s">
        <v>14</v>
      </c>
      <c r="I290" s="163"/>
      <c r="J290" s="163"/>
      <c r="K290" s="164"/>
      <c r="L290" s="256">
        <f ca="1">IFERROR(__xludf.DUMMYFUNCTION("IMPORTRANGE(""https://docs.google.com/spreadsheets/d/1-uDff_7J0KD5mKrp0Vvzr7lt3OU09vwQwhkpOPPYv2Y/edit?usp=sharing"",""งบพรบ!DR37"")"),0)</f>
        <v>0</v>
      </c>
      <c r="M290" s="255">
        <f ca="1">IFERROR(__xludf.DUMMYFUNCTION("IMPORTRANGE(""https://docs.google.com/spreadsheets/d/1-uDff_7J0KD5mKrp0Vvzr7lt3OU09vwQwhkpOPPYv2Y/edit?usp=sharing"",""งบพรบ!DU37"")"),0)</f>
        <v>0</v>
      </c>
      <c r="N290" s="255">
        <f ca="1">IFERROR(__xludf.DUMMYFUNCTION("IMPORTRANGE(""https://docs.google.com/spreadsheets/d/1-uDff_7J0KD5mKrp0Vvzr7lt3OU09vwQwhkpOPPYv2Y/edit?usp=sharing"",""งบพรบ!DW37"")"),0)</f>
        <v>0</v>
      </c>
      <c r="O290" s="255">
        <f ca="1">IF(L290&gt;0,N290*100/L290,0)</f>
        <v>0</v>
      </c>
      <c r="P290" s="255">
        <f ca="1">IF(M290&gt;0,N290*100/M290,0)</f>
        <v>0</v>
      </c>
      <c r="Q290" s="255">
        <v>0</v>
      </c>
      <c r="R290" s="255">
        <v>0</v>
      </c>
      <c r="S290" s="255">
        <v>0</v>
      </c>
      <c r="T290" s="255">
        <f>IF(Q290&gt;0,S290*100/Q290,0)</f>
        <v>0</v>
      </c>
      <c r="U290" s="255">
        <f>IF(R290&gt;0,S290*100/R290,0)</f>
        <v>0</v>
      </c>
    </row>
    <row r="291" spans="1:21" ht="19.5" hidden="1">
      <c r="A291" s="166"/>
      <c r="B291" s="167"/>
      <c r="C291" s="156" t="s">
        <v>18</v>
      </c>
      <c r="D291" s="566" t="s">
        <v>38</v>
      </c>
      <c r="E291" s="169"/>
      <c r="F291" s="169"/>
      <c r="G291" s="170"/>
      <c r="H291" s="171"/>
      <c r="I291" s="163"/>
      <c r="J291" s="163"/>
      <c r="K291" s="164"/>
      <c r="L291" s="172"/>
      <c r="M291" s="164"/>
      <c r="N291" s="164"/>
      <c r="O291" s="164"/>
      <c r="P291" s="164"/>
      <c r="Q291" s="164"/>
      <c r="R291" s="164"/>
      <c r="S291" s="164"/>
      <c r="T291" s="164"/>
      <c r="U291" s="164"/>
    </row>
    <row r="292" spans="1:21" ht="18.75" hidden="1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212">
        <f ca="1">IFERROR(__xludf.DUMMYFUNCTION("IMPORTRANGE(""https://docs.google.com/spreadsheets/d/1eHaY18a8A9IcSdp1K8H6x8fbOy06t2VsZHhMHf-1x7Y/edit?usp=sharing"",""แผน!EE37"")"),0)</f>
        <v>0</v>
      </c>
      <c r="J292" s="467">
        <v>0</v>
      </c>
      <c r="K292" s="565">
        <f ca="1">IF(I292&gt;0,J292*100/I292,0)</f>
        <v>0</v>
      </c>
      <c r="L292" s="172"/>
      <c r="M292" s="164"/>
      <c r="N292" s="164"/>
      <c r="O292" s="164"/>
      <c r="P292" s="164"/>
      <c r="Q292" s="164"/>
      <c r="R292" s="164"/>
      <c r="S292" s="164"/>
      <c r="T292" s="164"/>
      <c r="U292" s="164"/>
    </row>
    <row r="293" spans="1:21" ht="19.5" hidden="1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373">
        <f ca="1">IFERROR(__xludf.DUMMYFUNCTION("IMPORTRANGE(""https://docs.google.com/spreadsheets/d/1eHaY18a8A9IcSdp1K8H6x8fbOy06t2VsZHhMHf-1x7Y/edit?usp=sharing"",""แผน!ED37"")"),0)</f>
        <v>0</v>
      </c>
      <c r="J293" s="373">
        <f>J296</f>
        <v>0</v>
      </c>
      <c r="K293" s="642">
        <f ca="1">IF(I293&gt;0,J293*100/I293,0)</f>
        <v>0</v>
      </c>
      <c r="L293" s="172"/>
      <c r="M293" s="164"/>
      <c r="N293" s="164"/>
      <c r="O293" s="164"/>
      <c r="P293" s="164"/>
      <c r="Q293" s="164"/>
      <c r="R293" s="164"/>
      <c r="S293" s="164"/>
      <c r="T293" s="164"/>
      <c r="U293" s="164"/>
    </row>
    <row r="294" spans="1:21" ht="19.5" hidden="1">
      <c r="A294" s="166"/>
      <c r="B294" s="167"/>
      <c r="C294" s="167"/>
      <c r="D294" s="174"/>
      <c r="E294" s="194" t="s">
        <v>122</v>
      </c>
      <c r="F294" s="174"/>
      <c r="G294" s="171"/>
      <c r="H294" s="171"/>
      <c r="I294" s="163"/>
      <c r="J294" s="54"/>
      <c r="K294" s="164"/>
      <c r="L294" s="172"/>
      <c r="M294" s="164"/>
      <c r="N294" s="164"/>
      <c r="O294" s="164"/>
      <c r="P294" s="164"/>
      <c r="Q294" s="164"/>
      <c r="R294" s="164"/>
      <c r="S294" s="164"/>
      <c r="T294" s="164"/>
      <c r="U294" s="164"/>
    </row>
    <row r="295" spans="1:21" ht="19.5" hidden="1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641">
        <f ca="1">IFERROR(__xludf.DUMMYFUNCTION("IMPORTRANGE(""https://docs.google.com/spreadsheets/d/1eHaY18a8A9IcSdp1K8H6x8fbOy06t2VsZHhMHf-1x7Y/edit?usp=sharing"",""แผน!ED37"")"),0)</f>
        <v>0</v>
      </c>
      <c r="J295" s="467">
        <v>0</v>
      </c>
      <c r="K295" s="565">
        <f ca="1">IF(I295&gt;0,J295*100/I295,0)</f>
        <v>0</v>
      </c>
      <c r="L295" s="172"/>
      <c r="M295" s="164"/>
      <c r="N295" s="164"/>
      <c r="O295" s="164"/>
      <c r="P295" s="164"/>
      <c r="Q295" s="164"/>
      <c r="R295" s="164"/>
      <c r="S295" s="164"/>
      <c r="T295" s="164"/>
      <c r="U295" s="164"/>
    </row>
    <row r="296" spans="1:21" ht="19.5" hidden="1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641">
        <f ca="1">IFERROR(__xludf.DUMMYFUNCTION("IMPORTRANGE(""https://docs.google.com/spreadsheets/d/1eHaY18a8A9IcSdp1K8H6x8fbOy06t2VsZHhMHf-1x7Y/edit?usp=sharing"",""แผน!ED37"")"),0)</f>
        <v>0</v>
      </c>
      <c r="J296" s="467">
        <v>0</v>
      </c>
      <c r="K296" s="565">
        <f ca="1">IF(I296&gt;0,J296*100/I296,0)</f>
        <v>0</v>
      </c>
      <c r="L296" s="172"/>
      <c r="M296" s="164"/>
      <c r="N296" s="164"/>
      <c r="O296" s="164"/>
      <c r="P296" s="164"/>
      <c r="Q296" s="164"/>
      <c r="R296" s="164"/>
      <c r="S296" s="164"/>
      <c r="T296" s="164"/>
      <c r="U296" s="164"/>
    </row>
    <row r="297" spans="1:21" ht="12.75" hidden="1">
      <c r="A297" s="192"/>
      <c r="B297" s="193"/>
      <c r="C297" s="193"/>
      <c r="D297" s="22"/>
      <c r="E297" s="22"/>
      <c r="F297" s="22"/>
      <c r="G297" s="23"/>
      <c r="H297" s="23"/>
      <c r="I297" s="24"/>
      <c r="J297" s="24"/>
      <c r="K297" s="25"/>
      <c r="L297" s="26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2.75" hidden="1">
      <c r="A298" s="192"/>
      <c r="B298" s="193"/>
      <c r="C298" s="193"/>
      <c r="D298" s="22"/>
      <c r="E298" s="22"/>
      <c r="F298" s="22"/>
      <c r="G298" s="23"/>
      <c r="H298" s="23"/>
      <c r="I298" s="24"/>
      <c r="J298" s="24"/>
      <c r="K298" s="25"/>
      <c r="L298" s="26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2.75" hidden="1">
      <c r="A299" s="311"/>
      <c r="B299" s="312"/>
      <c r="C299" s="312"/>
      <c r="D299" s="27"/>
      <c r="E299" s="27"/>
      <c r="F299" s="27"/>
      <c r="G299" s="17"/>
      <c r="H299" s="17"/>
      <c r="I299" s="18"/>
      <c r="J299" s="18"/>
      <c r="K299" s="19"/>
      <c r="L299" s="28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>
      <c r="A300" s="313" t="s">
        <v>125</v>
      </c>
      <c r="B300" s="314"/>
      <c r="C300" s="314"/>
      <c r="D300" s="314"/>
      <c r="E300" s="315"/>
      <c r="F300" s="315"/>
      <c r="G300" s="315"/>
      <c r="H300" s="315"/>
      <c r="I300" s="316"/>
      <c r="J300" s="316"/>
      <c r="K300" s="317"/>
      <c r="L300" s="317"/>
      <c r="M300" s="317"/>
      <c r="N300" s="317"/>
      <c r="O300" s="317"/>
      <c r="P300" s="318"/>
      <c r="Q300" s="317"/>
      <c r="R300" s="317"/>
      <c r="S300" s="317"/>
      <c r="T300" s="317"/>
      <c r="U300" s="318"/>
    </row>
    <row r="301" spans="1:21" ht="19.5" hidden="1">
      <c r="A301" s="319" t="s">
        <v>126</v>
      </c>
      <c r="B301" s="320"/>
      <c r="C301" s="320"/>
      <c r="D301" s="321"/>
      <c r="E301" s="321"/>
      <c r="F301" s="321"/>
      <c r="G301" s="322"/>
      <c r="H301" s="322"/>
      <c r="I301" s="323"/>
      <c r="J301" s="323"/>
      <c r="K301" s="324"/>
      <c r="L301" s="325"/>
      <c r="M301" s="324"/>
      <c r="N301" s="324"/>
      <c r="O301" s="324"/>
      <c r="P301" s="324"/>
      <c r="Q301" s="324"/>
      <c r="R301" s="324"/>
      <c r="S301" s="324"/>
      <c r="T301" s="324"/>
      <c r="U301" s="324"/>
    </row>
    <row r="302" spans="1:21" ht="19.5" hidden="1">
      <c r="A302" s="326"/>
      <c r="B302" s="327" t="s">
        <v>127</v>
      </c>
      <c r="C302" s="328"/>
      <c r="D302" s="328"/>
      <c r="E302" s="328"/>
      <c r="F302" s="328"/>
      <c r="G302" s="329"/>
      <c r="H302" s="330" t="s">
        <v>35</v>
      </c>
      <c r="I302" s="605">
        <f ca="1">I314</f>
        <v>0</v>
      </c>
      <c r="J302" s="605">
        <f>J314</f>
        <v>0</v>
      </c>
      <c r="K302" s="604">
        <f ca="1">IF(I302&gt;0,J302*100/I302,0)</f>
        <v>0</v>
      </c>
      <c r="L302" s="334"/>
      <c r="M302" s="333"/>
      <c r="N302" s="333"/>
      <c r="O302" s="333"/>
      <c r="P302" s="333"/>
      <c r="Q302" s="333"/>
      <c r="R302" s="333"/>
      <c r="S302" s="333"/>
      <c r="T302" s="333"/>
      <c r="U302" s="333"/>
    </row>
    <row r="303" spans="1:21" ht="19.5" hidden="1">
      <c r="A303" s="155"/>
      <c r="B303" s="50"/>
      <c r="C303" s="156" t="s">
        <v>18</v>
      </c>
      <c r="D303" s="575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541">
        <f ca="1">L304+L305</f>
        <v>0</v>
      </c>
      <c r="M303" s="540">
        <f ca="1">M304+M305</f>
        <v>0</v>
      </c>
      <c r="N303" s="540">
        <f ca="1">N304+N305</f>
        <v>0</v>
      </c>
      <c r="O303" s="540">
        <f ca="1">IF(L303&gt;0,N303*100/L303,0)</f>
        <v>0</v>
      </c>
      <c r="P303" s="540">
        <f ca="1">IF(M303&gt;0,N303*100/M303,0)</f>
        <v>0</v>
      </c>
      <c r="Q303" s="540">
        <f ca="1">Q304+Q305</f>
        <v>0</v>
      </c>
      <c r="R303" s="540">
        <f ca="1">R304+R305</f>
        <v>0</v>
      </c>
      <c r="S303" s="540">
        <f ca="1">S304+S305</f>
        <v>0</v>
      </c>
      <c r="T303" s="540">
        <f ca="1">IF(Q303&gt;0,S303*100/Q303,0)</f>
        <v>0</v>
      </c>
      <c r="U303" s="540">
        <f ca="1">IF(R303&gt;0,S303*100/R303,0)</f>
        <v>0</v>
      </c>
    </row>
    <row r="304" spans="1:21" ht="18.75" hidden="1">
      <c r="A304" s="155"/>
      <c r="B304" s="50"/>
      <c r="C304" s="50"/>
      <c r="D304" s="50"/>
      <c r="E304" s="186" t="s">
        <v>20</v>
      </c>
      <c r="F304" s="50"/>
      <c r="G304" s="52"/>
      <c r="H304" s="187" t="s">
        <v>14</v>
      </c>
      <c r="I304" s="54"/>
      <c r="J304" s="54"/>
      <c r="K304" s="55"/>
      <c r="L304" s="103">
        <f>L307+L310</f>
        <v>0</v>
      </c>
      <c r="M304" s="102">
        <f>M307+M310</f>
        <v>0</v>
      </c>
      <c r="N304" s="102">
        <f>N307+N310</f>
        <v>0</v>
      </c>
      <c r="O304" s="102">
        <f>IF(L304&gt;0,N304*100/L304,0)</f>
        <v>0</v>
      </c>
      <c r="P304" s="102">
        <f>IF(M304&gt;0,N304*100/M304,0)</f>
        <v>0</v>
      </c>
      <c r="Q304" s="102">
        <f>Q307+Q310</f>
        <v>0</v>
      </c>
      <c r="R304" s="102">
        <f>R307+R310</f>
        <v>0</v>
      </c>
      <c r="S304" s="102">
        <f>S307+S310</f>
        <v>0</v>
      </c>
      <c r="T304" s="102">
        <f>IF(Q304&gt;0,S304*100/Q304,0)</f>
        <v>0</v>
      </c>
      <c r="U304" s="102">
        <f>IF(R304&gt;0,S304*100/R304,0)</f>
        <v>0</v>
      </c>
    </row>
    <row r="305" spans="1:21" ht="18.75" hidden="1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256">
        <f ca="1">L308+L311</f>
        <v>0</v>
      </c>
      <c r="M305" s="255">
        <f ca="1">M308+M311</f>
        <v>0</v>
      </c>
      <c r="N305" s="255">
        <f ca="1">N308+N311</f>
        <v>0</v>
      </c>
      <c r="O305" s="255">
        <f ca="1">IF(L305&gt;0,N305*100/L305,0)</f>
        <v>0</v>
      </c>
      <c r="P305" s="255">
        <f ca="1">IF(M305&gt;0,N305*100/M305,0)</f>
        <v>0</v>
      </c>
      <c r="Q305" s="255">
        <f ca="1">Q308+Q311</f>
        <v>0</v>
      </c>
      <c r="R305" s="255">
        <f ca="1">R308+R311</f>
        <v>0</v>
      </c>
      <c r="S305" s="255">
        <f ca="1">S308+S311</f>
        <v>0</v>
      </c>
      <c r="T305" s="255">
        <f ca="1">IF(Q305&gt;0,S305*100/Q305,0)</f>
        <v>0</v>
      </c>
      <c r="U305" s="255">
        <f ca="1">IF(R305&gt;0,S305*100/R305,0)</f>
        <v>0</v>
      </c>
    </row>
    <row r="306" spans="1:21" ht="18.75" hidden="1">
      <c r="A306" s="155"/>
      <c r="B306" s="50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256">
        <f ca="1">L307+L308</f>
        <v>0</v>
      </c>
      <c r="M306" s="255">
        <f ca="1">M307+M308</f>
        <v>0</v>
      </c>
      <c r="N306" s="255">
        <f ca="1">N307+N308</f>
        <v>0</v>
      </c>
      <c r="O306" s="255">
        <f ca="1">IF(L306&gt;0,N306*100/L306,0)</f>
        <v>0</v>
      </c>
      <c r="P306" s="255">
        <f ca="1">IF(M306&gt;0,N306*100/M306,0)</f>
        <v>0</v>
      </c>
      <c r="Q306" s="255">
        <f ca="1">Q307+Q308</f>
        <v>0</v>
      </c>
      <c r="R306" s="255">
        <f ca="1">R307+R308</f>
        <v>0</v>
      </c>
      <c r="S306" s="255">
        <f ca="1">S307+S308</f>
        <v>0</v>
      </c>
      <c r="T306" s="255">
        <f ca="1">IF(Q306&gt;0,S306*100/Q306,0)</f>
        <v>0</v>
      </c>
      <c r="U306" s="255">
        <f ca="1">IF(R306&gt;0,S306*100/R306,0)</f>
        <v>0</v>
      </c>
    </row>
    <row r="307" spans="1:21" ht="18.75" hidden="1">
      <c r="A307" s="155"/>
      <c r="B307" s="50"/>
      <c r="C307" s="50"/>
      <c r="D307" s="50"/>
      <c r="E307" s="186" t="s">
        <v>36</v>
      </c>
      <c r="F307" s="50"/>
      <c r="G307" s="52"/>
      <c r="H307" s="189" t="s">
        <v>14</v>
      </c>
      <c r="I307" s="163"/>
      <c r="J307" s="163"/>
      <c r="K307" s="164"/>
      <c r="L307" s="103">
        <v>0</v>
      </c>
      <c r="M307" s="102">
        <v>0</v>
      </c>
      <c r="N307" s="102">
        <v>0</v>
      </c>
      <c r="O307" s="102">
        <f>IF(L307&gt;0,N307*100/L307,0)</f>
        <v>0</v>
      </c>
      <c r="P307" s="102">
        <f>IF(M307&gt;0,N307*100/M307,0)</f>
        <v>0</v>
      </c>
      <c r="Q307" s="102">
        <v>0</v>
      </c>
      <c r="R307" s="102">
        <v>0</v>
      </c>
      <c r="S307" s="102">
        <v>0</v>
      </c>
      <c r="T307" s="102">
        <f>IF(Q307&gt;0,S307*100/Q307,0)</f>
        <v>0</v>
      </c>
      <c r="U307" s="102">
        <f>IF(R307&gt;0,S307*100/R307,0)</f>
        <v>0</v>
      </c>
    </row>
    <row r="308" spans="1:21" ht="18.75" hidden="1">
      <c r="A308" s="155"/>
      <c r="B308" s="50"/>
      <c r="C308" s="50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256">
        <f ca="1">IFERROR(__xludf.DUMMYFUNCTION("IMPORTRANGE(""https://docs.google.com/spreadsheets/d/1-uDff_7J0KD5mKrp0Vvzr7lt3OU09vwQwhkpOPPYv2Y/edit?usp=sharing"",""งบพรบ!DY37"")"),0)</f>
        <v>0</v>
      </c>
      <c r="M308" s="255">
        <f ca="1">IFERROR(__xludf.DUMMYFUNCTION("IMPORTRANGE(""https://docs.google.com/spreadsheets/d/1-uDff_7J0KD5mKrp0Vvzr7lt3OU09vwQwhkpOPPYv2Y/edit?usp=sharing"",""งบพรบ!ED37"")"),0)</f>
        <v>0</v>
      </c>
      <c r="N308" s="255">
        <f ca="1">IFERROR(__xludf.DUMMYFUNCTION("IMPORTRANGE(""https://docs.google.com/spreadsheets/d/1-uDff_7J0KD5mKrp0Vvzr7lt3OU09vwQwhkpOPPYv2Y/edit?usp=sharing"",""งบพรบ!EF37"")"),0)</f>
        <v>0</v>
      </c>
      <c r="O308" s="255">
        <f ca="1">IF(L308&gt;0,N308*100/L308,0)</f>
        <v>0</v>
      </c>
      <c r="P308" s="255">
        <f ca="1">IF(M308&gt;0,N308*100/M308,0)</f>
        <v>0</v>
      </c>
      <c r="Q308" s="255">
        <f ca="1">IFERROR(__xludf.DUMMYFUNCTION("IMPORTRANGE(""https://docs.google.com/spreadsheets/d/1ItG2mGa2ceCfYo0BwxsXqNm01IGEUdYcSSLTEv9YCik/edit?usp=sharing"",""เบิกจ่ายกองทุน!AP37"")"),0)</f>
        <v>0</v>
      </c>
      <c r="R308" s="255">
        <f ca="1">IFERROR(__xludf.DUMMYFUNCTION("IMPORTRANGE(""https://docs.google.com/spreadsheets/d/1ItG2mGa2ceCfYo0BwxsXqNm01IGEUdYcSSLTEv9YCik/edit?usp=sharing"",""เบิกจ่ายกองทุน!AQ37"")"),0)</f>
        <v>0</v>
      </c>
      <c r="S308" s="255">
        <f ca="1">IFERROR(__xludf.DUMMYFUNCTION("IMPORTRANGE(""https://docs.google.com/spreadsheets/d/1ItG2mGa2ceCfYo0BwxsXqNm01IGEUdYcSSLTEv9YCik/edit?usp=sharing"",""เบิกจ่ายกองทุน!AR37"")"),0)</f>
        <v>0</v>
      </c>
      <c r="T308" s="255">
        <f ca="1">IF(Q308&gt;0,S308*100/Q308,0)</f>
        <v>0</v>
      </c>
      <c r="U308" s="255">
        <f ca="1">IF(R308&gt;0,S308*100/R308,0)</f>
        <v>0</v>
      </c>
    </row>
    <row r="309" spans="1:21" ht="18.75" hidden="1">
      <c r="A309" s="155"/>
      <c r="B309" s="50"/>
      <c r="C309" s="50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256">
        <f ca="1">L310+L311</f>
        <v>0</v>
      </c>
      <c r="M309" s="255">
        <f ca="1">M310+M311</f>
        <v>0</v>
      </c>
      <c r="N309" s="255">
        <f ca="1">N310+N311</f>
        <v>0</v>
      </c>
      <c r="O309" s="255">
        <f ca="1">IF(L309&gt;0,N309*100/L309,0)</f>
        <v>0</v>
      </c>
      <c r="P309" s="255">
        <f ca="1">IF(M309&gt;0,N309*100/M309,0)</f>
        <v>0</v>
      </c>
      <c r="Q309" s="255">
        <f>Q310+Q311</f>
        <v>0</v>
      </c>
      <c r="R309" s="255">
        <f>R310+R311</f>
        <v>0</v>
      </c>
      <c r="S309" s="255">
        <f>S310+S311</f>
        <v>0</v>
      </c>
      <c r="T309" s="255">
        <f>IF(Q309&gt;0,S309*100/Q309,0)</f>
        <v>0</v>
      </c>
      <c r="U309" s="255">
        <f>IF(R309&gt;0,S309*100/R309,0)</f>
        <v>0</v>
      </c>
    </row>
    <row r="310" spans="1:21" ht="18.75" hidden="1">
      <c r="A310" s="155"/>
      <c r="B310" s="50"/>
      <c r="C310" s="50"/>
      <c r="D310" s="50"/>
      <c r="E310" s="186" t="s">
        <v>20</v>
      </c>
      <c r="F310" s="50"/>
      <c r="G310" s="52"/>
      <c r="H310" s="189" t="s">
        <v>14</v>
      </c>
      <c r="I310" s="163"/>
      <c r="J310" s="163"/>
      <c r="K310" s="164"/>
      <c r="L310" s="103">
        <v>0</v>
      </c>
      <c r="M310" s="102">
        <v>0</v>
      </c>
      <c r="N310" s="102">
        <v>0</v>
      </c>
      <c r="O310" s="102">
        <f>IF(L310&gt;0,N310*100/L310,0)</f>
        <v>0</v>
      </c>
      <c r="P310" s="102">
        <f>IF(M310&gt;0,N310*100/M310,0)</f>
        <v>0</v>
      </c>
      <c r="Q310" s="102">
        <v>0</v>
      </c>
      <c r="R310" s="102">
        <v>0</v>
      </c>
      <c r="S310" s="102">
        <v>0</v>
      </c>
      <c r="T310" s="102">
        <f>IF(Q310&gt;0,S310*100/Q310,0)</f>
        <v>0</v>
      </c>
      <c r="U310" s="102">
        <f>IF(R310&gt;0,S310*100/R310,0)</f>
        <v>0</v>
      </c>
    </row>
    <row r="311" spans="1:21" ht="18.75" hidden="1">
      <c r="A311" s="155"/>
      <c r="B311" s="50"/>
      <c r="C311" s="50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256">
        <f ca="1">IFERROR(__xludf.DUMMYFUNCTION("IMPORTRANGE(""https://docs.google.com/spreadsheets/d/1-uDff_7J0KD5mKrp0Vvzr7lt3OU09vwQwhkpOPPYv2Y/edit?usp=sharing"",""งบพรบ!EB37"")"),0)</f>
        <v>0</v>
      </c>
      <c r="M311" s="255">
        <f ca="1">IFERROR(__xludf.DUMMYFUNCTION("IMPORTRANGE(""https://docs.google.com/spreadsheets/d/1-uDff_7J0KD5mKrp0Vvzr7lt3OU09vwQwhkpOPPYv2Y/edit?usp=sharing"",""งบพรบ!EE37"")"),0)</f>
        <v>0</v>
      </c>
      <c r="N311" s="255">
        <f ca="1">IFERROR(__xludf.DUMMYFUNCTION("IMPORTRANGE(""https://docs.google.com/spreadsheets/d/1-uDff_7J0KD5mKrp0Vvzr7lt3OU09vwQwhkpOPPYv2Y/edit?usp=sharing"",""งบพรบ!EG37"")"),0)</f>
        <v>0</v>
      </c>
      <c r="O311" s="255">
        <f ca="1">IF(L311&gt;0,N311*100/L311,0)</f>
        <v>0</v>
      </c>
      <c r="P311" s="255">
        <f ca="1">IF(M311&gt;0,N311*100/M311,0)</f>
        <v>0</v>
      </c>
      <c r="Q311" s="255">
        <v>0</v>
      </c>
      <c r="R311" s="255">
        <v>0</v>
      </c>
      <c r="S311" s="255">
        <v>0</v>
      </c>
      <c r="T311" s="255">
        <f>IF(Q311&gt;0,S311*100/Q311,0)</f>
        <v>0</v>
      </c>
      <c r="U311" s="255">
        <f>IF(R311&gt;0,S311*100/R311,0)</f>
        <v>0</v>
      </c>
    </row>
    <row r="312" spans="1:21" ht="19.5" hidden="1">
      <c r="A312" s="166"/>
      <c r="B312" s="167"/>
      <c r="C312" s="156" t="s">
        <v>18</v>
      </c>
      <c r="D312" s="566" t="s">
        <v>38</v>
      </c>
      <c r="E312" s="169"/>
      <c r="F312" s="169"/>
      <c r="G312" s="170"/>
      <c r="H312" s="171"/>
      <c r="I312" s="54"/>
      <c r="J312" s="54"/>
      <c r="K312" s="55"/>
      <c r="L312" s="62"/>
      <c r="M312" s="55"/>
      <c r="N312" s="55"/>
      <c r="O312" s="55"/>
      <c r="P312" s="55"/>
      <c r="Q312" s="55"/>
      <c r="R312" s="55"/>
      <c r="S312" s="55"/>
      <c r="T312" s="55"/>
      <c r="U312" s="55"/>
    </row>
    <row r="313" spans="1:21" ht="18.75" hidden="1">
      <c r="A313" s="192"/>
      <c r="B313" s="193"/>
      <c r="C313" s="193"/>
      <c r="D313" s="640"/>
      <c r="E313" s="22"/>
      <c r="F313" s="22"/>
      <c r="G313" s="23"/>
      <c r="H313" s="23"/>
      <c r="I313" s="24"/>
      <c r="J313" s="638"/>
      <c r="K313" s="25"/>
      <c r="L313" s="26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8.75" hidden="1">
      <c r="A314" s="166"/>
      <c r="B314" s="167"/>
      <c r="C314" s="167"/>
      <c r="D314" s="178" t="s">
        <v>121</v>
      </c>
      <c r="E314" s="174"/>
      <c r="F314" s="174"/>
      <c r="G314" s="171"/>
      <c r="H314" s="179" t="s">
        <v>35</v>
      </c>
      <c r="I314" s="212">
        <f ca="1">IFERROR(__xludf.DUMMYFUNCTION("IMPORTRANGE(""https://docs.google.com/spreadsheets/d/1eHaY18a8A9IcSdp1K8H6x8fbOy06t2VsZHhMHf-1x7Y/edit?usp=sharing"",""แผน!EF37"")"),0)</f>
        <v>0</v>
      </c>
      <c r="J314" s="467">
        <v>0</v>
      </c>
      <c r="K314" s="255">
        <f ca="1">IF(I314&gt;0,J314*100/I314,0)</f>
        <v>0</v>
      </c>
      <c r="L314" s="62"/>
      <c r="M314" s="55"/>
      <c r="N314" s="55"/>
      <c r="O314" s="55"/>
      <c r="P314" s="55"/>
      <c r="Q314" s="55"/>
      <c r="R314" s="55"/>
      <c r="S314" s="55"/>
      <c r="T314" s="55"/>
      <c r="U314" s="55"/>
    </row>
    <row r="315" spans="1:21" ht="18.75" hidden="1">
      <c r="A315" s="192"/>
      <c r="B315" s="193"/>
      <c r="C315" s="193"/>
      <c r="D315" s="640"/>
      <c r="E315" s="22"/>
      <c r="F315" s="22"/>
      <c r="G315" s="23"/>
      <c r="H315" s="639"/>
      <c r="I315" s="638"/>
      <c r="J315" s="638"/>
      <c r="K315" s="637"/>
      <c r="L315" s="26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8.75" hidden="1">
      <c r="A316" s="192"/>
      <c r="B316" s="193"/>
      <c r="C316" s="193"/>
      <c r="D316" s="640"/>
      <c r="E316" s="22"/>
      <c r="F316" s="22"/>
      <c r="G316" s="23"/>
      <c r="H316" s="639"/>
      <c r="I316" s="638"/>
      <c r="J316" s="638"/>
      <c r="K316" s="637"/>
      <c r="L316" s="26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8.75" hidden="1">
      <c r="A317" s="192"/>
      <c r="B317" s="193"/>
      <c r="C317" s="193"/>
      <c r="D317" s="636"/>
      <c r="E317" s="22"/>
      <c r="F317" s="22"/>
      <c r="G317" s="23"/>
      <c r="H317" s="635"/>
      <c r="I317" s="634"/>
      <c r="J317" s="634"/>
      <c r="K317" s="633"/>
      <c r="L317" s="26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9.5" hidden="1">
      <c r="A318" s="319" t="s">
        <v>131</v>
      </c>
      <c r="B318" s="320"/>
      <c r="C318" s="320"/>
      <c r="D318" s="321"/>
      <c r="E318" s="320"/>
      <c r="F318" s="320"/>
      <c r="G318" s="320"/>
      <c r="H318" s="321"/>
      <c r="I318" s="323"/>
      <c r="J318" s="323"/>
      <c r="K318" s="324"/>
      <c r="L318" s="325"/>
      <c r="M318" s="324"/>
      <c r="N318" s="324"/>
      <c r="O318" s="324"/>
      <c r="P318" s="324"/>
      <c r="Q318" s="324"/>
      <c r="R318" s="324"/>
      <c r="S318" s="324"/>
      <c r="T318" s="324"/>
      <c r="U318" s="324"/>
    </row>
    <row r="319" spans="1:21" ht="19.5" hidden="1">
      <c r="A319" s="335"/>
      <c r="B319" s="327" t="s">
        <v>132</v>
      </c>
      <c r="C319" s="336"/>
      <c r="D319" s="337"/>
      <c r="E319" s="328"/>
      <c r="F319" s="328"/>
      <c r="G319" s="329"/>
      <c r="H319" s="330" t="s">
        <v>133</v>
      </c>
      <c r="I319" s="605">
        <f ca="1">I330</f>
        <v>0</v>
      </c>
      <c r="J319" s="605">
        <f>J330</f>
        <v>0</v>
      </c>
      <c r="K319" s="604">
        <f ca="1">IF(I319&gt;0,J319*100/I319,0)</f>
        <v>0</v>
      </c>
      <c r="L319" s="334"/>
      <c r="M319" s="333"/>
      <c r="N319" s="333"/>
      <c r="O319" s="333"/>
      <c r="P319" s="333"/>
      <c r="Q319" s="333"/>
      <c r="R319" s="333"/>
      <c r="S319" s="333"/>
      <c r="T319" s="333"/>
      <c r="U319" s="333"/>
    </row>
    <row r="320" spans="1:21" ht="19.5" hidden="1">
      <c r="A320" s="155"/>
      <c r="B320" s="50"/>
      <c r="C320" s="156" t="s">
        <v>18</v>
      </c>
      <c r="D320" s="575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541">
        <f ca="1">L321+L322</f>
        <v>0</v>
      </c>
      <c r="M320" s="540">
        <f ca="1">M321+M322</f>
        <v>0</v>
      </c>
      <c r="N320" s="540">
        <f ca="1">N321+N322</f>
        <v>0</v>
      </c>
      <c r="O320" s="540">
        <f ca="1">IF(L320&gt;0,N320*100/L320,0)</f>
        <v>0</v>
      </c>
      <c r="P320" s="540">
        <f ca="1">IF(M320&gt;0,N320*100/M320,0)</f>
        <v>0</v>
      </c>
      <c r="Q320" s="540">
        <f>Q321+Q322</f>
        <v>0</v>
      </c>
      <c r="R320" s="540">
        <f>R321+R322</f>
        <v>0</v>
      </c>
      <c r="S320" s="540">
        <f>S321+S322</f>
        <v>0</v>
      </c>
      <c r="T320" s="540">
        <f>IF(Q320&gt;0,S320*100/Q320,0)</f>
        <v>0</v>
      </c>
      <c r="U320" s="540">
        <f>IF(R320&gt;0,S320*100/R320,0)</f>
        <v>0</v>
      </c>
    </row>
    <row r="321" spans="1:21" ht="18.75" hidden="1">
      <c r="A321" s="155"/>
      <c r="B321" s="50"/>
      <c r="C321" s="50"/>
      <c r="D321" s="50"/>
      <c r="E321" s="186" t="s">
        <v>20</v>
      </c>
      <c r="F321" s="50"/>
      <c r="G321" s="52"/>
      <c r="H321" s="187" t="s">
        <v>14</v>
      </c>
      <c r="I321" s="54"/>
      <c r="J321" s="54"/>
      <c r="K321" s="55"/>
      <c r="L321" s="103">
        <f>L324+L327</f>
        <v>0</v>
      </c>
      <c r="M321" s="102">
        <f>M324+M327</f>
        <v>0</v>
      </c>
      <c r="N321" s="102">
        <f>N324+N327</f>
        <v>0</v>
      </c>
      <c r="O321" s="102">
        <f>IF(L321&gt;0,N321*100/L321,0)</f>
        <v>0</v>
      </c>
      <c r="P321" s="102">
        <f>IF(M321&gt;0,N321*100/M321,0)</f>
        <v>0</v>
      </c>
      <c r="Q321" s="102">
        <f>Q324+Q327</f>
        <v>0</v>
      </c>
      <c r="R321" s="102">
        <f>R324+R327</f>
        <v>0</v>
      </c>
      <c r="S321" s="102">
        <f>S324+S327</f>
        <v>0</v>
      </c>
      <c r="T321" s="102">
        <f>IF(Q321&gt;0,S321*100/Q321,0)</f>
        <v>0</v>
      </c>
      <c r="U321" s="102">
        <f>IF(R321&gt;0,S321*100/R321,0)</f>
        <v>0</v>
      </c>
    </row>
    <row r="322" spans="1:21" ht="18.75" hidden="1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256">
        <f ca="1">L325+L328</f>
        <v>0</v>
      </c>
      <c r="M322" s="255">
        <f ca="1">M325+M328</f>
        <v>0</v>
      </c>
      <c r="N322" s="255">
        <f ca="1">N325+N328</f>
        <v>0</v>
      </c>
      <c r="O322" s="255">
        <f ca="1">IF(L322&gt;0,N322*100/L322,0)</f>
        <v>0</v>
      </c>
      <c r="P322" s="255">
        <f ca="1">IF(M322&gt;0,N322*100/M322,0)</f>
        <v>0</v>
      </c>
      <c r="Q322" s="255">
        <f>Q325+Q328</f>
        <v>0</v>
      </c>
      <c r="R322" s="255">
        <f>R325+R328</f>
        <v>0</v>
      </c>
      <c r="S322" s="255">
        <f>S325+S328</f>
        <v>0</v>
      </c>
      <c r="T322" s="255">
        <f>IF(Q322&gt;0,S322*100/Q322,0)</f>
        <v>0</v>
      </c>
      <c r="U322" s="255">
        <f>IF(R322&gt;0,S322*100/R322,0)</f>
        <v>0</v>
      </c>
    </row>
    <row r="323" spans="1:21" ht="18.75" hidden="1">
      <c r="A323" s="155"/>
      <c r="B323" s="50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256">
        <f ca="1">L324+L325</f>
        <v>0</v>
      </c>
      <c r="M323" s="255">
        <f ca="1">M324+M325</f>
        <v>0</v>
      </c>
      <c r="N323" s="255">
        <f ca="1">N324+N325</f>
        <v>0</v>
      </c>
      <c r="O323" s="255">
        <f ca="1">IF(L323&gt;0,N323*100/L323,0)</f>
        <v>0</v>
      </c>
      <c r="P323" s="255">
        <f ca="1">IF(M323&gt;0,N323*100/M323,0)</f>
        <v>0</v>
      </c>
      <c r="Q323" s="255">
        <f>Q324+Q325</f>
        <v>0</v>
      </c>
      <c r="R323" s="255">
        <f>R324+R325</f>
        <v>0</v>
      </c>
      <c r="S323" s="255">
        <f>S324+S325</f>
        <v>0</v>
      </c>
      <c r="T323" s="255">
        <f>IF(Q323&gt;0,S323*100/Q323,0)</f>
        <v>0</v>
      </c>
      <c r="U323" s="255">
        <f>IF(R323&gt;0,S323*100/R323,0)</f>
        <v>0</v>
      </c>
    </row>
    <row r="324" spans="1:21" ht="18.75" hidden="1">
      <c r="A324" s="155"/>
      <c r="B324" s="50"/>
      <c r="C324" s="50"/>
      <c r="D324" s="50"/>
      <c r="E324" s="186" t="s">
        <v>36</v>
      </c>
      <c r="F324" s="50"/>
      <c r="G324" s="52"/>
      <c r="H324" s="189" t="s">
        <v>14</v>
      </c>
      <c r="I324" s="163"/>
      <c r="J324" s="163"/>
      <c r="K324" s="164"/>
      <c r="L324" s="103">
        <v>0</v>
      </c>
      <c r="M324" s="102">
        <v>0</v>
      </c>
      <c r="N324" s="102">
        <v>0</v>
      </c>
      <c r="O324" s="102">
        <f>IF(L324&gt;0,N324*100/L324,0)</f>
        <v>0</v>
      </c>
      <c r="P324" s="102">
        <f>IF(M324&gt;0,N324*100/M324,0)</f>
        <v>0</v>
      </c>
      <c r="Q324" s="102">
        <v>0</v>
      </c>
      <c r="R324" s="102">
        <v>0</v>
      </c>
      <c r="S324" s="102">
        <v>0</v>
      </c>
      <c r="T324" s="102">
        <f>IF(Q324&gt;0,S324*100/Q324,0)</f>
        <v>0</v>
      </c>
      <c r="U324" s="102">
        <f>IF(R324&gt;0,S324*100/R324,0)</f>
        <v>0</v>
      </c>
    </row>
    <row r="325" spans="1:21" ht="18.75" hidden="1">
      <c r="A325" s="155"/>
      <c r="B325" s="50"/>
      <c r="C325" s="50"/>
      <c r="D325" s="50"/>
      <c r="E325" s="58" t="s">
        <v>37</v>
      </c>
      <c r="F325" s="50"/>
      <c r="G325" s="52"/>
      <c r="H325" s="162" t="s">
        <v>14</v>
      </c>
      <c r="I325" s="163"/>
      <c r="J325" s="163"/>
      <c r="K325" s="164"/>
      <c r="L325" s="256">
        <f ca="1">IFERROR(__xludf.DUMMYFUNCTION("IMPORTRANGE(""https://docs.google.com/spreadsheets/d/1-uDff_7J0KD5mKrp0Vvzr7lt3OU09vwQwhkpOPPYv2Y/edit?usp=sharing"",""งบพรบ!EI37"")"),0)</f>
        <v>0</v>
      </c>
      <c r="M325" s="255">
        <f ca="1">IFERROR(__xludf.DUMMYFUNCTION("IMPORTRANGE(""https://docs.google.com/spreadsheets/d/1-uDff_7J0KD5mKrp0Vvzr7lt3OU09vwQwhkpOPPYv2Y/edit?usp=sharing"",""งบพรบ!EN37"")"),0)</f>
        <v>0</v>
      </c>
      <c r="N325" s="255">
        <f ca="1">IFERROR(__xludf.DUMMYFUNCTION("IMPORTRANGE(""https://docs.google.com/spreadsheets/d/1-uDff_7J0KD5mKrp0Vvzr7lt3OU09vwQwhkpOPPYv2Y/edit?usp=sharing"",""งบพรบ!EP37"")"),0)</f>
        <v>0</v>
      </c>
      <c r="O325" s="255">
        <f ca="1">IF(L325&gt;0,N325*100/L325,0)</f>
        <v>0</v>
      </c>
      <c r="P325" s="255">
        <f ca="1">IF(M325&gt;0,N325*100/M325,0)</f>
        <v>0</v>
      </c>
      <c r="Q325" s="255">
        <v>0</v>
      </c>
      <c r="R325" s="255">
        <v>0</v>
      </c>
      <c r="S325" s="255">
        <v>0</v>
      </c>
      <c r="T325" s="255">
        <f>IF(Q325&gt;0,S325*100/Q325,0)</f>
        <v>0</v>
      </c>
      <c r="U325" s="255">
        <f>IF(R325&gt;0,S325*100/R325,0)</f>
        <v>0</v>
      </c>
    </row>
    <row r="326" spans="1:21" ht="18.75" hidden="1">
      <c r="A326" s="155"/>
      <c r="B326" s="50"/>
      <c r="C326" s="50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256">
        <f ca="1">L327+L328</f>
        <v>0</v>
      </c>
      <c r="M326" s="255">
        <f ca="1">M327+M328</f>
        <v>0</v>
      </c>
      <c r="N326" s="255">
        <f ca="1">N327+N328</f>
        <v>0</v>
      </c>
      <c r="O326" s="255">
        <f ca="1">IF(L326&gt;0,N326*100/L326,0)</f>
        <v>0</v>
      </c>
      <c r="P326" s="255">
        <f ca="1">IF(M326&gt;0,N326*100/M326,0)</f>
        <v>0</v>
      </c>
      <c r="Q326" s="255">
        <f>Q327+Q328</f>
        <v>0</v>
      </c>
      <c r="R326" s="255">
        <f>R327+R328</f>
        <v>0</v>
      </c>
      <c r="S326" s="255">
        <f>S327+S328</f>
        <v>0</v>
      </c>
      <c r="T326" s="255">
        <f>IF(Q326&gt;0,S326*100/Q326,0)</f>
        <v>0</v>
      </c>
      <c r="U326" s="255">
        <f>IF(R326&gt;0,S326*100/R326,0)</f>
        <v>0</v>
      </c>
    </row>
    <row r="327" spans="1:21" ht="18.75" hidden="1">
      <c r="A327" s="155"/>
      <c r="B327" s="50"/>
      <c r="C327" s="50"/>
      <c r="D327" s="50"/>
      <c r="E327" s="186" t="s">
        <v>20</v>
      </c>
      <c r="F327" s="50"/>
      <c r="G327" s="52"/>
      <c r="H327" s="189" t="s">
        <v>14</v>
      </c>
      <c r="I327" s="163"/>
      <c r="J327" s="163"/>
      <c r="K327" s="164"/>
      <c r="L327" s="103">
        <v>0</v>
      </c>
      <c r="M327" s="102">
        <v>0</v>
      </c>
      <c r="N327" s="102">
        <v>0</v>
      </c>
      <c r="O327" s="102">
        <f>IF(L327&gt;0,N327*100/L327,0)</f>
        <v>0</v>
      </c>
      <c r="P327" s="102">
        <f>IF(M327&gt;0,N327*100/M327,0)</f>
        <v>0</v>
      </c>
      <c r="Q327" s="102">
        <v>0</v>
      </c>
      <c r="R327" s="102">
        <v>0</v>
      </c>
      <c r="S327" s="102">
        <v>0</v>
      </c>
      <c r="T327" s="102">
        <f>IF(Q327&gt;0,S327*100/Q327,0)</f>
        <v>0</v>
      </c>
      <c r="U327" s="102">
        <f>IF(R327&gt;0,S327*100/R327,0)</f>
        <v>0</v>
      </c>
    </row>
    <row r="328" spans="1:21" ht="18.75" hidden="1">
      <c r="A328" s="155"/>
      <c r="B328" s="50"/>
      <c r="C328" s="50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256">
        <f ca="1">IFERROR(__xludf.DUMMYFUNCTION("IMPORTRANGE(""https://docs.google.com/spreadsheets/d/1-uDff_7J0KD5mKrp0Vvzr7lt3OU09vwQwhkpOPPYv2Y/edit?usp=sharing"",""งบพรบ!EL37"")"),0)</f>
        <v>0</v>
      </c>
      <c r="M328" s="255">
        <f ca="1">IFERROR(__xludf.DUMMYFUNCTION("IMPORTRANGE(""https://docs.google.com/spreadsheets/d/1-uDff_7J0KD5mKrp0Vvzr7lt3OU09vwQwhkpOPPYv2Y/edit?usp=sharing"",""งบพรบ!EO37"")"),0)</f>
        <v>0</v>
      </c>
      <c r="N328" s="255">
        <f ca="1">IFERROR(__xludf.DUMMYFUNCTION("IMPORTRANGE(""https://docs.google.com/spreadsheets/d/1-uDff_7J0KD5mKrp0Vvzr7lt3OU09vwQwhkpOPPYv2Y/edit?usp=sharing"",""งบพรบ!EQ37"")"),0)</f>
        <v>0</v>
      </c>
      <c r="O328" s="255">
        <f ca="1">IF(L328&gt;0,N328*100/L328,0)</f>
        <v>0</v>
      </c>
      <c r="P328" s="255">
        <f ca="1">IF(M328&gt;0,N328*100/M328,0)</f>
        <v>0</v>
      </c>
      <c r="Q328" s="255">
        <v>0</v>
      </c>
      <c r="R328" s="255">
        <v>0</v>
      </c>
      <c r="S328" s="255">
        <v>0</v>
      </c>
      <c r="T328" s="255">
        <f>IF(Q328&gt;0,S328*100/Q328,0)</f>
        <v>0</v>
      </c>
      <c r="U328" s="255">
        <f>IF(R328&gt;0,S328*100/R328,0)</f>
        <v>0</v>
      </c>
    </row>
    <row r="329" spans="1:21" ht="19.5" hidden="1">
      <c r="A329" s="166"/>
      <c r="B329" s="167"/>
      <c r="C329" s="156" t="s">
        <v>18</v>
      </c>
      <c r="D329" s="566" t="s">
        <v>38</v>
      </c>
      <c r="E329" s="169"/>
      <c r="F329" s="169"/>
      <c r="G329" s="170"/>
      <c r="H329" s="171"/>
      <c r="I329" s="163"/>
      <c r="J329" s="54"/>
      <c r="K329" s="55"/>
      <c r="L329" s="62"/>
      <c r="M329" s="55"/>
      <c r="N329" s="55"/>
      <c r="O329" s="164"/>
      <c r="P329" s="164"/>
      <c r="Q329" s="55"/>
      <c r="R329" s="55"/>
      <c r="S329" s="55"/>
      <c r="T329" s="164"/>
      <c r="U329" s="164"/>
    </row>
    <row r="330" spans="1:21" ht="18.75" hidden="1">
      <c r="A330" s="166"/>
      <c r="B330" s="167"/>
      <c r="C330" s="167"/>
      <c r="D330" s="173" t="s">
        <v>134</v>
      </c>
      <c r="E330" s="174"/>
      <c r="F330" s="174"/>
      <c r="G330" s="171"/>
      <c r="H330" s="53" t="s">
        <v>133</v>
      </c>
      <c r="I330" s="212">
        <f ca="1">IFERROR(__xludf.DUMMYFUNCTION("IMPORTRANGE(""https://docs.google.com/spreadsheets/d/1eHaY18a8A9IcSdp1K8H6x8fbOy06t2VsZHhMHf-1x7Y/edit?usp=sharing"",""แผน!EJ37"")"),0)</f>
        <v>0</v>
      </c>
      <c r="J330" s="467">
        <v>0</v>
      </c>
      <c r="K330" s="255">
        <f ca="1">IF(I330&gt;0,J330*100/I330,0)</f>
        <v>0</v>
      </c>
      <c r="L330" s="62"/>
      <c r="M330" s="55"/>
      <c r="N330" s="55"/>
      <c r="O330" s="164"/>
      <c r="P330" s="164"/>
      <c r="Q330" s="55"/>
      <c r="R330" s="55"/>
      <c r="S330" s="55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1"/>
      <c r="I331" s="323"/>
      <c r="J331" s="323"/>
      <c r="K331" s="324"/>
      <c r="L331" s="325"/>
      <c r="M331" s="324"/>
      <c r="N331" s="324"/>
      <c r="O331" s="324"/>
      <c r="P331" s="324"/>
      <c r="Q331" s="324"/>
      <c r="R331" s="324"/>
      <c r="S331" s="324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30" t="s">
        <v>35</v>
      </c>
      <c r="I332" s="632">
        <f ca="1">I344</f>
        <v>2400</v>
      </c>
      <c r="J332" s="631">
        <f ca="1">J344+J347+J348+J349+J353+J354</f>
        <v>4704</v>
      </c>
      <c r="K332" s="630">
        <f ca="1">IF(I332&gt;0,J332*100/I332,0)</f>
        <v>196</v>
      </c>
      <c r="L332" s="334"/>
      <c r="M332" s="333"/>
      <c r="N332" s="333"/>
      <c r="O332" s="333"/>
      <c r="P332" s="333"/>
      <c r="Q332" s="333"/>
      <c r="R332" s="333"/>
      <c r="S332" s="333"/>
      <c r="T332" s="333"/>
      <c r="U332" s="333"/>
    </row>
    <row r="333" spans="1:21" ht="19.5">
      <c r="A333" s="155"/>
      <c r="B333" s="50"/>
      <c r="C333" s="156" t="s">
        <v>18</v>
      </c>
      <c r="D333" s="575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541">
        <f ca="1">L334+L335</f>
        <v>113000</v>
      </c>
      <c r="M333" s="540">
        <f ca="1">M334+M335</f>
        <v>118000</v>
      </c>
      <c r="N333" s="540">
        <f ca="1">N334+N335</f>
        <v>86700</v>
      </c>
      <c r="O333" s="540">
        <f ca="1">IF(L333&gt;0,N333*100/L333,0)</f>
        <v>76.725663716814154</v>
      </c>
      <c r="P333" s="540">
        <f ca="1">IF(M333&gt;0,N333*100/M333,0)</f>
        <v>73.474576271186436</v>
      </c>
      <c r="Q333" s="540">
        <f>Q334+Q335</f>
        <v>0</v>
      </c>
      <c r="R333" s="540">
        <f>R334+R335</f>
        <v>0</v>
      </c>
      <c r="S333" s="540">
        <f>S334+S335</f>
        <v>0</v>
      </c>
      <c r="T333" s="540">
        <f>IF(Q333&gt;0,S333*100/Q333,0)</f>
        <v>0</v>
      </c>
      <c r="U333" s="540">
        <f>IF(R333&gt;0,S333*100/R333,0)</f>
        <v>0</v>
      </c>
    </row>
    <row r="334" spans="1:21" ht="18.75" hidden="1">
      <c r="A334" s="155"/>
      <c r="B334" s="50"/>
      <c r="C334" s="50"/>
      <c r="D334" s="50"/>
      <c r="E334" s="186" t="s">
        <v>20</v>
      </c>
      <c r="F334" s="50"/>
      <c r="G334" s="52"/>
      <c r="H334" s="187" t="s">
        <v>14</v>
      </c>
      <c r="I334" s="54"/>
      <c r="J334" s="54"/>
      <c r="K334" s="55"/>
      <c r="L334" s="103">
        <f>L337+L340</f>
        <v>0</v>
      </c>
      <c r="M334" s="102">
        <f>M337+M340</f>
        <v>0</v>
      </c>
      <c r="N334" s="102">
        <f>N337+N340</f>
        <v>0</v>
      </c>
      <c r="O334" s="102">
        <f>IF(L334&gt;0,N334*100/L334,0)</f>
        <v>0</v>
      </c>
      <c r="P334" s="102">
        <f>IF(M334&gt;0,N334*100/M334,0)</f>
        <v>0</v>
      </c>
      <c r="Q334" s="102">
        <f>Q337+Q340</f>
        <v>0</v>
      </c>
      <c r="R334" s="102">
        <f>R337+R340</f>
        <v>0</v>
      </c>
      <c r="S334" s="102">
        <f>S337+S340</f>
        <v>0</v>
      </c>
      <c r="T334" s="102">
        <f>IF(Q334&gt;0,S334*100/Q334,0)</f>
        <v>0</v>
      </c>
      <c r="U334" s="102">
        <f>IF(R334&gt;0,S334*100/R334,0)</f>
        <v>0</v>
      </c>
    </row>
    <row r="335" spans="1:21" ht="18.75" hidden="1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256">
        <f ca="1">L338+L341</f>
        <v>113000</v>
      </c>
      <c r="M335" s="255">
        <f ca="1">M338+M341</f>
        <v>118000</v>
      </c>
      <c r="N335" s="255">
        <f ca="1">N338+N341</f>
        <v>86700</v>
      </c>
      <c r="O335" s="255">
        <f ca="1">IF(L335&gt;0,N335*100/L335,0)</f>
        <v>76.725663716814154</v>
      </c>
      <c r="P335" s="255">
        <f ca="1">IF(M335&gt;0,N335*100/M335,0)</f>
        <v>73.474576271186436</v>
      </c>
      <c r="Q335" s="255">
        <f>Q338+Q341</f>
        <v>0</v>
      </c>
      <c r="R335" s="255">
        <f>R338+R341</f>
        <v>0</v>
      </c>
      <c r="S335" s="255">
        <f>S338+S341</f>
        <v>0</v>
      </c>
      <c r="T335" s="255">
        <f>IF(Q335&gt;0,S335*100/Q335,0)</f>
        <v>0</v>
      </c>
      <c r="U335" s="255">
        <f>IF(R335&gt;0,S335*100/R335,0)</f>
        <v>0</v>
      </c>
    </row>
    <row r="336" spans="1:21" ht="18.75">
      <c r="A336" s="155"/>
      <c r="B336" s="50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256">
        <f ca="1">L337+L338</f>
        <v>113000</v>
      </c>
      <c r="M336" s="255">
        <f ca="1">M337+M338</f>
        <v>118000</v>
      </c>
      <c r="N336" s="255">
        <f ca="1">N337+N338</f>
        <v>86700</v>
      </c>
      <c r="O336" s="255">
        <f ca="1">IF(L336&gt;0,N336*100/L336,0)</f>
        <v>76.725663716814154</v>
      </c>
      <c r="P336" s="255">
        <f ca="1">IF(M336&gt;0,N336*100/M336,0)</f>
        <v>73.474576271186436</v>
      </c>
      <c r="Q336" s="255">
        <f>Q337+Q338</f>
        <v>0</v>
      </c>
      <c r="R336" s="255">
        <f>R337+R338</f>
        <v>0</v>
      </c>
      <c r="S336" s="255">
        <f>S337+S338</f>
        <v>0</v>
      </c>
      <c r="T336" s="255">
        <f>IF(Q336&gt;0,S336*100/Q336,0)</f>
        <v>0</v>
      </c>
      <c r="U336" s="255">
        <f>IF(R336&gt;0,S336*100/R336,0)</f>
        <v>0</v>
      </c>
    </row>
    <row r="337" spans="1:21" ht="18.75" hidden="1">
      <c r="A337" s="155"/>
      <c r="B337" s="50"/>
      <c r="C337" s="50"/>
      <c r="D337" s="50"/>
      <c r="E337" s="186" t="s">
        <v>36</v>
      </c>
      <c r="F337" s="50"/>
      <c r="G337" s="52"/>
      <c r="H337" s="189" t="s">
        <v>14</v>
      </c>
      <c r="I337" s="163"/>
      <c r="J337" s="163"/>
      <c r="K337" s="164"/>
      <c r="L337" s="103">
        <v>0</v>
      </c>
      <c r="M337" s="102">
        <v>0</v>
      </c>
      <c r="N337" s="102">
        <v>0</v>
      </c>
      <c r="O337" s="102">
        <f>IF(L337&gt;0,N337*100/L337,0)</f>
        <v>0</v>
      </c>
      <c r="P337" s="102">
        <f>IF(M337&gt;0,N337*100/M337,0)</f>
        <v>0</v>
      </c>
      <c r="Q337" s="102">
        <v>0</v>
      </c>
      <c r="R337" s="102">
        <v>0</v>
      </c>
      <c r="S337" s="102">
        <v>0</v>
      </c>
      <c r="T337" s="102">
        <f>IF(Q337&gt;0,S337*100/Q337,0)</f>
        <v>0</v>
      </c>
      <c r="U337" s="102">
        <f>IF(R337&gt;0,S337*100/R337,0)</f>
        <v>0</v>
      </c>
    </row>
    <row r="338" spans="1:21" ht="18.75" hidden="1">
      <c r="A338" s="155"/>
      <c r="B338" s="50"/>
      <c r="C338" s="50"/>
      <c r="D338" s="50"/>
      <c r="E338" s="58" t="s">
        <v>37</v>
      </c>
      <c r="F338" s="50"/>
      <c r="G338" s="52"/>
      <c r="H338" s="162" t="s">
        <v>14</v>
      </c>
      <c r="I338" s="163"/>
      <c r="J338" s="163"/>
      <c r="K338" s="164"/>
      <c r="L338" s="256">
        <f ca="1">IFERROR(__xludf.DUMMYFUNCTION("IMPORTRANGE(""https://docs.google.com/spreadsheets/d/1-uDff_7J0KD5mKrp0Vvzr7lt3OU09vwQwhkpOPPYv2Y/edit?usp=sharing"",""งบพรบ!ES37"")"),113000)</f>
        <v>113000</v>
      </c>
      <c r="M338" s="255">
        <f ca="1">IFERROR(__xludf.DUMMYFUNCTION("IMPORTRANGE(""https://docs.google.com/spreadsheets/d/1-uDff_7J0KD5mKrp0Vvzr7lt3OU09vwQwhkpOPPYv2Y/edit?usp=sharing"",""งบพรบ!EX37"")"),118000)</f>
        <v>118000</v>
      </c>
      <c r="N338" s="255">
        <f ca="1">IFERROR(__xludf.DUMMYFUNCTION("IMPORTRANGE(""https://docs.google.com/spreadsheets/d/1-uDff_7J0KD5mKrp0Vvzr7lt3OU09vwQwhkpOPPYv2Y/edit?usp=sharing"",""งบพรบ!EZ37"")"),86700)</f>
        <v>86700</v>
      </c>
      <c r="O338" s="255">
        <f ca="1">IF(L338&gt;0,N338*100/L338,0)</f>
        <v>76.725663716814154</v>
      </c>
      <c r="P338" s="255">
        <f ca="1">IF(M338&gt;0,N338*100/M338,0)</f>
        <v>73.474576271186436</v>
      </c>
      <c r="Q338" s="255">
        <v>0</v>
      </c>
      <c r="R338" s="255">
        <v>0</v>
      </c>
      <c r="S338" s="255">
        <v>0</v>
      </c>
      <c r="T338" s="255">
        <f>IF(Q338&gt;0,S338*100/Q338,0)</f>
        <v>0</v>
      </c>
      <c r="U338" s="255">
        <f>IF(R338&gt;0,S338*100/R338,0)</f>
        <v>0</v>
      </c>
    </row>
    <row r="339" spans="1:21" ht="18.75">
      <c r="A339" s="155"/>
      <c r="B339" s="50"/>
      <c r="C339" s="50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256">
        <f ca="1">L340+L341</f>
        <v>0</v>
      </c>
      <c r="M339" s="255">
        <f ca="1">M340+M341</f>
        <v>0</v>
      </c>
      <c r="N339" s="255">
        <f ca="1">N340+N341</f>
        <v>0</v>
      </c>
      <c r="O339" s="255">
        <f ca="1">IF(L339&gt;0,N339*100/L339,0)</f>
        <v>0</v>
      </c>
      <c r="P339" s="255">
        <f ca="1">IF(M339&gt;0,N339*100/M339,0)</f>
        <v>0</v>
      </c>
      <c r="Q339" s="255">
        <f>Q340+Q341</f>
        <v>0</v>
      </c>
      <c r="R339" s="255">
        <f>R340+R341</f>
        <v>0</v>
      </c>
      <c r="S339" s="255">
        <f>S340+S341</f>
        <v>0</v>
      </c>
      <c r="T339" s="255">
        <f>IF(Q339&gt;0,S339*100/Q339,0)</f>
        <v>0</v>
      </c>
      <c r="U339" s="255">
        <f>IF(R339&gt;0,S339*100/R339,0)</f>
        <v>0</v>
      </c>
    </row>
    <row r="340" spans="1:21" ht="18.75" hidden="1">
      <c r="A340" s="155"/>
      <c r="B340" s="50"/>
      <c r="C340" s="50"/>
      <c r="D340" s="50"/>
      <c r="E340" s="186" t="s">
        <v>20</v>
      </c>
      <c r="F340" s="50"/>
      <c r="G340" s="52"/>
      <c r="H340" s="189" t="s">
        <v>14</v>
      </c>
      <c r="I340" s="163"/>
      <c r="J340" s="163"/>
      <c r="K340" s="164"/>
      <c r="L340" s="103">
        <v>0</v>
      </c>
      <c r="M340" s="102">
        <v>0</v>
      </c>
      <c r="N340" s="102">
        <v>0</v>
      </c>
      <c r="O340" s="102">
        <f>IF(L340&gt;0,N340*100/L340,0)</f>
        <v>0</v>
      </c>
      <c r="P340" s="102">
        <f>IF(M340&gt;0,N340*100/M340,0)</f>
        <v>0</v>
      </c>
      <c r="Q340" s="102">
        <v>0</v>
      </c>
      <c r="R340" s="102">
        <v>0</v>
      </c>
      <c r="S340" s="102">
        <v>0</v>
      </c>
      <c r="T340" s="102">
        <f>IF(Q340&gt;0,S340*100/Q340,0)</f>
        <v>0</v>
      </c>
      <c r="U340" s="102">
        <f>IF(R340&gt;0,S340*100/R340,0)</f>
        <v>0</v>
      </c>
    </row>
    <row r="341" spans="1:21" ht="18.75" hidden="1">
      <c r="A341" s="155"/>
      <c r="B341" s="50"/>
      <c r="C341" s="50"/>
      <c r="D341" s="50"/>
      <c r="E341" s="58" t="s">
        <v>21</v>
      </c>
      <c r="F341" s="50"/>
      <c r="G341" s="52"/>
      <c r="H341" s="165" t="s">
        <v>14</v>
      </c>
      <c r="I341" s="163"/>
      <c r="J341" s="163"/>
      <c r="K341" s="164"/>
      <c r="L341" s="256">
        <f ca="1">IFERROR(__xludf.DUMMYFUNCTION("IMPORTRANGE(""https://docs.google.com/spreadsheets/d/1-uDff_7J0KD5mKrp0Vvzr7lt3OU09vwQwhkpOPPYv2Y/edit?usp=sharing"",""งบพรบ!EV37"")"),0)</f>
        <v>0</v>
      </c>
      <c r="M341" s="255">
        <f ca="1">IFERROR(__xludf.DUMMYFUNCTION("IMPORTRANGE(""https://docs.google.com/spreadsheets/d/1-uDff_7J0KD5mKrp0Vvzr7lt3OU09vwQwhkpOPPYv2Y/edit?usp=sharing"",""งบพรบ!EY37"")"),0)</f>
        <v>0</v>
      </c>
      <c r="N341" s="255">
        <f ca="1">IFERROR(__xludf.DUMMYFUNCTION("IMPORTRANGE(""https://docs.google.com/spreadsheets/d/1-uDff_7J0KD5mKrp0Vvzr7lt3OU09vwQwhkpOPPYv2Y/edit?usp=sharing"",""งบพรบ!FA37"")"),0)</f>
        <v>0</v>
      </c>
      <c r="O341" s="255">
        <f ca="1">IF(L341&gt;0,N341*100/L341,0)</f>
        <v>0</v>
      </c>
      <c r="P341" s="255">
        <f ca="1">IF(M341&gt;0,N341*100/M341,0)</f>
        <v>0</v>
      </c>
      <c r="Q341" s="255">
        <v>0</v>
      </c>
      <c r="R341" s="255">
        <v>0</v>
      </c>
      <c r="S341" s="255">
        <v>0</v>
      </c>
      <c r="T341" s="255">
        <f>IF(Q341&gt;0,S341*100/Q341,0)</f>
        <v>0</v>
      </c>
      <c r="U341" s="255">
        <f>IF(R341&gt;0,S341*100/R341,0)</f>
        <v>0</v>
      </c>
    </row>
    <row r="342" spans="1:21" ht="19.5">
      <c r="A342" s="166"/>
      <c r="B342" s="167"/>
      <c r="C342" s="156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62"/>
      <c r="M342" s="55"/>
      <c r="N342" s="55"/>
      <c r="O342" s="164"/>
      <c r="P342" s="164"/>
      <c r="Q342" s="55"/>
      <c r="R342" s="55"/>
      <c r="S342" s="55"/>
      <c r="T342" s="164"/>
      <c r="U342" s="164"/>
    </row>
    <row r="343" spans="1:21" ht="19.5">
      <c r="A343" s="629"/>
      <c r="B343" s="626"/>
      <c r="C343" s="628"/>
      <c r="D343" s="626"/>
      <c r="E343" s="627" t="s">
        <v>137</v>
      </c>
      <c r="F343" s="626"/>
      <c r="G343" s="625"/>
      <c r="H343" s="624" t="s">
        <v>35</v>
      </c>
      <c r="I343" s="623">
        <v>0</v>
      </c>
      <c r="J343" s="623">
        <f ca="1">J344+J347+J348+J349</f>
        <v>1373</v>
      </c>
      <c r="K343" s="622">
        <v>0</v>
      </c>
      <c r="L343" s="250"/>
      <c r="M343" s="249"/>
      <c r="N343" s="249"/>
      <c r="O343" s="249"/>
      <c r="P343" s="249"/>
      <c r="Q343" s="249"/>
      <c r="R343" s="249"/>
      <c r="S343" s="249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40" t="s">
        <v>35</v>
      </c>
      <c r="I344" s="212">
        <f ca="1">IFERROR(__xludf.DUMMYFUNCTION("IMPORTRANGE(""https://docs.google.com/spreadsheets/d/1eHaY18a8A9IcSdp1K8H6x8fbOy06t2VsZHhMHf-1x7Y/edit?usp=sharing"",""แผน!EK37"")"),2400)</f>
        <v>2400</v>
      </c>
      <c r="J344" s="212">
        <f ca="1">IFERROR(__xludf.DUMMYFUNCTION("IMPORTRANGE(""https://docs.google.com/spreadsheets/d/1awYsYK3VOup2i3Pq_Yjnu8DRu_mYwSBnCR2QPthd0rU/edit?usp=sharing"",""ศูนย์ยกเว้นโฉนด!D37"")"),1348)</f>
        <v>1348</v>
      </c>
      <c r="K344" s="255">
        <f ca="1">IF(I344&gt;0,J344*100/I344,0)</f>
        <v>56.166666666666664</v>
      </c>
      <c r="L344" s="62"/>
      <c r="M344" s="55"/>
      <c r="N344" s="55"/>
      <c r="O344" s="55"/>
      <c r="P344" s="55"/>
      <c r="Q344" s="55"/>
      <c r="R344" s="55"/>
      <c r="S344" s="55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62"/>
      <c r="M345" s="55"/>
      <c r="N345" s="55"/>
      <c r="O345" s="55"/>
      <c r="P345" s="55"/>
      <c r="Q345" s="55"/>
      <c r="R345" s="55"/>
      <c r="S345" s="55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212">
        <f ca="1">IFERROR(__xludf.DUMMYFUNCTION("IMPORTRANGE(""https://docs.google.com/spreadsheets/d/1eHaY18a8A9IcSdp1K8H6x8fbOy06t2VsZHhMHf-1x7Y/edit?usp=sharing"",""แผน!EL37"")"),5)</f>
        <v>5</v>
      </c>
      <c r="J346" s="212">
        <f ca="1">IFERROR(__xludf.DUMMYFUNCTION("IMPORTRANGE(""https://docs.google.com/spreadsheets/d/1awYsYK3VOup2i3Pq_Yjnu8DRu_mYwSBnCR2QPthd0rU/edit?usp=sharing"",""ศูนย์รวม!E37"")"),6)</f>
        <v>6</v>
      </c>
      <c r="K346" s="255">
        <f ca="1">IF(I346&gt;0,J346*100/I346,0)</f>
        <v>120</v>
      </c>
      <c r="L346" s="62"/>
      <c r="M346" s="55"/>
      <c r="N346" s="55"/>
      <c r="O346" s="55"/>
      <c r="P346" s="55"/>
      <c r="Q346" s="55"/>
      <c r="R346" s="55"/>
      <c r="S346" s="55"/>
      <c r="T346" s="55"/>
      <c r="U346" s="55"/>
    </row>
    <row r="347" spans="1:21" ht="18.75">
      <c r="A347" s="238"/>
      <c r="B347" s="50"/>
      <c r="C347" s="188"/>
      <c r="D347" s="174"/>
      <c r="E347" s="174"/>
      <c r="F347" s="178" t="s">
        <v>142</v>
      </c>
      <c r="G347" s="52"/>
      <c r="H347" s="203" t="s">
        <v>35</v>
      </c>
      <c r="I347" s="54"/>
      <c r="J347" s="212">
        <f ca="1">IFERROR(__xludf.DUMMYFUNCTION("IMPORTRANGE(""https://docs.google.com/spreadsheets/d/1awYsYK3VOup2i3Pq_Yjnu8DRu_mYwSBnCR2QPthd0rU/edit?usp=sharing"",""ศูนย์ยกเว้นโฉนด!F37"")"),25)</f>
        <v>25</v>
      </c>
      <c r="K347" s="55"/>
      <c r="L347" s="62"/>
      <c r="M347" s="55"/>
      <c r="N347" s="55"/>
      <c r="O347" s="55"/>
      <c r="P347" s="55"/>
      <c r="Q347" s="55"/>
      <c r="R347" s="55"/>
      <c r="S347" s="55"/>
      <c r="T347" s="55"/>
      <c r="U347" s="55"/>
    </row>
    <row r="348" spans="1:21" ht="18.75">
      <c r="A348" s="238"/>
      <c r="B348" s="50"/>
      <c r="C348" s="188"/>
      <c r="D348" s="174"/>
      <c r="E348" s="178" t="s">
        <v>143</v>
      </c>
      <c r="F348" s="174"/>
      <c r="G348" s="52"/>
      <c r="H348" s="203" t="s">
        <v>35</v>
      </c>
      <c r="I348" s="54"/>
      <c r="J348" s="212">
        <f ca="1">IFERROR(__xludf.DUMMYFUNCTION("IMPORTRANGE(""https://docs.google.com/spreadsheets/d/1awYsYK3VOup2i3Pq_Yjnu8DRu_mYwSBnCR2QPthd0rU/edit?usp=sharing"",""ศูนย์ยกเว้นโฉนด!G37"")"),0)</f>
        <v>0</v>
      </c>
      <c r="K348" s="55"/>
      <c r="L348" s="62"/>
      <c r="M348" s="55"/>
      <c r="N348" s="55"/>
      <c r="O348" s="55"/>
      <c r="P348" s="55"/>
      <c r="Q348" s="55"/>
      <c r="R348" s="55"/>
      <c r="S348" s="55"/>
      <c r="T348" s="55"/>
      <c r="U348" s="55"/>
    </row>
    <row r="349" spans="1:21" ht="18.75">
      <c r="A349" s="238"/>
      <c r="B349" s="50"/>
      <c r="C349" s="188"/>
      <c r="D349" s="167"/>
      <c r="E349" s="178" t="s">
        <v>144</v>
      </c>
      <c r="F349" s="174"/>
      <c r="G349" s="52"/>
      <c r="H349" s="203" t="s">
        <v>35</v>
      </c>
      <c r="I349" s="54"/>
      <c r="J349" s="212">
        <f ca="1">IFERROR(__xludf.DUMMYFUNCTION("IMPORTRANGE(""https://docs.google.com/spreadsheets/d/1awYsYK3VOup2i3Pq_Yjnu8DRu_mYwSBnCR2QPthd0rU/edit?usp=sharing"",""ศูนย์ยกเว้นโฉนด!H37"")"),0)</f>
        <v>0</v>
      </c>
      <c r="K349" s="55"/>
      <c r="L349" s="62"/>
      <c r="M349" s="55"/>
      <c r="N349" s="55"/>
      <c r="O349" s="55"/>
      <c r="P349" s="55"/>
      <c r="Q349" s="55"/>
      <c r="R349" s="55"/>
      <c r="S349" s="55"/>
      <c r="T349" s="55"/>
      <c r="U349" s="55"/>
    </row>
    <row r="350" spans="1:21" ht="16.5">
      <c r="A350" s="18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0" s="50"/>
      <c r="F350" s="50"/>
      <c r="G350" s="52"/>
      <c r="H350" s="208"/>
      <c r="I350" s="54"/>
      <c r="J350" s="54"/>
      <c r="K350" s="55"/>
      <c r="L350" s="62"/>
      <c r="M350" s="55"/>
      <c r="N350" s="55"/>
      <c r="O350" s="55"/>
      <c r="P350" s="55"/>
      <c r="Q350" s="55"/>
      <c r="R350" s="55"/>
      <c r="S350" s="55"/>
      <c r="T350" s="55"/>
      <c r="U350" s="55"/>
    </row>
    <row r="351" spans="1:21" ht="19.5">
      <c r="A351" s="241"/>
      <c r="B351" s="244"/>
      <c r="C351" s="242"/>
      <c r="D351" s="244"/>
      <c r="E351" s="621" t="s">
        <v>145</v>
      </c>
      <c r="F351" s="244"/>
      <c r="G351" s="245"/>
      <c r="H351" s="246" t="s">
        <v>35</v>
      </c>
      <c r="I351" s="339">
        <v>0</v>
      </c>
      <c r="J351" s="339">
        <f ca="1">J352+J353+J354</f>
        <v>4860</v>
      </c>
      <c r="K351" s="340">
        <v>0</v>
      </c>
      <c r="L351" s="250"/>
      <c r="M351" s="249"/>
      <c r="N351" s="249"/>
      <c r="O351" s="249"/>
      <c r="P351" s="249"/>
      <c r="Q351" s="249"/>
      <c r="R351" s="249"/>
      <c r="S351" s="249"/>
      <c r="T351" s="249"/>
      <c r="U351" s="249"/>
    </row>
    <row r="352" spans="1:21" ht="18.75">
      <c r="A352" s="188"/>
      <c r="B352" s="50"/>
      <c r="C352" s="188"/>
      <c r="D352" s="174"/>
      <c r="E352" s="178" t="s">
        <v>146</v>
      </c>
      <c r="F352" s="50"/>
      <c r="G352" s="52"/>
      <c r="H352" s="161" t="s">
        <v>35</v>
      </c>
      <c r="I352" s="54"/>
      <c r="J352" s="212">
        <f ca="1">IFERROR(__xludf.DUMMYFUNCTION("IMPORTRANGE(""https://docs.google.com/spreadsheets/d/1awYsYK3VOup2i3Pq_Yjnu8DRu_mYwSBnCR2QPthd0rU/edit?usp=sharing"",""โฉนดM3!G37"")"),1529)</f>
        <v>1529</v>
      </c>
      <c r="K352" s="55"/>
      <c r="L352" s="62"/>
      <c r="M352" s="55"/>
      <c r="N352" s="55"/>
      <c r="O352" s="55"/>
      <c r="P352" s="55"/>
      <c r="Q352" s="55"/>
      <c r="R352" s="55"/>
      <c r="S352" s="55"/>
      <c r="T352" s="55"/>
      <c r="U352" s="55"/>
    </row>
    <row r="353" spans="1:21" ht="18.75">
      <c r="A353" s="18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212">
        <f ca="1">IFERROR(__xludf.DUMMYFUNCTION("IMPORTRANGE(""https://docs.google.com/spreadsheets/d/1awYsYK3VOup2i3Pq_Yjnu8DRu_mYwSBnCR2QPthd0rU/edit?usp=sharing"",""โฉนดM3!H37"")"),3331)</f>
        <v>3331</v>
      </c>
      <c r="K353" s="55"/>
      <c r="L353" s="62"/>
      <c r="M353" s="55"/>
      <c r="N353" s="55"/>
      <c r="O353" s="55"/>
      <c r="P353" s="55"/>
      <c r="Q353" s="55"/>
      <c r="R353" s="55"/>
      <c r="S353" s="55"/>
      <c r="T353" s="55"/>
      <c r="U353" s="55"/>
    </row>
    <row r="354" spans="1:21" ht="18.75">
      <c r="A354" s="343"/>
      <c r="B354" s="344"/>
      <c r="C354" s="343"/>
      <c r="D354" s="343"/>
      <c r="E354" s="345" t="s">
        <v>148</v>
      </c>
      <c r="F354" s="344"/>
      <c r="G354" s="346"/>
      <c r="H354" s="347" t="s">
        <v>35</v>
      </c>
      <c r="I354" s="348"/>
      <c r="J354" s="349">
        <f ca="1">IFERROR(__xludf.DUMMYFUNCTION("IMPORTRANGE(""https://docs.google.com/spreadsheets/d/1awYsYK3VOup2i3Pq_Yjnu8DRu_mYwSBnCR2QPthd0rU/edit?usp=sharing"",""โฉนดM3!I37"")"),0)</f>
        <v>0</v>
      </c>
      <c r="K354" s="350"/>
      <c r="L354" s="350"/>
      <c r="M354" s="350"/>
      <c r="N354" s="350"/>
      <c r="O354" s="350"/>
      <c r="P354" s="350"/>
      <c r="Q354" s="350"/>
      <c r="R354" s="350"/>
      <c r="S354" s="350"/>
      <c r="T354" s="350"/>
      <c r="U354" s="350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29"/>
      <c r="I355" s="351"/>
      <c r="J355" s="351"/>
      <c r="K355" s="333"/>
      <c r="L355" s="334"/>
      <c r="M355" s="333"/>
      <c r="N355" s="333"/>
      <c r="O355" s="333"/>
      <c r="P355" s="333"/>
      <c r="Q355" s="333"/>
      <c r="R355" s="333"/>
      <c r="S355" s="333"/>
      <c r="T355" s="333"/>
      <c r="U355" s="333"/>
    </row>
    <row r="356" spans="1:21" ht="19.5">
      <c r="A356" s="155"/>
      <c r="B356" s="50"/>
      <c r="C356" s="156" t="s">
        <v>18</v>
      </c>
      <c r="D356" s="575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541">
        <f ca="1">L357+L358</f>
        <v>773740</v>
      </c>
      <c r="M356" s="540">
        <f ca="1">M357+M358</f>
        <v>838495</v>
      </c>
      <c r="N356" s="540">
        <f ca="1">N357+N358</f>
        <v>598900</v>
      </c>
      <c r="O356" s="540">
        <f ca="1">IF(L356&gt;0,N356*100/L356,0)</f>
        <v>77.403262077700518</v>
      </c>
      <c r="P356" s="540">
        <f ca="1">IF(M356&gt;0,N356*100/M356,0)</f>
        <v>71.425589896183041</v>
      </c>
      <c r="Q356" s="540">
        <f>Q357+Q358</f>
        <v>0</v>
      </c>
      <c r="R356" s="540">
        <f>R357+R358</f>
        <v>0</v>
      </c>
      <c r="S356" s="540">
        <f>S357+S358</f>
        <v>0</v>
      </c>
      <c r="T356" s="540">
        <f>IF(Q356&gt;0,S356*100/Q356,0)</f>
        <v>0</v>
      </c>
      <c r="U356" s="540">
        <f>IF(R356&gt;0,S356*100/R356,0)</f>
        <v>0</v>
      </c>
    </row>
    <row r="357" spans="1:21" ht="18.75" hidden="1">
      <c r="A357" s="155"/>
      <c r="B357" s="50"/>
      <c r="C357" s="50"/>
      <c r="D357" s="50"/>
      <c r="E357" s="186" t="s">
        <v>20</v>
      </c>
      <c r="F357" s="50"/>
      <c r="G357" s="52"/>
      <c r="H357" s="187" t="s">
        <v>14</v>
      </c>
      <c r="I357" s="54"/>
      <c r="J357" s="54"/>
      <c r="K357" s="55"/>
      <c r="L357" s="103">
        <f>L360+L363</f>
        <v>0</v>
      </c>
      <c r="M357" s="102">
        <f>M360+M363</f>
        <v>0</v>
      </c>
      <c r="N357" s="102">
        <f>N360+N363</f>
        <v>0</v>
      </c>
      <c r="O357" s="102">
        <f>IF(L357&gt;0,N357*100/L357,0)</f>
        <v>0</v>
      </c>
      <c r="P357" s="102">
        <f>IF(M357&gt;0,N357*100/M357,0)</f>
        <v>0</v>
      </c>
      <c r="Q357" s="102">
        <f>Q360+Q363</f>
        <v>0</v>
      </c>
      <c r="R357" s="102">
        <f>R360+R363</f>
        <v>0</v>
      </c>
      <c r="S357" s="102">
        <f>S360+S363</f>
        <v>0</v>
      </c>
      <c r="T357" s="102">
        <f>IF(Q357&gt;0,S357*100/Q357,0)</f>
        <v>0</v>
      </c>
      <c r="U357" s="102">
        <f>IF(R357&gt;0,S357*100/R357,0)</f>
        <v>0</v>
      </c>
    </row>
    <row r="358" spans="1:21" ht="18.75" hidden="1">
      <c r="A358" s="155"/>
      <c r="B358" s="50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256">
        <f ca="1">L361+L364</f>
        <v>773740</v>
      </c>
      <c r="M358" s="255">
        <f ca="1">M361+M364</f>
        <v>838495</v>
      </c>
      <c r="N358" s="255">
        <f ca="1">N361+N364</f>
        <v>598900</v>
      </c>
      <c r="O358" s="255">
        <f ca="1">IF(L358&gt;0,N358*100/L358,0)</f>
        <v>77.403262077700518</v>
      </c>
      <c r="P358" s="255">
        <f ca="1">IF(M358&gt;0,N358*100/M358,0)</f>
        <v>71.425589896183041</v>
      </c>
      <c r="Q358" s="255">
        <f>Q361+Q364</f>
        <v>0</v>
      </c>
      <c r="R358" s="255">
        <f>R361+R364</f>
        <v>0</v>
      </c>
      <c r="S358" s="255">
        <f>S361+S364</f>
        <v>0</v>
      </c>
      <c r="T358" s="255">
        <f>IF(Q358&gt;0,S358*100/Q358,0)</f>
        <v>0</v>
      </c>
      <c r="U358" s="255">
        <f>IF(R358&gt;0,S358*100/R358,0)</f>
        <v>0</v>
      </c>
    </row>
    <row r="359" spans="1:21" ht="18.75">
      <c r="A359" s="155"/>
      <c r="B359" s="50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256">
        <f ca="1">L360+L361</f>
        <v>773740</v>
      </c>
      <c r="M359" s="255">
        <f ca="1">M360+M361</f>
        <v>838495</v>
      </c>
      <c r="N359" s="255">
        <f ca="1">N360+N361</f>
        <v>598900</v>
      </c>
      <c r="O359" s="255">
        <f ca="1">IF(L359&gt;0,N359*100/L359,0)</f>
        <v>77.403262077700518</v>
      </c>
      <c r="P359" s="255">
        <f ca="1">IF(M359&gt;0,N359*100/M359,0)</f>
        <v>71.425589896183041</v>
      </c>
      <c r="Q359" s="255">
        <f>Q360+Q361</f>
        <v>0</v>
      </c>
      <c r="R359" s="255">
        <f>R360+R361</f>
        <v>0</v>
      </c>
      <c r="S359" s="255">
        <f>S360+S361</f>
        <v>0</v>
      </c>
      <c r="T359" s="255">
        <f>IF(Q359&gt;0,S359*100/Q359,0)</f>
        <v>0</v>
      </c>
      <c r="U359" s="255">
        <f>IF(R359&gt;0,S359*100/R359,0)</f>
        <v>0</v>
      </c>
    </row>
    <row r="360" spans="1:21" ht="18.75" hidden="1">
      <c r="A360" s="155"/>
      <c r="B360" s="50"/>
      <c r="C360" s="50"/>
      <c r="D360" s="50"/>
      <c r="E360" s="186" t="s">
        <v>36</v>
      </c>
      <c r="F360" s="50"/>
      <c r="G360" s="52"/>
      <c r="H360" s="189" t="s">
        <v>14</v>
      </c>
      <c r="I360" s="163"/>
      <c r="J360" s="163"/>
      <c r="K360" s="164"/>
      <c r="L360" s="103">
        <v>0</v>
      </c>
      <c r="M360" s="102">
        <v>0</v>
      </c>
      <c r="N360" s="102">
        <v>0</v>
      </c>
      <c r="O360" s="102">
        <f>IF(L360&gt;0,N360*100/L360,0)</f>
        <v>0</v>
      </c>
      <c r="P360" s="102">
        <f>IF(M360&gt;0,N360*100/M360,0)</f>
        <v>0</v>
      </c>
      <c r="Q360" s="102">
        <v>0</v>
      </c>
      <c r="R360" s="102">
        <v>0</v>
      </c>
      <c r="S360" s="102">
        <v>0</v>
      </c>
      <c r="T360" s="102">
        <f>IF(Q360&gt;0,S360*100/Q360,0)</f>
        <v>0</v>
      </c>
      <c r="U360" s="102">
        <f>IF(R360&gt;0,S360*100/R360,0)</f>
        <v>0</v>
      </c>
    </row>
    <row r="361" spans="1:21" ht="18.75" hidden="1">
      <c r="A361" s="155"/>
      <c r="B361" s="50"/>
      <c r="C361" s="50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256">
        <f ca="1">IFERROR(__xludf.DUMMYFUNCTION("IMPORTRANGE(""https://docs.google.com/spreadsheets/d/1-uDff_7J0KD5mKrp0Vvzr7lt3OU09vwQwhkpOPPYv2Y/edit?usp=sharing"",""งบพรบ!FC37"")"),773740)</f>
        <v>773740</v>
      </c>
      <c r="M361" s="255">
        <f ca="1">IFERROR(__xludf.DUMMYFUNCTION("IMPORTRANGE(""https://docs.google.com/spreadsheets/d/1-uDff_7J0KD5mKrp0Vvzr7lt3OU09vwQwhkpOPPYv2Y/edit?usp=sharing"",""งบพรบ!FH37"")"),838495)</f>
        <v>838495</v>
      </c>
      <c r="N361" s="255">
        <f ca="1">IFERROR(__xludf.DUMMYFUNCTION("IMPORTRANGE(""https://docs.google.com/spreadsheets/d/1-uDff_7J0KD5mKrp0Vvzr7lt3OU09vwQwhkpOPPYv2Y/edit?usp=sharing"",""งบพรบ!FJ37"")"),598900)</f>
        <v>598900</v>
      </c>
      <c r="O361" s="255">
        <f ca="1">IF(L361&gt;0,N361*100/L361,0)</f>
        <v>77.403262077700518</v>
      </c>
      <c r="P361" s="255">
        <f ca="1">IF(M361&gt;0,N361*100/M361,0)</f>
        <v>71.425589896183041</v>
      </c>
      <c r="Q361" s="255">
        <v>0</v>
      </c>
      <c r="R361" s="255">
        <v>0</v>
      </c>
      <c r="S361" s="255">
        <v>0</v>
      </c>
      <c r="T361" s="255">
        <f>IF(Q361&gt;0,S361*100/Q361,0)</f>
        <v>0</v>
      </c>
      <c r="U361" s="255">
        <f>IF(R361&gt;0,S361*100/R361,0)</f>
        <v>0</v>
      </c>
    </row>
    <row r="362" spans="1:21" ht="18.75">
      <c r="A362" s="155"/>
      <c r="B362" s="50"/>
      <c r="C362" s="50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256">
        <f ca="1">L363+L364</f>
        <v>0</v>
      </c>
      <c r="M362" s="255">
        <f ca="1">M363+M364</f>
        <v>0</v>
      </c>
      <c r="N362" s="255">
        <f ca="1">N363+N364</f>
        <v>0</v>
      </c>
      <c r="O362" s="255">
        <f ca="1">IF(L362&gt;0,N362*100/L362,0)</f>
        <v>0</v>
      </c>
      <c r="P362" s="255">
        <f ca="1">IF(M362&gt;0,N362*100/M362,0)</f>
        <v>0</v>
      </c>
      <c r="Q362" s="255">
        <f>Q363+Q364</f>
        <v>0</v>
      </c>
      <c r="R362" s="255">
        <f>R363+R364</f>
        <v>0</v>
      </c>
      <c r="S362" s="255">
        <f>S363+S364</f>
        <v>0</v>
      </c>
      <c r="T362" s="255">
        <f>IF(Q362&gt;0,S362*100/Q362,0)</f>
        <v>0</v>
      </c>
      <c r="U362" s="255">
        <f>IF(R362&gt;0,S362*100/R362,0)</f>
        <v>0</v>
      </c>
    </row>
    <row r="363" spans="1:21" ht="18.75" hidden="1">
      <c r="A363" s="155"/>
      <c r="B363" s="50"/>
      <c r="C363" s="50"/>
      <c r="D363" s="50"/>
      <c r="E363" s="186" t="s">
        <v>20</v>
      </c>
      <c r="F363" s="50"/>
      <c r="G363" s="52"/>
      <c r="H363" s="189" t="s">
        <v>14</v>
      </c>
      <c r="I363" s="163"/>
      <c r="J363" s="163"/>
      <c r="K363" s="164"/>
      <c r="L363" s="103">
        <v>0</v>
      </c>
      <c r="M363" s="102">
        <v>0</v>
      </c>
      <c r="N363" s="102">
        <v>0</v>
      </c>
      <c r="O363" s="102">
        <f>IF(L363&gt;0,N363*100/L363,0)</f>
        <v>0</v>
      </c>
      <c r="P363" s="102">
        <f>IF(M363&gt;0,N363*100/M363,0)</f>
        <v>0</v>
      </c>
      <c r="Q363" s="102">
        <v>0</v>
      </c>
      <c r="R363" s="102">
        <v>0</v>
      </c>
      <c r="S363" s="102">
        <v>0</v>
      </c>
      <c r="T363" s="102">
        <f>IF(Q363&gt;0,S363*100/Q363,0)</f>
        <v>0</v>
      </c>
      <c r="U363" s="102">
        <f>IF(R363&gt;0,S363*100/R363,0)</f>
        <v>0</v>
      </c>
    </row>
    <row r="364" spans="1:21" ht="18.75" hidden="1">
      <c r="A364" s="155"/>
      <c r="B364" s="50"/>
      <c r="C364" s="50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256">
        <f ca="1">IFERROR(__xludf.DUMMYFUNCTION("IMPORTRANGE(""https://docs.google.com/spreadsheets/d/1-uDff_7J0KD5mKrp0Vvzr7lt3OU09vwQwhkpOPPYv2Y/edit?usp=sharing"",""งบพรบ!FF37"")"),0)</f>
        <v>0</v>
      </c>
      <c r="M364" s="255">
        <f ca="1">IFERROR(__xludf.DUMMYFUNCTION("IMPORTRANGE(""https://docs.google.com/spreadsheets/d/1-uDff_7J0KD5mKrp0Vvzr7lt3OU09vwQwhkpOPPYv2Y/edit?usp=sharing"",""งบพรบ!FI37"")"),0)</f>
        <v>0</v>
      </c>
      <c r="N364" s="255">
        <f ca="1">IFERROR(__xludf.DUMMYFUNCTION("IMPORTRANGE(""https://docs.google.com/spreadsheets/d/1-uDff_7J0KD5mKrp0Vvzr7lt3OU09vwQwhkpOPPYv2Y/edit?usp=sharing"",""งบพรบ!FK37"")"),0)</f>
        <v>0</v>
      </c>
      <c r="O364" s="255">
        <f ca="1">IF(L364&gt;0,N364*100/L364,0)</f>
        <v>0</v>
      </c>
      <c r="P364" s="255">
        <f ca="1">IF(M364&gt;0,N364*100/M364,0)</f>
        <v>0</v>
      </c>
      <c r="Q364" s="255">
        <v>0</v>
      </c>
      <c r="R364" s="255">
        <v>0</v>
      </c>
      <c r="S364" s="255">
        <v>0</v>
      </c>
      <c r="T364" s="255">
        <f>IF(Q364&gt;0,S364*100/Q364,0)</f>
        <v>0</v>
      </c>
      <c r="U364" s="255">
        <f>IF(R364&gt;0,S364*100/R364,0)</f>
        <v>0</v>
      </c>
    </row>
    <row r="365" spans="1:21" ht="19.5">
      <c r="A365" s="241"/>
      <c r="B365" s="242"/>
      <c r="C365" s="244"/>
      <c r="D365" s="621" t="s">
        <v>150</v>
      </c>
      <c r="E365" s="244"/>
      <c r="F365" s="244"/>
      <c r="G365" s="245"/>
      <c r="H365" s="254" t="s">
        <v>35</v>
      </c>
      <c r="I365" s="339">
        <f ca="1">I371</f>
        <v>817</v>
      </c>
      <c r="J365" s="339">
        <f ca="1">J371</f>
        <v>73</v>
      </c>
      <c r="K365" s="340">
        <f ca="1">IF(I365&gt;0,J365*100/I365,0)</f>
        <v>8.9351285189718475</v>
      </c>
      <c r="L365" s="250"/>
      <c r="M365" s="249"/>
      <c r="N365" s="249"/>
      <c r="O365" s="249"/>
      <c r="P365" s="249"/>
      <c r="Q365" s="249"/>
      <c r="R365" s="249"/>
      <c r="S365" s="249"/>
      <c r="T365" s="249"/>
      <c r="U365" s="249"/>
    </row>
    <row r="366" spans="1:21" ht="19.5">
      <c r="A366" s="166"/>
      <c r="B366" s="167"/>
      <c r="C366" s="156" t="s">
        <v>18</v>
      </c>
      <c r="D366" s="566" t="s">
        <v>38</v>
      </c>
      <c r="E366" s="169"/>
      <c r="F366" s="169"/>
      <c r="G366" s="170"/>
      <c r="H366" s="171"/>
      <c r="I366" s="54"/>
      <c r="J366" s="54"/>
      <c r="K366" s="55"/>
      <c r="L366" s="172"/>
      <c r="M366" s="164"/>
      <c r="N366" s="164"/>
      <c r="O366" s="164"/>
      <c r="P366" s="164"/>
      <c r="Q366" s="164"/>
      <c r="R366" s="164"/>
      <c r="S366" s="164"/>
      <c r="T366" s="164"/>
      <c r="U366" s="164"/>
    </row>
    <row r="367" spans="1:21" ht="18.75">
      <c r="A367" s="166"/>
      <c r="B367" s="174"/>
      <c r="C367" s="167"/>
      <c r="D367" s="174"/>
      <c r="E367" s="173" t="s">
        <v>151</v>
      </c>
      <c r="F367" s="174"/>
      <c r="G367" s="171"/>
      <c r="H367" s="183" t="s">
        <v>35</v>
      </c>
      <c r="I367" s="212">
        <v>0</v>
      </c>
      <c r="J367" s="212">
        <f ca="1">IFERROR(__xludf.DUMMYFUNCTION("IMPORTRANGE(""https://docs.google.com/spreadsheets/d/1tdoBKaGub7dwA3U6UFTqxio9LNnvDCQjHKmttSEBsFQ/edit?usp=sharing"",""จัดที่ดิน!AB37"")"),255)</f>
        <v>255</v>
      </c>
      <c r="K367" s="255">
        <f>IF(I367&gt;0,J367*100/I367,0)</f>
        <v>0</v>
      </c>
      <c r="L367" s="172"/>
      <c r="M367" s="164"/>
      <c r="N367" s="164"/>
      <c r="O367" s="164"/>
      <c r="P367" s="164"/>
      <c r="Q367" s="164"/>
      <c r="R367" s="164"/>
      <c r="S367" s="164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212">
        <f ca="1">IFERROR(__xludf.DUMMYFUNCTION("IMPORTRANGE(""https://docs.google.com/spreadsheets/d/1eHaY18a8A9IcSdp1K8H6x8fbOy06t2VsZHhMHf-1x7Y/edit?usp=sharing"",""แผน!EW37"")"),1620)</f>
        <v>1620</v>
      </c>
      <c r="J368" s="620">
        <f ca="1">IFERROR(__xludf.DUMMYFUNCTION("IMPORTRANGE(""https://docs.google.com/spreadsheets/d/1tdoBKaGub7dwA3U6UFTqxio9LNnvDCQjHKmttSEBsFQ/edit?usp=sharing"",""จัดที่ดิน!AC37"")"),2924.26)</f>
        <v>2924.26</v>
      </c>
      <c r="K368" s="255">
        <f ca="1">IF(I368&gt;0,J368*100/I368,0)</f>
        <v>180.50987654320988</v>
      </c>
      <c r="L368" s="172"/>
      <c r="M368" s="164"/>
      <c r="N368" s="164"/>
      <c r="O368" s="164"/>
      <c r="P368" s="164"/>
      <c r="Q368" s="164"/>
      <c r="R368" s="164"/>
      <c r="S368" s="164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79" t="s">
        <v>35</v>
      </c>
      <c r="I369" s="212">
        <f ca="1">IFERROR(__xludf.DUMMYFUNCTION("IMPORTRANGE(""https://docs.google.com/spreadsheets/d/1eHaY18a8A9IcSdp1K8H6x8fbOy06t2VsZHhMHf-1x7Y/edit?usp=sharing"",""แผน!EX37"")"),817)</f>
        <v>817</v>
      </c>
      <c r="J369" s="212">
        <f ca="1">IFERROR(__xludf.DUMMYFUNCTION("IMPORTRANGE(""https://docs.google.com/spreadsheets/d/1tdoBKaGub7dwA3U6UFTqxio9LNnvDCQjHKmttSEBsFQ/edit?usp=sharing"",""จัดที่ดิน!AD37"")"),312)</f>
        <v>312</v>
      </c>
      <c r="K369" s="255">
        <f ca="1">IF(I369&gt;0,J369*100/I369,0)</f>
        <v>38.188494492044065</v>
      </c>
      <c r="L369" s="172"/>
      <c r="M369" s="164"/>
      <c r="N369" s="164"/>
      <c r="O369" s="164"/>
      <c r="P369" s="164"/>
      <c r="Q369" s="164"/>
      <c r="R369" s="164"/>
      <c r="S369" s="164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79" t="s">
        <v>46</v>
      </c>
      <c r="I370" s="212">
        <v>0</v>
      </c>
      <c r="J370" s="620">
        <f ca="1">IFERROR(__xludf.DUMMYFUNCTION("IMPORTRANGE(""https://docs.google.com/spreadsheets/d/1tdoBKaGub7dwA3U6UFTqxio9LNnvDCQjHKmttSEBsFQ/edit?usp=sharing"",""จัดที่ดิน!AE37"")"),4617.28)</f>
        <v>4617.28</v>
      </c>
      <c r="K370" s="255">
        <f>IF(I370&gt;0,J370*100/I370,0)</f>
        <v>0</v>
      </c>
      <c r="L370" s="172"/>
      <c r="M370" s="164"/>
      <c r="N370" s="164"/>
      <c r="O370" s="164"/>
      <c r="P370" s="164"/>
      <c r="Q370" s="164"/>
      <c r="R370" s="164"/>
      <c r="S370" s="164"/>
      <c r="T370" s="164"/>
      <c r="U370" s="164"/>
    </row>
    <row r="371" spans="1:21" ht="18.75">
      <c r="A371" s="166"/>
      <c r="B371" s="174"/>
      <c r="C371" s="167"/>
      <c r="D371" s="174"/>
      <c r="E371" s="352" t="s">
        <v>153</v>
      </c>
      <c r="F371" s="174"/>
      <c r="G371" s="171"/>
      <c r="H371" s="179" t="s">
        <v>35</v>
      </c>
      <c r="I371" s="212">
        <f ca="1">IFERROR(__xludf.DUMMYFUNCTION("IMPORTRANGE(""https://docs.google.com/spreadsheets/d/1eHaY18a8A9IcSdp1K8H6x8fbOy06t2VsZHhMHf-1x7Y/edit?usp=sharing"",""แผน!EY37"")"),817)</f>
        <v>817</v>
      </c>
      <c r="J371" s="212">
        <f ca="1">IFERROR(__xludf.DUMMYFUNCTION("IMPORTRANGE(""https://docs.google.com/spreadsheets/d/1tdoBKaGub7dwA3U6UFTqxio9LNnvDCQjHKmttSEBsFQ/edit?usp=sharing"",""จัดที่ดิน!AF37"")"),73)</f>
        <v>73</v>
      </c>
      <c r="K371" s="255">
        <f ca="1">IF(I371&gt;0,J371*100/I371,0)</f>
        <v>8.9351285189718475</v>
      </c>
      <c r="L371" s="172"/>
      <c r="M371" s="164"/>
      <c r="N371" s="164"/>
      <c r="O371" s="164"/>
      <c r="P371" s="164"/>
      <c r="Q371" s="164"/>
      <c r="R371" s="164"/>
      <c r="S371" s="164"/>
      <c r="T371" s="164"/>
      <c r="U371" s="164"/>
    </row>
    <row r="372" spans="1:21" ht="18.75">
      <c r="A372" s="166"/>
      <c r="B372" s="174"/>
      <c r="C372" s="167"/>
      <c r="D372" s="174"/>
      <c r="E372" s="174"/>
      <c r="F372" s="174"/>
      <c r="G372" s="171"/>
      <c r="H372" s="179" t="s">
        <v>46</v>
      </c>
      <c r="I372" s="212">
        <v>0</v>
      </c>
      <c r="J372" s="620">
        <f ca="1">IFERROR(__xludf.DUMMYFUNCTION("IMPORTRANGE(""https://docs.google.com/spreadsheets/d/1tdoBKaGub7dwA3U6UFTqxio9LNnvDCQjHKmttSEBsFQ/edit?usp=sharing"",""จัดที่ดิน!AG37"")"),1377.86)</f>
        <v>1377.86</v>
      </c>
      <c r="K372" s="255">
        <f>IF(I372&gt;0,J372*100/I372,0)</f>
        <v>0</v>
      </c>
      <c r="L372" s="172"/>
      <c r="M372" s="164"/>
      <c r="N372" s="164"/>
      <c r="O372" s="164"/>
      <c r="P372" s="164"/>
      <c r="Q372" s="164"/>
      <c r="R372" s="164"/>
      <c r="S372" s="164"/>
      <c r="T372" s="164"/>
      <c r="U372" s="164"/>
    </row>
    <row r="373" spans="1:21" ht="16.5">
      <c r="A373" s="5"/>
      <c r="B373" s="4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พ.ค. 67 เวลา 07.29 น.]")</f>
        <v xml:space="preserve"> [ข้อมูลจาก ระบบ ALRO Land Online ข้อมูล ณ 1 พ.ค. 67 เวลา 07.29 น.]</v>
      </c>
      <c r="E373" s="4"/>
      <c r="F373" s="4"/>
      <c r="G373" s="65"/>
      <c r="H373" s="65"/>
      <c r="I373" s="67"/>
      <c r="J373" s="67"/>
      <c r="K373" s="6"/>
      <c r="L373" s="68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>
      <c r="A374" s="619"/>
      <c r="B374" s="618" t="s">
        <v>154</v>
      </c>
      <c r="C374" s="617"/>
      <c r="D374" s="616"/>
      <c r="E374" s="615"/>
      <c r="F374" s="615"/>
      <c r="G374" s="614"/>
      <c r="H374" s="613" t="s">
        <v>46</v>
      </c>
      <c r="I374" s="612">
        <f ca="1">I386+I388</f>
        <v>4000</v>
      </c>
      <c r="J374" s="612">
        <f ca="1">J386+J388</f>
        <v>0</v>
      </c>
      <c r="K374" s="611">
        <f ca="1">IF(I374&gt;0,J374*100/I374,0)</f>
        <v>0</v>
      </c>
      <c r="L374" s="334"/>
      <c r="M374" s="333"/>
      <c r="N374" s="333"/>
      <c r="O374" s="333"/>
      <c r="P374" s="333"/>
      <c r="Q374" s="333"/>
      <c r="R374" s="333"/>
      <c r="S374" s="333"/>
      <c r="T374" s="333"/>
      <c r="U374" s="333"/>
    </row>
    <row r="375" spans="1:21" ht="19.5">
      <c r="A375" s="155"/>
      <c r="B375" s="188"/>
      <c r="C375" s="191" t="s">
        <v>18</v>
      </c>
      <c r="D375" s="608" t="s">
        <v>19</v>
      </c>
      <c r="E375" s="50"/>
      <c r="F375" s="50"/>
      <c r="G375" s="52"/>
      <c r="H375" s="158" t="s">
        <v>14</v>
      </c>
      <c r="I375" s="54"/>
      <c r="J375" s="54"/>
      <c r="K375" s="55"/>
      <c r="L375" s="541">
        <f>L376+L377</f>
        <v>0</v>
      </c>
      <c r="M375" s="540">
        <f>M376+M377</f>
        <v>0</v>
      </c>
      <c r="N375" s="540">
        <f>N376+N377</f>
        <v>0</v>
      </c>
      <c r="O375" s="540">
        <f>IF(L375&gt;0,N375*100/L375,0)</f>
        <v>0</v>
      </c>
      <c r="P375" s="540">
        <f>IF(M375&gt;0,N375*100/M375,0)</f>
        <v>0</v>
      </c>
      <c r="Q375" s="540">
        <f ca="1">Q376+Q377</f>
        <v>250000</v>
      </c>
      <c r="R375" s="540">
        <f ca="1">R376+R377</f>
        <v>250000</v>
      </c>
      <c r="S375" s="540">
        <f ca="1">S376+S377</f>
        <v>0</v>
      </c>
      <c r="T375" s="540">
        <f ca="1">IF(Q375&gt;0,S375*100/Q375,0)</f>
        <v>0</v>
      </c>
      <c r="U375" s="540">
        <f ca="1">IF(R375&gt;0,S375*100/R375,0)</f>
        <v>0</v>
      </c>
    </row>
    <row r="376" spans="1:21" ht="18.75" hidden="1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103">
        <f>L379+L382</f>
        <v>0</v>
      </c>
      <c r="M376" s="102">
        <f>M379+M382</f>
        <v>0</v>
      </c>
      <c r="N376" s="102">
        <f>N379+N382</f>
        <v>0</v>
      </c>
      <c r="O376" s="102">
        <f>IF(L376&gt;0,N376*100/L376,0)</f>
        <v>0</v>
      </c>
      <c r="P376" s="102">
        <f>IF(M376&gt;0,N376*100/M376,0)</f>
        <v>0</v>
      </c>
      <c r="Q376" s="102">
        <f>Q379+Q382</f>
        <v>0</v>
      </c>
      <c r="R376" s="102">
        <f>R379+R382</f>
        <v>0</v>
      </c>
      <c r="S376" s="102">
        <f>S379+S382</f>
        <v>0</v>
      </c>
      <c r="T376" s="102">
        <f>IF(Q376&gt;0,S376*100/Q376,0)</f>
        <v>0</v>
      </c>
      <c r="U376" s="102">
        <f>IF(R376&gt;0,S376*100/R376,0)</f>
        <v>0</v>
      </c>
    </row>
    <row r="377" spans="1:21" ht="18.75" hidden="1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256">
        <f>L380+L383</f>
        <v>0</v>
      </c>
      <c r="M377" s="255">
        <f>M380+M383</f>
        <v>0</v>
      </c>
      <c r="N377" s="255">
        <f>N380+N383</f>
        <v>0</v>
      </c>
      <c r="O377" s="255">
        <f>IF(L377&gt;0,N377*100/L377,0)</f>
        <v>0</v>
      </c>
      <c r="P377" s="255">
        <f>IF(M377&gt;0,N377*100/M377,0)</f>
        <v>0</v>
      </c>
      <c r="Q377" s="255">
        <f ca="1">Q380+Q383</f>
        <v>250000</v>
      </c>
      <c r="R377" s="255">
        <f ca="1">R380+R383</f>
        <v>250000</v>
      </c>
      <c r="S377" s="255">
        <f ca="1">S380+S383</f>
        <v>0</v>
      </c>
      <c r="T377" s="255">
        <f ca="1">IF(Q377&gt;0,S377*100/Q377,0)</f>
        <v>0</v>
      </c>
      <c r="U377" s="255">
        <f ca="1">IF(R377&gt;0,S377*100/R377,0)</f>
        <v>0</v>
      </c>
    </row>
    <row r="378" spans="1:21" ht="18.75">
      <c r="A378" s="155"/>
      <c r="B378" s="188"/>
      <c r="C378" s="188"/>
      <c r="D378" s="602" t="s">
        <v>22</v>
      </c>
      <c r="E378" s="50"/>
      <c r="F378" s="50"/>
      <c r="G378" s="52"/>
      <c r="H378" s="162" t="s">
        <v>14</v>
      </c>
      <c r="I378" s="163"/>
      <c r="J378" s="163"/>
      <c r="K378" s="164"/>
      <c r="L378" s="256">
        <f>L379+L380</f>
        <v>0</v>
      </c>
      <c r="M378" s="255">
        <f>M379+M380</f>
        <v>0</v>
      </c>
      <c r="N378" s="255">
        <f>N379+N380</f>
        <v>0</v>
      </c>
      <c r="O378" s="255">
        <f>IF(L378&gt;0,N378*100/L378,0)</f>
        <v>0</v>
      </c>
      <c r="P378" s="255">
        <f>IF(M378&gt;0,N378*100/M378,0)</f>
        <v>0</v>
      </c>
      <c r="Q378" s="255">
        <f ca="1">Q379+Q380</f>
        <v>250000</v>
      </c>
      <c r="R378" s="255">
        <f ca="1">R379+R380</f>
        <v>250000</v>
      </c>
      <c r="S378" s="255">
        <f ca="1">S379+S380</f>
        <v>0</v>
      </c>
      <c r="T378" s="255">
        <f ca="1">IF(Q378&gt;0,S378*100/Q378,0)</f>
        <v>0</v>
      </c>
      <c r="U378" s="255">
        <f ca="1">IF(R378&gt;0,S378*100/R378,0)</f>
        <v>0</v>
      </c>
    </row>
    <row r="379" spans="1:21" ht="18.75" hidden="1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103">
        <v>0</v>
      </c>
      <c r="M379" s="102">
        <v>0</v>
      </c>
      <c r="N379" s="102">
        <v>0</v>
      </c>
      <c r="O379" s="102">
        <f>IF(L379&gt;0,N379*100/L379,0)</f>
        <v>0</v>
      </c>
      <c r="P379" s="102">
        <f>IF(M379&gt;0,N379*100/M379,0)</f>
        <v>0</v>
      </c>
      <c r="Q379" s="102">
        <v>0</v>
      </c>
      <c r="R379" s="102">
        <v>0</v>
      </c>
      <c r="S379" s="102">
        <v>0</v>
      </c>
      <c r="T379" s="102">
        <f>IF(Q379&gt;0,S379*100/Q379,0)</f>
        <v>0</v>
      </c>
      <c r="U379" s="102">
        <f>IF(R379&gt;0,S379*100/R379,0)</f>
        <v>0</v>
      </c>
    </row>
    <row r="380" spans="1:21" ht="18.75" hidden="1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256">
        <v>0</v>
      </c>
      <c r="M380" s="255">
        <v>0</v>
      </c>
      <c r="N380" s="255">
        <v>0</v>
      </c>
      <c r="O380" s="255">
        <f>IF(L380&gt;0,N380*100/L380,0)</f>
        <v>0</v>
      </c>
      <c r="P380" s="255">
        <f>IF(M380&gt;0,N380*100/M380,0)</f>
        <v>0</v>
      </c>
      <c r="Q380" s="255">
        <f ca="1">IFERROR(__xludf.DUMMYFUNCTION("IMPORTRANGE(""https://docs.google.com/spreadsheets/d/1ItG2mGa2ceCfYo0BwxsXqNm01IGEUdYcSSLTEv9YCik/edit?usp=sharing"",""เบิกจ่ายกองทุน!AY37"")"),250000)</f>
        <v>250000</v>
      </c>
      <c r="R380" s="255">
        <f ca="1">IFERROR(__xludf.DUMMYFUNCTION("IMPORTRANGE(""https://docs.google.com/spreadsheets/d/1ItG2mGa2ceCfYo0BwxsXqNm01IGEUdYcSSLTEv9YCik/edit?usp=sharing"",""เบิกจ่ายกองทุน!AZ37"")"),250000)</f>
        <v>250000</v>
      </c>
      <c r="S380" s="255">
        <f ca="1">IFERROR(__xludf.DUMMYFUNCTION("IMPORTRANGE(""https://docs.google.com/spreadsheets/d/1ItG2mGa2ceCfYo0BwxsXqNm01IGEUdYcSSLTEv9YCik/edit?usp=sharing"",""เบิกจ่ายกองทุน!BA37"")"),0)</f>
        <v>0</v>
      </c>
      <c r="T380" s="255">
        <f ca="1">IF(Q380&gt;0,S380*100/Q380,0)</f>
        <v>0</v>
      </c>
      <c r="U380" s="255">
        <f ca="1">IF(R380&gt;0,S380*100/R380,0)</f>
        <v>0</v>
      </c>
    </row>
    <row r="381" spans="1:21" ht="18.75">
      <c r="A381" s="155"/>
      <c r="B381" s="188"/>
      <c r="C381" s="188"/>
      <c r="D381" s="602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256">
        <f>L382+L383</f>
        <v>0</v>
      </c>
      <c r="M381" s="255">
        <f>M382+M383</f>
        <v>0</v>
      </c>
      <c r="N381" s="255">
        <f>N382+N383</f>
        <v>0</v>
      </c>
      <c r="O381" s="255">
        <f>IF(L381&gt;0,N381*100/L381,0)</f>
        <v>0</v>
      </c>
      <c r="P381" s="255">
        <f>IF(M381&gt;0,N381*100/M381,0)</f>
        <v>0</v>
      </c>
      <c r="Q381" s="255">
        <f>Q382+Q383</f>
        <v>0</v>
      </c>
      <c r="R381" s="255">
        <f>R382+R383</f>
        <v>0</v>
      </c>
      <c r="S381" s="255">
        <f>S382+S383</f>
        <v>0</v>
      </c>
      <c r="T381" s="255">
        <f>IF(Q381&gt;0,S381*100/Q381,0)</f>
        <v>0</v>
      </c>
      <c r="U381" s="255">
        <f>IF(R381&gt;0,S381*100/R381,0)</f>
        <v>0</v>
      </c>
    </row>
    <row r="382" spans="1:21" ht="18.75" hidden="1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103">
        <v>0</v>
      </c>
      <c r="M382" s="102">
        <v>0</v>
      </c>
      <c r="N382" s="102">
        <v>0</v>
      </c>
      <c r="O382" s="102">
        <f>IF(L382&gt;0,N382*100/L382,0)</f>
        <v>0</v>
      </c>
      <c r="P382" s="102">
        <f>IF(M382&gt;0,N382*100/M382,0)</f>
        <v>0</v>
      </c>
      <c r="Q382" s="102">
        <v>0</v>
      </c>
      <c r="R382" s="102">
        <v>0</v>
      </c>
      <c r="S382" s="102">
        <v>0</v>
      </c>
      <c r="T382" s="102">
        <f>IF(Q382&gt;0,S382*100/Q382,0)</f>
        <v>0</v>
      </c>
      <c r="U382" s="102">
        <f>IF(R382&gt;0,S382*100/R382,0)</f>
        <v>0</v>
      </c>
    </row>
    <row r="383" spans="1:21" ht="18.75" hidden="1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256">
        <v>0</v>
      </c>
      <c r="M383" s="255">
        <v>0</v>
      </c>
      <c r="N383" s="255">
        <v>0</v>
      </c>
      <c r="O383" s="255">
        <f>IF(L383&gt;0,N383*100/L383,0)</f>
        <v>0</v>
      </c>
      <c r="P383" s="255">
        <f>IF(M383&gt;0,N383*100/M383,0)</f>
        <v>0</v>
      </c>
      <c r="Q383" s="255">
        <v>0</v>
      </c>
      <c r="R383" s="255">
        <v>0</v>
      </c>
      <c r="S383" s="255">
        <v>0</v>
      </c>
      <c r="T383" s="255">
        <f>IF(Q383&gt;0,S383*100/Q383,0)</f>
        <v>0</v>
      </c>
      <c r="U383" s="255">
        <f>IF(R383&gt;0,S383*100/R383,0)</f>
        <v>0</v>
      </c>
    </row>
    <row r="384" spans="1:21" ht="19.5">
      <c r="A384" s="166"/>
      <c r="B384" s="167"/>
      <c r="C384" s="191" t="s">
        <v>18</v>
      </c>
      <c r="D384" s="560" t="s">
        <v>38</v>
      </c>
      <c r="E384" s="169"/>
      <c r="F384" s="169"/>
      <c r="G384" s="170"/>
      <c r="H384" s="206"/>
      <c r="I384" s="163"/>
      <c r="J384" s="54"/>
      <c r="K384" s="55"/>
      <c r="L384" s="62"/>
      <c r="M384" s="55"/>
      <c r="N384" s="55"/>
      <c r="O384" s="164"/>
      <c r="P384" s="164"/>
      <c r="Q384" s="55"/>
      <c r="R384" s="55"/>
      <c r="S384" s="55"/>
      <c r="T384" s="164"/>
      <c r="U384" s="164"/>
    </row>
    <row r="385" spans="1:21" ht="18.75">
      <c r="A385" s="238"/>
      <c r="B385" s="188"/>
      <c r="C385" s="188"/>
      <c r="D385" s="188"/>
      <c r="E385" s="58" t="s">
        <v>155</v>
      </c>
      <c r="F385" s="50"/>
      <c r="G385" s="52"/>
      <c r="H385" s="161" t="s">
        <v>34</v>
      </c>
      <c r="I385" s="212">
        <v>0</v>
      </c>
      <c r="J385" s="212">
        <f ca="1">IFERROR(__xludf.DUMMYFUNCTION("IMPORTRANGE(""https://docs.google.com/spreadsheets/d/1w5rwWK1o49a35cNtocGL0gxDwhFSTZUQu90BiH9_zqM/edit?usp=sharing"",""RTK!H37"")"),0)</f>
        <v>0</v>
      </c>
      <c r="K385" s="255">
        <f>IF(I385&gt;0,J385*100/I385,0)</f>
        <v>0</v>
      </c>
      <c r="L385" s="62"/>
      <c r="M385" s="55"/>
      <c r="N385" s="55"/>
      <c r="O385" s="55"/>
      <c r="P385" s="55"/>
      <c r="Q385" s="55"/>
      <c r="R385" s="55"/>
      <c r="S385" s="55"/>
      <c r="T385" s="55"/>
      <c r="U385" s="55"/>
    </row>
    <row r="386" spans="1:21" ht="18.75">
      <c r="A386" s="188"/>
      <c r="B386" s="188"/>
      <c r="C386" s="188"/>
      <c r="D386" s="188"/>
      <c r="E386" s="188"/>
      <c r="F386" s="188"/>
      <c r="G386" s="208"/>
      <c r="H386" s="161" t="s">
        <v>46</v>
      </c>
      <c r="I386" s="212">
        <f ca="1">IFERROR(__xludf.DUMMYFUNCTION("IMPORTRANGE(""https://docs.google.com/spreadsheets/d/1w5rwWK1o49a35cNtocGL0gxDwhFSTZUQu90BiH9_zqM/edit?usp=sharing"",""RTK!G37"")"),4000)</f>
        <v>4000</v>
      </c>
      <c r="J386" s="212">
        <f ca="1">IFERROR(__xludf.DUMMYFUNCTION("IMPORTRANGE(""https://docs.google.com/spreadsheets/d/1w5rwWK1o49a35cNtocGL0gxDwhFSTZUQu90BiH9_zqM/edit?usp=sharing"",""RTK!I37"")"),0)</f>
        <v>0</v>
      </c>
      <c r="K386" s="255">
        <f ca="1">IF(I386&gt;0,J386*100/I386,0)</f>
        <v>0</v>
      </c>
      <c r="L386" s="62"/>
      <c r="M386" s="55"/>
      <c r="N386" s="55"/>
      <c r="O386" s="55"/>
      <c r="P386" s="55"/>
      <c r="Q386" s="55"/>
      <c r="R386" s="55"/>
      <c r="S386" s="55"/>
      <c r="T386" s="55"/>
      <c r="U386" s="55"/>
    </row>
    <row r="387" spans="1:21" ht="18.75">
      <c r="A387" s="609"/>
      <c r="B387" s="609"/>
      <c r="C387" s="609"/>
      <c r="D387" s="609"/>
      <c r="E387" s="610" t="s">
        <v>156</v>
      </c>
      <c r="F387" s="609"/>
      <c r="G387" s="557"/>
      <c r="H387" s="549" t="s">
        <v>34</v>
      </c>
      <c r="I387" s="556">
        <v>0</v>
      </c>
      <c r="J387" s="556">
        <f ca="1">IFERROR(__xludf.DUMMYFUNCTION("IMPORTRANGE(""https://docs.google.com/spreadsheets/d/1w5rwWK1o49a35cNtocGL0gxDwhFSTZUQu90BiH9_zqM/edit?usp=sharing"",""RTK!L37"")"),0)</f>
        <v>0</v>
      </c>
      <c r="K387" s="555">
        <f>IF(I387&gt;0,J387*100/I387,0)</f>
        <v>0</v>
      </c>
      <c r="L387" s="546"/>
      <c r="M387" s="545"/>
      <c r="N387" s="545"/>
      <c r="O387" s="545"/>
      <c r="P387" s="545"/>
      <c r="Q387" s="545"/>
      <c r="R387" s="545"/>
      <c r="S387" s="545"/>
      <c r="T387" s="545"/>
      <c r="U387" s="545"/>
    </row>
    <row r="388" spans="1:21" ht="18.75">
      <c r="A388" s="609"/>
      <c r="B388" s="609"/>
      <c r="C388" s="609"/>
      <c r="D388" s="609"/>
      <c r="E388" s="609"/>
      <c r="F388" s="609"/>
      <c r="G388" s="557"/>
      <c r="H388" s="549" t="s">
        <v>46</v>
      </c>
      <c r="I388" s="556">
        <f ca="1">IFERROR(__xludf.DUMMYFUNCTION("IMPORTRANGE(""https://docs.google.com/spreadsheets/d/1w5rwWK1o49a35cNtocGL0gxDwhFSTZUQu90BiH9_zqM/edit?usp=sharing"",""RTK!K37"")"),0)</f>
        <v>0</v>
      </c>
      <c r="J388" s="556">
        <f ca="1">IFERROR(__xludf.DUMMYFUNCTION("IMPORTRANGE(""https://docs.google.com/spreadsheets/d/1w5rwWK1o49a35cNtocGL0gxDwhFSTZUQu90BiH9_zqM/edit?usp=sharing"",""RTK!M37"")"),0)</f>
        <v>0</v>
      </c>
      <c r="K388" s="555">
        <f ca="1">IF(I388&gt;0,J388*100/I388,0)</f>
        <v>0</v>
      </c>
      <c r="L388" s="546"/>
      <c r="M388" s="545"/>
      <c r="N388" s="545"/>
      <c r="O388" s="545"/>
      <c r="P388" s="545"/>
      <c r="Q388" s="545"/>
      <c r="R388" s="545"/>
      <c r="S388" s="545"/>
      <c r="T388" s="545"/>
      <c r="U388" s="545"/>
    </row>
    <row r="389" spans="1:21" ht="12.75" hidden="1">
      <c r="A389" s="259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5"/>
      <c r="M389" s="264"/>
      <c r="N389" s="264"/>
      <c r="O389" s="264"/>
      <c r="P389" s="264"/>
      <c r="Q389" s="264"/>
      <c r="R389" s="264"/>
      <c r="S389" s="264"/>
      <c r="T389" s="264"/>
      <c r="U389" s="264"/>
    </row>
    <row r="390" spans="1:21" ht="12.75" hidden="1">
      <c r="A390" s="360"/>
      <c r="B390" s="360"/>
      <c r="C390" s="360"/>
      <c r="D390" s="360"/>
      <c r="E390" s="360"/>
      <c r="F390" s="360"/>
      <c r="G390" s="361"/>
      <c r="H390" s="361"/>
      <c r="I390" s="362"/>
      <c r="J390" s="362"/>
      <c r="K390" s="363"/>
      <c r="L390" s="364"/>
      <c r="M390" s="363"/>
      <c r="N390" s="363"/>
      <c r="O390" s="363"/>
      <c r="P390" s="363"/>
      <c r="Q390" s="363"/>
      <c r="R390" s="363"/>
      <c r="S390" s="363"/>
      <c r="T390" s="363"/>
      <c r="U390" s="363"/>
    </row>
    <row r="391" spans="1:21" ht="19.5" hidden="1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51">
        <f>I402</f>
        <v>0</v>
      </c>
      <c r="J391" s="351">
        <f>J402</f>
        <v>0</v>
      </c>
      <c r="K391" s="604">
        <f>IF(I391&gt;0,J391*100/I391,0)</f>
        <v>0</v>
      </c>
      <c r="L391" s="334"/>
      <c r="M391" s="333"/>
      <c r="N391" s="333"/>
      <c r="O391" s="333"/>
      <c r="P391" s="333"/>
      <c r="Q391" s="333"/>
      <c r="R391" s="333"/>
      <c r="S391" s="333"/>
      <c r="T391" s="333"/>
      <c r="U391" s="333"/>
    </row>
    <row r="392" spans="1:21" ht="19.5" hidden="1">
      <c r="A392" s="155"/>
      <c r="B392" s="188"/>
      <c r="C392" s="191" t="s">
        <v>18</v>
      </c>
      <c r="D392" s="608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541">
        <f>L393+L394</f>
        <v>0</v>
      </c>
      <c r="M392" s="540">
        <f>M393+M394</f>
        <v>0</v>
      </c>
      <c r="N392" s="540">
        <f>N393+N394</f>
        <v>0</v>
      </c>
      <c r="O392" s="540">
        <f>IF(L392&gt;0,N392*100/L392,0)</f>
        <v>0</v>
      </c>
      <c r="P392" s="540">
        <f>IF(M392&gt;0,N392*100/M392,0)</f>
        <v>0</v>
      </c>
      <c r="Q392" s="540">
        <f>Q393+Q394</f>
        <v>0</v>
      </c>
      <c r="R392" s="540">
        <f>R393+R394</f>
        <v>0</v>
      </c>
      <c r="S392" s="540">
        <f>S393+S394</f>
        <v>0</v>
      </c>
      <c r="T392" s="540">
        <f>IF(Q392&gt;0,S392*100/Q392,0)</f>
        <v>0</v>
      </c>
      <c r="U392" s="540">
        <f>IF(R392&gt;0,S392*100/R392,0)</f>
        <v>0</v>
      </c>
    </row>
    <row r="393" spans="1:21" ht="18.75" hidden="1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103">
        <f>L396+L399</f>
        <v>0</v>
      </c>
      <c r="M393" s="102">
        <f>M396+M399</f>
        <v>0</v>
      </c>
      <c r="N393" s="102">
        <f>N396+N399</f>
        <v>0</v>
      </c>
      <c r="O393" s="102">
        <f>IF(L393&gt;0,N393*100/L393,0)</f>
        <v>0</v>
      </c>
      <c r="P393" s="102">
        <f>IF(M393&gt;0,N393*100/M393,0)</f>
        <v>0</v>
      </c>
      <c r="Q393" s="102">
        <f>Q396+Q399</f>
        <v>0</v>
      </c>
      <c r="R393" s="102">
        <f>R396+R399</f>
        <v>0</v>
      </c>
      <c r="S393" s="102">
        <f>S396+S399</f>
        <v>0</v>
      </c>
      <c r="T393" s="102">
        <f>IF(Q393&gt;0,S393*100/Q393,0)</f>
        <v>0</v>
      </c>
      <c r="U393" s="102">
        <f>IF(R393&gt;0,S393*100/R393,0)</f>
        <v>0</v>
      </c>
    </row>
    <row r="394" spans="1:21" ht="18.75" hidden="1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256">
        <f>L397+L400</f>
        <v>0</v>
      </c>
      <c r="M394" s="255">
        <f>M397+M400</f>
        <v>0</v>
      </c>
      <c r="N394" s="255">
        <f>N397+N400</f>
        <v>0</v>
      </c>
      <c r="O394" s="255">
        <f>IF(L394&gt;0,N394*100/L394,0)</f>
        <v>0</v>
      </c>
      <c r="P394" s="255">
        <f>IF(M394&gt;0,N394*100/M394,0)</f>
        <v>0</v>
      </c>
      <c r="Q394" s="255">
        <f>Q397+Q400</f>
        <v>0</v>
      </c>
      <c r="R394" s="255">
        <f>R397+R400</f>
        <v>0</v>
      </c>
      <c r="S394" s="255">
        <f>S397+S400</f>
        <v>0</v>
      </c>
      <c r="T394" s="255">
        <f>IF(Q394&gt;0,S394*100/Q394,0)</f>
        <v>0</v>
      </c>
      <c r="U394" s="255">
        <f>IF(R394&gt;0,S394*100/R394,0)</f>
        <v>0</v>
      </c>
    </row>
    <row r="395" spans="1:21" ht="18.75" hidden="1">
      <c r="A395" s="155"/>
      <c r="B395" s="188"/>
      <c r="C395" s="188"/>
      <c r="D395" s="602" t="s">
        <v>22</v>
      </c>
      <c r="E395" s="50"/>
      <c r="F395" s="50"/>
      <c r="G395" s="52"/>
      <c r="H395" s="162" t="s">
        <v>14</v>
      </c>
      <c r="I395" s="163"/>
      <c r="J395" s="163"/>
      <c r="K395" s="164"/>
      <c r="L395" s="256">
        <f>L396+L397</f>
        <v>0</v>
      </c>
      <c r="M395" s="255">
        <f>M396+M397</f>
        <v>0</v>
      </c>
      <c r="N395" s="255">
        <f>N396+N397</f>
        <v>0</v>
      </c>
      <c r="O395" s="255">
        <f>IF(L395&gt;0,N395*100/L395,0)</f>
        <v>0</v>
      </c>
      <c r="P395" s="255">
        <f>IF(M395&gt;0,N395*100/M395,0)</f>
        <v>0</v>
      </c>
      <c r="Q395" s="255">
        <f>Q396+Q397</f>
        <v>0</v>
      </c>
      <c r="R395" s="255">
        <f>R396+R397</f>
        <v>0</v>
      </c>
      <c r="S395" s="255">
        <f>S396+S397</f>
        <v>0</v>
      </c>
      <c r="T395" s="255">
        <f>IF(Q395&gt;0,S395*100/Q395,0)</f>
        <v>0</v>
      </c>
      <c r="U395" s="255">
        <f>IF(R395&gt;0,S395*100/R395,0)</f>
        <v>0</v>
      </c>
    </row>
    <row r="396" spans="1:21" ht="18.75" hidden="1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103">
        <v>0</v>
      </c>
      <c r="M396" s="102">
        <v>0</v>
      </c>
      <c r="N396" s="102">
        <v>0</v>
      </c>
      <c r="O396" s="102">
        <f>IF(L396&gt;0,N396*100/L396,0)</f>
        <v>0</v>
      </c>
      <c r="P396" s="102">
        <f>IF(M396&gt;0,N396*100/M396,0)</f>
        <v>0</v>
      </c>
      <c r="Q396" s="102">
        <v>0</v>
      </c>
      <c r="R396" s="102">
        <v>0</v>
      </c>
      <c r="S396" s="102">
        <v>0</v>
      </c>
      <c r="T396" s="102">
        <f>IF(Q396&gt;0,S396*100/Q396,0)</f>
        <v>0</v>
      </c>
      <c r="U396" s="102">
        <f>IF(R396&gt;0,S396*100/R396,0)</f>
        <v>0</v>
      </c>
    </row>
    <row r="397" spans="1:21" ht="18.75" hidden="1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256">
        <v>0</v>
      </c>
      <c r="M397" s="255">
        <v>0</v>
      </c>
      <c r="N397" s="255">
        <v>0</v>
      </c>
      <c r="O397" s="255">
        <f>IF(L397&gt;0,N397*100/L397,0)</f>
        <v>0</v>
      </c>
      <c r="P397" s="255">
        <f>IF(M397&gt;0,N397*100/M397,0)</f>
        <v>0</v>
      </c>
      <c r="Q397" s="255">
        <v>0</v>
      </c>
      <c r="R397" s="255">
        <v>0</v>
      </c>
      <c r="S397" s="255">
        <v>0</v>
      </c>
      <c r="T397" s="255">
        <f>IF(Q397&gt;0,S397*100/Q397,0)</f>
        <v>0</v>
      </c>
      <c r="U397" s="255">
        <f>IF(R397&gt;0,S397*100/R397,0)</f>
        <v>0</v>
      </c>
    </row>
    <row r="398" spans="1:21" ht="18.75" hidden="1">
      <c r="A398" s="155"/>
      <c r="B398" s="188"/>
      <c r="C398" s="188"/>
      <c r="D398" s="602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256">
        <f>L399+L400</f>
        <v>0</v>
      </c>
      <c r="M398" s="255">
        <f>M399+M400</f>
        <v>0</v>
      </c>
      <c r="N398" s="255">
        <f>N399+N400</f>
        <v>0</v>
      </c>
      <c r="O398" s="255">
        <f>IF(L398&gt;0,N398*100/L398,0)</f>
        <v>0</v>
      </c>
      <c r="P398" s="255">
        <f>IF(M398&gt;0,N398*100/M398,0)</f>
        <v>0</v>
      </c>
      <c r="Q398" s="255">
        <f>Q399+Q400</f>
        <v>0</v>
      </c>
      <c r="R398" s="255">
        <f>R399+R400</f>
        <v>0</v>
      </c>
      <c r="S398" s="255">
        <f>S399+S400</f>
        <v>0</v>
      </c>
      <c r="T398" s="255">
        <f>IF(Q398&gt;0,S398*100/Q398,0)</f>
        <v>0</v>
      </c>
      <c r="U398" s="255">
        <f>IF(R398&gt;0,S398*100/R398,0)</f>
        <v>0</v>
      </c>
    </row>
    <row r="399" spans="1:21" ht="18.75" hidden="1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103">
        <v>0</v>
      </c>
      <c r="M399" s="102">
        <v>0</v>
      </c>
      <c r="N399" s="102">
        <v>0</v>
      </c>
      <c r="O399" s="102">
        <f>IF(L399&gt;0,N399*100/L399,0)</f>
        <v>0</v>
      </c>
      <c r="P399" s="102">
        <f>IF(M399&gt;0,N399*100/M399,0)</f>
        <v>0</v>
      </c>
      <c r="Q399" s="102">
        <v>0</v>
      </c>
      <c r="R399" s="102">
        <v>0</v>
      </c>
      <c r="S399" s="102">
        <v>0</v>
      </c>
      <c r="T399" s="102">
        <f>IF(Q399&gt;0,S399*100/Q399,0)</f>
        <v>0</v>
      </c>
      <c r="U399" s="102">
        <f>IF(R399&gt;0,S399*100/R399,0)</f>
        <v>0</v>
      </c>
    </row>
    <row r="400" spans="1:21" ht="18.75" hidden="1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256">
        <v>0</v>
      </c>
      <c r="M400" s="255">
        <v>0</v>
      </c>
      <c r="N400" s="255">
        <v>0</v>
      </c>
      <c r="O400" s="255">
        <f>IF(L400&gt;0,N400*100/L400,0)</f>
        <v>0</v>
      </c>
      <c r="P400" s="255">
        <f>IF(M400&gt;0,N400*100/M400,0)</f>
        <v>0</v>
      </c>
      <c r="Q400" s="255">
        <v>0</v>
      </c>
      <c r="R400" s="255">
        <v>0</v>
      </c>
      <c r="S400" s="255">
        <v>0</v>
      </c>
      <c r="T400" s="255">
        <f>IF(Q400&gt;0,S400*100/Q400,0)</f>
        <v>0</v>
      </c>
      <c r="U400" s="255">
        <f>IF(R400&gt;0,S400*100/R400,0)</f>
        <v>0</v>
      </c>
    </row>
    <row r="401" spans="1:21" ht="19.5" hidden="1">
      <c r="A401" s="166"/>
      <c r="B401" s="167"/>
      <c r="C401" s="191" t="s">
        <v>18</v>
      </c>
      <c r="D401" s="560" t="s">
        <v>38</v>
      </c>
      <c r="E401" s="169"/>
      <c r="F401" s="169"/>
      <c r="G401" s="170"/>
      <c r="H401" s="206"/>
      <c r="I401" s="163"/>
      <c r="J401" s="54"/>
      <c r="K401" s="55"/>
      <c r="L401" s="62"/>
      <c r="M401" s="55"/>
      <c r="N401" s="55"/>
      <c r="O401" s="164"/>
      <c r="P401" s="164"/>
      <c r="Q401" s="55"/>
      <c r="R401" s="55"/>
      <c r="S401" s="55"/>
      <c r="T401" s="164"/>
      <c r="U401" s="164"/>
    </row>
    <row r="402" spans="1:21" ht="12.75" hidden="1">
      <c r="A402" s="258"/>
      <c r="B402" s="259"/>
      <c r="C402" s="259"/>
      <c r="D402" s="259"/>
      <c r="E402" s="260"/>
      <c r="F402" s="260"/>
      <c r="G402" s="261"/>
      <c r="H402" s="262"/>
      <c r="I402" s="263"/>
      <c r="J402" s="263"/>
      <c r="K402" s="264"/>
      <c r="L402" s="265"/>
      <c r="M402" s="264"/>
      <c r="N402" s="264"/>
      <c r="O402" s="264"/>
      <c r="P402" s="264"/>
      <c r="Q402" s="264"/>
      <c r="R402" s="264"/>
      <c r="S402" s="264"/>
      <c r="T402" s="264"/>
      <c r="U402" s="264"/>
    </row>
    <row r="403" spans="1:21" ht="12.75" hidden="1">
      <c r="A403" s="259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5"/>
      <c r="M403" s="264"/>
      <c r="N403" s="264"/>
      <c r="O403" s="264"/>
      <c r="P403" s="264"/>
      <c r="Q403" s="264"/>
      <c r="R403" s="264"/>
      <c r="S403" s="264"/>
      <c r="T403" s="264"/>
      <c r="U403" s="264"/>
    </row>
    <row r="404" spans="1:21" ht="12.75" hidden="1">
      <c r="A404" s="259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5"/>
      <c r="M404" s="264"/>
      <c r="N404" s="264"/>
      <c r="O404" s="264"/>
      <c r="P404" s="264"/>
      <c r="Q404" s="264"/>
      <c r="R404" s="264"/>
      <c r="S404" s="264"/>
      <c r="T404" s="264"/>
      <c r="U404" s="264"/>
    </row>
    <row r="405" spans="1:21" ht="12.75" hidden="1">
      <c r="A405" s="259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5"/>
      <c r="M405" s="264"/>
      <c r="N405" s="264"/>
      <c r="O405" s="264"/>
      <c r="P405" s="264"/>
      <c r="Q405" s="264"/>
      <c r="R405" s="264"/>
      <c r="S405" s="264"/>
      <c r="T405" s="264"/>
      <c r="U405" s="264"/>
    </row>
    <row r="406" spans="1:21" ht="12.75" hidden="1">
      <c r="A406" s="259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5"/>
      <c r="M406" s="264"/>
      <c r="N406" s="264"/>
      <c r="O406" s="264"/>
      <c r="P406" s="264"/>
      <c r="Q406" s="264"/>
      <c r="R406" s="264"/>
      <c r="S406" s="264"/>
      <c r="T406" s="264"/>
      <c r="U406" s="264"/>
    </row>
    <row r="407" spans="1:21" ht="12.75" hidden="1">
      <c r="A407" s="259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5"/>
      <c r="M407" s="264"/>
      <c r="N407" s="264"/>
      <c r="O407" s="264"/>
      <c r="P407" s="264"/>
      <c r="Q407" s="264"/>
      <c r="R407" s="264"/>
      <c r="S407" s="264"/>
      <c r="T407" s="264"/>
      <c r="U407" s="264"/>
    </row>
    <row r="408" spans="1:21" ht="12.75" hidden="1">
      <c r="A408" s="259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5"/>
      <c r="M408" s="264"/>
      <c r="N408" s="264"/>
      <c r="O408" s="264"/>
      <c r="P408" s="264"/>
      <c r="Q408" s="264"/>
      <c r="R408" s="264"/>
      <c r="S408" s="264"/>
      <c r="T408" s="264"/>
      <c r="U408" s="264"/>
    </row>
    <row r="409" spans="1:21" ht="12.75" hidden="1">
      <c r="A409" s="259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5"/>
      <c r="M409" s="264"/>
      <c r="N409" s="264"/>
      <c r="O409" s="264"/>
      <c r="P409" s="264"/>
      <c r="Q409" s="264"/>
      <c r="R409" s="264"/>
      <c r="S409" s="264"/>
      <c r="T409" s="264"/>
      <c r="U409" s="264"/>
    </row>
    <row r="410" spans="1:21" ht="12.75" hidden="1">
      <c r="A410" s="259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5"/>
      <c r="M410" s="264"/>
      <c r="N410" s="264"/>
      <c r="O410" s="264"/>
      <c r="P410" s="264"/>
      <c r="Q410" s="264"/>
      <c r="R410" s="264"/>
      <c r="S410" s="264"/>
      <c r="T410" s="264"/>
      <c r="U410" s="264"/>
    </row>
    <row r="411" spans="1:21" ht="12.75" hidden="1">
      <c r="A411" s="360"/>
      <c r="B411" s="360"/>
      <c r="C411" s="360"/>
      <c r="D411" s="360"/>
      <c r="E411" s="360"/>
      <c r="F411" s="360"/>
      <c r="G411" s="361"/>
      <c r="H411" s="361"/>
      <c r="I411" s="362"/>
      <c r="J411" s="362"/>
      <c r="K411" s="363"/>
      <c r="L411" s="364"/>
      <c r="M411" s="363"/>
      <c r="N411" s="363"/>
      <c r="O411" s="363"/>
      <c r="P411" s="363"/>
      <c r="Q411" s="363"/>
      <c r="R411" s="363"/>
      <c r="S411" s="363"/>
      <c r="T411" s="363"/>
      <c r="U411" s="363"/>
    </row>
    <row r="412" spans="1:21" ht="19.5" hidden="1">
      <c r="A412" s="337"/>
      <c r="B412" s="354" t="s">
        <v>158</v>
      </c>
      <c r="C412" s="337"/>
      <c r="D412" s="337"/>
      <c r="E412" s="337"/>
      <c r="F412" s="337"/>
      <c r="G412" s="365"/>
      <c r="H412" s="366" t="s">
        <v>46</v>
      </c>
      <c r="I412" s="605">
        <f ca="1">I423</f>
        <v>0</v>
      </c>
      <c r="J412" s="605">
        <f>J423</f>
        <v>0</v>
      </c>
      <c r="K412" s="604">
        <f ca="1">IF(I412&gt;0,J412*100/I412,0)</f>
        <v>0</v>
      </c>
      <c r="L412" s="334"/>
      <c r="M412" s="333"/>
      <c r="N412" s="333"/>
      <c r="O412" s="333"/>
      <c r="P412" s="333"/>
      <c r="Q412" s="333"/>
      <c r="R412" s="333"/>
      <c r="S412" s="333"/>
      <c r="T412" s="333"/>
      <c r="U412" s="333"/>
    </row>
    <row r="413" spans="1:21" ht="19.5" hidden="1">
      <c r="A413" s="155"/>
      <c r="B413" s="188"/>
      <c r="C413" s="367" t="s">
        <v>18</v>
      </c>
      <c r="D413" s="603" t="s">
        <v>19</v>
      </c>
      <c r="E413" s="514"/>
      <c r="F413" s="514"/>
      <c r="G413" s="512"/>
      <c r="H413" s="368" t="s">
        <v>14</v>
      </c>
      <c r="I413" s="54"/>
      <c r="J413" s="54"/>
      <c r="K413" s="55"/>
      <c r="L413" s="541">
        <f>L414+L415</f>
        <v>0</v>
      </c>
      <c r="M413" s="540">
        <f>M414+M415</f>
        <v>0</v>
      </c>
      <c r="N413" s="540">
        <f>N414+N415</f>
        <v>0</v>
      </c>
      <c r="O413" s="540">
        <f>IF(L413&gt;0,N413*100/L413,0)</f>
        <v>0</v>
      </c>
      <c r="P413" s="540">
        <f>IF(M413&gt;0,N413*100/M413,0)</f>
        <v>0</v>
      </c>
      <c r="Q413" s="540">
        <f ca="1">Q414+Q415</f>
        <v>0</v>
      </c>
      <c r="R413" s="540">
        <f ca="1">R414+R415</f>
        <v>0</v>
      </c>
      <c r="S413" s="540">
        <f ca="1">S414+S415</f>
        <v>0</v>
      </c>
      <c r="T413" s="540">
        <f ca="1">IF(Q413&gt;0,S413*100/Q413,0)</f>
        <v>0</v>
      </c>
      <c r="U413" s="540">
        <f ca="1">IF(R413&gt;0,S413*100/R413,0)</f>
        <v>0</v>
      </c>
    </row>
    <row r="414" spans="1:21" ht="18.75" hidden="1">
      <c r="A414" s="155"/>
      <c r="B414" s="188"/>
      <c r="C414" s="188"/>
      <c r="D414" s="188"/>
      <c r="E414" s="358" t="s">
        <v>159</v>
      </c>
      <c r="F414" s="188"/>
      <c r="G414" s="208"/>
      <c r="H414" s="204" t="s">
        <v>14</v>
      </c>
      <c r="I414" s="54"/>
      <c r="J414" s="54"/>
      <c r="K414" s="55"/>
      <c r="L414" s="103">
        <f>L417+L420</f>
        <v>0</v>
      </c>
      <c r="M414" s="102">
        <f>M417+M420</f>
        <v>0</v>
      </c>
      <c r="N414" s="102">
        <f>N417+N420</f>
        <v>0</v>
      </c>
      <c r="O414" s="102">
        <f>IF(L414&gt;0,N414*100/L414,0)</f>
        <v>0</v>
      </c>
      <c r="P414" s="102">
        <f>IF(M414&gt;0,N414*100/M414,0)</f>
        <v>0</v>
      </c>
      <c r="Q414" s="102">
        <f>Q417+Q420</f>
        <v>0</v>
      </c>
      <c r="R414" s="102">
        <f>R417+R420</f>
        <v>0</v>
      </c>
      <c r="S414" s="102">
        <f>S417+S420</f>
        <v>0</v>
      </c>
      <c r="T414" s="102">
        <f>IF(Q414&gt;0,S414*100/Q414,0)</f>
        <v>0</v>
      </c>
      <c r="U414" s="102">
        <f>IF(R414&gt;0,S414*100/R414,0)</f>
        <v>0</v>
      </c>
    </row>
    <row r="415" spans="1:21" ht="18.75" hidden="1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256">
        <f>L418+L421</f>
        <v>0</v>
      </c>
      <c r="M415" s="255">
        <f>M418+M421</f>
        <v>0</v>
      </c>
      <c r="N415" s="255">
        <f>N418+N421</f>
        <v>0</v>
      </c>
      <c r="O415" s="255">
        <f>IF(L415&gt;0,N415*100/L415,0)</f>
        <v>0</v>
      </c>
      <c r="P415" s="255">
        <f>IF(M415&gt;0,N415*100/M415,0)</f>
        <v>0</v>
      </c>
      <c r="Q415" s="255">
        <f ca="1">Q418+Q421</f>
        <v>0</v>
      </c>
      <c r="R415" s="255">
        <f ca="1">R418+R421</f>
        <v>0</v>
      </c>
      <c r="S415" s="255">
        <f ca="1">S418+S421</f>
        <v>0</v>
      </c>
      <c r="T415" s="255">
        <f ca="1">IF(Q415&gt;0,S415*100/Q415,0)</f>
        <v>0</v>
      </c>
      <c r="U415" s="255">
        <f ca="1">IF(R415&gt;0,S415*100/R415,0)</f>
        <v>0</v>
      </c>
    </row>
    <row r="416" spans="1:21" ht="19.5" hidden="1">
      <c r="A416" s="155"/>
      <c r="B416" s="188"/>
      <c r="C416" s="188"/>
      <c r="D416" s="608" t="s">
        <v>22</v>
      </c>
      <c r="E416" s="188"/>
      <c r="F416" s="188"/>
      <c r="G416" s="208"/>
      <c r="H416" s="368" t="s">
        <v>14</v>
      </c>
      <c r="I416" s="54"/>
      <c r="J416" s="54"/>
      <c r="K416" s="55"/>
      <c r="L416" s="256">
        <f>L417+L418</f>
        <v>0</v>
      </c>
      <c r="M416" s="255">
        <f>M417+M418</f>
        <v>0</v>
      </c>
      <c r="N416" s="255">
        <f>N417+N418</f>
        <v>0</v>
      </c>
      <c r="O416" s="255">
        <f>IF(L416&gt;0,N416*100/L416,0)</f>
        <v>0</v>
      </c>
      <c r="P416" s="255">
        <f>IF(M416&gt;0,N416*100/M416,0)</f>
        <v>0</v>
      </c>
      <c r="Q416" s="255">
        <f ca="1">Q417+Q418</f>
        <v>0</v>
      </c>
      <c r="R416" s="255">
        <f ca="1">R417+R418</f>
        <v>0</v>
      </c>
      <c r="S416" s="255">
        <f ca="1">S417+S418</f>
        <v>0</v>
      </c>
      <c r="T416" s="255">
        <f ca="1">IF(Q416&gt;0,S416*100/Q416,0)</f>
        <v>0</v>
      </c>
      <c r="U416" s="255">
        <f ca="1">IF(R416&gt;0,S416*100/R416,0)</f>
        <v>0</v>
      </c>
    </row>
    <row r="417" spans="1:21" ht="18.75" hidden="1">
      <c r="A417" s="155"/>
      <c r="B417" s="188"/>
      <c r="C417" s="188"/>
      <c r="D417" s="188"/>
      <c r="E417" s="358" t="s">
        <v>159</v>
      </c>
      <c r="F417" s="188"/>
      <c r="G417" s="208"/>
      <c r="H417" s="204" t="s">
        <v>14</v>
      </c>
      <c r="I417" s="54"/>
      <c r="J417" s="54"/>
      <c r="K417" s="55"/>
      <c r="L417" s="103">
        <v>0</v>
      </c>
      <c r="M417" s="102">
        <v>0</v>
      </c>
      <c r="N417" s="102">
        <v>0</v>
      </c>
      <c r="O417" s="102">
        <f>IF(L417&gt;0,N417*100/L417,0)</f>
        <v>0</v>
      </c>
      <c r="P417" s="102">
        <f>IF(M417&gt;0,N417*100/M417,0)</f>
        <v>0</v>
      </c>
      <c r="Q417" s="102">
        <v>0</v>
      </c>
      <c r="R417" s="102">
        <v>0</v>
      </c>
      <c r="S417" s="102">
        <v>0</v>
      </c>
      <c r="T417" s="102">
        <f>IF(Q417&gt;0,S417*100/Q417,0)</f>
        <v>0</v>
      </c>
      <c r="U417" s="102">
        <f>IF(R417&gt;0,S417*100/R417,0)</f>
        <v>0</v>
      </c>
    </row>
    <row r="418" spans="1:21" ht="18.75" hidden="1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256">
        <v>0</v>
      </c>
      <c r="M418" s="255">
        <v>0</v>
      </c>
      <c r="N418" s="255">
        <v>0</v>
      </c>
      <c r="O418" s="255">
        <f>IF(L418&gt;0,N418*100/L418,0)</f>
        <v>0</v>
      </c>
      <c r="P418" s="255">
        <f>IF(M418&gt;0,N418*100/M418,0)</f>
        <v>0</v>
      </c>
      <c r="Q418" s="255">
        <f ca="1">IFERROR(__xludf.DUMMYFUNCTION("IMPORTRANGE(""https://docs.google.com/spreadsheets/d/1ItG2mGa2ceCfYo0BwxsXqNm01IGEUdYcSSLTEv9YCik/edit?usp=sharing"",""เบิกจ่ายกองทุน!BH37"")"),0)</f>
        <v>0</v>
      </c>
      <c r="R418" s="255">
        <f ca="1">IFERROR(__xludf.DUMMYFUNCTION("IMPORTRANGE(""https://docs.google.com/spreadsheets/d/1ItG2mGa2ceCfYo0BwxsXqNm01IGEUdYcSSLTEv9YCik/edit?usp=sharing"",""เบิกจ่ายกองทุน!BI37"")"),0)</f>
        <v>0</v>
      </c>
      <c r="S418" s="255">
        <f ca="1">IFERROR(__xludf.DUMMYFUNCTION("IMPORTRANGE(""https://docs.google.com/spreadsheets/d/1ItG2mGa2ceCfYo0BwxsXqNm01IGEUdYcSSLTEv9YCik/edit?usp=sharing"",""เบิกจ่ายกองทุน!BJ37"")"),0)</f>
        <v>0</v>
      </c>
      <c r="T418" s="255">
        <f ca="1">IF(Q418&gt;0,S418*100/Q418,0)</f>
        <v>0</v>
      </c>
      <c r="U418" s="255">
        <f ca="1">IF(R418&gt;0,S418*100/R418,0)</f>
        <v>0</v>
      </c>
    </row>
    <row r="419" spans="1:21" ht="19.5" hidden="1">
      <c r="A419" s="155"/>
      <c r="B419" s="188"/>
      <c r="C419" s="188"/>
      <c r="D419" s="608" t="s">
        <v>23</v>
      </c>
      <c r="E419" s="188"/>
      <c r="F419" s="188"/>
      <c r="G419" s="208"/>
      <c r="H419" s="158" t="s">
        <v>14</v>
      </c>
      <c r="I419" s="54"/>
      <c r="J419" s="54"/>
      <c r="K419" s="55"/>
      <c r="L419" s="256">
        <f>L420+L421</f>
        <v>0</v>
      </c>
      <c r="M419" s="255">
        <f>M420+M421</f>
        <v>0</v>
      </c>
      <c r="N419" s="255">
        <f>N420+N421</f>
        <v>0</v>
      </c>
      <c r="O419" s="255">
        <f>IF(L419&gt;0,N419*100/L419,0)</f>
        <v>0</v>
      </c>
      <c r="P419" s="255">
        <f>IF(M419&gt;0,N419*100/M419,0)</f>
        <v>0</v>
      </c>
      <c r="Q419" s="255">
        <f>Q420+Q421</f>
        <v>0</v>
      </c>
      <c r="R419" s="255">
        <f>R420+R421</f>
        <v>0</v>
      </c>
      <c r="S419" s="255">
        <f>S420+S421</f>
        <v>0</v>
      </c>
      <c r="T419" s="255">
        <f>IF(Q419&gt;0,S419*100/Q419,0)</f>
        <v>0</v>
      </c>
      <c r="U419" s="255">
        <f>IF(R419&gt;0,S419*100/R419,0)</f>
        <v>0</v>
      </c>
    </row>
    <row r="420" spans="1:21" ht="18.75" hidden="1">
      <c r="A420" s="155"/>
      <c r="B420" s="188"/>
      <c r="C420" s="188"/>
      <c r="D420" s="188"/>
      <c r="E420" s="358" t="s">
        <v>20</v>
      </c>
      <c r="F420" s="188"/>
      <c r="G420" s="208"/>
      <c r="H420" s="204" t="s">
        <v>14</v>
      </c>
      <c r="I420" s="54"/>
      <c r="J420" s="54"/>
      <c r="K420" s="55"/>
      <c r="L420" s="103">
        <v>0</v>
      </c>
      <c r="M420" s="102">
        <v>0</v>
      </c>
      <c r="N420" s="102">
        <v>0</v>
      </c>
      <c r="O420" s="102">
        <f>IF(L420&gt;0,N420*100/L420,0)</f>
        <v>0</v>
      </c>
      <c r="P420" s="102">
        <f>IF(M420&gt;0,N420*100/M420,0)</f>
        <v>0</v>
      </c>
      <c r="Q420" s="102">
        <v>0</v>
      </c>
      <c r="R420" s="102">
        <v>0</v>
      </c>
      <c r="S420" s="102">
        <v>0</v>
      </c>
      <c r="T420" s="102">
        <f>IF(Q420&gt;0,S420*100/Q420,0)</f>
        <v>0</v>
      </c>
      <c r="U420" s="102">
        <f>IF(R420&gt;0,S420*100/R420,0)</f>
        <v>0</v>
      </c>
    </row>
    <row r="421" spans="1:21" ht="18.75" hidden="1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256">
        <v>0</v>
      </c>
      <c r="M421" s="255">
        <v>0</v>
      </c>
      <c r="N421" s="255">
        <v>0</v>
      </c>
      <c r="O421" s="255">
        <f>IF(L421&gt;0,N421*100/L421,0)</f>
        <v>0</v>
      </c>
      <c r="P421" s="255">
        <f>IF(M421&gt;0,N421*100/M421,0)</f>
        <v>0</v>
      </c>
      <c r="Q421" s="255">
        <v>0</v>
      </c>
      <c r="R421" s="255">
        <v>0</v>
      </c>
      <c r="S421" s="255">
        <v>0</v>
      </c>
      <c r="T421" s="255">
        <f>IF(Q421&gt;0,S421*100/Q421,0)</f>
        <v>0</v>
      </c>
      <c r="U421" s="255">
        <f>IF(R421&gt;0,S421*100/R421,0)</f>
        <v>0</v>
      </c>
    </row>
    <row r="422" spans="1:21" ht="19.5" hidden="1">
      <c r="A422" s="238"/>
      <c r="B422" s="188"/>
      <c r="C422" s="367" t="s">
        <v>18</v>
      </c>
      <c r="D422" s="607" t="s">
        <v>38</v>
      </c>
      <c r="E422" s="188"/>
      <c r="F422" s="188"/>
      <c r="G422" s="208"/>
      <c r="H422" s="208"/>
      <c r="I422" s="54"/>
      <c r="J422" s="54"/>
      <c r="K422" s="55"/>
      <c r="L422" s="62"/>
      <c r="M422" s="55"/>
      <c r="N422" s="55"/>
      <c r="O422" s="55"/>
      <c r="P422" s="55"/>
      <c r="Q422" s="55"/>
      <c r="R422" s="55"/>
      <c r="S422" s="55"/>
      <c r="T422" s="55"/>
      <c r="U422" s="55"/>
    </row>
    <row r="423" spans="1:21" ht="19.5" hidden="1">
      <c r="A423" s="238"/>
      <c r="B423" s="191" t="s">
        <v>161</v>
      </c>
      <c r="C423" s="188"/>
      <c r="D423" s="188"/>
      <c r="E423" s="188"/>
      <c r="F423" s="188"/>
      <c r="G423" s="208"/>
      <c r="H423" s="368" t="s">
        <v>46</v>
      </c>
      <c r="I423" s="373">
        <f ca="1">I440</f>
        <v>0</v>
      </c>
      <c r="J423" s="373">
        <f>J440</f>
        <v>0</v>
      </c>
      <c r="K423" s="540">
        <f ca="1">IF(I423&gt;0,J423*100/I423,0)</f>
        <v>0</v>
      </c>
      <c r="L423" s="62"/>
      <c r="M423" s="55"/>
      <c r="N423" s="55"/>
      <c r="O423" s="55"/>
      <c r="P423" s="55"/>
      <c r="Q423" s="55"/>
      <c r="R423" s="55"/>
      <c r="S423" s="55"/>
      <c r="T423" s="55"/>
      <c r="U423" s="55"/>
    </row>
    <row r="424" spans="1:21" ht="19.5" hidden="1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373">
        <f ca="1">IFERROR(__xludf.DUMMYFUNCTION("IMPORTRANGE(""https://docs.google.com/spreadsheets/d/1eHaY18a8A9IcSdp1K8H6x8fbOy06t2VsZHhMHf-1x7Y/edit?usp=sharing"",""แผน!HJ37"")"),0)</f>
        <v>0</v>
      </c>
      <c r="J424" s="373">
        <f>J426+J428+J430</f>
        <v>0</v>
      </c>
      <c r="K424" s="540">
        <f ca="1">IF(I424&gt;0,J424*100/I424,0)</f>
        <v>0</v>
      </c>
      <c r="L424" s="62"/>
      <c r="M424" s="55"/>
      <c r="N424" s="55"/>
      <c r="O424" s="55"/>
      <c r="P424" s="55"/>
      <c r="Q424" s="55"/>
      <c r="R424" s="55"/>
      <c r="S424" s="55"/>
      <c r="T424" s="55"/>
      <c r="U424" s="55"/>
    </row>
    <row r="425" spans="1:21" ht="19.5" hidden="1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373">
        <f ca="1">IFERROR(__xludf.DUMMYFUNCTION("IMPORTRANGE(""https://docs.google.com/spreadsheets/d/1eHaY18a8A9IcSdp1K8H6x8fbOy06t2VsZHhMHf-1x7Y/edit?usp=sharing"",""แผน!HK37"")"),0)</f>
        <v>0</v>
      </c>
      <c r="J425" s="373">
        <f>J427+J429+J431</f>
        <v>0</v>
      </c>
      <c r="K425" s="540">
        <f ca="1">IF(I425&gt;0,J425*100/I425,0)</f>
        <v>0</v>
      </c>
      <c r="L425" s="62"/>
      <c r="M425" s="55"/>
      <c r="N425" s="55"/>
      <c r="O425" s="55"/>
      <c r="P425" s="55"/>
      <c r="Q425" s="55"/>
      <c r="R425" s="55"/>
      <c r="S425" s="55"/>
      <c r="T425" s="55"/>
      <c r="U425" s="55"/>
    </row>
    <row r="426" spans="1:21" ht="18.75" hidden="1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54"/>
      <c r="K426" s="55"/>
      <c r="L426" s="62"/>
      <c r="M426" s="55"/>
      <c r="N426" s="55"/>
      <c r="O426" s="55"/>
      <c r="P426" s="55"/>
      <c r="Q426" s="55"/>
      <c r="R426" s="55"/>
      <c r="S426" s="55"/>
      <c r="T426" s="55"/>
      <c r="U426" s="55"/>
    </row>
    <row r="427" spans="1:21" ht="18.75" hidden="1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54"/>
      <c r="K427" s="55"/>
      <c r="L427" s="62"/>
      <c r="M427" s="55"/>
      <c r="N427" s="55"/>
      <c r="O427" s="55"/>
      <c r="P427" s="55"/>
      <c r="Q427" s="55"/>
      <c r="R427" s="55"/>
      <c r="S427" s="55"/>
      <c r="T427" s="55"/>
      <c r="U427" s="55"/>
    </row>
    <row r="428" spans="1:21" ht="18.75" hidden="1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54"/>
      <c r="K428" s="55"/>
      <c r="L428" s="62"/>
      <c r="M428" s="55"/>
      <c r="N428" s="55"/>
      <c r="O428" s="55"/>
      <c r="P428" s="55"/>
      <c r="Q428" s="55"/>
      <c r="R428" s="55"/>
      <c r="S428" s="55"/>
      <c r="T428" s="55"/>
      <c r="U428" s="55"/>
    </row>
    <row r="429" spans="1:21" ht="18.75" hidden="1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54"/>
      <c r="K429" s="55"/>
      <c r="L429" s="62"/>
      <c r="M429" s="55"/>
      <c r="N429" s="55"/>
      <c r="O429" s="55"/>
      <c r="P429" s="55"/>
      <c r="Q429" s="55"/>
      <c r="R429" s="55"/>
      <c r="S429" s="55"/>
      <c r="T429" s="55"/>
      <c r="U429" s="55"/>
    </row>
    <row r="430" spans="1:21" ht="18.75" hidden="1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54"/>
      <c r="K430" s="55"/>
      <c r="L430" s="62"/>
      <c r="M430" s="55"/>
      <c r="N430" s="55"/>
      <c r="O430" s="55"/>
      <c r="P430" s="55"/>
      <c r="Q430" s="55"/>
      <c r="R430" s="55"/>
      <c r="S430" s="55"/>
      <c r="T430" s="55"/>
      <c r="U430" s="55"/>
    </row>
    <row r="431" spans="1:21" ht="18.75" hidden="1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54"/>
      <c r="K431" s="55"/>
      <c r="L431" s="62"/>
      <c r="M431" s="55"/>
      <c r="N431" s="55"/>
      <c r="O431" s="55"/>
      <c r="P431" s="55"/>
      <c r="Q431" s="55"/>
      <c r="R431" s="55"/>
      <c r="S431" s="55"/>
      <c r="T431" s="55"/>
      <c r="U431" s="55"/>
    </row>
    <row r="432" spans="1:21" ht="19.5" hidden="1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373">
        <f ca="1">IFERROR(__xludf.DUMMYFUNCTION("IMPORTRANGE(""https://docs.google.com/spreadsheets/d/1eHaY18a8A9IcSdp1K8H6x8fbOy06t2VsZHhMHf-1x7Y/edit?usp=sharing"",""แผน!HJ37"")"),0)</f>
        <v>0</v>
      </c>
      <c r="J432" s="373">
        <f>J434+J436+J438</f>
        <v>0</v>
      </c>
      <c r="K432" s="540">
        <f ca="1">IF(I432&gt;0,J432*100/I432,0)</f>
        <v>0</v>
      </c>
      <c r="L432" s="62"/>
      <c r="M432" s="55"/>
      <c r="N432" s="55"/>
      <c r="O432" s="55"/>
      <c r="P432" s="55"/>
      <c r="Q432" s="55"/>
      <c r="R432" s="55"/>
      <c r="S432" s="55"/>
      <c r="T432" s="55"/>
      <c r="U432" s="55"/>
    </row>
    <row r="433" spans="1:21" ht="19.5" hidden="1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373">
        <f ca="1">IFERROR(__xludf.DUMMYFUNCTION("IMPORTRANGE(""https://docs.google.com/spreadsheets/d/1eHaY18a8A9IcSdp1K8H6x8fbOy06t2VsZHhMHf-1x7Y/edit?usp=sharing"",""แผน!HK37"")"),0)</f>
        <v>0</v>
      </c>
      <c r="J433" s="373">
        <f>J435+J437+J439</f>
        <v>0</v>
      </c>
      <c r="K433" s="540">
        <f ca="1">IF(I433&gt;0,J433*100/I433,0)</f>
        <v>0</v>
      </c>
      <c r="L433" s="62"/>
      <c r="M433" s="55"/>
      <c r="N433" s="55"/>
      <c r="O433" s="55"/>
      <c r="P433" s="55"/>
      <c r="Q433" s="55"/>
      <c r="R433" s="55"/>
      <c r="S433" s="55"/>
      <c r="T433" s="55"/>
      <c r="U433" s="55"/>
    </row>
    <row r="434" spans="1:21" ht="18.75" hidden="1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54"/>
      <c r="K434" s="55"/>
      <c r="L434" s="62"/>
      <c r="M434" s="55"/>
      <c r="N434" s="55"/>
      <c r="O434" s="55"/>
      <c r="P434" s="55"/>
      <c r="Q434" s="55"/>
      <c r="R434" s="55"/>
      <c r="S434" s="55"/>
      <c r="T434" s="55"/>
      <c r="U434" s="55"/>
    </row>
    <row r="435" spans="1:21" ht="18.75" hidden="1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54"/>
      <c r="K435" s="55"/>
      <c r="L435" s="62"/>
      <c r="M435" s="55"/>
      <c r="N435" s="55"/>
      <c r="O435" s="55"/>
      <c r="P435" s="55"/>
      <c r="Q435" s="55"/>
      <c r="R435" s="55"/>
      <c r="S435" s="55"/>
      <c r="T435" s="55"/>
      <c r="U435" s="55"/>
    </row>
    <row r="436" spans="1:21" ht="18.75" hidden="1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54"/>
      <c r="K436" s="55"/>
      <c r="L436" s="62"/>
      <c r="M436" s="55"/>
      <c r="N436" s="55"/>
      <c r="O436" s="55"/>
      <c r="P436" s="55"/>
      <c r="Q436" s="55"/>
      <c r="R436" s="55"/>
      <c r="S436" s="55"/>
      <c r="T436" s="55"/>
      <c r="U436" s="55"/>
    </row>
    <row r="437" spans="1:21" ht="18.75" hidden="1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54"/>
      <c r="K437" s="55"/>
      <c r="L437" s="62"/>
      <c r="M437" s="55"/>
      <c r="N437" s="55"/>
      <c r="O437" s="55"/>
      <c r="P437" s="55"/>
      <c r="Q437" s="55"/>
      <c r="R437" s="55"/>
      <c r="S437" s="55"/>
      <c r="T437" s="55"/>
      <c r="U437" s="55"/>
    </row>
    <row r="438" spans="1:21" ht="18.75" hidden="1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54"/>
      <c r="K438" s="55"/>
      <c r="L438" s="62"/>
      <c r="M438" s="55"/>
      <c r="N438" s="55"/>
      <c r="O438" s="55"/>
      <c r="P438" s="55"/>
      <c r="Q438" s="55"/>
      <c r="R438" s="55"/>
      <c r="S438" s="55"/>
      <c r="T438" s="55"/>
      <c r="U438" s="55"/>
    </row>
    <row r="439" spans="1:21" ht="18.75" hidden="1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54"/>
      <c r="K439" s="55"/>
      <c r="L439" s="62"/>
      <c r="M439" s="55"/>
      <c r="N439" s="55"/>
      <c r="O439" s="55"/>
      <c r="P439" s="55"/>
      <c r="Q439" s="55"/>
      <c r="R439" s="55"/>
      <c r="S439" s="55"/>
      <c r="T439" s="55"/>
      <c r="U439" s="55"/>
    </row>
    <row r="440" spans="1:21" ht="19.5" hidden="1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373">
        <f ca="1">IFERROR(__xludf.DUMMYFUNCTION("IMPORTRANGE(""https://docs.google.com/spreadsheets/d/1eHaY18a8A9IcSdp1K8H6x8fbOy06t2VsZHhMHf-1x7Y/edit?usp=sharing"",""แผน!HJ37"")"),0)</f>
        <v>0</v>
      </c>
      <c r="J440" s="373">
        <f>J442+J444+J446+J452+J454</f>
        <v>0</v>
      </c>
      <c r="K440" s="540">
        <f ca="1">IF(I440&gt;0,J440*100/I440,0)</f>
        <v>0</v>
      </c>
      <c r="L440" s="62"/>
      <c r="M440" s="55"/>
      <c r="N440" s="55"/>
      <c r="O440" s="55"/>
      <c r="P440" s="55"/>
      <c r="Q440" s="55"/>
      <c r="R440" s="55"/>
      <c r="S440" s="55"/>
      <c r="T440" s="55"/>
      <c r="U440" s="55"/>
    </row>
    <row r="441" spans="1:21" ht="19.5" hidden="1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373">
        <f ca="1">IFERROR(__xludf.DUMMYFUNCTION("IMPORTRANGE(""https://docs.google.com/spreadsheets/d/1eHaY18a8A9IcSdp1K8H6x8fbOy06t2VsZHhMHf-1x7Y/edit?usp=sharing"",""แผน!HK37"")"),0)</f>
        <v>0</v>
      </c>
      <c r="J441" s="373">
        <f>J443+J445+J447+J453+J455</f>
        <v>0</v>
      </c>
      <c r="K441" s="540">
        <f ca="1">IF(I441&gt;0,J441*100/I441,0)</f>
        <v>0</v>
      </c>
      <c r="L441" s="62"/>
      <c r="M441" s="55"/>
      <c r="N441" s="55"/>
      <c r="O441" s="55"/>
      <c r="P441" s="55"/>
      <c r="Q441" s="55"/>
      <c r="R441" s="55"/>
      <c r="S441" s="55"/>
      <c r="T441" s="55"/>
      <c r="U441" s="55"/>
    </row>
    <row r="442" spans="1:21" ht="18.75" hidden="1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54"/>
      <c r="K442" s="55"/>
      <c r="L442" s="62"/>
      <c r="M442" s="55"/>
      <c r="N442" s="55"/>
      <c r="O442" s="55"/>
      <c r="P442" s="55"/>
      <c r="Q442" s="55"/>
      <c r="R442" s="55"/>
      <c r="S442" s="55"/>
      <c r="T442" s="55"/>
      <c r="U442" s="55"/>
    </row>
    <row r="443" spans="1:21" ht="18.75" hidden="1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54"/>
      <c r="K443" s="55"/>
      <c r="L443" s="62"/>
      <c r="M443" s="55"/>
      <c r="N443" s="55"/>
      <c r="O443" s="55"/>
      <c r="P443" s="55"/>
      <c r="Q443" s="55"/>
      <c r="R443" s="55"/>
      <c r="S443" s="55"/>
      <c r="T443" s="55"/>
      <c r="U443" s="55"/>
    </row>
    <row r="444" spans="1:21" ht="18.75" hidden="1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54"/>
      <c r="K444" s="55"/>
      <c r="L444" s="62"/>
      <c r="M444" s="55"/>
      <c r="N444" s="55"/>
      <c r="O444" s="55"/>
      <c r="P444" s="55"/>
      <c r="Q444" s="55"/>
      <c r="R444" s="55"/>
      <c r="S444" s="55"/>
      <c r="T444" s="55"/>
      <c r="U444" s="55"/>
    </row>
    <row r="445" spans="1:21" ht="18.75" hidden="1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54"/>
      <c r="K445" s="55"/>
      <c r="L445" s="62"/>
      <c r="M445" s="55"/>
      <c r="N445" s="55"/>
      <c r="O445" s="55"/>
      <c r="P445" s="55"/>
      <c r="Q445" s="55"/>
      <c r="R445" s="55"/>
      <c r="S445" s="55"/>
      <c r="T445" s="55"/>
      <c r="U445" s="55"/>
    </row>
    <row r="446" spans="1:21" ht="19.5" hidden="1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373">
        <f>J448+J450</f>
        <v>0</v>
      </c>
      <c r="K446" s="55"/>
      <c r="L446" s="62"/>
      <c r="M446" s="55"/>
      <c r="N446" s="55"/>
      <c r="O446" s="55"/>
      <c r="P446" s="55"/>
      <c r="Q446" s="55"/>
      <c r="R446" s="55"/>
      <c r="S446" s="55"/>
      <c r="T446" s="55"/>
      <c r="U446" s="55"/>
    </row>
    <row r="447" spans="1:21" ht="19.5" hidden="1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373">
        <f>J449+J451</f>
        <v>0</v>
      </c>
      <c r="K447" s="55"/>
      <c r="L447" s="62"/>
      <c r="M447" s="55"/>
      <c r="N447" s="55"/>
      <c r="O447" s="55"/>
      <c r="P447" s="55"/>
      <c r="Q447" s="55"/>
      <c r="R447" s="55"/>
      <c r="S447" s="55"/>
      <c r="T447" s="55"/>
      <c r="U447" s="55"/>
    </row>
    <row r="448" spans="1:21" ht="18.75" hidden="1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54"/>
      <c r="K448" s="55"/>
      <c r="L448" s="62"/>
      <c r="M448" s="55"/>
      <c r="N448" s="55"/>
      <c r="O448" s="55"/>
      <c r="P448" s="55"/>
      <c r="Q448" s="55"/>
      <c r="R448" s="55"/>
      <c r="S448" s="55"/>
      <c r="T448" s="55"/>
      <c r="U448" s="55"/>
    </row>
    <row r="449" spans="1:21" ht="18.75" hidden="1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54"/>
      <c r="K449" s="55"/>
      <c r="L449" s="62"/>
      <c r="M449" s="55"/>
      <c r="N449" s="55"/>
      <c r="O449" s="55"/>
      <c r="P449" s="55"/>
      <c r="Q449" s="55"/>
      <c r="R449" s="55"/>
      <c r="S449" s="55"/>
      <c r="T449" s="55"/>
      <c r="U449" s="55"/>
    </row>
    <row r="450" spans="1:21" ht="18.75" hidden="1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54"/>
      <c r="K450" s="55"/>
      <c r="L450" s="62"/>
      <c r="M450" s="55"/>
      <c r="N450" s="55"/>
      <c r="O450" s="55"/>
      <c r="P450" s="55"/>
      <c r="Q450" s="55"/>
      <c r="R450" s="55"/>
      <c r="S450" s="55"/>
      <c r="T450" s="55"/>
      <c r="U450" s="55"/>
    </row>
    <row r="451" spans="1:21" ht="18.75" hidden="1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54"/>
      <c r="K451" s="55"/>
      <c r="L451" s="62"/>
      <c r="M451" s="55"/>
      <c r="N451" s="55"/>
      <c r="O451" s="55"/>
      <c r="P451" s="55"/>
      <c r="Q451" s="55"/>
      <c r="R451" s="55"/>
      <c r="S451" s="55"/>
      <c r="T451" s="55"/>
      <c r="U451" s="55"/>
    </row>
    <row r="452" spans="1:21" ht="18.75" hidden="1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54"/>
      <c r="K452" s="55"/>
      <c r="L452" s="62"/>
      <c r="M452" s="55"/>
      <c r="N452" s="55"/>
      <c r="O452" s="55"/>
      <c r="P452" s="55"/>
      <c r="Q452" s="55"/>
      <c r="R452" s="55"/>
      <c r="S452" s="55"/>
      <c r="T452" s="55"/>
      <c r="U452" s="55"/>
    </row>
    <row r="453" spans="1:21" ht="18.75" hidden="1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54"/>
      <c r="K453" s="55"/>
      <c r="L453" s="62"/>
      <c r="M453" s="55"/>
      <c r="N453" s="55"/>
      <c r="O453" s="55"/>
      <c r="P453" s="55"/>
      <c r="Q453" s="55"/>
      <c r="R453" s="55"/>
      <c r="S453" s="55"/>
      <c r="T453" s="55"/>
      <c r="U453" s="55"/>
    </row>
    <row r="454" spans="1:21" ht="18.75" hidden="1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606"/>
      <c r="K454" s="55"/>
      <c r="L454" s="62"/>
      <c r="M454" s="55"/>
      <c r="N454" s="55"/>
      <c r="O454" s="55"/>
      <c r="P454" s="55"/>
      <c r="Q454" s="55"/>
      <c r="R454" s="55"/>
      <c r="S454" s="55"/>
      <c r="T454" s="55"/>
      <c r="U454" s="55"/>
    </row>
    <row r="455" spans="1:21" ht="18.75" hidden="1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54"/>
      <c r="K455" s="55"/>
      <c r="L455" s="62"/>
      <c r="M455" s="55"/>
      <c r="N455" s="55"/>
      <c r="O455" s="55"/>
      <c r="P455" s="55"/>
      <c r="Q455" s="55"/>
      <c r="R455" s="55"/>
      <c r="S455" s="55"/>
      <c r="T455" s="55"/>
      <c r="U455" s="55"/>
    </row>
    <row r="456" spans="1:21" ht="19.5" hidden="1">
      <c r="A456" s="238"/>
      <c r="B456" s="191" t="s">
        <v>178</v>
      </c>
      <c r="C456" s="188"/>
      <c r="D456" s="188"/>
      <c r="E456" s="188"/>
      <c r="F456" s="188"/>
      <c r="G456" s="208"/>
      <c r="H456" s="368" t="s">
        <v>46</v>
      </c>
      <c r="I456" s="373">
        <f ca="1">I457</f>
        <v>0</v>
      </c>
      <c r="J456" s="373">
        <f>J457</f>
        <v>0</v>
      </c>
      <c r="K456" s="540">
        <f ca="1">IF(I456&gt;0,J456*100/I456,0)</f>
        <v>0</v>
      </c>
      <c r="L456" s="62"/>
      <c r="M456" s="55"/>
      <c r="N456" s="55"/>
      <c r="O456" s="55"/>
      <c r="P456" s="55"/>
      <c r="Q456" s="55"/>
      <c r="R456" s="55"/>
      <c r="S456" s="55"/>
      <c r="T456" s="55"/>
      <c r="U456" s="55"/>
    </row>
    <row r="457" spans="1:21" ht="19.5" hidden="1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373">
        <f ca="1">IFERROR(__xludf.DUMMYFUNCTION("IMPORTRANGE(""https://docs.google.com/spreadsheets/d/1eHaY18a8A9IcSdp1K8H6x8fbOy06t2VsZHhMHf-1x7Y/edit?usp=sharing"",""แผน!HL37"")"),0)</f>
        <v>0</v>
      </c>
      <c r="J457" s="373">
        <f>J459+J467+J473</f>
        <v>0</v>
      </c>
      <c r="K457" s="540">
        <f ca="1">IF(I457&gt;0,J457*100/I457,0)</f>
        <v>0</v>
      </c>
      <c r="L457" s="62"/>
      <c r="M457" s="55"/>
      <c r="N457" s="55"/>
      <c r="O457" s="55"/>
      <c r="P457" s="55"/>
      <c r="Q457" s="55"/>
      <c r="R457" s="55"/>
      <c r="S457" s="55"/>
      <c r="T457" s="55"/>
      <c r="U457" s="55"/>
    </row>
    <row r="458" spans="1:21" ht="19.5" hidden="1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373">
        <f ca="1">IFERROR(__xludf.DUMMYFUNCTION("IMPORTRANGE(""https://docs.google.com/spreadsheets/d/1eHaY18a8A9IcSdp1K8H6x8fbOy06t2VsZHhMHf-1x7Y/edit?usp=sharing"",""แผน!HM37"")"),0)</f>
        <v>0</v>
      </c>
      <c r="J458" s="373">
        <f>J460+J468+J474</f>
        <v>0</v>
      </c>
      <c r="K458" s="540">
        <f ca="1">IF(I458&gt;0,J458*100/I458,0)</f>
        <v>0</v>
      </c>
      <c r="L458" s="62"/>
      <c r="M458" s="55"/>
      <c r="N458" s="55"/>
      <c r="O458" s="55"/>
      <c r="P458" s="55"/>
      <c r="Q458" s="55"/>
      <c r="R458" s="55"/>
      <c r="S458" s="55"/>
      <c r="T458" s="55"/>
      <c r="U458" s="55"/>
    </row>
    <row r="459" spans="1:21" ht="18.75" hidden="1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212">
        <f>J461+J463</f>
        <v>0</v>
      </c>
      <c r="K459" s="55"/>
      <c r="L459" s="62"/>
      <c r="M459" s="55"/>
      <c r="N459" s="55"/>
      <c r="O459" s="55"/>
      <c r="P459" s="55"/>
      <c r="Q459" s="55"/>
      <c r="R459" s="55"/>
      <c r="S459" s="55"/>
      <c r="T459" s="55"/>
      <c r="U459" s="55"/>
    </row>
    <row r="460" spans="1:21" ht="18.75" hidden="1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212">
        <f>J462+J464</f>
        <v>0</v>
      </c>
      <c r="K460" s="55"/>
      <c r="L460" s="62"/>
      <c r="M460" s="55"/>
      <c r="N460" s="55"/>
      <c r="O460" s="55"/>
      <c r="P460" s="55"/>
      <c r="Q460" s="55"/>
      <c r="R460" s="55"/>
      <c r="S460" s="55"/>
      <c r="T460" s="55"/>
      <c r="U460" s="55"/>
    </row>
    <row r="461" spans="1:21" ht="18.75" hidden="1">
      <c r="A461" s="238"/>
      <c r="B461" s="188"/>
      <c r="C461" s="188"/>
      <c r="D461" s="371" t="s">
        <v>181</v>
      </c>
      <c r="E461" s="188"/>
      <c r="F461" s="188"/>
      <c r="G461" s="208"/>
      <c r="H461" s="161" t="s">
        <v>46</v>
      </c>
      <c r="I461" s="54"/>
      <c r="J461" s="54"/>
      <c r="K461" s="55"/>
      <c r="L461" s="62"/>
      <c r="M461" s="55"/>
      <c r="N461" s="55"/>
      <c r="O461" s="55"/>
      <c r="P461" s="55"/>
      <c r="Q461" s="55"/>
      <c r="R461" s="55"/>
      <c r="S461" s="55"/>
      <c r="T461" s="55"/>
      <c r="U461" s="55"/>
    </row>
    <row r="462" spans="1:21" ht="18.75" hidden="1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54"/>
      <c r="K462" s="55"/>
      <c r="L462" s="62"/>
      <c r="M462" s="55"/>
      <c r="N462" s="55"/>
      <c r="O462" s="55"/>
      <c r="P462" s="55"/>
      <c r="Q462" s="55"/>
      <c r="R462" s="55"/>
      <c r="S462" s="55"/>
      <c r="T462" s="55"/>
      <c r="U462" s="55"/>
    </row>
    <row r="463" spans="1:21" ht="18.75" hidden="1">
      <c r="A463" s="238"/>
      <c r="B463" s="188"/>
      <c r="C463" s="188"/>
      <c r="D463" s="371" t="s">
        <v>182</v>
      </c>
      <c r="E463" s="188"/>
      <c r="F463" s="188"/>
      <c r="G463" s="208"/>
      <c r="H463" s="161" t="s">
        <v>46</v>
      </c>
      <c r="I463" s="54"/>
      <c r="J463" s="54"/>
      <c r="K463" s="55"/>
      <c r="L463" s="62"/>
      <c r="M463" s="55"/>
      <c r="N463" s="55"/>
      <c r="O463" s="55"/>
      <c r="P463" s="55"/>
      <c r="Q463" s="55"/>
      <c r="R463" s="55"/>
      <c r="S463" s="55"/>
      <c r="T463" s="55"/>
      <c r="U463" s="55"/>
    </row>
    <row r="464" spans="1:21" ht="18.75" hidden="1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54"/>
      <c r="K464" s="55"/>
      <c r="L464" s="62"/>
      <c r="M464" s="55"/>
      <c r="N464" s="55"/>
      <c r="O464" s="55"/>
      <c r="P464" s="55"/>
      <c r="Q464" s="55"/>
      <c r="R464" s="55"/>
      <c r="S464" s="55"/>
      <c r="T464" s="55"/>
      <c r="U464" s="55"/>
    </row>
    <row r="465" spans="1:21" ht="18.75" hidden="1">
      <c r="A465" s="238"/>
      <c r="B465" s="188"/>
      <c r="C465" s="188"/>
      <c r="D465" s="371" t="s">
        <v>183</v>
      </c>
      <c r="E465" s="188"/>
      <c r="F465" s="188"/>
      <c r="G465" s="208"/>
      <c r="H465" s="161" t="s">
        <v>46</v>
      </c>
      <c r="I465" s="54"/>
      <c r="J465" s="54"/>
      <c r="K465" s="55"/>
      <c r="L465" s="62"/>
      <c r="M465" s="55"/>
      <c r="N465" s="55"/>
      <c r="O465" s="55"/>
      <c r="P465" s="55"/>
      <c r="Q465" s="55"/>
      <c r="R465" s="55"/>
      <c r="S465" s="55"/>
      <c r="T465" s="55"/>
      <c r="U465" s="55"/>
    </row>
    <row r="466" spans="1:21" ht="18.75" hidden="1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54"/>
      <c r="K466" s="55"/>
      <c r="L466" s="62"/>
      <c r="M466" s="55"/>
      <c r="N466" s="55"/>
      <c r="O466" s="55"/>
      <c r="P466" s="55"/>
      <c r="Q466" s="55"/>
      <c r="R466" s="55"/>
      <c r="S466" s="55"/>
      <c r="T466" s="55"/>
      <c r="U466" s="55"/>
    </row>
    <row r="467" spans="1:21" ht="18.75" hidden="1">
      <c r="A467" s="238"/>
      <c r="B467" s="188"/>
      <c r="C467" s="371" t="s">
        <v>184</v>
      </c>
      <c r="D467" s="188"/>
      <c r="E467" s="188"/>
      <c r="F467" s="188"/>
      <c r="G467" s="208"/>
      <c r="H467" s="161" t="s">
        <v>46</v>
      </c>
      <c r="I467" s="54"/>
      <c r="J467" s="212">
        <f>J469+J471</f>
        <v>0</v>
      </c>
      <c r="K467" s="55"/>
      <c r="L467" s="62"/>
      <c r="M467" s="55"/>
      <c r="N467" s="55"/>
      <c r="O467" s="55"/>
      <c r="P467" s="55"/>
      <c r="Q467" s="55"/>
      <c r="R467" s="55"/>
      <c r="S467" s="55"/>
      <c r="T467" s="55"/>
      <c r="U467" s="55"/>
    </row>
    <row r="468" spans="1:21" ht="18.75" hidden="1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212">
        <f>J470+J472</f>
        <v>0</v>
      </c>
      <c r="K468" s="55"/>
      <c r="L468" s="62"/>
      <c r="M468" s="55"/>
      <c r="N468" s="55"/>
      <c r="O468" s="55"/>
      <c r="P468" s="55"/>
      <c r="Q468" s="55"/>
      <c r="R468" s="55"/>
      <c r="S468" s="55"/>
      <c r="T468" s="55"/>
      <c r="U468" s="55"/>
    </row>
    <row r="469" spans="1:21" ht="18.75" hidden="1">
      <c r="A469" s="238"/>
      <c r="B469" s="188"/>
      <c r="C469" s="188"/>
      <c r="D469" s="371" t="s">
        <v>185</v>
      </c>
      <c r="E469" s="188"/>
      <c r="F469" s="188"/>
      <c r="G469" s="208"/>
      <c r="H469" s="161" t="s">
        <v>46</v>
      </c>
      <c r="I469" s="54"/>
      <c r="J469" s="54"/>
      <c r="K469" s="55"/>
      <c r="L469" s="62"/>
      <c r="M469" s="55"/>
      <c r="N469" s="55"/>
      <c r="O469" s="55"/>
      <c r="P469" s="55"/>
      <c r="Q469" s="55"/>
      <c r="R469" s="55"/>
      <c r="S469" s="55"/>
      <c r="T469" s="55"/>
      <c r="U469" s="55"/>
    </row>
    <row r="470" spans="1:21" ht="18.75" hidden="1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54"/>
      <c r="K470" s="55"/>
      <c r="L470" s="62"/>
      <c r="M470" s="55"/>
      <c r="N470" s="55"/>
      <c r="O470" s="55"/>
      <c r="P470" s="55"/>
      <c r="Q470" s="55"/>
      <c r="R470" s="55"/>
      <c r="S470" s="55"/>
      <c r="T470" s="55"/>
      <c r="U470" s="55"/>
    </row>
    <row r="471" spans="1:21" ht="18.75" hidden="1">
      <c r="A471" s="238"/>
      <c r="B471" s="188"/>
      <c r="C471" s="188"/>
      <c r="D471" s="371" t="s">
        <v>186</v>
      </c>
      <c r="E471" s="188"/>
      <c r="F471" s="188"/>
      <c r="G471" s="208"/>
      <c r="H471" s="161" t="s">
        <v>46</v>
      </c>
      <c r="I471" s="54"/>
      <c r="J471" s="54"/>
      <c r="K471" s="55"/>
      <c r="L471" s="62"/>
      <c r="M471" s="55"/>
      <c r="N471" s="55"/>
      <c r="O471" s="55"/>
      <c r="P471" s="55"/>
      <c r="Q471" s="55"/>
      <c r="R471" s="55"/>
      <c r="S471" s="55"/>
      <c r="T471" s="55"/>
      <c r="U471" s="55"/>
    </row>
    <row r="472" spans="1:21" ht="18.75" hidden="1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54"/>
      <c r="K472" s="55"/>
      <c r="L472" s="62"/>
      <c r="M472" s="55"/>
      <c r="N472" s="55"/>
      <c r="O472" s="55"/>
      <c r="P472" s="55"/>
      <c r="Q472" s="55"/>
      <c r="R472" s="55"/>
      <c r="S472" s="55"/>
      <c r="T472" s="55"/>
      <c r="U472" s="55"/>
    </row>
    <row r="473" spans="1:21" ht="18.75" hidden="1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54"/>
      <c r="K473" s="55"/>
      <c r="L473" s="62"/>
      <c r="M473" s="55"/>
      <c r="N473" s="55"/>
      <c r="O473" s="55"/>
      <c r="P473" s="55"/>
      <c r="Q473" s="55"/>
      <c r="R473" s="55"/>
      <c r="S473" s="55"/>
      <c r="T473" s="55"/>
      <c r="U473" s="55"/>
    </row>
    <row r="474" spans="1:21" ht="18.75" hidden="1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54"/>
      <c r="K474" s="55"/>
      <c r="L474" s="62"/>
      <c r="M474" s="55"/>
      <c r="N474" s="55"/>
      <c r="O474" s="55"/>
      <c r="P474" s="55"/>
      <c r="Q474" s="55"/>
      <c r="R474" s="55"/>
      <c r="S474" s="55"/>
      <c r="T474" s="55"/>
      <c r="U474" s="55"/>
    </row>
    <row r="475" spans="1:21" ht="19.5" hidden="1">
      <c r="A475" s="238"/>
      <c r="B475" s="372" t="s">
        <v>188</v>
      </c>
      <c r="C475" s="188"/>
      <c r="D475" s="188"/>
      <c r="E475" s="188"/>
      <c r="F475" s="188"/>
      <c r="G475" s="208"/>
      <c r="H475" s="158" t="s">
        <v>46</v>
      </c>
      <c r="I475" s="373">
        <v>0</v>
      </c>
      <c r="J475" s="373">
        <f>J478+J480</f>
        <v>0</v>
      </c>
      <c r="K475" s="540">
        <f>IF(I475&gt;0,J475*100/I475,0)</f>
        <v>0</v>
      </c>
      <c r="L475" s="62"/>
      <c r="M475" s="55"/>
      <c r="N475" s="55"/>
      <c r="O475" s="55"/>
      <c r="P475" s="55"/>
      <c r="Q475" s="55"/>
      <c r="R475" s="55"/>
      <c r="S475" s="55"/>
      <c r="T475" s="55"/>
      <c r="U475" s="55"/>
    </row>
    <row r="476" spans="1:21" ht="19.5" hidden="1">
      <c r="A476" s="238"/>
      <c r="B476" s="188"/>
      <c r="C476" s="191" t="s">
        <v>189</v>
      </c>
      <c r="D476" s="188"/>
      <c r="E476" s="188"/>
      <c r="F476" s="188"/>
      <c r="G476" s="208"/>
      <c r="H476" s="158" t="s">
        <v>46</v>
      </c>
      <c r="I476" s="373">
        <v>0</v>
      </c>
      <c r="J476" s="373">
        <f>J478+J480</f>
        <v>0</v>
      </c>
      <c r="K476" s="540">
        <f>IF(I476&gt;0,J476*100/I476,0)</f>
        <v>0</v>
      </c>
      <c r="L476" s="62"/>
      <c r="M476" s="55"/>
      <c r="N476" s="55"/>
      <c r="O476" s="55"/>
      <c r="P476" s="55"/>
      <c r="Q476" s="55"/>
      <c r="R476" s="55"/>
      <c r="S476" s="55"/>
      <c r="T476" s="55"/>
      <c r="U476" s="55"/>
    </row>
    <row r="477" spans="1:21" ht="19.5" hidden="1">
      <c r="A477" s="238"/>
      <c r="B477" s="188"/>
      <c r="C477" s="239" t="s">
        <v>190</v>
      </c>
      <c r="D477" s="188"/>
      <c r="E477" s="188"/>
      <c r="F477" s="188"/>
      <c r="G477" s="208"/>
      <c r="H477" s="158" t="s">
        <v>34</v>
      </c>
      <c r="I477" s="373">
        <v>0</v>
      </c>
      <c r="J477" s="373">
        <f>J479+J481</f>
        <v>0</v>
      </c>
      <c r="K477" s="540">
        <f>IF(I477&gt;0,J477*100/I477,0)</f>
        <v>0</v>
      </c>
      <c r="L477" s="62"/>
      <c r="M477" s="55"/>
      <c r="N477" s="55"/>
      <c r="O477" s="55"/>
      <c r="P477" s="55"/>
      <c r="Q477" s="55"/>
      <c r="R477" s="55"/>
      <c r="S477" s="55"/>
      <c r="T477" s="55"/>
      <c r="U477" s="55"/>
    </row>
    <row r="478" spans="1:21" ht="18.75" hidden="1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54"/>
      <c r="K478" s="55"/>
      <c r="L478" s="62"/>
      <c r="M478" s="55"/>
      <c r="N478" s="55"/>
      <c r="O478" s="55"/>
      <c r="P478" s="55"/>
      <c r="Q478" s="55"/>
      <c r="R478" s="55"/>
      <c r="S478" s="55"/>
      <c r="T478" s="55"/>
      <c r="U478" s="55"/>
    </row>
    <row r="479" spans="1:21" ht="18.75" hidden="1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54"/>
      <c r="K479" s="55"/>
      <c r="L479" s="62"/>
      <c r="M479" s="55"/>
      <c r="N479" s="55"/>
      <c r="O479" s="55"/>
      <c r="P479" s="55"/>
      <c r="Q479" s="55"/>
      <c r="R479" s="55"/>
      <c r="S479" s="55"/>
      <c r="T479" s="55"/>
      <c r="U479" s="55"/>
    </row>
    <row r="480" spans="1:21" ht="18.75" hidden="1">
      <c r="A480" s="238"/>
      <c r="B480" s="188"/>
      <c r="C480" s="188"/>
      <c r="D480" s="371" t="s">
        <v>192</v>
      </c>
      <c r="E480" s="188"/>
      <c r="F480" s="188"/>
      <c r="G480" s="208"/>
      <c r="H480" s="161" t="s">
        <v>46</v>
      </c>
      <c r="I480" s="54"/>
      <c r="J480" s="54"/>
      <c r="K480" s="55"/>
      <c r="L480" s="62"/>
      <c r="M480" s="55"/>
      <c r="N480" s="55"/>
      <c r="O480" s="55"/>
      <c r="P480" s="55"/>
      <c r="Q480" s="55"/>
      <c r="R480" s="55"/>
      <c r="S480" s="55"/>
      <c r="T480" s="55"/>
      <c r="U480" s="55"/>
    </row>
    <row r="481" spans="1:21" ht="18.75" hidden="1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54"/>
      <c r="K481" s="55"/>
      <c r="L481" s="62"/>
      <c r="M481" s="55"/>
      <c r="N481" s="55"/>
      <c r="O481" s="55"/>
      <c r="P481" s="55"/>
      <c r="Q481" s="55"/>
      <c r="R481" s="55"/>
      <c r="S481" s="55"/>
      <c r="T481" s="55"/>
      <c r="U481" s="55"/>
    </row>
    <row r="482" spans="1:21" ht="18.75" hidden="1">
      <c r="A482" s="238"/>
      <c r="B482" s="188"/>
      <c r="C482" s="188"/>
      <c r="D482" s="371" t="s">
        <v>193</v>
      </c>
      <c r="E482" s="188"/>
      <c r="F482" s="188"/>
      <c r="G482" s="208"/>
      <c r="H482" s="161" t="s">
        <v>46</v>
      </c>
      <c r="I482" s="54"/>
      <c r="J482" s="212">
        <f ca="1">IFERROR(__xludf.DUMMYFUNCTION("IMPORTRANGE(""https://docs.google.com/spreadsheets/d/1eHaY18a8A9IcSdp1K8H6x8fbOy06t2VsZHhMHf-1x7Y/edit?usp=sharing"",""แผน!HN37"")"),0)</f>
        <v>0</v>
      </c>
      <c r="K482" s="55"/>
      <c r="L482" s="62"/>
      <c r="M482" s="55"/>
      <c r="N482" s="55"/>
      <c r="O482" s="55"/>
      <c r="P482" s="55"/>
      <c r="Q482" s="55"/>
      <c r="R482" s="55"/>
      <c r="S482" s="55"/>
      <c r="T482" s="55"/>
      <c r="U482" s="55"/>
    </row>
    <row r="483" spans="1:21" ht="18.75" hidden="1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212">
        <f ca="1">IFERROR(__xludf.DUMMYFUNCTION("IMPORTRANGE(""https://docs.google.com/spreadsheets/d/1eHaY18a8A9IcSdp1K8H6x8fbOy06t2VsZHhMHf-1x7Y/edit?usp=sharing"",""แผน!HO37"")"),0)</f>
        <v>0</v>
      </c>
      <c r="K483" s="55"/>
      <c r="L483" s="62"/>
      <c r="M483" s="55"/>
      <c r="N483" s="55"/>
      <c r="O483" s="55"/>
      <c r="P483" s="55"/>
      <c r="Q483" s="55"/>
      <c r="R483" s="55"/>
      <c r="S483" s="55"/>
      <c r="T483" s="55"/>
      <c r="U483" s="55"/>
    </row>
    <row r="484" spans="1:21" ht="19.5" hidden="1">
      <c r="A484" s="238"/>
      <c r="B484" s="188"/>
      <c r="C484" s="191" t="s">
        <v>194</v>
      </c>
      <c r="D484" s="188"/>
      <c r="E484" s="188"/>
      <c r="F484" s="188"/>
      <c r="G484" s="208"/>
      <c r="H484" s="158" t="s">
        <v>46</v>
      </c>
      <c r="I484" s="54">
        <f>J480</f>
        <v>0</v>
      </c>
      <c r="J484" s="373">
        <f>J486+J488+J490</f>
        <v>0</v>
      </c>
      <c r="K484" s="540">
        <f>IF(I484&gt;0,J484*100/I484,0)</f>
        <v>0</v>
      </c>
      <c r="L484" s="62"/>
      <c r="M484" s="55"/>
      <c r="N484" s="55"/>
      <c r="O484" s="55"/>
      <c r="P484" s="55"/>
      <c r="Q484" s="55"/>
      <c r="R484" s="55"/>
      <c r="S484" s="55"/>
      <c r="T484" s="55"/>
      <c r="U484" s="55"/>
    </row>
    <row r="485" spans="1:21" ht="19.5" hidden="1">
      <c r="A485" s="238"/>
      <c r="B485" s="188"/>
      <c r="C485" s="239" t="s">
        <v>195</v>
      </c>
      <c r="D485" s="188"/>
      <c r="E485" s="188"/>
      <c r="F485" s="188"/>
      <c r="G485" s="208"/>
      <c r="H485" s="158" t="s">
        <v>34</v>
      </c>
      <c r="I485" s="54">
        <f>J481</f>
        <v>0</v>
      </c>
      <c r="J485" s="373">
        <f>J487+J489+J491</f>
        <v>0</v>
      </c>
      <c r="K485" s="540">
        <f>IF(I485&gt;0,J485*100/I485,0)</f>
        <v>0</v>
      </c>
      <c r="L485" s="62"/>
      <c r="M485" s="55"/>
      <c r="N485" s="55"/>
      <c r="O485" s="55"/>
      <c r="P485" s="55"/>
      <c r="Q485" s="55"/>
      <c r="R485" s="55"/>
      <c r="S485" s="55"/>
      <c r="T485" s="55"/>
      <c r="U485" s="55"/>
    </row>
    <row r="486" spans="1:21" ht="18.75" hidden="1">
      <c r="A486" s="238"/>
      <c r="B486" s="188"/>
      <c r="C486" s="188"/>
      <c r="D486" s="371" t="s">
        <v>196</v>
      </c>
      <c r="E486" s="188"/>
      <c r="F486" s="188"/>
      <c r="G486" s="208"/>
      <c r="H486" s="161" t="s">
        <v>46</v>
      </c>
      <c r="I486" s="54"/>
      <c r="J486" s="54"/>
      <c r="K486" s="55"/>
      <c r="L486" s="62"/>
      <c r="M486" s="55"/>
      <c r="N486" s="55"/>
      <c r="O486" s="55"/>
      <c r="P486" s="55"/>
      <c r="Q486" s="55"/>
      <c r="R486" s="55"/>
      <c r="S486" s="55"/>
      <c r="T486" s="55"/>
      <c r="U486" s="55"/>
    </row>
    <row r="487" spans="1:21" ht="18.75" hidden="1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54"/>
      <c r="K487" s="55"/>
      <c r="L487" s="62"/>
      <c r="M487" s="55"/>
      <c r="N487" s="55"/>
      <c r="O487" s="55"/>
      <c r="P487" s="55"/>
      <c r="Q487" s="55"/>
      <c r="R487" s="55"/>
      <c r="S487" s="55"/>
      <c r="T487" s="55"/>
      <c r="U487" s="55"/>
    </row>
    <row r="488" spans="1:21" ht="18.75" hidden="1">
      <c r="A488" s="238"/>
      <c r="B488" s="188"/>
      <c r="C488" s="188"/>
      <c r="D488" s="371" t="s">
        <v>197</v>
      </c>
      <c r="E488" s="188"/>
      <c r="F488" s="188"/>
      <c r="G488" s="208"/>
      <c r="H488" s="161" t="s">
        <v>46</v>
      </c>
      <c r="I488" s="54"/>
      <c r="J488" s="54"/>
      <c r="K488" s="55"/>
      <c r="L488" s="62"/>
      <c r="M488" s="55"/>
      <c r="N488" s="55"/>
      <c r="O488" s="55"/>
      <c r="P488" s="55"/>
      <c r="Q488" s="55"/>
      <c r="R488" s="55"/>
      <c r="S488" s="55"/>
      <c r="T488" s="55"/>
      <c r="U488" s="55"/>
    </row>
    <row r="489" spans="1:21" ht="18.75" hidden="1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54"/>
      <c r="K489" s="55"/>
      <c r="L489" s="62"/>
      <c r="M489" s="55"/>
      <c r="N489" s="55"/>
      <c r="O489" s="55"/>
      <c r="P489" s="55"/>
      <c r="Q489" s="55"/>
      <c r="R489" s="55"/>
      <c r="S489" s="55"/>
      <c r="T489" s="55"/>
      <c r="U489" s="55"/>
    </row>
    <row r="490" spans="1:21" ht="18.75" hidden="1">
      <c r="A490" s="238"/>
      <c r="B490" s="188"/>
      <c r="C490" s="188"/>
      <c r="D490" s="371" t="s">
        <v>198</v>
      </c>
      <c r="E490" s="188"/>
      <c r="F490" s="188"/>
      <c r="G490" s="208"/>
      <c r="H490" s="161" t="s">
        <v>46</v>
      </c>
      <c r="I490" s="54"/>
      <c r="J490" s="54"/>
      <c r="K490" s="55"/>
      <c r="L490" s="62"/>
      <c r="M490" s="55"/>
      <c r="N490" s="55"/>
      <c r="O490" s="55"/>
      <c r="P490" s="55"/>
      <c r="Q490" s="55"/>
      <c r="R490" s="55"/>
      <c r="S490" s="55"/>
      <c r="T490" s="55"/>
      <c r="U490" s="55"/>
    </row>
    <row r="491" spans="1:21" ht="18.75" hidden="1">
      <c r="A491" s="374"/>
      <c r="B491" s="5"/>
      <c r="C491" s="5"/>
      <c r="D491" s="5"/>
      <c r="E491" s="5"/>
      <c r="F491" s="5"/>
      <c r="G491" s="375"/>
      <c r="H491" s="376" t="s">
        <v>34</v>
      </c>
      <c r="I491" s="67"/>
      <c r="J491" s="67"/>
      <c r="K491" s="6"/>
      <c r="L491" s="68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 hidden="1">
      <c r="A492" s="335"/>
      <c r="B492" s="354" t="s">
        <v>199</v>
      </c>
      <c r="C492" s="337"/>
      <c r="D492" s="337"/>
      <c r="E492" s="328"/>
      <c r="F492" s="328"/>
      <c r="G492" s="329"/>
      <c r="H492" s="366" t="s">
        <v>35</v>
      </c>
      <c r="I492" s="605">
        <f ca="1">I503</f>
        <v>0</v>
      </c>
      <c r="J492" s="605">
        <f ca="1">J503</f>
        <v>0</v>
      </c>
      <c r="K492" s="604">
        <f ca="1">IF(I492&gt;0,J492*100/I492,0)</f>
        <v>0</v>
      </c>
      <c r="L492" s="334"/>
      <c r="M492" s="333"/>
      <c r="N492" s="333"/>
      <c r="O492" s="333"/>
      <c r="P492" s="333"/>
      <c r="Q492" s="333"/>
      <c r="R492" s="333"/>
      <c r="S492" s="333"/>
      <c r="T492" s="333"/>
      <c r="U492" s="333"/>
    </row>
    <row r="493" spans="1:21" ht="19.5" hidden="1">
      <c r="A493" s="155"/>
      <c r="B493" s="188"/>
      <c r="C493" s="205" t="s">
        <v>18</v>
      </c>
      <c r="D493" s="603" t="s">
        <v>19</v>
      </c>
      <c r="E493" s="514"/>
      <c r="F493" s="514"/>
      <c r="G493" s="52"/>
      <c r="H493" s="252" t="s">
        <v>14</v>
      </c>
      <c r="I493" s="54"/>
      <c r="J493" s="54"/>
      <c r="K493" s="55"/>
      <c r="L493" s="541">
        <f>L494+L495</f>
        <v>0</v>
      </c>
      <c r="M493" s="540">
        <f>M494+M495</f>
        <v>0</v>
      </c>
      <c r="N493" s="540">
        <f>N494+N495</f>
        <v>0</v>
      </c>
      <c r="O493" s="540">
        <f>IF(L493&gt;0,N493*100/L493,0)</f>
        <v>0</v>
      </c>
      <c r="P493" s="540">
        <f>IF(M493&gt;0,N493*100/M493,0)</f>
        <v>0</v>
      </c>
      <c r="Q493" s="540">
        <f ca="1">Q494+Q495</f>
        <v>0</v>
      </c>
      <c r="R493" s="540">
        <f ca="1">R494+R495</f>
        <v>0</v>
      </c>
      <c r="S493" s="540">
        <f ca="1">S494+S495</f>
        <v>0</v>
      </c>
      <c r="T493" s="540">
        <f ca="1">IF(Q493&gt;0,S493*100/Q493,0)</f>
        <v>0</v>
      </c>
      <c r="U493" s="540">
        <f ca="1">IF(R493&gt;0,S493*100/R493,0)</f>
        <v>0</v>
      </c>
    </row>
    <row r="494" spans="1:21" ht="18.75" hidden="1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103">
        <f>L497+L500</f>
        <v>0</v>
      </c>
      <c r="M494" s="102">
        <f>M497+M500</f>
        <v>0</v>
      </c>
      <c r="N494" s="102">
        <f>N497+N500</f>
        <v>0</v>
      </c>
      <c r="O494" s="102">
        <f>IF(L494&gt;0,N494*100/L494,0)</f>
        <v>0</v>
      </c>
      <c r="P494" s="102">
        <f>IF(M494&gt;0,N494*100/M494,0)</f>
        <v>0</v>
      </c>
      <c r="Q494" s="102">
        <f>Q497+Q500</f>
        <v>0</v>
      </c>
      <c r="R494" s="102">
        <f>R497+R500</f>
        <v>0</v>
      </c>
      <c r="S494" s="102">
        <f>S497+S500</f>
        <v>0</v>
      </c>
      <c r="T494" s="102">
        <f>IF(Q494&gt;0,S494*100/Q494,0)</f>
        <v>0</v>
      </c>
      <c r="U494" s="102">
        <f>IF(R494&gt;0,S494*100/R494,0)</f>
        <v>0</v>
      </c>
    </row>
    <row r="495" spans="1:21" ht="18.75" hidden="1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256">
        <f>L498+L501</f>
        <v>0</v>
      </c>
      <c r="M495" s="255">
        <f>M498+M501</f>
        <v>0</v>
      </c>
      <c r="N495" s="255">
        <f>N498+N501</f>
        <v>0</v>
      </c>
      <c r="O495" s="255">
        <f>IF(L495&gt;0,N495*100/L495,0)</f>
        <v>0</v>
      </c>
      <c r="P495" s="255">
        <f>IF(M495&gt;0,N495*100/M495,0)</f>
        <v>0</v>
      </c>
      <c r="Q495" s="255">
        <f ca="1">Q498+Q501</f>
        <v>0</v>
      </c>
      <c r="R495" s="255">
        <f ca="1">R498+R501</f>
        <v>0</v>
      </c>
      <c r="S495" s="255">
        <f ca="1">S498+S501</f>
        <v>0</v>
      </c>
      <c r="T495" s="255">
        <f ca="1">IF(Q495&gt;0,S495*100/Q495,0)</f>
        <v>0</v>
      </c>
      <c r="U495" s="255">
        <f ca="1">IF(R495&gt;0,S495*100/R495,0)</f>
        <v>0</v>
      </c>
    </row>
    <row r="496" spans="1:21" ht="18.75" hidden="1">
      <c r="A496" s="155"/>
      <c r="B496" s="188"/>
      <c r="C496" s="188"/>
      <c r="D496" s="602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256">
        <f>L497+L498</f>
        <v>0</v>
      </c>
      <c r="M496" s="255">
        <f>M497+M498</f>
        <v>0</v>
      </c>
      <c r="N496" s="255">
        <f>N497+N498</f>
        <v>0</v>
      </c>
      <c r="O496" s="255">
        <f>IF(L496&gt;0,N496*100/L496,0)</f>
        <v>0</v>
      </c>
      <c r="P496" s="255">
        <f>IF(M496&gt;0,N496*100/M496,0)</f>
        <v>0</v>
      </c>
      <c r="Q496" s="255">
        <f ca="1">Q497+Q498</f>
        <v>0</v>
      </c>
      <c r="R496" s="255">
        <f ca="1">R497+R498</f>
        <v>0</v>
      </c>
      <c r="S496" s="255">
        <f ca="1">S497+S498</f>
        <v>0</v>
      </c>
      <c r="T496" s="255">
        <f ca="1">IF(Q496&gt;0,S496*100/Q496,0)</f>
        <v>0</v>
      </c>
      <c r="U496" s="255">
        <f ca="1">IF(R496&gt;0,S496*100/R496,0)</f>
        <v>0</v>
      </c>
    </row>
    <row r="497" spans="1:21" ht="18.75" hidden="1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103">
        <v>0</v>
      </c>
      <c r="M497" s="102">
        <v>0</v>
      </c>
      <c r="N497" s="102">
        <v>0</v>
      </c>
      <c r="O497" s="102">
        <f>IF(L497&gt;0,N497*100/L497,0)</f>
        <v>0</v>
      </c>
      <c r="P497" s="102">
        <f>IF(M497&gt;0,N497*100/M497,0)</f>
        <v>0</v>
      </c>
      <c r="Q497" s="102">
        <v>0</v>
      </c>
      <c r="R497" s="102">
        <v>0</v>
      </c>
      <c r="S497" s="102">
        <v>0</v>
      </c>
      <c r="T497" s="102">
        <f>IF(Q497&gt;0,S497*100/Q497,0)</f>
        <v>0</v>
      </c>
      <c r="U497" s="102">
        <f>IF(R497&gt;0,S497*100/R497,0)</f>
        <v>0</v>
      </c>
    </row>
    <row r="498" spans="1:21" ht="18.75" hidden="1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256">
        <v>0</v>
      </c>
      <c r="M498" s="255">
        <v>0</v>
      </c>
      <c r="N498" s="255">
        <v>0</v>
      </c>
      <c r="O498" s="255">
        <f>IF(L498&gt;0,N498*100/L498,0)</f>
        <v>0</v>
      </c>
      <c r="P498" s="255">
        <f>IF(M498&gt;0,N498*100/M498,0)</f>
        <v>0</v>
      </c>
      <c r="Q498" s="255">
        <f ca="1">IFERROR(__xludf.DUMMYFUNCTION("IMPORTRANGE(""https://docs.google.com/spreadsheets/d/1ItG2mGa2ceCfYo0BwxsXqNm01IGEUdYcSSLTEv9YCik/edit?usp=sharing"",""เบิกจ่ายกองทุน!X37"")"),0)</f>
        <v>0</v>
      </c>
      <c r="R498" s="255">
        <f ca="1">IFERROR(__xludf.DUMMYFUNCTION("IMPORTRANGE(""https://docs.google.com/spreadsheets/d/1ItG2mGa2ceCfYo0BwxsXqNm01IGEUdYcSSLTEv9YCik/edit?usp=sharing"",""เบิกจ่ายกองทุน!Y37"")"),0)</f>
        <v>0</v>
      </c>
      <c r="S498" s="255">
        <f ca="1">IFERROR(__xludf.DUMMYFUNCTION("IMPORTRANGE(""https://docs.google.com/spreadsheets/d/1ItG2mGa2ceCfYo0BwxsXqNm01IGEUdYcSSLTEv9YCik/edit?usp=sharing"",""เบิกจ่ายกองทุน!Z37"")"),0)</f>
        <v>0</v>
      </c>
      <c r="T498" s="255">
        <f ca="1">IF(Q498&gt;0,S498*100/Q498,0)</f>
        <v>0</v>
      </c>
      <c r="U498" s="255">
        <f ca="1">IF(R498&gt;0,S498*100/R498,0)</f>
        <v>0</v>
      </c>
    </row>
    <row r="499" spans="1:21" ht="18.75" hidden="1">
      <c r="A499" s="155"/>
      <c r="B499" s="188"/>
      <c r="C499" s="188"/>
      <c r="D499" s="602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256">
        <f>L500+L501</f>
        <v>0</v>
      </c>
      <c r="M499" s="255">
        <f>M500+M501</f>
        <v>0</v>
      </c>
      <c r="N499" s="255">
        <f>N500+N501</f>
        <v>0</v>
      </c>
      <c r="O499" s="255">
        <f>IF(L499&gt;0,N499*100/L499,0)</f>
        <v>0</v>
      </c>
      <c r="P499" s="255">
        <f>IF(M499&gt;0,N499*100/M499,0)</f>
        <v>0</v>
      </c>
      <c r="Q499" s="255">
        <f>Q500+Q501</f>
        <v>0</v>
      </c>
      <c r="R499" s="255">
        <f>R500+R501</f>
        <v>0</v>
      </c>
      <c r="S499" s="255">
        <f>S500+S501</f>
        <v>0</v>
      </c>
      <c r="T499" s="255">
        <f>IF(Q499&gt;0,S499*100/Q499,0)</f>
        <v>0</v>
      </c>
      <c r="U499" s="255">
        <f>IF(R499&gt;0,S499*100/R499,0)</f>
        <v>0</v>
      </c>
    </row>
    <row r="500" spans="1:21" ht="18.75" hidden="1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103">
        <v>0</v>
      </c>
      <c r="M500" s="102">
        <v>0</v>
      </c>
      <c r="N500" s="102">
        <v>0</v>
      </c>
      <c r="O500" s="102">
        <f>IF(L500&gt;0,N500*100/L500,0)</f>
        <v>0</v>
      </c>
      <c r="P500" s="102">
        <f>IF(M500&gt;0,N500*100/M500,0)</f>
        <v>0</v>
      </c>
      <c r="Q500" s="102">
        <v>0</v>
      </c>
      <c r="R500" s="102">
        <v>0</v>
      </c>
      <c r="S500" s="102">
        <v>0</v>
      </c>
      <c r="T500" s="102">
        <f>IF(Q500&gt;0,S500*100/Q500,0)</f>
        <v>0</v>
      </c>
      <c r="U500" s="102">
        <f>IF(R500&gt;0,S500*100/R500,0)</f>
        <v>0</v>
      </c>
    </row>
    <row r="501" spans="1:21" ht="18.75" hidden="1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256">
        <v>0</v>
      </c>
      <c r="M501" s="255">
        <v>0</v>
      </c>
      <c r="N501" s="255">
        <v>0</v>
      </c>
      <c r="O501" s="255">
        <f>IF(L501&gt;0,N501*100/L501,0)</f>
        <v>0</v>
      </c>
      <c r="P501" s="255">
        <f>IF(M501&gt;0,N501*100/M501,0)</f>
        <v>0</v>
      </c>
      <c r="Q501" s="255">
        <v>0</v>
      </c>
      <c r="R501" s="255">
        <v>0</v>
      </c>
      <c r="S501" s="255">
        <v>0</v>
      </c>
      <c r="T501" s="255">
        <f>IF(Q501&gt;0,S501*100/Q501,0)</f>
        <v>0</v>
      </c>
      <c r="U501" s="255">
        <f>IF(R501&gt;0,S501*100/R501,0)</f>
        <v>0</v>
      </c>
    </row>
    <row r="502" spans="1:21" ht="19.5" hidden="1">
      <c r="A502" s="166"/>
      <c r="B502" s="167"/>
      <c r="C502" s="205" t="s">
        <v>18</v>
      </c>
      <c r="D502" s="560" t="s">
        <v>38</v>
      </c>
      <c r="E502" s="169"/>
      <c r="F502" s="169"/>
      <c r="G502" s="170"/>
      <c r="H502" s="206"/>
      <c r="I502" s="163"/>
      <c r="J502" s="163"/>
      <c r="K502" s="164"/>
      <c r="L502" s="172"/>
      <c r="M502" s="164"/>
      <c r="N502" s="164"/>
      <c r="O502" s="164"/>
      <c r="P502" s="164"/>
      <c r="Q502" s="164"/>
      <c r="R502" s="164"/>
      <c r="S502" s="164"/>
      <c r="T502" s="164"/>
      <c r="U502" s="164"/>
    </row>
    <row r="503" spans="1:21" ht="19.5" hidden="1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373">
        <f ca="1">IFERROR(__xludf.DUMMYFUNCTION("IMPORTRANGE(""https://docs.google.com/spreadsheets/d/1eHaY18a8A9IcSdp1K8H6x8fbOy06t2VsZHhMHf-1x7Y/edit?usp=sharing"",""แผน!GX37"")"),0)</f>
        <v>0</v>
      </c>
      <c r="J503" s="373">
        <f ca="1">IF(AND(J504=I504,J505=I505,J506=I506,J507=I507),I503,0)</f>
        <v>0</v>
      </c>
      <c r="K503" s="540">
        <f ca="1">IF(I503&gt;0,J503*100/I503,0)</f>
        <v>0</v>
      </c>
      <c r="L503" s="62"/>
      <c r="M503" s="55"/>
      <c r="N503" s="55"/>
      <c r="O503" s="55"/>
      <c r="P503" s="55"/>
      <c r="Q503" s="55"/>
      <c r="R503" s="55"/>
      <c r="S503" s="55"/>
      <c r="T503" s="55"/>
      <c r="U503" s="55"/>
    </row>
    <row r="504" spans="1:21" ht="18.75" hidden="1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212">
        <f ca="1">IFERROR(__xludf.DUMMYFUNCTION("IMPORTRANGE(""https://docs.google.com/spreadsheets/d/1eHaY18a8A9IcSdp1K8H6x8fbOy06t2VsZHhMHf-1x7Y/edit?usp=sharing"",""แผน!GY37"")"),0)</f>
        <v>0</v>
      </c>
      <c r="J504" s="467">
        <v>0</v>
      </c>
      <c r="K504" s="255">
        <f ca="1">IF(I504&gt;0,J504*100/I504,0)</f>
        <v>0</v>
      </c>
      <c r="L504" s="62"/>
      <c r="M504" s="55"/>
      <c r="N504" s="55"/>
      <c r="O504" s="55"/>
      <c r="P504" s="55"/>
      <c r="Q504" s="55"/>
      <c r="R504" s="55"/>
      <c r="S504" s="55"/>
      <c r="T504" s="55"/>
      <c r="U504" s="55"/>
    </row>
    <row r="505" spans="1:21" ht="18.75" hidden="1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212">
        <f ca="1">IFERROR(__xludf.DUMMYFUNCTION("IMPORTRANGE(""https://docs.google.com/spreadsheets/d/1eHaY18a8A9IcSdp1K8H6x8fbOy06t2VsZHhMHf-1x7Y/edit?usp=sharing"",""แผน!GZ37"")"),0)</f>
        <v>0</v>
      </c>
      <c r="J505" s="467">
        <v>0</v>
      </c>
      <c r="K505" s="255">
        <f ca="1">IF(I505&gt;0,J505*100/I505,0)</f>
        <v>0</v>
      </c>
      <c r="L505" s="62"/>
      <c r="M505" s="55"/>
      <c r="N505" s="55"/>
      <c r="O505" s="55"/>
      <c r="P505" s="55"/>
      <c r="Q505" s="55"/>
      <c r="R505" s="55"/>
      <c r="S505" s="55"/>
      <c r="T505" s="55"/>
      <c r="U505" s="55"/>
    </row>
    <row r="506" spans="1:21" ht="18.75" hidden="1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212">
        <f ca="1">IFERROR(__xludf.DUMMYFUNCTION("IMPORTRANGE(""https://docs.google.com/spreadsheets/d/1eHaY18a8A9IcSdp1K8H6x8fbOy06t2VsZHhMHf-1x7Y/edit?usp=sharing"",""แผน!HA37"")"),0)</f>
        <v>0</v>
      </c>
      <c r="J506" s="467">
        <v>0</v>
      </c>
      <c r="K506" s="255">
        <f ca="1">IF(I506&gt;0,J506*100/I506,0)</f>
        <v>0</v>
      </c>
      <c r="L506" s="62"/>
      <c r="M506" s="55"/>
      <c r="N506" s="55"/>
      <c r="O506" s="55"/>
      <c r="P506" s="55"/>
      <c r="Q506" s="55"/>
      <c r="R506" s="55"/>
      <c r="S506" s="55"/>
      <c r="T506" s="55"/>
      <c r="U506" s="55"/>
    </row>
    <row r="507" spans="1:21" ht="18.75" hidden="1">
      <c r="A507" s="238"/>
      <c r="B507" s="188"/>
      <c r="C507" s="188"/>
      <c r="D507" s="188"/>
      <c r="E507" s="377" t="s">
        <v>204</v>
      </c>
      <c r="F507" s="50"/>
      <c r="G507" s="52"/>
      <c r="H507" s="161" t="s">
        <v>35</v>
      </c>
      <c r="I507" s="212">
        <f ca="1">IFERROR(__xludf.DUMMYFUNCTION("IMPORTRANGE(""https://docs.google.com/spreadsheets/d/1eHaY18a8A9IcSdp1K8H6x8fbOy06t2VsZHhMHf-1x7Y/edit?usp=sharing"",""แผน!HB37"")"),0)</f>
        <v>0</v>
      </c>
      <c r="J507" s="467">
        <v>0</v>
      </c>
      <c r="K507" s="255">
        <f ca="1">IF(I507&gt;0,J507*100/I507,0)</f>
        <v>0</v>
      </c>
      <c r="L507" s="62"/>
      <c r="M507" s="55"/>
      <c r="N507" s="55"/>
      <c r="O507" s="55"/>
      <c r="P507" s="55"/>
      <c r="Q507" s="55"/>
      <c r="R507" s="55"/>
      <c r="S507" s="55"/>
      <c r="T507" s="55"/>
      <c r="U507" s="55"/>
    </row>
    <row r="508" spans="1:21" ht="18.75" hidden="1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255">
        <f>IF(I508&gt;0,J508*100/I508,0)</f>
        <v>0</v>
      </c>
      <c r="L508" s="62"/>
      <c r="M508" s="55"/>
      <c r="N508" s="55"/>
      <c r="O508" s="55"/>
      <c r="P508" s="55"/>
      <c r="Q508" s="55"/>
      <c r="R508" s="55"/>
      <c r="S508" s="55"/>
      <c r="T508" s="55"/>
      <c r="U508" s="55"/>
    </row>
    <row r="509" spans="1:21" ht="19.5" hidden="1">
      <c r="A509" s="374"/>
      <c r="B509" s="5"/>
      <c r="C509" s="5"/>
      <c r="D509" s="378" t="s">
        <v>50</v>
      </c>
      <c r="E509" s="4"/>
      <c r="F509" s="4"/>
      <c r="G509" s="65"/>
      <c r="H509" s="376" t="s">
        <v>35</v>
      </c>
      <c r="I509" s="216">
        <f ca="1">IFERROR(__xludf.DUMMYFUNCTION("IMPORTRANGE(""https://docs.google.com/spreadsheets/d/1eHaY18a8A9IcSdp1K8H6x8fbOy06t2VsZHhMHf-1x7Y/edit?usp=sharing"",""แผน!HC37"")"),0)</f>
        <v>0</v>
      </c>
      <c r="J509" s="538">
        <v>0</v>
      </c>
      <c r="K509" s="506">
        <f ca="1">IF(I509&gt;0,J509*100/I509,0)</f>
        <v>0</v>
      </c>
      <c r="L509" s="68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 hidden="1">
      <c r="A510" s="601" t="s">
        <v>206</v>
      </c>
      <c r="B510" s="381"/>
      <c r="C510" s="381"/>
      <c r="D510" s="381"/>
      <c r="E510" s="382"/>
      <c r="F510" s="382"/>
      <c r="G510" s="382"/>
      <c r="H510" s="382"/>
      <c r="I510" s="383"/>
      <c r="J510" s="383"/>
      <c r="K510" s="384"/>
      <c r="L510" s="600"/>
      <c r="M510" s="386"/>
      <c r="N510" s="386"/>
      <c r="O510" s="386"/>
      <c r="P510" s="386"/>
      <c r="Q510" s="386"/>
      <c r="R510" s="386"/>
      <c r="S510" s="386"/>
      <c r="T510" s="386"/>
      <c r="U510" s="386"/>
    </row>
    <row r="511" spans="1:21" ht="19.5" hidden="1">
      <c r="A511" s="599" t="s">
        <v>207</v>
      </c>
      <c r="B511" s="388"/>
      <c r="C511" s="388"/>
      <c r="D511" s="389"/>
      <c r="E511" s="388"/>
      <c r="F511" s="388"/>
      <c r="G511" s="388"/>
      <c r="H511" s="390"/>
      <c r="I511" s="391"/>
      <c r="J511" s="391"/>
      <c r="K511" s="392"/>
      <c r="L511" s="598"/>
      <c r="M511" s="394"/>
      <c r="N511" s="394"/>
      <c r="O511" s="394"/>
      <c r="P511" s="394"/>
      <c r="Q511" s="394"/>
      <c r="R511" s="394"/>
      <c r="S511" s="394"/>
      <c r="T511" s="394"/>
      <c r="U511" s="394"/>
    </row>
    <row r="512" spans="1:21" ht="19.5" hidden="1">
      <c r="A512" s="395"/>
      <c r="B512" s="597" t="s">
        <v>208</v>
      </c>
      <c r="C512" s="397"/>
      <c r="D512" s="398"/>
      <c r="E512" s="398"/>
      <c r="F512" s="398"/>
      <c r="G512" s="399"/>
      <c r="H512" s="596" t="s">
        <v>61</v>
      </c>
      <c r="I512" s="595">
        <f>I524</f>
        <v>0</v>
      </c>
      <c r="J512" s="595">
        <f>J524</f>
        <v>0</v>
      </c>
      <c r="K512" s="594">
        <f>IF(I512&gt;0,J512*100/I512,0)</f>
        <v>0</v>
      </c>
      <c r="L512" s="404"/>
      <c r="M512" s="403"/>
      <c r="N512" s="403"/>
      <c r="O512" s="403"/>
      <c r="P512" s="403"/>
      <c r="Q512" s="403"/>
      <c r="R512" s="403"/>
      <c r="S512" s="403"/>
      <c r="T512" s="403"/>
      <c r="U512" s="403"/>
    </row>
    <row r="513" spans="1:21" ht="19.5" hidden="1">
      <c r="A513" s="155"/>
      <c r="B513" s="50"/>
      <c r="C513" s="591" t="s">
        <v>18</v>
      </c>
      <c r="D513" s="562" t="s">
        <v>19</v>
      </c>
      <c r="E513" s="50"/>
      <c r="F513" s="50"/>
      <c r="G513" s="52"/>
      <c r="H513" s="593" t="s">
        <v>14</v>
      </c>
      <c r="I513" s="54"/>
      <c r="J513" s="54"/>
      <c r="K513" s="55"/>
      <c r="L513" s="541">
        <f ca="1">L514+L515</f>
        <v>0</v>
      </c>
      <c r="M513" s="540">
        <f ca="1">M514+M515</f>
        <v>0</v>
      </c>
      <c r="N513" s="540">
        <f ca="1">N514+N515</f>
        <v>0</v>
      </c>
      <c r="O513" s="540">
        <f ca="1">IF(L513&gt;0,N513*100/L513,0)</f>
        <v>0</v>
      </c>
      <c r="P513" s="540">
        <f ca="1">IF(M513&gt;0,N513*100/M513,0)</f>
        <v>0</v>
      </c>
      <c r="Q513" s="540">
        <f>Q514+Q515</f>
        <v>0</v>
      </c>
      <c r="R513" s="540">
        <f>R514+R515</f>
        <v>0</v>
      </c>
      <c r="S513" s="540">
        <f>S514+S515</f>
        <v>0</v>
      </c>
      <c r="T513" s="540">
        <f>IF(Q513&gt;0,S513*100/Q513,0)</f>
        <v>0</v>
      </c>
      <c r="U513" s="540">
        <f>IF(R513&gt;0,S513*100/R513,0)</f>
        <v>0</v>
      </c>
    </row>
    <row r="514" spans="1:21" ht="18.75" hidden="1">
      <c r="A514" s="155"/>
      <c r="B514" s="50"/>
      <c r="C514" s="50"/>
      <c r="D514" s="50"/>
      <c r="E514" s="186" t="s">
        <v>20</v>
      </c>
      <c r="F514" s="50"/>
      <c r="G514" s="52"/>
      <c r="H514" s="187" t="s">
        <v>14</v>
      </c>
      <c r="I514" s="54"/>
      <c r="J514" s="54"/>
      <c r="K514" s="55"/>
      <c r="L514" s="103">
        <f>L517+L520</f>
        <v>0</v>
      </c>
      <c r="M514" s="102">
        <f>M517+M520</f>
        <v>0</v>
      </c>
      <c r="N514" s="102">
        <f>N517+N520</f>
        <v>0</v>
      </c>
      <c r="O514" s="102">
        <f>IF(L514&gt;0,N514*100/L514,0)</f>
        <v>0</v>
      </c>
      <c r="P514" s="102">
        <f>IF(M514&gt;0,N514*100/M514,0)</f>
        <v>0</v>
      </c>
      <c r="Q514" s="102">
        <f>Q517+Q520</f>
        <v>0</v>
      </c>
      <c r="R514" s="102">
        <f>R517+R520</f>
        <v>0</v>
      </c>
      <c r="S514" s="102">
        <f>S517+S520</f>
        <v>0</v>
      </c>
      <c r="T514" s="102">
        <f>IF(Q514&gt;0,S514*100/Q514,0)</f>
        <v>0</v>
      </c>
      <c r="U514" s="102">
        <f>IF(R514&gt;0,S514*100/R514,0)</f>
        <v>0</v>
      </c>
    </row>
    <row r="515" spans="1:21" ht="18.75" hidden="1">
      <c r="A515" s="155"/>
      <c r="B515" s="50"/>
      <c r="C515" s="50"/>
      <c r="D515" s="50"/>
      <c r="E515" s="186" t="s">
        <v>21</v>
      </c>
      <c r="F515" s="50"/>
      <c r="G515" s="52"/>
      <c r="H515" s="187" t="s">
        <v>14</v>
      </c>
      <c r="I515" s="54"/>
      <c r="J515" s="54"/>
      <c r="K515" s="55"/>
      <c r="L515" s="256">
        <f ca="1">L518+L521</f>
        <v>0</v>
      </c>
      <c r="M515" s="255">
        <f ca="1">M518+M521</f>
        <v>0</v>
      </c>
      <c r="N515" s="255">
        <f ca="1">N518+N521</f>
        <v>0</v>
      </c>
      <c r="O515" s="255">
        <f ca="1">IF(L515&gt;0,N515*100/L515,0)</f>
        <v>0</v>
      </c>
      <c r="P515" s="255">
        <f ca="1">IF(M515&gt;0,N515*100/M515,0)</f>
        <v>0</v>
      </c>
      <c r="Q515" s="255">
        <f>Q518+Q521</f>
        <v>0</v>
      </c>
      <c r="R515" s="255">
        <f>R518+R521</f>
        <v>0</v>
      </c>
      <c r="S515" s="255">
        <f>S518+S521</f>
        <v>0</v>
      </c>
      <c r="T515" s="255">
        <f>IF(Q515&gt;0,S515*100/Q515,0)</f>
        <v>0</v>
      </c>
      <c r="U515" s="255">
        <f>IF(R515&gt;0,S515*100/R515,0)</f>
        <v>0</v>
      </c>
    </row>
    <row r="516" spans="1:21" ht="18.75" hidden="1">
      <c r="A516" s="155"/>
      <c r="B516" s="50"/>
      <c r="C516" s="50"/>
      <c r="D516" s="592" t="s">
        <v>22</v>
      </c>
      <c r="E516" s="50"/>
      <c r="F516" s="50"/>
      <c r="G516" s="52"/>
      <c r="H516" s="189" t="s">
        <v>14</v>
      </c>
      <c r="I516" s="163"/>
      <c r="J516" s="163"/>
      <c r="K516" s="164"/>
      <c r="L516" s="256">
        <f ca="1">L517+L518</f>
        <v>0</v>
      </c>
      <c r="M516" s="255">
        <f ca="1">M517+M518</f>
        <v>0</v>
      </c>
      <c r="N516" s="255">
        <f ca="1">N517+N518</f>
        <v>0</v>
      </c>
      <c r="O516" s="255">
        <f ca="1">IF(L516&gt;0,N516*100/L516,0)</f>
        <v>0</v>
      </c>
      <c r="P516" s="255">
        <f ca="1">IF(M516&gt;0,N516*100/M516,0)</f>
        <v>0</v>
      </c>
      <c r="Q516" s="255">
        <f>Q517+Q518</f>
        <v>0</v>
      </c>
      <c r="R516" s="255">
        <f>R517+R518</f>
        <v>0</v>
      </c>
      <c r="S516" s="255">
        <f>S517+S518</f>
        <v>0</v>
      </c>
      <c r="T516" s="255">
        <f>IF(Q516&gt;0,S516*100/Q516,0)</f>
        <v>0</v>
      </c>
      <c r="U516" s="255">
        <f>IF(R516&gt;0,S516*100/R516,0)</f>
        <v>0</v>
      </c>
    </row>
    <row r="517" spans="1:21" ht="18.75" hidden="1">
      <c r="A517" s="155"/>
      <c r="B517" s="50"/>
      <c r="C517" s="50"/>
      <c r="D517" s="50"/>
      <c r="E517" s="186" t="s">
        <v>36</v>
      </c>
      <c r="F517" s="50"/>
      <c r="G517" s="52"/>
      <c r="H517" s="189" t="s">
        <v>14</v>
      </c>
      <c r="I517" s="163"/>
      <c r="J517" s="163"/>
      <c r="K517" s="164"/>
      <c r="L517" s="103">
        <v>0</v>
      </c>
      <c r="M517" s="102">
        <v>0</v>
      </c>
      <c r="N517" s="102">
        <v>0</v>
      </c>
      <c r="O517" s="102">
        <f>IF(L517&gt;0,N517*100/L517,0)</f>
        <v>0</v>
      </c>
      <c r="P517" s="102">
        <f>IF(M517&gt;0,N517*100/M517,0)</f>
        <v>0</v>
      </c>
      <c r="Q517" s="102">
        <v>0</v>
      </c>
      <c r="R517" s="102">
        <v>0</v>
      </c>
      <c r="S517" s="102">
        <v>0</v>
      </c>
      <c r="T517" s="102">
        <f>IF(Q517&gt;0,S517*100/Q517,0)</f>
        <v>0</v>
      </c>
      <c r="U517" s="102">
        <f>IF(R517&gt;0,S517*100/R517,0)</f>
        <v>0</v>
      </c>
    </row>
    <row r="518" spans="1:21" ht="18.75" hidden="1">
      <c r="A518" s="155"/>
      <c r="B518" s="50"/>
      <c r="C518" s="50"/>
      <c r="D518" s="50"/>
      <c r="E518" s="186" t="s">
        <v>37</v>
      </c>
      <c r="F518" s="50"/>
      <c r="G518" s="52"/>
      <c r="H518" s="189" t="s">
        <v>14</v>
      </c>
      <c r="I518" s="163"/>
      <c r="J518" s="163"/>
      <c r="K518" s="164"/>
      <c r="L518" s="256">
        <f ca="1">IFERROR(__xludf.DUMMYFUNCTION("IMPORTRANGE(""https://docs.google.com/spreadsheets/d/1-uDff_7J0KD5mKrp0Vvzr7lt3OU09vwQwhkpOPPYv2Y/edit?usp=sharing"",""งบพรบ!FM37"")"),0)</f>
        <v>0</v>
      </c>
      <c r="M518" s="255">
        <f ca="1">IFERROR(__xludf.DUMMYFUNCTION("IMPORTRANGE(""https://docs.google.com/spreadsheets/d/1-uDff_7J0KD5mKrp0Vvzr7lt3OU09vwQwhkpOPPYv2Y/edit?usp=sharing"",""งบพรบ!FR37"")"),0)</f>
        <v>0</v>
      </c>
      <c r="N518" s="255">
        <f ca="1">IFERROR(__xludf.DUMMYFUNCTION("IMPORTRANGE(""https://docs.google.com/spreadsheets/d/1-uDff_7J0KD5mKrp0Vvzr7lt3OU09vwQwhkpOPPYv2Y/edit?usp=sharing"",""งบพรบ!FT37"")"),0)</f>
        <v>0</v>
      </c>
      <c r="O518" s="255">
        <f ca="1">IF(L518&gt;0,N518*100/L518,0)</f>
        <v>0</v>
      </c>
      <c r="P518" s="255">
        <f ca="1">IF(M518&gt;0,N518*100/M518,0)</f>
        <v>0</v>
      </c>
      <c r="Q518" s="255">
        <v>0</v>
      </c>
      <c r="R518" s="255">
        <v>0</v>
      </c>
      <c r="S518" s="255">
        <v>0</v>
      </c>
      <c r="T518" s="255">
        <f>IF(Q518&gt;0,S518*100/Q518,0)</f>
        <v>0</v>
      </c>
      <c r="U518" s="255">
        <f>IF(R518&gt;0,S518*100/R518,0)</f>
        <v>0</v>
      </c>
    </row>
    <row r="519" spans="1:21" ht="18.75" hidden="1">
      <c r="A519" s="155"/>
      <c r="B519" s="50"/>
      <c r="C519" s="50"/>
      <c r="D519" s="592" t="s">
        <v>23</v>
      </c>
      <c r="E519" s="50"/>
      <c r="F519" s="50"/>
      <c r="G519" s="52"/>
      <c r="H519" s="421" t="s">
        <v>14</v>
      </c>
      <c r="I519" s="163"/>
      <c r="J519" s="163"/>
      <c r="K519" s="164"/>
      <c r="L519" s="256">
        <f ca="1">L520+L521</f>
        <v>0</v>
      </c>
      <c r="M519" s="255">
        <f ca="1">M520+M521</f>
        <v>0</v>
      </c>
      <c r="N519" s="255">
        <f ca="1">N520+N521</f>
        <v>0</v>
      </c>
      <c r="O519" s="255">
        <f ca="1">IF(L519&gt;0,N519*100/L519,0)</f>
        <v>0</v>
      </c>
      <c r="P519" s="255">
        <f ca="1">IF(M519&gt;0,N519*100/M519,0)</f>
        <v>0</v>
      </c>
      <c r="Q519" s="255">
        <f>Q520+Q521</f>
        <v>0</v>
      </c>
      <c r="R519" s="255">
        <f>R520+R521</f>
        <v>0</v>
      </c>
      <c r="S519" s="255">
        <f>S520+S521</f>
        <v>0</v>
      </c>
      <c r="T519" s="255">
        <f>IF(Q519&gt;0,S519*100/Q519,0)</f>
        <v>0</v>
      </c>
      <c r="U519" s="255">
        <f>IF(R519&gt;0,S519*100/R519,0)</f>
        <v>0</v>
      </c>
    </row>
    <row r="520" spans="1:21" ht="18.75" hidden="1">
      <c r="A520" s="155"/>
      <c r="B520" s="50"/>
      <c r="C520" s="50"/>
      <c r="D520" s="50"/>
      <c r="E520" s="186" t="s">
        <v>20</v>
      </c>
      <c r="F520" s="50"/>
      <c r="G520" s="52"/>
      <c r="H520" s="189" t="s">
        <v>14</v>
      </c>
      <c r="I520" s="163"/>
      <c r="J520" s="163"/>
      <c r="K520" s="164"/>
      <c r="L520" s="103">
        <v>0</v>
      </c>
      <c r="M520" s="102">
        <v>0</v>
      </c>
      <c r="N520" s="102">
        <v>0</v>
      </c>
      <c r="O520" s="102">
        <f>IF(L520&gt;0,N520*100/L520,0)</f>
        <v>0</v>
      </c>
      <c r="P520" s="102">
        <f>IF(M520&gt;0,N520*100/M520,0)</f>
        <v>0</v>
      </c>
      <c r="Q520" s="102">
        <v>0</v>
      </c>
      <c r="R520" s="102">
        <v>0</v>
      </c>
      <c r="S520" s="102">
        <v>0</v>
      </c>
      <c r="T520" s="102">
        <f>IF(Q520&gt;0,S520*100/Q520,0)</f>
        <v>0</v>
      </c>
      <c r="U520" s="102">
        <f>IF(R520&gt;0,S520*100/R520,0)</f>
        <v>0</v>
      </c>
    </row>
    <row r="521" spans="1:21" ht="18.75" hidden="1">
      <c r="A521" s="155"/>
      <c r="B521" s="50"/>
      <c r="C521" s="50"/>
      <c r="D521" s="50"/>
      <c r="E521" s="186" t="s">
        <v>21</v>
      </c>
      <c r="F521" s="50"/>
      <c r="G521" s="52"/>
      <c r="H521" s="421" t="s">
        <v>14</v>
      </c>
      <c r="I521" s="163"/>
      <c r="J521" s="163"/>
      <c r="K521" s="164"/>
      <c r="L521" s="256">
        <f ca="1">IFERROR(__xludf.DUMMYFUNCTION("IMPORTRANGE(""https://docs.google.com/spreadsheets/d/1-uDff_7J0KD5mKrp0Vvzr7lt3OU09vwQwhkpOPPYv2Y/edit?usp=sharing"",""งบพรบ!FP37"")"),0)</f>
        <v>0</v>
      </c>
      <c r="M521" s="255">
        <f ca="1">IFERROR(__xludf.DUMMYFUNCTION("IMPORTRANGE(""https://docs.google.com/spreadsheets/d/1-uDff_7J0KD5mKrp0Vvzr7lt3OU09vwQwhkpOPPYv2Y/edit?usp=sharing"",""งบพรบ!FS37"")"),0)</f>
        <v>0</v>
      </c>
      <c r="N521" s="255">
        <f ca="1">IFERROR(__xludf.DUMMYFUNCTION("IMPORTRANGE(""https://docs.google.com/spreadsheets/d/1-uDff_7J0KD5mKrp0Vvzr7lt3OU09vwQwhkpOPPYv2Y/edit?usp=sharing"",""งบพรบ!FU37"")"),0)</f>
        <v>0</v>
      </c>
      <c r="O521" s="255">
        <f ca="1">IF(L521&gt;0,N521*100/L521,0)</f>
        <v>0</v>
      </c>
      <c r="P521" s="255">
        <f ca="1">IF(M521&gt;0,N521*100/M521,0)</f>
        <v>0</v>
      </c>
      <c r="Q521" s="255">
        <v>0</v>
      </c>
      <c r="R521" s="255">
        <v>0</v>
      </c>
      <c r="S521" s="255">
        <v>0</v>
      </c>
      <c r="T521" s="255">
        <f>IF(Q521&gt;0,S521*100/Q521,0)</f>
        <v>0</v>
      </c>
      <c r="U521" s="255">
        <f>IF(R521&gt;0,S521*100/R521,0)</f>
        <v>0</v>
      </c>
    </row>
    <row r="522" spans="1:21" ht="19.5" hidden="1">
      <c r="A522" s="166"/>
      <c r="B522" s="167"/>
      <c r="C522" s="591" t="s">
        <v>18</v>
      </c>
      <c r="D522" s="574" t="s">
        <v>38</v>
      </c>
      <c r="E522" s="169"/>
      <c r="F522" s="169"/>
      <c r="G522" s="170"/>
      <c r="H522" s="171"/>
      <c r="I522" s="163"/>
      <c r="J522" s="54"/>
      <c r="K522" s="55"/>
      <c r="L522" s="62"/>
      <c r="M522" s="55"/>
      <c r="N522" s="55"/>
      <c r="O522" s="164"/>
      <c r="P522" s="164"/>
      <c r="Q522" s="55"/>
      <c r="R522" s="55"/>
      <c r="S522" s="55"/>
      <c r="T522" s="164"/>
      <c r="U522" s="164"/>
    </row>
    <row r="523" spans="1:21" ht="18.75" hidden="1">
      <c r="A523" s="238"/>
      <c r="B523" s="50"/>
      <c r="C523" s="188"/>
      <c r="D523" s="207" t="s">
        <v>209</v>
      </c>
      <c r="E523" s="167"/>
      <c r="F523" s="50"/>
      <c r="G523" s="52"/>
      <c r="H523" s="590" t="s">
        <v>11</v>
      </c>
      <c r="I523" s="483">
        <v>0</v>
      </c>
      <c r="J523" s="589">
        <v>0</v>
      </c>
      <c r="K523" s="102">
        <f>IF(I523&gt;0,J523*100/I523,0)</f>
        <v>0</v>
      </c>
      <c r="L523" s="62"/>
      <c r="M523" s="55"/>
      <c r="N523" s="55"/>
      <c r="O523" s="55"/>
      <c r="P523" s="55"/>
      <c r="Q523" s="55"/>
      <c r="R523" s="55"/>
      <c r="S523" s="55"/>
      <c r="T523" s="55"/>
      <c r="U523" s="55"/>
    </row>
    <row r="524" spans="1:21" ht="18.75" hidden="1">
      <c r="A524" s="374"/>
      <c r="B524" s="4"/>
      <c r="C524" s="5"/>
      <c r="D524" s="588" t="s">
        <v>210</v>
      </c>
      <c r="E524" s="282"/>
      <c r="F524" s="4"/>
      <c r="G524" s="65"/>
      <c r="H524" s="587" t="s">
        <v>61</v>
      </c>
      <c r="I524" s="486">
        <v>0</v>
      </c>
      <c r="J524" s="586">
        <v>0</v>
      </c>
      <c r="K524" s="585">
        <f>IF(I524&gt;0,J524*100/I524,0)</f>
        <v>0</v>
      </c>
      <c r="L524" s="62"/>
      <c r="M524" s="55"/>
      <c r="N524" s="55"/>
      <c r="O524" s="55"/>
      <c r="P524" s="55"/>
      <c r="Q524" s="55"/>
      <c r="R524" s="55"/>
      <c r="S524" s="55"/>
      <c r="T524" s="55"/>
      <c r="U524" s="55"/>
    </row>
    <row r="525" spans="1:21" ht="12.75" hidden="1">
      <c r="A525" s="584"/>
      <c r="B525" s="583"/>
      <c r="C525" s="583"/>
      <c r="D525" s="582"/>
      <c r="E525" s="582"/>
      <c r="F525" s="582"/>
      <c r="G525" s="581"/>
      <c r="H525" s="580"/>
      <c r="I525" s="579"/>
      <c r="J525" s="579"/>
      <c r="K525" s="578"/>
      <c r="L525" s="265"/>
      <c r="M525" s="264"/>
      <c r="N525" s="264"/>
      <c r="O525" s="264"/>
      <c r="P525" s="264"/>
      <c r="Q525" s="264"/>
      <c r="R525" s="264"/>
      <c r="S525" s="264"/>
      <c r="T525" s="264"/>
      <c r="U525" s="264"/>
    </row>
    <row r="526" spans="1:21" ht="12.75" hidden="1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5"/>
      <c r="M526" s="264"/>
      <c r="N526" s="264"/>
      <c r="O526" s="264"/>
      <c r="P526" s="264"/>
      <c r="Q526" s="264"/>
      <c r="R526" s="264"/>
      <c r="S526" s="264"/>
      <c r="T526" s="264"/>
      <c r="U526" s="264"/>
    </row>
    <row r="527" spans="1:21" ht="12.75" hidden="1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5"/>
      <c r="M527" s="264"/>
      <c r="N527" s="264"/>
      <c r="O527" s="264"/>
      <c r="P527" s="264"/>
      <c r="Q527" s="264"/>
      <c r="R527" s="264"/>
      <c r="S527" s="264"/>
      <c r="T527" s="264"/>
      <c r="U527" s="264"/>
    </row>
    <row r="528" spans="1:21" ht="12.75" hidden="1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5"/>
      <c r="M528" s="264"/>
      <c r="N528" s="264"/>
      <c r="O528" s="264"/>
      <c r="P528" s="264"/>
      <c r="Q528" s="264"/>
      <c r="R528" s="264"/>
      <c r="S528" s="264"/>
      <c r="T528" s="264"/>
      <c r="U528" s="264"/>
    </row>
    <row r="529" spans="1:21" ht="12.75" hidden="1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5"/>
      <c r="M529" s="264"/>
      <c r="N529" s="264"/>
      <c r="O529" s="264"/>
      <c r="P529" s="264"/>
      <c r="Q529" s="264"/>
      <c r="R529" s="264"/>
      <c r="S529" s="264"/>
      <c r="T529" s="264"/>
      <c r="U529" s="264"/>
    </row>
    <row r="530" spans="1:21" ht="12.75" hidden="1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5"/>
      <c r="M530" s="264"/>
      <c r="N530" s="264"/>
      <c r="O530" s="264"/>
      <c r="P530" s="264"/>
      <c r="Q530" s="264"/>
      <c r="R530" s="264"/>
      <c r="S530" s="264"/>
      <c r="T530" s="264"/>
      <c r="U530" s="264"/>
    </row>
    <row r="531" spans="1:21" ht="12.75" hidden="1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5"/>
      <c r="M531" s="264"/>
      <c r="N531" s="264"/>
      <c r="O531" s="264"/>
      <c r="P531" s="264"/>
      <c r="Q531" s="264"/>
      <c r="R531" s="264"/>
      <c r="S531" s="264"/>
      <c r="T531" s="264"/>
      <c r="U531" s="264"/>
    </row>
    <row r="532" spans="1:21" ht="12.75" hidden="1">
      <c r="A532" s="407"/>
      <c r="B532" s="360"/>
      <c r="C532" s="360"/>
      <c r="D532" s="408"/>
      <c r="E532" s="408"/>
      <c r="F532" s="408"/>
      <c r="G532" s="409"/>
      <c r="H532" s="361"/>
      <c r="I532" s="362"/>
      <c r="J532" s="362"/>
      <c r="K532" s="363"/>
      <c r="L532" s="364"/>
      <c r="M532" s="363"/>
      <c r="N532" s="363"/>
      <c r="O532" s="363"/>
      <c r="P532" s="363"/>
      <c r="Q532" s="363"/>
      <c r="R532" s="363"/>
      <c r="S532" s="363"/>
      <c r="T532" s="363"/>
      <c r="U532" s="363"/>
    </row>
    <row r="533" spans="1:21" ht="19.5" hidden="1">
      <c r="A533" s="395"/>
      <c r="B533" s="396" t="s">
        <v>211</v>
      </c>
      <c r="C533" s="397"/>
      <c r="D533" s="398"/>
      <c r="E533" s="398"/>
      <c r="F533" s="398"/>
      <c r="G533" s="399"/>
      <c r="H533" s="410" t="s">
        <v>61</v>
      </c>
      <c r="I533" s="577">
        <f>I545</f>
        <v>0</v>
      </c>
      <c r="J533" s="577">
        <f>J545</f>
        <v>0</v>
      </c>
      <c r="K533" s="576">
        <f>IF(I533&gt;0,J533*100/I533,0)</f>
        <v>0</v>
      </c>
      <c r="L533" s="404"/>
      <c r="M533" s="403"/>
      <c r="N533" s="403"/>
      <c r="O533" s="403"/>
      <c r="P533" s="403"/>
      <c r="Q533" s="403"/>
      <c r="R533" s="403"/>
      <c r="S533" s="403"/>
      <c r="T533" s="403"/>
      <c r="U533" s="403"/>
    </row>
    <row r="534" spans="1:21" ht="19.5" hidden="1">
      <c r="A534" s="155"/>
      <c r="B534" s="50"/>
      <c r="C534" s="156" t="s">
        <v>18</v>
      </c>
      <c r="D534" s="575" t="s">
        <v>19</v>
      </c>
      <c r="E534" s="50"/>
      <c r="F534" s="50"/>
      <c r="G534" s="52"/>
      <c r="H534" s="158" t="s">
        <v>14</v>
      </c>
      <c r="I534" s="54"/>
      <c r="J534" s="54"/>
      <c r="K534" s="55"/>
      <c r="L534" s="541">
        <f>L535+L536</f>
        <v>0</v>
      </c>
      <c r="M534" s="540">
        <f>M535+M536</f>
        <v>0</v>
      </c>
      <c r="N534" s="540">
        <f>N535+N536</f>
        <v>0</v>
      </c>
      <c r="O534" s="540">
        <f>IF(L534&gt;0,N534*100/L534,0)</f>
        <v>0</v>
      </c>
      <c r="P534" s="540">
        <f>IF(M534&gt;0,N534*100/M534,0)</f>
        <v>0</v>
      </c>
      <c r="Q534" s="540">
        <f>Q535+Q536</f>
        <v>0</v>
      </c>
      <c r="R534" s="540">
        <f>R535+R536</f>
        <v>0</v>
      </c>
      <c r="S534" s="540">
        <f>S535+S536</f>
        <v>0</v>
      </c>
      <c r="T534" s="540">
        <f>IF(Q534&gt;0,S534*100/Q534,0)</f>
        <v>0</v>
      </c>
      <c r="U534" s="540">
        <f>IF(R534&gt;0,S534*100/R534,0)</f>
        <v>0</v>
      </c>
    </row>
    <row r="535" spans="1:21" ht="18.75" hidden="1">
      <c r="A535" s="155"/>
      <c r="B535" s="188"/>
      <c r="C535" s="50"/>
      <c r="D535" s="50"/>
      <c r="E535" s="186" t="s">
        <v>20</v>
      </c>
      <c r="F535" s="50"/>
      <c r="G535" s="52"/>
      <c r="H535" s="187" t="s">
        <v>14</v>
      </c>
      <c r="I535" s="54"/>
      <c r="J535" s="54"/>
      <c r="K535" s="55"/>
      <c r="L535" s="103">
        <f>L538+L541</f>
        <v>0</v>
      </c>
      <c r="M535" s="102">
        <f>M538+M541</f>
        <v>0</v>
      </c>
      <c r="N535" s="102">
        <f>N538+N541</f>
        <v>0</v>
      </c>
      <c r="O535" s="102">
        <f>IF(L535&gt;0,N535*100/L535,0)</f>
        <v>0</v>
      </c>
      <c r="P535" s="102">
        <f>IF(M535&gt;0,N535*100/M535,0)</f>
        <v>0</v>
      </c>
      <c r="Q535" s="102">
        <f>Q538+Q541</f>
        <v>0</v>
      </c>
      <c r="R535" s="102">
        <f>R538+R541</f>
        <v>0</v>
      </c>
      <c r="S535" s="102">
        <f>S538+S541</f>
        <v>0</v>
      </c>
      <c r="T535" s="102">
        <f>IF(Q535&gt;0,S535*100/Q535,0)</f>
        <v>0</v>
      </c>
      <c r="U535" s="102">
        <f>IF(R535&gt;0,S535*100/R535,0)</f>
        <v>0</v>
      </c>
    </row>
    <row r="536" spans="1:21" ht="18.75" hidden="1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256">
        <f>L539+L542</f>
        <v>0</v>
      </c>
      <c r="M536" s="255">
        <f>M539+M542</f>
        <v>0</v>
      </c>
      <c r="N536" s="255">
        <f>N539+N542</f>
        <v>0</v>
      </c>
      <c r="O536" s="255">
        <f>IF(L536&gt;0,N536*100/L536,0)</f>
        <v>0</v>
      </c>
      <c r="P536" s="255">
        <f>IF(M536&gt;0,N536*100/M536,0)</f>
        <v>0</v>
      </c>
      <c r="Q536" s="255">
        <f>Q539+Q542</f>
        <v>0</v>
      </c>
      <c r="R536" s="255">
        <f>R539+R542</f>
        <v>0</v>
      </c>
      <c r="S536" s="255">
        <f>S539+S542</f>
        <v>0</v>
      </c>
      <c r="T536" s="255">
        <f>IF(Q536&gt;0,S536*100/Q536,0)</f>
        <v>0</v>
      </c>
      <c r="U536" s="255">
        <f>IF(R536&gt;0,S536*100/R536,0)</f>
        <v>0</v>
      </c>
    </row>
    <row r="537" spans="1:21" ht="18.75" hidden="1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256">
        <f>L538+L539</f>
        <v>0</v>
      </c>
      <c r="M537" s="255">
        <f>M538+M539</f>
        <v>0</v>
      </c>
      <c r="N537" s="255">
        <f>N538+N539</f>
        <v>0</v>
      </c>
      <c r="O537" s="255">
        <f>IF(L537&gt;0,N537*100/L537,0)</f>
        <v>0</v>
      </c>
      <c r="P537" s="255">
        <f>IF(M537&gt;0,N537*100/M537,0)</f>
        <v>0</v>
      </c>
      <c r="Q537" s="255">
        <f>Q538+Q539</f>
        <v>0</v>
      </c>
      <c r="R537" s="255">
        <f>R538+R539</f>
        <v>0</v>
      </c>
      <c r="S537" s="255">
        <f>S538+S539</f>
        <v>0</v>
      </c>
      <c r="T537" s="255">
        <f>IF(Q537&gt;0,S537*100/Q537,0)</f>
        <v>0</v>
      </c>
      <c r="U537" s="255">
        <f>IF(R537&gt;0,S537*100/R537,0)</f>
        <v>0</v>
      </c>
    </row>
    <row r="538" spans="1:21" ht="18.75" hidden="1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103">
        <v>0</v>
      </c>
      <c r="M538" s="102">
        <v>0</v>
      </c>
      <c r="N538" s="102">
        <v>0</v>
      </c>
      <c r="O538" s="102">
        <f>IF(L538&gt;0,N538*100/L538,0)</f>
        <v>0</v>
      </c>
      <c r="P538" s="102">
        <f>IF(M538&gt;0,N538*100/M538,0)</f>
        <v>0</v>
      </c>
      <c r="Q538" s="102">
        <v>0</v>
      </c>
      <c r="R538" s="102">
        <v>0</v>
      </c>
      <c r="S538" s="102">
        <v>0</v>
      </c>
      <c r="T538" s="102">
        <f>IF(Q538&gt;0,S538*100/Q538,0)</f>
        <v>0</v>
      </c>
      <c r="U538" s="102">
        <f>IF(R538&gt;0,S538*100/R538,0)</f>
        <v>0</v>
      </c>
    </row>
    <row r="539" spans="1:21" ht="18.75" hidden="1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256">
        <v>0</v>
      </c>
      <c r="M539" s="255">
        <v>0</v>
      </c>
      <c r="N539" s="255">
        <v>0</v>
      </c>
      <c r="O539" s="255">
        <f>IF(L539&gt;0,N539*100/L539,0)</f>
        <v>0</v>
      </c>
      <c r="P539" s="255">
        <f>IF(M539&gt;0,N539*100/M539,0)</f>
        <v>0</v>
      </c>
      <c r="Q539" s="255">
        <v>0</v>
      </c>
      <c r="R539" s="255">
        <v>0</v>
      </c>
      <c r="S539" s="255">
        <v>0</v>
      </c>
      <c r="T539" s="255">
        <f>IF(Q539&gt;0,S539*100/Q539,0)</f>
        <v>0</v>
      </c>
      <c r="U539" s="255">
        <f>IF(R539&gt;0,S539*100/R539,0)</f>
        <v>0</v>
      </c>
    </row>
    <row r="540" spans="1:21" ht="18.75" hidden="1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256">
        <f>L541+L542</f>
        <v>0</v>
      </c>
      <c r="M540" s="255">
        <f>M541+M542</f>
        <v>0</v>
      </c>
      <c r="N540" s="255">
        <f>N541+N542</f>
        <v>0</v>
      </c>
      <c r="O540" s="255">
        <f>IF(L540&gt;0,N540*100/L540,0)</f>
        <v>0</v>
      </c>
      <c r="P540" s="255">
        <f>IF(M540&gt;0,N540*100/M540,0)</f>
        <v>0</v>
      </c>
      <c r="Q540" s="255">
        <f>Q541+Q542</f>
        <v>0</v>
      </c>
      <c r="R540" s="255">
        <f>R541+R542</f>
        <v>0</v>
      </c>
      <c r="S540" s="255">
        <f>S541+S542</f>
        <v>0</v>
      </c>
      <c r="T540" s="255">
        <f>IF(Q540&gt;0,S540*100/Q540,0)</f>
        <v>0</v>
      </c>
      <c r="U540" s="255">
        <f>IF(R540&gt;0,S540*100/R540,0)</f>
        <v>0</v>
      </c>
    </row>
    <row r="541" spans="1:21" ht="18.75" hidden="1">
      <c r="A541" s="155"/>
      <c r="B541" s="50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103">
        <v>0</v>
      </c>
      <c r="M541" s="102">
        <v>0</v>
      </c>
      <c r="N541" s="102">
        <v>0</v>
      </c>
      <c r="O541" s="102">
        <f>IF(L541&gt;0,N541*100/L541,0)</f>
        <v>0</v>
      </c>
      <c r="P541" s="102">
        <f>IF(M541&gt;0,N541*100/M541,0)</f>
        <v>0</v>
      </c>
      <c r="Q541" s="102">
        <v>0</v>
      </c>
      <c r="R541" s="102">
        <v>0</v>
      </c>
      <c r="S541" s="102">
        <v>0</v>
      </c>
      <c r="T541" s="102">
        <f>IF(Q541&gt;0,S541*100/Q541,0)</f>
        <v>0</v>
      </c>
      <c r="U541" s="102">
        <f>IF(R541&gt;0,S541*100/R541,0)</f>
        <v>0</v>
      </c>
    </row>
    <row r="542" spans="1:21" ht="18.75" hidden="1">
      <c r="A542" s="155"/>
      <c r="B542" s="50"/>
      <c r="C542" s="50"/>
      <c r="D542" s="50"/>
      <c r="E542" s="58" t="s">
        <v>21</v>
      </c>
      <c r="F542" s="50"/>
      <c r="G542" s="52"/>
      <c r="H542" s="165" t="s">
        <v>14</v>
      </c>
      <c r="I542" s="163"/>
      <c r="J542" s="163"/>
      <c r="K542" s="164"/>
      <c r="L542" s="256">
        <v>0</v>
      </c>
      <c r="M542" s="255">
        <v>0</v>
      </c>
      <c r="N542" s="255">
        <v>0</v>
      </c>
      <c r="O542" s="255">
        <f>IF(L542&gt;0,N542*100/L542,0)</f>
        <v>0</v>
      </c>
      <c r="P542" s="255">
        <f>IF(M542&gt;0,N542*100/M542,0)</f>
        <v>0</v>
      </c>
      <c r="Q542" s="255">
        <v>0</v>
      </c>
      <c r="R542" s="255">
        <v>0</v>
      </c>
      <c r="S542" s="255">
        <v>0</v>
      </c>
      <c r="T542" s="255">
        <f>IF(Q542&gt;0,S542*100/Q542,0)</f>
        <v>0</v>
      </c>
      <c r="U542" s="255">
        <f>IF(R542&gt;0,S542*100/R542,0)</f>
        <v>0</v>
      </c>
    </row>
    <row r="543" spans="1:21" ht="19.5" hidden="1">
      <c r="A543" s="166"/>
      <c r="B543" s="167"/>
      <c r="C543" s="411" t="s">
        <v>18</v>
      </c>
      <c r="D543" s="566" t="s">
        <v>38</v>
      </c>
      <c r="E543" s="169"/>
      <c r="F543" s="169"/>
      <c r="G543" s="170"/>
      <c r="H543" s="171"/>
      <c r="I543" s="163"/>
      <c r="J543" s="54"/>
      <c r="K543" s="55"/>
      <c r="L543" s="62"/>
      <c r="M543" s="55"/>
      <c r="N543" s="55"/>
      <c r="O543" s="164"/>
      <c r="P543" s="164"/>
      <c r="Q543" s="55"/>
      <c r="R543" s="55"/>
      <c r="S543" s="55"/>
      <c r="T543" s="164"/>
      <c r="U543" s="164"/>
    </row>
    <row r="544" spans="1:21" ht="12.75" hidden="1">
      <c r="A544" s="258"/>
      <c r="B544" s="260"/>
      <c r="C544" s="259"/>
      <c r="D544" s="260"/>
      <c r="E544" s="259"/>
      <c r="F544" s="260"/>
      <c r="G544" s="261"/>
      <c r="H544" s="261"/>
      <c r="I544" s="263"/>
      <c r="J544" s="263"/>
      <c r="K544" s="264"/>
      <c r="L544" s="265"/>
      <c r="M544" s="264"/>
      <c r="N544" s="264"/>
      <c r="O544" s="264"/>
      <c r="P544" s="264"/>
      <c r="Q544" s="264"/>
      <c r="R544" s="264"/>
      <c r="S544" s="264"/>
      <c r="T544" s="264"/>
      <c r="U544" s="264"/>
    </row>
    <row r="545" spans="1:21" ht="12.75" hidden="1">
      <c r="A545" s="258"/>
      <c r="B545" s="260"/>
      <c r="C545" s="259"/>
      <c r="D545" s="260"/>
      <c r="E545" s="259"/>
      <c r="F545" s="260"/>
      <c r="G545" s="261"/>
      <c r="H545" s="261"/>
      <c r="I545" s="263"/>
      <c r="J545" s="263"/>
      <c r="K545" s="264"/>
      <c r="L545" s="265"/>
      <c r="M545" s="264"/>
      <c r="N545" s="264"/>
      <c r="O545" s="264"/>
      <c r="P545" s="264"/>
      <c r="Q545" s="264"/>
      <c r="R545" s="264"/>
      <c r="S545" s="264"/>
      <c r="T545" s="264"/>
      <c r="U545" s="264"/>
    </row>
    <row r="546" spans="1:21" ht="12.75" hidden="1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5"/>
      <c r="M546" s="264"/>
      <c r="N546" s="264"/>
      <c r="O546" s="264"/>
      <c r="P546" s="264"/>
      <c r="Q546" s="264"/>
      <c r="R546" s="264"/>
      <c r="S546" s="264"/>
      <c r="T546" s="264"/>
      <c r="U546" s="264"/>
    </row>
    <row r="547" spans="1:21" ht="12.75" hidden="1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5"/>
      <c r="M547" s="264"/>
      <c r="N547" s="264"/>
      <c r="O547" s="264"/>
      <c r="P547" s="264"/>
      <c r="Q547" s="264"/>
      <c r="R547" s="264"/>
      <c r="S547" s="264"/>
      <c r="T547" s="264"/>
      <c r="U547" s="264"/>
    </row>
    <row r="548" spans="1:21" ht="12.75" hidden="1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5"/>
      <c r="M548" s="264"/>
      <c r="N548" s="264"/>
      <c r="O548" s="264"/>
      <c r="P548" s="264"/>
      <c r="Q548" s="264"/>
      <c r="R548" s="264"/>
      <c r="S548" s="264"/>
      <c r="T548" s="264"/>
      <c r="U548" s="264"/>
    </row>
    <row r="549" spans="1:21" ht="12.75" hidden="1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5"/>
      <c r="M549" s="264"/>
      <c r="N549" s="264"/>
      <c r="O549" s="264"/>
      <c r="P549" s="264"/>
      <c r="Q549" s="264"/>
      <c r="R549" s="264"/>
      <c r="S549" s="264"/>
      <c r="T549" s="264"/>
      <c r="U549" s="264"/>
    </row>
    <row r="550" spans="1:21" ht="12.75" hidden="1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5"/>
      <c r="M550" s="264"/>
      <c r="N550" s="264"/>
      <c r="O550" s="264"/>
      <c r="P550" s="264"/>
      <c r="Q550" s="264"/>
      <c r="R550" s="264"/>
      <c r="S550" s="264"/>
      <c r="T550" s="264"/>
      <c r="U550" s="264"/>
    </row>
    <row r="551" spans="1:21" ht="12.75" hidden="1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5"/>
      <c r="M551" s="264"/>
      <c r="N551" s="264"/>
      <c r="O551" s="264"/>
      <c r="P551" s="264"/>
      <c r="Q551" s="264"/>
      <c r="R551" s="264"/>
      <c r="S551" s="264"/>
      <c r="T551" s="264"/>
      <c r="U551" s="264"/>
    </row>
    <row r="552" spans="1:21" ht="12.75" hidden="1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5"/>
      <c r="M552" s="264"/>
      <c r="N552" s="264"/>
      <c r="O552" s="264"/>
      <c r="P552" s="264"/>
      <c r="Q552" s="264"/>
      <c r="R552" s="264"/>
      <c r="S552" s="264"/>
      <c r="T552" s="264"/>
      <c r="U552" s="264"/>
    </row>
    <row r="553" spans="1:21" ht="12.75" hidden="1">
      <c r="A553" s="407"/>
      <c r="B553" s="360"/>
      <c r="C553" s="360"/>
      <c r="D553" s="408"/>
      <c r="E553" s="408"/>
      <c r="F553" s="408"/>
      <c r="G553" s="409"/>
      <c r="H553" s="361"/>
      <c r="I553" s="362"/>
      <c r="J553" s="362"/>
      <c r="K553" s="363"/>
      <c r="L553" s="364"/>
      <c r="M553" s="363"/>
      <c r="N553" s="363"/>
      <c r="O553" s="363"/>
      <c r="P553" s="363"/>
      <c r="Q553" s="363"/>
      <c r="R553" s="363"/>
      <c r="S553" s="363"/>
      <c r="T553" s="363"/>
      <c r="U553" s="363"/>
    </row>
    <row r="554" spans="1:21" ht="19.5" hidden="1">
      <c r="A554" s="395"/>
      <c r="B554" s="396" t="s">
        <v>212</v>
      </c>
      <c r="C554" s="397"/>
      <c r="D554" s="398"/>
      <c r="E554" s="398"/>
      <c r="F554" s="398"/>
      <c r="G554" s="399"/>
      <c r="H554" s="410" t="s">
        <v>61</v>
      </c>
      <c r="I554" s="577">
        <f>I566</f>
        <v>0</v>
      </c>
      <c r="J554" s="577">
        <f>J566</f>
        <v>0</v>
      </c>
      <c r="K554" s="576">
        <f>IF(I554&gt;0,J554*100/I554,0)</f>
        <v>0</v>
      </c>
      <c r="L554" s="404"/>
      <c r="M554" s="403"/>
      <c r="N554" s="403"/>
      <c r="O554" s="403"/>
      <c r="P554" s="403"/>
      <c r="Q554" s="403"/>
      <c r="R554" s="403"/>
      <c r="S554" s="403"/>
      <c r="T554" s="403"/>
      <c r="U554" s="403"/>
    </row>
    <row r="555" spans="1:21" ht="19.5" hidden="1">
      <c r="A555" s="155"/>
      <c r="B555" s="50"/>
      <c r="C555" s="156" t="s">
        <v>18</v>
      </c>
      <c r="D555" s="575" t="s">
        <v>19</v>
      </c>
      <c r="E555" s="50"/>
      <c r="F555" s="50"/>
      <c r="G555" s="52"/>
      <c r="H555" s="158" t="s">
        <v>14</v>
      </c>
      <c r="I555" s="54"/>
      <c r="J555" s="54"/>
      <c r="K555" s="55"/>
      <c r="L555" s="541">
        <f>L556+L557</f>
        <v>0</v>
      </c>
      <c r="M555" s="540">
        <f>M556+M557</f>
        <v>0</v>
      </c>
      <c r="N555" s="540">
        <f>N556+N557</f>
        <v>0</v>
      </c>
      <c r="O555" s="540">
        <f>IF(L555&gt;0,N555*100/L555,0)</f>
        <v>0</v>
      </c>
      <c r="P555" s="540">
        <f>IF(M555&gt;0,N555*100/M555,0)</f>
        <v>0</v>
      </c>
      <c r="Q555" s="540">
        <f>Q556+Q557</f>
        <v>0</v>
      </c>
      <c r="R555" s="540">
        <f>R556+R557</f>
        <v>0</v>
      </c>
      <c r="S555" s="540">
        <f>S556+S557</f>
        <v>0</v>
      </c>
      <c r="T555" s="540">
        <f>IF(Q555&gt;0,S555*100/Q555,0)</f>
        <v>0</v>
      </c>
      <c r="U555" s="540">
        <f>IF(R555&gt;0,S555*100/R555,0)</f>
        <v>0</v>
      </c>
    </row>
    <row r="556" spans="1:21" ht="18.75" hidden="1">
      <c r="A556" s="155"/>
      <c r="B556" s="188"/>
      <c r="C556" s="50"/>
      <c r="D556" s="50"/>
      <c r="E556" s="186" t="s">
        <v>20</v>
      </c>
      <c r="F556" s="50"/>
      <c r="G556" s="52"/>
      <c r="H556" s="187" t="s">
        <v>14</v>
      </c>
      <c r="I556" s="54"/>
      <c r="J556" s="54"/>
      <c r="K556" s="55"/>
      <c r="L556" s="103">
        <f>L559+L562</f>
        <v>0</v>
      </c>
      <c r="M556" s="102">
        <f>M559+M562</f>
        <v>0</v>
      </c>
      <c r="N556" s="102">
        <f>N559+N562</f>
        <v>0</v>
      </c>
      <c r="O556" s="102">
        <f>IF(L556&gt;0,N556*100/L556,0)</f>
        <v>0</v>
      </c>
      <c r="P556" s="102">
        <f>IF(M556&gt;0,N556*100/M556,0)</f>
        <v>0</v>
      </c>
      <c r="Q556" s="102">
        <f>Q559+Q562</f>
        <v>0</v>
      </c>
      <c r="R556" s="102">
        <f>R559+R562</f>
        <v>0</v>
      </c>
      <c r="S556" s="102">
        <f>S559+S562</f>
        <v>0</v>
      </c>
      <c r="T556" s="102">
        <f>IF(Q556&gt;0,S556*100/Q556,0)</f>
        <v>0</v>
      </c>
      <c r="U556" s="102">
        <f>IF(R556&gt;0,S556*100/R556,0)</f>
        <v>0</v>
      </c>
    </row>
    <row r="557" spans="1:21" ht="18.75" hidden="1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256">
        <f>L560+L563</f>
        <v>0</v>
      </c>
      <c r="M557" s="255">
        <f>M560+M563</f>
        <v>0</v>
      </c>
      <c r="N557" s="255">
        <f>N560+N563</f>
        <v>0</v>
      </c>
      <c r="O557" s="255">
        <f>IF(L557&gt;0,N557*100/L557,0)</f>
        <v>0</v>
      </c>
      <c r="P557" s="255">
        <f>IF(M557&gt;0,N557*100/M557,0)</f>
        <v>0</v>
      </c>
      <c r="Q557" s="255">
        <f>Q560+Q563</f>
        <v>0</v>
      </c>
      <c r="R557" s="255">
        <f>R560+R563</f>
        <v>0</v>
      </c>
      <c r="S557" s="255">
        <f>S560+S563</f>
        <v>0</v>
      </c>
      <c r="T557" s="255">
        <f>IF(Q557&gt;0,S557*100/Q557,0)</f>
        <v>0</v>
      </c>
      <c r="U557" s="255">
        <f>IF(R557&gt;0,S557*100/R557,0)</f>
        <v>0</v>
      </c>
    </row>
    <row r="558" spans="1:21" ht="18.75" hidden="1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256">
        <f>L559+L560</f>
        <v>0</v>
      </c>
      <c r="M558" s="255">
        <f>M559+M560</f>
        <v>0</v>
      </c>
      <c r="N558" s="255">
        <f>N559+N560</f>
        <v>0</v>
      </c>
      <c r="O558" s="255">
        <f>IF(L558&gt;0,N558*100/L558,0)</f>
        <v>0</v>
      </c>
      <c r="P558" s="255">
        <f>IF(M558&gt;0,N558*100/M558,0)</f>
        <v>0</v>
      </c>
      <c r="Q558" s="255">
        <f>Q559+Q560</f>
        <v>0</v>
      </c>
      <c r="R558" s="255">
        <f>R559+R560</f>
        <v>0</v>
      </c>
      <c r="S558" s="255">
        <f>S559+S560</f>
        <v>0</v>
      </c>
      <c r="T558" s="255">
        <f>IF(Q558&gt;0,S558*100/Q558,0)</f>
        <v>0</v>
      </c>
      <c r="U558" s="255">
        <f>IF(R558&gt;0,S558*100/R558,0)</f>
        <v>0</v>
      </c>
    </row>
    <row r="559" spans="1:21" ht="18.75" hidden="1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103">
        <v>0</v>
      </c>
      <c r="M559" s="102">
        <v>0</v>
      </c>
      <c r="N559" s="102">
        <v>0</v>
      </c>
      <c r="O559" s="102">
        <f>IF(L559&gt;0,N559*100/L559,0)</f>
        <v>0</v>
      </c>
      <c r="P559" s="102">
        <f>IF(M559&gt;0,N559*100/M559,0)</f>
        <v>0</v>
      </c>
      <c r="Q559" s="102">
        <v>0</v>
      </c>
      <c r="R559" s="102">
        <v>0</v>
      </c>
      <c r="S559" s="102">
        <v>0</v>
      </c>
      <c r="T559" s="102">
        <f>IF(Q559&gt;0,S559*100/Q559,0)</f>
        <v>0</v>
      </c>
      <c r="U559" s="102">
        <f>IF(R559&gt;0,S559*100/R559,0)</f>
        <v>0</v>
      </c>
    </row>
    <row r="560" spans="1:21" ht="18.75" hidden="1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256">
        <v>0</v>
      </c>
      <c r="M560" s="255">
        <v>0</v>
      </c>
      <c r="N560" s="255">
        <v>0</v>
      </c>
      <c r="O560" s="255">
        <f>IF(L560&gt;0,N560*100/L560,0)</f>
        <v>0</v>
      </c>
      <c r="P560" s="255">
        <f>IF(M560&gt;0,N560*100/M560,0)</f>
        <v>0</v>
      </c>
      <c r="Q560" s="255">
        <v>0</v>
      </c>
      <c r="R560" s="255">
        <v>0</v>
      </c>
      <c r="S560" s="255">
        <v>0</v>
      </c>
      <c r="T560" s="255">
        <f>IF(Q560&gt;0,S560*100/Q560,0)</f>
        <v>0</v>
      </c>
      <c r="U560" s="255">
        <f>IF(R560&gt;0,S560*100/R560,0)</f>
        <v>0</v>
      </c>
    </row>
    <row r="561" spans="1:21" ht="18.75" hidden="1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256">
        <f>L562+L563</f>
        <v>0</v>
      </c>
      <c r="M561" s="255">
        <f>M562+M563</f>
        <v>0</v>
      </c>
      <c r="N561" s="255">
        <f>N562+N563</f>
        <v>0</v>
      </c>
      <c r="O561" s="255">
        <f>IF(L561&gt;0,N561*100/L561,0)</f>
        <v>0</v>
      </c>
      <c r="P561" s="255">
        <f>IF(M561&gt;0,N561*100/M561,0)</f>
        <v>0</v>
      </c>
      <c r="Q561" s="255">
        <f>Q562+Q563</f>
        <v>0</v>
      </c>
      <c r="R561" s="255">
        <f>R562+R563</f>
        <v>0</v>
      </c>
      <c r="S561" s="255">
        <f>S562+S563</f>
        <v>0</v>
      </c>
      <c r="T561" s="255">
        <f>IF(Q561&gt;0,S561*100/Q561,0)</f>
        <v>0</v>
      </c>
      <c r="U561" s="255">
        <f>IF(R561&gt;0,S561*100/R561,0)</f>
        <v>0</v>
      </c>
    </row>
    <row r="562" spans="1:21" ht="18.75" hidden="1">
      <c r="A562" s="155"/>
      <c r="B562" s="50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103">
        <v>0</v>
      </c>
      <c r="M562" s="102">
        <v>0</v>
      </c>
      <c r="N562" s="102">
        <v>0</v>
      </c>
      <c r="O562" s="102">
        <f>IF(L562&gt;0,N562*100/L562,0)</f>
        <v>0</v>
      </c>
      <c r="P562" s="102">
        <f>IF(M562&gt;0,N562*100/M562,0)</f>
        <v>0</v>
      </c>
      <c r="Q562" s="102">
        <v>0</v>
      </c>
      <c r="R562" s="102">
        <v>0</v>
      </c>
      <c r="S562" s="102">
        <v>0</v>
      </c>
      <c r="T562" s="102">
        <f>IF(Q562&gt;0,S562*100/Q562,0)</f>
        <v>0</v>
      </c>
      <c r="U562" s="102">
        <f>IF(R562&gt;0,S562*100/R562,0)</f>
        <v>0</v>
      </c>
    </row>
    <row r="563" spans="1:21" ht="18.75" hidden="1">
      <c r="A563" s="155"/>
      <c r="B563" s="50"/>
      <c r="C563" s="50"/>
      <c r="D563" s="50"/>
      <c r="E563" s="58" t="s">
        <v>21</v>
      </c>
      <c r="F563" s="50"/>
      <c r="G563" s="52"/>
      <c r="H563" s="165" t="s">
        <v>14</v>
      </c>
      <c r="I563" s="163"/>
      <c r="J563" s="163"/>
      <c r="K563" s="164"/>
      <c r="L563" s="256">
        <v>0</v>
      </c>
      <c r="M563" s="255">
        <v>0</v>
      </c>
      <c r="N563" s="255">
        <v>0</v>
      </c>
      <c r="O563" s="255">
        <f>IF(L563&gt;0,N563*100/L563,0)</f>
        <v>0</v>
      </c>
      <c r="P563" s="255">
        <f>IF(M563&gt;0,N563*100/M563,0)</f>
        <v>0</v>
      </c>
      <c r="Q563" s="255">
        <v>0</v>
      </c>
      <c r="R563" s="255">
        <v>0</v>
      </c>
      <c r="S563" s="255">
        <v>0</v>
      </c>
      <c r="T563" s="255">
        <f>IF(Q563&gt;0,S563*100/Q563,0)</f>
        <v>0</v>
      </c>
      <c r="U563" s="255">
        <f>IF(R563&gt;0,S563*100/R563,0)</f>
        <v>0</v>
      </c>
    </row>
    <row r="564" spans="1:21" ht="19.5" hidden="1">
      <c r="A564" s="166"/>
      <c r="B564" s="167"/>
      <c r="C564" s="411" t="s">
        <v>18</v>
      </c>
      <c r="D564" s="566" t="s">
        <v>38</v>
      </c>
      <c r="E564" s="169"/>
      <c r="F564" s="169"/>
      <c r="G564" s="170"/>
      <c r="H564" s="171"/>
      <c r="I564" s="163"/>
      <c r="J564" s="54"/>
      <c r="K564" s="55"/>
      <c r="L564" s="62"/>
      <c r="M564" s="55"/>
      <c r="N564" s="55"/>
      <c r="O564" s="164"/>
      <c r="P564" s="164"/>
      <c r="Q564" s="55"/>
      <c r="R564" s="55"/>
      <c r="S564" s="55"/>
      <c r="T564" s="164"/>
      <c r="U564" s="164"/>
    </row>
    <row r="565" spans="1:21" ht="12.75" hidden="1">
      <c r="A565" s="258"/>
      <c r="B565" s="260"/>
      <c r="C565" s="259"/>
      <c r="D565" s="260"/>
      <c r="E565" s="259"/>
      <c r="F565" s="260"/>
      <c r="G565" s="261"/>
      <c r="H565" s="261"/>
      <c r="I565" s="263"/>
      <c r="J565" s="263"/>
      <c r="K565" s="264"/>
      <c r="L565" s="265"/>
      <c r="M565" s="264"/>
      <c r="N565" s="264"/>
      <c r="O565" s="264"/>
      <c r="P565" s="264"/>
      <c r="Q565" s="264"/>
      <c r="R565" s="264"/>
      <c r="S565" s="264"/>
      <c r="T565" s="264"/>
      <c r="U565" s="264"/>
    </row>
    <row r="566" spans="1:21" ht="12.75" hidden="1">
      <c r="A566" s="258"/>
      <c r="B566" s="260"/>
      <c r="C566" s="259"/>
      <c r="D566" s="260"/>
      <c r="E566" s="259"/>
      <c r="F566" s="260"/>
      <c r="G566" s="261"/>
      <c r="H566" s="261"/>
      <c r="I566" s="263"/>
      <c r="J566" s="263"/>
      <c r="K566" s="264"/>
      <c r="L566" s="265"/>
      <c r="M566" s="264"/>
      <c r="N566" s="264"/>
      <c r="O566" s="264"/>
      <c r="P566" s="264"/>
      <c r="Q566" s="264"/>
      <c r="R566" s="264"/>
      <c r="S566" s="264"/>
      <c r="T566" s="264"/>
      <c r="U566" s="264"/>
    </row>
    <row r="567" spans="1:21" ht="12.75" hidden="1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5"/>
      <c r="M567" s="264"/>
      <c r="N567" s="264"/>
      <c r="O567" s="264"/>
      <c r="P567" s="264"/>
      <c r="Q567" s="264"/>
      <c r="R567" s="264"/>
      <c r="S567" s="264"/>
      <c r="T567" s="264"/>
      <c r="U567" s="264"/>
    </row>
    <row r="568" spans="1:21" ht="12.75" hidden="1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5"/>
      <c r="M568" s="264"/>
      <c r="N568" s="264"/>
      <c r="O568" s="264"/>
      <c r="P568" s="264"/>
      <c r="Q568" s="264"/>
      <c r="R568" s="264"/>
      <c r="S568" s="264"/>
      <c r="T568" s="264"/>
      <c r="U568" s="264"/>
    </row>
    <row r="569" spans="1:21" ht="12.75" hidden="1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5"/>
      <c r="M569" s="264"/>
      <c r="N569" s="264"/>
      <c r="O569" s="264"/>
      <c r="P569" s="264"/>
      <c r="Q569" s="264"/>
      <c r="R569" s="264"/>
      <c r="S569" s="264"/>
      <c r="T569" s="264"/>
      <c r="U569" s="264"/>
    </row>
    <row r="570" spans="1:21" ht="12.75" hidden="1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5"/>
      <c r="M570" s="264"/>
      <c r="N570" s="264"/>
      <c r="O570" s="264"/>
      <c r="P570" s="264"/>
      <c r="Q570" s="264"/>
      <c r="R570" s="264"/>
      <c r="S570" s="264"/>
      <c r="T570" s="264"/>
      <c r="U570" s="264"/>
    </row>
    <row r="571" spans="1:21" ht="12.75" hidden="1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5"/>
      <c r="M571" s="264"/>
      <c r="N571" s="264"/>
      <c r="O571" s="264"/>
      <c r="P571" s="264"/>
      <c r="Q571" s="264"/>
      <c r="R571" s="264"/>
      <c r="S571" s="264"/>
      <c r="T571" s="264"/>
      <c r="U571" s="264"/>
    </row>
    <row r="572" spans="1:21" ht="12.75" hidden="1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5"/>
      <c r="M572" s="264"/>
      <c r="N572" s="264"/>
      <c r="O572" s="264"/>
      <c r="P572" s="264"/>
      <c r="Q572" s="264"/>
      <c r="R572" s="264"/>
      <c r="S572" s="264"/>
      <c r="T572" s="264"/>
      <c r="U572" s="264"/>
    </row>
    <row r="573" spans="1:21" ht="12.75" hidden="1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5"/>
      <c r="M573" s="264"/>
      <c r="N573" s="264"/>
      <c r="O573" s="264"/>
      <c r="P573" s="264"/>
      <c r="Q573" s="264"/>
      <c r="R573" s="264"/>
      <c r="S573" s="264"/>
      <c r="T573" s="264"/>
      <c r="U573" s="264"/>
    </row>
    <row r="574" spans="1:21" ht="12.75" hidden="1">
      <c r="A574" s="407"/>
      <c r="B574" s="360"/>
      <c r="C574" s="360"/>
      <c r="D574" s="408"/>
      <c r="E574" s="408"/>
      <c r="F574" s="408"/>
      <c r="G574" s="409"/>
      <c r="H574" s="361"/>
      <c r="I574" s="362"/>
      <c r="J574" s="362"/>
      <c r="K574" s="363"/>
      <c r="L574" s="364"/>
      <c r="M574" s="363"/>
      <c r="N574" s="363"/>
      <c r="O574" s="363"/>
      <c r="P574" s="363"/>
      <c r="Q574" s="363"/>
      <c r="R574" s="363"/>
      <c r="S574" s="363"/>
      <c r="T574" s="363"/>
      <c r="U574" s="363"/>
    </row>
    <row r="575" spans="1:21" ht="19.5" hidden="1">
      <c r="A575" s="395"/>
      <c r="B575" s="396" t="s">
        <v>213</v>
      </c>
      <c r="C575" s="397"/>
      <c r="D575" s="398"/>
      <c r="E575" s="398"/>
      <c r="F575" s="398"/>
      <c r="G575" s="399"/>
      <c r="H575" s="410" t="s">
        <v>61</v>
      </c>
      <c r="I575" s="577">
        <f>I587</f>
        <v>0</v>
      </c>
      <c r="J575" s="577">
        <f>J587</f>
        <v>0</v>
      </c>
      <c r="K575" s="576">
        <f>IF(I575&gt;0,J575*100/I575,0)</f>
        <v>0</v>
      </c>
      <c r="L575" s="404"/>
      <c r="M575" s="403"/>
      <c r="N575" s="403"/>
      <c r="O575" s="403"/>
      <c r="P575" s="403"/>
      <c r="Q575" s="403"/>
      <c r="R575" s="403"/>
      <c r="S575" s="403"/>
      <c r="T575" s="403"/>
      <c r="U575" s="403"/>
    </row>
    <row r="576" spans="1:21" ht="19.5" hidden="1">
      <c r="A576" s="155"/>
      <c r="B576" s="50"/>
      <c r="C576" s="156" t="s">
        <v>18</v>
      </c>
      <c r="D576" s="575" t="s">
        <v>19</v>
      </c>
      <c r="E576" s="50"/>
      <c r="F576" s="50"/>
      <c r="G576" s="52"/>
      <c r="H576" s="158" t="s">
        <v>14</v>
      </c>
      <c r="I576" s="54"/>
      <c r="J576" s="54"/>
      <c r="K576" s="55"/>
      <c r="L576" s="541">
        <f>L577+L578</f>
        <v>0</v>
      </c>
      <c r="M576" s="540">
        <f>M577+M578</f>
        <v>0</v>
      </c>
      <c r="N576" s="540">
        <f>N577+N578</f>
        <v>0</v>
      </c>
      <c r="O576" s="540">
        <f>IF(L576&gt;0,N576*100/L576,0)</f>
        <v>0</v>
      </c>
      <c r="P576" s="540">
        <f>IF(M576&gt;0,N576*100/M576,0)</f>
        <v>0</v>
      </c>
      <c r="Q576" s="540">
        <f>Q577+Q578</f>
        <v>0</v>
      </c>
      <c r="R576" s="540">
        <f>R577+R578</f>
        <v>0</v>
      </c>
      <c r="S576" s="540">
        <f>S577+S578</f>
        <v>0</v>
      </c>
      <c r="T576" s="540">
        <f>IF(Q576&gt;0,S576*100/Q576,0)</f>
        <v>0</v>
      </c>
      <c r="U576" s="540">
        <f>IF(R576&gt;0,S576*100/R576,0)</f>
        <v>0</v>
      </c>
    </row>
    <row r="577" spans="1:21" ht="18.75" hidden="1">
      <c r="A577" s="155"/>
      <c r="B577" s="188"/>
      <c r="C577" s="50"/>
      <c r="D577" s="50"/>
      <c r="E577" s="186" t="s">
        <v>20</v>
      </c>
      <c r="F577" s="50"/>
      <c r="G577" s="52"/>
      <c r="H577" s="187" t="s">
        <v>14</v>
      </c>
      <c r="I577" s="54"/>
      <c r="J577" s="54"/>
      <c r="K577" s="55"/>
      <c r="L577" s="103">
        <f>L580+L583</f>
        <v>0</v>
      </c>
      <c r="M577" s="102">
        <f>M580+M583</f>
        <v>0</v>
      </c>
      <c r="N577" s="102">
        <f>N580+N583</f>
        <v>0</v>
      </c>
      <c r="O577" s="102">
        <f>IF(L577&gt;0,N577*100/L577,0)</f>
        <v>0</v>
      </c>
      <c r="P577" s="102">
        <f>IF(M577&gt;0,N577*100/M577,0)</f>
        <v>0</v>
      </c>
      <c r="Q577" s="102">
        <f>Q580+Q583</f>
        <v>0</v>
      </c>
      <c r="R577" s="102">
        <f>R580+R583</f>
        <v>0</v>
      </c>
      <c r="S577" s="102">
        <f>S580+S583</f>
        <v>0</v>
      </c>
      <c r="T577" s="102">
        <f>IF(Q577&gt;0,S577*100/Q577,0)</f>
        <v>0</v>
      </c>
      <c r="U577" s="102">
        <f>IF(R577&gt;0,S577*100/R577,0)</f>
        <v>0</v>
      </c>
    </row>
    <row r="578" spans="1:21" ht="18.75" hidden="1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256">
        <f>L581+L584</f>
        <v>0</v>
      </c>
      <c r="M578" s="255">
        <f>M581+M584</f>
        <v>0</v>
      </c>
      <c r="N578" s="255">
        <f>N581+N584</f>
        <v>0</v>
      </c>
      <c r="O578" s="255">
        <f>IF(L578&gt;0,N578*100/L578,0)</f>
        <v>0</v>
      </c>
      <c r="P578" s="255">
        <f>IF(M578&gt;0,N578*100/M578,0)</f>
        <v>0</v>
      </c>
      <c r="Q578" s="255">
        <f>Q581+Q584</f>
        <v>0</v>
      </c>
      <c r="R578" s="255">
        <f>R581+R584</f>
        <v>0</v>
      </c>
      <c r="S578" s="255">
        <f>S581+S584</f>
        <v>0</v>
      </c>
      <c r="T578" s="255">
        <f>IF(Q578&gt;0,S578*100/Q578,0)</f>
        <v>0</v>
      </c>
      <c r="U578" s="255">
        <f>IF(R578&gt;0,S578*100/R578,0)</f>
        <v>0</v>
      </c>
    </row>
    <row r="579" spans="1:21" ht="18.75" hidden="1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256">
        <f>L580+L581</f>
        <v>0</v>
      </c>
      <c r="M579" s="255">
        <f>M580+M581</f>
        <v>0</v>
      </c>
      <c r="N579" s="255">
        <f>N580+N581</f>
        <v>0</v>
      </c>
      <c r="O579" s="255">
        <f>IF(L579&gt;0,N579*100/L579,0)</f>
        <v>0</v>
      </c>
      <c r="P579" s="255">
        <f>IF(M579&gt;0,N579*100/M579,0)</f>
        <v>0</v>
      </c>
      <c r="Q579" s="255">
        <f>Q580+Q581</f>
        <v>0</v>
      </c>
      <c r="R579" s="255">
        <f>R580+R581</f>
        <v>0</v>
      </c>
      <c r="S579" s="255">
        <f>S580+S581</f>
        <v>0</v>
      </c>
      <c r="T579" s="255">
        <f>IF(Q579&gt;0,S579*100/Q579,0)</f>
        <v>0</v>
      </c>
      <c r="U579" s="255">
        <f>IF(R579&gt;0,S579*100/R579,0)</f>
        <v>0</v>
      </c>
    </row>
    <row r="580" spans="1:21" ht="18.75" hidden="1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103">
        <v>0</v>
      </c>
      <c r="M580" s="102">
        <v>0</v>
      </c>
      <c r="N580" s="102">
        <v>0</v>
      </c>
      <c r="O580" s="102">
        <f>IF(L580&gt;0,N580*100/L580,0)</f>
        <v>0</v>
      </c>
      <c r="P580" s="102">
        <f>IF(M580&gt;0,N580*100/M580,0)</f>
        <v>0</v>
      </c>
      <c r="Q580" s="102">
        <v>0</v>
      </c>
      <c r="R580" s="102">
        <v>0</v>
      </c>
      <c r="S580" s="102">
        <v>0</v>
      </c>
      <c r="T580" s="102">
        <f>IF(Q580&gt;0,S580*100/Q580,0)</f>
        <v>0</v>
      </c>
      <c r="U580" s="102">
        <f>IF(R580&gt;0,S580*100/R580,0)</f>
        <v>0</v>
      </c>
    </row>
    <row r="581" spans="1:21" ht="18.75" hidden="1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256">
        <v>0</v>
      </c>
      <c r="M581" s="255">
        <v>0</v>
      </c>
      <c r="N581" s="255">
        <v>0</v>
      </c>
      <c r="O581" s="255">
        <f>IF(L581&gt;0,N581*100/L581,0)</f>
        <v>0</v>
      </c>
      <c r="P581" s="255">
        <f>IF(M581&gt;0,N581*100/M581,0)</f>
        <v>0</v>
      </c>
      <c r="Q581" s="255">
        <v>0</v>
      </c>
      <c r="R581" s="255">
        <v>0</v>
      </c>
      <c r="S581" s="255">
        <v>0</v>
      </c>
      <c r="T581" s="255">
        <f>IF(Q581&gt;0,S581*100/Q581,0)</f>
        <v>0</v>
      </c>
      <c r="U581" s="255">
        <f>IF(R581&gt;0,S581*100/R581,0)</f>
        <v>0</v>
      </c>
    </row>
    <row r="582" spans="1:21" ht="18.75" hidden="1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256">
        <f>L583+L584</f>
        <v>0</v>
      </c>
      <c r="M582" s="255">
        <f>M583+M584</f>
        <v>0</v>
      </c>
      <c r="N582" s="255">
        <f>N583+N584</f>
        <v>0</v>
      </c>
      <c r="O582" s="255">
        <f>IF(L582&gt;0,N582*100/L582,0)</f>
        <v>0</v>
      </c>
      <c r="P582" s="255">
        <f>IF(M582&gt;0,N582*100/M582,0)</f>
        <v>0</v>
      </c>
      <c r="Q582" s="255">
        <f>Q583+Q584</f>
        <v>0</v>
      </c>
      <c r="R582" s="255">
        <f>R583+R584</f>
        <v>0</v>
      </c>
      <c r="S582" s="255">
        <f>S583+S584</f>
        <v>0</v>
      </c>
      <c r="T582" s="255">
        <f>IF(Q582&gt;0,S582*100/Q582,0)</f>
        <v>0</v>
      </c>
      <c r="U582" s="255">
        <f>IF(R582&gt;0,S582*100/R582,0)</f>
        <v>0</v>
      </c>
    </row>
    <row r="583" spans="1:21" ht="18.75" hidden="1">
      <c r="A583" s="155"/>
      <c r="B583" s="50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103">
        <v>0</v>
      </c>
      <c r="M583" s="102">
        <v>0</v>
      </c>
      <c r="N583" s="102">
        <v>0</v>
      </c>
      <c r="O583" s="102">
        <f>IF(L583&gt;0,N583*100/L583,0)</f>
        <v>0</v>
      </c>
      <c r="P583" s="102">
        <f>IF(M583&gt;0,N583*100/M583,0)</f>
        <v>0</v>
      </c>
      <c r="Q583" s="102">
        <v>0</v>
      </c>
      <c r="R583" s="102">
        <v>0</v>
      </c>
      <c r="S583" s="102">
        <v>0</v>
      </c>
      <c r="T583" s="102">
        <f>IF(Q583&gt;0,S583*100/Q583,0)</f>
        <v>0</v>
      </c>
      <c r="U583" s="102">
        <f>IF(R583&gt;0,S583*100/R583,0)</f>
        <v>0</v>
      </c>
    </row>
    <row r="584" spans="1:21" ht="18.75" hidden="1">
      <c r="A584" s="155"/>
      <c r="B584" s="50"/>
      <c r="C584" s="50"/>
      <c r="D584" s="50"/>
      <c r="E584" s="58" t="s">
        <v>21</v>
      </c>
      <c r="F584" s="50"/>
      <c r="G584" s="52"/>
      <c r="H584" s="165" t="s">
        <v>14</v>
      </c>
      <c r="I584" s="163"/>
      <c r="J584" s="163"/>
      <c r="K584" s="164"/>
      <c r="L584" s="256">
        <v>0</v>
      </c>
      <c r="M584" s="255">
        <v>0</v>
      </c>
      <c r="N584" s="255">
        <v>0</v>
      </c>
      <c r="O584" s="255">
        <f>IF(L584&gt;0,N584*100/L584,0)</f>
        <v>0</v>
      </c>
      <c r="P584" s="255">
        <f>IF(M584&gt;0,N584*100/M584,0)</f>
        <v>0</v>
      </c>
      <c r="Q584" s="255">
        <v>0</v>
      </c>
      <c r="R584" s="255">
        <v>0</v>
      </c>
      <c r="S584" s="255">
        <v>0</v>
      </c>
      <c r="T584" s="255">
        <f>IF(Q584&gt;0,S584*100/Q584,0)</f>
        <v>0</v>
      </c>
      <c r="U584" s="255">
        <f>IF(R584&gt;0,S584*100/R584,0)</f>
        <v>0</v>
      </c>
    </row>
    <row r="585" spans="1:21" ht="19.5" hidden="1">
      <c r="A585" s="166"/>
      <c r="B585" s="167"/>
      <c r="C585" s="411" t="s">
        <v>18</v>
      </c>
      <c r="D585" s="566" t="s">
        <v>38</v>
      </c>
      <c r="E585" s="169"/>
      <c r="F585" s="169"/>
      <c r="G585" s="170"/>
      <c r="H585" s="171"/>
      <c r="I585" s="163"/>
      <c r="J585" s="54"/>
      <c r="K585" s="55"/>
      <c r="L585" s="62"/>
      <c r="M585" s="55"/>
      <c r="N585" s="55"/>
      <c r="O585" s="164"/>
      <c r="P585" s="164"/>
      <c r="Q585" s="55"/>
      <c r="R585" s="55"/>
      <c r="S585" s="55"/>
      <c r="T585" s="164"/>
      <c r="U585" s="164"/>
    </row>
    <row r="586" spans="1:21" ht="12.75" hidden="1">
      <c r="A586" s="258"/>
      <c r="B586" s="260"/>
      <c r="C586" s="259"/>
      <c r="D586" s="260"/>
      <c r="E586" s="259"/>
      <c r="F586" s="260"/>
      <c r="G586" s="261"/>
      <c r="H586" s="261"/>
      <c r="I586" s="263"/>
      <c r="J586" s="263"/>
      <c r="K586" s="264"/>
      <c r="L586" s="265"/>
      <c r="M586" s="264"/>
      <c r="N586" s="264"/>
      <c r="O586" s="264"/>
      <c r="P586" s="264"/>
      <c r="Q586" s="264"/>
      <c r="R586" s="264"/>
      <c r="S586" s="264"/>
      <c r="T586" s="264"/>
      <c r="U586" s="264"/>
    </row>
    <row r="587" spans="1:21" ht="12.75" hidden="1">
      <c r="A587" s="258"/>
      <c r="B587" s="260"/>
      <c r="C587" s="259"/>
      <c r="D587" s="260"/>
      <c r="E587" s="259"/>
      <c r="F587" s="260"/>
      <c r="G587" s="261"/>
      <c r="H587" s="261"/>
      <c r="I587" s="263"/>
      <c r="J587" s="263"/>
      <c r="K587" s="264"/>
      <c r="L587" s="265"/>
      <c r="M587" s="264"/>
      <c r="N587" s="264"/>
      <c r="O587" s="264"/>
      <c r="P587" s="264"/>
      <c r="Q587" s="264"/>
      <c r="R587" s="264"/>
      <c r="S587" s="264"/>
      <c r="T587" s="264"/>
      <c r="U587" s="264"/>
    </row>
    <row r="588" spans="1:21" ht="12.75" hidden="1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5"/>
      <c r="M588" s="264"/>
      <c r="N588" s="264"/>
      <c r="O588" s="264"/>
      <c r="P588" s="264"/>
      <c r="Q588" s="264"/>
      <c r="R588" s="264"/>
      <c r="S588" s="264"/>
      <c r="T588" s="264"/>
      <c r="U588" s="264"/>
    </row>
    <row r="589" spans="1:21" ht="12.75" hidden="1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5"/>
      <c r="M589" s="264"/>
      <c r="N589" s="264"/>
      <c r="O589" s="264"/>
      <c r="P589" s="264"/>
      <c r="Q589" s="264"/>
      <c r="R589" s="264"/>
      <c r="S589" s="264"/>
      <c r="T589" s="264"/>
      <c r="U589" s="264"/>
    </row>
    <row r="590" spans="1:21" ht="12.75" hidden="1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5"/>
      <c r="M590" s="264"/>
      <c r="N590" s="264"/>
      <c r="O590" s="264"/>
      <c r="P590" s="264"/>
      <c r="Q590" s="264"/>
      <c r="R590" s="264"/>
      <c r="S590" s="264"/>
      <c r="T590" s="264"/>
      <c r="U590" s="264"/>
    </row>
    <row r="591" spans="1:21" ht="12.75" hidden="1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5"/>
      <c r="M591" s="264"/>
      <c r="N591" s="264"/>
      <c r="O591" s="264"/>
      <c r="P591" s="264"/>
      <c r="Q591" s="264"/>
      <c r="R591" s="264"/>
      <c r="S591" s="264"/>
      <c r="T591" s="264"/>
      <c r="U591" s="264"/>
    </row>
    <row r="592" spans="1:21" ht="12.75" hidden="1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5"/>
      <c r="M592" s="264"/>
      <c r="N592" s="264"/>
      <c r="O592" s="264"/>
      <c r="P592" s="264"/>
      <c r="Q592" s="264"/>
      <c r="R592" s="264"/>
      <c r="S592" s="264"/>
      <c r="T592" s="264"/>
      <c r="U592" s="264"/>
    </row>
    <row r="593" spans="1:21" ht="12.75" hidden="1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5"/>
      <c r="M593" s="264"/>
      <c r="N593" s="264"/>
      <c r="O593" s="264"/>
      <c r="P593" s="264"/>
      <c r="Q593" s="264"/>
      <c r="R593" s="264"/>
      <c r="S593" s="264"/>
      <c r="T593" s="264"/>
      <c r="U593" s="264"/>
    </row>
    <row r="594" spans="1:21" ht="12.75" hidden="1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5"/>
      <c r="M594" s="264"/>
      <c r="N594" s="264"/>
      <c r="O594" s="264"/>
      <c r="P594" s="264"/>
      <c r="Q594" s="264"/>
      <c r="R594" s="264"/>
      <c r="S594" s="264"/>
      <c r="T594" s="264"/>
      <c r="U594" s="264"/>
    </row>
    <row r="595" spans="1:21" ht="12.75" hidden="1">
      <c r="A595" s="407"/>
      <c r="B595" s="360"/>
      <c r="C595" s="360"/>
      <c r="D595" s="408"/>
      <c r="E595" s="408"/>
      <c r="F595" s="408"/>
      <c r="G595" s="409"/>
      <c r="H595" s="361"/>
      <c r="I595" s="362"/>
      <c r="J595" s="362"/>
      <c r="K595" s="363"/>
      <c r="L595" s="364"/>
      <c r="M595" s="363"/>
      <c r="N595" s="363"/>
      <c r="O595" s="363"/>
      <c r="P595" s="363"/>
      <c r="Q595" s="363"/>
      <c r="R595" s="363"/>
      <c r="S595" s="363"/>
      <c r="T595" s="363"/>
      <c r="U595" s="363"/>
    </row>
    <row r="596" spans="1:21" ht="19.5" hidden="1">
      <c r="A596" s="412" t="s">
        <v>214</v>
      </c>
      <c r="B596" s="144"/>
      <c r="C596" s="196"/>
      <c r="D596" s="144"/>
      <c r="E596" s="144"/>
      <c r="F596" s="144"/>
      <c r="G596" s="144"/>
      <c r="H596" s="145"/>
      <c r="I596" s="197"/>
      <c r="J596" s="197"/>
      <c r="K596" s="19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8"/>
    </row>
    <row r="597" spans="1:21" ht="19.5" hidden="1">
      <c r="A597" s="150"/>
      <c r="B597" s="413" t="s">
        <v>215</v>
      </c>
      <c r="C597" s="200"/>
      <c r="D597" s="151"/>
      <c r="E597" s="34"/>
      <c r="F597" s="34"/>
      <c r="G597" s="34"/>
      <c r="H597" s="414" t="s">
        <v>99</v>
      </c>
      <c r="I597" s="210"/>
      <c r="J597" s="39"/>
      <c r="K597" s="40"/>
      <c r="L597" s="154"/>
      <c r="M597" s="40"/>
      <c r="N597" s="40"/>
      <c r="O597" s="40"/>
      <c r="P597" s="40"/>
      <c r="Q597" s="40"/>
      <c r="R597" s="40"/>
      <c r="S597" s="40"/>
      <c r="T597" s="40"/>
      <c r="U597" s="40"/>
    </row>
    <row r="598" spans="1:21" ht="19.5" hidden="1">
      <c r="A598" s="415"/>
      <c r="B598" s="416" t="s">
        <v>216</v>
      </c>
      <c r="C598" s="151"/>
      <c r="D598" s="34"/>
      <c r="E598" s="34"/>
      <c r="F598" s="34"/>
      <c r="G598" s="37"/>
      <c r="H598" s="417" t="s">
        <v>35</v>
      </c>
      <c r="I598" s="39"/>
      <c r="J598" s="39"/>
      <c r="K598" s="40"/>
      <c r="L598" s="154"/>
      <c r="M598" s="40"/>
      <c r="N598" s="40"/>
      <c r="O598" s="40"/>
      <c r="P598" s="40"/>
      <c r="Q598" s="40"/>
      <c r="R598" s="40"/>
      <c r="S598" s="40"/>
      <c r="T598" s="40"/>
      <c r="U598" s="40"/>
    </row>
    <row r="599" spans="1:21" ht="19.5" hidden="1">
      <c r="A599" s="155"/>
      <c r="B599" s="188"/>
      <c r="C599" s="205" t="s">
        <v>18</v>
      </c>
      <c r="D599" s="563" t="s">
        <v>19</v>
      </c>
      <c r="E599" s="529"/>
      <c r="F599" s="529"/>
      <c r="G599" s="530"/>
      <c r="H599" s="418" t="s">
        <v>14</v>
      </c>
      <c r="I599" s="54"/>
      <c r="J599" s="54"/>
      <c r="K599" s="55"/>
      <c r="L599" s="541">
        <f>L600+L601</f>
        <v>0</v>
      </c>
      <c r="M599" s="540">
        <f>M600+M601</f>
        <v>0</v>
      </c>
      <c r="N599" s="540">
        <f>N600+N601</f>
        <v>0</v>
      </c>
      <c r="O599" s="540">
        <f>IF(L599&gt;0,N599*100/L599,0)</f>
        <v>0</v>
      </c>
      <c r="P599" s="540">
        <f>IF(M599&gt;0,N599*100/M599,0)</f>
        <v>0</v>
      </c>
      <c r="Q599" s="540">
        <f>Q600+Q601</f>
        <v>0</v>
      </c>
      <c r="R599" s="540">
        <f>R600+R601</f>
        <v>0</v>
      </c>
      <c r="S599" s="540">
        <f>S600+S601</f>
        <v>0</v>
      </c>
      <c r="T599" s="540">
        <f>IF(Q599&gt;0,S599*100/Q599,0)</f>
        <v>0</v>
      </c>
      <c r="U599" s="540">
        <f>IF(R599&gt;0,S599*100/R599,0)</f>
        <v>0</v>
      </c>
    </row>
    <row r="600" spans="1:21" ht="18.75" hidden="1">
      <c r="A600" s="155"/>
      <c r="B600" s="188"/>
      <c r="C600" s="188"/>
      <c r="D600" s="174"/>
      <c r="E600" s="186" t="s">
        <v>159</v>
      </c>
      <c r="F600" s="50"/>
      <c r="G600" s="52"/>
      <c r="H600" s="189" t="s">
        <v>14</v>
      </c>
      <c r="I600" s="54"/>
      <c r="J600" s="54"/>
      <c r="K600" s="55"/>
      <c r="L600" s="103">
        <f>L603+L606</f>
        <v>0</v>
      </c>
      <c r="M600" s="102">
        <f>M603+M606</f>
        <v>0</v>
      </c>
      <c r="N600" s="102">
        <f>N603+N606</f>
        <v>0</v>
      </c>
      <c r="O600" s="102">
        <f>IF(L600&gt;0,N600*100/L600,0)</f>
        <v>0</v>
      </c>
      <c r="P600" s="102">
        <f>IF(M600&gt;0,N600*100/M600,0)</f>
        <v>0</v>
      </c>
      <c r="Q600" s="102">
        <f>Q603+Q606</f>
        <v>0</v>
      </c>
      <c r="R600" s="102">
        <f>R603+R606</f>
        <v>0</v>
      </c>
      <c r="S600" s="102">
        <f>S603+S606</f>
        <v>0</v>
      </c>
      <c r="T600" s="102">
        <f>IF(Q600&gt;0,S600*100/Q600,0)</f>
        <v>0</v>
      </c>
      <c r="U600" s="102">
        <f>IF(R600&gt;0,S600*100/R600,0)</f>
        <v>0</v>
      </c>
    </row>
    <row r="601" spans="1:21" ht="18.75" hidden="1">
      <c r="A601" s="155"/>
      <c r="B601" s="188"/>
      <c r="C601" s="188"/>
      <c r="D601" s="174"/>
      <c r="E601" s="186" t="s">
        <v>160</v>
      </c>
      <c r="F601" s="50"/>
      <c r="G601" s="52"/>
      <c r="H601" s="189" t="s">
        <v>14</v>
      </c>
      <c r="I601" s="54"/>
      <c r="J601" s="54"/>
      <c r="K601" s="55"/>
      <c r="L601" s="256">
        <f>L604+L607</f>
        <v>0</v>
      </c>
      <c r="M601" s="255">
        <f>M604+M607</f>
        <v>0</v>
      </c>
      <c r="N601" s="255">
        <f>N604+N607</f>
        <v>0</v>
      </c>
      <c r="O601" s="255">
        <f>IF(L601&gt;0,N601*100/L601,0)</f>
        <v>0</v>
      </c>
      <c r="P601" s="255">
        <f>IF(M601&gt;0,N601*100/M601,0)</f>
        <v>0</v>
      </c>
      <c r="Q601" s="255">
        <f>Q604+Q607</f>
        <v>0</v>
      </c>
      <c r="R601" s="255">
        <f>R604+R607</f>
        <v>0</v>
      </c>
      <c r="S601" s="255">
        <f>S604+S607</f>
        <v>0</v>
      </c>
      <c r="T601" s="255">
        <f>IF(Q601&gt;0,S601*100/Q601,0)</f>
        <v>0</v>
      </c>
      <c r="U601" s="255">
        <f>IF(R601&gt;0,S601*100/R601,0)</f>
        <v>0</v>
      </c>
    </row>
    <row r="602" spans="1:21" ht="19.5" hidden="1">
      <c r="A602" s="155"/>
      <c r="B602" s="188"/>
      <c r="C602" s="188"/>
      <c r="D602" s="562" t="s">
        <v>22</v>
      </c>
      <c r="E602" s="50"/>
      <c r="F602" s="50"/>
      <c r="G602" s="52"/>
      <c r="H602" s="418" t="s">
        <v>14</v>
      </c>
      <c r="I602" s="163"/>
      <c r="J602" s="163"/>
      <c r="K602" s="164"/>
      <c r="L602" s="256">
        <f>L603+L604</f>
        <v>0</v>
      </c>
      <c r="M602" s="255">
        <f>M603+M604</f>
        <v>0</v>
      </c>
      <c r="N602" s="255">
        <f>N603+N604</f>
        <v>0</v>
      </c>
      <c r="O602" s="255">
        <f>IF(L602&gt;0,N602*100/L602,0)</f>
        <v>0</v>
      </c>
      <c r="P602" s="255">
        <f>IF(M602&gt;0,N602*100/M602,0)</f>
        <v>0</v>
      </c>
      <c r="Q602" s="255">
        <f>Q603+Q604</f>
        <v>0</v>
      </c>
      <c r="R602" s="255">
        <f>R603+R604</f>
        <v>0</v>
      </c>
      <c r="S602" s="255">
        <f>S603+S604</f>
        <v>0</v>
      </c>
      <c r="T602" s="255">
        <f>IF(Q602&gt;0,S602*100/Q602,0)</f>
        <v>0</v>
      </c>
      <c r="U602" s="255">
        <f>IF(R602&gt;0,S602*100/R602,0)</f>
        <v>0</v>
      </c>
    </row>
    <row r="603" spans="1:21" ht="18.75" hidden="1">
      <c r="A603" s="155"/>
      <c r="B603" s="188"/>
      <c r="C603" s="188"/>
      <c r="D603" s="174"/>
      <c r="E603" s="186" t="s">
        <v>159</v>
      </c>
      <c r="F603" s="50"/>
      <c r="G603" s="52"/>
      <c r="H603" s="189" t="s">
        <v>14</v>
      </c>
      <c r="I603" s="54"/>
      <c r="J603" s="54"/>
      <c r="K603" s="55"/>
      <c r="L603" s="103">
        <v>0</v>
      </c>
      <c r="M603" s="102">
        <v>0</v>
      </c>
      <c r="N603" s="102">
        <v>0</v>
      </c>
      <c r="O603" s="102">
        <f>IF(L603&gt;0,N603*100/L603,0)</f>
        <v>0</v>
      </c>
      <c r="P603" s="102">
        <f>IF(M603&gt;0,N603*100/M603,0)</f>
        <v>0</v>
      </c>
      <c r="Q603" s="102">
        <v>0</v>
      </c>
      <c r="R603" s="102">
        <v>0</v>
      </c>
      <c r="S603" s="102">
        <v>0</v>
      </c>
      <c r="T603" s="102">
        <f>IF(Q603&gt;0,S603*100/Q603,0)</f>
        <v>0</v>
      </c>
      <c r="U603" s="102">
        <f>IF(R603&gt;0,S603*100/R603,0)</f>
        <v>0</v>
      </c>
    </row>
    <row r="604" spans="1:21" ht="18.75" hidden="1">
      <c r="A604" s="155"/>
      <c r="B604" s="188"/>
      <c r="C604" s="188"/>
      <c r="D604" s="174"/>
      <c r="E604" s="186" t="s">
        <v>160</v>
      </c>
      <c r="F604" s="50"/>
      <c r="G604" s="52"/>
      <c r="H604" s="189" t="s">
        <v>14</v>
      </c>
      <c r="I604" s="54"/>
      <c r="J604" s="54"/>
      <c r="K604" s="55"/>
      <c r="L604" s="256">
        <v>0</v>
      </c>
      <c r="M604" s="255">
        <v>0</v>
      </c>
      <c r="N604" s="255">
        <v>0</v>
      </c>
      <c r="O604" s="255">
        <f>IF(L604&gt;0,N604*100/L604,0)</f>
        <v>0</v>
      </c>
      <c r="P604" s="255">
        <f>IF(M604&gt;0,N604*100/M604,0)</f>
        <v>0</v>
      </c>
      <c r="Q604" s="255">
        <v>0</v>
      </c>
      <c r="R604" s="255">
        <v>0</v>
      </c>
      <c r="S604" s="255">
        <v>0</v>
      </c>
      <c r="T604" s="255">
        <f>IF(Q604&gt;0,S604*100/Q604,0)</f>
        <v>0</v>
      </c>
      <c r="U604" s="255">
        <f>IF(R604&gt;0,S604*100/R604,0)</f>
        <v>0</v>
      </c>
    </row>
    <row r="605" spans="1:21" ht="19.5" hidden="1">
      <c r="A605" s="155"/>
      <c r="B605" s="188"/>
      <c r="C605" s="188"/>
      <c r="D605" s="562" t="s">
        <v>23</v>
      </c>
      <c r="E605" s="188"/>
      <c r="F605" s="50"/>
      <c r="G605" s="52"/>
      <c r="H605" s="420" t="s">
        <v>14</v>
      </c>
      <c r="I605" s="163"/>
      <c r="J605" s="163"/>
      <c r="K605" s="164"/>
      <c r="L605" s="256">
        <f>L606+L607</f>
        <v>0</v>
      </c>
      <c r="M605" s="255">
        <f>M606+M607</f>
        <v>0</v>
      </c>
      <c r="N605" s="255">
        <f>N606+N607</f>
        <v>0</v>
      </c>
      <c r="O605" s="255">
        <f>IF(L605&gt;0,N605*100/L605,0)</f>
        <v>0</v>
      </c>
      <c r="P605" s="255">
        <f>IF(M605&gt;0,N605*100/M605,0)</f>
        <v>0</v>
      </c>
      <c r="Q605" s="255">
        <f>Q606+Q607</f>
        <v>0</v>
      </c>
      <c r="R605" s="255">
        <f>R606+R607</f>
        <v>0</v>
      </c>
      <c r="S605" s="255">
        <f>S606+S607</f>
        <v>0</v>
      </c>
      <c r="T605" s="255">
        <f>IF(Q605&gt;0,S605*100/Q605,0)</f>
        <v>0</v>
      </c>
      <c r="U605" s="255">
        <f>IF(R605&gt;0,S605*100/R605,0)</f>
        <v>0</v>
      </c>
    </row>
    <row r="606" spans="1:21" ht="18.75" hidden="1">
      <c r="A606" s="155"/>
      <c r="B606" s="188"/>
      <c r="C606" s="188"/>
      <c r="D606" s="188"/>
      <c r="E606" s="358" t="s">
        <v>20</v>
      </c>
      <c r="F606" s="50"/>
      <c r="G606" s="52"/>
      <c r="H606" s="189" t="s">
        <v>14</v>
      </c>
      <c r="I606" s="163"/>
      <c r="J606" s="163"/>
      <c r="K606" s="164"/>
      <c r="L606" s="103">
        <v>0</v>
      </c>
      <c r="M606" s="102">
        <v>0</v>
      </c>
      <c r="N606" s="102">
        <v>0</v>
      </c>
      <c r="O606" s="102">
        <f>IF(L606&gt;0,N606*100/L606,0)</f>
        <v>0</v>
      </c>
      <c r="P606" s="102">
        <f>IF(M606&gt;0,N606*100/M606,0)</f>
        <v>0</v>
      </c>
      <c r="Q606" s="102">
        <v>0</v>
      </c>
      <c r="R606" s="102">
        <v>0</v>
      </c>
      <c r="S606" s="102">
        <v>0</v>
      </c>
      <c r="T606" s="102">
        <f>IF(Q606&gt;0,S606*100/Q606,0)</f>
        <v>0</v>
      </c>
      <c r="U606" s="102">
        <f>IF(R606&gt;0,S606*100/R606,0)</f>
        <v>0</v>
      </c>
    </row>
    <row r="607" spans="1:21" ht="18.75" hidden="1">
      <c r="A607" s="155"/>
      <c r="B607" s="188"/>
      <c r="C607" s="188"/>
      <c r="D607" s="50"/>
      <c r="E607" s="358" t="s">
        <v>21</v>
      </c>
      <c r="F607" s="50"/>
      <c r="G607" s="52"/>
      <c r="H607" s="421" t="s">
        <v>14</v>
      </c>
      <c r="I607" s="163"/>
      <c r="J607" s="163"/>
      <c r="K607" s="164"/>
      <c r="L607" s="256">
        <v>0</v>
      </c>
      <c r="M607" s="255">
        <v>0</v>
      </c>
      <c r="N607" s="255">
        <v>0</v>
      </c>
      <c r="O607" s="255">
        <f>IF(L607&gt;0,N607*100/L607,0)</f>
        <v>0</v>
      </c>
      <c r="P607" s="255">
        <f>IF(M607&gt;0,N607*100/M607,0)</f>
        <v>0</v>
      </c>
      <c r="Q607" s="255">
        <v>0</v>
      </c>
      <c r="R607" s="255">
        <v>0</v>
      </c>
      <c r="S607" s="255">
        <v>0</v>
      </c>
      <c r="T607" s="255">
        <f>IF(Q607&gt;0,S607*100/Q607,0)</f>
        <v>0</v>
      </c>
      <c r="U607" s="255">
        <f>IF(R607&gt;0,S607*100/R607,0)</f>
        <v>0</v>
      </c>
    </row>
    <row r="608" spans="1:21" ht="19.5" hidden="1">
      <c r="A608" s="166"/>
      <c r="B608" s="167"/>
      <c r="C608" s="205" t="s">
        <v>18</v>
      </c>
      <c r="D608" s="574" t="s">
        <v>38</v>
      </c>
      <c r="E608" s="169"/>
      <c r="F608" s="169"/>
      <c r="G608" s="170"/>
      <c r="H608" s="206"/>
      <c r="I608" s="163"/>
      <c r="J608" s="163"/>
      <c r="K608" s="164"/>
      <c r="L608" s="62"/>
      <c r="M608" s="55"/>
      <c r="N608" s="55"/>
      <c r="O608" s="55"/>
      <c r="P608" s="55"/>
      <c r="Q608" s="55"/>
      <c r="R608" s="55"/>
      <c r="S608" s="55"/>
      <c r="T608" s="55"/>
      <c r="U608" s="55"/>
    </row>
    <row r="609" spans="1:21" ht="18.75" hidden="1">
      <c r="A609" s="166"/>
      <c r="B609" s="167"/>
      <c r="C609" s="167"/>
      <c r="D609" s="423" t="s">
        <v>217</v>
      </c>
      <c r="E609" s="174"/>
      <c r="F609" s="174"/>
      <c r="G609" s="171"/>
      <c r="H609" s="189" t="s">
        <v>99</v>
      </c>
      <c r="I609" s="54"/>
      <c r="J609" s="54"/>
      <c r="K609" s="164"/>
      <c r="L609" s="62"/>
      <c r="M609" s="55"/>
      <c r="N609" s="55"/>
      <c r="O609" s="55"/>
      <c r="P609" s="55"/>
      <c r="Q609" s="55"/>
      <c r="R609" s="55"/>
      <c r="S609" s="55"/>
      <c r="T609" s="55"/>
      <c r="U609" s="55"/>
    </row>
    <row r="610" spans="1:21" ht="19.5" hidden="1">
      <c r="A610" s="166"/>
      <c r="B610" s="167"/>
      <c r="C610" s="167"/>
      <c r="D610" s="423" t="s">
        <v>218</v>
      </c>
      <c r="E610" s="174"/>
      <c r="F610" s="174"/>
      <c r="G610" s="171"/>
      <c r="H610" s="418" t="s">
        <v>35</v>
      </c>
      <c r="I610" s="54"/>
      <c r="J610" s="54"/>
      <c r="K610" s="164"/>
      <c r="L610" s="62"/>
      <c r="M610" s="55"/>
      <c r="N610" s="55"/>
      <c r="O610" s="55"/>
      <c r="P610" s="55"/>
      <c r="Q610" s="55"/>
      <c r="R610" s="55"/>
      <c r="S610" s="55"/>
      <c r="T610" s="55"/>
      <c r="U610" s="55"/>
    </row>
    <row r="611" spans="1:21" ht="18.75" hidden="1">
      <c r="A611" s="166"/>
      <c r="B611" s="167"/>
      <c r="C611" s="167"/>
      <c r="D611" s="167"/>
      <c r="E611" s="423" t="s">
        <v>219</v>
      </c>
      <c r="F611" s="174"/>
      <c r="G611" s="171"/>
      <c r="H611" s="421" t="s">
        <v>35</v>
      </c>
      <c r="I611" s="54"/>
      <c r="J611" s="54"/>
      <c r="K611" s="164"/>
      <c r="L611" s="62"/>
      <c r="M611" s="55"/>
      <c r="N611" s="55"/>
      <c r="O611" s="55"/>
      <c r="P611" s="55"/>
      <c r="Q611" s="55"/>
      <c r="R611" s="55"/>
      <c r="S611" s="55"/>
      <c r="T611" s="55"/>
      <c r="U611" s="55"/>
    </row>
    <row r="612" spans="1:21" ht="19.5" hidden="1" thickBot="1">
      <c r="A612" s="424"/>
      <c r="B612" s="425"/>
      <c r="C612" s="425"/>
      <c r="D612" s="425"/>
      <c r="E612" s="426" t="s">
        <v>220</v>
      </c>
      <c r="F612" s="427"/>
      <c r="G612" s="428"/>
      <c r="H612" s="429" t="s">
        <v>35</v>
      </c>
      <c r="I612" s="430"/>
      <c r="J612" s="430"/>
      <c r="K612" s="431"/>
      <c r="L612" s="433"/>
      <c r="M612" s="432"/>
      <c r="N612" s="432"/>
      <c r="O612" s="432"/>
      <c r="P612" s="432"/>
      <c r="Q612" s="432"/>
      <c r="R612" s="432"/>
      <c r="S612" s="432"/>
      <c r="T612" s="432"/>
      <c r="U612" s="432"/>
    </row>
    <row r="613" spans="1:21" ht="19.5" hidden="1">
      <c r="A613" s="434" t="s">
        <v>221</v>
      </c>
      <c r="B613" s="435"/>
      <c r="C613" s="435"/>
      <c r="D613" s="436"/>
      <c r="E613" s="436"/>
      <c r="F613" s="436"/>
      <c r="G613" s="437"/>
      <c r="H613" s="438"/>
      <c r="I613" s="439"/>
      <c r="J613" s="439"/>
      <c r="K613" s="440"/>
      <c r="L613" s="441"/>
      <c r="M613" s="440"/>
      <c r="N613" s="440"/>
      <c r="O613" s="440"/>
      <c r="P613" s="440"/>
      <c r="Q613" s="440"/>
      <c r="R613" s="440"/>
      <c r="S613" s="440"/>
      <c r="T613" s="440"/>
      <c r="U613" s="440"/>
    </row>
    <row r="614" spans="1:21" ht="19.5">
      <c r="A614" s="442"/>
      <c r="B614" s="443" t="s">
        <v>222</v>
      </c>
      <c r="C614" s="442"/>
      <c r="D614" s="444"/>
      <c r="E614" s="444"/>
      <c r="F614" s="444"/>
      <c r="G614" s="445"/>
      <c r="H614" s="446"/>
      <c r="I614" s="447"/>
      <c r="J614" s="447"/>
      <c r="K614" s="448"/>
      <c r="L614" s="449"/>
      <c r="M614" s="448"/>
      <c r="N614" s="448"/>
      <c r="O614" s="448"/>
      <c r="P614" s="448"/>
      <c r="Q614" s="448"/>
      <c r="R614" s="448"/>
      <c r="S614" s="448"/>
      <c r="T614" s="448"/>
      <c r="U614" s="448"/>
    </row>
    <row r="615" spans="1:21" ht="19.5">
      <c r="A615" s="450"/>
      <c r="B615" s="451" t="s">
        <v>223</v>
      </c>
      <c r="C615" s="450"/>
      <c r="D615" s="452"/>
      <c r="E615" s="452"/>
      <c r="F615" s="452"/>
      <c r="G615" s="453"/>
      <c r="H615" s="454" t="s">
        <v>46</v>
      </c>
      <c r="I615" s="573">
        <f ca="1">I626</f>
        <v>0</v>
      </c>
      <c r="J615" s="573">
        <f>J626</f>
        <v>0</v>
      </c>
      <c r="K615" s="572">
        <f ca="1">IF(I615&gt;0,J615*100/I615,0)</f>
        <v>0</v>
      </c>
      <c r="L615" s="458"/>
      <c r="M615" s="457"/>
      <c r="N615" s="457"/>
      <c r="O615" s="457"/>
      <c r="P615" s="457"/>
      <c r="Q615" s="457"/>
      <c r="R615" s="457"/>
      <c r="S615" s="457"/>
      <c r="T615" s="457"/>
      <c r="U615" s="457"/>
    </row>
    <row r="616" spans="1:21" ht="19.5">
      <c r="A616" s="155"/>
      <c r="B616" s="188"/>
      <c r="C616" s="205" t="s">
        <v>18</v>
      </c>
      <c r="D616" s="542" t="s">
        <v>19</v>
      </c>
      <c r="E616" s="529"/>
      <c r="F616" s="529"/>
      <c r="G616" s="530"/>
      <c r="H616" s="252" t="s">
        <v>14</v>
      </c>
      <c r="I616" s="54"/>
      <c r="J616" s="54"/>
      <c r="K616" s="55"/>
      <c r="L616" s="541">
        <f>L617+L618</f>
        <v>0</v>
      </c>
      <c r="M616" s="540">
        <f>M617+M618</f>
        <v>0</v>
      </c>
      <c r="N616" s="540">
        <f>N617+N618</f>
        <v>0</v>
      </c>
      <c r="O616" s="540">
        <f>IF(L616&gt;0,N616*100/L616,0)</f>
        <v>0</v>
      </c>
      <c r="P616" s="540">
        <f>IF(M616&gt;0,N616*100/M616,0)</f>
        <v>0</v>
      </c>
      <c r="Q616" s="540">
        <f ca="1">Q617+Q618</f>
        <v>1800</v>
      </c>
      <c r="R616" s="540">
        <f ca="1">R617+R618</f>
        <v>1800</v>
      </c>
      <c r="S616" s="540">
        <f ca="1">S617+S618</f>
        <v>0</v>
      </c>
      <c r="T616" s="540">
        <f ca="1">IF(Q616&gt;0,S616*100/Q616,0)</f>
        <v>0</v>
      </c>
      <c r="U616" s="540">
        <f ca="1">IF(R616&gt;0,S616*100/R616,0)</f>
        <v>0</v>
      </c>
    </row>
    <row r="617" spans="1:21" ht="18.75" hidden="1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103">
        <f>L620+L623</f>
        <v>0</v>
      </c>
      <c r="M617" s="102">
        <f>M620+M623</f>
        <v>0</v>
      </c>
      <c r="N617" s="102">
        <f>N620+N623</f>
        <v>0</v>
      </c>
      <c r="O617" s="102">
        <f>IF(L617&gt;0,N617*100/L617,0)</f>
        <v>0</v>
      </c>
      <c r="P617" s="102">
        <f>IF(M617&gt;0,N617*100/M617,0)</f>
        <v>0</v>
      </c>
      <c r="Q617" s="102">
        <f>Q620+Q623</f>
        <v>0</v>
      </c>
      <c r="R617" s="102">
        <f>R620+R623</f>
        <v>0</v>
      </c>
      <c r="S617" s="102">
        <f>S620+S623</f>
        <v>0</v>
      </c>
      <c r="T617" s="102">
        <f>IF(Q617&gt;0,S617*100/Q617,0)</f>
        <v>0</v>
      </c>
      <c r="U617" s="102">
        <f>IF(R617&gt;0,S617*100/R617,0)</f>
        <v>0</v>
      </c>
    </row>
    <row r="618" spans="1:21" ht="18.75" hidden="1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256">
        <f>L621+L624</f>
        <v>0</v>
      </c>
      <c r="M618" s="255">
        <f>M621+M624</f>
        <v>0</v>
      </c>
      <c r="N618" s="255">
        <f>N621+N624</f>
        <v>0</v>
      </c>
      <c r="O618" s="255">
        <f>IF(L618&gt;0,N618*100/L618,0)</f>
        <v>0</v>
      </c>
      <c r="P618" s="255">
        <f>IF(M618&gt;0,N618*100/M618,0)</f>
        <v>0</v>
      </c>
      <c r="Q618" s="255">
        <f ca="1">Q621+Q624</f>
        <v>1800</v>
      </c>
      <c r="R618" s="255">
        <f ca="1">R621+R624</f>
        <v>1800</v>
      </c>
      <c r="S618" s="255">
        <f ca="1">S621+S624</f>
        <v>0</v>
      </c>
      <c r="T618" s="255">
        <f ca="1">IF(Q618&gt;0,S618*100/Q618,0)</f>
        <v>0</v>
      </c>
      <c r="U618" s="255">
        <f ca="1">IF(R618&gt;0,S618*100/R618,0)</f>
        <v>0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256">
        <f>L620+L621</f>
        <v>0</v>
      </c>
      <c r="M619" s="255">
        <f>M620+M621</f>
        <v>0</v>
      </c>
      <c r="N619" s="255">
        <f>N620+N621</f>
        <v>0</v>
      </c>
      <c r="O619" s="255">
        <f>IF(L619&gt;0,N619*100/L619,0)</f>
        <v>0</v>
      </c>
      <c r="P619" s="255">
        <f>IF(M619&gt;0,N619*100/M619,0)</f>
        <v>0</v>
      </c>
      <c r="Q619" s="255">
        <f ca="1">Q620+Q621</f>
        <v>1800</v>
      </c>
      <c r="R619" s="255">
        <f ca="1">R620+R621</f>
        <v>1800</v>
      </c>
      <c r="S619" s="255">
        <f ca="1">S620+S621</f>
        <v>0</v>
      </c>
      <c r="T619" s="255">
        <f ca="1">IF(Q619&gt;0,S619*100/Q619,0)</f>
        <v>0</v>
      </c>
      <c r="U619" s="255">
        <f ca="1">IF(R619&gt;0,S619*100/R619,0)</f>
        <v>0</v>
      </c>
    </row>
    <row r="620" spans="1:21" ht="18.75" hidden="1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103">
        <v>0</v>
      </c>
      <c r="M620" s="102">
        <v>0</v>
      </c>
      <c r="N620" s="102">
        <v>0</v>
      </c>
      <c r="O620" s="102">
        <f>IF(L620&gt;0,N620*100/L620,0)</f>
        <v>0</v>
      </c>
      <c r="P620" s="102">
        <f>IF(M620&gt;0,N620*100/M620,0)</f>
        <v>0</v>
      </c>
      <c r="Q620" s="102">
        <v>0</v>
      </c>
      <c r="R620" s="102">
        <v>0</v>
      </c>
      <c r="S620" s="102">
        <v>0</v>
      </c>
      <c r="T620" s="102">
        <f>IF(Q620&gt;0,S620*100/Q620,0)</f>
        <v>0</v>
      </c>
      <c r="U620" s="102">
        <f>IF(R620&gt;0,S620*100/R620,0)</f>
        <v>0</v>
      </c>
    </row>
    <row r="621" spans="1:21" ht="18.75" hidden="1">
      <c r="A621" s="155"/>
      <c r="B621" s="188"/>
      <c r="C621" s="188"/>
      <c r="D621" s="174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256">
        <v>0</v>
      </c>
      <c r="M621" s="255">
        <v>0</v>
      </c>
      <c r="N621" s="255">
        <v>0</v>
      </c>
      <c r="O621" s="255">
        <f>IF(L621&gt;0,N621*100/L621,0)</f>
        <v>0</v>
      </c>
      <c r="P621" s="255">
        <f>IF(M621&gt;0,N621*100/M621,0)</f>
        <v>0</v>
      </c>
      <c r="Q621" s="255">
        <f ca="1">IFERROR(__xludf.DUMMYFUNCTION("IMPORTRANGE(""https://docs.google.com/spreadsheets/d/1ItG2mGa2ceCfYo0BwxsXqNm01IGEUdYcSSLTEv9YCik/edit?usp=sharing"",""เบิกจ่ายกองทุน!F37"")"),1800)</f>
        <v>1800</v>
      </c>
      <c r="R621" s="255">
        <f ca="1">IFERROR(__xludf.DUMMYFUNCTION("IMPORTRANGE(""https://docs.google.com/spreadsheets/d/1ItG2mGa2ceCfYo0BwxsXqNm01IGEUdYcSSLTEv9YCik/edit?usp=sharing"",""เบิกจ่ายกองทุน!G37"")"),1800)</f>
        <v>1800</v>
      </c>
      <c r="S621" s="255">
        <f ca="1">IFERROR(__xludf.DUMMYFUNCTION("IMPORTRANGE(""https://docs.google.com/spreadsheets/d/1ItG2mGa2ceCfYo0BwxsXqNm01IGEUdYcSSLTEv9YCik/edit?usp=sharing"",""เบิกจ่ายกองทุน!H37"")"),0)</f>
        <v>0</v>
      </c>
      <c r="T621" s="255">
        <f ca="1">IF(Q621&gt;0,S621*100/Q621,0)</f>
        <v>0</v>
      </c>
      <c r="U621" s="255">
        <f ca="1">IF(R621&gt;0,S621*100/R621,0)</f>
        <v>0</v>
      </c>
    </row>
    <row r="622" spans="1:21" ht="18.75">
      <c r="A622" s="155"/>
      <c r="B622" s="188"/>
      <c r="C622" s="188"/>
      <c r="D622" s="51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256">
        <f>L623+L624</f>
        <v>0</v>
      </c>
      <c r="M622" s="255">
        <f>M623+M624</f>
        <v>0</v>
      </c>
      <c r="N622" s="255">
        <f>N623+N624</f>
        <v>0</v>
      </c>
      <c r="O622" s="255">
        <f>IF(L622&gt;0,N622*100/L622,0)</f>
        <v>0</v>
      </c>
      <c r="P622" s="255">
        <f>IF(M622&gt;0,N622*100/M622,0)</f>
        <v>0</v>
      </c>
      <c r="Q622" s="255">
        <f>Q623+Q624</f>
        <v>0</v>
      </c>
      <c r="R622" s="255">
        <f>R623+R624</f>
        <v>0</v>
      </c>
      <c r="S622" s="255">
        <f>S623+S624</f>
        <v>0</v>
      </c>
      <c r="T622" s="255">
        <f>IF(Q622&gt;0,S622*100/Q622,0)</f>
        <v>0</v>
      </c>
      <c r="U622" s="255">
        <f>IF(R622&gt;0,S622*100/R622,0)</f>
        <v>0</v>
      </c>
    </row>
    <row r="623" spans="1:21" ht="18.75" hidden="1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103">
        <v>0</v>
      </c>
      <c r="M623" s="102">
        <v>0</v>
      </c>
      <c r="N623" s="102">
        <v>0</v>
      </c>
      <c r="O623" s="102">
        <f>IF(L623&gt;0,N623*100/L623,0)</f>
        <v>0</v>
      </c>
      <c r="P623" s="102">
        <f>IF(M623&gt;0,N623*100/M623,0)</f>
        <v>0</v>
      </c>
      <c r="Q623" s="102">
        <v>0</v>
      </c>
      <c r="R623" s="102">
        <v>0</v>
      </c>
      <c r="S623" s="102">
        <v>0</v>
      </c>
      <c r="T623" s="102">
        <f>IF(Q623&gt;0,S623*100/Q623,0)</f>
        <v>0</v>
      </c>
      <c r="U623" s="102">
        <f>IF(R623&gt;0,S623*100/R623,0)</f>
        <v>0</v>
      </c>
    </row>
    <row r="624" spans="1:21" ht="18.75" hidden="1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256">
        <v>0</v>
      </c>
      <c r="M624" s="255">
        <v>0</v>
      </c>
      <c r="N624" s="255">
        <v>0</v>
      </c>
      <c r="O624" s="255">
        <f>IF(L624&gt;0,N624*100/L624,0)</f>
        <v>0</v>
      </c>
      <c r="P624" s="255">
        <f>IF(M624&gt;0,N624*100/M624,0)</f>
        <v>0</v>
      </c>
      <c r="Q624" s="255">
        <v>0</v>
      </c>
      <c r="R624" s="255">
        <v>0</v>
      </c>
      <c r="S624" s="255">
        <v>0</v>
      </c>
      <c r="T624" s="255">
        <f>IF(Q624&gt;0,S624*100/Q624,0)</f>
        <v>0</v>
      </c>
      <c r="U624" s="255">
        <f>IF(R624&gt;0,S624*100/R624,0)</f>
        <v>0</v>
      </c>
    </row>
    <row r="625" spans="1:21" ht="19.5">
      <c r="A625" s="166"/>
      <c r="B625" s="167"/>
      <c r="C625" s="205" t="s">
        <v>18</v>
      </c>
      <c r="D625" s="539" t="s">
        <v>38</v>
      </c>
      <c r="E625" s="169"/>
      <c r="F625" s="169"/>
      <c r="G625" s="170"/>
      <c r="H625" s="206"/>
      <c r="I625" s="163"/>
      <c r="J625" s="163"/>
      <c r="K625" s="164"/>
      <c r="L625" s="172"/>
      <c r="M625" s="164"/>
      <c r="N625" s="164"/>
      <c r="O625" s="164"/>
      <c r="P625" s="164"/>
      <c r="Q625" s="164"/>
      <c r="R625" s="164"/>
      <c r="S625" s="164"/>
      <c r="T625" s="164"/>
      <c r="U625" s="164"/>
    </row>
    <row r="626" spans="1:21" ht="19.5">
      <c r="A626" s="166"/>
      <c r="B626" s="167"/>
      <c r="C626" s="167"/>
      <c r="D626" s="460" t="s">
        <v>224</v>
      </c>
      <c r="E626" s="174"/>
      <c r="F626" s="174"/>
      <c r="G626" s="171"/>
      <c r="H626" s="461" t="s">
        <v>46</v>
      </c>
      <c r="I626" s="373">
        <f ca="1">IFERROR(__xludf.DUMMYFUNCTION("IMPORTRANGE(""https://docs.google.com/spreadsheets/d/1eHaY18a8A9IcSdp1K8H6x8fbOy06t2VsZHhMHf-1x7Y/edit?usp=sharing"",""แผน!ID37"")"),0)</f>
        <v>0</v>
      </c>
      <c r="J626" s="373">
        <f>J632</f>
        <v>0</v>
      </c>
      <c r="K626" s="540">
        <f ca="1">IF(I626&gt;0,J626*100/I626,0)</f>
        <v>0</v>
      </c>
      <c r="L626" s="172"/>
      <c r="M626" s="164"/>
      <c r="N626" s="164"/>
      <c r="O626" s="164"/>
      <c r="P626" s="164"/>
      <c r="Q626" s="164"/>
      <c r="R626" s="164"/>
      <c r="S626" s="164"/>
      <c r="T626" s="164"/>
      <c r="U626" s="164"/>
    </row>
    <row r="627" spans="1:21" ht="18.75">
      <c r="A627" s="166"/>
      <c r="B627" s="167"/>
      <c r="C627" s="167"/>
      <c r="D627" s="167"/>
      <c r="E627" s="178" t="s">
        <v>225</v>
      </c>
      <c r="F627" s="174"/>
      <c r="G627" s="171"/>
      <c r="H627" s="165" t="s">
        <v>61</v>
      </c>
      <c r="I627" s="212">
        <f ca="1">IFERROR(__xludf.DUMMYFUNCTION("IMPORTRANGE(""https://docs.google.com/spreadsheets/d/1eHaY18a8A9IcSdp1K8H6x8fbOy06t2VsZHhMHf-1x7Y/edit?usp=sharing"",""แผน!IC37"")"),1)</f>
        <v>1</v>
      </c>
      <c r="J627" s="467">
        <v>0</v>
      </c>
      <c r="K627" s="255">
        <f ca="1">IF(I627&gt;0,(J627*100)/I627,0)</f>
        <v>0</v>
      </c>
      <c r="L627" s="172"/>
      <c r="M627" s="164"/>
      <c r="N627" s="164"/>
      <c r="O627" s="164"/>
      <c r="P627" s="164"/>
      <c r="Q627" s="164"/>
      <c r="R627" s="164"/>
      <c r="S627" s="164"/>
      <c r="T627" s="164"/>
      <c r="U627" s="164"/>
    </row>
    <row r="628" spans="1:21" ht="18.75">
      <c r="A628" s="166"/>
      <c r="B628" s="167"/>
      <c r="C628" s="167"/>
      <c r="D628" s="167"/>
      <c r="E628" s="178" t="s">
        <v>226</v>
      </c>
      <c r="F628" s="174"/>
      <c r="G628" s="171"/>
      <c r="H628" s="165" t="s">
        <v>61</v>
      </c>
      <c r="I628" s="212">
        <f ca="1">IFERROR(__xludf.DUMMYFUNCTION("IMPORTRANGE(""https://docs.google.com/spreadsheets/d/1eHaY18a8A9IcSdp1K8H6x8fbOy06t2VsZHhMHf-1x7Y/edit?usp=sharing"",""แผน!IC37"")"),1)</f>
        <v>1</v>
      </c>
      <c r="J628" s="467">
        <v>0</v>
      </c>
      <c r="K628" s="255">
        <f ca="1">IF(I628&gt;0,(J628*100)/I628,0)</f>
        <v>0</v>
      </c>
      <c r="L628" s="172"/>
      <c r="M628" s="164"/>
      <c r="N628" s="164"/>
      <c r="O628" s="164"/>
      <c r="P628" s="164"/>
      <c r="Q628" s="164"/>
      <c r="R628" s="164"/>
      <c r="S628" s="164"/>
      <c r="T628" s="164"/>
      <c r="U628" s="164"/>
    </row>
    <row r="629" spans="1:21" ht="18.75">
      <c r="A629" s="166"/>
      <c r="B629" s="167"/>
      <c r="C629" s="167"/>
      <c r="D629" s="167"/>
      <c r="E629" s="178" t="s">
        <v>227</v>
      </c>
      <c r="F629" s="174"/>
      <c r="G629" s="171"/>
      <c r="H629" s="165" t="s">
        <v>46</v>
      </c>
      <c r="I629" s="54"/>
      <c r="J629" s="467">
        <v>0</v>
      </c>
      <c r="K629" s="255">
        <f ca="1">IF(I$626&gt;0,J629*100/I$626,0)</f>
        <v>0</v>
      </c>
      <c r="L629" s="172"/>
      <c r="M629" s="164"/>
      <c r="N629" s="164"/>
      <c r="O629" s="164"/>
      <c r="P629" s="164"/>
      <c r="Q629" s="164"/>
      <c r="R629" s="164"/>
      <c r="S629" s="164"/>
      <c r="T629" s="164"/>
      <c r="U629" s="164"/>
    </row>
    <row r="630" spans="1:21" ht="18.75">
      <c r="A630" s="166"/>
      <c r="B630" s="167"/>
      <c r="C630" s="167"/>
      <c r="D630" s="167"/>
      <c r="E630" s="178" t="s">
        <v>228</v>
      </c>
      <c r="F630" s="174"/>
      <c r="G630" s="171"/>
      <c r="H630" s="165" t="s">
        <v>46</v>
      </c>
      <c r="I630" s="54"/>
      <c r="J630" s="467">
        <v>0</v>
      </c>
      <c r="K630" s="255">
        <f ca="1">IF(I$626&gt;0,J630*100/I$626,0)</f>
        <v>0</v>
      </c>
      <c r="L630" s="172"/>
      <c r="M630" s="164"/>
      <c r="N630" s="164"/>
      <c r="O630" s="164"/>
      <c r="P630" s="164"/>
      <c r="Q630" s="164"/>
      <c r="R630" s="164"/>
      <c r="S630" s="164"/>
      <c r="T630" s="164"/>
      <c r="U630" s="164"/>
    </row>
    <row r="631" spans="1:21" ht="18.75">
      <c r="A631" s="166"/>
      <c r="B631" s="167"/>
      <c r="C631" s="167"/>
      <c r="D631" s="167"/>
      <c r="E631" s="178" t="s">
        <v>229</v>
      </c>
      <c r="F631" s="174"/>
      <c r="G631" s="171"/>
      <c r="H631" s="165" t="s">
        <v>46</v>
      </c>
      <c r="I631" s="54"/>
      <c r="J631" s="467">
        <v>0</v>
      </c>
      <c r="K631" s="255">
        <f ca="1">IF(I$626&gt;0,J631*100/I$626,0)</f>
        <v>0</v>
      </c>
      <c r="L631" s="172"/>
      <c r="M631" s="164"/>
      <c r="N631" s="164"/>
      <c r="O631" s="164"/>
      <c r="P631" s="164"/>
      <c r="Q631" s="164"/>
      <c r="R631" s="164"/>
      <c r="S631" s="164"/>
      <c r="T631" s="164"/>
      <c r="U631" s="164"/>
    </row>
    <row r="632" spans="1:21" ht="19.5">
      <c r="A632" s="166"/>
      <c r="B632" s="167"/>
      <c r="C632" s="167"/>
      <c r="D632" s="167"/>
      <c r="E632" s="178" t="s">
        <v>230</v>
      </c>
      <c r="F632" s="174"/>
      <c r="G632" s="171"/>
      <c r="H632" s="165" t="s">
        <v>46</v>
      </c>
      <c r="I632" s="54"/>
      <c r="J632" s="373">
        <f>J633+J634</f>
        <v>0</v>
      </c>
      <c r="K632" s="540">
        <f ca="1">IF(I626&gt;0,J632*100/I626,0)</f>
        <v>0</v>
      </c>
      <c r="L632" s="172"/>
      <c r="M632" s="164"/>
      <c r="N632" s="164"/>
      <c r="O632" s="164"/>
      <c r="P632" s="164"/>
      <c r="Q632" s="164"/>
      <c r="R632" s="164"/>
      <c r="S632" s="164"/>
      <c r="T632" s="164"/>
      <c r="U632" s="164"/>
    </row>
    <row r="633" spans="1:21" ht="18.75">
      <c r="A633" s="166"/>
      <c r="B633" s="167"/>
      <c r="C633" s="167"/>
      <c r="D633" s="167"/>
      <c r="E633" s="174"/>
      <c r="F633" s="178" t="s">
        <v>231</v>
      </c>
      <c r="G633" s="171"/>
      <c r="H633" s="165" t="s">
        <v>46</v>
      </c>
      <c r="I633" s="54"/>
      <c r="J633" s="467">
        <v>0</v>
      </c>
      <c r="K633" s="55"/>
      <c r="L633" s="172"/>
      <c r="M633" s="164"/>
      <c r="N633" s="164"/>
      <c r="O633" s="164"/>
      <c r="P633" s="164"/>
      <c r="Q633" s="164"/>
      <c r="R633" s="164"/>
      <c r="S633" s="164"/>
      <c r="T633" s="164"/>
      <c r="U633" s="164"/>
    </row>
    <row r="634" spans="1:21" ht="18.75">
      <c r="A634" s="166"/>
      <c r="B634" s="167"/>
      <c r="C634" s="167"/>
      <c r="D634" s="167"/>
      <c r="E634" s="174"/>
      <c r="F634" s="178" t="s">
        <v>232</v>
      </c>
      <c r="G634" s="171"/>
      <c r="H634" s="165" t="s">
        <v>46</v>
      </c>
      <c r="I634" s="54"/>
      <c r="J634" s="467">
        <v>0</v>
      </c>
      <c r="K634" s="55"/>
      <c r="L634" s="172"/>
      <c r="M634" s="164"/>
      <c r="N634" s="164"/>
      <c r="O634" s="164"/>
      <c r="P634" s="164"/>
      <c r="Q634" s="164"/>
      <c r="R634" s="164"/>
      <c r="S634" s="164"/>
      <c r="T634" s="164"/>
      <c r="U634" s="164"/>
    </row>
    <row r="635" spans="1:21" ht="19.5">
      <c r="A635" s="166"/>
      <c r="B635" s="167"/>
      <c r="C635" s="167"/>
      <c r="D635" s="460" t="s">
        <v>233</v>
      </c>
      <c r="E635" s="174"/>
      <c r="F635" s="174"/>
      <c r="G635" s="171"/>
      <c r="H635" s="165" t="s">
        <v>46</v>
      </c>
      <c r="I635" s="373">
        <f ca="1">IFERROR(__xludf.DUMMYFUNCTION("IMPORTRANGE(""https://docs.google.com/spreadsheets/d/1eHaY18a8A9IcSdp1K8H6x8fbOy06t2VsZHhMHf-1x7Y/edit?usp=sharing"",""แผน!IE37"")"),0)</f>
        <v>0</v>
      </c>
      <c r="J635" s="373">
        <f>J636</f>
        <v>0</v>
      </c>
      <c r="K635" s="540">
        <f ca="1">IF(I635&gt;0,J635*100/I635,0)</f>
        <v>0</v>
      </c>
      <c r="L635" s="172"/>
      <c r="M635" s="164"/>
      <c r="N635" s="164"/>
      <c r="O635" s="164"/>
      <c r="P635" s="164"/>
      <c r="Q635" s="164"/>
      <c r="R635" s="164"/>
      <c r="S635" s="164"/>
      <c r="T635" s="164"/>
      <c r="U635" s="164"/>
    </row>
    <row r="636" spans="1:21" ht="18.75">
      <c r="A636" s="166"/>
      <c r="B636" s="167"/>
      <c r="C636" s="167"/>
      <c r="D636" s="167"/>
      <c r="E636" s="178" t="s">
        <v>234</v>
      </c>
      <c r="F636" s="174"/>
      <c r="G636" s="171"/>
      <c r="H636" s="165" t="s">
        <v>46</v>
      </c>
      <c r="I636" s="54"/>
      <c r="J636" s="212">
        <f>J637+J638</f>
        <v>0</v>
      </c>
      <c r="K636" s="55"/>
      <c r="L636" s="172"/>
      <c r="M636" s="164"/>
      <c r="N636" s="164"/>
      <c r="O636" s="164"/>
      <c r="P636" s="164"/>
      <c r="Q636" s="164"/>
      <c r="R636" s="164"/>
      <c r="S636" s="164"/>
      <c r="T636" s="164"/>
      <c r="U636" s="164"/>
    </row>
    <row r="637" spans="1:21" ht="18.75">
      <c r="A637" s="166"/>
      <c r="B637" s="167"/>
      <c r="C637" s="167"/>
      <c r="D637" s="167"/>
      <c r="E637" s="174"/>
      <c r="F637" s="178" t="s">
        <v>231</v>
      </c>
      <c r="G637" s="171"/>
      <c r="H637" s="165" t="s">
        <v>46</v>
      </c>
      <c r="I637" s="54"/>
      <c r="J637" s="467">
        <v>0</v>
      </c>
      <c r="K637" s="55"/>
      <c r="L637" s="172"/>
      <c r="M637" s="164"/>
      <c r="N637" s="164"/>
      <c r="O637" s="164"/>
      <c r="P637" s="164"/>
      <c r="Q637" s="164"/>
      <c r="R637" s="164"/>
      <c r="S637" s="164"/>
      <c r="T637" s="164"/>
      <c r="U637" s="164"/>
    </row>
    <row r="638" spans="1:21" ht="18.75">
      <c r="A638" s="166"/>
      <c r="B638" s="167"/>
      <c r="C638" s="167"/>
      <c r="D638" s="167"/>
      <c r="E638" s="174"/>
      <c r="F638" s="178" t="s">
        <v>232</v>
      </c>
      <c r="G638" s="171"/>
      <c r="H638" s="165" t="s">
        <v>46</v>
      </c>
      <c r="I638" s="54"/>
      <c r="J638" s="467">
        <v>0</v>
      </c>
      <c r="K638" s="55"/>
      <c r="L638" s="172"/>
      <c r="M638" s="164"/>
      <c r="N638" s="164"/>
      <c r="O638" s="164"/>
      <c r="P638" s="164"/>
      <c r="Q638" s="164"/>
      <c r="R638" s="164"/>
      <c r="S638" s="164"/>
      <c r="T638" s="164"/>
      <c r="U638" s="164"/>
    </row>
    <row r="639" spans="1:21" ht="18.75">
      <c r="A639" s="166"/>
      <c r="B639" s="167"/>
      <c r="C639" s="167"/>
      <c r="D639" s="167"/>
      <c r="E639" s="178" t="s">
        <v>235</v>
      </c>
      <c r="F639" s="174"/>
      <c r="G639" s="171"/>
      <c r="H639" s="165" t="s">
        <v>46</v>
      </c>
      <c r="I639" s="54"/>
      <c r="J639" s="467">
        <v>0</v>
      </c>
      <c r="K639" s="55"/>
      <c r="L639" s="172"/>
      <c r="M639" s="164"/>
      <c r="N639" s="164"/>
      <c r="O639" s="164"/>
      <c r="P639" s="164"/>
      <c r="Q639" s="164"/>
      <c r="R639" s="164"/>
      <c r="S639" s="164"/>
      <c r="T639" s="164"/>
      <c r="U639" s="164"/>
    </row>
    <row r="640" spans="1:21" ht="18.75">
      <c r="A640" s="166"/>
      <c r="B640" s="167"/>
      <c r="C640" s="167"/>
      <c r="D640" s="167"/>
      <c r="E640" s="174"/>
      <c r="F640" s="178" t="s">
        <v>236</v>
      </c>
      <c r="G640" s="171"/>
      <c r="H640" s="165" t="s">
        <v>46</v>
      </c>
      <c r="I640" s="54"/>
      <c r="J640" s="467">
        <v>0</v>
      </c>
      <c r="K640" s="55"/>
      <c r="L640" s="172"/>
      <c r="M640" s="164"/>
      <c r="N640" s="164"/>
      <c r="O640" s="164"/>
      <c r="P640" s="164"/>
      <c r="Q640" s="164"/>
      <c r="R640" s="164"/>
      <c r="S640" s="164"/>
      <c r="T640" s="164"/>
      <c r="U640" s="164"/>
    </row>
    <row r="641" spans="1:21" ht="19.5" hidden="1">
      <c r="A641" s="450"/>
      <c r="B641" s="451" t="s">
        <v>237</v>
      </c>
      <c r="C641" s="450"/>
      <c r="D641" s="452"/>
      <c r="E641" s="452"/>
      <c r="F641" s="452"/>
      <c r="G641" s="453"/>
      <c r="H641" s="462"/>
      <c r="I641" s="463"/>
      <c r="J641" s="463"/>
      <c r="K641" s="457"/>
      <c r="L641" s="458"/>
      <c r="M641" s="457"/>
      <c r="N641" s="457"/>
      <c r="O641" s="457"/>
      <c r="P641" s="457"/>
      <c r="Q641" s="457"/>
      <c r="R641" s="457"/>
      <c r="S641" s="457"/>
      <c r="T641" s="457"/>
      <c r="U641" s="457"/>
    </row>
    <row r="642" spans="1:21" ht="19.5" hidden="1">
      <c r="A642" s="155"/>
      <c r="B642" s="188"/>
      <c r="C642" s="239" t="s">
        <v>18</v>
      </c>
      <c r="D642" s="542" t="s">
        <v>19</v>
      </c>
      <c r="E642" s="529"/>
      <c r="F642" s="529"/>
      <c r="G642" s="530"/>
      <c r="H642" s="252" t="s">
        <v>14</v>
      </c>
      <c r="I642" s="54"/>
      <c r="J642" s="54"/>
      <c r="K642" s="55"/>
      <c r="L642" s="541">
        <f>L643+L644</f>
        <v>0</v>
      </c>
      <c r="M642" s="540">
        <f>M643+M644</f>
        <v>0</v>
      </c>
      <c r="N642" s="540">
        <f>N643+N644</f>
        <v>0</v>
      </c>
      <c r="O642" s="540">
        <f>IF(L642&gt;0,N642*100/L642,0)</f>
        <v>0</v>
      </c>
      <c r="P642" s="540">
        <f>IF(M642&gt;0,N642*100/M642,0)</f>
        <v>0</v>
      </c>
      <c r="Q642" s="540">
        <f ca="1">Q643+Q644</f>
        <v>0</v>
      </c>
      <c r="R642" s="540">
        <f ca="1">R643+R644</f>
        <v>0</v>
      </c>
      <c r="S642" s="540">
        <f ca="1">S643+S644</f>
        <v>0</v>
      </c>
      <c r="T642" s="540">
        <f ca="1">IF(Q642&gt;0,S642*100/Q642,0)</f>
        <v>0</v>
      </c>
      <c r="U642" s="540">
        <f ca="1">IF(R642&gt;0,S642*100/R642,0)</f>
        <v>0</v>
      </c>
    </row>
    <row r="643" spans="1:21" ht="18.75" hidden="1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103">
        <f>L646+L649</f>
        <v>0</v>
      </c>
      <c r="M643" s="102">
        <f>M646+M649</f>
        <v>0</v>
      </c>
      <c r="N643" s="102">
        <f>N646+N649</f>
        <v>0</v>
      </c>
      <c r="O643" s="102">
        <f>IF(L643&gt;0,N643*100/L643,0)</f>
        <v>0</v>
      </c>
      <c r="P643" s="102">
        <f>IF(M643&gt;0,N643*100/M643,0)</f>
        <v>0</v>
      </c>
      <c r="Q643" s="102">
        <f>Q646+Q649</f>
        <v>0</v>
      </c>
      <c r="R643" s="102">
        <f>R646+R649</f>
        <v>0</v>
      </c>
      <c r="S643" s="102">
        <f>S646+S649</f>
        <v>0</v>
      </c>
      <c r="T643" s="102">
        <f>IF(Q643&gt;0,S643*100/Q643,0)</f>
        <v>0</v>
      </c>
      <c r="U643" s="102">
        <f>IF(R643&gt;0,S643*100/R643,0)</f>
        <v>0</v>
      </c>
    </row>
    <row r="644" spans="1:21" ht="18.75" hidden="1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256">
        <f>L647+L650</f>
        <v>0</v>
      </c>
      <c r="M644" s="255">
        <f>M647+M650</f>
        <v>0</v>
      </c>
      <c r="N644" s="255">
        <f>N647+N650</f>
        <v>0</v>
      </c>
      <c r="O644" s="255">
        <f>IF(L644&gt;0,N644*100/L644,0)</f>
        <v>0</v>
      </c>
      <c r="P644" s="255">
        <f>IF(M644&gt;0,N644*100/M644,0)</f>
        <v>0</v>
      </c>
      <c r="Q644" s="255">
        <f ca="1">Q647+Q650</f>
        <v>0</v>
      </c>
      <c r="R644" s="255">
        <f ca="1">R647+R650</f>
        <v>0</v>
      </c>
      <c r="S644" s="255">
        <f ca="1">S647+S650</f>
        <v>0</v>
      </c>
      <c r="T644" s="255">
        <f ca="1">IF(Q644&gt;0,S644*100/Q644,0)</f>
        <v>0</v>
      </c>
      <c r="U644" s="255">
        <f ca="1">IF(R644&gt;0,S644*100/R644,0)</f>
        <v>0</v>
      </c>
    </row>
    <row r="645" spans="1:21" ht="18.75" hidden="1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256">
        <f>L646+L647</f>
        <v>0</v>
      </c>
      <c r="M645" s="255">
        <f>M646+M647</f>
        <v>0</v>
      </c>
      <c r="N645" s="255">
        <f>N646+N647</f>
        <v>0</v>
      </c>
      <c r="O645" s="255">
        <f>IF(L645&gt;0,N645*100/L645,0)</f>
        <v>0</v>
      </c>
      <c r="P645" s="255">
        <f>IF(M645&gt;0,N645*100/M645,0)</f>
        <v>0</v>
      </c>
      <c r="Q645" s="255">
        <f ca="1">Q646+Q647</f>
        <v>0</v>
      </c>
      <c r="R645" s="255">
        <f ca="1">R646+R647</f>
        <v>0</v>
      </c>
      <c r="S645" s="255">
        <f ca="1">S646+S647</f>
        <v>0</v>
      </c>
      <c r="T645" s="255">
        <f ca="1">IF(Q645&gt;0,S645*100/Q645,0)</f>
        <v>0</v>
      </c>
      <c r="U645" s="255">
        <f ca="1">IF(R645&gt;0,S645*100/R645,0)</f>
        <v>0</v>
      </c>
    </row>
    <row r="646" spans="1:21" ht="18.75" hidden="1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103">
        <v>0</v>
      </c>
      <c r="M646" s="102">
        <v>0</v>
      </c>
      <c r="N646" s="102">
        <v>0</v>
      </c>
      <c r="O646" s="102">
        <f>IF(L646&gt;0,N646*100/L646,0)</f>
        <v>0</v>
      </c>
      <c r="P646" s="102">
        <f>IF(M646&gt;0,N646*100/M646,0)</f>
        <v>0</v>
      </c>
      <c r="Q646" s="102">
        <v>0</v>
      </c>
      <c r="R646" s="102">
        <v>0</v>
      </c>
      <c r="S646" s="102">
        <v>0</v>
      </c>
      <c r="T646" s="102">
        <f>IF(Q646&gt;0,S646*100/Q646,0)</f>
        <v>0</v>
      </c>
      <c r="U646" s="102">
        <f>IF(R646&gt;0,S646*100/R646,0)</f>
        <v>0</v>
      </c>
    </row>
    <row r="647" spans="1:21" ht="18.75" hidden="1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256">
        <v>0</v>
      </c>
      <c r="M647" s="255">
        <v>0</v>
      </c>
      <c r="N647" s="255">
        <v>0</v>
      </c>
      <c r="O647" s="255">
        <f>IF(L647&gt;0,N647*100/L647,0)</f>
        <v>0</v>
      </c>
      <c r="P647" s="255">
        <f>IF(M647&gt;0,N647*100/M647,0)</f>
        <v>0</v>
      </c>
      <c r="Q647" s="255">
        <f ca="1">IFERROR(__xludf.DUMMYFUNCTION("IMPORTRANGE(""https://docs.google.com/spreadsheets/d/1ItG2mGa2ceCfYo0BwxsXqNm01IGEUdYcSSLTEv9YCik/edit?usp=sharing"",""เบิกจ่ายกองทุน!I37"")"),0)</f>
        <v>0</v>
      </c>
      <c r="R647" s="255">
        <f ca="1">IFERROR(__xludf.DUMMYFUNCTION("IMPORTRANGE(""https://docs.google.com/spreadsheets/d/1ItG2mGa2ceCfYo0BwxsXqNm01IGEUdYcSSLTEv9YCik/edit?usp=sharing"",""เบิกจ่ายกองทุน!J37"")"),0)</f>
        <v>0</v>
      </c>
      <c r="S647" s="255">
        <f ca="1">IFERROR(__xludf.DUMMYFUNCTION("IMPORTRANGE(""https://docs.google.com/spreadsheets/d/1ItG2mGa2ceCfYo0BwxsXqNm01IGEUdYcSSLTEv9YCik/edit?usp=sharing"",""เบิกจ่ายกองทุน!K37"")"),0)</f>
        <v>0</v>
      </c>
      <c r="T647" s="255">
        <f ca="1">IF(Q647&gt;0,S647*100/Q647,0)</f>
        <v>0</v>
      </c>
      <c r="U647" s="255">
        <f ca="1">IF(R647&gt;0,S647*100/R647,0)</f>
        <v>0</v>
      </c>
    </row>
    <row r="648" spans="1:21" ht="18.75" hidden="1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256">
        <f>L649+L650</f>
        <v>0</v>
      </c>
      <c r="M648" s="255">
        <f>M649+M650</f>
        <v>0</v>
      </c>
      <c r="N648" s="255">
        <f>N649+N650</f>
        <v>0</v>
      </c>
      <c r="O648" s="255">
        <f>IF(L648&gt;0,N648*100/L648,0)</f>
        <v>0</v>
      </c>
      <c r="P648" s="255">
        <f>IF(M648&gt;0,N648*100/M648,0)</f>
        <v>0</v>
      </c>
      <c r="Q648" s="255">
        <f>Q649+Q650</f>
        <v>0</v>
      </c>
      <c r="R648" s="255">
        <f>R649+R650</f>
        <v>0</v>
      </c>
      <c r="S648" s="255">
        <f>S649+S650</f>
        <v>0</v>
      </c>
      <c r="T648" s="255">
        <f>IF(Q648&gt;0,S648*100/Q648,0)</f>
        <v>0</v>
      </c>
      <c r="U648" s="255">
        <f>IF(R648&gt;0,S648*100/R648,0)</f>
        <v>0</v>
      </c>
    </row>
    <row r="649" spans="1:21" ht="18.75" hidden="1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103">
        <v>0</v>
      </c>
      <c r="M649" s="102">
        <v>0</v>
      </c>
      <c r="N649" s="102">
        <v>0</v>
      </c>
      <c r="O649" s="102">
        <f>IF(L649&gt;0,N649*100/L649,0)</f>
        <v>0</v>
      </c>
      <c r="P649" s="102">
        <f>IF(M649&gt;0,N649*100/M649,0)</f>
        <v>0</v>
      </c>
      <c r="Q649" s="102">
        <v>0</v>
      </c>
      <c r="R649" s="102">
        <v>0</v>
      </c>
      <c r="S649" s="102">
        <v>0</v>
      </c>
      <c r="T649" s="102">
        <f>IF(Q649&gt;0,S649*100/Q649,0)</f>
        <v>0</v>
      </c>
      <c r="U649" s="102">
        <f>IF(R649&gt;0,S649*100/R649,0)</f>
        <v>0</v>
      </c>
    </row>
    <row r="650" spans="1:21" ht="18.75" hidden="1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256">
        <v>0</v>
      </c>
      <c r="M650" s="255">
        <v>0</v>
      </c>
      <c r="N650" s="255">
        <v>0</v>
      </c>
      <c r="O650" s="255">
        <f>IF(L650&gt;0,N650*100/L650,0)</f>
        <v>0</v>
      </c>
      <c r="P650" s="255">
        <f>IF(M650&gt;0,N650*100/M650,0)</f>
        <v>0</v>
      </c>
      <c r="Q650" s="255">
        <v>0</v>
      </c>
      <c r="R650" s="255">
        <v>0</v>
      </c>
      <c r="S650" s="255">
        <v>0</v>
      </c>
      <c r="T650" s="255">
        <f>IF(Q650&gt;0,S650*100/Q650,0)</f>
        <v>0</v>
      </c>
      <c r="U650" s="255">
        <f>IF(R650&gt;0,S650*100/R650,0)</f>
        <v>0</v>
      </c>
    </row>
    <row r="651" spans="1:21" ht="19.5" hidden="1">
      <c r="A651" s="166"/>
      <c r="B651" s="167"/>
      <c r="C651" s="239" t="s">
        <v>18</v>
      </c>
      <c r="D651" s="571" t="s">
        <v>38</v>
      </c>
      <c r="E651" s="169"/>
      <c r="F651" s="169"/>
      <c r="G651" s="170"/>
      <c r="H651" s="206"/>
      <c r="I651" s="163"/>
      <c r="J651" s="163"/>
      <c r="K651" s="164"/>
      <c r="L651" s="172"/>
      <c r="M651" s="164"/>
      <c r="N651" s="164"/>
      <c r="O651" s="164"/>
      <c r="P651" s="164"/>
      <c r="Q651" s="55"/>
      <c r="R651" s="55"/>
      <c r="S651" s="55"/>
      <c r="T651" s="164"/>
      <c r="U651" s="164"/>
    </row>
    <row r="652" spans="1:21" ht="18.75" hidden="1">
      <c r="A652" s="238"/>
      <c r="B652" s="188"/>
      <c r="C652" s="188"/>
      <c r="D652" s="58" t="s">
        <v>238</v>
      </c>
      <c r="E652" s="50"/>
      <c r="F652" s="50"/>
      <c r="G652" s="52"/>
      <c r="H652" s="165" t="s">
        <v>46</v>
      </c>
      <c r="I652" s="570">
        <f ca="1">IFERROR(__xludf.DUMMYFUNCTION("IMPORTRANGE(""https://docs.google.com/spreadsheets/d/1eHaY18a8A9IcSdp1K8H6x8fbOy06t2VsZHhMHf-1x7Y/edit?usp=sharing"",""แผน!IF37"")"),0)</f>
        <v>0</v>
      </c>
      <c r="J652" s="212">
        <f ca="1">IFERROR(__xludf.DUMMYFUNCTION("IMPORTRANGE(""https://docs.google.com/spreadsheets/d/1tdoBKaGub7dwA3U6UFTqxio9LNnvDCQjHKmttSEBsFQ/edit?usp=sharing"",""จัดที่ดิน!AU37"")"),0)</f>
        <v>0</v>
      </c>
      <c r="K652" s="255">
        <f ca="1">IF(I652&gt;0,J652*100/I652,0)</f>
        <v>0</v>
      </c>
      <c r="L652" s="62"/>
      <c r="M652" s="55"/>
      <c r="N652" s="468"/>
      <c r="O652" s="55"/>
      <c r="P652" s="55"/>
      <c r="Q652" s="55"/>
      <c r="R652" s="55"/>
      <c r="S652" s="468"/>
      <c r="T652" s="55"/>
      <c r="U652" s="55"/>
    </row>
    <row r="653" spans="1:21" ht="18.75" hidden="1">
      <c r="A653" s="238"/>
      <c r="B653" s="188"/>
      <c r="C653" s="188"/>
      <c r="D653" s="58" t="s">
        <v>239</v>
      </c>
      <c r="E653" s="50"/>
      <c r="F653" s="50"/>
      <c r="G653" s="52"/>
      <c r="H653" s="165" t="s">
        <v>35</v>
      </c>
      <c r="I653" s="570">
        <f ca="1">IFERROR(__xludf.DUMMYFUNCTION("IMPORTRANGE(""https://docs.google.com/spreadsheets/d/1eHaY18a8A9IcSdp1K8H6x8fbOy06t2VsZHhMHf-1x7Y/edit?usp=sharing"",""แผน!IG37"")"),0)</f>
        <v>0</v>
      </c>
      <c r="J653" s="212">
        <f ca="1">IFERROR(__xludf.DUMMYFUNCTION("IMPORTRANGE(""https://docs.google.com/spreadsheets/d/1tdoBKaGub7dwA3U6UFTqxio9LNnvDCQjHKmttSEBsFQ/edit?usp=sharing"",""จัดที่ดิน!AW37"")"),0)</f>
        <v>0</v>
      </c>
      <c r="K653" s="255">
        <f ca="1">IF(I653&gt;0,J653*100/I653,0)</f>
        <v>0</v>
      </c>
      <c r="L653" s="62"/>
      <c r="M653" s="55"/>
      <c r="N653" s="468"/>
      <c r="O653" s="55"/>
      <c r="P653" s="55"/>
      <c r="Q653" s="55"/>
      <c r="R653" s="55"/>
      <c r="S653" s="468"/>
      <c r="T653" s="55"/>
      <c r="U653" s="55"/>
    </row>
    <row r="654" spans="1:21" ht="19.5" hidden="1">
      <c r="A654" s="238"/>
      <c r="B654" s="188"/>
      <c r="C654" s="188"/>
      <c r="D654" s="58" t="s">
        <v>240</v>
      </c>
      <c r="E654" s="50"/>
      <c r="F654" s="50"/>
      <c r="G654" s="52"/>
      <c r="H654" s="461" t="s">
        <v>46</v>
      </c>
      <c r="I654" s="569">
        <f ca="1">IFERROR(__xludf.DUMMYFUNCTION("IMPORTRANGE(""https://docs.google.com/spreadsheets/d/1eHaY18a8A9IcSdp1K8H6x8fbOy06t2VsZHhMHf-1x7Y/edit?usp=sharing"",""แผน!IH37"")"),0)</f>
        <v>0</v>
      </c>
      <c r="J654" s="373">
        <f>J657+J660</f>
        <v>0</v>
      </c>
      <c r="K654" s="540">
        <f ca="1">IF(I654&gt;0,J654*100/I654,0)</f>
        <v>0</v>
      </c>
      <c r="L654" s="62"/>
      <c r="M654" s="55"/>
      <c r="N654" s="468"/>
      <c r="O654" s="55"/>
      <c r="P654" s="55"/>
      <c r="Q654" s="55"/>
      <c r="R654" s="55"/>
      <c r="S654" s="468"/>
      <c r="T654" s="55"/>
      <c r="U654" s="55"/>
    </row>
    <row r="655" spans="1:21" ht="18.75" hidden="1">
      <c r="A655" s="238"/>
      <c r="B655" s="188"/>
      <c r="C655" s="188"/>
      <c r="D655" s="50"/>
      <c r="E655" s="58" t="s">
        <v>241</v>
      </c>
      <c r="F655" s="50"/>
      <c r="G655" s="52"/>
      <c r="H655" s="165" t="s">
        <v>35</v>
      </c>
      <c r="I655" s="208"/>
      <c r="J655" s="467">
        <v>0</v>
      </c>
      <c r="K655" s="55"/>
      <c r="L655" s="62"/>
      <c r="M655" s="55"/>
      <c r="N655" s="468"/>
      <c r="O655" s="55"/>
      <c r="P655" s="55"/>
      <c r="Q655" s="55"/>
      <c r="R655" s="55"/>
      <c r="S655" s="468"/>
      <c r="T655" s="55"/>
      <c r="U655" s="55"/>
    </row>
    <row r="656" spans="1:21" ht="18.75" hidden="1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67">
        <v>0</v>
      </c>
      <c r="K656" s="55"/>
      <c r="L656" s="62"/>
      <c r="M656" s="55"/>
      <c r="N656" s="468"/>
      <c r="O656" s="55"/>
      <c r="P656" s="55"/>
      <c r="Q656" s="55"/>
      <c r="R656" s="55"/>
      <c r="S656" s="468"/>
      <c r="T656" s="55"/>
      <c r="U656" s="55"/>
    </row>
    <row r="657" spans="1:21" ht="18.75" hidden="1">
      <c r="A657" s="238"/>
      <c r="B657" s="188"/>
      <c r="C657" s="188"/>
      <c r="D657" s="50"/>
      <c r="E657" s="50"/>
      <c r="F657" s="50"/>
      <c r="G657" s="52"/>
      <c r="H657" s="165" t="s">
        <v>46</v>
      </c>
      <c r="I657" s="570">
        <f ca="1">IFERROR(__xludf.DUMMYFUNCTION("IMPORTRANGE(""https://docs.google.com/spreadsheets/d/1eHaY18a8A9IcSdp1K8H6x8fbOy06t2VsZHhMHf-1x7Y/edit?usp=sharing"",""แผน!II37"")"),0)</f>
        <v>0</v>
      </c>
      <c r="J657" s="467">
        <v>0</v>
      </c>
      <c r="K657" s="55"/>
      <c r="L657" s="62"/>
      <c r="M657" s="55"/>
      <c r="N657" s="468"/>
      <c r="O657" s="55"/>
      <c r="P657" s="55"/>
      <c r="Q657" s="55"/>
      <c r="R657" s="55"/>
      <c r="S657" s="468"/>
      <c r="T657" s="55"/>
      <c r="U657" s="55"/>
    </row>
    <row r="658" spans="1:21" ht="18.75" hidden="1">
      <c r="A658" s="238"/>
      <c r="B658" s="188"/>
      <c r="C658" s="188"/>
      <c r="D658" s="50"/>
      <c r="E658" s="58" t="s">
        <v>242</v>
      </c>
      <c r="F658" s="50"/>
      <c r="G658" s="52"/>
      <c r="H658" s="165" t="s">
        <v>35</v>
      </c>
      <c r="I658" s="208"/>
      <c r="J658" s="467">
        <v>0</v>
      </c>
      <c r="K658" s="55"/>
      <c r="L658" s="62"/>
      <c r="M658" s="55"/>
      <c r="N658" s="468"/>
      <c r="O658" s="55"/>
      <c r="P658" s="55"/>
      <c r="Q658" s="55"/>
      <c r="R658" s="55"/>
      <c r="S658" s="468"/>
      <c r="T658" s="55"/>
      <c r="U658" s="55"/>
    </row>
    <row r="659" spans="1:21" ht="18.75" hidden="1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67">
        <v>0</v>
      </c>
      <c r="K659" s="55"/>
      <c r="L659" s="62"/>
      <c r="M659" s="55"/>
      <c r="N659" s="468"/>
      <c r="O659" s="55"/>
      <c r="P659" s="55"/>
      <c r="Q659" s="55"/>
      <c r="R659" s="55"/>
      <c r="S659" s="468"/>
      <c r="T659" s="55"/>
      <c r="U659" s="55"/>
    </row>
    <row r="660" spans="1:21" ht="18.75" hidden="1">
      <c r="A660" s="238"/>
      <c r="B660" s="188"/>
      <c r="C660" s="188"/>
      <c r="D660" s="50"/>
      <c r="E660" s="50"/>
      <c r="F660" s="50"/>
      <c r="G660" s="52"/>
      <c r="H660" s="165" t="s">
        <v>46</v>
      </c>
      <c r="I660" s="570">
        <f ca="1">IFERROR(__xludf.DUMMYFUNCTION("IMPORTRANGE(""https://docs.google.com/spreadsheets/d/1eHaY18a8A9IcSdp1K8H6x8fbOy06t2VsZHhMHf-1x7Y/edit?usp=sharing"",""แผน!IJ37"")"),0)</f>
        <v>0</v>
      </c>
      <c r="J660" s="467">
        <v>0</v>
      </c>
      <c r="K660" s="55"/>
      <c r="L660" s="62"/>
      <c r="M660" s="55"/>
      <c r="N660" s="468"/>
      <c r="O660" s="55"/>
      <c r="P660" s="55"/>
      <c r="Q660" s="55"/>
      <c r="R660" s="55"/>
      <c r="S660" s="468"/>
      <c r="T660" s="55"/>
      <c r="U660" s="55"/>
    </row>
    <row r="661" spans="1:21" ht="19.5" hidden="1">
      <c r="A661" s="238"/>
      <c r="B661" s="188"/>
      <c r="C661" s="188"/>
      <c r="D661" s="377" t="s">
        <v>243</v>
      </c>
      <c r="E661" s="50"/>
      <c r="F661" s="50"/>
      <c r="G661" s="52"/>
      <c r="H661" s="461" t="s">
        <v>46</v>
      </c>
      <c r="I661" s="569">
        <f ca="1">IFERROR(__xludf.DUMMYFUNCTION("IMPORTRANGE(""https://docs.google.com/spreadsheets/d/1eHaY18a8A9IcSdp1K8H6x8fbOy06t2VsZHhMHf-1x7Y/edit?usp=sharing"",""แผน!IK37"")"),0)</f>
        <v>0</v>
      </c>
      <c r="J661" s="373">
        <f>J667+J670</f>
        <v>0</v>
      </c>
      <c r="K661" s="540">
        <f ca="1">IF(I661&gt;0,J661*100/I661,0)</f>
        <v>0</v>
      </c>
      <c r="L661" s="62"/>
      <c r="M661" s="55"/>
      <c r="N661" s="468"/>
      <c r="O661" s="55"/>
      <c r="P661" s="55"/>
      <c r="Q661" s="55"/>
      <c r="R661" s="55"/>
      <c r="S661" s="468"/>
      <c r="T661" s="55"/>
      <c r="U661" s="55"/>
    </row>
    <row r="662" spans="1:21" ht="18.75" hidden="1">
      <c r="A662" s="238"/>
      <c r="B662" s="188"/>
      <c r="C662" s="188"/>
      <c r="D662" s="50"/>
      <c r="E662" s="58" t="s">
        <v>244</v>
      </c>
      <c r="F662" s="50"/>
      <c r="G662" s="52"/>
      <c r="H662" s="165" t="s">
        <v>34</v>
      </c>
      <c r="I662" s="208"/>
      <c r="J662" s="467">
        <v>0</v>
      </c>
      <c r="K662" s="55"/>
      <c r="L662" s="469"/>
      <c r="M662" s="55"/>
      <c r="N662" s="468"/>
      <c r="O662" s="55"/>
      <c r="P662" s="55"/>
      <c r="Q662" s="468"/>
      <c r="R662" s="55"/>
      <c r="S662" s="468"/>
      <c r="T662" s="55"/>
      <c r="U662" s="55"/>
    </row>
    <row r="663" spans="1:21" ht="18.75" hidden="1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67">
        <v>0</v>
      </c>
      <c r="K663" s="55"/>
      <c r="L663" s="469"/>
      <c r="M663" s="55"/>
      <c r="N663" s="468"/>
      <c r="O663" s="55"/>
      <c r="P663" s="55"/>
      <c r="Q663" s="468"/>
      <c r="R663" s="55"/>
      <c r="S663" s="468"/>
      <c r="T663" s="55"/>
      <c r="U663" s="55"/>
    </row>
    <row r="664" spans="1:21" ht="18.75" hidden="1">
      <c r="A664" s="238"/>
      <c r="B664" s="188"/>
      <c r="C664" s="188"/>
      <c r="D664" s="50"/>
      <c r="E664" s="58" t="s">
        <v>245</v>
      </c>
      <c r="F664" s="50"/>
      <c r="G664" s="52"/>
      <c r="H664" s="206"/>
      <c r="I664" s="208"/>
      <c r="J664" s="54"/>
      <c r="K664" s="55"/>
      <c r="L664" s="469"/>
      <c r="M664" s="55"/>
      <c r="N664" s="468"/>
      <c r="O664" s="55"/>
      <c r="P664" s="55"/>
      <c r="Q664" s="468"/>
      <c r="R664" s="55"/>
      <c r="S664" s="468"/>
      <c r="T664" s="55"/>
      <c r="U664" s="55"/>
    </row>
    <row r="665" spans="1:21" ht="18.75" hidden="1">
      <c r="A665" s="238"/>
      <c r="B665" s="188"/>
      <c r="C665" s="188"/>
      <c r="D665" s="50"/>
      <c r="E665" s="50"/>
      <c r="F665" s="58" t="s">
        <v>246</v>
      </c>
      <c r="G665" s="52"/>
      <c r="H665" s="165" t="s">
        <v>35</v>
      </c>
      <c r="I665" s="208"/>
      <c r="J665" s="467">
        <v>0</v>
      </c>
      <c r="K665" s="55"/>
      <c r="L665" s="469"/>
      <c r="M665" s="55"/>
      <c r="N665" s="468"/>
      <c r="O665" s="55"/>
      <c r="P665" s="55"/>
      <c r="Q665" s="468"/>
      <c r="R665" s="55"/>
      <c r="S665" s="468"/>
      <c r="T665" s="55"/>
      <c r="U665" s="55"/>
    </row>
    <row r="666" spans="1:21" ht="18.75" hidden="1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67">
        <v>0</v>
      </c>
      <c r="K666" s="55"/>
      <c r="L666" s="469"/>
      <c r="M666" s="55"/>
      <c r="N666" s="468"/>
      <c r="O666" s="55"/>
      <c r="P666" s="55"/>
      <c r="Q666" s="468"/>
      <c r="R666" s="55"/>
      <c r="S666" s="468"/>
      <c r="T666" s="55"/>
      <c r="U666" s="55"/>
    </row>
    <row r="667" spans="1:21" ht="18.75" hidden="1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67">
        <v>0</v>
      </c>
      <c r="K667" s="55"/>
      <c r="L667" s="469"/>
      <c r="M667" s="55"/>
      <c r="N667" s="468"/>
      <c r="O667" s="55"/>
      <c r="P667" s="55"/>
      <c r="Q667" s="468"/>
      <c r="R667" s="55"/>
      <c r="S667" s="468"/>
      <c r="T667" s="55"/>
      <c r="U667" s="55"/>
    </row>
    <row r="668" spans="1:21" ht="18.75" hidden="1">
      <c r="A668" s="238"/>
      <c r="B668" s="188"/>
      <c r="C668" s="188"/>
      <c r="D668" s="50"/>
      <c r="E668" s="50"/>
      <c r="F668" s="58" t="s">
        <v>247</v>
      </c>
      <c r="G668" s="52"/>
      <c r="H668" s="165" t="s">
        <v>35</v>
      </c>
      <c r="I668" s="208"/>
      <c r="J668" s="467">
        <v>0</v>
      </c>
      <c r="K668" s="55"/>
      <c r="L668" s="469"/>
      <c r="M668" s="55"/>
      <c r="N668" s="468"/>
      <c r="O668" s="55"/>
      <c r="P668" s="55"/>
      <c r="Q668" s="468"/>
      <c r="R668" s="55"/>
      <c r="S668" s="468"/>
      <c r="T668" s="55"/>
      <c r="U668" s="55"/>
    </row>
    <row r="669" spans="1:21" ht="18.75" hidden="1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67">
        <v>0</v>
      </c>
      <c r="K669" s="55"/>
      <c r="L669" s="469"/>
      <c r="M669" s="55"/>
      <c r="N669" s="468"/>
      <c r="O669" s="55"/>
      <c r="P669" s="55"/>
      <c r="Q669" s="468"/>
      <c r="R669" s="55"/>
      <c r="S669" s="468"/>
      <c r="T669" s="55"/>
      <c r="U669" s="55"/>
    </row>
    <row r="670" spans="1:21" ht="18.75" hidden="1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67">
        <v>0</v>
      </c>
      <c r="K670" s="55"/>
      <c r="L670" s="469"/>
      <c r="M670" s="55"/>
      <c r="N670" s="468"/>
      <c r="O670" s="55"/>
      <c r="P670" s="55"/>
      <c r="Q670" s="468"/>
      <c r="R670" s="55"/>
      <c r="S670" s="468"/>
      <c r="T670" s="55"/>
      <c r="U670" s="55"/>
    </row>
    <row r="671" spans="1:21" ht="18.75" hidden="1">
      <c r="A671" s="238"/>
      <c r="B671" s="188"/>
      <c r="C671" s="188"/>
      <c r="D671" s="58" t="s">
        <v>248</v>
      </c>
      <c r="E671" s="50"/>
      <c r="F671" s="50"/>
      <c r="G671" s="52"/>
      <c r="H671" s="165" t="s">
        <v>35</v>
      </c>
      <c r="I671" s="208"/>
      <c r="J671" s="212">
        <f ca="1">IFERROR(__xludf.DUMMYFUNCTION("IMPORTRANGE(""https://docs.google.com/spreadsheets/d/1tdoBKaGub7dwA3U6UFTqxio9LNnvDCQjHKmttSEBsFQ/edit?usp=sharing"",""จัดที่ดิน!AY37"")"),0)</f>
        <v>0</v>
      </c>
      <c r="K671" s="55"/>
      <c r="L671" s="62"/>
      <c r="M671" s="55"/>
      <c r="N671" s="468"/>
      <c r="O671" s="55"/>
      <c r="P671" s="55"/>
      <c r="Q671" s="55"/>
      <c r="R671" s="55"/>
      <c r="S671" s="468"/>
      <c r="T671" s="55"/>
      <c r="U671" s="55"/>
    </row>
    <row r="672" spans="1:21" ht="18.75" hidden="1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212">
        <f ca="1">IFERROR(__xludf.DUMMYFUNCTION("IMPORTRANGE(""https://docs.google.com/spreadsheets/d/1tdoBKaGub7dwA3U6UFTqxio9LNnvDCQjHKmttSEBsFQ/edit?usp=sharing"",""จัดที่ดิน!AZ37"")"),0)</f>
        <v>0</v>
      </c>
      <c r="K672" s="55"/>
      <c r="L672" s="469"/>
      <c r="M672" s="55"/>
      <c r="N672" s="468"/>
      <c r="O672" s="55"/>
      <c r="P672" s="55"/>
      <c r="Q672" s="468"/>
      <c r="R672" s="55"/>
      <c r="S672" s="468"/>
      <c r="T672" s="55"/>
      <c r="U672" s="55"/>
    </row>
    <row r="673" spans="1:21" ht="18.75" hidden="1">
      <c r="A673" s="238"/>
      <c r="B673" s="188"/>
      <c r="C673" s="188"/>
      <c r="D673" s="50"/>
      <c r="E673" s="50"/>
      <c r="F673" s="50"/>
      <c r="G673" s="52"/>
      <c r="H673" s="165" t="s">
        <v>46</v>
      </c>
      <c r="I673" s="570">
        <f ca="1">IFERROR(__xludf.DUMMYFUNCTION("IMPORTRANGE(""https://docs.google.com/spreadsheets/d/1eHaY18a8A9IcSdp1K8H6x8fbOy06t2VsZHhMHf-1x7Y/edit?usp=sharing"",""แผน!IL37"")"),0)</f>
        <v>0</v>
      </c>
      <c r="J673" s="212">
        <f ca="1">IFERROR(__xludf.DUMMYFUNCTION("IMPORTRANGE(""https://docs.google.com/spreadsheets/d/1tdoBKaGub7dwA3U6UFTqxio9LNnvDCQjHKmttSEBsFQ/edit?usp=sharing"",""จัดที่ดิน!BA37"")"),0)</f>
        <v>0</v>
      </c>
      <c r="K673" s="255">
        <f ca="1">IF(I673&gt;0,J673*100/I673,0)</f>
        <v>0</v>
      </c>
      <c r="L673" s="469"/>
      <c r="M673" s="55"/>
      <c r="N673" s="468"/>
      <c r="O673" s="55"/>
      <c r="P673" s="55"/>
      <c r="Q673" s="468"/>
      <c r="R673" s="55"/>
      <c r="S673" s="468"/>
      <c r="T673" s="55"/>
      <c r="U673" s="55"/>
    </row>
    <row r="674" spans="1:21" ht="19.5" hidden="1">
      <c r="A674" s="238"/>
      <c r="B674" s="188"/>
      <c r="C674" s="188"/>
      <c r="D674" s="58" t="s">
        <v>249</v>
      </c>
      <c r="E674" s="50"/>
      <c r="F674" s="50"/>
      <c r="G674" s="52"/>
      <c r="H674" s="461" t="s">
        <v>35</v>
      </c>
      <c r="I674" s="569">
        <f ca="1">IFERROR(__xludf.DUMMYFUNCTION("IMPORTRANGE(""https://docs.google.com/spreadsheets/d/1eHaY18a8A9IcSdp1K8H6x8fbOy06t2VsZHhMHf-1x7Y/edit?usp=sharing"",""แผน!IM37"")"),0)</f>
        <v>0</v>
      </c>
      <c r="J674" s="373">
        <f ca="1">J676+J679</f>
        <v>0</v>
      </c>
      <c r="K674" s="540">
        <f ca="1">IF(I674&gt;0,J674*100/I674,0)</f>
        <v>0</v>
      </c>
      <c r="L674" s="469"/>
      <c r="M674" s="55"/>
      <c r="N674" s="468"/>
      <c r="O674" s="55"/>
      <c r="P674" s="55"/>
      <c r="Q674" s="468"/>
      <c r="R674" s="55"/>
      <c r="S674" s="468"/>
      <c r="T674" s="55"/>
      <c r="U674" s="55"/>
    </row>
    <row r="675" spans="1:21" ht="19.5" hidden="1">
      <c r="A675" s="238"/>
      <c r="B675" s="188"/>
      <c r="C675" s="188"/>
      <c r="D675" s="50"/>
      <c r="E675" s="50"/>
      <c r="F675" s="50"/>
      <c r="G675" s="52"/>
      <c r="H675" s="461" t="s">
        <v>46</v>
      </c>
      <c r="I675" s="569">
        <f ca="1">IFERROR(__xludf.DUMMYFUNCTION("IMPORTRANGE(""https://docs.google.com/spreadsheets/d/1eHaY18a8A9IcSdp1K8H6x8fbOy06t2VsZHhMHf-1x7Y/edit?usp=sharing"",""แผน!IN37"")"),0)</f>
        <v>0</v>
      </c>
      <c r="J675" s="373">
        <f ca="1">J678+J681</f>
        <v>0</v>
      </c>
      <c r="K675" s="540">
        <f ca="1">IF(I675&gt;0,J675*100/I675,0)</f>
        <v>0</v>
      </c>
      <c r="L675" s="62"/>
      <c r="M675" s="55"/>
      <c r="N675" s="468"/>
      <c r="O675" s="55"/>
      <c r="P675" s="55"/>
      <c r="Q675" s="55"/>
      <c r="R675" s="55"/>
      <c r="S675" s="468"/>
      <c r="T675" s="55"/>
      <c r="U675" s="55"/>
    </row>
    <row r="676" spans="1:21" ht="18.75" hidden="1">
      <c r="A676" s="238"/>
      <c r="B676" s="188"/>
      <c r="C676" s="188"/>
      <c r="D676" s="50"/>
      <c r="E676" s="58" t="s">
        <v>250</v>
      </c>
      <c r="F676" s="50"/>
      <c r="G676" s="52"/>
      <c r="H676" s="165" t="s">
        <v>35</v>
      </c>
      <c r="I676" s="570">
        <f ca="1">IFERROR(__xludf.DUMMYFUNCTION("IMPORTRANGE(""https://docs.google.com/spreadsheets/d/1eHaY18a8A9IcSdp1K8H6x8fbOy06t2VsZHhMHf-1x7Y/edit?usp=sharing"",""แผน!IO37"")"),0)</f>
        <v>0</v>
      </c>
      <c r="J676" s="212">
        <f ca="1">IFERROR(__xludf.DUMMYFUNCTION("IMPORTRANGE(""https://docs.google.com/spreadsheets/d/1tdoBKaGub7dwA3U6UFTqxio9LNnvDCQjHKmttSEBsFQ/edit?usp=sharing"",""จัดที่ดิน!BF37"")"),0)</f>
        <v>0</v>
      </c>
      <c r="K676" s="255">
        <f ca="1">IF(I676&gt;0,J676*100/I676,0)</f>
        <v>0</v>
      </c>
      <c r="L676" s="62"/>
      <c r="M676" s="55"/>
      <c r="N676" s="468"/>
      <c r="O676" s="55"/>
      <c r="P676" s="55"/>
      <c r="Q676" s="55"/>
      <c r="R676" s="55"/>
      <c r="S676" s="468"/>
      <c r="T676" s="55"/>
      <c r="U676" s="55"/>
    </row>
    <row r="677" spans="1:21" ht="18.75" hidden="1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212">
        <f ca="1">IFERROR(__xludf.DUMMYFUNCTION("IMPORTRANGE(""https://docs.google.com/spreadsheets/d/1tdoBKaGub7dwA3U6UFTqxio9LNnvDCQjHKmttSEBsFQ/edit?usp=sharing"",""จัดที่ดิน!BG37"")"),0)</f>
        <v>0</v>
      </c>
      <c r="K677" s="55"/>
      <c r="L677" s="469"/>
      <c r="M677" s="55"/>
      <c r="N677" s="468"/>
      <c r="O677" s="55"/>
      <c r="P677" s="55"/>
      <c r="Q677" s="468"/>
      <c r="R677" s="55"/>
      <c r="S677" s="468"/>
      <c r="T677" s="55"/>
      <c r="U677" s="55"/>
    </row>
    <row r="678" spans="1:21" ht="18.75" hidden="1">
      <c r="A678" s="238"/>
      <c r="B678" s="188"/>
      <c r="C678" s="188"/>
      <c r="D678" s="50"/>
      <c r="E678" s="50"/>
      <c r="F678" s="50"/>
      <c r="G678" s="52"/>
      <c r="H678" s="165" t="s">
        <v>46</v>
      </c>
      <c r="I678" s="570">
        <f ca="1">IFERROR(__xludf.DUMMYFUNCTION("IMPORTRANGE(""https://docs.google.com/spreadsheets/d/1eHaY18a8A9IcSdp1K8H6x8fbOy06t2VsZHhMHf-1x7Y/edit?usp=sharing"",""แผน!IP37"")"),0)</f>
        <v>0</v>
      </c>
      <c r="J678" s="212">
        <f ca="1">IFERROR(__xludf.DUMMYFUNCTION("IMPORTRANGE(""https://docs.google.com/spreadsheets/d/1tdoBKaGub7dwA3U6UFTqxio9LNnvDCQjHKmttSEBsFQ/edit?usp=sharing"",""จัดที่ดิน!BH37"")"),0)</f>
        <v>0</v>
      </c>
      <c r="K678" s="255">
        <f ca="1">IF(I678&gt;0,J678*100/I678,0)</f>
        <v>0</v>
      </c>
      <c r="L678" s="469"/>
      <c r="M678" s="55"/>
      <c r="N678" s="468"/>
      <c r="O678" s="55"/>
      <c r="P678" s="55"/>
      <c r="Q678" s="468"/>
      <c r="R678" s="55"/>
      <c r="S678" s="468"/>
      <c r="T678" s="55"/>
      <c r="U678" s="55"/>
    </row>
    <row r="679" spans="1:21" ht="18.75" hidden="1">
      <c r="A679" s="238"/>
      <c r="B679" s="188"/>
      <c r="C679" s="188"/>
      <c r="D679" s="50"/>
      <c r="E679" s="58" t="s">
        <v>251</v>
      </c>
      <c r="F679" s="50"/>
      <c r="G679" s="52"/>
      <c r="H679" s="165" t="s">
        <v>35</v>
      </c>
      <c r="I679" s="570">
        <f ca="1">IFERROR(__xludf.DUMMYFUNCTION("IMPORTRANGE(""https://docs.google.com/spreadsheets/d/1eHaY18a8A9IcSdp1K8H6x8fbOy06t2VsZHhMHf-1x7Y/edit?usp=sharing"",""แผน!IQ37"")"),0)</f>
        <v>0</v>
      </c>
      <c r="J679" s="212">
        <f ca="1">IFERROR(__xludf.DUMMYFUNCTION("IMPORTRANGE(""https://docs.google.com/spreadsheets/d/1tdoBKaGub7dwA3U6UFTqxio9LNnvDCQjHKmttSEBsFQ/edit?usp=sharing"",""จัดที่ดิน!BK37"")"),0)</f>
        <v>0</v>
      </c>
      <c r="K679" s="255">
        <f ca="1">IF(I679&gt;0,J679*100/I679,0)</f>
        <v>0</v>
      </c>
      <c r="L679" s="62"/>
      <c r="M679" s="55"/>
      <c r="N679" s="468"/>
      <c r="O679" s="55"/>
      <c r="P679" s="55"/>
      <c r="Q679" s="55"/>
      <c r="R679" s="55"/>
      <c r="S679" s="468"/>
      <c r="T679" s="55"/>
      <c r="U679" s="55"/>
    </row>
    <row r="680" spans="1:21" ht="18.75" hidden="1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212">
        <f ca="1">IFERROR(__xludf.DUMMYFUNCTION("IMPORTRANGE(""https://docs.google.com/spreadsheets/d/1tdoBKaGub7dwA3U6UFTqxio9LNnvDCQjHKmttSEBsFQ/edit?usp=sharing"",""จัดที่ดิน!BL37"")"),0)</f>
        <v>0</v>
      </c>
      <c r="K680" s="55"/>
      <c r="L680" s="469"/>
      <c r="M680" s="55"/>
      <c r="N680" s="468"/>
      <c r="O680" s="55"/>
      <c r="P680" s="55"/>
      <c r="Q680" s="468"/>
      <c r="R680" s="55"/>
      <c r="S680" s="468"/>
      <c r="T680" s="55"/>
      <c r="U680" s="55"/>
    </row>
    <row r="681" spans="1:21" ht="18.75" hidden="1">
      <c r="A681" s="238"/>
      <c r="B681" s="188"/>
      <c r="C681" s="188"/>
      <c r="D681" s="50"/>
      <c r="E681" s="50"/>
      <c r="F681" s="50"/>
      <c r="G681" s="52"/>
      <c r="H681" s="165" t="s">
        <v>46</v>
      </c>
      <c r="I681" s="570">
        <f ca="1">IFERROR(__xludf.DUMMYFUNCTION("IMPORTRANGE(""https://docs.google.com/spreadsheets/d/1eHaY18a8A9IcSdp1K8H6x8fbOy06t2VsZHhMHf-1x7Y/edit?usp=sharing"",""แผน!IR37"")"),0)</f>
        <v>0</v>
      </c>
      <c r="J681" s="212">
        <f ca="1">IFERROR(__xludf.DUMMYFUNCTION("IMPORTRANGE(""https://docs.google.com/spreadsheets/d/1tdoBKaGub7dwA3U6UFTqxio9LNnvDCQjHKmttSEBsFQ/edit?usp=sharing"",""จัดที่ดิน!BM37"")"),0)</f>
        <v>0</v>
      </c>
      <c r="K681" s="255">
        <f ca="1">IF(I681&gt;0,J681*100/I681,0)</f>
        <v>0</v>
      </c>
      <c r="L681" s="469"/>
      <c r="M681" s="55"/>
      <c r="N681" s="468"/>
      <c r="O681" s="55"/>
      <c r="P681" s="55"/>
      <c r="Q681" s="468"/>
      <c r="R681" s="55"/>
      <c r="S681" s="468"/>
      <c r="T681" s="55"/>
      <c r="U681" s="55"/>
    </row>
    <row r="682" spans="1:21" ht="19.5" hidden="1">
      <c r="A682" s="238"/>
      <c r="B682" s="188"/>
      <c r="C682" s="188"/>
      <c r="D682" s="58" t="s">
        <v>252</v>
      </c>
      <c r="E682" s="50"/>
      <c r="F682" s="50"/>
      <c r="G682" s="52"/>
      <c r="H682" s="461" t="s">
        <v>46</v>
      </c>
      <c r="I682" s="569">
        <f ca="1">IFERROR(__xludf.DUMMYFUNCTION("IMPORTRANGE(""https://docs.google.com/spreadsheets/d/1eHaY18a8A9IcSdp1K8H6x8fbOy06t2VsZHhMHf-1x7Y/edit?usp=sharing"",""แผน!IS37"")"),0)</f>
        <v>0</v>
      </c>
      <c r="J682" s="373">
        <f>J685+J688</f>
        <v>0</v>
      </c>
      <c r="K682" s="540">
        <f ca="1">IF(I682&gt;0,J682*100/I682,0)</f>
        <v>0</v>
      </c>
      <c r="L682" s="62"/>
      <c r="M682" s="55"/>
      <c r="N682" s="468"/>
      <c r="O682" s="55"/>
      <c r="P682" s="55"/>
      <c r="Q682" s="55"/>
      <c r="R682" s="55"/>
      <c r="S682" s="468"/>
      <c r="T682" s="55"/>
      <c r="U682" s="55"/>
    </row>
    <row r="683" spans="1:21" ht="18.75" hidden="1">
      <c r="A683" s="238"/>
      <c r="B683" s="188"/>
      <c r="C683" s="188"/>
      <c r="D683" s="50"/>
      <c r="E683" s="58" t="s">
        <v>253</v>
      </c>
      <c r="F683" s="50"/>
      <c r="G683" s="52"/>
      <c r="H683" s="165" t="s">
        <v>35</v>
      </c>
      <c r="I683" s="208"/>
      <c r="J683" s="467">
        <v>0</v>
      </c>
      <c r="K683" s="55"/>
      <c r="L683" s="469"/>
      <c r="M683" s="55"/>
      <c r="N683" s="468"/>
      <c r="O683" s="55"/>
      <c r="P683" s="55"/>
      <c r="Q683" s="468"/>
      <c r="R683" s="55"/>
      <c r="S683" s="468"/>
      <c r="T683" s="55"/>
      <c r="U683" s="55"/>
    </row>
    <row r="684" spans="1:21" ht="18.75" hidden="1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467">
        <v>0</v>
      </c>
      <c r="K684" s="55"/>
      <c r="L684" s="469"/>
      <c r="M684" s="55"/>
      <c r="N684" s="468"/>
      <c r="O684" s="55"/>
      <c r="P684" s="55"/>
      <c r="Q684" s="468"/>
      <c r="R684" s="55"/>
      <c r="S684" s="468"/>
      <c r="T684" s="55"/>
      <c r="U684" s="55"/>
    </row>
    <row r="685" spans="1:21" ht="18.75" hidden="1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467">
        <v>0</v>
      </c>
      <c r="K685" s="55"/>
      <c r="L685" s="469"/>
      <c r="M685" s="55"/>
      <c r="N685" s="468"/>
      <c r="O685" s="55"/>
      <c r="P685" s="55"/>
      <c r="Q685" s="468"/>
      <c r="R685" s="55"/>
      <c r="S685" s="468"/>
      <c r="T685" s="55"/>
      <c r="U685" s="55"/>
    </row>
    <row r="686" spans="1:21" ht="18.75" hidden="1">
      <c r="A686" s="238"/>
      <c r="B686" s="188"/>
      <c r="C686" s="188"/>
      <c r="D686" s="50"/>
      <c r="E686" s="58" t="s">
        <v>254</v>
      </c>
      <c r="F686" s="50"/>
      <c r="G686" s="52"/>
      <c r="H686" s="165" t="s">
        <v>35</v>
      </c>
      <c r="I686" s="208"/>
      <c r="J686" s="467">
        <v>0</v>
      </c>
      <c r="K686" s="55"/>
      <c r="L686" s="469"/>
      <c r="M686" s="55"/>
      <c r="N686" s="468"/>
      <c r="O686" s="55"/>
      <c r="P686" s="55"/>
      <c r="Q686" s="468"/>
      <c r="R686" s="55"/>
      <c r="S686" s="468"/>
      <c r="T686" s="55"/>
      <c r="U686" s="55"/>
    </row>
    <row r="687" spans="1:21" ht="18.75" hidden="1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467">
        <v>0</v>
      </c>
      <c r="K687" s="55"/>
      <c r="L687" s="469"/>
      <c r="M687" s="55"/>
      <c r="N687" s="468"/>
      <c r="O687" s="55"/>
      <c r="P687" s="55"/>
      <c r="Q687" s="468"/>
      <c r="R687" s="55"/>
      <c r="S687" s="468"/>
      <c r="T687" s="55"/>
      <c r="U687" s="55"/>
    </row>
    <row r="688" spans="1:21" ht="19.5" hidden="1">
      <c r="A688" s="281"/>
      <c r="B688" s="470" t="s">
        <v>255</v>
      </c>
      <c r="C688" s="282"/>
      <c r="D688" s="2"/>
      <c r="E688" s="2"/>
      <c r="F688" s="2"/>
      <c r="G688" s="284"/>
      <c r="H688" s="214" t="s">
        <v>46</v>
      </c>
      <c r="I688" s="375"/>
      <c r="J688" s="538">
        <v>0</v>
      </c>
      <c r="K688" s="6"/>
      <c r="L688" s="472"/>
      <c r="M688" s="6"/>
      <c r="N688" s="471"/>
      <c r="O688" s="6"/>
      <c r="P688" s="6"/>
      <c r="Q688" s="471"/>
      <c r="R688" s="6"/>
      <c r="S688" s="471"/>
      <c r="T688" s="6"/>
      <c r="U688" s="6"/>
    </row>
    <row r="689" spans="1:21" ht="19.5">
      <c r="A689" s="442"/>
      <c r="B689" s="443" t="s">
        <v>256</v>
      </c>
      <c r="C689" s="442"/>
      <c r="D689" s="444"/>
      <c r="E689" s="444"/>
      <c r="F689" s="444"/>
      <c r="G689" s="445"/>
      <c r="H689" s="568" t="s">
        <v>35</v>
      </c>
      <c r="I689" s="567">
        <f ca="1">I707</f>
        <v>100</v>
      </c>
      <c r="J689" s="567">
        <f ca="1">J707</f>
        <v>0</v>
      </c>
      <c r="K689" s="543">
        <f ca="1">IF(I689&gt;0,J689*100/I689,0)</f>
        <v>0</v>
      </c>
      <c r="L689" s="449"/>
      <c r="M689" s="448"/>
      <c r="N689" s="448"/>
      <c r="O689" s="448"/>
      <c r="P689" s="448"/>
      <c r="Q689" s="448"/>
      <c r="R689" s="448"/>
      <c r="S689" s="448"/>
      <c r="T689" s="448"/>
      <c r="U689" s="448"/>
    </row>
    <row r="690" spans="1:21" ht="19.5">
      <c r="A690" s="155"/>
      <c r="B690" s="188"/>
      <c r="C690" s="205" t="s">
        <v>18</v>
      </c>
      <c r="D690" s="542" t="s">
        <v>19</v>
      </c>
      <c r="E690" s="529"/>
      <c r="F690" s="529"/>
      <c r="G690" s="530"/>
      <c r="H690" s="252" t="s">
        <v>14</v>
      </c>
      <c r="I690" s="54"/>
      <c r="J690" s="54"/>
      <c r="K690" s="55"/>
      <c r="L690" s="541">
        <f>L691+L692</f>
        <v>0</v>
      </c>
      <c r="M690" s="540">
        <f>M691+M692</f>
        <v>0</v>
      </c>
      <c r="N690" s="540">
        <f>N691+N692</f>
        <v>0</v>
      </c>
      <c r="O690" s="540">
        <f>IF(L690&gt;0,N690*100/L690,0)</f>
        <v>0</v>
      </c>
      <c r="P690" s="540">
        <f>IF(M690&gt;0,N690*100/M690,0)</f>
        <v>0</v>
      </c>
      <c r="Q690" s="540">
        <f ca="1">Q691+Q692</f>
        <v>248600</v>
      </c>
      <c r="R690" s="540">
        <f ca="1">R691+R692</f>
        <v>248600</v>
      </c>
      <c r="S690" s="540">
        <f ca="1">S691+S692</f>
        <v>28500</v>
      </c>
      <c r="T690" s="540">
        <f ca="1">IF(Q690&gt;0,S690*100/Q690,0)</f>
        <v>11.464199517296862</v>
      </c>
      <c r="U690" s="540">
        <f ca="1">IF(R690&gt;0,S690*100/R690,0)</f>
        <v>11.464199517296862</v>
      </c>
    </row>
    <row r="691" spans="1:21" ht="18.75" hidden="1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103">
        <f>L694+L697</f>
        <v>0</v>
      </c>
      <c r="M691" s="102">
        <f>M694+M697</f>
        <v>0</v>
      </c>
      <c r="N691" s="102">
        <f>N694+N697</f>
        <v>0</v>
      </c>
      <c r="O691" s="102">
        <f>IF(L691&gt;0,N691*100/L691,0)</f>
        <v>0</v>
      </c>
      <c r="P691" s="102">
        <f>IF(M691&gt;0,N691*100/M691,0)</f>
        <v>0</v>
      </c>
      <c r="Q691" s="102">
        <f>Q694+Q697</f>
        <v>0</v>
      </c>
      <c r="R691" s="102">
        <f>R694+R697</f>
        <v>0</v>
      </c>
      <c r="S691" s="102">
        <f>S694+S697</f>
        <v>0</v>
      </c>
      <c r="T691" s="102">
        <f>IF(Q691&gt;0,S691*100/Q691,0)</f>
        <v>0</v>
      </c>
      <c r="U691" s="102">
        <f>IF(R691&gt;0,S691*100/R691,0)</f>
        <v>0</v>
      </c>
    </row>
    <row r="692" spans="1:21" ht="18.75" hidden="1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256">
        <f>L695+L698</f>
        <v>0</v>
      </c>
      <c r="M692" s="255">
        <f>M695+M698</f>
        <v>0</v>
      </c>
      <c r="N692" s="255">
        <f>N695+N698</f>
        <v>0</v>
      </c>
      <c r="O692" s="255">
        <f>IF(L692&gt;0,N692*100/L692,0)</f>
        <v>0</v>
      </c>
      <c r="P692" s="255">
        <f>IF(M692&gt;0,N692*100/M692,0)</f>
        <v>0</v>
      </c>
      <c r="Q692" s="255">
        <f ca="1">Q695+Q698</f>
        <v>248600</v>
      </c>
      <c r="R692" s="255">
        <f ca="1">R695+R698</f>
        <v>248600</v>
      </c>
      <c r="S692" s="255">
        <f ca="1">S695+S698</f>
        <v>28500</v>
      </c>
      <c r="T692" s="255">
        <f ca="1">IF(Q692&gt;0,S692*100/Q692,0)</f>
        <v>11.464199517296862</v>
      </c>
      <c r="U692" s="255">
        <f ca="1">IF(R692&gt;0,S692*100/R692,0)</f>
        <v>11.464199517296862</v>
      </c>
    </row>
    <row r="693" spans="1:21" ht="18.75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256">
        <f>L694+L695</f>
        <v>0</v>
      </c>
      <c r="M693" s="255">
        <f>M694+M695</f>
        <v>0</v>
      </c>
      <c r="N693" s="255">
        <f>N694+N695</f>
        <v>0</v>
      </c>
      <c r="O693" s="255">
        <f>IF(L693&gt;0,N693*100/L693,0)</f>
        <v>0</v>
      </c>
      <c r="P693" s="255">
        <f>IF(M693&gt;0,N693*100/M693,0)</f>
        <v>0</v>
      </c>
      <c r="Q693" s="255">
        <f ca="1">Q694+Q695</f>
        <v>248600</v>
      </c>
      <c r="R693" s="255">
        <f ca="1">R694+R695</f>
        <v>248600</v>
      </c>
      <c r="S693" s="255">
        <f ca="1">S694+S695</f>
        <v>28500</v>
      </c>
      <c r="T693" s="255">
        <f ca="1">IF(Q693&gt;0,S693*100/Q693,0)</f>
        <v>11.464199517296862</v>
      </c>
      <c r="U693" s="255">
        <f ca="1">IF(R693&gt;0,S693*100/R693,0)</f>
        <v>11.464199517296862</v>
      </c>
    </row>
    <row r="694" spans="1:21" ht="18.75" hidden="1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103">
        <v>0</v>
      </c>
      <c r="M694" s="102">
        <v>0</v>
      </c>
      <c r="N694" s="102">
        <v>0</v>
      </c>
      <c r="O694" s="102">
        <f>IF(L694&gt;0,N694*100/L694,0)</f>
        <v>0</v>
      </c>
      <c r="P694" s="102">
        <f>IF(M694&gt;0,N694*100/M694,0)</f>
        <v>0</v>
      </c>
      <c r="Q694" s="102">
        <v>0</v>
      </c>
      <c r="R694" s="102">
        <v>0</v>
      </c>
      <c r="S694" s="102">
        <v>0</v>
      </c>
      <c r="T694" s="102">
        <f>IF(Q694&gt;0,S694*100/Q694,0)</f>
        <v>0</v>
      </c>
      <c r="U694" s="102">
        <f>IF(R694&gt;0,S694*100/R694,0)</f>
        <v>0</v>
      </c>
    </row>
    <row r="695" spans="1:21" ht="18.75" hidden="1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256">
        <v>0</v>
      </c>
      <c r="M695" s="255">
        <v>0</v>
      </c>
      <c r="N695" s="255">
        <v>0</v>
      </c>
      <c r="O695" s="255">
        <f>IF(L695&gt;0,N695*100/L695,0)</f>
        <v>0</v>
      </c>
      <c r="P695" s="255">
        <f>IF(M695&gt;0,N695*100/M695,0)</f>
        <v>0</v>
      </c>
      <c r="Q695" s="255">
        <f ca="1">IFERROR(__xludf.DUMMYFUNCTION("IMPORTRANGE(""https://docs.google.com/spreadsheets/d/1ItG2mGa2ceCfYo0BwxsXqNm01IGEUdYcSSLTEv9YCik/edit?usp=sharing"",""เบิกจ่ายกองทุน!L37"")"),248600)</f>
        <v>248600</v>
      </c>
      <c r="R695" s="255">
        <f ca="1">IFERROR(__xludf.DUMMYFUNCTION("IMPORTRANGE(""https://docs.google.com/spreadsheets/d/1ItG2mGa2ceCfYo0BwxsXqNm01IGEUdYcSSLTEv9YCik/edit?usp=sharing"",""เบิกจ่ายกองทุน!M37"")"),248600)</f>
        <v>248600</v>
      </c>
      <c r="S695" s="255">
        <f ca="1">IFERROR(__xludf.DUMMYFUNCTION("IMPORTRANGE(""https://docs.google.com/spreadsheets/d/1ItG2mGa2ceCfYo0BwxsXqNm01IGEUdYcSSLTEv9YCik/edit?usp=sharing"",""เบิกจ่ายกองทุน!N37"")"),28500)</f>
        <v>28500</v>
      </c>
      <c r="T695" s="255">
        <f ca="1">IF(Q695&gt;0,S695*100/Q695,0)</f>
        <v>11.464199517296862</v>
      </c>
      <c r="U695" s="255">
        <f ca="1">IF(R695&gt;0,S695*100/R695,0)</f>
        <v>11.464199517296862</v>
      </c>
    </row>
    <row r="696" spans="1:21" ht="18.75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256">
        <f>L697+L698</f>
        <v>0</v>
      </c>
      <c r="M696" s="255">
        <f>M697+M698</f>
        <v>0</v>
      </c>
      <c r="N696" s="255">
        <f>N697+N698</f>
        <v>0</v>
      </c>
      <c r="O696" s="255">
        <f>IF(L696&gt;0,N696*100/L696,0)</f>
        <v>0</v>
      </c>
      <c r="P696" s="255">
        <f>IF(M696&gt;0,N696*100/M696,0)</f>
        <v>0</v>
      </c>
      <c r="Q696" s="255">
        <f>Q697+Q698</f>
        <v>0</v>
      </c>
      <c r="R696" s="255">
        <f>R697+R698</f>
        <v>0</v>
      </c>
      <c r="S696" s="255">
        <f>S697+S698</f>
        <v>0</v>
      </c>
      <c r="T696" s="255">
        <f>IF(Q696&gt;0,S696*100/Q696,0)</f>
        <v>0</v>
      </c>
      <c r="U696" s="255">
        <f>IF(R696&gt;0,S696*100/R696,0)</f>
        <v>0</v>
      </c>
    </row>
    <row r="697" spans="1:21" ht="18.75" hidden="1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103">
        <v>0</v>
      </c>
      <c r="M697" s="102">
        <v>0</v>
      </c>
      <c r="N697" s="102">
        <v>0</v>
      </c>
      <c r="O697" s="102">
        <f>IF(L697&gt;0,N697*100/L697,0)</f>
        <v>0</v>
      </c>
      <c r="P697" s="102">
        <f>IF(M697&gt;0,N697*100/M697,0)</f>
        <v>0</v>
      </c>
      <c r="Q697" s="102">
        <v>0</v>
      </c>
      <c r="R697" s="102">
        <v>0</v>
      </c>
      <c r="S697" s="102">
        <v>0</v>
      </c>
      <c r="T697" s="102">
        <f>IF(Q697&gt;0,S697*100/Q697,0)</f>
        <v>0</v>
      </c>
      <c r="U697" s="102">
        <f>IF(R697&gt;0,S697*100/R697,0)</f>
        <v>0</v>
      </c>
    </row>
    <row r="698" spans="1:21" ht="18.75" hidden="1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256">
        <v>0</v>
      </c>
      <c r="M698" s="255">
        <v>0</v>
      </c>
      <c r="N698" s="255">
        <v>0</v>
      </c>
      <c r="O698" s="255">
        <f>IF(L698&gt;0,N698*100/L698,0)</f>
        <v>0</v>
      </c>
      <c r="P698" s="255">
        <f>IF(M698&gt;0,N698*100/M698,0)</f>
        <v>0</v>
      </c>
      <c r="Q698" s="255">
        <v>0</v>
      </c>
      <c r="R698" s="255">
        <v>0</v>
      </c>
      <c r="S698" s="255">
        <v>0</v>
      </c>
      <c r="T698" s="255">
        <f>IF(Q698&gt;0,S698*100/Q698,0)</f>
        <v>0</v>
      </c>
      <c r="U698" s="255">
        <f>IF(R698&gt;0,S698*100/R698,0)</f>
        <v>0</v>
      </c>
    </row>
    <row r="699" spans="1:21" ht="19.5">
      <c r="A699" s="166"/>
      <c r="B699" s="167"/>
      <c r="C699" s="205" t="s">
        <v>18</v>
      </c>
      <c r="D699" s="566" t="s">
        <v>38</v>
      </c>
      <c r="E699" s="169"/>
      <c r="F699" s="169"/>
      <c r="G699" s="169"/>
      <c r="H699" s="206"/>
      <c r="I699" s="163"/>
      <c r="J699" s="163"/>
      <c r="K699" s="164"/>
      <c r="L699" s="62"/>
      <c r="M699" s="55"/>
      <c r="N699" s="55"/>
      <c r="O699" s="55"/>
      <c r="P699" s="55"/>
      <c r="Q699" s="55"/>
      <c r="R699" s="55"/>
      <c r="S699" s="55"/>
      <c r="T699" s="55"/>
      <c r="U699" s="55"/>
    </row>
    <row r="700" spans="1:21" ht="18.75">
      <c r="A700" s="238"/>
      <c r="B700" s="188"/>
      <c r="C700" s="188"/>
      <c r="D700" s="174"/>
      <c r="E700" s="173" t="s">
        <v>257</v>
      </c>
      <c r="F700" s="174"/>
      <c r="G700" s="171"/>
      <c r="H700" s="165" t="s">
        <v>258</v>
      </c>
      <c r="I700" s="212">
        <f ca="1">IFERROR(__xludf.DUMMYFUNCTION("IMPORTRANGE(""https://docs.google.com/spreadsheets/d/1eHaY18a8A9IcSdp1K8H6x8fbOy06t2VsZHhMHf-1x7Y/edit?usp=sharing"",""แผน!LC37"")"),2)</f>
        <v>2</v>
      </c>
      <c r="J700" s="467">
        <v>0</v>
      </c>
      <c r="K700" s="565">
        <f ca="1">IF(I700&gt;0,J700*100/I700,0)</f>
        <v>0</v>
      </c>
      <c r="L700" s="172"/>
      <c r="M700" s="164"/>
      <c r="N700" s="55"/>
      <c r="O700" s="164"/>
      <c r="P700" s="164"/>
      <c r="Q700" s="164"/>
      <c r="R700" s="164"/>
      <c r="S700" s="55"/>
      <c r="T700" s="164"/>
      <c r="U700" s="164"/>
    </row>
    <row r="701" spans="1:21" ht="19.5">
      <c r="A701" s="238"/>
      <c r="B701" s="188"/>
      <c r="C701" s="188"/>
      <c r="D701" s="174"/>
      <c r="E701" s="476" t="s">
        <v>259</v>
      </c>
      <c r="F701" s="174"/>
      <c r="G701" s="171"/>
      <c r="H701" s="158" t="s">
        <v>35</v>
      </c>
      <c r="I701" s="373">
        <f ca="1">I703+I705</f>
        <v>106</v>
      </c>
      <c r="J701" s="373">
        <f ca="1">J703+J705</f>
        <v>0</v>
      </c>
      <c r="K701" s="540">
        <f ca="1">IF(I701&gt;0,J701*100/I701,0)</f>
        <v>0</v>
      </c>
      <c r="L701" s="172"/>
      <c r="M701" s="164"/>
      <c r="N701" s="164"/>
      <c r="O701" s="164"/>
      <c r="P701" s="164"/>
      <c r="Q701" s="164"/>
      <c r="R701" s="164"/>
      <c r="S701" s="164"/>
      <c r="T701" s="164"/>
      <c r="U701" s="164"/>
    </row>
    <row r="702" spans="1:21" ht="19.5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73">
        <v>0</v>
      </c>
      <c r="J702" s="373">
        <f ca="1">J704+J706</f>
        <v>0</v>
      </c>
      <c r="K702" s="540">
        <f>IF(I702&gt;0,J702*100/I702,0)</f>
        <v>0</v>
      </c>
      <c r="L702" s="172"/>
      <c r="M702" s="164"/>
      <c r="N702" s="164"/>
      <c r="O702" s="164"/>
      <c r="P702" s="164"/>
      <c r="Q702" s="164"/>
      <c r="R702" s="164"/>
      <c r="S702" s="164"/>
      <c r="T702" s="164"/>
      <c r="U702" s="164"/>
    </row>
    <row r="703" spans="1:21" ht="18.75">
      <c r="A703" s="238"/>
      <c r="B703" s="188"/>
      <c r="C703" s="188"/>
      <c r="D703" s="174"/>
      <c r="E703" s="174"/>
      <c r="F703" s="173" t="s">
        <v>260</v>
      </c>
      <c r="G703" s="171"/>
      <c r="H703" s="165" t="s">
        <v>35</v>
      </c>
      <c r="I703" s="212">
        <f ca="1">IFERROR(__xludf.DUMMYFUNCTION("IMPORTRANGE(""https://docs.google.com/spreadsheets/d/1eHaY18a8A9IcSdp1K8H6x8fbOy06t2VsZHhMHf-1x7Y/edit?usp=sharing"",""แผน!LJ37"")"),100)</f>
        <v>100</v>
      </c>
      <c r="J703" s="212">
        <f ca="1">IFERROR(__xludf.DUMMYFUNCTION("IMPORTRANGE(""https://docs.google.com/spreadsheets/d/1tdoBKaGub7dwA3U6UFTqxio9LNnvDCQjHKmttSEBsFQ/edit?usp=sharing"",""จัดที่ดิน!AP37"")"),0)</f>
        <v>0</v>
      </c>
      <c r="K703" s="255">
        <f ca="1">IF(I703&gt;0,J703*100/I703,0)</f>
        <v>0</v>
      </c>
      <c r="L703" s="172"/>
      <c r="M703" s="164"/>
      <c r="N703" s="164"/>
      <c r="O703" s="164"/>
      <c r="P703" s="164"/>
      <c r="Q703" s="164"/>
      <c r="R703" s="164"/>
      <c r="S703" s="164"/>
      <c r="T703" s="164"/>
      <c r="U703" s="164"/>
    </row>
    <row r="704" spans="1:21" ht="18.75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212">
        <f ca="1">IFERROR(__xludf.DUMMYFUNCTION("IMPORTRANGE(""https://docs.google.com/spreadsheets/d/1tdoBKaGub7dwA3U6UFTqxio9LNnvDCQjHKmttSEBsFQ/edit?usp=sharing"",""จัดที่ดิน!AQ37"")"),0)</f>
        <v>0</v>
      </c>
      <c r="K704" s="255">
        <f>IF(I704&gt;0,J704*100/I704,0)</f>
        <v>0</v>
      </c>
      <c r="L704" s="172"/>
      <c r="M704" s="164"/>
      <c r="N704" s="164"/>
      <c r="O704" s="164"/>
      <c r="P704" s="164"/>
      <c r="Q704" s="164"/>
      <c r="R704" s="164"/>
      <c r="S704" s="164"/>
      <c r="T704" s="164"/>
      <c r="U704" s="164"/>
    </row>
    <row r="705" spans="1:21" ht="18.75">
      <c r="A705" s="238"/>
      <c r="B705" s="188"/>
      <c r="C705" s="188"/>
      <c r="D705" s="174"/>
      <c r="E705" s="174"/>
      <c r="F705" s="173" t="s">
        <v>261</v>
      </c>
      <c r="G705" s="171"/>
      <c r="H705" s="165" t="s">
        <v>35</v>
      </c>
      <c r="I705" s="212">
        <f ca="1">IFERROR(__xludf.DUMMYFUNCTION("IMPORTRANGE(""https://docs.google.com/spreadsheets/d/1eHaY18a8A9IcSdp1K8H6x8fbOy06t2VsZHhMHf-1x7Y/edit?usp=sharing"",""แผน!LK37"")"),6)</f>
        <v>6</v>
      </c>
      <c r="J705" s="212">
        <f ca="1">IFERROR(__xludf.DUMMYFUNCTION("IMPORTRANGE(""https://docs.google.com/spreadsheets/d/1tdoBKaGub7dwA3U6UFTqxio9LNnvDCQjHKmttSEBsFQ/edit?usp=sharing"",""จัดที่ดิน!AR37"")"),0)</f>
        <v>0</v>
      </c>
      <c r="K705" s="565">
        <f ca="1">IF(I705&gt;0,J705*100/I705,0)</f>
        <v>0</v>
      </c>
      <c r="L705" s="172"/>
      <c r="M705" s="164"/>
      <c r="N705" s="164"/>
      <c r="O705" s="164"/>
      <c r="P705" s="164"/>
      <c r="Q705" s="164"/>
      <c r="R705" s="164"/>
      <c r="S705" s="164"/>
      <c r="T705" s="164"/>
      <c r="U705" s="164"/>
    </row>
    <row r="706" spans="1:21" ht="18.75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212">
        <f ca="1">IFERROR(__xludf.DUMMYFUNCTION("IMPORTRANGE(""https://docs.google.com/spreadsheets/d/1tdoBKaGub7dwA3U6UFTqxio9LNnvDCQjHKmttSEBsFQ/edit?usp=sharing"",""จัดที่ดิน!AS37"")"),0)</f>
        <v>0</v>
      </c>
      <c r="K706" s="255">
        <f>IF(I706&gt;0,J706*100/I706,0)</f>
        <v>0</v>
      </c>
      <c r="L706" s="172"/>
      <c r="M706" s="164"/>
      <c r="N706" s="164"/>
      <c r="O706" s="164"/>
      <c r="P706" s="164"/>
      <c r="Q706" s="164"/>
      <c r="R706" s="164"/>
      <c r="S706" s="164"/>
      <c r="T706" s="164"/>
      <c r="U706" s="164"/>
    </row>
    <row r="707" spans="1:21" ht="18.75">
      <c r="A707" s="238"/>
      <c r="B707" s="188"/>
      <c r="C707" s="188"/>
      <c r="D707" s="174"/>
      <c r="E707" s="173" t="s">
        <v>262</v>
      </c>
      <c r="F707" s="174"/>
      <c r="G707" s="171"/>
      <c r="H707" s="162" t="s">
        <v>35</v>
      </c>
      <c r="I707" s="212">
        <f ca="1">IFERROR(__xludf.DUMMYFUNCTION("IMPORTRANGE(""https://docs.google.com/spreadsheets/d/1eHaY18a8A9IcSdp1K8H6x8fbOy06t2VsZHhMHf-1x7Y/edit?usp=sharing"",""แผน!LJ37"")"),100)</f>
        <v>100</v>
      </c>
      <c r="J707" s="212">
        <f ca="1">IFERROR(__xludf.DUMMYFUNCTION("IMPORTRANGE(""https://docs.google.com/spreadsheets/d/1tdoBKaGub7dwA3U6UFTqxio9LNnvDCQjHKmttSEBsFQ/edit?usp=sharing"",""จัดที่ดิน!BN37"")"),0)</f>
        <v>0</v>
      </c>
      <c r="K707" s="255">
        <f ca="1">IF(I707&gt;0,J707*100/I707,0)</f>
        <v>0</v>
      </c>
      <c r="L707" s="172"/>
      <c r="M707" s="164"/>
      <c r="N707" s="164"/>
      <c r="O707" s="164"/>
      <c r="P707" s="164"/>
      <c r="Q707" s="164"/>
      <c r="R707" s="164"/>
      <c r="S707" s="164"/>
      <c r="T707" s="164"/>
      <c r="U707" s="164"/>
    </row>
    <row r="708" spans="1:21" ht="18.75">
      <c r="A708" s="238"/>
      <c r="B708" s="188"/>
      <c r="C708" s="188"/>
      <c r="D708" s="174"/>
      <c r="E708" s="477" t="s">
        <v>263</v>
      </c>
      <c r="F708" s="174"/>
      <c r="G708" s="171"/>
      <c r="H708" s="162" t="s">
        <v>46</v>
      </c>
      <c r="I708" s="212">
        <v>0</v>
      </c>
      <c r="J708" s="212">
        <f ca="1">IFERROR(__xludf.DUMMYFUNCTION("IMPORTRANGE(""https://docs.google.com/spreadsheets/d/1tdoBKaGub7dwA3U6UFTqxio9LNnvDCQjHKmttSEBsFQ/edit?usp=sharing"",""จัดที่ดิน!BO37"")"),0)</f>
        <v>0</v>
      </c>
      <c r="K708" s="255">
        <f>IF(I708&gt;0,J708*100/I708,0)</f>
        <v>0</v>
      </c>
      <c r="L708" s="172"/>
      <c r="M708" s="164"/>
      <c r="N708" s="164"/>
      <c r="O708" s="164"/>
      <c r="P708" s="164"/>
      <c r="Q708" s="164"/>
      <c r="R708" s="164"/>
      <c r="S708" s="164"/>
      <c r="T708" s="164"/>
      <c r="U708" s="164"/>
    </row>
    <row r="709" spans="1:21" ht="18.75">
      <c r="A709" s="238"/>
      <c r="B709" s="188"/>
      <c r="C709" s="188"/>
      <c r="D709" s="50"/>
      <c r="E709" s="58" t="s">
        <v>264</v>
      </c>
      <c r="F709" s="50"/>
      <c r="G709" s="52"/>
      <c r="H709" s="203" t="s">
        <v>35</v>
      </c>
      <c r="I709" s="212">
        <f ca="1">IFERROR(__xludf.DUMMYFUNCTION("IMPORTRANGE(""https://docs.google.com/spreadsheets/d/1eHaY18a8A9IcSdp1K8H6x8fbOy06t2VsZHhMHf-1x7Y/edit?usp=sharing"",""แผน!LK37"")"),6)</f>
        <v>6</v>
      </c>
      <c r="J709" s="212">
        <f ca="1">IFERROR(__xludf.DUMMYFUNCTION("IMPORTRANGE(""https://docs.google.com/spreadsheets/d/1tdoBKaGub7dwA3U6UFTqxio9LNnvDCQjHKmttSEBsFQ/edit?usp=sharing"",""จัดที่ดิน!BP37"")"),0)</f>
        <v>0</v>
      </c>
      <c r="K709" s="255">
        <f ca="1">IF(I709&gt;0,J709*100/I709,0)</f>
        <v>0</v>
      </c>
      <c r="L709" s="62"/>
      <c r="M709" s="55"/>
      <c r="N709" s="55"/>
      <c r="O709" s="55"/>
      <c r="P709" s="55"/>
      <c r="Q709" s="55"/>
      <c r="R709" s="55"/>
      <c r="S709" s="55"/>
      <c r="T709" s="55"/>
      <c r="U709" s="55"/>
    </row>
    <row r="710" spans="1:21" ht="18.75">
      <c r="A710" s="238"/>
      <c r="B710" s="188"/>
      <c r="C710" s="188"/>
      <c r="D710" s="50"/>
      <c r="E710" s="477" t="s">
        <v>265</v>
      </c>
      <c r="F710" s="50"/>
      <c r="G710" s="52"/>
      <c r="H710" s="203" t="s">
        <v>46</v>
      </c>
      <c r="I710" s="212">
        <v>0</v>
      </c>
      <c r="J710" s="212">
        <f ca="1">IFERROR(__xludf.DUMMYFUNCTION("IMPORTRANGE(""https://docs.google.com/spreadsheets/d/1tdoBKaGub7dwA3U6UFTqxio9LNnvDCQjHKmttSEBsFQ/edit?usp=sharing"",""จัดที่ดิน!BQ37"")"),0)</f>
        <v>0</v>
      </c>
      <c r="K710" s="255">
        <f>IF(I710&gt;0,J710*100/I710,0)</f>
        <v>0</v>
      </c>
      <c r="L710" s="62"/>
      <c r="M710" s="55"/>
      <c r="N710" s="55"/>
      <c r="O710" s="55"/>
      <c r="P710" s="55"/>
      <c r="Q710" s="55"/>
      <c r="R710" s="55"/>
      <c r="S710" s="55"/>
      <c r="T710" s="55"/>
      <c r="U710" s="55"/>
    </row>
    <row r="711" spans="1:21" ht="12.75" hidden="1">
      <c r="A711" s="407"/>
      <c r="B711" s="360"/>
      <c r="C711" s="360"/>
      <c r="D711" s="408"/>
      <c r="E711" s="408"/>
      <c r="F711" s="408"/>
      <c r="G711" s="409"/>
      <c r="H711" s="361"/>
      <c r="I711" s="362"/>
      <c r="J711" s="362"/>
      <c r="K711" s="363"/>
      <c r="L711" s="364"/>
      <c r="M711" s="363"/>
      <c r="N711" s="363"/>
      <c r="O711" s="363"/>
      <c r="P711" s="363"/>
      <c r="Q711" s="363"/>
      <c r="R711" s="363"/>
      <c r="S711" s="363"/>
      <c r="T711" s="363"/>
      <c r="U711" s="363"/>
    </row>
    <row r="712" spans="1:21" ht="19.5" hidden="1">
      <c r="A712" s="442"/>
      <c r="B712" s="478" t="s">
        <v>266</v>
      </c>
      <c r="C712" s="442"/>
      <c r="D712" s="444"/>
      <c r="E712" s="444"/>
      <c r="F712" s="444"/>
      <c r="G712" s="445"/>
      <c r="H712" s="479" t="s">
        <v>46</v>
      </c>
      <c r="I712" s="447"/>
      <c r="J712" s="447">
        <f>J724</f>
        <v>0</v>
      </c>
      <c r="K712" s="564">
        <f>IF(I712&gt;0,J712*100/I712,0)</f>
        <v>0</v>
      </c>
      <c r="L712" s="449"/>
      <c r="M712" s="448"/>
      <c r="N712" s="448"/>
      <c r="O712" s="448"/>
      <c r="P712" s="448"/>
      <c r="Q712" s="448"/>
      <c r="R712" s="448"/>
      <c r="S712" s="448"/>
      <c r="T712" s="448"/>
      <c r="U712" s="448"/>
    </row>
    <row r="713" spans="1:21" ht="19.5" hidden="1">
      <c r="A713" s="442"/>
      <c r="B713" s="478" t="s">
        <v>267</v>
      </c>
      <c r="C713" s="442"/>
      <c r="D713" s="444"/>
      <c r="E713" s="444"/>
      <c r="F713" s="444"/>
      <c r="G713" s="445"/>
      <c r="H713" s="446"/>
      <c r="I713" s="447"/>
      <c r="J713" s="447"/>
      <c r="K713" s="448"/>
      <c r="L713" s="449"/>
      <c r="M713" s="448"/>
      <c r="N713" s="448"/>
      <c r="O713" s="448"/>
      <c r="P713" s="448"/>
      <c r="Q713" s="448"/>
      <c r="R713" s="448"/>
      <c r="S713" s="448"/>
      <c r="T713" s="448"/>
      <c r="U713" s="448"/>
    </row>
    <row r="714" spans="1:21" ht="19.5" hidden="1">
      <c r="A714" s="155"/>
      <c r="B714" s="188"/>
      <c r="C714" s="358" t="s">
        <v>18</v>
      </c>
      <c r="D714" s="563" t="s">
        <v>19</v>
      </c>
      <c r="E714" s="529"/>
      <c r="F714" s="529"/>
      <c r="G714" s="530"/>
      <c r="H714" s="418" t="s">
        <v>14</v>
      </c>
      <c r="I714" s="54"/>
      <c r="J714" s="54"/>
      <c r="K714" s="55"/>
      <c r="L714" s="541">
        <f>L715+L716</f>
        <v>0</v>
      </c>
      <c r="M714" s="540">
        <f>M715+M716</f>
        <v>0</v>
      </c>
      <c r="N714" s="540">
        <f>N715+N716</f>
        <v>0</v>
      </c>
      <c r="O714" s="540">
        <f>IF(L714&gt;0,N714*100/L714,0)</f>
        <v>0</v>
      </c>
      <c r="P714" s="540">
        <f>IF(M714&gt;0,N714*100/M714,0)</f>
        <v>0</v>
      </c>
      <c r="Q714" s="540">
        <f>Q715+Q716</f>
        <v>0</v>
      </c>
      <c r="R714" s="540">
        <f>R715+R716</f>
        <v>0</v>
      </c>
      <c r="S714" s="540">
        <f>S715+S716</f>
        <v>0</v>
      </c>
      <c r="T714" s="540">
        <f>IF(Q714&gt;0,S714*100/Q714,0)</f>
        <v>0</v>
      </c>
      <c r="U714" s="540">
        <f>IF(R714&gt;0,S714*100/R714,0)</f>
        <v>0</v>
      </c>
    </row>
    <row r="715" spans="1:21" ht="18.75" hidden="1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103">
        <f>L718+L721</f>
        <v>0</v>
      </c>
      <c r="M715" s="102">
        <f>M718+M721</f>
        <v>0</v>
      </c>
      <c r="N715" s="102">
        <f>N718+N721</f>
        <v>0</v>
      </c>
      <c r="O715" s="102">
        <f>IF(L715&gt;0,N715*100/L715,0)</f>
        <v>0</v>
      </c>
      <c r="P715" s="102">
        <f>IF(M715&gt;0,N715*100/M715,0)</f>
        <v>0</v>
      </c>
      <c r="Q715" s="102">
        <f>Q718+Q721</f>
        <v>0</v>
      </c>
      <c r="R715" s="102">
        <f>R718+R721</f>
        <v>0</v>
      </c>
      <c r="S715" s="102">
        <f>S718+S721</f>
        <v>0</v>
      </c>
      <c r="T715" s="102">
        <f>IF(Q715&gt;0,S715*100/Q715,0)</f>
        <v>0</v>
      </c>
      <c r="U715" s="102">
        <f>IF(R715&gt;0,S715*100/R715,0)</f>
        <v>0</v>
      </c>
    </row>
    <row r="716" spans="1:21" ht="18.75" hidden="1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256">
        <f>L719+L722</f>
        <v>0</v>
      </c>
      <c r="M716" s="255">
        <f>M719+M722</f>
        <v>0</v>
      </c>
      <c r="N716" s="255">
        <f>N719+N722</f>
        <v>0</v>
      </c>
      <c r="O716" s="255">
        <f>IF(L716&gt;0,N716*100/L716,0)</f>
        <v>0</v>
      </c>
      <c r="P716" s="255">
        <f>IF(M716&gt;0,N716*100/M716,0)</f>
        <v>0</v>
      </c>
      <c r="Q716" s="255">
        <f>Q719+Q722</f>
        <v>0</v>
      </c>
      <c r="R716" s="255">
        <f>R719+R722</f>
        <v>0</v>
      </c>
      <c r="S716" s="255">
        <f>S719+S722</f>
        <v>0</v>
      </c>
      <c r="T716" s="255">
        <f>IF(Q716&gt;0,S716*100/Q716,0)</f>
        <v>0</v>
      </c>
      <c r="U716" s="255">
        <f>IF(R716&gt;0,S716*100/R716,0)</f>
        <v>0</v>
      </c>
    </row>
    <row r="717" spans="1:21" ht="19.5" hidden="1">
      <c r="A717" s="155"/>
      <c r="B717" s="188"/>
      <c r="C717" s="188"/>
      <c r="D717" s="562" t="s">
        <v>22</v>
      </c>
      <c r="E717" s="50"/>
      <c r="F717" s="50"/>
      <c r="G717" s="52"/>
      <c r="H717" s="418" t="s">
        <v>14</v>
      </c>
      <c r="I717" s="163"/>
      <c r="J717" s="163"/>
      <c r="K717" s="164"/>
      <c r="L717" s="256">
        <f>L718+L719</f>
        <v>0</v>
      </c>
      <c r="M717" s="255">
        <f>M718+M719</f>
        <v>0</v>
      </c>
      <c r="N717" s="255">
        <f>N718+N719</f>
        <v>0</v>
      </c>
      <c r="O717" s="255">
        <f>IF(L717&gt;0,N717*100/L717,0)</f>
        <v>0</v>
      </c>
      <c r="P717" s="255">
        <f>IF(M717&gt;0,N717*100/M717,0)</f>
        <v>0</v>
      </c>
      <c r="Q717" s="255">
        <f>Q718+Q719</f>
        <v>0</v>
      </c>
      <c r="R717" s="255">
        <f>R718+R719</f>
        <v>0</v>
      </c>
      <c r="S717" s="255">
        <f>S718+S719</f>
        <v>0</v>
      </c>
      <c r="T717" s="255">
        <f>IF(Q717&gt;0,S717*100/Q717,0)</f>
        <v>0</v>
      </c>
      <c r="U717" s="255">
        <f>IF(R717&gt;0,S717*100/R717,0)</f>
        <v>0</v>
      </c>
    </row>
    <row r="718" spans="1:21" ht="18.75" hidden="1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103">
        <v>0</v>
      </c>
      <c r="M718" s="102">
        <v>0</v>
      </c>
      <c r="N718" s="102">
        <v>0</v>
      </c>
      <c r="O718" s="102">
        <f>IF(L718&gt;0,N718*100/L718,0)</f>
        <v>0</v>
      </c>
      <c r="P718" s="102">
        <f>IF(M718&gt;0,N718*100/M718,0)</f>
        <v>0</v>
      </c>
      <c r="Q718" s="102">
        <v>0</v>
      </c>
      <c r="R718" s="102">
        <v>0</v>
      </c>
      <c r="S718" s="102">
        <v>0</v>
      </c>
      <c r="T718" s="102">
        <f>IF(Q718&gt;0,S718*100/Q718,0)</f>
        <v>0</v>
      </c>
      <c r="U718" s="102">
        <f>IF(R718&gt;0,S718*100/R718,0)</f>
        <v>0</v>
      </c>
    </row>
    <row r="719" spans="1:21" ht="18.75" hidden="1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256">
        <v>0</v>
      </c>
      <c r="M719" s="255">
        <v>0</v>
      </c>
      <c r="N719" s="255">
        <v>0</v>
      </c>
      <c r="O719" s="255">
        <f>IF(L719&gt;0,N719*100/L719,0)</f>
        <v>0</v>
      </c>
      <c r="P719" s="255">
        <f>IF(M719&gt;0,N719*100/M719,0)</f>
        <v>0</v>
      </c>
      <c r="Q719" s="255">
        <v>0</v>
      </c>
      <c r="R719" s="255">
        <v>0</v>
      </c>
      <c r="S719" s="255">
        <v>0</v>
      </c>
      <c r="T719" s="255">
        <f>IF(Q719&gt;0,S719*100/Q719,0)</f>
        <v>0</v>
      </c>
      <c r="U719" s="255">
        <f>IF(R719&gt;0,S719*100/R719,0)</f>
        <v>0</v>
      </c>
    </row>
    <row r="720" spans="1:21" ht="19.5" hidden="1">
      <c r="A720" s="155"/>
      <c r="B720" s="188"/>
      <c r="C720" s="188"/>
      <c r="D720" s="562" t="s">
        <v>23</v>
      </c>
      <c r="E720" s="50"/>
      <c r="F720" s="50"/>
      <c r="G720" s="52"/>
      <c r="H720" s="420" t="s">
        <v>14</v>
      </c>
      <c r="I720" s="163"/>
      <c r="J720" s="163"/>
      <c r="K720" s="164"/>
      <c r="L720" s="256">
        <f>L721+L722</f>
        <v>0</v>
      </c>
      <c r="M720" s="255">
        <f>M721+M722</f>
        <v>0</v>
      </c>
      <c r="N720" s="255">
        <f>N721+N722</f>
        <v>0</v>
      </c>
      <c r="O720" s="255">
        <f>IF(L720&gt;0,N720*100/L720,0)</f>
        <v>0</v>
      </c>
      <c r="P720" s="255">
        <f>IF(M720&gt;0,N720*100/M720,0)</f>
        <v>0</v>
      </c>
      <c r="Q720" s="255">
        <f>Q721+Q722</f>
        <v>0</v>
      </c>
      <c r="R720" s="255">
        <f>R721+R722</f>
        <v>0</v>
      </c>
      <c r="S720" s="255">
        <f>S721+S722</f>
        <v>0</v>
      </c>
      <c r="T720" s="255">
        <f>IF(Q720&gt;0,S720*100/Q720,0)</f>
        <v>0</v>
      </c>
      <c r="U720" s="255">
        <f>IF(R720&gt;0,S720*100/R720,0)</f>
        <v>0</v>
      </c>
    </row>
    <row r="721" spans="1:21" ht="18.75" hidden="1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103">
        <v>0</v>
      </c>
      <c r="M721" s="102">
        <v>0</v>
      </c>
      <c r="N721" s="102">
        <v>0</v>
      </c>
      <c r="O721" s="102">
        <f>IF(L721&gt;0,N721*100/L721,0)</f>
        <v>0</v>
      </c>
      <c r="P721" s="102">
        <f>IF(M721&gt;0,N721*100/M721,0)</f>
        <v>0</v>
      </c>
      <c r="Q721" s="102">
        <v>0</v>
      </c>
      <c r="R721" s="102">
        <v>0</v>
      </c>
      <c r="S721" s="102">
        <v>0</v>
      </c>
      <c r="T721" s="102">
        <f>IF(Q721&gt;0,S721*100/Q721,0)</f>
        <v>0</v>
      </c>
      <c r="U721" s="102">
        <f>IF(R721&gt;0,S721*100/R721,0)</f>
        <v>0</v>
      </c>
    </row>
    <row r="722" spans="1:21" ht="18.75" hidden="1">
      <c r="A722" s="155"/>
      <c r="B722" s="188"/>
      <c r="C722" s="188"/>
      <c r="D722" s="50"/>
      <c r="E722" s="186" t="s">
        <v>21</v>
      </c>
      <c r="F722" s="50"/>
      <c r="G722" s="52"/>
      <c r="H722" s="421" t="s">
        <v>14</v>
      </c>
      <c r="I722" s="163"/>
      <c r="J722" s="163"/>
      <c r="K722" s="164"/>
      <c r="L722" s="256">
        <v>0</v>
      </c>
      <c r="M722" s="255">
        <v>0</v>
      </c>
      <c r="N722" s="255">
        <v>0</v>
      </c>
      <c r="O722" s="255">
        <f>IF(L722&gt;0,N722*100/L722,0)</f>
        <v>0</v>
      </c>
      <c r="P722" s="255">
        <f>IF(M722&gt;0,N722*100/M722,0)</f>
        <v>0</v>
      </c>
      <c r="Q722" s="255">
        <v>0</v>
      </c>
      <c r="R722" s="255">
        <v>0</v>
      </c>
      <c r="S722" s="255">
        <v>0</v>
      </c>
      <c r="T722" s="255">
        <f>IF(Q722&gt;0,S722*100/Q722,0)</f>
        <v>0</v>
      </c>
      <c r="U722" s="255">
        <f>IF(R722&gt;0,S722*100/R722,0)</f>
        <v>0</v>
      </c>
    </row>
    <row r="723" spans="1:21" ht="19.5" hidden="1">
      <c r="A723" s="166"/>
      <c r="B723" s="167"/>
      <c r="C723" s="358" t="s">
        <v>18</v>
      </c>
      <c r="D723" s="561" t="s">
        <v>38</v>
      </c>
      <c r="E723" s="169"/>
      <c r="F723" s="169"/>
      <c r="G723" s="170"/>
      <c r="H723" s="206"/>
      <c r="I723" s="163"/>
      <c r="J723" s="163"/>
      <c r="K723" s="164"/>
      <c r="L723" s="172"/>
      <c r="M723" s="164"/>
      <c r="N723" s="164"/>
      <c r="O723" s="164"/>
      <c r="P723" s="164"/>
      <c r="Q723" s="164"/>
      <c r="R723" s="164"/>
      <c r="S723" s="164"/>
      <c r="T723" s="164"/>
      <c r="U723" s="164"/>
    </row>
    <row r="724" spans="1:21" ht="18.75" hidden="1">
      <c r="A724" s="238"/>
      <c r="B724" s="188"/>
      <c r="C724" s="188"/>
      <c r="D724" s="50"/>
      <c r="E724" s="186" t="s">
        <v>268</v>
      </c>
      <c r="F724" s="50"/>
      <c r="G724" s="52"/>
      <c r="H724" s="189" t="s">
        <v>46</v>
      </c>
      <c r="I724" s="483">
        <v>0</v>
      </c>
      <c r="J724" s="54"/>
      <c r="K724" s="55"/>
      <c r="L724" s="62"/>
      <c r="M724" s="55"/>
      <c r="N724" s="55"/>
      <c r="O724" s="55"/>
      <c r="P724" s="55"/>
      <c r="Q724" s="55"/>
      <c r="R724" s="55"/>
      <c r="S724" s="55"/>
      <c r="T724" s="55"/>
      <c r="U724" s="55"/>
    </row>
    <row r="725" spans="1:21" ht="18.75" hidden="1">
      <c r="A725" s="374"/>
      <c r="B725" s="5"/>
      <c r="C725" s="5"/>
      <c r="D725" s="4"/>
      <c r="E725" s="484" t="s">
        <v>269</v>
      </c>
      <c r="F725" s="4"/>
      <c r="G725" s="65"/>
      <c r="H725" s="485" t="s">
        <v>46</v>
      </c>
      <c r="I725" s="486">
        <v>0</v>
      </c>
      <c r="J725" s="67"/>
      <c r="K725" s="6"/>
      <c r="L725" s="68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>
      <c r="A726" s="442"/>
      <c r="B726" s="443" t="s">
        <v>270</v>
      </c>
      <c r="C726" s="442"/>
      <c r="D726" s="444"/>
      <c r="E726" s="444"/>
      <c r="F726" s="444"/>
      <c r="G726" s="445"/>
      <c r="H726" s="473" t="s">
        <v>35</v>
      </c>
      <c r="I726" s="544">
        <f ca="1">IFERROR(__xludf.DUMMYFUNCTION("IMPORTRANGE(""https://docs.google.com/spreadsheets/d/1eHaY18a8A9IcSdp1K8H6x8fbOy06t2VsZHhMHf-1x7Y/edit?usp=sharing"",""แผน!GA37"")"),128)</f>
        <v>128</v>
      </c>
      <c r="J726" s="544">
        <f>J742+J746+J749</f>
        <v>0</v>
      </c>
      <c r="K726" s="543">
        <f ca="1">IF(I726&gt;0,J726*100/I726,0)</f>
        <v>0</v>
      </c>
      <c r="L726" s="449"/>
      <c r="M726" s="448"/>
      <c r="N726" s="448"/>
      <c r="O726" s="448"/>
      <c r="P726" s="448"/>
      <c r="Q726" s="448"/>
      <c r="R726" s="448"/>
      <c r="S726" s="448"/>
      <c r="T726" s="448"/>
      <c r="U726" s="448"/>
    </row>
    <row r="727" spans="1:21" ht="19.5">
      <c r="A727" s="487"/>
      <c r="B727" s="442"/>
      <c r="C727" s="442"/>
      <c r="D727" s="444"/>
      <c r="E727" s="444"/>
      <c r="F727" s="444"/>
      <c r="G727" s="445"/>
      <c r="H727" s="473" t="s">
        <v>46</v>
      </c>
      <c r="I727" s="544">
        <f ca="1">IFERROR(__xludf.DUMMYFUNCTION("IMPORTRANGE(""https://docs.google.com/spreadsheets/d/1eHaY18a8A9IcSdp1K8H6x8fbOy06t2VsZHhMHf-1x7Y/edit?usp=sharing"",""แผน!FZ37"")"),1250)</f>
        <v>1250</v>
      </c>
      <c r="J727" s="544">
        <f>J752+J755</f>
        <v>0</v>
      </c>
      <c r="K727" s="543">
        <f ca="1">IF(I727&gt;0,J727*100/I727,0)</f>
        <v>0</v>
      </c>
      <c r="L727" s="449"/>
      <c r="M727" s="448"/>
      <c r="N727" s="448"/>
      <c r="O727" s="448"/>
      <c r="P727" s="448"/>
      <c r="Q727" s="448"/>
      <c r="R727" s="448"/>
      <c r="S727" s="448"/>
      <c r="T727" s="448"/>
      <c r="U727" s="448"/>
    </row>
    <row r="728" spans="1:21" ht="19.5">
      <c r="A728" s="155"/>
      <c r="B728" s="188"/>
      <c r="C728" s="205" t="s">
        <v>18</v>
      </c>
      <c r="D728" s="542" t="s">
        <v>19</v>
      </c>
      <c r="E728" s="529"/>
      <c r="F728" s="529"/>
      <c r="G728" s="530"/>
      <c r="H728" s="252" t="s">
        <v>14</v>
      </c>
      <c r="I728" s="54"/>
      <c r="J728" s="54"/>
      <c r="K728" s="55"/>
      <c r="L728" s="541">
        <f>L729+L730</f>
        <v>0</v>
      </c>
      <c r="M728" s="540">
        <f>M729+M730</f>
        <v>0</v>
      </c>
      <c r="N728" s="540">
        <f>N729+N730</f>
        <v>0</v>
      </c>
      <c r="O728" s="540">
        <f>IF(L728&gt;0,N728*100/L728,0)</f>
        <v>0</v>
      </c>
      <c r="P728" s="540">
        <f>IF(M728&gt;0,N728*100/M728,0)</f>
        <v>0</v>
      </c>
      <c r="Q728" s="540">
        <f ca="1">Q729+Q730</f>
        <v>1008470</v>
      </c>
      <c r="R728" s="540">
        <f ca="1">R729+R730</f>
        <v>1008470</v>
      </c>
      <c r="S728" s="540">
        <f ca="1">S729+S730</f>
        <v>61955</v>
      </c>
      <c r="T728" s="540">
        <f ca="1">IF(Q728&gt;0,S728*100/Q728,0)</f>
        <v>6.143464852697651</v>
      </c>
      <c r="U728" s="540">
        <f ca="1">IF(R728&gt;0,S728*100/R728,0)</f>
        <v>6.143464852697651</v>
      </c>
    </row>
    <row r="729" spans="1:21" ht="18.75" hidden="1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103">
        <f>L732+L735</f>
        <v>0</v>
      </c>
      <c r="M729" s="102">
        <f>M732+M735</f>
        <v>0</v>
      </c>
      <c r="N729" s="102">
        <f>N732+N735</f>
        <v>0</v>
      </c>
      <c r="O729" s="102">
        <f>IF(L729&gt;0,N729*100/L729,0)</f>
        <v>0</v>
      </c>
      <c r="P729" s="102">
        <f>IF(M729&gt;0,N729*100/M729,0)</f>
        <v>0</v>
      </c>
      <c r="Q729" s="102">
        <f>Q732+Q735</f>
        <v>0</v>
      </c>
      <c r="R729" s="102">
        <f>R732+R735</f>
        <v>0</v>
      </c>
      <c r="S729" s="102">
        <f>S732+S735</f>
        <v>0</v>
      </c>
      <c r="T729" s="102">
        <f>IF(Q729&gt;0,S729*100/Q729,0)</f>
        <v>0</v>
      </c>
      <c r="U729" s="102">
        <f>IF(R729&gt;0,S729*100/R729,0)</f>
        <v>0</v>
      </c>
    </row>
    <row r="730" spans="1:21" ht="18.75" hidden="1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256">
        <f>L733+L736</f>
        <v>0</v>
      </c>
      <c r="M730" s="255">
        <f>M733+M736</f>
        <v>0</v>
      </c>
      <c r="N730" s="255">
        <f>N733+N736</f>
        <v>0</v>
      </c>
      <c r="O730" s="255">
        <f>IF(L730&gt;0,N730*100/L730,0)</f>
        <v>0</v>
      </c>
      <c r="P730" s="255">
        <f>IF(M730&gt;0,N730*100/M730,0)</f>
        <v>0</v>
      </c>
      <c r="Q730" s="255">
        <f ca="1">Q733+Q736</f>
        <v>1008470</v>
      </c>
      <c r="R730" s="255">
        <f ca="1">R733+R736</f>
        <v>1008470</v>
      </c>
      <c r="S730" s="255">
        <f ca="1">S733+S736</f>
        <v>61955</v>
      </c>
      <c r="T730" s="255">
        <f ca="1">IF(Q730&gt;0,S730*100/Q730,0)</f>
        <v>6.143464852697651</v>
      </c>
      <c r="U730" s="255">
        <f ca="1">IF(R730&gt;0,S730*100/R730,0)</f>
        <v>6.143464852697651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256">
        <f>L732+L733</f>
        <v>0</v>
      </c>
      <c r="M731" s="255">
        <f>M732+M733</f>
        <v>0</v>
      </c>
      <c r="N731" s="255">
        <f>N732+N733</f>
        <v>0</v>
      </c>
      <c r="O731" s="255">
        <f>IF(L731&gt;0,N731*100/L731,0)</f>
        <v>0</v>
      </c>
      <c r="P731" s="255">
        <f>IF(M731&gt;0,N731*100/M731,0)</f>
        <v>0</v>
      </c>
      <c r="Q731" s="255">
        <f ca="1">Q732+Q733</f>
        <v>1008470</v>
      </c>
      <c r="R731" s="255">
        <f ca="1">R732+R733</f>
        <v>1008470</v>
      </c>
      <c r="S731" s="255">
        <f ca="1">S732+S733</f>
        <v>61955</v>
      </c>
      <c r="T731" s="255">
        <f ca="1">IF(Q731&gt;0,S731*100/Q731,0)</f>
        <v>6.143464852697651</v>
      </c>
      <c r="U731" s="255">
        <f ca="1">IF(R731&gt;0,S731*100/R731,0)</f>
        <v>6.143464852697651</v>
      </c>
    </row>
    <row r="732" spans="1:21" ht="18.75" hidden="1">
      <c r="A732" s="155"/>
      <c r="B732" s="188"/>
      <c r="C732" s="188"/>
      <c r="D732" s="174"/>
      <c r="E732" s="186" t="s">
        <v>159</v>
      </c>
      <c r="F732" s="50"/>
      <c r="G732" s="52"/>
      <c r="H732" s="189" t="s">
        <v>14</v>
      </c>
      <c r="I732" s="54"/>
      <c r="J732" s="54"/>
      <c r="K732" s="55"/>
      <c r="L732" s="103">
        <v>0</v>
      </c>
      <c r="M732" s="102">
        <v>0</v>
      </c>
      <c r="N732" s="102">
        <v>0</v>
      </c>
      <c r="O732" s="102">
        <f>IF(L732&gt;0,N732*100/L732,0)</f>
        <v>0</v>
      </c>
      <c r="P732" s="102">
        <f>IF(M732&gt;0,N732*100/M732,0)</f>
        <v>0</v>
      </c>
      <c r="Q732" s="102">
        <v>0</v>
      </c>
      <c r="R732" s="102">
        <v>0</v>
      </c>
      <c r="S732" s="102">
        <v>0</v>
      </c>
      <c r="T732" s="102">
        <f>IF(Q732&gt;0,S732*100/Q732,0)</f>
        <v>0</v>
      </c>
      <c r="U732" s="102">
        <f>IF(R732&gt;0,S732*100/R732,0)</f>
        <v>0</v>
      </c>
    </row>
    <row r="733" spans="1:21" ht="18.75" hidden="1">
      <c r="A733" s="155"/>
      <c r="B733" s="188"/>
      <c r="C733" s="188"/>
      <c r="D733" s="174"/>
      <c r="E733" s="58" t="s">
        <v>160</v>
      </c>
      <c r="F733" s="50"/>
      <c r="G733" s="52"/>
      <c r="H733" s="162" t="s">
        <v>14</v>
      </c>
      <c r="I733" s="54"/>
      <c r="J733" s="54"/>
      <c r="K733" s="55"/>
      <c r="L733" s="256">
        <v>0</v>
      </c>
      <c r="M733" s="255">
        <v>0</v>
      </c>
      <c r="N733" s="255">
        <v>0</v>
      </c>
      <c r="O733" s="255">
        <f>IF(L733&gt;0,N733*100/L733,0)</f>
        <v>0</v>
      </c>
      <c r="P733" s="255">
        <f>IF(M733&gt;0,N733*100/M733,0)</f>
        <v>0</v>
      </c>
      <c r="Q733" s="255">
        <f ca="1">IFERROR(__xludf.DUMMYFUNCTION("IMPORTRANGE(""https://docs.google.com/spreadsheets/d/1ItG2mGa2ceCfYo0BwxsXqNm01IGEUdYcSSLTEv9YCik/edit?usp=sharing"",""เบิกจ่ายกองทุน!O37"")"),1008470)</f>
        <v>1008470</v>
      </c>
      <c r="R733" s="255">
        <f ca="1">IFERROR(__xludf.DUMMYFUNCTION("IMPORTRANGE(""https://docs.google.com/spreadsheets/d/1ItG2mGa2ceCfYo0BwxsXqNm01IGEUdYcSSLTEv9YCik/edit?usp=sharing"",""เบิกจ่ายกองทุน!P37"")"),1008470)</f>
        <v>1008470</v>
      </c>
      <c r="S733" s="255">
        <f ca="1">IFERROR(__xludf.DUMMYFUNCTION("IMPORTRANGE(""https://docs.google.com/spreadsheets/d/1ItG2mGa2ceCfYo0BwxsXqNm01IGEUdYcSSLTEv9YCik/edit?usp=sharing"",""เบิกจ่ายกองทุน!Q37"")"),61955)</f>
        <v>61955</v>
      </c>
      <c r="T733" s="255">
        <f ca="1">IF(Q733&gt;0,S733*100/Q733,0)</f>
        <v>6.143464852697651</v>
      </c>
      <c r="U733" s="255">
        <f ca="1">IF(R733&gt;0,S733*100/R733,0)</f>
        <v>6.143464852697651</v>
      </c>
    </row>
    <row r="734" spans="1:21" ht="18.75">
      <c r="A734" s="155"/>
      <c r="B734" s="188"/>
      <c r="C734" s="188"/>
      <c r="D734" s="51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256">
        <f>L735+L736</f>
        <v>0</v>
      </c>
      <c r="M734" s="255">
        <f>M735+M736</f>
        <v>0</v>
      </c>
      <c r="N734" s="255">
        <f>N735+N736</f>
        <v>0</v>
      </c>
      <c r="O734" s="255">
        <f>IF(L734&gt;0,N734*100/L734,0)</f>
        <v>0</v>
      </c>
      <c r="P734" s="255">
        <f>IF(M734&gt;0,N734*100/M734,0)</f>
        <v>0</v>
      </c>
      <c r="Q734" s="255">
        <f>Q735+Q736</f>
        <v>0</v>
      </c>
      <c r="R734" s="255">
        <f>R735+R736</f>
        <v>0</v>
      </c>
      <c r="S734" s="255">
        <f>S735+S736</f>
        <v>0</v>
      </c>
      <c r="T734" s="255">
        <f>IF(Q734&gt;0,S734*100/Q734,0)</f>
        <v>0</v>
      </c>
      <c r="U734" s="255">
        <f>IF(R734&gt;0,S734*100/R734,0)</f>
        <v>0</v>
      </c>
    </row>
    <row r="735" spans="1:21" ht="18.75" hidden="1">
      <c r="A735" s="155"/>
      <c r="B735" s="188"/>
      <c r="C735" s="188"/>
      <c r="D735" s="188"/>
      <c r="E735" s="358" t="s">
        <v>20</v>
      </c>
      <c r="F735" s="188"/>
      <c r="G735" s="52"/>
      <c r="H735" s="189" t="s">
        <v>14</v>
      </c>
      <c r="I735" s="163"/>
      <c r="J735" s="163"/>
      <c r="K735" s="164"/>
      <c r="L735" s="103">
        <v>0</v>
      </c>
      <c r="M735" s="102">
        <v>0</v>
      </c>
      <c r="N735" s="102">
        <v>0</v>
      </c>
      <c r="O735" s="102">
        <f>IF(L735&gt;0,N735*100/L735,0)</f>
        <v>0</v>
      </c>
      <c r="P735" s="102">
        <f>IF(M735&gt;0,N735*100/M735,0)</f>
        <v>0</v>
      </c>
      <c r="Q735" s="102">
        <v>0</v>
      </c>
      <c r="R735" s="102">
        <v>0</v>
      </c>
      <c r="S735" s="102">
        <v>0</v>
      </c>
      <c r="T735" s="102">
        <f>IF(Q735&gt;0,S735*100/Q735,0)</f>
        <v>0</v>
      </c>
      <c r="U735" s="102">
        <f>IF(R735&gt;0,S735*100/R735,0)</f>
        <v>0</v>
      </c>
    </row>
    <row r="736" spans="1:21" ht="18.75" hidden="1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256">
        <v>0</v>
      </c>
      <c r="M736" s="255">
        <v>0</v>
      </c>
      <c r="N736" s="255">
        <v>0</v>
      </c>
      <c r="O736" s="255">
        <f>IF(L736&gt;0,N736*100/L736,0)</f>
        <v>0</v>
      </c>
      <c r="P736" s="255">
        <f>IF(M736&gt;0,N736*100/M736,0)</f>
        <v>0</v>
      </c>
      <c r="Q736" s="255">
        <v>0</v>
      </c>
      <c r="R736" s="255">
        <v>0</v>
      </c>
      <c r="S736" s="255">
        <v>0</v>
      </c>
      <c r="T736" s="255">
        <f>IF(Q736&gt;0,S736*100/Q736,0)</f>
        <v>0</v>
      </c>
      <c r="U736" s="255">
        <f>IF(R736&gt;0,S736*100/R736,0)</f>
        <v>0</v>
      </c>
    </row>
    <row r="737" spans="1:21" ht="19.5">
      <c r="A737" s="166"/>
      <c r="B737" s="167"/>
      <c r="C737" s="205" t="s">
        <v>18</v>
      </c>
      <c r="D737" s="560" t="s">
        <v>38</v>
      </c>
      <c r="E737" s="232"/>
      <c r="F737" s="169"/>
      <c r="G737" s="170"/>
      <c r="H737" s="206"/>
      <c r="I737" s="54"/>
      <c r="J737" s="54"/>
      <c r="K737" s="55"/>
      <c r="L737" s="62"/>
      <c r="M737" s="55"/>
      <c r="N737" s="55"/>
      <c r="O737" s="55"/>
      <c r="P737" s="55"/>
      <c r="Q737" s="55"/>
      <c r="R737" s="55"/>
      <c r="S737" s="55"/>
      <c r="T737" s="55"/>
      <c r="U737" s="55"/>
    </row>
    <row r="738" spans="1:21" ht="19.5">
      <c r="A738" s="166"/>
      <c r="B738" s="167"/>
      <c r="C738" s="167"/>
      <c r="D738" s="488" t="s">
        <v>121</v>
      </c>
      <c r="E738" s="167"/>
      <c r="F738" s="167"/>
      <c r="G738" s="171"/>
      <c r="H738" s="208"/>
      <c r="I738" s="54"/>
      <c r="J738" s="54"/>
      <c r="K738" s="55"/>
      <c r="L738" s="62"/>
      <c r="M738" s="55"/>
      <c r="N738" s="55"/>
      <c r="O738" s="55"/>
      <c r="P738" s="55"/>
      <c r="Q738" s="55"/>
      <c r="R738" s="55"/>
      <c r="S738" s="55"/>
      <c r="T738" s="55"/>
      <c r="U738" s="55"/>
    </row>
    <row r="739" spans="1:21" ht="18.75">
      <c r="A739" s="166"/>
      <c r="B739" s="167"/>
      <c r="C739" s="167"/>
      <c r="D739" s="167"/>
      <c r="E739" s="460" t="s">
        <v>271</v>
      </c>
      <c r="F739" s="167"/>
      <c r="G739" s="171"/>
      <c r="H739" s="208"/>
      <c r="I739" s="54"/>
      <c r="J739" s="54"/>
      <c r="K739" s="55"/>
      <c r="L739" s="62"/>
      <c r="M739" s="55"/>
      <c r="N739" s="55"/>
      <c r="O739" s="55"/>
      <c r="P739" s="55"/>
      <c r="Q739" s="55"/>
      <c r="R739" s="55"/>
      <c r="S739" s="55"/>
      <c r="T739" s="55"/>
      <c r="U739" s="55"/>
    </row>
    <row r="740" spans="1:21" ht="18.75">
      <c r="A740" s="166"/>
      <c r="B740" s="167"/>
      <c r="C740" s="167"/>
      <c r="D740" s="167"/>
      <c r="E740" s="167"/>
      <c r="F740" s="460" t="s">
        <v>272</v>
      </c>
      <c r="G740" s="171"/>
      <c r="H740" s="161" t="s">
        <v>46</v>
      </c>
      <c r="I740" s="212">
        <f ca="1">IFERROR(__xludf.DUMMYFUNCTION("IMPORTRANGE(""https://docs.google.com/spreadsheets/d/1eHaY18a8A9IcSdp1K8H6x8fbOy06t2VsZHhMHf-1x7Y/edit?usp=sharing"",""แผน!GB37"")"),1000)</f>
        <v>1000</v>
      </c>
      <c r="J740" s="467">
        <v>0</v>
      </c>
      <c r="K740" s="255">
        <f ca="1">IF(I740&gt;0,J740*100/I740,0)</f>
        <v>0</v>
      </c>
      <c r="L740" s="62"/>
      <c r="M740" s="55"/>
      <c r="N740" s="55"/>
      <c r="O740" s="55"/>
      <c r="P740" s="55"/>
      <c r="Q740" s="55"/>
      <c r="R740" s="55"/>
      <c r="S740" s="55"/>
      <c r="T740" s="55"/>
      <c r="U740" s="55"/>
    </row>
    <row r="741" spans="1:21" ht="18.75">
      <c r="A741" s="554"/>
      <c r="B741" s="553"/>
      <c r="C741" s="553"/>
      <c r="D741" s="553"/>
      <c r="E741" s="553"/>
      <c r="F741" s="558" t="s">
        <v>307</v>
      </c>
      <c r="G741" s="550"/>
      <c r="H741" s="549" t="s">
        <v>35</v>
      </c>
      <c r="I741" s="548"/>
      <c r="J741" s="547">
        <v>0</v>
      </c>
      <c r="K741" s="545"/>
      <c r="L741" s="546"/>
      <c r="M741" s="545"/>
      <c r="N741" s="545"/>
      <c r="O741" s="545"/>
      <c r="P741" s="545"/>
      <c r="Q741" s="545"/>
      <c r="R741" s="545"/>
      <c r="S741" s="545"/>
      <c r="T741" s="545"/>
      <c r="U741" s="545"/>
    </row>
    <row r="742" spans="1:21" ht="18.75">
      <c r="A742" s="554"/>
      <c r="B742" s="553"/>
      <c r="C742" s="553"/>
      <c r="D742" s="553"/>
      <c r="E742" s="553"/>
      <c r="F742" s="558" t="s">
        <v>306</v>
      </c>
      <c r="G742" s="550"/>
      <c r="H742" s="549" t="s">
        <v>35</v>
      </c>
      <c r="I742" s="556">
        <f ca="1">IFERROR(__xludf.DUMMYFUNCTION("IMPORTRANGE(""https://docs.google.com/spreadsheets/d/1eHaY18a8A9IcSdp1K8H6x8fbOy06t2VsZHhMHf-1x7Y/edit?usp=sharing"",""แผน!GC37"")"),100)</f>
        <v>100</v>
      </c>
      <c r="J742" s="547">
        <v>0</v>
      </c>
      <c r="K742" s="555">
        <f ca="1">IF(I742&gt;0,J742*100/I742,0)</f>
        <v>0</v>
      </c>
      <c r="L742" s="546"/>
      <c r="M742" s="545"/>
      <c r="N742" s="545"/>
      <c r="O742" s="545"/>
      <c r="P742" s="545"/>
      <c r="Q742" s="545"/>
      <c r="R742" s="545"/>
      <c r="S742" s="545"/>
      <c r="T742" s="545"/>
      <c r="U742" s="545"/>
    </row>
    <row r="743" spans="1:21" ht="18.75">
      <c r="A743" s="554"/>
      <c r="B743" s="553"/>
      <c r="C743" s="553"/>
      <c r="D743" s="553"/>
      <c r="E743" s="558" t="s">
        <v>275</v>
      </c>
      <c r="F743" s="553"/>
      <c r="G743" s="550"/>
      <c r="H743" s="557"/>
      <c r="I743" s="548"/>
      <c r="J743" s="548"/>
      <c r="K743" s="545"/>
      <c r="L743" s="546"/>
      <c r="M743" s="545"/>
      <c r="N743" s="545"/>
      <c r="O743" s="545"/>
      <c r="P743" s="545"/>
      <c r="Q743" s="545"/>
      <c r="R743" s="545"/>
      <c r="S743" s="545"/>
      <c r="T743" s="545"/>
      <c r="U743" s="545"/>
    </row>
    <row r="744" spans="1:21" ht="18.75">
      <c r="A744" s="554"/>
      <c r="B744" s="553"/>
      <c r="C744" s="553"/>
      <c r="D744" s="553"/>
      <c r="E744" s="553"/>
      <c r="F744" s="558" t="s">
        <v>272</v>
      </c>
      <c r="G744" s="550"/>
      <c r="H744" s="549" t="s">
        <v>46</v>
      </c>
      <c r="I744" s="556">
        <f ca="1">IFERROR(__xludf.DUMMYFUNCTION("IMPORTRANGE(""https://docs.google.com/spreadsheets/d/1eHaY18a8A9IcSdp1K8H6x8fbOy06t2VsZHhMHf-1x7Y/edit?usp=sharing"",""แผน!GD37"")"),250)</f>
        <v>250</v>
      </c>
      <c r="J744" s="547">
        <v>0</v>
      </c>
      <c r="K744" s="555">
        <f ca="1">IF(I744&gt;0,J744*100/I744,0)</f>
        <v>0</v>
      </c>
      <c r="L744" s="546"/>
      <c r="M744" s="545"/>
      <c r="N744" s="545"/>
      <c r="O744" s="545"/>
      <c r="P744" s="545"/>
      <c r="Q744" s="545"/>
      <c r="R744" s="545"/>
      <c r="S744" s="545"/>
      <c r="T744" s="545"/>
      <c r="U744" s="545"/>
    </row>
    <row r="745" spans="1:21" ht="18.75">
      <c r="A745" s="554"/>
      <c r="B745" s="553"/>
      <c r="C745" s="553"/>
      <c r="D745" s="553"/>
      <c r="E745" s="553"/>
      <c r="F745" s="558" t="s">
        <v>305</v>
      </c>
      <c r="G745" s="550"/>
      <c r="H745" s="549" t="s">
        <v>35</v>
      </c>
      <c r="I745" s="548"/>
      <c r="J745" s="547">
        <v>0</v>
      </c>
      <c r="K745" s="545"/>
      <c r="L745" s="546"/>
      <c r="M745" s="545"/>
      <c r="N745" s="545"/>
      <c r="O745" s="545"/>
      <c r="P745" s="545"/>
      <c r="Q745" s="545"/>
      <c r="R745" s="545"/>
      <c r="S745" s="545"/>
      <c r="T745" s="545"/>
      <c r="U745" s="545"/>
    </row>
    <row r="746" spans="1:21" ht="18.75">
      <c r="A746" s="554"/>
      <c r="B746" s="553"/>
      <c r="C746" s="553"/>
      <c r="D746" s="553"/>
      <c r="E746" s="553"/>
      <c r="F746" s="558" t="s">
        <v>304</v>
      </c>
      <c r="G746" s="550"/>
      <c r="H746" s="549" t="s">
        <v>35</v>
      </c>
      <c r="I746" s="556">
        <f ca="1">IFERROR(__xludf.DUMMYFUNCTION("IMPORTRANGE(""https://docs.google.com/spreadsheets/d/1eHaY18a8A9IcSdp1K8H6x8fbOy06t2VsZHhMHf-1x7Y/edit?usp=sharing"",""แผน!GE37"")"),25)</f>
        <v>25</v>
      </c>
      <c r="J746" s="547">
        <v>0</v>
      </c>
      <c r="K746" s="555">
        <f ca="1">IF(I746&gt;0,J746*100/I746,0)</f>
        <v>0</v>
      </c>
      <c r="L746" s="546"/>
      <c r="M746" s="545"/>
      <c r="N746" s="545"/>
      <c r="O746" s="545"/>
      <c r="P746" s="545"/>
      <c r="Q746" s="545"/>
      <c r="R746" s="545"/>
      <c r="S746" s="545"/>
      <c r="T746" s="545"/>
      <c r="U746" s="545"/>
    </row>
    <row r="747" spans="1:21" ht="18.75">
      <c r="A747" s="554"/>
      <c r="B747" s="553"/>
      <c r="C747" s="553"/>
      <c r="D747" s="553"/>
      <c r="E747" s="558" t="s">
        <v>278</v>
      </c>
      <c r="F747" s="552"/>
      <c r="G747" s="550"/>
      <c r="H747" s="557"/>
      <c r="I747" s="548"/>
      <c r="J747" s="548"/>
      <c r="K747" s="545"/>
      <c r="L747" s="546"/>
      <c r="M747" s="545"/>
      <c r="N747" s="545"/>
      <c r="O747" s="545"/>
      <c r="P747" s="545"/>
      <c r="Q747" s="545"/>
      <c r="R747" s="545"/>
      <c r="S747" s="545"/>
      <c r="T747" s="545"/>
      <c r="U747" s="545"/>
    </row>
    <row r="748" spans="1:21" ht="18.75">
      <c r="A748" s="554"/>
      <c r="B748" s="553"/>
      <c r="C748" s="553"/>
      <c r="D748" s="553"/>
      <c r="E748" s="553"/>
      <c r="F748" s="558" t="s">
        <v>303</v>
      </c>
      <c r="G748" s="550"/>
      <c r="H748" s="549" t="s">
        <v>35</v>
      </c>
      <c r="I748" s="548"/>
      <c r="J748" s="547">
        <v>0</v>
      </c>
      <c r="K748" s="545"/>
      <c r="L748" s="546"/>
      <c r="M748" s="545"/>
      <c r="N748" s="545"/>
      <c r="O748" s="545"/>
      <c r="P748" s="545"/>
      <c r="Q748" s="545"/>
      <c r="R748" s="545"/>
      <c r="S748" s="545"/>
      <c r="T748" s="545"/>
      <c r="U748" s="545"/>
    </row>
    <row r="749" spans="1:21" ht="18.75">
      <c r="A749" s="554"/>
      <c r="B749" s="553"/>
      <c r="C749" s="553"/>
      <c r="D749" s="553"/>
      <c r="E749" s="553"/>
      <c r="F749" s="558" t="s">
        <v>302</v>
      </c>
      <c r="G749" s="550"/>
      <c r="H749" s="549" t="s">
        <v>35</v>
      </c>
      <c r="I749" s="556">
        <f ca="1">IFERROR(__xludf.DUMMYFUNCTION("IMPORTRANGE(""https://docs.google.com/spreadsheets/d/1eHaY18a8A9IcSdp1K8H6x8fbOy06t2VsZHhMHf-1x7Y/edit?usp=sharing"",""แผน!GF37"")"),3)</f>
        <v>3</v>
      </c>
      <c r="J749" s="547">
        <v>0</v>
      </c>
      <c r="K749" s="555">
        <f ca="1">IF(I749&gt;0,J749*100/I749,0)</f>
        <v>0</v>
      </c>
      <c r="L749" s="546"/>
      <c r="M749" s="545"/>
      <c r="N749" s="545"/>
      <c r="O749" s="545"/>
      <c r="P749" s="545"/>
      <c r="Q749" s="545"/>
      <c r="R749" s="545"/>
      <c r="S749" s="545"/>
      <c r="T749" s="545"/>
      <c r="U749" s="545"/>
    </row>
    <row r="750" spans="1:21" ht="19.5">
      <c r="A750" s="554"/>
      <c r="B750" s="553"/>
      <c r="C750" s="553"/>
      <c r="D750" s="559" t="s">
        <v>50</v>
      </c>
      <c r="E750" s="553"/>
      <c r="F750" s="552"/>
      <c r="G750" s="550"/>
      <c r="H750" s="557"/>
      <c r="I750" s="548"/>
      <c r="J750" s="548"/>
      <c r="K750" s="545"/>
      <c r="L750" s="546"/>
      <c r="M750" s="545"/>
      <c r="N750" s="545"/>
      <c r="O750" s="545"/>
      <c r="P750" s="545"/>
      <c r="Q750" s="545"/>
      <c r="R750" s="545"/>
      <c r="S750" s="545"/>
      <c r="T750" s="545"/>
      <c r="U750" s="545"/>
    </row>
    <row r="751" spans="1:21" ht="18.75">
      <c r="A751" s="554"/>
      <c r="B751" s="553"/>
      <c r="C751" s="553"/>
      <c r="D751" s="553"/>
      <c r="E751" s="558" t="s">
        <v>271</v>
      </c>
      <c r="F751" s="552"/>
      <c r="G751" s="550"/>
      <c r="H751" s="557"/>
      <c r="I751" s="548"/>
      <c r="J751" s="548"/>
      <c r="K751" s="545"/>
      <c r="L751" s="546"/>
      <c r="M751" s="545"/>
      <c r="N751" s="545"/>
      <c r="O751" s="545"/>
      <c r="P751" s="545"/>
      <c r="Q751" s="545"/>
      <c r="R751" s="545"/>
      <c r="S751" s="545"/>
      <c r="T751" s="545"/>
      <c r="U751" s="545"/>
    </row>
    <row r="752" spans="1:21" ht="18.75">
      <c r="A752" s="554"/>
      <c r="B752" s="553"/>
      <c r="C752" s="553"/>
      <c r="D752" s="553"/>
      <c r="E752" s="553"/>
      <c r="F752" s="551" t="s">
        <v>301</v>
      </c>
      <c r="G752" s="550"/>
      <c r="H752" s="549" t="s">
        <v>46</v>
      </c>
      <c r="I752" s="556">
        <f ca="1">IFERROR(__xludf.DUMMYFUNCTION("IMPORTRANGE(""https://docs.google.com/spreadsheets/d/1eHaY18a8A9IcSdp1K8H6x8fbOy06t2VsZHhMHf-1x7Y/edit?usp=sharing"",""แผน!GB37"")"),1000)</f>
        <v>1000</v>
      </c>
      <c r="J752" s="547">
        <v>0</v>
      </c>
      <c r="K752" s="555">
        <f ca="1">IF(I752&gt;0,J752*100/I752,0)</f>
        <v>0</v>
      </c>
      <c r="L752" s="546"/>
      <c r="M752" s="545"/>
      <c r="N752" s="545"/>
      <c r="O752" s="545"/>
      <c r="P752" s="545"/>
      <c r="Q752" s="545"/>
      <c r="R752" s="545"/>
      <c r="S752" s="545"/>
      <c r="T752" s="545"/>
      <c r="U752" s="545"/>
    </row>
    <row r="753" spans="1:21" ht="18.75">
      <c r="A753" s="554"/>
      <c r="B753" s="553"/>
      <c r="C753" s="553"/>
      <c r="D753" s="553"/>
      <c r="E753" s="553"/>
      <c r="F753" s="551" t="s">
        <v>300</v>
      </c>
      <c r="G753" s="550"/>
      <c r="H753" s="549" t="s">
        <v>46</v>
      </c>
      <c r="I753" s="548"/>
      <c r="J753" s="547">
        <v>0</v>
      </c>
      <c r="K753" s="545"/>
      <c r="L753" s="546"/>
      <c r="M753" s="545"/>
      <c r="N753" s="545"/>
      <c r="O753" s="545"/>
      <c r="P753" s="545"/>
      <c r="Q753" s="545"/>
      <c r="R753" s="545"/>
      <c r="S753" s="545"/>
      <c r="T753" s="545"/>
      <c r="U753" s="545"/>
    </row>
    <row r="754" spans="1:21" ht="18.75">
      <c r="A754" s="554"/>
      <c r="B754" s="553"/>
      <c r="C754" s="553"/>
      <c r="D754" s="553"/>
      <c r="E754" s="558" t="s">
        <v>275</v>
      </c>
      <c r="F754" s="552"/>
      <c r="G754" s="550"/>
      <c r="H754" s="557"/>
      <c r="I754" s="548"/>
      <c r="J754" s="548"/>
      <c r="K754" s="545"/>
      <c r="L754" s="546"/>
      <c r="M754" s="545"/>
      <c r="N754" s="545"/>
      <c r="O754" s="545"/>
      <c r="P754" s="545"/>
      <c r="Q754" s="545"/>
      <c r="R754" s="545"/>
      <c r="S754" s="545"/>
      <c r="T754" s="545"/>
      <c r="U754" s="545"/>
    </row>
    <row r="755" spans="1:21" ht="18.75">
      <c r="A755" s="554"/>
      <c r="B755" s="553"/>
      <c r="C755" s="553"/>
      <c r="D755" s="553"/>
      <c r="E755" s="552"/>
      <c r="F755" s="551" t="s">
        <v>299</v>
      </c>
      <c r="G755" s="550"/>
      <c r="H755" s="549" t="s">
        <v>46</v>
      </c>
      <c r="I755" s="556">
        <f ca="1">IFERROR(__xludf.DUMMYFUNCTION("IMPORTRANGE(""https://docs.google.com/spreadsheets/d/1eHaY18a8A9IcSdp1K8H6x8fbOy06t2VsZHhMHf-1x7Y/edit?usp=sharing"",""แผน!GD37"")"),250)</f>
        <v>250</v>
      </c>
      <c r="J755" s="547">
        <v>0</v>
      </c>
      <c r="K755" s="555">
        <f ca="1">IF(I755&gt;0,J755*100/I755,0)</f>
        <v>0</v>
      </c>
      <c r="L755" s="546"/>
      <c r="M755" s="545"/>
      <c r="N755" s="545"/>
      <c r="O755" s="545"/>
      <c r="P755" s="545"/>
      <c r="Q755" s="545"/>
      <c r="R755" s="545"/>
      <c r="S755" s="545"/>
      <c r="T755" s="545"/>
      <c r="U755" s="545"/>
    </row>
    <row r="756" spans="1:21" ht="18.75">
      <c r="A756" s="554"/>
      <c r="B756" s="553"/>
      <c r="C756" s="553"/>
      <c r="D756" s="553"/>
      <c r="E756" s="552"/>
      <c r="F756" s="551" t="s">
        <v>298</v>
      </c>
      <c r="G756" s="550"/>
      <c r="H756" s="549" t="s">
        <v>46</v>
      </c>
      <c r="I756" s="548"/>
      <c r="J756" s="547">
        <v>0</v>
      </c>
      <c r="K756" s="545"/>
      <c r="L756" s="546"/>
      <c r="M756" s="545"/>
      <c r="N756" s="545"/>
      <c r="O756" s="545"/>
      <c r="P756" s="545"/>
      <c r="Q756" s="545"/>
      <c r="R756" s="545"/>
      <c r="S756" s="545"/>
      <c r="T756" s="545"/>
      <c r="U756" s="545"/>
    </row>
    <row r="757" spans="1:21" ht="18.75">
      <c r="A757" s="489"/>
      <c r="B757" s="489"/>
      <c r="C757" s="489"/>
      <c r="D757" s="489"/>
      <c r="E757" s="490" t="s">
        <v>285</v>
      </c>
      <c r="F757" s="491"/>
      <c r="G757" s="492"/>
      <c r="H757" s="493" t="s">
        <v>35</v>
      </c>
      <c r="I757" s="494"/>
      <c r="J757" s="495">
        <v>0</v>
      </c>
      <c r="K757" s="496"/>
      <c r="L757" s="496"/>
      <c r="M757" s="496"/>
      <c r="N757" s="496"/>
      <c r="O757" s="496"/>
      <c r="P757" s="496"/>
      <c r="Q757" s="496"/>
      <c r="R757" s="496"/>
      <c r="S757" s="496"/>
      <c r="T757" s="496"/>
      <c r="U757" s="496"/>
    </row>
    <row r="758" spans="1:21" ht="19.5">
      <c r="A758" s="442"/>
      <c r="B758" s="443" t="s">
        <v>286</v>
      </c>
      <c r="C758" s="442"/>
      <c r="D758" s="444"/>
      <c r="E758" s="444"/>
      <c r="F758" s="444"/>
      <c r="G758" s="445"/>
      <c r="H758" s="473" t="s">
        <v>35</v>
      </c>
      <c r="I758" s="544">
        <f ca="1">I772</f>
        <v>100</v>
      </c>
      <c r="J758" s="544">
        <f>J772</f>
        <v>100</v>
      </c>
      <c r="K758" s="543">
        <f ca="1">IF(I758&gt;0,J758*100/I758,0)</f>
        <v>100</v>
      </c>
      <c r="L758" s="449"/>
      <c r="M758" s="448"/>
      <c r="N758" s="448"/>
      <c r="O758" s="448"/>
      <c r="P758" s="448"/>
      <c r="Q758" s="448"/>
      <c r="R758" s="448"/>
      <c r="S758" s="448"/>
      <c r="T758" s="448"/>
      <c r="U758" s="448"/>
    </row>
    <row r="759" spans="1:21" ht="19.5">
      <c r="A759" s="487"/>
      <c r="B759" s="442"/>
      <c r="C759" s="442"/>
      <c r="D759" s="444"/>
      <c r="E759" s="444"/>
      <c r="F759" s="444"/>
      <c r="G759" s="445"/>
      <c r="H759" s="473" t="s">
        <v>46</v>
      </c>
      <c r="I759" s="544">
        <f ca="1">I774</f>
        <v>150</v>
      </c>
      <c r="J759" s="544">
        <f>J774</f>
        <v>150</v>
      </c>
      <c r="K759" s="543">
        <f ca="1">IF(I759&gt;0,J759*100/I759,0)</f>
        <v>100</v>
      </c>
      <c r="L759" s="449"/>
      <c r="M759" s="448"/>
      <c r="N759" s="448"/>
      <c r="O759" s="448"/>
      <c r="P759" s="448"/>
      <c r="Q759" s="448"/>
      <c r="R759" s="448"/>
      <c r="S759" s="448"/>
      <c r="T759" s="448"/>
      <c r="U759" s="448"/>
    </row>
    <row r="760" spans="1:21" ht="19.5">
      <c r="A760" s="155"/>
      <c r="B760" s="188"/>
      <c r="C760" s="205" t="s">
        <v>18</v>
      </c>
      <c r="D760" s="542" t="s">
        <v>19</v>
      </c>
      <c r="E760" s="529"/>
      <c r="F760" s="529"/>
      <c r="G760" s="530"/>
      <c r="H760" s="252" t="s">
        <v>14</v>
      </c>
      <c r="I760" s="54"/>
      <c r="J760" s="54"/>
      <c r="K760" s="55"/>
      <c r="L760" s="541">
        <f>L761+L762</f>
        <v>0</v>
      </c>
      <c r="M760" s="540">
        <f>M761+M762</f>
        <v>0</v>
      </c>
      <c r="N760" s="540">
        <f>N761+N762</f>
        <v>0</v>
      </c>
      <c r="O760" s="540">
        <f>IF(L760&gt;0,N760*100/L760,0)</f>
        <v>0</v>
      </c>
      <c r="P760" s="540">
        <f>IF(M760&gt;0,N760*100/M760,0)</f>
        <v>0</v>
      </c>
      <c r="Q760" s="540">
        <f ca="1">Q761+Q762</f>
        <v>550180</v>
      </c>
      <c r="R760" s="540">
        <f ca="1">R761+R762</f>
        <v>550180</v>
      </c>
      <c r="S760" s="540">
        <f ca="1">S761+S762</f>
        <v>101853</v>
      </c>
      <c r="T760" s="540">
        <f ca="1">IF(Q760&gt;0,S760*100/Q760,0)</f>
        <v>18.512668581191608</v>
      </c>
      <c r="U760" s="540">
        <f ca="1">IF(R760&gt;0,S760*100/R760,0)</f>
        <v>18.512668581191608</v>
      </c>
    </row>
    <row r="761" spans="1:21" ht="18.75" hidden="1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103">
        <f>L764+L767</f>
        <v>0</v>
      </c>
      <c r="M761" s="102">
        <f>M764+M767</f>
        <v>0</v>
      </c>
      <c r="N761" s="102">
        <f>N764+N767</f>
        <v>0</v>
      </c>
      <c r="O761" s="102">
        <f>IF(L761&gt;0,N761*100/L761,0)</f>
        <v>0</v>
      </c>
      <c r="P761" s="102">
        <f>IF(M761&gt;0,N761*100/M761,0)</f>
        <v>0</v>
      </c>
      <c r="Q761" s="102">
        <f>Q764+Q767</f>
        <v>0</v>
      </c>
      <c r="R761" s="102">
        <f>R764+R767</f>
        <v>0</v>
      </c>
      <c r="S761" s="102">
        <f>S764+S767</f>
        <v>0</v>
      </c>
      <c r="T761" s="102">
        <f>IF(Q761&gt;0,S761*100/Q761,0)</f>
        <v>0</v>
      </c>
      <c r="U761" s="102">
        <f>IF(R761&gt;0,S761*100/R761,0)</f>
        <v>0</v>
      </c>
    </row>
    <row r="762" spans="1:21" ht="18.75" hidden="1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256">
        <f>L765+L768</f>
        <v>0</v>
      </c>
      <c r="M762" s="255">
        <f>M765+M768</f>
        <v>0</v>
      </c>
      <c r="N762" s="255">
        <f>N765+N768</f>
        <v>0</v>
      </c>
      <c r="O762" s="255">
        <f>IF(L762&gt;0,N762*100/L762,0)</f>
        <v>0</v>
      </c>
      <c r="P762" s="255">
        <f>IF(M762&gt;0,N762*100/M762,0)</f>
        <v>0</v>
      </c>
      <c r="Q762" s="255">
        <f ca="1">Q765+Q768</f>
        <v>550180</v>
      </c>
      <c r="R762" s="255">
        <f ca="1">R765+R768</f>
        <v>550180</v>
      </c>
      <c r="S762" s="255">
        <f ca="1">S765+S768</f>
        <v>101853</v>
      </c>
      <c r="T762" s="255">
        <f ca="1">IF(Q762&gt;0,S762*100/Q762,0)</f>
        <v>18.512668581191608</v>
      </c>
      <c r="U762" s="255">
        <f ca="1">IF(R762&gt;0,S762*100/R762,0)</f>
        <v>18.512668581191608</v>
      </c>
    </row>
    <row r="763" spans="1:21" ht="18.75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256">
        <f>L764+L765</f>
        <v>0</v>
      </c>
      <c r="M763" s="255">
        <f>M764+M765</f>
        <v>0</v>
      </c>
      <c r="N763" s="255">
        <f>N764+N765</f>
        <v>0</v>
      </c>
      <c r="O763" s="255">
        <f>IF(L763&gt;0,N763*100/L763,0)</f>
        <v>0</v>
      </c>
      <c r="P763" s="255">
        <f>IF(M763&gt;0,N763*100/M763,0)</f>
        <v>0</v>
      </c>
      <c r="Q763" s="255">
        <f ca="1">Q764+Q765</f>
        <v>550180</v>
      </c>
      <c r="R763" s="255">
        <f ca="1">R764+R765</f>
        <v>550180</v>
      </c>
      <c r="S763" s="255">
        <f ca="1">S764+S765</f>
        <v>101853</v>
      </c>
      <c r="T763" s="255">
        <f ca="1">IF(Q763&gt;0,S763*100/Q763,0)</f>
        <v>18.512668581191608</v>
      </c>
      <c r="U763" s="255">
        <f ca="1">IF(R763&gt;0,S763*100/R763,0)</f>
        <v>18.512668581191608</v>
      </c>
    </row>
    <row r="764" spans="1:21" ht="18.75" hidden="1">
      <c r="A764" s="155"/>
      <c r="B764" s="188"/>
      <c r="C764" s="202"/>
      <c r="D764" s="174"/>
      <c r="E764" s="186" t="s">
        <v>159</v>
      </c>
      <c r="F764" s="50"/>
      <c r="G764" s="52"/>
      <c r="H764" s="189" t="s">
        <v>14</v>
      </c>
      <c r="I764" s="54"/>
      <c r="J764" s="54"/>
      <c r="K764" s="55"/>
      <c r="L764" s="103">
        <v>0</v>
      </c>
      <c r="M764" s="102">
        <v>0</v>
      </c>
      <c r="N764" s="102">
        <v>0</v>
      </c>
      <c r="O764" s="102">
        <f>IF(L764&gt;0,N764*100/L764,0)</f>
        <v>0</v>
      </c>
      <c r="P764" s="102">
        <f>IF(M764&gt;0,N764*100/M764,0)</f>
        <v>0</v>
      </c>
      <c r="Q764" s="102">
        <v>0</v>
      </c>
      <c r="R764" s="102">
        <v>0</v>
      </c>
      <c r="S764" s="102">
        <v>0</v>
      </c>
      <c r="T764" s="102">
        <f>IF(Q764&gt;0,S764*100/Q764,0)</f>
        <v>0</v>
      </c>
      <c r="U764" s="102">
        <f>IF(R764&gt;0,S764*100/R764,0)</f>
        <v>0</v>
      </c>
    </row>
    <row r="765" spans="1:21" ht="18.75" hidden="1">
      <c r="A765" s="155"/>
      <c r="B765" s="188"/>
      <c r="C765" s="202"/>
      <c r="D765" s="174"/>
      <c r="E765" s="58" t="s">
        <v>160</v>
      </c>
      <c r="F765" s="50"/>
      <c r="G765" s="52"/>
      <c r="H765" s="162" t="s">
        <v>14</v>
      </c>
      <c r="I765" s="54"/>
      <c r="J765" s="54"/>
      <c r="K765" s="55"/>
      <c r="L765" s="256">
        <v>0</v>
      </c>
      <c r="M765" s="255">
        <v>0</v>
      </c>
      <c r="N765" s="255">
        <v>0</v>
      </c>
      <c r="O765" s="255">
        <f>IF(L765&gt;0,N765*100/L765,0)</f>
        <v>0</v>
      </c>
      <c r="P765" s="255">
        <f>IF(M765&gt;0,N765*100/M765,0)</f>
        <v>0</v>
      </c>
      <c r="Q765" s="255">
        <f ca="1">IFERROR(__xludf.DUMMYFUNCTION("IMPORTRANGE(""https://docs.google.com/spreadsheets/d/1ItG2mGa2ceCfYo0BwxsXqNm01IGEUdYcSSLTEv9YCik/edit?usp=sharing"",""เบิกจ่ายกองทุน!U37"")"),550180)</f>
        <v>550180</v>
      </c>
      <c r="R765" s="255">
        <f ca="1">IFERROR(__xludf.DUMMYFUNCTION("IMPORTRANGE(""https://docs.google.com/spreadsheets/d/1ItG2mGa2ceCfYo0BwxsXqNm01IGEUdYcSSLTEv9YCik/edit?usp=sharing"",""เบิกจ่ายกองทุน!V37"")"),550180)</f>
        <v>550180</v>
      </c>
      <c r="S765" s="255">
        <f ca="1">IFERROR(__xludf.DUMMYFUNCTION("IMPORTRANGE(""https://docs.google.com/spreadsheets/d/1ItG2mGa2ceCfYo0BwxsXqNm01IGEUdYcSSLTEv9YCik/edit?usp=sharing"",""เบิกจ่ายกองทุน!W37"")"),101853)</f>
        <v>101853</v>
      </c>
      <c r="T765" s="255">
        <f ca="1">IF(Q765&gt;0,S765*100/Q765,0)</f>
        <v>18.512668581191608</v>
      </c>
      <c r="U765" s="255">
        <f ca="1">IF(R765&gt;0,S765*100/R765,0)</f>
        <v>18.512668581191608</v>
      </c>
    </row>
    <row r="766" spans="1:21" ht="18.75">
      <c r="A766" s="155"/>
      <c r="B766" s="188"/>
      <c r="C766" s="188"/>
      <c r="D766" s="51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256">
        <f>L767+L768</f>
        <v>0</v>
      </c>
      <c r="M766" s="255">
        <f>M767+M768</f>
        <v>0</v>
      </c>
      <c r="N766" s="255">
        <f>N767+N768</f>
        <v>0</v>
      </c>
      <c r="O766" s="255">
        <f>IF(L766&gt;0,N766*100/L766,0)</f>
        <v>0</v>
      </c>
      <c r="P766" s="255">
        <f>IF(M766&gt;0,N766*100/M766,0)</f>
        <v>0</v>
      </c>
      <c r="Q766" s="255">
        <f>Q767+Q768</f>
        <v>0</v>
      </c>
      <c r="R766" s="255">
        <f>R767+R768</f>
        <v>0</v>
      </c>
      <c r="S766" s="255">
        <f>S767+S768</f>
        <v>0</v>
      </c>
      <c r="T766" s="255">
        <f>IF(Q766&gt;0,S766*100/Q766,0)</f>
        <v>0</v>
      </c>
      <c r="U766" s="255">
        <f>IF(R766&gt;0,S766*100/R766,0)</f>
        <v>0</v>
      </c>
    </row>
    <row r="767" spans="1:21" ht="18.75" hidden="1">
      <c r="A767" s="155"/>
      <c r="B767" s="188"/>
      <c r="C767" s="188"/>
      <c r="D767" s="188"/>
      <c r="E767" s="358" t="s">
        <v>20</v>
      </c>
      <c r="F767" s="50"/>
      <c r="G767" s="52"/>
      <c r="H767" s="189" t="s">
        <v>14</v>
      </c>
      <c r="I767" s="163"/>
      <c r="J767" s="163"/>
      <c r="K767" s="164"/>
      <c r="L767" s="103">
        <v>0</v>
      </c>
      <c r="M767" s="102">
        <v>0</v>
      </c>
      <c r="N767" s="102">
        <v>0</v>
      </c>
      <c r="O767" s="102">
        <f>IF(L767&gt;0,N767*100/L767,0)</f>
        <v>0</v>
      </c>
      <c r="P767" s="102">
        <f>IF(M767&gt;0,N767*100/M767,0)</f>
        <v>0</v>
      </c>
      <c r="Q767" s="102">
        <v>0</v>
      </c>
      <c r="R767" s="102">
        <v>0</v>
      </c>
      <c r="S767" s="102">
        <v>0</v>
      </c>
      <c r="T767" s="102">
        <f>IF(Q767&gt;0,S767*100/Q767,0)</f>
        <v>0</v>
      </c>
      <c r="U767" s="102">
        <f>IF(R767&gt;0,S767*100/R767,0)</f>
        <v>0</v>
      </c>
    </row>
    <row r="768" spans="1:21" ht="18.75" hidden="1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256">
        <v>0</v>
      </c>
      <c r="M768" s="255">
        <v>0</v>
      </c>
      <c r="N768" s="255">
        <v>0</v>
      </c>
      <c r="O768" s="255">
        <f>IF(L768&gt;0,N768*100/L768,0)</f>
        <v>0</v>
      </c>
      <c r="P768" s="255">
        <f>IF(M768&gt;0,N768*100/M768,0)</f>
        <v>0</v>
      </c>
      <c r="Q768" s="255">
        <v>0</v>
      </c>
      <c r="R768" s="255">
        <v>0</v>
      </c>
      <c r="S768" s="255">
        <v>0</v>
      </c>
      <c r="T768" s="255">
        <f>IF(Q768&gt;0,S768*100/Q768,0)</f>
        <v>0</v>
      </c>
      <c r="U768" s="255">
        <f>IF(R768&gt;0,S768*100/R768,0)</f>
        <v>0</v>
      </c>
    </row>
    <row r="769" spans="1:21" ht="19.5">
      <c r="A769" s="166"/>
      <c r="B769" s="167"/>
      <c r="C769" s="497" t="s">
        <v>18</v>
      </c>
      <c r="D769" s="539" t="s">
        <v>38</v>
      </c>
      <c r="E769" s="232"/>
      <c r="F769" s="169"/>
      <c r="G769" s="170"/>
      <c r="H769" s="206"/>
      <c r="I769" s="54"/>
      <c r="J769" s="54"/>
      <c r="K769" s="55"/>
      <c r="L769" s="62"/>
      <c r="M769" s="55"/>
      <c r="N769" s="55"/>
      <c r="O769" s="55"/>
      <c r="P769" s="55"/>
      <c r="Q769" s="55"/>
      <c r="R769" s="55"/>
      <c r="S769" s="55"/>
      <c r="T769" s="55"/>
      <c r="U769" s="55"/>
    </row>
    <row r="770" spans="1:21" ht="18.75" hidden="1">
      <c r="A770" s="166"/>
      <c r="B770" s="167"/>
      <c r="C770" s="167"/>
      <c r="D770" s="423" t="s">
        <v>287</v>
      </c>
      <c r="E770" s="167"/>
      <c r="F770" s="174"/>
      <c r="G770" s="171"/>
      <c r="H770" s="421" t="s">
        <v>35</v>
      </c>
      <c r="I770" s="483">
        <f ca="1">IFERROR(__xludf.DUMMYFUNCTION("IMPORTRANGE(""https://docs.google.com/spreadsheets/d/1eHaY18a8A9IcSdp1K8H6x8fbOy06t2VsZHhMHf-1x7Y/edit?usp=sharing"",""แผน!FI37"")"),0)</f>
        <v>0</v>
      </c>
      <c r="J770" s="483">
        <v>0</v>
      </c>
      <c r="K770" s="102">
        <f ca="1">IF(I770&gt;0,J770*100/I770,0)</f>
        <v>0</v>
      </c>
      <c r="L770" s="62"/>
      <c r="M770" s="55"/>
      <c r="N770" s="55"/>
      <c r="O770" s="55"/>
      <c r="P770" s="55"/>
      <c r="Q770" s="55"/>
      <c r="R770" s="55"/>
      <c r="S770" s="55"/>
      <c r="T770" s="55"/>
      <c r="U770" s="55"/>
    </row>
    <row r="771" spans="1:21" ht="18.75" hidden="1">
      <c r="A771" s="166"/>
      <c r="B771" s="167"/>
      <c r="C771" s="167"/>
      <c r="D771" s="423" t="s">
        <v>288</v>
      </c>
      <c r="E771" s="167"/>
      <c r="F771" s="174"/>
      <c r="G771" s="171"/>
      <c r="H771" s="206"/>
      <c r="I771" s="54"/>
      <c r="J771" s="54"/>
      <c r="K771" s="55"/>
      <c r="L771" s="62"/>
      <c r="M771" s="55"/>
      <c r="N771" s="55"/>
      <c r="O771" s="55"/>
      <c r="P771" s="55"/>
      <c r="Q771" s="55"/>
      <c r="R771" s="55"/>
      <c r="S771" s="55"/>
      <c r="T771" s="55"/>
      <c r="U771" s="55"/>
    </row>
    <row r="772" spans="1:21" ht="18.75">
      <c r="A772" s="166"/>
      <c r="B772" s="167"/>
      <c r="C772" s="167"/>
      <c r="D772" s="460" t="s">
        <v>289</v>
      </c>
      <c r="E772" s="167"/>
      <c r="F772" s="174"/>
      <c r="G772" s="171"/>
      <c r="H772" s="165" t="s">
        <v>35</v>
      </c>
      <c r="I772" s="212">
        <f ca="1">IFERROR(__xludf.DUMMYFUNCTION("IMPORTRANGE(""https://docs.google.com/spreadsheets/d/1eHaY18a8A9IcSdp1K8H6x8fbOy06t2VsZHhMHf-1x7Y/edit?usp=sharing"",""แผน!FQ37"")"),100)</f>
        <v>100</v>
      </c>
      <c r="J772" s="467">
        <v>100</v>
      </c>
      <c r="K772" s="255">
        <f ca="1">IF(I772&gt;0,J772*100/I772,0)</f>
        <v>100</v>
      </c>
      <c r="L772" s="62"/>
      <c r="M772" s="55"/>
      <c r="N772" s="55"/>
      <c r="O772" s="55"/>
      <c r="P772" s="55"/>
      <c r="Q772" s="55"/>
      <c r="R772" s="55"/>
      <c r="S772" s="55"/>
      <c r="T772" s="55"/>
      <c r="U772" s="55"/>
    </row>
    <row r="773" spans="1:21" ht="18.75">
      <c r="A773" s="166"/>
      <c r="B773" s="167"/>
      <c r="C773" s="167"/>
      <c r="D773" s="460" t="s">
        <v>290</v>
      </c>
      <c r="E773" s="167"/>
      <c r="F773" s="174"/>
      <c r="G773" s="171"/>
      <c r="H773" s="206"/>
      <c r="I773" s="54"/>
      <c r="J773" s="54"/>
      <c r="K773" s="55"/>
      <c r="L773" s="62"/>
      <c r="M773" s="55"/>
      <c r="N773" s="55"/>
      <c r="O773" s="55"/>
      <c r="P773" s="55"/>
      <c r="Q773" s="55"/>
      <c r="R773" s="55"/>
      <c r="S773" s="55"/>
      <c r="T773" s="55"/>
      <c r="U773" s="55"/>
    </row>
    <row r="774" spans="1:21" ht="18.75">
      <c r="A774" s="166"/>
      <c r="B774" s="167"/>
      <c r="C774" s="167"/>
      <c r="D774" s="460" t="s">
        <v>291</v>
      </c>
      <c r="E774" s="167"/>
      <c r="F774" s="174"/>
      <c r="G774" s="171"/>
      <c r="H774" s="165" t="s">
        <v>46</v>
      </c>
      <c r="I774" s="212">
        <f ca="1">IFERROR(__xludf.DUMMYFUNCTION("IMPORTRANGE(""https://docs.google.com/spreadsheets/d/1eHaY18a8A9IcSdp1K8H6x8fbOy06t2VsZHhMHf-1x7Y/edit?usp=sharing"",""แผน!FR37"")"),150)</f>
        <v>150</v>
      </c>
      <c r="J774" s="467">
        <v>150</v>
      </c>
      <c r="K774" s="255">
        <f ca="1">IF(I774&gt;0,J774*100/I774,0)</f>
        <v>100</v>
      </c>
      <c r="L774" s="62"/>
      <c r="M774" s="55"/>
      <c r="N774" s="55"/>
      <c r="O774" s="55"/>
      <c r="P774" s="55"/>
      <c r="Q774" s="55"/>
      <c r="R774" s="55"/>
      <c r="S774" s="55"/>
      <c r="T774" s="55"/>
      <c r="U774" s="55"/>
    </row>
    <row r="775" spans="1:21" ht="18.75">
      <c r="A775" s="166"/>
      <c r="B775" s="167"/>
      <c r="C775" s="167"/>
      <c r="D775" s="460" t="s">
        <v>50</v>
      </c>
      <c r="E775" s="174"/>
      <c r="F775" s="50"/>
      <c r="G775" s="52"/>
      <c r="H775" s="165" t="s">
        <v>46</v>
      </c>
      <c r="I775" s="212">
        <f ca="1">IFERROR(__xludf.DUMMYFUNCTION("IMPORTRANGE(""https://docs.google.com/spreadsheets/d/1eHaY18a8A9IcSdp1K8H6x8fbOy06t2VsZHhMHf-1x7Y/edit?usp=sharing"",""แผน!FS37"")"),150)</f>
        <v>150</v>
      </c>
      <c r="J775" s="467">
        <v>0</v>
      </c>
      <c r="K775" s="55"/>
      <c r="L775" s="62"/>
      <c r="M775" s="55"/>
      <c r="N775" s="55"/>
      <c r="O775" s="55"/>
      <c r="P775" s="55"/>
      <c r="Q775" s="55"/>
      <c r="R775" s="55"/>
      <c r="S775" s="55"/>
      <c r="T775" s="55"/>
      <c r="U775" s="55"/>
    </row>
    <row r="776" spans="1:21" ht="18.75">
      <c r="A776" s="281"/>
      <c r="B776" s="282"/>
      <c r="C776" s="282"/>
      <c r="D776" s="282"/>
      <c r="E776" s="2"/>
      <c r="F776" s="2"/>
      <c r="G776" s="65"/>
      <c r="H776" s="214" t="s">
        <v>35</v>
      </c>
      <c r="I776" s="216">
        <f ca="1">IFERROR(__xludf.DUMMYFUNCTION("IMPORTRANGE(""https://docs.google.com/spreadsheets/d/1eHaY18a8A9IcSdp1K8H6x8fbOy06t2VsZHhMHf-1x7Y/edit?usp=sharing"",""แผน!FT37"")"),100)</f>
        <v>100</v>
      </c>
      <c r="J776" s="538">
        <v>0</v>
      </c>
      <c r="K776" s="6"/>
      <c r="L776" s="68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>
      <c r="A777" s="537" t="s">
        <v>292</v>
      </c>
      <c r="B777" s="500"/>
      <c r="C777" s="500"/>
      <c r="D777" s="499"/>
      <c r="E777" s="500"/>
      <c r="F777" s="500"/>
      <c r="G777" s="501"/>
      <c r="H777" s="536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503"/>
      <c r="J777" s="504"/>
      <c r="K777" s="505"/>
      <c r="L777" s="505"/>
      <c r="M777" s="505"/>
      <c r="N777" s="505"/>
      <c r="O777" s="505"/>
      <c r="P777" s="505"/>
      <c r="Q777" s="505"/>
      <c r="R777" s="505"/>
      <c r="S777" s="505"/>
      <c r="T777" s="505"/>
      <c r="U777" s="505"/>
    </row>
    <row r="778" spans="1:21" ht="18.75">
      <c r="A778" s="49"/>
      <c r="B778" s="58" t="s">
        <v>293</v>
      </c>
      <c r="C778" s="50"/>
      <c r="D778" s="188"/>
      <c r="E778" s="50"/>
      <c r="F778" s="50"/>
      <c r="G778" s="52"/>
      <c r="H778" s="53" t="s">
        <v>14</v>
      </c>
      <c r="I778" s="212">
        <f ca="1">IFERROR(__xludf.DUMMYFUNCTION("IMPORTRANGE(""https://docs.google.com/spreadsheets/d/10OvvATaaLtwErnr3qtWFcTmtbfpFEt5Bsqel9sXx0uE/edit?usp=sharing"",""งานกองทุน!D37"")"),2136365.02)</f>
        <v>2136365.02</v>
      </c>
      <c r="J778" s="212">
        <f ca="1">IFERROR(__xludf.DUMMYFUNCTION("IMPORTRANGE(""https://docs.google.com/spreadsheets/d/10OvvATaaLtwErnr3qtWFcTmtbfpFEt5Bsqel9sXx0uE/edit?usp=sharing"",""งานกองทุน!F37"")"),295127.66)</f>
        <v>295127.65999999997</v>
      </c>
      <c r="K778" s="255">
        <f ca="1">IF(I778&gt;0,J778*100/I778,0)</f>
        <v>13.814477265687488</v>
      </c>
      <c r="L778" s="55"/>
      <c r="M778" s="55"/>
      <c r="N778" s="55"/>
      <c r="O778" s="55"/>
      <c r="P778" s="55"/>
      <c r="Q778" s="55"/>
      <c r="R778" s="55"/>
      <c r="S778" s="55"/>
      <c r="T778" s="55"/>
      <c r="U778" s="55"/>
    </row>
    <row r="779" spans="1:21" ht="18.75">
      <c r="A779" s="49"/>
      <c r="B779" s="50"/>
      <c r="C779" s="50"/>
      <c r="D779" s="188"/>
      <c r="E779" s="50"/>
      <c r="F779" s="50"/>
      <c r="G779" s="52"/>
      <c r="H779" s="53" t="s">
        <v>35</v>
      </c>
      <c r="I779" s="212">
        <f ca="1">IFERROR(__xludf.DUMMYFUNCTION("IMPORTRANGE(""https://docs.google.com/spreadsheets/d/10OvvATaaLtwErnr3qtWFcTmtbfpFEt5Bsqel9sXx0uE/edit?usp=sharing"",""งานกองทุน!C37"")"),147)</f>
        <v>147</v>
      </c>
      <c r="J779" s="212">
        <f ca="1">IFERROR(__xludf.DUMMYFUNCTION("IMPORTRANGE(""https://docs.google.com/spreadsheets/d/10OvvATaaLtwErnr3qtWFcTmtbfpFEt5Bsqel9sXx0uE/edit?usp=sharing"",""งานกองทุน!E37"")"),22)</f>
        <v>22</v>
      </c>
      <c r="K779" s="255">
        <f ca="1">IF(I779&gt;0,J779*100/I779,0)</f>
        <v>14.965986394557824</v>
      </c>
      <c r="L779" s="55"/>
      <c r="M779" s="55"/>
      <c r="N779" s="55"/>
      <c r="O779" s="55"/>
      <c r="P779" s="55"/>
      <c r="Q779" s="55"/>
      <c r="R779" s="55"/>
      <c r="S779" s="55"/>
      <c r="T779" s="55"/>
      <c r="U779" s="55"/>
    </row>
    <row r="780" spans="1:21" ht="18.75">
      <c r="A780" s="49"/>
      <c r="B780" s="58" t="s">
        <v>294</v>
      </c>
      <c r="C780" s="50"/>
      <c r="D780" s="188"/>
      <c r="E780" s="50"/>
      <c r="F780" s="50"/>
      <c r="G780" s="52"/>
      <c r="H780" s="53" t="s">
        <v>14</v>
      </c>
      <c r="I780" s="212">
        <f ca="1">IFERROR(__xludf.DUMMYFUNCTION("IMPORTRANGE(""https://docs.google.com/spreadsheets/d/10OvvATaaLtwErnr3qtWFcTmtbfpFEt5Bsqel9sXx0uE/edit?usp=sharing"",""งานกองทุน!I37"")"),1271664.46)</f>
        <v>1271664.46</v>
      </c>
      <c r="J780" s="212">
        <f ca="1">IFERROR(__xludf.DUMMYFUNCTION("IMPORTRANGE(""https://docs.google.com/spreadsheets/d/10OvvATaaLtwErnr3qtWFcTmtbfpFEt5Bsqel9sXx0uE/edit?usp=sharing"",""งานกองทุน!K37"")"),317067.79)</f>
        <v>317067.78999999998</v>
      </c>
      <c r="K780" s="255">
        <f ca="1">IF(I780&gt;0,J780*100/I780,0)</f>
        <v>24.933290185683099</v>
      </c>
      <c r="L780" s="55"/>
      <c r="M780" s="55"/>
      <c r="N780" s="55"/>
      <c r="O780" s="55"/>
      <c r="P780" s="55"/>
      <c r="Q780" s="55"/>
      <c r="R780" s="55"/>
      <c r="S780" s="55"/>
      <c r="T780" s="55"/>
      <c r="U780" s="55"/>
    </row>
    <row r="781" spans="1:21" ht="18.75">
      <c r="A781" s="49"/>
      <c r="B781" s="50"/>
      <c r="C781" s="50"/>
      <c r="D781" s="188"/>
      <c r="E781" s="50"/>
      <c r="F781" s="50"/>
      <c r="G781" s="52"/>
      <c r="H781" s="53" t="s">
        <v>35</v>
      </c>
      <c r="I781" s="212">
        <f ca="1">IFERROR(__xludf.DUMMYFUNCTION("IMPORTRANGE(""https://docs.google.com/spreadsheets/d/10OvvATaaLtwErnr3qtWFcTmtbfpFEt5Bsqel9sXx0uE/edit?usp=sharing"",""งานกองทุน!H37"")"),62)</f>
        <v>62</v>
      </c>
      <c r="J781" s="212">
        <f ca="1">IFERROR(__xludf.DUMMYFUNCTION("IMPORTRANGE(""https://docs.google.com/spreadsheets/d/10OvvATaaLtwErnr3qtWFcTmtbfpFEt5Bsqel9sXx0uE/edit?usp=sharing"",""งานกองทุน!J37"")"),29)</f>
        <v>29</v>
      </c>
      <c r="K781" s="255">
        <f ca="1">IF(I781&gt;0,J781*100/I781,0)</f>
        <v>46.774193548387096</v>
      </c>
      <c r="L781" s="55"/>
      <c r="M781" s="55"/>
      <c r="N781" s="55"/>
      <c r="O781" s="55"/>
      <c r="P781" s="55"/>
      <c r="Q781" s="55"/>
      <c r="R781" s="55"/>
      <c r="S781" s="55"/>
      <c r="T781" s="55"/>
      <c r="U781" s="55"/>
    </row>
    <row r="782" spans="1:21" ht="18.75">
      <c r="A782" s="49"/>
      <c r="B782" s="58" t="s">
        <v>295</v>
      </c>
      <c r="C782" s="50"/>
      <c r="D782" s="188"/>
      <c r="E782" s="50"/>
      <c r="F782" s="50"/>
      <c r="G782" s="52"/>
      <c r="H782" s="53" t="s">
        <v>14</v>
      </c>
      <c r="I782" s="212">
        <f ca="1">IFERROR(__xludf.DUMMYFUNCTION("IMPORTRANGE(""https://docs.google.com/spreadsheets/d/10OvvATaaLtwErnr3qtWFcTmtbfpFEt5Bsqel9sXx0uE/edit?usp=sharing"",""งานกองทุน!N37"")"),5947.5)</f>
        <v>5947.5</v>
      </c>
      <c r="J782" s="212">
        <f ca="1">IFERROR(__xludf.DUMMYFUNCTION("IMPORTRANGE(""https://docs.google.com/spreadsheets/d/10OvvATaaLtwErnr3qtWFcTmtbfpFEt5Bsqel9sXx0uE/edit?usp=sharing"",""งานกองทุน!P37"")"),0)</f>
        <v>0</v>
      </c>
      <c r="K782" s="255">
        <f ca="1">IF(I782&gt;0,J782*100/I782,0)</f>
        <v>0</v>
      </c>
      <c r="L782" s="55"/>
      <c r="M782" s="55"/>
      <c r="N782" s="55"/>
      <c r="O782" s="55"/>
      <c r="P782" s="55"/>
      <c r="Q782" s="55"/>
      <c r="R782" s="55"/>
      <c r="S782" s="55"/>
      <c r="T782" s="55"/>
      <c r="U782" s="55"/>
    </row>
    <row r="783" spans="1:21" ht="18.75">
      <c r="A783" s="49"/>
      <c r="B783" s="50"/>
      <c r="C783" s="50"/>
      <c r="D783" s="188"/>
      <c r="E783" s="50"/>
      <c r="F783" s="50"/>
      <c r="G783" s="52"/>
      <c r="H783" s="53" t="s">
        <v>35</v>
      </c>
      <c r="I783" s="212">
        <f ca="1">IFERROR(__xludf.DUMMYFUNCTION("IMPORTRANGE(""https://docs.google.com/spreadsheets/d/10OvvATaaLtwErnr3qtWFcTmtbfpFEt5Bsqel9sXx0uE/edit?usp=sharing"",""งานกองทุน!M37"")"),2)</f>
        <v>2</v>
      </c>
      <c r="J783" s="212">
        <f ca="1">IFERROR(__xludf.DUMMYFUNCTION("IMPORTRANGE(""https://docs.google.com/spreadsheets/d/10OvvATaaLtwErnr3qtWFcTmtbfpFEt5Bsqel9sXx0uE/edit?usp=sharing"",""งานกองทุน!O37"")"),0)</f>
        <v>0</v>
      </c>
      <c r="K783" s="255">
        <f ca="1">IF(I783&gt;0,J783*100/I783,0)</f>
        <v>0</v>
      </c>
      <c r="L783" s="55"/>
      <c r="M783" s="55"/>
      <c r="N783" s="55"/>
      <c r="O783" s="55"/>
      <c r="P783" s="55"/>
      <c r="Q783" s="55"/>
      <c r="R783" s="55"/>
      <c r="S783" s="55"/>
      <c r="T783" s="55"/>
      <c r="U783" s="55"/>
    </row>
    <row r="784" spans="1:21" ht="18.75">
      <c r="A784" s="49"/>
      <c r="B784" s="58" t="s">
        <v>296</v>
      </c>
      <c r="C784" s="50"/>
      <c r="D784" s="188"/>
      <c r="E784" s="50"/>
      <c r="F784" s="50"/>
      <c r="G784" s="52"/>
      <c r="H784" s="53" t="s">
        <v>14</v>
      </c>
      <c r="I784" s="212">
        <f ca="1">IFERROR(__xludf.DUMMYFUNCTION("IMPORTRANGE(""https://docs.google.com/spreadsheets/d/10OvvATaaLtwErnr3qtWFcTmtbfpFEt5Bsqel9sXx0uE/edit?usp=sharing"",""งานกองทุน!S37"")"),3500000)</f>
        <v>3500000</v>
      </c>
      <c r="J784" s="212">
        <f ca="1">IFERROR(__xludf.DUMMYFUNCTION("IMPORTRANGE(""https://docs.google.com/spreadsheets/d/10OvvATaaLtwErnr3qtWFcTmtbfpFEt5Bsqel9sXx0uE/edit?usp=sharing"",""งานกองทุน!U37"")"),0)</f>
        <v>0</v>
      </c>
      <c r="K784" s="255">
        <f ca="1">IF(I784&gt;0,J784*100/I784,0)</f>
        <v>0</v>
      </c>
      <c r="L784" s="55"/>
      <c r="M784" s="55"/>
      <c r="N784" s="55"/>
      <c r="O784" s="55"/>
      <c r="P784" s="55"/>
      <c r="Q784" s="55"/>
      <c r="R784" s="55"/>
      <c r="S784" s="55"/>
      <c r="T784" s="55"/>
      <c r="U784" s="55"/>
    </row>
    <row r="785" spans="1:21" ht="18.75">
      <c r="A785" s="63"/>
      <c r="B785" s="4"/>
      <c r="C785" s="4"/>
      <c r="D785" s="5"/>
      <c r="E785" s="4"/>
      <c r="F785" s="4"/>
      <c r="G785" s="65"/>
      <c r="H785" s="66" t="s">
        <v>35</v>
      </c>
      <c r="I785" s="216">
        <f ca="1">IFERROR(__xludf.DUMMYFUNCTION("IMPORTRANGE(""https://docs.google.com/spreadsheets/d/10OvvATaaLtwErnr3qtWFcTmtbfpFEt5Bsqel9sXx0uE/edit?usp=sharing"",""งานกองทุน!R37"")"),125)</f>
        <v>125</v>
      </c>
      <c r="J785" s="216">
        <f ca="1">IFERROR(__xludf.DUMMYFUNCTION("IMPORTRANGE(""https://docs.google.com/spreadsheets/d/10OvvATaaLtwErnr3qtWFcTmtbfpFEt5Bsqel9sXx0uE/edit?usp=sharing"",""งานกองทุน!T37"")"),0)</f>
        <v>0</v>
      </c>
      <c r="K785" s="506">
        <f ca="1">IF(I785&gt;0,J785*100/I785,0)</f>
        <v>0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6.5">
      <c r="A787" s="535" t="s">
        <v>297</v>
      </c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6.5">
      <c r="A788" s="535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</v>
      </c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6.5">
      <c r="A789" s="535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</v>
      </c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</sheetData>
  <mergeCells count="26">
    <mergeCell ref="A1:U1"/>
    <mergeCell ref="A2:U2"/>
    <mergeCell ref="A3:U3"/>
    <mergeCell ref="L4:P4"/>
    <mergeCell ref="Q4:U4"/>
    <mergeCell ref="A5:G6"/>
    <mergeCell ref="H5:H6"/>
    <mergeCell ref="I5:K5"/>
    <mergeCell ref="L5:M5"/>
    <mergeCell ref="N5:P5"/>
    <mergeCell ref="D616:G616"/>
    <mergeCell ref="D642:G642"/>
    <mergeCell ref="D690:G690"/>
    <mergeCell ref="D714:G714"/>
    <mergeCell ref="Q5:R5"/>
    <mergeCell ref="S5:U5"/>
    <mergeCell ref="D728:G728"/>
    <mergeCell ref="D760:G760"/>
    <mergeCell ref="A7:G7"/>
    <mergeCell ref="A17:G17"/>
    <mergeCell ref="A30:G30"/>
    <mergeCell ref="A56:G56"/>
    <mergeCell ref="B57:G57"/>
    <mergeCell ref="D413:G413"/>
    <mergeCell ref="D493:F493"/>
    <mergeCell ref="D599:G599"/>
  </mergeCells>
  <printOptions horizontalCentered="1"/>
  <pageMargins left="0.23622047244094491" right="0.23622047244094491" top="0.55118110236220474" bottom="0.55118110236220474" header="0" footer="0"/>
  <pageSetup paperSize="9" scale="29" fitToHeight="0" pageOrder="overThenDown" orientation="portrait" cellComments="atEnd" horizontalDpi="4294967293" verticalDpi="4294967293" r:id="rId1"/>
  <headerFooter>
    <oddFooter>&amp;Cหน้า 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AA338D-8BFB-4341-9091-B8152FCC9E97}">
  <sheetPr>
    <outlinePr summaryBelow="0" summaryRight="0"/>
    <pageSetUpPr fitToPage="1"/>
  </sheetPr>
  <dimension ref="A1:U789"/>
  <sheetViews>
    <sheetView view="pageBreakPreview" zoomScale="60" zoomScaleNormal="60" workbookViewId="0">
      <pane xSplit="8" ySplit="17" topLeftCell="I18" activePane="bottomRight" state="frozen"/>
      <selection activeCell="T32" sqref="T32"/>
      <selection pane="topRight" activeCell="T32" sqref="T32"/>
      <selection pane="bottomLeft" activeCell="T32" sqref="T32"/>
      <selection pane="bottomRight" activeCell="T32" sqref="T32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bestFit="1" customWidth="1"/>
    <col min="12" max="14" width="21.28515625" bestFit="1" customWidth="1"/>
    <col min="15" max="15" width="20.140625" bestFit="1" customWidth="1"/>
    <col min="16" max="16" width="22" bestFit="1" customWidth="1"/>
    <col min="17" max="18" width="21.28515625" bestFit="1" customWidth="1"/>
    <col min="19" max="19" width="18.7109375" bestFit="1" customWidth="1"/>
    <col min="20" max="20" width="20.140625" bestFit="1" customWidth="1"/>
    <col min="21" max="21" width="22" bestFit="1" customWidth="1"/>
  </cols>
  <sheetData>
    <row r="1" spans="1:21" ht="19.5">
      <c r="A1" s="894" t="s">
        <v>0</v>
      </c>
      <c r="B1" s="894"/>
      <c r="C1" s="894"/>
      <c r="D1" s="894"/>
      <c r="E1" s="894"/>
      <c r="F1" s="894"/>
      <c r="G1" s="894"/>
      <c r="H1" s="894"/>
      <c r="I1" s="894"/>
      <c r="J1" s="894"/>
      <c r="K1" s="894"/>
      <c r="L1" s="894"/>
      <c r="M1" s="894"/>
      <c r="N1" s="894"/>
      <c r="O1" s="894"/>
      <c r="P1" s="894"/>
      <c r="Q1" s="894"/>
      <c r="R1" s="894"/>
      <c r="S1" s="894"/>
      <c r="T1" s="894"/>
      <c r="U1" s="894"/>
    </row>
    <row r="2" spans="1:21" ht="19.5">
      <c r="A2" s="894" t="s">
        <v>318</v>
      </c>
      <c r="B2" s="894"/>
      <c r="C2" s="894"/>
      <c r="D2" s="894"/>
      <c r="E2" s="894"/>
      <c r="F2" s="894"/>
      <c r="G2" s="894"/>
      <c r="H2" s="894"/>
      <c r="I2" s="894"/>
      <c r="J2" s="894"/>
      <c r="K2" s="894"/>
      <c r="L2" s="894"/>
      <c r="M2" s="894"/>
      <c r="N2" s="894"/>
      <c r="O2" s="894"/>
      <c r="P2" s="894"/>
      <c r="Q2" s="894"/>
      <c r="R2" s="894"/>
      <c r="S2" s="894"/>
      <c r="T2" s="894"/>
      <c r="U2" s="894"/>
    </row>
    <row r="3" spans="1:21" ht="19.5">
      <c r="A3" s="894" t="s">
        <v>339</v>
      </c>
      <c r="B3" s="894"/>
      <c r="C3" s="894"/>
      <c r="D3" s="894"/>
      <c r="E3" s="894"/>
      <c r="F3" s="894"/>
      <c r="G3" s="894"/>
      <c r="H3" s="894"/>
      <c r="I3" s="894"/>
      <c r="J3" s="894"/>
      <c r="K3" s="894"/>
      <c r="L3" s="894"/>
      <c r="M3" s="894"/>
      <c r="N3" s="894"/>
      <c r="O3" s="894"/>
      <c r="P3" s="894"/>
      <c r="Q3" s="894"/>
      <c r="R3" s="894"/>
      <c r="S3" s="894"/>
      <c r="T3" s="894"/>
      <c r="U3" s="894"/>
    </row>
    <row r="4" spans="1:21" ht="19.5">
      <c r="A4" s="4"/>
      <c r="B4" s="4"/>
      <c r="C4" s="4"/>
      <c r="D4" s="4"/>
      <c r="E4" s="4"/>
      <c r="F4" s="4"/>
      <c r="G4" s="4"/>
      <c r="H4" s="4"/>
      <c r="I4" s="4"/>
      <c r="J4" s="5"/>
      <c r="K4" s="766"/>
      <c r="L4" s="765" t="s">
        <v>2</v>
      </c>
      <c r="M4" s="514"/>
      <c r="N4" s="514"/>
      <c r="O4" s="514"/>
      <c r="P4" s="512"/>
      <c r="Q4" s="518" t="s">
        <v>3</v>
      </c>
      <c r="R4" s="514"/>
      <c r="S4" s="514"/>
      <c r="T4" s="514"/>
      <c r="U4" s="512"/>
    </row>
    <row r="5" spans="1:21" ht="19.5">
      <c r="A5" s="764" t="s">
        <v>4</v>
      </c>
      <c r="B5" s="516"/>
      <c r="C5" s="516"/>
      <c r="D5" s="516"/>
      <c r="E5" s="516"/>
      <c r="F5" s="516"/>
      <c r="G5" s="763"/>
      <c r="H5" s="772" t="s">
        <v>5</v>
      </c>
      <c r="I5" s="761" t="s">
        <v>6</v>
      </c>
      <c r="J5" s="514"/>
      <c r="K5" s="512"/>
      <c r="L5" s="760" t="s">
        <v>7</v>
      </c>
      <c r="M5" s="512"/>
      <c r="N5" s="513" t="s">
        <v>8</v>
      </c>
      <c r="O5" s="514"/>
      <c r="P5" s="512"/>
      <c r="Q5" s="511" t="s">
        <v>7</v>
      </c>
      <c r="R5" s="512"/>
      <c r="S5" s="513" t="s">
        <v>8</v>
      </c>
      <c r="T5" s="514"/>
      <c r="U5" s="512"/>
    </row>
    <row r="6" spans="1:21" ht="19.5">
      <c r="A6" s="522"/>
      <c r="B6" s="514"/>
      <c r="C6" s="514"/>
      <c r="D6" s="514"/>
      <c r="E6" s="514"/>
      <c r="F6" s="514"/>
      <c r="G6" s="512"/>
      <c r="H6" s="512"/>
      <c r="I6" s="9" t="s">
        <v>9</v>
      </c>
      <c r="J6" s="10" t="s">
        <v>10</v>
      </c>
      <c r="K6" s="9" t="s">
        <v>11</v>
      </c>
      <c r="L6" s="758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 hidden="1">
      <c r="A7" s="750"/>
      <c r="B7" s="514"/>
      <c r="C7" s="514"/>
      <c r="D7" s="514"/>
      <c r="E7" s="514"/>
      <c r="F7" s="514"/>
      <c r="G7" s="512"/>
      <c r="H7" s="17"/>
      <c r="I7" s="18"/>
      <c r="J7" s="18"/>
      <c r="K7" s="19"/>
      <c r="L7" s="28"/>
      <c r="M7" s="19"/>
      <c r="N7" s="19"/>
      <c r="O7" s="19"/>
      <c r="P7" s="19"/>
      <c r="Q7" s="19"/>
      <c r="R7" s="19"/>
      <c r="S7" s="19"/>
      <c r="T7" s="19"/>
      <c r="U7" s="19"/>
    </row>
    <row r="8" spans="1:21" ht="12.75" hidden="1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6"/>
      <c r="M8" s="25"/>
      <c r="N8" s="25"/>
      <c r="O8" s="25"/>
      <c r="P8" s="25"/>
      <c r="Q8" s="25"/>
      <c r="R8" s="25"/>
      <c r="S8" s="25"/>
      <c r="T8" s="25"/>
      <c r="U8" s="25"/>
    </row>
    <row r="9" spans="1:21" ht="12.75" hidden="1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6"/>
      <c r="M9" s="25"/>
      <c r="N9" s="25"/>
      <c r="O9" s="25"/>
      <c r="P9" s="25"/>
      <c r="Q9" s="25"/>
      <c r="R9" s="25"/>
      <c r="S9" s="25"/>
      <c r="T9" s="25"/>
      <c r="U9" s="25"/>
    </row>
    <row r="10" spans="1:21" ht="12.75" hidden="1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6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2.75" hidden="1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6"/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2.75" hidden="1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6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2.75" hidden="1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6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2.75" hidden="1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2.75" hidden="1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6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2.75" hidden="1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28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9.5">
      <c r="A17" s="532" t="s">
        <v>311</v>
      </c>
      <c r="B17" s="514"/>
      <c r="C17" s="514"/>
      <c r="D17" s="514"/>
      <c r="E17" s="514"/>
      <c r="F17" s="514"/>
      <c r="G17" s="512"/>
      <c r="H17" s="29"/>
      <c r="I17" s="30"/>
      <c r="J17" s="30"/>
      <c r="K17" s="31"/>
      <c r="L17" s="32"/>
      <c r="M17" s="31"/>
      <c r="N17" s="31"/>
      <c r="O17" s="31"/>
      <c r="P17" s="31"/>
      <c r="Q17" s="31"/>
      <c r="R17" s="31"/>
      <c r="S17" s="31"/>
      <c r="T17" s="31"/>
      <c r="U17" s="31"/>
    </row>
    <row r="18" spans="1:21" ht="19.5">
      <c r="A18" s="33"/>
      <c r="B18" s="34"/>
      <c r="C18" s="35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757">
        <f ca="1">L19+L20</f>
        <v>2734959</v>
      </c>
      <c r="M18" s="720">
        <f ca="1">M19+M20</f>
        <v>2710463</v>
      </c>
      <c r="N18" s="720">
        <f ca="1">N19+N20</f>
        <v>2258276.2399999998</v>
      </c>
      <c r="O18" s="720">
        <f ca="1">IF(L18&gt;0,N18*100/L18,0)</f>
        <v>82.570752980209193</v>
      </c>
      <c r="P18" s="720">
        <f ca="1">IF(M18&gt;0,N18*100/M18,0)</f>
        <v>83.316991967792944</v>
      </c>
      <c r="Q18" s="720">
        <f ca="1">Q19+Q20</f>
        <v>3839072.24</v>
      </c>
      <c r="R18" s="720">
        <f ca="1">R19+R20</f>
        <v>3728072</v>
      </c>
      <c r="S18" s="720">
        <f ca="1">S19+S20</f>
        <v>864984.67999999993</v>
      </c>
      <c r="T18" s="720">
        <f ca="1">IF(Q18&gt;0,S18*100/Q18,0)</f>
        <v>22.531086312665998</v>
      </c>
      <c r="U18" s="720">
        <f ca="1">IF(R18&gt;0,S18*100/R18,0)</f>
        <v>23.201930649408059</v>
      </c>
    </row>
    <row r="19" spans="1:21" ht="18.75" hidden="1">
      <c r="A19" s="33"/>
      <c r="B19" s="34"/>
      <c r="C19" s="34"/>
      <c r="D19" s="34"/>
      <c r="E19" s="756" t="s">
        <v>20</v>
      </c>
      <c r="F19" s="34"/>
      <c r="G19" s="37"/>
      <c r="H19" s="755" t="s">
        <v>14</v>
      </c>
      <c r="I19" s="39"/>
      <c r="J19" s="39"/>
      <c r="K19" s="40"/>
      <c r="L19" s="754">
        <f>L22+L25</f>
        <v>0</v>
      </c>
      <c r="M19" s="753">
        <f>M22+M25</f>
        <v>0</v>
      </c>
      <c r="N19" s="753">
        <f>N22+N25</f>
        <v>0</v>
      </c>
      <c r="O19" s="753">
        <f>IF(L19&gt;0,N19*100/L19,0)</f>
        <v>0</v>
      </c>
      <c r="P19" s="753">
        <f>IF(M19&gt;0,N19*100/M19,0)</f>
        <v>0</v>
      </c>
      <c r="Q19" s="753">
        <f>Q22+Q25</f>
        <v>0</v>
      </c>
      <c r="R19" s="753">
        <f>R22+R25</f>
        <v>0</v>
      </c>
      <c r="S19" s="753">
        <f>S22+S25</f>
        <v>0</v>
      </c>
      <c r="T19" s="753">
        <f>IF(Q19&gt;0,S19*100/Q19,0)</f>
        <v>0</v>
      </c>
      <c r="U19" s="753">
        <f>IF(R19&gt;0,S19*100/R19,0)</f>
        <v>0</v>
      </c>
    </row>
    <row r="20" spans="1:21" ht="18.75" hidden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752">
        <f ca="1">L23+L26</f>
        <v>2734959</v>
      </c>
      <c r="M20" s="751">
        <f ca="1">M23+M26</f>
        <v>2710463</v>
      </c>
      <c r="N20" s="751">
        <f ca="1">N23+N26</f>
        <v>2258276.2399999998</v>
      </c>
      <c r="O20" s="751">
        <f ca="1">IF(L20&gt;0,N20*100/L20,0)</f>
        <v>82.570752980209193</v>
      </c>
      <c r="P20" s="751">
        <f ca="1">IF(M20&gt;0,N20*100/M20,0)</f>
        <v>83.316991967792944</v>
      </c>
      <c r="Q20" s="751">
        <f ca="1">Q23+Q26</f>
        <v>3839072.24</v>
      </c>
      <c r="R20" s="751">
        <f ca="1">R23+R26</f>
        <v>3728072</v>
      </c>
      <c r="S20" s="751">
        <f ca="1">S23+S26</f>
        <v>864984.67999999993</v>
      </c>
      <c r="T20" s="751">
        <f ca="1">IF(Q20&gt;0,S20*100/Q20,0)</f>
        <v>22.531086312665998</v>
      </c>
      <c r="U20" s="751">
        <f ca="1">IF(R20&gt;0,S20*100/R20,0)</f>
        <v>23.201930649408059</v>
      </c>
    </row>
    <row r="21" spans="1:21" ht="18.75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256">
        <f ca="1">L22+L23</f>
        <v>2734959</v>
      </c>
      <c r="M21" s="255">
        <f ca="1">M22+M23</f>
        <v>2710463</v>
      </c>
      <c r="N21" s="255">
        <f ca="1">N22+N23</f>
        <v>2258276.2399999998</v>
      </c>
      <c r="O21" s="255">
        <f ca="1">IF(L21&gt;0,N21*100/L21,0)</f>
        <v>82.570752980209193</v>
      </c>
      <c r="P21" s="255">
        <f ca="1">IF(M21&gt;0,N21*100/M21,0)</f>
        <v>83.316991967792944</v>
      </c>
      <c r="Q21" s="255">
        <f ca="1">Q22+Q23</f>
        <v>3839072.24</v>
      </c>
      <c r="R21" s="255">
        <f ca="1">R22+R23</f>
        <v>3728072</v>
      </c>
      <c r="S21" s="255">
        <f ca="1">S22+S23</f>
        <v>864984.67999999993</v>
      </c>
      <c r="T21" s="255">
        <f ca="1">IF(Q21&gt;0,S21*100/Q21,0)</f>
        <v>22.531086312665998</v>
      </c>
      <c r="U21" s="255">
        <f ca="1">IF(R21&gt;0,S21*100/R21,0)</f>
        <v>23.201930649408059</v>
      </c>
    </row>
    <row r="22" spans="1:21" ht="18.75" hidden="1">
      <c r="A22" s="49"/>
      <c r="B22" s="50"/>
      <c r="C22" s="50"/>
      <c r="D22" s="50"/>
      <c r="E22" s="186" t="s">
        <v>20</v>
      </c>
      <c r="F22" s="50"/>
      <c r="G22" s="52"/>
      <c r="H22" s="729" t="s">
        <v>14</v>
      </c>
      <c r="I22" s="54"/>
      <c r="J22" s="54"/>
      <c r="K22" s="55"/>
      <c r="L22" s="103">
        <f>L48+L63+L76+L98+L129+L143+L161+L190+L177+L270+L286+L307+L324+L337+L360+L517</f>
        <v>0</v>
      </c>
      <c r="M22" s="102">
        <f>M48+M63+M76+M98+M129+M143+M161+M190+M177+M270+M286+M307+M324+M337+M360+M517</f>
        <v>0</v>
      </c>
      <c r="N22" s="102">
        <f>N48+N63+N76+N98+N129+N143+N161+N190+N177+N270+N286+N307+N324+N337+N360+N517</f>
        <v>0</v>
      </c>
      <c r="O22" s="102">
        <f>IF(L22&gt;0,N22*100/L22,0)</f>
        <v>0</v>
      </c>
      <c r="P22" s="102">
        <f>IF(M22&gt;0,N22*100/M22,0)</f>
        <v>0</v>
      </c>
      <c r="Q22" s="102">
        <f>Q76+Q98+Q121+Q143+Q161+Q177+Q190+Q270+Q286+Q307+Q337+Q379+Q396+Q417+Q497+Q603+Q620+Q646+Q694+Q718+Q732+Q764</f>
        <v>0</v>
      </c>
      <c r="R22" s="102">
        <f>R76+R98+R121+R143+R161+R177+R190+R270+R286+R307+R337+R379+R396+R417+R497+R603+R620+R646+R694+R718+R732+R764</f>
        <v>0</v>
      </c>
      <c r="S22" s="102">
        <f>S76+S98+S121+S143+S161+S177+S190+S270+S286+S307+S337+S379+S396+S417+S497+S603+S620+S646+S694+S718+S732+S764</f>
        <v>0</v>
      </c>
      <c r="T22" s="102">
        <f>IF(Q22&gt;0,S22*100/Q22,0)</f>
        <v>0</v>
      </c>
      <c r="U22" s="102">
        <f>IF(R22&gt;0,S22*100/R22,0)</f>
        <v>0</v>
      </c>
    </row>
    <row r="23" spans="1:21" ht="18.75" hidden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256">
        <f ca="1">L49+L64+L77+L99+L130+L144+L162+L191+L178+L271+L287+L308+L325+L338+L361+L518</f>
        <v>2734959</v>
      </c>
      <c r="M23" s="255">
        <f ca="1">M49+M64+M77+M99+M130+M144+M162+M191+M178+M271+M287+M308+M325+M338+M361+M518</f>
        <v>2710463</v>
      </c>
      <c r="N23" s="255">
        <f ca="1">N49+N64+N77+N99+N130+N144+N162+N191+N178+N271+N287+N308+N325+N338+N361+N518</f>
        <v>2258276.2399999998</v>
      </c>
      <c r="O23" s="255">
        <f ca="1">IF(L23&gt;0,N23*100/L23,0)</f>
        <v>82.570752980209193</v>
      </c>
      <c r="P23" s="255">
        <f ca="1">IF(M23&gt;0,N23*100/M23,0)</f>
        <v>83.316991967792944</v>
      </c>
      <c r="Q23" s="255">
        <f ca="1">Q77+Q99+Q122+Q144+Q162+Q178+Q191+Q271+Q287+Q308+Q338+Q380+Q397+Q418+Q498+Q604+Q621+Q647+Q695+Q719+Q733+Q765</f>
        <v>3839072.24</v>
      </c>
      <c r="R23" s="255">
        <f ca="1">R77+R99+R122+R144+R162+R178+R191+R271+R287+R308+R338+R380+R397+R418+R498+R604+R621+R647+R695+R719+R733+R765</f>
        <v>3728072</v>
      </c>
      <c r="S23" s="255">
        <f ca="1">S77+S99+S122+S144+S162+S178+S191+S271+S287+S308+S338+S380+S397+S418+S498+S604+S621+S647+S695+S719+S733+S765</f>
        <v>864984.67999999993</v>
      </c>
      <c r="T23" s="255">
        <f ca="1">IF(Q23&gt;0,S23*100/Q23,0)</f>
        <v>22.531086312665998</v>
      </c>
      <c r="U23" s="255">
        <f ca="1">IF(R23&gt;0,S23*100/R23,0)</f>
        <v>23.201930649408059</v>
      </c>
    </row>
    <row r="24" spans="1:21" ht="18.75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256">
        <f ca="1">L25+L26</f>
        <v>0</v>
      </c>
      <c r="M24" s="255">
        <f ca="1">M25+M26</f>
        <v>0</v>
      </c>
      <c r="N24" s="255">
        <f ca="1">N25+N26</f>
        <v>0</v>
      </c>
      <c r="O24" s="255">
        <f ca="1">IF(L24&gt;0,N24*100/L24,0)</f>
        <v>0</v>
      </c>
      <c r="P24" s="255">
        <f ca="1">IF(M24&gt;0,N24*100/M24,0)</f>
        <v>0</v>
      </c>
      <c r="Q24" s="255">
        <f>Q25+Q26</f>
        <v>0</v>
      </c>
      <c r="R24" s="255">
        <f>R25+R26</f>
        <v>0</v>
      </c>
      <c r="S24" s="255">
        <f>S25+S26</f>
        <v>0</v>
      </c>
      <c r="T24" s="255">
        <f>IF(Q24&gt;0,S24*100/Q24,0)</f>
        <v>0</v>
      </c>
      <c r="U24" s="255">
        <f>IF(R24&gt;0,S24*100/R24,0)</f>
        <v>0</v>
      </c>
    </row>
    <row r="25" spans="1:21" ht="18.75" hidden="1">
      <c r="A25" s="49"/>
      <c r="B25" s="50"/>
      <c r="C25" s="50"/>
      <c r="D25" s="50"/>
      <c r="E25" s="186" t="s">
        <v>20</v>
      </c>
      <c r="F25" s="50"/>
      <c r="G25" s="52"/>
      <c r="H25" s="729" t="s">
        <v>14</v>
      </c>
      <c r="I25" s="54"/>
      <c r="J25" s="54"/>
      <c r="K25" s="55"/>
      <c r="L25" s="103">
        <f>L51+L66+L79+L101+L132+L146+L164+L193+L180+L273+L289+L310+L327+L340+L363+L520</f>
        <v>0</v>
      </c>
      <c r="M25" s="102">
        <f>M51+M66+M79+M101+M132+M146+M164+M193+M180+M273+M289+M310+M327+M340+M363+M520</f>
        <v>0</v>
      </c>
      <c r="N25" s="102">
        <f>N51+N66+N79+N101+N132+N146+N164+N193+N180+N273+N289+N310+N327+N340+N363+N520</f>
        <v>0</v>
      </c>
      <c r="O25" s="102">
        <f>IF(L25&gt;0,N25*100/L25,0)</f>
        <v>0</v>
      </c>
      <c r="P25" s="102">
        <f>IF(M25&gt;0,N25*100/M25,0)</f>
        <v>0</v>
      </c>
      <c r="Q25" s="102">
        <f>Q79+Q101+Q124+Q146+Q164+Q180+Q193+Q273+Q289+Q310+Q340+Q382+Q399+Q420+Q500+Q606+Q623+Q649+Q697+Q721+Q735+Q767</f>
        <v>0</v>
      </c>
      <c r="R25" s="102">
        <f>R79+R101+R124+R146+R164+R180+R193+R273+R289+R310+R340+R382+R399+R420+R500+R606+R623+R649+R697+R721+R735+R767</f>
        <v>0</v>
      </c>
      <c r="S25" s="102">
        <f>S79+S101+S124+S146+S164+S180+S193+S273+S289+S310+S340+S382+S399+S420+S500+S606+S623+S649+S697+S721+S735+S767</f>
        <v>0</v>
      </c>
      <c r="T25" s="102">
        <f>IF(Q25&gt;0,S25*100/Q25,0)</f>
        <v>0</v>
      </c>
      <c r="U25" s="102">
        <f>IF(R25&gt;0,S25*100/R25,0)</f>
        <v>0</v>
      </c>
    </row>
    <row r="26" spans="1:21" ht="18.75" hidden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256">
        <f ca="1">L52+L67+L80+L102+L133+L147+L165+L194+L181+L274+L290+L311+L328+L341+L364+L521</f>
        <v>0</v>
      </c>
      <c r="M26" s="255">
        <f ca="1">M52+M67+M80+M102+M133+M147+M165+M194+M181+M274+M290+M311+M328+M341+M364+M521</f>
        <v>0</v>
      </c>
      <c r="N26" s="255">
        <f ca="1">N52+N67+N80+N102+N133+N147+N165+N194+N181+N274+N290+N311+N328+N341+N364+N521</f>
        <v>0</v>
      </c>
      <c r="O26" s="255">
        <f ca="1">IF(L26&gt;0,N26*100/L26,0)</f>
        <v>0</v>
      </c>
      <c r="P26" s="255">
        <f ca="1">IF(M26&gt;0,N26*100/M26,0)</f>
        <v>0</v>
      </c>
      <c r="Q26" s="102">
        <f>Q80+Q102+Q125+Q147+Q165+Q181+Q194+Q274+Q290+Q311+Q341+Q383+Q400+Q421+Q501+Q607+Q624+Q650+Q698+Q722+Q736+Q768</f>
        <v>0</v>
      </c>
      <c r="R26" s="102">
        <f>R80+R102+R125+R147+R165+R181+R194+R274+R290+R311+R341+R383+R400+R421+R501+R607+R624+R650+R698+R722+R736+R768</f>
        <v>0</v>
      </c>
      <c r="S26" s="102">
        <f>S80+S102+S125+S147+S165+S181+S194+S274+S290+S311+S341+S383+S400+S421+S501+S607+S624+S650+S698+S722+S736+S768</f>
        <v>0</v>
      </c>
      <c r="T26" s="255">
        <f>IF(Q26&gt;0,S26*100/Q26,0)</f>
        <v>0</v>
      </c>
      <c r="U26" s="255">
        <f>IF(R26&gt;0,S26*100/R26,0)</f>
        <v>0</v>
      </c>
    </row>
    <row r="27" spans="1:21" ht="18.75">
      <c r="A27" s="49"/>
      <c r="B27" s="50"/>
      <c r="C27" s="50"/>
      <c r="D27" s="51" t="s">
        <v>24</v>
      </c>
      <c r="E27" s="50"/>
      <c r="F27" s="50"/>
      <c r="G27" s="52"/>
      <c r="H27" s="53" t="s">
        <v>14</v>
      </c>
      <c r="I27" s="54"/>
      <c r="J27" s="54"/>
      <c r="K27" s="55"/>
      <c r="L27" s="62"/>
      <c r="M27" s="55"/>
      <c r="N27" s="55"/>
      <c r="O27" s="55"/>
      <c r="P27" s="55"/>
      <c r="Q27" s="55"/>
      <c r="R27" s="55"/>
      <c r="S27" s="55"/>
      <c r="T27" s="55"/>
      <c r="U27" s="55"/>
    </row>
    <row r="28" spans="1:21" ht="18.75" hidden="1">
      <c r="A28" s="49"/>
      <c r="B28" s="50"/>
      <c r="C28" s="50"/>
      <c r="D28" s="50"/>
      <c r="E28" s="186" t="s">
        <v>20</v>
      </c>
      <c r="F28" s="50"/>
      <c r="G28" s="52"/>
      <c r="H28" s="729" t="s">
        <v>14</v>
      </c>
      <c r="I28" s="54"/>
      <c r="J28" s="54"/>
      <c r="K28" s="55"/>
      <c r="L28" s="62"/>
      <c r="M28" s="55"/>
      <c r="N28" s="55"/>
      <c r="O28" s="55"/>
      <c r="P28" s="55"/>
      <c r="Q28" s="55"/>
      <c r="R28" s="55"/>
      <c r="S28" s="55"/>
      <c r="T28" s="55"/>
      <c r="U28" s="55"/>
    </row>
    <row r="29" spans="1:21" ht="18.75" hidden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8"/>
      <c r="M29" s="6"/>
      <c r="N29" s="6"/>
      <c r="O29" s="6"/>
      <c r="P29" s="6"/>
      <c r="Q29" s="6"/>
      <c r="R29" s="6"/>
      <c r="S29" s="6"/>
      <c r="T29" s="6"/>
      <c r="U29" s="6"/>
    </row>
    <row r="30" spans="1:21" ht="12.75" hidden="1">
      <c r="A30" s="750"/>
      <c r="B30" s="514"/>
      <c r="C30" s="514"/>
      <c r="D30" s="514"/>
      <c r="E30" s="514"/>
      <c r="F30" s="514"/>
      <c r="G30" s="512"/>
      <c r="H30" s="17"/>
      <c r="I30" s="18"/>
      <c r="J30" s="18"/>
      <c r="K30" s="19"/>
      <c r="L30" s="28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 hidden="1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6"/>
      <c r="M31" s="25"/>
      <c r="N31" s="25"/>
      <c r="O31" s="25"/>
      <c r="P31" s="25"/>
      <c r="Q31" s="25"/>
      <c r="R31" s="25"/>
      <c r="S31" s="25"/>
      <c r="T31" s="25"/>
      <c r="U31" s="25"/>
    </row>
    <row r="32" spans="1:21" ht="12.75" hidden="1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6"/>
      <c r="M32" s="25"/>
      <c r="N32" s="25"/>
      <c r="O32" s="25"/>
      <c r="P32" s="25"/>
      <c r="Q32" s="25"/>
      <c r="R32" s="25"/>
      <c r="S32" s="25"/>
      <c r="T32" s="25"/>
      <c r="U32" s="25"/>
    </row>
    <row r="33" spans="1:21" ht="12.75" hidden="1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6"/>
      <c r="M33" s="25"/>
      <c r="N33" s="25"/>
      <c r="O33" s="25"/>
      <c r="P33" s="25"/>
      <c r="Q33" s="25"/>
      <c r="R33" s="25"/>
      <c r="S33" s="25"/>
      <c r="T33" s="25"/>
      <c r="U33" s="25"/>
    </row>
    <row r="34" spans="1:21" ht="12.75" hidden="1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6"/>
      <c r="M34" s="25"/>
      <c r="N34" s="25"/>
      <c r="O34" s="25"/>
      <c r="P34" s="25"/>
      <c r="Q34" s="25"/>
      <c r="R34" s="25"/>
      <c r="S34" s="25"/>
      <c r="T34" s="25"/>
      <c r="U34" s="25"/>
    </row>
    <row r="35" spans="1:21" ht="12.75" hidden="1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6"/>
      <c r="M35" s="25"/>
      <c r="N35" s="25"/>
      <c r="O35" s="25"/>
      <c r="P35" s="25"/>
      <c r="Q35" s="25"/>
      <c r="R35" s="25"/>
      <c r="S35" s="25"/>
      <c r="T35" s="25"/>
      <c r="U35" s="25"/>
    </row>
    <row r="36" spans="1:21" ht="12.75" hidden="1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6"/>
      <c r="M36" s="25"/>
      <c r="N36" s="25"/>
      <c r="O36" s="25"/>
      <c r="P36" s="25"/>
      <c r="Q36" s="25"/>
      <c r="R36" s="25"/>
      <c r="S36" s="25"/>
      <c r="T36" s="25"/>
      <c r="U36" s="25"/>
    </row>
    <row r="37" spans="1:21" ht="12.75" hidden="1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6"/>
      <c r="M37" s="25"/>
      <c r="N37" s="25"/>
      <c r="O37" s="25"/>
      <c r="P37" s="25"/>
      <c r="Q37" s="25"/>
      <c r="R37" s="25"/>
      <c r="S37" s="25"/>
      <c r="T37" s="25"/>
      <c r="U37" s="25"/>
    </row>
    <row r="38" spans="1:21" ht="12.75" hidden="1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6"/>
      <c r="M38" s="25"/>
      <c r="N38" s="25"/>
      <c r="O38" s="25"/>
      <c r="P38" s="25"/>
      <c r="Q38" s="25"/>
      <c r="R38" s="25"/>
      <c r="S38" s="25"/>
      <c r="T38" s="25"/>
      <c r="U38" s="25"/>
    </row>
    <row r="39" spans="1:21" ht="12.75" hidden="1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28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9.5" hidden="1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749">
        <f ca="1">L44+L59+L72+L94+L125+L139+L157+L173+L186+L266+L282+L303+L320+L333+L356</f>
        <v>2734959</v>
      </c>
      <c r="M40" s="748">
        <f ca="1">M44+M59+M72+M94+M125+M139+M157+M173+M186+M266+M282+M303+M320+M333+M356</f>
        <v>2710463</v>
      </c>
      <c r="N40" s="748">
        <f ca="1">N44+N59+N72+N94+N125+N139+N157+N173+N186+N266+N282+N303+N320+N333+N356</f>
        <v>2258276.2399999998</v>
      </c>
      <c r="O40" s="748">
        <f ca="1">IF(L40&gt;0,N40*100/L40,0)</f>
        <v>82.570752980209193</v>
      </c>
      <c r="P40" s="748">
        <f ca="1">IF(M40&gt;0,N40*100/M40,0)</f>
        <v>83.316991967792944</v>
      </c>
      <c r="Q40" s="73"/>
      <c r="R40" s="73"/>
      <c r="S40" s="73"/>
      <c r="T40" s="73"/>
      <c r="U40" s="73"/>
    </row>
    <row r="41" spans="1:21" ht="19.5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78"/>
      <c r="R41" s="78"/>
      <c r="S41" s="78"/>
      <c r="T41" s="78"/>
      <c r="U41" s="79"/>
    </row>
    <row r="42" spans="1:21" ht="19.5">
      <c r="A42" s="80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5"/>
      <c r="M42" s="84"/>
      <c r="N42" s="84"/>
      <c r="O42" s="84"/>
      <c r="P42" s="84"/>
      <c r="Q42" s="84"/>
      <c r="R42" s="84"/>
      <c r="S42" s="84"/>
      <c r="T42" s="84"/>
      <c r="U42" s="84"/>
    </row>
    <row r="43" spans="1:21" ht="12.75" hidden="1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6"/>
      <c r="M43" s="25"/>
      <c r="N43" s="25"/>
      <c r="O43" s="25"/>
      <c r="P43" s="25"/>
      <c r="Q43" s="25"/>
      <c r="R43" s="25"/>
      <c r="S43" s="25"/>
      <c r="T43" s="25"/>
      <c r="U43" s="25"/>
    </row>
    <row r="44" spans="1:21" ht="19.5">
      <c r="A44" s="86"/>
      <c r="B44" s="87"/>
      <c r="C44" s="88" t="s">
        <v>18</v>
      </c>
      <c r="D44" s="747" t="s">
        <v>19</v>
      </c>
      <c r="E44" s="87"/>
      <c r="F44" s="87"/>
      <c r="G44" s="90"/>
      <c r="H44" s="91" t="s">
        <v>14</v>
      </c>
      <c r="I44" s="92"/>
      <c r="J44" s="92"/>
      <c r="K44" s="93"/>
      <c r="L44" s="746">
        <f ca="1">L45+L46</f>
        <v>527004</v>
      </c>
      <c r="M44" s="745">
        <f ca="1">M45+M46</f>
        <v>535415</v>
      </c>
      <c r="N44" s="745">
        <f ca="1">N45+N46</f>
        <v>526678.81999999995</v>
      </c>
      <c r="O44" s="745">
        <f ca="1">IF(L44&gt;0,N44*100/L44,0)</f>
        <v>99.938296483518144</v>
      </c>
      <c r="P44" s="745">
        <f ca="1">IF(M44&gt;0,N44*100/M44,0)</f>
        <v>98.368334843065639</v>
      </c>
      <c r="Q44" s="745">
        <f>Q45+Q46</f>
        <v>0</v>
      </c>
      <c r="R44" s="745">
        <f>R45+R46</f>
        <v>0</v>
      </c>
      <c r="S44" s="745">
        <f>S45+S46</f>
        <v>0</v>
      </c>
      <c r="T44" s="745">
        <f>IF(Q44&gt;0,S44*100/Q44,0)</f>
        <v>0</v>
      </c>
      <c r="U44" s="745">
        <f>IF(R44&gt;0,S44*100/R44,0)</f>
        <v>0</v>
      </c>
    </row>
    <row r="45" spans="1:21" ht="18.75" hidden="1">
      <c r="A45" s="86"/>
      <c r="B45" s="87"/>
      <c r="C45" s="87"/>
      <c r="D45" s="87"/>
      <c r="E45" s="744" t="s">
        <v>20</v>
      </c>
      <c r="F45" s="87"/>
      <c r="G45" s="90"/>
      <c r="H45" s="743" t="s">
        <v>14</v>
      </c>
      <c r="I45" s="92"/>
      <c r="J45" s="92"/>
      <c r="K45" s="93"/>
      <c r="L45" s="742">
        <f>L48+L51</f>
        <v>0</v>
      </c>
      <c r="M45" s="741">
        <f>M48+M51</f>
        <v>0</v>
      </c>
      <c r="N45" s="741">
        <f>N48+N51</f>
        <v>0</v>
      </c>
      <c r="O45" s="741">
        <f>IF(L45&gt;0,N45*100/L45,0)</f>
        <v>0</v>
      </c>
      <c r="P45" s="741">
        <f>IF(M45&gt;0,N45*100/M45,0)</f>
        <v>0</v>
      </c>
      <c r="Q45" s="741">
        <f>Q48+Q51</f>
        <v>0</v>
      </c>
      <c r="R45" s="741">
        <f>R48+R51</f>
        <v>0</v>
      </c>
      <c r="S45" s="741">
        <f>S48+S51</f>
        <v>0</v>
      </c>
      <c r="T45" s="741">
        <f>IF(Q45&gt;0,S45*100/Q45,0)</f>
        <v>0</v>
      </c>
      <c r="U45" s="741">
        <f>IF(R45&gt;0,S45*100/R45,0)</f>
        <v>0</v>
      </c>
    </row>
    <row r="46" spans="1:21" ht="18.75" hidden="1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740">
        <f ca="1">L49+L52</f>
        <v>527004</v>
      </c>
      <c r="M46" s="739">
        <f ca="1">M49+M52</f>
        <v>535415</v>
      </c>
      <c r="N46" s="739">
        <f ca="1">N49+N52</f>
        <v>526678.81999999995</v>
      </c>
      <c r="O46" s="739">
        <f ca="1">IF(L46&gt;0,N46*100/L46,0)</f>
        <v>99.938296483518144</v>
      </c>
      <c r="P46" s="739">
        <f ca="1">IF(M46&gt;0,N46*100/M46,0)</f>
        <v>98.368334843065639</v>
      </c>
      <c r="Q46" s="739">
        <f>Q49+Q52</f>
        <v>0</v>
      </c>
      <c r="R46" s="739">
        <f>R49+R52</f>
        <v>0</v>
      </c>
      <c r="S46" s="739">
        <f>S49+S52</f>
        <v>0</v>
      </c>
      <c r="T46" s="739">
        <f>IF(Q46&gt;0,S46*100/Q46,0)</f>
        <v>0</v>
      </c>
      <c r="U46" s="739">
        <f>IF(R46&gt;0,S46*100/R46,0)</f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256">
        <f ca="1">L48+L49</f>
        <v>527004</v>
      </c>
      <c r="M47" s="255">
        <f ca="1">M48+M49</f>
        <v>535415</v>
      </c>
      <c r="N47" s="255">
        <f ca="1">N48+N49</f>
        <v>526678.81999999995</v>
      </c>
      <c r="O47" s="255">
        <f ca="1">IF(L47&gt;0,N47*100/L47,0)</f>
        <v>99.938296483518144</v>
      </c>
      <c r="P47" s="255">
        <f ca="1">IF(M47&gt;0,N47*100/M47,0)</f>
        <v>98.368334843065639</v>
      </c>
      <c r="Q47" s="255">
        <f>Q48+Q49</f>
        <v>0</v>
      </c>
      <c r="R47" s="255">
        <f>R48+R49</f>
        <v>0</v>
      </c>
      <c r="S47" s="255">
        <f>S48+S49</f>
        <v>0</v>
      </c>
      <c r="T47" s="255">
        <f>IF(Q47&gt;0,S47*100/Q47,0)</f>
        <v>0</v>
      </c>
      <c r="U47" s="255">
        <f>IF(R47&gt;0,S47*100/R47,0)</f>
        <v>0</v>
      </c>
    </row>
    <row r="48" spans="1:21" ht="18.75" hidden="1">
      <c r="A48" s="49"/>
      <c r="B48" s="50"/>
      <c r="C48" s="50"/>
      <c r="D48" s="50"/>
      <c r="E48" s="186" t="s">
        <v>20</v>
      </c>
      <c r="F48" s="50"/>
      <c r="G48" s="52"/>
      <c r="H48" s="729" t="s">
        <v>14</v>
      </c>
      <c r="I48" s="54"/>
      <c r="J48" s="54"/>
      <c r="K48" s="55"/>
      <c r="L48" s="103">
        <v>0</v>
      </c>
      <c r="M48" s="102">
        <v>0</v>
      </c>
      <c r="N48" s="102">
        <v>0</v>
      </c>
      <c r="O48" s="102">
        <f>IF(L48&gt;0,N48*100/L48,0)</f>
        <v>0</v>
      </c>
      <c r="P48" s="102">
        <f>IF(M48&gt;0,N48*100/M48,0)</f>
        <v>0</v>
      </c>
      <c r="Q48" s="102">
        <v>0</v>
      </c>
      <c r="R48" s="102">
        <v>0</v>
      </c>
      <c r="S48" s="102">
        <v>0</v>
      </c>
      <c r="T48" s="102">
        <f>IF(Q48&gt;0,S48*100/Q48,0)</f>
        <v>0</v>
      </c>
      <c r="U48" s="102">
        <f>IF(R48&gt;0,S48*100/R48,0)</f>
        <v>0</v>
      </c>
    </row>
    <row r="49" spans="1:21" ht="18.75" hidden="1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256">
        <f ca="1">IFERROR(__xludf.DUMMYFUNCTION("IMPORTRANGE(""https://docs.google.com/spreadsheets/d/1-uDff_7J0KD5mKrp0Vvzr7lt3OU09vwQwhkpOPPYv2Y/edit?usp=sharing"",""งบพรบ!P38"")"),527004)</f>
        <v>527004</v>
      </c>
      <c r="M49" s="255">
        <f ca="1">IFERROR(__xludf.DUMMYFUNCTION("IMPORTRANGE(""https://docs.google.com/spreadsheets/d/1-uDff_7J0KD5mKrp0Vvzr7lt3OU09vwQwhkpOPPYv2Y/edit?usp=sharing"",""งบพรบ!V38"")"),535415)</f>
        <v>535415</v>
      </c>
      <c r="N49" s="255">
        <f ca="1">IFERROR(__xludf.DUMMYFUNCTION("IMPORTRANGE(""https://docs.google.com/spreadsheets/d/1-uDff_7J0KD5mKrp0Vvzr7lt3OU09vwQwhkpOPPYv2Y/edit?usp=sharing"",""งบพรบ!Y38"")"),526678.82)</f>
        <v>526678.81999999995</v>
      </c>
      <c r="O49" s="255">
        <f ca="1">IF(L49&gt;0,N49*100/L49,0)</f>
        <v>99.938296483518144</v>
      </c>
      <c r="P49" s="255">
        <f ca="1">IF(M49&gt;0,N49*100/M49,0)</f>
        <v>98.368334843065639</v>
      </c>
      <c r="Q49" s="255">
        <v>0</v>
      </c>
      <c r="R49" s="255">
        <v>0</v>
      </c>
      <c r="S49" s="255">
        <v>0</v>
      </c>
      <c r="T49" s="255">
        <f>IF(Q49&gt;0,S49*100/Q49,0)</f>
        <v>0</v>
      </c>
      <c r="U49" s="255">
        <f>IF(R49&gt;0,S49*100/R49,0)</f>
        <v>0</v>
      </c>
    </row>
    <row r="50" spans="1:21" ht="18.75">
      <c r="A50" s="49"/>
      <c r="B50" s="50"/>
      <c r="C50" s="50"/>
      <c r="D50" s="51" t="s">
        <v>23</v>
      </c>
      <c r="E50" s="50"/>
      <c r="F50" s="50"/>
      <c r="G50" s="52"/>
      <c r="H50" s="53" t="s">
        <v>14</v>
      </c>
      <c r="I50" s="54"/>
      <c r="J50" s="54"/>
      <c r="K50" s="55"/>
      <c r="L50" s="256">
        <f ca="1">L51+L52</f>
        <v>0</v>
      </c>
      <c r="M50" s="255">
        <f ca="1">M51+M52</f>
        <v>0</v>
      </c>
      <c r="N50" s="255">
        <f ca="1">N51+N52</f>
        <v>0</v>
      </c>
      <c r="O50" s="255">
        <f ca="1">IF(L50&gt;0,N50*100/L50,0)</f>
        <v>0</v>
      </c>
      <c r="P50" s="255">
        <f ca="1">IF(M50&gt;0,N50*100/M50,0)</f>
        <v>0</v>
      </c>
      <c r="Q50" s="255">
        <f>Q51+Q52</f>
        <v>0</v>
      </c>
      <c r="R50" s="255">
        <f>R51+R52</f>
        <v>0</v>
      </c>
      <c r="S50" s="255">
        <f>S51+S52</f>
        <v>0</v>
      </c>
      <c r="T50" s="255">
        <f>IF(Q50&gt;0,S50*100/Q50,0)</f>
        <v>0</v>
      </c>
      <c r="U50" s="255">
        <f>IF(R50&gt;0,S50*100/R50,0)</f>
        <v>0</v>
      </c>
    </row>
    <row r="51" spans="1:21" ht="18.75" hidden="1">
      <c r="A51" s="49"/>
      <c r="B51" s="50"/>
      <c r="C51" s="50"/>
      <c r="D51" s="50"/>
      <c r="E51" s="186" t="s">
        <v>20</v>
      </c>
      <c r="F51" s="50"/>
      <c r="G51" s="52"/>
      <c r="H51" s="729" t="s">
        <v>14</v>
      </c>
      <c r="I51" s="54"/>
      <c r="J51" s="54"/>
      <c r="K51" s="55"/>
      <c r="L51" s="103">
        <v>0</v>
      </c>
      <c r="M51" s="102">
        <v>0</v>
      </c>
      <c r="N51" s="102">
        <v>0</v>
      </c>
      <c r="O51" s="102">
        <f>IF(L51&gt;0,N51*100/L51,0)</f>
        <v>0</v>
      </c>
      <c r="P51" s="102">
        <f>IF(M51&gt;0,N51*100/M51,0)</f>
        <v>0</v>
      </c>
      <c r="Q51" s="102">
        <v>0</v>
      </c>
      <c r="R51" s="102">
        <v>0</v>
      </c>
      <c r="S51" s="102">
        <v>0</v>
      </c>
      <c r="T51" s="102">
        <f>IF(Q51&gt;0,S51*100/Q51,0)</f>
        <v>0</v>
      </c>
      <c r="U51" s="102">
        <f>IF(R51&gt;0,S51*100/R51,0)</f>
        <v>0</v>
      </c>
    </row>
    <row r="52" spans="1:21" ht="18.75" hidden="1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256">
        <f ca="1">IFERROR(__xludf.DUMMYFUNCTION("IMPORTRANGE(""https://docs.google.com/spreadsheets/d/1-uDff_7J0KD5mKrp0Vvzr7lt3OU09vwQwhkpOPPYv2Y/edit?usp=sharing"",""งบพรบ!S38"")"),0)</f>
        <v>0</v>
      </c>
      <c r="M52" s="255">
        <f ca="1">IFERROR(__xludf.DUMMYFUNCTION("IMPORTRANGE(""https://docs.google.com/spreadsheets/d/1-uDff_7J0KD5mKrp0Vvzr7lt3OU09vwQwhkpOPPYv2Y/edit?usp=sharing"",""งบพรบ!W38"")"),0)</f>
        <v>0</v>
      </c>
      <c r="N52" s="255">
        <f ca="1">IFERROR(__xludf.DUMMYFUNCTION("IMPORTRANGE(""https://docs.google.com/spreadsheets/d/1-uDff_7J0KD5mKrp0Vvzr7lt3OU09vwQwhkpOPPYv2Y/edit?usp=sharing"",""งบพรบ!Z38"")"),0)</f>
        <v>0</v>
      </c>
      <c r="O52" s="255">
        <f ca="1">IF(L52&gt;0,N52*100/L52,0)</f>
        <v>0</v>
      </c>
      <c r="P52" s="255">
        <f ca="1">IF(M52&gt;0,N52*100/M52,0)</f>
        <v>0</v>
      </c>
      <c r="Q52" s="255">
        <v>0</v>
      </c>
      <c r="R52" s="255">
        <v>0</v>
      </c>
      <c r="S52" s="255">
        <v>0</v>
      </c>
      <c r="T52" s="255">
        <f>IF(Q52&gt;0,S52*100/Q52,0)</f>
        <v>0</v>
      </c>
      <c r="U52" s="255">
        <f>IF(R52&gt;0,S52*100/R52,0)</f>
        <v>0</v>
      </c>
    </row>
    <row r="53" spans="1:21" ht="18.75">
      <c r="A53" s="49"/>
      <c r="B53" s="50"/>
      <c r="C53" s="50"/>
      <c r="D53" s="51" t="s">
        <v>24</v>
      </c>
      <c r="E53" s="50"/>
      <c r="F53" s="50"/>
      <c r="G53" s="52"/>
      <c r="H53" s="53" t="s">
        <v>14</v>
      </c>
      <c r="I53" s="54"/>
      <c r="J53" s="54"/>
      <c r="K53" s="55"/>
      <c r="L53" s="62"/>
      <c r="M53" s="55"/>
      <c r="N53" s="55"/>
      <c r="O53" s="55"/>
      <c r="P53" s="55"/>
      <c r="Q53" s="55"/>
      <c r="R53" s="55"/>
      <c r="S53" s="55"/>
      <c r="T53" s="55"/>
      <c r="U53" s="55"/>
    </row>
    <row r="54" spans="1:21" ht="18.75" hidden="1">
      <c r="A54" s="49"/>
      <c r="B54" s="50"/>
      <c r="C54" s="50"/>
      <c r="D54" s="50"/>
      <c r="E54" s="186" t="s">
        <v>20</v>
      </c>
      <c r="F54" s="50"/>
      <c r="G54" s="52"/>
      <c r="H54" s="729" t="s">
        <v>14</v>
      </c>
      <c r="I54" s="54"/>
      <c r="J54" s="54"/>
      <c r="K54" s="55"/>
      <c r="L54" s="62"/>
      <c r="M54" s="55"/>
      <c r="N54" s="55"/>
      <c r="O54" s="55"/>
      <c r="P54" s="55"/>
      <c r="Q54" s="55"/>
      <c r="R54" s="55"/>
      <c r="S54" s="55"/>
      <c r="T54" s="55"/>
      <c r="U54" s="55"/>
    </row>
    <row r="55" spans="1:21" ht="18.75" hidden="1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8"/>
      <c r="M55" s="6"/>
      <c r="N55" s="6"/>
      <c r="O55" s="6"/>
      <c r="P55" s="6"/>
      <c r="Q55" s="6"/>
      <c r="R55" s="6"/>
      <c r="S55" s="6"/>
      <c r="T55" s="6"/>
      <c r="U55" s="6"/>
    </row>
    <row r="56" spans="1:21" ht="19.5">
      <c r="A56" s="533" t="s">
        <v>28</v>
      </c>
      <c r="B56" s="514"/>
      <c r="C56" s="514"/>
      <c r="D56" s="514"/>
      <c r="E56" s="514"/>
      <c r="F56" s="514"/>
      <c r="G56" s="512"/>
      <c r="H56" s="104"/>
      <c r="I56" s="105"/>
      <c r="J56" s="105"/>
      <c r="K56" s="106"/>
      <c r="L56" s="106"/>
      <c r="M56" s="106"/>
      <c r="N56" s="106"/>
      <c r="O56" s="106"/>
      <c r="P56" s="107"/>
      <c r="Q56" s="106"/>
      <c r="R56" s="106"/>
      <c r="S56" s="106"/>
      <c r="T56" s="106"/>
      <c r="U56" s="107"/>
    </row>
    <row r="57" spans="1:21" ht="19.5">
      <c r="A57" s="108"/>
      <c r="B57" s="534" t="s">
        <v>29</v>
      </c>
      <c r="C57" s="529"/>
      <c r="D57" s="529"/>
      <c r="E57" s="529"/>
      <c r="F57" s="529"/>
      <c r="G57" s="530"/>
      <c r="H57" s="109"/>
      <c r="I57" s="110"/>
      <c r="J57" s="110"/>
      <c r="K57" s="111"/>
      <c r="L57" s="112"/>
      <c r="M57" s="111"/>
      <c r="N57" s="111"/>
      <c r="O57" s="111"/>
      <c r="P57" s="111"/>
      <c r="Q57" s="111"/>
      <c r="R57" s="111"/>
      <c r="S57" s="111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9"/>
      <c r="M58" s="118"/>
      <c r="N58" s="118"/>
      <c r="O58" s="118"/>
      <c r="P58" s="118"/>
      <c r="Q58" s="118"/>
      <c r="R58" s="118"/>
      <c r="S58" s="118"/>
      <c r="T58" s="118"/>
      <c r="U58" s="118"/>
    </row>
    <row r="59" spans="1:21" ht="19.5">
      <c r="A59" s="120"/>
      <c r="B59" s="121"/>
      <c r="C59" s="122" t="s">
        <v>18</v>
      </c>
      <c r="D59" s="738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737">
        <f ca="1">L60+L61</f>
        <v>492700</v>
      </c>
      <c r="M59" s="736">
        <f ca="1">M60+M61</f>
        <v>492700</v>
      </c>
      <c r="N59" s="736">
        <f ca="1">N60+N61</f>
        <v>415746.82</v>
      </c>
      <c r="O59" s="736">
        <f ca="1">IF(L59&gt;0,N59*100/L59,0)</f>
        <v>84.381331439009543</v>
      </c>
      <c r="P59" s="736">
        <f ca="1">IF(M59&gt;0,N59*100/M59,0)</f>
        <v>84.381331439009543</v>
      </c>
      <c r="Q59" s="736">
        <f>Q60+Q61</f>
        <v>0</v>
      </c>
      <c r="R59" s="736">
        <f>R60+R61</f>
        <v>0</v>
      </c>
      <c r="S59" s="736">
        <f>S60+S61</f>
        <v>0</v>
      </c>
      <c r="T59" s="736">
        <f>IF(Q59&gt;0,S59*100/Q59,0)</f>
        <v>0</v>
      </c>
      <c r="U59" s="736">
        <f>IF(R59&gt;0,S59*100/R59,0)</f>
        <v>0</v>
      </c>
    </row>
    <row r="60" spans="1:21" ht="18.75" hidden="1">
      <c r="A60" s="120"/>
      <c r="B60" s="121"/>
      <c r="C60" s="121"/>
      <c r="D60" s="121"/>
      <c r="E60" s="735" t="s">
        <v>20</v>
      </c>
      <c r="F60" s="121"/>
      <c r="G60" s="124"/>
      <c r="H60" s="734" t="s">
        <v>14</v>
      </c>
      <c r="I60" s="126"/>
      <c r="J60" s="126"/>
      <c r="K60" s="127"/>
      <c r="L60" s="733">
        <f>L63+L66</f>
        <v>0</v>
      </c>
      <c r="M60" s="732">
        <f>M63+M66</f>
        <v>0</v>
      </c>
      <c r="N60" s="732">
        <f>N63+N66</f>
        <v>0</v>
      </c>
      <c r="O60" s="732">
        <f>IF(L60&gt;0,N60*100/L60,0)</f>
        <v>0</v>
      </c>
      <c r="P60" s="732">
        <f>IF(M60&gt;0,N60*100/M60,0)</f>
        <v>0</v>
      </c>
      <c r="Q60" s="732">
        <f>Q63+Q66</f>
        <v>0</v>
      </c>
      <c r="R60" s="732">
        <f>R63+R66</f>
        <v>0</v>
      </c>
      <c r="S60" s="732">
        <f>S63+S66</f>
        <v>0</v>
      </c>
      <c r="T60" s="732">
        <f>IF(Q60&gt;0,S60*100/Q60,0)</f>
        <v>0</v>
      </c>
      <c r="U60" s="732">
        <f>IF(R60&gt;0,S60*100/R60,0)</f>
        <v>0</v>
      </c>
    </row>
    <row r="61" spans="1:21" ht="18.75" hidden="1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731">
        <f ca="1">L64+L67</f>
        <v>492700</v>
      </c>
      <c r="M61" s="730">
        <f ca="1">M64+M67</f>
        <v>492700</v>
      </c>
      <c r="N61" s="730">
        <f ca="1">N64+N67</f>
        <v>415746.82</v>
      </c>
      <c r="O61" s="730">
        <f ca="1">IF(L61&gt;0,N61*100/L61,0)</f>
        <v>84.381331439009543</v>
      </c>
      <c r="P61" s="730">
        <f ca="1">IF(M61&gt;0,N61*100/M61,0)</f>
        <v>84.381331439009543</v>
      </c>
      <c r="Q61" s="730">
        <f>Q64+Q67</f>
        <v>0</v>
      </c>
      <c r="R61" s="730">
        <f>R64+R67</f>
        <v>0</v>
      </c>
      <c r="S61" s="730">
        <f>S64+S67</f>
        <v>0</v>
      </c>
      <c r="T61" s="730">
        <f>IF(Q61&gt;0,S61*100/Q61,0)</f>
        <v>0</v>
      </c>
      <c r="U61" s="730">
        <f>IF(R61&gt;0,S61*100/R61,0)</f>
        <v>0</v>
      </c>
    </row>
    <row r="62" spans="1:21" ht="18.75">
      <c r="A62" s="49"/>
      <c r="B62" s="50"/>
      <c r="C62" s="50"/>
      <c r="D62" s="51" t="s">
        <v>22</v>
      </c>
      <c r="E62" s="50"/>
      <c r="F62" s="50"/>
      <c r="G62" s="52"/>
      <c r="H62" s="53" t="s">
        <v>14</v>
      </c>
      <c r="I62" s="54"/>
      <c r="J62" s="54"/>
      <c r="K62" s="55"/>
      <c r="L62" s="256">
        <f ca="1">L63+L64</f>
        <v>492700</v>
      </c>
      <c r="M62" s="255">
        <f ca="1">M63+M64</f>
        <v>492700</v>
      </c>
      <c r="N62" s="255">
        <f ca="1">N63+N64</f>
        <v>415746.82</v>
      </c>
      <c r="O62" s="255">
        <f ca="1">IF(L62&gt;0,N62*100/L62,0)</f>
        <v>84.381331439009543</v>
      </c>
      <c r="P62" s="255">
        <f ca="1">IF(M62&gt;0,N62*100/M62,0)</f>
        <v>84.381331439009543</v>
      </c>
      <c r="Q62" s="255">
        <f>Q63+Q64</f>
        <v>0</v>
      </c>
      <c r="R62" s="255">
        <f>R63+R64</f>
        <v>0</v>
      </c>
      <c r="S62" s="255">
        <f>S63+S64</f>
        <v>0</v>
      </c>
      <c r="T62" s="255">
        <f>IF(Q62&gt;0,S62*100/Q62,0)</f>
        <v>0</v>
      </c>
      <c r="U62" s="255">
        <f>IF(R62&gt;0,S62*100/R62,0)</f>
        <v>0</v>
      </c>
    </row>
    <row r="63" spans="1:21" ht="18.75" hidden="1">
      <c r="A63" s="49"/>
      <c r="B63" s="50"/>
      <c r="C63" s="50"/>
      <c r="D63" s="50"/>
      <c r="E63" s="186" t="s">
        <v>20</v>
      </c>
      <c r="F63" s="50"/>
      <c r="G63" s="52"/>
      <c r="H63" s="729" t="s">
        <v>14</v>
      </c>
      <c r="I63" s="54"/>
      <c r="J63" s="54"/>
      <c r="K63" s="55"/>
      <c r="L63" s="103">
        <v>0</v>
      </c>
      <c r="M63" s="102">
        <v>0</v>
      </c>
      <c r="N63" s="102">
        <v>0</v>
      </c>
      <c r="O63" s="102">
        <f>IF(L63&gt;0,N63*100/L63,0)</f>
        <v>0</v>
      </c>
      <c r="P63" s="102">
        <f>IF(M63&gt;0,N63*100/M63,0)</f>
        <v>0</v>
      </c>
      <c r="Q63" s="102">
        <v>0</v>
      </c>
      <c r="R63" s="102">
        <v>0</v>
      </c>
      <c r="S63" s="102">
        <v>0</v>
      </c>
      <c r="T63" s="102">
        <f>IF(Q63&gt;0,S63*100/Q63,0)</f>
        <v>0</v>
      </c>
      <c r="U63" s="102">
        <f>IF(R63&gt;0,S63*100/R63,0)</f>
        <v>0</v>
      </c>
    </row>
    <row r="64" spans="1:21" ht="18.75" hidden="1">
      <c r="A64" s="49"/>
      <c r="B64" s="50"/>
      <c r="C64" s="50"/>
      <c r="D64" s="50"/>
      <c r="E64" s="58" t="s">
        <v>21</v>
      </c>
      <c r="F64" s="50"/>
      <c r="G64" s="52"/>
      <c r="H64" s="53" t="s">
        <v>14</v>
      </c>
      <c r="I64" s="54"/>
      <c r="J64" s="54"/>
      <c r="K64" s="55"/>
      <c r="L64" s="256">
        <f ca="1">IFERROR(__xludf.DUMMYFUNCTION("IMPORTRANGE(""https://docs.google.com/spreadsheets/d/1-uDff_7J0KD5mKrp0Vvzr7lt3OU09vwQwhkpOPPYv2Y/edit?usp=sharing"",""งบพรบ!AC38"")"),492700)</f>
        <v>492700</v>
      </c>
      <c r="M64" s="255">
        <f ca="1">IFERROR(__xludf.DUMMYFUNCTION("IMPORTRANGE(""https://docs.google.com/spreadsheets/d/1-uDff_7J0KD5mKrp0Vvzr7lt3OU09vwQwhkpOPPYv2Y/edit?usp=sharing"",""งบพรบ!AH38"")"),492700)</f>
        <v>492700</v>
      </c>
      <c r="N64" s="255">
        <f ca="1">IFERROR(__xludf.DUMMYFUNCTION("IMPORTRANGE(""https://docs.google.com/spreadsheets/d/1-uDff_7J0KD5mKrp0Vvzr7lt3OU09vwQwhkpOPPYv2Y/edit?usp=sharing"",""งบพรบ!AJ38"")"),415746.82)</f>
        <v>415746.82</v>
      </c>
      <c r="O64" s="255">
        <f ca="1">IF(L64&gt;0,N64*100/L64,0)</f>
        <v>84.381331439009543</v>
      </c>
      <c r="P64" s="255">
        <f ca="1">IF(M64&gt;0,N64*100/M64,0)</f>
        <v>84.381331439009543</v>
      </c>
      <c r="Q64" s="255">
        <v>0</v>
      </c>
      <c r="R64" s="255">
        <v>0</v>
      </c>
      <c r="S64" s="255">
        <v>0</v>
      </c>
      <c r="T64" s="255">
        <f>IF(Q64&gt;0,S64*100/Q64,0)</f>
        <v>0</v>
      </c>
      <c r="U64" s="255">
        <f>IF(R64&gt;0,S64*100/R64,0)</f>
        <v>0</v>
      </c>
    </row>
    <row r="65" spans="1:21" ht="18.75">
      <c r="A65" s="49"/>
      <c r="B65" s="50"/>
      <c r="C65" s="50"/>
      <c r="D65" s="51" t="s">
        <v>23</v>
      </c>
      <c r="E65" s="50"/>
      <c r="F65" s="50"/>
      <c r="G65" s="52"/>
      <c r="H65" s="53" t="s">
        <v>14</v>
      </c>
      <c r="I65" s="54"/>
      <c r="J65" s="54"/>
      <c r="K65" s="55"/>
      <c r="L65" s="256">
        <f ca="1">L66+L67</f>
        <v>0</v>
      </c>
      <c r="M65" s="255">
        <f ca="1">M66+M67</f>
        <v>0</v>
      </c>
      <c r="N65" s="255">
        <f ca="1">N66+N67</f>
        <v>0</v>
      </c>
      <c r="O65" s="255">
        <f ca="1">IF(L65&gt;0,N65*100/L65,0)</f>
        <v>0</v>
      </c>
      <c r="P65" s="255">
        <f ca="1">IF(M65&gt;0,N65*100/M65,0)</f>
        <v>0</v>
      </c>
      <c r="Q65" s="255">
        <f>Q66+Q67</f>
        <v>0</v>
      </c>
      <c r="R65" s="255">
        <f>R66+R67</f>
        <v>0</v>
      </c>
      <c r="S65" s="255">
        <f>S66+S67</f>
        <v>0</v>
      </c>
      <c r="T65" s="255">
        <f>IF(Q65&gt;0,S65*100/Q65,0)</f>
        <v>0</v>
      </c>
      <c r="U65" s="255">
        <f>IF(R65&gt;0,S65*100/R65,0)</f>
        <v>0</v>
      </c>
    </row>
    <row r="66" spans="1:21" ht="18.75" hidden="1">
      <c r="A66" s="49"/>
      <c r="B66" s="50"/>
      <c r="C66" s="50"/>
      <c r="D66" s="50"/>
      <c r="E66" s="186" t="s">
        <v>20</v>
      </c>
      <c r="F66" s="50"/>
      <c r="G66" s="52"/>
      <c r="H66" s="729" t="s">
        <v>14</v>
      </c>
      <c r="I66" s="54"/>
      <c r="J66" s="54"/>
      <c r="K66" s="55"/>
      <c r="L66" s="103">
        <v>0</v>
      </c>
      <c r="M66" s="102">
        <v>0</v>
      </c>
      <c r="N66" s="102">
        <v>0</v>
      </c>
      <c r="O66" s="102">
        <f>IF(L66&gt;0,N66*100/L66,0)</f>
        <v>0</v>
      </c>
      <c r="P66" s="102">
        <f>IF(M66&gt;0,N66*100/M66,0)</f>
        <v>0</v>
      </c>
      <c r="Q66" s="102">
        <v>0</v>
      </c>
      <c r="R66" s="102">
        <v>0</v>
      </c>
      <c r="S66" s="102">
        <v>0</v>
      </c>
      <c r="T66" s="102">
        <f>IF(Q66&gt;0,S66*100/Q66,0)</f>
        <v>0</v>
      </c>
      <c r="U66" s="102">
        <f>IF(R66&gt;0,S66*100/R66,0)</f>
        <v>0</v>
      </c>
    </row>
    <row r="67" spans="1:21" ht="18.75" hidden="1">
      <c r="A67" s="63"/>
      <c r="B67" s="4"/>
      <c r="C67" s="4"/>
      <c r="D67" s="4"/>
      <c r="E67" s="64" t="s">
        <v>21</v>
      </c>
      <c r="F67" s="4"/>
      <c r="G67" s="65"/>
      <c r="H67" s="66" t="s">
        <v>14</v>
      </c>
      <c r="I67" s="67"/>
      <c r="J67" s="67"/>
      <c r="K67" s="6"/>
      <c r="L67" s="728">
        <f ca="1">IFERROR(__xludf.DUMMYFUNCTION("IMPORTRANGE(""https://docs.google.com/spreadsheets/d/1-uDff_7J0KD5mKrp0Vvzr7lt3OU09vwQwhkpOPPYv2Y/edit?usp=sharing"",""งบพรบ!AF38"")"),0)</f>
        <v>0</v>
      </c>
      <c r="M67" s="506">
        <f ca="1">IFERROR(__xludf.DUMMYFUNCTION("IMPORTRANGE(""https://docs.google.com/spreadsheets/d/1-uDff_7J0KD5mKrp0Vvzr7lt3OU09vwQwhkpOPPYv2Y/edit?usp=sharing"",""งบพรบ!AI38"")"),0)</f>
        <v>0</v>
      </c>
      <c r="N67" s="506">
        <f ca="1">IFERROR(__xludf.DUMMYFUNCTION("IMPORTRANGE(""https://docs.google.com/spreadsheets/d/1-uDff_7J0KD5mKrp0Vvzr7lt3OU09vwQwhkpOPPYv2Y/edit?usp=sharing"",""งบพรบ!AK38"")"),0)</f>
        <v>0</v>
      </c>
      <c r="O67" s="506">
        <f ca="1">IF(L67&gt;0,N67*100/L67,0)</f>
        <v>0</v>
      </c>
      <c r="P67" s="506">
        <f ca="1">IF(M67&gt;0,N67*100/M67,0)</f>
        <v>0</v>
      </c>
      <c r="Q67" s="506">
        <v>0</v>
      </c>
      <c r="R67" s="506">
        <v>0</v>
      </c>
      <c r="S67" s="506">
        <v>0</v>
      </c>
      <c r="T67" s="506">
        <f>IF(Q67&gt;0,S67*100/Q67,0)</f>
        <v>0</v>
      </c>
      <c r="U67" s="506">
        <f>IF(R67&gt;0,S67*100/R67,0)</f>
        <v>0</v>
      </c>
    </row>
    <row r="68" spans="1:21" ht="19.5">
      <c r="A68" s="137" t="s">
        <v>31</v>
      </c>
      <c r="B68" s="138"/>
      <c r="C68" s="138"/>
      <c r="D68" s="138"/>
      <c r="E68" s="139"/>
      <c r="F68" s="139"/>
      <c r="G68" s="139"/>
      <c r="H68" s="139"/>
      <c r="I68" s="140"/>
      <c r="J68" s="140"/>
      <c r="K68" s="141"/>
      <c r="L68" s="141"/>
      <c r="M68" s="141"/>
      <c r="N68" s="141"/>
      <c r="O68" s="141"/>
      <c r="P68" s="142"/>
      <c r="Q68" s="141"/>
      <c r="R68" s="141"/>
      <c r="S68" s="141"/>
      <c r="T68" s="141"/>
      <c r="U68" s="142"/>
    </row>
    <row r="69" spans="1:21" ht="19.5">
      <c r="A69" s="143" t="s">
        <v>32</v>
      </c>
      <c r="B69" s="144"/>
      <c r="C69" s="145"/>
      <c r="D69" s="144"/>
      <c r="E69" s="144"/>
      <c r="F69" s="144"/>
      <c r="G69" s="146"/>
      <c r="H69" s="146"/>
      <c r="I69" s="147"/>
      <c r="J69" s="147"/>
      <c r="K69" s="148"/>
      <c r="L69" s="149"/>
      <c r="M69" s="148"/>
      <c r="N69" s="148"/>
      <c r="O69" s="148"/>
      <c r="P69" s="148"/>
      <c r="Q69" s="148"/>
      <c r="R69" s="148"/>
      <c r="S69" s="148"/>
      <c r="T69" s="148"/>
      <c r="U69" s="148"/>
    </row>
    <row r="70" spans="1:21" ht="19.5">
      <c r="A70" s="150"/>
      <c r="B70" s="35" t="s">
        <v>33</v>
      </c>
      <c r="C70" s="34"/>
      <c r="D70" s="151"/>
      <c r="E70" s="34"/>
      <c r="F70" s="34"/>
      <c r="G70" s="37"/>
      <c r="H70" s="152" t="s">
        <v>34</v>
      </c>
      <c r="I70" s="721">
        <f ca="1">I82</f>
        <v>1</v>
      </c>
      <c r="J70" s="721">
        <f>J82</f>
        <v>0</v>
      </c>
      <c r="K70" s="720">
        <f ca="1">IF(I70&gt;0,J70*100/I70,0)</f>
        <v>0</v>
      </c>
      <c r="L70" s="154"/>
      <c r="M70" s="40"/>
      <c r="N70" s="40"/>
      <c r="O70" s="40"/>
      <c r="P70" s="40"/>
      <c r="Q70" s="40"/>
      <c r="R70" s="40"/>
      <c r="S70" s="40"/>
      <c r="T70" s="40"/>
      <c r="U70" s="40"/>
    </row>
    <row r="71" spans="1:21" ht="19.5">
      <c r="A71" s="150"/>
      <c r="B71" s="34"/>
      <c r="C71" s="34"/>
      <c r="D71" s="151"/>
      <c r="E71" s="34"/>
      <c r="F71" s="34"/>
      <c r="G71" s="37"/>
      <c r="H71" s="152" t="s">
        <v>35</v>
      </c>
      <c r="I71" s="721">
        <f ca="1">I83</f>
        <v>63</v>
      </c>
      <c r="J71" s="721">
        <f>J83</f>
        <v>0</v>
      </c>
      <c r="K71" s="720">
        <f ca="1">IF(I71&gt;0,J71*100/I71,0)</f>
        <v>0</v>
      </c>
      <c r="L71" s="154"/>
      <c r="M71" s="40"/>
      <c r="N71" s="40"/>
      <c r="O71" s="40"/>
      <c r="P71" s="40"/>
      <c r="Q71" s="40"/>
      <c r="R71" s="40"/>
      <c r="S71" s="40"/>
      <c r="T71" s="40"/>
      <c r="U71" s="40"/>
    </row>
    <row r="72" spans="1:21" ht="19.5">
      <c r="A72" s="155"/>
      <c r="B72" s="50"/>
      <c r="C72" s="156" t="s">
        <v>18</v>
      </c>
      <c r="D72" s="575" t="s">
        <v>19</v>
      </c>
      <c r="E72" s="50"/>
      <c r="F72" s="50"/>
      <c r="G72" s="52"/>
      <c r="H72" s="158" t="s">
        <v>14</v>
      </c>
      <c r="I72" s="54"/>
      <c r="J72" s="54"/>
      <c r="K72" s="55"/>
      <c r="L72" s="541">
        <f ca="1">L73+L74</f>
        <v>142000</v>
      </c>
      <c r="M72" s="540">
        <f ca="1">M73+M74</f>
        <v>141645</v>
      </c>
      <c r="N72" s="540">
        <f ca="1">N73+N74</f>
        <v>123645</v>
      </c>
      <c r="O72" s="540">
        <f ca="1">IF(L72&gt;0,N72*100/L72,0)</f>
        <v>87.073943661971825</v>
      </c>
      <c r="P72" s="540">
        <f ca="1">IF(M72&gt;0,N72*100/M72,0)</f>
        <v>87.292174097214868</v>
      </c>
      <c r="Q72" s="540">
        <f ca="1">Q73+Q74</f>
        <v>769560</v>
      </c>
      <c r="R72" s="540">
        <f ca="1">R73+R74</f>
        <v>769560</v>
      </c>
      <c r="S72" s="540">
        <f ca="1">S73+S74</f>
        <v>2560</v>
      </c>
      <c r="T72" s="540">
        <f ca="1">IF(Q72&gt;0,S72*100/Q72,0)</f>
        <v>0.33265762253755393</v>
      </c>
      <c r="U72" s="540">
        <f ca="1">IF(R72&gt;0,S72*100/R72,0)</f>
        <v>0.33265762253755393</v>
      </c>
    </row>
    <row r="73" spans="1:21" ht="18.75" hidden="1">
      <c r="A73" s="155"/>
      <c r="B73" s="50"/>
      <c r="C73" s="50"/>
      <c r="D73" s="50"/>
      <c r="E73" s="186" t="s">
        <v>20</v>
      </c>
      <c r="F73" s="50"/>
      <c r="G73" s="52"/>
      <c r="H73" s="187" t="s">
        <v>14</v>
      </c>
      <c r="I73" s="54"/>
      <c r="J73" s="54"/>
      <c r="K73" s="55"/>
      <c r="L73" s="103">
        <f>L76+L79</f>
        <v>0</v>
      </c>
      <c r="M73" s="102">
        <f>M76+M79</f>
        <v>0</v>
      </c>
      <c r="N73" s="102">
        <f>N76+N79</f>
        <v>0</v>
      </c>
      <c r="O73" s="102">
        <f>IF(L73&gt;0,N73*100/L73,0)</f>
        <v>0</v>
      </c>
      <c r="P73" s="102">
        <f>IF(M73&gt;0,N73*100/M73,0)</f>
        <v>0</v>
      </c>
      <c r="Q73" s="102">
        <f>Q76+Q79</f>
        <v>0</v>
      </c>
      <c r="R73" s="102">
        <f>R76+R79</f>
        <v>0</v>
      </c>
      <c r="S73" s="102">
        <f>S76+S79</f>
        <v>0</v>
      </c>
      <c r="T73" s="102">
        <f>IF(Q73&gt;0,S73*100/Q73,0)</f>
        <v>0</v>
      </c>
      <c r="U73" s="102">
        <f>IF(R73&gt;0,S73*100/R73,0)</f>
        <v>0</v>
      </c>
    </row>
    <row r="74" spans="1:21" ht="18.75" hidden="1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256">
        <f ca="1">L77+L80</f>
        <v>142000</v>
      </c>
      <c r="M74" s="255">
        <f ca="1">M77+M80</f>
        <v>141645</v>
      </c>
      <c r="N74" s="255">
        <f ca="1">N77+N80</f>
        <v>123645</v>
      </c>
      <c r="O74" s="255">
        <f ca="1">IF(L74&gt;0,N74*100/L74,0)</f>
        <v>87.073943661971825</v>
      </c>
      <c r="P74" s="255">
        <f ca="1">IF(M74&gt;0,N74*100/M74,0)</f>
        <v>87.292174097214868</v>
      </c>
      <c r="Q74" s="255">
        <f ca="1">Q77+Q80</f>
        <v>769560</v>
      </c>
      <c r="R74" s="255">
        <f ca="1">R77+R80</f>
        <v>769560</v>
      </c>
      <c r="S74" s="255">
        <f ca="1">S77+S80</f>
        <v>2560</v>
      </c>
      <c r="T74" s="255">
        <f ca="1">IF(Q74&gt;0,S74*100/Q74,0)</f>
        <v>0.33265762253755393</v>
      </c>
      <c r="U74" s="255">
        <f ca="1">IF(R74&gt;0,S74*100/R74,0)</f>
        <v>0.33265762253755393</v>
      </c>
    </row>
    <row r="75" spans="1:21" ht="18.75">
      <c r="A75" s="155"/>
      <c r="B75" s="50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256">
        <f ca="1">L76+L77</f>
        <v>142000</v>
      </c>
      <c r="M75" s="255">
        <f ca="1">M76+M77</f>
        <v>141645</v>
      </c>
      <c r="N75" s="255">
        <f ca="1">N76+N77</f>
        <v>123645</v>
      </c>
      <c r="O75" s="255">
        <f ca="1">IF(L75&gt;0,N75*100/L75,0)</f>
        <v>87.073943661971825</v>
      </c>
      <c r="P75" s="255">
        <f ca="1">IF(M75&gt;0,N75*100/M75,0)</f>
        <v>87.292174097214868</v>
      </c>
      <c r="Q75" s="255">
        <f ca="1">Q76+Q77</f>
        <v>769560</v>
      </c>
      <c r="R75" s="255">
        <f ca="1">R76+R77</f>
        <v>769560</v>
      </c>
      <c r="S75" s="255">
        <f ca="1">S76+S77</f>
        <v>2560</v>
      </c>
      <c r="T75" s="255">
        <f ca="1">IF(Q75&gt;0,S75*100/Q75,0)</f>
        <v>0.33265762253755393</v>
      </c>
      <c r="U75" s="255">
        <f ca="1">IF(R75&gt;0,S75*100/R75,0)</f>
        <v>0.33265762253755393</v>
      </c>
    </row>
    <row r="76" spans="1:21" ht="18.75" hidden="1">
      <c r="A76" s="155"/>
      <c r="B76" s="50"/>
      <c r="C76" s="50"/>
      <c r="D76" s="50"/>
      <c r="E76" s="186" t="s">
        <v>36</v>
      </c>
      <c r="F76" s="50"/>
      <c r="G76" s="52"/>
      <c r="H76" s="189" t="s">
        <v>14</v>
      </c>
      <c r="I76" s="163"/>
      <c r="J76" s="163"/>
      <c r="K76" s="164"/>
      <c r="L76" s="103">
        <v>0</v>
      </c>
      <c r="M76" s="102">
        <v>0</v>
      </c>
      <c r="N76" s="102">
        <v>0</v>
      </c>
      <c r="O76" s="102">
        <f>IF(L76&gt;0,N76*100/L76,0)</f>
        <v>0</v>
      </c>
      <c r="P76" s="102">
        <f>IF(M76&gt;0,N76*100/M76,0)</f>
        <v>0</v>
      </c>
      <c r="Q76" s="102">
        <v>0</v>
      </c>
      <c r="R76" s="102">
        <v>0</v>
      </c>
      <c r="S76" s="102">
        <v>0</v>
      </c>
      <c r="T76" s="102">
        <f>IF(Q76&gt;0,S76*100/Q76,0)</f>
        <v>0</v>
      </c>
      <c r="U76" s="102">
        <f>IF(R76&gt;0,S76*100/R76,0)</f>
        <v>0</v>
      </c>
    </row>
    <row r="77" spans="1:21" ht="18.75" hidden="1">
      <c r="A77" s="155"/>
      <c r="B77" s="50"/>
      <c r="C77" s="50"/>
      <c r="D77" s="50"/>
      <c r="E77" s="58" t="s">
        <v>37</v>
      </c>
      <c r="F77" s="50"/>
      <c r="G77" s="52"/>
      <c r="H77" s="162" t="s">
        <v>14</v>
      </c>
      <c r="I77" s="163"/>
      <c r="J77" s="163"/>
      <c r="K77" s="164"/>
      <c r="L77" s="256">
        <f ca="1">IFERROR(__xludf.DUMMYFUNCTION("IMPORTRANGE(""https://docs.google.com/spreadsheets/d/1-uDff_7J0KD5mKrp0Vvzr7lt3OU09vwQwhkpOPPYv2Y/edit?usp=sharing"",""งบพรบ!AM38"")"),142000)</f>
        <v>142000</v>
      </c>
      <c r="M77" s="255">
        <f ca="1">IFERROR(__xludf.DUMMYFUNCTION("IMPORTRANGE(""https://docs.google.com/spreadsheets/d/1-uDff_7J0KD5mKrp0Vvzr7lt3OU09vwQwhkpOPPYv2Y/edit?usp=sharing"",""งบพรบ!AR38"")"),141645)</f>
        <v>141645</v>
      </c>
      <c r="N77" s="255">
        <f ca="1">IFERROR(__xludf.DUMMYFUNCTION("IMPORTRANGE(""https://docs.google.com/spreadsheets/d/1-uDff_7J0KD5mKrp0Vvzr7lt3OU09vwQwhkpOPPYv2Y/edit?usp=sharing"",""งบพรบ!AT38"")"),123645)</f>
        <v>123645</v>
      </c>
      <c r="O77" s="255">
        <f ca="1">IF(L77&gt;0,N77*100/L77,0)</f>
        <v>87.073943661971825</v>
      </c>
      <c r="P77" s="255">
        <f ca="1">IF(M77&gt;0,N77*100/M77,0)</f>
        <v>87.292174097214868</v>
      </c>
      <c r="Q77" s="255">
        <f ca="1">IFERROR(__xludf.DUMMYFUNCTION("IMPORTRANGE(""https://docs.google.com/spreadsheets/d/1ItG2mGa2ceCfYo0BwxsXqNm01IGEUdYcSSLTEv9YCik/edit?usp=sharing"",""เบิกจ่ายกองทุน!AS38"")"),769560)</f>
        <v>769560</v>
      </c>
      <c r="R77" s="255">
        <f ca="1">IFERROR(__xludf.DUMMYFUNCTION("IMPORTRANGE(""https://docs.google.com/spreadsheets/d/1ItG2mGa2ceCfYo0BwxsXqNm01IGEUdYcSSLTEv9YCik/edit?usp=sharing"",""เบิกจ่ายกองทุน!AT38"")"),769560)</f>
        <v>769560</v>
      </c>
      <c r="S77" s="255">
        <f ca="1">IFERROR(__xludf.DUMMYFUNCTION("IMPORTRANGE(""https://docs.google.com/spreadsheets/d/1ItG2mGa2ceCfYo0BwxsXqNm01IGEUdYcSSLTEv9YCik/edit?usp=sharing"",""เบิกจ่ายกองทุน!AU38"")"),2560)</f>
        <v>2560</v>
      </c>
      <c r="T77" s="255">
        <f ca="1">IF(Q77&gt;0,S77*100/Q77,0)</f>
        <v>0.33265762253755393</v>
      </c>
      <c r="U77" s="255">
        <f ca="1">IF(R77&gt;0,S77*100/R77,0)</f>
        <v>0.33265762253755393</v>
      </c>
    </row>
    <row r="78" spans="1:21" ht="18.75">
      <c r="A78" s="155"/>
      <c r="B78" s="50"/>
      <c r="C78" s="50"/>
      <c r="D78" s="51" t="s">
        <v>23</v>
      </c>
      <c r="E78" s="50"/>
      <c r="F78" s="50"/>
      <c r="G78" s="52"/>
      <c r="H78" s="165" t="s">
        <v>14</v>
      </c>
      <c r="I78" s="163"/>
      <c r="J78" s="163"/>
      <c r="K78" s="164"/>
      <c r="L78" s="256">
        <f ca="1">L79+L80</f>
        <v>0</v>
      </c>
      <c r="M78" s="255">
        <f ca="1">M79+M80</f>
        <v>0</v>
      </c>
      <c r="N78" s="255">
        <f ca="1">N79+N80</f>
        <v>0</v>
      </c>
      <c r="O78" s="255">
        <f ca="1">IF(L78&gt;0,N78*100/L78,0)</f>
        <v>0</v>
      </c>
      <c r="P78" s="255">
        <f ca="1">IF(M78&gt;0,N78*100/M78,0)</f>
        <v>0</v>
      </c>
      <c r="Q78" s="255">
        <f>Q79+Q80</f>
        <v>0</v>
      </c>
      <c r="R78" s="255">
        <f>R79+R80</f>
        <v>0</v>
      </c>
      <c r="S78" s="255">
        <f>S79+S80</f>
        <v>0</v>
      </c>
      <c r="T78" s="255">
        <f>IF(Q78&gt;0,S78*100/Q78,0)</f>
        <v>0</v>
      </c>
      <c r="U78" s="255">
        <f>IF(R78&gt;0,S78*100/R78,0)</f>
        <v>0</v>
      </c>
    </row>
    <row r="79" spans="1:21" ht="18.75" hidden="1">
      <c r="A79" s="155"/>
      <c r="B79" s="50"/>
      <c r="C79" s="50"/>
      <c r="D79" s="50"/>
      <c r="E79" s="186" t="s">
        <v>20</v>
      </c>
      <c r="F79" s="50"/>
      <c r="G79" s="52"/>
      <c r="H79" s="189" t="s">
        <v>14</v>
      </c>
      <c r="I79" s="163"/>
      <c r="J79" s="163"/>
      <c r="K79" s="164"/>
      <c r="L79" s="103">
        <v>0</v>
      </c>
      <c r="M79" s="255">
        <v>0</v>
      </c>
      <c r="N79" s="255">
        <v>0</v>
      </c>
      <c r="O79" s="102">
        <f>IF(L79&gt;0,N79*100/L79,0)</f>
        <v>0</v>
      </c>
      <c r="P79" s="102">
        <f>IF(M79&gt;0,N79*100/M79,0)</f>
        <v>0</v>
      </c>
      <c r="Q79" s="102">
        <v>0</v>
      </c>
      <c r="R79" s="255">
        <v>0</v>
      </c>
      <c r="S79" s="255">
        <v>0</v>
      </c>
      <c r="T79" s="102">
        <f>IF(Q79&gt;0,S79*100/Q79,0)</f>
        <v>0</v>
      </c>
      <c r="U79" s="102">
        <f>IF(R79&gt;0,S79*100/R79,0)</f>
        <v>0</v>
      </c>
    </row>
    <row r="80" spans="1:21" ht="18.75" hidden="1">
      <c r="A80" s="155"/>
      <c r="B80" s="50"/>
      <c r="C80" s="50"/>
      <c r="D80" s="50"/>
      <c r="E80" s="58" t="s">
        <v>21</v>
      </c>
      <c r="F80" s="50"/>
      <c r="G80" s="52"/>
      <c r="H80" s="165" t="s">
        <v>14</v>
      </c>
      <c r="I80" s="163"/>
      <c r="J80" s="163"/>
      <c r="K80" s="164"/>
      <c r="L80" s="256">
        <f ca="1">IFERROR(__xludf.DUMMYFUNCTION("IMPORTRANGE(""https://docs.google.com/spreadsheets/d/1-uDff_7J0KD5mKrp0Vvzr7lt3OU09vwQwhkpOPPYv2Y/edit?usp=sharing"",""งบพรบ!AP38"")"),0)</f>
        <v>0</v>
      </c>
      <c r="M80" s="255">
        <f ca="1">IFERROR(__xludf.DUMMYFUNCTION("IMPORTRANGE(""https://docs.google.com/spreadsheets/d/1-uDff_7J0KD5mKrp0Vvzr7lt3OU09vwQwhkpOPPYv2Y/edit?usp=sharing"",""งบพรบ!AS38"")"),0)</f>
        <v>0</v>
      </c>
      <c r="N80" s="255">
        <f ca="1">IFERROR(__xludf.DUMMYFUNCTION("IMPORTRANGE(""https://docs.google.com/spreadsheets/d/1-uDff_7J0KD5mKrp0Vvzr7lt3OU09vwQwhkpOPPYv2Y/edit?usp=sharing"",""งบพรบ!AU38"")"),0)</f>
        <v>0</v>
      </c>
      <c r="O80" s="255">
        <f ca="1">IF(L80&gt;0,N80*100/L80,0)</f>
        <v>0</v>
      </c>
      <c r="P80" s="255">
        <f ca="1">IF(M80&gt;0,N80*100/M80,0)</f>
        <v>0</v>
      </c>
      <c r="Q80" s="255">
        <v>0</v>
      </c>
      <c r="R80" s="255">
        <v>0</v>
      </c>
      <c r="S80" s="255">
        <v>0</v>
      </c>
      <c r="T80" s="255">
        <f>IF(Q80&gt;0,S80*100/Q80,0)</f>
        <v>0</v>
      </c>
      <c r="U80" s="255">
        <f>IF(R80&gt;0,S80*100/R80,0)</f>
        <v>0</v>
      </c>
    </row>
    <row r="81" spans="1:21" ht="19.5">
      <c r="A81" s="166"/>
      <c r="B81" s="167"/>
      <c r="C81" s="156" t="s">
        <v>18</v>
      </c>
      <c r="D81" s="566" t="s">
        <v>38</v>
      </c>
      <c r="E81" s="169"/>
      <c r="F81" s="169"/>
      <c r="G81" s="170"/>
      <c r="H81" s="171"/>
      <c r="I81" s="163"/>
      <c r="J81" s="163"/>
      <c r="K81" s="164"/>
      <c r="L81" s="172"/>
      <c r="M81" s="164"/>
      <c r="N81" s="164"/>
      <c r="O81" s="164"/>
      <c r="P81" s="164"/>
      <c r="Q81" s="164"/>
      <c r="R81" s="164"/>
      <c r="S81" s="164"/>
      <c r="T81" s="164"/>
      <c r="U81" s="164"/>
    </row>
    <row r="82" spans="1:21" ht="19.5">
      <c r="A82" s="166"/>
      <c r="B82" s="167"/>
      <c r="C82" s="167"/>
      <c r="D82" s="173" t="s">
        <v>39</v>
      </c>
      <c r="E82" s="174"/>
      <c r="F82" s="174"/>
      <c r="G82" s="171"/>
      <c r="H82" s="175" t="s">
        <v>34</v>
      </c>
      <c r="I82" s="373">
        <f ca="1">I84+I86+I88</f>
        <v>1</v>
      </c>
      <c r="J82" s="373">
        <f>J84+J86+J88</f>
        <v>0</v>
      </c>
      <c r="K82" s="642">
        <f ca="1">IF(I82&gt;0,J82*100/I82,0)</f>
        <v>0</v>
      </c>
      <c r="L82" s="172"/>
      <c r="M82" s="164"/>
      <c r="N82" s="164"/>
      <c r="O82" s="164"/>
      <c r="P82" s="164"/>
      <c r="Q82" s="164"/>
      <c r="R82" s="164"/>
      <c r="S82" s="164"/>
      <c r="T82" s="164"/>
      <c r="U82" s="164"/>
    </row>
    <row r="83" spans="1:21" ht="19.5">
      <c r="A83" s="166"/>
      <c r="B83" s="167"/>
      <c r="C83" s="167"/>
      <c r="D83" s="167"/>
      <c r="E83" s="174"/>
      <c r="F83" s="174"/>
      <c r="G83" s="171"/>
      <c r="H83" s="175" t="s">
        <v>35</v>
      </c>
      <c r="I83" s="373">
        <f ca="1">I85+I87+I89</f>
        <v>63</v>
      </c>
      <c r="J83" s="373">
        <f>J85+J87+J89</f>
        <v>0</v>
      </c>
      <c r="K83" s="642">
        <f ca="1">IF(I83&gt;0,J83*100/I83,0)</f>
        <v>0</v>
      </c>
      <c r="L83" s="172"/>
      <c r="M83" s="164"/>
      <c r="N83" s="164"/>
      <c r="O83" s="164"/>
      <c r="P83" s="164"/>
      <c r="Q83" s="164"/>
      <c r="R83" s="164"/>
      <c r="S83" s="164"/>
      <c r="T83" s="164"/>
      <c r="U83" s="164"/>
    </row>
    <row r="84" spans="1:21" ht="18.75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641">
        <f ca="1">IFERROR(__xludf.DUMMYFUNCTION("IMPORTRANGE(""https://docs.google.com/spreadsheets/d/1eHaY18a8A9IcSdp1K8H6x8fbOy06t2VsZHhMHf-1x7Y/edit?usp=sharing"",""แผน!H38"")"),0)</f>
        <v>0</v>
      </c>
      <c r="J84" s="467">
        <v>0</v>
      </c>
      <c r="K84" s="565">
        <f ca="1">IF(I84&gt;0,J84*100/I84,0)</f>
        <v>0</v>
      </c>
      <c r="L84" s="172"/>
      <c r="M84" s="164"/>
      <c r="N84" s="164"/>
      <c r="O84" s="164"/>
      <c r="P84" s="164"/>
      <c r="Q84" s="164"/>
      <c r="R84" s="164"/>
      <c r="S84" s="164"/>
      <c r="T84" s="164"/>
      <c r="U84" s="164"/>
    </row>
    <row r="85" spans="1:21" ht="18.75">
      <c r="A85" s="166"/>
      <c r="B85" s="167"/>
      <c r="C85" s="167"/>
      <c r="D85" s="167"/>
      <c r="E85" s="174"/>
      <c r="F85" s="174"/>
      <c r="G85" s="171"/>
      <c r="H85" s="179" t="s">
        <v>35</v>
      </c>
      <c r="I85" s="641">
        <f ca="1">IFERROR(__xludf.DUMMYFUNCTION("IMPORTRANGE(""https://docs.google.com/spreadsheets/d/1eHaY18a8A9IcSdp1K8H6x8fbOy06t2VsZHhMHf-1x7Y/edit?usp=sharing"",""แผน!I38"")"),0)</f>
        <v>0</v>
      </c>
      <c r="J85" s="467">
        <v>0</v>
      </c>
      <c r="K85" s="565">
        <f ca="1">IF(I85&gt;0,J85*100/I85,0)</f>
        <v>0</v>
      </c>
      <c r="L85" s="172"/>
      <c r="M85" s="164"/>
      <c r="N85" s="164"/>
      <c r="O85" s="164"/>
      <c r="P85" s="164"/>
      <c r="Q85" s="164"/>
      <c r="R85" s="164"/>
      <c r="S85" s="164"/>
      <c r="T85" s="164"/>
      <c r="U85" s="164"/>
    </row>
    <row r="86" spans="1:21" ht="18.75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641">
        <f ca="1">IFERROR(__xludf.DUMMYFUNCTION("IMPORTRANGE(""https://docs.google.com/spreadsheets/d/1eHaY18a8A9IcSdp1K8H6x8fbOy06t2VsZHhMHf-1x7Y/edit?usp=sharing"",""แผน!F38"")"),0)</f>
        <v>0</v>
      </c>
      <c r="J86" s="467">
        <v>0</v>
      </c>
      <c r="K86" s="565">
        <f ca="1">IF(I86&gt;0,J86*100/I86,0)</f>
        <v>0</v>
      </c>
      <c r="L86" s="172"/>
      <c r="M86" s="164"/>
      <c r="N86" s="164"/>
      <c r="O86" s="164"/>
      <c r="P86" s="164"/>
      <c r="Q86" s="164"/>
      <c r="R86" s="164"/>
      <c r="S86" s="164"/>
      <c r="T86" s="164"/>
      <c r="U86" s="164"/>
    </row>
    <row r="87" spans="1:21" ht="18.75">
      <c r="A87" s="166"/>
      <c r="B87" s="167"/>
      <c r="C87" s="167"/>
      <c r="D87" s="167"/>
      <c r="E87" s="174"/>
      <c r="F87" s="174"/>
      <c r="G87" s="171"/>
      <c r="H87" s="179" t="s">
        <v>35</v>
      </c>
      <c r="I87" s="641">
        <f ca="1">IFERROR(__xludf.DUMMYFUNCTION("IMPORTRANGE(""https://docs.google.com/spreadsheets/d/1eHaY18a8A9IcSdp1K8H6x8fbOy06t2VsZHhMHf-1x7Y/edit?usp=sharing"",""แผน!G38"")"),0)</f>
        <v>0</v>
      </c>
      <c r="J87" s="467">
        <v>0</v>
      </c>
      <c r="K87" s="565">
        <f ca="1">IF(I87&gt;0,J87*100/I87,0)</f>
        <v>0</v>
      </c>
      <c r="L87" s="172"/>
      <c r="M87" s="164"/>
      <c r="N87" s="164"/>
      <c r="O87" s="164"/>
      <c r="P87" s="164"/>
      <c r="Q87" s="164"/>
      <c r="R87" s="164"/>
      <c r="S87" s="164"/>
      <c r="T87" s="164"/>
      <c r="U87" s="164"/>
    </row>
    <row r="88" spans="1:21" ht="18.75">
      <c r="A88" s="166"/>
      <c r="B88" s="167"/>
      <c r="C88" s="167"/>
      <c r="D88" s="167"/>
      <c r="E88" s="178" t="s">
        <v>42</v>
      </c>
      <c r="F88" s="174"/>
      <c r="G88" s="171"/>
      <c r="H88" s="179" t="s">
        <v>34</v>
      </c>
      <c r="I88" s="641">
        <f ca="1">IFERROR(__xludf.DUMMYFUNCTION("IMPORTRANGE(""https://docs.google.com/spreadsheets/d/1eHaY18a8A9IcSdp1K8H6x8fbOy06t2VsZHhMHf-1x7Y/edit?usp=sharing"",""แผน!D38"")"),1)</f>
        <v>1</v>
      </c>
      <c r="J88" s="467">
        <v>0</v>
      </c>
      <c r="K88" s="565">
        <f ca="1">IF(I88&gt;0,J88*100/I88,0)</f>
        <v>0</v>
      </c>
      <c r="L88" s="172"/>
      <c r="M88" s="164"/>
      <c r="N88" s="164"/>
      <c r="O88" s="164"/>
      <c r="P88" s="164"/>
      <c r="Q88" s="164"/>
      <c r="R88" s="164"/>
      <c r="S88" s="164"/>
      <c r="T88" s="164"/>
      <c r="U88" s="164"/>
    </row>
    <row r="89" spans="1:21" ht="18.75">
      <c r="A89" s="166"/>
      <c r="B89" s="167"/>
      <c r="C89" s="167"/>
      <c r="D89" s="167"/>
      <c r="E89" s="174"/>
      <c r="F89" s="174"/>
      <c r="G89" s="171"/>
      <c r="H89" s="179" t="s">
        <v>35</v>
      </c>
      <c r="I89" s="641">
        <f ca="1">IFERROR(__xludf.DUMMYFUNCTION("IMPORTRANGE(""https://docs.google.com/spreadsheets/d/1eHaY18a8A9IcSdp1K8H6x8fbOy06t2VsZHhMHf-1x7Y/edit?usp=sharing"",""แผน!E38"")"),63)</f>
        <v>63</v>
      </c>
      <c r="J89" s="467">
        <v>0</v>
      </c>
      <c r="K89" s="565">
        <f ca="1">IF(I89&gt;0,J89*100/I89,0)</f>
        <v>0</v>
      </c>
      <c r="L89" s="172"/>
      <c r="M89" s="164"/>
      <c r="N89" s="164"/>
      <c r="O89" s="164"/>
      <c r="P89" s="164"/>
      <c r="Q89" s="164"/>
      <c r="R89" s="164"/>
      <c r="S89" s="164"/>
      <c r="T89" s="164"/>
      <c r="U89" s="164"/>
    </row>
    <row r="90" spans="1:21" ht="18.75">
      <c r="A90" s="166"/>
      <c r="B90" s="167"/>
      <c r="C90" s="167"/>
      <c r="D90" s="173" t="s">
        <v>43</v>
      </c>
      <c r="E90" s="174"/>
      <c r="F90" s="174"/>
      <c r="G90" s="171"/>
      <c r="H90" s="183" t="s">
        <v>34</v>
      </c>
      <c r="I90" s="641">
        <f ca="1">IFERROR(__xludf.DUMMYFUNCTION("IMPORTRANGE(""https://docs.google.com/spreadsheets/d/1eHaY18a8A9IcSdp1K8H6x8fbOy06t2VsZHhMHf-1x7Y/edit?usp=sharing"",""แผน!J38"")"),1)</f>
        <v>1</v>
      </c>
      <c r="J90" s="467">
        <v>0</v>
      </c>
      <c r="K90" s="565">
        <f ca="1">IF(I90&gt;0,J90*100/I90,0)</f>
        <v>0</v>
      </c>
      <c r="L90" s="172"/>
      <c r="M90" s="164"/>
      <c r="N90" s="164"/>
      <c r="O90" s="164"/>
      <c r="P90" s="164"/>
      <c r="Q90" s="164"/>
      <c r="R90" s="164"/>
      <c r="S90" s="164"/>
      <c r="T90" s="164"/>
      <c r="U90" s="164"/>
    </row>
    <row r="91" spans="1:21" ht="19.5">
      <c r="A91" s="143" t="s">
        <v>44</v>
      </c>
      <c r="B91" s="144"/>
      <c r="C91" s="145"/>
      <c r="D91" s="144"/>
      <c r="E91" s="144"/>
      <c r="F91" s="144"/>
      <c r="G91" s="146"/>
      <c r="H91" s="146"/>
      <c r="I91" s="147"/>
      <c r="J91" s="147"/>
      <c r="K91" s="148"/>
      <c r="L91" s="149"/>
      <c r="M91" s="148"/>
      <c r="N91" s="148"/>
      <c r="O91" s="148"/>
      <c r="P91" s="148"/>
      <c r="Q91" s="148"/>
      <c r="R91" s="148"/>
      <c r="S91" s="148"/>
      <c r="T91" s="148"/>
      <c r="U91" s="148"/>
    </row>
    <row r="92" spans="1:21" ht="19.5">
      <c r="A92" s="150"/>
      <c r="B92" s="35" t="s">
        <v>45</v>
      </c>
      <c r="C92" s="34"/>
      <c r="D92" s="151"/>
      <c r="E92" s="34"/>
      <c r="F92" s="34"/>
      <c r="G92" s="37"/>
      <c r="H92" s="152" t="s">
        <v>46</v>
      </c>
      <c r="I92" s="721">
        <f ca="1">I108</f>
        <v>30</v>
      </c>
      <c r="J92" s="721">
        <f>J108</f>
        <v>30</v>
      </c>
      <c r="K92" s="720">
        <f ca="1">IF(I92&gt;0,J92*100/I92,0)</f>
        <v>100</v>
      </c>
      <c r="L92" s="154"/>
      <c r="M92" s="40"/>
      <c r="N92" s="40"/>
      <c r="O92" s="40"/>
      <c r="P92" s="40"/>
      <c r="Q92" s="40"/>
      <c r="R92" s="40"/>
      <c r="S92" s="40"/>
      <c r="T92" s="40"/>
      <c r="U92" s="40"/>
    </row>
    <row r="93" spans="1:21" ht="19.5">
      <c r="A93" s="150"/>
      <c r="B93" s="34"/>
      <c r="C93" s="34"/>
      <c r="D93" s="151"/>
      <c r="E93" s="34"/>
      <c r="F93" s="34"/>
      <c r="G93" s="37"/>
      <c r="H93" s="152" t="s">
        <v>35</v>
      </c>
      <c r="I93" s="721">
        <f ca="1">I109</f>
        <v>10</v>
      </c>
      <c r="J93" s="721">
        <f>J109</f>
        <v>10</v>
      </c>
      <c r="K93" s="720">
        <f ca="1">IF(I93&gt;0,J93*100/I93,0)</f>
        <v>100</v>
      </c>
      <c r="L93" s="154"/>
      <c r="M93" s="40"/>
      <c r="N93" s="40"/>
      <c r="O93" s="40"/>
      <c r="P93" s="40"/>
      <c r="Q93" s="40"/>
      <c r="R93" s="40"/>
      <c r="S93" s="40"/>
      <c r="T93" s="40"/>
      <c r="U93" s="40"/>
    </row>
    <row r="94" spans="1:21" ht="19.5">
      <c r="A94" s="155"/>
      <c r="B94" s="50"/>
      <c r="C94" s="156" t="s">
        <v>18</v>
      </c>
      <c r="D94" s="575" t="s">
        <v>19</v>
      </c>
      <c r="E94" s="50"/>
      <c r="F94" s="50"/>
      <c r="G94" s="52"/>
      <c r="H94" s="158" t="s">
        <v>14</v>
      </c>
      <c r="I94" s="54"/>
      <c r="J94" s="54"/>
      <c r="K94" s="55"/>
      <c r="L94" s="541">
        <f ca="1">L95+L96</f>
        <v>134400</v>
      </c>
      <c r="M94" s="540">
        <f ca="1">M95+M96</f>
        <v>79500</v>
      </c>
      <c r="N94" s="540">
        <f ca="1">N95+N96</f>
        <v>73721.62</v>
      </c>
      <c r="O94" s="540">
        <f ca="1">IF(L94&gt;0,N94*100/L94,0)</f>
        <v>54.852395833333333</v>
      </c>
      <c r="P94" s="540">
        <f ca="1">IF(M94&gt;0,N94*100/M94,0)</f>
        <v>92.731597484276733</v>
      </c>
      <c r="Q94" s="540">
        <f ca="1">Q95+Q96</f>
        <v>64920</v>
      </c>
      <c r="R94" s="540">
        <f ca="1">R95+R96</f>
        <v>64920</v>
      </c>
      <c r="S94" s="540">
        <f ca="1">S95+S96</f>
        <v>27170</v>
      </c>
      <c r="T94" s="540">
        <f ca="1">IF(Q94&gt;0,S94*100/Q94,0)</f>
        <v>41.851509550215653</v>
      </c>
      <c r="U94" s="540">
        <f ca="1">IF(R94&gt;0,S94*100/R94,0)</f>
        <v>41.851509550215653</v>
      </c>
    </row>
    <row r="95" spans="1:21" ht="18.75" hidden="1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103">
        <f>L98+L101</f>
        <v>0</v>
      </c>
      <c r="M95" s="102">
        <f>M98+M101</f>
        <v>0</v>
      </c>
      <c r="N95" s="102">
        <f>N98+N101</f>
        <v>0</v>
      </c>
      <c r="O95" s="102">
        <f>IF(L95&gt;0,N95*100/L95,0)</f>
        <v>0</v>
      </c>
      <c r="P95" s="102">
        <f>IF(M95&gt;0,N95*100/M95,0)</f>
        <v>0</v>
      </c>
      <c r="Q95" s="102">
        <f>Q98+Q101</f>
        <v>0</v>
      </c>
      <c r="R95" s="102">
        <f>R98+R101</f>
        <v>0</v>
      </c>
      <c r="S95" s="102">
        <f>S98+S101</f>
        <v>0</v>
      </c>
      <c r="T95" s="102">
        <f>IF(Q95&gt;0,S95*100/Q95,0)</f>
        <v>0</v>
      </c>
      <c r="U95" s="102">
        <f>IF(R95&gt;0,S95*100/R95,0)</f>
        <v>0</v>
      </c>
    </row>
    <row r="96" spans="1:21" ht="18.75" hidden="1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256">
        <f ca="1">L99+L102</f>
        <v>134400</v>
      </c>
      <c r="M96" s="255">
        <f ca="1">M99+M102</f>
        <v>79500</v>
      </c>
      <c r="N96" s="255">
        <f ca="1">N99+N102</f>
        <v>73721.62</v>
      </c>
      <c r="O96" s="255">
        <f ca="1">IF(L96&gt;0,N96*100/L96,0)</f>
        <v>54.852395833333333</v>
      </c>
      <c r="P96" s="255">
        <f ca="1">IF(M96&gt;0,N96*100/M96,0)</f>
        <v>92.731597484276733</v>
      </c>
      <c r="Q96" s="255">
        <f ca="1">Q99+Q102</f>
        <v>64920</v>
      </c>
      <c r="R96" s="255">
        <f ca="1">R99+R102</f>
        <v>64920</v>
      </c>
      <c r="S96" s="255">
        <f ca="1">S99+S102</f>
        <v>27170</v>
      </c>
      <c r="T96" s="255">
        <f ca="1">IF(Q96&gt;0,S96*100/Q96,0)</f>
        <v>41.851509550215653</v>
      </c>
      <c r="U96" s="255">
        <f ca="1">IF(R96&gt;0,S96*100/R96,0)</f>
        <v>41.851509550215653</v>
      </c>
    </row>
    <row r="97" spans="1:21" ht="18.75">
      <c r="A97" s="155"/>
      <c r="B97" s="50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256">
        <f ca="1">L98+L99</f>
        <v>134400</v>
      </c>
      <c r="M97" s="255">
        <f ca="1">M98+M99</f>
        <v>79500</v>
      </c>
      <c r="N97" s="255">
        <f ca="1">N98+N99</f>
        <v>73721.62</v>
      </c>
      <c r="O97" s="255">
        <f ca="1">IF(L97&gt;0,N97*100/L97,0)</f>
        <v>54.852395833333333</v>
      </c>
      <c r="P97" s="255">
        <f ca="1">IF(M97&gt;0,N97*100/M97,0)</f>
        <v>92.731597484276733</v>
      </c>
      <c r="Q97" s="255">
        <f ca="1">Q98+Q99</f>
        <v>64920</v>
      </c>
      <c r="R97" s="255">
        <f ca="1">R98+R99</f>
        <v>64920</v>
      </c>
      <c r="S97" s="255">
        <f ca="1">S98+S99</f>
        <v>27170</v>
      </c>
      <c r="T97" s="255">
        <f ca="1">IF(Q97&gt;0,S97*100/Q97,0)</f>
        <v>41.851509550215653</v>
      </c>
      <c r="U97" s="255">
        <f ca="1">IF(R97&gt;0,S97*100/R97,0)</f>
        <v>41.851509550215653</v>
      </c>
    </row>
    <row r="98" spans="1:21" ht="18.75" hidden="1">
      <c r="A98" s="155"/>
      <c r="B98" s="50"/>
      <c r="C98" s="50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103">
        <v>0</v>
      </c>
      <c r="M98" s="102">
        <v>0</v>
      </c>
      <c r="N98" s="102">
        <v>0</v>
      </c>
      <c r="O98" s="102">
        <f>IF(L98&gt;0,N98*100/L98,0)</f>
        <v>0</v>
      </c>
      <c r="P98" s="102">
        <f>IF(M98&gt;0,N98*100/M98,0)</f>
        <v>0</v>
      </c>
      <c r="Q98" s="102">
        <v>0</v>
      </c>
      <c r="R98" s="102">
        <v>0</v>
      </c>
      <c r="S98" s="102">
        <v>0</v>
      </c>
      <c r="T98" s="102">
        <f>IF(Q98&gt;0,S98*100/Q98,0)</f>
        <v>0</v>
      </c>
      <c r="U98" s="102">
        <f>IF(R98&gt;0,S98*100/R98,0)</f>
        <v>0</v>
      </c>
    </row>
    <row r="99" spans="1:21" ht="18.75" hidden="1">
      <c r="A99" s="155"/>
      <c r="B99" s="50"/>
      <c r="C99" s="50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256">
        <f ca="1">IFERROR(__xludf.DUMMYFUNCTION("IMPORTRANGE(""https://docs.google.com/spreadsheets/d/1-uDff_7J0KD5mKrp0Vvzr7lt3OU09vwQwhkpOPPYv2Y/edit?usp=sharing"",""งบพรบ!AW38"")"),134400)</f>
        <v>134400</v>
      </c>
      <c r="M99" s="255">
        <f ca="1">IFERROR(__xludf.DUMMYFUNCTION("IMPORTRANGE(""https://docs.google.com/spreadsheets/d/1-uDff_7J0KD5mKrp0Vvzr7lt3OU09vwQwhkpOPPYv2Y/edit?usp=sharing"",""งบพรบ!BB38"")"),79500)</f>
        <v>79500</v>
      </c>
      <c r="N99" s="255">
        <f ca="1">IFERROR(__xludf.DUMMYFUNCTION("IMPORTRANGE(""https://docs.google.com/spreadsheets/d/1-uDff_7J0KD5mKrp0Vvzr7lt3OU09vwQwhkpOPPYv2Y/edit?usp=sharing"",""งบพรบ!BD38"")"),73721.62)</f>
        <v>73721.62</v>
      </c>
      <c r="O99" s="255">
        <f ca="1">IF(L99&gt;0,N99*100/L99,0)</f>
        <v>54.852395833333333</v>
      </c>
      <c r="P99" s="255">
        <f ca="1">IF(M99&gt;0,N99*100/M99,0)</f>
        <v>92.731597484276733</v>
      </c>
      <c r="Q99" s="255">
        <f ca="1">IFERROR(__xludf.DUMMYFUNCTION("IMPORTRANGE(""https://docs.google.com/spreadsheets/d/1ItG2mGa2ceCfYo0BwxsXqNm01IGEUdYcSSLTEv9YCik/edit?usp=sharing"",""เบิกจ่ายกองทุน!AD38"")"),64920)</f>
        <v>64920</v>
      </c>
      <c r="R99" s="255">
        <f ca="1">IFERROR(__xludf.DUMMYFUNCTION("IMPORTRANGE(""https://docs.google.com/spreadsheets/d/1ItG2mGa2ceCfYo0BwxsXqNm01IGEUdYcSSLTEv9YCik/edit?usp=sharing"",""เบิกจ่ายกองทุน!AE38"")"),64920)</f>
        <v>64920</v>
      </c>
      <c r="S99" s="255">
        <f ca="1">IFERROR(__xludf.DUMMYFUNCTION("IMPORTRANGE(""https://docs.google.com/spreadsheets/d/1ItG2mGa2ceCfYo0BwxsXqNm01IGEUdYcSSLTEv9YCik/edit?usp=sharing"",""เบิกจ่ายกองทุน!AF38"")"),27170)</f>
        <v>27170</v>
      </c>
      <c r="T99" s="255">
        <f ca="1">IF(Q99&gt;0,S99*100/Q99,0)</f>
        <v>41.851509550215653</v>
      </c>
      <c r="U99" s="255">
        <f ca="1">IF(R99&gt;0,S99*100/R99,0)</f>
        <v>41.851509550215653</v>
      </c>
    </row>
    <row r="100" spans="1:21" ht="18.75">
      <c r="A100" s="155"/>
      <c r="B100" s="50"/>
      <c r="C100" s="50"/>
      <c r="D100" s="51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256">
        <f ca="1">L101+L102</f>
        <v>0</v>
      </c>
      <c r="M100" s="255">
        <f ca="1">M101+M102</f>
        <v>0</v>
      </c>
      <c r="N100" s="255">
        <f ca="1">N101+N102</f>
        <v>0</v>
      </c>
      <c r="O100" s="255">
        <f ca="1">IF(L100&gt;0,N100*100/L100,0)</f>
        <v>0</v>
      </c>
      <c r="P100" s="255">
        <f ca="1">IF(M100&gt;0,N100*100/M100,0)</f>
        <v>0</v>
      </c>
      <c r="Q100" s="255">
        <f>Q101+Q102</f>
        <v>0</v>
      </c>
      <c r="R100" s="255">
        <f>R101+R102</f>
        <v>0</v>
      </c>
      <c r="S100" s="255">
        <f>S101+S102</f>
        <v>0</v>
      </c>
      <c r="T100" s="255">
        <f>IF(Q100&gt;0,S100*100/Q100,0)</f>
        <v>0</v>
      </c>
      <c r="U100" s="255">
        <f>IF(R100&gt;0,S100*100/R100,0)</f>
        <v>0</v>
      </c>
    </row>
    <row r="101" spans="1:21" ht="18.75" hidden="1">
      <c r="A101" s="155"/>
      <c r="B101" s="50"/>
      <c r="C101" s="50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103">
        <v>0</v>
      </c>
      <c r="M101" s="102">
        <v>0</v>
      </c>
      <c r="N101" s="102">
        <v>0</v>
      </c>
      <c r="O101" s="102">
        <f>IF(L101&gt;0,N101*100/L101,0)</f>
        <v>0</v>
      </c>
      <c r="P101" s="102">
        <f>IF(M101&gt;0,N101*100/M101,0)</f>
        <v>0</v>
      </c>
      <c r="Q101" s="102">
        <v>0</v>
      </c>
      <c r="R101" s="102">
        <v>0</v>
      </c>
      <c r="S101" s="102">
        <v>0</v>
      </c>
      <c r="T101" s="102">
        <f>IF(Q101&gt;0,S101*100/Q101,0)</f>
        <v>0</v>
      </c>
      <c r="U101" s="102">
        <f>IF(R101&gt;0,S101*100/R101,0)</f>
        <v>0</v>
      </c>
    </row>
    <row r="102" spans="1:21" ht="18.75" hidden="1">
      <c r="A102" s="155"/>
      <c r="B102" s="50"/>
      <c r="C102" s="50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256">
        <f ca="1">IFERROR(__xludf.DUMMYFUNCTION("IMPORTRANGE(""https://docs.google.com/spreadsheets/d/1-uDff_7J0KD5mKrp0Vvzr7lt3OU09vwQwhkpOPPYv2Y/edit?usp=sharing"",""งบพรบ!AZ38"")"),0)</f>
        <v>0</v>
      </c>
      <c r="M102" s="255">
        <f ca="1">IFERROR(__xludf.DUMMYFUNCTION("IMPORTRANGE(""https://docs.google.com/spreadsheets/d/1-uDff_7J0KD5mKrp0Vvzr7lt3OU09vwQwhkpOPPYv2Y/edit?usp=sharing"",""งบพรบ!BC38"")"),0)</f>
        <v>0</v>
      </c>
      <c r="N102" s="255">
        <f ca="1">IFERROR(__xludf.DUMMYFUNCTION("IMPORTRANGE(""https://docs.google.com/spreadsheets/d/1-uDff_7J0KD5mKrp0Vvzr7lt3OU09vwQwhkpOPPYv2Y/edit?usp=sharing"",""งบพรบ!BE38"")"),0)</f>
        <v>0</v>
      </c>
      <c r="O102" s="255">
        <f ca="1">IF(L102&gt;0,N102*100/L102,0)</f>
        <v>0</v>
      </c>
      <c r="P102" s="255">
        <f ca="1">IF(M102&gt;0,N102*100/M102,0)</f>
        <v>0</v>
      </c>
      <c r="Q102" s="255">
        <v>0</v>
      </c>
      <c r="R102" s="255">
        <v>0</v>
      </c>
      <c r="S102" s="255">
        <v>0</v>
      </c>
      <c r="T102" s="255">
        <f>IF(Q102&gt;0,S102*100/Q102,0)</f>
        <v>0</v>
      </c>
      <c r="U102" s="255">
        <f>IF(R102&gt;0,S102*100/R102,0)</f>
        <v>0</v>
      </c>
    </row>
    <row r="103" spans="1:21" ht="19.5">
      <c r="A103" s="166"/>
      <c r="B103" s="167"/>
      <c r="C103" s="156" t="s">
        <v>18</v>
      </c>
      <c r="D103" s="566" t="s">
        <v>38</v>
      </c>
      <c r="E103" s="169"/>
      <c r="F103" s="169"/>
      <c r="G103" s="170"/>
      <c r="H103" s="171"/>
      <c r="I103" s="163"/>
      <c r="J103" s="54"/>
      <c r="K103" s="55"/>
      <c r="L103" s="62"/>
      <c r="M103" s="55"/>
      <c r="N103" s="55"/>
      <c r="O103" s="164"/>
      <c r="P103" s="164"/>
      <c r="Q103" s="55"/>
      <c r="R103" s="55"/>
      <c r="S103" s="55"/>
      <c r="T103" s="164"/>
      <c r="U103" s="164"/>
    </row>
    <row r="104" spans="1:21" ht="12.75" hidden="1">
      <c r="A104" s="192"/>
      <c r="B104" s="193"/>
      <c r="C104" s="193"/>
      <c r="D104" s="22"/>
      <c r="E104" s="22"/>
      <c r="F104" s="22"/>
      <c r="G104" s="23"/>
      <c r="H104" s="23"/>
      <c r="I104" s="24"/>
      <c r="J104" s="24"/>
      <c r="K104" s="25"/>
      <c r="L104" s="26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2.75" hidden="1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6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2.75" hidden="1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9.5" hidden="1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62"/>
      <c r="M107" s="55"/>
      <c r="N107" s="55"/>
      <c r="O107" s="164"/>
      <c r="P107" s="164"/>
      <c r="Q107" s="55"/>
      <c r="R107" s="55"/>
      <c r="S107" s="55"/>
      <c r="T107" s="164"/>
      <c r="U107" s="164"/>
    </row>
    <row r="108" spans="1:21" ht="18.75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212">
        <f ca="1">IFERROR(__xludf.DUMMYFUNCTION("IMPORTRANGE(""https://docs.google.com/spreadsheets/d/1eHaY18a8A9IcSdp1K8H6x8fbOy06t2VsZHhMHf-1x7Y/edit?usp=sharing"",""แผน!N38"")"),30)</f>
        <v>30</v>
      </c>
      <c r="J108" s="467">
        <v>30</v>
      </c>
      <c r="K108" s="255">
        <f ca="1">IF(I108&gt;0,J108*100/I108,0)</f>
        <v>100</v>
      </c>
      <c r="L108" s="62"/>
      <c r="M108" s="55"/>
      <c r="N108" s="55"/>
      <c r="O108" s="164"/>
      <c r="P108" s="164"/>
      <c r="Q108" s="55"/>
      <c r="R108" s="55"/>
      <c r="S108" s="55"/>
      <c r="T108" s="164"/>
      <c r="U108" s="164"/>
    </row>
    <row r="109" spans="1:21" ht="18.75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212">
        <f ca="1">IFERROR(__xludf.DUMMYFUNCTION("IMPORTRANGE(""https://docs.google.com/spreadsheets/d/1eHaY18a8A9IcSdp1K8H6x8fbOy06t2VsZHhMHf-1x7Y/edit?usp=sharing"",""แผน!O38"")"),10)</f>
        <v>10</v>
      </c>
      <c r="J109" s="467">
        <v>10</v>
      </c>
      <c r="K109" s="255">
        <f ca="1">IF(I109&gt;0,J109*100/I109,0)</f>
        <v>100</v>
      </c>
      <c r="L109" s="62"/>
      <c r="M109" s="55"/>
      <c r="N109" s="55"/>
      <c r="O109" s="164"/>
      <c r="P109" s="164"/>
      <c r="Q109" s="55"/>
      <c r="R109" s="55"/>
      <c r="S109" s="55"/>
      <c r="T109" s="164"/>
      <c r="U109" s="164"/>
    </row>
    <row r="110" spans="1:21" ht="12.75" hidden="1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6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2.75" hidden="1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6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2.75" hidden="1">
      <c r="A112" s="192"/>
      <c r="B112" s="193"/>
      <c r="C112" s="193"/>
      <c r="D112" s="22"/>
      <c r="E112" s="22"/>
      <c r="F112" s="22"/>
      <c r="G112" s="23"/>
      <c r="H112" s="23"/>
      <c r="I112" s="24"/>
      <c r="J112" s="24"/>
      <c r="K112" s="25"/>
      <c r="L112" s="26"/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8.75">
      <c r="A113" s="771"/>
      <c r="B113" s="489"/>
      <c r="C113" s="489"/>
      <c r="D113" s="345" t="s">
        <v>50</v>
      </c>
      <c r="E113" s="491"/>
      <c r="F113" s="491"/>
      <c r="G113" s="492"/>
      <c r="H113" s="770" t="s">
        <v>46</v>
      </c>
      <c r="I113" s="769">
        <f ca="1">IFERROR(__xludf.DUMMYFUNCTION("IMPORTRANGE(""https://docs.google.com/spreadsheets/d/1eHaY18a8A9IcSdp1K8H6x8fbOy06t2VsZHhMHf-1x7Y/edit?usp=sharing"",""แผน!N38"")"),30)</f>
        <v>30</v>
      </c>
      <c r="J113" s="495">
        <v>30</v>
      </c>
      <c r="K113" s="708">
        <f ca="1">IF(I113&gt;0,J113*100/I113,0)</f>
        <v>100</v>
      </c>
      <c r="L113" s="350"/>
      <c r="M113" s="350"/>
      <c r="N113" s="350"/>
      <c r="O113" s="496"/>
      <c r="P113" s="496"/>
      <c r="Q113" s="350"/>
      <c r="R113" s="350"/>
      <c r="S113" s="350"/>
      <c r="T113" s="496"/>
      <c r="U113" s="496"/>
    </row>
    <row r="114" spans="1:21" ht="18.75">
      <c r="A114" s="166"/>
      <c r="B114" s="167"/>
      <c r="C114" s="167"/>
      <c r="D114" s="174"/>
      <c r="E114" s="174"/>
      <c r="F114" s="174"/>
      <c r="G114" s="171"/>
      <c r="H114" s="179" t="s">
        <v>35</v>
      </c>
      <c r="I114" s="641">
        <f ca="1">IFERROR(__xludf.DUMMYFUNCTION("IMPORTRANGE(""https://docs.google.com/spreadsheets/d/1eHaY18a8A9IcSdp1K8H6x8fbOy06t2VsZHhMHf-1x7Y/edit?usp=sharing"",""แผน!O38"")"),10)</f>
        <v>10</v>
      </c>
      <c r="J114" s="467">
        <v>10</v>
      </c>
      <c r="K114" s="255">
        <f ca="1">IF(I114&gt;0,J114*100/I114,0)</f>
        <v>100</v>
      </c>
      <c r="L114" s="55"/>
      <c r="M114" s="55"/>
      <c r="N114" s="55"/>
      <c r="O114" s="164"/>
      <c r="P114" s="164"/>
      <c r="Q114" s="55"/>
      <c r="R114" s="55"/>
      <c r="S114" s="55"/>
      <c r="T114" s="164"/>
      <c r="U114" s="164"/>
    </row>
    <row r="115" spans="1:21" ht="19.5">
      <c r="A115" s="727" t="s">
        <v>51</v>
      </c>
      <c r="B115" s="724"/>
      <c r="C115" s="726"/>
      <c r="D115" s="725"/>
      <c r="E115" s="725"/>
      <c r="F115" s="725"/>
      <c r="G115" s="725"/>
      <c r="H115" s="724"/>
      <c r="I115" s="723"/>
      <c r="J115" s="723"/>
      <c r="K115" s="722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721">
        <f ca="1">I127</f>
        <v>20</v>
      </c>
      <c r="J116" s="721">
        <f>J127</f>
        <v>20</v>
      </c>
      <c r="K116" s="720">
        <f ca="1">IF(I116&gt;0,J116*100/I116,0)</f>
        <v>100</v>
      </c>
      <c r="L116" s="154"/>
      <c r="M116" s="40"/>
      <c r="N116" s="40"/>
      <c r="O116" s="40"/>
      <c r="P116" s="40"/>
      <c r="Q116" s="40"/>
      <c r="R116" s="40"/>
      <c r="S116" s="40"/>
      <c r="T116" s="40"/>
      <c r="U116" s="40"/>
    </row>
    <row r="117" spans="1:21" ht="19.5">
      <c r="A117" s="155"/>
      <c r="B117" s="188"/>
      <c r="C117" s="191" t="s">
        <v>18</v>
      </c>
      <c r="D117" s="575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541">
        <f ca="1">L118+L119</f>
        <v>0</v>
      </c>
      <c r="M117" s="540">
        <f ca="1">M118+M119</f>
        <v>0</v>
      </c>
      <c r="N117" s="540">
        <f ca="1">N118+N119</f>
        <v>0</v>
      </c>
      <c r="O117" s="540">
        <f ca="1">IF(L117&gt;0,N117*100/L117,0)</f>
        <v>0</v>
      </c>
      <c r="P117" s="540">
        <f ca="1">IF(M117&gt;0,N117*100/M117,0)</f>
        <v>0</v>
      </c>
      <c r="Q117" s="540">
        <f ca="1">Q118+Q119</f>
        <v>209360</v>
      </c>
      <c r="R117" s="540">
        <f ca="1">R118+R119</f>
        <v>209360</v>
      </c>
      <c r="S117" s="540">
        <f ca="1">S118+S119</f>
        <v>96864</v>
      </c>
      <c r="T117" s="540">
        <f ca="1">IF(Q117&gt;0,S117*100/Q117,0)</f>
        <v>46.266717615590373</v>
      </c>
      <c r="U117" s="540">
        <f ca="1">IF(R117&gt;0,S117*100/R117,0)</f>
        <v>46.266717615590373</v>
      </c>
    </row>
    <row r="118" spans="1:21" ht="18.75" hidden="1">
      <c r="A118" s="155"/>
      <c r="B118" s="188"/>
      <c r="C118" s="188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103">
        <f>L121+L124</f>
        <v>0</v>
      </c>
      <c r="M118" s="102">
        <f>M121+M124</f>
        <v>0</v>
      </c>
      <c r="N118" s="102">
        <f>N121+N124</f>
        <v>0</v>
      </c>
      <c r="O118" s="102">
        <f>IF(L118&gt;0,N118*100/L118,0)</f>
        <v>0</v>
      </c>
      <c r="P118" s="102">
        <f>IF(M118&gt;0,N118*100/M118,0)</f>
        <v>0</v>
      </c>
      <c r="Q118" s="102">
        <f>Q121+Q124</f>
        <v>0</v>
      </c>
      <c r="R118" s="102">
        <f>R121+R124</f>
        <v>0</v>
      </c>
      <c r="S118" s="102">
        <f>S121+S124</f>
        <v>0</v>
      </c>
      <c r="T118" s="102">
        <f>IF(Q118&gt;0,S118*100/Q118,0)</f>
        <v>0</v>
      </c>
      <c r="U118" s="102">
        <f>IF(R118&gt;0,S118*100/R118,0)</f>
        <v>0</v>
      </c>
    </row>
    <row r="119" spans="1:21" ht="18.75" hidden="1">
      <c r="A119" s="155"/>
      <c r="B119" s="188"/>
      <c r="C119" s="188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256">
        <f ca="1">L122+L125</f>
        <v>0</v>
      </c>
      <c r="M119" s="255">
        <f ca="1">M122+M125</f>
        <v>0</v>
      </c>
      <c r="N119" s="255">
        <f ca="1">N122+N125</f>
        <v>0</v>
      </c>
      <c r="O119" s="255">
        <f ca="1">IF(L119&gt;0,N119*100/L119,0)</f>
        <v>0</v>
      </c>
      <c r="P119" s="255">
        <f ca="1">IF(M119&gt;0,N119*100/M119,0)</f>
        <v>0</v>
      </c>
      <c r="Q119" s="255">
        <f ca="1">Q122+Q125</f>
        <v>209360</v>
      </c>
      <c r="R119" s="255">
        <f ca="1">R122+R125</f>
        <v>209360</v>
      </c>
      <c r="S119" s="255">
        <f ca="1">S122+S125</f>
        <v>96864</v>
      </c>
      <c r="T119" s="255">
        <f ca="1">IF(Q119&gt;0,S119*100/Q119,0)</f>
        <v>46.266717615590373</v>
      </c>
      <c r="U119" s="255">
        <f ca="1">IF(R119&gt;0,S119*100/R119,0)</f>
        <v>46.266717615590373</v>
      </c>
    </row>
    <row r="120" spans="1:21" ht="18.75">
      <c r="A120" s="155"/>
      <c r="B120" s="188"/>
      <c r="C120" s="202"/>
      <c r="D120" s="602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256">
        <f ca="1">L121+L122</f>
        <v>0</v>
      </c>
      <c r="M120" s="255">
        <f ca="1">M121+M122</f>
        <v>0</v>
      </c>
      <c r="N120" s="255">
        <f ca="1">N121+N122</f>
        <v>0</v>
      </c>
      <c r="O120" s="255">
        <f ca="1">IF(L120&gt;0,N120*100/L120,0)</f>
        <v>0</v>
      </c>
      <c r="P120" s="255">
        <f ca="1">IF(M120&gt;0,N120*100/M120,0)</f>
        <v>0</v>
      </c>
      <c r="Q120" s="255">
        <f ca="1">Q121+Q122</f>
        <v>209360</v>
      </c>
      <c r="R120" s="255">
        <f ca="1">R121+R122</f>
        <v>209360</v>
      </c>
      <c r="S120" s="255">
        <f ca="1">S121+S122</f>
        <v>96864</v>
      </c>
      <c r="T120" s="255">
        <f ca="1">IF(Q120&gt;0,S120*100/Q120,0)</f>
        <v>46.266717615590373</v>
      </c>
      <c r="U120" s="255">
        <f ca="1">IF(R120&gt;0,S120*100/R120,0)</f>
        <v>46.266717615590373</v>
      </c>
    </row>
    <row r="121" spans="1:21" ht="18.75" hidden="1">
      <c r="A121" s="155"/>
      <c r="B121" s="188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103">
        <v>0</v>
      </c>
      <c r="M121" s="102">
        <v>0</v>
      </c>
      <c r="N121" s="102">
        <v>0</v>
      </c>
      <c r="O121" s="102">
        <f>IF(L121&gt;0,N121*100/L121,0)</f>
        <v>0</v>
      </c>
      <c r="P121" s="102">
        <f>IF(M121&gt;0,N121*100/M121,0)</f>
        <v>0</v>
      </c>
      <c r="Q121" s="102">
        <v>0</v>
      </c>
      <c r="R121" s="102">
        <v>0</v>
      </c>
      <c r="S121" s="102">
        <v>0</v>
      </c>
      <c r="T121" s="102">
        <f>IF(Q121&gt;0,S121*100/Q121,0)</f>
        <v>0</v>
      </c>
      <c r="U121" s="102">
        <f>IF(R121&gt;0,S121*100/R121,0)</f>
        <v>0</v>
      </c>
    </row>
    <row r="122" spans="1:21" ht="18.75" hidden="1">
      <c r="A122" s="155"/>
      <c r="B122" s="188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256">
        <f ca="1">IFERROR(__xludf.DUMMYFUNCTION("IMPORTRANGE(""https://docs.google.com/spreadsheets/d/1-uDff_7J0KD5mKrp0Vvzr7lt3OU09vwQwhkpOPPYv2Y/edit?usp=sharing"",""งบพรบ!BG38"")"),0)</f>
        <v>0</v>
      </c>
      <c r="M122" s="255">
        <f ca="1">IFERROR(__xludf.DUMMYFUNCTION("IMPORTRANGE(""https://docs.google.com/spreadsheets/d/1-uDff_7J0KD5mKrp0Vvzr7lt3OU09vwQwhkpOPPYv2Y/edit?usp=sharing"",""งบพรบ!BL38"")"),0)</f>
        <v>0</v>
      </c>
      <c r="N122" s="255">
        <f ca="1">IFERROR(__xludf.DUMMYFUNCTION("IMPORTRANGE(""https://docs.google.com/spreadsheets/d/1-uDff_7J0KD5mKrp0Vvzr7lt3OU09vwQwhkpOPPYv2Y/edit?usp=sharing"",""งบพรบ!BN38"")"),0)</f>
        <v>0</v>
      </c>
      <c r="O122" s="255">
        <f ca="1">IF(L122&gt;0,N122*100/L122,0)</f>
        <v>0</v>
      </c>
      <c r="P122" s="255">
        <f ca="1">IF(M122&gt;0,N122*100/M122,0)</f>
        <v>0</v>
      </c>
      <c r="Q122" s="255">
        <f ca="1">IFERROR(__xludf.DUMMYFUNCTION("IMPORTRANGE(""https://docs.google.com/spreadsheets/d/1ItG2mGa2ceCfYo0BwxsXqNm01IGEUdYcSSLTEv9YCik/edit?usp=sharing"",""เบิกจ่ายกองทุน!R38"")"),209360)</f>
        <v>209360</v>
      </c>
      <c r="R122" s="255">
        <f ca="1">IFERROR(__xludf.DUMMYFUNCTION("IMPORTRANGE(""https://docs.google.com/spreadsheets/d/1ItG2mGa2ceCfYo0BwxsXqNm01IGEUdYcSSLTEv9YCik/edit?usp=sharing"",""เบิกจ่ายกองทุน!S38"")"),209360)</f>
        <v>209360</v>
      </c>
      <c r="S122" s="255">
        <f ca="1">IFERROR(__xludf.DUMMYFUNCTION("IMPORTRANGE(""https://docs.google.com/spreadsheets/d/1ItG2mGa2ceCfYo0BwxsXqNm01IGEUdYcSSLTEv9YCik/edit?usp=sharing"",""เบิกจ่ายกองทุน!T38"")"),96864)</f>
        <v>96864</v>
      </c>
      <c r="T122" s="255">
        <f ca="1">IF(Q122&gt;0,S122*100/Q122,0)</f>
        <v>46.266717615590373</v>
      </c>
      <c r="U122" s="255">
        <f ca="1">IF(R122&gt;0,S122*100/R122,0)</f>
        <v>46.266717615590373</v>
      </c>
    </row>
    <row r="123" spans="1:21" ht="18.75">
      <c r="A123" s="155"/>
      <c r="B123" s="50"/>
      <c r="C123" s="202"/>
      <c r="D123" s="602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256">
        <f ca="1">L124+L125</f>
        <v>0</v>
      </c>
      <c r="M123" s="255">
        <f ca="1">M124+M125</f>
        <v>0</v>
      </c>
      <c r="N123" s="255">
        <f ca="1">N124+N125</f>
        <v>0</v>
      </c>
      <c r="O123" s="255">
        <f ca="1">IF(L123&gt;0,N123*100/L123,0)</f>
        <v>0</v>
      </c>
      <c r="P123" s="255">
        <f ca="1">IF(M123&gt;0,N123*100/M123,0)</f>
        <v>0</v>
      </c>
      <c r="Q123" s="255">
        <f>Q124+Q125</f>
        <v>0</v>
      </c>
      <c r="R123" s="255">
        <f>R124+R125</f>
        <v>0</v>
      </c>
      <c r="S123" s="255">
        <f>S124+S125</f>
        <v>0</v>
      </c>
      <c r="T123" s="255">
        <f>IF(Q123&gt;0,S123*100/Q123,0)</f>
        <v>0</v>
      </c>
      <c r="U123" s="255">
        <f>IF(R123&gt;0,S123*100/R123,0)</f>
        <v>0</v>
      </c>
    </row>
    <row r="124" spans="1:21" ht="18.75" hidden="1">
      <c r="A124" s="155"/>
      <c r="B124" s="50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103">
        <v>0</v>
      </c>
      <c r="M124" s="102">
        <v>0</v>
      </c>
      <c r="N124" s="102">
        <v>0</v>
      </c>
      <c r="O124" s="102">
        <f>IF(L124&gt;0,N124*100/L124,0)</f>
        <v>0</v>
      </c>
      <c r="P124" s="102">
        <f>IF(M124&gt;0,N124*100/M124,0)</f>
        <v>0</v>
      </c>
      <c r="Q124" s="102">
        <v>0</v>
      </c>
      <c r="R124" s="102">
        <v>0</v>
      </c>
      <c r="S124" s="102">
        <v>0</v>
      </c>
      <c r="T124" s="102">
        <f>IF(Q124&gt;0,S124*100/Q124,0)</f>
        <v>0</v>
      </c>
      <c r="U124" s="102">
        <f>IF(R124&gt;0,S124*100/R124,0)</f>
        <v>0</v>
      </c>
    </row>
    <row r="125" spans="1:21" ht="18.75" hidden="1">
      <c r="A125" s="155"/>
      <c r="B125" s="50"/>
      <c r="C125" s="50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256">
        <f ca="1">IFERROR(__xludf.DUMMYFUNCTION("IMPORTRANGE(""https://docs.google.com/spreadsheets/d/1-uDff_7J0KD5mKrp0Vvzr7lt3OU09vwQwhkpOPPYv2Y/edit?usp=sharing"",""งบพรบ!BJ38"")"),0)</f>
        <v>0</v>
      </c>
      <c r="M125" s="255">
        <f ca="1">IFERROR(__xludf.DUMMYFUNCTION("IMPORTRANGE(""https://docs.google.com/spreadsheets/d/1-uDff_7J0KD5mKrp0Vvzr7lt3OU09vwQwhkpOPPYv2Y/edit?usp=sharing"",""งบพรบ!BM38"")"),0)</f>
        <v>0</v>
      </c>
      <c r="N125" s="255">
        <f ca="1">IFERROR(__xludf.DUMMYFUNCTION("IMPORTRANGE(""https://docs.google.com/spreadsheets/d/1-uDff_7J0KD5mKrp0Vvzr7lt3OU09vwQwhkpOPPYv2Y/edit?usp=sharing"",""งบพรบ!BO38"")"),0)</f>
        <v>0</v>
      </c>
      <c r="O125" s="255">
        <f ca="1">IF(L125&gt;0,N125*100/L125,0)</f>
        <v>0</v>
      </c>
      <c r="P125" s="255">
        <f ca="1">IF(M125&gt;0,N125*100/M125,0)</f>
        <v>0</v>
      </c>
      <c r="Q125" s="255">
        <v>0</v>
      </c>
      <c r="R125" s="255">
        <v>0</v>
      </c>
      <c r="S125" s="255">
        <v>0</v>
      </c>
      <c r="T125" s="255">
        <f>IF(Q125&gt;0,S125*100/Q125,0)</f>
        <v>0</v>
      </c>
      <c r="U125" s="255">
        <f>IF(R125&gt;0,S125*100/R125,0)</f>
        <v>0</v>
      </c>
    </row>
    <row r="126" spans="1:21" ht="19.5">
      <c r="A126" s="166"/>
      <c r="B126" s="167"/>
      <c r="C126" s="205" t="s">
        <v>18</v>
      </c>
      <c r="D126" s="566" t="s">
        <v>38</v>
      </c>
      <c r="E126" s="169"/>
      <c r="F126" s="169"/>
      <c r="G126" s="170"/>
      <c r="H126" s="206"/>
      <c r="I126" s="54"/>
      <c r="J126" s="54"/>
      <c r="K126" s="55"/>
      <c r="L126" s="62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212">
        <f ca="1">IFERROR(__xludf.DUMMYFUNCTION("IMPORTRANGE(""https://docs.google.com/spreadsheets/d/1eHaY18a8A9IcSdp1K8H6x8fbOy06t2VsZHhMHf-1x7Y/edit?usp=sharing"",""แผน!FF38"")"),20)</f>
        <v>20</v>
      </c>
      <c r="J127" s="467">
        <v>20</v>
      </c>
      <c r="K127" s="255">
        <f ca="1">IF(I127&gt;0,J127*100/I127,0)</f>
        <v>100</v>
      </c>
      <c r="L127" s="62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212">
        <f ca="1">IFERROR(__xludf.DUMMYFUNCTION("IMPORTRANGE(""https://docs.google.com/spreadsheets/d/1eHaY18a8A9IcSdp1K8H6x8fbOy06t2VsZHhMHf-1x7Y/edit?usp=sharing"",""แผน!FG38"")"),0)</f>
        <v>0</v>
      </c>
      <c r="J128" s="467">
        <v>0</v>
      </c>
      <c r="K128" s="255">
        <f ca="1">IF(I128&gt;0,J128*100/I128,0)</f>
        <v>0</v>
      </c>
      <c r="L128" s="62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212">
        <f ca="1">IFERROR(__xludf.DUMMYFUNCTION("IMPORTRANGE(""https://docs.google.com/spreadsheets/d/1eHaY18a8A9IcSdp1K8H6x8fbOy06t2VsZHhMHf-1x7Y/edit?usp=sharing"",""แผน!FH38"")"),20)</f>
        <v>20</v>
      </c>
      <c r="J129" s="467">
        <v>20</v>
      </c>
      <c r="K129" s="255">
        <f ca="1">IF(I129&gt;0,J129*100/I129,0)</f>
        <v>100</v>
      </c>
      <c r="L129" s="62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212">
        <f ca="1">IFERROR(__xludf.DUMMYFUNCTION("IMPORTRANGE(""https://docs.google.com/spreadsheets/d/1eHaY18a8A9IcSdp1K8H6x8fbOy06t2VsZHhMHf-1x7Y/edit?usp=sharing"",""แผน!FI38"")"),0)</f>
        <v>0</v>
      </c>
      <c r="J130" s="467">
        <v>0</v>
      </c>
      <c r="K130" s="255">
        <f ca="1">IF(I130&gt;0,J130*100/I130,0)</f>
        <v>0</v>
      </c>
      <c r="L130" s="62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8.75" hidden="1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62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8.75" hidden="1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62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2.75" hidden="1">
      <c r="A133" s="192"/>
      <c r="B133" s="193"/>
      <c r="C133" s="193"/>
      <c r="D133" s="22"/>
      <c r="E133" s="22"/>
      <c r="F133" s="22"/>
      <c r="G133" s="23"/>
      <c r="H133" s="209"/>
      <c r="I133" s="24"/>
      <c r="J133" s="24"/>
      <c r="K133" s="25"/>
      <c r="L133" s="26"/>
      <c r="M133" s="25"/>
      <c r="N133" s="25"/>
      <c r="O133" s="25"/>
      <c r="P133" s="25"/>
      <c r="Q133" s="25"/>
      <c r="R133" s="25"/>
      <c r="S133" s="25"/>
      <c r="T133" s="25"/>
      <c r="U133" s="25"/>
    </row>
    <row r="134" spans="1:21" ht="19.5" hidden="1">
      <c r="A134" s="143" t="s">
        <v>58</v>
      </c>
      <c r="B134" s="144"/>
      <c r="C134" s="196"/>
      <c r="D134" s="144"/>
      <c r="E134" s="144"/>
      <c r="F134" s="144"/>
      <c r="G134" s="144"/>
      <c r="H134" s="144"/>
      <c r="I134" s="197"/>
      <c r="J134" s="197"/>
      <c r="K134" s="19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</row>
    <row r="135" spans="1:21" ht="19.5" hidden="1">
      <c r="A135" s="150"/>
      <c r="B135" s="35" t="s">
        <v>59</v>
      </c>
      <c r="C135" s="200"/>
      <c r="D135" s="151"/>
      <c r="E135" s="34"/>
      <c r="F135" s="34"/>
      <c r="G135" s="34"/>
      <c r="H135" s="34"/>
      <c r="I135" s="210"/>
      <c r="J135" s="39"/>
      <c r="K135" s="40"/>
      <c r="L135" s="154"/>
      <c r="M135" s="40"/>
      <c r="N135" s="40"/>
      <c r="O135" s="40"/>
      <c r="P135" s="40"/>
      <c r="Q135" s="40"/>
      <c r="R135" s="40"/>
      <c r="S135" s="40"/>
      <c r="T135" s="40"/>
      <c r="U135" s="40"/>
    </row>
    <row r="136" spans="1:21" ht="19.5" hidden="1">
      <c r="A136" s="150"/>
      <c r="B136" s="34"/>
      <c r="C136" s="211" t="s">
        <v>60</v>
      </c>
      <c r="D136" s="151"/>
      <c r="E136" s="34"/>
      <c r="F136" s="34"/>
      <c r="G136" s="37"/>
      <c r="H136" s="152" t="s">
        <v>61</v>
      </c>
      <c r="I136" s="721">
        <f ca="1">I154</f>
        <v>0</v>
      </c>
      <c r="J136" s="721">
        <f>J154</f>
        <v>0</v>
      </c>
      <c r="K136" s="720">
        <f ca="1">IF(I136&gt;0,J136*100/I136,0)</f>
        <v>0</v>
      </c>
      <c r="L136" s="154"/>
      <c r="M136" s="40"/>
      <c r="N136" s="40"/>
      <c r="O136" s="40"/>
      <c r="P136" s="40"/>
      <c r="Q136" s="40"/>
      <c r="R136" s="40"/>
      <c r="S136" s="40"/>
      <c r="T136" s="40"/>
      <c r="U136" s="40"/>
    </row>
    <row r="137" spans="1:21" ht="19.5" hidden="1">
      <c r="A137" s="150"/>
      <c r="B137" s="34"/>
      <c r="C137" s="211" t="s">
        <v>62</v>
      </c>
      <c r="D137" s="151"/>
      <c r="E137" s="34"/>
      <c r="F137" s="34"/>
      <c r="G137" s="37"/>
      <c r="H137" s="152" t="s">
        <v>35</v>
      </c>
      <c r="I137" s="721">
        <f ca="1">I152</f>
        <v>0</v>
      </c>
      <c r="J137" s="721">
        <f>J152</f>
        <v>0</v>
      </c>
      <c r="K137" s="720">
        <f ca="1">IF(I137&gt;0,J137*100/I137,0)</f>
        <v>0</v>
      </c>
      <c r="L137" s="154"/>
      <c r="M137" s="40"/>
      <c r="N137" s="40"/>
      <c r="O137" s="40"/>
      <c r="P137" s="40"/>
      <c r="Q137" s="40"/>
      <c r="R137" s="40"/>
      <c r="S137" s="40"/>
      <c r="T137" s="40"/>
      <c r="U137" s="40"/>
    </row>
    <row r="138" spans="1:21" ht="19.5" hidden="1">
      <c r="A138" s="150"/>
      <c r="B138" s="34"/>
      <c r="C138" s="200"/>
      <c r="D138" s="151"/>
      <c r="E138" s="34"/>
      <c r="F138" s="34"/>
      <c r="G138" s="37"/>
      <c r="H138" s="152" t="s">
        <v>54</v>
      </c>
      <c r="I138" s="721">
        <f ca="1">I153</f>
        <v>0</v>
      </c>
      <c r="J138" s="721">
        <f>J153</f>
        <v>0</v>
      </c>
      <c r="K138" s="720">
        <f ca="1">IF(I138&gt;0,J138*100/I138,0)</f>
        <v>0</v>
      </c>
      <c r="L138" s="154"/>
      <c r="M138" s="40"/>
      <c r="N138" s="40"/>
      <c r="O138" s="40"/>
      <c r="P138" s="40"/>
      <c r="Q138" s="40"/>
      <c r="R138" s="40"/>
      <c r="S138" s="40"/>
      <c r="T138" s="40"/>
      <c r="U138" s="40"/>
    </row>
    <row r="139" spans="1:21" ht="19.5" hidden="1">
      <c r="A139" s="155"/>
      <c r="B139" s="50"/>
      <c r="C139" s="156" t="s">
        <v>18</v>
      </c>
      <c r="D139" s="575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541">
        <f ca="1">L140+L141</f>
        <v>0</v>
      </c>
      <c r="M139" s="540">
        <f ca="1">M140+M141</f>
        <v>0</v>
      </c>
      <c r="N139" s="540">
        <f ca="1">N140+N141</f>
        <v>0</v>
      </c>
      <c r="O139" s="540">
        <f ca="1">IF(L139&gt;0,N139*100/L139,0)</f>
        <v>0</v>
      </c>
      <c r="P139" s="540">
        <f ca="1">IF(M139&gt;0,N139*100/M139,0)</f>
        <v>0</v>
      </c>
      <c r="Q139" s="540">
        <f ca="1">Q140+Q141</f>
        <v>0</v>
      </c>
      <c r="R139" s="540">
        <f ca="1">R140+R141</f>
        <v>0</v>
      </c>
      <c r="S139" s="540">
        <f ca="1">S140+S141</f>
        <v>0</v>
      </c>
      <c r="T139" s="540">
        <f ca="1">IF(Q139&gt;0,S139*100/Q139,0)</f>
        <v>0</v>
      </c>
      <c r="U139" s="540">
        <f ca="1">IF(R139&gt;0,S139*100/R139,0)</f>
        <v>0</v>
      </c>
    </row>
    <row r="140" spans="1:21" ht="18.75" hidden="1">
      <c r="A140" s="155"/>
      <c r="B140" s="50"/>
      <c r="C140" s="50"/>
      <c r="D140" s="50"/>
      <c r="E140" s="186" t="s">
        <v>20</v>
      </c>
      <c r="F140" s="50"/>
      <c r="G140" s="52"/>
      <c r="H140" s="187" t="s">
        <v>14</v>
      </c>
      <c r="I140" s="54"/>
      <c r="J140" s="54"/>
      <c r="K140" s="55"/>
      <c r="L140" s="103">
        <f>L143+L146</f>
        <v>0</v>
      </c>
      <c r="M140" s="102">
        <f>M143+M146</f>
        <v>0</v>
      </c>
      <c r="N140" s="102">
        <f>N143+N146</f>
        <v>0</v>
      </c>
      <c r="O140" s="102">
        <f>IF(L140&gt;0,N140*100/L140,0)</f>
        <v>0</v>
      </c>
      <c r="P140" s="102">
        <f>IF(M140&gt;0,N140*100/M140,0)</f>
        <v>0</v>
      </c>
      <c r="Q140" s="102">
        <f>Q143+Q146</f>
        <v>0</v>
      </c>
      <c r="R140" s="102">
        <f>R143+R146</f>
        <v>0</v>
      </c>
      <c r="S140" s="102">
        <f>S143+S146</f>
        <v>0</v>
      </c>
      <c r="T140" s="102">
        <f>IF(Q140&gt;0,S140*100/Q140,0)</f>
        <v>0</v>
      </c>
      <c r="U140" s="102">
        <f>IF(R140&gt;0,S140*100/R140,0)</f>
        <v>0</v>
      </c>
    </row>
    <row r="141" spans="1:21" ht="18.75" hidden="1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256">
        <f ca="1">L144+L147</f>
        <v>0</v>
      </c>
      <c r="M141" s="255">
        <f ca="1">M144+M147</f>
        <v>0</v>
      </c>
      <c r="N141" s="255">
        <f ca="1">N144+N147</f>
        <v>0</v>
      </c>
      <c r="O141" s="255">
        <f ca="1">IF(L141&gt;0,N141*100/L141,0)</f>
        <v>0</v>
      </c>
      <c r="P141" s="255">
        <f ca="1">IF(M141&gt;0,N141*100/M141,0)</f>
        <v>0</v>
      </c>
      <c r="Q141" s="255">
        <f ca="1">Q144+Q147</f>
        <v>0</v>
      </c>
      <c r="R141" s="255">
        <f ca="1">R144+R147</f>
        <v>0</v>
      </c>
      <c r="S141" s="255">
        <f ca="1">S144+S147</f>
        <v>0</v>
      </c>
      <c r="T141" s="255">
        <f ca="1">IF(Q141&gt;0,S141*100/Q141,0)</f>
        <v>0</v>
      </c>
      <c r="U141" s="255">
        <f ca="1">IF(R141&gt;0,S141*100/R141,0)</f>
        <v>0</v>
      </c>
    </row>
    <row r="142" spans="1:21" ht="18.75" hidden="1">
      <c r="A142" s="155"/>
      <c r="B142" s="50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256">
        <f ca="1">L143+L144</f>
        <v>0</v>
      </c>
      <c r="M142" s="255">
        <f ca="1">M143+M144</f>
        <v>0</v>
      </c>
      <c r="N142" s="255">
        <f ca="1">N143+N144</f>
        <v>0</v>
      </c>
      <c r="O142" s="255">
        <f ca="1">IF(L142&gt;0,N142*100/L142,0)</f>
        <v>0</v>
      </c>
      <c r="P142" s="255">
        <f ca="1">IF(M142&gt;0,N142*100/M142,0)</f>
        <v>0</v>
      </c>
      <c r="Q142" s="255">
        <f ca="1">Q143+Q144</f>
        <v>0</v>
      </c>
      <c r="R142" s="255">
        <f ca="1">R143+R144</f>
        <v>0</v>
      </c>
      <c r="S142" s="255">
        <f ca="1">S143+S144</f>
        <v>0</v>
      </c>
      <c r="T142" s="255">
        <f ca="1">IF(Q142&gt;0,S142*100/Q142,0)</f>
        <v>0</v>
      </c>
      <c r="U142" s="255">
        <f ca="1">IF(R142&gt;0,S142*100/R142,0)</f>
        <v>0</v>
      </c>
    </row>
    <row r="143" spans="1:21" ht="18.75" hidden="1">
      <c r="A143" s="155"/>
      <c r="B143" s="50"/>
      <c r="C143" s="50"/>
      <c r="D143" s="50"/>
      <c r="E143" s="186" t="s">
        <v>36</v>
      </c>
      <c r="F143" s="50"/>
      <c r="G143" s="52"/>
      <c r="H143" s="189" t="s">
        <v>14</v>
      </c>
      <c r="I143" s="163"/>
      <c r="J143" s="163"/>
      <c r="K143" s="164"/>
      <c r="L143" s="103">
        <v>0</v>
      </c>
      <c r="M143" s="102">
        <v>0</v>
      </c>
      <c r="N143" s="102">
        <v>0</v>
      </c>
      <c r="O143" s="102">
        <f>IF(L143&gt;0,N143*100/L143,0)</f>
        <v>0</v>
      </c>
      <c r="P143" s="102">
        <f>IF(M143&gt;0,N143*100/M143,0)</f>
        <v>0</v>
      </c>
      <c r="Q143" s="102">
        <v>0</v>
      </c>
      <c r="R143" s="102">
        <v>0</v>
      </c>
      <c r="S143" s="102">
        <v>0</v>
      </c>
      <c r="T143" s="102">
        <f>IF(Q143&gt;0,S143*100/Q143,0)</f>
        <v>0</v>
      </c>
      <c r="U143" s="102">
        <f>IF(R143&gt;0,S143*100/R143,0)</f>
        <v>0</v>
      </c>
    </row>
    <row r="144" spans="1:21" ht="18.75" hidden="1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256">
        <f ca="1">IFERROR(__xludf.DUMMYFUNCTION("IMPORTRANGE(""https://docs.google.com/spreadsheets/d/1-uDff_7J0KD5mKrp0Vvzr7lt3OU09vwQwhkpOPPYv2Y/edit?usp=sharing"",""งบพรบ!BQ38"")"),0)</f>
        <v>0</v>
      </c>
      <c r="M144" s="255">
        <f ca="1">IFERROR(__xludf.DUMMYFUNCTION("IMPORTRANGE(""https://docs.google.com/spreadsheets/d/1-uDff_7J0KD5mKrp0Vvzr7lt3OU09vwQwhkpOPPYv2Y/edit?usp=sharing"",""งบพรบ!BV38"")"),0)</f>
        <v>0</v>
      </c>
      <c r="N144" s="255">
        <f ca="1">IFERROR(__xludf.DUMMYFUNCTION("IMPORTRANGE(""https://docs.google.com/spreadsheets/d/1-uDff_7J0KD5mKrp0Vvzr7lt3OU09vwQwhkpOPPYv2Y/edit?usp=sharing"",""งบพรบ!BX38"")"),0)</f>
        <v>0</v>
      </c>
      <c r="O144" s="255">
        <f ca="1">IF(L144&gt;0,N144*100/L144,0)</f>
        <v>0</v>
      </c>
      <c r="P144" s="255">
        <f ca="1">IF(M144&gt;0,N144*100/M144,0)</f>
        <v>0</v>
      </c>
      <c r="Q144" s="255">
        <f ca="1">IFERROR(__xludf.DUMMYFUNCTION("IMPORTRANGE(""https://docs.google.com/spreadsheets/d/1ItG2mGa2ceCfYo0BwxsXqNm01IGEUdYcSSLTEv9YCik/edit?usp=sharing"",""เบิกจ่ายกองทุน!BB38"")"),0)</f>
        <v>0</v>
      </c>
      <c r="R144" s="255">
        <f ca="1">IFERROR(__xludf.DUMMYFUNCTION("IMPORTRANGE(""https://docs.google.com/spreadsheets/d/1ItG2mGa2ceCfYo0BwxsXqNm01IGEUdYcSSLTEv9YCik/edit?usp=sharing"",""เบิกจ่ายกองทุน!BC38"")"),0)</f>
        <v>0</v>
      </c>
      <c r="S144" s="255">
        <f ca="1">IFERROR(__xludf.DUMMYFUNCTION("IMPORTRANGE(""https://docs.google.com/spreadsheets/d/1ItG2mGa2ceCfYo0BwxsXqNm01IGEUdYcSSLTEv9YCik/edit?usp=sharing"",""เบิกจ่ายกองทุน!BD38"")"),0)</f>
        <v>0</v>
      </c>
      <c r="T144" s="255">
        <f ca="1">IF(Q144&gt;0,S144*100/Q144,0)</f>
        <v>0</v>
      </c>
      <c r="U144" s="255">
        <f ca="1">IF(R144&gt;0,S144*100/R144,0)</f>
        <v>0</v>
      </c>
    </row>
    <row r="145" spans="1:21" ht="18.75" hidden="1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256">
        <f ca="1">L146+L147</f>
        <v>0</v>
      </c>
      <c r="M145" s="255">
        <f ca="1">M146+M147</f>
        <v>0</v>
      </c>
      <c r="N145" s="255">
        <f ca="1">N146+N147</f>
        <v>0</v>
      </c>
      <c r="O145" s="255">
        <f ca="1">IF(L145&gt;0,N145*100/L145,0)</f>
        <v>0</v>
      </c>
      <c r="P145" s="255">
        <f ca="1">IF(M145&gt;0,N145*100/M145,0)</f>
        <v>0</v>
      </c>
      <c r="Q145" s="255">
        <f>Q146+Q147</f>
        <v>0</v>
      </c>
      <c r="R145" s="255">
        <f>R146+R147</f>
        <v>0</v>
      </c>
      <c r="S145" s="255">
        <f>S146+S147</f>
        <v>0</v>
      </c>
      <c r="T145" s="255">
        <f>IF(Q145&gt;0,S145*100/Q145,0)</f>
        <v>0</v>
      </c>
      <c r="U145" s="255">
        <f>IF(R145&gt;0,S145*100/R145,0)</f>
        <v>0</v>
      </c>
    </row>
    <row r="146" spans="1:21" ht="18.75" hidden="1">
      <c r="A146" s="155"/>
      <c r="B146" s="50"/>
      <c r="C146" s="50"/>
      <c r="D146" s="50"/>
      <c r="E146" s="186" t="s">
        <v>20</v>
      </c>
      <c r="F146" s="50"/>
      <c r="G146" s="52"/>
      <c r="H146" s="189" t="s">
        <v>14</v>
      </c>
      <c r="I146" s="163"/>
      <c r="J146" s="163"/>
      <c r="K146" s="164"/>
      <c r="L146" s="103">
        <v>0</v>
      </c>
      <c r="M146" s="102">
        <v>0</v>
      </c>
      <c r="N146" s="102">
        <v>0</v>
      </c>
      <c r="O146" s="102">
        <f>IF(L146&gt;0,N146*100/L146,0)</f>
        <v>0</v>
      </c>
      <c r="P146" s="102">
        <f>IF(M146&gt;0,N146*100/M146,0)</f>
        <v>0</v>
      </c>
      <c r="Q146" s="102">
        <v>0</v>
      </c>
      <c r="R146" s="102">
        <v>0</v>
      </c>
      <c r="S146" s="102">
        <v>0</v>
      </c>
      <c r="T146" s="102">
        <f>IF(Q146&gt;0,S146*100/Q146,0)</f>
        <v>0</v>
      </c>
      <c r="U146" s="102">
        <f>IF(R146&gt;0,S146*100/R146,0)</f>
        <v>0</v>
      </c>
    </row>
    <row r="147" spans="1:21" ht="18.75" hidden="1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256">
        <f ca="1">IFERROR(__xludf.DUMMYFUNCTION("IMPORTRANGE(""https://docs.google.com/spreadsheets/d/1-uDff_7J0KD5mKrp0Vvzr7lt3OU09vwQwhkpOPPYv2Y/edit?usp=sharing"",""งบพรบ!BT38"")"),0)</f>
        <v>0</v>
      </c>
      <c r="M147" s="255">
        <f ca="1">IFERROR(__xludf.DUMMYFUNCTION("IMPORTRANGE(""https://docs.google.com/spreadsheets/d/1-uDff_7J0KD5mKrp0Vvzr7lt3OU09vwQwhkpOPPYv2Y/edit?usp=sharing"",""งบพรบ!BW38"")"),0)</f>
        <v>0</v>
      </c>
      <c r="N147" s="255">
        <f ca="1">IFERROR(__xludf.DUMMYFUNCTION("IMPORTRANGE(""https://docs.google.com/spreadsheets/d/1-uDff_7J0KD5mKrp0Vvzr7lt3OU09vwQwhkpOPPYv2Y/edit?usp=sharing"",""งบพรบ!BY38"")"),0)</f>
        <v>0</v>
      </c>
      <c r="O147" s="255">
        <f ca="1">IF(L147&gt;0,N147*100/L147,0)</f>
        <v>0</v>
      </c>
      <c r="P147" s="255">
        <f ca="1">IF(M147&gt;0,N147*100/M147,0)</f>
        <v>0</v>
      </c>
      <c r="Q147" s="255">
        <v>0</v>
      </c>
      <c r="R147" s="255">
        <v>0</v>
      </c>
      <c r="S147" s="255">
        <v>0</v>
      </c>
      <c r="T147" s="255">
        <f>IF(Q147&gt;0,S147*100/Q147,0)</f>
        <v>0</v>
      </c>
      <c r="U147" s="255">
        <f>IF(R147&gt;0,S147*100/R147,0)</f>
        <v>0</v>
      </c>
    </row>
    <row r="148" spans="1:21" ht="19.5" hidden="1">
      <c r="A148" s="166"/>
      <c r="B148" s="167"/>
      <c r="C148" s="156" t="s">
        <v>18</v>
      </c>
      <c r="D148" s="566" t="s">
        <v>38</v>
      </c>
      <c r="E148" s="169"/>
      <c r="F148" s="169"/>
      <c r="G148" s="170"/>
      <c r="H148" s="206"/>
      <c r="I148" s="54"/>
      <c r="J148" s="54"/>
      <c r="K148" s="55"/>
      <c r="L148" s="62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8.75" hidden="1">
      <c r="A149" s="155"/>
      <c r="B149" s="50"/>
      <c r="C149" s="50"/>
      <c r="D149" s="58" t="s">
        <v>63</v>
      </c>
      <c r="E149" s="50"/>
      <c r="F149" s="50"/>
      <c r="G149" s="52"/>
      <c r="H149" s="206"/>
      <c r="I149" s="54"/>
      <c r="J149" s="467">
        <v>0</v>
      </c>
      <c r="K149" s="55"/>
      <c r="L149" s="62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9.5" hidden="1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212">
        <f ca="1">IFERROR(__xludf.DUMMYFUNCTION("IMPORTRANGE(""https://docs.google.com/spreadsheets/d/1eHaY18a8A9IcSdp1K8H6x8fbOy06t2VsZHhMHf-1x7Y/edit?usp=sharing"",""แผน!U38"")"),0)</f>
        <v>0</v>
      </c>
      <c r="J150" s="467">
        <v>0</v>
      </c>
      <c r="K150" s="255">
        <f ca="1">IF(I150&gt;0,J150*100/I150,0)</f>
        <v>0</v>
      </c>
      <c r="L150" s="62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8.75" hidden="1">
      <c r="A151" s="155"/>
      <c r="B151" s="50"/>
      <c r="C151" s="50"/>
      <c r="D151" s="174"/>
      <c r="E151" s="50"/>
      <c r="F151" s="50"/>
      <c r="G151" s="52"/>
      <c r="H151" s="165" t="s">
        <v>54</v>
      </c>
      <c r="I151" s="212">
        <f ca="1">IFERROR(__xludf.DUMMYFUNCTION("IMPORTRANGE(""https://docs.google.com/spreadsheets/d/1eHaY18a8A9IcSdp1K8H6x8fbOy06t2VsZHhMHf-1x7Y/edit?usp=sharing"",""แผน!V38"")"),0)</f>
        <v>0</v>
      </c>
      <c r="J151" s="467">
        <v>0</v>
      </c>
      <c r="K151" s="255">
        <f ca="1">IF(I151&gt;0,J151*100/I151,0)</f>
        <v>0</v>
      </c>
      <c r="L151" s="62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9.5" hidden="1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212">
        <f ca="1">IFERROR(__xludf.DUMMYFUNCTION("IMPORTRANGE(""https://docs.google.com/spreadsheets/d/1eHaY18a8A9IcSdp1K8H6x8fbOy06t2VsZHhMHf-1x7Y/edit?usp=sharing"",""แผน!W38"")"),0)</f>
        <v>0</v>
      </c>
      <c r="J152" s="467">
        <v>0</v>
      </c>
      <c r="K152" s="255">
        <f ca="1">IF(I152&gt;0,J152*100/I152,0)</f>
        <v>0</v>
      </c>
      <c r="L152" s="62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8.75" hidden="1">
      <c r="A153" s="155"/>
      <c r="B153" s="50"/>
      <c r="C153" s="50"/>
      <c r="D153" s="50"/>
      <c r="E153" s="50"/>
      <c r="F153" s="50"/>
      <c r="G153" s="52"/>
      <c r="H153" s="165" t="s">
        <v>54</v>
      </c>
      <c r="I153" s="212">
        <f ca="1">IFERROR(__xludf.DUMMYFUNCTION("IMPORTRANGE(""https://docs.google.com/spreadsheets/d/1eHaY18a8A9IcSdp1K8H6x8fbOy06t2VsZHhMHf-1x7Y/edit?usp=sharing"",""แผน!X38"")"),0)</f>
        <v>0</v>
      </c>
      <c r="J153" s="467">
        <v>0</v>
      </c>
      <c r="K153" s="255">
        <f ca="1">IF(I153&gt;0,J153*100/I153,0)</f>
        <v>0</v>
      </c>
      <c r="L153" s="62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8.75" hidden="1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212">
        <f ca="1">IFERROR(__xludf.DUMMYFUNCTION("IMPORTRANGE(""https://docs.google.com/spreadsheets/d/1eHaY18a8A9IcSdp1K8H6x8fbOy06t2VsZHhMHf-1x7Y/edit?usp=sharing"",""แผน!Y38"")"),0)</f>
        <v>0</v>
      </c>
      <c r="J154" s="467">
        <v>0</v>
      </c>
      <c r="K154" s="255">
        <f ca="1">IF(I154&gt;0,J154*100/I154,0)</f>
        <v>0</v>
      </c>
      <c r="L154" s="62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9.5">
      <c r="A155" s="143" t="s">
        <v>67</v>
      </c>
      <c r="B155" s="144"/>
      <c r="C155" s="196"/>
      <c r="D155" s="144"/>
      <c r="E155" s="144"/>
      <c r="F155" s="144"/>
      <c r="G155" s="144"/>
      <c r="H155" s="144"/>
      <c r="I155" s="197"/>
      <c r="J155" s="197"/>
      <c r="K155" s="19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</row>
    <row r="156" spans="1:21" ht="19.5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721">
        <f ca="1">I167</f>
        <v>15</v>
      </c>
      <c r="J156" s="721">
        <f>J167</f>
        <v>20</v>
      </c>
      <c r="K156" s="720">
        <f ca="1">IF(I156&gt;0,J156*100/I156,0)</f>
        <v>133.33333333333334</v>
      </c>
      <c r="L156" s="154"/>
      <c r="M156" s="40"/>
      <c r="N156" s="40"/>
      <c r="O156" s="40"/>
      <c r="P156" s="40"/>
      <c r="Q156" s="40"/>
      <c r="R156" s="40"/>
      <c r="S156" s="40"/>
      <c r="T156" s="40"/>
      <c r="U156" s="40"/>
    </row>
    <row r="157" spans="1:21" ht="19.5">
      <c r="A157" s="155"/>
      <c r="B157" s="50"/>
      <c r="C157" s="156" t="s">
        <v>18</v>
      </c>
      <c r="D157" s="575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541">
        <f ca="1">L158+L159</f>
        <v>6000</v>
      </c>
      <c r="M157" s="540">
        <f ca="1">M158+M159</f>
        <v>6938</v>
      </c>
      <c r="N157" s="540">
        <f ca="1">N158+N159</f>
        <v>2250</v>
      </c>
      <c r="O157" s="540">
        <f ca="1">IF(L157&gt;0,N157*100/L157,0)</f>
        <v>37.5</v>
      </c>
      <c r="P157" s="540">
        <f ca="1">IF(M157&gt;0,N157*100/M157,0)</f>
        <v>32.430095128279042</v>
      </c>
      <c r="Q157" s="540">
        <f ca="1">Q158+Q159</f>
        <v>0</v>
      </c>
      <c r="R157" s="540">
        <f ca="1">R158+R159</f>
        <v>0</v>
      </c>
      <c r="S157" s="540">
        <f ca="1">S158+S159</f>
        <v>0</v>
      </c>
      <c r="T157" s="540">
        <f ca="1">IF(Q157&gt;0,S157*100/Q157,0)</f>
        <v>0</v>
      </c>
      <c r="U157" s="540">
        <f ca="1">IF(R157&gt;0,S157*100/R157,0)</f>
        <v>0</v>
      </c>
    </row>
    <row r="158" spans="1:21" ht="18.75" hidden="1">
      <c r="A158" s="155"/>
      <c r="B158" s="50"/>
      <c r="C158" s="50"/>
      <c r="D158" s="50"/>
      <c r="E158" s="186" t="s">
        <v>20</v>
      </c>
      <c r="F158" s="50"/>
      <c r="G158" s="52"/>
      <c r="H158" s="187" t="s">
        <v>14</v>
      </c>
      <c r="I158" s="54"/>
      <c r="J158" s="54"/>
      <c r="K158" s="55"/>
      <c r="L158" s="103">
        <f>L161+L164</f>
        <v>0</v>
      </c>
      <c r="M158" s="102">
        <f>M161+M164</f>
        <v>0</v>
      </c>
      <c r="N158" s="102">
        <f>N161+N164</f>
        <v>0</v>
      </c>
      <c r="O158" s="102">
        <f>IF(L158&gt;0,N158*100/L158,0)</f>
        <v>0</v>
      </c>
      <c r="P158" s="102">
        <f>IF(M158&gt;0,N158*100/M158,0)</f>
        <v>0</v>
      </c>
      <c r="Q158" s="102">
        <f>Q161+Q164</f>
        <v>0</v>
      </c>
      <c r="R158" s="102">
        <f>R161+R164</f>
        <v>0</v>
      </c>
      <c r="S158" s="102">
        <f>S161+S164</f>
        <v>0</v>
      </c>
      <c r="T158" s="102">
        <f>IF(Q158&gt;0,S158*100/Q158,0)</f>
        <v>0</v>
      </c>
      <c r="U158" s="102">
        <f>IF(R158&gt;0,S158*100/R158,0)</f>
        <v>0</v>
      </c>
    </row>
    <row r="159" spans="1:21" ht="18.75" hidden="1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256">
        <f ca="1">L162+L165</f>
        <v>6000</v>
      </c>
      <c r="M159" s="255">
        <f ca="1">M162+M165</f>
        <v>6938</v>
      </c>
      <c r="N159" s="255">
        <f ca="1">N162+N165</f>
        <v>2250</v>
      </c>
      <c r="O159" s="255">
        <f ca="1">IF(L159&gt;0,N159*100/L159,0)</f>
        <v>37.5</v>
      </c>
      <c r="P159" s="255">
        <f ca="1">IF(M159&gt;0,N159*100/M159,0)</f>
        <v>32.430095128279042</v>
      </c>
      <c r="Q159" s="255">
        <f ca="1">Q162+Q165</f>
        <v>0</v>
      </c>
      <c r="R159" s="255">
        <f ca="1">R162+R165</f>
        <v>0</v>
      </c>
      <c r="S159" s="255">
        <f ca="1">S162+S165</f>
        <v>0</v>
      </c>
      <c r="T159" s="255">
        <f ca="1">IF(Q159&gt;0,S159*100/Q159,0)</f>
        <v>0</v>
      </c>
      <c r="U159" s="255">
        <f ca="1">IF(R159&gt;0,S159*100/R159,0)</f>
        <v>0</v>
      </c>
    </row>
    <row r="160" spans="1:21" ht="18.75">
      <c r="A160" s="155"/>
      <c r="B160" s="50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256">
        <f ca="1">L161+L162</f>
        <v>6000</v>
      </c>
      <c r="M160" s="255">
        <f ca="1">M161+M162</f>
        <v>6938</v>
      </c>
      <c r="N160" s="255">
        <f ca="1">N161+N162</f>
        <v>2250</v>
      </c>
      <c r="O160" s="255">
        <f ca="1">IF(L160&gt;0,N160*100/L160,0)</f>
        <v>37.5</v>
      </c>
      <c r="P160" s="255">
        <f ca="1">IF(M160&gt;0,N160*100/M160,0)</f>
        <v>32.430095128279042</v>
      </c>
      <c r="Q160" s="255">
        <f ca="1">Q161+Q162</f>
        <v>0</v>
      </c>
      <c r="R160" s="255">
        <f ca="1">R161+R162</f>
        <v>0</v>
      </c>
      <c r="S160" s="255">
        <f ca="1">S161+S162</f>
        <v>0</v>
      </c>
      <c r="T160" s="255">
        <f ca="1">IF(Q160&gt;0,S160*100/Q160,0)</f>
        <v>0</v>
      </c>
      <c r="U160" s="255">
        <f ca="1">IF(R160&gt;0,S160*100/R160,0)</f>
        <v>0</v>
      </c>
    </row>
    <row r="161" spans="1:21" ht="18.75" hidden="1">
      <c r="A161" s="155"/>
      <c r="B161" s="50"/>
      <c r="C161" s="50"/>
      <c r="D161" s="50"/>
      <c r="E161" s="186" t="s">
        <v>36</v>
      </c>
      <c r="F161" s="50"/>
      <c r="G161" s="52"/>
      <c r="H161" s="189" t="s">
        <v>14</v>
      </c>
      <c r="I161" s="163"/>
      <c r="J161" s="163"/>
      <c r="K161" s="164"/>
      <c r="L161" s="103">
        <v>0</v>
      </c>
      <c r="M161" s="102">
        <v>0</v>
      </c>
      <c r="N161" s="102">
        <v>0</v>
      </c>
      <c r="O161" s="102">
        <f>IF(L161&gt;0,N161*100/L161,0)</f>
        <v>0</v>
      </c>
      <c r="P161" s="102">
        <f>IF(M161&gt;0,N161*100/M161,0)</f>
        <v>0</v>
      </c>
      <c r="Q161" s="102">
        <v>0</v>
      </c>
      <c r="R161" s="102">
        <v>0</v>
      </c>
      <c r="S161" s="102">
        <v>0</v>
      </c>
      <c r="T161" s="102">
        <f>IF(Q161&gt;0,S161*100/Q161,0)</f>
        <v>0</v>
      </c>
      <c r="U161" s="102">
        <f>IF(R161&gt;0,S161*100/R161,0)</f>
        <v>0</v>
      </c>
    </row>
    <row r="162" spans="1:21" ht="18.75" hidden="1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256">
        <f ca="1">IFERROR(__xludf.DUMMYFUNCTION("IMPORTRANGE(""https://docs.google.com/spreadsheets/d/1-uDff_7J0KD5mKrp0Vvzr7lt3OU09vwQwhkpOPPYv2Y/edit?usp=sharing"",""งบพรบ!CA38"")"),6000)</f>
        <v>6000</v>
      </c>
      <c r="M162" s="255">
        <f ca="1">IFERROR(__xludf.DUMMYFUNCTION("IMPORTRANGE(""https://docs.google.com/spreadsheets/d/1-uDff_7J0KD5mKrp0Vvzr7lt3OU09vwQwhkpOPPYv2Y/edit?usp=sharing"",""งบพรบ!CF38"")"),6938)</f>
        <v>6938</v>
      </c>
      <c r="N162" s="255">
        <f ca="1">IFERROR(__xludf.DUMMYFUNCTION("IMPORTRANGE(""https://docs.google.com/spreadsheets/d/1-uDff_7J0KD5mKrp0Vvzr7lt3OU09vwQwhkpOPPYv2Y/edit?usp=sharing"",""งบพรบ!CH38"")"),2250)</f>
        <v>2250</v>
      </c>
      <c r="O162" s="255">
        <f ca="1">IF(L162&gt;0,N162*100/L162,0)</f>
        <v>37.5</v>
      </c>
      <c r="P162" s="255">
        <f ca="1">IF(M162&gt;0,N162*100/M162,0)</f>
        <v>32.430095128279042</v>
      </c>
      <c r="Q162" s="255">
        <f ca="1">IFERROR(__xludf.DUMMYFUNCTION("IMPORTRANGE(""https://docs.google.com/spreadsheets/d/1ItG2mGa2ceCfYo0BwxsXqNm01IGEUdYcSSLTEv9YCik/edit?usp=sharing"",""เบิกจ่ายกองทุน!AG38"")"),0)</f>
        <v>0</v>
      </c>
      <c r="R162" s="255">
        <f ca="1">IFERROR(__xludf.DUMMYFUNCTION("IMPORTRANGE(""https://docs.google.com/spreadsheets/d/1ItG2mGa2ceCfYo0BwxsXqNm01IGEUdYcSSLTEv9YCik/edit?usp=sharing"",""เบิกจ่ายกองทุน!AH38"")"),0)</f>
        <v>0</v>
      </c>
      <c r="S162" s="255">
        <f ca="1">IFERROR(__xludf.DUMMYFUNCTION("IMPORTRANGE(""https://docs.google.com/spreadsheets/d/1ItG2mGa2ceCfYo0BwxsXqNm01IGEUdYcSSLTEv9YCik/edit?usp=sharing"",""เบิกจ่ายกองทุน!AI38"")"),0)</f>
        <v>0</v>
      </c>
      <c r="T162" s="255">
        <f ca="1">IF(Q162&gt;0,S162*100/Q162,0)</f>
        <v>0</v>
      </c>
      <c r="U162" s="255">
        <f ca="1">IF(R162&gt;0,S162*100/R162,0)</f>
        <v>0</v>
      </c>
    </row>
    <row r="163" spans="1:21" ht="18.75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256">
        <f ca="1">L164+L165</f>
        <v>0</v>
      </c>
      <c r="M163" s="255">
        <f ca="1">M164+M165</f>
        <v>0</v>
      </c>
      <c r="N163" s="255">
        <f ca="1">N164+N165</f>
        <v>0</v>
      </c>
      <c r="O163" s="255">
        <f ca="1">IF(L163&gt;0,N163*100/L163,0)</f>
        <v>0</v>
      </c>
      <c r="P163" s="255">
        <f ca="1">IF(M163&gt;0,N163*100/M163,0)</f>
        <v>0</v>
      </c>
      <c r="Q163" s="255">
        <f>Q164+Q165</f>
        <v>0</v>
      </c>
      <c r="R163" s="255">
        <f>R164+R165</f>
        <v>0</v>
      </c>
      <c r="S163" s="255">
        <f>S164+S165</f>
        <v>0</v>
      </c>
      <c r="T163" s="255">
        <f>IF(Q163&gt;0,S163*100/Q163,0)</f>
        <v>0</v>
      </c>
      <c r="U163" s="255">
        <f>IF(R163&gt;0,S163*100/R163,0)</f>
        <v>0</v>
      </c>
    </row>
    <row r="164" spans="1:21" ht="18.75" hidden="1">
      <c r="A164" s="155"/>
      <c r="B164" s="50"/>
      <c r="C164" s="50"/>
      <c r="D164" s="50"/>
      <c r="E164" s="186" t="s">
        <v>20</v>
      </c>
      <c r="F164" s="50"/>
      <c r="G164" s="52"/>
      <c r="H164" s="189" t="s">
        <v>14</v>
      </c>
      <c r="I164" s="163"/>
      <c r="J164" s="163"/>
      <c r="K164" s="164"/>
      <c r="L164" s="103">
        <v>0</v>
      </c>
      <c r="M164" s="102">
        <v>0</v>
      </c>
      <c r="N164" s="102">
        <v>0</v>
      </c>
      <c r="O164" s="102">
        <f>IF(L164&gt;0,N164*100/L164,0)</f>
        <v>0</v>
      </c>
      <c r="P164" s="102">
        <f>IF(M164&gt;0,N164*100/M164,0)</f>
        <v>0</v>
      </c>
      <c r="Q164" s="102">
        <v>0</v>
      </c>
      <c r="R164" s="102">
        <v>0</v>
      </c>
      <c r="S164" s="102">
        <v>0</v>
      </c>
      <c r="T164" s="102">
        <f>IF(Q164&gt;0,S164*100/Q164,0)</f>
        <v>0</v>
      </c>
      <c r="U164" s="102">
        <f>IF(R164&gt;0,S164*100/R164,0)</f>
        <v>0</v>
      </c>
    </row>
    <row r="165" spans="1:21" ht="18.75" hidden="1">
      <c r="A165" s="155"/>
      <c r="B165" s="50"/>
      <c r="C165" s="50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256">
        <f ca="1">IFERROR(__xludf.DUMMYFUNCTION("IMPORTRANGE(""https://docs.google.com/spreadsheets/d/1-uDff_7J0KD5mKrp0Vvzr7lt3OU09vwQwhkpOPPYv2Y/edit?usp=sharing"",""งบพรบ!CD38"")"),0)</f>
        <v>0</v>
      </c>
      <c r="M165" s="255">
        <f ca="1">IFERROR(__xludf.DUMMYFUNCTION("IMPORTRANGE(""https://docs.google.com/spreadsheets/d/1-uDff_7J0KD5mKrp0Vvzr7lt3OU09vwQwhkpOPPYv2Y/edit?usp=sharing"",""งบพรบ!CG38"")"),0)</f>
        <v>0</v>
      </c>
      <c r="N165" s="255">
        <f ca="1">IFERROR(__xludf.DUMMYFUNCTION("IMPORTRANGE(""https://docs.google.com/spreadsheets/d/1-uDff_7J0KD5mKrp0Vvzr7lt3OU09vwQwhkpOPPYv2Y/edit?usp=sharing"",""งบพรบ!CI38"")"),0)</f>
        <v>0</v>
      </c>
      <c r="O165" s="255">
        <f ca="1">IF(L165&gt;0,N165*100/L165,0)</f>
        <v>0</v>
      </c>
      <c r="P165" s="255">
        <f ca="1">IF(M165&gt;0,N165*100/M165,0)</f>
        <v>0</v>
      </c>
      <c r="Q165" s="255">
        <v>0</v>
      </c>
      <c r="R165" s="255">
        <v>0</v>
      </c>
      <c r="S165" s="255">
        <v>0</v>
      </c>
      <c r="T165" s="255">
        <f>IF(Q165&gt;0,S165*100/Q165,0)</f>
        <v>0</v>
      </c>
      <c r="U165" s="255">
        <f>IF(R165&gt;0,S165*100/R165,0)</f>
        <v>0</v>
      </c>
    </row>
    <row r="166" spans="1:21" ht="19.5">
      <c r="A166" s="166"/>
      <c r="B166" s="167"/>
      <c r="C166" s="156" t="s">
        <v>18</v>
      </c>
      <c r="D166" s="566" t="s">
        <v>38</v>
      </c>
      <c r="E166" s="169"/>
      <c r="F166" s="169"/>
      <c r="G166" s="170"/>
      <c r="H166" s="206"/>
      <c r="I166" s="54"/>
      <c r="J166" s="54"/>
      <c r="K166" s="55"/>
      <c r="L166" s="62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8.75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212">
        <f ca="1">IFERROR(__xludf.DUMMYFUNCTION("IMPORTRANGE(""https://docs.google.com/spreadsheets/d/1eHaY18a8A9IcSdp1K8H6x8fbOy06t2VsZHhMHf-1x7Y/edit?usp=sharing"",""แผน!Z38"")"),15)</f>
        <v>15</v>
      </c>
      <c r="J167" s="467">
        <v>20</v>
      </c>
      <c r="K167" s="255">
        <f ca="1">IF(I167&gt;0,J167*100/I167,0)</f>
        <v>133.33333333333334</v>
      </c>
      <c r="L167" s="62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8.75" hidden="1">
      <c r="A168" s="155"/>
      <c r="B168" s="50"/>
      <c r="C168" s="50"/>
      <c r="D168" s="186" t="s">
        <v>70</v>
      </c>
      <c r="E168" s="50"/>
      <c r="F168" s="50"/>
      <c r="G168" s="52"/>
      <c r="H168" s="421" t="s">
        <v>35</v>
      </c>
      <c r="I168" s="483">
        <f ca="1">I167</f>
        <v>15</v>
      </c>
      <c r="J168" s="589">
        <v>0</v>
      </c>
      <c r="K168" s="102">
        <f ca="1">IF(I168&gt;0,J168*100/I168,0)</f>
        <v>0</v>
      </c>
      <c r="L168" s="62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8.75" hidden="1">
      <c r="A169" s="213"/>
      <c r="B169" s="4"/>
      <c r="C169" s="4"/>
      <c r="D169" s="484" t="s">
        <v>71</v>
      </c>
      <c r="E169" s="4"/>
      <c r="F169" s="4"/>
      <c r="G169" s="65"/>
      <c r="H169" s="719" t="s">
        <v>35</v>
      </c>
      <c r="I169" s="486">
        <f ca="1">I167</f>
        <v>15</v>
      </c>
      <c r="J169" s="586">
        <v>0</v>
      </c>
      <c r="K169" s="585">
        <f ca="1">IF(I169&gt;0,J169*100/I169,0)</f>
        <v>0</v>
      </c>
      <c r="L169" s="68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9"/>
      <c r="I170" s="220"/>
      <c r="J170" s="220"/>
      <c r="K170" s="221"/>
      <c r="L170" s="221"/>
      <c r="M170" s="221"/>
      <c r="N170" s="221"/>
      <c r="O170" s="221"/>
      <c r="P170" s="222"/>
      <c r="Q170" s="221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226"/>
      <c r="I171" s="227"/>
      <c r="J171" s="227"/>
      <c r="K171" s="228"/>
      <c r="L171" s="229"/>
      <c r="M171" s="228"/>
      <c r="N171" s="228"/>
      <c r="O171" s="228"/>
      <c r="P171" s="228"/>
      <c r="Q171" s="228"/>
      <c r="R171" s="228"/>
      <c r="S171" s="228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233" t="s">
        <v>35</v>
      </c>
      <c r="I172" s="718">
        <f ca="1">I183+I184</f>
        <v>7</v>
      </c>
      <c r="J172" s="718">
        <f>J183+J184</f>
        <v>7</v>
      </c>
      <c r="K172" s="717">
        <f ca="1">IF(I172&gt;0,J172*100/I172,0)</f>
        <v>100</v>
      </c>
      <c r="L172" s="237"/>
      <c r="M172" s="236"/>
      <c r="N172" s="236"/>
      <c r="O172" s="236"/>
      <c r="P172" s="236"/>
      <c r="Q172" s="236"/>
      <c r="R172" s="236"/>
      <c r="S172" s="236"/>
      <c r="T172" s="236"/>
      <c r="U172" s="236"/>
    </row>
    <row r="173" spans="1:21" ht="19.5">
      <c r="A173" s="155"/>
      <c r="B173" s="50"/>
      <c r="C173" s="156" t="s">
        <v>18</v>
      </c>
      <c r="D173" s="575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541">
        <f ca="1">L174+L175</f>
        <v>19590</v>
      </c>
      <c r="M173" s="540">
        <f ca="1">M174+M175</f>
        <v>31600</v>
      </c>
      <c r="N173" s="540">
        <f ca="1">N174+N175</f>
        <v>29820</v>
      </c>
      <c r="O173" s="540">
        <f ca="1">IF(L173&gt;0,N173*100/L173,0)</f>
        <v>152.22052067381318</v>
      </c>
      <c r="P173" s="540">
        <f ca="1">IF(M173&gt;0,N173*100/M173,0)</f>
        <v>94.367088607594937</v>
      </c>
      <c r="Q173" s="540">
        <f ca="1">Q174+Q175</f>
        <v>0</v>
      </c>
      <c r="R173" s="540">
        <f ca="1">R174+R175</f>
        <v>0</v>
      </c>
      <c r="S173" s="540">
        <f ca="1">S174+S175</f>
        <v>0</v>
      </c>
      <c r="T173" s="540">
        <f ca="1">IF(Q173&gt;0,S173*100/Q173,0)</f>
        <v>0</v>
      </c>
      <c r="U173" s="540">
        <f ca="1">IF(R173&gt;0,S173*100/R173,0)</f>
        <v>0</v>
      </c>
    </row>
    <row r="174" spans="1:21" ht="18.75" hidden="1">
      <c r="A174" s="155"/>
      <c r="B174" s="50"/>
      <c r="C174" s="50"/>
      <c r="D174" s="50"/>
      <c r="E174" s="186" t="s">
        <v>20</v>
      </c>
      <c r="F174" s="50"/>
      <c r="G174" s="52"/>
      <c r="H174" s="187" t="s">
        <v>14</v>
      </c>
      <c r="I174" s="54"/>
      <c r="J174" s="54"/>
      <c r="K174" s="55"/>
      <c r="L174" s="103">
        <f>L177+L180</f>
        <v>0</v>
      </c>
      <c r="M174" s="102">
        <f>M177+M180</f>
        <v>0</v>
      </c>
      <c r="N174" s="102">
        <f>N177+N180</f>
        <v>0</v>
      </c>
      <c r="O174" s="102">
        <f>IF(L174&gt;0,N174*100/L174,0)</f>
        <v>0</v>
      </c>
      <c r="P174" s="102">
        <f>IF(M174&gt;0,N174*100/M174,0)</f>
        <v>0</v>
      </c>
      <c r="Q174" s="102">
        <f>Q177+Q180</f>
        <v>0</v>
      </c>
      <c r="R174" s="102">
        <f>R177+R180</f>
        <v>0</v>
      </c>
      <c r="S174" s="102">
        <f>S177+S180</f>
        <v>0</v>
      </c>
      <c r="T174" s="102">
        <f>IF(Q174&gt;0,S174*100/Q174,0)</f>
        <v>0</v>
      </c>
      <c r="U174" s="102">
        <f>IF(R174&gt;0,S174*100/R174,0)</f>
        <v>0</v>
      </c>
    </row>
    <row r="175" spans="1:21" ht="18.75" hidden="1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256">
        <f ca="1">L178+L181</f>
        <v>19590</v>
      </c>
      <c r="M175" s="255">
        <f ca="1">M178+M181</f>
        <v>31600</v>
      </c>
      <c r="N175" s="255">
        <f ca="1">N178+N181</f>
        <v>29820</v>
      </c>
      <c r="O175" s="255">
        <f ca="1">IF(L175&gt;0,N175*100/L175,0)</f>
        <v>152.22052067381318</v>
      </c>
      <c r="P175" s="255">
        <f ca="1">IF(M175&gt;0,N175*100/M175,0)</f>
        <v>94.367088607594937</v>
      </c>
      <c r="Q175" s="255">
        <f ca="1">Q178+Q181</f>
        <v>0</v>
      </c>
      <c r="R175" s="255">
        <f ca="1">R178+R181</f>
        <v>0</v>
      </c>
      <c r="S175" s="255">
        <f ca="1">S178+S181</f>
        <v>0</v>
      </c>
      <c r="T175" s="255">
        <f ca="1">IF(Q175&gt;0,S175*100/Q175,0)</f>
        <v>0</v>
      </c>
      <c r="U175" s="255">
        <f ca="1">IF(R175&gt;0,S175*100/R175,0)</f>
        <v>0</v>
      </c>
    </row>
    <row r="176" spans="1:21" ht="18.75">
      <c r="A176" s="155"/>
      <c r="B176" s="50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256">
        <f ca="1">L177+L178</f>
        <v>19590</v>
      </c>
      <c r="M176" s="255">
        <f ca="1">M177+M178</f>
        <v>31600</v>
      </c>
      <c r="N176" s="255">
        <f ca="1">N177+N178</f>
        <v>29820</v>
      </c>
      <c r="O176" s="255">
        <f ca="1">IF(L176&gt;0,N176*100/L176,0)</f>
        <v>152.22052067381318</v>
      </c>
      <c r="P176" s="255">
        <f ca="1">IF(M176&gt;0,N176*100/M176,0)</f>
        <v>94.367088607594937</v>
      </c>
      <c r="Q176" s="255">
        <f ca="1">Q177+Q178</f>
        <v>0</v>
      </c>
      <c r="R176" s="255">
        <f ca="1">R177+R178</f>
        <v>0</v>
      </c>
      <c r="S176" s="255">
        <f ca="1">S177+S178</f>
        <v>0</v>
      </c>
      <c r="T176" s="255">
        <f ca="1">IF(Q176&gt;0,S176*100/Q176,0)</f>
        <v>0</v>
      </c>
      <c r="U176" s="255">
        <f ca="1">IF(R176&gt;0,S176*100/R176,0)</f>
        <v>0</v>
      </c>
    </row>
    <row r="177" spans="1:21" ht="18.75" hidden="1">
      <c r="A177" s="155"/>
      <c r="B177" s="50"/>
      <c r="C177" s="50"/>
      <c r="D177" s="50"/>
      <c r="E177" s="186" t="s">
        <v>36</v>
      </c>
      <c r="F177" s="50"/>
      <c r="G177" s="52"/>
      <c r="H177" s="189" t="s">
        <v>14</v>
      </c>
      <c r="I177" s="163"/>
      <c r="J177" s="163"/>
      <c r="K177" s="164"/>
      <c r="L177" s="103">
        <v>0</v>
      </c>
      <c r="M177" s="102">
        <v>0</v>
      </c>
      <c r="N177" s="102">
        <v>0</v>
      </c>
      <c r="O177" s="102">
        <f>IF(L177&gt;0,N177*100/L177,0)</f>
        <v>0</v>
      </c>
      <c r="P177" s="102">
        <f>IF(M177&gt;0,N177*100/M177,0)</f>
        <v>0</v>
      </c>
      <c r="Q177" s="102">
        <v>0</v>
      </c>
      <c r="R177" s="102">
        <v>0</v>
      </c>
      <c r="S177" s="102">
        <v>0</v>
      </c>
      <c r="T177" s="102">
        <f>IF(Q177&gt;0,S177*100/Q177,0)</f>
        <v>0</v>
      </c>
      <c r="U177" s="102">
        <f>IF(R177&gt;0,S177*100/R177,0)</f>
        <v>0</v>
      </c>
    </row>
    <row r="178" spans="1:21" ht="18.75" hidden="1">
      <c r="A178" s="155"/>
      <c r="B178" s="50"/>
      <c r="C178" s="50"/>
      <c r="D178" s="50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256">
        <f ca="1">IFERROR(__xludf.DUMMYFUNCTION("IMPORTRANGE(""https://docs.google.com/spreadsheets/d/1-uDff_7J0KD5mKrp0Vvzr7lt3OU09vwQwhkpOPPYv2Y/edit?usp=sharing"",""งบพรบ!CK38"")"),19590)</f>
        <v>19590</v>
      </c>
      <c r="M178" s="255">
        <f ca="1">IFERROR(__xludf.DUMMYFUNCTION("IMPORTRANGE(""https://docs.google.com/spreadsheets/d/1-uDff_7J0KD5mKrp0Vvzr7lt3OU09vwQwhkpOPPYv2Y/edit?usp=sharing"",""งบพรบ!CP38"")"),31600)</f>
        <v>31600</v>
      </c>
      <c r="N178" s="255">
        <f ca="1">IFERROR(__xludf.DUMMYFUNCTION("IMPORTRANGE(""https://docs.google.com/spreadsheets/d/1-uDff_7J0KD5mKrp0Vvzr7lt3OU09vwQwhkpOPPYv2Y/edit?usp=sharing"",""งบพรบ!CR38"")"),29820)</f>
        <v>29820</v>
      </c>
      <c r="O178" s="255">
        <f ca="1">IF(L178&gt;0,N178*100/L178,0)</f>
        <v>152.22052067381318</v>
      </c>
      <c r="P178" s="255">
        <f ca="1">IF(M178&gt;0,N178*100/M178,0)</f>
        <v>94.367088607594937</v>
      </c>
      <c r="Q178" s="255">
        <f ca="1">IFERROR(__xludf.DUMMYFUNCTION("IMPORTRANGE(""https://docs.google.com/spreadsheets/d/1ItG2mGa2ceCfYo0BwxsXqNm01IGEUdYcSSLTEv9YCik/edit?usp=sharing"",""เบิกจ่ายกองทุน!BE38"")"),0)</f>
        <v>0</v>
      </c>
      <c r="R178" s="255">
        <f ca="1">IFERROR(__xludf.DUMMYFUNCTION("IMPORTRANGE(""https://docs.google.com/spreadsheets/d/1ItG2mGa2ceCfYo0BwxsXqNm01IGEUdYcSSLTEv9YCik/edit?usp=sharing"",""เบิกจ่ายกองทุน!BF38"")"),0)</f>
        <v>0</v>
      </c>
      <c r="S178" s="255">
        <f ca="1">IFERROR(__xludf.DUMMYFUNCTION("IMPORTRANGE(""https://docs.google.com/spreadsheets/d/1ItG2mGa2ceCfYo0BwxsXqNm01IGEUdYcSSLTEv9YCik/edit?usp=sharing"",""เบิกจ่ายกองทุน!BG38"")"),0)</f>
        <v>0</v>
      </c>
      <c r="T178" s="255">
        <f ca="1">IF(Q178&gt;0,S178*100/Q178,0)</f>
        <v>0</v>
      </c>
      <c r="U178" s="255">
        <f ca="1">IF(R178&gt;0,S178*100/R178,0)</f>
        <v>0</v>
      </c>
    </row>
    <row r="179" spans="1:21" ht="18.75">
      <c r="A179" s="155"/>
      <c r="B179" s="50"/>
      <c r="C179" s="50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256">
        <f ca="1">L180+L181</f>
        <v>0</v>
      </c>
      <c r="M179" s="255">
        <f ca="1">M180+M181</f>
        <v>0</v>
      </c>
      <c r="N179" s="255">
        <f ca="1">N180+N181</f>
        <v>0</v>
      </c>
      <c r="O179" s="255">
        <f ca="1">IF(L179&gt;0,N179*100/L179,0)</f>
        <v>0</v>
      </c>
      <c r="P179" s="255">
        <f ca="1">IF(M179&gt;0,N179*100/M179,0)</f>
        <v>0</v>
      </c>
      <c r="Q179" s="255">
        <f>Q180+Q181</f>
        <v>0</v>
      </c>
      <c r="R179" s="255">
        <f>R180+R181</f>
        <v>0</v>
      </c>
      <c r="S179" s="255">
        <f>S180+S181</f>
        <v>0</v>
      </c>
      <c r="T179" s="255">
        <f>IF(Q179&gt;0,S179*100/Q179,0)</f>
        <v>0</v>
      </c>
      <c r="U179" s="255">
        <f>IF(R179&gt;0,S179*100/R179,0)</f>
        <v>0</v>
      </c>
    </row>
    <row r="180" spans="1:21" ht="18.75" hidden="1">
      <c r="A180" s="155"/>
      <c r="B180" s="50"/>
      <c r="C180" s="50"/>
      <c r="D180" s="50"/>
      <c r="E180" s="186" t="s">
        <v>20</v>
      </c>
      <c r="F180" s="50"/>
      <c r="G180" s="52"/>
      <c r="H180" s="189" t="s">
        <v>14</v>
      </c>
      <c r="I180" s="163"/>
      <c r="J180" s="163"/>
      <c r="K180" s="164"/>
      <c r="L180" s="103">
        <v>0</v>
      </c>
      <c r="M180" s="102">
        <v>0</v>
      </c>
      <c r="N180" s="102">
        <v>0</v>
      </c>
      <c r="O180" s="102">
        <f>IF(L180&gt;0,N180*100/L180,0)</f>
        <v>0</v>
      </c>
      <c r="P180" s="102">
        <f>IF(M180&gt;0,N180*100/M180,0)</f>
        <v>0</v>
      </c>
      <c r="Q180" s="102">
        <v>0</v>
      </c>
      <c r="R180" s="102">
        <v>0</v>
      </c>
      <c r="S180" s="102">
        <v>0</v>
      </c>
      <c r="T180" s="102">
        <f>IF(Q180&gt;0,S180*100/Q180,0)</f>
        <v>0</v>
      </c>
      <c r="U180" s="102">
        <f>IF(R180&gt;0,S180*100/R180,0)</f>
        <v>0</v>
      </c>
    </row>
    <row r="181" spans="1:21" ht="18.75" hidden="1">
      <c r="A181" s="155"/>
      <c r="B181" s="50"/>
      <c r="C181" s="50"/>
      <c r="D181" s="50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256">
        <f ca="1">IFERROR(__xludf.DUMMYFUNCTION("IMPORTRANGE(""https://docs.google.com/spreadsheets/d/1-uDff_7J0KD5mKrp0Vvzr7lt3OU09vwQwhkpOPPYv2Y/edit?usp=sharing"",""งบพรบ!CN38"")"),0)</f>
        <v>0</v>
      </c>
      <c r="M181" s="255">
        <f ca="1">IFERROR(__xludf.DUMMYFUNCTION("IMPORTRANGE(""https://docs.google.com/spreadsheets/d/1-uDff_7J0KD5mKrp0Vvzr7lt3OU09vwQwhkpOPPYv2Y/edit?usp=sharing"",""งบพรบ!CQ38"")"),0)</f>
        <v>0</v>
      </c>
      <c r="N181" s="255">
        <f ca="1">IFERROR(__xludf.DUMMYFUNCTION("IMPORTRANGE(""https://docs.google.com/spreadsheets/d/1-uDff_7J0KD5mKrp0Vvzr7lt3OU09vwQwhkpOPPYv2Y/edit?usp=sharing"",""งบพรบ!CS38"")"),0)</f>
        <v>0</v>
      </c>
      <c r="O181" s="255">
        <f ca="1">IF(L181&gt;0,N181*100/L181,0)</f>
        <v>0</v>
      </c>
      <c r="P181" s="255">
        <f ca="1">IF(M181&gt;0,N181*100/M181,0)</f>
        <v>0</v>
      </c>
      <c r="Q181" s="255">
        <v>0</v>
      </c>
      <c r="R181" s="255">
        <v>0</v>
      </c>
      <c r="S181" s="255">
        <v>0</v>
      </c>
      <c r="T181" s="255">
        <f>IF(Q181&gt;0,S181*100/Q181,0)</f>
        <v>0</v>
      </c>
      <c r="U181" s="255">
        <f>IF(R181&gt;0,S181*100/R181,0)</f>
        <v>0</v>
      </c>
    </row>
    <row r="182" spans="1:21" ht="19.5">
      <c r="A182" s="166"/>
      <c r="B182" s="167"/>
      <c r="C182" s="156" t="s">
        <v>18</v>
      </c>
      <c r="D182" s="566" t="s">
        <v>38</v>
      </c>
      <c r="E182" s="169"/>
      <c r="F182" s="169"/>
      <c r="G182" s="170"/>
      <c r="H182" s="206"/>
      <c r="I182" s="54"/>
      <c r="J182" s="54"/>
      <c r="K182" s="55"/>
      <c r="L182" s="62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40" t="s">
        <v>35</v>
      </c>
      <c r="I183" s="212">
        <f ca="1">IFERROR(__xludf.DUMMYFUNCTION("IMPORTRANGE(""https://docs.google.com/spreadsheets/d/1eHaY18a8A9IcSdp1K8H6x8fbOy06t2VsZHhMHf-1x7Y/edit?usp=sharing"",""แผน!AA38"")"),7)</f>
        <v>7</v>
      </c>
      <c r="J183" s="467">
        <v>7</v>
      </c>
      <c r="K183" s="255">
        <f ca="1">IF(I183&gt;0,J183*100/I183,0)</f>
        <v>100</v>
      </c>
      <c r="L183" s="62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8.75" hidden="1">
      <c r="A184" s="238"/>
      <c r="B184" s="188"/>
      <c r="C184" s="188"/>
      <c r="D184" s="358" t="s">
        <v>76</v>
      </c>
      <c r="E184" s="50"/>
      <c r="F184" s="50"/>
      <c r="G184" s="52"/>
      <c r="H184" s="590" t="s">
        <v>35</v>
      </c>
      <c r="I184" s="483">
        <v>0</v>
      </c>
      <c r="J184" s="483">
        <v>0</v>
      </c>
      <c r="K184" s="102">
        <f>IF(I184&gt;0,J184*100/I184,0)</f>
        <v>0</v>
      </c>
      <c r="L184" s="62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233" t="s">
        <v>35</v>
      </c>
      <c r="I185" s="718">
        <f ca="1">I230+I231</f>
        <v>0</v>
      </c>
      <c r="J185" s="718">
        <f>J230+J231</f>
        <v>0</v>
      </c>
      <c r="K185" s="717">
        <f ca="1">IF(I185&gt;0,J185*100/I185,0)</f>
        <v>0</v>
      </c>
      <c r="L185" s="237"/>
      <c r="M185" s="236"/>
      <c r="N185" s="236"/>
      <c r="O185" s="236"/>
      <c r="P185" s="236"/>
      <c r="Q185" s="236"/>
      <c r="R185" s="236"/>
      <c r="S185" s="236"/>
      <c r="T185" s="236"/>
      <c r="U185" s="236"/>
    </row>
    <row r="186" spans="1:21" ht="19.5">
      <c r="A186" s="155"/>
      <c r="B186" s="50"/>
      <c r="C186" s="156" t="s">
        <v>18</v>
      </c>
      <c r="D186" s="575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541">
        <f ca="1">L187+L188</f>
        <v>245500</v>
      </c>
      <c r="M186" s="540">
        <f ca="1">M187+M188</f>
        <v>221500</v>
      </c>
      <c r="N186" s="540">
        <f ca="1">N187+N188</f>
        <v>151268</v>
      </c>
      <c r="O186" s="540">
        <f ca="1">IF(L186&gt;0,N186*100/L186,0)</f>
        <v>61.6162932790224</v>
      </c>
      <c r="P186" s="540">
        <f ca="1">IF(M186&gt;0,N186*100/M186,0)</f>
        <v>68.292550790067722</v>
      </c>
      <c r="Q186" s="540">
        <f ca="1">Q187+Q188</f>
        <v>77700</v>
      </c>
      <c r="R186" s="540">
        <f ca="1">R187+R188</f>
        <v>91700</v>
      </c>
      <c r="S186" s="540">
        <f ca="1">S187+S188</f>
        <v>20125</v>
      </c>
      <c r="T186" s="540">
        <f ca="1">IF(Q186&gt;0,S186*100/Q186,0)</f>
        <v>25.900900900900901</v>
      </c>
      <c r="U186" s="540">
        <f ca="1">IF(R186&gt;0,S186*100/R186,0)</f>
        <v>21.946564885496183</v>
      </c>
    </row>
    <row r="187" spans="1:21" ht="18.75" hidden="1">
      <c r="A187" s="155"/>
      <c r="B187" s="50"/>
      <c r="C187" s="50"/>
      <c r="D187" s="50"/>
      <c r="E187" s="186" t="s">
        <v>20</v>
      </c>
      <c r="F187" s="50"/>
      <c r="G187" s="52"/>
      <c r="H187" s="187" t="s">
        <v>14</v>
      </c>
      <c r="I187" s="54"/>
      <c r="J187" s="54"/>
      <c r="K187" s="55"/>
      <c r="L187" s="103">
        <f>L190+L193</f>
        <v>0</v>
      </c>
      <c r="M187" s="102">
        <f>M190+M193</f>
        <v>0</v>
      </c>
      <c r="N187" s="102">
        <f>N190+N193</f>
        <v>0</v>
      </c>
      <c r="O187" s="102">
        <f>IF(L187&gt;0,N187*100/L187,0)</f>
        <v>0</v>
      </c>
      <c r="P187" s="102">
        <f>IF(M187&gt;0,N187*100/M187,0)</f>
        <v>0</v>
      </c>
      <c r="Q187" s="102">
        <f>Q190+Q193</f>
        <v>0</v>
      </c>
      <c r="R187" s="102">
        <f>R190+R193</f>
        <v>0</v>
      </c>
      <c r="S187" s="102">
        <f>S190+S193</f>
        <v>0</v>
      </c>
      <c r="T187" s="102">
        <f>IF(Q187&gt;0,S187*100/Q187,0)</f>
        <v>0</v>
      </c>
      <c r="U187" s="102">
        <f>IF(R187&gt;0,S187*100/R187,0)</f>
        <v>0</v>
      </c>
    </row>
    <row r="188" spans="1:21" ht="18.75" hidden="1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256">
        <f ca="1">L191+L194</f>
        <v>245500</v>
      </c>
      <c r="M188" s="255">
        <f ca="1">M191+M194</f>
        <v>221500</v>
      </c>
      <c r="N188" s="255">
        <f ca="1">N191+N194</f>
        <v>151268</v>
      </c>
      <c r="O188" s="255">
        <f ca="1">IF(L188&gt;0,N188*100/L188,0)</f>
        <v>61.6162932790224</v>
      </c>
      <c r="P188" s="255">
        <f ca="1">IF(M188&gt;0,N188*100/M188,0)</f>
        <v>68.292550790067722</v>
      </c>
      <c r="Q188" s="255">
        <f ca="1">Q191+Q194</f>
        <v>77700</v>
      </c>
      <c r="R188" s="255">
        <f ca="1">R191+R194</f>
        <v>91700</v>
      </c>
      <c r="S188" s="255">
        <f ca="1">S191+S194</f>
        <v>20125</v>
      </c>
      <c r="T188" s="255">
        <f ca="1">IF(Q188&gt;0,S188*100/Q188,0)</f>
        <v>25.900900900900901</v>
      </c>
      <c r="U188" s="255">
        <f ca="1">IF(R188&gt;0,S188*100/R188,0)</f>
        <v>21.946564885496183</v>
      </c>
    </row>
    <row r="189" spans="1:21" ht="18.75">
      <c r="A189" s="155"/>
      <c r="B189" s="50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256">
        <f ca="1">L190+L191</f>
        <v>245500</v>
      </c>
      <c r="M189" s="255">
        <f ca="1">M190+M191</f>
        <v>221500</v>
      </c>
      <c r="N189" s="255">
        <f ca="1">N190+N191</f>
        <v>151268</v>
      </c>
      <c r="O189" s="255">
        <f ca="1">IF(L189&gt;0,N189*100/L189,0)</f>
        <v>61.6162932790224</v>
      </c>
      <c r="P189" s="255">
        <f ca="1">IF(M189&gt;0,N189*100/M189,0)</f>
        <v>68.292550790067722</v>
      </c>
      <c r="Q189" s="255">
        <f ca="1">Q190+Q191</f>
        <v>77700</v>
      </c>
      <c r="R189" s="255">
        <f ca="1">R190+R191</f>
        <v>91700</v>
      </c>
      <c r="S189" s="255">
        <f ca="1">S190+S191</f>
        <v>20125</v>
      </c>
      <c r="T189" s="255">
        <f ca="1">IF(Q189&gt;0,S189*100/Q189,0)</f>
        <v>25.900900900900901</v>
      </c>
      <c r="U189" s="255">
        <f ca="1">IF(R189&gt;0,S189*100/R189,0)</f>
        <v>21.946564885496183</v>
      </c>
    </row>
    <row r="190" spans="1:21" ht="18.75" hidden="1">
      <c r="A190" s="155"/>
      <c r="B190" s="50"/>
      <c r="C190" s="50"/>
      <c r="D190" s="50"/>
      <c r="E190" s="186" t="s">
        <v>36</v>
      </c>
      <c r="F190" s="50"/>
      <c r="G190" s="52"/>
      <c r="H190" s="189" t="s">
        <v>14</v>
      </c>
      <c r="I190" s="163"/>
      <c r="J190" s="163"/>
      <c r="K190" s="164"/>
      <c r="L190" s="103">
        <v>0</v>
      </c>
      <c r="M190" s="102">
        <v>0</v>
      </c>
      <c r="N190" s="102">
        <v>0</v>
      </c>
      <c r="O190" s="102">
        <f>IF(L190&gt;0,N190*100/L190,0)</f>
        <v>0</v>
      </c>
      <c r="P190" s="102">
        <f>IF(M190&gt;0,N190*100/M190,0)</f>
        <v>0</v>
      </c>
      <c r="Q190" s="102">
        <v>0</v>
      </c>
      <c r="R190" s="102">
        <v>0</v>
      </c>
      <c r="S190" s="102">
        <v>0</v>
      </c>
      <c r="T190" s="102">
        <f>IF(Q190&gt;0,S190*100/Q190,0)</f>
        <v>0</v>
      </c>
      <c r="U190" s="102">
        <f>IF(R190&gt;0,S190*100/R190,0)</f>
        <v>0</v>
      </c>
    </row>
    <row r="191" spans="1:21" ht="18.75" hidden="1">
      <c r="A191" s="155"/>
      <c r="B191" s="50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256">
        <f ca="1">IFERROR(__xludf.DUMMYFUNCTION("IMPORTRANGE(""https://docs.google.com/spreadsheets/d/1-uDff_7J0KD5mKrp0Vvzr7lt3OU09vwQwhkpOPPYv2Y/edit?usp=sharing"",""งบพรบ!CU38"")"),245500)</f>
        <v>245500</v>
      </c>
      <c r="M191" s="255">
        <f ca="1">IFERROR(__xludf.DUMMYFUNCTION("IMPORTRANGE(""https://docs.google.com/spreadsheets/d/1-uDff_7J0KD5mKrp0Vvzr7lt3OU09vwQwhkpOPPYv2Y/edit?usp=sharing"",""งบพรบ!CZ38"")"),221500)</f>
        <v>221500</v>
      </c>
      <c r="N191" s="255">
        <f ca="1">IFERROR(__xludf.DUMMYFUNCTION("IMPORTRANGE(""https://docs.google.com/spreadsheets/d/1-uDff_7J0KD5mKrp0Vvzr7lt3OU09vwQwhkpOPPYv2Y/edit?usp=sharing"",""งบพรบ!DB38"")"),151268)</f>
        <v>151268</v>
      </c>
      <c r="O191" s="255">
        <f ca="1">IF(L191&gt;0,N191*100/L191,0)</f>
        <v>61.6162932790224</v>
      </c>
      <c r="P191" s="255">
        <f ca="1">IF(M191&gt;0,N191*100/M191,0)</f>
        <v>68.292550790067722</v>
      </c>
      <c r="Q191" s="255">
        <f ca="1">IFERROR(__xludf.DUMMYFUNCTION("IMPORTRANGE(""https://docs.google.com/spreadsheets/d/1ItG2mGa2ceCfYo0BwxsXqNm01IGEUdYcSSLTEv9YCik/edit?usp=sharing"",""เบิกจ่ายกองทุน!AV38"")"),77700)</f>
        <v>77700</v>
      </c>
      <c r="R191" s="255">
        <f ca="1">IFERROR(__xludf.DUMMYFUNCTION("IMPORTRANGE(""https://docs.google.com/spreadsheets/d/1ItG2mGa2ceCfYo0BwxsXqNm01IGEUdYcSSLTEv9YCik/edit?usp=sharing"",""เบิกจ่ายกองทุน!AW38"")"),91700)</f>
        <v>91700</v>
      </c>
      <c r="S191" s="255">
        <f ca="1">IFERROR(__xludf.DUMMYFUNCTION("IMPORTRANGE(""https://docs.google.com/spreadsheets/d/1ItG2mGa2ceCfYo0BwxsXqNm01IGEUdYcSSLTEv9YCik/edit?usp=sharing"",""เบิกจ่ายกองทุน!AX38"")"),20125)</f>
        <v>20125</v>
      </c>
      <c r="T191" s="255">
        <f ca="1">IF(Q191&gt;0,S191*100/Q191,0)</f>
        <v>25.900900900900901</v>
      </c>
      <c r="U191" s="255">
        <f ca="1">IF(R191&gt;0,S191*100/R191,0)</f>
        <v>21.946564885496183</v>
      </c>
    </row>
    <row r="192" spans="1:21" ht="18.75">
      <c r="A192" s="155"/>
      <c r="B192" s="50"/>
      <c r="C192" s="50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256">
        <f ca="1">L193+L194</f>
        <v>0</v>
      </c>
      <c r="M192" s="255">
        <f ca="1">M193+M194</f>
        <v>0</v>
      </c>
      <c r="N192" s="255">
        <f ca="1">N193+N194</f>
        <v>0</v>
      </c>
      <c r="O192" s="255">
        <f ca="1">IF(L192&gt;0,N192*100/L192,0)</f>
        <v>0</v>
      </c>
      <c r="P192" s="255">
        <f ca="1">IF(M192&gt;0,N192*100/M192,0)</f>
        <v>0</v>
      </c>
      <c r="Q192" s="255">
        <f>Q193+Q194</f>
        <v>0</v>
      </c>
      <c r="R192" s="255">
        <f>R193+R194</f>
        <v>0</v>
      </c>
      <c r="S192" s="255">
        <f>S193+S194</f>
        <v>0</v>
      </c>
      <c r="T192" s="255">
        <f>IF(Q192&gt;0,S192*100/Q192,0)</f>
        <v>0</v>
      </c>
      <c r="U192" s="255">
        <f>IF(R192&gt;0,S192*100/R192,0)</f>
        <v>0</v>
      </c>
    </row>
    <row r="193" spans="1:21" ht="18.75" hidden="1">
      <c r="A193" s="155"/>
      <c r="B193" s="50"/>
      <c r="C193" s="50"/>
      <c r="D193" s="50"/>
      <c r="E193" s="186" t="s">
        <v>20</v>
      </c>
      <c r="F193" s="50"/>
      <c r="G193" s="52"/>
      <c r="H193" s="189" t="s">
        <v>14</v>
      </c>
      <c r="I193" s="163"/>
      <c r="J193" s="163"/>
      <c r="K193" s="164"/>
      <c r="L193" s="103">
        <v>0</v>
      </c>
      <c r="M193" s="102">
        <v>0</v>
      </c>
      <c r="N193" s="102">
        <v>0</v>
      </c>
      <c r="O193" s="102">
        <f>IF(L193&gt;0,N193*100/L193,0)</f>
        <v>0</v>
      </c>
      <c r="P193" s="102">
        <f>IF(M193&gt;0,N193*100/M193,0)</f>
        <v>0</v>
      </c>
      <c r="Q193" s="102">
        <v>0</v>
      </c>
      <c r="R193" s="102">
        <v>0</v>
      </c>
      <c r="S193" s="102">
        <v>0</v>
      </c>
      <c r="T193" s="102">
        <f>IF(Q193&gt;0,S193*100/Q193,0)</f>
        <v>0</v>
      </c>
      <c r="U193" s="102">
        <f>IF(R193&gt;0,S193*100/R193,0)</f>
        <v>0</v>
      </c>
    </row>
    <row r="194" spans="1:21" ht="18.75" hidden="1">
      <c r="A194" s="155"/>
      <c r="B194" s="50"/>
      <c r="C194" s="50"/>
      <c r="D194" s="50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256">
        <f ca="1">IFERROR(__xludf.DUMMYFUNCTION("IMPORTRANGE(""https://docs.google.com/spreadsheets/d/1-uDff_7J0KD5mKrp0Vvzr7lt3OU09vwQwhkpOPPYv2Y/edit?usp=sharing"",""งบพรบ!CX38"")"),0)</f>
        <v>0</v>
      </c>
      <c r="M194" s="255">
        <f ca="1">IFERROR(__xludf.DUMMYFUNCTION("IMPORTRANGE(""https://docs.google.com/spreadsheets/d/1-uDff_7J0KD5mKrp0Vvzr7lt3OU09vwQwhkpOPPYv2Y/edit?usp=sharing"",""งบพรบ!DA38"")"),0)</f>
        <v>0</v>
      </c>
      <c r="N194" s="255">
        <f ca="1">IFERROR(__xludf.DUMMYFUNCTION("IMPORTRANGE(""https://docs.google.com/spreadsheets/d/1-uDff_7J0KD5mKrp0Vvzr7lt3OU09vwQwhkpOPPYv2Y/edit?usp=sharing"",""งบพรบ!DC38"")"),0)</f>
        <v>0</v>
      </c>
      <c r="O194" s="255">
        <f ca="1">IF(L194&gt;0,N194*100/L194,0)</f>
        <v>0</v>
      </c>
      <c r="P194" s="255">
        <f ca="1">IF(M194&gt;0,N194*100/M194,0)</f>
        <v>0</v>
      </c>
      <c r="Q194" s="255">
        <v>0</v>
      </c>
      <c r="R194" s="255">
        <v>0</v>
      </c>
      <c r="S194" s="255">
        <v>0</v>
      </c>
      <c r="T194" s="255">
        <f>IF(Q194&gt;0,S194*100/Q194,0)</f>
        <v>0</v>
      </c>
      <c r="U194" s="255">
        <f>IF(R194&gt;0,S194*100/R194,0)</f>
        <v>0</v>
      </c>
    </row>
    <row r="195" spans="1:21" ht="19.5">
      <c r="A195" s="241"/>
      <c r="B195" s="242"/>
      <c r="C195" s="243" t="s">
        <v>78</v>
      </c>
      <c r="D195" s="244"/>
      <c r="E195" s="244"/>
      <c r="F195" s="244"/>
      <c r="G195" s="245"/>
      <c r="H195" s="246" t="s">
        <v>79</v>
      </c>
      <c r="I195" s="339">
        <f ca="1">I198</f>
        <v>4</v>
      </c>
      <c r="J195" s="339">
        <f>J198</f>
        <v>2</v>
      </c>
      <c r="K195" s="340">
        <f ca="1">IF(I195&gt;0,J195*100/I195,0)</f>
        <v>50</v>
      </c>
      <c r="L195" s="250"/>
      <c r="M195" s="249"/>
      <c r="N195" s="249"/>
      <c r="O195" s="249"/>
      <c r="P195" s="249"/>
      <c r="Q195" s="249"/>
      <c r="R195" s="249"/>
      <c r="S195" s="249"/>
      <c r="T195" s="249"/>
      <c r="U195" s="249"/>
    </row>
    <row r="196" spans="1:21" ht="19.5">
      <c r="A196" s="155"/>
      <c r="B196" s="50"/>
      <c r="C196" s="156" t="s">
        <v>18</v>
      </c>
      <c r="D196" s="713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541">
        <f ca="1">IFERROR(__xludf.DUMMYFUNCTION("IMPORTRANGE(""https://docs.google.com/spreadsheets/d/1eHaY18a8A9IcSdp1K8H6x8fbOy06t2VsZHhMHf-1x7Y/edit?usp=sharing"",""แผน!AB38"")"),6000)</f>
        <v>6000</v>
      </c>
      <c r="M196" s="55"/>
      <c r="N196" s="716">
        <v>1420</v>
      </c>
      <c r="O196" s="540">
        <f ca="1">IF(L196&gt;0,N196*100/L196,0)</f>
        <v>23.666666666666668</v>
      </c>
      <c r="P196" s="540">
        <f>IF(M196&gt;0,N196*100/M196,0)</f>
        <v>0</v>
      </c>
      <c r="Q196" s="55"/>
      <c r="R196" s="55"/>
      <c r="S196" s="55"/>
      <c r="T196" s="55"/>
      <c r="U196" s="55"/>
    </row>
    <row r="197" spans="1:21" ht="19.5">
      <c r="A197" s="166"/>
      <c r="B197" s="167"/>
      <c r="C197" s="156" t="s">
        <v>18</v>
      </c>
      <c r="D197" s="566" t="s">
        <v>38</v>
      </c>
      <c r="E197" s="169"/>
      <c r="F197" s="169"/>
      <c r="G197" s="170"/>
      <c r="H197" s="171"/>
      <c r="I197" s="54"/>
      <c r="J197" s="54"/>
      <c r="K197" s="55"/>
      <c r="L197" s="62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8.75">
      <c r="A198" s="166"/>
      <c r="B198" s="167"/>
      <c r="C198" s="167"/>
      <c r="D198" s="178" t="s">
        <v>80</v>
      </c>
      <c r="E198" s="174"/>
      <c r="F198" s="174"/>
      <c r="G198" s="171"/>
      <c r="H198" s="179" t="s">
        <v>79</v>
      </c>
      <c r="I198" s="212">
        <f ca="1">IFERROR(__xludf.DUMMYFUNCTION("IMPORTRANGE(""https://docs.google.com/spreadsheets/d/1eHaY18a8A9IcSdp1K8H6x8fbOy06t2VsZHhMHf-1x7Y/edit?usp=sharing"",""แผน!AE38"")"),4)</f>
        <v>4</v>
      </c>
      <c r="J198" s="467">
        <v>2</v>
      </c>
      <c r="K198" s="255">
        <f ca="1">IF(I198&gt;0,J198*100/I198,0)</f>
        <v>50</v>
      </c>
      <c r="L198" s="62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8.75">
      <c r="A199" s="166"/>
      <c r="B199" s="167"/>
      <c r="C199" s="167"/>
      <c r="D199" s="178" t="s">
        <v>81</v>
      </c>
      <c r="E199" s="174"/>
      <c r="F199" s="174"/>
      <c r="G199" s="171"/>
      <c r="H199" s="240" t="s">
        <v>35</v>
      </c>
      <c r="I199" s="54"/>
      <c r="J199" s="212">
        <f>J200+J201</f>
        <v>42</v>
      </c>
      <c r="K199" s="55"/>
      <c r="L199" s="62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467">
        <v>42</v>
      </c>
      <c r="K200" s="55"/>
      <c r="L200" s="62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40" t="s">
        <v>35</v>
      </c>
      <c r="I201" s="54"/>
      <c r="J201" s="467">
        <v>0</v>
      </c>
      <c r="K201" s="55"/>
      <c r="L201" s="62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254" t="s">
        <v>85</v>
      </c>
      <c r="I202" s="339">
        <f ca="1">I209</f>
        <v>2</v>
      </c>
      <c r="J202" s="339">
        <f>J209</f>
        <v>2</v>
      </c>
      <c r="K202" s="340">
        <f ca="1">IF(I202&gt;0,J202*100/I202,0)</f>
        <v>100</v>
      </c>
      <c r="L202" s="250"/>
      <c r="M202" s="249"/>
      <c r="N202" s="249"/>
      <c r="O202" s="249"/>
      <c r="P202" s="249"/>
      <c r="Q202" s="249"/>
      <c r="R202" s="249"/>
      <c r="S202" s="249"/>
      <c r="T202" s="249"/>
      <c r="U202" s="249"/>
    </row>
    <row r="203" spans="1:21" ht="19.5">
      <c r="A203" s="155"/>
      <c r="B203" s="50"/>
      <c r="C203" s="156" t="s">
        <v>18</v>
      </c>
      <c r="D203" s="713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541">
        <f ca="1">L204+L205+L206+L207</f>
        <v>15000</v>
      </c>
      <c r="M203" s="55"/>
      <c r="N203" s="540">
        <f>N204+N205+N206+N207</f>
        <v>0</v>
      </c>
      <c r="O203" s="540">
        <f ca="1">IF(L203&gt;0,N203*100/L203,0)</f>
        <v>0</v>
      </c>
      <c r="P203" s="540">
        <f>IF(M203&gt;0,N203*100/M203,0)</f>
        <v>0</v>
      </c>
      <c r="Q203" s="715">
        <f ca="1">Q204+Q205+Q206+Q207</f>
        <v>28000</v>
      </c>
      <c r="R203" s="350"/>
      <c r="S203" s="714">
        <f>S204+S205+S206+S207</f>
        <v>0</v>
      </c>
      <c r="T203" s="714">
        <f ca="1">IF(Q203&gt;0,S203*100/Q203,0)</f>
        <v>0</v>
      </c>
      <c r="U203" s="714">
        <f>IF(R203&gt;0,S203*100/R203,0)</f>
        <v>0</v>
      </c>
    </row>
    <row r="204" spans="1:21" ht="18.75">
      <c r="A204" s="155"/>
      <c r="B204" s="188"/>
      <c r="C204" s="50"/>
      <c r="D204" s="712" t="s">
        <v>310</v>
      </c>
      <c r="E204" s="50"/>
      <c r="F204" s="50"/>
      <c r="G204" s="52"/>
      <c r="H204" s="162" t="s">
        <v>14</v>
      </c>
      <c r="I204" s="163"/>
      <c r="J204" s="163"/>
      <c r="K204" s="164"/>
      <c r="L204" s="256">
        <f ca="1">IFERROR(__xludf.DUMMYFUNCTION("IMPORTRANGE(""https://docs.google.com/spreadsheets/d/1eHaY18a8A9IcSdp1K8H6x8fbOy06t2VsZHhMHf-1x7Y/edit?usp=sharing"",""แผน!AG38"")"),2000)</f>
        <v>2000</v>
      </c>
      <c r="M204" s="55"/>
      <c r="N204" s="702">
        <v>0</v>
      </c>
      <c r="O204" s="164"/>
      <c r="P204" s="55"/>
      <c r="Q204" s="256">
        <v>0</v>
      </c>
      <c r="R204" s="55"/>
      <c r="S204" s="255">
        <v>0</v>
      </c>
      <c r="T204" s="164"/>
      <c r="U204" s="55"/>
    </row>
    <row r="205" spans="1:21" ht="18.75">
      <c r="A205" s="238"/>
      <c r="B205" s="188"/>
      <c r="C205" s="50"/>
      <c r="D205" s="58" t="s">
        <v>308</v>
      </c>
      <c r="E205" s="50"/>
      <c r="F205" s="50"/>
      <c r="G205" s="52"/>
      <c r="H205" s="53" t="s">
        <v>14</v>
      </c>
      <c r="I205" s="54"/>
      <c r="J205" s="54"/>
      <c r="K205" s="55"/>
      <c r="L205" s="256">
        <f ca="1">IFERROR(__xludf.DUMMYFUNCTION("IMPORTRANGE(""https://docs.google.com/spreadsheets/d/1eHaY18a8A9IcSdp1K8H6x8fbOy06t2VsZHhMHf-1x7Y/edit?usp=sharing"",""แผน!AH38"")"),0)</f>
        <v>0</v>
      </c>
      <c r="M205" s="55"/>
      <c r="N205" s="702">
        <v>0</v>
      </c>
      <c r="O205" s="164"/>
      <c r="P205" s="55"/>
      <c r="Q205" s="256">
        <v>0</v>
      </c>
      <c r="R205" s="55"/>
      <c r="S205" s="255">
        <v>0</v>
      </c>
      <c r="T205" s="164"/>
      <c r="U205" s="55"/>
    </row>
    <row r="206" spans="1:21" ht="18.75">
      <c r="A206" s="238"/>
      <c r="B206" s="188"/>
      <c r="C206" s="50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256">
        <f ca="1">IFERROR(__xludf.DUMMYFUNCTION("IMPORTRANGE(""https://docs.google.com/spreadsheets/d/1eHaY18a8A9IcSdp1K8H6x8fbOy06t2VsZHhMHf-1x7Y/edit?usp=sharing"",""แผน!AI38"")"),0)</f>
        <v>0</v>
      </c>
      <c r="M206" s="55"/>
      <c r="N206" s="702">
        <v>0</v>
      </c>
      <c r="O206" s="164"/>
      <c r="P206" s="55"/>
      <c r="Q206" s="256">
        <f ca="1">IFERROR(__xludf.DUMMYFUNCTION("IMPORTRANGE(""https://docs.google.com/spreadsheets/d/1eHaY18a8A9IcSdp1K8H6x8fbOy06t2VsZHhMHf-1x7Y/edit?usp=sharing"",""แผน!LV38"")"),28000)</f>
        <v>28000</v>
      </c>
      <c r="R206" s="55"/>
      <c r="S206" s="702">
        <v>0</v>
      </c>
      <c r="T206" s="164"/>
      <c r="U206" s="55"/>
    </row>
    <row r="207" spans="1:21" ht="18.75">
      <c r="A207" s="238"/>
      <c r="B207" s="188"/>
      <c r="C207" s="50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256">
        <f ca="1">IFERROR(__xludf.DUMMYFUNCTION("IMPORTRANGE(""https://docs.google.com/spreadsheets/d/1eHaY18a8A9IcSdp1K8H6x8fbOy06t2VsZHhMHf-1x7Y/edit?usp=sharing"",""แผน!AJ38"")"),13000)</f>
        <v>13000</v>
      </c>
      <c r="M207" s="55"/>
      <c r="N207" s="702">
        <v>0</v>
      </c>
      <c r="O207" s="164"/>
      <c r="P207" s="55"/>
      <c r="Q207" s="256">
        <v>0</v>
      </c>
      <c r="R207" s="55"/>
      <c r="S207" s="255">
        <v>0</v>
      </c>
      <c r="T207" s="164"/>
      <c r="U207" s="55"/>
    </row>
    <row r="208" spans="1:21" ht="19.5">
      <c r="A208" s="166"/>
      <c r="B208" s="167"/>
      <c r="C208" s="156" t="s">
        <v>18</v>
      </c>
      <c r="D208" s="566" t="s">
        <v>38</v>
      </c>
      <c r="E208" s="169"/>
      <c r="F208" s="169"/>
      <c r="G208" s="170"/>
      <c r="H208" s="171"/>
      <c r="I208" s="163"/>
      <c r="J208" s="163"/>
      <c r="K208" s="164"/>
      <c r="L208" s="172"/>
      <c r="M208" s="164"/>
      <c r="N208" s="164"/>
      <c r="O208" s="164"/>
      <c r="P208" s="164"/>
      <c r="Q208" s="172"/>
      <c r="R208" s="164"/>
      <c r="S208" s="164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257" t="s">
        <v>85</v>
      </c>
      <c r="I209" s="212">
        <f ca="1">IFERROR(__xludf.DUMMYFUNCTION("IMPORTRANGE(""https://docs.google.com/spreadsheets/d/1eHaY18a8A9IcSdp1K8H6x8fbOy06t2VsZHhMHf-1x7Y/edit?usp=sharing"",""แผน!AK38"")"),2)</f>
        <v>2</v>
      </c>
      <c r="J209" s="467">
        <v>2</v>
      </c>
      <c r="K209" s="565">
        <f ca="1">IF(I209&gt;0,J209*100/I209,0)</f>
        <v>100</v>
      </c>
      <c r="L209" s="62"/>
      <c r="M209" s="55"/>
      <c r="N209" s="55"/>
      <c r="O209" s="55"/>
      <c r="P209" s="55"/>
      <c r="Q209" s="62"/>
      <c r="R209" s="55"/>
      <c r="S209" s="55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171"/>
      <c r="I210" s="54"/>
      <c r="J210" s="54"/>
      <c r="K210" s="164"/>
      <c r="L210" s="62"/>
      <c r="M210" s="55"/>
      <c r="N210" s="55"/>
      <c r="O210" s="55"/>
      <c r="P210" s="55"/>
      <c r="Q210" s="62"/>
      <c r="R210" s="55"/>
      <c r="S210" s="55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257" t="s">
        <v>85</v>
      </c>
      <c r="I211" s="212">
        <f ca="1">IFERROR(__xludf.DUMMYFUNCTION("IMPORTRANGE(""https://docs.google.com/spreadsheets/d/1eHaY18a8A9IcSdp1K8H6x8fbOy06t2VsZHhMHf-1x7Y/edit?usp=sharing"",""แผน!JX38"")"),2)</f>
        <v>2</v>
      </c>
      <c r="J211" s="467">
        <v>0</v>
      </c>
      <c r="K211" s="565">
        <f ca="1">IF(I211&gt;0,J211*100/I211,0)</f>
        <v>0</v>
      </c>
      <c r="L211" s="62"/>
      <c r="M211" s="55"/>
      <c r="N211" s="55"/>
      <c r="O211" s="55"/>
      <c r="P211" s="55"/>
      <c r="Q211" s="62"/>
      <c r="R211" s="55"/>
      <c r="S211" s="55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79" t="s">
        <v>93</v>
      </c>
      <c r="I212" s="212">
        <f ca="1">IFERROR(__xludf.DUMMYFUNCTION("IMPORTRANGE(""https://docs.google.com/spreadsheets/d/1eHaY18a8A9IcSdp1K8H6x8fbOy06t2VsZHhMHf-1x7Y/edit?usp=sharing"",""แผน!JY38"")"),1)</f>
        <v>1</v>
      </c>
      <c r="J212" s="467">
        <v>0</v>
      </c>
      <c r="K212" s="565">
        <f ca="1">IF(I212&gt;0,J212*100/I212,0)</f>
        <v>0</v>
      </c>
      <c r="L212" s="62"/>
      <c r="M212" s="55"/>
      <c r="N212" s="55"/>
      <c r="O212" s="55"/>
      <c r="P212" s="55"/>
      <c r="Q212" s="62"/>
      <c r="R212" s="55"/>
      <c r="S212" s="55"/>
      <c r="T212" s="55"/>
      <c r="U212" s="55"/>
    </row>
    <row r="213" spans="1:21" ht="19.5">
      <c r="A213" s="241"/>
      <c r="B213" s="242"/>
      <c r="C213" s="243" t="s">
        <v>94</v>
      </c>
      <c r="D213" s="244"/>
      <c r="E213" s="244"/>
      <c r="F213" s="244"/>
      <c r="G213" s="245"/>
      <c r="H213" s="254" t="s">
        <v>85</v>
      </c>
      <c r="I213" s="339">
        <f ca="1">I220</f>
        <v>1</v>
      </c>
      <c r="J213" s="339">
        <f>J220</f>
        <v>0</v>
      </c>
      <c r="K213" s="340">
        <f ca="1">IF(I213&gt;0,J213*100/I213,0)</f>
        <v>0</v>
      </c>
      <c r="L213" s="250"/>
      <c r="M213" s="249"/>
      <c r="N213" s="249"/>
      <c r="O213" s="249"/>
      <c r="P213" s="249"/>
      <c r="Q213" s="250"/>
      <c r="R213" s="249"/>
      <c r="S213" s="249"/>
      <c r="T213" s="249"/>
      <c r="U213" s="249"/>
    </row>
    <row r="214" spans="1:21" ht="19.5">
      <c r="A214" s="155"/>
      <c r="B214" s="50"/>
      <c r="C214" s="156" t="s">
        <v>18</v>
      </c>
      <c r="D214" s="713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541">
        <f ca="1">L215+L216+L217</f>
        <v>6000</v>
      </c>
      <c r="M214" s="55"/>
      <c r="N214" s="540">
        <f>N215+N216+N217</f>
        <v>0</v>
      </c>
      <c r="O214" s="540">
        <f ca="1">IF(L214&gt;0,N214*100/L214,0)</f>
        <v>0</v>
      </c>
      <c r="P214" s="540">
        <f>IF(M214&gt;0,N214*100/M214,0)</f>
        <v>0</v>
      </c>
      <c r="Q214" s="541">
        <f ca="1">Q215+Q216+Q217</f>
        <v>49700</v>
      </c>
      <c r="R214" s="55"/>
      <c r="S214" s="540">
        <f>S215+S216+S217</f>
        <v>0</v>
      </c>
      <c r="T214" s="540">
        <f ca="1">IF(Q214&gt;0,S214*100/Q214,0)</f>
        <v>0</v>
      </c>
      <c r="U214" s="540">
        <f>IF(R214&gt;0,S214*100/R214,0)</f>
        <v>0</v>
      </c>
    </row>
    <row r="215" spans="1:21" ht="18.75">
      <c r="A215" s="155"/>
      <c r="B215" s="188"/>
      <c r="C215" s="50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256">
        <f ca="1">IFERROR(__xludf.DUMMYFUNCTION("IMPORTRANGE(""https://docs.google.com/spreadsheets/d/1eHaY18a8A9IcSdp1K8H6x8fbOy06t2VsZHhMHf-1x7Y/edit?usp=sharing"",""แผน!AM38"")"),1000)</f>
        <v>1000</v>
      </c>
      <c r="M215" s="55"/>
      <c r="N215" s="702">
        <v>0</v>
      </c>
      <c r="O215" s="164"/>
      <c r="P215" s="55"/>
      <c r="Q215" s="256">
        <v>0</v>
      </c>
      <c r="R215" s="55"/>
      <c r="S215" s="255">
        <v>0</v>
      </c>
      <c r="T215" s="164"/>
      <c r="U215" s="55"/>
    </row>
    <row r="216" spans="1:21" ht="18.75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256">
        <f ca="1">IFERROR(__xludf.DUMMYFUNCTION("IMPORTRANGE(""https://docs.google.com/spreadsheets/d/1eHaY18a8A9IcSdp1K8H6x8fbOy06t2VsZHhMHf-1x7Y/edit?usp=sharing"",""แผน!AN38"")"),5000)</f>
        <v>5000</v>
      </c>
      <c r="M216" s="55"/>
      <c r="N216" s="702">
        <v>0</v>
      </c>
      <c r="O216" s="164"/>
      <c r="P216" s="55"/>
      <c r="Q216" s="256">
        <v>0</v>
      </c>
      <c r="R216" s="55"/>
      <c r="S216" s="255">
        <v>0</v>
      </c>
      <c r="T216" s="164"/>
      <c r="U216" s="55"/>
    </row>
    <row r="217" spans="1:21" ht="18.75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256">
        <f ca="1">IFERROR(__xludf.DUMMYFUNCTION("IMPORTRANGE(""https://docs.google.com/spreadsheets/d/1eHaY18a8A9IcSdp1K8H6x8fbOy06t2VsZHhMHf-1x7Y/edit?usp=sharing"",""แผน!AO38"")"),0)</f>
        <v>0</v>
      </c>
      <c r="M217" s="55"/>
      <c r="N217" s="702">
        <v>0</v>
      </c>
      <c r="O217" s="164"/>
      <c r="P217" s="55"/>
      <c r="Q217" s="256">
        <f ca="1">IFERROR(__xludf.DUMMYFUNCTION("IMPORTRANGE(""https://docs.google.com/spreadsheets/d/1eHaY18a8A9IcSdp1K8H6x8fbOy06t2VsZHhMHf-1x7Y/edit?usp=sharing"",""แผน!LY38"")"),49700)</f>
        <v>49700</v>
      </c>
      <c r="R217" s="55"/>
      <c r="S217" s="702">
        <v>0</v>
      </c>
      <c r="T217" s="164"/>
      <c r="U217" s="55"/>
    </row>
    <row r="218" spans="1:21" ht="19.5">
      <c r="A218" s="166"/>
      <c r="B218" s="167"/>
      <c r="C218" s="191" t="s">
        <v>18</v>
      </c>
      <c r="D218" s="566" t="s">
        <v>38</v>
      </c>
      <c r="E218" s="169"/>
      <c r="F218" s="169"/>
      <c r="G218" s="170"/>
      <c r="H218" s="171"/>
      <c r="I218" s="163"/>
      <c r="J218" s="54"/>
      <c r="K218" s="55"/>
      <c r="L218" s="62"/>
      <c r="M218" s="55"/>
      <c r="N218" s="55"/>
      <c r="O218" s="164"/>
      <c r="P218" s="164"/>
      <c r="Q218" s="62"/>
      <c r="R218" s="55"/>
      <c r="S218" s="55"/>
      <c r="T218" s="164"/>
      <c r="U218" s="164"/>
    </row>
    <row r="219" spans="1:21" ht="18.75">
      <c r="A219" s="166"/>
      <c r="B219" s="167"/>
      <c r="C219" s="167"/>
      <c r="D219" s="173" t="s">
        <v>96</v>
      </c>
      <c r="E219" s="174"/>
      <c r="F219" s="174"/>
      <c r="G219" s="171"/>
      <c r="H219" s="257" t="s">
        <v>85</v>
      </c>
      <c r="I219" s="212">
        <f ca="1">IFERROR(__xludf.DUMMYFUNCTION("IMPORTRANGE(""https://docs.google.com/spreadsheets/d/1eHaY18a8A9IcSdp1K8H6x8fbOy06t2VsZHhMHf-1x7Y/edit?usp=sharing"",""แผน!AP38"")"),1)</f>
        <v>1</v>
      </c>
      <c r="J219" s="467">
        <v>0</v>
      </c>
      <c r="K219" s="255">
        <f ca="1">IF(I219&gt;0,J219*100/I219,0)</f>
        <v>0</v>
      </c>
      <c r="L219" s="62"/>
      <c r="M219" s="55"/>
      <c r="N219" s="55"/>
      <c r="O219" s="55"/>
      <c r="P219" s="55"/>
      <c r="Q219" s="62"/>
      <c r="R219" s="55"/>
      <c r="S219" s="55"/>
      <c r="T219" s="55"/>
      <c r="U219" s="55"/>
    </row>
    <row r="220" spans="1:21" ht="18.75">
      <c r="A220" s="166"/>
      <c r="B220" s="167"/>
      <c r="C220" s="167"/>
      <c r="D220" s="173" t="s">
        <v>97</v>
      </c>
      <c r="E220" s="174"/>
      <c r="F220" s="174"/>
      <c r="G220" s="171"/>
      <c r="H220" s="257" t="s">
        <v>85</v>
      </c>
      <c r="I220" s="212">
        <f ca="1">IFERROR(__xludf.DUMMYFUNCTION("IMPORTRANGE(""https://docs.google.com/spreadsheets/d/1eHaY18a8A9IcSdp1K8H6x8fbOy06t2VsZHhMHf-1x7Y/edit?usp=sharing"",""แผน!AP38"")"),1)</f>
        <v>1</v>
      </c>
      <c r="J220" s="467">
        <v>0</v>
      </c>
      <c r="K220" s="255">
        <f ca="1">IF(I220&gt;0,J220*100/I220,0)</f>
        <v>0</v>
      </c>
      <c r="L220" s="62"/>
      <c r="M220" s="55"/>
      <c r="N220" s="55"/>
      <c r="O220" s="55"/>
      <c r="P220" s="55"/>
      <c r="Q220" s="62"/>
      <c r="R220" s="55"/>
      <c r="S220" s="55"/>
      <c r="T220" s="55"/>
      <c r="U220" s="55"/>
    </row>
    <row r="221" spans="1:21" ht="19.5">
      <c r="A221" s="241"/>
      <c r="B221" s="242"/>
      <c r="C221" s="243" t="s">
        <v>98</v>
      </c>
      <c r="D221" s="244"/>
      <c r="E221" s="244"/>
      <c r="F221" s="244"/>
      <c r="G221" s="245"/>
      <c r="H221" s="246" t="s">
        <v>99</v>
      </c>
      <c r="I221" s="339">
        <f ca="1">I229</f>
        <v>100000</v>
      </c>
      <c r="J221" s="339">
        <f>J229</f>
        <v>0</v>
      </c>
      <c r="K221" s="340">
        <f ca="1">IF(I221&gt;0,J221*100/I221,0)</f>
        <v>0</v>
      </c>
      <c r="L221" s="250"/>
      <c r="M221" s="249"/>
      <c r="N221" s="249"/>
      <c r="O221" s="249"/>
      <c r="P221" s="249"/>
      <c r="Q221" s="249"/>
      <c r="R221" s="249"/>
      <c r="S221" s="249"/>
      <c r="T221" s="249"/>
      <c r="U221" s="249"/>
    </row>
    <row r="222" spans="1:21" ht="19.5">
      <c r="A222" s="155"/>
      <c r="B222" s="50"/>
      <c r="C222" s="156" t="s">
        <v>18</v>
      </c>
      <c r="D222" s="713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541">
        <f ca="1">L223+L224+L225</f>
        <v>12500</v>
      </c>
      <c r="M222" s="55"/>
      <c r="N222" s="540">
        <f>N223+N224+N225</f>
        <v>0</v>
      </c>
      <c r="O222" s="540">
        <f ca="1">IF(L222&gt;0,N222*100/L222,0)</f>
        <v>0</v>
      </c>
      <c r="P222" s="540">
        <f>IF(M222&gt;0,N222*100/M222,0)</f>
        <v>0</v>
      </c>
      <c r="Q222" s="55"/>
      <c r="R222" s="55"/>
      <c r="S222" s="55"/>
      <c r="T222" s="55"/>
      <c r="U222" s="55"/>
    </row>
    <row r="223" spans="1:21" ht="18.75">
      <c r="A223" s="155"/>
      <c r="B223" s="188"/>
      <c r="C223" s="50"/>
      <c r="D223" s="712" t="s">
        <v>309</v>
      </c>
      <c r="E223" s="50"/>
      <c r="F223" s="50"/>
      <c r="G223" s="52"/>
      <c r="H223" s="162" t="s">
        <v>14</v>
      </c>
      <c r="I223" s="163"/>
      <c r="J223" s="163"/>
      <c r="K223" s="164"/>
      <c r="L223" s="256">
        <f ca="1">IFERROR(__xludf.DUMMYFUNCTION("IMPORTRANGE(""https://docs.google.com/spreadsheets/d/1eHaY18a8A9IcSdp1K8H6x8fbOy06t2VsZHhMHf-1x7Y/edit?usp=sharing"",""แผน!AR38"")"),2500)</f>
        <v>2500</v>
      </c>
      <c r="M223" s="55"/>
      <c r="N223" s="702">
        <v>0</v>
      </c>
      <c r="O223" s="164"/>
      <c r="P223" s="55"/>
      <c r="Q223" s="55"/>
      <c r="R223" s="55"/>
      <c r="S223" s="55"/>
      <c r="T223" s="164"/>
      <c r="U223" s="55"/>
    </row>
    <row r="224" spans="1:21" ht="18.75">
      <c r="A224" s="238"/>
      <c r="B224" s="188"/>
      <c r="C224" s="188"/>
      <c r="D224" s="58" t="s">
        <v>308</v>
      </c>
      <c r="E224" s="50"/>
      <c r="F224" s="50"/>
      <c r="G224" s="52"/>
      <c r="H224" s="162" t="s">
        <v>14</v>
      </c>
      <c r="I224" s="54"/>
      <c r="J224" s="54"/>
      <c r="K224" s="55"/>
      <c r="L224" s="256">
        <f ca="1">IFERROR(__xludf.DUMMYFUNCTION("IMPORTRANGE(""https://docs.google.com/spreadsheets/d/1eHaY18a8A9IcSdp1K8H6x8fbOy06t2VsZHhMHf-1x7Y/edit?usp=sharing"",""แผน!AS38"")"),10000)</f>
        <v>10000</v>
      </c>
      <c r="M224" s="55"/>
      <c r="N224" s="702">
        <v>0</v>
      </c>
      <c r="O224" s="164"/>
      <c r="P224" s="55"/>
      <c r="Q224" s="55"/>
      <c r="R224" s="55"/>
      <c r="S224" s="55"/>
      <c r="T224" s="164"/>
      <c r="U224" s="55"/>
    </row>
    <row r="225" spans="1:21" ht="18.75">
      <c r="A225" s="238"/>
      <c r="B225" s="188"/>
      <c r="C225" s="188"/>
      <c r="D225" s="58" t="s">
        <v>88</v>
      </c>
      <c r="E225" s="50"/>
      <c r="F225" s="50"/>
      <c r="G225" s="52"/>
      <c r="H225" s="162" t="s">
        <v>14</v>
      </c>
      <c r="I225" s="54"/>
      <c r="J225" s="54"/>
      <c r="K225" s="55"/>
      <c r="L225" s="256">
        <f ca="1">IFERROR(__xludf.DUMMYFUNCTION("IMPORTRANGE(""https://docs.google.com/spreadsheets/d/1eHaY18a8A9IcSdp1K8H6x8fbOy06t2VsZHhMHf-1x7Y/edit?usp=sharing"",""แผน!AT38"")"),0)</f>
        <v>0</v>
      </c>
      <c r="M225" s="55"/>
      <c r="N225" s="702">
        <v>0</v>
      </c>
      <c r="O225" s="164"/>
      <c r="P225" s="55"/>
      <c r="Q225" s="55"/>
      <c r="R225" s="55"/>
      <c r="S225" s="55"/>
      <c r="T225" s="164"/>
      <c r="U225" s="55"/>
    </row>
    <row r="226" spans="1:21" ht="19.5">
      <c r="A226" s="166"/>
      <c r="B226" s="167"/>
      <c r="C226" s="191" t="s">
        <v>18</v>
      </c>
      <c r="D226" s="566" t="s">
        <v>38</v>
      </c>
      <c r="E226" s="169"/>
      <c r="F226" s="169"/>
      <c r="G226" s="170"/>
      <c r="H226" s="171"/>
      <c r="I226" s="163"/>
      <c r="J226" s="163"/>
      <c r="K226" s="164"/>
      <c r="L226" s="172"/>
      <c r="M226" s="164"/>
      <c r="N226" s="164"/>
      <c r="O226" s="164"/>
      <c r="P226" s="164"/>
      <c r="Q226" s="164"/>
      <c r="R226" s="164"/>
      <c r="S226" s="164"/>
      <c r="T226" s="164"/>
      <c r="U226" s="164"/>
    </row>
    <row r="227" spans="1:21" ht="18.75">
      <c r="A227" s="166"/>
      <c r="B227" s="167"/>
      <c r="C227" s="167"/>
      <c r="D227" s="58" t="s">
        <v>101</v>
      </c>
      <c r="E227" s="174"/>
      <c r="F227" s="174"/>
      <c r="G227" s="171"/>
      <c r="H227" s="171"/>
      <c r="I227" s="54"/>
      <c r="J227" s="54"/>
      <c r="K227" s="164"/>
      <c r="L227" s="172"/>
      <c r="M227" s="164"/>
      <c r="N227" s="164"/>
      <c r="O227" s="164"/>
      <c r="P227" s="164"/>
      <c r="Q227" s="164"/>
      <c r="R227" s="164"/>
      <c r="S227" s="164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79" t="s">
        <v>99</v>
      </c>
      <c r="I228" s="212">
        <f ca="1">IFERROR(__xludf.DUMMYFUNCTION("IMPORTRANGE(""https://docs.google.com/spreadsheets/d/1eHaY18a8A9IcSdp1K8H6x8fbOy06t2VsZHhMHf-1x7Y/edit?usp=sharing"",""แผน!AV38"")"),100000)</f>
        <v>100000</v>
      </c>
      <c r="J228" s="467">
        <v>0</v>
      </c>
      <c r="K228" s="565">
        <f ca="1">IF(I228&gt;0,J228*100/I228,0)</f>
        <v>0</v>
      </c>
      <c r="L228" s="172"/>
      <c r="M228" s="164"/>
      <c r="N228" s="164"/>
      <c r="O228" s="164"/>
      <c r="P228" s="164"/>
      <c r="Q228" s="164"/>
      <c r="R228" s="164"/>
      <c r="S228" s="164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79" t="s">
        <v>99</v>
      </c>
      <c r="I229" s="212">
        <f ca="1">IFERROR(__xludf.DUMMYFUNCTION("IMPORTRANGE(""https://docs.google.com/spreadsheets/d/1eHaY18a8A9IcSdp1K8H6x8fbOy06t2VsZHhMHf-1x7Y/edit?usp=sharing"",""แผน!AV38"")"),100000)</f>
        <v>100000</v>
      </c>
      <c r="J229" s="467">
        <v>0</v>
      </c>
      <c r="K229" s="565">
        <f ca="1">IF(I229&gt;0,J229*100/I229,0)</f>
        <v>0</v>
      </c>
      <c r="L229" s="62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79" t="s">
        <v>35</v>
      </c>
      <c r="I230" s="212">
        <f ca="1">IFERROR(__xludf.DUMMYFUNCTION("IMPORTRANGE(""https://docs.google.com/spreadsheets/d/1eHaY18a8A9IcSdp1K8H6x8fbOy06t2VsZHhMHf-1x7Y/edit?usp=sharing"",""แผน!AU38"")"),0)</f>
        <v>0</v>
      </c>
      <c r="J230" s="467">
        <v>0</v>
      </c>
      <c r="K230" s="565">
        <f ca="1">IF(I230&gt;0,J230*100/I230,0)</f>
        <v>0</v>
      </c>
      <c r="L230" s="62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9.5" hidden="1">
      <c r="A231" s="241"/>
      <c r="B231" s="242"/>
      <c r="C231" s="243" t="s">
        <v>105</v>
      </c>
      <c r="D231" s="244"/>
      <c r="E231" s="244"/>
      <c r="F231" s="244"/>
      <c r="G231" s="245"/>
      <c r="H231" s="246" t="s">
        <v>35</v>
      </c>
      <c r="I231" s="339">
        <f ca="1">I242+I253</f>
        <v>0</v>
      </c>
      <c r="J231" s="339">
        <f>J242+J253</f>
        <v>0</v>
      </c>
      <c r="K231" s="340">
        <f ca="1">IF(I231&gt;0,J231*100/I231,0)</f>
        <v>0</v>
      </c>
      <c r="L231" s="250"/>
      <c r="M231" s="249"/>
      <c r="N231" s="249"/>
      <c r="O231" s="249"/>
      <c r="P231" s="249"/>
      <c r="Q231" s="249"/>
      <c r="R231" s="249"/>
      <c r="S231" s="249"/>
      <c r="T231" s="249"/>
      <c r="U231" s="249"/>
    </row>
    <row r="232" spans="1:21" ht="19.5" hidden="1">
      <c r="A232" s="155"/>
      <c r="B232" s="50"/>
      <c r="C232" s="156" t="s">
        <v>18</v>
      </c>
      <c r="D232" s="575" t="s">
        <v>19</v>
      </c>
      <c r="E232" s="50"/>
      <c r="F232" s="50"/>
      <c r="G232" s="52"/>
      <c r="H232" s="252" t="s">
        <v>14</v>
      </c>
      <c r="I232" s="163"/>
      <c r="J232" s="163"/>
      <c r="K232" s="164"/>
      <c r="L232" s="711">
        <f ca="1">L243+L254</f>
        <v>0</v>
      </c>
      <c r="M232" s="55"/>
      <c r="N232" s="710">
        <f>N243+N254</f>
        <v>0</v>
      </c>
      <c r="O232" s="55"/>
      <c r="P232" s="55"/>
      <c r="Q232" s="55"/>
      <c r="R232" s="55"/>
      <c r="S232" s="55"/>
      <c r="T232" s="55"/>
      <c r="U232" s="55"/>
    </row>
    <row r="233" spans="1:21" ht="18.75" hidden="1">
      <c r="A233" s="155"/>
      <c r="B233" s="188"/>
      <c r="C233" s="50"/>
      <c r="D233" s="58" t="s">
        <v>86</v>
      </c>
      <c r="E233" s="50"/>
      <c r="F233" s="50"/>
      <c r="G233" s="52"/>
      <c r="H233" s="162" t="s">
        <v>14</v>
      </c>
      <c r="I233" s="163"/>
      <c r="J233" s="163"/>
      <c r="K233" s="164"/>
      <c r="L233" s="103">
        <f ca="1">L244+L255</f>
        <v>0</v>
      </c>
      <c r="M233" s="55"/>
      <c r="N233" s="102">
        <f>N244+N255</f>
        <v>0</v>
      </c>
      <c r="O233" s="55"/>
      <c r="P233" s="55"/>
      <c r="Q233" s="709">
        <v>0</v>
      </c>
      <c r="R233" s="708">
        <v>0</v>
      </c>
      <c r="S233" s="708">
        <v>0</v>
      </c>
      <c r="T233" s="55"/>
      <c r="U233" s="55"/>
    </row>
    <row r="234" spans="1:21" ht="18.75" hidden="1">
      <c r="A234" s="238"/>
      <c r="B234" s="188"/>
      <c r="C234" s="188"/>
      <c r="D234" s="58" t="s">
        <v>88</v>
      </c>
      <c r="E234" s="50"/>
      <c r="F234" s="50"/>
      <c r="G234" s="52"/>
      <c r="H234" s="162" t="s">
        <v>14</v>
      </c>
      <c r="I234" s="54"/>
      <c r="J234" s="54"/>
      <c r="K234" s="55"/>
      <c r="L234" s="103">
        <f ca="1">L245+L256</f>
        <v>0</v>
      </c>
      <c r="M234" s="55"/>
      <c r="N234" s="102">
        <f>N245+N256</f>
        <v>0</v>
      </c>
      <c r="O234" s="55"/>
      <c r="P234" s="55"/>
      <c r="Q234" s="256">
        <v>0</v>
      </c>
      <c r="R234" s="255">
        <v>0</v>
      </c>
      <c r="S234" s="255">
        <v>0</v>
      </c>
      <c r="T234" s="55"/>
      <c r="U234" s="55"/>
    </row>
    <row r="235" spans="1:21" ht="18.75" hidden="1">
      <c r="A235" s="238"/>
      <c r="B235" s="188"/>
      <c r="C235" s="188"/>
      <c r="D235" s="58" t="s">
        <v>106</v>
      </c>
      <c r="E235" s="50"/>
      <c r="F235" s="50"/>
      <c r="G235" s="52"/>
      <c r="H235" s="162" t="s">
        <v>14</v>
      </c>
      <c r="I235" s="54"/>
      <c r="J235" s="54"/>
      <c r="K235" s="55"/>
      <c r="L235" s="103">
        <f ca="1">L246+L257</f>
        <v>0</v>
      </c>
      <c r="M235" s="55"/>
      <c r="N235" s="102">
        <f>N246+N257</f>
        <v>0</v>
      </c>
      <c r="O235" s="55"/>
      <c r="P235" s="55"/>
      <c r="Q235" s="256">
        <v>0</v>
      </c>
      <c r="R235" s="255">
        <v>0</v>
      </c>
      <c r="S235" s="255">
        <v>0</v>
      </c>
      <c r="T235" s="55"/>
      <c r="U235" s="55"/>
    </row>
    <row r="236" spans="1:21" ht="18.75" hidden="1">
      <c r="A236" s="238"/>
      <c r="B236" s="188"/>
      <c r="C236" s="188"/>
      <c r="D236" s="58" t="s">
        <v>107</v>
      </c>
      <c r="E236" s="50"/>
      <c r="F236" s="50"/>
      <c r="G236" s="52"/>
      <c r="H236" s="162" t="s">
        <v>14</v>
      </c>
      <c r="I236" s="54"/>
      <c r="J236" s="54"/>
      <c r="K236" s="55"/>
      <c r="L236" s="103">
        <f ca="1">L247+L258</f>
        <v>0</v>
      </c>
      <c r="M236" s="55"/>
      <c r="N236" s="102">
        <f>N247+N258</f>
        <v>0</v>
      </c>
      <c r="O236" s="55"/>
      <c r="P236" s="55"/>
      <c r="Q236" s="256">
        <v>0</v>
      </c>
      <c r="R236" s="255">
        <v>0</v>
      </c>
      <c r="S236" s="255">
        <v>0</v>
      </c>
      <c r="T236" s="55"/>
      <c r="U236" s="55"/>
    </row>
    <row r="237" spans="1:21" ht="19.5" hidden="1">
      <c r="A237" s="166"/>
      <c r="B237" s="167"/>
      <c r="C237" s="191" t="s">
        <v>18</v>
      </c>
      <c r="D237" s="566" t="s">
        <v>38</v>
      </c>
      <c r="E237" s="169"/>
      <c r="F237" s="169"/>
      <c r="G237" s="170"/>
      <c r="H237" s="171"/>
      <c r="I237" s="163"/>
      <c r="J237" s="54"/>
      <c r="K237" s="55"/>
      <c r="L237" s="62"/>
      <c r="M237" s="55"/>
      <c r="N237" s="55"/>
      <c r="O237" s="164"/>
      <c r="P237" s="164"/>
      <c r="Q237" s="55"/>
      <c r="R237" s="55"/>
      <c r="S237" s="55"/>
      <c r="T237" s="164"/>
      <c r="U237" s="164"/>
    </row>
    <row r="238" spans="1:21" ht="18.75" hidden="1">
      <c r="A238" s="166"/>
      <c r="B238" s="167"/>
      <c r="C238" s="167"/>
      <c r="D238" s="178" t="s">
        <v>108</v>
      </c>
      <c r="E238" s="174"/>
      <c r="F238" s="174"/>
      <c r="G238" s="171"/>
      <c r="H238" s="179" t="s">
        <v>35</v>
      </c>
      <c r="I238" s="212">
        <f ca="1">I249+I260</f>
        <v>0</v>
      </c>
      <c r="J238" s="212">
        <f>J249+J260</f>
        <v>0</v>
      </c>
      <c r="K238" s="255">
        <f ca="1">IF(I238&gt;0,J238*100/I238,0)</f>
        <v>0</v>
      </c>
      <c r="L238" s="62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ht="18.75" hidden="1">
      <c r="A239" s="166"/>
      <c r="B239" s="167"/>
      <c r="C239" s="167"/>
      <c r="D239" s="266" t="s">
        <v>43</v>
      </c>
      <c r="E239" s="174"/>
      <c r="F239" s="174"/>
      <c r="G239" s="171"/>
      <c r="H239" s="171"/>
      <c r="I239" s="54"/>
      <c r="J239" s="54"/>
      <c r="K239" s="55"/>
      <c r="L239" s="62"/>
      <c r="M239" s="55"/>
      <c r="N239" s="55"/>
      <c r="O239" s="164"/>
      <c r="P239" s="164"/>
      <c r="Q239" s="55"/>
      <c r="R239" s="55"/>
      <c r="S239" s="55"/>
      <c r="T239" s="164"/>
      <c r="U239" s="164"/>
    </row>
    <row r="240" spans="1:21" ht="18.75" hidden="1">
      <c r="A240" s="166"/>
      <c r="B240" s="167"/>
      <c r="C240" s="167"/>
      <c r="D240" s="167"/>
      <c r="E240" s="173" t="s">
        <v>109</v>
      </c>
      <c r="F240" s="174"/>
      <c r="G240" s="171"/>
      <c r="H240" s="179" t="s">
        <v>35</v>
      </c>
      <c r="I240" s="212">
        <f>I251+I262</f>
        <v>0</v>
      </c>
      <c r="J240" s="212">
        <f>J251+J262</f>
        <v>0</v>
      </c>
      <c r="K240" s="255">
        <f>IF(I240&gt;0,J240*100/I240,0)</f>
        <v>0</v>
      </c>
      <c r="L240" s="62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ht="18.75" hidden="1">
      <c r="A241" s="166"/>
      <c r="B241" s="167"/>
      <c r="C241" s="167"/>
      <c r="D241" s="167"/>
      <c r="E241" s="173" t="s">
        <v>110</v>
      </c>
      <c r="F241" s="174"/>
      <c r="G241" s="171"/>
      <c r="H241" s="179" t="s">
        <v>61</v>
      </c>
      <c r="I241" s="212">
        <f>I252+I263</f>
        <v>0</v>
      </c>
      <c r="J241" s="212">
        <f>J252+J263</f>
        <v>0</v>
      </c>
      <c r="K241" s="255">
        <f>IF(I241&gt;0,J241*100/I241,0)</f>
        <v>0</v>
      </c>
      <c r="L241" s="62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ht="19.5" hidden="1">
      <c r="A242" s="241"/>
      <c r="B242" s="242"/>
      <c r="C242" s="707" t="s">
        <v>111</v>
      </c>
      <c r="D242" s="244"/>
      <c r="E242" s="244"/>
      <c r="F242" s="244"/>
      <c r="G242" s="245"/>
      <c r="H242" s="706" t="s">
        <v>35</v>
      </c>
      <c r="I242" s="705">
        <f ca="1">I249</f>
        <v>0</v>
      </c>
      <c r="J242" s="705">
        <f>J249</f>
        <v>0</v>
      </c>
      <c r="K242" s="704">
        <f ca="1">IF(I242&gt;0,J242*100/I242,0)</f>
        <v>0</v>
      </c>
      <c r="L242" s="250"/>
      <c r="M242" s="249"/>
      <c r="N242" s="249"/>
      <c r="O242" s="249"/>
      <c r="P242" s="249"/>
      <c r="Q242" s="249"/>
      <c r="R242" s="249"/>
      <c r="S242" s="249"/>
      <c r="T242" s="249"/>
      <c r="U242" s="249"/>
    </row>
    <row r="243" spans="1:21" ht="19.5" hidden="1">
      <c r="A243" s="155"/>
      <c r="B243" s="50"/>
      <c r="C243" s="591" t="s">
        <v>18</v>
      </c>
      <c r="D243" s="562" t="s">
        <v>19</v>
      </c>
      <c r="E243" s="50"/>
      <c r="F243" s="50"/>
      <c r="G243" s="52"/>
      <c r="H243" s="418" t="s">
        <v>14</v>
      </c>
      <c r="I243" s="163"/>
      <c r="J243" s="163"/>
      <c r="K243" s="164"/>
      <c r="L243" s="541">
        <f ca="1">L244+L245+L246+L247</f>
        <v>0</v>
      </c>
      <c r="M243" s="55"/>
      <c r="N243" s="540">
        <f>N244+N245+N246+N247</f>
        <v>0</v>
      </c>
      <c r="O243" s="540">
        <f ca="1">IF(L243&gt;0,N243*100/L243,0)</f>
        <v>0</v>
      </c>
      <c r="P243" s="540">
        <f>IF(M243&gt;0,N243*100/M243,0)</f>
        <v>0</v>
      </c>
      <c r="Q243" s="55"/>
      <c r="R243" s="55"/>
      <c r="S243" s="55"/>
      <c r="T243" s="55"/>
      <c r="U243" s="55"/>
    </row>
    <row r="244" spans="1:21" ht="18.75" hidden="1">
      <c r="A244" s="155"/>
      <c r="B244" s="188"/>
      <c r="C244" s="50"/>
      <c r="D244" s="186" t="s">
        <v>86</v>
      </c>
      <c r="E244" s="50"/>
      <c r="F244" s="50"/>
      <c r="G244" s="52"/>
      <c r="H244" s="189" t="s">
        <v>14</v>
      </c>
      <c r="I244" s="163"/>
      <c r="J244" s="163"/>
      <c r="K244" s="164"/>
      <c r="L244" s="256">
        <f ca="1">IFERROR(__xludf.DUMMYFUNCTION("IMPORTRANGE(""https://docs.google.com/spreadsheets/d/1eHaY18a8A9IcSdp1K8H6x8fbOy06t2VsZHhMHf-1x7Y/edit?usp=sharing"",""แผน!AX38"")"),0)</f>
        <v>0</v>
      </c>
      <c r="M244" s="55"/>
      <c r="N244" s="702">
        <v>0</v>
      </c>
      <c r="O244" s="55"/>
      <c r="P244" s="55"/>
      <c r="Q244" s="55"/>
      <c r="R244" s="55"/>
      <c r="S244" s="55"/>
      <c r="T244" s="55"/>
      <c r="U244" s="55"/>
    </row>
    <row r="245" spans="1:21" ht="18.75" hidden="1">
      <c r="A245" s="238"/>
      <c r="B245" s="188"/>
      <c r="C245" s="188"/>
      <c r="D245" s="186" t="s">
        <v>88</v>
      </c>
      <c r="E245" s="50"/>
      <c r="F245" s="50"/>
      <c r="G245" s="52"/>
      <c r="H245" s="189" t="s">
        <v>14</v>
      </c>
      <c r="I245" s="54"/>
      <c r="J245" s="54"/>
      <c r="K245" s="55"/>
      <c r="L245" s="256">
        <f ca="1">IFERROR(__xludf.DUMMYFUNCTION("IMPORTRANGE(""https://docs.google.com/spreadsheets/d/1eHaY18a8A9IcSdp1K8H6x8fbOy06t2VsZHhMHf-1x7Y/edit?usp=sharing"",""แผน!AY38"")"),0)</f>
        <v>0</v>
      </c>
      <c r="M245" s="55"/>
      <c r="N245" s="702">
        <v>0</v>
      </c>
      <c r="O245" s="55"/>
      <c r="P245" s="55"/>
      <c r="Q245" s="55"/>
      <c r="R245" s="55"/>
      <c r="S245" s="55"/>
      <c r="T245" s="55"/>
      <c r="U245" s="55"/>
    </row>
    <row r="246" spans="1:21" ht="18.75" hidden="1">
      <c r="A246" s="238"/>
      <c r="B246" s="188"/>
      <c r="C246" s="188"/>
      <c r="D246" s="186" t="s">
        <v>106</v>
      </c>
      <c r="E246" s="50"/>
      <c r="F246" s="50"/>
      <c r="G246" s="52"/>
      <c r="H246" s="189" t="s">
        <v>14</v>
      </c>
      <c r="I246" s="54"/>
      <c r="J246" s="54"/>
      <c r="K246" s="55"/>
      <c r="L246" s="256">
        <f ca="1">IFERROR(__xludf.DUMMYFUNCTION("IMPORTRANGE(""https://docs.google.com/spreadsheets/d/1eHaY18a8A9IcSdp1K8H6x8fbOy06t2VsZHhMHf-1x7Y/edit?usp=sharing"",""แผน!AZ38"")"),0)</f>
        <v>0</v>
      </c>
      <c r="M246" s="55"/>
      <c r="N246" s="702">
        <v>0</v>
      </c>
      <c r="O246" s="55"/>
      <c r="P246" s="55"/>
      <c r="Q246" s="55"/>
      <c r="R246" s="55"/>
      <c r="S246" s="55"/>
      <c r="T246" s="55"/>
      <c r="U246" s="55"/>
    </row>
    <row r="247" spans="1:21" ht="18.75" hidden="1">
      <c r="A247" s="238"/>
      <c r="B247" s="188"/>
      <c r="C247" s="188"/>
      <c r="D247" s="186" t="s">
        <v>107</v>
      </c>
      <c r="E247" s="50"/>
      <c r="F247" s="50"/>
      <c r="G247" s="52"/>
      <c r="H247" s="189" t="s">
        <v>14</v>
      </c>
      <c r="I247" s="54"/>
      <c r="J247" s="54"/>
      <c r="K247" s="55"/>
      <c r="L247" s="256">
        <f ca="1">IFERROR(__xludf.DUMMYFUNCTION("IMPORTRANGE(""https://docs.google.com/spreadsheets/d/1eHaY18a8A9IcSdp1K8H6x8fbOy06t2VsZHhMHf-1x7Y/edit?usp=sharing"",""แผน!BA38"")"),0)</f>
        <v>0</v>
      </c>
      <c r="M247" s="55"/>
      <c r="N247" s="702">
        <v>0</v>
      </c>
      <c r="O247" s="55"/>
      <c r="P247" s="55"/>
      <c r="Q247" s="55"/>
      <c r="R247" s="55"/>
      <c r="S247" s="55"/>
      <c r="T247" s="55"/>
      <c r="U247" s="55"/>
    </row>
    <row r="248" spans="1:21" ht="19.5" hidden="1">
      <c r="A248" s="166"/>
      <c r="B248" s="167"/>
      <c r="C248" s="701" t="s">
        <v>18</v>
      </c>
      <c r="D248" s="574" t="s">
        <v>38</v>
      </c>
      <c r="E248" s="169"/>
      <c r="F248" s="169"/>
      <c r="G248" s="170"/>
      <c r="H248" s="171"/>
      <c r="I248" s="163"/>
      <c r="J248" s="54"/>
      <c r="K248" s="55"/>
      <c r="L248" s="62"/>
      <c r="M248" s="55"/>
      <c r="N248" s="55"/>
      <c r="O248" s="164"/>
      <c r="P248" s="164"/>
      <c r="Q248" s="55"/>
      <c r="R248" s="55"/>
      <c r="S248" s="55"/>
      <c r="T248" s="164"/>
      <c r="U248" s="164"/>
    </row>
    <row r="249" spans="1:21" ht="18.75" hidden="1">
      <c r="A249" s="166"/>
      <c r="B249" s="167"/>
      <c r="C249" s="167"/>
      <c r="D249" s="207" t="s">
        <v>108</v>
      </c>
      <c r="E249" s="174"/>
      <c r="F249" s="174"/>
      <c r="G249" s="171"/>
      <c r="H249" s="698" t="s">
        <v>35</v>
      </c>
      <c r="I249" s="483">
        <f ca="1">IFERROR(__xludf.DUMMYFUNCTION("IMPORTRANGE(""https://docs.google.com/spreadsheets/d/1eHaY18a8A9IcSdp1K8H6x8fbOy06t2VsZHhMHf-1x7Y/edit?usp=sharing"",""แผน!BG38"")"),0)</f>
        <v>0</v>
      </c>
      <c r="J249" s="589">
        <v>0</v>
      </c>
      <c r="K249" s="102">
        <f ca="1">IF(I249&gt;0,J249*100/I249,0)</f>
        <v>0</v>
      </c>
      <c r="L249" s="62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8.75" hidden="1">
      <c r="A250" s="166"/>
      <c r="B250" s="167"/>
      <c r="C250" s="167"/>
      <c r="D250" s="700" t="s">
        <v>43</v>
      </c>
      <c r="E250" s="174"/>
      <c r="F250" s="174"/>
      <c r="G250" s="171"/>
      <c r="H250" s="171"/>
      <c r="I250" s="54"/>
      <c r="J250" s="54"/>
      <c r="K250" s="55"/>
      <c r="L250" s="62"/>
      <c r="M250" s="55"/>
      <c r="N250" s="55"/>
      <c r="O250" s="164"/>
      <c r="P250" s="164"/>
      <c r="Q250" s="55"/>
      <c r="R250" s="55"/>
      <c r="S250" s="55"/>
      <c r="T250" s="164"/>
      <c r="U250" s="164"/>
    </row>
    <row r="251" spans="1:21" ht="18.75" hidden="1">
      <c r="A251" s="166"/>
      <c r="B251" s="167"/>
      <c r="C251" s="167"/>
      <c r="D251" s="167"/>
      <c r="E251" s="699" t="s">
        <v>109</v>
      </c>
      <c r="F251" s="174"/>
      <c r="G251" s="171"/>
      <c r="H251" s="698" t="s">
        <v>35</v>
      </c>
      <c r="I251" s="483">
        <v>0</v>
      </c>
      <c r="J251" s="589">
        <v>0</v>
      </c>
      <c r="K251" s="102">
        <f>IF(I251&gt;0,J251*100/I251,0)</f>
        <v>0</v>
      </c>
      <c r="L251" s="62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8.75" hidden="1">
      <c r="A252" s="166"/>
      <c r="B252" s="167"/>
      <c r="C252" s="167"/>
      <c r="D252" s="167"/>
      <c r="E252" s="699" t="s">
        <v>110</v>
      </c>
      <c r="F252" s="174"/>
      <c r="G252" s="171"/>
      <c r="H252" s="698" t="s">
        <v>61</v>
      </c>
      <c r="I252" s="483">
        <v>0</v>
      </c>
      <c r="J252" s="589">
        <v>0</v>
      </c>
      <c r="K252" s="102">
        <f>IF(I252&gt;0,J252*100/I252,0)</f>
        <v>0</v>
      </c>
      <c r="L252" s="62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9.5" hidden="1">
      <c r="A253" s="241"/>
      <c r="B253" s="242"/>
      <c r="C253" s="707" t="s">
        <v>112</v>
      </c>
      <c r="D253" s="244"/>
      <c r="E253" s="244"/>
      <c r="F253" s="244"/>
      <c r="G253" s="245"/>
      <c r="H253" s="706" t="s">
        <v>35</v>
      </c>
      <c r="I253" s="705">
        <f ca="1">I260</f>
        <v>0</v>
      </c>
      <c r="J253" s="705">
        <f>J260</f>
        <v>0</v>
      </c>
      <c r="K253" s="704">
        <f ca="1">IF(I253&gt;0,J253*100/I253,0)</f>
        <v>0</v>
      </c>
      <c r="L253" s="250"/>
      <c r="M253" s="249"/>
      <c r="N253" s="249"/>
      <c r="O253" s="249"/>
      <c r="P253" s="249"/>
      <c r="Q253" s="249"/>
      <c r="R253" s="249"/>
      <c r="S253" s="249"/>
      <c r="T253" s="249"/>
      <c r="U253" s="249"/>
    </row>
    <row r="254" spans="1:21" ht="19.5" hidden="1">
      <c r="A254" s="155"/>
      <c r="B254" s="50"/>
      <c r="C254" s="591" t="s">
        <v>18</v>
      </c>
      <c r="D254" s="703" t="s">
        <v>19</v>
      </c>
      <c r="E254" s="50"/>
      <c r="F254" s="50"/>
      <c r="G254" s="52"/>
      <c r="H254" s="418" t="s">
        <v>14</v>
      </c>
      <c r="I254" s="163"/>
      <c r="J254" s="163"/>
      <c r="K254" s="164"/>
      <c r="L254" s="541">
        <f ca="1">L255+L256+L257+L258</f>
        <v>0</v>
      </c>
      <c r="M254" s="55"/>
      <c r="N254" s="540">
        <f>N255+N256+N257+N258</f>
        <v>0</v>
      </c>
      <c r="O254" s="540">
        <f ca="1">IF(L254&gt;0,N254*100/L254,0)</f>
        <v>0</v>
      </c>
      <c r="P254" s="540">
        <f>IF(M254&gt;0,N254*100/M254,0)</f>
        <v>0</v>
      </c>
      <c r="Q254" s="55"/>
      <c r="R254" s="55"/>
      <c r="S254" s="55"/>
      <c r="T254" s="55"/>
      <c r="U254" s="55"/>
    </row>
    <row r="255" spans="1:21" ht="18.75" hidden="1">
      <c r="A255" s="155"/>
      <c r="B255" s="188"/>
      <c r="C255" s="50"/>
      <c r="D255" s="186" t="s">
        <v>86</v>
      </c>
      <c r="E255" s="50"/>
      <c r="F255" s="50"/>
      <c r="G255" s="52"/>
      <c r="H255" s="189" t="s">
        <v>14</v>
      </c>
      <c r="I255" s="163"/>
      <c r="J255" s="163"/>
      <c r="K255" s="164"/>
      <c r="L255" s="256">
        <f ca="1">IFERROR(__xludf.DUMMYFUNCTION("IMPORTRANGE(""https://docs.google.com/spreadsheets/d/1eHaY18a8A9IcSdp1K8H6x8fbOy06t2VsZHhMHf-1x7Y/edit?usp=sharing"",""แผน!BB38"")"),0)</f>
        <v>0</v>
      </c>
      <c r="M255" s="55"/>
      <c r="N255" s="702">
        <v>0</v>
      </c>
      <c r="O255" s="55"/>
      <c r="P255" s="55"/>
      <c r="Q255" s="55"/>
      <c r="R255" s="55"/>
      <c r="S255" s="55"/>
      <c r="T255" s="55"/>
      <c r="U255" s="55"/>
    </row>
    <row r="256" spans="1:21" ht="18.75" hidden="1">
      <c r="A256" s="238"/>
      <c r="B256" s="188"/>
      <c r="C256" s="188"/>
      <c r="D256" s="186" t="s">
        <v>88</v>
      </c>
      <c r="E256" s="50"/>
      <c r="F256" s="50"/>
      <c r="G256" s="52"/>
      <c r="H256" s="189" t="s">
        <v>14</v>
      </c>
      <c r="I256" s="54"/>
      <c r="J256" s="54"/>
      <c r="K256" s="55"/>
      <c r="L256" s="256">
        <f ca="1">IFERROR(__xludf.DUMMYFUNCTION("IMPORTRANGE(""https://docs.google.com/spreadsheets/d/1eHaY18a8A9IcSdp1K8H6x8fbOy06t2VsZHhMHf-1x7Y/edit?usp=sharing"",""แผน!BC38"")"),0)</f>
        <v>0</v>
      </c>
      <c r="M256" s="55"/>
      <c r="N256" s="702">
        <v>0</v>
      </c>
      <c r="O256" s="55"/>
      <c r="P256" s="55"/>
      <c r="Q256" s="55"/>
      <c r="R256" s="55"/>
      <c r="S256" s="55"/>
      <c r="T256" s="55"/>
      <c r="U256" s="55"/>
    </row>
    <row r="257" spans="1:21" ht="18.75" hidden="1">
      <c r="A257" s="238"/>
      <c r="B257" s="188"/>
      <c r="C257" s="188"/>
      <c r="D257" s="186" t="s">
        <v>106</v>
      </c>
      <c r="E257" s="50"/>
      <c r="F257" s="50"/>
      <c r="G257" s="52"/>
      <c r="H257" s="189" t="s">
        <v>14</v>
      </c>
      <c r="I257" s="54"/>
      <c r="J257" s="54"/>
      <c r="K257" s="55"/>
      <c r="L257" s="256">
        <f ca="1">IFERROR(__xludf.DUMMYFUNCTION("IMPORTRANGE(""https://docs.google.com/spreadsheets/d/1eHaY18a8A9IcSdp1K8H6x8fbOy06t2VsZHhMHf-1x7Y/edit?usp=sharing"",""แผน!BD38"")"),0)</f>
        <v>0</v>
      </c>
      <c r="M257" s="55"/>
      <c r="N257" s="702">
        <v>0</v>
      </c>
      <c r="O257" s="55"/>
      <c r="P257" s="55"/>
      <c r="Q257" s="55"/>
      <c r="R257" s="55"/>
      <c r="S257" s="55"/>
      <c r="T257" s="55"/>
      <c r="U257" s="55"/>
    </row>
    <row r="258" spans="1:21" ht="18.75" hidden="1">
      <c r="A258" s="238"/>
      <c r="B258" s="188"/>
      <c r="C258" s="188"/>
      <c r="D258" s="186" t="s">
        <v>107</v>
      </c>
      <c r="E258" s="50"/>
      <c r="F258" s="50"/>
      <c r="G258" s="52"/>
      <c r="H258" s="189" t="s">
        <v>14</v>
      </c>
      <c r="I258" s="54"/>
      <c r="J258" s="54"/>
      <c r="K258" s="55"/>
      <c r="L258" s="256">
        <f ca="1">IFERROR(__xludf.DUMMYFUNCTION("IMPORTRANGE(""https://docs.google.com/spreadsheets/d/1eHaY18a8A9IcSdp1K8H6x8fbOy06t2VsZHhMHf-1x7Y/edit?usp=sharing"",""แผน!BE38"")"),0)</f>
        <v>0</v>
      </c>
      <c r="M258" s="55"/>
      <c r="N258" s="702">
        <v>0</v>
      </c>
      <c r="O258" s="55"/>
      <c r="P258" s="55"/>
      <c r="Q258" s="55"/>
      <c r="R258" s="55"/>
      <c r="S258" s="55"/>
      <c r="T258" s="55"/>
      <c r="U258" s="55"/>
    </row>
    <row r="259" spans="1:21" ht="19.5" hidden="1">
      <c r="A259" s="166"/>
      <c r="B259" s="167"/>
      <c r="C259" s="701" t="s">
        <v>18</v>
      </c>
      <c r="D259" s="574" t="s">
        <v>38</v>
      </c>
      <c r="E259" s="169"/>
      <c r="F259" s="169"/>
      <c r="G259" s="170"/>
      <c r="H259" s="171"/>
      <c r="I259" s="163"/>
      <c r="J259" s="54"/>
      <c r="K259" s="55"/>
      <c r="L259" s="62"/>
      <c r="M259" s="55"/>
      <c r="N259" s="55"/>
      <c r="O259" s="164"/>
      <c r="P259" s="164"/>
      <c r="Q259" s="55"/>
      <c r="R259" s="55"/>
      <c r="S259" s="55"/>
      <c r="T259" s="164"/>
      <c r="U259" s="164"/>
    </row>
    <row r="260" spans="1:21" ht="18.75" hidden="1">
      <c r="A260" s="166"/>
      <c r="B260" s="167"/>
      <c r="C260" s="167"/>
      <c r="D260" s="207" t="s">
        <v>108</v>
      </c>
      <c r="E260" s="174"/>
      <c r="F260" s="174"/>
      <c r="G260" s="171"/>
      <c r="H260" s="698" t="s">
        <v>35</v>
      </c>
      <c r="I260" s="483">
        <f ca="1">IFERROR(__xludf.DUMMYFUNCTION("IMPORTRANGE(""https://docs.google.com/spreadsheets/d/1eHaY18a8A9IcSdp1K8H6x8fbOy06t2VsZHhMHf-1x7Y/edit?usp=sharing"",""แผน!BH38"")"),0)</f>
        <v>0</v>
      </c>
      <c r="J260" s="589">
        <v>0</v>
      </c>
      <c r="K260" s="102">
        <f ca="1">IF(I260&gt;0,J260*100/I260,0)</f>
        <v>0</v>
      </c>
      <c r="L260" s="62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8.75" hidden="1">
      <c r="A261" s="166"/>
      <c r="B261" s="167"/>
      <c r="C261" s="167"/>
      <c r="D261" s="700" t="s">
        <v>43</v>
      </c>
      <c r="E261" s="174"/>
      <c r="F261" s="174"/>
      <c r="G261" s="171"/>
      <c r="H261" s="171"/>
      <c r="I261" s="54"/>
      <c r="J261" s="54"/>
      <c r="K261" s="55"/>
      <c r="L261" s="62"/>
      <c r="M261" s="55"/>
      <c r="N261" s="55"/>
      <c r="O261" s="164"/>
      <c r="P261" s="164"/>
      <c r="Q261" s="55"/>
      <c r="R261" s="55"/>
      <c r="S261" s="55"/>
      <c r="T261" s="164"/>
      <c r="U261" s="164"/>
    </row>
    <row r="262" spans="1:21" ht="18.75" hidden="1">
      <c r="A262" s="166"/>
      <c r="B262" s="167"/>
      <c r="C262" s="167"/>
      <c r="D262" s="167"/>
      <c r="E262" s="699" t="s">
        <v>109</v>
      </c>
      <c r="F262" s="174"/>
      <c r="G262" s="171"/>
      <c r="H262" s="698" t="s">
        <v>35</v>
      </c>
      <c r="I262" s="54"/>
      <c r="J262" s="589">
        <v>0</v>
      </c>
      <c r="K262" s="102">
        <f>IF(I262&gt;0,J262*100/I262,0)</f>
        <v>0</v>
      </c>
      <c r="L262" s="62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8.75" hidden="1">
      <c r="A263" s="166"/>
      <c r="B263" s="167"/>
      <c r="C263" s="167"/>
      <c r="D263" s="167"/>
      <c r="E263" s="699" t="s">
        <v>110</v>
      </c>
      <c r="F263" s="174"/>
      <c r="G263" s="171"/>
      <c r="H263" s="698" t="s">
        <v>61</v>
      </c>
      <c r="I263" s="54"/>
      <c r="J263" s="589">
        <v>0</v>
      </c>
      <c r="K263" s="102">
        <f>IF(I263&gt;0,J263*100/I263,0)</f>
        <v>0</v>
      </c>
      <c r="L263" s="62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9.5">
      <c r="A264" s="697" t="s">
        <v>113</v>
      </c>
      <c r="B264" s="696"/>
      <c r="C264" s="696"/>
      <c r="D264" s="695"/>
      <c r="E264" s="695"/>
      <c r="F264" s="695"/>
      <c r="G264" s="694"/>
      <c r="H264" s="694"/>
      <c r="I264" s="693"/>
      <c r="J264" s="693"/>
      <c r="K264" s="691"/>
      <c r="L264" s="692"/>
      <c r="M264" s="691"/>
      <c r="N264" s="691"/>
      <c r="O264" s="691"/>
      <c r="P264" s="691"/>
      <c r="Q264" s="691"/>
      <c r="R264" s="691"/>
      <c r="S264" s="691"/>
      <c r="T264" s="691"/>
      <c r="U264" s="691"/>
    </row>
    <row r="265" spans="1:21" ht="19.5">
      <c r="A265" s="690"/>
      <c r="B265" s="689" t="s">
        <v>114</v>
      </c>
      <c r="C265" s="688"/>
      <c r="D265" s="661"/>
      <c r="E265" s="661"/>
      <c r="F265" s="661"/>
      <c r="G265" s="660"/>
      <c r="H265" s="687" t="s">
        <v>35</v>
      </c>
      <c r="I265" s="686">
        <f ca="1">I276</f>
        <v>22</v>
      </c>
      <c r="J265" s="686">
        <f>J276</f>
        <v>22</v>
      </c>
      <c r="K265" s="685">
        <f ca="1">IF(I265&gt;0,J265*100/I265,0)</f>
        <v>100</v>
      </c>
      <c r="L265" s="684"/>
      <c r="M265" s="683"/>
      <c r="N265" s="683"/>
      <c r="O265" s="683"/>
      <c r="P265" s="683"/>
      <c r="Q265" s="683"/>
      <c r="R265" s="683"/>
      <c r="S265" s="683"/>
      <c r="T265" s="683"/>
      <c r="U265" s="683"/>
    </row>
    <row r="266" spans="1:21" ht="19.5">
      <c r="A266" s="668"/>
      <c r="B266" s="667"/>
      <c r="C266" s="682" t="s">
        <v>18</v>
      </c>
      <c r="D266" s="681" t="s">
        <v>19</v>
      </c>
      <c r="E266" s="667"/>
      <c r="F266" s="667"/>
      <c r="G266" s="666"/>
      <c r="H266" s="680" t="s">
        <v>14</v>
      </c>
      <c r="I266" s="548"/>
      <c r="J266" s="548"/>
      <c r="K266" s="545"/>
      <c r="L266" s="679">
        <f ca="1">L267+L268</f>
        <v>0</v>
      </c>
      <c r="M266" s="678">
        <f ca="1">M267+M268</f>
        <v>5000</v>
      </c>
      <c r="N266" s="678">
        <f ca="1">N267+N268</f>
        <v>5000</v>
      </c>
      <c r="O266" s="678">
        <f ca="1">IF(L266&gt;0,N266*100/L266,0)</f>
        <v>0</v>
      </c>
      <c r="P266" s="678">
        <f ca="1">IF(M266&gt;0,N266*100/M266,0)</f>
        <v>100</v>
      </c>
      <c r="Q266" s="678">
        <f ca="1">Q267+Q268</f>
        <v>50660</v>
      </c>
      <c r="R266" s="678">
        <f ca="1">R267+R268</f>
        <v>50660</v>
      </c>
      <c r="S266" s="678">
        <f ca="1">S267+S268</f>
        <v>43780</v>
      </c>
      <c r="T266" s="678">
        <f ca="1">IF(Q266&gt;0,S266*100/Q266,0)</f>
        <v>86.419265692854324</v>
      </c>
      <c r="U266" s="678">
        <f ca="1">IF(R266&gt;0,S266*100/R266,0)</f>
        <v>86.419265692854324</v>
      </c>
    </row>
    <row r="267" spans="1:21" ht="18.75" hidden="1">
      <c r="A267" s="673"/>
      <c r="B267" s="672"/>
      <c r="C267" s="672"/>
      <c r="D267" s="672"/>
      <c r="E267" s="186" t="s">
        <v>20</v>
      </c>
      <c r="F267" s="672"/>
      <c r="G267" s="671"/>
      <c r="H267" s="187" t="s">
        <v>14</v>
      </c>
      <c r="I267" s="677"/>
      <c r="J267" s="677"/>
      <c r="K267" s="676"/>
      <c r="L267" s="103">
        <f>L270+L273</f>
        <v>0</v>
      </c>
      <c r="M267" s="102">
        <f>M270+M273</f>
        <v>0</v>
      </c>
      <c r="N267" s="102">
        <f>N270+N273</f>
        <v>0</v>
      </c>
      <c r="O267" s="102">
        <f>IF(L267&gt;0,N267*100/L267,0)</f>
        <v>0</v>
      </c>
      <c r="P267" s="102">
        <f>IF(M267&gt;0,N267*100/M267,0)</f>
        <v>0</v>
      </c>
      <c r="Q267" s="102">
        <f>Q270+Q273</f>
        <v>0</v>
      </c>
      <c r="R267" s="102">
        <f>R270+R273</f>
        <v>0</v>
      </c>
      <c r="S267" s="102">
        <f>S270+S273</f>
        <v>0</v>
      </c>
      <c r="T267" s="102">
        <f>IF(Q267&gt;0,S267*100/Q267,0)</f>
        <v>0</v>
      </c>
      <c r="U267" s="102">
        <f>IF(R267&gt;0,S267*100/R267,0)</f>
        <v>0</v>
      </c>
    </row>
    <row r="268" spans="1:21" ht="18.75" hidden="1">
      <c r="A268" s="668"/>
      <c r="B268" s="667"/>
      <c r="C268" s="667"/>
      <c r="D268" s="667"/>
      <c r="E268" s="663" t="s">
        <v>21</v>
      </c>
      <c r="F268" s="667"/>
      <c r="G268" s="666"/>
      <c r="H268" s="549" t="s">
        <v>14</v>
      </c>
      <c r="I268" s="548"/>
      <c r="J268" s="548"/>
      <c r="K268" s="545"/>
      <c r="L268" s="664">
        <f ca="1">L271+L274</f>
        <v>0</v>
      </c>
      <c r="M268" s="555">
        <f ca="1">M271+M274</f>
        <v>5000</v>
      </c>
      <c r="N268" s="555">
        <f ca="1">N271+N274</f>
        <v>5000</v>
      </c>
      <c r="O268" s="555">
        <f ca="1">IF(L268&gt;0,N268*100/L268,0)</f>
        <v>0</v>
      </c>
      <c r="P268" s="555">
        <f ca="1">IF(M268&gt;0,N268*100/M268,0)</f>
        <v>100</v>
      </c>
      <c r="Q268" s="555">
        <f ca="1">Q271+Q274</f>
        <v>50660</v>
      </c>
      <c r="R268" s="555">
        <f ca="1">R271+R274</f>
        <v>50660</v>
      </c>
      <c r="S268" s="555">
        <f ca="1">S271+S274</f>
        <v>43780</v>
      </c>
      <c r="T268" s="555">
        <f ca="1">IF(Q268&gt;0,S268*100/Q268,0)</f>
        <v>86.419265692854324</v>
      </c>
      <c r="U268" s="555">
        <f ca="1">IF(R268&gt;0,S268*100/R268,0)</f>
        <v>86.419265692854324</v>
      </c>
    </row>
    <row r="269" spans="1:21" ht="18.75">
      <c r="A269" s="668"/>
      <c r="B269" s="667"/>
      <c r="C269" s="667"/>
      <c r="D269" s="674" t="s">
        <v>22</v>
      </c>
      <c r="E269" s="667"/>
      <c r="F269" s="667"/>
      <c r="G269" s="666"/>
      <c r="H269" s="675" t="s">
        <v>14</v>
      </c>
      <c r="I269" s="659"/>
      <c r="J269" s="659"/>
      <c r="K269" s="657"/>
      <c r="L269" s="664">
        <f ca="1">L270+L271</f>
        <v>0</v>
      </c>
      <c r="M269" s="555">
        <f ca="1">M270+M271</f>
        <v>5000</v>
      </c>
      <c r="N269" s="555">
        <f ca="1">N270+N271</f>
        <v>5000</v>
      </c>
      <c r="O269" s="555">
        <f ca="1">IF(L269&gt;0,N269*100/L269,0)</f>
        <v>0</v>
      </c>
      <c r="P269" s="555">
        <f ca="1">IF(M269&gt;0,N269*100/M269,0)</f>
        <v>100</v>
      </c>
      <c r="Q269" s="555">
        <f ca="1">Q270+Q271</f>
        <v>50660</v>
      </c>
      <c r="R269" s="555">
        <f ca="1">R270+R271</f>
        <v>50660</v>
      </c>
      <c r="S269" s="555">
        <f ca="1">S270+S271</f>
        <v>43780</v>
      </c>
      <c r="T269" s="555">
        <f ca="1">IF(Q269&gt;0,S269*100/Q269,0)</f>
        <v>86.419265692854324</v>
      </c>
      <c r="U269" s="555">
        <f ca="1">IF(R269&gt;0,S269*100/R269,0)</f>
        <v>86.419265692854324</v>
      </c>
    </row>
    <row r="270" spans="1:21" ht="18.75" hidden="1">
      <c r="A270" s="673"/>
      <c r="B270" s="672"/>
      <c r="C270" s="672"/>
      <c r="D270" s="672"/>
      <c r="E270" s="186" t="s">
        <v>36</v>
      </c>
      <c r="F270" s="672"/>
      <c r="G270" s="671"/>
      <c r="H270" s="189" t="s">
        <v>14</v>
      </c>
      <c r="I270" s="670"/>
      <c r="J270" s="670"/>
      <c r="K270" s="669"/>
      <c r="L270" s="103">
        <v>0</v>
      </c>
      <c r="M270" s="102">
        <v>0</v>
      </c>
      <c r="N270" s="102">
        <v>0</v>
      </c>
      <c r="O270" s="102">
        <f>IF(L270&gt;0,N270*100/L270,0)</f>
        <v>0</v>
      </c>
      <c r="P270" s="102">
        <f>IF(M270&gt;0,N270*100/M270,0)</f>
        <v>0</v>
      </c>
      <c r="Q270" s="102">
        <v>0</v>
      </c>
      <c r="R270" s="102">
        <v>0</v>
      </c>
      <c r="S270" s="102">
        <v>0</v>
      </c>
      <c r="T270" s="102">
        <f>IF(Q270&gt;0,S270*100/Q270,0)</f>
        <v>0</v>
      </c>
      <c r="U270" s="102">
        <f>IF(R270&gt;0,S270*100/R270,0)</f>
        <v>0</v>
      </c>
    </row>
    <row r="271" spans="1:21" ht="18.75" hidden="1">
      <c r="A271" s="668"/>
      <c r="B271" s="667"/>
      <c r="C271" s="667"/>
      <c r="D271" s="667"/>
      <c r="E271" s="663" t="s">
        <v>37</v>
      </c>
      <c r="F271" s="667"/>
      <c r="G271" s="666"/>
      <c r="H271" s="675" t="s">
        <v>14</v>
      </c>
      <c r="I271" s="659"/>
      <c r="J271" s="659"/>
      <c r="K271" s="657"/>
      <c r="L271" s="664">
        <f ca="1">IFERROR(__xludf.DUMMYFUNCTION("IMPORTRANGE(""https://docs.google.com/spreadsheets/d/1-uDff_7J0KD5mKrp0Vvzr7lt3OU09vwQwhkpOPPYv2Y/edit?usp=sharing"",""งบพรบ!DE38"")"),0)</f>
        <v>0</v>
      </c>
      <c r="M271" s="555">
        <f ca="1">IFERROR(__xludf.DUMMYFUNCTION("IMPORTRANGE(""https://docs.google.com/spreadsheets/d/1-uDff_7J0KD5mKrp0Vvzr7lt3OU09vwQwhkpOPPYv2Y/edit?usp=sharing"",""งบพรบ!DJ38"")"),5000)</f>
        <v>5000</v>
      </c>
      <c r="N271" s="555">
        <f ca="1">IFERROR(__xludf.DUMMYFUNCTION("IMPORTRANGE(""https://docs.google.com/spreadsheets/d/1-uDff_7J0KD5mKrp0Vvzr7lt3OU09vwQwhkpOPPYv2Y/edit?usp=sharing"",""งบพรบ!DL38"")"),5000)</f>
        <v>5000</v>
      </c>
      <c r="O271" s="555">
        <f ca="1">IF(L271&gt;0,N271*100/L271,0)</f>
        <v>0</v>
      </c>
      <c r="P271" s="555">
        <f ca="1">IF(M271&gt;0,N271*100/M271,0)</f>
        <v>100</v>
      </c>
      <c r="Q271" s="555">
        <f ca="1">IFERROR(__xludf.DUMMYFUNCTION("IMPORTRANGE(""https://docs.google.com/spreadsheets/d/1ItG2mGa2ceCfYo0BwxsXqNm01IGEUdYcSSLTEv9YCik/edit?usp=sharing"",""เบิกจ่ายกองทุน!AJ38"")"),50660)</f>
        <v>50660</v>
      </c>
      <c r="R271" s="555">
        <f ca="1">IFERROR(__xludf.DUMMYFUNCTION("IMPORTRANGE(""https://docs.google.com/spreadsheets/d/1ItG2mGa2ceCfYo0BwxsXqNm01IGEUdYcSSLTEv9YCik/edit?usp=sharing"",""เบิกจ่ายกองทุน!AK38"")"),50660)</f>
        <v>50660</v>
      </c>
      <c r="S271" s="555">
        <f ca="1">IFERROR(__xludf.DUMMYFUNCTION("IMPORTRANGE(""https://docs.google.com/spreadsheets/d/1ItG2mGa2ceCfYo0BwxsXqNm01IGEUdYcSSLTEv9YCik/edit?usp=sharing"",""เบิกจ่ายกองทุน!AL38"")"),43780)</f>
        <v>43780</v>
      </c>
      <c r="T271" s="555">
        <f ca="1">IF(Q271&gt;0,S271*100/Q271,0)</f>
        <v>86.419265692854324</v>
      </c>
      <c r="U271" s="555">
        <f ca="1">IF(R271&gt;0,S271*100/R271,0)</f>
        <v>86.419265692854324</v>
      </c>
    </row>
    <row r="272" spans="1:21" ht="18.75">
      <c r="A272" s="668"/>
      <c r="B272" s="667"/>
      <c r="C272" s="667"/>
      <c r="D272" s="674" t="s">
        <v>23</v>
      </c>
      <c r="E272" s="667"/>
      <c r="F272" s="667"/>
      <c r="G272" s="666"/>
      <c r="H272" s="665" t="s">
        <v>14</v>
      </c>
      <c r="I272" s="659"/>
      <c r="J272" s="659"/>
      <c r="K272" s="657"/>
      <c r="L272" s="664">
        <f ca="1">L273+L274</f>
        <v>0</v>
      </c>
      <c r="M272" s="555">
        <f ca="1">M273+M274</f>
        <v>0</v>
      </c>
      <c r="N272" s="555">
        <f ca="1">N273+N274</f>
        <v>0</v>
      </c>
      <c r="O272" s="555">
        <f ca="1">IF(L272&gt;0,N272*100/L272,0)</f>
        <v>0</v>
      </c>
      <c r="P272" s="555">
        <f ca="1">IF(M272&gt;0,N272*100/M272,0)</f>
        <v>0</v>
      </c>
      <c r="Q272" s="555">
        <f>Q273+Q274</f>
        <v>0</v>
      </c>
      <c r="R272" s="555">
        <f>R273+R274</f>
        <v>0</v>
      </c>
      <c r="S272" s="555">
        <f>S273+S274</f>
        <v>0</v>
      </c>
      <c r="T272" s="555">
        <f>IF(Q272&gt;0,S272*100/Q272,0)</f>
        <v>0</v>
      </c>
      <c r="U272" s="555">
        <f>IF(R272&gt;0,S272*100/R272,0)</f>
        <v>0</v>
      </c>
    </row>
    <row r="273" spans="1:21" ht="18.75" hidden="1">
      <c r="A273" s="673"/>
      <c r="B273" s="672"/>
      <c r="C273" s="672"/>
      <c r="D273" s="672"/>
      <c r="E273" s="186" t="s">
        <v>20</v>
      </c>
      <c r="F273" s="672"/>
      <c r="G273" s="671"/>
      <c r="H273" s="189" t="s">
        <v>14</v>
      </c>
      <c r="I273" s="670"/>
      <c r="J273" s="670"/>
      <c r="K273" s="669"/>
      <c r="L273" s="103">
        <v>0</v>
      </c>
      <c r="M273" s="102">
        <v>0</v>
      </c>
      <c r="N273" s="102">
        <v>0</v>
      </c>
      <c r="O273" s="102">
        <f>IF(L273&gt;0,N273*100/L273,0)</f>
        <v>0</v>
      </c>
      <c r="P273" s="102">
        <f>IF(M273&gt;0,N273*100/M273,0)</f>
        <v>0</v>
      </c>
      <c r="Q273" s="102">
        <v>0</v>
      </c>
      <c r="R273" s="102">
        <v>0</v>
      </c>
      <c r="S273" s="102">
        <v>0</v>
      </c>
      <c r="T273" s="102">
        <f>IF(Q273&gt;0,S273*100/Q273,0)</f>
        <v>0</v>
      </c>
      <c r="U273" s="102">
        <f>IF(R273&gt;0,S273*100/R273,0)</f>
        <v>0</v>
      </c>
    </row>
    <row r="274" spans="1:21" ht="18.75" hidden="1">
      <c r="A274" s="668"/>
      <c r="B274" s="667"/>
      <c r="C274" s="667"/>
      <c r="D274" s="667"/>
      <c r="E274" s="663" t="s">
        <v>21</v>
      </c>
      <c r="F274" s="667"/>
      <c r="G274" s="666"/>
      <c r="H274" s="665" t="s">
        <v>14</v>
      </c>
      <c r="I274" s="659"/>
      <c r="J274" s="659"/>
      <c r="K274" s="657"/>
      <c r="L274" s="664">
        <f ca="1">IFERROR(__xludf.DUMMYFUNCTION("IMPORTRANGE(""https://docs.google.com/spreadsheets/d/1-uDff_7J0KD5mKrp0Vvzr7lt3OU09vwQwhkpOPPYv2Y/edit?usp=sharing"",""งบพรบ!DH38"")"),0)</f>
        <v>0</v>
      </c>
      <c r="M274" s="555">
        <f ca="1">IFERROR(__xludf.DUMMYFUNCTION("IMPORTRANGE(""https://docs.google.com/spreadsheets/d/1-uDff_7J0KD5mKrp0Vvzr7lt3OU09vwQwhkpOPPYv2Y/edit?usp=sharing"",""งบพรบ!DK38"")"),0)</f>
        <v>0</v>
      </c>
      <c r="N274" s="555">
        <f ca="1">IFERROR(__xludf.DUMMYFUNCTION("IMPORTRANGE(""https://docs.google.com/spreadsheets/d/1-uDff_7J0KD5mKrp0Vvzr7lt3OU09vwQwhkpOPPYv2Y/edit?usp=sharing"",""งบพรบ!DM38"")"),0)</f>
        <v>0</v>
      </c>
      <c r="O274" s="555">
        <f ca="1">IF(L274&gt;0,N274*100/L274,0)</f>
        <v>0</v>
      </c>
      <c r="P274" s="555">
        <f ca="1">IF(M274&gt;0,N274*100/M274,0)</f>
        <v>0</v>
      </c>
      <c r="Q274" s="555">
        <v>0</v>
      </c>
      <c r="R274" s="555">
        <v>0</v>
      </c>
      <c r="S274" s="555">
        <v>0</v>
      </c>
      <c r="T274" s="555">
        <f>IF(Q274&gt;0,S274*100/Q274,0)</f>
        <v>0</v>
      </c>
      <c r="U274" s="555">
        <f>IF(R274&gt;0,S274*100/R274,0)</f>
        <v>0</v>
      </c>
    </row>
    <row r="275" spans="1:21" ht="19.5">
      <c r="A275" s="554"/>
      <c r="B275" s="553"/>
      <c r="C275" s="663" t="s">
        <v>18</v>
      </c>
      <c r="D275" s="662" t="s">
        <v>38</v>
      </c>
      <c r="E275" s="661"/>
      <c r="F275" s="661"/>
      <c r="G275" s="660"/>
      <c r="H275" s="550"/>
      <c r="I275" s="659"/>
      <c r="J275" s="659"/>
      <c r="K275" s="657"/>
      <c r="L275" s="658"/>
      <c r="M275" s="657"/>
      <c r="N275" s="657"/>
      <c r="O275" s="657"/>
      <c r="P275" s="657"/>
      <c r="Q275" s="657"/>
      <c r="R275" s="657"/>
      <c r="S275" s="657"/>
      <c r="T275" s="657"/>
      <c r="U275" s="657"/>
    </row>
    <row r="276" spans="1:21" ht="18.75">
      <c r="A276" s="783"/>
      <c r="B276" s="343"/>
      <c r="C276" s="343"/>
      <c r="D276" s="782" t="s">
        <v>115</v>
      </c>
      <c r="E276" s="344"/>
      <c r="F276" s="344"/>
      <c r="G276" s="346"/>
      <c r="H276" s="347" t="s">
        <v>35</v>
      </c>
      <c r="I276" s="349">
        <f ca="1">IFERROR(__xludf.DUMMYFUNCTION("IMPORTRANGE(""https://docs.google.com/spreadsheets/d/1eHaY18a8A9IcSdp1K8H6x8fbOy06t2VsZHhMHf-1x7Y/edit?usp=sharing"",""แผน!EC38"")"),22)</f>
        <v>22</v>
      </c>
      <c r="J276" s="495">
        <v>22</v>
      </c>
      <c r="K276" s="708">
        <f ca="1">IF(I276&gt;0,J276*100/I276,0)</f>
        <v>100</v>
      </c>
      <c r="L276" s="62"/>
      <c r="M276" s="55"/>
      <c r="N276" s="55"/>
      <c r="O276" s="55"/>
      <c r="P276" s="55"/>
      <c r="Q276" s="55"/>
      <c r="R276" s="55"/>
      <c r="S276" s="55"/>
      <c r="T276" s="55"/>
      <c r="U276" s="55"/>
    </row>
    <row r="277" spans="1:21" ht="18.75" hidden="1">
      <c r="A277" s="281"/>
      <c r="B277" s="282"/>
      <c r="C277" s="282"/>
      <c r="D277" s="647" t="s">
        <v>116</v>
      </c>
      <c r="E277" s="2"/>
      <c r="F277" s="2"/>
      <c r="G277" s="284"/>
      <c r="H277" s="646" t="s">
        <v>35</v>
      </c>
      <c r="I277" s="486">
        <v>0</v>
      </c>
      <c r="J277" s="486">
        <v>0</v>
      </c>
      <c r="K277" s="645">
        <v>0</v>
      </c>
      <c r="L277" s="287"/>
      <c r="M277" s="286"/>
      <c r="N277" s="286"/>
      <c r="O277" s="286"/>
      <c r="P277" s="286"/>
      <c r="Q277" s="286"/>
      <c r="R277" s="286"/>
      <c r="S277" s="286"/>
      <c r="T277" s="286"/>
      <c r="U277" s="286"/>
    </row>
    <row r="278" spans="1:21" ht="19.5" hidden="1">
      <c r="A278" s="288" t="s">
        <v>117</v>
      </c>
      <c r="B278" s="289"/>
      <c r="C278" s="289"/>
      <c r="D278" s="289"/>
      <c r="E278" s="290"/>
      <c r="F278" s="290"/>
      <c r="G278" s="290"/>
      <c r="H278" s="290"/>
      <c r="I278" s="291"/>
      <c r="J278" s="291"/>
      <c r="K278" s="292"/>
      <c r="L278" s="292"/>
      <c r="M278" s="292"/>
      <c r="N278" s="292"/>
      <c r="O278" s="292"/>
      <c r="P278" s="293"/>
      <c r="Q278" s="292"/>
      <c r="R278" s="292"/>
      <c r="S278" s="292"/>
      <c r="T278" s="292"/>
      <c r="U278" s="293"/>
    </row>
    <row r="279" spans="1:21" ht="19.5" hidden="1">
      <c r="A279" s="294" t="s">
        <v>118</v>
      </c>
      <c r="B279" s="295"/>
      <c r="C279" s="296"/>
      <c r="D279" s="295"/>
      <c r="E279" s="295"/>
      <c r="F279" s="295"/>
      <c r="G279" s="295"/>
      <c r="H279" s="295"/>
      <c r="I279" s="297"/>
      <c r="J279" s="298"/>
      <c r="K279" s="299"/>
      <c r="L279" s="300"/>
      <c r="M279" s="299"/>
      <c r="N279" s="299"/>
      <c r="O279" s="299"/>
      <c r="P279" s="299"/>
      <c r="Q279" s="299"/>
      <c r="R279" s="299"/>
      <c r="S279" s="299"/>
      <c r="T279" s="299"/>
      <c r="U279" s="299"/>
    </row>
    <row r="280" spans="1:21" ht="19.5" hidden="1">
      <c r="A280" s="301"/>
      <c r="B280" s="302" t="s">
        <v>119</v>
      </c>
      <c r="C280" s="303"/>
      <c r="D280" s="304"/>
      <c r="E280" s="303"/>
      <c r="F280" s="303"/>
      <c r="G280" s="305"/>
      <c r="H280" s="306" t="s">
        <v>35</v>
      </c>
      <c r="I280" s="644">
        <f ca="1">I293</f>
        <v>0</v>
      </c>
      <c r="J280" s="644">
        <f>J293</f>
        <v>0</v>
      </c>
      <c r="K280" s="643">
        <f ca="1">IF(I280&gt;0,J280*100/I280,0)</f>
        <v>0</v>
      </c>
      <c r="L280" s="310"/>
      <c r="M280" s="309"/>
      <c r="N280" s="309"/>
      <c r="O280" s="309"/>
      <c r="P280" s="309"/>
      <c r="Q280" s="309"/>
      <c r="R280" s="309"/>
      <c r="S280" s="309"/>
      <c r="T280" s="309"/>
      <c r="U280" s="309"/>
    </row>
    <row r="281" spans="1:21" ht="19.5" hidden="1">
      <c r="A281" s="301"/>
      <c r="B281" s="303"/>
      <c r="C281" s="303"/>
      <c r="D281" s="304"/>
      <c r="E281" s="303"/>
      <c r="F281" s="303"/>
      <c r="G281" s="305"/>
      <c r="H281" s="306" t="s">
        <v>46</v>
      </c>
      <c r="I281" s="644">
        <f ca="1">I292</f>
        <v>0</v>
      </c>
      <c r="J281" s="644">
        <f>J292</f>
        <v>0</v>
      </c>
      <c r="K281" s="643">
        <f ca="1">IF(I281&gt;0,J281*100/I281,0)</f>
        <v>0</v>
      </c>
      <c r="L281" s="310"/>
      <c r="M281" s="309"/>
      <c r="N281" s="309"/>
      <c r="O281" s="309"/>
      <c r="P281" s="309"/>
      <c r="Q281" s="309"/>
      <c r="R281" s="309"/>
      <c r="S281" s="309"/>
      <c r="T281" s="309"/>
      <c r="U281" s="309"/>
    </row>
    <row r="282" spans="1:21" ht="19.5" hidden="1">
      <c r="A282" s="155"/>
      <c r="B282" s="50"/>
      <c r="C282" s="156" t="s">
        <v>18</v>
      </c>
      <c r="D282" s="575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541">
        <f ca="1">L283+L284</f>
        <v>0</v>
      </c>
      <c r="M282" s="540">
        <f ca="1">M283+M284</f>
        <v>0</v>
      </c>
      <c r="N282" s="540">
        <f ca="1">N283+N284</f>
        <v>0</v>
      </c>
      <c r="O282" s="540">
        <f ca="1">IF(L282&gt;0,N282*100/L282,0)</f>
        <v>0</v>
      </c>
      <c r="P282" s="540">
        <f ca="1">IF(M282&gt;0,N282*100/M282,0)</f>
        <v>0</v>
      </c>
      <c r="Q282" s="540">
        <f>Q283+Q284</f>
        <v>0</v>
      </c>
      <c r="R282" s="540">
        <f>R283+R284</f>
        <v>0</v>
      </c>
      <c r="S282" s="540">
        <f>S283+S284</f>
        <v>0</v>
      </c>
      <c r="T282" s="540">
        <f>IF(Q282&gt;0,S282*100/Q282,0)</f>
        <v>0</v>
      </c>
      <c r="U282" s="540">
        <f>IF(R282&gt;0,S282*100/R282,0)</f>
        <v>0</v>
      </c>
    </row>
    <row r="283" spans="1:21" ht="18.75" hidden="1">
      <c r="A283" s="155"/>
      <c r="B283" s="50"/>
      <c r="C283" s="50"/>
      <c r="D283" s="50"/>
      <c r="E283" s="186" t="s">
        <v>20</v>
      </c>
      <c r="F283" s="50"/>
      <c r="G283" s="52"/>
      <c r="H283" s="187" t="s">
        <v>14</v>
      </c>
      <c r="I283" s="54"/>
      <c r="J283" s="54"/>
      <c r="K283" s="55"/>
      <c r="L283" s="103">
        <f>L286+L289</f>
        <v>0</v>
      </c>
      <c r="M283" s="102">
        <f>M286+M289</f>
        <v>0</v>
      </c>
      <c r="N283" s="102">
        <f>N286+N289</f>
        <v>0</v>
      </c>
      <c r="O283" s="102">
        <f>IF(L283&gt;0,N283*100/L283,0)</f>
        <v>0</v>
      </c>
      <c r="P283" s="102">
        <f>IF(M283&gt;0,N283*100/M283,0)</f>
        <v>0</v>
      </c>
      <c r="Q283" s="102">
        <f>Q286+Q289</f>
        <v>0</v>
      </c>
      <c r="R283" s="102">
        <f>R286+R289</f>
        <v>0</v>
      </c>
      <c r="S283" s="102">
        <f>S286+S289</f>
        <v>0</v>
      </c>
      <c r="T283" s="102">
        <f>IF(Q283&gt;0,S283*100/Q283,0)</f>
        <v>0</v>
      </c>
      <c r="U283" s="102">
        <f>IF(R283&gt;0,S283*100/R283,0)</f>
        <v>0</v>
      </c>
    </row>
    <row r="284" spans="1:21" ht="18.75" hidden="1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256">
        <f ca="1">L287+L290</f>
        <v>0</v>
      </c>
      <c r="M284" s="255">
        <f ca="1">M287+M290</f>
        <v>0</v>
      </c>
      <c r="N284" s="255">
        <f ca="1">N287+N290</f>
        <v>0</v>
      </c>
      <c r="O284" s="255">
        <f ca="1">IF(L284&gt;0,N284*100/L284,0)</f>
        <v>0</v>
      </c>
      <c r="P284" s="255">
        <f ca="1">IF(M284&gt;0,N284*100/M284,0)</f>
        <v>0</v>
      </c>
      <c r="Q284" s="255">
        <f>Q287+Q290</f>
        <v>0</v>
      </c>
      <c r="R284" s="255">
        <f>R287+R290</f>
        <v>0</v>
      </c>
      <c r="S284" s="255">
        <f>S287+S290</f>
        <v>0</v>
      </c>
      <c r="T284" s="255">
        <f>IF(Q284&gt;0,S284*100/Q284,0)</f>
        <v>0</v>
      </c>
      <c r="U284" s="255">
        <f>IF(R284&gt;0,S284*100/R284,0)</f>
        <v>0</v>
      </c>
    </row>
    <row r="285" spans="1:21" ht="18.75" hidden="1">
      <c r="A285" s="155"/>
      <c r="B285" s="50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256">
        <f ca="1">L286+L287</f>
        <v>0</v>
      </c>
      <c r="M285" s="255">
        <f ca="1">M286+M287</f>
        <v>0</v>
      </c>
      <c r="N285" s="255">
        <f ca="1">N286+N287</f>
        <v>0</v>
      </c>
      <c r="O285" s="255">
        <f ca="1">IF(L285&gt;0,N285*100/L285,0)</f>
        <v>0</v>
      </c>
      <c r="P285" s="255">
        <f ca="1">IF(M285&gt;0,N285*100/M285,0)</f>
        <v>0</v>
      </c>
      <c r="Q285" s="255">
        <f>Q286+Q287</f>
        <v>0</v>
      </c>
      <c r="R285" s="255">
        <f>R286+R287</f>
        <v>0</v>
      </c>
      <c r="S285" s="255">
        <f>S286+S287</f>
        <v>0</v>
      </c>
      <c r="T285" s="255">
        <f>IF(Q285&gt;0,S285*100/Q285,0)</f>
        <v>0</v>
      </c>
      <c r="U285" s="255">
        <f>IF(R285&gt;0,S285*100/R285,0)</f>
        <v>0</v>
      </c>
    </row>
    <row r="286" spans="1:21" ht="18.75" hidden="1">
      <c r="A286" s="155"/>
      <c r="B286" s="50"/>
      <c r="C286" s="50"/>
      <c r="D286" s="50"/>
      <c r="E286" s="186" t="s">
        <v>36</v>
      </c>
      <c r="F286" s="50"/>
      <c r="G286" s="52"/>
      <c r="H286" s="189" t="s">
        <v>14</v>
      </c>
      <c r="I286" s="163"/>
      <c r="J286" s="163"/>
      <c r="K286" s="164"/>
      <c r="L286" s="103">
        <v>0</v>
      </c>
      <c r="M286" s="102">
        <v>0</v>
      </c>
      <c r="N286" s="102">
        <v>0</v>
      </c>
      <c r="O286" s="102">
        <f>IF(L286&gt;0,N286*100/L286,0)</f>
        <v>0</v>
      </c>
      <c r="P286" s="102">
        <f>IF(M286&gt;0,N286*100/M286,0)</f>
        <v>0</v>
      </c>
      <c r="Q286" s="102">
        <v>0</v>
      </c>
      <c r="R286" s="102">
        <v>0</v>
      </c>
      <c r="S286" s="102">
        <v>0</v>
      </c>
      <c r="T286" s="102">
        <f>IF(Q286&gt;0,S286*100/Q286,0)</f>
        <v>0</v>
      </c>
      <c r="U286" s="102">
        <f>IF(R286&gt;0,S286*100/R286,0)</f>
        <v>0</v>
      </c>
    </row>
    <row r="287" spans="1:21" ht="18.75" hidden="1">
      <c r="A287" s="155"/>
      <c r="B287" s="50"/>
      <c r="C287" s="50"/>
      <c r="D287" s="50"/>
      <c r="E287" s="58" t="s">
        <v>37</v>
      </c>
      <c r="F287" s="50"/>
      <c r="G287" s="52"/>
      <c r="H287" s="162" t="s">
        <v>14</v>
      </c>
      <c r="I287" s="163"/>
      <c r="J287" s="163"/>
      <c r="K287" s="164"/>
      <c r="L287" s="256">
        <f ca="1">IFERROR(__xludf.DUMMYFUNCTION("IMPORTRANGE(""https://docs.google.com/spreadsheets/d/1-uDff_7J0KD5mKrp0Vvzr7lt3OU09vwQwhkpOPPYv2Y/edit?usp=sharing"",""งบพรบ!DO38"")"),0)</f>
        <v>0</v>
      </c>
      <c r="M287" s="255">
        <f ca="1">IFERROR(__xludf.DUMMYFUNCTION("IMPORTRANGE(""https://docs.google.com/spreadsheets/d/1-uDff_7J0KD5mKrp0Vvzr7lt3OU09vwQwhkpOPPYv2Y/edit?usp=sharing"",""งบพรบ!DT38"")"),0)</f>
        <v>0</v>
      </c>
      <c r="N287" s="255">
        <f ca="1">IFERROR(__xludf.DUMMYFUNCTION("IMPORTRANGE(""https://docs.google.com/spreadsheets/d/1-uDff_7J0KD5mKrp0Vvzr7lt3OU09vwQwhkpOPPYv2Y/edit?usp=sharing"",""งบพรบ!DV38"")"),0)</f>
        <v>0</v>
      </c>
      <c r="O287" s="255">
        <f ca="1">IF(L287&gt;0,N287*100/L287,0)</f>
        <v>0</v>
      </c>
      <c r="P287" s="255">
        <f ca="1">IF(M287&gt;0,N287*100/M287,0)</f>
        <v>0</v>
      </c>
      <c r="Q287" s="255">
        <v>0</v>
      </c>
      <c r="R287" s="255">
        <v>0</v>
      </c>
      <c r="S287" s="255">
        <v>0</v>
      </c>
      <c r="T287" s="102">
        <f>IF(Q287&gt;0,S287*100/Q287,0)</f>
        <v>0</v>
      </c>
      <c r="U287" s="102">
        <f>IF(R287&gt;0,S287*100/R287,0)</f>
        <v>0</v>
      </c>
    </row>
    <row r="288" spans="1:21" ht="18.75" hidden="1">
      <c r="A288" s="155"/>
      <c r="B288" s="50"/>
      <c r="C288" s="50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256">
        <f ca="1">L289+L290</f>
        <v>0</v>
      </c>
      <c r="M288" s="255">
        <f ca="1">M289+M290</f>
        <v>0</v>
      </c>
      <c r="N288" s="255">
        <f ca="1">N289+N290</f>
        <v>0</v>
      </c>
      <c r="O288" s="255">
        <f ca="1">IF(L288&gt;0,N288*100/L288,0)</f>
        <v>0</v>
      </c>
      <c r="P288" s="255">
        <f ca="1">IF(M288&gt;0,N288*100/M288,0)</f>
        <v>0</v>
      </c>
      <c r="Q288" s="255">
        <f>Q289+Q290</f>
        <v>0</v>
      </c>
      <c r="R288" s="255">
        <f>R289+R290</f>
        <v>0</v>
      </c>
      <c r="S288" s="255">
        <f>S289+S290</f>
        <v>0</v>
      </c>
      <c r="T288" s="255">
        <f>IF(Q288&gt;0,S288*100/Q288,0)</f>
        <v>0</v>
      </c>
      <c r="U288" s="255">
        <f>IF(R288&gt;0,S288*100/R288,0)</f>
        <v>0</v>
      </c>
    </row>
    <row r="289" spans="1:21" ht="18.75" hidden="1">
      <c r="A289" s="155"/>
      <c r="B289" s="50"/>
      <c r="C289" s="50"/>
      <c r="D289" s="50"/>
      <c r="E289" s="186" t="s">
        <v>20</v>
      </c>
      <c r="F289" s="50"/>
      <c r="G289" s="52"/>
      <c r="H289" s="189" t="s">
        <v>14</v>
      </c>
      <c r="I289" s="163"/>
      <c r="J289" s="163"/>
      <c r="K289" s="164"/>
      <c r="L289" s="103">
        <v>0</v>
      </c>
      <c r="M289" s="102">
        <v>0</v>
      </c>
      <c r="N289" s="102">
        <v>0</v>
      </c>
      <c r="O289" s="102">
        <f>IF(L289&gt;0,N289*100/L289,0)</f>
        <v>0</v>
      </c>
      <c r="P289" s="102">
        <f>IF(M289&gt;0,N289*100/M289,0)</f>
        <v>0</v>
      </c>
      <c r="Q289" s="102">
        <v>0</v>
      </c>
      <c r="R289" s="102">
        <v>0</v>
      </c>
      <c r="S289" s="102">
        <v>0</v>
      </c>
      <c r="T289" s="102">
        <f>IF(Q289&gt;0,S289*100/Q289,0)</f>
        <v>0</v>
      </c>
      <c r="U289" s="102">
        <f>IF(R289&gt;0,S289*100/R289,0)</f>
        <v>0</v>
      </c>
    </row>
    <row r="290" spans="1:21" ht="18.75" hidden="1">
      <c r="A290" s="155"/>
      <c r="B290" s="50"/>
      <c r="C290" s="50"/>
      <c r="D290" s="50"/>
      <c r="E290" s="58" t="s">
        <v>21</v>
      </c>
      <c r="F290" s="50"/>
      <c r="G290" s="52"/>
      <c r="H290" s="165" t="s">
        <v>14</v>
      </c>
      <c r="I290" s="163"/>
      <c r="J290" s="163"/>
      <c r="K290" s="164"/>
      <c r="L290" s="256">
        <f ca="1">IFERROR(__xludf.DUMMYFUNCTION("IMPORTRANGE(""https://docs.google.com/spreadsheets/d/1-uDff_7J0KD5mKrp0Vvzr7lt3OU09vwQwhkpOPPYv2Y/edit?usp=sharing"",""งบพรบ!DR38"")"),0)</f>
        <v>0</v>
      </c>
      <c r="M290" s="255">
        <f ca="1">IFERROR(__xludf.DUMMYFUNCTION("IMPORTRANGE(""https://docs.google.com/spreadsheets/d/1-uDff_7J0KD5mKrp0Vvzr7lt3OU09vwQwhkpOPPYv2Y/edit?usp=sharing"",""งบพรบ!DU38"")"),0)</f>
        <v>0</v>
      </c>
      <c r="N290" s="255">
        <f ca="1">IFERROR(__xludf.DUMMYFUNCTION("IMPORTRANGE(""https://docs.google.com/spreadsheets/d/1-uDff_7J0KD5mKrp0Vvzr7lt3OU09vwQwhkpOPPYv2Y/edit?usp=sharing"",""งบพรบ!DW38"")"),0)</f>
        <v>0</v>
      </c>
      <c r="O290" s="255">
        <f ca="1">IF(L290&gt;0,N290*100/L290,0)</f>
        <v>0</v>
      </c>
      <c r="P290" s="255">
        <f ca="1">IF(M290&gt;0,N290*100/M290,0)</f>
        <v>0</v>
      </c>
      <c r="Q290" s="255">
        <v>0</v>
      </c>
      <c r="R290" s="255">
        <v>0</v>
      </c>
      <c r="S290" s="255">
        <v>0</v>
      </c>
      <c r="T290" s="255">
        <f>IF(Q290&gt;0,S290*100/Q290,0)</f>
        <v>0</v>
      </c>
      <c r="U290" s="255">
        <f>IF(R290&gt;0,S290*100/R290,0)</f>
        <v>0</v>
      </c>
    </row>
    <row r="291" spans="1:21" ht="19.5" hidden="1">
      <c r="A291" s="166"/>
      <c r="B291" s="167"/>
      <c r="C291" s="156" t="s">
        <v>18</v>
      </c>
      <c r="D291" s="566" t="s">
        <v>38</v>
      </c>
      <c r="E291" s="169"/>
      <c r="F291" s="169"/>
      <c r="G291" s="170"/>
      <c r="H291" s="171"/>
      <c r="I291" s="163"/>
      <c r="J291" s="163"/>
      <c r="K291" s="164"/>
      <c r="L291" s="172"/>
      <c r="M291" s="164"/>
      <c r="N291" s="164"/>
      <c r="O291" s="164"/>
      <c r="P291" s="164"/>
      <c r="Q291" s="164"/>
      <c r="R291" s="164"/>
      <c r="S291" s="164"/>
      <c r="T291" s="164"/>
      <c r="U291" s="164"/>
    </row>
    <row r="292" spans="1:21" ht="18.75" hidden="1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212">
        <f ca="1">IFERROR(__xludf.DUMMYFUNCTION("IMPORTRANGE(""https://docs.google.com/spreadsheets/d/1eHaY18a8A9IcSdp1K8H6x8fbOy06t2VsZHhMHf-1x7Y/edit?usp=sharing"",""แผน!EE38"")"),0)</f>
        <v>0</v>
      </c>
      <c r="J292" s="467">
        <v>0</v>
      </c>
      <c r="K292" s="565">
        <f ca="1">IF(I292&gt;0,J292*100/I292,0)</f>
        <v>0</v>
      </c>
      <c r="L292" s="172"/>
      <c r="M292" s="164"/>
      <c r="N292" s="164"/>
      <c r="O292" s="164"/>
      <c r="P292" s="164"/>
      <c r="Q292" s="164"/>
      <c r="R292" s="164"/>
      <c r="S292" s="164"/>
      <c r="T292" s="164"/>
      <c r="U292" s="164"/>
    </row>
    <row r="293" spans="1:21" ht="19.5" hidden="1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373">
        <f ca="1">IFERROR(__xludf.DUMMYFUNCTION("IMPORTRANGE(""https://docs.google.com/spreadsheets/d/1eHaY18a8A9IcSdp1K8H6x8fbOy06t2VsZHhMHf-1x7Y/edit?usp=sharing"",""แผน!ED38"")"),0)</f>
        <v>0</v>
      </c>
      <c r="J293" s="373">
        <f>J296</f>
        <v>0</v>
      </c>
      <c r="K293" s="642">
        <f ca="1">IF(I293&gt;0,J293*100/I293,0)</f>
        <v>0</v>
      </c>
      <c r="L293" s="172"/>
      <c r="M293" s="164"/>
      <c r="N293" s="164"/>
      <c r="O293" s="164"/>
      <c r="P293" s="164"/>
      <c r="Q293" s="164"/>
      <c r="R293" s="164"/>
      <c r="S293" s="164"/>
      <c r="T293" s="164"/>
      <c r="U293" s="164"/>
    </row>
    <row r="294" spans="1:21" ht="19.5" hidden="1">
      <c r="A294" s="166"/>
      <c r="B294" s="167"/>
      <c r="C294" s="167"/>
      <c r="D294" s="174"/>
      <c r="E294" s="194" t="s">
        <v>122</v>
      </c>
      <c r="F294" s="174"/>
      <c r="G294" s="171"/>
      <c r="H294" s="171"/>
      <c r="I294" s="163"/>
      <c r="J294" s="54"/>
      <c r="K294" s="164"/>
      <c r="L294" s="172"/>
      <c r="M294" s="164"/>
      <c r="N294" s="164"/>
      <c r="O294" s="164"/>
      <c r="P294" s="164"/>
      <c r="Q294" s="164"/>
      <c r="R294" s="164"/>
      <c r="S294" s="164"/>
      <c r="T294" s="164"/>
      <c r="U294" s="164"/>
    </row>
    <row r="295" spans="1:21" ht="19.5" hidden="1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641">
        <f ca="1">IFERROR(__xludf.DUMMYFUNCTION("IMPORTRANGE(""https://docs.google.com/spreadsheets/d/1eHaY18a8A9IcSdp1K8H6x8fbOy06t2VsZHhMHf-1x7Y/edit?usp=sharing"",""แผน!ED38"")"),0)</f>
        <v>0</v>
      </c>
      <c r="J295" s="467">
        <v>0</v>
      </c>
      <c r="K295" s="565">
        <f ca="1">IF(I295&gt;0,J295*100/I295,0)</f>
        <v>0</v>
      </c>
      <c r="L295" s="172"/>
      <c r="M295" s="164"/>
      <c r="N295" s="164"/>
      <c r="O295" s="164"/>
      <c r="P295" s="164"/>
      <c r="Q295" s="164"/>
      <c r="R295" s="164"/>
      <c r="S295" s="164"/>
      <c r="T295" s="164"/>
      <c r="U295" s="164"/>
    </row>
    <row r="296" spans="1:21" ht="19.5" hidden="1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641">
        <f ca="1">IFERROR(__xludf.DUMMYFUNCTION("IMPORTRANGE(""https://docs.google.com/spreadsheets/d/1eHaY18a8A9IcSdp1K8H6x8fbOy06t2VsZHhMHf-1x7Y/edit?usp=sharing"",""แผน!ED38"")"),0)</f>
        <v>0</v>
      </c>
      <c r="J296" s="467">
        <v>0</v>
      </c>
      <c r="K296" s="565">
        <f ca="1">IF(I296&gt;0,J296*100/I296,0)</f>
        <v>0</v>
      </c>
      <c r="L296" s="172"/>
      <c r="M296" s="164"/>
      <c r="N296" s="164"/>
      <c r="O296" s="164"/>
      <c r="P296" s="164"/>
      <c r="Q296" s="164"/>
      <c r="R296" s="164"/>
      <c r="S296" s="164"/>
      <c r="T296" s="164"/>
      <c r="U296" s="164"/>
    </row>
    <row r="297" spans="1:21" ht="12.75" hidden="1">
      <c r="A297" s="192"/>
      <c r="B297" s="193"/>
      <c r="C297" s="193"/>
      <c r="D297" s="22"/>
      <c r="E297" s="22"/>
      <c r="F297" s="22"/>
      <c r="G297" s="23"/>
      <c r="H297" s="23"/>
      <c r="I297" s="24"/>
      <c r="J297" s="24"/>
      <c r="K297" s="25"/>
      <c r="L297" s="26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2.75" hidden="1">
      <c r="A298" s="192"/>
      <c r="B298" s="193"/>
      <c r="C298" s="193"/>
      <c r="D298" s="22"/>
      <c r="E298" s="22"/>
      <c r="F298" s="22"/>
      <c r="G298" s="23"/>
      <c r="H298" s="23"/>
      <c r="I298" s="24"/>
      <c r="J298" s="24"/>
      <c r="K298" s="25"/>
      <c r="L298" s="26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2.75" hidden="1">
      <c r="A299" s="311"/>
      <c r="B299" s="312"/>
      <c r="C299" s="312"/>
      <c r="D299" s="27"/>
      <c r="E299" s="27"/>
      <c r="F299" s="27"/>
      <c r="G299" s="17"/>
      <c r="H299" s="17"/>
      <c r="I299" s="18"/>
      <c r="J299" s="18"/>
      <c r="K299" s="19"/>
      <c r="L299" s="28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>
      <c r="A300" s="313" t="s">
        <v>125</v>
      </c>
      <c r="B300" s="314"/>
      <c r="C300" s="314"/>
      <c r="D300" s="314"/>
      <c r="E300" s="315"/>
      <c r="F300" s="315"/>
      <c r="G300" s="315"/>
      <c r="H300" s="315"/>
      <c r="I300" s="316"/>
      <c r="J300" s="316"/>
      <c r="K300" s="317"/>
      <c r="L300" s="317"/>
      <c r="M300" s="317"/>
      <c r="N300" s="317"/>
      <c r="O300" s="317"/>
      <c r="P300" s="318"/>
      <c r="Q300" s="317"/>
      <c r="R300" s="317"/>
      <c r="S300" s="317"/>
      <c r="T300" s="317"/>
      <c r="U300" s="318"/>
    </row>
    <row r="301" spans="1:21" ht="19.5">
      <c r="A301" s="319" t="s">
        <v>126</v>
      </c>
      <c r="B301" s="320"/>
      <c r="C301" s="320"/>
      <c r="D301" s="321"/>
      <c r="E301" s="321"/>
      <c r="F301" s="321"/>
      <c r="G301" s="322"/>
      <c r="H301" s="322"/>
      <c r="I301" s="323"/>
      <c r="J301" s="323"/>
      <c r="K301" s="324"/>
      <c r="L301" s="325"/>
      <c r="M301" s="324"/>
      <c r="N301" s="324"/>
      <c r="O301" s="324"/>
      <c r="P301" s="324"/>
      <c r="Q301" s="324"/>
      <c r="R301" s="324"/>
      <c r="S301" s="324"/>
      <c r="T301" s="324"/>
      <c r="U301" s="324"/>
    </row>
    <row r="302" spans="1:21" ht="19.5">
      <c r="A302" s="326"/>
      <c r="B302" s="327" t="s">
        <v>127</v>
      </c>
      <c r="C302" s="328"/>
      <c r="D302" s="328"/>
      <c r="E302" s="328"/>
      <c r="F302" s="328"/>
      <c r="G302" s="329"/>
      <c r="H302" s="330" t="s">
        <v>35</v>
      </c>
      <c r="I302" s="605">
        <f ca="1">I314</f>
        <v>25</v>
      </c>
      <c r="J302" s="605">
        <f>J314</f>
        <v>25</v>
      </c>
      <c r="K302" s="604">
        <f ca="1">IF(I302&gt;0,J302*100/I302,0)</f>
        <v>100</v>
      </c>
      <c r="L302" s="334"/>
      <c r="M302" s="333"/>
      <c r="N302" s="333"/>
      <c r="O302" s="333"/>
      <c r="P302" s="333"/>
      <c r="Q302" s="333"/>
      <c r="R302" s="333"/>
      <c r="S302" s="333"/>
      <c r="T302" s="333"/>
      <c r="U302" s="333"/>
    </row>
    <row r="303" spans="1:21" ht="19.5">
      <c r="A303" s="155"/>
      <c r="B303" s="50"/>
      <c r="C303" s="156" t="s">
        <v>18</v>
      </c>
      <c r="D303" s="575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541">
        <f ca="1">L304+L305</f>
        <v>305400</v>
      </c>
      <c r="M303" s="540">
        <f ca="1">M304+M305</f>
        <v>305400</v>
      </c>
      <c r="N303" s="540">
        <f ca="1">N304+N305</f>
        <v>257866.66</v>
      </c>
      <c r="O303" s="540">
        <f ca="1">IF(L303&gt;0,N303*100/L303,0)</f>
        <v>84.435710543549447</v>
      </c>
      <c r="P303" s="540">
        <f ca="1">IF(M303&gt;0,N303*100/M303,0)</f>
        <v>84.435710543549447</v>
      </c>
      <c r="Q303" s="540">
        <f ca="1">Q304+Q305</f>
        <v>166057.24</v>
      </c>
      <c r="R303" s="540">
        <f ca="1">R304+R305</f>
        <v>166057</v>
      </c>
      <c r="S303" s="540">
        <f ca="1">S304+S305</f>
        <v>0</v>
      </c>
      <c r="T303" s="540">
        <f ca="1">IF(Q303&gt;0,S303*100/Q303,0)</f>
        <v>0</v>
      </c>
      <c r="U303" s="540">
        <f ca="1">IF(R303&gt;0,S303*100/R303,0)</f>
        <v>0</v>
      </c>
    </row>
    <row r="304" spans="1:21" ht="18.75" hidden="1">
      <c r="A304" s="155"/>
      <c r="B304" s="50"/>
      <c r="C304" s="50"/>
      <c r="D304" s="50"/>
      <c r="E304" s="186" t="s">
        <v>20</v>
      </c>
      <c r="F304" s="50"/>
      <c r="G304" s="52"/>
      <c r="H304" s="187" t="s">
        <v>14</v>
      </c>
      <c r="I304" s="54"/>
      <c r="J304" s="54"/>
      <c r="K304" s="55"/>
      <c r="L304" s="103">
        <f>L307+L310</f>
        <v>0</v>
      </c>
      <c r="M304" s="102">
        <f>M307+M310</f>
        <v>0</v>
      </c>
      <c r="N304" s="102">
        <f>N307+N310</f>
        <v>0</v>
      </c>
      <c r="O304" s="102">
        <f>IF(L304&gt;0,N304*100/L304,0)</f>
        <v>0</v>
      </c>
      <c r="P304" s="102">
        <f>IF(M304&gt;0,N304*100/M304,0)</f>
        <v>0</v>
      </c>
      <c r="Q304" s="102">
        <f>Q307+Q310</f>
        <v>0</v>
      </c>
      <c r="R304" s="102">
        <f>R307+R310</f>
        <v>0</v>
      </c>
      <c r="S304" s="102">
        <f>S307+S310</f>
        <v>0</v>
      </c>
      <c r="T304" s="102">
        <f>IF(Q304&gt;0,S304*100/Q304,0)</f>
        <v>0</v>
      </c>
      <c r="U304" s="102">
        <f>IF(R304&gt;0,S304*100/R304,0)</f>
        <v>0</v>
      </c>
    </row>
    <row r="305" spans="1:21" ht="18.75" hidden="1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256">
        <f ca="1">L308+L311</f>
        <v>305400</v>
      </c>
      <c r="M305" s="255">
        <f ca="1">M308+M311</f>
        <v>305400</v>
      </c>
      <c r="N305" s="255">
        <f ca="1">N308+N311</f>
        <v>257866.66</v>
      </c>
      <c r="O305" s="255">
        <f ca="1">IF(L305&gt;0,N305*100/L305,0)</f>
        <v>84.435710543549447</v>
      </c>
      <c r="P305" s="255">
        <f ca="1">IF(M305&gt;0,N305*100/M305,0)</f>
        <v>84.435710543549447</v>
      </c>
      <c r="Q305" s="255">
        <f ca="1">Q308+Q311</f>
        <v>166057.24</v>
      </c>
      <c r="R305" s="255">
        <f ca="1">R308+R311</f>
        <v>166057</v>
      </c>
      <c r="S305" s="255">
        <f ca="1">S308+S311</f>
        <v>0</v>
      </c>
      <c r="T305" s="255">
        <f ca="1">IF(Q305&gt;0,S305*100/Q305,0)</f>
        <v>0</v>
      </c>
      <c r="U305" s="255">
        <f ca="1">IF(R305&gt;0,S305*100/R305,0)</f>
        <v>0</v>
      </c>
    </row>
    <row r="306" spans="1:21" ht="18.75">
      <c r="A306" s="155"/>
      <c r="B306" s="50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256">
        <f ca="1">L307+L308</f>
        <v>305400</v>
      </c>
      <c r="M306" s="255">
        <f ca="1">M307+M308</f>
        <v>305400</v>
      </c>
      <c r="N306" s="255">
        <f ca="1">N307+N308</f>
        <v>257866.66</v>
      </c>
      <c r="O306" s="255">
        <f ca="1">IF(L306&gt;0,N306*100/L306,0)</f>
        <v>84.435710543549447</v>
      </c>
      <c r="P306" s="255">
        <f ca="1">IF(M306&gt;0,N306*100/M306,0)</f>
        <v>84.435710543549447</v>
      </c>
      <c r="Q306" s="255">
        <f ca="1">Q307+Q308</f>
        <v>166057.24</v>
      </c>
      <c r="R306" s="255">
        <f ca="1">R307+R308</f>
        <v>166057</v>
      </c>
      <c r="S306" s="255">
        <f ca="1">S307+S308</f>
        <v>0</v>
      </c>
      <c r="T306" s="255">
        <f ca="1">IF(Q306&gt;0,S306*100/Q306,0)</f>
        <v>0</v>
      </c>
      <c r="U306" s="255">
        <f ca="1">IF(R306&gt;0,S306*100/R306,0)</f>
        <v>0</v>
      </c>
    </row>
    <row r="307" spans="1:21" ht="18.75" hidden="1">
      <c r="A307" s="155"/>
      <c r="B307" s="50"/>
      <c r="C307" s="50"/>
      <c r="D307" s="50"/>
      <c r="E307" s="186" t="s">
        <v>36</v>
      </c>
      <c r="F307" s="50"/>
      <c r="G307" s="52"/>
      <c r="H307" s="189" t="s">
        <v>14</v>
      </c>
      <c r="I307" s="163"/>
      <c r="J307" s="163"/>
      <c r="K307" s="164"/>
      <c r="L307" s="103">
        <v>0</v>
      </c>
      <c r="M307" s="102">
        <v>0</v>
      </c>
      <c r="N307" s="102">
        <v>0</v>
      </c>
      <c r="O307" s="102">
        <f>IF(L307&gt;0,N307*100/L307,0)</f>
        <v>0</v>
      </c>
      <c r="P307" s="102">
        <f>IF(M307&gt;0,N307*100/M307,0)</f>
        <v>0</v>
      </c>
      <c r="Q307" s="102">
        <v>0</v>
      </c>
      <c r="R307" s="102">
        <v>0</v>
      </c>
      <c r="S307" s="102">
        <v>0</v>
      </c>
      <c r="T307" s="102">
        <f>IF(Q307&gt;0,S307*100/Q307,0)</f>
        <v>0</v>
      </c>
      <c r="U307" s="102">
        <f>IF(R307&gt;0,S307*100/R307,0)</f>
        <v>0</v>
      </c>
    </row>
    <row r="308" spans="1:21" ht="18.75" hidden="1">
      <c r="A308" s="155"/>
      <c r="B308" s="50"/>
      <c r="C308" s="50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256">
        <f ca="1">IFERROR(__xludf.DUMMYFUNCTION("IMPORTRANGE(""https://docs.google.com/spreadsheets/d/1-uDff_7J0KD5mKrp0Vvzr7lt3OU09vwQwhkpOPPYv2Y/edit?usp=sharing"",""งบพรบ!DY38"")"),305400)</f>
        <v>305400</v>
      </c>
      <c r="M308" s="255">
        <f ca="1">IFERROR(__xludf.DUMMYFUNCTION("IMPORTRANGE(""https://docs.google.com/spreadsheets/d/1-uDff_7J0KD5mKrp0Vvzr7lt3OU09vwQwhkpOPPYv2Y/edit?usp=sharing"",""งบพรบ!ED38"")"),305400)</f>
        <v>305400</v>
      </c>
      <c r="N308" s="255">
        <f ca="1">IFERROR(__xludf.DUMMYFUNCTION("IMPORTRANGE(""https://docs.google.com/spreadsheets/d/1-uDff_7J0KD5mKrp0Vvzr7lt3OU09vwQwhkpOPPYv2Y/edit?usp=sharing"",""งบพรบ!EF38"")"),257866.66)</f>
        <v>257866.66</v>
      </c>
      <c r="O308" s="255">
        <f ca="1">IF(L308&gt;0,N308*100/L308,0)</f>
        <v>84.435710543549447</v>
      </c>
      <c r="P308" s="255">
        <f ca="1">IF(M308&gt;0,N308*100/M308,0)</f>
        <v>84.435710543549447</v>
      </c>
      <c r="Q308" s="255">
        <f ca="1">IFERROR(__xludf.DUMMYFUNCTION("IMPORTRANGE(""https://docs.google.com/spreadsheets/d/1ItG2mGa2ceCfYo0BwxsXqNm01IGEUdYcSSLTEv9YCik/edit?usp=sharing"",""เบิกจ่ายกองทุน!AP38"")"),166057.24)</f>
        <v>166057.24</v>
      </c>
      <c r="R308" s="255">
        <f ca="1">IFERROR(__xludf.DUMMYFUNCTION("IMPORTRANGE(""https://docs.google.com/spreadsheets/d/1ItG2mGa2ceCfYo0BwxsXqNm01IGEUdYcSSLTEv9YCik/edit?usp=sharing"",""เบิกจ่ายกองทุน!AQ38"")"),166057)</f>
        <v>166057</v>
      </c>
      <c r="S308" s="255">
        <f ca="1">IFERROR(__xludf.DUMMYFUNCTION("IMPORTRANGE(""https://docs.google.com/spreadsheets/d/1ItG2mGa2ceCfYo0BwxsXqNm01IGEUdYcSSLTEv9YCik/edit?usp=sharing"",""เบิกจ่ายกองทุน!AR38"")"),0)</f>
        <v>0</v>
      </c>
      <c r="T308" s="255">
        <f ca="1">IF(Q308&gt;0,S308*100/Q308,0)</f>
        <v>0</v>
      </c>
      <c r="U308" s="255">
        <f ca="1">IF(R308&gt;0,S308*100/R308,0)</f>
        <v>0</v>
      </c>
    </row>
    <row r="309" spans="1:21" ht="18.75">
      <c r="A309" s="155"/>
      <c r="B309" s="50"/>
      <c r="C309" s="50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256">
        <f ca="1">L310+L311</f>
        <v>0</v>
      </c>
      <c r="M309" s="255">
        <f ca="1">M310+M311</f>
        <v>0</v>
      </c>
      <c r="N309" s="255">
        <f ca="1">N310+N311</f>
        <v>0</v>
      </c>
      <c r="O309" s="255">
        <f ca="1">IF(L309&gt;0,N309*100/L309,0)</f>
        <v>0</v>
      </c>
      <c r="P309" s="255">
        <f ca="1">IF(M309&gt;0,N309*100/M309,0)</f>
        <v>0</v>
      </c>
      <c r="Q309" s="255">
        <f>Q310+Q311</f>
        <v>0</v>
      </c>
      <c r="R309" s="255">
        <f>R310+R311</f>
        <v>0</v>
      </c>
      <c r="S309" s="255">
        <f>S310+S311</f>
        <v>0</v>
      </c>
      <c r="T309" s="255">
        <f>IF(Q309&gt;0,S309*100/Q309,0)</f>
        <v>0</v>
      </c>
      <c r="U309" s="255">
        <f>IF(R309&gt;0,S309*100/R309,0)</f>
        <v>0</v>
      </c>
    </row>
    <row r="310" spans="1:21" ht="18.75" hidden="1">
      <c r="A310" s="155"/>
      <c r="B310" s="50"/>
      <c r="C310" s="50"/>
      <c r="D310" s="50"/>
      <c r="E310" s="186" t="s">
        <v>20</v>
      </c>
      <c r="F310" s="50"/>
      <c r="G310" s="52"/>
      <c r="H310" s="189" t="s">
        <v>14</v>
      </c>
      <c r="I310" s="163"/>
      <c r="J310" s="163"/>
      <c r="K310" s="164"/>
      <c r="L310" s="103">
        <v>0</v>
      </c>
      <c r="M310" s="102">
        <v>0</v>
      </c>
      <c r="N310" s="102">
        <v>0</v>
      </c>
      <c r="O310" s="102">
        <f>IF(L310&gt;0,N310*100/L310,0)</f>
        <v>0</v>
      </c>
      <c r="P310" s="102">
        <f>IF(M310&gt;0,N310*100/M310,0)</f>
        <v>0</v>
      </c>
      <c r="Q310" s="102">
        <v>0</v>
      </c>
      <c r="R310" s="102">
        <v>0</v>
      </c>
      <c r="S310" s="102">
        <v>0</v>
      </c>
      <c r="T310" s="102">
        <f>IF(Q310&gt;0,S310*100/Q310,0)</f>
        <v>0</v>
      </c>
      <c r="U310" s="102">
        <f>IF(R310&gt;0,S310*100/R310,0)</f>
        <v>0</v>
      </c>
    </row>
    <row r="311" spans="1:21" ht="18.75" hidden="1">
      <c r="A311" s="155"/>
      <c r="B311" s="50"/>
      <c r="C311" s="50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256">
        <f ca="1">IFERROR(__xludf.DUMMYFUNCTION("IMPORTRANGE(""https://docs.google.com/spreadsheets/d/1-uDff_7J0KD5mKrp0Vvzr7lt3OU09vwQwhkpOPPYv2Y/edit?usp=sharing"",""งบพรบ!EB38"")"),0)</f>
        <v>0</v>
      </c>
      <c r="M311" s="255">
        <f ca="1">IFERROR(__xludf.DUMMYFUNCTION("IMPORTRANGE(""https://docs.google.com/spreadsheets/d/1-uDff_7J0KD5mKrp0Vvzr7lt3OU09vwQwhkpOPPYv2Y/edit?usp=sharing"",""งบพรบ!EE38"")"),0)</f>
        <v>0</v>
      </c>
      <c r="N311" s="255">
        <f ca="1">IFERROR(__xludf.DUMMYFUNCTION("IMPORTRANGE(""https://docs.google.com/spreadsheets/d/1-uDff_7J0KD5mKrp0Vvzr7lt3OU09vwQwhkpOPPYv2Y/edit?usp=sharing"",""งบพรบ!EG38"")"),0)</f>
        <v>0</v>
      </c>
      <c r="O311" s="255">
        <f ca="1">IF(L311&gt;0,N311*100/L311,0)</f>
        <v>0</v>
      </c>
      <c r="P311" s="255">
        <f ca="1">IF(M311&gt;0,N311*100/M311,0)</f>
        <v>0</v>
      </c>
      <c r="Q311" s="255">
        <v>0</v>
      </c>
      <c r="R311" s="255">
        <v>0</v>
      </c>
      <c r="S311" s="255">
        <v>0</v>
      </c>
      <c r="T311" s="255">
        <f>IF(Q311&gt;0,S311*100/Q311,0)</f>
        <v>0</v>
      </c>
      <c r="U311" s="255">
        <f>IF(R311&gt;0,S311*100/R311,0)</f>
        <v>0</v>
      </c>
    </row>
    <row r="312" spans="1:21" ht="19.5">
      <c r="A312" s="166"/>
      <c r="B312" s="167"/>
      <c r="C312" s="156" t="s">
        <v>18</v>
      </c>
      <c r="D312" s="566" t="s">
        <v>38</v>
      </c>
      <c r="E312" s="169"/>
      <c r="F312" s="169"/>
      <c r="G312" s="170"/>
      <c r="H312" s="171"/>
      <c r="I312" s="54"/>
      <c r="J312" s="54"/>
      <c r="K312" s="55"/>
      <c r="L312" s="62"/>
      <c r="M312" s="55"/>
      <c r="N312" s="55"/>
      <c r="O312" s="55"/>
      <c r="P312" s="55"/>
      <c r="Q312" s="55"/>
      <c r="R312" s="55"/>
      <c r="S312" s="55"/>
      <c r="T312" s="55"/>
      <c r="U312" s="55"/>
    </row>
    <row r="313" spans="1:21" ht="18.75" hidden="1">
      <c r="A313" s="192"/>
      <c r="B313" s="193"/>
      <c r="C313" s="193"/>
      <c r="D313" s="640"/>
      <c r="E313" s="22"/>
      <c r="F313" s="22"/>
      <c r="G313" s="23"/>
      <c r="H313" s="23"/>
      <c r="I313" s="24"/>
      <c r="J313" s="638"/>
      <c r="K313" s="25"/>
      <c r="L313" s="26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8.75">
      <c r="A314" s="166"/>
      <c r="B314" s="167"/>
      <c r="C314" s="167"/>
      <c r="D314" s="178" t="s">
        <v>121</v>
      </c>
      <c r="E314" s="174"/>
      <c r="F314" s="174"/>
      <c r="G314" s="171"/>
      <c r="H314" s="179" t="s">
        <v>35</v>
      </c>
      <c r="I314" s="212">
        <f ca="1">IFERROR(__xludf.DUMMYFUNCTION("IMPORTRANGE(""https://docs.google.com/spreadsheets/d/1eHaY18a8A9IcSdp1K8H6x8fbOy06t2VsZHhMHf-1x7Y/edit?usp=sharing"",""แผน!EF38"")"),25)</f>
        <v>25</v>
      </c>
      <c r="J314" s="467">
        <v>25</v>
      </c>
      <c r="K314" s="255">
        <f ca="1">IF(I314&gt;0,J314*100/I314,0)</f>
        <v>100</v>
      </c>
      <c r="L314" s="62"/>
      <c r="M314" s="55"/>
      <c r="N314" s="55"/>
      <c r="O314" s="55"/>
      <c r="P314" s="55"/>
      <c r="Q314" s="55"/>
      <c r="R314" s="55"/>
      <c r="S314" s="55"/>
      <c r="T314" s="55"/>
      <c r="U314" s="55"/>
    </row>
    <row r="315" spans="1:21" ht="18.75" hidden="1">
      <c r="A315" s="192"/>
      <c r="B315" s="193"/>
      <c r="C315" s="193"/>
      <c r="D315" s="640"/>
      <c r="E315" s="22"/>
      <c r="F315" s="22"/>
      <c r="G315" s="23"/>
      <c r="H315" s="639"/>
      <c r="I315" s="638"/>
      <c r="J315" s="638"/>
      <c r="K315" s="637"/>
      <c r="L315" s="26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8.75" hidden="1">
      <c r="A316" s="192"/>
      <c r="B316" s="193"/>
      <c r="C316" s="193"/>
      <c r="D316" s="640"/>
      <c r="E316" s="22"/>
      <c r="F316" s="22"/>
      <c r="G316" s="23"/>
      <c r="H316" s="639"/>
      <c r="I316" s="638"/>
      <c r="J316" s="638"/>
      <c r="K316" s="637"/>
      <c r="L316" s="26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8.75" hidden="1">
      <c r="A317" s="192"/>
      <c r="B317" s="193"/>
      <c r="C317" s="193"/>
      <c r="D317" s="636"/>
      <c r="E317" s="22"/>
      <c r="F317" s="22"/>
      <c r="G317" s="23"/>
      <c r="H317" s="635"/>
      <c r="I317" s="638"/>
      <c r="J317" s="634"/>
      <c r="K317" s="633"/>
      <c r="L317" s="26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9.5" hidden="1">
      <c r="A318" s="319" t="s">
        <v>131</v>
      </c>
      <c r="B318" s="320"/>
      <c r="C318" s="320"/>
      <c r="D318" s="321"/>
      <c r="E318" s="320"/>
      <c r="F318" s="320"/>
      <c r="G318" s="320"/>
      <c r="H318" s="321"/>
      <c r="I318" s="323"/>
      <c r="J318" s="323"/>
      <c r="K318" s="324"/>
      <c r="L318" s="325"/>
      <c r="M318" s="324"/>
      <c r="N318" s="324"/>
      <c r="O318" s="324"/>
      <c r="P318" s="324"/>
      <c r="Q318" s="324"/>
      <c r="R318" s="324"/>
      <c r="S318" s="324"/>
      <c r="T318" s="324"/>
      <c r="U318" s="324"/>
    </row>
    <row r="319" spans="1:21" ht="19.5" hidden="1">
      <c r="A319" s="335"/>
      <c r="B319" s="327" t="s">
        <v>132</v>
      </c>
      <c r="C319" s="336"/>
      <c r="D319" s="337"/>
      <c r="E319" s="328"/>
      <c r="F319" s="328"/>
      <c r="G319" s="329"/>
      <c r="H319" s="330" t="s">
        <v>133</v>
      </c>
      <c r="I319" s="605">
        <f ca="1">I330</f>
        <v>0</v>
      </c>
      <c r="J319" s="605">
        <f>J330</f>
        <v>0</v>
      </c>
      <c r="K319" s="604">
        <f ca="1">IF(I319&gt;0,J319*100/I319,0)</f>
        <v>0</v>
      </c>
      <c r="L319" s="334"/>
      <c r="M319" s="333"/>
      <c r="N319" s="333"/>
      <c r="O319" s="333"/>
      <c r="P319" s="333"/>
      <c r="Q319" s="333"/>
      <c r="R319" s="333"/>
      <c r="S319" s="333"/>
      <c r="T319" s="333"/>
      <c r="U319" s="333"/>
    </row>
    <row r="320" spans="1:21" ht="19.5" hidden="1">
      <c r="A320" s="155"/>
      <c r="B320" s="50"/>
      <c r="C320" s="156" t="s">
        <v>18</v>
      </c>
      <c r="D320" s="575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541">
        <f ca="1">L321+L322</f>
        <v>0</v>
      </c>
      <c r="M320" s="540">
        <f ca="1">M321+M322</f>
        <v>0</v>
      </c>
      <c r="N320" s="540">
        <f ca="1">N321+N322</f>
        <v>0</v>
      </c>
      <c r="O320" s="540">
        <f ca="1">IF(L320&gt;0,N320*100/L320,0)</f>
        <v>0</v>
      </c>
      <c r="P320" s="540">
        <f ca="1">IF(M320&gt;0,N320*100/M320,0)</f>
        <v>0</v>
      </c>
      <c r="Q320" s="540">
        <f>Q321+Q322</f>
        <v>0</v>
      </c>
      <c r="R320" s="540">
        <f>R321+R322</f>
        <v>0</v>
      </c>
      <c r="S320" s="540">
        <f>S321+S322</f>
        <v>0</v>
      </c>
      <c r="T320" s="540">
        <f>IF(Q320&gt;0,S320*100/Q320,0)</f>
        <v>0</v>
      </c>
      <c r="U320" s="540">
        <f>IF(R320&gt;0,S320*100/R320,0)</f>
        <v>0</v>
      </c>
    </row>
    <row r="321" spans="1:21" ht="18.75" hidden="1">
      <c r="A321" s="155"/>
      <c r="B321" s="50"/>
      <c r="C321" s="50"/>
      <c r="D321" s="50"/>
      <c r="E321" s="186" t="s">
        <v>20</v>
      </c>
      <c r="F321" s="50"/>
      <c r="G321" s="52"/>
      <c r="H321" s="187" t="s">
        <v>14</v>
      </c>
      <c r="I321" s="54"/>
      <c r="J321" s="54"/>
      <c r="K321" s="55"/>
      <c r="L321" s="103">
        <f>L324+L327</f>
        <v>0</v>
      </c>
      <c r="M321" s="102">
        <f>M324+M327</f>
        <v>0</v>
      </c>
      <c r="N321" s="102">
        <f>N324+N327</f>
        <v>0</v>
      </c>
      <c r="O321" s="102">
        <f>IF(L321&gt;0,N321*100/L321,0)</f>
        <v>0</v>
      </c>
      <c r="P321" s="102">
        <f>IF(M321&gt;0,N321*100/M321,0)</f>
        <v>0</v>
      </c>
      <c r="Q321" s="102">
        <f>Q324+Q327</f>
        <v>0</v>
      </c>
      <c r="R321" s="102">
        <f>R324+R327</f>
        <v>0</v>
      </c>
      <c r="S321" s="102">
        <f>S324+S327</f>
        <v>0</v>
      </c>
      <c r="T321" s="102">
        <f>IF(Q321&gt;0,S321*100/Q321,0)</f>
        <v>0</v>
      </c>
      <c r="U321" s="102">
        <f>IF(R321&gt;0,S321*100/R321,0)</f>
        <v>0</v>
      </c>
    </row>
    <row r="322" spans="1:21" ht="18.75" hidden="1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256">
        <f ca="1">L325+L328</f>
        <v>0</v>
      </c>
      <c r="M322" s="255">
        <f ca="1">M325+M328</f>
        <v>0</v>
      </c>
      <c r="N322" s="255">
        <f ca="1">N325+N328</f>
        <v>0</v>
      </c>
      <c r="O322" s="255">
        <f ca="1">IF(L322&gt;0,N322*100/L322,0)</f>
        <v>0</v>
      </c>
      <c r="P322" s="255">
        <f ca="1">IF(M322&gt;0,N322*100/M322,0)</f>
        <v>0</v>
      </c>
      <c r="Q322" s="255">
        <f>Q325+Q328</f>
        <v>0</v>
      </c>
      <c r="R322" s="255">
        <f>R325+R328</f>
        <v>0</v>
      </c>
      <c r="S322" s="255">
        <f>S325+S328</f>
        <v>0</v>
      </c>
      <c r="T322" s="255">
        <f>IF(Q322&gt;0,S322*100/Q322,0)</f>
        <v>0</v>
      </c>
      <c r="U322" s="255">
        <f>IF(R322&gt;0,S322*100/R322,0)</f>
        <v>0</v>
      </c>
    </row>
    <row r="323" spans="1:21" ht="18.75" hidden="1">
      <c r="A323" s="155"/>
      <c r="B323" s="50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256">
        <f ca="1">L324+L325</f>
        <v>0</v>
      </c>
      <c r="M323" s="255">
        <f ca="1">M324+M325</f>
        <v>0</v>
      </c>
      <c r="N323" s="255">
        <f ca="1">N324+N325</f>
        <v>0</v>
      </c>
      <c r="O323" s="255">
        <f ca="1">IF(L323&gt;0,N323*100/L323,0)</f>
        <v>0</v>
      </c>
      <c r="P323" s="255">
        <f ca="1">IF(M323&gt;0,N323*100/M323,0)</f>
        <v>0</v>
      </c>
      <c r="Q323" s="255">
        <f>Q324+Q325</f>
        <v>0</v>
      </c>
      <c r="R323" s="255">
        <f>R324+R325</f>
        <v>0</v>
      </c>
      <c r="S323" s="255">
        <f>S324+S325</f>
        <v>0</v>
      </c>
      <c r="T323" s="255">
        <f>IF(Q323&gt;0,S323*100/Q323,0)</f>
        <v>0</v>
      </c>
      <c r="U323" s="255">
        <f>IF(R323&gt;0,S323*100/R323,0)</f>
        <v>0</v>
      </c>
    </row>
    <row r="324" spans="1:21" ht="18.75" hidden="1">
      <c r="A324" s="155"/>
      <c r="B324" s="50"/>
      <c r="C324" s="50"/>
      <c r="D324" s="50"/>
      <c r="E324" s="186" t="s">
        <v>36</v>
      </c>
      <c r="F324" s="50"/>
      <c r="G324" s="52"/>
      <c r="H324" s="189" t="s">
        <v>14</v>
      </c>
      <c r="I324" s="163"/>
      <c r="J324" s="163"/>
      <c r="K324" s="164"/>
      <c r="L324" s="103">
        <v>0</v>
      </c>
      <c r="M324" s="102">
        <v>0</v>
      </c>
      <c r="N324" s="102">
        <v>0</v>
      </c>
      <c r="O324" s="102">
        <f>IF(L324&gt;0,N324*100/L324,0)</f>
        <v>0</v>
      </c>
      <c r="P324" s="102">
        <f>IF(M324&gt;0,N324*100/M324,0)</f>
        <v>0</v>
      </c>
      <c r="Q324" s="102">
        <v>0</v>
      </c>
      <c r="R324" s="102">
        <v>0</v>
      </c>
      <c r="S324" s="102">
        <v>0</v>
      </c>
      <c r="T324" s="102">
        <f>IF(Q324&gt;0,S324*100/Q324,0)</f>
        <v>0</v>
      </c>
      <c r="U324" s="102">
        <f>IF(R324&gt;0,S324*100/R324,0)</f>
        <v>0</v>
      </c>
    </row>
    <row r="325" spans="1:21" ht="18.75" hidden="1">
      <c r="A325" s="155"/>
      <c r="B325" s="50"/>
      <c r="C325" s="50"/>
      <c r="D325" s="50"/>
      <c r="E325" s="58" t="s">
        <v>37</v>
      </c>
      <c r="F325" s="50"/>
      <c r="G325" s="52"/>
      <c r="H325" s="162" t="s">
        <v>14</v>
      </c>
      <c r="I325" s="163"/>
      <c r="J325" s="163"/>
      <c r="K325" s="164"/>
      <c r="L325" s="256">
        <f ca="1">IFERROR(__xludf.DUMMYFUNCTION("IMPORTRANGE(""https://docs.google.com/spreadsheets/d/1-uDff_7J0KD5mKrp0Vvzr7lt3OU09vwQwhkpOPPYv2Y/edit?usp=sharing"",""งบพรบ!EI38"")"),0)</f>
        <v>0</v>
      </c>
      <c r="M325" s="255">
        <f ca="1">IFERROR(__xludf.DUMMYFUNCTION("IMPORTRANGE(""https://docs.google.com/spreadsheets/d/1-uDff_7J0KD5mKrp0Vvzr7lt3OU09vwQwhkpOPPYv2Y/edit?usp=sharing"",""งบพรบ!EN38"")"),0)</f>
        <v>0</v>
      </c>
      <c r="N325" s="255">
        <f ca="1">IFERROR(__xludf.DUMMYFUNCTION("IMPORTRANGE(""https://docs.google.com/spreadsheets/d/1-uDff_7J0KD5mKrp0Vvzr7lt3OU09vwQwhkpOPPYv2Y/edit?usp=sharing"",""งบพรบ!EP38"")"),0)</f>
        <v>0</v>
      </c>
      <c r="O325" s="255">
        <f ca="1">IF(L325&gt;0,N325*100/L325,0)</f>
        <v>0</v>
      </c>
      <c r="P325" s="255">
        <f ca="1">IF(M325&gt;0,N325*100/M325,0)</f>
        <v>0</v>
      </c>
      <c r="Q325" s="255">
        <v>0</v>
      </c>
      <c r="R325" s="255">
        <v>0</v>
      </c>
      <c r="S325" s="255">
        <v>0</v>
      </c>
      <c r="T325" s="255">
        <f>IF(Q325&gt;0,S325*100/Q325,0)</f>
        <v>0</v>
      </c>
      <c r="U325" s="255">
        <f>IF(R325&gt;0,S325*100/R325,0)</f>
        <v>0</v>
      </c>
    </row>
    <row r="326" spans="1:21" ht="18.75" hidden="1">
      <c r="A326" s="155"/>
      <c r="B326" s="50"/>
      <c r="C326" s="50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256">
        <f ca="1">L327+L328</f>
        <v>0</v>
      </c>
      <c r="M326" s="255">
        <f ca="1">M327+M328</f>
        <v>0</v>
      </c>
      <c r="N326" s="255">
        <f ca="1">N327+N328</f>
        <v>0</v>
      </c>
      <c r="O326" s="255">
        <f ca="1">IF(L326&gt;0,N326*100/L326,0)</f>
        <v>0</v>
      </c>
      <c r="P326" s="255">
        <f ca="1">IF(M326&gt;0,N326*100/M326,0)</f>
        <v>0</v>
      </c>
      <c r="Q326" s="255">
        <f>Q327+Q328</f>
        <v>0</v>
      </c>
      <c r="R326" s="255">
        <f>R327+R328</f>
        <v>0</v>
      </c>
      <c r="S326" s="255">
        <f>S327+S328</f>
        <v>0</v>
      </c>
      <c r="T326" s="255">
        <f>IF(Q326&gt;0,S326*100/Q326,0)</f>
        <v>0</v>
      </c>
      <c r="U326" s="255">
        <f>IF(R326&gt;0,S326*100/R326,0)</f>
        <v>0</v>
      </c>
    </row>
    <row r="327" spans="1:21" ht="18.75" hidden="1">
      <c r="A327" s="155"/>
      <c r="B327" s="50"/>
      <c r="C327" s="50"/>
      <c r="D327" s="50"/>
      <c r="E327" s="186" t="s">
        <v>20</v>
      </c>
      <c r="F327" s="50"/>
      <c r="G327" s="52"/>
      <c r="H327" s="189" t="s">
        <v>14</v>
      </c>
      <c r="I327" s="163"/>
      <c r="J327" s="163"/>
      <c r="K327" s="164"/>
      <c r="L327" s="103">
        <v>0</v>
      </c>
      <c r="M327" s="102">
        <v>0</v>
      </c>
      <c r="N327" s="102">
        <v>0</v>
      </c>
      <c r="O327" s="102">
        <f>IF(L327&gt;0,N327*100/L327,0)</f>
        <v>0</v>
      </c>
      <c r="P327" s="102">
        <f>IF(M327&gt;0,N327*100/M327,0)</f>
        <v>0</v>
      </c>
      <c r="Q327" s="102">
        <v>0</v>
      </c>
      <c r="R327" s="102">
        <v>0</v>
      </c>
      <c r="S327" s="102">
        <v>0</v>
      </c>
      <c r="T327" s="102">
        <f>IF(Q327&gt;0,S327*100/Q327,0)</f>
        <v>0</v>
      </c>
      <c r="U327" s="102">
        <f>IF(R327&gt;0,S327*100/R327,0)</f>
        <v>0</v>
      </c>
    </row>
    <row r="328" spans="1:21" ht="18.75" hidden="1">
      <c r="A328" s="155"/>
      <c r="B328" s="50"/>
      <c r="C328" s="50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256">
        <f ca="1">IFERROR(__xludf.DUMMYFUNCTION("IMPORTRANGE(""https://docs.google.com/spreadsheets/d/1-uDff_7J0KD5mKrp0Vvzr7lt3OU09vwQwhkpOPPYv2Y/edit?usp=sharing"",""งบพรบ!EL38"")"),0)</f>
        <v>0</v>
      </c>
      <c r="M328" s="255">
        <f ca="1">IFERROR(__xludf.DUMMYFUNCTION("IMPORTRANGE(""https://docs.google.com/spreadsheets/d/1-uDff_7J0KD5mKrp0Vvzr7lt3OU09vwQwhkpOPPYv2Y/edit?usp=sharing"",""งบพรบ!EO38"")"),0)</f>
        <v>0</v>
      </c>
      <c r="N328" s="255">
        <f ca="1">IFERROR(__xludf.DUMMYFUNCTION("IMPORTRANGE(""https://docs.google.com/spreadsheets/d/1-uDff_7J0KD5mKrp0Vvzr7lt3OU09vwQwhkpOPPYv2Y/edit?usp=sharing"",""งบพรบ!EQ38"")"),0)</f>
        <v>0</v>
      </c>
      <c r="O328" s="255">
        <f ca="1">IF(L328&gt;0,N328*100/L328,0)</f>
        <v>0</v>
      </c>
      <c r="P328" s="255">
        <f ca="1">IF(M328&gt;0,N328*100/M328,0)</f>
        <v>0</v>
      </c>
      <c r="Q328" s="255">
        <v>0</v>
      </c>
      <c r="R328" s="255">
        <v>0</v>
      </c>
      <c r="S328" s="255">
        <v>0</v>
      </c>
      <c r="T328" s="255">
        <f>IF(Q328&gt;0,S328*100/Q328,0)</f>
        <v>0</v>
      </c>
      <c r="U328" s="255">
        <f>IF(R328&gt;0,S328*100/R328,0)</f>
        <v>0</v>
      </c>
    </row>
    <row r="329" spans="1:21" ht="19.5" hidden="1">
      <c r="A329" s="166"/>
      <c r="B329" s="167"/>
      <c r="C329" s="156" t="s">
        <v>18</v>
      </c>
      <c r="D329" s="566" t="s">
        <v>38</v>
      </c>
      <c r="E329" s="169"/>
      <c r="F329" s="169"/>
      <c r="G329" s="170"/>
      <c r="H329" s="171"/>
      <c r="I329" s="163"/>
      <c r="J329" s="54"/>
      <c r="K329" s="55"/>
      <c r="L329" s="62"/>
      <c r="M329" s="55"/>
      <c r="N329" s="55"/>
      <c r="O329" s="164"/>
      <c r="P329" s="164"/>
      <c r="Q329" s="55"/>
      <c r="R329" s="55"/>
      <c r="S329" s="55"/>
      <c r="T329" s="164"/>
      <c r="U329" s="164"/>
    </row>
    <row r="330" spans="1:21" ht="18.75" hidden="1">
      <c r="A330" s="166"/>
      <c r="B330" s="167"/>
      <c r="C330" s="167"/>
      <c r="D330" s="173" t="s">
        <v>134</v>
      </c>
      <c r="E330" s="174"/>
      <c r="F330" s="174"/>
      <c r="G330" s="171"/>
      <c r="H330" s="53" t="s">
        <v>133</v>
      </c>
      <c r="I330" s="212">
        <f ca="1">IFERROR(__xludf.DUMMYFUNCTION("IMPORTRANGE(""https://docs.google.com/spreadsheets/d/1eHaY18a8A9IcSdp1K8H6x8fbOy06t2VsZHhMHf-1x7Y/edit?usp=sharing"",""แผน!EJ38"")"),0)</f>
        <v>0</v>
      </c>
      <c r="J330" s="467">
        <v>0</v>
      </c>
      <c r="K330" s="255">
        <f ca="1">IF(I330&gt;0,J330*100/I330,0)</f>
        <v>0</v>
      </c>
      <c r="L330" s="62"/>
      <c r="M330" s="55"/>
      <c r="N330" s="55"/>
      <c r="O330" s="164"/>
      <c r="P330" s="164"/>
      <c r="Q330" s="55"/>
      <c r="R330" s="55"/>
      <c r="S330" s="55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1"/>
      <c r="I331" s="323"/>
      <c r="J331" s="323"/>
      <c r="K331" s="324"/>
      <c r="L331" s="325"/>
      <c r="M331" s="324"/>
      <c r="N331" s="324"/>
      <c r="O331" s="324"/>
      <c r="P331" s="324"/>
      <c r="Q331" s="324"/>
      <c r="R331" s="324"/>
      <c r="S331" s="324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30" t="s">
        <v>35</v>
      </c>
      <c r="I332" s="632">
        <f ca="1">I344</f>
        <v>4200</v>
      </c>
      <c r="J332" s="631">
        <f ca="1">J344+J347+J348+J349+J353+J354</f>
        <v>13897</v>
      </c>
      <c r="K332" s="630">
        <f ca="1">IF(I332&gt;0,J332*100/I332,0)</f>
        <v>330.88095238095241</v>
      </c>
      <c r="L332" s="334"/>
      <c r="M332" s="333"/>
      <c r="N332" s="333"/>
      <c r="O332" s="333"/>
      <c r="P332" s="333"/>
      <c r="Q332" s="333"/>
      <c r="R332" s="333"/>
      <c r="S332" s="333"/>
      <c r="T332" s="333"/>
      <c r="U332" s="333"/>
    </row>
    <row r="333" spans="1:21" ht="19.5">
      <c r="A333" s="155"/>
      <c r="B333" s="50"/>
      <c r="C333" s="156" t="s">
        <v>18</v>
      </c>
      <c r="D333" s="575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541">
        <f ca="1">L334+L335</f>
        <v>180500</v>
      </c>
      <c r="M333" s="540">
        <f ca="1">M334+M335</f>
        <v>185500</v>
      </c>
      <c r="N333" s="540">
        <f ca="1">N334+N335</f>
        <v>132785</v>
      </c>
      <c r="O333" s="540">
        <f ca="1">IF(L333&gt;0,N333*100/L333,0)</f>
        <v>73.56509695290859</v>
      </c>
      <c r="P333" s="540">
        <f ca="1">IF(M333&gt;0,N333*100/M333,0)</f>
        <v>71.582210242587607</v>
      </c>
      <c r="Q333" s="540">
        <f>Q334+Q335</f>
        <v>0</v>
      </c>
      <c r="R333" s="540">
        <f>R334+R335</f>
        <v>0</v>
      </c>
      <c r="S333" s="540">
        <f>S334+S335</f>
        <v>0</v>
      </c>
      <c r="T333" s="540">
        <f>IF(Q333&gt;0,S333*100/Q333,0)</f>
        <v>0</v>
      </c>
      <c r="U333" s="540">
        <f>IF(R333&gt;0,S333*100/R333,0)</f>
        <v>0</v>
      </c>
    </row>
    <row r="334" spans="1:21" ht="18.75" hidden="1">
      <c r="A334" s="155"/>
      <c r="B334" s="50"/>
      <c r="C334" s="50"/>
      <c r="D334" s="50"/>
      <c r="E334" s="186" t="s">
        <v>20</v>
      </c>
      <c r="F334" s="50"/>
      <c r="G334" s="52"/>
      <c r="H334" s="187" t="s">
        <v>14</v>
      </c>
      <c r="I334" s="54"/>
      <c r="J334" s="54"/>
      <c r="K334" s="55"/>
      <c r="L334" s="103">
        <f>L337+L340</f>
        <v>0</v>
      </c>
      <c r="M334" s="102">
        <f>M337+M340</f>
        <v>0</v>
      </c>
      <c r="N334" s="102">
        <f>N337+N340</f>
        <v>0</v>
      </c>
      <c r="O334" s="102">
        <f>IF(L334&gt;0,N334*100/L334,0)</f>
        <v>0</v>
      </c>
      <c r="P334" s="102">
        <f>IF(M334&gt;0,N334*100/M334,0)</f>
        <v>0</v>
      </c>
      <c r="Q334" s="102">
        <f>Q337+Q340</f>
        <v>0</v>
      </c>
      <c r="R334" s="102">
        <f>R337+R340</f>
        <v>0</v>
      </c>
      <c r="S334" s="102">
        <f>S337+S340</f>
        <v>0</v>
      </c>
      <c r="T334" s="102">
        <f>IF(Q334&gt;0,S334*100/Q334,0)</f>
        <v>0</v>
      </c>
      <c r="U334" s="102">
        <f>IF(R334&gt;0,S334*100/R334,0)</f>
        <v>0</v>
      </c>
    </row>
    <row r="335" spans="1:21" ht="18.75" hidden="1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256">
        <f ca="1">L338+L341</f>
        <v>180500</v>
      </c>
      <c r="M335" s="255">
        <f ca="1">M338+M341</f>
        <v>185500</v>
      </c>
      <c r="N335" s="255">
        <f ca="1">N338+N341</f>
        <v>132785</v>
      </c>
      <c r="O335" s="255">
        <f ca="1">IF(L335&gt;0,N335*100/L335,0)</f>
        <v>73.56509695290859</v>
      </c>
      <c r="P335" s="255">
        <f ca="1">IF(M335&gt;0,N335*100/M335,0)</f>
        <v>71.582210242587607</v>
      </c>
      <c r="Q335" s="255">
        <f>Q338+Q341</f>
        <v>0</v>
      </c>
      <c r="R335" s="255">
        <f>R338+R341</f>
        <v>0</v>
      </c>
      <c r="S335" s="255">
        <f>S338+S341</f>
        <v>0</v>
      </c>
      <c r="T335" s="255">
        <f>IF(Q335&gt;0,S335*100/Q335,0)</f>
        <v>0</v>
      </c>
      <c r="U335" s="255">
        <f>IF(R335&gt;0,S335*100/R335,0)</f>
        <v>0</v>
      </c>
    </row>
    <row r="336" spans="1:21" ht="18.75">
      <c r="A336" s="155"/>
      <c r="B336" s="50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256">
        <f ca="1">L337+L338</f>
        <v>180500</v>
      </c>
      <c r="M336" s="255">
        <f ca="1">M337+M338</f>
        <v>185500</v>
      </c>
      <c r="N336" s="255">
        <f ca="1">N337+N338</f>
        <v>132785</v>
      </c>
      <c r="O336" s="255">
        <f ca="1">IF(L336&gt;0,N336*100/L336,0)</f>
        <v>73.56509695290859</v>
      </c>
      <c r="P336" s="255">
        <f ca="1">IF(M336&gt;0,N336*100/M336,0)</f>
        <v>71.582210242587607</v>
      </c>
      <c r="Q336" s="255">
        <f>Q337+Q338</f>
        <v>0</v>
      </c>
      <c r="R336" s="255">
        <f>R337+R338</f>
        <v>0</v>
      </c>
      <c r="S336" s="255">
        <f>S337+S338</f>
        <v>0</v>
      </c>
      <c r="T336" s="255">
        <f>IF(Q336&gt;0,S336*100/Q336,0)</f>
        <v>0</v>
      </c>
      <c r="U336" s="255">
        <f>IF(R336&gt;0,S336*100/R336,0)</f>
        <v>0</v>
      </c>
    </row>
    <row r="337" spans="1:21" ht="18.75" hidden="1">
      <c r="A337" s="155"/>
      <c r="B337" s="50"/>
      <c r="C337" s="50"/>
      <c r="D337" s="50"/>
      <c r="E337" s="186" t="s">
        <v>36</v>
      </c>
      <c r="F337" s="50"/>
      <c r="G337" s="52"/>
      <c r="H337" s="189" t="s">
        <v>14</v>
      </c>
      <c r="I337" s="163"/>
      <c r="J337" s="163"/>
      <c r="K337" s="164"/>
      <c r="L337" s="103">
        <v>0</v>
      </c>
      <c r="M337" s="102">
        <v>0</v>
      </c>
      <c r="N337" s="102">
        <v>0</v>
      </c>
      <c r="O337" s="102">
        <f>IF(L337&gt;0,N337*100/L337,0)</f>
        <v>0</v>
      </c>
      <c r="P337" s="102">
        <f>IF(M337&gt;0,N337*100/M337,0)</f>
        <v>0</v>
      </c>
      <c r="Q337" s="102">
        <v>0</v>
      </c>
      <c r="R337" s="102">
        <v>0</v>
      </c>
      <c r="S337" s="102">
        <v>0</v>
      </c>
      <c r="T337" s="102">
        <f>IF(Q337&gt;0,S337*100/Q337,0)</f>
        <v>0</v>
      </c>
      <c r="U337" s="102">
        <f>IF(R337&gt;0,S337*100/R337,0)</f>
        <v>0</v>
      </c>
    </row>
    <row r="338" spans="1:21" ht="18.75" hidden="1">
      <c r="A338" s="155"/>
      <c r="B338" s="50"/>
      <c r="C338" s="50"/>
      <c r="D338" s="50"/>
      <c r="E338" s="58" t="s">
        <v>37</v>
      </c>
      <c r="F338" s="50"/>
      <c r="G338" s="52"/>
      <c r="H338" s="162" t="s">
        <v>14</v>
      </c>
      <c r="I338" s="163"/>
      <c r="J338" s="163"/>
      <c r="K338" s="164"/>
      <c r="L338" s="256">
        <f ca="1">IFERROR(__xludf.DUMMYFUNCTION("IMPORTRANGE(""https://docs.google.com/spreadsheets/d/1-uDff_7J0KD5mKrp0Vvzr7lt3OU09vwQwhkpOPPYv2Y/edit?usp=sharing"",""งบพรบ!ES38"")"),180500)</f>
        <v>180500</v>
      </c>
      <c r="M338" s="255">
        <f ca="1">IFERROR(__xludf.DUMMYFUNCTION("IMPORTRANGE(""https://docs.google.com/spreadsheets/d/1-uDff_7J0KD5mKrp0Vvzr7lt3OU09vwQwhkpOPPYv2Y/edit?usp=sharing"",""งบพรบ!EX38"")"),185500)</f>
        <v>185500</v>
      </c>
      <c r="N338" s="255">
        <f ca="1">IFERROR(__xludf.DUMMYFUNCTION("IMPORTRANGE(""https://docs.google.com/spreadsheets/d/1-uDff_7J0KD5mKrp0Vvzr7lt3OU09vwQwhkpOPPYv2Y/edit?usp=sharing"",""งบพรบ!EZ38"")"),132785)</f>
        <v>132785</v>
      </c>
      <c r="O338" s="255">
        <f ca="1">IF(L338&gt;0,N338*100/L338,0)</f>
        <v>73.56509695290859</v>
      </c>
      <c r="P338" s="255">
        <f ca="1">IF(M338&gt;0,N338*100/M338,0)</f>
        <v>71.582210242587607</v>
      </c>
      <c r="Q338" s="255">
        <v>0</v>
      </c>
      <c r="R338" s="255">
        <v>0</v>
      </c>
      <c r="S338" s="255">
        <v>0</v>
      </c>
      <c r="T338" s="255">
        <f>IF(Q338&gt;0,S338*100/Q338,0)</f>
        <v>0</v>
      </c>
      <c r="U338" s="255">
        <f>IF(R338&gt;0,S338*100/R338,0)</f>
        <v>0</v>
      </c>
    </row>
    <row r="339" spans="1:21" ht="18.75">
      <c r="A339" s="155"/>
      <c r="B339" s="50"/>
      <c r="C339" s="50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256">
        <f ca="1">L340+L341</f>
        <v>0</v>
      </c>
      <c r="M339" s="255">
        <f ca="1">M340+M341</f>
        <v>0</v>
      </c>
      <c r="N339" s="255">
        <f ca="1">N340+N341</f>
        <v>0</v>
      </c>
      <c r="O339" s="255">
        <f ca="1">IF(L339&gt;0,N339*100/L339,0)</f>
        <v>0</v>
      </c>
      <c r="P339" s="255">
        <f ca="1">IF(M339&gt;0,N339*100/M339,0)</f>
        <v>0</v>
      </c>
      <c r="Q339" s="255">
        <f>Q340+Q341</f>
        <v>0</v>
      </c>
      <c r="R339" s="255">
        <f>R340+R341</f>
        <v>0</v>
      </c>
      <c r="S339" s="255">
        <f>S340+S341</f>
        <v>0</v>
      </c>
      <c r="T339" s="255">
        <f>IF(Q339&gt;0,S339*100/Q339,0)</f>
        <v>0</v>
      </c>
      <c r="U339" s="255">
        <f>IF(R339&gt;0,S339*100/R339,0)</f>
        <v>0</v>
      </c>
    </row>
    <row r="340" spans="1:21" ht="18.75" hidden="1">
      <c r="A340" s="155"/>
      <c r="B340" s="50"/>
      <c r="C340" s="50"/>
      <c r="D340" s="50"/>
      <c r="E340" s="186" t="s">
        <v>20</v>
      </c>
      <c r="F340" s="50"/>
      <c r="G340" s="52"/>
      <c r="H340" s="189" t="s">
        <v>14</v>
      </c>
      <c r="I340" s="163"/>
      <c r="J340" s="163"/>
      <c r="K340" s="164"/>
      <c r="L340" s="103">
        <v>0</v>
      </c>
      <c r="M340" s="102">
        <v>0</v>
      </c>
      <c r="N340" s="102">
        <v>0</v>
      </c>
      <c r="O340" s="102">
        <f>IF(L340&gt;0,N340*100/L340,0)</f>
        <v>0</v>
      </c>
      <c r="P340" s="102">
        <f>IF(M340&gt;0,N340*100/M340,0)</f>
        <v>0</v>
      </c>
      <c r="Q340" s="102">
        <v>0</v>
      </c>
      <c r="R340" s="102">
        <v>0</v>
      </c>
      <c r="S340" s="102">
        <v>0</v>
      </c>
      <c r="T340" s="102">
        <f>IF(Q340&gt;0,S340*100/Q340,0)</f>
        <v>0</v>
      </c>
      <c r="U340" s="102">
        <f>IF(R340&gt;0,S340*100/R340,0)</f>
        <v>0</v>
      </c>
    </row>
    <row r="341" spans="1:21" ht="18.75" hidden="1">
      <c r="A341" s="155"/>
      <c r="B341" s="50"/>
      <c r="C341" s="50"/>
      <c r="D341" s="50"/>
      <c r="E341" s="58" t="s">
        <v>21</v>
      </c>
      <c r="F341" s="50"/>
      <c r="G341" s="52"/>
      <c r="H341" s="165" t="s">
        <v>14</v>
      </c>
      <c r="I341" s="163"/>
      <c r="J341" s="163"/>
      <c r="K341" s="164"/>
      <c r="L341" s="256">
        <f ca="1">IFERROR(__xludf.DUMMYFUNCTION("IMPORTRANGE(""https://docs.google.com/spreadsheets/d/1-uDff_7J0KD5mKrp0Vvzr7lt3OU09vwQwhkpOPPYv2Y/edit?usp=sharing"",""งบพรบ!EV38"")"),0)</f>
        <v>0</v>
      </c>
      <c r="M341" s="255">
        <f ca="1">IFERROR(__xludf.DUMMYFUNCTION("IMPORTRANGE(""https://docs.google.com/spreadsheets/d/1-uDff_7J0KD5mKrp0Vvzr7lt3OU09vwQwhkpOPPYv2Y/edit?usp=sharing"",""งบพรบ!EY38"")"),0)</f>
        <v>0</v>
      </c>
      <c r="N341" s="255">
        <f ca="1">IFERROR(__xludf.DUMMYFUNCTION("IMPORTRANGE(""https://docs.google.com/spreadsheets/d/1-uDff_7J0KD5mKrp0Vvzr7lt3OU09vwQwhkpOPPYv2Y/edit?usp=sharing"",""งบพรบ!FA38"")"),0)</f>
        <v>0</v>
      </c>
      <c r="O341" s="255">
        <f ca="1">IF(L341&gt;0,N341*100/L341,0)</f>
        <v>0</v>
      </c>
      <c r="P341" s="255">
        <f ca="1">IF(M341&gt;0,N341*100/M341,0)</f>
        <v>0</v>
      </c>
      <c r="Q341" s="255">
        <v>0</v>
      </c>
      <c r="R341" s="255">
        <v>0</v>
      </c>
      <c r="S341" s="255">
        <v>0</v>
      </c>
      <c r="T341" s="255">
        <f>IF(Q341&gt;0,S341*100/Q341,0)</f>
        <v>0</v>
      </c>
      <c r="U341" s="255">
        <f>IF(R341&gt;0,S341*100/R341,0)</f>
        <v>0</v>
      </c>
    </row>
    <row r="342" spans="1:21" ht="19.5">
      <c r="A342" s="166"/>
      <c r="B342" s="167"/>
      <c r="C342" s="156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62"/>
      <c r="M342" s="55"/>
      <c r="N342" s="55"/>
      <c r="O342" s="164"/>
      <c r="P342" s="164"/>
      <c r="Q342" s="55"/>
      <c r="R342" s="55"/>
      <c r="S342" s="55"/>
      <c r="T342" s="164"/>
      <c r="U342" s="164"/>
    </row>
    <row r="343" spans="1:21" ht="19.5">
      <c r="A343" s="629"/>
      <c r="B343" s="626"/>
      <c r="C343" s="628"/>
      <c r="D343" s="626"/>
      <c r="E343" s="627" t="s">
        <v>137</v>
      </c>
      <c r="F343" s="626"/>
      <c r="G343" s="625"/>
      <c r="H343" s="624" t="s">
        <v>35</v>
      </c>
      <c r="I343" s="623">
        <v>0</v>
      </c>
      <c r="J343" s="623">
        <f ca="1">J344+J347+J348+J349</f>
        <v>5663</v>
      </c>
      <c r="K343" s="622">
        <v>0</v>
      </c>
      <c r="L343" s="250"/>
      <c r="M343" s="249"/>
      <c r="N343" s="249"/>
      <c r="O343" s="249"/>
      <c r="P343" s="249"/>
      <c r="Q343" s="249"/>
      <c r="R343" s="249"/>
      <c r="S343" s="249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40" t="s">
        <v>35</v>
      </c>
      <c r="I344" s="212">
        <f ca="1">IFERROR(__xludf.DUMMYFUNCTION("IMPORTRANGE(""https://docs.google.com/spreadsheets/d/1eHaY18a8A9IcSdp1K8H6x8fbOy06t2VsZHhMHf-1x7Y/edit?usp=sharing"",""แผน!EK38"")"),4200)</f>
        <v>4200</v>
      </c>
      <c r="J344" s="212">
        <f ca="1">IFERROR(__xludf.DUMMYFUNCTION("IMPORTRANGE(""https://docs.google.com/spreadsheets/d/1awYsYK3VOup2i3Pq_Yjnu8DRu_mYwSBnCR2QPthd0rU/edit?usp=sharing"",""ศูนย์ยกเว้นโฉนด!D38"")"),5662)</f>
        <v>5662</v>
      </c>
      <c r="K344" s="255">
        <f ca="1">IF(I344&gt;0,J344*100/I344,0)</f>
        <v>134.8095238095238</v>
      </c>
      <c r="L344" s="62"/>
      <c r="M344" s="55"/>
      <c r="N344" s="55"/>
      <c r="O344" s="55"/>
      <c r="P344" s="55"/>
      <c r="Q344" s="55"/>
      <c r="R344" s="55"/>
      <c r="S344" s="55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62"/>
      <c r="M345" s="55"/>
      <c r="N345" s="55"/>
      <c r="O345" s="55"/>
      <c r="P345" s="55"/>
      <c r="Q345" s="55"/>
      <c r="R345" s="55"/>
      <c r="S345" s="55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212">
        <f ca="1">IFERROR(__xludf.DUMMYFUNCTION("IMPORTRANGE(""https://docs.google.com/spreadsheets/d/1eHaY18a8A9IcSdp1K8H6x8fbOy06t2VsZHhMHf-1x7Y/edit?usp=sharing"",""แผน!EL38"")"),4)</f>
        <v>4</v>
      </c>
      <c r="J346" s="212">
        <f ca="1">IFERROR(__xludf.DUMMYFUNCTION("IMPORTRANGE(""https://docs.google.com/spreadsheets/d/1awYsYK3VOup2i3Pq_Yjnu8DRu_mYwSBnCR2QPthd0rU/edit?usp=sharing"",""ศูนย์รวม!E38"")"),5)</f>
        <v>5</v>
      </c>
      <c r="K346" s="255">
        <f ca="1">IF(I346&gt;0,J346*100/I346,0)</f>
        <v>125</v>
      </c>
      <c r="L346" s="62"/>
      <c r="M346" s="55"/>
      <c r="N346" s="55"/>
      <c r="O346" s="55"/>
      <c r="P346" s="55"/>
      <c r="Q346" s="55"/>
      <c r="R346" s="55"/>
      <c r="S346" s="55"/>
      <c r="T346" s="55"/>
      <c r="U346" s="55"/>
    </row>
    <row r="347" spans="1:21" ht="18.75">
      <c r="A347" s="238"/>
      <c r="B347" s="50"/>
      <c r="C347" s="188"/>
      <c r="D347" s="174"/>
      <c r="E347" s="174"/>
      <c r="F347" s="178" t="s">
        <v>142</v>
      </c>
      <c r="G347" s="52"/>
      <c r="H347" s="203" t="s">
        <v>35</v>
      </c>
      <c r="I347" s="54"/>
      <c r="J347" s="212">
        <f ca="1">IFERROR(__xludf.DUMMYFUNCTION("IMPORTRANGE(""https://docs.google.com/spreadsheets/d/1awYsYK3VOup2i3Pq_Yjnu8DRu_mYwSBnCR2QPthd0rU/edit?usp=sharing"",""ศูนย์ยกเว้นโฉนด!F38"")"),0)</f>
        <v>0</v>
      </c>
      <c r="K347" s="55"/>
      <c r="L347" s="62"/>
      <c r="M347" s="55"/>
      <c r="N347" s="55"/>
      <c r="O347" s="55"/>
      <c r="P347" s="55"/>
      <c r="Q347" s="55"/>
      <c r="R347" s="55"/>
      <c r="S347" s="55"/>
      <c r="T347" s="55"/>
      <c r="U347" s="55"/>
    </row>
    <row r="348" spans="1:21" ht="18.75">
      <c r="A348" s="238"/>
      <c r="B348" s="50"/>
      <c r="C348" s="188"/>
      <c r="D348" s="174"/>
      <c r="E348" s="178" t="s">
        <v>143</v>
      </c>
      <c r="F348" s="174"/>
      <c r="G348" s="52"/>
      <c r="H348" s="203" t="s">
        <v>35</v>
      </c>
      <c r="I348" s="54"/>
      <c r="J348" s="212">
        <f ca="1">IFERROR(__xludf.DUMMYFUNCTION("IMPORTRANGE(""https://docs.google.com/spreadsheets/d/1awYsYK3VOup2i3Pq_Yjnu8DRu_mYwSBnCR2QPthd0rU/edit?usp=sharing"",""ศูนย์ยกเว้นโฉนด!G38"")"),1)</f>
        <v>1</v>
      </c>
      <c r="K348" s="55"/>
      <c r="L348" s="62"/>
      <c r="M348" s="55"/>
      <c r="N348" s="55"/>
      <c r="O348" s="55"/>
      <c r="P348" s="55"/>
      <c r="Q348" s="55"/>
      <c r="R348" s="55"/>
      <c r="S348" s="55"/>
      <c r="T348" s="55"/>
      <c r="U348" s="55"/>
    </row>
    <row r="349" spans="1:21" ht="18.75">
      <c r="A349" s="238"/>
      <c r="B349" s="50"/>
      <c r="C349" s="188"/>
      <c r="D349" s="167"/>
      <c r="E349" s="178" t="s">
        <v>144</v>
      </c>
      <c r="F349" s="174"/>
      <c r="G349" s="52"/>
      <c r="H349" s="203" t="s">
        <v>35</v>
      </c>
      <c r="I349" s="54"/>
      <c r="J349" s="212">
        <f ca="1">IFERROR(__xludf.DUMMYFUNCTION("IMPORTRANGE(""https://docs.google.com/spreadsheets/d/1awYsYK3VOup2i3Pq_Yjnu8DRu_mYwSBnCR2QPthd0rU/edit?usp=sharing"",""ศูนย์ยกเว้นโฉนด!H38"")"),0)</f>
        <v>0</v>
      </c>
      <c r="K349" s="55"/>
      <c r="L349" s="62"/>
      <c r="M349" s="55"/>
      <c r="N349" s="55"/>
      <c r="O349" s="55"/>
      <c r="P349" s="55"/>
      <c r="Q349" s="55"/>
      <c r="R349" s="55"/>
      <c r="S349" s="55"/>
      <c r="T349" s="55"/>
      <c r="U349" s="55"/>
    </row>
    <row r="350" spans="1:21" ht="16.5">
      <c r="A350" s="18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0" s="50"/>
      <c r="F350" s="50"/>
      <c r="G350" s="52"/>
      <c r="H350" s="208"/>
      <c r="I350" s="54"/>
      <c r="J350" s="54"/>
      <c r="K350" s="55"/>
      <c r="L350" s="62"/>
      <c r="M350" s="55"/>
      <c r="N350" s="55"/>
      <c r="O350" s="55"/>
      <c r="P350" s="55"/>
      <c r="Q350" s="55"/>
      <c r="R350" s="55"/>
      <c r="S350" s="55"/>
      <c r="T350" s="55"/>
      <c r="U350" s="55"/>
    </row>
    <row r="351" spans="1:21" ht="19.5">
      <c r="A351" s="241"/>
      <c r="B351" s="244"/>
      <c r="C351" s="242"/>
      <c r="D351" s="244"/>
      <c r="E351" s="621" t="s">
        <v>145</v>
      </c>
      <c r="F351" s="244"/>
      <c r="G351" s="245"/>
      <c r="H351" s="246" t="s">
        <v>35</v>
      </c>
      <c r="I351" s="339">
        <v>0</v>
      </c>
      <c r="J351" s="339">
        <f ca="1">J352+J353+J354</f>
        <v>19659</v>
      </c>
      <c r="K351" s="340">
        <v>0</v>
      </c>
      <c r="L351" s="250"/>
      <c r="M351" s="249"/>
      <c r="N351" s="249"/>
      <c r="O351" s="249"/>
      <c r="P351" s="249"/>
      <c r="Q351" s="249"/>
      <c r="R351" s="249"/>
      <c r="S351" s="249"/>
      <c r="T351" s="249"/>
      <c r="U351" s="249"/>
    </row>
    <row r="352" spans="1:21" ht="18.75">
      <c r="A352" s="188"/>
      <c r="B352" s="50"/>
      <c r="C352" s="188"/>
      <c r="D352" s="174"/>
      <c r="E352" s="178" t="s">
        <v>146</v>
      </c>
      <c r="F352" s="50"/>
      <c r="G352" s="52"/>
      <c r="H352" s="161" t="s">
        <v>35</v>
      </c>
      <c r="I352" s="54"/>
      <c r="J352" s="212">
        <f ca="1">IFERROR(__xludf.DUMMYFUNCTION("IMPORTRANGE(""https://docs.google.com/spreadsheets/d/1awYsYK3VOup2i3Pq_Yjnu8DRu_mYwSBnCR2QPthd0rU/edit?usp=sharing"",""โฉนดM3!G38"")"),11425)</f>
        <v>11425</v>
      </c>
      <c r="K352" s="55"/>
      <c r="L352" s="62"/>
      <c r="M352" s="55"/>
      <c r="N352" s="55"/>
      <c r="O352" s="55"/>
      <c r="P352" s="55"/>
      <c r="Q352" s="55"/>
      <c r="R352" s="55"/>
      <c r="S352" s="55"/>
      <c r="T352" s="55"/>
      <c r="U352" s="55"/>
    </row>
    <row r="353" spans="1:21" ht="18.75">
      <c r="A353" s="18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212">
        <f ca="1">IFERROR(__xludf.DUMMYFUNCTION("IMPORTRANGE(""https://docs.google.com/spreadsheets/d/1awYsYK3VOup2i3Pq_Yjnu8DRu_mYwSBnCR2QPthd0rU/edit?usp=sharing"",""โฉนดM3!H38"")"),7731)</f>
        <v>7731</v>
      </c>
      <c r="K353" s="55"/>
      <c r="L353" s="62"/>
      <c r="M353" s="55"/>
      <c r="N353" s="55"/>
      <c r="O353" s="55"/>
      <c r="P353" s="55"/>
      <c r="Q353" s="55"/>
      <c r="R353" s="55"/>
      <c r="S353" s="55"/>
      <c r="T353" s="55"/>
      <c r="U353" s="55"/>
    </row>
    <row r="354" spans="1:21" ht="18.75">
      <c r="A354" s="343"/>
      <c r="B354" s="344"/>
      <c r="C354" s="343"/>
      <c r="D354" s="343"/>
      <c r="E354" s="345" t="s">
        <v>148</v>
      </c>
      <c r="F354" s="344"/>
      <c r="G354" s="346"/>
      <c r="H354" s="347" t="s">
        <v>35</v>
      </c>
      <c r="I354" s="348"/>
      <c r="J354" s="349">
        <f ca="1">IFERROR(__xludf.DUMMYFUNCTION("IMPORTRANGE(""https://docs.google.com/spreadsheets/d/1awYsYK3VOup2i3Pq_Yjnu8DRu_mYwSBnCR2QPthd0rU/edit?usp=sharing"",""โฉนดM3!I38"")"),503)</f>
        <v>503</v>
      </c>
      <c r="K354" s="350"/>
      <c r="L354" s="350"/>
      <c r="M354" s="350"/>
      <c r="N354" s="350"/>
      <c r="O354" s="350"/>
      <c r="P354" s="350"/>
      <c r="Q354" s="350"/>
      <c r="R354" s="350"/>
      <c r="S354" s="350"/>
      <c r="T354" s="350"/>
      <c r="U354" s="350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29"/>
      <c r="I355" s="351"/>
      <c r="J355" s="351"/>
      <c r="K355" s="333"/>
      <c r="L355" s="334"/>
      <c r="M355" s="333"/>
      <c r="N355" s="333"/>
      <c r="O355" s="333"/>
      <c r="P355" s="333"/>
      <c r="Q355" s="333"/>
      <c r="R355" s="333"/>
      <c r="S355" s="333"/>
      <c r="T355" s="333"/>
      <c r="U355" s="333"/>
    </row>
    <row r="356" spans="1:21" ht="19.5">
      <c r="A356" s="155"/>
      <c r="B356" s="50"/>
      <c r="C356" s="156" t="s">
        <v>18</v>
      </c>
      <c r="D356" s="575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541">
        <f ca="1">L357+L358</f>
        <v>681865</v>
      </c>
      <c r="M356" s="540">
        <f ca="1">M357+M358</f>
        <v>705265</v>
      </c>
      <c r="N356" s="540">
        <f ca="1">N357+N358</f>
        <v>539494.31999999995</v>
      </c>
      <c r="O356" s="540">
        <f ca="1">IF(L356&gt;0,N356*100/L356,0)</f>
        <v>79.120400665820938</v>
      </c>
      <c r="P356" s="540">
        <f ca="1">IF(M356&gt;0,N356*100/M356,0)</f>
        <v>76.495263482520741</v>
      </c>
      <c r="Q356" s="540">
        <f>Q357+Q358</f>
        <v>0</v>
      </c>
      <c r="R356" s="540">
        <f>R357+R358</f>
        <v>0</v>
      </c>
      <c r="S356" s="540">
        <f>S357+S358</f>
        <v>0</v>
      </c>
      <c r="T356" s="540">
        <f>IF(Q356&gt;0,S356*100/Q356,0)</f>
        <v>0</v>
      </c>
      <c r="U356" s="540">
        <f>IF(R356&gt;0,S356*100/R356,0)</f>
        <v>0</v>
      </c>
    </row>
    <row r="357" spans="1:21" ht="18.75" hidden="1">
      <c r="A357" s="155"/>
      <c r="B357" s="50"/>
      <c r="C357" s="50"/>
      <c r="D357" s="50"/>
      <c r="E357" s="186" t="s">
        <v>20</v>
      </c>
      <c r="F357" s="50"/>
      <c r="G357" s="52"/>
      <c r="H357" s="187" t="s">
        <v>14</v>
      </c>
      <c r="I357" s="54"/>
      <c r="J357" s="54"/>
      <c r="K357" s="55"/>
      <c r="L357" s="103">
        <f>L360+L363</f>
        <v>0</v>
      </c>
      <c r="M357" s="102">
        <f>M360+M363</f>
        <v>0</v>
      </c>
      <c r="N357" s="102">
        <f>N360+N363</f>
        <v>0</v>
      </c>
      <c r="O357" s="102">
        <f>IF(L357&gt;0,N357*100/L357,0)</f>
        <v>0</v>
      </c>
      <c r="P357" s="102">
        <f>IF(M357&gt;0,N357*100/M357,0)</f>
        <v>0</v>
      </c>
      <c r="Q357" s="102">
        <f>Q360+Q363</f>
        <v>0</v>
      </c>
      <c r="R357" s="102">
        <f>R360+R363</f>
        <v>0</v>
      </c>
      <c r="S357" s="102">
        <f>S360+S363</f>
        <v>0</v>
      </c>
      <c r="T357" s="102">
        <f>IF(Q357&gt;0,S357*100/Q357,0)</f>
        <v>0</v>
      </c>
      <c r="U357" s="102">
        <f>IF(R357&gt;0,S357*100/R357,0)</f>
        <v>0</v>
      </c>
    </row>
    <row r="358" spans="1:21" ht="18.75" hidden="1">
      <c r="A358" s="155"/>
      <c r="B358" s="50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256">
        <f ca="1">L361+L364</f>
        <v>681865</v>
      </c>
      <c r="M358" s="255">
        <f ca="1">M361+M364</f>
        <v>705265</v>
      </c>
      <c r="N358" s="255">
        <f ca="1">N361+N364</f>
        <v>539494.31999999995</v>
      </c>
      <c r="O358" s="255">
        <f ca="1">IF(L358&gt;0,N358*100/L358,0)</f>
        <v>79.120400665820938</v>
      </c>
      <c r="P358" s="255">
        <f ca="1">IF(M358&gt;0,N358*100/M358,0)</f>
        <v>76.495263482520741</v>
      </c>
      <c r="Q358" s="255">
        <f>Q361+Q364</f>
        <v>0</v>
      </c>
      <c r="R358" s="255">
        <f>R361+R364</f>
        <v>0</v>
      </c>
      <c r="S358" s="255">
        <f>S361+S364</f>
        <v>0</v>
      </c>
      <c r="T358" s="255">
        <f>IF(Q358&gt;0,S358*100/Q358,0)</f>
        <v>0</v>
      </c>
      <c r="U358" s="255">
        <f>IF(R358&gt;0,S358*100/R358,0)</f>
        <v>0</v>
      </c>
    </row>
    <row r="359" spans="1:21" ht="18.75">
      <c r="A359" s="155"/>
      <c r="B359" s="50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256">
        <f ca="1">L360+L361</f>
        <v>681865</v>
      </c>
      <c r="M359" s="255">
        <f ca="1">M360+M361</f>
        <v>705265</v>
      </c>
      <c r="N359" s="255">
        <f ca="1">N360+N361</f>
        <v>539494.31999999995</v>
      </c>
      <c r="O359" s="255">
        <f ca="1">IF(L359&gt;0,N359*100/L359,0)</f>
        <v>79.120400665820938</v>
      </c>
      <c r="P359" s="255">
        <f ca="1">IF(M359&gt;0,N359*100/M359,0)</f>
        <v>76.495263482520741</v>
      </c>
      <c r="Q359" s="255">
        <f>Q360+Q361</f>
        <v>0</v>
      </c>
      <c r="R359" s="255">
        <f>R360+R361</f>
        <v>0</v>
      </c>
      <c r="S359" s="255">
        <f>S360+S361</f>
        <v>0</v>
      </c>
      <c r="T359" s="255">
        <f>IF(Q359&gt;0,S359*100/Q359,0)</f>
        <v>0</v>
      </c>
      <c r="U359" s="255">
        <f>IF(R359&gt;0,S359*100/R359,0)</f>
        <v>0</v>
      </c>
    </row>
    <row r="360" spans="1:21" ht="18.75" hidden="1">
      <c r="A360" s="155"/>
      <c r="B360" s="50"/>
      <c r="C360" s="50"/>
      <c r="D360" s="50"/>
      <c r="E360" s="186" t="s">
        <v>36</v>
      </c>
      <c r="F360" s="50"/>
      <c r="G360" s="52"/>
      <c r="H360" s="189" t="s">
        <v>14</v>
      </c>
      <c r="I360" s="163"/>
      <c r="J360" s="163"/>
      <c r="K360" s="164"/>
      <c r="L360" s="103">
        <v>0</v>
      </c>
      <c r="M360" s="102">
        <v>0</v>
      </c>
      <c r="N360" s="102">
        <v>0</v>
      </c>
      <c r="O360" s="102">
        <f>IF(L360&gt;0,N360*100/L360,0)</f>
        <v>0</v>
      </c>
      <c r="P360" s="102">
        <f>IF(M360&gt;0,N360*100/M360,0)</f>
        <v>0</v>
      </c>
      <c r="Q360" s="102">
        <v>0</v>
      </c>
      <c r="R360" s="102">
        <v>0</v>
      </c>
      <c r="S360" s="102">
        <v>0</v>
      </c>
      <c r="T360" s="102">
        <f>IF(Q360&gt;0,S360*100/Q360,0)</f>
        <v>0</v>
      </c>
      <c r="U360" s="102">
        <f>IF(R360&gt;0,S360*100/R360,0)</f>
        <v>0</v>
      </c>
    </row>
    <row r="361" spans="1:21" ht="18.75" hidden="1">
      <c r="A361" s="155"/>
      <c r="B361" s="50"/>
      <c r="C361" s="50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256">
        <f ca="1">IFERROR(__xludf.DUMMYFUNCTION("IMPORTRANGE(""https://docs.google.com/spreadsheets/d/1-uDff_7J0KD5mKrp0Vvzr7lt3OU09vwQwhkpOPPYv2Y/edit?usp=sharing"",""งบพรบ!FC38"")"),681865)</f>
        <v>681865</v>
      </c>
      <c r="M361" s="255">
        <f ca="1">IFERROR(__xludf.DUMMYFUNCTION("IMPORTRANGE(""https://docs.google.com/spreadsheets/d/1-uDff_7J0KD5mKrp0Vvzr7lt3OU09vwQwhkpOPPYv2Y/edit?usp=sharing"",""งบพรบ!FH38"")"),705265)</f>
        <v>705265</v>
      </c>
      <c r="N361" s="255">
        <f ca="1">IFERROR(__xludf.DUMMYFUNCTION("IMPORTRANGE(""https://docs.google.com/spreadsheets/d/1-uDff_7J0KD5mKrp0Vvzr7lt3OU09vwQwhkpOPPYv2Y/edit?usp=sharing"",""งบพรบ!FJ38"")"),539494.32)</f>
        <v>539494.31999999995</v>
      </c>
      <c r="O361" s="255">
        <f ca="1">IF(L361&gt;0,N361*100/L361,0)</f>
        <v>79.120400665820938</v>
      </c>
      <c r="P361" s="255">
        <f ca="1">IF(M361&gt;0,N361*100/M361,0)</f>
        <v>76.495263482520741</v>
      </c>
      <c r="Q361" s="255">
        <v>0</v>
      </c>
      <c r="R361" s="255">
        <v>0</v>
      </c>
      <c r="S361" s="255">
        <v>0</v>
      </c>
      <c r="T361" s="255">
        <f>IF(Q361&gt;0,S361*100/Q361,0)</f>
        <v>0</v>
      </c>
      <c r="U361" s="255">
        <f>IF(R361&gt;0,S361*100/R361,0)</f>
        <v>0</v>
      </c>
    </row>
    <row r="362" spans="1:21" ht="18.75">
      <c r="A362" s="155"/>
      <c r="B362" s="50"/>
      <c r="C362" s="50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256">
        <f ca="1">L363+L364</f>
        <v>0</v>
      </c>
      <c r="M362" s="255">
        <f ca="1">M363+M364</f>
        <v>0</v>
      </c>
      <c r="N362" s="255">
        <f ca="1">N363+N364</f>
        <v>0</v>
      </c>
      <c r="O362" s="255">
        <f ca="1">IF(L362&gt;0,N362*100/L362,0)</f>
        <v>0</v>
      </c>
      <c r="P362" s="255">
        <f ca="1">IF(M362&gt;0,N362*100/M362,0)</f>
        <v>0</v>
      </c>
      <c r="Q362" s="255">
        <f>Q363+Q364</f>
        <v>0</v>
      </c>
      <c r="R362" s="255">
        <f>R363+R364</f>
        <v>0</v>
      </c>
      <c r="S362" s="255">
        <f>S363+S364</f>
        <v>0</v>
      </c>
      <c r="T362" s="255">
        <f>IF(Q362&gt;0,S362*100/Q362,0)</f>
        <v>0</v>
      </c>
      <c r="U362" s="255">
        <f>IF(R362&gt;0,S362*100/R362,0)</f>
        <v>0</v>
      </c>
    </row>
    <row r="363" spans="1:21" ht="18.75" hidden="1">
      <c r="A363" s="155"/>
      <c r="B363" s="50"/>
      <c r="C363" s="50"/>
      <c r="D363" s="50"/>
      <c r="E363" s="186" t="s">
        <v>20</v>
      </c>
      <c r="F363" s="50"/>
      <c r="G363" s="52"/>
      <c r="H363" s="189" t="s">
        <v>14</v>
      </c>
      <c r="I363" s="163"/>
      <c r="J363" s="163"/>
      <c r="K363" s="164"/>
      <c r="L363" s="103">
        <v>0</v>
      </c>
      <c r="M363" s="102">
        <v>0</v>
      </c>
      <c r="N363" s="102">
        <v>0</v>
      </c>
      <c r="O363" s="102">
        <f>IF(L363&gt;0,N363*100/L363,0)</f>
        <v>0</v>
      </c>
      <c r="P363" s="102">
        <f>IF(M363&gt;0,N363*100/M363,0)</f>
        <v>0</v>
      </c>
      <c r="Q363" s="102">
        <v>0</v>
      </c>
      <c r="R363" s="102">
        <v>0</v>
      </c>
      <c r="S363" s="102">
        <v>0</v>
      </c>
      <c r="T363" s="102">
        <f>IF(Q363&gt;0,S363*100/Q363,0)</f>
        <v>0</v>
      </c>
      <c r="U363" s="102">
        <f>IF(R363&gt;0,S363*100/R363,0)</f>
        <v>0</v>
      </c>
    </row>
    <row r="364" spans="1:21" ht="18.75" hidden="1">
      <c r="A364" s="155"/>
      <c r="B364" s="50"/>
      <c r="C364" s="50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256">
        <f ca="1">IFERROR(__xludf.DUMMYFUNCTION("IMPORTRANGE(""https://docs.google.com/spreadsheets/d/1-uDff_7J0KD5mKrp0Vvzr7lt3OU09vwQwhkpOPPYv2Y/edit?usp=sharing"",""งบพรบ!FF38"")"),0)</f>
        <v>0</v>
      </c>
      <c r="M364" s="255">
        <f ca="1">IFERROR(__xludf.DUMMYFUNCTION("IMPORTRANGE(""https://docs.google.com/spreadsheets/d/1-uDff_7J0KD5mKrp0Vvzr7lt3OU09vwQwhkpOPPYv2Y/edit?usp=sharing"",""งบพรบ!FI38"")"),0)</f>
        <v>0</v>
      </c>
      <c r="N364" s="255">
        <f ca="1">IFERROR(__xludf.DUMMYFUNCTION("IMPORTRANGE(""https://docs.google.com/spreadsheets/d/1-uDff_7J0KD5mKrp0Vvzr7lt3OU09vwQwhkpOPPYv2Y/edit?usp=sharing"",""งบพรบ!FK38"")"),0)</f>
        <v>0</v>
      </c>
      <c r="O364" s="255">
        <f ca="1">IF(L364&gt;0,N364*100/L364,0)</f>
        <v>0</v>
      </c>
      <c r="P364" s="255">
        <f ca="1">IF(M364&gt;0,N364*100/M364,0)</f>
        <v>0</v>
      </c>
      <c r="Q364" s="255">
        <v>0</v>
      </c>
      <c r="R364" s="255">
        <v>0</v>
      </c>
      <c r="S364" s="255">
        <v>0</v>
      </c>
      <c r="T364" s="255">
        <f>IF(Q364&gt;0,S364*100/Q364,0)</f>
        <v>0</v>
      </c>
      <c r="U364" s="255">
        <f>IF(R364&gt;0,S364*100/R364,0)</f>
        <v>0</v>
      </c>
    </row>
    <row r="365" spans="1:21" ht="19.5">
      <c r="A365" s="241"/>
      <c r="B365" s="242"/>
      <c r="C365" s="244"/>
      <c r="D365" s="621" t="s">
        <v>150</v>
      </c>
      <c r="E365" s="244"/>
      <c r="F365" s="244"/>
      <c r="G365" s="245"/>
      <c r="H365" s="254" t="s">
        <v>35</v>
      </c>
      <c r="I365" s="339">
        <f ca="1">I371</f>
        <v>802</v>
      </c>
      <c r="J365" s="339">
        <f ca="1">J371</f>
        <v>481</v>
      </c>
      <c r="K365" s="340">
        <f ca="1">IF(I365&gt;0,J365*100/I365,0)</f>
        <v>59.975062344139651</v>
      </c>
      <c r="L365" s="250"/>
      <c r="M365" s="249"/>
      <c r="N365" s="249"/>
      <c r="O365" s="249"/>
      <c r="P365" s="249"/>
      <c r="Q365" s="249"/>
      <c r="R365" s="249"/>
      <c r="S365" s="249"/>
      <c r="T365" s="249"/>
      <c r="U365" s="249"/>
    </row>
    <row r="366" spans="1:21" ht="19.5">
      <c r="A366" s="166"/>
      <c r="B366" s="167"/>
      <c r="C366" s="156" t="s">
        <v>18</v>
      </c>
      <c r="D366" s="566" t="s">
        <v>38</v>
      </c>
      <c r="E366" s="169"/>
      <c r="F366" s="169"/>
      <c r="G366" s="170"/>
      <c r="H366" s="171"/>
      <c r="I366" s="54"/>
      <c r="J366" s="54"/>
      <c r="K366" s="55"/>
      <c r="L366" s="172"/>
      <c r="M366" s="164"/>
      <c r="N366" s="164"/>
      <c r="O366" s="164"/>
      <c r="P366" s="164"/>
      <c r="Q366" s="164"/>
      <c r="R366" s="164"/>
      <c r="S366" s="164"/>
      <c r="T366" s="164"/>
      <c r="U366" s="164"/>
    </row>
    <row r="367" spans="1:21" ht="18.75">
      <c r="A367" s="166"/>
      <c r="B367" s="174"/>
      <c r="C367" s="167"/>
      <c r="D367" s="174"/>
      <c r="E367" s="173" t="s">
        <v>151</v>
      </c>
      <c r="F367" s="174"/>
      <c r="G367" s="171"/>
      <c r="H367" s="183" t="s">
        <v>35</v>
      </c>
      <c r="I367" s="212">
        <v>0</v>
      </c>
      <c r="J367" s="212">
        <f ca="1">IFERROR(__xludf.DUMMYFUNCTION("IMPORTRANGE(""https://docs.google.com/spreadsheets/d/1tdoBKaGub7dwA3U6UFTqxio9LNnvDCQjHKmttSEBsFQ/edit?usp=sharing"",""จัดที่ดิน!AB38"")"),435)</f>
        <v>435</v>
      </c>
      <c r="K367" s="255">
        <f>IF(I367&gt;0,J367*100/I367,0)</f>
        <v>0</v>
      </c>
      <c r="L367" s="172"/>
      <c r="M367" s="164"/>
      <c r="N367" s="164"/>
      <c r="O367" s="164"/>
      <c r="P367" s="164"/>
      <c r="Q367" s="164"/>
      <c r="R367" s="164"/>
      <c r="S367" s="164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212">
        <f ca="1">IFERROR(__xludf.DUMMYFUNCTION("IMPORTRANGE(""https://docs.google.com/spreadsheets/d/1eHaY18a8A9IcSdp1K8H6x8fbOy06t2VsZHhMHf-1x7Y/edit?usp=sharing"",""แผน!EW38"")"),2200)</f>
        <v>2200</v>
      </c>
      <c r="J368" s="620">
        <f ca="1">IFERROR(__xludf.DUMMYFUNCTION("IMPORTRANGE(""https://docs.google.com/spreadsheets/d/1tdoBKaGub7dwA3U6UFTqxio9LNnvDCQjHKmttSEBsFQ/edit?usp=sharing"",""จัดที่ดิน!AC38"")"),3321.22)</f>
        <v>3321.22</v>
      </c>
      <c r="K368" s="255">
        <f ca="1">IF(I368&gt;0,J368*100/I368,0)</f>
        <v>150.96454545454546</v>
      </c>
      <c r="L368" s="172"/>
      <c r="M368" s="164"/>
      <c r="N368" s="164"/>
      <c r="O368" s="164"/>
      <c r="P368" s="164"/>
      <c r="Q368" s="164"/>
      <c r="R368" s="164"/>
      <c r="S368" s="164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79" t="s">
        <v>35</v>
      </c>
      <c r="I369" s="212">
        <f ca="1">IFERROR(__xludf.DUMMYFUNCTION("IMPORTRANGE(""https://docs.google.com/spreadsheets/d/1eHaY18a8A9IcSdp1K8H6x8fbOy06t2VsZHhMHf-1x7Y/edit?usp=sharing"",""แผน!EX38"")"),802)</f>
        <v>802</v>
      </c>
      <c r="J369" s="212">
        <f ca="1">IFERROR(__xludf.DUMMYFUNCTION("IMPORTRANGE(""https://docs.google.com/spreadsheets/d/1tdoBKaGub7dwA3U6UFTqxio9LNnvDCQjHKmttSEBsFQ/edit?usp=sharing"",""จัดที่ดิน!AD38"")"),532)</f>
        <v>532</v>
      </c>
      <c r="K369" s="255">
        <f ca="1">IF(I369&gt;0,J369*100/I369,0)</f>
        <v>66.334164588528679</v>
      </c>
      <c r="L369" s="172"/>
      <c r="M369" s="164"/>
      <c r="N369" s="164"/>
      <c r="O369" s="164"/>
      <c r="P369" s="164"/>
      <c r="Q369" s="164"/>
      <c r="R369" s="164"/>
      <c r="S369" s="164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79" t="s">
        <v>46</v>
      </c>
      <c r="I370" s="212">
        <v>0</v>
      </c>
      <c r="J370" s="620">
        <f ca="1">IFERROR(__xludf.DUMMYFUNCTION("IMPORTRANGE(""https://docs.google.com/spreadsheets/d/1tdoBKaGub7dwA3U6UFTqxio9LNnvDCQjHKmttSEBsFQ/edit?usp=sharing"",""จัดที่ดิน!AE38"")"),5535.59)</f>
        <v>5535.59</v>
      </c>
      <c r="K370" s="255">
        <f>IF(I370&gt;0,J370*100/I370,0)</f>
        <v>0</v>
      </c>
      <c r="L370" s="172"/>
      <c r="M370" s="164"/>
      <c r="N370" s="164"/>
      <c r="O370" s="164"/>
      <c r="P370" s="164"/>
      <c r="Q370" s="164"/>
      <c r="R370" s="164"/>
      <c r="S370" s="164"/>
      <c r="T370" s="164"/>
      <c r="U370" s="164"/>
    </row>
    <row r="371" spans="1:21" ht="18.75">
      <c r="A371" s="166"/>
      <c r="B371" s="174"/>
      <c r="C371" s="167"/>
      <c r="D371" s="174"/>
      <c r="E371" s="352" t="s">
        <v>153</v>
      </c>
      <c r="F371" s="174"/>
      <c r="G371" s="171"/>
      <c r="H371" s="179" t="s">
        <v>35</v>
      </c>
      <c r="I371" s="212">
        <f ca="1">IFERROR(__xludf.DUMMYFUNCTION("IMPORTRANGE(""https://docs.google.com/spreadsheets/d/1eHaY18a8A9IcSdp1K8H6x8fbOy06t2VsZHhMHf-1x7Y/edit?usp=sharing"",""แผน!EY38"")"),802)</f>
        <v>802</v>
      </c>
      <c r="J371" s="212">
        <f ca="1">IFERROR(__xludf.DUMMYFUNCTION("IMPORTRANGE(""https://docs.google.com/spreadsheets/d/1tdoBKaGub7dwA3U6UFTqxio9LNnvDCQjHKmttSEBsFQ/edit?usp=sharing"",""จัดที่ดิน!AF38"")"),481)</f>
        <v>481</v>
      </c>
      <c r="K371" s="255">
        <f ca="1">IF(I371&gt;0,J371*100/I371,0)</f>
        <v>59.975062344139651</v>
      </c>
      <c r="L371" s="172"/>
      <c r="M371" s="164"/>
      <c r="N371" s="164"/>
      <c r="O371" s="164"/>
      <c r="P371" s="164"/>
      <c r="Q371" s="164"/>
      <c r="R371" s="164"/>
      <c r="S371" s="164"/>
      <c r="T371" s="164"/>
      <c r="U371" s="164"/>
    </row>
    <row r="372" spans="1:21" ht="18.75">
      <c r="A372" s="166"/>
      <c r="B372" s="174"/>
      <c r="C372" s="167"/>
      <c r="D372" s="174"/>
      <c r="E372" s="174"/>
      <c r="F372" s="174"/>
      <c r="G372" s="171"/>
      <c r="H372" s="179" t="s">
        <v>46</v>
      </c>
      <c r="I372" s="212">
        <v>0</v>
      </c>
      <c r="J372" s="620">
        <f ca="1">IFERROR(__xludf.DUMMYFUNCTION("IMPORTRANGE(""https://docs.google.com/spreadsheets/d/1tdoBKaGub7dwA3U6UFTqxio9LNnvDCQjHKmttSEBsFQ/edit?usp=sharing"",""จัดที่ดิน!AG38"")"),5077.21)</f>
        <v>5077.21</v>
      </c>
      <c r="K372" s="255">
        <f>IF(I372&gt;0,J372*100/I372,0)</f>
        <v>0</v>
      </c>
      <c r="L372" s="172"/>
      <c r="M372" s="164"/>
      <c r="N372" s="164"/>
      <c r="O372" s="164"/>
      <c r="P372" s="164"/>
      <c r="Q372" s="164"/>
      <c r="R372" s="164"/>
      <c r="S372" s="164"/>
      <c r="T372" s="164"/>
      <c r="U372" s="164"/>
    </row>
    <row r="373" spans="1:21" ht="16.5">
      <c r="A373" s="5"/>
      <c r="B373" s="4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พ.ค. 67 เวลา 07.29 น.]")</f>
        <v xml:space="preserve"> [ข้อมูลจาก ระบบ ALRO Land Online ข้อมูล ณ 1 พ.ค. 67 เวลา 07.29 น.]</v>
      </c>
      <c r="E373" s="4"/>
      <c r="F373" s="4"/>
      <c r="G373" s="65"/>
      <c r="H373" s="65"/>
      <c r="I373" s="67"/>
      <c r="J373" s="67"/>
      <c r="K373" s="6"/>
      <c r="L373" s="68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>
      <c r="A374" s="619"/>
      <c r="B374" s="618" t="s">
        <v>154</v>
      </c>
      <c r="C374" s="617"/>
      <c r="D374" s="616"/>
      <c r="E374" s="615"/>
      <c r="F374" s="615"/>
      <c r="G374" s="614"/>
      <c r="H374" s="613" t="s">
        <v>46</v>
      </c>
      <c r="I374" s="612">
        <f ca="1">I385</f>
        <v>2000</v>
      </c>
      <c r="J374" s="612">
        <f ca="1">J386+J388</f>
        <v>161</v>
      </c>
      <c r="K374" s="611">
        <f ca="1">IF(I374&gt;0,J374*100/I374,0)</f>
        <v>8.0500000000000007</v>
      </c>
      <c r="L374" s="334"/>
      <c r="M374" s="333"/>
      <c r="N374" s="333"/>
      <c r="O374" s="333"/>
      <c r="P374" s="333"/>
      <c r="Q374" s="333"/>
      <c r="R374" s="333"/>
      <c r="S374" s="333"/>
      <c r="T374" s="333"/>
      <c r="U374" s="333"/>
    </row>
    <row r="375" spans="1:21" ht="19.5">
      <c r="A375" s="155"/>
      <c r="B375" s="188"/>
      <c r="C375" s="191" t="s">
        <v>18</v>
      </c>
      <c r="D375" s="608" t="s">
        <v>19</v>
      </c>
      <c r="E375" s="50"/>
      <c r="F375" s="50"/>
      <c r="G375" s="52"/>
      <c r="H375" s="158" t="s">
        <v>14</v>
      </c>
      <c r="I375" s="54"/>
      <c r="J375" s="54"/>
      <c r="K375" s="55"/>
      <c r="L375" s="541">
        <f>L376+L377</f>
        <v>0</v>
      </c>
      <c r="M375" s="540">
        <f>M376+M377</f>
        <v>0</v>
      </c>
      <c r="N375" s="540">
        <f>N376+N377</f>
        <v>0</v>
      </c>
      <c r="O375" s="540">
        <f>IF(L375&gt;0,N375*100/L375,0)</f>
        <v>0</v>
      </c>
      <c r="P375" s="540">
        <f>IF(M375&gt;0,N375*100/M375,0)</f>
        <v>0</v>
      </c>
      <c r="Q375" s="540">
        <f ca="1">Q376+Q377</f>
        <v>125000</v>
      </c>
      <c r="R375" s="540">
        <f ca="1">R376+R377</f>
        <v>0</v>
      </c>
      <c r="S375" s="540">
        <f ca="1">S376+S377</f>
        <v>0</v>
      </c>
      <c r="T375" s="540">
        <f ca="1">IF(Q375&gt;0,S375*100/Q375,0)</f>
        <v>0</v>
      </c>
      <c r="U375" s="540">
        <f ca="1">IF(R375&gt;0,S375*100/R375,0)</f>
        <v>0</v>
      </c>
    </row>
    <row r="376" spans="1:21" ht="18.75" hidden="1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103">
        <f>L379+L382</f>
        <v>0</v>
      </c>
      <c r="M376" s="102">
        <f>M379+M382</f>
        <v>0</v>
      </c>
      <c r="N376" s="102">
        <f>N379+N382</f>
        <v>0</v>
      </c>
      <c r="O376" s="102">
        <f>IF(L376&gt;0,N376*100/L376,0)</f>
        <v>0</v>
      </c>
      <c r="P376" s="102">
        <f>IF(M376&gt;0,N376*100/M376,0)</f>
        <v>0</v>
      </c>
      <c r="Q376" s="102">
        <f>Q379+Q382</f>
        <v>0</v>
      </c>
      <c r="R376" s="102">
        <f>R379+R382</f>
        <v>0</v>
      </c>
      <c r="S376" s="102">
        <f>S379+S382</f>
        <v>0</v>
      </c>
      <c r="T376" s="102">
        <f>IF(Q376&gt;0,S376*100/Q376,0)</f>
        <v>0</v>
      </c>
      <c r="U376" s="102">
        <f>IF(R376&gt;0,S376*100/R376,0)</f>
        <v>0</v>
      </c>
    </row>
    <row r="377" spans="1:21" ht="18.75" hidden="1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256">
        <f>L380+L383</f>
        <v>0</v>
      </c>
      <c r="M377" s="255">
        <f>M380+M383</f>
        <v>0</v>
      </c>
      <c r="N377" s="255">
        <f>N380+N383</f>
        <v>0</v>
      </c>
      <c r="O377" s="255">
        <f>IF(L377&gt;0,N377*100/L377,0)</f>
        <v>0</v>
      </c>
      <c r="P377" s="255">
        <f>IF(M377&gt;0,N377*100/M377,0)</f>
        <v>0</v>
      </c>
      <c r="Q377" s="255">
        <f ca="1">Q380+Q383</f>
        <v>125000</v>
      </c>
      <c r="R377" s="255">
        <f ca="1">R380+R383</f>
        <v>0</v>
      </c>
      <c r="S377" s="255">
        <f ca="1">S380+S383</f>
        <v>0</v>
      </c>
      <c r="T377" s="255">
        <f ca="1">IF(Q377&gt;0,S377*100/Q377,0)</f>
        <v>0</v>
      </c>
      <c r="U377" s="255">
        <f ca="1">IF(R377&gt;0,S377*100/R377,0)</f>
        <v>0</v>
      </c>
    </row>
    <row r="378" spans="1:21" ht="18.75">
      <c r="A378" s="155"/>
      <c r="B378" s="188"/>
      <c r="C378" s="188"/>
      <c r="D378" s="602" t="s">
        <v>22</v>
      </c>
      <c r="E378" s="50"/>
      <c r="F378" s="50"/>
      <c r="G378" s="52"/>
      <c r="H378" s="162" t="s">
        <v>14</v>
      </c>
      <c r="I378" s="163"/>
      <c r="J378" s="163"/>
      <c r="K378" s="164"/>
      <c r="L378" s="256">
        <f>L379+L380</f>
        <v>0</v>
      </c>
      <c r="M378" s="255">
        <f>M379+M380</f>
        <v>0</v>
      </c>
      <c r="N378" s="255">
        <f>N379+N380</f>
        <v>0</v>
      </c>
      <c r="O378" s="255">
        <f>IF(L378&gt;0,N378*100/L378,0)</f>
        <v>0</v>
      </c>
      <c r="P378" s="255">
        <f>IF(M378&gt;0,N378*100/M378,0)</f>
        <v>0</v>
      </c>
      <c r="Q378" s="255">
        <f ca="1">Q379+Q380</f>
        <v>125000</v>
      </c>
      <c r="R378" s="255">
        <f ca="1">R379+R380</f>
        <v>0</v>
      </c>
      <c r="S378" s="255">
        <f ca="1">S379+S380</f>
        <v>0</v>
      </c>
      <c r="T378" s="255">
        <f ca="1">IF(Q378&gt;0,S378*100/Q378,0)</f>
        <v>0</v>
      </c>
      <c r="U378" s="255">
        <f ca="1">IF(R378&gt;0,S378*100/R378,0)</f>
        <v>0</v>
      </c>
    </row>
    <row r="379" spans="1:21" ht="18.75" hidden="1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103">
        <v>0</v>
      </c>
      <c r="M379" s="102">
        <v>0</v>
      </c>
      <c r="N379" s="102">
        <v>0</v>
      </c>
      <c r="O379" s="102">
        <f>IF(L379&gt;0,N379*100/L379,0)</f>
        <v>0</v>
      </c>
      <c r="P379" s="102">
        <f>IF(M379&gt;0,N379*100/M379,0)</f>
        <v>0</v>
      </c>
      <c r="Q379" s="102">
        <v>0</v>
      </c>
      <c r="R379" s="102">
        <v>0</v>
      </c>
      <c r="S379" s="102">
        <v>0</v>
      </c>
      <c r="T379" s="102">
        <f>IF(Q379&gt;0,S379*100/Q379,0)</f>
        <v>0</v>
      </c>
      <c r="U379" s="102">
        <f>IF(R379&gt;0,S379*100/R379,0)</f>
        <v>0</v>
      </c>
    </row>
    <row r="380" spans="1:21" ht="18.75" hidden="1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256">
        <v>0</v>
      </c>
      <c r="M380" s="255">
        <v>0</v>
      </c>
      <c r="N380" s="255">
        <v>0</v>
      </c>
      <c r="O380" s="255">
        <f>IF(L380&gt;0,N380*100/L380,0)</f>
        <v>0</v>
      </c>
      <c r="P380" s="255">
        <f>IF(M380&gt;0,N380*100/M380,0)</f>
        <v>0</v>
      </c>
      <c r="Q380" s="255">
        <f ca="1">IFERROR(__xludf.DUMMYFUNCTION("IMPORTRANGE(""https://docs.google.com/spreadsheets/d/1ItG2mGa2ceCfYo0BwxsXqNm01IGEUdYcSSLTEv9YCik/edit?usp=sharing"",""เบิกจ่ายกองทุน!AY38"")"),125000)</f>
        <v>125000</v>
      </c>
      <c r="R380" s="255">
        <f ca="1">IFERROR(__xludf.DUMMYFUNCTION("IMPORTRANGE(""https://docs.google.com/spreadsheets/d/1ItG2mGa2ceCfYo0BwxsXqNm01IGEUdYcSSLTEv9YCik/edit?usp=sharing"",""เบิกจ่ายกองทุน!AZ38"")"),0)</f>
        <v>0</v>
      </c>
      <c r="S380" s="255">
        <f ca="1">IFERROR(__xludf.DUMMYFUNCTION("IMPORTRANGE(""https://docs.google.com/spreadsheets/d/1ItG2mGa2ceCfYo0BwxsXqNm01IGEUdYcSSLTEv9YCik/edit?usp=sharing"",""เบิกจ่ายกองทุน!BA38"")"),0)</f>
        <v>0</v>
      </c>
      <c r="T380" s="255">
        <f ca="1">IF(Q380&gt;0,S380*100/Q380,0)</f>
        <v>0</v>
      </c>
      <c r="U380" s="255">
        <f ca="1">IF(R380&gt;0,S380*100/R380,0)</f>
        <v>0</v>
      </c>
    </row>
    <row r="381" spans="1:21" ht="18.75">
      <c r="A381" s="155"/>
      <c r="B381" s="188"/>
      <c r="C381" s="188"/>
      <c r="D381" s="602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256">
        <f>L382+L383</f>
        <v>0</v>
      </c>
      <c r="M381" s="255">
        <f>M382+M383</f>
        <v>0</v>
      </c>
      <c r="N381" s="255">
        <f>N382+N383</f>
        <v>0</v>
      </c>
      <c r="O381" s="255">
        <f>IF(L381&gt;0,N381*100/L381,0)</f>
        <v>0</v>
      </c>
      <c r="P381" s="255">
        <f>IF(M381&gt;0,N381*100/M381,0)</f>
        <v>0</v>
      </c>
      <c r="Q381" s="255">
        <f>Q382+Q383</f>
        <v>0</v>
      </c>
      <c r="R381" s="255">
        <f>R382+R383</f>
        <v>0</v>
      </c>
      <c r="S381" s="255">
        <f>S382+S383</f>
        <v>0</v>
      </c>
      <c r="T381" s="255">
        <f>IF(Q381&gt;0,S381*100/Q381,0)</f>
        <v>0</v>
      </c>
      <c r="U381" s="255">
        <f>IF(R381&gt;0,S381*100/R381,0)</f>
        <v>0</v>
      </c>
    </row>
    <row r="382" spans="1:21" ht="18.75" hidden="1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103">
        <v>0</v>
      </c>
      <c r="M382" s="102">
        <v>0</v>
      </c>
      <c r="N382" s="102">
        <v>0</v>
      </c>
      <c r="O382" s="102">
        <f>IF(L382&gt;0,N382*100/L382,0)</f>
        <v>0</v>
      </c>
      <c r="P382" s="102">
        <f>IF(M382&gt;0,N382*100/M382,0)</f>
        <v>0</v>
      </c>
      <c r="Q382" s="102">
        <v>0</v>
      </c>
      <c r="R382" s="102">
        <v>0</v>
      </c>
      <c r="S382" s="102">
        <v>0</v>
      </c>
      <c r="T382" s="102">
        <f>IF(Q382&gt;0,S382*100/Q382,0)</f>
        <v>0</v>
      </c>
      <c r="U382" s="102">
        <f>IF(R382&gt;0,S382*100/R382,0)</f>
        <v>0</v>
      </c>
    </row>
    <row r="383" spans="1:21" ht="18.75" hidden="1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256">
        <v>0</v>
      </c>
      <c r="M383" s="255">
        <v>0</v>
      </c>
      <c r="N383" s="255">
        <v>0</v>
      </c>
      <c r="O383" s="255">
        <f>IF(L383&gt;0,N383*100/L383,0)</f>
        <v>0</v>
      </c>
      <c r="P383" s="255">
        <f>IF(M383&gt;0,N383*100/M383,0)</f>
        <v>0</v>
      </c>
      <c r="Q383" s="255">
        <v>0</v>
      </c>
      <c r="R383" s="255">
        <v>0</v>
      </c>
      <c r="S383" s="255">
        <v>0</v>
      </c>
      <c r="T383" s="255">
        <f>IF(Q383&gt;0,S383*100/Q383,0)</f>
        <v>0</v>
      </c>
      <c r="U383" s="255">
        <f>IF(R383&gt;0,S383*100/R383,0)</f>
        <v>0</v>
      </c>
    </row>
    <row r="384" spans="1:21" ht="19.5">
      <c r="A384" s="166"/>
      <c r="B384" s="167"/>
      <c r="C384" s="191" t="s">
        <v>18</v>
      </c>
      <c r="D384" s="560" t="s">
        <v>38</v>
      </c>
      <c r="E384" s="169"/>
      <c r="F384" s="169"/>
      <c r="G384" s="170"/>
      <c r="H384" s="206"/>
      <c r="I384" s="163"/>
      <c r="J384" s="54"/>
      <c r="K384" s="55"/>
      <c r="L384" s="62"/>
      <c r="M384" s="55"/>
      <c r="N384" s="55"/>
      <c r="O384" s="164"/>
      <c r="P384" s="164"/>
      <c r="Q384" s="55"/>
      <c r="R384" s="55"/>
      <c r="S384" s="55"/>
      <c r="T384" s="164"/>
      <c r="U384" s="164"/>
    </row>
    <row r="385" spans="1:21" ht="18.75">
      <c r="A385" s="238"/>
      <c r="B385" s="188"/>
      <c r="C385" s="188"/>
      <c r="D385" s="188"/>
      <c r="E385" s="58" t="s">
        <v>155</v>
      </c>
      <c r="F385" s="50"/>
      <c r="G385" s="52"/>
      <c r="H385" s="161" t="s">
        <v>34</v>
      </c>
      <c r="I385" s="212">
        <f ca="1">IFERROR(__xludf.DUMMYFUNCTION("IMPORTRANGE(""https://docs.google.com/spreadsheets/d/1eHaY18a8A9IcSdp1K8H6x8fbOy06t2VsZHhMHf-1x7Y/edit?usp=sharing"",""แผน!JQ38"")"),2000)</f>
        <v>2000</v>
      </c>
      <c r="J385" s="212">
        <f ca="1">IFERROR(__xludf.DUMMYFUNCTION("IMPORTRANGE(""https://docs.google.com/spreadsheets/d/1w5rwWK1o49a35cNtocGL0gxDwhFSTZUQu90BiH9_zqM/edit?usp=sharing"",""RTK!H38"")"),6)</f>
        <v>6</v>
      </c>
      <c r="K385" s="255">
        <f ca="1">IF(I385&gt;0,J385*100/I385,0)</f>
        <v>0.3</v>
      </c>
      <c r="L385" s="62"/>
      <c r="M385" s="55"/>
      <c r="N385" s="55"/>
      <c r="O385" s="55"/>
      <c r="P385" s="55"/>
      <c r="Q385" s="55"/>
      <c r="R385" s="55"/>
      <c r="S385" s="55"/>
      <c r="T385" s="55"/>
      <c r="U385" s="55"/>
    </row>
    <row r="386" spans="1:21" ht="18.75">
      <c r="A386" s="188"/>
      <c r="B386" s="188"/>
      <c r="C386" s="188"/>
      <c r="D386" s="188"/>
      <c r="E386" s="188"/>
      <c r="F386" s="188"/>
      <c r="G386" s="208"/>
      <c r="H386" s="161" t="s">
        <v>46</v>
      </c>
      <c r="I386" s="212">
        <f ca="1">IFERROR(__xludf.DUMMYFUNCTION("IMPORTRANGE(""https://docs.google.com/spreadsheets/d/1eHaY18a8A9IcSdp1K8H6x8fbOy06t2VsZHhMHf-1x7Y/edit?usp=sharing"",""แผน!JQ38"")"),2000)</f>
        <v>2000</v>
      </c>
      <c r="J386" s="212">
        <f ca="1">IFERROR(__xludf.DUMMYFUNCTION("IMPORTRANGE(""https://docs.google.com/spreadsheets/d/1w5rwWK1o49a35cNtocGL0gxDwhFSTZUQu90BiH9_zqM/edit?usp=sharing"",""RTK!I38"")"),161)</f>
        <v>161</v>
      </c>
      <c r="K386" s="255">
        <f ca="1">IF(I386&gt;0,J386*100/I386,0)</f>
        <v>8.0500000000000007</v>
      </c>
      <c r="L386" s="62"/>
      <c r="M386" s="55"/>
      <c r="N386" s="55"/>
      <c r="O386" s="55"/>
      <c r="P386" s="55"/>
      <c r="Q386" s="55"/>
      <c r="R386" s="55"/>
      <c r="S386" s="55"/>
      <c r="T386" s="55"/>
      <c r="U386" s="55"/>
    </row>
    <row r="387" spans="1:21" ht="18.75">
      <c r="A387" s="609"/>
      <c r="B387" s="609"/>
      <c r="C387" s="609"/>
      <c r="D387" s="609"/>
      <c r="E387" s="610" t="s">
        <v>156</v>
      </c>
      <c r="F387" s="609"/>
      <c r="G387" s="557"/>
      <c r="H387" s="549" t="s">
        <v>34</v>
      </c>
      <c r="I387" s="556">
        <v>0</v>
      </c>
      <c r="J387" s="556">
        <f ca="1">IFERROR(__xludf.DUMMYFUNCTION("IMPORTRANGE(""https://docs.google.com/spreadsheets/d/1w5rwWK1o49a35cNtocGL0gxDwhFSTZUQu90BiH9_zqM/edit?usp=sharing"",""RTK!L38"")"),0)</f>
        <v>0</v>
      </c>
      <c r="K387" s="555">
        <f>IF(I387&gt;0,J387*100/I387,0)</f>
        <v>0</v>
      </c>
      <c r="L387" s="546"/>
      <c r="M387" s="545"/>
      <c r="N387" s="545"/>
      <c r="O387" s="545"/>
      <c r="P387" s="545"/>
      <c r="Q387" s="545"/>
      <c r="R387" s="545"/>
      <c r="S387" s="545"/>
      <c r="T387" s="545"/>
      <c r="U387" s="545"/>
    </row>
    <row r="388" spans="1:21" ht="18.75">
      <c r="A388" s="609"/>
      <c r="B388" s="609"/>
      <c r="C388" s="609"/>
      <c r="D388" s="609"/>
      <c r="E388" s="609"/>
      <c r="F388" s="609"/>
      <c r="G388" s="557"/>
      <c r="H388" s="549" t="s">
        <v>46</v>
      </c>
      <c r="I388" s="556">
        <v>0</v>
      </c>
      <c r="J388" s="556">
        <f ca="1">IFERROR(__xludf.DUMMYFUNCTION("IMPORTRANGE(""https://docs.google.com/spreadsheets/d/1w5rwWK1o49a35cNtocGL0gxDwhFSTZUQu90BiH9_zqM/edit?usp=sharing"",""RTK!M38"")"),0)</f>
        <v>0</v>
      </c>
      <c r="K388" s="555">
        <f>IF(I388&gt;0,J388*100/I388,0)</f>
        <v>0</v>
      </c>
      <c r="L388" s="546"/>
      <c r="M388" s="545"/>
      <c r="N388" s="545"/>
      <c r="O388" s="545"/>
      <c r="P388" s="545"/>
      <c r="Q388" s="545"/>
      <c r="R388" s="545"/>
      <c r="S388" s="545"/>
      <c r="T388" s="545"/>
      <c r="U388" s="545"/>
    </row>
    <row r="389" spans="1:21" ht="12.75" hidden="1">
      <c r="A389" s="259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5"/>
      <c r="M389" s="264"/>
      <c r="N389" s="264"/>
      <c r="O389" s="264"/>
      <c r="P389" s="264"/>
      <c r="Q389" s="264"/>
      <c r="R389" s="264"/>
      <c r="S389" s="264"/>
      <c r="T389" s="264"/>
      <c r="U389" s="264"/>
    </row>
    <row r="390" spans="1:21" ht="12.75" hidden="1">
      <c r="A390" s="360"/>
      <c r="B390" s="360"/>
      <c r="C390" s="360"/>
      <c r="D390" s="360"/>
      <c r="E390" s="360"/>
      <c r="F390" s="360"/>
      <c r="G390" s="361"/>
      <c r="H390" s="361"/>
      <c r="I390" s="362"/>
      <c r="J390" s="362"/>
      <c r="K390" s="363"/>
      <c r="L390" s="364"/>
      <c r="M390" s="363"/>
      <c r="N390" s="363"/>
      <c r="O390" s="363"/>
      <c r="P390" s="363"/>
      <c r="Q390" s="363"/>
      <c r="R390" s="363"/>
      <c r="S390" s="363"/>
      <c r="T390" s="363"/>
      <c r="U390" s="363"/>
    </row>
    <row r="391" spans="1:21" ht="19.5" hidden="1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51">
        <f>I402</f>
        <v>0</v>
      </c>
      <c r="J391" s="351">
        <f>J402</f>
        <v>0</v>
      </c>
      <c r="K391" s="604">
        <f>IF(I391&gt;0,J391*100/I391,0)</f>
        <v>0</v>
      </c>
      <c r="L391" s="334"/>
      <c r="M391" s="333"/>
      <c r="N391" s="333"/>
      <c r="O391" s="333"/>
      <c r="P391" s="333"/>
      <c r="Q391" s="333"/>
      <c r="R391" s="333"/>
      <c r="S391" s="333"/>
      <c r="T391" s="333"/>
      <c r="U391" s="333"/>
    </row>
    <row r="392" spans="1:21" ht="19.5" hidden="1">
      <c r="A392" s="155"/>
      <c r="B392" s="188"/>
      <c r="C392" s="191" t="s">
        <v>18</v>
      </c>
      <c r="D392" s="608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541">
        <f>L393+L394</f>
        <v>0</v>
      </c>
      <c r="M392" s="540">
        <f>M393+M394</f>
        <v>0</v>
      </c>
      <c r="N392" s="540">
        <f>N393+N394</f>
        <v>0</v>
      </c>
      <c r="O392" s="540">
        <f>IF(L392&gt;0,N392*100/L392,0)</f>
        <v>0</v>
      </c>
      <c r="P392" s="540">
        <f>IF(M392&gt;0,N392*100/M392,0)</f>
        <v>0</v>
      </c>
      <c r="Q392" s="540">
        <f>Q393+Q394</f>
        <v>0</v>
      </c>
      <c r="R392" s="540">
        <f>R393+R394</f>
        <v>0</v>
      </c>
      <c r="S392" s="540">
        <f>S393+S394</f>
        <v>0</v>
      </c>
      <c r="T392" s="540">
        <f>IF(Q392&gt;0,S392*100/Q392,0)</f>
        <v>0</v>
      </c>
      <c r="U392" s="540">
        <f>IF(R392&gt;0,S392*100/R392,0)</f>
        <v>0</v>
      </c>
    </row>
    <row r="393" spans="1:21" ht="18.75" hidden="1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103">
        <f>L396+L399</f>
        <v>0</v>
      </c>
      <c r="M393" s="102">
        <f>M396+M399</f>
        <v>0</v>
      </c>
      <c r="N393" s="102">
        <f>N396+N399</f>
        <v>0</v>
      </c>
      <c r="O393" s="102">
        <f>IF(L393&gt;0,N393*100/L393,0)</f>
        <v>0</v>
      </c>
      <c r="P393" s="102">
        <f>IF(M393&gt;0,N393*100/M393,0)</f>
        <v>0</v>
      </c>
      <c r="Q393" s="102">
        <f>Q396+Q399</f>
        <v>0</v>
      </c>
      <c r="R393" s="102">
        <f>R396+R399</f>
        <v>0</v>
      </c>
      <c r="S393" s="102">
        <f>S396+S399</f>
        <v>0</v>
      </c>
      <c r="T393" s="102">
        <f>IF(Q393&gt;0,S393*100/Q393,0)</f>
        <v>0</v>
      </c>
      <c r="U393" s="102">
        <f>IF(R393&gt;0,S393*100/R393,0)</f>
        <v>0</v>
      </c>
    </row>
    <row r="394" spans="1:21" ht="18.75" hidden="1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256">
        <f>L397+L400</f>
        <v>0</v>
      </c>
      <c r="M394" s="255">
        <f>M397+M400</f>
        <v>0</v>
      </c>
      <c r="N394" s="255">
        <f>N397+N400</f>
        <v>0</v>
      </c>
      <c r="O394" s="255">
        <f>IF(L394&gt;0,N394*100/L394,0)</f>
        <v>0</v>
      </c>
      <c r="P394" s="255">
        <f>IF(M394&gt;0,N394*100/M394,0)</f>
        <v>0</v>
      </c>
      <c r="Q394" s="255">
        <f>Q397+Q400</f>
        <v>0</v>
      </c>
      <c r="R394" s="255">
        <f>R397+R400</f>
        <v>0</v>
      </c>
      <c r="S394" s="255">
        <f>S397+S400</f>
        <v>0</v>
      </c>
      <c r="T394" s="255">
        <f>IF(Q394&gt;0,S394*100/Q394,0)</f>
        <v>0</v>
      </c>
      <c r="U394" s="255">
        <f>IF(R394&gt;0,S394*100/R394,0)</f>
        <v>0</v>
      </c>
    </row>
    <row r="395" spans="1:21" ht="18.75" hidden="1">
      <c r="A395" s="155"/>
      <c r="B395" s="188"/>
      <c r="C395" s="188"/>
      <c r="D395" s="602" t="s">
        <v>22</v>
      </c>
      <c r="E395" s="50"/>
      <c r="F395" s="50"/>
      <c r="G395" s="52"/>
      <c r="H395" s="162" t="s">
        <v>14</v>
      </c>
      <c r="I395" s="163"/>
      <c r="J395" s="163"/>
      <c r="K395" s="164"/>
      <c r="L395" s="256">
        <f>L396+L397</f>
        <v>0</v>
      </c>
      <c r="M395" s="255">
        <f>M396+M397</f>
        <v>0</v>
      </c>
      <c r="N395" s="255">
        <f>N396+N397</f>
        <v>0</v>
      </c>
      <c r="O395" s="255">
        <f>IF(L395&gt;0,N395*100/L395,0)</f>
        <v>0</v>
      </c>
      <c r="P395" s="255">
        <f>IF(M395&gt;0,N395*100/M395,0)</f>
        <v>0</v>
      </c>
      <c r="Q395" s="255">
        <f>Q396+Q397</f>
        <v>0</v>
      </c>
      <c r="R395" s="255">
        <f>R396+R397</f>
        <v>0</v>
      </c>
      <c r="S395" s="255">
        <f>S396+S397</f>
        <v>0</v>
      </c>
      <c r="T395" s="255">
        <f>IF(Q395&gt;0,S395*100/Q395,0)</f>
        <v>0</v>
      </c>
      <c r="U395" s="255">
        <f>IF(R395&gt;0,S395*100/R395,0)</f>
        <v>0</v>
      </c>
    </row>
    <row r="396" spans="1:21" ht="18.75" hidden="1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103">
        <v>0</v>
      </c>
      <c r="M396" s="102">
        <v>0</v>
      </c>
      <c r="N396" s="102">
        <v>0</v>
      </c>
      <c r="O396" s="102">
        <f>IF(L396&gt;0,N396*100/L396,0)</f>
        <v>0</v>
      </c>
      <c r="P396" s="102">
        <f>IF(M396&gt;0,N396*100/M396,0)</f>
        <v>0</v>
      </c>
      <c r="Q396" s="102">
        <v>0</v>
      </c>
      <c r="R396" s="102">
        <v>0</v>
      </c>
      <c r="S396" s="102">
        <v>0</v>
      </c>
      <c r="T396" s="102">
        <f>IF(Q396&gt;0,S396*100/Q396,0)</f>
        <v>0</v>
      </c>
      <c r="U396" s="102">
        <f>IF(R396&gt;0,S396*100/R396,0)</f>
        <v>0</v>
      </c>
    </row>
    <row r="397" spans="1:21" ht="18.75" hidden="1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256">
        <v>0</v>
      </c>
      <c r="M397" s="255">
        <v>0</v>
      </c>
      <c r="N397" s="255">
        <v>0</v>
      </c>
      <c r="O397" s="255">
        <f>IF(L397&gt;0,N397*100/L397,0)</f>
        <v>0</v>
      </c>
      <c r="P397" s="255">
        <f>IF(M397&gt;0,N397*100/M397,0)</f>
        <v>0</v>
      </c>
      <c r="Q397" s="255">
        <v>0</v>
      </c>
      <c r="R397" s="255">
        <v>0</v>
      </c>
      <c r="S397" s="255">
        <v>0</v>
      </c>
      <c r="T397" s="255">
        <f>IF(Q397&gt;0,S397*100/Q397,0)</f>
        <v>0</v>
      </c>
      <c r="U397" s="255">
        <f>IF(R397&gt;0,S397*100/R397,0)</f>
        <v>0</v>
      </c>
    </row>
    <row r="398" spans="1:21" ht="18.75" hidden="1">
      <c r="A398" s="155"/>
      <c r="B398" s="188"/>
      <c r="C398" s="188"/>
      <c r="D398" s="602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256">
        <f>L399+L400</f>
        <v>0</v>
      </c>
      <c r="M398" s="255">
        <f>M399+M400</f>
        <v>0</v>
      </c>
      <c r="N398" s="255">
        <f>N399+N400</f>
        <v>0</v>
      </c>
      <c r="O398" s="255">
        <f>IF(L398&gt;0,N398*100/L398,0)</f>
        <v>0</v>
      </c>
      <c r="P398" s="255">
        <f>IF(M398&gt;0,N398*100/M398,0)</f>
        <v>0</v>
      </c>
      <c r="Q398" s="255">
        <f>Q399+Q400</f>
        <v>0</v>
      </c>
      <c r="R398" s="255">
        <f>R399+R400</f>
        <v>0</v>
      </c>
      <c r="S398" s="255">
        <f>S399+S400</f>
        <v>0</v>
      </c>
      <c r="T398" s="255">
        <f>IF(Q398&gt;0,S398*100/Q398,0)</f>
        <v>0</v>
      </c>
      <c r="U398" s="255">
        <f>IF(R398&gt;0,S398*100/R398,0)</f>
        <v>0</v>
      </c>
    </row>
    <row r="399" spans="1:21" ht="18.75" hidden="1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103">
        <v>0</v>
      </c>
      <c r="M399" s="102">
        <v>0</v>
      </c>
      <c r="N399" s="102">
        <v>0</v>
      </c>
      <c r="O399" s="102">
        <f>IF(L399&gt;0,N399*100/L399,0)</f>
        <v>0</v>
      </c>
      <c r="P399" s="102">
        <f>IF(M399&gt;0,N399*100/M399,0)</f>
        <v>0</v>
      </c>
      <c r="Q399" s="102">
        <v>0</v>
      </c>
      <c r="R399" s="102">
        <v>0</v>
      </c>
      <c r="S399" s="102">
        <v>0</v>
      </c>
      <c r="T399" s="102">
        <f>IF(Q399&gt;0,S399*100/Q399,0)</f>
        <v>0</v>
      </c>
      <c r="U399" s="102">
        <f>IF(R399&gt;0,S399*100/R399,0)</f>
        <v>0</v>
      </c>
    </row>
    <row r="400" spans="1:21" ht="18.75" hidden="1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256">
        <v>0</v>
      </c>
      <c r="M400" s="255">
        <v>0</v>
      </c>
      <c r="N400" s="255">
        <v>0</v>
      </c>
      <c r="O400" s="255">
        <f>IF(L400&gt;0,N400*100/L400,0)</f>
        <v>0</v>
      </c>
      <c r="P400" s="255">
        <f>IF(M400&gt;0,N400*100/M400,0)</f>
        <v>0</v>
      </c>
      <c r="Q400" s="255">
        <v>0</v>
      </c>
      <c r="R400" s="255">
        <v>0</v>
      </c>
      <c r="S400" s="255">
        <v>0</v>
      </c>
      <c r="T400" s="255">
        <f>IF(Q400&gt;0,S400*100/Q400,0)</f>
        <v>0</v>
      </c>
      <c r="U400" s="255">
        <f>IF(R400&gt;0,S400*100/R400,0)</f>
        <v>0</v>
      </c>
    </row>
    <row r="401" spans="1:21" ht="19.5" hidden="1">
      <c r="A401" s="166"/>
      <c r="B401" s="167"/>
      <c r="C401" s="191" t="s">
        <v>18</v>
      </c>
      <c r="D401" s="560" t="s">
        <v>38</v>
      </c>
      <c r="E401" s="169"/>
      <c r="F401" s="169"/>
      <c r="G401" s="170"/>
      <c r="H401" s="206"/>
      <c r="I401" s="163"/>
      <c r="J401" s="54"/>
      <c r="K401" s="55"/>
      <c r="L401" s="62"/>
      <c r="M401" s="55"/>
      <c r="N401" s="55"/>
      <c r="O401" s="164"/>
      <c r="P401" s="164"/>
      <c r="Q401" s="55"/>
      <c r="R401" s="55"/>
      <c r="S401" s="55"/>
      <c r="T401" s="164"/>
      <c r="U401" s="164"/>
    </row>
    <row r="402" spans="1:21" ht="12.75" hidden="1">
      <c r="A402" s="258"/>
      <c r="B402" s="259"/>
      <c r="C402" s="259"/>
      <c r="D402" s="259"/>
      <c r="E402" s="260"/>
      <c r="F402" s="260"/>
      <c r="G402" s="261"/>
      <c r="H402" s="262"/>
      <c r="I402" s="263"/>
      <c r="J402" s="263"/>
      <c r="K402" s="264"/>
      <c r="L402" s="265"/>
      <c r="M402" s="264"/>
      <c r="N402" s="264"/>
      <c r="O402" s="264"/>
      <c r="P402" s="264"/>
      <c r="Q402" s="264"/>
      <c r="R402" s="264"/>
      <c r="S402" s="264"/>
      <c r="T402" s="264"/>
      <c r="U402" s="264"/>
    </row>
    <row r="403" spans="1:21" ht="12.75" hidden="1">
      <c r="A403" s="259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5"/>
      <c r="M403" s="264"/>
      <c r="N403" s="264"/>
      <c r="O403" s="264"/>
      <c r="P403" s="264"/>
      <c r="Q403" s="264"/>
      <c r="R403" s="264"/>
      <c r="S403" s="264"/>
      <c r="T403" s="264"/>
      <c r="U403" s="264"/>
    </row>
    <row r="404" spans="1:21" ht="12.75" hidden="1">
      <c r="A404" s="259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5"/>
      <c r="M404" s="264"/>
      <c r="N404" s="264"/>
      <c r="O404" s="264"/>
      <c r="P404" s="264"/>
      <c r="Q404" s="264"/>
      <c r="R404" s="264"/>
      <c r="S404" s="264"/>
      <c r="T404" s="264"/>
      <c r="U404" s="264"/>
    </row>
    <row r="405" spans="1:21" ht="12.75" hidden="1">
      <c r="A405" s="259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5"/>
      <c r="M405" s="264"/>
      <c r="N405" s="264"/>
      <c r="O405" s="264"/>
      <c r="P405" s="264"/>
      <c r="Q405" s="264"/>
      <c r="R405" s="264"/>
      <c r="S405" s="264"/>
      <c r="T405" s="264"/>
      <c r="U405" s="264"/>
    </row>
    <row r="406" spans="1:21" ht="12.75" hidden="1">
      <c r="A406" s="259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5"/>
      <c r="M406" s="264"/>
      <c r="N406" s="264"/>
      <c r="O406" s="264"/>
      <c r="P406" s="264"/>
      <c r="Q406" s="264"/>
      <c r="R406" s="264"/>
      <c r="S406" s="264"/>
      <c r="T406" s="264"/>
      <c r="U406" s="264"/>
    </row>
    <row r="407" spans="1:21" ht="12.75" hidden="1">
      <c r="A407" s="259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5"/>
      <c r="M407" s="264"/>
      <c r="N407" s="264"/>
      <c r="O407" s="264"/>
      <c r="P407" s="264"/>
      <c r="Q407" s="264"/>
      <c r="R407" s="264"/>
      <c r="S407" s="264"/>
      <c r="T407" s="264"/>
      <c r="U407" s="264"/>
    </row>
    <row r="408" spans="1:21" ht="12.75" hidden="1">
      <c r="A408" s="259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5"/>
      <c r="M408" s="264"/>
      <c r="N408" s="264"/>
      <c r="O408" s="264"/>
      <c r="P408" s="264"/>
      <c r="Q408" s="264"/>
      <c r="R408" s="264"/>
      <c r="S408" s="264"/>
      <c r="T408" s="264"/>
      <c r="U408" s="264"/>
    </row>
    <row r="409" spans="1:21" ht="12.75" hidden="1">
      <c r="A409" s="259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5"/>
      <c r="M409" s="264"/>
      <c r="N409" s="264"/>
      <c r="O409" s="264"/>
      <c r="P409" s="264"/>
      <c r="Q409" s="264"/>
      <c r="R409" s="264"/>
      <c r="S409" s="264"/>
      <c r="T409" s="264"/>
      <c r="U409" s="264"/>
    </row>
    <row r="410" spans="1:21" ht="12.75" hidden="1">
      <c r="A410" s="259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5"/>
      <c r="M410" s="264"/>
      <c r="N410" s="264"/>
      <c r="O410" s="264"/>
      <c r="P410" s="264"/>
      <c r="Q410" s="264"/>
      <c r="R410" s="264"/>
      <c r="S410" s="264"/>
      <c r="T410" s="264"/>
      <c r="U410" s="264"/>
    </row>
    <row r="411" spans="1:21" ht="12.75" hidden="1">
      <c r="A411" s="360"/>
      <c r="B411" s="360"/>
      <c r="C411" s="360"/>
      <c r="D411" s="360"/>
      <c r="E411" s="360"/>
      <c r="F411" s="360"/>
      <c r="G411" s="361"/>
      <c r="H411" s="361"/>
      <c r="I411" s="362"/>
      <c r="J411" s="362"/>
      <c r="K411" s="363"/>
      <c r="L411" s="364"/>
      <c r="M411" s="363"/>
      <c r="N411" s="363"/>
      <c r="O411" s="363"/>
      <c r="P411" s="363"/>
      <c r="Q411" s="363"/>
      <c r="R411" s="363"/>
      <c r="S411" s="363"/>
      <c r="T411" s="363"/>
      <c r="U411" s="363"/>
    </row>
    <row r="412" spans="1:21" ht="19.5" hidden="1">
      <c r="A412" s="337"/>
      <c r="B412" s="354" t="s">
        <v>158</v>
      </c>
      <c r="C412" s="337"/>
      <c r="D412" s="337"/>
      <c r="E412" s="337"/>
      <c r="F412" s="337"/>
      <c r="G412" s="365"/>
      <c r="H412" s="366" t="s">
        <v>46</v>
      </c>
      <c r="I412" s="605">
        <f ca="1">I423</f>
        <v>0</v>
      </c>
      <c r="J412" s="605">
        <f>J423</f>
        <v>0</v>
      </c>
      <c r="K412" s="604">
        <f ca="1">IF(I412&gt;0,J412*100/I412,0)</f>
        <v>0</v>
      </c>
      <c r="L412" s="334"/>
      <c r="M412" s="333"/>
      <c r="N412" s="333"/>
      <c r="O412" s="333"/>
      <c r="P412" s="333"/>
      <c r="Q412" s="333"/>
      <c r="R412" s="333"/>
      <c r="S412" s="333"/>
      <c r="T412" s="333"/>
      <c r="U412" s="333"/>
    </row>
    <row r="413" spans="1:21" ht="19.5" hidden="1">
      <c r="A413" s="155"/>
      <c r="B413" s="188"/>
      <c r="C413" s="367" t="s">
        <v>18</v>
      </c>
      <c r="D413" s="603" t="s">
        <v>19</v>
      </c>
      <c r="E413" s="514"/>
      <c r="F413" s="514"/>
      <c r="G413" s="512"/>
      <c r="H413" s="368" t="s">
        <v>14</v>
      </c>
      <c r="I413" s="54"/>
      <c r="J413" s="54"/>
      <c r="K413" s="55"/>
      <c r="L413" s="541">
        <f>L414+L415</f>
        <v>0</v>
      </c>
      <c r="M413" s="540">
        <f>M414+M415</f>
        <v>0</v>
      </c>
      <c r="N413" s="540">
        <f>N414+N415</f>
        <v>0</v>
      </c>
      <c r="O413" s="540">
        <f>IF(L413&gt;0,N413*100/L413,0)</f>
        <v>0</v>
      </c>
      <c r="P413" s="540">
        <f>IF(M413&gt;0,N413*100/M413,0)</f>
        <v>0</v>
      </c>
      <c r="Q413" s="540">
        <f ca="1">Q414+Q415</f>
        <v>0</v>
      </c>
      <c r="R413" s="540">
        <f ca="1">R414+R415</f>
        <v>0</v>
      </c>
      <c r="S413" s="540">
        <f ca="1">S414+S415</f>
        <v>0</v>
      </c>
      <c r="T413" s="540">
        <f ca="1">IF(Q413&gt;0,S413*100/Q413,0)</f>
        <v>0</v>
      </c>
      <c r="U413" s="540">
        <f ca="1">IF(R413&gt;0,S413*100/R413,0)</f>
        <v>0</v>
      </c>
    </row>
    <row r="414" spans="1:21" ht="18.75" hidden="1">
      <c r="A414" s="155"/>
      <c r="B414" s="188"/>
      <c r="C414" s="188"/>
      <c r="D414" s="188"/>
      <c r="E414" s="358" t="s">
        <v>159</v>
      </c>
      <c r="F414" s="188"/>
      <c r="G414" s="208"/>
      <c r="H414" s="204" t="s">
        <v>14</v>
      </c>
      <c r="I414" s="54"/>
      <c r="J414" s="54"/>
      <c r="K414" s="55"/>
      <c r="L414" s="103">
        <f>L417+L420</f>
        <v>0</v>
      </c>
      <c r="M414" s="102">
        <f>M417+M420</f>
        <v>0</v>
      </c>
      <c r="N414" s="102">
        <f>N417+N420</f>
        <v>0</v>
      </c>
      <c r="O414" s="102">
        <f>IF(L414&gt;0,N414*100/L414,0)</f>
        <v>0</v>
      </c>
      <c r="P414" s="102">
        <f>IF(M414&gt;0,N414*100/M414,0)</f>
        <v>0</v>
      </c>
      <c r="Q414" s="102">
        <f>Q417+Q420</f>
        <v>0</v>
      </c>
      <c r="R414" s="102">
        <f>R417+R420</f>
        <v>0</v>
      </c>
      <c r="S414" s="102">
        <f>S417+S420</f>
        <v>0</v>
      </c>
      <c r="T414" s="102">
        <f>IF(Q414&gt;0,S414*100/Q414,0)</f>
        <v>0</v>
      </c>
      <c r="U414" s="102">
        <f>IF(R414&gt;0,S414*100/R414,0)</f>
        <v>0</v>
      </c>
    </row>
    <row r="415" spans="1:21" ht="18.75" hidden="1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256">
        <f>L418+L421</f>
        <v>0</v>
      </c>
      <c r="M415" s="255">
        <f>M418+M421</f>
        <v>0</v>
      </c>
      <c r="N415" s="255">
        <f>N418+N421</f>
        <v>0</v>
      </c>
      <c r="O415" s="255">
        <f>IF(L415&gt;0,N415*100/L415,0)</f>
        <v>0</v>
      </c>
      <c r="P415" s="255">
        <f>IF(M415&gt;0,N415*100/M415,0)</f>
        <v>0</v>
      </c>
      <c r="Q415" s="255">
        <f ca="1">Q418+Q421</f>
        <v>0</v>
      </c>
      <c r="R415" s="255">
        <f ca="1">R418+R421</f>
        <v>0</v>
      </c>
      <c r="S415" s="255">
        <f ca="1">S418+S421</f>
        <v>0</v>
      </c>
      <c r="T415" s="255">
        <f ca="1">IF(Q415&gt;0,S415*100/Q415,0)</f>
        <v>0</v>
      </c>
      <c r="U415" s="255">
        <f ca="1">IF(R415&gt;0,S415*100/R415,0)</f>
        <v>0</v>
      </c>
    </row>
    <row r="416" spans="1:21" ht="19.5" hidden="1">
      <c r="A416" s="155"/>
      <c r="B416" s="188"/>
      <c r="C416" s="188"/>
      <c r="D416" s="608" t="s">
        <v>22</v>
      </c>
      <c r="E416" s="188"/>
      <c r="F416" s="188"/>
      <c r="G416" s="208"/>
      <c r="H416" s="368" t="s">
        <v>14</v>
      </c>
      <c r="I416" s="54"/>
      <c r="J416" s="54"/>
      <c r="K416" s="55"/>
      <c r="L416" s="256">
        <f>L417+L418</f>
        <v>0</v>
      </c>
      <c r="M416" s="255">
        <f>M417+M418</f>
        <v>0</v>
      </c>
      <c r="N416" s="255">
        <f>N417+N418</f>
        <v>0</v>
      </c>
      <c r="O416" s="255">
        <f>IF(L416&gt;0,N416*100/L416,0)</f>
        <v>0</v>
      </c>
      <c r="P416" s="255">
        <f>IF(M416&gt;0,N416*100/M416,0)</f>
        <v>0</v>
      </c>
      <c r="Q416" s="255">
        <f ca="1">Q417+Q418</f>
        <v>0</v>
      </c>
      <c r="R416" s="255">
        <f ca="1">R417+R418</f>
        <v>0</v>
      </c>
      <c r="S416" s="255">
        <f ca="1">S417+S418</f>
        <v>0</v>
      </c>
      <c r="T416" s="255">
        <f ca="1">IF(Q416&gt;0,S416*100/Q416,0)</f>
        <v>0</v>
      </c>
      <c r="U416" s="255">
        <f ca="1">IF(R416&gt;0,S416*100/R416,0)</f>
        <v>0</v>
      </c>
    </row>
    <row r="417" spans="1:21" ht="18.75" hidden="1">
      <c r="A417" s="155"/>
      <c r="B417" s="188"/>
      <c r="C417" s="188"/>
      <c r="D417" s="188"/>
      <c r="E417" s="358" t="s">
        <v>159</v>
      </c>
      <c r="F417" s="188"/>
      <c r="G417" s="208"/>
      <c r="H417" s="204" t="s">
        <v>14</v>
      </c>
      <c r="I417" s="54"/>
      <c r="J417" s="54"/>
      <c r="K417" s="55"/>
      <c r="L417" s="103">
        <v>0</v>
      </c>
      <c r="M417" s="102">
        <v>0</v>
      </c>
      <c r="N417" s="102">
        <v>0</v>
      </c>
      <c r="O417" s="102">
        <f>IF(L417&gt;0,N417*100/L417,0)</f>
        <v>0</v>
      </c>
      <c r="P417" s="102">
        <f>IF(M417&gt;0,N417*100/M417,0)</f>
        <v>0</v>
      </c>
      <c r="Q417" s="102">
        <v>0</v>
      </c>
      <c r="R417" s="102">
        <v>0</v>
      </c>
      <c r="S417" s="102">
        <v>0</v>
      </c>
      <c r="T417" s="102">
        <f>IF(Q417&gt;0,S417*100/Q417,0)</f>
        <v>0</v>
      </c>
      <c r="U417" s="102">
        <f>IF(R417&gt;0,S417*100/R417,0)</f>
        <v>0</v>
      </c>
    </row>
    <row r="418" spans="1:21" ht="18.75" hidden="1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256">
        <v>0</v>
      </c>
      <c r="M418" s="255">
        <v>0</v>
      </c>
      <c r="N418" s="255">
        <v>0</v>
      </c>
      <c r="O418" s="255">
        <f>IF(L418&gt;0,N418*100/L418,0)</f>
        <v>0</v>
      </c>
      <c r="P418" s="255">
        <f>IF(M418&gt;0,N418*100/M418,0)</f>
        <v>0</v>
      </c>
      <c r="Q418" s="255">
        <f ca="1">IFERROR(__xludf.DUMMYFUNCTION("IMPORTRANGE(""https://docs.google.com/spreadsheets/d/1ItG2mGa2ceCfYo0BwxsXqNm01IGEUdYcSSLTEv9YCik/edit?usp=sharing"",""เบิกจ่ายกองทุน!BH38"")"),0)</f>
        <v>0</v>
      </c>
      <c r="R418" s="255">
        <f ca="1">IFERROR(__xludf.DUMMYFUNCTION("IMPORTRANGE(""https://docs.google.com/spreadsheets/d/1ItG2mGa2ceCfYo0BwxsXqNm01IGEUdYcSSLTEv9YCik/edit?usp=sharing"",""เบิกจ่ายกองทุน!BI38"")"),0)</f>
        <v>0</v>
      </c>
      <c r="S418" s="255">
        <f ca="1">IFERROR(__xludf.DUMMYFUNCTION("IMPORTRANGE(""https://docs.google.com/spreadsheets/d/1ItG2mGa2ceCfYo0BwxsXqNm01IGEUdYcSSLTEv9YCik/edit?usp=sharing"",""เบิกจ่ายกองทุน!BJ38"")"),0)</f>
        <v>0</v>
      </c>
      <c r="T418" s="255">
        <f ca="1">IF(Q418&gt;0,S418*100/Q418,0)</f>
        <v>0</v>
      </c>
      <c r="U418" s="255">
        <f ca="1">IF(R418&gt;0,S418*100/R418,0)</f>
        <v>0</v>
      </c>
    </row>
    <row r="419" spans="1:21" ht="19.5" hidden="1">
      <c r="A419" s="155"/>
      <c r="B419" s="188"/>
      <c r="C419" s="188"/>
      <c r="D419" s="608" t="s">
        <v>23</v>
      </c>
      <c r="E419" s="188"/>
      <c r="F419" s="188"/>
      <c r="G419" s="208"/>
      <c r="H419" s="158" t="s">
        <v>14</v>
      </c>
      <c r="I419" s="54"/>
      <c r="J419" s="54"/>
      <c r="K419" s="55"/>
      <c r="L419" s="256">
        <f>L420+L421</f>
        <v>0</v>
      </c>
      <c r="M419" s="255">
        <f>M420+M421</f>
        <v>0</v>
      </c>
      <c r="N419" s="255">
        <f>N420+N421</f>
        <v>0</v>
      </c>
      <c r="O419" s="255">
        <f>IF(L419&gt;0,N419*100/L419,0)</f>
        <v>0</v>
      </c>
      <c r="P419" s="255">
        <f>IF(M419&gt;0,N419*100/M419,0)</f>
        <v>0</v>
      </c>
      <c r="Q419" s="255">
        <f>Q420+Q421</f>
        <v>0</v>
      </c>
      <c r="R419" s="255">
        <f>R420+R421</f>
        <v>0</v>
      </c>
      <c r="S419" s="255">
        <f>S420+S421</f>
        <v>0</v>
      </c>
      <c r="T419" s="255">
        <f>IF(Q419&gt;0,S419*100/Q419,0)</f>
        <v>0</v>
      </c>
      <c r="U419" s="255">
        <f>IF(R419&gt;0,S419*100/R419,0)</f>
        <v>0</v>
      </c>
    </row>
    <row r="420" spans="1:21" ht="18.75" hidden="1">
      <c r="A420" s="155"/>
      <c r="B420" s="188"/>
      <c r="C420" s="188"/>
      <c r="D420" s="188"/>
      <c r="E420" s="358" t="s">
        <v>20</v>
      </c>
      <c r="F420" s="188"/>
      <c r="G420" s="208"/>
      <c r="H420" s="204" t="s">
        <v>14</v>
      </c>
      <c r="I420" s="54"/>
      <c r="J420" s="54"/>
      <c r="K420" s="55"/>
      <c r="L420" s="103">
        <v>0</v>
      </c>
      <c r="M420" s="102">
        <v>0</v>
      </c>
      <c r="N420" s="102">
        <v>0</v>
      </c>
      <c r="O420" s="102">
        <f>IF(L420&gt;0,N420*100/L420,0)</f>
        <v>0</v>
      </c>
      <c r="P420" s="102">
        <f>IF(M420&gt;0,N420*100/M420,0)</f>
        <v>0</v>
      </c>
      <c r="Q420" s="102">
        <v>0</v>
      </c>
      <c r="R420" s="102">
        <v>0</v>
      </c>
      <c r="S420" s="102">
        <v>0</v>
      </c>
      <c r="T420" s="102">
        <f>IF(Q420&gt;0,S420*100/Q420,0)</f>
        <v>0</v>
      </c>
      <c r="U420" s="102">
        <f>IF(R420&gt;0,S420*100/R420,0)</f>
        <v>0</v>
      </c>
    </row>
    <row r="421" spans="1:21" ht="18.75" hidden="1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256">
        <v>0</v>
      </c>
      <c r="M421" s="255">
        <v>0</v>
      </c>
      <c r="N421" s="255">
        <v>0</v>
      </c>
      <c r="O421" s="255">
        <f>IF(L421&gt;0,N421*100/L421,0)</f>
        <v>0</v>
      </c>
      <c r="P421" s="255">
        <f>IF(M421&gt;0,N421*100/M421,0)</f>
        <v>0</v>
      </c>
      <c r="Q421" s="255">
        <v>0</v>
      </c>
      <c r="R421" s="255">
        <v>0</v>
      </c>
      <c r="S421" s="255">
        <v>0</v>
      </c>
      <c r="T421" s="255">
        <f>IF(Q421&gt;0,S421*100/Q421,0)</f>
        <v>0</v>
      </c>
      <c r="U421" s="255">
        <f>IF(R421&gt;0,S421*100/R421,0)</f>
        <v>0</v>
      </c>
    </row>
    <row r="422" spans="1:21" ht="19.5" hidden="1">
      <c r="A422" s="238"/>
      <c r="B422" s="188"/>
      <c r="C422" s="367" t="s">
        <v>18</v>
      </c>
      <c r="D422" s="607" t="s">
        <v>38</v>
      </c>
      <c r="E422" s="188"/>
      <c r="F422" s="188"/>
      <c r="G422" s="208"/>
      <c r="H422" s="208"/>
      <c r="I422" s="54"/>
      <c r="J422" s="54"/>
      <c r="K422" s="55"/>
      <c r="L422" s="62"/>
      <c r="M422" s="55"/>
      <c r="N422" s="55"/>
      <c r="O422" s="55"/>
      <c r="P422" s="55"/>
      <c r="Q422" s="55"/>
      <c r="R422" s="55"/>
      <c r="S422" s="55"/>
      <c r="T422" s="55"/>
      <c r="U422" s="55"/>
    </row>
    <row r="423" spans="1:21" ht="19.5" hidden="1">
      <c r="A423" s="238"/>
      <c r="B423" s="191" t="s">
        <v>161</v>
      </c>
      <c r="C423" s="188"/>
      <c r="D423" s="188"/>
      <c r="E423" s="188"/>
      <c r="F423" s="188"/>
      <c r="G423" s="208"/>
      <c r="H423" s="368" t="s">
        <v>46</v>
      </c>
      <c r="I423" s="373">
        <f ca="1">I440</f>
        <v>0</v>
      </c>
      <c r="J423" s="373">
        <f>J440</f>
        <v>0</v>
      </c>
      <c r="K423" s="540">
        <f ca="1">IF(I423&gt;0,J423*100/I423,0)</f>
        <v>0</v>
      </c>
      <c r="L423" s="62"/>
      <c r="M423" s="55"/>
      <c r="N423" s="55"/>
      <c r="O423" s="55"/>
      <c r="P423" s="55"/>
      <c r="Q423" s="55"/>
      <c r="R423" s="55"/>
      <c r="S423" s="55"/>
      <c r="T423" s="55"/>
      <c r="U423" s="55"/>
    </row>
    <row r="424" spans="1:21" ht="19.5" hidden="1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373">
        <f ca="1">IFERROR(__xludf.DUMMYFUNCTION("IMPORTRANGE(""https://docs.google.com/spreadsheets/d/1eHaY18a8A9IcSdp1K8H6x8fbOy06t2VsZHhMHf-1x7Y/edit?usp=sharing"",""แผน!HJ38"")"),0)</f>
        <v>0</v>
      </c>
      <c r="J424" s="373">
        <f>J426+J428+J430</f>
        <v>0</v>
      </c>
      <c r="K424" s="540">
        <f ca="1">IF(I424&gt;0,J424*100/I424,0)</f>
        <v>0</v>
      </c>
      <c r="L424" s="62"/>
      <c r="M424" s="55"/>
      <c r="N424" s="55"/>
      <c r="O424" s="55"/>
      <c r="P424" s="55"/>
      <c r="Q424" s="55"/>
      <c r="R424" s="55"/>
      <c r="S424" s="55"/>
      <c r="T424" s="55"/>
      <c r="U424" s="55"/>
    </row>
    <row r="425" spans="1:21" ht="19.5" hidden="1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373">
        <f ca="1">IFERROR(__xludf.DUMMYFUNCTION("IMPORTRANGE(""https://docs.google.com/spreadsheets/d/1eHaY18a8A9IcSdp1K8H6x8fbOy06t2VsZHhMHf-1x7Y/edit?usp=sharing"",""แผน!HK38"")"),0)</f>
        <v>0</v>
      </c>
      <c r="J425" s="373">
        <f>J427+J429+J431</f>
        <v>0</v>
      </c>
      <c r="K425" s="540">
        <f ca="1">IF(I425&gt;0,J425*100/I425,0)</f>
        <v>0</v>
      </c>
      <c r="L425" s="62"/>
      <c r="M425" s="55"/>
      <c r="N425" s="55"/>
      <c r="O425" s="55"/>
      <c r="P425" s="55"/>
      <c r="Q425" s="55"/>
      <c r="R425" s="55"/>
      <c r="S425" s="55"/>
      <c r="T425" s="55"/>
      <c r="U425" s="55"/>
    </row>
    <row r="426" spans="1:21" ht="18.75" hidden="1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54"/>
      <c r="K426" s="55"/>
      <c r="L426" s="62"/>
      <c r="M426" s="55"/>
      <c r="N426" s="55"/>
      <c r="O426" s="55"/>
      <c r="P426" s="55"/>
      <c r="Q426" s="55"/>
      <c r="R426" s="55"/>
      <c r="S426" s="55"/>
      <c r="T426" s="55"/>
      <c r="U426" s="55"/>
    </row>
    <row r="427" spans="1:21" ht="18.75" hidden="1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54"/>
      <c r="K427" s="55"/>
      <c r="L427" s="62"/>
      <c r="M427" s="55"/>
      <c r="N427" s="55"/>
      <c r="O427" s="55"/>
      <c r="P427" s="55"/>
      <c r="Q427" s="55"/>
      <c r="R427" s="55"/>
      <c r="S427" s="55"/>
      <c r="T427" s="55"/>
      <c r="U427" s="55"/>
    </row>
    <row r="428" spans="1:21" ht="18.75" hidden="1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54"/>
      <c r="K428" s="55"/>
      <c r="L428" s="62"/>
      <c r="M428" s="55"/>
      <c r="N428" s="55"/>
      <c r="O428" s="55"/>
      <c r="P428" s="55"/>
      <c r="Q428" s="55"/>
      <c r="R428" s="55"/>
      <c r="S428" s="55"/>
      <c r="T428" s="55"/>
      <c r="U428" s="55"/>
    </row>
    <row r="429" spans="1:21" ht="18.75" hidden="1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54"/>
      <c r="K429" s="55"/>
      <c r="L429" s="62"/>
      <c r="M429" s="55"/>
      <c r="N429" s="55"/>
      <c r="O429" s="55"/>
      <c r="P429" s="55"/>
      <c r="Q429" s="55"/>
      <c r="R429" s="55"/>
      <c r="S429" s="55"/>
      <c r="T429" s="55"/>
      <c r="U429" s="55"/>
    </row>
    <row r="430" spans="1:21" ht="18.75" hidden="1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54"/>
      <c r="K430" s="55"/>
      <c r="L430" s="62"/>
      <c r="M430" s="55"/>
      <c r="N430" s="55"/>
      <c r="O430" s="55"/>
      <c r="P430" s="55"/>
      <c r="Q430" s="55"/>
      <c r="R430" s="55"/>
      <c r="S430" s="55"/>
      <c r="T430" s="55"/>
      <c r="U430" s="55"/>
    </row>
    <row r="431" spans="1:21" ht="18.75" hidden="1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54"/>
      <c r="K431" s="55"/>
      <c r="L431" s="62"/>
      <c r="M431" s="55"/>
      <c r="N431" s="55"/>
      <c r="O431" s="55"/>
      <c r="P431" s="55"/>
      <c r="Q431" s="55"/>
      <c r="R431" s="55"/>
      <c r="S431" s="55"/>
      <c r="T431" s="55"/>
      <c r="U431" s="55"/>
    </row>
    <row r="432" spans="1:21" ht="19.5" hidden="1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373">
        <f ca="1">IFERROR(__xludf.DUMMYFUNCTION("IMPORTRANGE(""https://docs.google.com/spreadsheets/d/1eHaY18a8A9IcSdp1K8H6x8fbOy06t2VsZHhMHf-1x7Y/edit?usp=sharing"",""แผน!HJ38"")"),0)</f>
        <v>0</v>
      </c>
      <c r="J432" s="373">
        <f>J434+J436+J438</f>
        <v>0</v>
      </c>
      <c r="K432" s="540">
        <f ca="1">IF(I432&gt;0,J432*100/I432,0)</f>
        <v>0</v>
      </c>
      <c r="L432" s="62"/>
      <c r="M432" s="55"/>
      <c r="N432" s="55"/>
      <c r="O432" s="55"/>
      <c r="P432" s="55"/>
      <c r="Q432" s="55"/>
      <c r="R432" s="55"/>
      <c r="S432" s="55"/>
      <c r="T432" s="55"/>
      <c r="U432" s="55"/>
    </row>
    <row r="433" spans="1:21" ht="19.5" hidden="1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373">
        <f ca="1">IFERROR(__xludf.DUMMYFUNCTION("IMPORTRANGE(""https://docs.google.com/spreadsheets/d/1eHaY18a8A9IcSdp1K8H6x8fbOy06t2VsZHhMHf-1x7Y/edit?usp=sharing"",""แผน!HK38"")"),0)</f>
        <v>0</v>
      </c>
      <c r="J433" s="373">
        <f>J435+J437+J439</f>
        <v>0</v>
      </c>
      <c r="K433" s="540">
        <f ca="1">IF(I433&gt;0,J433*100/I433,0)</f>
        <v>0</v>
      </c>
      <c r="L433" s="62"/>
      <c r="M433" s="55"/>
      <c r="N433" s="55"/>
      <c r="O433" s="55"/>
      <c r="P433" s="55"/>
      <c r="Q433" s="55"/>
      <c r="R433" s="55"/>
      <c r="S433" s="55"/>
      <c r="T433" s="55"/>
      <c r="U433" s="55"/>
    </row>
    <row r="434" spans="1:21" ht="18.75" hidden="1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54"/>
      <c r="K434" s="55"/>
      <c r="L434" s="62"/>
      <c r="M434" s="55"/>
      <c r="N434" s="55"/>
      <c r="O434" s="55"/>
      <c r="P434" s="55"/>
      <c r="Q434" s="55"/>
      <c r="R434" s="55"/>
      <c r="S434" s="55"/>
      <c r="T434" s="55"/>
      <c r="U434" s="55"/>
    </row>
    <row r="435" spans="1:21" ht="18.75" hidden="1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54"/>
      <c r="K435" s="55"/>
      <c r="L435" s="62"/>
      <c r="M435" s="55"/>
      <c r="N435" s="55"/>
      <c r="O435" s="55"/>
      <c r="P435" s="55"/>
      <c r="Q435" s="55"/>
      <c r="R435" s="55"/>
      <c r="S435" s="55"/>
      <c r="T435" s="55"/>
      <c r="U435" s="55"/>
    </row>
    <row r="436" spans="1:21" ht="18.75" hidden="1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54"/>
      <c r="K436" s="55"/>
      <c r="L436" s="62"/>
      <c r="M436" s="55"/>
      <c r="N436" s="55"/>
      <c r="O436" s="55"/>
      <c r="P436" s="55"/>
      <c r="Q436" s="55"/>
      <c r="R436" s="55"/>
      <c r="S436" s="55"/>
      <c r="T436" s="55"/>
      <c r="U436" s="55"/>
    </row>
    <row r="437" spans="1:21" ht="18.75" hidden="1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54"/>
      <c r="K437" s="55"/>
      <c r="L437" s="62"/>
      <c r="M437" s="55"/>
      <c r="N437" s="55"/>
      <c r="O437" s="55"/>
      <c r="P437" s="55"/>
      <c r="Q437" s="55"/>
      <c r="R437" s="55"/>
      <c r="S437" s="55"/>
      <c r="T437" s="55"/>
      <c r="U437" s="55"/>
    </row>
    <row r="438" spans="1:21" ht="18.75" hidden="1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54"/>
      <c r="K438" s="55"/>
      <c r="L438" s="62"/>
      <c r="M438" s="55"/>
      <c r="N438" s="55"/>
      <c r="O438" s="55"/>
      <c r="P438" s="55"/>
      <c r="Q438" s="55"/>
      <c r="R438" s="55"/>
      <c r="S438" s="55"/>
      <c r="T438" s="55"/>
      <c r="U438" s="55"/>
    </row>
    <row r="439" spans="1:21" ht="18.75" hidden="1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54"/>
      <c r="K439" s="55"/>
      <c r="L439" s="62"/>
      <c r="M439" s="55"/>
      <c r="N439" s="55"/>
      <c r="O439" s="55"/>
      <c r="P439" s="55"/>
      <c r="Q439" s="55"/>
      <c r="R439" s="55"/>
      <c r="S439" s="55"/>
      <c r="T439" s="55"/>
      <c r="U439" s="55"/>
    </row>
    <row r="440" spans="1:21" ht="19.5" hidden="1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373">
        <f ca="1">IFERROR(__xludf.DUMMYFUNCTION("IMPORTRANGE(""https://docs.google.com/spreadsheets/d/1eHaY18a8A9IcSdp1K8H6x8fbOy06t2VsZHhMHf-1x7Y/edit?usp=sharing"",""แผน!HJ38"")"),0)</f>
        <v>0</v>
      </c>
      <c r="J440" s="373">
        <f>J442+J444+J446+J452+J454</f>
        <v>0</v>
      </c>
      <c r="K440" s="540">
        <f ca="1">IF(I440&gt;0,J440*100/I440,0)</f>
        <v>0</v>
      </c>
      <c r="L440" s="62"/>
      <c r="M440" s="55"/>
      <c r="N440" s="55"/>
      <c r="O440" s="55"/>
      <c r="P440" s="55"/>
      <c r="Q440" s="55"/>
      <c r="R440" s="55"/>
      <c r="S440" s="55"/>
      <c r="T440" s="55"/>
      <c r="U440" s="55"/>
    </row>
    <row r="441" spans="1:21" ht="19.5" hidden="1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373">
        <f ca="1">IFERROR(__xludf.DUMMYFUNCTION("IMPORTRANGE(""https://docs.google.com/spreadsheets/d/1eHaY18a8A9IcSdp1K8H6x8fbOy06t2VsZHhMHf-1x7Y/edit?usp=sharing"",""แผน!HK38"")"),0)</f>
        <v>0</v>
      </c>
      <c r="J441" s="373">
        <f>J443+J445+J447+J453+J455</f>
        <v>0</v>
      </c>
      <c r="K441" s="540">
        <f ca="1">IF(I441&gt;0,J441*100/I441,0)</f>
        <v>0</v>
      </c>
      <c r="L441" s="62"/>
      <c r="M441" s="55"/>
      <c r="N441" s="55"/>
      <c r="O441" s="55"/>
      <c r="P441" s="55"/>
      <c r="Q441" s="55"/>
      <c r="R441" s="55"/>
      <c r="S441" s="55"/>
      <c r="T441" s="55"/>
      <c r="U441" s="55"/>
    </row>
    <row r="442" spans="1:21" ht="18.75" hidden="1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54"/>
      <c r="K442" s="55"/>
      <c r="L442" s="62"/>
      <c r="M442" s="55"/>
      <c r="N442" s="55"/>
      <c r="O442" s="55"/>
      <c r="P442" s="55"/>
      <c r="Q442" s="55"/>
      <c r="R442" s="55"/>
      <c r="S442" s="55"/>
      <c r="T442" s="55"/>
      <c r="U442" s="55"/>
    </row>
    <row r="443" spans="1:21" ht="18.75" hidden="1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54"/>
      <c r="K443" s="55"/>
      <c r="L443" s="62"/>
      <c r="M443" s="55"/>
      <c r="N443" s="55"/>
      <c r="O443" s="55"/>
      <c r="P443" s="55"/>
      <c r="Q443" s="55"/>
      <c r="R443" s="55"/>
      <c r="S443" s="55"/>
      <c r="T443" s="55"/>
      <c r="U443" s="55"/>
    </row>
    <row r="444" spans="1:21" ht="18.75" hidden="1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54"/>
      <c r="K444" s="55"/>
      <c r="L444" s="62"/>
      <c r="M444" s="55"/>
      <c r="N444" s="55"/>
      <c r="O444" s="55"/>
      <c r="P444" s="55"/>
      <c r="Q444" s="55"/>
      <c r="R444" s="55"/>
      <c r="S444" s="55"/>
      <c r="T444" s="55"/>
      <c r="U444" s="55"/>
    </row>
    <row r="445" spans="1:21" ht="18.75" hidden="1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54"/>
      <c r="K445" s="55"/>
      <c r="L445" s="62"/>
      <c r="M445" s="55"/>
      <c r="N445" s="55"/>
      <c r="O445" s="55"/>
      <c r="P445" s="55"/>
      <c r="Q445" s="55"/>
      <c r="R445" s="55"/>
      <c r="S445" s="55"/>
      <c r="T445" s="55"/>
      <c r="U445" s="55"/>
    </row>
    <row r="446" spans="1:21" ht="19.5" hidden="1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373">
        <f>J448+J450</f>
        <v>0</v>
      </c>
      <c r="K446" s="55"/>
      <c r="L446" s="62"/>
      <c r="M446" s="55"/>
      <c r="N446" s="55"/>
      <c r="O446" s="55"/>
      <c r="P446" s="55"/>
      <c r="Q446" s="55"/>
      <c r="R446" s="55"/>
      <c r="S446" s="55"/>
      <c r="T446" s="55"/>
      <c r="U446" s="55"/>
    </row>
    <row r="447" spans="1:21" ht="19.5" hidden="1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373">
        <f>J449+J451</f>
        <v>0</v>
      </c>
      <c r="K447" s="55"/>
      <c r="L447" s="62"/>
      <c r="M447" s="55"/>
      <c r="N447" s="55"/>
      <c r="O447" s="55"/>
      <c r="P447" s="55"/>
      <c r="Q447" s="55"/>
      <c r="R447" s="55"/>
      <c r="S447" s="55"/>
      <c r="T447" s="55"/>
      <c r="U447" s="55"/>
    </row>
    <row r="448" spans="1:21" ht="18.75" hidden="1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54"/>
      <c r="K448" s="55"/>
      <c r="L448" s="62"/>
      <c r="M448" s="55"/>
      <c r="N448" s="55"/>
      <c r="O448" s="55"/>
      <c r="P448" s="55"/>
      <c r="Q448" s="55"/>
      <c r="R448" s="55"/>
      <c r="S448" s="55"/>
      <c r="T448" s="55"/>
      <c r="U448" s="55"/>
    </row>
    <row r="449" spans="1:21" ht="18.75" hidden="1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54"/>
      <c r="K449" s="55"/>
      <c r="L449" s="62"/>
      <c r="M449" s="55"/>
      <c r="N449" s="55"/>
      <c r="O449" s="55"/>
      <c r="P449" s="55"/>
      <c r="Q449" s="55"/>
      <c r="R449" s="55"/>
      <c r="S449" s="55"/>
      <c r="T449" s="55"/>
      <c r="U449" s="55"/>
    </row>
    <row r="450" spans="1:21" ht="18.75" hidden="1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54"/>
      <c r="K450" s="55"/>
      <c r="L450" s="62"/>
      <c r="M450" s="55"/>
      <c r="N450" s="55"/>
      <c r="O450" s="55"/>
      <c r="P450" s="55"/>
      <c r="Q450" s="55"/>
      <c r="R450" s="55"/>
      <c r="S450" s="55"/>
      <c r="T450" s="55"/>
      <c r="U450" s="55"/>
    </row>
    <row r="451" spans="1:21" ht="18.75" hidden="1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54"/>
      <c r="K451" s="55"/>
      <c r="L451" s="62"/>
      <c r="M451" s="55"/>
      <c r="N451" s="55"/>
      <c r="O451" s="55"/>
      <c r="P451" s="55"/>
      <c r="Q451" s="55"/>
      <c r="R451" s="55"/>
      <c r="S451" s="55"/>
      <c r="T451" s="55"/>
      <c r="U451" s="55"/>
    </row>
    <row r="452" spans="1:21" ht="18.75" hidden="1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54"/>
      <c r="K452" s="55"/>
      <c r="L452" s="62"/>
      <c r="M452" s="55"/>
      <c r="N452" s="55"/>
      <c r="O452" s="55"/>
      <c r="P452" s="55"/>
      <c r="Q452" s="55"/>
      <c r="R452" s="55"/>
      <c r="S452" s="55"/>
      <c r="T452" s="55"/>
      <c r="U452" s="55"/>
    </row>
    <row r="453" spans="1:21" ht="18.75" hidden="1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54"/>
      <c r="K453" s="55"/>
      <c r="L453" s="62"/>
      <c r="M453" s="55"/>
      <c r="N453" s="55"/>
      <c r="O453" s="55"/>
      <c r="P453" s="55"/>
      <c r="Q453" s="55"/>
      <c r="R453" s="55"/>
      <c r="S453" s="55"/>
      <c r="T453" s="55"/>
      <c r="U453" s="55"/>
    </row>
    <row r="454" spans="1:21" ht="18.75" hidden="1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606"/>
      <c r="K454" s="55"/>
      <c r="L454" s="62"/>
      <c r="M454" s="55"/>
      <c r="N454" s="55"/>
      <c r="O454" s="55"/>
      <c r="P454" s="55"/>
      <c r="Q454" s="55"/>
      <c r="R454" s="55"/>
      <c r="S454" s="55"/>
      <c r="T454" s="55"/>
      <c r="U454" s="55"/>
    </row>
    <row r="455" spans="1:21" ht="18.75" hidden="1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54"/>
      <c r="K455" s="55"/>
      <c r="L455" s="62"/>
      <c r="M455" s="55"/>
      <c r="N455" s="55"/>
      <c r="O455" s="55"/>
      <c r="P455" s="55"/>
      <c r="Q455" s="55"/>
      <c r="R455" s="55"/>
      <c r="S455" s="55"/>
      <c r="T455" s="55"/>
      <c r="U455" s="55"/>
    </row>
    <row r="456" spans="1:21" ht="19.5" hidden="1">
      <c r="A456" s="238"/>
      <c r="B456" s="191" t="s">
        <v>178</v>
      </c>
      <c r="C456" s="188"/>
      <c r="D456" s="188"/>
      <c r="E456" s="188"/>
      <c r="F456" s="188"/>
      <c r="G456" s="208"/>
      <c r="H456" s="368" t="s">
        <v>46</v>
      </c>
      <c r="I456" s="373">
        <f ca="1">I457</f>
        <v>0</v>
      </c>
      <c r="J456" s="373">
        <f>J457</f>
        <v>0</v>
      </c>
      <c r="K456" s="540">
        <f ca="1">IF(I456&gt;0,J456*100/I456,0)</f>
        <v>0</v>
      </c>
      <c r="L456" s="62"/>
      <c r="M456" s="55"/>
      <c r="N456" s="55"/>
      <c r="O456" s="55"/>
      <c r="P456" s="55"/>
      <c r="Q456" s="55"/>
      <c r="R456" s="55"/>
      <c r="S456" s="55"/>
      <c r="T456" s="55"/>
      <c r="U456" s="55"/>
    </row>
    <row r="457" spans="1:21" ht="19.5" hidden="1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373">
        <f ca="1">IFERROR(__xludf.DUMMYFUNCTION("IMPORTRANGE(""https://docs.google.com/spreadsheets/d/1eHaY18a8A9IcSdp1K8H6x8fbOy06t2VsZHhMHf-1x7Y/edit?usp=sharing"",""แผน!HL38"")"),0)</f>
        <v>0</v>
      </c>
      <c r="J457" s="373">
        <f>J459+J467+J473</f>
        <v>0</v>
      </c>
      <c r="K457" s="540">
        <f ca="1">IF(I457&gt;0,J457*100/I457,0)</f>
        <v>0</v>
      </c>
      <c r="L457" s="62"/>
      <c r="M457" s="55"/>
      <c r="N457" s="55"/>
      <c r="O457" s="55"/>
      <c r="P457" s="55"/>
      <c r="Q457" s="55"/>
      <c r="R457" s="55"/>
      <c r="S457" s="55"/>
      <c r="T457" s="55"/>
      <c r="U457" s="55"/>
    </row>
    <row r="458" spans="1:21" ht="19.5" hidden="1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373">
        <f ca="1">IFERROR(__xludf.DUMMYFUNCTION("IMPORTRANGE(""https://docs.google.com/spreadsheets/d/1eHaY18a8A9IcSdp1K8H6x8fbOy06t2VsZHhMHf-1x7Y/edit?usp=sharing"",""แผน!HM38"")"),0)</f>
        <v>0</v>
      </c>
      <c r="J458" s="373">
        <f>J460+J468+J474</f>
        <v>0</v>
      </c>
      <c r="K458" s="540">
        <f ca="1">IF(I458&gt;0,J458*100/I458,0)</f>
        <v>0</v>
      </c>
      <c r="L458" s="62"/>
      <c r="M458" s="55"/>
      <c r="N458" s="55"/>
      <c r="O458" s="55"/>
      <c r="P458" s="55"/>
      <c r="Q458" s="55"/>
      <c r="R458" s="55"/>
      <c r="S458" s="55"/>
      <c r="T458" s="55"/>
      <c r="U458" s="55"/>
    </row>
    <row r="459" spans="1:21" ht="18.75" hidden="1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212">
        <f>J461+J463</f>
        <v>0</v>
      </c>
      <c r="K459" s="55"/>
      <c r="L459" s="62"/>
      <c r="M459" s="55"/>
      <c r="N459" s="55"/>
      <c r="O459" s="55"/>
      <c r="P459" s="55"/>
      <c r="Q459" s="55"/>
      <c r="R459" s="55"/>
      <c r="S459" s="55"/>
      <c r="T459" s="55"/>
      <c r="U459" s="55"/>
    </row>
    <row r="460" spans="1:21" ht="18.75" hidden="1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212">
        <f>J462+J464</f>
        <v>0</v>
      </c>
      <c r="K460" s="55"/>
      <c r="L460" s="62"/>
      <c r="M460" s="55"/>
      <c r="N460" s="55"/>
      <c r="O460" s="55"/>
      <c r="P460" s="55"/>
      <c r="Q460" s="55"/>
      <c r="R460" s="55"/>
      <c r="S460" s="55"/>
      <c r="T460" s="55"/>
      <c r="U460" s="55"/>
    </row>
    <row r="461" spans="1:21" ht="18.75" hidden="1">
      <c r="A461" s="238"/>
      <c r="B461" s="188"/>
      <c r="C461" s="188"/>
      <c r="D461" s="371" t="s">
        <v>181</v>
      </c>
      <c r="E461" s="188"/>
      <c r="F461" s="188"/>
      <c r="G461" s="208"/>
      <c r="H461" s="161" t="s">
        <v>46</v>
      </c>
      <c r="I461" s="54"/>
      <c r="J461" s="54"/>
      <c r="K461" s="55"/>
      <c r="L461" s="62"/>
      <c r="M461" s="55"/>
      <c r="N461" s="55"/>
      <c r="O461" s="55"/>
      <c r="P461" s="55"/>
      <c r="Q461" s="55"/>
      <c r="R461" s="55"/>
      <c r="S461" s="55"/>
      <c r="T461" s="55"/>
      <c r="U461" s="55"/>
    </row>
    <row r="462" spans="1:21" ht="18.75" hidden="1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54"/>
      <c r="K462" s="55"/>
      <c r="L462" s="62"/>
      <c r="M462" s="55"/>
      <c r="N462" s="55"/>
      <c r="O462" s="55"/>
      <c r="P462" s="55"/>
      <c r="Q462" s="55"/>
      <c r="R462" s="55"/>
      <c r="S462" s="55"/>
      <c r="T462" s="55"/>
      <c r="U462" s="55"/>
    </row>
    <row r="463" spans="1:21" ht="18.75" hidden="1">
      <c r="A463" s="238"/>
      <c r="B463" s="188"/>
      <c r="C463" s="188"/>
      <c r="D463" s="371" t="s">
        <v>182</v>
      </c>
      <c r="E463" s="188"/>
      <c r="F463" s="188"/>
      <c r="G463" s="208"/>
      <c r="H463" s="161" t="s">
        <v>46</v>
      </c>
      <c r="I463" s="54"/>
      <c r="J463" s="54"/>
      <c r="K463" s="55"/>
      <c r="L463" s="62"/>
      <c r="M463" s="55"/>
      <c r="N463" s="55"/>
      <c r="O463" s="55"/>
      <c r="P463" s="55"/>
      <c r="Q463" s="55"/>
      <c r="R463" s="55"/>
      <c r="S463" s="55"/>
      <c r="T463" s="55"/>
      <c r="U463" s="55"/>
    </row>
    <row r="464" spans="1:21" ht="18.75" hidden="1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54"/>
      <c r="K464" s="55"/>
      <c r="L464" s="62"/>
      <c r="M464" s="55"/>
      <c r="N464" s="55"/>
      <c r="O464" s="55"/>
      <c r="P464" s="55"/>
      <c r="Q464" s="55"/>
      <c r="R464" s="55"/>
      <c r="S464" s="55"/>
      <c r="T464" s="55"/>
      <c r="U464" s="55"/>
    </row>
    <row r="465" spans="1:21" ht="18.75" hidden="1">
      <c r="A465" s="238"/>
      <c r="B465" s="188"/>
      <c r="C465" s="188"/>
      <c r="D465" s="371" t="s">
        <v>183</v>
      </c>
      <c r="E465" s="188"/>
      <c r="F465" s="188"/>
      <c r="G465" s="208"/>
      <c r="H465" s="161" t="s">
        <v>46</v>
      </c>
      <c r="I465" s="54"/>
      <c r="J465" s="54"/>
      <c r="K465" s="55"/>
      <c r="L465" s="62"/>
      <c r="M465" s="55"/>
      <c r="N465" s="55"/>
      <c r="O465" s="55"/>
      <c r="P465" s="55"/>
      <c r="Q465" s="55"/>
      <c r="R465" s="55"/>
      <c r="S465" s="55"/>
      <c r="T465" s="55"/>
      <c r="U465" s="55"/>
    </row>
    <row r="466" spans="1:21" ht="18.75" hidden="1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54"/>
      <c r="K466" s="55"/>
      <c r="L466" s="62"/>
      <c r="M466" s="55"/>
      <c r="N466" s="55"/>
      <c r="O466" s="55"/>
      <c r="P466" s="55"/>
      <c r="Q466" s="55"/>
      <c r="R466" s="55"/>
      <c r="S466" s="55"/>
      <c r="T466" s="55"/>
      <c r="U466" s="55"/>
    </row>
    <row r="467" spans="1:21" ht="18.75" hidden="1">
      <c r="A467" s="238"/>
      <c r="B467" s="188"/>
      <c r="C467" s="371" t="s">
        <v>184</v>
      </c>
      <c r="D467" s="188"/>
      <c r="E467" s="188"/>
      <c r="F467" s="188"/>
      <c r="G467" s="208"/>
      <c r="H467" s="161" t="s">
        <v>46</v>
      </c>
      <c r="I467" s="54"/>
      <c r="J467" s="212">
        <f>J469+J471</f>
        <v>0</v>
      </c>
      <c r="K467" s="55"/>
      <c r="L467" s="62"/>
      <c r="M467" s="55"/>
      <c r="N467" s="55"/>
      <c r="O467" s="55"/>
      <c r="P467" s="55"/>
      <c r="Q467" s="55"/>
      <c r="R467" s="55"/>
      <c r="S467" s="55"/>
      <c r="T467" s="55"/>
      <c r="U467" s="55"/>
    </row>
    <row r="468" spans="1:21" ht="18.75" hidden="1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212">
        <f>J470+J472</f>
        <v>0</v>
      </c>
      <c r="K468" s="55"/>
      <c r="L468" s="62"/>
      <c r="M468" s="55"/>
      <c r="N468" s="55"/>
      <c r="O468" s="55"/>
      <c r="P468" s="55"/>
      <c r="Q468" s="55"/>
      <c r="R468" s="55"/>
      <c r="S468" s="55"/>
      <c r="T468" s="55"/>
      <c r="U468" s="55"/>
    </row>
    <row r="469" spans="1:21" ht="18.75" hidden="1">
      <c r="A469" s="238"/>
      <c r="B469" s="188"/>
      <c r="C469" s="188"/>
      <c r="D469" s="371" t="s">
        <v>185</v>
      </c>
      <c r="E469" s="188"/>
      <c r="F469" s="188"/>
      <c r="G469" s="208"/>
      <c r="H469" s="161" t="s">
        <v>46</v>
      </c>
      <c r="I469" s="54"/>
      <c r="J469" s="54"/>
      <c r="K469" s="55"/>
      <c r="L469" s="62"/>
      <c r="M469" s="55"/>
      <c r="N469" s="55"/>
      <c r="O469" s="55"/>
      <c r="P469" s="55"/>
      <c r="Q469" s="55"/>
      <c r="R469" s="55"/>
      <c r="S469" s="55"/>
      <c r="T469" s="55"/>
      <c r="U469" s="55"/>
    </row>
    <row r="470" spans="1:21" ht="18.75" hidden="1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54"/>
      <c r="K470" s="55"/>
      <c r="L470" s="62"/>
      <c r="M470" s="55"/>
      <c r="N470" s="55"/>
      <c r="O470" s="55"/>
      <c r="P470" s="55"/>
      <c r="Q470" s="55"/>
      <c r="R470" s="55"/>
      <c r="S470" s="55"/>
      <c r="T470" s="55"/>
      <c r="U470" s="55"/>
    </row>
    <row r="471" spans="1:21" ht="18.75" hidden="1">
      <c r="A471" s="238"/>
      <c r="B471" s="188"/>
      <c r="C471" s="188"/>
      <c r="D471" s="371" t="s">
        <v>186</v>
      </c>
      <c r="E471" s="188"/>
      <c r="F471" s="188"/>
      <c r="G471" s="208"/>
      <c r="H471" s="161" t="s">
        <v>46</v>
      </c>
      <c r="I471" s="54"/>
      <c r="J471" s="54"/>
      <c r="K471" s="55"/>
      <c r="L471" s="62"/>
      <c r="M471" s="55"/>
      <c r="N471" s="55"/>
      <c r="O471" s="55"/>
      <c r="P471" s="55"/>
      <c r="Q471" s="55"/>
      <c r="R471" s="55"/>
      <c r="S471" s="55"/>
      <c r="T471" s="55"/>
      <c r="U471" s="55"/>
    </row>
    <row r="472" spans="1:21" ht="18.75" hidden="1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54"/>
      <c r="K472" s="55"/>
      <c r="L472" s="62"/>
      <c r="M472" s="55"/>
      <c r="N472" s="55"/>
      <c r="O472" s="55"/>
      <c r="P472" s="55"/>
      <c r="Q472" s="55"/>
      <c r="R472" s="55"/>
      <c r="S472" s="55"/>
      <c r="T472" s="55"/>
      <c r="U472" s="55"/>
    </row>
    <row r="473" spans="1:21" ht="18.75" hidden="1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54"/>
      <c r="K473" s="55"/>
      <c r="L473" s="62"/>
      <c r="M473" s="55"/>
      <c r="N473" s="55"/>
      <c r="O473" s="55"/>
      <c r="P473" s="55"/>
      <c r="Q473" s="55"/>
      <c r="R473" s="55"/>
      <c r="S473" s="55"/>
      <c r="T473" s="55"/>
      <c r="U473" s="55"/>
    </row>
    <row r="474" spans="1:21" ht="18.75" hidden="1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54"/>
      <c r="K474" s="55"/>
      <c r="L474" s="62"/>
      <c r="M474" s="55"/>
      <c r="N474" s="55"/>
      <c r="O474" s="55"/>
      <c r="P474" s="55"/>
      <c r="Q474" s="55"/>
      <c r="R474" s="55"/>
      <c r="S474" s="55"/>
      <c r="T474" s="55"/>
      <c r="U474" s="55"/>
    </row>
    <row r="475" spans="1:21" ht="19.5" hidden="1">
      <c r="A475" s="238"/>
      <c r="B475" s="372" t="s">
        <v>188</v>
      </c>
      <c r="C475" s="188"/>
      <c r="D475" s="188"/>
      <c r="E475" s="188"/>
      <c r="F475" s="188"/>
      <c r="G475" s="208"/>
      <c r="H475" s="158" t="s">
        <v>46</v>
      </c>
      <c r="I475" s="373">
        <v>0</v>
      </c>
      <c r="J475" s="373">
        <f>J478+J480</f>
        <v>0</v>
      </c>
      <c r="K475" s="540">
        <f>IF(I475&gt;0,J475*100/I475,0)</f>
        <v>0</v>
      </c>
      <c r="L475" s="62"/>
      <c r="M475" s="55"/>
      <c r="N475" s="55"/>
      <c r="O475" s="55"/>
      <c r="P475" s="55"/>
      <c r="Q475" s="55"/>
      <c r="R475" s="55"/>
      <c r="S475" s="55"/>
      <c r="T475" s="55"/>
      <c r="U475" s="55"/>
    </row>
    <row r="476" spans="1:21" ht="19.5" hidden="1">
      <c r="A476" s="238"/>
      <c r="B476" s="188"/>
      <c r="C476" s="191" t="s">
        <v>189</v>
      </c>
      <c r="D476" s="188"/>
      <c r="E476" s="188"/>
      <c r="F476" s="188"/>
      <c r="G476" s="208"/>
      <c r="H476" s="158" t="s">
        <v>46</v>
      </c>
      <c r="I476" s="373">
        <v>0</v>
      </c>
      <c r="J476" s="373">
        <f>J478+J480</f>
        <v>0</v>
      </c>
      <c r="K476" s="540">
        <f>IF(I476&gt;0,J476*100/I476,0)</f>
        <v>0</v>
      </c>
      <c r="L476" s="62"/>
      <c r="M476" s="55"/>
      <c r="N476" s="55"/>
      <c r="O476" s="55"/>
      <c r="P476" s="55"/>
      <c r="Q476" s="55"/>
      <c r="R476" s="55"/>
      <c r="S476" s="55"/>
      <c r="T476" s="55"/>
      <c r="U476" s="55"/>
    </row>
    <row r="477" spans="1:21" ht="19.5" hidden="1">
      <c r="A477" s="238"/>
      <c r="B477" s="188"/>
      <c r="C477" s="239" t="s">
        <v>190</v>
      </c>
      <c r="D477" s="188"/>
      <c r="E477" s="188"/>
      <c r="F477" s="188"/>
      <c r="G477" s="208"/>
      <c r="H477" s="158" t="s">
        <v>34</v>
      </c>
      <c r="I477" s="373">
        <v>0</v>
      </c>
      <c r="J477" s="373">
        <f>J479+J481</f>
        <v>0</v>
      </c>
      <c r="K477" s="540">
        <f>IF(I477&gt;0,J477*100/I477,0)</f>
        <v>0</v>
      </c>
      <c r="L477" s="62"/>
      <c r="M477" s="55"/>
      <c r="N477" s="55"/>
      <c r="O477" s="55"/>
      <c r="P477" s="55"/>
      <c r="Q477" s="55"/>
      <c r="R477" s="55"/>
      <c r="S477" s="55"/>
      <c r="T477" s="55"/>
      <c r="U477" s="55"/>
    </row>
    <row r="478" spans="1:21" ht="18.75" hidden="1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54"/>
      <c r="K478" s="55"/>
      <c r="L478" s="62"/>
      <c r="M478" s="55"/>
      <c r="N478" s="55"/>
      <c r="O478" s="55"/>
      <c r="P478" s="55"/>
      <c r="Q478" s="55"/>
      <c r="R478" s="55"/>
      <c r="S478" s="55"/>
      <c r="T478" s="55"/>
      <c r="U478" s="55"/>
    </row>
    <row r="479" spans="1:21" ht="18.75" hidden="1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54"/>
      <c r="K479" s="55"/>
      <c r="L479" s="62"/>
      <c r="M479" s="55"/>
      <c r="N479" s="55"/>
      <c r="O479" s="55"/>
      <c r="P479" s="55"/>
      <c r="Q479" s="55"/>
      <c r="R479" s="55"/>
      <c r="S479" s="55"/>
      <c r="T479" s="55"/>
      <c r="U479" s="55"/>
    </row>
    <row r="480" spans="1:21" ht="18.75" hidden="1">
      <c r="A480" s="238"/>
      <c r="B480" s="188"/>
      <c r="C480" s="188"/>
      <c r="D480" s="371" t="s">
        <v>192</v>
      </c>
      <c r="E480" s="188"/>
      <c r="F480" s="188"/>
      <c r="G480" s="208"/>
      <c r="H480" s="161" t="s">
        <v>46</v>
      </c>
      <c r="I480" s="54"/>
      <c r="J480" s="54"/>
      <c r="K480" s="55"/>
      <c r="L480" s="62"/>
      <c r="M480" s="55"/>
      <c r="N480" s="55"/>
      <c r="O480" s="55"/>
      <c r="P480" s="55"/>
      <c r="Q480" s="55"/>
      <c r="R480" s="55"/>
      <c r="S480" s="55"/>
      <c r="T480" s="55"/>
      <c r="U480" s="55"/>
    </row>
    <row r="481" spans="1:21" ht="18.75" hidden="1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54"/>
      <c r="K481" s="55"/>
      <c r="L481" s="62"/>
      <c r="M481" s="55"/>
      <c r="N481" s="55"/>
      <c r="O481" s="55"/>
      <c r="P481" s="55"/>
      <c r="Q481" s="55"/>
      <c r="R481" s="55"/>
      <c r="S481" s="55"/>
      <c r="T481" s="55"/>
      <c r="U481" s="55"/>
    </row>
    <row r="482" spans="1:21" ht="18.75" hidden="1">
      <c r="A482" s="238"/>
      <c r="B482" s="188"/>
      <c r="C482" s="188"/>
      <c r="D482" s="371" t="s">
        <v>193</v>
      </c>
      <c r="E482" s="188"/>
      <c r="F482" s="188"/>
      <c r="G482" s="208"/>
      <c r="H482" s="161" t="s">
        <v>46</v>
      </c>
      <c r="I482" s="54"/>
      <c r="J482" s="212">
        <f ca="1">IFERROR(__xludf.DUMMYFUNCTION("IMPORTRANGE(""https://docs.google.com/spreadsheets/d/1eHaY18a8A9IcSdp1K8H6x8fbOy06t2VsZHhMHf-1x7Y/edit?usp=sharing"",""แผน!HN38"")"),0)</f>
        <v>0</v>
      </c>
      <c r="K482" s="55"/>
      <c r="L482" s="62"/>
      <c r="M482" s="55"/>
      <c r="N482" s="55"/>
      <c r="O482" s="55"/>
      <c r="P482" s="55"/>
      <c r="Q482" s="55"/>
      <c r="R482" s="55"/>
      <c r="S482" s="55"/>
      <c r="T482" s="55"/>
      <c r="U482" s="55"/>
    </row>
    <row r="483" spans="1:21" ht="18.75" hidden="1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212">
        <f ca="1">IFERROR(__xludf.DUMMYFUNCTION("IMPORTRANGE(""https://docs.google.com/spreadsheets/d/1eHaY18a8A9IcSdp1K8H6x8fbOy06t2VsZHhMHf-1x7Y/edit?usp=sharing"",""แผน!HO38"")"),0)</f>
        <v>0</v>
      </c>
      <c r="K483" s="55"/>
      <c r="L483" s="62"/>
      <c r="M483" s="55"/>
      <c r="N483" s="55"/>
      <c r="O483" s="55"/>
      <c r="P483" s="55"/>
      <c r="Q483" s="55"/>
      <c r="R483" s="55"/>
      <c r="S483" s="55"/>
      <c r="T483" s="55"/>
      <c r="U483" s="55"/>
    </row>
    <row r="484" spans="1:21" ht="19.5" hidden="1">
      <c r="A484" s="238"/>
      <c r="B484" s="188"/>
      <c r="C484" s="191" t="s">
        <v>194</v>
      </c>
      <c r="D484" s="188"/>
      <c r="E484" s="188"/>
      <c r="F484" s="188"/>
      <c r="G484" s="208"/>
      <c r="H484" s="158" t="s">
        <v>46</v>
      </c>
      <c r="I484" s="54">
        <f>J480</f>
        <v>0</v>
      </c>
      <c r="J484" s="373">
        <f>J486+J488+J490</f>
        <v>0</v>
      </c>
      <c r="K484" s="540">
        <f>IF(I484&gt;0,J484*100/I484,0)</f>
        <v>0</v>
      </c>
      <c r="L484" s="62"/>
      <c r="M484" s="55"/>
      <c r="N484" s="55"/>
      <c r="O484" s="55"/>
      <c r="P484" s="55"/>
      <c r="Q484" s="55"/>
      <c r="R484" s="55"/>
      <c r="S484" s="55"/>
      <c r="T484" s="55"/>
      <c r="U484" s="55"/>
    </row>
    <row r="485" spans="1:21" ht="19.5" hidden="1">
      <c r="A485" s="238"/>
      <c r="B485" s="188"/>
      <c r="C485" s="239" t="s">
        <v>195</v>
      </c>
      <c r="D485" s="188"/>
      <c r="E485" s="188"/>
      <c r="F485" s="188"/>
      <c r="G485" s="208"/>
      <c r="H485" s="158" t="s">
        <v>34</v>
      </c>
      <c r="I485" s="54">
        <f>J481</f>
        <v>0</v>
      </c>
      <c r="J485" s="373">
        <f>J487+J489+J491</f>
        <v>0</v>
      </c>
      <c r="K485" s="540">
        <f>IF(I485&gt;0,J485*100/I485,0)</f>
        <v>0</v>
      </c>
      <c r="L485" s="62"/>
      <c r="M485" s="55"/>
      <c r="N485" s="55"/>
      <c r="O485" s="55"/>
      <c r="P485" s="55"/>
      <c r="Q485" s="55"/>
      <c r="R485" s="55"/>
      <c r="S485" s="55"/>
      <c r="T485" s="55"/>
      <c r="U485" s="55"/>
    </row>
    <row r="486" spans="1:21" ht="18.75" hidden="1">
      <c r="A486" s="238"/>
      <c r="B486" s="188"/>
      <c r="C486" s="188"/>
      <c r="D486" s="371" t="s">
        <v>196</v>
      </c>
      <c r="E486" s="188"/>
      <c r="F486" s="188"/>
      <c r="G486" s="208"/>
      <c r="H486" s="161" t="s">
        <v>46</v>
      </c>
      <c r="I486" s="54"/>
      <c r="J486" s="54"/>
      <c r="K486" s="55"/>
      <c r="L486" s="62"/>
      <c r="M486" s="55"/>
      <c r="N486" s="55"/>
      <c r="O486" s="55"/>
      <c r="P486" s="55"/>
      <c r="Q486" s="55"/>
      <c r="R486" s="55"/>
      <c r="S486" s="55"/>
      <c r="T486" s="55"/>
      <c r="U486" s="55"/>
    </row>
    <row r="487" spans="1:21" ht="18.75" hidden="1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54"/>
      <c r="K487" s="55"/>
      <c r="L487" s="62"/>
      <c r="M487" s="55"/>
      <c r="N487" s="55"/>
      <c r="O487" s="55"/>
      <c r="P487" s="55"/>
      <c r="Q487" s="55"/>
      <c r="R487" s="55"/>
      <c r="S487" s="55"/>
      <c r="T487" s="55"/>
      <c r="U487" s="55"/>
    </row>
    <row r="488" spans="1:21" ht="18.75" hidden="1">
      <c r="A488" s="238"/>
      <c r="B488" s="188"/>
      <c r="C488" s="188"/>
      <c r="D488" s="371" t="s">
        <v>197</v>
      </c>
      <c r="E488" s="188"/>
      <c r="F488" s="188"/>
      <c r="G488" s="208"/>
      <c r="H488" s="161" t="s">
        <v>46</v>
      </c>
      <c r="I488" s="54"/>
      <c r="J488" s="54"/>
      <c r="K488" s="55"/>
      <c r="L488" s="62"/>
      <c r="M488" s="55"/>
      <c r="N488" s="55"/>
      <c r="O488" s="55"/>
      <c r="P488" s="55"/>
      <c r="Q488" s="55"/>
      <c r="R488" s="55"/>
      <c r="S488" s="55"/>
      <c r="T488" s="55"/>
      <c r="U488" s="55"/>
    </row>
    <row r="489" spans="1:21" ht="18.75" hidden="1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54"/>
      <c r="K489" s="55"/>
      <c r="L489" s="62"/>
      <c r="M489" s="55"/>
      <c r="N489" s="55"/>
      <c r="O489" s="55"/>
      <c r="P489" s="55"/>
      <c r="Q489" s="55"/>
      <c r="R489" s="55"/>
      <c r="S489" s="55"/>
      <c r="T489" s="55"/>
      <c r="U489" s="55"/>
    </row>
    <row r="490" spans="1:21" ht="18.75" hidden="1">
      <c r="A490" s="238"/>
      <c r="B490" s="188"/>
      <c r="C490" s="188"/>
      <c r="D490" s="371" t="s">
        <v>198</v>
      </c>
      <c r="E490" s="188"/>
      <c r="F490" s="188"/>
      <c r="G490" s="208"/>
      <c r="H490" s="161" t="s">
        <v>46</v>
      </c>
      <c r="I490" s="54"/>
      <c r="J490" s="54"/>
      <c r="K490" s="55"/>
      <c r="L490" s="62"/>
      <c r="M490" s="55"/>
      <c r="N490" s="55"/>
      <c r="O490" s="55"/>
      <c r="P490" s="55"/>
      <c r="Q490" s="55"/>
      <c r="R490" s="55"/>
      <c r="S490" s="55"/>
      <c r="T490" s="55"/>
      <c r="U490" s="55"/>
    </row>
    <row r="491" spans="1:21" ht="18.75" hidden="1">
      <c r="A491" s="374"/>
      <c r="B491" s="5"/>
      <c r="C491" s="5"/>
      <c r="D491" s="5"/>
      <c r="E491" s="5"/>
      <c r="F491" s="5"/>
      <c r="G491" s="375"/>
      <c r="H491" s="376" t="s">
        <v>34</v>
      </c>
      <c r="I491" s="67"/>
      <c r="J491" s="67"/>
      <c r="K491" s="6"/>
      <c r="L491" s="68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 hidden="1">
      <c r="A492" s="335"/>
      <c r="B492" s="354" t="s">
        <v>199</v>
      </c>
      <c r="C492" s="337"/>
      <c r="D492" s="337"/>
      <c r="E492" s="328"/>
      <c r="F492" s="328"/>
      <c r="G492" s="329"/>
      <c r="H492" s="366" t="s">
        <v>35</v>
      </c>
      <c r="I492" s="605">
        <f ca="1">I503</f>
        <v>0</v>
      </c>
      <c r="J492" s="605">
        <f ca="1">J503</f>
        <v>0</v>
      </c>
      <c r="K492" s="604">
        <f ca="1">IF(I492&gt;0,J492*100/I492,0)</f>
        <v>0</v>
      </c>
      <c r="L492" s="334"/>
      <c r="M492" s="333"/>
      <c r="N492" s="333"/>
      <c r="O492" s="333"/>
      <c r="P492" s="333"/>
      <c r="Q492" s="333"/>
      <c r="R492" s="333"/>
      <c r="S492" s="333"/>
      <c r="T492" s="333"/>
      <c r="U492" s="333"/>
    </row>
    <row r="493" spans="1:21" ht="19.5" hidden="1">
      <c r="A493" s="155"/>
      <c r="B493" s="188"/>
      <c r="C493" s="205" t="s">
        <v>18</v>
      </c>
      <c r="D493" s="603" t="s">
        <v>19</v>
      </c>
      <c r="E493" s="514"/>
      <c r="F493" s="514"/>
      <c r="G493" s="52"/>
      <c r="H493" s="252" t="s">
        <v>14</v>
      </c>
      <c r="I493" s="54"/>
      <c r="J493" s="54"/>
      <c r="K493" s="55"/>
      <c r="L493" s="541">
        <f>L494+L495</f>
        <v>0</v>
      </c>
      <c r="M493" s="540">
        <f>M494+M495</f>
        <v>0</v>
      </c>
      <c r="N493" s="540">
        <f>N494+N495</f>
        <v>0</v>
      </c>
      <c r="O493" s="540">
        <f>IF(L493&gt;0,N493*100/L493,0)</f>
        <v>0</v>
      </c>
      <c r="P493" s="540">
        <f>IF(M493&gt;0,N493*100/M493,0)</f>
        <v>0</v>
      </c>
      <c r="Q493" s="540">
        <f ca="1">Q494+Q495</f>
        <v>0</v>
      </c>
      <c r="R493" s="540">
        <f ca="1">R494+R495</f>
        <v>0</v>
      </c>
      <c r="S493" s="540">
        <f ca="1">S494+S495</f>
        <v>0</v>
      </c>
      <c r="T493" s="540">
        <f ca="1">IF(Q493&gt;0,S493*100/Q493,0)</f>
        <v>0</v>
      </c>
      <c r="U493" s="540">
        <f ca="1">IF(R493&gt;0,S493*100/R493,0)</f>
        <v>0</v>
      </c>
    </row>
    <row r="494" spans="1:21" ht="18.75" hidden="1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103">
        <f>L497+L500</f>
        <v>0</v>
      </c>
      <c r="M494" s="102">
        <f>M497+M500</f>
        <v>0</v>
      </c>
      <c r="N494" s="102">
        <f>N497+N500</f>
        <v>0</v>
      </c>
      <c r="O494" s="102">
        <f>IF(L494&gt;0,N494*100/L494,0)</f>
        <v>0</v>
      </c>
      <c r="P494" s="102">
        <f>IF(M494&gt;0,N494*100/M494,0)</f>
        <v>0</v>
      </c>
      <c r="Q494" s="102">
        <f>Q497+Q500</f>
        <v>0</v>
      </c>
      <c r="R494" s="102">
        <f>R497+R500</f>
        <v>0</v>
      </c>
      <c r="S494" s="102">
        <f>S497+S500</f>
        <v>0</v>
      </c>
      <c r="T494" s="102">
        <f>IF(Q494&gt;0,S494*100/Q494,0)</f>
        <v>0</v>
      </c>
      <c r="U494" s="102">
        <f>IF(R494&gt;0,S494*100/R494,0)</f>
        <v>0</v>
      </c>
    </row>
    <row r="495" spans="1:21" ht="18.75" hidden="1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256">
        <f>L498+L501</f>
        <v>0</v>
      </c>
      <c r="M495" s="255">
        <f>M498+M501</f>
        <v>0</v>
      </c>
      <c r="N495" s="255">
        <f>N498+N501</f>
        <v>0</v>
      </c>
      <c r="O495" s="255">
        <f>IF(L495&gt;0,N495*100/L495,0)</f>
        <v>0</v>
      </c>
      <c r="P495" s="255">
        <f>IF(M495&gt;0,N495*100/M495,0)</f>
        <v>0</v>
      </c>
      <c r="Q495" s="255">
        <f ca="1">Q498+Q501</f>
        <v>0</v>
      </c>
      <c r="R495" s="255">
        <f ca="1">R498+R501</f>
        <v>0</v>
      </c>
      <c r="S495" s="255">
        <f ca="1">S498+S501</f>
        <v>0</v>
      </c>
      <c r="T495" s="255">
        <f ca="1">IF(Q495&gt;0,S495*100/Q495,0)</f>
        <v>0</v>
      </c>
      <c r="U495" s="255">
        <f ca="1">IF(R495&gt;0,S495*100/R495,0)</f>
        <v>0</v>
      </c>
    </row>
    <row r="496" spans="1:21" ht="18.75" hidden="1">
      <c r="A496" s="155"/>
      <c r="B496" s="188"/>
      <c r="C496" s="188"/>
      <c r="D496" s="602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256">
        <f>L497+L498</f>
        <v>0</v>
      </c>
      <c r="M496" s="255">
        <f>M497+M498</f>
        <v>0</v>
      </c>
      <c r="N496" s="255">
        <f>N497+N498</f>
        <v>0</v>
      </c>
      <c r="O496" s="255">
        <f>IF(L496&gt;0,N496*100/L496,0)</f>
        <v>0</v>
      </c>
      <c r="P496" s="255">
        <f>IF(M496&gt;0,N496*100/M496,0)</f>
        <v>0</v>
      </c>
      <c r="Q496" s="255">
        <f ca="1">Q497+Q498</f>
        <v>0</v>
      </c>
      <c r="R496" s="255">
        <f ca="1">R497+R498</f>
        <v>0</v>
      </c>
      <c r="S496" s="255">
        <f ca="1">S497+S498</f>
        <v>0</v>
      </c>
      <c r="T496" s="255">
        <f ca="1">IF(Q496&gt;0,S496*100/Q496,0)</f>
        <v>0</v>
      </c>
      <c r="U496" s="255">
        <f ca="1">IF(R496&gt;0,S496*100/R496,0)</f>
        <v>0</v>
      </c>
    </row>
    <row r="497" spans="1:21" ht="18.75" hidden="1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103">
        <v>0</v>
      </c>
      <c r="M497" s="102">
        <v>0</v>
      </c>
      <c r="N497" s="102">
        <v>0</v>
      </c>
      <c r="O497" s="102">
        <f>IF(L497&gt;0,N497*100/L497,0)</f>
        <v>0</v>
      </c>
      <c r="P497" s="102">
        <f>IF(M497&gt;0,N497*100/M497,0)</f>
        <v>0</v>
      </c>
      <c r="Q497" s="102">
        <v>0</v>
      </c>
      <c r="R497" s="102">
        <v>0</v>
      </c>
      <c r="S497" s="102">
        <v>0</v>
      </c>
      <c r="T497" s="102">
        <f>IF(Q497&gt;0,S497*100/Q497,0)</f>
        <v>0</v>
      </c>
      <c r="U497" s="102">
        <f>IF(R497&gt;0,S497*100/R497,0)</f>
        <v>0</v>
      </c>
    </row>
    <row r="498" spans="1:21" ht="18.75" hidden="1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256">
        <v>0</v>
      </c>
      <c r="M498" s="255">
        <v>0</v>
      </c>
      <c r="N498" s="255">
        <v>0</v>
      </c>
      <c r="O498" s="255">
        <f>IF(L498&gt;0,N498*100/L498,0)</f>
        <v>0</v>
      </c>
      <c r="P498" s="255">
        <f>IF(M498&gt;0,N498*100/M498,0)</f>
        <v>0</v>
      </c>
      <c r="Q498" s="255">
        <f ca="1">IFERROR(__xludf.DUMMYFUNCTION("IMPORTRANGE(""https://docs.google.com/spreadsheets/d/1ItG2mGa2ceCfYo0BwxsXqNm01IGEUdYcSSLTEv9YCik/edit?usp=sharing"",""เบิกจ่ายกองทุน!X38"")"),0)</f>
        <v>0</v>
      </c>
      <c r="R498" s="255">
        <f ca="1">IFERROR(__xludf.DUMMYFUNCTION("IMPORTRANGE(""https://docs.google.com/spreadsheets/d/1ItG2mGa2ceCfYo0BwxsXqNm01IGEUdYcSSLTEv9YCik/edit?usp=sharing"",""เบิกจ่ายกองทุน!Y38"")"),0)</f>
        <v>0</v>
      </c>
      <c r="S498" s="255">
        <f ca="1">IFERROR(__xludf.DUMMYFUNCTION("IMPORTRANGE(""https://docs.google.com/spreadsheets/d/1ItG2mGa2ceCfYo0BwxsXqNm01IGEUdYcSSLTEv9YCik/edit?usp=sharing"",""เบิกจ่ายกองทุน!Z38"")"),0)</f>
        <v>0</v>
      </c>
      <c r="T498" s="255">
        <f ca="1">IF(Q498&gt;0,S498*100/Q498,0)</f>
        <v>0</v>
      </c>
      <c r="U498" s="255">
        <f ca="1">IF(R498&gt;0,S498*100/R498,0)</f>
        <v>0</v>
      </c>
    </row>
    <row r="499" spans="1:21" ht="18.75" hidden="1">
      <c r="A499" s="155"/>
      <c r="B499" s="188"/>
      <c r="C499" s="188"/>
      <c r="D499" s="602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256">
        <f>L500+L501</f>
        <v>0</v>
      </c>
      <c r="M499" s="255">
        <f>M500+M501</f>
        <v>0</v>
      </c>
      <c r="N499" s="255">
        <f>N500+N501</f>
        <v>0</v>
      </c>
      <c r="O499" s="255">
        <f>IF(L499&gt;0,N499*100/L499,0)</f>
        <v>0</v>
      </c>
      <c r="P499" s="255">
        <f>IF(M499&gt;0,N499*100/M499,0)</f>
        <v>0</v>
      </c>
      <c r="Q499" s="255">
        <f>Q500+Q501</f>
        <v>0</v>
      </c>
      <c r="R499" s="255">
        <f>R500+R501</f>
        <v>0</v>
      </c>
      <c r="S499" s="255">
        <f>S500+S501</f>
        <v>0</v>
      </c>
      <c r="T499" s="255">
        <f>IF(Q499&gt;0,S499*100/Q499,0)</f>
        <v>0</v>
      </c>
      <c r="U499" s="255">
        <f>IF(R499&gt;0,S499*100/R499,0)</f>
        <v>0</v>
      </c>
    </row>
    <row r="500" spans="1:21" ht="18.75" hidden="1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103">
        <v>0</v>
      </c>
      <c r="M500" s="102">
        <v>0</v>
      </c>
      <c r="N500" s="102">
        <v>0</v>
      </c>
      <c r="O500" s="102">
        <f>IF(L500&gt;0,N500*100/L500,0)</f>
        <v>0</v>
      </c>
      <c r="P500" s="102">
        <f>IF(M500&gt;0,N500*100/M500,0)</f>
        <v>0</v>
      </c>
      <c r="Q500" s="102">
        <v>0</v>
      </c>
      <c r="R500" s="102">
        <v>0</v>
      </c>
      <c r="S500" s="102">
        <v>0</v>
      </c>
      <c r="T500" s="102">
        <f>IF(Q500&gt;0,S500*100/Q500,0)</f>
        <v>0</v>
      </c>
      <c r="U500" s="102">
        <f>IF(R500&gt;0,S500*100/R500,0)</f>
        <v>0</v>
      </c>
    </row>
    <row r="501" spans="1:21" ht="18.75" hidden="1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256">
        <v>0</v>
      </c>
      <c r="M501" s="255">
        <v>0</v>
      </c>
      <c r="N501" s="255">
        <v>0</v>
      </c>
      <c r="O501" s="255">
        <f>IF(L501&gt;0,N501*100/L501,0)</f>
        <v>0</v>
      </c>
      <c r="P501" s="255">
        <f>IF(M501&gt;0,N501*100/M501,0)</f>
        <v>0</v>
      </c>
      <c r="Q501" s="255">
        <v>0</v>
      </c>
      <c r="R501" s="255">
        <v>0</v>
      </c>
      <c r="S501" s="255">
        <v>0</v>
      </c>
      <c r="T501" s="255">
        <f>IF(Q501&gt;0,S501*100/Q501,0)</f>
        <v>0</v>
      </c>
      <c r="U501" s="255">
        <f>IF(R501&gt;0,S501*100/R501,0)</f>
        <v>0</v>
      </c>
    </row>
    <row r="502" spans="1:21" ht="19.5" hidden="1">
      <c r="A502" s="166"/>
      <c r="B502" s="167"/>
      <c r="C502" s="205" t="s">
        <v>18</v>
      </c>
      <c r="D502" s="560" t="s">
        <v>38</v>
      </c>
      <c r="E502" s="169"/>
      <c r="F502" s="169"/>
      <c r="G502" s="170"/>
      <c r="H502" s="206"/>
      <c r="I502" s="163"/>
      <c r="J502" s="163"/>
      <c r="K502" s="164"/>
      <c r="L502" s="172"/>
      <c r="M502" s="164"/>
      <c r="N502" s="164"/>
      <c r="O502" s="164"/>
      <c r="P502" s="164"/>
      <c r="Q502" s="164"/>
      <c r="R502" s="164"/>
      <c r="S502" s="164"/>
      <c r="T502" s="164"/>
      <c r="U502" s="164"/>
    </row>
    <row r="503" spans="1:21" ht="19.5" hidden="1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373">
        <f ca="1">IFERROR(__xludf.DUMMYFUNCTION("IMPORTRANGE(""https://docs.google.com/spreadsheets/d/1eHaY18a8A9IcSdp1K8H6x8fbOy06t2VsZHhMHf-1x7Y/edit?usp=sharing"",""แผน!GX38"")"),0)</f>
        <v>0</v>
      </c>
      <c r="J503" s="373">
        <f ca="1">IF(AND(J504=I504,J505=I505,J506=I506,J507=I507),I503,0)</f>
        <v>0</v>
      </c>
      <c r="K503" s="540">
        <f ca="1">IF(I503&gt;0,J503*100/I503,0)</f>
        <v>0</v>
      </c>
      <c r="L503" s="62"/>
      <c r="M503" s="55"/>
      <c r="N503" s="55"/>
      <c r="O503" s="55"/>
      <c r="P503" s="55"/>
      <c r="Q503" s="55"/>
      <c r="R503" s="55"/>
      <c r="S503" s="55"/>
      <c r="T503" s="55"/>
      <c r="U503" s="55"/>
    </row>
    <row r="504" spans="1:21" ht="18.75" hidden="1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212">
        <f ca="1">IFERROR(__xludf.DUMMYFUNCTION("IMPORTRANGE(""https://docs.google.com/spreadsheets/d/1eHaY18a8A9IcSdp1K8H6x8fbOy06t2VsZHhMHf-1x7Y/edit?usp=sharing"",""แผน!GY38"")"),0)</f>
        <v>0</v>
      </c>
      <c r="J504" s="467">
        <v>0</v>
      </c>
      <c r="K504" s="255">
        <f ca="1">IF(I504&gt;0,J504*100/I504,0)</f>
        <v>0</v>
      </c>
      <c r="L504" s="62"/>
      <c r="M504" s="55"/>
      <c r="N504" s="55"/>
      <c r="O504" s="55"/>
      <c r="P504" s="55"/>
      <c r="Q504" s="55"/>
      <c r="R504" s="55"/>
      <c r="S504" s="55"/>
      <c r="T504" s="55"/>
      <c r="U504" s="55"/>
    </row>
    <row r="505" spans="1:21" ht="18.75" hidden="1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212">
        <f ca="1">IFERROR(__xludf.DUMMYFUNCTION("IMPORTRANGE(""https://docs.google.com/spreadsheets/d/1eHaY18a8A9IcSdp1K8H6x8fbOy06t2VsZHhMHf-1x7Y/edit?usp=sharing"",""แผน!GZ38"")"),0)</f>
        <v>0</v>
      </c>
      <c r="J505" s="467">
        <v>0</v>
      </c>
      <c r="K505" s="255">
        <f ca="1">IF(I505&gt;0,J505*100/I505,0)</f>
        <v>0</v>
      </c>
      <c r="L505" s="62"/>
      <c r="M505" s="55"/>
      <c r="N505" s="55"/>
      <c r="O505" s="55"/>
      <c r="P505" s="55"/>
      <c r="Q505" s="55"/>
      <c r="R505" s="55"/>
      <c r="S505" s="55"/>
      <c r="T505" s="55"/>
      <c r="U505" s="55"/>
    </row>
    <row r="506" spans="1:21" ht="18.75" hidden="1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212">
        <f ca="1">IFERROR(__xludf.DUMMYFUNCTION("IMPORTRANGE(""https://docs.google.com/spreadsheets/d/1eHaY18a8A9IcSdp1K8H6x8fbOy06t2VsZHhMHf-1x7Y/edit?usp=sharing"",""แผน!HA38"")"),0)</f>
        <v>0</v>
      </c>
      <c r="J506" s="467">
        <v>0</v>
      </c>
      <c r="K506" s="255">
        <f ca="1">IF(I506&gt;0,J506*100/I506,0)</f>
        <v>0</v>
      </c>
      <c r="L506" s="62"/>
      <c r="M506" s="55"/>
      <c r="N506" s="55"/>
      <c r="O506" s="55"/>
      <c r="P506" s="55"/>
      <c r="Q506" s="55"/>
      <c r="R506" s="55"/>
      <c r="S506" s="55"/>
      <c r="T506" s="55"/>
      <c r="U506" s="55"/>
    </row>
    <row r="507" spans="1:21" ht="18.75" hidden="1">
      <c r="A507" s="238"/>
      <c r="B507" s="188"/>
      <c r="C507" s="188"/>
      <c r="D507" s="188"/>
      <c r="E507" s="377" t="s">
        <v>204</v>
      </c>
      <c r="F507" s="50"/>
      <c r="G507" s="52"/>
      <c r="H507" s="161" t="s">
        <v>35</v>
      </c>
      <c r="I507" s="212">
        <f ca="1">IFERROR(__xludf.DUMMYFUNCTION("IMPORTRANGE(""https://docs.google.com/spreadsheets/d/1eHaY18a8A9IcSdp1K8H6x8fbOy06t2VsZHhMHf-1x7Y/edit?usp=sharing"",""แผน!HB38"")"),0)</f>
        <v>0</v>
      </c>
      <c r="J507" s="467">
        <v>0</v>
      </c>
      <c r="K507" s="255">
        <f ca="1">IF(I507&gt;0,J507*100/I507,0)</f>
        <v>0</v>
      </c>
      <c r="L507" s="62"/>
      <c r="M507" s="55"/>
      <c r="N507" s="55"/>
      <c r="O507" s="55"/>
      <c r="P507" s="55"/>
      <c r="Q507" s="55"/>
      <c r="R507" s="55"/>
      <c r="S507" s="55"/>
      <c r="T507" s="55"/>
      <c r="U507" s="55"/>
    </row>
    <row r="508" spans="1:21" ht="18.75" hidden="1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255">
        <f>IF(I508&gt;0,J508*100/I508,0)</f>
        <v>0</v>
      </c>
      <c r="L508" s="62"/>
      <c r="M508" s="55"/>
      <c r="N508" s="55"/>
      <c r="O508" s="55"/>
      <c r="P508" s="55"/>
      <c r="Q508" s="55"/>
      <c r="R508" s="55"/>
      <c r="S508" s="55"/>
      <c r="T508" s="55"/>
      <c r="U508" s="55"/>
    </row>
    <row r="509" spans="1:21" ht="19.5" hidden="1">
      <c r="A509" s="374"/>
      <c r="B509" s="5"/>
      <c r="C509" s="5"/>
      <c r="D509" s="378" t="s">
        <v>50</v>
      </c>
      <c r="E509" s="4"/>
      <c r="F509" s="4"/>
      <c r="G509" s="65"/>
      <c r="H509" s="376" t="s">
        <v>35</v>
      </c>
      <c r="I509" s="216">
        <f ca="1">IFERROR(__xludf.DUMMYFUNCTION("IMPORTRANGE(""https://docs.google.com/spreadsheets/d/1eHaY18a8A9IcSdp1K8H6x8fbOy06t2VsZHhMHf-1x7Y/edit?usp=sharing"",""แผน!HC38"")"),0)</f>
        <v>0</v>
      </c>
      <c r="J509" s="538">
        <v>0</v>
      </c>
      <c r="K509" s="506">
        <f ca="1">IF(I509&gt;0,J509*100/I509,0)</f>
        <v>0</v>
      </c>
      <c r="L509" s="68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 hidden="1">
      <c r="A510" s="601" t="s">
        <v>206</v>
      </c>
      <c r="B510" s="381"/>
      <c r="C510" s="381"/>
      <c r="D510" s="381"/>
      <c r="E510" s="382"/>
      <c r="F510" s="382"/>
      <c r="G510" s="382"/>
      <c r="H510" s="382"/>
      <c r="I510" s="383"/>
      <c r="J510" s="383"/>
      <c r="K510" s="384"/>
      <c r="L510" s="600"/>
      <c r="M510" s="386"/>
      <c r="N510" s="386"/>
      <c r="O510" s="386"/>
      <c r="P510" s="386"/>
      <c r="Q510" s="386"/>
      <c r="R510" s="386"/>
      <c r="S510" s="386"/>
      <c r="T510" s="386"/>
      <c r="U510" s="386"/>
    </row>
    <row r="511" spans="1:21" ht="19.5" hidden="1">
      <c r="A511" s="599" t="s">
        <v>207</v>
      </c>
      <c r="B511" s="388"/>
      <c r="C511" s="388"/>
      <c r="D511" s="389"/>
      <c r="E511" s="388"/>
      <c r="F511" s="388"/>
      <c r="G511" s="388"/>
      <c r="H511" s="390"/>
      <c r="I511" s="391"/>
      <c r="J511" s="391"/>
      <c r="K511" s="392"/>
      <c r="L511" s="598"/>
      <c r="M511" s="394"/>
      <c r="N511" s="394"/>
      <c r="O511" s="394"/>
      <c r="P511" s="394"/>
      <c r="Q511" s="394"/>
      <c r="R511" s="394"/>
      <c r="S511" s="394"/>
      <c r="T511" s="394"/>
      <c r="U511" s="394"/>
    </row>
    <row r="512" spans="1:21" ht="19.5" hidden="1">
      <c r="A512" s="395"/>
      <c r="B512" s="597" t="s">
        <v>208</v>
      </c>
      <c r="C512" s="397"/>
      <c r="D512" s="398"/>
      <c r="E512" s="398"/>
      <c r="F512" s="398"/>
      <c r="G512" s="399"/>
      <c r="H512" s="596" t="s">
        <v>61</v>
      </c>
      <c r="I512" s="595">
        <f>I524</f>
        <v>0</v>
      </c>
      <c r="J512" s="595">
        <f>J524</f>
        <v>0</v>
      </c>
      <c r="K512" s="594">
        <f>IF(I512&gt;0,J512*100/I512,0)</f>
        <v>0</v>
      </c>
      <c r="L512" s="404"/>
      <c r="M512" s="403"/>
      <c r="N512" s="403"/>
      <c r="O512" s="403"/>
      <c r="P512" s="403"/>
      <c r="Q512" s="403"/>
      <c r="R512" s="403"/>
      <c r="S512" s="403"/>
      <c r="T512" s="403"/>
      <c r="U512" s="403"/>
    </row>
    <row r="513" spans="1:21" ht="19.5" hidden="1">
      <c r="A513" s="155"/>
      <c r="B513" s="50"/>
      <c r="C513" s="591" t="s">
        <v>18</v>
      </c>
      <c r="D513" s="562" t="s">
        <v>19</v>
      </c>
      <c r="E513" s="50"/>
      <c r="F513" s="50"/>
      <c r="G513" s="52"/>
      <c r="H513" s="593" t="s">
        <v>14</v>
      </c>
      <c r="I513" s="54"/>
      <c r="J513" s="54"/>
      <c r="K513" s="55"/>
      <c r="L513" s="541">
        <f ca="1">L514+L515</f>
        <v>0</v>
      </c>
      <c r="M513" s="540">
        <f ca="1">M514+M515</f>
        <v>0</v>
      </c>
      <c r="N513" s="540">
        <f ca="1">N514+N515</f>
        <v>0</v>
      </c>
      <c r="O513" s="540">
        <f ca="1">IF(L513&gt;0,N513*100/L513,0)</f>
        <v>0</v>
      </c>
      <c r="P513" s="540">
        <f ca="1">IF(M513&gt;0,N513*100/M513,0)</f>
        <v>0</v>
      </c>
      <c r="Q513" s="540">
        <f>Q514+Q515</f>
        <v>0</v>
      </c>
      <c r="R513" s="540">
        <f>R514+R515</f>
        <v>0</v>
      </c>
      <c r="S513" s="540">
        <f>S514+S515</f>
        <v>0</v>
      </c>
      <c r="T513" s="540">
        <f>IF(Q513&gt;0,S513*100/Q513,0)</f>
        <v>0</v>
      </c>
      <c r="U513" s="540">
        <f>IF(R513&gt;0,S513*100/R513,0)</f>
        <v>0</v>
      </c>
    </row>
    <row r="514" spans="1:21" ht="18.75" hidden="1">
      <c r="A514" s="155"/>
      <c r="B514" s="50"/>
      <c r="C514" s="50"/>
      <c r="D514" s="50"/>
      <c r="E514" s="186" t="s">
        <v>20</v>
      </c>
      <c r="F514" s="50"/>
      <c r="G514" s="52"/>
      <c r="H514" s="187" t="s">
        <v>14</v>
      </c>
      <c r="I514" s="54"/>
      <c r="J514" s="54"/>
      <c r="K514" s="55"/>
      <c r="L514" s="103">
        <f>L517+L520</f>
        <v>0</v>
      </c>
      <c r="M514" s="102">
        <f>M517+M520</f>
        <v>0</v>
      </c>
      <c r="N514" s="102">
        <f>N517+N520</f>
        <v>0</v>
      </c>
      <c r="O514" s="102">
        <f>IF(L514&gt;0,N514*100/L514,0)</f>
        <v>0</v>
      </c>
      <c r="P514" s="102">
        <f>IF(M514&gt;0,N514*100/M514,0)</f>
        <v>0</v>
      </c>
      <c r="Q514" s="102">
        <f>Q517+Q520</f>
        <v>0</v>
      </c>
      <c r="R514" s="102">
        <f>R517+R520</f>
        <v>0</v>
      </c>
      <c r="S514" s="102">
        <f>S517+S520</f>
        <v>0</v>
      </c>
      <c r="T514" s="102">
        <f>IF(Q514&gt;0,S514*100/Q514,0)</f>
        <v>0</v>
      </c>
      <c r="U514" s="102">
        <f>IF(R514&gt;0,S514*100/R514,0)</f>
        <v>0</v>
      </c>
    </row>
    <row r="515" spans="1:21" ht="18.75" hidden="1">
      <c r="A515" s="155"/>
      <c r="B515" s="50"/>
      <c r="C515" s="50"/>
      <c r="D515" s="50"/>
      <c r="E515" s="186" t="s">
        <v>21</v>
      </c>
      <c r="F515" s="50"/>
      <c r="G515" s="52"/>
      <c r="H515" s="187" t="s">
        <v>14</v>
      </c>
      <c r="I515" s="54"/>
      <c r="J515" s="54"/>
      <c r="K515" s="55"/>
      <c r="L515" s="256">
        <f ca="1">L518+L521</f>
        <v>0</v>
      </c>
      <c r="M515" s="255">
        <f ca="1">M518+M521</f>
        <v>0</v>
      </c>
      <c r="N515" s="255">
        <f ca="1">N518+N521</f>
        <v>0</v>
      </c>
      <c r="O515" s="255">
        <f ca="1">IF(L515&gt;0,N515*100/L515,0)</f>
        <v>0</v>
      </c>
      <c r="P515" s="255">
        <f ca="1">IF(M515&gt;0,N515*100/M515,0)</f>
        <v>0</v>
      </c>
      <c r="Q515" s="255">
        <f>Q518+Q521</f>
        <v>0</v>
      </c>
      <c r="R515" s="255">
        <f>R518+R521</f>
        <v>0</v>
      </c>
      <c r="S515" s="255">
        <f>S518+S521</f>
        <v>0</v>
      </c>
      <c r="T515" s="255">
        <f>IF(Q515&gt;0,S515*100/Q515,0)</f>
        <v>0</v>
      </c>
      <c r="U515" s="255">
        <f>IF(R515&gt;0,S515*100/R515,0)</f>
        <v>0</v>
      </c>
    </row>
    <row r="516" spans="1:21" ht="18.75" hidden="1">
      <c r="A516" s="155"/>
      <c r="B516" s="50"/>
      <c r="C516" s="50"/>
      <c r="D516" s="592" t="s">
        <v>22</v>
      </c>
      <c r="E516" s="50"/>
      <c r="F516" s="50"/>
      <c r="G516" s="52"/>
      <c r="H516" s="189" t="s">
        <v>14</v>
      </c>
      <c r="I516" s="163"/>
      <c r="J516" s="163"/>
      <c r="K516" s="164"/>
      <c r="L516" s="256">
        <f ca="1">L517+L518</f>
        <v>0</v>
      </c>
      <c r="M516" s="255">
        <f ca="1">M517+M518</f>
        <v>0</v>
      </c>
      <c r="N516" s="255">
        <f ca="1">N517+N518</f>
        <v>0</v>
      </c>
      <c r="O516" s="255">
        <f ca="1">IF(L516&gt;0,N516*100/L516,0)</f>
        <v>0</v>
      </c>
      <c r="P516" s="255">
        <f ca="1">IF(M516&gt;0,N516*100/M516,0)</f>
        <v>0</v>
      </c>
      <c r="Q516" s="255">
        <f>Q517+Q518</f>
        <v>0</v>
      </c>
      <c r="R516" s="255">
        <f>R517+R518</f>
        <v>0</v>
      </c>
      <c r="S516" s="255">
        <f>S517+S518</f>
        <v>0</v>
      </c>
      <c r="T516" s="255">
        <f>IF(Q516&gt;0,S516*100/Q516,0)</f>
        <v>0</v>
      </c>
      <c r="U516" s="255">
        <f>IF(R516&gt;0,S516*100/R516,0)</f>
        <v>0</v>
      </c>
    </row>
    <row r="517" spans="1:21" ht="18.75" hidden="1">
      <c r="A517" s="155"/>
      <c r="B517" s="50"/>
      <c r="C517" s="50"/>
      <c r="D517" s="50"/>
      <c r="E517" s="186" t="s">
        <v>36</v>
      </c>
      <c r="F517" s="50"/>
      <c r="G517" s="52"/>
      <c r="H517" s="189" t="s">
        <v>14</v>
      </c>
      <c r="I517" s="163"/>
      <c r="J517" s="163"/>
      <c r="K517" s="164"/>
      <c r="L517" s="103">
        <v>0</v>
      </c>
      <c r="M517" s="102">
        <v>0</v>
      </c>
      <c r="N517" s="102">
        <v>0</v>
      </c>
      <c r="O517" s="102">
        <f>IF(L517&gt;0,N517*100/L517,0)</f>
        <v>0</v>
      </c>
      <c r="P517" s="102">
        <f>IF(M517&gt;0,N517*100/M517,0)</f>
        <v>0</v>
      </c>
      <c r="Q517" s="102">
        <v>0</v>
      </c>
      <c r="R517" s="102">
        <v>0</v>
      </c>
      <c r="S517" s="102">
        <v>0</v>
      </c>
      <c r="T517" s="102">
        <f>IF(Q517&gt;0,S517*100/Q517,0)</f>
        <v>0</v>
      </c>
      <c r="U517" s="102">
        <f>IF(R517&gt;0,S517*100/R517,0)</f>
        <v>0</v>
      </c>
    </row>
    <row r="518" spans="1:21" ht="18.75" hidden="1">
      <c r="A518" s="155"/>
      <c r="B518" s="50"/>
      <c r="C518" s="50"/>
      <c r="D518" s="50"/>
      <c r="E518" s="186" t="s">
        <v>37</v>
      </c>
      <c r="F518" s="50"/>
      <c r="G518" s="52"/>
      <c r="H518" s="189" t="s">
        <v>14</v>
      </c>
      <c r="I518" s="163"/>
      <c r="J518" s="163"/>
      <c r="K518" s="164"/>
      <c r="L518" s="256">
        <f ca="1">IFERROR(__xludf.DUMMYFUNCTION("IMPORTRANGE(""https://docs.google.com/spreadsheets/d/1-uDff_7J0KD5mKrp0Vvzr7lt3OU09vwQwhkpOPPYv2Y/edit?usp=sharing"",""งบพรบ!FM38"")"),0)</f>
        <v>0</v>
      </c>
      <c r="M518" s="255">
        <f ca="1">IFERROR(__xludf.DUMMYFUNCTION("IMPORTRANGE(""https://docs.google.com/spreadsheets/d/1-uDff_7J0KD5mKrp0Vvzr7lt3OU09vwQwhkpOPPYv2Y/edit?usp=sharing"",""งบพรบ!FR38"")"),0)</f>
        <v>0</v>
      </c>
      <c r="N518" s="255">
        <f ca="1">IFERROR(__xludf.DUMMYFUNCTION("IMPORTRANGE(""https://docs.google.com/spreadsheets/d/1-uDff_7J0KD5mKrp0Vvzr7lt3OU09vwQwhkpOPPYv2Y/edit?usp=sharing"",""งบพรบ!FT38"")"),0)</f>
        <v>0</v>
      </c>
      <c r="O518" s="255">
        <f ca="1">IF(L518&gt;0,N518*100/L518,0)</f>
        <v>0</v>
      </c>
      <c r="P518" s="255">
        <f ca="1">IF(M518&gt;0,N518*100/M518,0)</f>
        <v>0</v>
      </c>
      <c r="Q518" s="255">
        <v>0</v>
      </c>
      <c r="R518" s="255">
        <v>0</v>
      </c>
      <c r="S518" s="255">
        <v>0</v>
      </c>
      <c r="T518" s="255">
        <f>IF(Q518&gt;0,S518*100/Q518,0)</f>
        <v>0</v>
      </c>
      <c r="U518" s="255">
        <f>IF(R518&gt;0,S518*100/R518,0)</f>
        <v>0</v>
      </c>
    </row>
    <row r="519" spans="1:21" ht="18.75" hidden="1">
      <c r="A519" s="155"/>
      <c r="B519" s="50"/>
      <c r="C519" s="50"/>
      <c r="D519" s="592" t="s">
        <v>23</v>
      </c>
      <c r="E519" s="50"/>
      <c r="F519" s="50"/>
      <c r="G519" s="52"/>
      <c r="H519" s="421" t="s">
        <v>14</v>
      </c>
      <c r="I519" s="163"/>
      <c r="J519" s="163"/>
      <c r="K519" s="164"/>
      <c r="L519" s="256">
        <f ca="1">L520+L521</f>
        <v>0</v>
      </c>
      <c r="M519" s="255">
        <f ca="1">M520+M521</f>
        <v>0</v>
      </c>
      <c r="N519" s="255">
        <f ca="1">N520+N521</f>
        <v>0</v>
      </c>
      <c r="O519" s="255">
        <f ca="1">IF(L519&gt;0,N519*100/L519,0)</f>
        <v>0</v>
      </c>
      <c r="P519" s="255">
        <f ca="1">IF(M519&gt;0,N519*100/M519,0)</f>
        <v>0</v>
      </c>
      <c r="Q519" s="255">
        <f>Q520+Q521</f>
        <v>0</v>
      </c>
      <c r="R519" s="255">
        <f>R520+R521</f>
        <v>0</v>
      </c>
      <c r="S519" s="255">
        <f>S520+S521</f>
        <v>0</v>
      </c>
      <c r="T519" s="255">
        <f>IF(Q519&gt;0,S519*100/Q519,0)</f>
        <v>0</v>
      </c>
      <c r="U519" s="255">
        <f>IF(R519&gt;0,S519*100/R519,0)</f>
        <v>0</v>
      </c>
    </row>
    <row r="520" spans="1:21" ht="18.75" hidden="1">
      <c r="A520" s="155"/>
      <c r="B520" s="50"/>
      <c r="C520" s="50"/>
      <c r="D520" s="50"/>
      <c r="E520" s="186" t="s">
        <v>20</v>
      </c>
      <c r="F520" s="50"/>
      <c r="G520" s="52"/>
      <c r="H520" s="189" t="s">
        <v>14</v>
      </c>
      <c r="I520" s="163"/>
      <c r="J520" s="163"/>
      <c r="K520" s="164"/>
      <c r="L520" s="103">
        <v>0</v>
      </c>
      <c r="M520" s="102">
        <v>0</v>
      </c>
      <c r="N520" s="102">
        <v>0</v>
      </c>
      <c r="O520" s="102">
        <f>IF(L520&gt;0,N520*100/L520,0)</f>
        <v>0</v>
      </c>
      <c r="P520" s="102">
        <f>IF(M520&gt;0,N520*100/M520,0)</f>
        <v>0</v>
      </c>
      <c r="Q520" s="102">
        <v>0</v>
      </c>
      <c r="R520" s="102">
        <v>0</v>
      </c>
      <c r="S520" s="102">
        <v>0</v>
      </c>
      <c r="T520" s="102">
        <f>IF(Q520&gt;0,S520*100/Q520,0)</f>
        <v>0</v>
      </c>
      <c r="U520" s="102">
        <f>IF(R520&gt;0,S520*100/R520,0)</f>
        <v>0</v>
      </c>
    </row>
    <row r="521" spans="1:21" ht="18.75" hidden="1">
      <c r="A521" s="155"/>
      <c r="B521" s="50"/>
      <c r="C521" s="50"/>
      <c r="D521" s="50"/>
      <c r="E521" s="186" t="s">
        <v>21</v>
      </c>
      <c r="F521" s="50"/>
      <c r="G521" s="52"/>
      <c r="H521" s="421" t="s">
        <v>14</v>
      </c>
      <c r="I521" s="163"/>
      <c r="J521" s="163"/>
      <c r="K521" s="164"/>
      <c r="L521" s="256">
        <f ca="1">IFERROR(__xludf.DUMMYFUNCTION("IMPORTRANGE(""https://docs.google.com/spreadsheets/d/1-uDff_7J0KD5mKrp0Vvzr7lt3OU09vwQwhkpOPPYv2Y/edit?usp=sharing"",""งบพรบ!FP38"")"),0)</f>
        <v>0</v>
      </c>
      <c r="M521" s="255">
        <f ca="1">IFERROR(__xludf.DUMMYFUNCTION("IMPORTRANGE(""https://docs.google.com/spreadsheets/d/1-uDff_7J0KD5mKrp0Vvzr7lt3OU09vwQwhkpOPPYv2Y/edit?usp=sharing"",""งบพรบ!FS38"")"),0)</f>
        <v>0</v>
      </c>
      <c r="N521" s="255">
        <f ca="1">IFERROR(__xludf.DUMMYFUNCTION("IMPORTRANGE(""https://docs.google.com/spreadsheets/d/1-uDff_7J0KD5mKrp0Vvzr7lt3OU09vwQwhkpOPPYv2Y/edit?usp=sharing"",""งบพรบ!FU38"")"),0)</f>
        <v>0</v>
      </c>
      <c r="O521" s="255">
        <f ca="1">IF(L521&gt;0,N521*100/L521,0)</f>
        <v>0</v>
      </c>
      <c r="P521" s="255">
        <f ca="1">IF(M521&gt;0,N521*100/M521,0)</f>
        <v>0</v>
      </c>
      <c r="Q521" s="255">
        <v>0</v>
      </c>
      <c r="R521" s="255">
        <v>0</v>
      </c>
      <c r="S521" s="255">
        <v>0</v>
      </c>
      <c r="T521" s="255">
        <f>IF(Q521&gt;0,S521*100/Q521,0)</f>
        <v>0</v>
      </c>
      <c r="U521" s="255">
        <f>IF(R521&gt;0,S521*100/R521,0)</f>
        <v>0</v>
      </c>
    </row>
    <row r="522" spans="1:21" ht="19.5" hidden="1">
      <c r="A522" s="166"/>
      <c r="B522" s="167"/>
      <c r="C522" s="591" t="s">
        <v>18</v>
      </c>
      <c r="D522" s="574" t="s">
        <v>38</v>
      </c>
      <c r="E522" s="169"/>
      <c r="F522" s="169"/>
      <c r="G522" s="170"/>
      <c r="H522" s="171"/>
      <c r="I522" s="163"/>
      <c r="J522" s="54"/>
      <c r="K522" s="55"/>
      <c r="L522" s="62"/>
      <c r="M522" s="55"/>
      <c r="N522" s="55"/>
      <c r="O522" s="164"/>
      <c r="P522" s="164"/>
      <c r="Q522" s="55"/>
      <c r="R522" s="55"/>
      <c r="S522" s="55"/>
      <c r="T522" s="164"/>
      <c r="U522" s="164"/>
    </row>
    <row r="523" spans="1:21" ht="18.75" hidden="1">
      <c r="A523" s="238"/>
      <c r="B523" s="50"/>
      <c r="C523" s="188"/>
      <c r="D523" s="207" t="s">
        <v>209</v>
      </c>
      <c r="E523" s="167"/>
      <c r="F523" s="50"/>
      <c r="G523" s="52"/>
      <c r="H523" s="590" t="s">
        <v>11</v>
      </c>
      <c r="I523" s="483">
        <v>0</v>
      </c>
      <c r="J523" s="589">
        <v>0</v>
      </c>
      <c r="K523" s="102">
        <f>IF(I523&gt;0,J523*100/I523,0)</f>
        <v>0</v>
      </c>
      <c r="L523" s="62"/>
      <c r="M523" s="55"/>
      <c r="N523" s="55"/>
      <c r="O523" s="55"/>
      <c r="P523" s="55"/>
      <c r="Q523" s="55"/>
      <c r="R523" s="55"/>
      <c r="S523" s="55"/>
      <c r="T523" s="55"/>
      <c r="U523" s="55"/>
    </row>
    <row r="524" spans="1:21" ht="18.75" hidden="1">
      <c r="A524" s="374"/>
      <c r="B524" s="4"/>
      <c r="C524" s="5"/>
      <c r="D524" s="588" t="s">
        <v>210</v>
      </c>
      <c r="E524" s="282"/>
      <c r="F524" s="4"/>
      <c r="G524" s="65"/>
      <c r="H524" s="587" t="s">
        <v>61</v>
      </c>
      <c r="I524" s="486">
        <v>0</v>
      </c>
      <c r="J524" s="586">
        <v>0</v>
      </c>
      <c r="K524" s="585">
        <f>IF(I524&gt;0,J524*100/I524,0)</f>
        <v>0</v>
      </c>
      <c r="L524" s="62"/>
      <c r="M524" s="55"/>
      <c r="N524" s="55"/>
      <c r="O524" s="55"/>
      <c r="P524" s="55"/>
      <c r="Q524" s="55"/>
      <c r="R524" s="55"/>
      <c r="S524" s="55"/>
      <c r="T524" s="55"/>
      <c r="U524" s="55"/>
    </row>
    <row r="525" spans="1:21" ht="12.75" hidden="1">
      <c r="A525" s="584"/>
      <c r="B525" s="583"/>
      <c r="C525" s="583"/>
      <c r="D525" s="582"/>
      <c r="E525" s="582"/>
      <c r="F525" s="582"/>
      <c r="G525" s="581"/>
      <c r="H525" s="580"/>
      <c r="I525" s="579"/>
      <c r="J525" s="579"/>
      <c r="K525" s="578"/>
      <c r="L525" s="265"/>
      <c r="M525" s="264"/>
      <c r="N525" s="264"/>
      <c r="O525" s="264"/>
      <c r="P525" s="264"/>
      <c r="Q525" s="264"/>
      <c r="R525" s="264"/>
      <c r="S525" s="264"/>
      <c r="T525" s="264"/>
      <c r="U525" s="264"/>
    </row>
    <row r="526" spans="1:21" ht="12.75" hidden="1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5"/>
      <c r="M526" s="264"/>
      <c r="N526" s="264"/>
      <c r="O526" s="264"/>
      <c r="P526" s="264"/>
      <c r="Q526" s="264"/>
      <c r="R526" s="264"/>
      <c r="S526" s="264"/>
      <c r="T526" s="264"/>
      <c r="U526" s="264"/>
    </row>
    <row r="527" spans="1:21" ht="12.75" hidden="1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5"/>
      <c r="M527" s="264"/>
      <c r="N527" s="264"/>
      <c r="O527" s="264"/>
      <c r="P527" s="264"/>
      <c r="Q527" s="264"/>
      <c r="R527" s="264"/>
      <c r="S527" s="264"/>
      <c r="T527" s="264"/>
      <c r="U527" s="264"/>
    </row>
    <row r="528" spans="1:21" ht="12.75" hidden="1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5"/>
      <c r="M528" s="264"/>
      <c r="N528" s="264"/>
      <c r="O528" s="264"/>
      <c r="P528" s="264"/>
      <c r="Q528" s="264"/>
      <c r="R528" s="264"/>
      <c r="S528" s="264"/>
      <c r="T528" s="264"/>
      <c r="U528" s="264"/>
    </row>
    <row r="529" spans="1:21" ht="12.75" hidden="1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5"/>
      <c r="M529" s="264"/>
      <c r="N529" s="264"/>
      <c r="O529" s="264"/>
      <c r="P529" s="264"/>
      <c r="Q529" s="264"/>
      <c r="R529" s="264"/>
      <c r="S529" s="264"/>
      <c r="T529" s="264"/>
      <c r="U529" s="264"/>
    </row>
    <row r="530" spans="1:21" ht="12.75" hidden="1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5"/>
      <c r="M530" s="264"/>
      <c r="N530" s="264"/>
      <c r="O530" s="264"/>
      <c r="P530" s="264"/>
      <c r="Q530" s="264"/>
      <c r="R530" s="264"/>
      <c r="S530" s="264"/>
      <c r="T530" s="264"/>
      <c r="U530" s="264"/>
    </row>
    <row r="531" spans="1:21" ht="12.75" hidden="1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5"/>
      <c r="M531" s="264"/>
      <c r="N531" s="264"/>
      <c r="O531" s="264"/>
      <c r="P531" s="264"/>
      <c r="Q531" s="264"/>
      <c r="R531" s="264"/>
      <c r="S531" s="264"/>
      <c r="T531" s="264"/>
      <c r="U531" s="264"/>
    </row>
    <row r="532" spans="1:21" ht="12.75" hidden="1">
      <c r="A532" s="407"/>
      <c r="B532" s="360"/>
      <c r="C532" s="360"/>
      <c r="D532" s="408"/>
      <c r="E532" s="408"/>
      <c r="F532" s="408"/>
      <c r="G532" s="409"/>
      <c r="H532" s="361"/>
      <c r="I532" s="362"/>
      <c r="J532" s="362"/>
      <c r="K532" s="363"/>
      <c r="L532" s="364"/>
      <c r="M532" s="363"/>
      <c r="N532" s="363"/>
      <c r="O532" s="363"/>
      <c r="P532" s="363"/>
      <c r="Q532" s="363"/>
      <c r="R532" s="363"/>
      <c r="S532" s="363"/>
      <c r="T532" s="363"/>
      <c r="U532" s="363"/>
    </row>
    <row r="533" spans="1:21" ht="19.5" hidden="1">
      <c r="A533" s="395"/>
      <c r="B533" s="396" t="s">
        <v>211</v>
      </c>
      <c r="C533" s="397"/>
      <c r="D533" s="398"/>
      <c r="E533" s="398"/>
      <c r="F533" s="398"/>
      <c r="G533" s="399"/>
      <c r="H533" s="410" t="s">
        <v>61</v>
      </c>
      <c r="I533" s="577">
        <f>I545</f>
        <v>0</v>
      </c>
      <c r="J533" s="577">
        <f>J545</f>
        <v>0</v>
      </c>
      <c r="K533" s="576">
        <f>IF(I533&gt;0,J533*100/I533,0)</f>
        <v>0</v>
      </c>
      <c r="L533" s="404"/>
      <c r="M533" s="403"/>
      <c r="N533" s="403"/>
      <c r="O533" s="403"/>
      <c r="P533" s="403"/>
      <c r="Q533" s="403"/>
      <c r="R533" s="403"/>
      <c r="S533" s="403"/>
      <c r="T533" s="403"/>
      <c r="U533" s="403"/>
    </row>
    <row r="534" spans="1:21" ht="19.5" hidden="1">
      <c r="A534" s="155"/>
      <c r="B534" s="50"/>
      <c r="C534" s="156" t="s">
        <v>18</v>
      </c>
      <c r="D534" s="575" t="s">
        <v>19</v>
      </c>
      <c r="E534" s="50"/>
      <c r="F534" s="50"/>
      <c r="G534" s="52"/>
      <c r="H534" s="158" t="s">
        <v>14</v>
      </c>
      <c r="I534" s="54"/>
      <c r="J534" s="54"/>
      <c r="K534" s="55"/>
      <c r="L534" s="541">
        <f>L535+L536</f>
        <v>0</v>
      </c>
      <c r="M534" s="540">
        <f>M535+M536</f>
        <v>0</v>
      </c>
      <c r="N534" s="540">
        <f>N535+N536</f>
        <v>0</v>
      </c>
      <c r="O534" s="540">
        <f>IF(L534&gt;0,N534*100/L534,0)</f>
        <v>0</v>
      </c>
      <c r="P534" s="540">
        <f>IF(M534&gt;0,N534*100/M534,0)</f>
        <v>0</v>
      </c>
      <c r="Q534" s="540">
        <f>Q535+Q536</f>
        <v>0</v>
      </c>
      <c r="R534" s="540">
        <f>R535+R536</f>
        <v>0</v>
      </c>
      <c r="S534" s="540">
        <f>S535+S536</f>
        <v>0</v>
      </c>
      <c r="T534" s="540">
        <f>IF(Q534&gt;0,S534*100/Q534,0)</f>
        <v>0</v>
      </c>
      <c r="U534" s="540">
        <f>IF(R534&gt;0,S534*100/R534,0)</f>
        <v>0</v>
      </c>
    </row>
    <row r="535" spans="1:21" ht="18.75" hidden="1">
      <c r="A535" s="155"/>
      <c r="B535" s="188"/>
      <c r="C535" s="50"/>
      <c r="D535" s="50"/>
      <c r="E535" s="186" t="s">
        <v>20</v>
      </c>
      <c r="F535" s="50"/>
      <c r="G535" s="52"/>
      <c r="H535" s="187" t="s">
        <v>14</v>
      </c>
      <c r="I535" s="54"/>
      <c r="J535" s="54"/>
      <c r="K535" s="55"/>
      <c r="L535" s="103">
        <f>L538+L541</f>
        <v>0</v>
      </c>
      <c r="M535" s="102">
        <f>M538+M541</f>
        <v>0</v>
      </c>
      <c r="N535" s="102">
        <f>N538+N541</f>
        <v>0</v>
      </c>
      <c r="O535" s="102">
        <f>IF(L535&gt;0,N535*100/L535,0)</f>
        <v>0</v>
      </c>
      <c r="P535" s="102">
        <f>IF(M535&gt;0,N535*100/M535,0)</f>
        <v>0</v>
      </c>
      <c r="Q535" s="102">
        <f>Q538+Q541</f>
        <v>0</v>
      </c>
      <c r="R535" s="102">
        <f>R538+R541</f>
        <v>0</v>
      </c>
      <c r="S535" s="102">
        <f>S538+S541</f>
        <v>0</v>
      </c>
      <c r="T535" s="102">
        <f>IF(Q535&gt;0,S535*100/Q535,0)</f>
        <v>0</v>
      </c>
      <c r="U535" s="102">
        <f>IF(R535&gt;0,S535*100/R535,0)</f>
        <v>0</v>
      </c>
    </row>
    <row r="536" spans="1:21" ht="18.75" hidden="1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256">
        <f>L539+L542</f>
        <v>0</v>
      </c>
      <c r="M536" s="255">
        <f>M539+M542</f>
        <v>0</v>
      </c>
      <c r="N536" s="255">
        <f>N539+N542</f>
        <v>0</v>
      </c>
      <c r="O536" s="255">
        <f>IF(L536&gt;0,N536*100/L536,0)</f>
        <v>0</v>
      </c>
      <c r="P536" s="255">
        <f>IF(M536&gt;0,N536*100/M536,0)</f>
        <v>0</v>
      </c>
      <c r="Q536" s="255">
        <f>Q539+Q542</f>
        <v>0</v>
      </c>
      <c r="R536" s="255">
        <f>R539+R542</f>
        <v>0</v>
      </c>
      <c r="S536" s="255">
        <f>S539+S542</f>
        <v>0</v>
      </c>
      <c r="T536" s="255">
        <f>IF(Q536&gt;0,S536*100/Q536,0)</f>
        <v>0</v>
      </c>
      <c r="U536" s="255">
        <f>IF(R536&gt;0,S536*100/R536,0)</f>
        <v>0</v>
      </c>
    </row>
    <row r="537" spans="1:21" ht="18.75" hidden="1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256">
        <f>L538+L539</f>
        <v>0</v>
      </c>
      <c r="M537" s="255">
        <f>M538+M539</f>
        <v>0</v>
      </c>
      <c r="N537" s="255">
        <f>N538+N539</f>
        <v>0</v>
      </c>
      <c r="O537" s="255">
        <f>IF(L537&gt;0,N537*100/L537,0)</f>
        <v>0</v>
      </c>
      <c r="P537" s="255">
        <f>IF(M537&gt;0,N537*100/M537,0)</f>
        <v>0</v>
      </c>
      <c r="Q537" s="255">
        <f>Q538+Q539</f>
        <v>0</v>
      </c>
      <c r="R537" s="255">
        <f>R538+R539</f>
        <v>0</v>
      </c>
      <c r="S537" s="255">
        <f>S538+S539</f>
        <v>0</v>
      </c>
      <c r="T537" s="255">
        <f>IF(Q537&gt;0,S537*100/Q537,0)</f>
        <v>0</v>
      </c>
      <c r="U537" s="255">
        <f>IF(R537&gt;0,S537*100/R537,0)</f>
        <v>0</v>
      </c>
    </row>
    <row r="538" spans="1:21" ht="18.75" hidden="1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103">
        <v>0</v>
      </c>
      <c r="M538" s="102">
        <v>0</v>
      </c>
      <c r="N538" s="102">
        <v>0</v>
      </c>
      <c r="O538" s="102">
        <f>IF(L538&gt;0,N538*100/L538,0)</f>
        <v>0</v>
      </c>
      <c r="P538" s="102">
        <f>IF(M538&gt;0,N538*100/M538,0)</f>
        <v>0</v>
      </c>
      <c r="Q538" s="102">
        <v>0</v>
      </c>
      <c r="R538" s="102">
        <v>0</v>
      </c>
      <c r="S538" s="102">
        <v>0</v>
      </c>
      <c r="T538" s="102">
        <f>IF(Q538&gt;0,S538*100/Q538,0)</f>
        <v>0</v>
      </c>
      <c r="U538" s="102">
        <f>IF(R538&gt;0,S538*100/R538,0)</f>
        <v>0</v>
      </c>
    </row>
    <row r="539" spans="1:21" ht="18.75" hidden="1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256">
        <v>0</v>
      </c>
      <c r="M539" s="255">
        <v>0</v>
      </c>
      <c r="N539" s="255">
        <v>0</v>
      </c>
      <c r="O539" s="255">
        <f>IF(L539&gt;0,N539*100/L539,0)</f>
        <v>0</v>
      </c>
      <c r="P539" s="255">
        <f>IF(M539&gt;0,N539*100/M539,0)</f>
        <v>0</v>
      </c>
      <c r="Q539" s="255">
        <v>0</v>
      </c>
      <c r="R539" s="255">
        <v>0</v>
      </c>
      <c r="S539" s="255">
        <v>0</v>
      </c>
      <c r="T539" s="255">
        <f>IF(Q539&gt;0,S539*100/Q539,0)</f>
        <v>0</v>
      </c>
      <c r="U539" s="255">
        <f>IF(R539&gt;0,S539*100/R539,0)</f>
        <v>0</v>
      </c>
    </row>
    <row r="540" spans="1:21" ht="18.75" hidden="1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256">
        <f>L541+L542</f>
        <v>0</v>
      </c>
      <c r="M540" s="255">
        <f>M541+M542</f>
        <v>0</v>
      </c>
      <c r="N540" s="255">
        <f>N541+N542</f>
        <v>0</v>
      </c>
      <c r="O540" s="255">
        <f>IF(L540&gt;0,N540*100/L540,0)</f>
        <v>0</v>
      </c>
      <c r="P540" s="255">
        <f>IF(M540&gt;0,N540*100/M540,0)</f>
        <v>0</v>
      </c>
      <c r="Q540" s="255">
        <f>Q541+Q542</f>
        <v>0</v>
      </c>
      <c r="R540" s="255">
        <f>R541+R542</f>
        <v>0</v>
      </c>
      <c r="S540" s="255">
        <f>S541+S542</f>
        <v>0</v>
      </c>
      <c r="T540" s="255">
        <f>IF(Q540&gt;0,S540*100/Q540,0)</f>
        <v>0</v>
      </c>
      <c r="U540" s="255">
        <f>IF(R540&gt;0,S540*100/R540,0)</f>
        <v>0</v>
      </c>
    </row>
    <row r="541" spans="1:21" ht="18.75" hidden="1">
      <c r="A541" s="155"/>
      <c r="B541" s="50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103">
        <v>0</v>
      </c>
      <c r="M541" s="102">
        <v>0</v>
      </c>
      <c r="N541" s="102">
        <v>0</v>
      </c>
      <c r="O541" s="102">
        <f>IF(L541&gt;0,N541*100/L541,0)</f>
        <v>0</v>
      </c>
      <c r="P541" s="102">
        <f>IF(M541&gt;0,N541*100/M541,0)</f>
        <v>0</v>
      </c>
      <c r="Q541" s="102">
        <v>0</v>
      </c>
      <c r="R541" s="102">
        <v>0</v>
      </c>
      <c r="S541" s="102">
        <v>0</v>
      </c>
      <c r="T541" s="102">
        <f>IF(Q541&gt;0,S541*100/Q541,0)</f>
        <v>0</v>
      </c>
      <c r="U541" s="102">
        <f>IF(R541&gt;0,S541*100/R541,0)</f>
        <v>0</v>
      </c>
    </row>
    <row r="542" spans="1:21" ht="18.75" hidden="1">
      <c r="A542" s="155"/>
      <c r="B542" s="50"/>
      <c r="C542" s="50"/>
      <c r="D542" s="50"/>
      <c r="E542" s="58" t="s">
        <v>21</v>
      </c>
      <c r="F542" s="50"/>
      <c r="G542" s="52"/>
      <c r="H542" s="165" t="s">
        <v>14</v>
      </c>
      <c r="I542" s="163"/>
      <c r="J542" s="163"/>
      <c r="K542" s="164"/>
      <c r="L542" s="256">
        <v>0</v>
      </c>
      <c r="M542" s="255">
        <v>0</v>
      </c>
      <c r="N542" s="255">
        <v>0</v>
      </c>
      <c r="O542" s="255">
        <f>IF(L542&gt;0,N542*100/L542,0)</f>
        <v>0</v>
      </c>
      <c r="P542" s="255">
        <f>IF(M542&gt;0,N542*100/M542,0)</f>
        <v>0</v>
      </c>
      <c r="Q542" s="255">
        <v>0</v>
      </c>
      <c r="R542" s="255">
        <v>0</v>
      </c>
      <c r="S542" s="255">
        <v>0</v>
      </c>
      <c r="T542" s="255">
        <f>IF(Q542&gt;0,S542*100/Q542,0)</f>
        <v>0</v>
      </c>
      <c r="U542" s="255">
        <f>IF(R542&gt;0,S542*100/R542,0)</f>
        <v>0</v>
      </c>
    </row>
    <row r="543" spans="1:21" ht="19.5" hidden="1">
      <c r="A543" s="166"/>
      <c r="B543" s="167"/>
      <c r="C543" s="411" t="s">
        <v>18</v>
      </c>
      <c r="D543" s="566" t="s">
        <v>38</v>
      </c>
      <c r="E543" s="169"/>
      <c r="F543" s="169"/>
      <c r="G543" s="170"/>
      <c r="H543" s="171"/>
      <c r="I543" s="163"/>
      <c r="J543" s="54"/>
      <c r="K543" s="55"/>
      <c r="L543" s="62"/>
      <c r="M543" s="55"/>
      <c r="N543" s="55"/>
      <c r="O543" s="164"/>
      <c r="P543" s="164"/>
      <c r="Q543" s="55"/>
      <c r="R543" s="55"/>
      <c r="S543" s="55"/>
      <c r="T543" s="164"/>
      <c r="U543" s="164"/>
    </row>
    <row r="544" spans="1:21" ht="12.75" hidden="1">
      <c r="A544" s="258"/>
      <c r="B544" s="260"/>
      <c r="C544" s="259"/>
      <c r="D544" s="260"/>
      <c r="E544" s="259"/>
      <c r="F544" s="260"/>
      <c r="G544" s="261"/>
      <c r="H544" s="261"/>
      <c r="I544" s="263"/>
      <c r="J544" s="263"/>
      <c r="K544" s="264"/>
      <c r="L544" s="265"/>
      <c r="M544" s="264"/>
      <c r="N544" s="264"/>
      <c r="O544" s="264"/>
      <c r="P544" s="264"/>
      <c r="Q544" s="264"/>
      <c r="R544" s="264"/>
      <c r="S544" s="264"/>
      <c r="T544" s="264"/>
      <c r="U544" s="264"/>
    </row>
    <row r="545" spans="1:21" ht="12.75" hidden="1">
      <c r="A545" s="258"/>
      <c r="B545" s="260"/>
      <c r="C545" s="259"/>
      <c r="D545" s="260"/>
      <c r="E545" s="259"/>
      <c r="F545" s="260"/>
      <c r="G545" s="261"/>
      <c r="H545" s="261"/>
      <c r="I545" s="263"/>
      <c r="J545" s="263"/>
      <c r="K545" s="264"/>
      <c r="L545" s="265"/>
      <c r="M545" s="264"/>
      <c r="N545" s="264"/>
      <c r="O545" s="264"/>
      <c r="P545" s="264"/>
      <c r="Q545" s="264"/>
      <c r="R545" s="264"/>
      <c r="S545" s="264"/>
      <c r="T545" s="264"/>
      <c r="U545" s="264"/>
    </row>
    <row r="546" spans="1:21" ht="12.75" hidden="1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5"/>
      <c r="M546" s="264"/>
      <c r="N546" s="264"/>
      <c r="O546" s="264"/>
      <c r="P546" s="264"/>
      <c r="Q546" s="264"/>
      <c r="R546" s="264"/>
      <c r="S546" s="264"/>
      <c r="T546" s="264"/>
      <c r="U546" s="264"/>
    </row>
    <row r="547" spans="1:21" ht="12.75" hidden="1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5"/>
      <c r="M547" s="264"/>
      <c r="N547" s="264"/>
      <c r="O547" s="264"/>
      <c r="P547" s="264"/>
      <c r="Q547" s="264"/>
      <c r="R547" s="264"/>
      <c r="S547" s="264"/>
      <c r="T547" s="264"/>
      <c r="U547" s="264"/>
    </row>
    <row r="548" spans="1:21" ht="12.75" hidden="1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5"/>
      <c r="M548" s="264"/>
      <c r="N548" s="264"/>
      <c r="O548" s="264"/>
      <c r="P548" s="264"/>
      <c r="Q548" s="264"/>
      <c r="R548" s="264"/>
      <c r="S548" s="264"/>
      <c r="T548" s="264"/>
      <c r="U548" s="264"/>
    </row>
    <row r="549" spans="1:21" ht="12.75" hidden="1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5"/>
      <c r="M549" s="264"/>
      <c r="N549" s="264"/>
      <c r="O549" s="264"/>
      <c r="P549" s="264"/>
      <c r="Q549" s="264"/>
      <c r="R549" s="264"/>
      <c r="S549" s="264"/>
      <c r="T549" s="264"/>
      <c r="U549" s="264"/>
    </row>
    <row r="550" spans="1:21" ht="12.75" hidden="1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5"/>
      <c r="M550" s="264"/>
      <c r="N550" s="264"/>
      <c r="O550" s="264"/>
      <c r="P550" s="264"/>
      <c r="Q550" s="264"/>
      <c r="R550" s="264"/>
      <c r="S550" s="264"/>
      <c r="T550" s="264"/>
      <c r="U550" s="264"/>
    </row>
    <row r="551" spans="1:21" ht="12.75" hidden="1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5"/>
      <c r="M551" s="264"/>
      <c r="N551" s="264"/>
      <c r="O551" s="264"/>
      <c r="P551" s="264"/>
      <c r="Q551" s="264"/>
      <c r="R551" s="264"/>
      <c r="S551" s="264"/>
      <c r="T551" s="264"/>
      <c r="U551" s="264"/>
    </row>
    <row r="552" spans="1:21" ht="12.75" hidden="1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5"/>
      <c r="M552" s="264"/>
      <c r="N552" s="264"/>
      <c r="O552" s="264"/>
      <c r="P552" s="264"/>
      <c r="Q552" s="264"/>
      <c r="R552" s="264"/>
      <c r="S552" s="264"/>
      <c r="T552" s="264"/>
      <c r="U552" s="264"/>
    </row>
    <row r="553" spans="1:21" ht="12.75" hidden="1">
      <c r="A553" s="407"/>
      <c r="B553" s="360"/>
      <c r="C553" s="360"/>
      <c r="D553" s="408"/>
      <c r="E553" s="408"/>
      <c r="F553" s="408"/>
      <c r="G553" s="409"/>
      <c r="H553" s="361"/>
      <c r="I553" s="362"/>
      <c r="J553" s="362"/>
      <c r="K553" s="363"/>
      <c r="L553" s="364"/>
      <c r="M553" s="363"/>
      <c r="N553" s="363"/>
      <c r="O553" s="363"/>
      <c r="P553" s="363"/>
      <c r="Q553" s="363"/>
      <c r="R553" s="363"/>
      <c r="S553" s="363"/>
      <c r="T553" s="363"/>
      <c r="U553" s="363"/>
    </row>
    <row r="554" spans="1:21" ht="19.5" hidden="1">
      <c r="A554" s="395"/>
      <c r="B554" s="396" t="s">
        <v>212</v>
      </c>
      <c r="C554" s="397"/>
      <c r="D554" s="398"/>
      <c r="E554" s="398"/>
      <c r="F554" s="398"/>
      <c r="G554" s="399"/>
      <c r="H554" s="410" t="s">
        <v>61</v>
      </c>
      <c r="I554" s="577">
        <f>I566</f>
        <v>0</v>
      </c>
      <c r="J554" s="577">
        <f>J566</f>
        <v>0</v>
      </c>
      <c r="K554" s="576">
        <f>IF(I554&gt;0,J554*100/I554,0)</f>
        <v>0</v>
      </c>
      <c r="L554" s="404"/>
      <c r="M554" s="403"/>
      <c r="N554" s="403"/>
      <c r="O554" s="403"/>
      <c r="P554" s="403"/>
      <c r="Q554" s="403"/>
      <c r="R554" s="403"/>
      <c r="S554" s="403"/>
      <c r="T554" s="403"/>
      <c r="U554" s="403"/>
    </row>
    <row r="555" spans="1:21" ht="19.5" hidden="1">
      <c r="A555" s="155"/>
      <c r="B555" s="50"/>
      <c r="C555" s="156" t="s">
        <v>18</v>
      </c>
      <c r="D555" s="575" t="s">
        <v>19</v>
      </c>
      <c r="E555" s="50"/>
      <c r="F555" s="50"/>
      <c r="G555" s="52"/>
      <c r="H555" s="158" t="s">
        <v>14</v>
      </c>
      <c r="I555" s="54"/>
      <c r="J555" s="54"/>
      <c r="K555" s="55"/>
      <c r="L555" s="541">
        <f>L556+L557</f>
        <v>0</v>
      </c>
      <c r="M555" s="540">
        <f>M556+M557</f>
        <v>0</v>
      </c>
      <c r="N555" s="540">
        <f>N556+N557</f>
        <v>0</v>
      </c>
      <c r="O555" s="540">
        <f>IF(L555&gt;0,N555*100/L555,0)</f>
        <v>0</v>
      </c>
      <c r="P555" s="540">
        <f>IF(M555&gt;0,N555*100/M555,0)</f>
        <v>0</v>
      </c>
      <c r="Q555" s="540">
        <f>Q556+Q557</f>
        <v>0</v>
      </c>
      <c r="R555" s="540">
        <f>R556+R557</f>
        <v>0</v>
      </c>
      <c r="S555" s="540">
        <f>S556+S557</f>
        <v>0</v>
      </c>
      <c r="T555" s="540">
        <f>IF(Q555&gt;0,S555*100/Q555,0)</f>
        <v>0</v>
      </c>
      <c r="U555" s="540">
        <f>IF(R555&gt;0,S555*100/R555,0)</f>
        <v>0</v>
      </c>
    </row>
    <row r="556" spans="1:21" ht="18.75" hidden="1">
      <c r="A556" s="155"/>
      <c r="B556" s="188"/>
      <c r="C556" s="50"/>
      <c r="D556" s="50"/>
      <c r="E556" s="186" t="s">
        <v>20</v>
      </c>
      <c r="F556" s="50"/>
      <c r="G556" s="52"/>
      <c r="H556" s="187" t="s">
        <v>14</v>
      </c>
      <c r="I556" s="54"/>
      <c r="J556" s="54"/>
      <c r="K556" s="55"/>
      <c r="L556" s="103">
        <f>L559+L562</f>
        <v>0</v>
      </c>
      <c r="M556" s="102">
        <f>M559+M562</f>
        <v>0</v>
      </c>
      <c r="N556" s="102">
        <f>N559+N562</f>
        <v>0</v>
      </c>
      <c r="O556" s="102">
        <f>IF(L556&gt;0,N556*100/L556,0)</f>
        <v>0</v>
      </c>
      <c r="P556" s="102">
        <f>IF(M556&gt;0,N556*100/M556,0)</f>
        <v>0</v>
      </c>
      <c r="Q556" s="102">
        <f>Q559+Q562</f>
        <v>0</v>
      </c>
      <c r="R556" s="102">
        <f>R559+R562</f>
        <v>0</v>
      </c>
      <c r="S556" s="102">
        <f>S559+S562</f>
        <v>0</v>
      </c>
      <c r="T556" s="102">
        <f>IF(Q556&gt;0,S556*100/Q556,0)</f>
        <v>0</v>
      </c>
      <c r="U556" s="102">
        <f>IF(R556&gt;0,S556*100/R556,0)</f>
        <v>0</v>
      </c>
    </row>
    <row r="557" spans="1:21" ht="18.75" hidden="1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256">
        <f>L560+L563</f>
        <v>0</v>
      </c>
      <c r="M557" s="255">
        <f>M560+M563</f>
        <v>0</v>
      </c>
      <c r="N557" s="255">
        <f>N560+N563</f>
        <v>0</v>
      </c>
      <c r="O557" s="255">
        <f>IF(L557&gt;0,N557*100/L557,0)</f>
        <v>0</v>
      </c>
      <c r="P557" s="255">
        <f>IF(M557&gt;0,N557*100/M557,0)</f>
        <v>0</v>
      </c>
      <c r="Q557" s="255">
        <f>Q560+Q563</f>
        <v>0</v>
      </c>
      <c r="R557" s="255">
        <f>R560+R563</f>
        <v>0</v>
      </c>
      <c r="S557" s="255">
        <f>S560+S563</f>
        <v>0</v>
      </c>
      <c r="T557" s="255">
        <f>IF(Q557&gt;0,S557*100/Q557,0)</f>
        <v>0</v>
      </c>
      <c r="U557" s="255">
        <f>IF(R557&gt;0,S557*100/R557,0)</f>
        <v>0</v>
      </c>
    </row>
    <row r="558" spans="1:21" ht="18.75" hidden="1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256">
        <f>L559+L560</f>
        <v>0</v>
      </c>
      <c r="M558" s="255">
        <f>M559+M560</f>
        <v>0</v>
      </c>
      <c r="N558" s="255">
        <f>N559+N560</f>
        <v>0</v>
      </c>
      <c r="O558" s="255">
        <f>IF(L558&gt;0,N558*100/L558,0)</f>
        <v>0</v>
      </c>
      <c r="P558" s="255">
        <f>IF(M558&gt;0,N558*100/M558,0)</f>
        <v>0</v>
      </c>
      <c r="Q558" s="255">
        <f>Q559+Q560</f>
        <v>0</v>
      </c>
      <c r="R558" s="255">
        <f>R559+R560</f>
        <v>0</v>
      </c>
      <c r="S558" s="255">
        <f>S559+S560</f>
        <v>0</v>
      </c>
      <c r="T558" s="255">
        <f>IF(Q558&gt;0,S558*100/Q558,0)</f>
        <v>0</v>
      </c>
      <c r="U558" s="255">
        <f>IF(R558&gt;0,S558*100/R558,0)</f>
        <v>0</v>
      </c>
    </row>
    <row r="559" spans="1:21" ht="18.75" hidden="1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103">
        <v>0</v>
      </c>
      <c r="M559" s="102">
        <v>0</v>
      </c>
      <c r="N559" s="102">
        <v>0</v>
      </c>
      <c r="O559" s="102">
        <f>IF(L559&gt;0,N559*100/L559,0)</f>
        <v>0</v>
      </c>
      <c r="P559" s="102">
        <f>IF(M559&gt;0,N559*100/M559,0)</f>
        <v>0</v>
      </c>
      <c r="Q559" s="102">
        <v>0</v>
      </c>
      <c r="R559" s="102">
        <v>0</v>
      </c>
      <c r="S559" s="102">
        <v>0</v>
      </c>
      <c r="T559" s="102">
        <f>IF(Q559&gt;0,S559*100/Q559,0)</f>
        <v>0</v>
      </c>
      <c r="U559" s="102">
        <f>IF(R559&gt;0,S559*100/R559,0)</f>
        <v>0</v>
      </c>
    </row>
    <row r="560" spans="1:21" ht="18.75" hidden="1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256">
        <v>0</v>
      </c>
      <c r="M560" s="255">
        <v>0</v>
      </c>
      <c r="N560" s="255">
        <v>0</v>
      </c>
      <c r="O560" s="255">
        <f>IF(L560&gt;0,N560*100/L560,0)</f>
        <v>0</v>
      </c>
      <c r="P560" s="255">
        <f>IF(M560&gt;0,N560*100/M560,0)</f>
        <v>0</v>
      </c>
      <c r="Q560" s="255">
        <v>0</v>
      </c>
      <c r="R560" s="255">
        <v>0</v>
      </c>
      <c r="S560" s="255">
        <v>0</v>
      </c>
      <c r="T560" s="255">
        <f>IF(Q560&gt;0,S560*100/Q560,0)</f>
        <v>0</v>
      </c>
      <c r="U560" s="255">
        <f>IF(R560&gt;0,S560*100/R560,0)</f>
        <v>0</v>
      </c>
    </row>
    <row r="561" spans="1:21" ht="18.75" hidden="1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256">
        <f>L562+L563</f>
        <v>0</v>
      </c>
      <c r="M561" s="255">
        <f>M562+M563</f>
        <v>0</v>
      </c>
      <c r="N561" s="255">
        <f>N562+N563</f>
        <v>0</v>
      </c>
      <c r="O561" s="255">
        <f>IF(L561&gt;0,N561*100/L561,0)</f>
        <v>0</v>
      </c>
      <c r="P561" s="255">
        <f>IF(M561&gt;0,N561*100/M561,0)</f>
        <v>0</v>
      </c>
      <c r="Q561" s="255">
        <f>Q562+Q563</f>
        <v>0</v>
      </c>
      <c r="R561" s="255">
        <f>R562+R563</f>
        <v>0</v>
      </c>
      <c r="S561" s="255">
        <f>S562+S563</f>
        <v>0</v>
      </c>
      <c r="T561" s="255">
        <f>IF(Q561&gt;0,S561*100/Q561,0)</f>
        <v>0</v>
      </c>
      <c r="U561" s="255">
        <f>IF(R561&gt;0,S561*100/R561,0)</f>
        <v>0</v>
      </c>
    </row>
    <row r="562" spans="1:21" ht="18.75" hidden="1">
      <c r="A562" s="155"/>
      <c r="B562" s="50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103">
        <v>0</v>
      </c>
      <c r="M562" s="102">
        <v>0</v>
      </c>
      <c r="N562" s="102">
        <v>0</v>
      </c>
      <c r="O562" s="102">
        <f>IF(L562&gt;0,N562*100/L562,0)</f>
        <v>0</v>
      </c>
      <c r="P562" s="102">
        <f>IF(M562&gt;0,N562*100/M562,0)</f>
        <v>0</v>
      </c>
      <c r="Q562" s="102">
        <v>0</v>
      </c>
      <c r="R562" s="102">
        <v>0</v>
      </c>
      <c r="S562" s="102">
        <v>0</v>
      </c>
      <c r="T562" s="102">
        <f>IF(Q562&gt;0,S562*100/Q562,0)</f>
        <v>0</v>
      </c>
      <c r="U562" s="102">
        <f>IF(R562&gt;0,S562*100/R562,0)</f>
        <v>0</v>
      </c>
    </row>
    <row r="563" spans="1:21" ht="18.75" hidden="1">
      <c r="A563" s="155"/>
      <c r="B563" s="50"/>
      <c r="C563" s="50"/>
      <c r="D563" s="50"/>
      <c r="E563" s="58" t="s">
        <v>21</v>
      </c>
      <c r="F563" s="50"/>
      <c r="G563" s="52"/>
      <c r="H563" s="165" t="s">
        <v>14</v>
      </c>
      <c r="I563" s="163"/>
      <c r="J563" s="163"/>
      <c r="K563" s="164"/>
      <c r="L563" s="256">
        <v>0</v>
      </c>
      <c r="M563" s="255">
        <v>0</v>
      </c>
      <c r="N563" s="255">
        <v>0</v>
      </c>
      <c r="O563" s="255">
        <f>IF(L563&gt;0,N563*100/L563,0)</f>
        <v>0</v>
      </c>
      <c r="P563" s="255">
        <f>IF(M563&gt;0,N563*100/M563,0)</f>
        <v>0</v>
      </c>
      <c r="Q563" s="255">
        <v>0</v>
      </c>
      <c r="R563" s="255">
        <v>0</v>
      </c>
      <c r="S563" s="255">
        <v>0</v>
      </c>
      <c r="T563" s="255">
        <f>IF(Q563&gt;0,S563*100/Q563,0)</f>
        <v>0</v>
      </c>
      <c r="U563" s="255">
        <f>IF(R563&gt;0,S563*100/R563,0)</f>
        <v>0</v>
      </c>
    </row>
    <row r="564" spans="1:21" ht="19.5" hidden="1">
      <c r="A564" s="166"/>
      <c r="B564" s="167"/>
      <c r="C564" s="411" t="s">
        <v>18</v>
      </c>
      <c r="D564" s="566" t="s">
        <v>38</v>
      </c>
      <c r="E564" s="169"/>
      <c r="F564" s="169"/>
      <c r="G564" s="170"/>
      <c r="H564" s="171"/>
      <c r="I564" s="163"/>
      <c r="J564" s="54"/>
      <c r="K564" s="55"/>
      <c r="L564" s="62"/>
      <c r="M564" s="55"/>
      <c r="N564" s="55"/>
      <c r="O564" s="164"/>
      <c r="P564" s="164"/>
      <c r="Q564" s="55"/>
      <c r="R564" s="55"/>
      <c r="S564" s="55"/>
      <c r="T564" s="164"/>
      <c r="U564" s="164"/>
    </row>
    <row r="565" spans="1:21" ht="12.75" hidden="1">
      <c r="A565" s="258"/>
      <c r="B565" s="260"/>
      <c r="C565" s="259"/>
      <c r="D565" s="260"/>
      <c r="E565" s="259"/>
      <c r="F565" s="260"/>
      <c r="G565" s="261"/>
      <c r="H565" s="261"/>
      <c r="I565" s="263"/>
      <c r="J565" s="263"/>
      <c r="K565" s="264"/>
      <c r="L565" s="265"/>
      <c r="M565" s="264"/>
      <c r="N565" s="264"/>
      <c r="O565" s="264"/>
      <c r="P565" s="264"/>
      <c r="Q565" s="264"/>
      <c r="R565" s="264"/>
      <c r="S565" s="264"/>
      <c r="T565" s="264"/>
      <c r="U565" s="264"/>
    </row>
    <row r="566" spans="1:21" ht="12.75" hidden="1">
      <c r="A566" s="258"/>
      <c r="B566" s="260"/>
      <c r="C566" s="259"/>
      <c r="D566" s="260"/>
      <c r="E566" s="259"/>
      <c r="F566" s="260"/>
      <c r="G566" s="261"/>
      <c r="H566" s="261"/>
      <c r="I566" s="263"/>
      <c r="J566" s="263"/>
      <c r="K566" s="264"/>
      <c r="L566" s="265"/>
      <c r="M566" s="264"/>
      <c r="N566" s="264"/>
      <c r="O566" s="264"/>
      <c r="P566" s="264"/>
      <c r="Q566" s="264"/>
      <c r="R566" s="264"/>
      <c r="S566" s="264"/>
      <c r="T566" s="264"/>
      <c r="U566" s="264"/>
    </row>
    <row r="567" spans="1:21" ht="12.75" hidden="1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5"/>
      <c r="M567" s="264"/>
      <c r="N567" s="264"/>
      <c r="O567" s="264"/>
      <c r="P567" s="264"/>
      <c r="Q567" s="264"/>
      <c r="R567" s="264"/>
      <c r="S567" s="264"/>
      <c r="T567" s="264"/>
      <c r="U567" s="264"/>
    </row>
    <row r="568" spans="1:21" ht="12.75" hidden="1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5"/>
      <c r="M568" s="264"/>
      <c r="N568" s="264"/>
      <c r="O568" s="264"/>
      <c r="P568" s="264"/>
      <c r="Q568" s="264"/>
      <c r="R568" s="264"/>
      <c r="S568" s="264"/>
      <c r="T568" s="264"/>
      <c r="U568" s="264"/>
    </row>
    <row r="569" spans="1:21" ht="12.75" hidden="1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5"/>
      <c r="M569" s="264"/>
      <c r="N569" s="264"/>
      <c r="O569" s="264"/>
      <c r="P569" s="264"/>
      <c r="Q569" s="264"/>
      <c r="R569" s="264"/>
      <c r="S569" s="264"/>
      <c r="T569" s="264"/>
      <c r="U569" s="264"/>
    </row>
    <row r="570" spans="1:21" ht="12.75" hidden="1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5"/>
      <c r="M570" s="264"/>
      <c r="N570" s="264"/>
      <c r="O570" s="264"/>
      <c r="P570" s="264"/>
      <c r="Q570" s="264"/>
      <c r="R570" s="264"/>
      <c r="S570" s="264"/>
      <c r="T570" s="264"/>
      <c r="U570" s="264"/>
    </row>
    <row r="571" spans="1:21" ht="12.75" hidden="1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5"/>
      <c r="M571" s="264"/>
      <c r="N571" s="264"/>
      <c r="O571" s="264"/>
      <c r="P571" s="264"/>
      <c r="Q571" s="264"/>
      <c r="R571" s="264"/>
      <c r="S571" s="264"/>
      <c r="T571" s="264"/>
      <c r="U571" s="264"/>
    </row>
    <row r="572" spans="1:21" ht="12.75" hidden="1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5"/>
      <c r="M572" s="264"/>
      <c r="N572" s="264"/>
      <c r="O572" s="264"/>
      <c r="P572" s="264"/>
      <c r="Q572" s="264"/>
      <c r="R572" s="264"/>
      <c r="S572" s="264"/>
      <c r="T572" s="264"/>
      <c r="U572" s="264"/>
    </row>
    <row r="573" spans="1:21" ht="12.75" hidden="1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5"/>
      <c r="M573" s="264"/>
      <c r="N573" s="264"/>
      <c r="O573" s="264"/>
      <c r="P573" s="264"/>
      <c r="Q573" s="264"/>
      <c r="R573" s="264"/>
      <c r="S573" s="264"/>
      <c r="T573" s="264"/>
      <c r="U573" s="264"/>
    </row>
    <row r="574" spans="1:21" ht="12.75" hidden="1">
      <c r="A574" s="407"/>
      <c r="B574" s="360"/>
      <c r="C574" s="360"/>
      <c r="D574" s="408"/>
      <c r="E574" s="408"/>
      <c r="F574" s="408"/>
      <c r="G574" s="409"/>
      <c r="H574" s="361"/>
      <c r="I574" s="362"/>
      <c r="J574" s="362"/>
      <c r="K574" s="363"/>
      <c r="L574" s="364"/>
      <c r="M574" s="363"/>
      <c r="N574" s="363"/>
      <c r="O574" s="363"/>
      <c r="P574" s="363"/>
      <c r="Q574" s="363"/>
      <c r="R574" s="363"/>
      <c r="S574" s="363"/>
      <c r="T574" s="363"/>
      <c r="U574" s="363"/>
    </row>
    <row r="575" spans="1:21" ht="19.5" hidden="1">
      <c r="A575" s="395"/>
      <c r="B575" s="396" t="s">
        <v>213</v>
      </c>
      <c r="C575" s="397"/>
      <c r="D575" s="398"/>
      <c r="E575" s="398"/>
      <c r="F575" s="398"/>
      <c r="G575" s="399"/>
      <c r="H575" s="410" t="s">
        <v>61</v>
      </c>
      <c r="I575" s="577">
        <f>I587</f>
        <v>0</v>
      </c>
      <c r="J575" s="577">
        <f>J587</f>
        <v>0</v>
      </c>
      <c r="K575" s="576">
        <f>IF(I575&gt;0,J575*100/I575,0)</f>
        <v>0</v>
      </c>
      <c r="L575" s="404"/>
      <c r="M575" s="403"/>
      <c r="N575" s="403"/>
      <c r="O575" s="403"/>
      <c r="P575" s="403"/>
      <c r="Q575" s="403"/>
      <c r="R575" s="403"/>
      <c r="S575" s="403"/>
      <c r="T575" s="403"/>
      <c r="U575" s="403"/>
    </row>
    <row r="576" spans="1:21" ht="19.5" hidden="1">
      <c r="A576" s="155"/>
      <c r="B576" s="50"/>
      <c r="C576" s="156" t="s">
        <v>18</v>
      </c>
      <c r="D576" s="575" t="s">
        <v>19</v>
      </c>
      <c r="E576" s="50"/>
      <c r="F576" s="50"/>
      <c r="G576" s="52"/>
      <c r="H576" s="158" t="s">
        <v>14</v>
      </c>
      <c r="I576" s="54"/>
      <c r="J576" s="54"/>
      <c r="K576" s="55"/>
      <c r="L576" s="541">
        <f>L577+L578</f>
        <v>0</v>
      </c>
      <c r="M576" s="540">
        <f>M577+M578</f>
        <v>0</v>
      </c>
      <c r="N576" s="540">
        <f>N577+N578</f>
        <v>0</v>
      </c>
      <c r="O576" s="540">
        <f>IF(L576&gt;0,N576*100/L576,0)</f>
        <v>0</v>
      </c>
      <c r="P576" s="540">
        <f>IF(M576&gt;0,N576*100/M576,0)</f>
        <v>0</v>
      </c>
      <c r="Q576" s="540">
        <f>Q577+Q578</f>
        <v>0</v>
      </c>
      <c r="R576" s="540">
        <f>R577+R578</f>
        <v>0</v>
      </c>
      <c r="S576" s="540">
        <f>S577+S578</f>
        <v>0</v>
      </c>
      <c r="T576" s="540">
        <f>IF(Q576&gt;0,S576*100/Q576,0)</f>
        <v>0</v>
      </c>
      <c r="U576" s="540">
        <f>IF(R576&gt;0,S576*100/R576,0)</f>
        <v>0</v>
      </c>
    </row>
    <row r="577" spans="1:21" ht="18.75" hidden="1">
      <c r="A577" s="155"/>
      <c r="B577" s="188"/>
      <c r="C577" s="50"/>
      <c r="D577" s="50"/>
      <c r="E577" s="186" t="s">
        <v>20</v>
      </c>
      <c r="F577" s="50"/>
      <c r="G577" s="52"/>
      <c r="H577" s="187" t="s">
        <v>14</v>
      </c>
      <c r="I577" s="54"/>
      <c r="J577" s="54"/>
      <c r="K577" s="55"/>
      <c r="L577" s="103">
        <f>L580+L583</f>
        <v>0</v>
      </c>
      <c r="M577" s="102">
        <f>M580+M583</f>
        <v>0</v>
      </c>
      <c r="N577" s="102">
        <f>N580+N583</f>
        <v>0</v>
      </c>
      <c r="O577" s="102">
        <f>IF(L577&gt;0,N577*100/L577,0)</f>
        <v>0</v>
      </c>
      <c r="P577" s="102">
        <f>IF(M577&gt;0,N577*100/M577,0)</f>
        <v>0</v>
      </c>
      <c r="Q577" s="102">
        <f>Q580+Q583</f>
        <v>0</v>
      </c>
      <c r="R577" s="102">
        <f>R580+R583</f>
        <v>0</v>
      </c>
      <c r="S577" s="102">
        <f>S580+S583</f>
        <v>0</v>
      </c>
      <c r="T577" s="102">
        <f>IF(Q577&gt;0,S577*100/Q577,0)</f>
        <v>0</v>
      </c>
      <c r="U577" s="102">
        <f>IF(R577&gt;0,S577*100/R577,0)</f>
        <v>0</v>
      </c>
    </row>
    <row r="578" spans="1:21" ht="18.75" hidden="1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256">
        <f>L581+L584</f>
        <v>0</v>
      </c>
      <c r="M578" s="255">
        <f>M581+M584</f>
        <v>0</v>
      </c>
      <c r="N578" s="255">
        <f>N581+N584</f>
        <v>0</v>
      </c>
      <c r="O578" s="255">
        <f>IF(L578&gt;0,N578*100/L578,0)</f>
        <v>0</v>
      </c>
      <c r="P578" s="255">
        <f>IF(M578&gt;0,N578*100/M578,0)</f>
        <v>0</v>
      </c>
      <c r="Q578" s="255">
        <f>Q581+Q584</f>
        <v>0</v>
      </c>
      <c r="R578" s="255">
        <f>R581+R584</f>
        <v>0</v>
      </c>
      <c r="S578" s="255">
        <f>S581+S584</f>
        <v>0</v>
      </c>
      <c r="T578" s="255">
        <f>IF(Q578&gt;0,S578*100/Q578,0)</f>
        <v>0</v>
      </c>
      <c r="U578" s="255">
        <f>IF(R578&gt;0,S578*100/R578,0)</f>
        <v>0</v>
      </c>
    </row>
    <row r="579" spans="1:21" ht="18.75" hidden="1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256">
        <f>L580+L581</f>
        <v>0</v>
      </c>
      <c r="M579" s="255">
        <f>M580+M581</f>
        <v>0</v>
      </c>
      <c r="N579" s="255">
        <f>N580+N581</f>
        <v>0</v>
      </c>
      <c r="O579" s="255">
        <f>IF(L579&gt;0,N579*100/L579,0)</f>
        <v>0</v>
      </c>
      <c r="P579" s="255">
        <f>IF(M579&gt;0,N579*100/M579,0)</f>
        <v>0</v>
      </c>
      <c r="Q579" s="255">
        <f>Q580+Q581</f>
        <v>0</v>
      </c>
      <c r="R579" s="255">
        <f>R580+R581</f>
        <v>0</v>
      </c>
      <c r="S579" s="255">
        <f>S580+S581</f>
        <v>0</v>
      </c>
      <c r="T579" s="255">
        <f>IF(Q579&gt;0,S579*100/Q579,0)</f>
        <v>0</v>
      </c>
      <c r="U579" s="255">
        <f>IF(R579&gt;0,S579*100/R579,0)</f>
        <v>0</v>
      </c>
    </row>
    <row r="580" spans="1:21" ht="18.75" hidden="1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103">
        <v>0</v>
      </c>
      <c r="M580" s="102">
        <v>0</v>
      </c>
      <c r="N580" s="102">
        <v>0</v>
      </c>
      <c r="O580" s="102">
        <f>IF(L580&gt;0,N580*100/L580,0)</f>
        <v>0</v>
      </c>
      <c r="P580" s="102">
        <f>IF(M580&gt;0,N580*100/M580,0)</f>
        <v>0</v>
      </c>
      <c r="Q580" s="102">
        <v>0</v>
      </c>
      <c r="R580" s="102">
        <v>0</v>
      </c>
      <c r="S580" s="102">
        <v>0</v>
      </c>
      <c r="T580" s="102">
        <f>IF(Q580&gt;0,S580*100/Q580,0)</f>
        <v>0</v>
      </c>
      <c r="U580" s="102">
        <f>IF(R580&gt;0,S580*100/R580,0)</f>
        <v>0</v>
      </c>
    </row>
    <row r="581" spans="1:21" ht="18.75" hidden="1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256">
        <v>0</v>
      </c>
      <c r="M581" s="255">
        <v>0</v>
      </c>
      <c r="N581" s="255">
        <v>0</v>
      </c>
      <c r="O581" s="255">
        <f>IF(L581&gt;0,N581*100/L581,0)</f>
        <v>0</v>
      </c>
      <c r="P581" s="255">
        <f>IF(M581&gt;0,N581*100/M581,0)</f>
        <v>0</v>
      </c>
      <c r="Q581" s="255">
        <v>0</v>
      </c>
      <c r="R581" s="255">
        <v>0</v>
      </c>
      <c r="S581" s="255">
        <v>0</v>
      </c>
      <c r="T581" s="255">
        <f>IF(Q581&gt;0,S581*100/Q581,0)</f>
        <v>0</v>
      </c>
      <c r="U581" s="255">
        <f>IF(R581&gt;0,S581*100/R581,0)</f>
        <v>0</v>
      </c>
    </row>
    <row r="582" spans="1:21" ht="18.75" hidden="1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256">
        <f>L583+L584</f>
        <v>0</v>
      </c>
      <c r="M582" s="255">
        <f>M583+M584</f>
        <v>0</v>
      </c>
      <c r="N582" s="255">
        <f>N583+N584</f>
        <v>0</v>
      </c>
      <c r="O582" s="255">
        <f>IF(L582&gt;0,N582*100/L582,0)</f>
        <v>0</v>
      </c>
      <c r="P582" s="255">
        <f>IF(M582&gt;0,N582*100/M582,0)</f>
        <v>0</v>
      </c>
      <c r="Q582" s="255">
        <f>Q583+Q584</f>
        <v>0</v>
      </c>
      <c r="R582" s="255">
        <f>R583+R584</f>
        <v>0</v>
      </c>
      <c r="S582" s="255">
        <f>S583+S584</f>
        <v>0</v>
      </c>
      <c r="T582" s="255">
        <f>IF(Q582&gt;0,S582*100/Q582,0)</f>
        <v>0</v>
      </c>
      <c r="U582" s="255">
        <f>IF(R582&gt;0,S582*100/R582,0)</f>
        <v>0</v>
      </c>
    </row>
    <row r="583" spans="1:21" ht="18.75" hidden="1">
      <c r="A583" s="155"/>
      <c r="B583" s="50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103">
        <v>0</v>
      </c>
      <c r="M583" s="102">
        <v>0</v>
      </c>
      <c r="N583" s="102">
        <v>0</v>
      </c>
      <c r="O583" s="102">
        <f>IF(L583&gt;0,N583*100/L583,0)</f>
        <v>0</v>
      </c>
      <c r="P583" s="102">
        <f>IF(M583&gt;0,N583*100/M583,0)</f>
        <v>0</v>
      </c>
      <c r="Q583" s="102">
        <v>0</v>
      </c>
      <c r="R583" s="102">
        <v>0</v>
      </c>
      <c r="S583" s="102">
        <v>0</v>
      </c>
      <c r="T583" s="102">
        <f>IF(Q583&gt;0,S583*100/Q583,0)</f>
        <v>0</v>
      </c>
      <c r="U583" s="102">
        <f>IF(R583&gt;0,S583*100/R583,0)</f>
        <v>0</v>
      </c>
    </row>
    <row r="584" spans="1:21" ht="18.75" hidden="1">
      <c r="A584" s="155"/>
      <c r="B584" s="50"/>
      <c r="C584" s="50"/>
      <c r="D584" s="50"/>
      <c r="E584" s="58" t="s">
        <v>21</v>
      </c>
      <c r="F584" s="50"/>
      <c r="G584" s="52"/>
      <c r="H584" s="165" t="s">
        <v>14</v>
      </c>
      <c r="I584" s="163"/>
      <c r="J584" s="163"/>
      <c r="K584" s="164"/>
      <c r="L584" s="256">
        <v>0</v>
      </c>
      <c r="M584" s="255">
        <v>0</v>
      </c>
      <c r="N584" s="255">
        <v>0</v>
      </c>
      <c r="O584" s="255">
        <f>IF(L584&gt;0,N584*100/L584,0)</f>
        <v>0</v>
      </c>
      <c r="P584" s="255">
        <f>IF(M584&gt;0,N584*100/M584,0)</f>
        <v>0</v>
      </c>
      <c r="Q584" s="255">
        <v>0</v>
      </c>
      <c r="R584" s="255">
        <v>0</v>
      </c>
      <c r="S584" s="255">
        <v>0</v>
      </c>
      <c r="T584" s="255">
        <f>IF(Q584&gt;0,S584*100/Q584,0)</f>
        <v>0</v>
      </c>
      <c r="U584" s="255">
        <f>IF(R584&gt;0,S584*100/R584,0)</f>
        <v>0</v>
      </c>
    </row>
    <row r="585" spans="1:21" ht="19.5" hidden="1">
      <c r="A585" s="166"/>
      <c r="B585" s="167"/>
      <c r="C585" s="411" t="s">
        <v>18</v>
      </c>
      <c r="D585" s="566" t="s">
        <v>38</v>
      </c>
      <c r="E585" s="169"/>
      <c r="F585" s="169"/>
      <c r="G585" s="170"/>
      <c r="H585" s="171"/>
      <c r="I585" s="163"/>
      <c r="J585" s="54"/>
      <c r="K585" s="55"/>
      <c r="L585" s="62"/>
      <c r="M585" s="55"/>
      <c r="N585" s="55"/>
      <c r="O585" s="164"/>
      <c r="P585" s="164"/>
      <c r="Q585" s="55"/>
      <c r="R585" s="55"/>
      <c r="S585" s="55"/>
      <c r="T585" s="164"/>
      <c r="U585" s="164"/>
    </row>
    <row r="586" spans="1:21" ht="12.75" hidden="1">
      <c r="A586" s="258"/>
      <c r="B586" s="260"/>
      <c r="C586" s="259"/>
      <c r="D586" s="260"/>
      <c r="E586" s="259"/>
      <c r="F586" s="260"/>
      <c r="G586" s="261"/>
      <c r="H586" s="261"/>
      <c r="I586" s="263"/>
      <c r="J586" s="263"/>
      <c r="K586" s="264"/>
      <c r="L586" s="265"/>
      <c r="M586" s="264"/>
      <c r="N586" s="264"/>
      <c r="O586" s="264"/>
      <c r="P586" s="264"/>
      <c r="Q586" s="264"/>
      <c r="R586" s="264"/>
      <c r="S586" s="264"/>
      <c r="T586" s="264"/>
      <c r="U586" s="264"/>
    </row>
    <row r="587" spans="1:21" ht="12.75" hidden="1">
      <c r="A587" s="258"/>
      <c r="B587" s="260"/>
      <c r="C587" s="259"/>
      <c r="D587" s="260"/>
      <c r="E587" s="259"/>
      <c r="F587" s="260"/>
      <c r="G587" s="261"/>
      <c r="H587" s="261"/>
      <c r="I587" s="263"/>
      <c r="J587" s="263"/>
      <c r="K587" s="264"/>
      <c r="L587" s="265"/>
      <c r="M587" s="264"/>
      <c r="N587" s="264"/>
      <c r="O587" s="264"/>
      <c r="P587" s="264"/>
      <c r="Q587" s="264"/>
      <c r="R587" s="264"/>
      <c r="S587" s="264"/>
      <c r="T587" s="264"/>
      <c r="U587" s="264"/>
    </row>
    <row r="588" spans="1:21" ht="12.75" hidden="1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5"/>
      <c r="M588" s="264"/>
      <c r="N588" s="264"/>
      <c r="O588" s="264"/>
      <c r="P588" s="264"/>
      <c r="Q588" s="264"/>
      <c r="R588" s="264"/>
      <c r="S588" s="264"/>
      <c r="T588" s="264"/>
      <c r="U588" s="264"/>
    </row>
    <row r="589" spans="1:21" ht="12.75" hidden="1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5"/>
      <c r="M589" s="264"/>
      <c r="N589" s="264"/>
      <c r="O589" s="264"/>
      <c r="P589" s="264"/>
      <c r="Q589" s="264"/>
      <c r="R589" s="264"/>
      <c r="S589" s="264"/>
      <c r="T589" s="264"/>
      <c r="U589" s="264"/>
    </row>
    <row r="590" spans="1:21" ht="12.75" hidden="1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5"/>
      <c r="M590" s="264"/>
      <c r="N590" s="264"/>
      <c r="O590" s="264"/>
      <c r="P590" s="264"/>
      <c r="Q590" s="264"/>
      <c r="R590" s="264"/>
      <c r="S590" s="264"/>
      <c r="T590" s="264"/>
      <c r="U590" s="264"/>
    </row>
    <row r="591" spans="1:21" ht="12.75" hidden="1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5"/>
      <c r="M591" s="264"/>
      <c r="N591" s="264"/>
      <c r="O591" s="264"/>
      <c r="P591" s="264"/>
      <c r="Q591" s="264"/>
      <c r="R591" s="264"/>
      <c r="S591" s="264"/>
      <c r="T591" s="264"/>
      <c r="U591" s="264"/>
    </row>
    <row r="592" spans="1:21" ht="12.75" hidden="1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5"/>
      <c r="M592" s="264"/>
      <c r="N592" s="264"/>
      <c r="O592" s="264"/>
      <c r="P592" s="264"/>
      <c r="Q592" s="264"/>
      <c r="R592" s="264"/>
      <c r="S592" s="264"/>
      <c r="T592" s="264"/>
      <c r="U592" s="264"/>
    </row>
    <row r="593" spans="1:21" ht="12.75" hidden="1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5"/>
      <c r="M593" s="264"/>
      <c r="N593" s="264"/>
      <c r="O593" s="264"/>
      <c r="P593" s="264"/>
      <c r="Q593" s="264"/>
      <c r="R593" s="264"/>
      <c r="S593" s="264"/>
      <c r="T593" s="264"/>
      <c r="U593" s="264"/>
    </row>
    <row r="594" spans="1:21" ht="12.75" hidden="1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5"/>
      <c r="M594" s="264"/>
      <c r="N594" s="264"/>
      <c r="O594" s="264"/>
      <c r="P594" s="264"/>
      <c r="Q594" s="264"/>
      <c r="R594" s="264"/>
      <c r="S594" s="264"/>
      <c r="T594" s="264"/>
      <c r="U594" s="264"/>
    </row>
    <row r="595" spans="1:21" ht="12.75" hidden="1">
      <c r="A595" s="407"/>
      <c r="B595" s="360"/>
      <c r="C595" s="360"/>
      <c r="D595" s="408"/>
      <c r="E595" s="408"/>
      <c r="F595" s="408"/>
      <c r="G595" s="409"/>
      <c r="H595" s="361"/>
      <c r="I595" s="362"/>
      <c r="J595" s="362"/>
      <c r="K595" s="363"/>
      <c r="L595" s="364"/>
      <c r="M595" s="363"/>
      <c r="N595" s="363"/>
      <c r="O595" s="363"/>
      <c r="P595" s="363"/>
      <c r="Q595" s="363"/>
      <c r="R595" s="363"/>
      <c r="S595" s="363"/>
      <c r="T595" s="363"/>
      <c r="U595" s="363"/>
    </row>
    <row r="596" spans="1:21" ht="19.5" hidden="1">
      <c r="A596" s="412" t="s">
        <v>214</v>
      </c>
      <c r="B596" s="144"/>
      <c r="C596" s="196"/>
      <c r="D596" s="144"/>
      <c r="E596" s="144"/>
      <c r="F596" s="144"/>
      <c r="G596" s="144"/>
      <c r="H596" s="145"/>
      <c r="I596" s="197"/>
      <c r="J596" s="197"/>
      <c r="K596" s="19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8"/>
    </row>
    <row r="597" spans="1:21" ht="19.5" hidden="1">
      <c r="A597" s="150"/>
      <c r="B597" s="413" t="s">
        <v>215</v>
      </c>
      <c r="C597" s="200"/>
      <c r="D597" s="151"/>
      <c r="E597" s="34"/>
      <c r="F597" s="34"/>
      <c r="G597" s="34"/>
      <c r="H597" s="414" t="s">
        <v>99</v>
      </c>
      <c r="I597" s="210"/>
      <c r="J597" s="39"/>
      <c r="K597" s="40"/>
      <c r="L597" s="154"/>
      <c r="M597" s="40"/>
      <c r="N597" s="40"/>
      <c r="O597" s="40"/>
      <c r="P597" s="40"/>
      <c r="Q597" s="40"/>
      <c r="R597" s="40"/>
      <c r="S597" s="40"/>
      <c r="T597" s="40"/>
      <c r="U597" s="40"/>
    </row>
    <row r="598" spans="1:21" ht="19.5" hidden="1">
      <c r="A598" s="415"/>
      <c r="B598" s="416" t="s">
        <v>216</v>
      </c>
      <c r="C598" s="151"/>
      <c r="D598" s="34"/>
      <c r="E598" s="34"/>
      <c r="F598" s="34"/>
      <c r="G598" s="37"/>
      <c r="H598" s="417" t="s">
        <v>35</v>
      </c>
      <c r="I598" s="39"/>
      <c r="J598" s="39"/>
      <c r="K598" s="40"/>
      <c r="L598" s="154"/>
      <c r="M598" s="40"/>
      <c r="N598" s="40"/>
      <c r="O598" s="40"/>
      <c r="P598" s="40"/>
      <c r="Q598" s="40"/>
      <c r="R598" s="40"/>
      <c r="S598" s="40"/>
      <c r="T598" s="40"/>
      <c r="U598" s="40"/>
    </row>
    <row r="599" spans="1:21" ht="19.5" hidden="1">
      <c r="A599" s="155"/>
      <c r="B599" s="188"/>
      <c r="C599" s="205" t="s">
        <v>18</v>
      </c>
      <c r="D599" s="563" t="s">
        <v>19</v>
      </c>
      <c r="E599" s="529"/>
      <c r="F599" s="529"/>
      <c r="G599" s="530"/>
      <c r="H599" s="418" t="s">
        <v>14</v>
      </c>
      <c r="I599" s="54"/>
      <c r="J599" s="54"/>
      <c r="K599" s="55"/>
      <c r="L599" s="541">
        <f>L600+L601</f>
        <v>0</v>
      </c>
      <c r="M599" s="540">
        <f>M600+M601</f>
        <v>0</v>
      </c>
      <c r="N599" s="540">
        <f>N600+N601</f>
        <v>0</v>
      </c>
      <c r="O599" s="540">
        <f>IF(L599&gt;0,N599*100/L599,0)</f>
        <v>0</v>
      </c>
      <c r="P599" s="540">
        <f>IF(M599&gt;0,N599*100/M599,0)</f>
        <v>0</v>
      </c>
      <c r="Q599" s="540">
        <f>Q600+Q601</f>
        <v>0</v>
      </c>
      <c r="R599" s="540">
        <f>R600+R601</f>
        <v>0</v>
      </c>
      <c r="S599" s="540">
        <f>S600+S601</f>
        <v>0</v>
      </c>
      <c r="T599" s="540">
        <f>IF(Q599&gt;0,S599*100/Q599,0)</f>
        <v>0</v>
      </c>
      <c r="U599" s="540">
        <f>IF(R599&gt;0,S599*100/R599,0)</f>
        <v>0</v>
      </c>
    </row>
    <row r="600" spans="1:21" ht="18.75" hidden="1">
      <c r="A600" s="155"/>
      <c r="B600" s="188"/>
      <c r="C600" s="188"/>
      <c r="D600" s="174"/>
      <c r="E600" s="186" t="s">
        <v>159</v>
      </c>
      <c r="F600" s="50"/>
      <c r="G600" s="52"/>
      <c r="H600" s="189" t="s">
        <v>14</v>
      </c>
      <c r="I600" s="54"/>
      <c r="J600" s="54"/>
      <c r="K600" s="55"/>
      <c r="L600" s="103">
        <f>L603+L606</f>
        <v>0</v>
      </c>
      <c r="M600" s="102">
        <f>M603+M606</f>
        <v>0</v>
      </c>
      <c r="N600" s="102">
        <f>N603+N606</f>
        <v>0</v>
      </c>
      <c r="O600" s="102">
        <f>IF(L600&gt;0,N600*100/L600,0)</f>
        <v>0</v>
      </c>
      <c r="P600" s="102">
        <f>IF(M600&gt;0,N600*100/M600,0)</f>
        <v>0</v>
      </c>
      <c r="Q600" s="102">
        <f>Q603+Q606</f>
        <v>0</v>
      </c>
      <c r="R600" s="102">
        <f>R603+R606</f>
        <v>0</v>
      </c>
      <c r="S600" s="102">
        <f>S603+S606</f>
        <v>0</v>
      </c>
      <c r="T600" s="102">
        <f>IF(Q600&gt;0,S600*100/Q600,0)</f>
        <v>0</v>
      </c>
      <c r="U600" s="102">
        <f>IF(R600&gt;0,S600*100/R600,0)</f>
        <v>0</v>
      </c>
    </row>
    <row r="601" spans="1:21" ht="18.75" hidden="1">
      <c r="A601" s="155"/>
      <c r="B601" s="188"/>
      <c r="C601" s="188"/>
      <c r="D601" s="174"/>
      <c r="E601" s="186" t="s">
        <v>160</v>
      </c>
      <c r="F601" s="50"/>
      <c r="G601" s="52"/>
      <c r="H601" s="189" t="s">
        <v>14</v>
      </c>
      <c r="I601" s="54"/>
      <c r="J601" s="54"/>
      <c r="K601" s="55"/>
      <c r="L601" s="256">
        <f>L604+L607</f>
        <v>0</v>
      </c>
      <c r="M601" s="255">
        <f>M604+M607</f>
        <v>0</v>
      </c>
      <c r="N601" s="255">
        <f>N604+N607</f>
        <v>0</v>
      </c>
      <c r="O601" s="255">
        <f>IF(L601&gt;0,N601*100/L601,0)</f>
        <v>0</v>
      </c>
      <c r="P601" s="255">
        <f>IF(M601&gt;0,N601*100/M601,0)</f>
        <v>0</v>
      </c>
      <c r="Q601" s="255">
        <f>Q604+Q607</f>
        <v>0</v>
      </c>
      <c r="R601" s="255">
        <f>R604+R607</f>
        <v>0</v>
      </c>
      <c r="S601" s="255">
        <f>S604+S607</f>
        <v>0</v>
      </c>
      <c r="T601" s="255">
        <f>IF(Q601&gt;0,S601*100/Q601,0)</f>
        <v>0</v>
      </c>
      <c r="U601" s="255">
        <f>IF(R601&gt;0,S601*100/R601,0)</f>
        <v>0</v>
      </c>
    </row>
    <row r="602" spans="1:21" ht="19.5" hidden="1">
      <c r="A602" s="155"/>
      <c r="B602" s="188"/>
      <c r="C602" s="188"/>
      <c r="D602" s="562" t="s">
        <v>22</v>
      </c>
      <c r="E602" s="50"/>
      <c r="F602" s="50"/>
      <c r="G602" s="52"/>
      <c r="H602" s="418" t="s">
        <v>14</v>
      </c>
      <c r="I602" s="163"/>
      <c r="J602" s="163"/>
      <c r="K602" s="164"/>
      <c r="L602" s="256">
        <f>L603+L604</f>
        <v>0</v>
      </c>
      <c r="M602" s="255">
        <f>M603+M604</f>
        <v>0</v>
      </c>
      <c r="N602" s="255">
        <f>N603+N604</f>
        <v>0</v>
      </c>
      <c r="O602" s="255">
        <f>IF(L602&gt;0,N602*100/L602,0)</f>
        <v>0</v>
      </c>
      <c r="P602" s="255">
        <f>IF(M602&gt;0,N602*100/M602,0)</f>
        <v>0</v>
      </c>
      <c r="Q602" s="255">
        <f>Q603+Q604</f>
        <v>0</v>
      </c>
      <c r="R602" s="255">
        <f>R603+R604</f>
        <v>0</v>
      </c>
      <c r="S602" s="255">
        <f>S603+S604</f>
        <v>0</v>
      </c>
      <c r="T602" s="255">
        <f>IF(Q602&gt;0,S602*100/Q602,0)</f>
        <v>0</v>
      </c>
      <c r="U602" s="255">
        <f>IF(R602&gt;0,S602*100/R602,0)</f>
        <v>0</v>
      </c>
    </row>
    <row r="603" spans="1:21" ht="18.75" hidden="1">
      <c r="A603" s="155"/>
      <c r="B603" s="188"/>
      <c r="C603" s="188"/>
      <c r="D603" s="174"/>
      <c r="E603" s="186" t="s">
        <v>159</v>
      </c>
      <c r="F603" s="50"/>
      <c r="G603" s="52"/>
      <c r="H603" s="189" t="s">
        <v>14</v>
      </c>
      <c r="I603" s="54"/>
      <c r="J603" s="54"/>
      <c r="K603" s="55"/>
      <c r="L603" s="103">
        <v>0</v>
      </c>
      <c r="M603" s="102">
        <v>0</v>
      </c>
      <c r="N603" s="102">
        <v>0</v>
      </c>
      <c r="O603" s="102">
        <f>IF(L603&gt;0,N603*100/L603,0)</f>
        <v>0</v>
      </c>
      <c r="P603" s="102">
        <f>IF(M603&gt;0,N603*100/M603,0)</f>
        <v>0</v>
      </c>
      <c r="Q603" s="102">
        <v>0</v>
      </c>
      <c r="R603" s="102">
        <v>0</v>
      </c>
      <c r="S603" s="102">
        <v>0</v>
      </c>
      <c r="T603" s="102">
        <f>IF(Q603&gt;0,S603*100/Q603,0)</f>
        <v>0</v>
      </c>
      <c r="U603" s="102">
        <f>IF(R603&gt;0,S603*100/R603,0)</f>
        <v>0</v>
      </c>
    </row>
    <row r="604" spans="1:21" ht="18.75" hidden="1">
      <c r="A604" s="155"/>
      <c r="B604" s="188"/>
      <c r="C604" s="188"/>
      <c r="D604" s="174"/>
      <c r="E604" s="186" t="s">
        <v>160</v>
      </c>
      <c r="F604" s="50"/>
      <c r="G604" s="52"/>
      <c r="H604" s="189" t="s">
        <v>14</v>
      </c>
      <c r="I604" s="54"/>
      <c r="J604" s="54"/>
      <c r="K604" s="55"/>
      <c r="L604" s="256">
        <v>0</v>
      </c>
      <c r="M604" s="255">
        <v>0</v>
      </c>
      <c r="N604" s="255">
        <v>0</v>
      </c>
      <c r="O604" s="255">
        <f>IF(L604&gt;0,N604*100/L604,0)</f>
        <v>0</v>
      </c>
      <c r="P604" s="255">
        <f>IF(M604&gt;0,N604*100/M604,0)</f>
        <v>0</v>
      </c>
      <c r="Q604" s="255">
        <v>0</v>
      </c>
      <c r="R604" s="255">
        <v>0</v>
      </c>
      <c r="S604" s="255">
        <v>0</v>
      </c>
      <c r="T604" s="255">
        <f>IF(Q604&gt;0,S604*100/Q604,0)</f>
        <v>0</v>
      </c>
      <c r="U604" s="255">
        <f>IF(R604&gt;0,S604*100/R604,0)</f>
        <v>0</v>
      </c>
    </row>
    <row r="605" spans="1:21" ht="19.5" hidden="1">
      <c r="A605" s="155"/>
      <c r="B605" s="188"/>
      <c r="C605" s="188"/>
      <c r="D605" s="562" t="s">
        <v>23</v>
      </c>
      <c r="E605" s="188"/>
      <c r="F605" s="50"/>
      <c r="G605" s="52"/>
      <c r="H605" s="420" t="s">
        <v>14</v>
      </c>
      <c r="I605" s="163"/>
      <c r="J605" s="163"/>
      <c r="K605" s="164"/>
      <c r="L605" s="256">
        <f>L606+L607</f>
        <v>0</v>
      </c>
      <c r="M605" s="255">
        <f>M606+M607</f>
        <v>0</v>
      </c>
      <c r="N605" s="255">
        <f>N606+N607</f>
        <v>0</v>
      </c>
      <c r="O605" s="255">
        <f>IF(L605&gt;0,N605*100/L605,0)</f>
        <v>0</v>
      </c>
      <c r="P605" s="255">
        <f>IF(M605&gt;0,N605*100/M605,0)</f>
        <v>0</v>
      </c>
      <c r="Q605" s="255">
        <f>Q606+Q607</f>
        <v>0</v>
      </c>
      <c r="R605" s="255">
        <f>R606+R607</f>
        <v>0</v>
      </c>
      <c r="S605" s="255">
        <f>S606+S607</f>
        <v>0</v>
      </c>
      <c r="T605" s="255">
        <f>IF(Q605&gt;0,S605*100/Q605,0)</f>
        <v>0</v>
      </c>
      <c r="U605" s="255">
        <f>IF(R605&gt;0,S605*100/R605,0)</f>
        <v>0</v>
      </c>
    </row>
    <row r="606" spans="1:21" ht="18.75" hidden="1">
      <c r="A606" s="155"/>
      <c r="B606" s="188"/>
      <c r="C606" s="188"/>
      <c r="D606" s="188"/>
      <c r="E606" s="358" t="s">
        <v>20</v>
      </c>
      <c r="F606" s="50"/>
      <c r="G606" s="52"/>
      <c r="H606" s="189" t="s">
        <v>14</v>
      </c>
      <c r="I606" s="163"/>
      <c r="J606" s="163"/>
      <c r="K606" s="164"/>
      <c r="L606" s="103">
        <v>0</v>
      </c>
      <c r="M606" s="102">
        <v>0</v>
      </c>
      <c r="N606" s="102">
        <v>0</v>
      </c>
      <c r="O606" s="102">
        <f>IF(L606&gt;0,N606*100/L606,0)</f>
        <v>0</v>
      </c>
      <c r="P606" s="102">
        <f>IF(M606&gt;0,N606*100/M606,0)</f>
        <v>0</v>
      </c>
      <c r="Q606" s="102">
        <v>0</v>
      </c>
      <c r="R606" s="102">
        <v>0</v>
      </c>
      <c r="S606" s="102">
        <v>0</v>
      </c>
      <c r="T606" s="102">
        <f>IF(Q606&gt;0,S606*100/Q606,0)</f>
        <v>0</v>
      </c>
      <c r="U606" s="102">
        <f>IF(R606&gt;0,S606*100/R606,0)</f>
        <v>0</v>
      </c>
    </row>
    <row r="607" spans="1:21" ht="18.75" hidden="1">
      <c r="A607" s="155"/>
      <c r="B607" s="188"/>
      <c r="C607" s="188"/>
      <c r="D607" s="50"/>
      <c r="E607" s="358" t="s">
        <v>21</v>
      </c>
      <c r="F607" s="50"/>
      <c r="G607" s="52"/>
      <c r="H607" s="421" t="s">
        <v>14</v>
      </c>
      <c r="I607" s="163"/>
      <c r="J607" s="163"/>
      <c r="K607" s="164"/>
      <c r="L607" s="256">
        <v>0</v>
      </c>
      <c r="M607" s="255">
        <v>0</v>
      </c>
      <c r="N607" s="255">
        <v>0</v>
      </c>
      <c r="O607" s="255">
        <f>IF(L607&gt;0,N607*100/L607,0)</f>
        <v>0</v>
      </c>
      <c r="P607" s="255">
        <f>IF(M607&gt;0,N607*100/M607,0)</f>
        <v>0</v>
      </c>
      <c r="Q607" s="255">
        <v>0</v>
      </c>
      <c r="R607" s="255">
        <v>0</v>
      </c>
      <c r="S607" s="255">
        <v>0</v>
      </c>
      <c r="T607" s="255">
        <f>IF(Q607&gt;0,S607*100/Q607,0)</f>
        <v>0</v>
      </c>
      <c r="U607" s="255">
        <f>IF(R607&gt;0,S607*100/R607,0)</f>
        <v>0</v>
      </c>
    </row>
    <row r="608" spans="1:21" ht="19.5" hidden="1">
      <c r="A608" s="166"/>
      <c r="B608" s="167"/>
      <c r="C608" s="205" t="s">
        <v>18</v>
      </c>
      <c r="D608" s="574" t="s">
        <v>38</v>
      </c>
      <c r="E608" s="169"/>
      <c r="F608" s="169"/>
      <c r="G608" s="170"/>
      <c r="H608" s="206"/>
      <c r="I608" s="163"/>
      <c r="J608" s="163"/>
      <c r="K608" s="164"/>
      <c r="L608" s="62"/>
      <c r="M608" s="55"/>
      <c r="N608" s="55"/>
      <c r="O608" s="55"/>
      <c r="P608" s="55"/>
      <c r="Q608" s="55"/>
      <c r="R608" s="55"/>
      <c r="S608" s="55"/>
      <c r="T608" s="55"/>
      <c r="U608" s="55"/>
    </row>
    <row r="609" spans="1:21" ht="18.75" hidden="1">
      <c r="A609" s="166"/>
      <c r="B609" s="167"/>
      <c r="C609" s="167"/>
      <c r="D609" s="423" t="s">
        <v>217</v>
      </c>
      <c r="E609" s="174"/>
      <c r="F609" s="174"/>
      <c r="G609" s="171"/>
      <c r="H609" s="189" t="s">
        <v>99</v>
      </c>
      <c r="I609" s="54"/>
      <c r="J609" s="54"/>
      <c r="K609" s="164"/>
      <c r="L609" s="62"/>
      <c r="M609" s="55"/>
      <c r="N609" s="55"/>
      <c r="O609" s="55"/>
      <c r="P609" s="55"/>
      <c r="Q609" s="55"/>
      <c r="R609" s="55"/>
      <c r="S609" s="55"/>
      <c r="T609" s="55"/>
      <c r="U609" s="55"/>
    </row>
    <row r="610" spans="1:21" ht="19.5" hidden="1">
      <c r="A610" s="166"/>
      <c r="B610" s="167"/>
      <c r="C610" s="167"/>
      <c r="D610" s="423" t="s">
        <v>218</v>
      </c>
      <c r="E610" s="174"/>
      <c r="F610" s="174"/>
      <c r="G610" s="171"/>
      <c r="H610" s="418" t="s">
        <v>35</v>
      </c>
      <c r="I610" s="54"/>
      <c r="J610" s="54"/>
      <c r="K610" s="164"/>
      <c r="L610" s="62"/>
      <c r="M610" s="55"/>
      <c r="N610" s="55"/>
      <c r="O610" s="55"/>
      <c r="P610" s="55"/>
      <c r="Q610" s="55"/>
      <c r="R610" s="55"/>
      <c r="S610" s="55"/>
      <c r="T610" s="55"/>
      <c r="U610" s="55"/>
    </row>
    <row r="611" spans="1:21" ht="18.75" hidden="1">
      <c r="A611" s="166"/>
      <c r="B611" s="167"/>
      <c r="C611" s="167"/>
      <c r="D611" s="167"/>
      <c r="E611" s="423" t="s">
        <v>219</v>
      </c>
      <c r="F611" s="174"/>
      <c r="G611" s="171"/>
      <c r="H611" s="421" t="s">
        <v>35</v>
      </c>
      <c r="I611" s="54"/>
      <c r="J611" s="54"/>
      <c r="K611" s="164"/>
      <c r="L611" s="62"/>
      <c r="M611" s="55"/>
      <c r="N611" s="55"/>
      <c r="O611" s="55"/>
      <c r="P611" s="55"/>
      <c r="Q611" s="55"/>
      <c r="R611" s="55"/>
      <c r="S611" s="55"/>
      <c r="T611" s="55"/>
      <c r="U611" s="55"/>
    </row>
    <row r="612" spans="1:21" ht="19.5" hidden="1" thickBot="1">
      <c r="A612" s="424"/>
      <c r="B612" s="425"/>
      <c r="C612" s="425"/>
      <c r="D612" s="425"/>
      <c r="E612" s="426" t="s">
        <v>220</v>
      </c>
      <c r="F612" s="427"/>
      <c r="G612" s="428"/>
      <c r="H612" s="429" t="s">
        <v>35</v>
      </c>
      <c r="I612" s="430"/>
      <c r="J612" s="430"/>
      <c r="K612" s="431"/>
      <c r="L612" s="433"/>
      <c r="M612" s="432"/>
      <c r="N612" s="432"/>
      <c r="O612" s="432"/>
      <c r="P612" s="432"/>
      <c r="Q612" s="432"/>
      <c r="R612" s="432"/>
      <c r="S612" s="432"/>
      <c r="T612" s="432"/>
      <c r="U612" s="432"/>
    </row>
    <row r="613" spans="1:21" ht="19.5">
      <c r="A613" s="434" t="s">
        <v>221</v>
      </c>
      <c r="B613" s="435"/>
      <c r="C613" s="435"/>
      <c r="D613" s="436"/>
      <c r="E613" s="436"/>
      <c r="F613" s="436"/>
      <c r="G613" s="437"/>
      <c r="H613" s="438"/>
      <c r="I613" s="439"/>
      <c r="J613" s="439"/>
      <c r="K613" s="440"/>
      <c r="L613" s="441"/>
      <c r="M613" s="440"/>
      <c r="N613" s="440"/>
      <c r="O613" s="440"/>
      <c r="P613" s="440"/>
      <c r="Q613" s="440"/>
      <c r="R613" s="440"/>
      <c r="S613" s="440"/>
      <c r="T613" s="440"/>
      <c r="U613" s="440"/>
    </row>
    <row r="614" spans="1:21" ht="19.5">
      <c r="A614" s="442"/>
      <c r="B614" s="443" t="s">
        <v>222</v>
      </c>
      <c r="C614" s="442"/>
      <c r="D614" s="444"/>
      <c r="E614" s="444"/>
      <c r="F614" s="444"/>
      <c r="G614" s="445"/>
      <c r="H614" s="446"/>
      <c r="I614" s="447"/>
      <c r="J614" s="447"/>
      <c r="K614" s="448"/>
      <c r="L614" s="449"/>
      <c r="M614" s="448"/>
      <c r="N614" s="448"/>
      <c r="O614" s="448"/>
      <c r="P614" s="448"/>
      <c r="Q614" s="448"/>
      <c r="R614" s="448"/>
      <c r="S614" s="448"/>
      <c r="T614" s="448"/>
      <c r="U614" s="448"/>
    </row>
    <row r="615" spans="1:21" ht="19.5">
      <c r="A615" s="450"/>
      <c r="B615" s="451" t="s">
        <v>223</v>
      </c>
      <c r="C615" s="450"/>
      <c r="D615" s="452"/>
      <c r="E615" s="452"/>
      <c r="F615" s="452"/>
      <c r="G615" s="453"/>
      <c r="H615" s="454" t="s">
        <v>46</v>
      </c>
      <c r="I615" s="573">
        <f ca="1">I626</f>
        <v>100</v>
      </c>
      <c r="J615" s="573">
        <f>J626</f>
        <v>0</v>
      </c>
      <c r="K615" s="572">
        <f ca="1">IF(I615&gt;0,J615*100/I615,0)</f>
        <v>0</v>
      </c>
      <c r="L615" s="458"/>
      <c r="M615" s="457"/>
      <c r="N615" s="457"/>
      <c r="O615" s="457"/>
      <c r="P615" s="457"/>
      <c r="Q615" s="457"/>
      <c r="R615" s="457"/>
      <c r="S615" s="457"/>
      <c r="T615" s="457"/>
      <c r="U615" s="457"/>
    </row>
    <row r="616" spans="1:21" ht="19.5">
      <c r="A616" s="155"/>
      <c r="B616" s="188"/>
      <c r="C616" s="205" t="s">
        <v>18</v>
      </c>
      <c r="D616" s="542" t="s">
        <v>19</v>
      </c>
      <c r="E616" s="529"/>
      <c r="F616" s="529"/>
      <c r="G616" s="530"/>
      <c r="H616" s="252" t="s">
        <v>14</v>
      </c>
      <c r="I616" s="54"/>
      <c r="J616" s="54"/>
      <c r="K616" s="55"/>
      <c r="L616" s="541">
        <f>L617+L618</f>
        <v>0</v>
      </c>
      <c r="M616" s="540">
        <f>M617+M618</f>
        <v>0</v>
      </c>
      <c r="N616" s="540">
        <f>N617+N618</f>
        <v>0</v>
      </c>
      <c r="O616" s="540">
        <f>IF(L616&gt;0,N616*100/L616,0)</f>
        <v>0</v>
      </c>
      <c r="P616" s="540">
        <f>IF(M616&gt;0,N616*100/M616,0)</f>
        <v>0</v>
      </c>
      <c r="Q616" s="540">
        <f ca="1">Q617+Q618</f>
        <v>12075</v>
      </c>
      <c r="R616" s="540">
        <f ca="1">R617+R618</f>
        <v>12075</v>
      </c>
      <c r="S616" s="540">
        <f ca="1">S617+S618</f>
        <v>0</v>
      </c>
      <c r="T616" s="540">
        <f ca="1">IF(Q616&gt;0,S616*100/Q616,0)</f>
        <v>0</v>
      </c>
      <c r="U616" s="540">
        <f ca="1">IF(R616&gt;0,S616*100/R616,0)</f>
        <v>0</v>
      </c>
    </row>
    <row r="617" spans="1:21" ht="18.75" hidden="1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103">
        <f>L620+L623</f>
        <v>0</v>
      </c>
      <c r="M617" s="102">
        <f>M620+M623</f>
        <v>0</v>
      </c>
      <c r="N617" s="102">
        <f>N620+N623</f>
        <v>0</v>
      </c>
      <c r="O617" s="102">
        <f>IF(L617&gt;0,N617*100/L617,0)</f>
        <v>0</v>
      </c>
      <c r="P617" s="102">
        <f>IF(M617&gt;0,N617*100/M617,0)</f>
        <v>0</v>
      </c>
      <c r="Q617" s="102">
        <f>Q620+Q623</f>
        <v>0</v>
      </c>
      <c r="R617" s="102">
        <f>R620+R623</f>
        <v>0</v>
      </c>
      <c r="S617" s="102">
        <f>S620+S623</f>
        <v>0</v>
      </c>
      <c r="T617" s="102">
        <f>IF(Q617&gt;0,S617*100/Q617,0)</f>
        <v>0</v>
      </c>
      <c r="U617" s="102">
        <f>IF(R617&gt;0,S617*100/R617,0)</f>
        <v>0</v>
      </c>
    </row>
    <row r="618" spans="1:21" ht="18.75" hidden="1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256">
        <f>L621+L624</f>
        <v>0</v>
      </c>
      <c r="M618" s="255">
        <f>M621+M624</f>
        <v>0</v>
      </c>
      <c r="N618" s="255">
        <f>N621+N624</f>
        <v>0</v>
      </c>
      <c r="O618" s="255">
        <f>IF(L618&gt;0,N618*100/L618,0)</f>
        <v>0</v>
      </c>
      <c r="P618" s="255">
        <f>IF(M618&gt;0,N618*100/M618,0)</f>
        <v>0</v>
      </c>
      <c r="Q618" s="255">
        <f ca="1">Q621+Q624</f>
        <v>12075</v>
      </c>
      <c r="R618" s="255">
        <f ca="1">R621+R624</f>
        <v>12075</v>
      </c>
      <c r="S618" s="255">
        <f ca="1">S621+S624</f>
        <v>0</v>
      </c>
      <c r="T618" s="255">
        <f ca="1">IF(Q618&gt;0,S618*100/Q618,0)</f>
        <v>0</v>
      </c>
      <c r="U618" s="255">
        <f ca="1">IF(R618&gt;0,S618*100/R618,0)</f>
        <v>0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256">
        <f>L620+L621</f>
        <v>0</v>
      </c>
      <c r="M619" s="255">
        <f>M620+M621</f>
        <v>0</v>
      </c>
      <c r="N619" s="255">
        <f>N620+N621</f>
        <v>0</v>
      </c>
      <c r="O619" s="255">
        <f>IF(L619&gt;0,N619*100/L619,0)</f>
        <v>0</v>
      </c>
      <c r="P619" s="255">
        <f>IF(M619&gt;0,N619*100/M619,0)</f>
        <v>0</v>
      </c>
      <c r="Q619" s="255">
        <f ca="1">Q620+Q621</f>
        <v>12075</v>
      </c>
      <c r="R619" s="255">
        <f ca="1">R620+R621</f>
        <v>12075</v>
      </c>
      <c r="S619" s="255">
        <f ca="1">S620+S621</f>
        <v>0</v>
      </c>
      <c r="T619" s="255">
        <f ca="1">IF(Q619&gt;0,S619*100/Q619,0)</f>
        <v>0</v>
      </c>
      <c r="U619" s="255">
        <f ca="1">IF(R619&gt;0,S619*100/R619,0)</f>
        <v>0</v>
      </c>
    </row>
    <row r="620" spans="1:21" ht="18.75" hidden="1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103">
        <v>0</v>
      </c>
      <c r="M620" s="102">
        <v>0</v>
      </c>
      <c r="N620" s="102">
        <v>0</v>
      </c>
      <c r="O620" s="102">
        <f>IF(L620&gt;0,N620*100/L620,0)</f>
        <v>0</v>
      </c>
      <c r="P620" s="102">
        <f>IF(M620&gt;0,N620*100/M620,0)</f>
        <v>0</v>
      </c>
      <c r="Q620" s="102">
        <v>0</v>
      </c>
      <c r="R620" s="102">
        <v>0</v>
      </c>
      <c r="S620" s="102">
        <v>0</v>
      </c>
      <c r="T620" s="102">
        <f>IF(Q620&gt;0,S620*100/Q620,0)</f>
        <v>0</v>
      </c>
      <c r="U620" s="102">
        <f>IF(R620&gt;0,S620*100/R620,0)</f>
        <v>0</v>
      </c>
    </row>
    <row r="621" spans="1:21" ht="18.75" hidden="1">
      <c r="A621" s="155"/>
      <c r="B621" s="188"/>
      <c r="C621" s="188"/>
      <c r="D621" s="174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256">
        <v>0</v>
      </c>
      <c r="M621" s="255">
        <v>0</v>
      </c>
      <c r="N621" s="255">
        <v>0</v>
      </c>
      <c r="O621" s="255">
        <f>IF(L621&gt;0,N621*100/L621,0)</f>
        <v>0</v>
      </c>
      <c r="P621" s="255">
        <f>IF(M621&gt;0,N621*100/M621,0)</f>
        <v>0</v>
      </c>
      <c r="Q621" s="255">
        <f ca="1">IFERROR(__xludf.DUMMYFUNCTION("IMPORTRANGE(""https://docs.google.com/spreadsheets/d/1ItG2mGa2ceCfYo0BwxsXqNm01IGEUdYcSSLTEv9YCik/edit?usp=sharing"",""เบิกจ่ายกองทุน!F38"")"),12075)</f>
        <v>12075</v>
      </c>
      <c r="R621" s="255">
        <f ca="1">IFERROR(__xludf.DUMMYFUNCTION("IMPORTRANGE(""https://docs.google.com/spreadsheets/d/1ItG2mGa2ceCfYo0BwxsXqNm01IGEUdYcSSLTEv9YCik/edit?usp=sharing"",""เบิกจ่ายกองทุน!G38"")"),12075)</f>
        <v>12075</v>
      </c>
      <c r="S621" s="255">
        <f ca="1">IFERROR(__xludf.DUMMYFUNCTION("IMPORTRANGE(""https://docs.google.com/spreadsheets/d/1ItG2mGa2ceCfYo0BwxsXqNm01IGEUdYcSSLTEv9YCik/edit?usp=sharing"",""เบิกจ่ายกองทุน!H38"")"),0)</f>
        <v>0</v>
      </c>
      <c r="T621" s="255">
        <f ca="1">IF(Q621&gt;0,S621*100/Q621,0)</f>
        <v>0</v>
      </c>
      <c r="U621" s="255">
        <f ca="1">IF(R621&gt;0,S621*100/R621,0)</f>
        <v>0</v>
      </c>
    </row>
    <row r="622" spans="1:21" ht="18.75">
      <c r="A622" s="155"/>
      <c r="B622" s="188"/>
      <c r="C622" s="188"/>
      <c r="D622" s="51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256">
        <f>L623+L624</f>
        <v>0</v>
      </c>
      <c r="M622" s="255">
        <f>M623+M624</f>
        <v>0</v>
      </c>
      <c r="N622" s="255">
        <f>N623+N624</f>
        <v>0</v>
      </c>
      <c r="O622" s="255">
        <f>IF(L622&gt;0,N622*100/L622,0)</f>
        <v>0</v>
      </c>
      <c r="P622" s="255">
        <f>IF(M622&gt;0,N622*100/M622,0)</f>
        <v>0</v>
      </c>
      <c r="Q622" s="255">
        <f>Q623+Q624</f>
        <v>0</v>
      </c>
      <c r="R622" s="255">
        <f>R623+R624</f>
        <v>0</v>
      </c>
      <c r="S622" s="255">
        <f>S623+S624</f>
        <v>0</v>
      </c>
      <c r="T622" s="255">
        <f>IF(Q622&gt;0,S622*100/Q622,0)</f>
        <v>0</v>
      </c>
      <c r="U622" s="255">
        <f>IF(R622&gt;0,S622*100/R622,0)</f>
        <v>0</v>
      </c>
    </row>
    <row r="623" spans="1:21" ht="18.75" hidden="1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103">
        <v>0</v>
      </c>
      <c r="M623" s="102">
        <v>0</v>
      </c>
      <c r="N623" s="102">
        <v>0</v>
      </c>
      <c r="O623" s="102">
        <f>IF(L623&gt;0,N623*100/L623,0)</f>
        <v>0</v>
      </c>
      <c r="P623" s="102">
        <f>IF(M623&gt;0,N623*100/M623,0)</f>
        <v>0</v>
      </c>
      <c r="Q623" s="102">
        <v>0</v>
      </c>
      <c r="R623" s="102">
        <v>0</v>
      </c>
      <c r="S623" s="102">
        <v>0</v>
      </c>
      <c r="T623" s="102">
        <f>IF(Q623&gt;0,S623*100/Q623,0)</f>
        <v>0</v>
      </c>
      <c r="U623" s="102">
        <f>IF(R623&gt;0,S623*100/R623,0)</f>
        <v>0</v>
      </c>
    </row>
    <row r="624" spans="1:21" ht="18.75" hidden="1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256">
        <v>0</v>
      </c>
      <c r="M624" s="255">
        <v>0</v>
      </c>
      <c r="N624" s="255">
        <v>0</v>
      </c>
      <c r="O624" s="255">
        <f>IF(L624&gt;0,N624*100/L624,0)</f>
        <v>0</v>
      </c>
      <c r="P624" s="255">
        <f>IF(M624&gt;0,N624*100/M624,0)</f>
        <v>0</v>
      </c>
      <c r="Q624" s="255">
        <v>0</v>
      </c>
      <c r="R624" s="255">
        <v>0</v>
      </c>
      <c r="S624" s="255">
        <v>0</v>
      </c>
      <c r="T624" s="255">
        <f>IF(Q624&gt;0,S624*100/Q624,0)</f>
        <v>0</v>
      </c>
      <c r="U624" s="255">
        <f>IF(R624&gt;0,S624*100/R624,0)</f>
        <v>0</v>
      </c>
    </row>
    <row r="625" spans="1:21" ht="19.5">
      <c r="A625" s="166"/>
      <c r="B625" s="167"/>
      <c r="C625" s="205" t="s">
        <v>18</v>
      </c>
      <c r="D625" s="539" t="s">
        <v>38</v>
      </c>
      <c r="E625" s="169"/>
      <c r="F625" s="169"/>
      <c r="G625" s="170"/>
      <c r="H625" s="206"/>
      <c r="I625" s="163"/>
      <c r="J625" s="163"/>
      <c r="K625" s="164"/>
      <c r="L625" s="172"/>
      <c r="M625" s="164"/>
      <c r="N625" s="164"/>
      <c r="O625" s="164"/>
      <c r="P625" s="164"/>
      <c r="Q625" s="164"/>
      <c r="R625" s="164"/>
      <c r="S625" s="164"/>
      <c r="T625" s="164"/>
      <c r="U625" s="164"/>
    </row>
    <row r="626" spans="1:21" ht="19.5">
      <c r="A626" s="166"/>
      <c r="B626" s="167"/>
      <c r="C626" s="167"/>
      <c r="D626" s="460" t="s">
        <v>224</v>
      </c>
      <c r="E626" s="174"/>
      <c r="F626" s="174"/>
      <c r="G626" s="171"/>
      <c r="H626" s="461" t="s">
        <v>46</v>
      </c>
      <c r="I626" s="373">
        <f ca="1">IFERROR(__xludf.DUMMYFUNCTION("IMPORTRANGE(""https://docs.google.com/spreadsheets/d/1eHaY18a8A9IcSdp1K8H6x8fbOy06t2VsZHhMHf-1x7Y/edit?usp=sharing"",""แผน!ID38"")"),100)</f>
        <v>100</v>
      </c>
      <c r="J626" s="373">
        <f>J632</f>
        <v>0</v>
      </c>
      <c r="K626" s="540">
        <f ca="1">IF(I626&gt;0,J626*100/I626,0)</f>
        <v>0</v>
      </c>
      <c r="L626" s="172"/>
      <c r="M626" s="164"/>
      <c r="N626" s="164"/>
      <c r="O626" s="164"/>
      <c r="P626" s="164"/>
      <c r="Q626" s="164"/>
      <c r="R626" s="164"/>
      <c r="S626" s="164"/>
      <c r="T626" s="164"/>
      <c r="U626" s="164"/>
    </row>
    <row r="627" spans="1:21" ht="18.75">
      <c r="A627" s="166"/>
      <c r="B627" s="167"/>
      <c r="C627" s="167"/>
      <c r="D627" s="167"/>
      <c r="E627" s="178" t="s">
        <v>225</v>
      </c>
      <c r="F627" s="174"/>
      <c r="G627" s="171"/>
      <c r="H627" s="165" t="s">
        <v>61</v>
      </c>
      <c r="I627" s="212">
        <f ca="1">IFERROR(__xludf.DUMMYFUNCTION("IMPORTRANGE(""https://docs.google.com/spreadsheets/d/1eHaY18a8A9IcSdp1K8H6x8fbOy06t2VsZHhMHf-1x7Y/edit?usp=sharing"",""แผน!IC38"")"),0)</f>
        <v>0</v>
      </c>
      <c r="J627" s="467">
        <v>0</v>
      </c>
      <c r="K627" s="255">
        <f ca="1">IF(I627&gt;0,(J627*100)/I627,0)</f>
        <v>0</v>
      </c>
      <c r="L627" s="172"/>
      <c r="M627" s="164"/>
      <c r="N627" s="164"/>
      <c r="O627" s="164"/>
      <c r="P627" s="164"/>
      <c r="Q627" s="164"/>
      <c r="R627" s="164"/>
      <c r="S627" s="164"/>
      <c r="T627" s="164"/>
      <c r="U627" s="164"/>
    </row>
    <row r="628" spans="1:21" ht="18.75">
      <c r="A628" s="166"/>
      <c r="B628" s="167"/>
      <c r="C628" s="167"/>
      <c r="D628" s="167"/>
      <c r="E628" s="178" t="s">
        <v>226</v>
      </c>
      <c r="F628" s="174"/>
      <c r="G628" s="171"/>
      <c r="H628" s="165" t="s">
        <v>61</v>
      </c>
      <c r="I628" s="212">
        <f ca="1">IFERROR(__xludf.DUMMYFUNCTION("IMPORTRANGE(""https://docs.google.com/spreadsheets/d/1eHaY18a8A9IcSdp1K8H6x8fbOy06t2VsZHhMHf-1x7Y/edit?usp=sharing"",""แผน!IC38"")"),0)</f>
        <v>0</v>
      </c>
      <c r="J628" s="467">
        <v>0</v>
      </c>
      <c r="K628" s="255">
        <f ca="1">IF(I628&gt;0,(J628*100)/I628,0)</f>
        <v>0</v>
      </c>
      <c r="L628" s="172"/>
      <c r="M628" s="164"/>
      <c r="N628" s="164"/>
      <c r="O628" s="164"/>
      <c r="P628" s="164"/>
      <c r="Q628" s="164"/>
      <c r="R628" s="164"/>
      <c r="S628" s="164"/>
      <c r="T628" s="164"/>
      <c r="U628" s="164"/>
    </row>
    <row r="629" spans="1:21" ht="18.75">
      <c r="A629" s="166"/>
      <c r="B629" s="167"/>
      <c r="C629" s="167"/>
      <c r="D629" s="167"/>
      <c r="E629" s="178" t="s">
        <v>227</v>
      </c>
      <c r="F629" s="174"/>
      <c r="G629" s="171"/>
      <c r="H629" s="165" t="s">
        <v>46</v>
      </c>
      <c r="I629" s="54"/>
      <c r="J629" s="467">
        <v>0</v>
      </c>
      <c r="K629" s="255">
        <f ca="1">IF(I$626&gt;0,J629*100/I$626,0)</f>
        <v>0</v>
      </c>
      <c r="L629" s="172"/>
      <c r="M629" s="164"/>
      <c r="N629" s="164"/>
      <c r="O629" s="164"/>
      <c r="P629" s="164"/>
      <c r="Q629" s="164"/>
      <c r="R629" s="164"/>
      <c r="S629" s="164"/>
      <c r="T629" s="164"/>
      <c r="U629" s="164"/>
    </row>
    <row r="630" spans="1:21" ht="18.75">
      <c r="A630" s="166"/>
      <c r="B630" s="167"/>
      <c r="C630" s="167"/>
      <c r="D630" s="167"/>
      <c r="E630" s="178" t="s">
        <v>228</v>
      </c>
      <c r="F630" s="174"/>
      <c r="G630" s="171"/>
      <c r="H630" s="165" t="s">
        <v>46</v>
      </c>
      <c r="I630" s="54"/>
      <c r="J630" s="467">
        <v>0</v>
      </c>
      <c r="K630" s="255">
        <f ca="1">IF(I$626&gt;0,J630*100/I$626,0)</f>
        <v>0</v>
      </c>
      <c r="L630" s="172"/>
      <c r="M630" s="164"/>
      <c r="N630" s="164"/>
      <c r="O630" s="164"/>
      <c r="P630" s="164"/>
      <c r="Q630" s="164"/>
      <c r="R630" s="164"/>
      <c r="S630" s="164"/>
      <c r="T630" s="164"/>
      <c r="U630" s="164"/>
    </row>
    <row r="631" spans="1:21" ht="18.75">
      <c r="A631" s="166"/>
      <c r="B631" s="167"/>
      <c r="C631" s="167"/>
      <c r="D631" s="167"/>
      <c r="E631" s="178" t="s">
        <v>229</v>
      </c>
      <c r="F631" s="174"/>
      <c r="G631" s="171"/>
      <c r="H631" s="165" t="s">
        <v>46</v>
      </c>
      <c r="I631" s="54"/>
      <c r="J631" s="467">
        <v>0</v>
      </c>
      <c r="K631" s="255">
        <f ca="1">IF(I$626&gt;0,J631*100/I$626,0)</f>
        <v>0</v>
      </c>
      <c r="L631" s="172"/>
      <c r="M631" s="164"/>
      <c r="N631" s="164"/>
      <c r="O631" s="164"/>
      <c r="P631" s="164"/>
      <c r="Q631" s="164"/>
      <c r="R631" s="164"/>
      <c r="S631" s="164"/>
      <c r="T631" s="164"/>
      <c r="U631" s="164"/>
    </row>
    <row r="632" spans="1:21" ht="19.5">
      <c r="A632" s="166"/>
      <c r="B632" s="167"/>
      <c r="C632" s="167"/>
      <c r="D632" s="167"/>
      <c r="E632" s="178" t="s">
        <v>230</v>
      </c>
      <c r="F632" s="174"/>
      <c r="G632" s="171"/>
      <c r="H632" s="165" t="s">
        <v>46</v>
      </c>
      <c r="I632" s="54"/>
      <c r="J632" s="373">
        <f>J633+J634</f>
        <v>0</v>
      </c>
      <c r="K632" s="540">
        <f ca="1">IF(I626&gt;0,J632*100/I626,0)</f>
        <v>0</v>
      </c>
      <c r="L632" s="172"/>
      <c r="M632" s="164"/>
      <c r="N632" s="164"/>
      <c r="O632" s="164"/>
      <c r="P632" s="164"/>
      <c r="Q632" s="164"/>
      <c r="R632" s="164"/>
      <c r="S632" s="164"/>
      <c r="T632" s="164"/>
      <c r="U632" s="164"/>
    </row>
    <row r="633" spans="1:21" ht="18.75">
      <c r="A633" s="166"/>
      <c r="B633" s="167"/>
      <c r="C633" s="167"/>
      <c r="D633" s="167"/>
      <c r="E633" s="174"/>
      <c r="F633" s="178" t="s">
        <v>231</v>
      </c>
      <c r="G633" s="171"/>
      <c r="H633" s="165" t="s">
        <v>46</v>
      </c>
      <c r="I633" s="54"/>
      <c r="J633" s="467">
        <v>0</v>
      </c>
      <c r="K633" s="55"/>
      <c r="L633" s="172"/>
      <c r="M633" s="164"/>
      <c r="N633" s="164"/>
      <c r="O633" s="164"/>
      <c r="P633" s="164"/>
      <c r="Q633" s="164"/>
      <c r="R633" s="164"/>
      <c r="S633" s="164"/>
      <c r="T633" s="164"/>
      <c r="U633" s="164"/>
    </row>
    <row r="634" spans="1:21" ht="18.75">
      <c r="A634" s="166"/>
      <c r="B634" s="167"/>
      <c r="C634" s="167"/>
      <c r="D634" s="167"/>
      <c r="E634" s="174"/>
      <c r="F634" s="178" t="s">
        <v>232</v>
      </c>
      <c r="G634" s="171"/>
      <c r="H634" s="165" t="s">
        <v>46</v>
      </c>
      <c r="I634" s="54"/>
      <c r="J634" s="467">
        <v>0</v>
      </c>
      <c r="K634" s="55"/>
      <c r="L634" s="172"/>
      <c r="M634" s="164"/>
      <c r="N634" s="164"/>
      <c r="O634" s="164"/>
      <c r="P634" s="164"/>
      <c r="Q634" s="164"/>
      <c r="R634" s="164"/>
      <c r="S634" s="164"/>
      <c r="T634" s="164"/>
      <c r="U634" s="164"/>
    </row>
    <row r="635" spans="1:21" ht="19.5">
      <c r="A635" s="166"/>
      <c r="B635" s="167"/>
      <c r="C635" s="167"/>
      <c r="D635" s="460" t="s">
        <v>233</v>
      </c>
      <c r="E635" s="174"/>
      <c r="F635" s="174"/>
      <c r="G635" s="171"/>
      <c r="H635" s="165" t="s">
        <v>46</v>
      </c>
      <c r="I635" s="373">
        <f ca="1">IFERROR(__xludf.DUMMYFUNCTION("IMPORTRANGE(""https://docs.google.com/spreadsheets/d/1eHaY18a8A9IcSdp1K8H6x8fbOy06t2VsZHhMHf-1x7Y/edit?usp=sharing"",""แผน!IE38"")"),0)</f>
        <v>0</v>
      </c>
      <c r="J635" s="373">
        <f>J636</f>
        <v>0</v>
      </c>
      <c r="K635" s="540">
        <f ca="1">IF(I635&gt;0,J635*100/I635,0)</f>
        <v>0</v>
      </c>
      <c r="L635" s="172"/>
      <c r="M635" s="164"/>
      <c r="N635" s="164"/>
      <c r="O635" s="164"/>
      <c r="P635" s="164"/>
      <c r="Q635" s="164"/>
      <c r="R635" s="164"/>
      <c r="S635" s="164"/>
      <c r="T635" s="164"/>
      <c r="U635" s="164"/>
    </row>
    <row r="636" spans="1:21" ht="18.75">
      <c r="A636" s="166"/>
      <c r="B636" s="167"/>
      <c r="C636" s="167"/>
      <c r="D636" s="167"/>
      <c r="E636" s="178" t="s">
        <v>234</v>
      </c>
      <c r="F636" s="174"/>
      <c r="G636" s="171"/>
      <c r="H636" s="165" t="s">
        <v>46</v>
      </c>
      <c r="I636" s="54"/>
      <c r="J636" s="212">
        <f>J637+J638</f>
        <v>0</v>
      </c>
      <c r="K636" s="55"/>
      <c r="L636" s="172"/>
      <c r="M636" s="164"/>
      <c r="N636" s="164"/>
      <c r="O636" s="164"/>
      <c r="P636" s="164"/>
      <c r="Q636" s="164"/>
      <c r="R636" s="164"/>
      <c r="S636" s="164"/>
      <c r="T636" s="164"/>
      <c r="U636" s="164"/>
    </row>
    <row r="637" spans="1:21" ht="18.75">
      <c r="A637" s="166"/>
      <c r="B637" s="167"/>
      <c r="C637" s="167"/>
      <c r="D637" s="167"/>
      <c r="E637" s="174"/>
      <c r="F637" s="178" t="s">
        <v>231</v>
      </c>
      <c r="G637" s="171"/>
      <c r="H637" s="165" t="s">
        <v>46</v>
      </c>
      <c r="I637" s="54"/>
      <c r="J637" s="467">
        <v>0</v>
      </c>
      <c r="K637" s="55"/>
      <c r="L637" s="172"/>
      <c r="M637" s="164"/>
      <c r="N637" s="164"/>
      <c r="O637" s="164"/>
      <c r="P637" s="164"/>
      <c r="Q637" s="164"/>
      <c r="R637" s="164"/>
      <c r="S637" s="164"/>
      <c r="T637" s="164"/>
      <c r="U637" s="164"/>
    </row>
    <row r="638" spans="1:21" ht="18.75">
      <c r="A638" s="166"/>
      <c r="B638" s="167"/>
      <c r="C638" s="167"/>
      <c r="D638" s="167"/>
      <c r="E638" s="174"/>
      <c r="F638" s="178" t="s">
        <v>232</v>
      </c>
      <c r="G638" s="171"/>
      <c r="H638" s="165" t="s">
        <v>46</v>
      </c>
      <c r="I638" s="54"/>
      <c r="J638" s="467">
        <v>0</v>
      </c>
      <c r="K638" s="55"/>
      <c r="L638" s="172"/>
      <c r="M638" s="164"/>
      <c r="N638" s="164"/>
      <c r="O638" s="164"/>
      <c r="P638" s="164"/>
      <c r="Q638" s="164"/>
      <c r="R638" s="164"/>
      <c r="S638" s="164"/>
      <c r="T638" s="164"/>
      <c r="U638" s="164"/>
    </row>
    <row r="639" spans="1:21" ht="18.75">
      <c r="A639" s="166"/>
      <c r="B639" s="167"/>
      <c r="C639" s="167"/>
      <c r="D639" s="167"/>
      <c r="E639" s="178" t="s">
        <v>235</v>
      </c>
      <c r="F639" s="174"/>
      <c r="G639" s="171"/>
      <c r="H639" s="165" t="s">
        <v>46</v>
      </c>
      <c r="I639" s="54"/>
      <c r="J639" s="467">
        <v>0</v>
      </c>
      <c r="K639" s="55"/>
      <c r="L639" s="172"/>
      <c r="M639" s="164"/>
      <c r="N639" s="164"/>
      <c r="O639" s="164"/>
      <c r="P639" s="164"/>
      <c r="Q639" s="164"/>
      <c r="R639" s="164"/>
      <c r="S639" s="164"/>
      <c r="T639" s="164"/>
      <c r="U639" s="164"/>
    </row>
    <row r="640" spans="1:21" ht="18.75">
      <c r="A640" s="166"/>
      <c r="B640" s="167"/>
      <c r="C640" s="167"/>
      <c r="D640" s="167"/>
      <c r="E640" s="174"/>
      <c r="F640" s="178" t="s">
        <v>236</v>
      </c>
      <c r="G640" s="171"/>
      <c r="H640" s="165" t="s">
        <v>46</v>
      </c>
      <c r="I640" s="54"/>
      <c r="J640" s="467">
        <v>0</v>
      </c>
      <c r="K640" s="55"/>
      <c r="L640" s="172"/>
      <c r="M640" s="164"/>
      <c r="N640" s="164"/>
      <c r="O640" s="164"/>
      <c r="P640" s="164"/>
      <c r="Q640" s="164"/>
      <c r="R640" s="164"/>
      <c r="S640" s="164"/>
      <c r="T640" s="164"/>
      <c r="U640" s="164"/>
    </row>
    <row r="641" spans="1:21" ht="19.5">
      <c r="A641" s="450"/>
      <c r="B641" s="451" t="s">
        <v>237</v>
      </c>
      <c r="C641" s="450"/>
      <c r="D641" s="452"/>
      <c r="E641" s="452"/>
      <c r="F641" s="452"/>
      <c r="G641" s="453"/>
      <c r="H641" s="462"/>
      <c r="I641" s="463"/>
      <c r="J641" s="463"/>
      <c r="K641" s="457"/>
      <c r="L641" s="458"/>
      <c r="M641" s="457"/>
      <c r="N641" s="457"/>
      <c r="O641" s="457"/>
      <c r="P641" s="457"/>
      <c r="Q641" s="457"/>
      <c r="R641" s="457"/>
      <c r="S641" s="457"/>
      <c r="T641" s="457"/>
      <c r="U641" s="457"/>
    </row>
    <row r="642" spans="1:21" ht="19.5">
      <c r="A642" s="155"/>
      <c r="B642" s="188"/>
      <c r="C642" s="239" t="s">
        <v>18</v>
      </c>
      <c r="D642" s="542" t="s">
        <v>19</v>
      </c>
      <c r="E642" s="529"/>
      <c r="F642" s="529"/>
      <c r="G642" s="530"/>
      <c r="H642" s="252" t="s">
        <v>14</v>
      </c>
      <c r="I642" s="54"/>
      <c r="J642" s="54"/>
      <c r="K642" s="55"/>
      <c r="L642" s="541">
        <f>L643+L644</f>
        <v>0</v>
      </c>
      <c r="M642" s="540">
        <f>M643+M644</f>
        <v>0</v>
      </c>
      <c r="N642" s="540">
        <f>N643+N644</f>
        <v>0</v>
      </c>
      <c r="O642" s="540">
        <f>IF(L642&gt;0,N642*100/L642,0)</f>
        <v>0</v>
      </c>
      <c r="P642" s="540">
        <f>IF(M642&gt;0,N642*100/M642,0)</f>
        <v>0</v>
      </c>
      <c r="Q642" s="540">
        <f ca="1">Q643+Q644</f>
        <v>18000</v>
      </c>
      <c r="R642" s="540">
        <f ca="1">R643+R644</f>
        <v>18000</v>
      </c>
      <c r="S642" s="540">
        <f ca="1">S643+S644</f>
        <v>0</v>
      </c>
      <c r="T642" s="540">
        <f ca="1">IF(Q642&gt;0,S642*100/Q642,0)</f>
        <v>0</v>
      </c>
      <c r="U642" s="540">
        <f ca="1">IF(R642&gt;0,S642*100/R642,0)</f>
        <v>0</v>
      </c>
    </row>
    <row r="643" spans="1:21" ht="18.75" hidden="1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103">
        <f>L646+L649</f>
        <v>0</v>
      </c>
      <c r="M643" s="102">
        <f>M646+M649</f>
        <v>0</v>
      </c>
      <c r="N643" s="102">
        <f>N646+N649</f>
        <v>0</v>
      </c>
      <c r="O643" s="102">
        <f>IF(L643&gt;0,N643*100/L643,0)</f>
        <v>0</v>
      </c>
      <c r="P643" s="102">
        <f>IF(M643&gt;0,N643*100/M643,0)</f>
        <v>0</v>
      </c>
      <c r="Q643" s="102">
        <f>Q646+Q649</f>
        <v>0</v>
      </c>
      <c r="R643" s="102">
        <f>R646+R649</f>
        <v>0</v>
      </c>
      <c r="S643" s="102">
        <f>S646+S649</f>
        <v>0</v>
      </c>
      <c r="T643" s="102">
        <f>IF(Q643&gt;0,S643*100/Q643,0)</f>
        <v>0</v>
      </c>
      <c r="U643" s="102">
        <f>IF(R643&gt;0,S643*100/R643,0)</f>
        <v>0</v>
      </c>
    </row>
    <row r="644" spans="1:21" ht="18.75" hidden="1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256">
        <f>L647+L650</f>
        <v>0</v>
      </c>
      <c r="M644" s="255">
        <f>M647+M650</f>
        <v>0</v>
      </c>
      <c r="N644" s="255">
        <f>N647+N650</f>
        <v>0</v>
      </c>
      <c r="O644" s="255">
        <f>IF(L644&gt;0,N644*100/L644,0)</f>
        <v>0</v>
      </c>
      <c r="P644" s="255">
        <f>IF(M644&gt;0,N644*100/M644,0)</f>
        <v>0</v>
      </c>
      <c r="Q644" s="255">
        <f ca="1">Q647+Q650</f>
        <v>18000</v>
      </c>
      <c r="R644" s="255">
        <f ca="1">R647+R650</f>
        <v>18000</v>
      </c>
      <c r="S644" s="255">
        <f ca="1">S647+S650</f>
        <v>0</v>
      </c>
      <c r="T644" s="255">
        <f ca="1">IF(Q644&gt;0,S644*100/Q644,0)</f>
        <v>0</v>
      </c>
      <c r="U644" s="255">
        <f ca="1">IF(R644&gt;0,S644*100/R644,0)</f>
        <v>0</v>
      </c>
    </row>
    <row r="645" spans="1:21" ht="18.75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256">
        <f>L646+L647</f>
        <v>0</v>
      </c>
      <c r="M645" s="255">
        <f>M646+M647</f>
        <v>0</v>
      </c>
      <c r="N645" s="255">
        <f>N646+N647</f>
        <v>0</v>
      </c>
      <c r="O645" s="255">
        <f>IF(L645&gt;0,N645*100/L645,0)</f>
        <v>0</v>
      </c>
      <c r="P645" s="255">
        <f>IF(M645&gt;0,N645*100/M645,0)</f>
        <v>0</v>
      </c>
      <c r="Q645" s="255">
        <f ca="1">Q646+Q647</f>
        <v>18000</v>
      </c>
      <c r="R645" s="255">
        <f ca="1">R646+R647</f>
        <v>18000</v>
      </c>
      <c r="S645" s="255">
        <f ca="1">S646+S647</f>
        <v>0</v>
      </c>
      <c r="T645" s="255">
        <f ca="1">IF(Q645&gt;0,S645*100/Q645,0)</f>
        <v>0</v>
      </c>
      <c r="U645" s="255">
        <f ca="1">IF(R645&gt;0,S645*100/R645,0)</f>
        <v>0</v>
      </c>
    </row>
    <row r="646" spans="1:21" ht="18.75" hidden="1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103">
        <v>0</v>
      </c>
      <c r="M646" s="102">
        <v>0</v>
      </c>
      <c r="N646" s="102">
        <v>0</v>
      </c>
      <c r="O646" s="102">
        <f>IF(L646&gt;0,N646*100/L646,0)</f>
        <v>0</v>
      </c>
      <c r="P646" s="102">
        <f>IF(M646&gt;0,N646*100/M646,0)</f>
        <v>0</v>
      </c>
      <c r="Q646" s="102">
        <v>0</v>
      </c>
      <c r="R646" s="102">
        <v>0</v>
      </c>
      <c r="S646" s="102">
        <v>0</v>
      </c>
      <c r="T646" s="102">
        <f>IF(Q646&gt;0,S646*100/Q646,0)</f>
        <v>0</v>
      </c>
      <c r="U646" s="102">
        <f>IF(R646&gt;0,S646*100/R646,0)</f>
        <v>0</v>
      </c>
    </row>
    <row r="647" spans="1:21" ht="18.75" hidden="1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256">
        <v>0</v>
      </c>
      <c r="M647" s="255">
        <v>0</v>
      </c>
      <c r="N647" s="255">
        <v>0</v>
      </c>
      <c r="O647" s="255">
        <f>IF(L647&gt;0,N647*100/L647,0)</f>
        <v>0</v>
      </c>
      <c r="P647" s="255">
        <f>IF(M647&gt;0,N647*100/M647,0)</f>
        <v>0</v>
      </c>
      <c r="Q647" s="255">
        <f ca="1">IFERROR(__xludf.DUMMYFUNCTION("IMPORTRANGE(""https://docs.google.com/spreadsheets/d/1ItG2mGa2ceCfYo0BwxsXqNm01IGEUdYcSSLTEv9YCik/edit?usp=sharing"",""เบิกจ่ายกองทุน!I38"")"),18000)</f>
        <v>18000</v>
      </c>
      <c r="R647" s="255">
        <f ca="1">IFERROR(__xludf.DUMMYFUNCTION("IMPORTRANGE(""https://docs.google.com/spreadsheets/d/1ItG2mGa2ceCfYo0BwxsXqNm01IGEUdYcSSLTEv9YCik/edit?usp=sharing"",""เบิกจ่ายกองทุน!J38"")"),18000)</f>
        <v>18000</v>
      </c>
      <c r="S647" s="255">
        <f ca="1">IFERROR(__xludf.DUMMYFUNCTION("IMPORTRANGE(""https://docs.google.com/spreadsheets/d/1ItG2mGa2ceCfYo0BwxsXqNm01IGEUdYcSSLTEv9YCik/edit?usp=sharing"",""เบิกจ่ายกองทุน!K38"")"),0)</f>
        <v>0</v>
      </c>
      <c r="T647" s="255">
        <f ca="1">IF(Q647&gt;0,S647*100/Q647,0)</f>
        <v>0</v>
      </c>
      <c r="U647" s="255">
        <f ca="1">IF(R647&gt;0,S647*100/R647,0)</f>
        <v>0</v>
      </c>
    </row>
    <row r="648" spans="1:21" ht="18.75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256">
        <f>L649+L650</f>
        <v>0</v>
      </c>
      <c r="M648" s="255">
        <f>M649+M650</f>
        <v>0</v>
      </c>
      <c r="N648" s="255">
        <f>N649+N650</f>
        <v>0</v>
      </c>
      <c r="O648" s="255">
        <f>IF(L648&gt;0,N648*100/L648,0)</f>
        <v>0</v>
      </c>
      <c r="P648" s="255">
        <f>IF(M648&gt;0,N648*100/M648,0)</f>
        <v>0</v>
      </c>
      <c r="Q648" s="255">
        <f>Q649+Q650</f>
        <v>0</v>
      </c>
      <c r="R648" s="255">
        <f>R649+R650</f>
        <v>0</v>
      </c>
      <c r="S648" s="255">
        <f>S649+S650</f>
        <v>0</v>
      </c>
      <c r="T648" s="255">
        <f>IF(Q648&gt;0,S648*100/Q648,0)</f>
        <v>0</v>
      </c>
      <c r="U648" s="255">
        <f>IF(R648&gt;0,S648*100/R648,0)</f>
        <v>0</v>
      </c>
    </row>
    <row r="649" spans="1:21" ht="18.75" hidden="1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103">
        <v>0</v>
      </c>
      <c r="M649" s="102">
        <v>0</v>
      </c>
      <c r="N649" s="102">
        <v>0</v>
      </c>
      <c r="O649" s="102">
        <f>IF(L649&gt;0,N649*100/L649,0)</f>
        <v>0</v>
      </c>
      <c r="P649" s="102">
        <f>IF(M649&gt;0,N649*100/M649,0)</f>
        <v>0</v>
      </c>
      <c r="Q649" s="102">
        <v>0</v>
      </c>
      <c r="R649" s="102">
        <v>0</v>
      </c>
      <c r="S649" s="102">
        <v>0</v>
      </c>
      <c r="T649" s="102">
        <f>IF(Q649&gt;0,S649*100/Q649,0)</f>
        <v>0</v>
      </c>
      <c r="U649" s="102">
        <f>IF(R649&gt;0,S649*100/R649,0)</f>
        <v>0</v>
      </c>
    </row>
    <row r="650" spans="1:21" ht="18.75" hidden="1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256">
        <v>0</v>
      </c>
      <c r="M650" s="255">
        <v>0</v>
      </c>
      <c r="N650" s="255">
        <v>0</v>
      </c>
      <c r="O650" s="255">
        <f>IF(L650&gt;0,N650*100/L650,0)</f>
        <v>0</v>
      </c>
      <c r="P650" s="255">
        <f>IF(M650&gt;0,N650*100/M650,0)</f>
        <v>0</v>
      </c>
      <c r="Q650" s="255">
        <v>0</v>
      </c>
      <c r="R650" s="255">
        <v>0</v>
      </c>
      <c r="S650" s="255">
        <v>0</v>
      </c>
      <c r="T650" s="255">
        <f>IF(Q650&gt;0,S650*100/Q650,0)</f>
        <v>0</v>
      </c>
      <c r="U650" s="255">
        <f>IF(R650&gt;0,S650*100/R650,0)</f>
        <v>0</v>
      </c>
    </row>
    <row r="651" spans="1:21" ht="19.5">
      <c r="A651" s="166"/>
      <c r="B651" s="167"/>
      <c r="C651" s="239" t="s">
        <v>18</v>
      </c>
      <c r="D651" s="571" t="s">
        <v>38</v>
      </c>
      <c r="E651" s="169"/>
      <c r="F651" s="169"/>
      <c r="G651" s="170"/>
      <c r="H651" s="206"/>
      <c r="I651" s="163"/>
      <c r="J651" s="163"/>
      <c r="K651" s="164"/>
      <c r="L651" s="172"/>
      <c r="M651" s="164"/>
      <c r="N651" s="164"/>
      <c r="O651" s="164"/>
      <c r="P651" s="164"/>
      <c r="Q651" s="55"/>
      <c r="R651" s="55"/>
      <c r="S651" s="55"/>
      <c r="T651" s="164"/>
      <c r="U651" s="164"/>
    </row>
    <row r="652" spans="1:21" ht="18.75" hidden="1">
      <c r="A652" s="238"/>
      <c r="B652" s="188"/>
      <c r="C652" s="188"/>
      <c r="D652" s="58" t="s">
        <v>238</v>
      </c>
      <c r="E652" s="50"/>
      <c r="F652" s="50"/>
      <c r="G652" s="52"/>
      <c r="H652" s="165" t="s">
        <v>46</v>
      </c>
      <c r="I652" s="570">
        <f ca="1">IFERROR(__xludf.DUMMYFUNCTION("IMPORTRANGE(""https://docs.google.com/spreadsheets/d/1eHaY18a8A9IcSdp1K8H6x8fbOy06t2VsZHhMHf-1x7Y/edit?usp=sharing"",""แผน!IF38"")"),0)</f>
        <v>0</v>
      </c>
      <c r="J652" s="212">
        <f ca="1">IFERROR(__xludf.DUMMYFUNCTION("IMPORTRANGE(""https://docs.google.com/spreadsheets/d/1tdoBKaGub7dwA3U6UFTqxio9LNnvDCQjHKmttSEBsFQ/edit?usp=sharing"",""จัดที่ดิน!AU38"")"),0)</f>
        <v>0</v>
      </c>
      <c r="K652" s="255">
        <f ca="1">IF(I652&gt;0,J652*100/I652,0)</f>
        <v>0</v>
      </c>
      <c r="L652" s="62"/>
      <c r="M652" s="55"/>
      <c r="N652" s="468"/>
      <c r="O652" s="55"/>
      <c r="P652" s="55"/>
      <c r="Q652" s="55"/>
      <c r="R652" s="55"/>
      <c r="S652" s="468"/>
      <c r="T652" s="55"/>
      <c r="U652" s="55"/>
    </row>
    <row r="653" spans="1:21" ht="18.75" hidden="1">
      <c r="A653" s="238"/>
      <c r="B653" s="188"/>
      <c r="C653" s="188"/>
      <c r="D653" s="58" t="s">
        <v>239</v>
      </c>
      <c r="E653" s="50"/>
      <c r="F653" s="50"/>
      <c r="G653" s="52"/>
      <c r="H653" s="165" t="s">
        <v>35</v>
      </c>
      <c r="I653" s="570">
        <f ca="1">IFERROR(__xludf.DUMMYFUNCTION("IMPORTRANGE(""https://docs.google.com/spreadsheets/d/1eHaY18a8A9IcSdp1K8H6x8fbOy06t2VsZHhMHf-1x7Y/edit?usp=sharing"",""แผน!IG38"")"),0)</f>
        <v>0</v>
      </c>
      <c r="J653" s="212">
        <f ca="1">IFERROR(__xludf.DUMMYFUNCTION("IMPORTRANGE(""https://docs.google.com/spreadsheets/d/1tdoBKaGub7dwA3U6UFTqxio9LNnvDCQjHKmttSEBsFQ/edit?usp=sharing"",""จัดที่ดิน!AW38"")"),0)</f>
        <v>0</v>
      </c>
      <c r="K653" s="255">
        <f ca="1">IF(I653&gt;0,J653*100/I653,0)</f>
        <v>0</v>
      </c>
      <c r="L653" s="62"/>
      <c r="M653" s="55"/>
      <c r="N653" s="468"/>
      <c r="O653" s="55"/>
      <c r="P653" s="55"/>
      <c r="Q653" s="55"/>
      <c r="R653" s="55"/>
      <c r="S653" s="468"/>
      <c r="T653" s="55"/>
      <c r="U653" s="55"/>
    </row>
    <row r="654" spans="1:21" ht="19.5">
      <c r="A654" s="238"/>
      <c r="B654" s="188"/>
      <c r="C654" s="188"/>
      <c r="D654" s="58" t="s">
        <v>240</v>
      </c>
      <c r="E654" s="50"/>
      <c r="F654" s="50"/>
      <c r="G654" s="52"/>
      <c r="H654" s="461" t="s">
        <v>46</v>
      </c>
      <c r="I654" s="569">
        <f ca="1">IFERROR(__xludf.DUMMYFUNCTION("IMPORTRANGE(""https://docs.google.com/spreadsheets/d/1eHaY18a8A9IcSdp1K8H6x8fbOy06t2VsZHhMHf-1x7Y/edit?usp=sharing"",""แผน!IH38"")"),140)</f>
        <v>140</v>
      </c>
      <c r="J654" s="373">
        <f>J657+J660</f>
        <v>127</v>
      </c>
      <c r="K654" s="540">
        <f ca="1">IF(I654&gt;0,J654*100/I654,0)</f>
        <v>90.714285714285708</v>
      </c>
      <c r="L654" s="62"/>
      <c r="M654" s="55"/>
      <c r="N654" s="468"/>
      <c r="O654" s="55"/>
      <c r="P654" s="55"/>
      <c r="Q654" s="55"/>
      <c r="R654" s="55"/>
      <c r="S654" s="468"/>
      <c r="T654" s="55"/>
      <c r="U654" s="55"/>
    </row>
    <row r="655" spans="1:21" ht="18.75">
      <c r="A655" s="238"/>
      <c r="B655" s="188"/>
      <c r="C655" s="188"/>
      <c r="D655" s="50"/>
      <c r="E655" s="58" t="s">
        <v>241</v>
      </c>
      <c r="F655" s="50"/>
      <c r="G655" s="52"/>
      <c r="H655" s="165" t="s">
        <v>35</v>
      </c>
      <c r="I655" s="208"/>
      <c r="J655" s="467">
        <v>15</v>
      </c>
      <c r="K655" s="55"/>
      <c r="L655" s="62"/>
      <c r="M655" s="55"/>
      <c r="N655" s="468"/>
      <c r="O655" s="55"/>
      <c r="P655" s="55"/>
      <c r="Q655" s="55"/>
      <c r="R655" s="55"/>
      <c r="S655" s="468"/>
      <c r="T655" s="55"/>
      <c r="U655" s="55"/>
    </row>
    <row r="656" spans="1:21" ht="18.75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67">
        <v>23</v>
      </c>
      <c r="K656" s="55"/>
      <c r="L656" s="62"/>
      <c r="M656" s="55"/>
      <c r="N656" s="468"/>
      <c r="O656" s="55"/>
      <c r="P656" s="55"/>
      <c r="Q656" s="55"/>
      <c r="R656" s="55"/>
      <c r="S656" s="468"/>
      <c r="T656" s="55"/>
      <c r="U656" s="55"/>
    </row>
    <row r="657" spans="1:21" ht="18.75">
      <c r="A657" s="238"/>
      <c r="B657" s="188"/>
      <c r="C657" s="188"/>
      <c r="D657" s="50"/>
      <c r="E657" s="50"/>
      <c r="F657" s="50"/>
      <c r="G657" s="52"/>
      <c r="H657" s="165" t="s">
        <v>46</v>
      </c>
      <c r="I657" s="570">
        <f ca="1">IFERROR(__xludf.DUMMYFUNCTION("IMPORTRANGE(""https://docs.google.com/spreadsheets/d/1eHaY18a8A9IcSdp1K8H6x8fbOy06t2VsZHhMHf-1x7Y/edit?usp=sharing"",""แผน!II38"")"),120)</f>
        <v>120</v>
      </c>
      <c r="J657" s="467">
        <v>127</v>
      </c>
      <c r="K657" s="55"/>
      <c r="L657" s="62"/>
      <c r="M657" s="55"/>
      <c r="N657" s="468"/>
      <c r="O657" s="55"/>
      <c r="P657" s="55"/>
      <c r="Q657" s="55"/>
      <c r="R657" s="55"/>
      <c r="S657" s="468"/>
      <c r="T657" s="55"/>
      <c r="U657" s="55"/>
    </row>
    <row r="658" spans="1:21" ht="18.75">
      <c r="A658" s="238"/>
      <c r="B658" s="188"/>
      <c r="C658" s="188"/>
      <c r="D658" s="50"/>
      <c r="E658" s="58" t="s">
        <v>242</v>
      </c>
      <c r="F658" s="50"/>
      <c r="G658" s="52"/>
      <c r="H658" s="165" t="s">
        <v>35</v>
      </c>
      <c r="I658" s="208"/>
      <c r="J658" s="467"/>
      <c r="K658" s="55"/>
      <c r="L658" s="62"/>
      <c r="M658" s="55"/>
      <c r="N658" s="468"/>
      <c r="O658" s="55"/>
      <c r="P658" s="55"/>
      <c r="Q658" s="55"/>
      <c r="R658" s="55"/>
      <c r="S658" s="468"/>
      <c r="T658" s="55"/>
      <c r="U658" s="55"/>
    </row>
    <row r="659" spans="1:21" ht="18.75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67"/>
      <c r="K659" s="55"/>
      <c r="L659" s="62"/>
      <c r="M659" s="55"/>
      <c r="N659" s="468"/>
      <c r="O659" s="55"/>
      <c r="P659" s="55"/>
      <c r="Q659" s="55"/>
      <c r="R659" s="55"/>
      <c r="S659" s="468"/>
      <c r="T659" s="55"/>
      <c r="U659" s="55"/>
    </row>
    <row r="660" spans="1:21" ht="18.75">
      <c r="A660" s="238"/>
      <c r="B660" s="188"/>
      <c r="C660" s="188"/>
      <c r="D660" s="50"/>
      <c r="E660" s="50"/>
      <c r="F660" s="50"/>
      <c r="G660" s="52"/>
      <c r="H660" s="165" t="s">
        <v>46</v>
      </c>
      <c r="I660" s="570">
        <f ca="1">IFERROR(__xludf.DUMMYFUNCTION("IMPORTRANGE(""https://docs.google.com/spreadsheets/d/1eHaY18a8A9IcSdp1K8H6x8fbOy06t2VsZHhMHf-1x7Y/edit?usp=sharing"",""แผน!IJ38"")"),20)</f>
        <v>20</v>
      </c>
      <c r="J660" s="467"/>
      <c r="K660" s="55"/>
      <c r="L660" s="62"/>
      <c r="M660" s="55"/>
      <c r="N660" s="468"/>
      <c r="O660" s="55"/>
      <c r="P660" s="55"/>
      <c r="Q660" s="55"/>
      <c r="R660" s="55"/>
      <c r="S660" s="468"/>
      <c r="T660" s="55"/>
      <c r="U660" s="55"/>
    </row>
    <row r="661" spans="1:21" ht="19.5">
      <c r="A661" s="238"/>
      <c r="B661" s="188"/>
      <c r="C661" s="188"/>
      <c r="D661" s="377" t="s">
        <v>243</v>
      </c>
      <c r="E661" s="50"/>
      <c r="F661" s="50"/>
      <c r="G661" s="52"/>
      <c r="H661" s="461" t="s">
        <v>46</v>
      </c>
      <c r="I661" s="569">
        <f ca="1">IFERROR(__xludf.DUMMYFUNCTION("IMPORTRANGE(""https://docs.google.com/spreadsheets/d/1eHaY18a8A9IcSdp1K8H6x8fbOy06t2VsZHhMHf-1x7Y/edit?usp=sharing"",""แผน!IK38"")"),203)</f>
        <v>203</v>
      </c>
      <c r="J661" s="373">
        <f>J667+J670</f>
        <v>0</v>
      </c>
      <c r="K661" s="540">
        <f ca="1">IF(I661&gt;0,J661*100/I661,0)</f>
        <v>0</v>
      </c>
      <c r="L661" s="62"/>
      <c r="M661" s="55"/>
      <c r="N661" s="468"/>
      <c r="O661" s="55"/>
      <c r="P661" s="55"/>
      <c r="Q661" s="55"/>
      <c r="R661" s="55"/>
      <c r="S661" s="468"/>
      <c r="T661" s="55"/>
      <c r="U661" s="55"/>
    </row>
    <row r="662" spans="1:21" ht="18.75">
      <c r="A662" s="238"/>
      <c r="B662" s="188"/>
      <c r="C662" s="188"/>
      <c r="D662" s="50"/>
      <c r="E662" s="58" t="s">
        <v>244</v>
      </c>
      <c r="F662" s="50"/>
      <c r="G662" s="52"/>
      <c r="H662" s="165" t="s">
        <v>34</v>
      </c>
      <c r="I662" s="208"/>
      <c r="J662" s="467">
        <v>0</v>
      </c>
      <c r="K662" s="55"/>
      <c r="L662" s="469"/>
      <c r="M662" s="55"/>
      <c r="N662" s="468"/>
      <c r="O662" s="55"/>
      <c r="P662" s="55"/>
      <c r="Q662" s="468"/>
      <c r="R662" s="55"/>
      <c r="S662" s="468"/>
      <c r="T662" s="55"/>
      <c r="U662" s="55"/>
    </row>
    <row r="663" spans="1:21" ht="18.75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67">
        <v>0</v>
      </c>
      <c r="K663" s="55"/>
      <c r="L663" s="469"/>
      <c r="M663" s="55"/>
      <c r="N663" s="468"/>
      <c r="O663" s="55"/>
      <c r="P663" s="55"/>
      <c r="Q663" s="468"/>
      <c r="R663" s="55"/>
      <c r="S663" s="468"/>
      <c r="T663" s="55"/>
      <c r="U663" s="55"/>
    </row>
    <row r="664" spans="1:21" ht="18.75">
      <c r="A664" s="238"/>
      <c r="B664" s="188"/>
      <c r="C664" s="188"/>
      <c r="D664" s="50"/>
      <c r="E664" s="58" t="s">
        <v>245</v>
      </c>
      <c r="F664" s="50"/>
      <c r="G664" s="52"/>
      <c r="H664" s="206"/>
      <c r="I664" s="208"/>
      <c r="J664" s="54"/>
      <c r="K664" s="55"/>
      <c r="L664" s="469"/>
      <c r="M664" s="55"/>
      <c r="N664" s="468"/>
      <c r="O664" s="55"/>
      <c r="P664" s="55"/>
      <c r="Q664" s="468"/>
      <c r="R664" s="55"/>
      <c r="S664" s="468"/>
      <c r="T664" s="55"/>
      <c r="U664" s="55"/>
    </row>
    <row r="665" spans="1:21" ht="18.75">
      <c r="A665" s="238"/>
      <c r="B665" s="188"/>
      <c r="C665" s="188"/>
      <c r="D665" s="50"/>
      <c r="E665" s="50"/>
      <c r="F665" s="58" t="s">
        <v>246</v>
      </c>
      <c r="G665" s="52"/>
      <c r="H665" s="165" t="s">
        <v>35</v>
      </c>
      <c r="I665" s="208"/>
      <c r="J665" s="467">
        <v>0</v>
      </c>
      <c r="K665" s="55"/>
      <c r="L665" s="469"/>
      <c r="M665" s="55"/>
      <c r="N665" s="468"/>
      <c r="O665" s="55"/>
      <c r="P665" s="55"/>
      <c r="Q665" s="468"/>
      <c r="R665" s="55"/>
      <c r="S665" s="468"/>
      <c r="T665" s="55"/>
      <c r="U665" s="55"/>
    </row>
    <row r="666" spans="1:21" ht="18.75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67">
        <v>0</v>
      </c>
      <c r="K666" s="55"/>
      <c r="L666" s="469"/>
      <c r="M666" s="55"/>
      <c r="N666" s="468"/>
      <c r="O666" s="55"/>
      <c r="P666" s="55"/>
      <c r="Q666" s="468"/>
      <c r="R666" s="55"/>
      <c r="S666" s="468"/>
      <c r="T666" s="55"/>
      <c r="U666" s="55"/>
    </row>
    <row r="667" spans="1:21" ht="18.75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67">
        <v>0</v>
      </c>
      <c r="K667" s="55"/>
      <c r="L667" s="469"/>
      <c r="M667" s="55"/>
      <c r="N667" s="468"/>
      <c r="O667" s="55"/>
      <c r="P667" s="55"/>
      <c r="Q667" s="468"/>
      <c r="R667" s="55"/>
      <c r="S667" s="468"/>
      <c r="T667" s="55"/>
      <c r="U667" s="55"/>
    </row>
    <row r="668" spans="1:21" ht="18.75">
      <c r="A668" s="238"/>
      <c r="B668" s="188"/>
      <c r="C668" s="188"/>
      <c r="D668" s="50"/>
      <c r="E668" s="50"/>
      <c r="F668" s="58" t="s">
        <v>247</v>
      </c>
      <c r="G668" s="52"/>
      <c r="H668" s="165" t="s">
        <v>35</v>
      </c>
      <c r="I668" s="208"/>
      <c r="J668" s="467">
        <v>0</v>
      </c>
      <c r="K668" s="55"/>
      <c r="L668" s="469"/>
      <c r="M668" s="55"/>
      <c r="N668" s="468"/>
      <c r="O668" s="55"/>
      <c r="P668" s="55"/>
      <c r="Q668" s="468"/>
      <c r="R668" s="55"/>
      <c r="S668" s="468"/>
      <c r="T668" s="55"/>
      <c r="U668" s="55"/>
    </row>
    <row r="669" spans="1:21" ht="18.75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67">
        <v>0</v>
      </c>
      <c r="K669" s="55"/>
      <c r="L669" s="469"/>
      <c r="M669" s="55"/>
      <c r="N669" s="468"/>
      <c r="O669" s="55"/>
      <c r="P669" s="55"/>
      <c r="Q669" s="468"/>
      <c r="R669" s="55"/>
      <c r="S669" s="468"/>
      <c r="T669" s="55"/>
      <c r="U669" s="55"/>
    </row>
    <row r="670" spans="1:21" ht="18.75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67">
        <v>0</v>
      </c>
      <c r="K670" s="55"/>
      <c r="L670" s="469"/>
      <c r="M670" s="55"/>
      <c r="N670" s="468"/>
      <c r="O670" s="55"/>
      <c r="P670" s="55"/>
      <c r="Q670" s="468"/>
      <c r="R670" s="55"/>
      <c r="S670" s="468"/>
      <c r="T670" s="55"/>
      <c r="U670" s="55"/>
    </row>
    <row r="671" spans="1:21" ht="18.75" hidden="1">
      <c r="A671" s="238"/>
      <c r="B671" s="188"/>
      <c r="C671" s="188"/>
      <c r="D671" s="58" t="s">
        <v>248</v>
      </c>
      <c r="E671" s="50"/>
      <c r="F671" s="50"/>
      <c r="G671" s="52"/>
      <c r="H671" s="165" t="s">
        <v>35</v>
      </c>
      <c r="I671" s="208"/>
      <c r="J671" s="212">
        <f ca="1">IFERROR(__xludf.DUMMYFUNCTION("IMPORTRANGE(""https://docs.google.com/spreadsheets/d/1tdoBKaGub7dwA3U6UFTqxio9LNnvDCQjHKmttSEBsFQ/edit?usp=sharing"",""จัดที่ดิน!AY38"")"),0)</f>
        <v>0</v>
      </c>
      <c r="K671" s="55"/>
      <c r="L671" s="62"/>
      <c r="M671" s="55"/>
      <c r="N671" s="468"/>
      <c r="O671" s="55"/>
      <c r="P671" s="55"/>
      <c r="Q671" s="55"/>
      <c r="R671" s="55"/>
      <c r="S671" s="468"/>
      <c r="T671" s="55"/>
      <c r="U671" s="55"/>
    </row>
    <row r="672" spans="1:21" ht="18.75" hidden="1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212">
        <f ca="1">IFERROR(__xludf.DUMMYFUNCTION("IMPORTRANGE(""https://docs.google.com/spreadsheets/d/1tdoBKaGub7dwA3U6UFTqxio9LNnvDCQjHKmttSEBsFQ/edit?usp=sharing"",""จัดที่ดิน!AZ38"")"),0)</f>
        <v>0</v>
      </c>
      <c r="K672" s="55"/>
      <c r="L672" s="469"/>
      <c r="M672" s="55"/>
      <c r="N672" s="468"/>
      <c r="O672" s="55"/>
      <c r="P672" s="55"/>
      <c r="Q672" s="468"/>
      <c r="R672" s="55"/>
      <c r="S672" s="468"/>
      <c r="T672" s="55"/>
      <c r="U672" s="55"/>
    </row>
    <row r="673" spans="1:21" ht="18.75" hidden="1">
      <c r="A673" s="238"/>
      <c r="B673" s="188"/>
      <c r="C673" s="188"/>
      <c r="D673" s="50"/>
      <c r="E673" s="50"/>
      <c r="F673" s="50"/>
      <c r="G673" s="52"/>
      <c r="H673" s="165" t="s">
        <v>46</v>
      </c>
      <c r="I673" s="570">
        <f ca="1">IFERROR(__xludf.DUMMYFUNCTION("IMPORTRANGE(""https://docs.google.com/spreadsheets/d/1eHaY18a8A9IcSdp1K8H6x8fbOy06t2VsZHhMHf-1x7Y/edit?usp=sharing"",""แผน!IL38"")"),0)</f>
        <v>0</v>
      </c>
      <c r="J673" s="212">
        <f ca="1">IFERROR(__xludf.DUMMYFUNCTION("IMPORTRANGE(""https://docs.google.com/spreadsheets/d/1tdoBKaGub7dwA3U6UFTqxio9LNnvDCQjHKmttSEBsFQ/edit?usp=sharing"",""จัดที่ดิน!BA38"")"),0)</f>
        <v>0</v>
      </c>
      <c r="K673" s="255">
        <f ca="1">IF(I673&gt;0,J673*100/I673,0)</f>
        <v>0</v>
      </c>
      <c r="L673" s="469"/>
      <c r="M673" s="55"/>
      <c r="N673" s="468"/>
      <c r="O673" s="55"/>
      <c r="P673" s="55"/>
      <c r="Q673" s="468"/>
      <c r="R673" s="55"/>
      <c r="S673" s="468"/>
      <c r="T673" s="55"/>
      <c r="U673" s="55"/>
    </row>
    <row r="674" spans="1:21" ht="19.5">
      <c r="A674" s="238"/>
      <c r="B674" s="188"/>
      <c r="C674" s="188"/>
      <c r="D674" s="58" t="s">
        <v>249</v>
      </c>
      <c r="E674" s="50"/>
      <c r="F674" s="50"/>
      <c r="G674" s="52"/>
      <c r="H674" s="461" t="s">
        <v>35</v>
      </c>
      <c r="I674" s="569">
        <f ca="1">IFERROR(__xludf.DUMMYFUNCTION("IMPORTRANGE(""https://docs.google.com/spreadsheets/d/1eHaY18a8A9IcSdp1K8H6x8fbOy06t2VsZHhMHf-1x7Y/edit?usp=sharing"",""แผน!IM38"")"),9)</f>
        <v>9</v>
      </c>
      <c r="J674" s="373">
        <f ca="1">J676+J679</f>
        <v>7</v>
      </c>
      <c r="K674" s="540">
        <f ca="1">IF(I674&gt;0,J674*100/I674,0)</f>
        <v>77.777777777777771</v>
      </c>
      <c r="L674" s="469"/>
      <c r="M674" s="55"/>
      <c r="N674" s="468"/>
      <c r="O674" s="55"/>
      <c r="P674" s="55"/>
      <c r="Q674" s="468"/>
      <c r="R674" s="55"/>
      <c r="S674" s="468"/>
      <c r="T674" s="55"/>
      <c r="U674" s="55"/>
    </row>
    <row r="675" spans="1:21" ht="19.5">
      <c r="A675" s="238"/>
      <c r="B675" s="188"/>
      <c r="C675" s="188"/>
      <c r="D675" s="50"/>
      <c r="E675" s="50"/>
      <c r="F675" s="50"/>
      <c r="G675" s="52"/>
      <c r="H675" s="461" t="s">
        <v>46</v>
      </c>
      <c r="I675" s="569">
        <f ca="1">IFERROR(__xludf.DUMMYFUNCTION("IMPORTRANGE(""https://docs.google.com/spreadsheets/d/1eHaY18a8A9IcSdp1K8H6x8fbOy06t2VsZHhMHf-1x7Y/edit?usp=sharing"",""แผน!IN38"")"),75)</f>
        <v>75</v>
      </c>
      <c r="J675" s="373">
        <f ca="1">J678+J681</f>
        <v>65.2</v>
      </c>
      <c r="K675" s="540">
        <f ca="1">IF(I675&gt;0,J675*100/I675,0)</f>
        <v>86.933333333333337</v>
      </c>
      <c r="L675" s="62"/>
      <c r="M675" s="55"/>
      <c r="N675" s="468"/>
      <c r="O675" s="55"/>
      <c r="P675" s="55"/>
      <c r="Q675" s="55"/>
      <c r="R675" s="55"/>
      <c r="S675" s="468"/>
      <c r="T675" s="55"/>
      <c r="U675" s="55"/>
    </row>
    <row r="676" spans="1:21" ht="18.75">
      <c r="A676" s="238"/>
      <c r="B676" s="188"/>
      <c r="C676" s="188"/>
      <c r="D676" s="50"/>
      <c r="E676" s="58" t="s">
        <v>250</v>
      </c>
      <c r="F676" s="50"/>
      <c r="G676" s="52"/>
      <c r="H676" s="165" t="s">
        <v>35</v>
      </c>
      <c r="I676" s="570">
        <f ca="1">IFERROR(__xludf.DUMMYFUNCTION("IMPORTRANGE(""https://docs.google.com/spreadsheets/d/1eHaY18a8A9IcSdp1K8H6x8fbOy06t2VsZHhMHf-1x7Y/edit?usp=sharing"",""แผน!IO38"")"),9)</f>
        <v>9</v>
      </c>
      <c r="J676" s="212">
        <f ca="1">IFERROR(__xludf.DUMMYFUNCTION("IMPORTRANGE(""https://docs.google.com/spreadsheets/d/1tdoBKaGub7dwA3U6UFTqxio9LNnvDCQjHKmttSEBsFQ/edit?usp=sharing"",""จัดที่ดิน!BF38"")"),7)</f>
        <v>7</v>
      </c>
      <c r="K676" s="255">
        <f ca="1">IF(I676&gt;0,J676*100/I676,0)</f>
        <v>77.777777777777771</v>
      </c>
      <c r="L676" s="62"/>
      <c r="M676" s="55"/>
      <c r="N676" s="468"/>
      <c r="O676" s="55"/>
      <c r="P676" s="55"/>
      <c r="Q676" s="55"/>
      <c r="R676" s="55"/>
      <c r="S676" s="468"/>
      <c r="T676" s="55"/>
      <c r="U676" s="55"/>
    </row>
    <row r="677" spans="1:21" ht="18.75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212">
        <f ca="1">IFERROR(__xludf.DUMMYFUNCTION("IMPORTRANGE(""https://docs.google.com/spreadsheets/d/1tdoBKaGub7dwA3U6UFTqxio9LNnvDCQjHKmttSEBsFQ/edit?usp=sharing"",""จัดที่ดิน!BG38"")"),7)</f>
        <v>7</v>
      </c>
      <c r="K677" s="55"/>
      <c r="L677" s="469"/>
      <c r="M677" s="55"/>
      <c r="N677" s="468"/>
      <c r="O677" s="55"/>
      <c r="P677" s="55"/>
      <c r="Q677" s="468"/>
      <c r="R677" s="55"/>
      <c r="S677" s="468"/>
      <c r="T677" s="55"/>
      <c r="U677" s="55"/>
    </row>
    <row r="678" spans="1:21" ht="18.75">
      <c r="A678" s="238"/>
      <c r="B678" s="188"/>
      <c r="C678" s="188"/>
      <c r="D678" s="50"/>
      <c r="E678" s="50"/>
      <c r="F678" s="50"/>
      <c r="G678" s="52"/>
      <c r="H678" s="165" t="s">
        <v>46</v>
      </c>
      <c r="I678" s="570">
        <f ca="1">IFERROR(__xludf.DUMMYFUNCTION("IMPORTRANGE(""https://docs.google.com/spreadsheets/d/1eHaY18a8A9IcSdp1K8H6x8fbOy06t2VsZHhMHf-1x7Y/edit?usp=sharing"",""แผน!IP38"")"),75)</f>
        <v>75</v>
      </c>
      <c r="J678" s="212">
        <f ca="1">IFERROR(__xludf.DUMMYFUNCTION("IMPORTRANGE(""https://docs.google.com/spreadsheets/d/1tdoBKaGub7dwA3U6UFTqxio9LNnvDCQjHKmttSEBsFQ/edit?usp=sharing"",""จัดที่ดิน!BH38"")"),65.2)</f>
        <v>65.2</v>
      </c>
      <c r="K678" s="255">
        <f ca="1">IF(I678&gt;0,J678*100/I678,0)</f>
        <v>86.933333333333337</v>
      </c>
      <c r="L678" s="469"/>
      <c r="M678" s="55"/>
      <c r="N678" s="468"/>
      <c r="O678" s="55"/>
      <c r="P678" s="55"/>
      <c r="Q678" s="468"/>
      <c r="R678" s="55"/>
      <c r="S678" s="468"/>
      <c r="T678" s="55"/>
      <c r="U678" s="55"/>
    </row>
    <row r="679" spans="1:21" ht="18.75">
      <c r="A679" s="238"/>
      <c r="B679" s="188"/>
      <c r="C679" s="188"/>
      <c r="D679" s="50"/>
      <c r="E679" s="58" t="s">
        <v>251</v>
      </c>
      <c r="F679" s="50"/>
      <c r="G679" s="52"/>
      <c r="H679" s="165" t="s">
        <v>35</v>
      </c>
      <c r="I679" s="570">
        <f ca="1">IFERROR(__xludf.DUMMYFUNCTION("IMPORTRANGE(""https://docs.google.com/spreadsheets/d/1eHaY18a8A9IcSdp1K8H6x8fbOy06t2VsZHhMHf-1x7Y/edit?usp=sharing"",""แผน!IQ38"")"),0)</f>
        <v>0</v>
      </c>
      <c r="J679" s="212">
        <f ca="1">IFERROR(__xludf.DUMMYFUNCTION("IMPORTRANGE(""https://docs.google.com/spreadsheets/d/1tdoBKaGub7dwA3U6UFTqxio9LNnvDCQjHKmttSEBsFQ/edit?usp=sharing"",""จัดที่ดิน!BK38"")"),0)</f>
        <v>0</v>
      </c>
      <c r="K679" s="255">
        <f ca="1">IF(I679&gt;0,J679*100/I679,0)</f>
        <v>0</v>
      </c>
      <c r="L679" s="62"/>
      <c r="M679" s="55"/>
      <c r="N679" s="468"/>
      <c r="O679" s="55"/>
      <c r="P679" s="55"/>
      <c r="Q679" s="55"/>
      <c r="R679" s="55"/>
      <c r="S679" s="468"/>
      <c r="T679" s="55"/>
      <c r="U679" s="55"/>
    </row>
    <row r="680" spans="1:21" ht="18.75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212">
        <f ca="1">IFERROR(__xludf.DUMMYFUNCTION("IMPORTRANGE(""https://docs.google.com/spreadsheets/d/1tdoBKaGub7dwA3U6UFTqxio9LNnvDCQjHKmttSEBsFQ/edit?usp=sharing"",""จัดที่ดิน!BL38"")"),0)</f>
        <v>0</v>
      </c>
      <c r="K680" s="55"/>
      <c r="L680" s="469"/>
      <c r="M680" s="55"/>
      <c r="N680" s="468"/>
      <c r="O680" s="55"/>
      <c r="P680" s="55"/>
      <c r="Q680" s="468"/>
      <c r="R680" s="55"/>
      <c r="S680" s="468"/>
      <c r="T680" s="55"/>
      <c r="U680" s="55"/>
    </row>
    <row r="681" spans="1:21" ht="18.75">
      <c r="A681" s="238"/>
      <c r="B681" s="188"/>
      <c r="C681" s="188"/>
      <c r="D681" s="50"/>
      <c r="E681" s="50"/>
      <c r="F681" s="50"/>
      <c r="G681" s="52"/>
      <c r="H681" s="165" t="s">
        <v>46</v>
      </c>
      <c r="I681" s="570">
        <f ca="1">IFERROR(__xludf.DUMMYFUNCTION("IMPORTRANGE(""https://docs.google.com/spreadsheets/d/1eHaY18a8A9IcSdp1K8H6x8fbOy06t2VsZHhMHf-1x7Y/edit?usp=sharing"",""แผน!IR38"")"),0)</f>
        <v>0</v>
      </c>
      <c r="J681" s="212">
        <f ca="1">IFERROR(__xludf.DUMMYFUNCTION("IMPORTRANGE(""https://docs.google.com/spreadsheets/d/1tdoBKaGub7dwA3U6UFTqxio9LNnvDCQjHKmttSEBsFQ/edit?usp=sharing"",""จัดที่ดิน!BM38"")"),0)</f>
        <v>0</v>
      </c>
      <c r="K681" s="255">
        <f ca="1">IF(I681&gt;0,J681*100/I681,0)</f>
        <v>0</v>
      </c>
      <c r="L681" s="469"/>
      <c r="M681" s="55"/>
      <c r="N681" s="468"/>
      <c r="O681" s="55"/>
      <c r="P681" s="55"/>
      <c r="Q681" s="468"/>
      <c r="R681" s="55"/>
      <c r="S681" s="468"/>
      <c r="T681" s="55"/>
      <c r="U681" s="55"/>
    </row>
    <row r="682" spans="1:21" ht="19.5">
      <c r="A682" s="238"/>
      <c r="B682" s="188"/>
      <c r="C682" s="188"/>
      <c r="D682" s="58" t="s">
        <v>252</v>
      </c>
      <c r="E682" s="50"/>
      <c r="F682" s="50"/>
      <c r="G682" s="52"/>
      <c r="H682" s="461" t="s">
        <v>46</v>
      </c>
      <c r="I682" s="569">
        <f ca="1">IFERROR(__xludf.DUMMYFUNCTION("IMPORTRANGE(""https://docs.google.com/spreadsheets/d/1eHaY18a8A9IcSdp1K8H6x8fbOy06t2VsZHhMHf-1x7Y/edit?usp=sharing"",""แผน!IS38"")"),50)</f>
        <v>50</v>
      </c>
      <c r="J682" s="373">
        <f>J685+J688</f>
        <v>145</v>
      </c>
      <c r="K682" s="540">
        <f ca="1">IF(I682&gt;0,J682*100/I682,0)</f>
        <v>290</v>
      </c>
      <c r="L682" s="62"/>
      <c r="M682" s="55"/>
      <c r="N682" s="468"/>
      <c r="O682" s="55"/>
      <c r="P682" s="55"/>
      <c r="Q682" s="55"/>
      <c r="R682" s="55"/>
      <c r="S682" s="468"/>
      <c r="T682" s="55"/>
      <c r="U682" s="55"/>
    </row>
    <row r="683" spans="1:21" ht="18.75">
      <c r="A683" s="238"/>
      <c r="B683" s="188"/>
      <c r="C683" s="188"/>
      <c r="D683" s="50"/>
      <c r="E683" s="58" t="s">
        <v>253</v>
      </c>
      <c r="F683" s="50"/>
      <c r="G683" s="52"/>
      <c r="H683" s="165" t="s">
        <v>35</v>
      </c>
      <c r="I683" s="208"/>
      <c r="J683" s="467">
        <v>0</v>
      </c>
      <c r="K683" s="55"/>
      <c r="L683" s="469"/>
      <c r="M683" s="55"/>
      <c r="N683" s="468"/>
      <c r="O683" s="55"/>
      <c r="P683" s="55"/>
      <c r="Q683" s="468"/>
      <c r="R683" s="55"/>
      <c r="S683" s="468"/>
      <c r="T683" s="55"/>
      <c r="U683" s="55"/>
    </row>
    <row r="684" spans="1:21" ht="18.75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467">
        <v>0</v>
      </c>
      <c r="K684" s="55"/>
      <c r="L684" s="469"/>
      <c r="M684" s="55"/>
      <c r="N684" s="468"/>
      <c r="O684" s="55"/>
      <c r="P684" s="55"/>
      <c r="Q684" s="468"/>
      <c r="R684" s="55"/>
      <c r="S684" s="468"/>
      <c r="T684" s="55"/>
      <c r="U684" s="55"/>
    </row>
    <row r="685" spans="1:21" ht="18.75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467">
        <v>0</v>
      </c>
      <c r="K685" s="55"/>
      <c r="L685" s="469"/>
      <c r="M685" s="55"/>
      <c r="N685" s="468"/>
      <c r="O685" s="55"/>
      <c r="P685" s="55"/>
      <c r="Q685" s="468"/>
      <c r="R685" s="55"/>
      <c r="S685" s="468"/>
      <c r="T685" s="55"/>
      <c r="U685" s="55"/>
    </row>
    <row r="686" spans="1:21" ht="18.75">
      <c r="A686" s="238"/>
      <c r="B686" s="188"/>
      <c r="C686" s="188"/>
      <c r="D686" s="50"/>
      <c r="E686" s="58" t="s">
        <v>254</v>
      </c>
      <c r="F686" s="50"/>
      <c r="G686" s="52"/>
      <c r="H686" s="165" t="s">
        <v>35</v>
      </c>
      <c r="I686" s="208"/>
      <c r="J686" s="467">
        <v>12</v>
      </c>
      <c r="K686" s="55"/>
      <c r="L686" s="469"/>
      <c r="M686" s="55"/>
      <c r="N686" s="468"/>
      <c r="O686" s="55"/>
      <c r="P686" s="55"/>
      <c r="Q686" s="468"/>
      <c r="R686" s="55"/>
      <c r="S686" s="468"/>
      <c r="T686" s="55"/>
      <c r="U686" s="55"/>
    </row>
    <row r="687" spans="1:21" ht="18.75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467">
        <v>12</v>
      </c>
      <c r="K687" s="55"/>
      <c r="L687" s="469"/>
      <c r="M687" s="55"/>
      <c r="N687" s="468"/>
      <c r="O687" s="55"/>
      <c r="P687" s="55"/>
      <c r="Q687" s="468"/>
      <c r="R687" s="55"/>
      <c r="S687" s="468"/>
      <c r="T687" s="55"/>
      <c r="U687" s="55"/>
    </row>
    <row r="688" spans="1:21" ht="19.5">
      <c r="A688" s="281"/>
      <c r="B688" s="470" t="s">
        <v>255</v>
      </c>
      <c r="C688" s="282"/>
      <c r="D688" s="2"/>
      <c r="E688" s="2"/>
      <c r="F688" s="2"/>
      <c r="G688" s="284"/>
      <c r="H688" s="214" t="s">
        <v>46</v>
      </c>
      <c r="I688" s="375"/>
      <c r="J688" s="538">
        <v>145</v>
      </c>
      <c r="K688" s="6"/>
      <c r="L688" s="472"/>
      <c r="M688" s="6"/>
      <c r="N688" s="471"/>
      <c r="O688" s="6"/>
      <c r="P688" s="6"/>
      <c r="Q688" s="471"/>
      <c r="R688" s="6"/>
      <c r="S688" s="471"/>
      <c r="T688" s="6"/>
      <c r="U688" s="6"/>
    </row>
    <row r="689" spans="1:21" ht="19.5">
      <c r="A689" s="442"/>
      <c r="B689" s="443" t="s">
        <v>256</v>
      </c>
      <c r="C689" s="442"/>
      <c r="D689" s="444"/>
      <c r="E689" s="444"/>
      <c r="F689" s="444"/>
      <c r="G689" s="445"/>
      <c r="H689" s="473" t="s">
        <v>35</v>
      </c>
      <c r="I689" s="544">
        <f ca="1">I707</f>
        <v>200</v>
      </c>
      <c r="J689" s="544">
        <f ca="1">J707</f>
        <v>0</v>
      </c>
      <c r="K689" s="543">
        <f ca="1">IF(I689&gt;0,J689*100/I689,0)</f>
        <v>0</v>
      </c>
      <c r="L689" s="449"/>
      <c r="M689" s="448"/>
      <c r="N689" s="448"/>
      <c r="O689" s="448"/>
      <c r="P689" s="448"/>
      <c r="Q689" s="448"/>
      <c r="R689" s="448"/>
      <c r="S689" s="448"/>
      <c r="T689" s="448"/>
      <c r="U689" s="448"/>
    </row>
    <row r="690" spans="1:21" ht="19.5">
      <c r="A690" s="155"/>
      <c r="B690" s="188"/>
      <c r="C690" s="205" t="s">
        <v>18</v>
      </c>
      <c r="D690" s="542" t="s">
        <v>19</v>
      </c>
      <c r="E690" s="529"/>
      <c r="F690" s="529"/>
      <c r="G690" s="530"/>
      <c r="H690" s="252" t="s">
        <v>14</v>
      </c>
      <c r="I690" s="54"/>
      <c r="J690" s="54"/>
      <c r="K690" s="55"/>
      <c r="L690" s="541">
        <f>L691+L692</f>
        <v>0</v>
      </c>
      <c r="M690" s="540">
        <f>M691+M692</f>
        <v>0</v>
      </c>
      <c r="N690" s="540">
        <f>N691+N692</f>
        <v>0</v>
      </c>
      <c r="O690" s="540">
        <f>IF(L690&gt;0,N690*100/L690,0)</f>
        <v>0</v>
      </c>
      <c r="P690" s="540">
        <f>IF(M690&gt;0,N690*100/M690,0)</f>
        <v>0</v>
      </c>
      <c r="Q690" s="540">
        <f ca="1">Q691+Q692</f>
        <v>358020</v>
      </c>
      <c r="R690" s="540">
        <f ca="1">R691+R692</f>
        <v>358020</v>
      </c>
      <c r="S690" s="540">
        <f ca="1">S691+S692</f>
        <v>95165</v>
      </c>
      <c r="T690" s="540">
        <f ca="1">IF(Q690&gt;0,S690*100/Q690,0)</f>
        <v>26.580917267191776</v>
      </c>
      <c r="U690" s="540">
        <f ca="1">IF(R690&gt;0,S690*100/R690,0)</f>
        <v>26.580917267191776</v>
      </c>
    </row>
    <row r="691" spans="1:21" ht="18.75" hidden="1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103">
        <f>L694+L697</f>
        <v>0</v>
      </c>
      <c r="M691" s="102">
        <f>M694+M697</f>
        <v>0</v>
      </c>
      <c r="N691" s="102">
        <f>N694+N697</f>
        <v>0</v>
      </c>
      <c r="O691" s="102">
        <f>IF(L691&gt;0,N691*100/L691,0)</f>
        <v>0</v>
      </c>
      <c r="P691" s="102">
        <f>IF(M691&gt;0,N691*100/M691,0)</f>
        <v>0</v>
      </c>
      <c r="Q691" s="102">
        <f>Q694+Q697</f>
        <v>0</v>
      </c>
      <c r="R691" s="102">
        <f>R694+R697</f>
        <v>0</v>
      </c>
      <c r="S691" s="102">
        <f>S694+S697</f>
        <v>0</v>
      </c>
      <c r="T691" s="102">
        <f>IF(Q691&gt;0,S691*100/Q691,0)</f>
        <v>0</v>
      </c>
      <c r="U691" s="102">
        <f>IF(R691&gt;0,S691*100/R691,0)</f>
        <v>0</v>
      </c>
    </row>
    <row r="692" spans="1:21" ht="18.75" hidden="1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256">
        <f>L695+L698</f>
        <v>0</v>
      </c>
      <c r="M692" s="255">
        <f>M695+M698</f>
        <v>0</v>
      </c>
      <c r="N692" s="255">
        <f>N695+N698</f>
        <v>0</v>
      </c>
      <c r="O692" s="255">
        <f>IF(L692&gt;0,N692*100/L692,0)</f>
        <v>0</v>
      </c>
      <c r="P692" s="255">
        <f>IF(M692&gt;0,N692*100/M692,0)</f>
        <v>0</v>
      </c>
      <c r="Q692" s="255">
        <f ca="1">Q695+Q698</f>
        <v>358020</v>
      </c>
      <c r="R692" s="255">
        <f ca="1">R695+R698</f>
        <v>358020</v>
      </c>
      <c r="S692" s="255">
        <f ca="1">S695+S698</f>
        <v>95165</v>
      </c>
      <c r="T692" s="255">
        <f ca="1">IF(Q692&gt;0,S692*100/Q692,0)</f>
        <v>26.580917267191776</v>
      </c>
      <c r="U692" s="255">
        <f ca="1">IF(R692&gt;0,S692*100/R692,0)</f>
        <v>26.580917267191776</v>
      </c>
    </row>
    <row r="693" spans="1:21" ht="18.75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256">
        <f>L694+L695</f>
        <v>0</v>
      </c>
      <c r="M693" s="255">
        <f>M694+M695</f>
        <v>0</v>
      </c>
      <c r="N693" s="255">
        <f>N694+N695</f>
        <v>0</v>
      </c>
      <c r="O693" s="255">
        <f>IF(L693&gt;0,N693*100/L693,0)</f>
        <v>0</v>
      </c>
      <c r="P693" s="255">
        <f>IF(M693&gt;0,N693*100/M693,0)</f>
        <v>0</v>
      </c>
      <c r="Q693" s="255">
        <f ca="1">Q694+Q695</f>
        <v>358020</v>
      </c>
      <c r="R693" s="255">
        <f ca="1">R694+R695</f>
        <v>358020</v>
      </c>
      <c r="S693" s="255">
        <f ca="1">S694+S695</f>
        <v>95165</v>
      </c>
      <c r="T693" s="255">
        <f ca="1">IF(Q693&gt;0,S693*100/Q693,0)</f>
        <v>26.580917267191776</v>
      </c>
      <c r="U693" s="255">
        <f ca="1">IF(R693&gt;0,S693*100/R693,0)</f>
        <v>26.580917267191776</v>
      </c>
    </row>
    <row r="694" spans="1:21" ht="18.75" hidden="1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103">
        <v>0</v>
      </c>
      <c r="M694" s="102">
        <v>0</v>
      </c>
      <c r="N694" s="102">
        <v>0</v>
      </c>
      <c r="O694" s="102">
        <f>IF(L694&gt;0,N694*100/L694,0)</f>
        <v>0</v>
      </c>
      <c r="P694" s="102">
        <f>IF(M694&gt;0,N694*100/M694,0)</f>
        <v>0</v>
      </c>
      <c r="Q694" s="102">
        <v>0</v>
      </c>
      <c r="R694" s="102">
        <v>0</v>
      </c>
      <c r="S694" s="102">
        <v>0</v>
      </c>
      <c r="T694" s="102">
        <f>IF(Q694&gt;0,S694*100/Q694,0)</f>
        <v>0</v>
      </c>
      <c r="U694" s="102">
        <f>IF(R694&gt;0,S694*100/R694,0)</f>
        <v>0</v>
      </c>
    </row>
    <row r="695" spans="1:21" ht="18.75" hidden="1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256">
        <v>0</v>
      </c>
      <c r="M695" s="255">
        <v>0</v>
      </c>
      <c r="N695" s="255">
        <v>0</v>
      </c>
      <c r="O695" s="255">
        <f>IF(L695&gt;0,N695*100/L695,0)</f>
        <v>0</v>
      </c>
      <c r="P695" s="255">
        <f>IF(M695&gt;0,N695*100/M695,0)</f>
        <v>0</v>
      </c>
      <c r="Q695" s="255">
        <f ca="1">IFERROR(__xludf.DUMMYFUNCTION("IMPORTRANGE(""https://docs.google.com/spreadsheets/d/1ItG2mGa2ceCfYo0BwxsXqNm01IGEUdYcSSLTEv9YCik/edit?usp=sharing"",""เบิกจ่ายกองทุน!L38"")"),358020)</f>
        <v>358020</v>
      </c>
      <c r="R695" s="255">
        <f ca="1">IFERROR(__xludf.DUMMYFUNCTION("IMPORTRANGE(""https://docs.google.com/spreadsheets/d/1ItG2mGa2ceCfYo0BwxsXqNm01IGEUdYcSSLTEv9YCik/edit?usp=sharing"",""เบิกจ่ายกองทุน!M38"")"),358020)</f>
        <v>358020</v>
      </c>
      <c r="S695" s="255">
        <f ca="1">IFERROR(__xludf.DUMMYFUNCTION("IMPORTRANGE(""https://docs.google.com/spreadsheets/d/1ItG2mGa2ceCfYo0BwxsXqNm01IGEUdYcSSLTEv9YCik/edit?usp=sharing"",""เบิกจ่ายกองทุน!N38"")"),95165)</f>
        <v>95165</v>
      </c>
      <c r="T695" s="255">
        <f ca="1">IF(Q695&gt;0,S695*100/Q695,0)</f>
        <v>26.580917267191776</v>
      </c>
      <c r="U695" s="255">
        <f ca="1">IF(R695&gt;0,S695*100/R695,0)</f>
        <v>26.580917267191776</v>
      </c>
    </row>
    <row r="696" spans="1:21" ht="18.75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256">
        <f>L697+L698</f>
        <v>0</v>
      </c>
      <c r="M696" s="255">
        <f>M697+M698</f>
        <v>0</v>
      </c>
      <c r="N696" s="255">
        <f>N697+N698</f>
        <v>0</v>
      </c>
      <c r="O696" s="255">
        <f>IF(L696&gt;0,N696*100/L696,0)</f>
        <v>0</v>
      </c>
      <c r="P696" s="255">
        <f>IF(M696&gt;0,N696*100/M696,0)</f>
        <v>0</v>
      </c>
      <c r="Q696" s="255">
        <f>Q697+Q698</f>
        <v>0</v>
      </c>
      <c r="R696" s="255">
        <f>R697+R698</f>
        <v>0</v>
      </c>
      <c r="S696" s="255">
        <f>S697+S698</f>
        <v>0</v>
      </c>
      <c r="T696" s="255">
        <f>IF(Q696&gt;0,S696*100/Q696,0)</f>
        <v>0</v>
      </c>
      <c r="U696" s="255">
        <f>IF(R696&gt;0,S696*100/R696,0)</f>
        <v>0</v>
      </c>
    </row>
    <row r="697" spans="1:21" ht="18.75" hidden="1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103">
        <v>0</v>
      </c>
      <c r="M697" s="102">
        <v>0</v>
      </c>
      <c r="N697" s="102">
        <v>0</v>
      </c>
      <c r="O697" s="102">
        <f>IF(L697&gt;0,N697*100/L697,0)</f>
        <v>0</v>
      </c>
      <c r="P697" s="102">
        <f>IF(M697&gt;0,N697*100/M697,0)</f>
        <v>0</v>
      </c>
      <c r="Q697" s="102">
        <v>0</v>
      </c>
      <c r="R697" s="102">
        <v>0</v>
      </c>
      <c r="S697" s="102">
        <v>0</v>
      </c>
      <c r="T697" s="102">
        <f>IF(Q697&gt;0,S697*100/Q697,0)</f>
        <v>0</v>
      </c>
      <c r="U697" s="102">
        <f>IF(R697&gt;0,S697*100/R697,0)</f>
        <v>0</v>
      </c>
    </row>
    <row r="698" spans="1:21" ht="18.75" hidden="1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256">
        <v>0</v>
      </c>
      <c r="M698" s="255">
        <v>0</v>
      </c>
      <c r="N698" s="255">
        <v>0</v>
      </c>
      <c r="O698" s="255">
        <f>IF(L698&gt;0,N698*100/L698,0)</f>
        <v>0</v>
      </c>
      <c r="P698" s="255">
        <f>IF(M698&gt;0,N698*100/M698,0)</f>
        <v>0</v>
      </c>
      <c r="Q698" s="255">
        <v>0</v>
      </c>
      <c r="R698" s="255">
        <v>0</v>
      </c>
      <c r="S698" s="255">
        <v>0</v>
      </c>
      <c r="T698" s="255">
        <f>IF(Q698&gt;0,S698*100/Q698,0)</f>
        <v>0</v>
      </c>
      <c r="U698" s="255">
        <f>IF(R698&gt;0,S698*100/R698,0)</f>
        <v>0</v>
      </c>
    </row>
    <row r="699" spans="1:21" ht="19.5">
      <c r="A699" s="166"/>
      <c r="B699" s="167"/>
      <c r="C699" s="205" t="s">
        <v>18</v>
      </c>
      <c r="D699" s="566" t="s">
        <v>38</v>
      </c>
      <c r="E699" s="169"/>
      <c r="F699" s="169"/>
      <c r="G699" s="169"/>
      <c r="H699" s="206"/>
      <c r="I699" s="163"/>
      <c r="J699" s="163"/>
      <c r="K699" s="164"/>
      <c r="L699" s="62"/>
      <c r="M699" s="55"/>
      <c r="N699" s="55"/>
      <c r="O699" s="55"/>
      <c r="P699" s="55"/>
      <c r="Q699" s="55"/>
      <c r="R699" s="55"/>
      <c r="S699" s="55"/>
      <c r="T699" s="55"/>
      <c r="U699" s="55"/>
    </row>
    <row r="700" spans="1:21" ht="18.75">
      <c r="A700" s="238"/>
      <c r="B700" s="188"/>
      <c r="C700" s="188"/>
      <c r="D700" s="174"/>
      <c r="E700" s="173" t="s">
        <v>257</v>
      </c>
      <c r="F700" s="174"/>
      <c r="G700" s="171"/>
      <c r="H700" s="165" t="s">
        <v>258</v>
      </c>
      <c r="I700" s="212">
        <f ca="1">IFERROR(__xludf.DUMMYFUNCTION("IMPORTRANGE(""https://docs.google.com/spreadsheets/d/1eHaY18a8A9IcSdp1K8H6x8fbOy06t2VsZHhMHf-1x7Y/edit?usp=sharing"",""แผน!LC38"")"),1)</f>
        <v>1</v>
      </c>
      <c r="J700" s="467">
        <v>0</v>
      </c>
      <c r="K700" s="565">
        <f ca="1">IF(I700&gt;0,J700*100/I700,0)</f>
        <v>0</v>
      </c>
      <c r="L700" s="172"/>
      <c r="M700" s="164"/>
      <c r="N700" s="55"/>
      <c r="O700" s="164"/>
      <c r="P700" s="164"/>
      <c r="Q700" s="164"/>
      <c r="R700" s="164"/>
      <c r="S700" s="55"/>
      <c r="T700" s="164"/>
      <c r="U700" s="164"/>
    </row>
    <row r="701" spans="1:21" ht="19.5">
      <c r="A701" s="238"/>
      <c r="B701" s="188"/>
      <c r="C701" s="188"/>
      <c r="D701" s="174"/>
      <c r="E701" s="476" t="s">
        <v>259</v>
      </c>
      <c r="F701" s="174"/>
      <c r="G701" s="171"/>
      <c r="H701" s="158" t="s">
        <v>35</v>
      </c>
      <c r="I701" s="373">
        <f ca="1">I703+I705</f>
        <v>204</v>
      </c>
      <c r="J701" s="373">
        <f ca="1">J703+J705</f>
        <v>74</v>
      </c>
      <c r="K701" s="540">
        <f ca="1">IF(I701&gt;0,J701*100/I701,0)</f>
        <v>36.274509803921568</v>
      </c>
      <c r="L701" s="172"/>
      <c r="M701" s="164"/>
      <c r="N701" s="164"/>
      <c r="O701" s="164"/>
      <c r="P701" s="164"/>
      <c r="Q701" s="164"/>
      <c r="R701" s="164"/>
      <c r="S701" s="164"/>
      <c r="T701" s="164"/>
      <c r="U701" s="164"/>
    </row>
    <row r="702" spans="1:21" ht="19.5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73">
        <v>0</v>
      </c>
      <c r="J702" s="373">
        <f ca="1">J704+J706</f>
        <v>33.950000000000003</v>
      </c>
      <c r="K702" s="540">
        <f>IF(I702&gt;0,J702*100/I702,0)</f>
        <v>0</v>
      </c>
      <c r="L702" s="172"/>
      <c r="M702" s="164"/>
      <c r="N702" s="164"/>
      <c r="O702" s="164"/>
      <c r="P702" s="164"/>
      <c r="Q702" s="164"/>
      <c r="R702" s="164"/>
      <c r="S702" s="164"/>
      <c r="T702" s="164"/>
      <c r="U702" s="164"/>
    </row>
    <row r="703" spans="1:21" ht="18.75">
      <c r="A703" s="238"/>
      <c r="B703" s="188"/>
      <c r="C703" s="188"/>
      <c r="D703" s="174"/>
      <c r="E703" s="174"/>
      <c r="F703" s="173" t="s">
        <v>260</v>
      </c>
      <c r="G703" s="171"/>
      <c r="H703" s="165" t="s">
        <v>35</v>
      </c>
      <c r="I703" s="212">
        <f ca="1">IFERROR(__xludf.DUMMYFUNCTION("IMPORTRANGE(""https://docs.google.com/spreadsheets/d/1eHaY18a8A9IcSdp1K8H6x8fbOy06t2VsZHhMHf-1x7Y/edit?usp=sharing"",""แผน!LJ38"")"),200)</f>
        <v>200</v>
      </c>
      <c r="J703" s="212">
        <f ca="1">IFERROR(__xludf.DUMMYFUNCTION("IMPORTRANGE(""https://docs.google.com/spreadsheets/d/1tdoBKaGub7dwA3U6UFTqxio9LNnvDCQjHKmttSEBsFQ/edit?usp=sharing"",""จัดที่ดิน!AP38"")"),74)</f>
        <v>74</v>
      </c>
      <c r="K703" s="255">
        <f ca="1">IF(I703&gt;0,J703*100/I703,0)</f>
        <v>37</v>
      </c>
      <c r="L703" s="172"/>
      <c r="M703" s="164"/>
      <c r="N703" s="164"/>
      <c r="O703" s="164"/>
      <c r="P703" s="164"/>
      <c r="Q703" s="164"/>
      <c r="R703" s="164"/>
      <c r="S703" s="164"/>
      <c r="T703" s="164"/>
      <c r="U703" s="164"/>
    </row>
    <row r="704" spans="1:21" ht="18.75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212">
        <f ca="1">IFERROR(__xludf.DUMMYFUNCTION("IMPORTRANGE(""https://docs.google.com/spreadsheets/d/1tdoBKaGub7dwA3U6UFTqxio9LNnvDCQjHKmttSEBsFQ/edit?usp=sharing"",""จัดที่ดิน!AQ38"")"),33.95)</f>
        <v>33.950000000000003</v>
      </c>
      <c r="K704" s="255">
        <f>IF(I704&gt;0,J704*100/I704,0)</f>
        <v>0</v>
      </c>
      <c r="L704" s="172"/>
      <c r="M704" s="164"/>
      <c r="N704" s="164"/>
      <c r="O704" s="164"/>
      <c r="P704" s="164"/>
      <c r="Q704" s="164"/>
      <c r="R704" s="164"/>
      <c r="S704" s="164"/>
      <c r="T704" s="164"/>
      <c r="U704" s="164"/>
    </row>
    <row r="705" spans="1:21" ht="18.75">
      <c r="A705" s="238"/>
      <c r="B705" s="188"/>
      <c r="C705" s="188"/>
      <c r="D705" s="174"/>
      <c r="E705" s="174"/>
      <c r="F705" s="173" t="s">
        <v>261</v>
      </c>
      <c r="G705" s="171"/>
      <c r="H705" s="165" t="s">
        <v>35</v>
      </c>
      <c r="I705" s="212">
        <f ca="1">IFERROR(__xludf.DUMMYFUNCTION("IMPORTRANGE(""https://docs.google.com/spreadsheets/d/1eHaY18a8A9IcSdp1K8H6x8fbOy06t2VsZHhMHf-1x7Y/edit?usp=sharing"",""แผน!LK38"")"),4)</f>
        <v>4</v>
      </c>
      <c r="J705" s="212">
        <f ca="1">IFERROR(__xludf.DUMMYFUNCTION("IMPORTRANGE(""https://docs.google.com/spreadsheets/d/1tdoBKaGub7dwA3U6UFTqxio9LNnvDCQjHKmttSEBsFQ/edit?usp=sharing"",""จัดที่ดิน!AR38"")"),0)</f>
        <v>0</v>
      </c>
      <c r="K705" s="565">
        <f ca="1">IF(I705&gt;0,J705*100/I705,0)</f>
        <v>0</v>
      </c>
      <c r="L705" s="172"/>
      <c r="M705" s="164"/>
      <c r="N705" s="164"/>
      <c r="O705" s="164"/>
      <c r="P705" s="164"/>
      <c r="Q705" s="164"/>
      <c r="R705" s="164"/>
      <c r="S705" s="164"/>
      <c r="T705" s="164"/>
      <c r="U705" s="164"/>
    </row>
    <row r="706" spans="1:21" ht="18.75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212">
        <f ca="1">IFERROR(__xludf.DUMMYFUNCTION("IMPORTRANGE(""https://docs.google.com/spreadsheets/d/1tdoBKaGub7dwA3U6UFTqxio9LNnvDCQjHKmttSEBsFQ/edit?usp=sharing"",""จัดที่ดิน!AS38"")"),0)</f>
        <v>0</v>
      </c>
      <c r="K706" s="255">
        <f>IF(I706&gt;0,J706*100/I706,0)</f>
        <v>0</v>
      </c>
      <c r="L706" s="172"/>
      <c r="M706" s="164"/>
      <c r="N706" s="164"/>
      <c r="O706" s="164"/>
      <c r="P706" s="164"/>
      <c r="Q706" s="164"/>
      <c r="R706" s="164"/>
      <c r="S706" s="164"/>
      <c r="T706" s="164"/>
      <c r="U706" s="164"/>
    </row>
    <row r="707" spans="1:21" ht="18.75">
      <c r="A707" s="238"/>
      <c r="B707" s="188"/>
      <c r="C707" s="188"/>
      <c r="D707" s="174"/>
      <c r="E707" s="173" t="s">
        <v>262</v>
      </c>
      <c r="F707" s="174"/>
      <c r="G707" s="171"/>
      <c r="H707" s="162" t="s">
        <v>35</v>
      </c>
      <c r="I707" s="212">
        <f ca="1">IFERROR(__xludf.DUMMYFUNCTION("IMPORTRANGE(""https://docs.google.com/spreadsheets/d/1eHaY18a8A9IcSdp1K8H6x8fbOy06t2VsZHhMHf-1x7Y/edit?usp=sharing"",""แผน!LJ38"")"),200)</f>
        <v>200</v>
      </c>
      <c r="J707" s="212">
        <f ca="1">IFERROR(__xludf.DUMMYFUNCTION("IMPORTRANGE(""https://docs.google.com/spreadsheets/d/1tdoBKaGub7dwA3U6UFTqxio9LNnvDCQjHKmttSEBsFQ/edit?usp=sharing"",""จัดที่ดิน!BN38"")"),0)</f>
        <v>0</v>
      </c>
      <c r="K707" s="255">
        <f ca="1">IF(I707&gt;0,J707*100/I707,0)</f>
        <v>0</v>
      </c>
      <c r="L707" s="172"/>
      <c r="M707" s="164"/>
      <c r="N707" s="164"/>
      <c r="O707" s="164"/>
      <c r="P707" s="164"/>
      <c r="Q707" s="164"/>
      <c r="R707" s="164"/>
      <c r="S707" s="164"/>
      <c r="T707" s="164"/>
      <c r="U707" s="164"/>
    </row>
    <row r="708" spans="1:21" ht="18.75">
      <c r="A708" s="238"/>
      <c r="B708" s="188"/>
      <c r="C708" s="188"/>
      <c r="D708" s="174"/>
      <c r="E708" s="477" t="s">
        <v>263</v>
      </c>
      <c r="F708" s="174"/>
      <c r="G708" s="171"/>
      <c r="H708" s="162" t="s">
        <v>46</v>
      </c>
      <c r="I708" s="212">
        <v>0</v>
      </c>
      <c r="J708" s="212">
        <f ca="1">IFERROR(__xludf.DUMMYFUNCTION("IMPORTRANGE(""https://docs.google.com/spreadsheets/d/1tdoBKaGub7dwA3U6UFTqxio9LNnvDCQjHKmttSEBsFQ/edit?usp=sharing"",""จัดที่ดิน!BO38"")"),0)</f>
        <v>0</v>
      </c>
      <c r="K708" s="255">
        <f>IF(I708&gt;0,J708*100/I708,0)</f>
        <v>0</v>
      </c>
      <c r="L708" s="172"/>
      <c r="M708" s="164"/>
      <c r="N708" s="164"/>
      <c r="O708" s="164"/>
      <c r="P708" s="164"/>
      <c r="Q708" s="164"/>
      <c r="R708" s="164"/>
      <c r="S708" s="164"/>
      <c r="T708" s="164"/>
      <c r="U708" s="164"/>
    </row>
    <row r="709" spans="1:21" ht="18.75">
      <c r="A709" s="238"/>
      <c r="B709" s="188"/>
      <c r="C709" s="188"/>
      <c r="D709" s="50"/>
      <c r="E709" s="58" t="s">
        <v>264</v>
      </c>
      <c r="F709" s="50"/>
      <c r="G709" s="52"/>
      <c r="H709" s="203" t="s">
        <v>35</v>
      </c>
      <c r="I709" s="212">
        <f ca="1">IFERROR(__xludf.DUMMYFUNCTION("IMPORTRANGE(""https://docs.google.com/spreadsheets/d/1eHaY18a8A9IcSdp1K8H6x8fbOy06t2VsZHhMHf-1x7Y/edit?usp=sharing"",""แผน!LK38"")"),4)</f>
        <v>4</v>
      </c>
      <c r="J709" s="212">
        <f ca="1">IFERROR(__xludf.DUMMYFUNCTION("IMPORTRANGE(""https://docs.google.com/spreadsheets/d/1tdoBKaGub7dwA3U6UFTqxio9LNnvDCQjHKmttSEBsFQ/edit?usp=sharing"",""จัดที่ดิน!BP38"")"),0)</f>
        <v>0</v>
      </c>
      <c r="K709" s="255">
        <f ca="1">IF(I709&gt;0,J709*100/I709,0)</f>
        <v>0</v>
      </c>
      <c r="L709" s="62"/>
      <c r="M709" s="55"/>
      <c r="N709" s="55"/>
      <c r="O709" s="55"/>
      <c r="P709" s="55"/>
      <c r="Q709" s="55"/>
      <c r="R709" s="55"/>
      <c r="S709" s="55"/>
      <c r="T709" s="55"/>
      <c r="U709" s="55"/>
    </row>
    <row r="710" spans="1:21" ht="18.75">
      <c r="A710" s="238"/>
      <c r="B710" s="188"/>
      <c r="C710" s="188"/>
      <c r="D710" s="50"/>
      <c r="E710" s="477" t="s">
        <v>265</v>
      </c>
      <c r="F710" s="50"/>
      <c r="G710" s="52"/>
      <c r="H710" s="203" t="s">
        <v>46</v>
      </c>
      <c r="I710" s="212">
        <v>0</v>
      </c>
      <c r="J710" s="212">
        <f ca="1">IFERROR(__xludf.DUMMYFUNCTION("IMPORTRANGE(""https://docs.google.com/spreadsheets/d/1tdoBKaGub7dwA3U6UFTqxio9LNnvDCQjHKmttSEBsFQ/edit?usp=sharing"",""จัดที่ดิน!BQ38"")"),0)</f>
        <v>0</v>
      </c>
      <c r="K710" s="255">
        <f>IF(I710&gt;0,J710*100/I710,0)</f>
        <v>0</v>
      </c>
      <c r="L710" s="62"/>
      <c r="M710" s="55"/>
      <c r="N710" s="55"/>
      <c r="O710" s="55"/>
      <c r="P710" s="55"/>
      <c r="Q710" s="55"/>
      <c r="R710" s="55"/>
      <c r="S710" s="55"/>
      <c r="T710" s="55"/>
      <c r="U710" s="55"/>
    </row>
    <row r="711" spans="1:21" ht="12.75" hidden="1">
      <c r="A711" s="407"/>
      <c r="B711" s="360"/>
      <c r="C711" s="360"/>
      <c r="D711" s="408"/>
      <c r="E711" s="408"/>
      <c r="F711" s="408"/>
      <c r="G711" s="409"/>
      <c r="H711" s="361"/>
      <c r="I711" s="362"/>
      <c r="J711" s="362"/>
      <c r="K711" s="363"/>
      <c r="L711" s="364"/>
      <c r="M711" s="363"/>
      <c r="N711" s="363"/>
      <c r="O711" s="363"/>
      <c r="P711" s="363"/>
      <c r="Q711" s="363"/>
      <c r="R711" s="363"/>
      <c r="S711" s="363"/>
      <c r="T711" s="363"/>
      <c r="U711" s="363"/>
    </row>
    <row r="712" spans="1:21" ht="19.5" hidden="1">
      <c r="A712" s="442"/>
      <c r="B712" s="478" t="s">
        <v>266</v>
      </c>
      <c r="C712" s="442"/>
      <c r="D712" s="444"/>
      <c r="E712" s="444"/>
      <c r="F712" s="444"/>
      <c r="G712" s="445"/>
      <c r="H712" s="479" t="s">
        <v>46</v>
      </c>
      <c r="I712" s="447"/>
      <c r="J712" s="447">
        <f>J724</f>
        <v>0</v>
      </c>
      <c r="K712" s="564">
        <f>IF(I712&gt;0,J712*100/I712,0)</f>
        <v>0</v>
      </c>
      <c r="L712" s="449"/>
      <c r="M712" s="448"/>
      <c r="N712" s="448"/>
      <c r="O712" s="448"/>
      <c r="P712" s="448"/>
      <c r="Q712" s="448"/>
      <c r="R712" s="448"/>
      <c r="S712" s="448"/>
      <c r="T712" s="448"/>
      <c r="U712" s="448"/>
    </row>
    <row r="713" spans="1:21" ht="19.5" hidden="1">
      <c r="A713" s="442"/>
      <c r="B713" s="478" t="s">
        <v>267</v>
      </c>
      <c r="C713" s="442"/>
      <c r="D713" s="444"/>
      <c r="E713" s="444"/>
      <c r="F713" s="444"/>
      <c r="G713" s="445"/>
      <c r="H713" s="446"/>
      <c r="I713" s="447"/>
      <c r="J713" s="447"/>
      <c r="K713" s="448"/>
      <c r="L713" s="449"/>
      <c r="M713" s="448"/>
      <c r="N713" s="448"/>
      <c r="O713" s="448"/>
      <c r="P713" s="448"/>
      <c r="Q713" s="448"/>
      <c r="R713" s="448"/>
      <c r="S713" s="448"/>
      <c r="T713" s="448"/>
      <c r="U713" s="448"/>
    </row>
    <row r="714" spans="1:21" ht="19.5" hidden="1">
      <c r="A714" s="155"/>
      <c r="B714" s="188"/>
      <c r="C714" s="358" t="s">
        <v>18</v>
      </c>
      <c r="D714" s="563" t="s">
        <v>19</v>
      </c>
      <c r="E714" s="529"/>
      <c r="F714" s="529"/>
      <c r="G714" s="530"/>
      <c r="H714" s="418" t="s">
        <v>14</v>
      </c>
      <c r="I714" s="54"/>
      <c r="J714" s="54"/>
      <c r="K714" s="55"/>
      <c r="L714" s="541">
        <f>L715+L716</f>
        <v>0</v>
      </c>
      <c r="M714" s="540">
        <f>M715+M716</f>
        <v>0</v>
      </c>
      <c r="N714" s="540">
        <f>N715+N716</f>
        <v>0</v>
      </c>
      <c r="O714" s="540">
        <f>IF(L714&gt;0,N714*100/L714,0)</f>
        <v>0</v>
      </c>
      <c r="P714" s="540">
        <f>IF(M714&gt;0,N714*100/M714,0)</f>
        <v>0</v>
      </c>
      <c r="Q714" s="540">
        <f>Q715+Q716</f>
        <v>0</v>
      </c>
      <c r="R714" s="540">
        <f>R715+R716</f>
        <v>0</v>
      </c>
      <c r="S714" s="540">
        <f>S715+S716</f>
        <v>0</v>
      </c>
      <c r="T714" s="540">
        <f>IF(Q714&gt;0,S714*100/Q714,0)</f>
        <v>0</v>
      </c>
      <c r="U714" s="540">
        <f>IF(R714&gt;0,S714*100/R714,0)</f>
        <v>0</v>
      </c>
    </row>
    <row r="715" spans="1:21" ht="18.75" hidden="1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103">
        <f>L718+L721</f>
        <v>0</v>
      </c>
      <c r="M715" s="102">
        <f>M718+M721</f>
        <v>0</v>
      </c>
      <c r="N715" s="102">
        <f>N718+N721</f>
        <v>0</v>
      </c>
      <c r="O715" s="102">
        <f>IF(L715&gt;0,N715*100/L715,0)</f>
        <v>0</v>
      </c>
      <c r="P715" s="102">
        <f>IF(M715&gt;0,N715*100/M715,0)</f>
        <v>0</v>
      </c>
      <c r="Q715" s="102">
        <f>Q718+Q721</f>
        <v>0</v>
      </c>
      <c r="R715" s="102">
        <f>R718+R721</f>
        <v>0</v>
      </c>
      <c r="S715" s="102">
        <f>S718+S721</f>
        <v>0</v>
      </c>
      <c r="T715" s="102">
        <f>IF(Q715&gt;0,S715*100/Q715,0)</f>
        <v>0</v>
      </c>
      <c r="U715" s="102">
        <f>IF(R715&gt;0,S715*100/R715,0)</f>
        <v>0</v>
      </c>
    </row>
    <row r="716" spans="1:21" ht="18.75" hidden="1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256">
        <f>L719+L722</f>
        <v>0</v>
      </c>
      <c r="M716" s="255">
        <f>M719+M722</f>
        <v>0</v>
      </c>
      <c r="N716" s="255">
        <f>N719+N722</f>
        <v>0</v>
      </c>
      <c r="O716" s="255">
        <f>IF(L716&gt;0,N716*100/L716,0)</f>
        <v>0</v>
      </c>
      <c r="P716" s="255">
        <f>IF(M716&gt;0,N716*100/M716,0)</f>
        <v>0</v>
      </c>
      <c r="Q716" s="255">
        <f>Q719+Q722</f>
        <v>0</v>
      </c>
      <c r="R716" s="255">
        <f>R719+R722</f>
        <v>0</v>
      </c>
      <c r="S716" s="255">
        <f>S719+S722</f>
        <v>0</v>
      </c>
      <c r="T716" s="255">
        <f>IF(Q716&gt;0,S716*100/Q716,0)</f>
        <v>0</v>
      </c>
      <c r="U716" s="255">
        <f>IF(R716&gt;0,S716*100/R716,0)</f>
        <v>0</v>
      </c>
    </row>
    <row r="717" spans="1:21" ht="19.5" hidden="1">
      <c r="A717" s="155"/>
      <c r="B717" s="188"/>
      <c r="C717" s="188"/>
      <c r="D717" s="562" t="s">
        <v>22</v>
      </c>
      <c r="E717" s="50"/>
      <c r="F717" s="50"/>
      <c r="G717" s="52"/>
      <c r="H717" s="418" t="s">
        <v>14</v>
      </c>
      <c r="I717" s="163"/>
      <c r="J717" s="163"/>
      <c r="K717" s="164"/>
      <c r="L717" s="256">
        <f>L718+L719</f>
        <v>0</v>
      </c>
      <c r="M717" s="255">
        <f>M718+M719</f>
        <v>0</v>
      </c>
      <c r="N717" s="255">
        <f>N718+N719</f>
        <v>0</v>
      </c>
      <c r="O717" s="255">
        <f>IF(L717&gt;0,N717*100/L717,0)</f>
        <v>0</v>
      </c>
      <c r="P717" s="255">
        <f>IF(M717&gt;0,N717*100/M717,0)</f>
        <v>0</v>
      </c>
      <c r="Q717" s="255">
        <f>Q718+Q719</f>
        <v>0</v>
      </c>
      <c r="R717" s="255">
        <f>R718+R719</f>
        <v>0</v>
      </c>
      <c r="S717" s="255">
        <f>S718+S719</f>
        <v>0</v>
      </c>
      <c r="T717" s="255">
        <f>IF(Q717&gt;0,S717*100/Q717,0)</f>
        <v>0</v>
      </c>
      <c r="U717" s="255">
        <f>IF(R717&gt;0,S717*100/R717,0)</f>
        <v>0</v>
      </c>
    </row>
    <row r="718" spans="1:21" ht="18.75" hidden="1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103">
        <v>0</v>
      </c>
      <c r="M718" s="102">
        <v>0</v>
      </c>
      <c r="N718" s="102">
        <v>0</v>
      </c>
      <c r="O718" s="102">
        <f>IF(L718&gt;0,N718*100/L718,0)</f>
        <v>0</v>
      </c>
      <c r="P718" s="102">
        <f>IF(M718&gt;0,N718*100/M718,0)</f>
        <v>0</v>
      </c>
      <c r="Q718" s="102">
        <v>0</v>
      </c>
      <c r="R718" s="102">
        <v>0</v>
      </c>
      <c r="S718" s="102">
        <v>0</v>
      </c>
      <c r="T718" s="102">
        <f>IF(Q718&gt;0,S718*100/Q718,0)</f>
        <v>0</v>
      </c>
      <c r="U718" s="102">
        <f>IF(R718&gt;0,S718*100/R718,0)</f>
        <v>0</v>
      </c>
    </row>
    <row r="719" spans="1:21" ht="18.75" hidden="1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256">
        <v>0</v>
      </c>
      <c r="M719" s="255">
        <v>0</v>
      </c>
      <c r="N719" s="255">
        <v>0</v>
      </c>
      <c r="O719" s="255">
        <f>IF(L719&gt;0,N719*100/L719,0)</f>
        <v>0</v>
      </c>
      <c r="P719" s="255">
        <f>IF(M719&gt;0,N719*100/M719,0)</f>
        <v>0</v>
      </c>
      <c r="Q719" s="255">
        <v>0</v>
      </c>
      <c r="R719" s="255">
        <v>0</v>
      </c>
      <c r="S719" s="255">
        <v>0</v>
      </c>
      <c r="T719" s="255">
        <f>IF(Q719&gt;0,S719*100/Q719,0)</f>
        <v>0</v>
      </c>
      <c r="U719" s="255">
        <f>IF(R719&gt;0,S719*100/R719,0)</f>
        <v>0</v>
      </c>
    </row>
    <row r="720" spans="1:21" ht="19.5" hidden="1">
      <c r="A720" s="155"/>
      <c r="B720" s="188"/>
      <c r="C720" s="188"/>
      <c r="D720" s="562" t="s">
        <v>23</v>
      </c>
      <c r="E720" s="50"/>
      <c r="F720" s="50"/>
      <c r="G720" s="52"/>
      <c r="H720" s="420" t="s">
        <v>14</v>
      </c>
      <c r="I720" s="163"/>
      <c r="J720" s="163"/>
      <c r="K720" s="164"/>
      <c r="L720" s="256">
        <f>L721+L722</f>
        <v>0</v>
      </c>
      <c r="M720" s="255">
        <f>M721+M722</f>
        <v>0</v>
      </c>
      <c r="N720" s="255">
        <f>N721+N722</f>
        <v>0</v>
      </c>
      <c r="O720" s="255">
        <f>IF(L720&gt;0,N720*100/L720,0)</f>
        <v>0</v>
      </c>
      <c r="P720" s="255">
        <f>IF(M720&gt;0,N720*100/M720,0)</f>
        <v>0</v>
      </c>
      <c r="Q720" s="255">
        <f>Q721+Q722</f>
        <v>0</v>
      </c>
      <c r="R720" s="255">
        <f>R721+R722</f>
        <v>0</v>
      </c>
      <c r="S720" s="255">
        <f>S721+S722</f>
        <v>0</v>
      </c>
      <c r="T720" s="255">
        <f>IF(Q720&gt;0,S720*100/Q720,0)</f>
        <v>0</v>
      </c>
      <c r="U720" s="255">
        <f>IF(R720&gt;0,S720*100/R720,0)</f>
        <v>0</v>
      </c>
    </row>
    <row r="721" spans="1:21" ht="18.75" hidden="1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103">
        <v>0</v>
      </c>
      <c r="M721" s="102">
        <v>0</v>
      </c>
      <c r="N721" s="102">
        <v>0</v>
      </c>
      <c r="O721" s="102">
        <f>IF(L721&gt;0,N721*100/L721,0)</f>
        <v>0</v>
      </c>
      <c r="P721" s="102">
        <f>IF(M721&gt;0,N721*100/M721,0)</f>
        <v>0</v>
      </c>
      <c r="Q721" s="102">
        <v>0</v>
      </c>
      <c r="R721" s="102">
        <v>0</v>
      </c>
      <c r="S721" s="102">
        <v>0</v>
      </c>
      <c r="T721" s="102">
        <f>IF(Q721&gt;0,S721*100/Q721,0)</f>
        <v>0</v>
      </c>
      <c r="U721" s="102">
        <f>IF(R721&gt;0,S721*100/R721,0)</f>
        <v>0</v>
      </c>
    </row>
    <row r="722" spans="1:21" ht="18.75" hidden="1">
      <c r="A722" s="155"/>
      <c r="B722" s="188"/>
      <c r="C722" s="188"/>
      <c r="D722" s="50"/>
      <c r="E722" s="186" t="s">
        <v>21</v>
      </c>
      <c r="F722" s="50"/>
      <c r="G722" s="52"/>
      <c r="H722" s="421" t="s">
        <v>14</v>
      </c>
      <c r="I722" s="163"/>
      <c r="J722" s="163"/>
      <c r="K722" s="164"/>
      <c r="L722" s="256">
        <v>0</v>
      </c>
      <c r="M722" s="255">
        <v>0</v>
      </c>
      <c r="N722" s="255">
        <v>0</v>
      </c>
      <c r="O722" s="255">
        <f>IF(L722&gt;0,N722*100/L722,0)</f>
        <v>0</v>
      </c>
      <c r="P722" s="255">
        <f>IF(M722&gt;0,N722*100/M722,0)</f>
        <v>0</v>
      </c>
      <c r="Q722" s="255">
        <v>0</v>
      </c>
      <c r="R722" s="255">
        <v>0</v>
      </c>
      <c r="S722" s="255">
        <v>0</v>
      </c>
      <c r="T722" s="255">
        <f>IF(Q722&gt;0,S722*100/Q722,0)</f>
        <v>0</v>
      </c>
      <c r="U722" s="255">
        <f>IF(R722&gt;0,S722*100/R722,0)</f>
        <v>0</v>
      </c>
    </row>
    <row r="723" spans="1:21" ht="19.5" hidden="1">
      <c r="A723" s="166"/>
      <c r="B723" s="167"/>
      <c r="C723" s="358" t="s">
        <v>18</v>
      </c>
      <c r="D723" s="561" t="s">
        <v>38</v>
      </c>
      <c r="E723" s="169"/>
      <c r="F723" s="169"/>
      <c r="G723" s="170"/>
      <c r="H723" s="206"/>
      <c r="I723" s="163"/>
      <c r="J723" s="163"/>
      <c r="K723" s="164"/>
      <c r="L723" s="172"/>
      <c r="M723" s="164"/>
      <c r="N723" s="164"/>
      <c r="O723" s="164"/>
      <c r="P723" s="164"/>
      <c r="Q723" s="164"/>
      <c r="R723" s="164"/>
      <c r="S723" s="164"/>
      <c r="T723" s="164"/>
      <c r="U723" s="164"/>
    </row>
    <row r="724" spans="1:21" ht="18.75" hidden="1">
      <c r="A724" s="238"/>
      <c r="B724" s="188"/>
      <c r="C724" s="188"/>
      <c r="D724" s="50"/>
      <c r="E724" s="186" t="s">
        <v>268</v>
      </c>
      <c r="F724" s="50"/>
      <c r="G724" s="52"/>
      <c r="H724" s="189" t="s">
        <v>46</v>
      </c>
      <c r="I724" s="483">
        <v>0</v>
      </c>
      <c r="J724" s="54"/>
      <c r="K724" s="55"/>
      <c r="L724" s="62"/>
      <c r="M724" s="55"/>
      <c r="N724" s="55"/>
      <c r="O724" s="55"/>
      <c r="P724" s="55"/>
      <c r="Q724" s="55"/>
      <c r="R724" s="55"/>
      <c r="S724" s="55"/>
      <c r="T724" s="55"/>
      <c r="U724" s="55"/>
    </row>
    <row r="725" spans="1:21" ht="18.75" hidden="1">
      <c r="A725" s="374"/>
      <c r="B725" s="5"/>
      <c r="C725" s="5"/>
      <c r="D725" s="4"/>
      <c r="E725" s="484" t="s">
        <v>269</v>
      </c>
      <c r="F725" s="4"/>
      <c r="G725" s="65"/>
      <c r="H725" s="485" t="s">
        <v>46</v>
      </c>
      <c r="I725" s="486">
        <v>0</v>
      </c>
      <c r="J725" s="67"/>
      <c r="K725" s="6"/>
      <c r="L725" s="68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>
      <c r="A726" s="442"/>
      <c r="B726" s="443" t="s">
        <v>270</v>
      </c>
      <c r="C726" s="442"/>
      <c r="D726" s="444"/>
      <c r="E726" s="444"/>
      <c r="F726" s="444"/>
      <c r="G726" s="445"/>
      <c r="H726" s="473" t="s">
        <v>35</v>
      </c>
      <c r="I726" s="544">
        <f ca="1">IFERROR(__xludf.DUMMYFUNCTION("IMPORTRANGE(""https://docs.google.com/spreadsheets/d/1eHaY18a8A9IcSdp1K8H6x8fbOy06t2VsZHhMHf-1x7Y/edit?usp=sharing"",""แผน!GA38"")"),128)</f>
        <v>128</v>
      </c>
      <c r="J726" s="544">
        <f>J742+J746+J749</f>
        <v>128</v>
      </c>
      <c r="K726" s="543">
        <f ca="1">IF(I726&gt;0,J726*100/I726,0)</f>
        <v>100</v>
      </c>
      <c r="L726" s="449"/>
      <c r="M726" s="448"/>
      <c r="N726" s="448"/>
      <c r="O726" s="448"/>
      <c r="P726" s="448"/>
      <c r="Q726" s="448"/>
      <c r="R726" s="448"/>
      <c r="S726" s="448"/>
      <c r="T726" s="448"/>
      <c r="U726" s="448"/>
    </row>
    <row r="727" spans="1:21" ht="19.5">
      <c r="A727" s="487"/>
      <c r="B727" s="442"/>
      <c r="C727" s="442"/>
      <c r="D727" s="444"/>
      <c r="E727" s="444"/>
      <c r="F727" s="444"/>
      <c r="G727" s="445"/>
      <c r="H727" s="473" t="s">
        <v>46</v>
      </c>
      <c r="I727" s="544">
        <f ca="1">IFERROR(__xludf.DUMMYFUNCTION("IMPORTRANGE(""https://docs.google.com/spreadsheets/d/1eHaY18a8A9IcSdp1K8H6x8fbOy06t2VsZHhMHf-1x7Y/edit?usp=sharing"",""แผน!FZ38"")"),1250)</f>
        <v>1250</v>
      </c>
      <c r="J727" s="544">
        <f>J752+J755</f>
        <v>0</v>
      </c>
      <c r="K727" s="543">
        <f ca="1">IF(I727&gt;0,J727*100/I727,0)</f>
        <v>0</v>
      </c>
      <c r="L727" s="449"/>
      <c r="M727" s="448"/>
      <c r="N727" s="448"/>
      <c r="O727" s="448"/>
      <c r="P727" s="448"/>
      <c r="Q727" s="448"/>
      <c r="R727" s="448"/>
      <c r="S727" s="448"/>
      <c r="T727" s="448"/>
      <c r="U727" s="448"/>
    </row>
    <row r="728" spans="1:21" ht="19.5">
      <c r="A728" s="155"/>
      <c r="B728" s="188"/>
      <c r="C728" s="205" t="s">
        <v>18</v>
      </c>
      <c r="D728" s="542" t="s">
        <v>19</v>
      </c>
      <c r="E728" s="529"/>
      <c r="F728" s="529"/>
      <c r="G728" s="530"/>
      <c r="H728" s="252" t="s">
        <v>14</v>
      </c>
      <c r="I728" s="54"/>
      <c r="J728" s="54"/>
      <c r="K728" s="55"/>
      <c r="L728" s="541">
        <f>L729+L730</f>
        <v>0</v>
      </c>
      <c r="M728" s="540">
        <f>M729+M730</f>
        <v>0</v>
      </c>
      <c r="N728" s="540">
        <f>N729+N730</f>
        <v>0</v>
      </c>
      <c r="O728" s="540">
        <f>IF(L728&gt;0,N728*100/L728,0)</f>
        <v>0</v>
      </c>
      <c r="P728" s="540">
        <f>IF(M728&gt;0,N728*100/M728,0)</f>
        <v>0</v>
      </c>
      <c r="Q728" s="540">
        <f ca="1">Q729+Q730</f>
        <v>1008470</v>
      </c>
      <c r="R728" s="540">
        <f ca="1">R729+R730</f>
        <v>1008470</v>
      </c>
      <c r="S728" s="540">
        <f ca="1">S729+S730</f>
        <v>157320</v>
      </c>
      <c r="T728" s="540">
        <f ca="1">IF(Q728&gt;0,S728*100/Q728,0)</f>
        <v>15.599869108649736</v>
      </c>
      <c r="U728" s="540">
        <f ca="1">IF(R728&gt;0,S728*100/R728,0)</f>
        <v>15.599869108649736</v>
      </c>
    </row>
    <row r="729" spans="1:21" ht="18.75" hidden="1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103">
        <f>L732+L735</f>
        <v>0</v>
      </c>
      <c r="M729" s="102">
        <f>M732+M735</f>
        <v>0</v>
      </c>
      <c r="N729" s="102">
        <f>N732+N735</f>
        <v>0</v>
      </c>
      <c r="O729" s="102">
        <f>IF(L729&gt;0,N729*100/L729,0)</f>
        <v>0</v>
      </c>
      <c r="P729" s="102">
        <f>IF(M729&gt;0,N729*100/M729,0)</f>
        <v>0</v>
      </c>
      <c r="Q729" s="102">
        <f>Q732+Q735</f>
        <v>0</v>
      </c>
      <c r="R729" s="102">
        <f>R732+R735</f>
        <v>0</v>
      </c>
      <c r="S729" s="102">
        <f>S732+S735</f>
        <v>0</v>
      </c>
      <c r="T729" s="102">
        <f>IF(Q729&gt;0,S729*100/Q729,0)</f>
        <v>0</v>
      </c>
      <c r="U729" s="102">
        <f>IF(R729&gt;0,S729*100/R729,0)</f>
        <v>0</v>
      </c>
    </row>
    <row r="730" spans="1:21" ht="18.75" hidden="1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256">
        <f>L733+L736</f>
        <v>0</v>
      </c>
      <c r="M730" s="255">
        <f>M733+M736</f>
        <v>0</v>
      </c>
      <c r="N730" s="255">
        <f>N733+N736</f>
        <v>0</v>
      </c>
      <c r="O730" s="255">
        <f>IF(L730&gt;0,N730*100/L730,0)</f>
        <v>0</v>
      </c>
      <c r="P730" s="255">
        <f>IF(M730&gt;0,N730*100/M730,0)</f>
        <v>0</v>
      </c>
      <c r="Q730" s="255">
        <f ca="1">Q733+Q736</f>
        <v>1008470</v>
      </c>
      <c r="R730" s="255">
        <f ca="1">R733+R736</f>
        <v>1008470</v>
      </c>
      <c r="S730" s="255">
        <f ca="1">S733+S736</f>
        <v>157320</v>
      </c>
      <c r="T730" s="255">
        <f ca="1">IF(Q730&gt;0,S730*100/Q730,0)</f>
        <v>15.599869108649736</v>
      </c>
      <c r="U730" s="255">
        <f ca="1">IF(R730&gt;0,S730*100/R730,0)</f>
        <v>15.599869108649736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256">
        <f>L732+L733</f>
        <v>0</v>
      </c>
      <c r="M731" s="255">
        <f>M732+M733</f>
        <v>0</v>
      </c>
      <c r="N731" s="255">
        <f>N732+N733</f>
        <v>0</v>
      </c>
      <c r="O731" s="255">
        <f>IF(L731&gt;0,N731*100/L731,0)</f>
        <v>0</v>
      </c>
      <c r="P731" s="255">
        <f>IF(M731&gt;0,N731*100/M731,0)</f>
        <v>0</v>
      </c>
      <c r="Q731" s="255">
        <f ca="1">Q732+Q733</f>
        <v>1008470</v>
      </c>
      <c r="R731" s="255">
        <f ca="1">R732+R733</f>
        <v>1008470</v>
      </c>
      <c r="S731" s="255">
        <f ca="1">S732+S733</f>
        <v>157320</v>
      </c>
      <c r="T731" s="255">
        <f ca="1">IF(Q731&gt;0,S731*100/Q731,0)</f>
        <v>15.599869108649736</v>
      </c>
      <c r="U731" s="255">
        <f ca="1">IF(R731&gt;0,S731*100/R731,0)</f>
        <v>15.599869108649736</v>
      </c>
    </row>
    <row r="732" spans="1:21" ht="18.75" hidden="1">
      <c r="A732" s="155"/>
      <c r="B732" s="188"/>
      <c r="C732" s="188"/>
      <c r="D732" s="174"/>
      <c r="E732" s="186" t="s">
        <v>159</v>
      </c>
      <c r="F732" s="50"/>
      <c r="G732" s="52"/>
      <c r="H732" s="189" t="s">
        <v>14</v>
      </c>
      <c r="I732" s="54"/>
      <c r="J732" s="54"/>
      <c r="K732" s="55"/>
      <c r="L732" s="103">
        <v>0</v>
      </c>
      <c r="M732" s="102">
        <v>0</v>
      </c>
      <c r="N732" s="102">
        <v>0</v>
      </c>
      <c r="O732" s="102">
        <f>IF(L732&gt;0,N732*100/L732,0)</f>
        <v>0</v>
      </c>
      <c r="P732" s="102">
        <f>IF(M732&gt;0,N732*100/M732,0)</f>
        <v>0</v>
      </c>
      <c r="Q732" s="102">
        <v>0</v>
      </c>
      <c r="R732" s="102">
        <v>0</v>
      </c>
      <c r="S732" s="102">
        <v>0</v>
      </c>
      <c r="T732" s="102">
        <f>IF(Q732&gt;0,S732*100/Q732,0)</f>
        <v>0</v>
      </c>
      <c r="U732" s="102">
        <f>IF(R732&gt;0,S732*100/R732,0)</f>
        <v>0</v>
      </c>
    </row>
    <row r="733" spans="1:21" ht="18.75" hidden="1">
      <c r="A733" s="155"/>
      <c r="B733" s="188"/>
      <c r="C733" s="188"/>
      <c r="D733" s="174"/>
      <c r="E733" s="58" t="s">
        <v>160</v>
      </c>
      <c r="F733" s="50"/>
      <c r="G733" s="52"/>
      <c r="H733" s="162" t="s">
        <v>14</v>
      </c>
      <c r="I733" s="54"/>
      <c r="J733" s="54"/>
      <c r="K733" s="55"/>
      <c r="L733" s="256">
        <v>0</v>
      </c>
      <c r="M733" s="255">
        <v>0</v>
      </c>
      <c r="N733" s="255">
        <v>0</v>
      </c>
      <c r="O733" s="255">
        <f>IF(L733&gt;0,N733*100/L733,0)</f>
        <v>0</v>
      </c>
      <c r="P733" s="255">
        <f>IF(M733&gt;0,N733*100/M733,0)</f>
        <v>0</v>
      </c>
      <c r="Q733" s="255">
        <f ca="1">IFERROR(__xludf.DUMMYFUNCTION("IMPORTRANGE(""https://docs.google.com/spreadsheets/d/1ItG2mGa2ceCfYo0BwxsXqNm01IGEUdYcSSLTEv9YCik/edit?usp=sharing"",""เบิกจ่ายกองทุน!O38"")"),1008470)</f>
        <v>1008470</v>
      </c>
      <c r="R733" s="255">
        <f ca="1">IFERROR(__xludf.DUMMYFUNCTION("IMPORTRANGE(""https://docs.google.com/spreadsheets/d/1ItG2mGa2ceCfYo0BwxsXqNm01IGEUdYcSSLTEv9YCik/edit?usp=sharing"",""เบิกจ่ายกองทุน!P38"")"),1008470)</f>
        <v>1008470</v>
      </c>
      <c r="S733" s="255">
        <f ca="1">IFERROR(__xludf.DUMMYFUNCTION("IMPORTRANGE(""https://docs.google.com/spreadsheets/d/1ItG2mGa2ceCfYo0BwxsXqNm01IGEUdYcSSLTEv9YCik/edit?usp=sharing"",""เบิกจ่ายกองทุน!Q38"")"),157320)</f>
        <v>157320</v>
      </c>
      <c r="T733" s="255">
        <f ca="1">IF(Q733&gt;0,S733*100/Q733,0)</f>
        <v>15.599869108649736</v>
      </c>
      <c r="U733" s="255">
        <f ca="1">IF(R733&gt;0,S733*100/R733,0)</f>
        <v>15.599869108649736</v>
      </c>
    </row>
    <row r="734" spans="1:21" ht="18.75">
      <c r="A734" s="155"/>
      <c r="B734" s="188"/>
      <c r="C734" s="188"/>
      <c r="D734" s="51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256">
        <f>L735+L736</f>
        <v>0</v>
      </c>
      <c r="M734" s="255">
        <f>M735+M736</f>
        <v>0</v>
      </c>
      <c r="N734" s="255">
        <f>N735+N736</f>
        <v>0</v>
      </c>
      <c r="O734" s="255">
        <f>IF(L734&gt;0,N734*100/L734,0)</f>
        <v>0</v>
      </c>
      <c r="P734" s="255">
        <f>IF(M734&gt;0,N734*100/M734,0)</f>
        <v>0</v>
      </c>
      <c r="Q734" s="255">
        <f>Q735+Q736</f>
        <v>0</v>
      </c>
      <c r="R734" s="255">
        <f>R735+R736</f>
        <v>0</v>
      </c>
      <c r="S734" s="255">
        <f>S735+S736</f>
        <v>0</v>
      </c>
      <c r="T734" s="255">
        <f>IF(Q734&gt;0,S734*100/Q734,0)</f>
        <v>0</v>
      </c>
      <c r="U734" s="255">
        <f>IF(R734&gt;0,S734*100/R734,0)</f>
        <v>0</v>
      </c>
    </row>
    <row r="735" spans="1:21" ht="18.75" hidden="1">
      <c r="A735" s="155"/>
      <c r="B735" s="188"/>
      <c r="C735" s="188"/>
      <c r="D735" s="188"/>
      <c r="E735" s="358" t="s">
        <v>20</v>
      </c>
      <c r="F735" s="188"/>
      <c r="G735" s="52"/>
      <c r="H735" s="189" t="s">
        <v>14</v>
      </c>
      <c r="I735" s="163"/>
      <c r="J735" s="163"/>
      <c r="K735" s="164"/>
      <c r="L735" s="103">
        <v>0</v>
      </c>
      <c r="M735" s="102">
        <v>0</v>
      </c>
      <c r="N735" s="102">
        <v>0</v>
      </c>
      <c r="O735" s="102">
        <f>IF(L735&gt;0,N735*100/L735,0)</f>
        <v>0</v>
      </c>
      <c r="P735" s="102">
        <f>IF(M735&gt;0,N735*100/M735,0)</f>
        <v>0</v>
      </c>
      <c r="Q735" s="102">
        <v>0</v>
      </c>
      <c r="R735" s="102">
        <v>0</v>
      </c>
      <c r="S735" s="102">
        <v>0</v>
      </c>
      <c r="T735" s="102">
        <f>IF(Q735&gt;0,S735*100/Q735,0)</f>
        <v>0</v>
      </c>
      <c r="U735" s="102">
        <f>IF(R735&gt;0,S735*100/R735,0)</f>
        <v>0</v>
      </c>
    </row>
    <row r="736" spans="1:21" ht="18.75" hidden="1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256">
        <v>0</v>
      </c>
      <c r="M736" s="255">
        <v>0</v>
      </c>
      <c r="N736" s="255">
        <v>0</v>
      </c>
      <c r="O736" s="255">
        <f>IF(L736&gt;0,N736*100/L736,0)</f>
        <v>0</v>
      </c>
      <c r="P736" s="255">
        <f>IF(M736&gt;0,N736*100/M736,0)</f>
        <v>0</v>
      </c>
      <c r="Q736" s="255">
        <v>0</v>
      </c>
      <c r="R736" s="255">
        <v>0</v>
      </c>
      <c r="S736" s="255">
        <v>0</v>
      </c>
      <c r="T736" s="255">
        <f>IF(Q736&gt;0,S736*100/Q736,0)</f>
        <v>0</v>
      </c>
      <c r="U736" s="255">
        <f>IF(R736&gt;0,S736*100/R736,0)</f>
        <v>0</v>
      </c>
    </row>
    <row r="737" spans="1:21" ht="19.5">
      <c r="A737" s="166"/>
      <c r="B737" s="167"/>
      <c r="C737" s="205" t="s">
        <v>18</v>
      </c>
      <c r="D737" s="560" t="s">
        <v>38</v>
      </c>
      <c r="E737" s="232"/>
      <c r="F737" s="169"/>
      <c r="G737" s="170"/>
      <c r="H737" s="206"/>
      <c r="I737" s="54"/>
      <c r="J737" s="54"/>
      <c r="K737" s="55"/>
      <c r="L737" s="62"/>
      <c r="M737" s="55"/>
      <c r="N737" s="55"/>
      <c r="O737" s="55"/>
      <c r="P737" s="55"/>
      <c r="Q737" s="55"/>
      <c r="R737" s="55"/>
      <c r="S737" s="55"/>
      <c r="T737" s="55"/>
      <c r="U737" s="55"/>
    </row>
    <row r="738" spans="1:21" ht="19.5">
      <c r="A738" s="166"/>
      <c r="B738" s="167"/>
      <c r="C738" s="167"/>
      <c r="D738" s="488" t="s">
        <v>121</v>
      </c>
      <c r="E738" s="167"/>
      <c r="F738" s="167"/>
      <c r="G738" s="171"/>
      <c r="H738" s="208"/>
      <c r="I738" s="54"/>
      <c r="J738" s="54"/>
      <c r="K738" s="55"/>
      <c r="L738" s="62"/>
      <c r="M738" s="55"/>
      <c r="N738" s="55"/>
      <c r="O738" s="55"/>
      <c r="P738" s="55"/>
      <c r="Q738" s="55"/>
      <c r="R738" s="55"/>
      <c r="S738" s="55"/>
      <c r="T738" s="55"/>
      <c r="U738" s="55"/>
    </row>
    <row r="739" spans="1:21" ht="18.75">
      <c r="A739" s="166"/>
      <c r="B739" s="167"/>
      <c r="C739" s="167"/>
      <c r="D739" s="167"/>
      <c r="E739" s="460" t="s">
        <v>271</v>
      </c>
      <c r="F739" s="167"/>
      <c r="G739" s="171"/>
      <c r="H739" s="208"/>
      <c r="I739" s="54"/>
      <c r="J739" s="54"/>
      <c r="K739" s="55"/>
      <c r="L739" s="62"/>
      <c r="M739" s="55"/>
      <c r="N739" s="55"/>
      <c r="O739" s="55"/>
      <c r="P739" s="55"/>
      <c r="Q739" s="55"/>
      <c r="R739" s="55"/>
      <c r="S739" s="55"/>
      <c r="T739" s="55"/>
      <c r="U739" s="55"/>
    </row>
    <row r="740" spans="1:21" ht="18.75">
      <c r="A740" s="554"/>
      <c r="B740" s="553"/>
      <c r="C740" s="553"/>
      <c r="D740" s="553"/>
      <c r="E740" s="553"/>
      <c r="F740" s="558" t="s">
        <v>272</v>
      </c>
      <c r="G740" s="550"/>
      <c r="H740" s="549" t="s">
        <v>46</v>
      </c>
      <c r="I740" s="556">
        <f ca="1">IFERROR(__xludf.DUMMYFUNCTION("IMPORTRANGE(""https://docs.google.com/spreadsheets/d/1eHaY18a8A9IcSdp1K8H6x8fbOy06t2VsZHhMHf-1x7Y/edit?usp=sharing"",""แผน!GB38"")"),1000)</f>
        <v>1000</v>
      </c>
      <c r="J740" s="547">
        <v>1000</v>
      </c>
      <c r="K740" s="555">
        <f ca="1">IF(I740&gt;0,J740*100/I740,0)</f>
        <v>100</v>
      </c>
      <c r="L740" s="546"/>
      <c r="M740" s="545"/>
      <c r="N740" s="545"/>
      <c r="O740" s="545"/>
      <c r="P740" s="545"/>
      <c r="Q740" s="545"/>
      <c r="R740" s="545"/>
      <c r="S740" s="545"/>
      <c r="T740" s="545"/>
      <c r="U740" s="545"/>
    </row>
    <row r="741" spans="1:21" ht="18.75">
      <c r="A741" s="554"/>
      <c r="B741" s="553"/>
      <c r="C741" s="553"/>
      <c r="D741" s="553"/>
      <c r="E741" s="553"/>
      <c r="F741" s="558" t="s">
        <v>307</v>
      </c>
      <c r="G741" s="550"/>
      <c r="H741" s="549" t="s">
        <v>35</v>
      </c>
      <c r="I741" s="548"/>
      <c r="J741" s="547">
        <v>100</v>
      </c>
      <c r="K741" s="545"/>
      <c r="L741" s="546"/>
      <c r="M741" s="545"/>
      <c r="N741" s="545"/>
      <c r="O741" s="545"/>
      <c r="P741" s="545"/>
      <c r="Q741" s="545"/>
      <c r="R741" s="545"/>
      <c r="S741" s="545"/>
      <c r="T741" s="545"/>
      <c r="U741" s="545"/>
    </row>
    <row r="742" spans="1:21" ht="18.75">
      <c r="A742" s="554"/>
      <c r="B742" s="553"/>
      <c r="C742" s="553"/>
      <c r="D742" s="553"/>
      <c r="E742" s="553"/>
      <c r="F742" s="558" t="s">
        <v>306</v>
      </c>
      <c r="G742" s="550"/>
      <c r="H742" s="549" t="s">
        <v>35</v>
      </c>
      <c r="I742" s="556">
        <f ca="1">IFERROR(__xludf.DUMMYFUNCTION("IMPORTRANGE(""https://docs.google.com/spreadsheets/d/1eHaY18a8A9IcSdp1K8H6x8fbOy06t2VsZHhMHf-1x7Y/edit?usp=sharing"",""แผน!GC38"")"),100)</f>
        <v>100</v>
      </c>
      <c r="J742" s="547">
        <v>100</v>
      </c>
      <c r="K742" s="555">
        <f ca="1">IF(I742&gt;0,J742*100/I742,0)</f>
        <v>100</v>
      </c>
      <c r="L742" s="546"/>
      <c r="M742" s="545"/>
      <c r="N742" s="545"/>
      <c r="O742" s="545"/>
      <c r="P742" s="545"/>
      <c r="Q742" s="545"/>
      <c r="R742" s="545"/>
      <c r="S742" s="545"/>
      <c r="T742" s="545"/>
      <c r="U742" s="545"/>
    </row>
    <row r="743" spans="1:21" ht="18.75">
      <c r="A743" s="554"/>
      <c r="B743" s="553"/>
      <c r="C743" s="553"/>
      <c r="D743" s="553"/>
      <c r="E743" s="558" t="s">
        <v>275</v>
      </c>
      <c r="F743" s="553"/>
      <c r="G743" s="550"/>
      <c r="H743" s="557"/>
      <c r="I743" s="548"/>
      <c r="J743" s="548"/>
      <c r="K743" s="545"/>
      <c r="L743" s="546"/>
      <c r="M743" s="545"/>
      <c r="N743" s="545"/>
      <c r="O743" s="545"/>
      <c r="P743" s="545"/>
      <c r="Q743" s="545"/>
      <c r="R743" s="545"/>
      <c r="S743" s="545"/>
      <c r="T743" s="545"/>
      <c r="U743" s="545"/>
    </row>
    <row r="744" spans="1:21" ht="18.75">
      <c r="A744" s="554"/>
      <c r="B744" s="553"/>
      <c r="C744" s="553"/>
      <c r="D744" s="553"/>
      <c r="E744" s="553"/>
      <c r="F744" s="558" t="s">
        <v>272</v>
      </c>
      <c r="G744" s="550"/>
      <c r="H744" s="549" t="s">
        <v>46</v>
      </c>
      <c r="I744" s="556">
        <f ca="1">IFERROR(__xludf.DUMMYFUNCTION("IMPORTRANGE(""https://docs.google.com/spreadsheets/d/1eHaY18a8A9IcSdp1K8H6x8fbOy06t2VsZHhMHf-1x7Y/edit?usp=sharing"",""แผน!GD38"")"),250)</f>
        <v>250</v>
      </c>
      <c r="J744" s="547">
        <v>250</v>
      </c>
      <c r="K744" s="555">
        <f ca="1">IF(I744&gt;0,J744*100/I744,0)</f>
        <v>100</v>
      </c>
      <c r="L744" s="546"/>
      <c r="M744" s="545"/>
      <c r="N744" s="545"/>
      <c r="O744" s="545"/>
      <c r="P744" s="545"/>
      <c r="Q744" s="545"/>
      <c r="R744" s="545"/>
      <c r="S744" s="545"/>
      <c r="T744" s="545"/>
      <c r="U744" s="545"/>
    </row>
    <row r="745" spans="1:21" ht="18.75">
      <c r="A745" s="554"/>
      <c r="B745" s="553"/>
      <c r="C745" s="553"/>
      <c r="D745" s="553"/>
      <c r="E745" s="553"/>
      <c r="F745" s="558" t="s">
        <v>305</v>
      </c>
      <c r="G745" s="550"/>
      <c r="H745" s="549" t="s">
        <v>35</v>
      </c>
      <c r="I745" s="548"/>
      <c r="J745" s="547">
        <v>25</v>
      </c>
      <c r="K745" s="545"/>
      <c r="L745" s="546"/>
      <c r="M745" s="545"/>
      <c r="N745" s="545"/>
      <c r="O745" s="545"/>
      <c r="P745" s="545"/>
      <c r="Q745" s="545"/>
      <c r="R745" s="545"/>
      <c r="S745" s="545"/>
      <c r="T745" s="545"/>
      <c r="U745" s="545"/>
    </row>
    <row r="746" spans="1:21" ht="18.75">
      <c r="A746" s="554"/>
      <c r="B746" s="553"/>
      <c r="C746" s="553"/>
      <c r="D746" s="553"/>
      <c r="E746" s="553"/>
      <c r="F746" s="558" t="s">
        <v>304</v>
      </c>
      <c r="G746" s="550"/>
      <c r="H746" s="549" t="s">
        <v>35</v>
      </c>
      <c r="I746" s="556">
        <f ca="1">IFERROR(__xludf.DUMMYFUNCTION("IMPORTRANGE(""https://docs.google.com/spreadsheets/d/1eHaY18a8A9IcSdp1K8H6x8fbOy06t2VsZHhMHf-1x7Y/edit?usp=sharing"",""แผน!GE38"")"),25)</f>
        <v>25</v>
      </c>
      <c r="J746" s="547">
        <v>25</v>
      </c>
      <c r="K746" s="555">
        <f ca="1">IF(I746&gt;0,J746*100/I746,0)</f>
        <v>100</v>
      </c>
      <c r="L746" s="546"/>
      <c r="M746" s="545"/>
      <c r="N746" s="545"/>
      <c r="O746" s="545"/>
      <c r="P746" s="545"/>
      <c r="Q746" s="545"/>
      <c r="R746" s="545"/>
      <c r="S746" s="545"/>
      <c r="T746" s="545"/>
      <c r="U746" s="545"/>
    </row>
    <row r="747" spans="1:21" ht="18.75">
      <c r="A747" s="554"/>
      <c r="B747" s="553"/>
      <c r="C747" s="553"/>
      <c r="D747" s="553"/>
      <c r="E747" s="558" t="s">
        <v>278</v>
      </c>
      <c r="F747" s="552"/>
      <c r="G747" s="550"/>
      <c r="H747" s="557"/>
      <c r="I747" s="548"/>
      <c r="J747" s="548"/>
      <c r="K747" s="545"/>
      <c r="L747" s="546"/>
      <c r="M747" s="545"/>
      <c r="N747" s="545"/>
      <c r="O747" s="545"/>
      <c r="P747" s="545"/>
      <c r="Q747" s="545"/>
      <c r="R747" s="545"/>
      <c r="S747" s="545"/>
      <c r="T747" s="545"/>
      <c r="U747" s="545"/>
    </row>
    <row r="748" spans="1:21" ht="18.75">
      <c r="A748" s="554"/>
      <c r="B748" s="553"/>
      <c r="C748" s="553"/>
      <c r="D748" s="553"/>
      <c r="E748" s="553"/>
      <c r="F748" s="558" t="s">
        <v>303</v>
      </c>
      <c r="G748" s="550"/>
      <c r="H748" s="549" t="s">
        <v>35</v>
      </c>
      <c r="I748" s="548"/>
      <c r="J748" s="547">
        <v>3</v>
      </c>
      <c r="K748" s="545"/>
      <c r="L748" s="546"/>
      <c r="M748" s="545"/>
      <c r="N748" s="545"/>
      <c r="O748" s="545"/>
      <c r="P748" s="545"/>
      <c r="Q748" s="545"/>
      <c r="R748" s="545"/>
      <c r="S748" s="545"/>
      <c r="T748" s="545"/>
      <c r="U748" s="545"/>
    </row>
    <row r="749" spans="1:21" ht="18.75">
      <c r="A749" s="554"/>
      <c r="B749" s="553"/>
      <c r="C749" s="553"/>
      <c r="D749" s="553"/>
      <c r="E749" s="553"/>
      <c r="F749" s="558" t="s">
        <v>302</v>
      </c>
      <c r="G749" s="550"/>
      <c r="H749" s="549" t="s">
        <v>35</v>
      </c>
      <c r="I749" s="556">
        <f ca="1">IFERROR(__xludf.DUMMYFUNCTION("IMPORTRANGE(""https://docs.google.com/spreadsheets/d/1eHaY18a8A9IcSdp1K8H6x8fbOy06t2VsZHhMHf-1x7Y/edit?usp=sharing"",""แผน!GF38"")"),3)</f>
        <v>3</v>
      </c>
      <c r="J749" s="547">
        <v>3</v>
      </c>
      <c r="K749" s="555">
        <f ca="1">IF(I749&gt;0,J749*100/I749,0)</f>
        <v>100</v>
      </c>
      <c r="L749" s="546"/>
      <c r="M749" s="545"/>
      <c r="N749" s="545"/>
      <c r="O749" s="545"/>
      <c r="P749" s="545"/>
      <c r="Q749" s="545"/>
      <c r="R749" s="545"/>
      <c r="S749" s="545"/>
      <c r="T749" s="545"/>
      <c r="U749" s="545"/>
    </row>
    <row r="750" spans="1:21" ht="19.5">
      <c r="A750" s="554"/>
      <c r="B750" s="553"/>
      <c r="C750" s="553"/>
      <c r="D750" s="559" t="s">
        <v>50</v>
      </c>
      <c r="E750" s="553"/>
      <c r="F750" s="552"/>
      <c r="G750" s="550"/>
      <c r="H750" s="557"/>
      <c r="I750" s="548"/>
      <c r="J750" s="548"/>
      <c r="K750" s="545"/>
      <c r="L750" s="546"/>
      <c r="M750" s="545"/>
      <c r="N750" s="545"/>
      <c r="O750" s="545"/>
      <c r="P750" s="545"/>
      <c r="Q750" s="545"/>
      <c r="R750" s="545"/>
      <c r="S750" s="545"/>
      <c r="T750" s="545"/>
      <c r="U750" s="545"/>
    </row>
    <row r="751" spans="1:21" ht="18.75">
      <c r="A751" s="554"/>
      <c r="B751" s="553"/>
      <c r="C751" s="553"/>
      <c r="D751" s="553"/>
      <c r="E751" s="558" t="s">
        <v>271</v>
      </c>
      <c r="F751" s="552"/>
      <c r="G751" s="550"/>
      <c r="H751" s="557"/>
      <c r="I751" s="548"/>
      <c r="J751" s="548"/>
      <c r="K751" s="545"/>
      <c r="L751" s="546"/>
      <c r="M751" s="545"/>
      <c r="N751" s="545"/>
      <c r="O751" s="545"/>
      <c r="P751" s="545"/>
      <c r="Q751" s="545"/>
      <c r="R751" s="545"/>
      <c r="S751" s="545"/>
      <c r="T751" s="545"/>
      <c r="U751" s="545"/>
    </row>
    <row r="752" spans="1:21" ht="18.75">
      <c r="A752" s="554"/>
      <c r="B752" s="553"/>
      <c r="C752" s="553"/>
      <c r="D752" s="553"/>
      <c r="E752" s="553"/>
      <c r="F752" s="551" t="s">
        <v>301</v>
      </c>
      <c r="G752" s="550"/>
      <c r="H752" s="549" t="s">
        <v>46</v>
      </c>
      <c r="I752" s="556">
        <f ca="1">IFERROR(__xludf.DUMMYFUNCTION("IMPORTRANGE(""https://docs.google.com/spreadsheets/d/1eHaY18a8A9IcSdp1K8H6x8fbOy06t2VsZHhMHf-1x7Y/edit?usp=sharing"",""แผน!GB38"")"),1000)</f>
        <v>1000</v>
      </c>
      <c r="J752" s="547">
        <v>0</v>
      </c>
      <c r="K752" s="555">
        <f ca="1">IF(I752&gt;0,J752*100/I752,0)</f>
        <v>0</v>
      </c>
      <c r="L752" s="546"/>
      <c r="M752" s="545"/>
      <c r="N752" s="545"/>
      <c r="O752" s="545"/>
      <c r="P752" s="545"/>
      <c r="Q752" s="545"/>
      <c r="R752" s="545"/>
      <c r="S752" s="545"/>
      <c r="T752" s="545"/>
      <c r="U752" s="545"/>
    </row>
    <row r="753" spans="1:21" ht="18.75">
      <c r="A753" s="554"/>
      <c r="B753" s="553"/>
      <c r="C753" s="553"/>
      <c r="D753" s="553"/>
      <c r="E753" s="553"/>
      <c r="F753" s="551" t="s">
        <v>300</v>
      </c>
      <c r="G753" s="550"/>
      <c r="H753" s="549" t="s">
        <v>46</v>
      </c>
      <c r="I753" s="548"/>
      <c r="J753" s="547">
        <v>0</v>
      </c>
      <c r="K753" s="545"/>
      <c r="L753" s="546"/>
      <c r="M753" s="545"/>
      <c r="N753" s="545"/>
      <c r="O753" s="545"/>
      <c r="P753" s="545"/>
      <c r="Q753" s="545"/>
      <c r="R753" s="545"/>
      <c r="S753" s="545"/>
      <c r="T753" s="545"/>
      <c r="U753" s="545"/>
    </row>
    <row r="754" spans="1:21" ht="18.75">
      <c r="A754" s="554"/>
      <c r="B754" s="553"/>
      <c r="C754" s="553"/>
      <c r="D754" s="553"/>
      <c r="E754" s="558" t="s">
        <v>275</v>
      </c>
      <c r="F754" s="552"/>
      <c r="G754" s="550"/>
      <c r="H754" s="557"/>
      <c r="I754" s="548"/>
      <c r="J754" s="548"/>
      <c r="K754" s="545"/>
      <c r="L754" s="546"/>
      <c r="M754" s="545"/>
      <c r="N754" s="545"/>
      <c r="O754" s="545"/>
      <c r="P754" s="545"/>
      <c r="Q754" s="545"/>
      <c r="R754" s="545"/>
      <c r="S754" s="545"/>
      <c r="T754" s="545"/>
      <c r="U754" s="545"/>
    </row>
    <row r="755" spans="1:21" ht="18.75">
      <c r="A755" s="554"/>
      <c r="B755" s="553"/>
      <c r="C755" s="553"/>
      <c r="D755" s="553"/>
      <c r="E755" s="552"/>
      <c r="F755" s="551" t="s">
        <v>299</v>
      </c>
      <c r="G755" s="550"/>
      <c r="H755" s="549" t="s">
        <v>46</v>
      </c>
      <c r="I755" s="556">
        <f ca="1">IFERROR(__xludf.DUMMYFUNCTION("IMPORTRANGE(""https://docs.google.com/spreadsheets/d/1eHaY18a8A9IcSdp1K8H6x8fbOy06t2VsZHhMHf-1x7Y/edit?usp=sharing"",""แผน!GD38"")"),250)</f>
        <v>250</v>
      </c>
      <c r="J755" s="547">
        <v>0</v>
      </c>
      <c r="K755" s="555">
        <f ca="1">IF(I755&gt;0,J755*100/I755,0)</f>
        <v>0</v>
      </c>
      <c r="L755" s="546"/>
      <c r="M755" s="545"/>
      <c r="N755" s="545"/>
      <c r="O755" s="545"/>
      <c r="P755" s="545"/>
      <c r="Q755" s="545"/>
      <c r="R755" s="545"/>
      <c r="S755" s="545"/>
      <c r="T755" s="545"/>
      <c r="U755" s="545"/>
    </row>
    <row r="756" spans="1:21" ht="18.75">
      <c r="A756" s="554"/>
      <c r="B756" s="553"/>
      <c r="C756" s="553"/>
      <c r="D756" s="553"/>
      <c r="E756" s="552"/>
      <c r="F756" s="551" t="s">
        <v>298</v>
      </c>
      <c r="G756" s="550"/>
      <c r="H756" s="549" t="s">
        <v>46</v>
      </c>
      <c r="I756" s="548"/>
      <c r="J756" s="547">
        <v>0</v>
      </c>
      <c r="K756" s="545"/>
      <c r="L756" s="546"/>
      <c r="M756" s="545"/>
      <c r="N756" s="545"/>
      <c r="O756" s="545"/>
      <c r="P756" s="545"/>
      <c r="Q756" s="545"/>
      <c r="R756" s="545"/>
      <c r="S756" s="545"/>
      <c r="T756" s="545"/>
      <c r="U756" s="545"/>
    </row>
    <row r="757" spans="1:21" ht="18.75">
      <c r="A757" s="489"/>
      <c r="B757" s="489"/>
      <c r="C757" s="489"/>
      <c r="D757" s="489"/>
      <c r="E757" s="490" t="s">
        <v>285</v>
      </c>
      <c r="F757" s="491"/>
      <c r="G757" s="492"/>
      <c r="H757" s="493" t="s">
        <v>35</v>
      </c>
      <c r="I757" s="494"/>
      <c r="J757" s="495">
        <v>0</v>
      </c>
      <c r="K757" s="496"/>
      <c r="L757" s="496"/>
      <c r="M757" s="496"/>
      <c r="N757" s="496"/>
      <c r="O757" s="496"/>
      <c r="P757" s="496"/>
      <c r="Q757" s="496"/>
      <c r="R757" s="496"/>
      <c r="S757" s="496"/>
      <c r="T757" s="496"/>
      <c r="U757" s="496"/>
    </row>
    <row r="758" spans="1:21" ht="19.5">
      <c r="A758" s="442"/>
      <c r="B758" s="443" t="s">
        <v>286</v>
      </c>
      <c r="C758" s="442"/>
      <c r="D758" s="444"/>
      <c r="E758" s="444"/>
      <c r="F758" s="444"/>
      <c r="G758" s="445"/>
      <c r="H758" s="473" t="s">
        <v>35</v>
      </c>
      <c r="I758" s="544">
        <f ca="1">I772</f>
        <v>65</v>
      </c>
      <c r="J758" s="544">
        <f>J772</f>
        <v>65</v>
      </c>
      <c r="K758" s="543">
        <f ca="1">IF(I758&gt;0,J758*100/I758,0)</f>
        <v>100</v>
      </c>
      <c r="L758" s="449"/>
      <c r="M758" s="448"/>
      <c r="N758" s="448"/>
      <c r="O758" s="448"/>
      <c r="P758" s="448"/>
      <c r="Q758" s="448"/>
      <c r="R758" s="448"/>
      <c r="S758" s="448"/>
      <c r="T758" s="448"/>
      <c r="U758" s="448"/>
    </row>
    <row r="759" spans="1:21" ht="19.5">
      <c r="A759" s="487"/>
      <c r="B759" s="442"/>
      <c r="C759" s="442"/>
      <c r="D759" s="444"/>
      <c r="E759" s="444"/>
      <c r="F759" s="444"/>
      <c r="G759" s="445"/>
      <c r="H759" s="473" t="s">
        <v>46</v>
      </c>
      <c r="I759" s="544">
        <f ca="1">I774</f>
        <v>650</v>
      </c>
      <c r="J759" s="544">
        <f>J774</f>
        <v>650</v>
      </c>
      <c r="K759" s="543">
        <f ca="1">IF(I759&gt;0,J759*100/I759,0)</f>
        <v>100</v>
      </c>
      <c r="L759" s="449"/>
      <c r="M759" s="448"/>
      <c r="N759" s="448"/>
      <c r="O759" s="448"/>
      <c r="P759" s="448"/>
      <c r="Q759" s="448"/>
      <c r="R759" s="448"/>
      <c r="S759" s="448"/>
      <c r="T759" s="448"/>
      <c r="U759" s="448"/>
    </row>
    <row r="760" spans="1:21" ht="19.5">
      <c r="A760" s="155"/>
      <c r="B760" s="188"/>
      <c r="C760" s="205" t="s">
        <v>18</v>
      </c>
      <c r="D760" s="542" t="s">
        <v>19</v>
      </c>
      <c r="E760" s="529"/>
      <c r="F760" s="529"/>
      <c r="G760" s="530"/>
      <c r="H760" s="252" t="s">
        <v>14</v>
      </c>
      <c r="I760" s="54"/>
      <c r="J760" s="54"/>
      <c r="K760" s="55"/>
      <c r="L760" s="541">
        <f>L761+L762</f>
        <v>0</v>
      </c>
      <c r="M760" s="540">
        <f>M761+M762</f>
        <v>0</v>
      </c>
      <c r="N760" s="540">
        <f>N761+N762</f>
        <v>0</v>
      </c>
      <c r="O760" s="540">
        <f>IF(L760&gt;0,N760*100/L760,0)</f>
        <v>0</v>
      </c>
      <c r="P760" s="540">
        <f>IF(M760&gt;0,N760*100/M760,0)</f>
        <v>0</v>
      </c>
      <c r="Q760" s="540">
        <f ca="1">Q761+Q762</f>
        <v>979250</v>
      </c>
      <c r="R760" s="540">
        <f ca="1">R761+R762</f>
        <v>979250</v>
      </c>
      <c r="S760" s="540">
        <f ca="1">S761+S762</f>
        <v>422000.68</v>
      </c>
      <c r="T760" s="540">
        <f ca="1">IF(Q760&gt;0,S760*100/Q760,0)</f>
        <v>43.094274189430685</v>
      </c>
      <c r="U760" s="540">
        <f ca="1">IF(R760&gt;0,S760*100/R760,0)</f>
        <v>43.094274189430685</v>
      </c>
    </row>
    <row r="761" spans="1:21" ht="18.75" hidden="1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103">
        <f>L764+L767</f>
        <v>0</v>
      </c>
      <c r="M761" s="102">
        <f>M764+M767</f>
        <v>0</v>
      </c>
      <c r="N761" s="102">
        <f>N764+N767</f>
        <v>0</v>
      </c>
      <c r="O761" s="102">
        <f>IF(L761&gt;0,N761*100/L761,0)</f>
        <v>0</v>
      </c>
      <c r="P761" s="102">
        <f>IF(M761&gt;0,N761*100/M761,0)</f>
        <v>0</v>
      </c>
      <c r="Q761" s="102">
        <f>Q764+Q767</f>
        <v>0</v>
      </c>
      <c r="R761" s="102">
        <f>R764+R767</f>
        <v>0</v>
      </c>
      <c r="S761" s="102">
        <f>S764+S767</f>
        <v>0</v>
      </c>
      <c r="T761" s="102">
        <f>IF(Q761&gt;0,S761*100/Q761,0)</f>
        <v>0</v>
      </c>
      <c r="U761" s="102">
        <f>IF(R761&gt;0,S761*100/R761,0)</f>
        <v>0</v>
      </c>
    </row>
    <row r="762" spans="1:21" ht="18.75" hidden="1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256">
        <f>L765+L768</f>
        <v>0</v>
      </c>
      <c r="M762" s="255">
        <f>M765+M768</f>
        <v>0</v>
      </c>
      <c r="N762" s="255">
        <f>N765+N768</f>
        <v>0</v>
      </c>
      <c r="O762" s="255">
        <f>IF(L762&gt;0,N762*100/L762,0)</f>
        <v>0</v>
      </c>
      <c r="P762" s="255">
        <f>IF(M762&gt;0,N762*100/M762,0)</f>
        <v>0</v>
      </c>
      <c r="Q762" s="255">
        <f ca="1">Q765+Q768</f>
        <v>979250</v>
      </c>
      <c r="R762" s="255">
        <f ca="1">R765+R768</f>
        <v>979250</v>
      </c>
      <c r="S762" s="255">
        <f ca="1">S765+S768</f>
        <v>422000.68</v>
      </c>
      <c r="T762" s="255">
        <f ca="1">IF(Q762&gt;0,S762*100/Q762,0)</f>
        <v>43.094274189430685</v>
      </c>
      <c r="U762" s="255">
        <f ca="1">IF(R762&gt;0,S762*100/R762,0)</f>
        <v>43.094274189430685</v>
      </c>
    </row>
    <row r="763" spans="1:21" ht="18.75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256">
        <f>L764+L765</f>
        <v>0</v>
      </c>
      <c r="M763" s="255">
        <f>M764+M765</f>
        <v>0</v>
      </c>
      <c r="N763" s="255">
        <f>N764+N765</f>
        <v>0</v>
      </c>
      <c r="O763" s="255">
        <f>IF(L763&gt;0,N763*100/L763,0)</f>
        <v>0</v>
      </c>
      <c r="P763" s="255">
        <f>IF(M763&gt;0,N763*100/M763,0)</f>
        <v>0</v>
      </c>
      <c r="Q763" s="255">
        <f ca="1">Q764+Q765</f>
        <v>979250</v>
      </c>
      <c r="R763" s="255">
        <f ca="1">R764+R765</f>
        <v>979250</v>
      </c>
      <c r="S763" s="255">
        <f ca="1">S764+S765</f>
        <v>422000.68</v>
      </c>
      <c r="T763" s="255">
        <f ca="1">IF(Q763&gt;0,S763*100/Q763,0)</f>
        <v>43.094274189430685</v>
      </c>
      <c r="U763" s="255">
        <f ca="1">IF(R763&gt;0,S763*100/R763,0)</f>
        <v>43.094274189430685</v>
      </c>
    </row>
    <row r="764" spans="1:21" ht="18.75" hidden="1">
      <c r="A764" s="155"/>
      <c r="B764" s="188"/>
      <c r="C764" s="202"/>
      <c r="D764" s="174"/>
      <c r="E764" s="186" t="s">
        <v>159</v>
      </c>
      <c r="F764" s="50"/>
      <c r="G764" s="52"/>
      <c r="H764" s="189" t="s">
        <v>14</v>
      </c>
      <c r="I764" s="54"/>
      <c r="J764" s="54"/>
      <c r="K764" s="55"/>
      <c r="L764" s="103">
        <v>0</v>
      </c>
      <c r="M764" s="102">
        <v>0</v>
      </c>
      <c r="N764" s="102">
        <v>0</v>
      </c>
      <c r="O764" s="102">
        <f>IF(L764&gt;0,N764*100/L764,0)</f>
        <v>0</v>
      </c>
      <c r="P764" s="102">
        <f>IF(M764&gt;0,N764*100/M764,0)</f>
        <v>0</v>
      </c>
      <c r="Q764" s="102">
        <v>0</v>
      </c>
      <c r="R764" s="102">
        <v>0</v>
      </c>
      <c r="S764" s="102">
        <v>0</v>
      </c>
      <c r="T764" s="102">
        <f>IF(Q764&gt;0,S764*100/Q764,0)</f>
        <v>0</v>
      </c>
      <c r="U764" s="102">
        <f>IF(R764&gt;0,S764*100/R764,0)</f>
        <v>0</v>
      </c>
    </row>
    <row r="765" spans="1:21" ht="18.75" hidden="1">
      <c r="A765" s="155"/>
      <c r="B765" s="188"/>
      <c r="C765" s="202"/>
      <c r="D765" s="174"/>
      <c r="E765" s="58" t="s">
        <v>160</v>
      </c>
      <c r="F765" s="50"/>
      <c r="G765" s="52"/>
      <c r="H765" s="162" t="s">
        <v>14</v>
      </c>
      <c r="I765" s="54"/>
      <c r="J765" s="54"/>
      <c r="K765" s="55"/>
      <c r="L765" s="256">
        <v>0</v>
      </c>
      <c r="M765" s="255">
        <v>0</v>
      </c>
      <c r="N765" s="255">
        <v>0</v>
      </c>
      <c r="O765" s="255">
        <f>IF(L765&gt;0,N765*100/L765,0)</f>
        <v>0</v>
      </c>
      <c r="P765" s="255">
        <f>IF(M765&gt;0,N765*100/M765,0)</f>
        <v>0</v>
      </c>
      <c r="Q765" s="255">
        <f ca="1">IFERROR(__xludf.DUMMYFUNCTION("IMPORTRANGE(""https://docs.google.com/spreadsheets/d/1ItG2mGa2ceCfYo0BwxsXqNm01IGEUdYcSSLTEv9YCik/edit?usp=sharing"",""เบิกจ่ายกองทุน!U38"")"),979250)</f>
        <v>979250</v>
      </c>
      <c r="R765" s="255">
        <f ca="1">IFERROR(__xludf.DUMMYFUNCTION("IMPORTRANGE(""https://docs.google.com/spreadsheets/d/1ItG2mGa2ceCfYo0BwxsXqNm01IGEUdYcSSLTEv9YCik/edit?usp=sharing"",""เบิกจ่ายกองทุน!V38"")"),979250)</f>
        <v>979250</v>
      </c>
      <c r="S765" s="255">
        <f ca="1">IFERROR(__xludf.DUMMYFUNCTION("IMPORTRANGE(""https://docs.google.com/spreadsheets/d/1ItG2mGa2ceCfYo0BwxsXqNm01IGEUdYcSSLTEv9YCik/edit?usp=sharing"",""เบิกจ่ายกองทุน!W38"")"),422000.68)</f>
        <v>422000.68</v>
      </c>
      <c r="T765" s="255">
        <f ca="1">IF(Q765&gt;0,S765*100/Q765,0)</f>
        <v>43.094274189430685</v>
      </c>
      <c r="U765" s="255">
        <f ca="1">IF(R765&gt;0,S765*100/R765,0)</f>
        <v>43.094274189430685</v>
      </c>
    </row>
    <row r="766" spans="1:21" ht="18.75">
      <c r="A766" s="155"/>
      <c r="B766" s="188"/>
      <c r="C766" s="188"/>
      <c r="D766" s="51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256">
        <f>L767+L768</f>
        <v>0</v>
      </c>
      <c r="M766" s="255">
        <f>M767+M768</f>
        <v>0</v>
      </c>
      <c r="N766" s="255">
        <f>N767+N768</f>
        <v>0</v>
      </c>
      <c r="O766" s="255">
        <f>IF(L766&gt;0,N766*100/L766,0)</f>
        <v>0</v>
      </c>
      <c r="P766" s="255">
        <f>IF(M766&gt;0,N766*100/M766,0)</f>
        <v>0</v>
      </c>
      <c r="Q766" s="255">
        <f>Q767+Q768</f>
        <v>0</v>
      </c>
      <c r="R766" s="255">
        <f>R767+R768</f>
        <v>0</v>
      </c>
      <c r="S766" s="255">
        <f>S767+S768</f>
        <v>0</v>
      </c>
      <c r="T766" s="255">
        <f>IF(Q766&gt;0,S766*100/Q766,0)</f>
        <v>0</v>
      </c>
      <c r="U766" s="255">
        <f>IF(R766&gt;0,S766*100/R766,0)</f>
        <v>0</v>
      </c>
    </row>
    <row r="767" spans="1:21" ht="18.75" hidden="1">
      <c r="A767" s="155"/>
      <c r="B767" s="188"/>
      <c r="C767" s="188"/>
      <c r="D767" s="188"/>
      <c r="E767" s="358" t="s">
        <v>20</v>
      </c>
      <c r="F767" s="50"/>
      <c r="G767" s="52"/>
      <c r="H767" s="189" t="s">
        <v>14</v>
      </c>
      <c r="I767" s="163"/>
      <c r="J767" s="163"/>
      <c r="K767" s="164"/>
      <c r="L767" s="103">
        <v>0</v>
      </c>
      <c r="M767" s="102">
        <v>0</v>
      </c>
      <c r="N767" s="102">
        <v>0</v>
      </c>
      <c r="O767" s="102">
        <f>IF(L767&gt;0,N767*100/L767,0)</f>
        <v>0</v>
      </c>
      <c r="P767" s="102">
        <f>IF(M767&gt;0,N767*100/M767,0)</f>
        <v>0</v>
      </c>
      <c r="Q767" s="102">
        <v>0</v>
      </c>
      <c r="R767" s="102">
        <v>0</v>
      </c>
      <c r="S767" s="102">
        <v>0</v>
      </c>
      <c r="T767" s="102">
        <f>IF(Q767&gt;0,S767*100/Q767,0)</f>
        <v>0</v>
      </c>
      <c r="U767" s="102">
        <f>IF(R767&gt;0,S767*100/R767,0)</f>
        <v>0</v>
      </c>
    </row>
    <row r="768" spans="1:21" ht="18.75" hidden="1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256">
        <v>0</v>
      </c>
      <c r="M768" s="255">
        <v>0</v>
      </c>
      <c r="N768" s="255">
        <v>0</v>
      </c>
      <c r="O768" s="255">
        <f>IF(L768&gt;0,N768*100/L768,0)</f>
        <v>0</v>
      </c>
      <c r="P768" s="255">
        <f>IF(M768&gt;0,N768*100/M768,0)</f>
        <v>0</v>
      </c>
      <c r="Q768" s="255">
        <v>0</v>
      </c>
      <c r="R768" s="255">
        <v>0</v>
      </c>
      <c r="S768" s="255">
        <v>0</v>
      </c>
      <c r="T768" s="255">
        <f>IF(Q768&gt;0,S768*100/Q768,0)</f>
        <v>0</v>
      </c>
      <c r="U768" s="255">
        <f>IF(R768&gt;0,S768*100/R768,0)</f>
        <v>0</v>
      </c>
    </row>
    <row r="769" spans="1:21" ht="19.5">
      <c r="A769" s="166"/>
      <c r="B769" s="167"/>
      <c r="C769" s="497" t="s">
        <v>18</v>
      </c>
      <c r="D769" s="539" t="s">
        <v>38</v>
      </c>
      <c r="E769" s="232"/>
      <c r="F769" s="169"/>
      <c r="G769" s="170"/>
      <c r="H769" s="206"/>
      <c r="I769" s="54"/>
      <c r="J769" s="54"/>
      <c r="K769" s="55"/>
      <c r="L769" s="62"/>
      <c r="M769" s="55"/>
      <c r="N769" s="55"/>
      <c r="O769" s="55"/>
      <c r="P769" s="55"/>
      <c r="Q769" s="55"/>
      <c r="R769" s="55"/>
      <c r="S769" s="55"/>
      <c r="T769" s="55"/>
      <c r="U769" s="55"/>
    </row>
    <row r="770" spans="1:21" ht="18.75" hidden="1">
      <c r="A770" s="166"/>
      <c r="B770" s="167"/>
      <c r="C770" s="167"/>
      <c r="D770" s="423" t="s">
        <v>287</v>
      </c>
      <c r="E770" s="167"/>
      <c r="F770" s="174"/>
      <c r="G770" s="171"/>
      <c r="H770" s="421" t="s">
        <v>35</v>
      </c>
      <c r="I770" s="483">
        <f ca="1">IFERROR(__xludf.DUMMYFUNCTION("IMPORTRANGE(""https://docs.google.com/spreadsheets/d/1eHaY18a8A9IcSdp1K8H6x8fbOy06t2VsZHhMHf-1x7Y/edit?usp=sharing"",""แผน!FI38"")"),0)</f>
        <v>0</v>
      </c>
      <c r="J770" s="483">
        <v>0</v>
      </c>
      <c r="K770" s="102">
        <f ca="1">IF(I770&gt;0,J770*100/I770,0)</f>
        <v>0</v>
      </c>
      <c r="L770" s="62"/>
      <c r="M770" s="55"/>
      <c r="N770" s="55"/>
      <c r="O770" s="55"/>
      <c r="P770" s="55"/>
      <c r="Q770" s="55"/>
      <c r="R770" s="55"/>
      <c r="S770" s="55"/>
      <c r="T770" s="55"/>
      <c r="U770" s="55"/>
    </row>
    <row r="771" spans="1:21" ht="18.75" hidden="1">
      <c r="A771" s="166"/>
      <c r="B771" s="167"/>
      <c r="C771" s="167"/>
      <c r="D771" s="423" t="s">
        <v>288</v>
      </c>
      <c r="E771" s="167"/>
      <c r="F771" s="174"/>
      <c r="G771" s="171"/>
      <c r="H771" s="206"/>
      <c r="I771" s="54"/>
      <c r="J771" s="54"/>
      <c r="K771" s="55"/>
      <c r="L771" s="62"/>
      <c r="M771" s="55"/>
      <c r="N771" s="55"/>
      <c r="O771" s="55"/>
      <c r="P771" s="55"/>
      <c r="Q771" s="55"/>
      <c r="R771" s="55"/>
      <c r="S771" s="55"/>
      <c r="T771" s="55"/>
      <c r="U771" s="55"/>
    </row>
    <row r="772" spans="1:21" ht="18.75">
      <c r="A772" s="166"/>
      <c r="B772" s="167"/>
      <c r="C772" s="167"/>
      <c r="D772" s="460" t="s">
        <v>289</v>
      </c>
      <c r="E772" s="167"/>
      <c r="F772" s="174"/>
      <c r="G772" s="171"/>
      <c r="H772" s="165" t="s">
        <v>35</v>
      </c>
      <c r="I772" s="212">
        <f ca="1">IFERROR(__xludf.DUMMYFUNCTION("IMPORTRANGE(""https://docs.google.com/spreadsheets/d/1eHaY18a8A9IcSdp1K8H6x8fbOy06t2VsZHhMHf-1x7Y/edit?usp=sharing"",""แผน!FQ38"")"),65)</f>
        <v>65</v>
      </c>
      <c r="J772" s="467">
        <v>65</v>
      </c>
      <c r="K772" s="255">
        <f ca="1">IF(I772&gt;0,J772*100/I772,0)</f>
        <v>100</v>
      </c>
      <c r="L772" s="62"/>
      <c r="M772" s="55"/>
      <c r="N772" s="55"/>
      <c r="O772" s="55"/>
      <c r="P772" s="55"/>
      <c r="Q772" s="55"/>
      <c r="R772" s="55"/>
      <c r="S772" s="55"/>
      <c r="T772" s="55"/>
      <c r="U772" s="55"/>
    </row>
    <row r="773" spans="1:21" ht="18.75">
      <c r="A773" s="166"/>
      <c r="B773" s="167"/>
      <c r="C773" s="167"/>
      <c r="D773" s="460" t="s">
        <v>290</v>
      </c>
      <c r="E773" s="167"/>
      <c r="F773" s="174"/>
      <c r="G773" s="171"/>
      <c r="H773" s="206"/>
      <c r="I773" s="54"/>
      <c r="J773" s="54"/>
      <c r="K773" s="55"/>
      <c r="L773" s="62"/>
      <c r="M773" s="55"/>
      <c r="N773" s="55"/>
      <c r="O773" s="55"/>
      <c r="P773" s="55"/>
      <c r="Q773" s="55"/>
      <c r="R773" s="55"/>
      <c r="S773" s="55"/>
      <c r="T773" s="55"/>
      <c r="U773" s="55"/>
    </row>
    <row r="774" spans="1:21" ht="18.75">
      <c r="A774" s="166"/>
      <c r="B774" s="167"/>
      <c r="C774" s="167"/>
      <c r="D774" s="460" t="s">
        <v>291</v>
      </c>
      <c r="E774" s="167"/>
      <c r="F774" s="174"/>
      <c r="G774" s="171"/>
      <c r="H774" s="165" t="s">
        <v>46</v>
      </c>
      <c r="I774" s="212">
        <f ca="1">IFERROR(__xludf.DUMMYFUNCTION("IMPORTRANGE(""https://docs.google.com/spreadsheets/d/1eHaY18a8A9IcSdp1K8H6x8fbOy06t2VsZHhMHf-1x7Y/edit?usp=sharing"",""แผน!FR38"")"),650)</f>
        <v>650</v>
      </c>
      <c r="J774" s="467">
        <v>650</v>
      </c>
      <c r="K774" s="255">
        <f ca="1">IF(I774&gt;0,J774*100/I774,0)</f>
        <v>100</v>
      </c>
      <c r="L774" s="62"/>
      <c r="M774" s="55"/>
      <c r="N774" s="55"/>
      <c r="O774" s="55"/>
      <c r="P774" s="55"/>
      <c r="Q774" s="55"/>
      <c r="R774" s="55"/>
      <c r="S774" s="55"/>
      <c r="T774" s="55"/>
      <c r="U774" s="55"/>
    </row>
    <row r="775" spans="1:21" ht="18.75">
      <c r="A775" s="166"/>
      <c r="B775" s="167"/>
      <c r="C775" s="167"/>
      <c r="D775" s="460" t="s">
        <v>50</v>
      </c>
      <c r="E775" s="174"/>
      <c r="F775" s="50"/>
      <c r="G775" s="52"/>
      <c r="H775" s="165" t="s">
        <v>46</v>
      </c>
      <c r="I775" s="212">
        <f ca="1">IFERROR(__xludf.DUMMYFUNCTION("IMPORTRANGE(""https://docs.google.com/spreadsheets/d/1eHaY18a8A9IcSdp1K8H6x8fbOy06t2VsZHhMHf-1x7Y/edit?usp=sharing"",""แผน!FS38"")"),650)</f>
        <v>650</v>
      </c>
      <c r="J775" s="467">
        <v>0</v>
      </c>
      <c r="K775" s="55"/>
      <c r="L775" s="62"/>
      <c r="M775" s="55"/>
      <c r="N775" s="55"/>
      <c r="O775" s="55"/>
      <c r="P775" s="55"/>
      <c r="Q775" s="55"/>
      <c r="R775" s="55"/>
      <c r="S775" s="55"/>
      <c r="T775" s="55"/>
      <c r="U775" s="55"/>
    </row>
    <row r="776" spans="1:21" ht="18.75">
      <c r="A776" s="281"/>
      <c r="B776" s="282"/>
      <c r="C776" s="282"/>
      <c r="D776" s="282"/>
      <c r="E776" s="2"/>
      <c r="F776" s="2"/>
      <c r="G776" s="65"/>
      <c r="H776" s="214" t="s">
        <v>35</v>
      </c>
      <c r="I776" s="216">
        <f ca="1">IFERROR(__xludf.DUMMYFUNCTION("IMPORTRANGE(""https://docs.google.com/spreadsheets/d/1eHaY18a8A9IcSdp1K8H6x8fbOy06t2VsZHhMHf-1x7Y/edit?usp=sharing"",""แผน!FT38"")"),65)</f>
        <v>65</v>
      </c>
      <c r="J776" s="538">
        <v>0</v>
      </c>
      <c r="K776" s="6"/>
      <c r="L776" s="68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>
      <c r="A777" s="537" t="s">
        <v>292</v>
      </c>
      <c r="B777" s="500"/>
      <c r="C777" s="500"/>
      <c r="D777" s="499"/>
      <c r="E777" s="500"/>
      <c r="F777" s="500"/>
      <c r="G777" s="501"/>
      <c r="H777" s="536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503"/>
      <c r="J777" s="504"/>
      <c r="K777" s="505"/>
      <c r="L777" s="505"/>
      <c r="M777" s="505"/>
      <c r="N777" s="505"/>
      <c r="O777" s="505"/>
      <c r="P777" s="505"/>
      <c r="Q777" s="505"/>
      <c r="R777" s="505"/>
      <c r="S777" s="505"/>
      <c r="T777" s="505"/>
      <c r="U777" s="505"/>
    </row>
    <row r="778" spans="1:21" ht="18.75">
      <c r="A778" s="49"/>
      <c r="B778" s="58" t="s">
        <v>293</v>
      </c>
      <c r="C778" s="50"/>
      <c r="D778" s="188"/>
      <c r="E778" s="50"/>
      <c r="F778" s="50"/>
      <c r="G778" s="52"/>
      <c r="H778" s="53" t="s">
        <v>14</v>
      </c>
      <c r="I778" s="212">
        <f ca="1">IFERROR(__xludf.DUMMYFUNCTION("IMPORTRANGE(""https://docs.google.com/spreadsheets/d/10OvvATaaLtwErnr3qtWFcTmtbfpFEt5Bsqel9sXx0uE/edit?usp=sharing"",""งานกองทุน!D38"")"),6913767.78)</f>
        <v>6913767.7800000003</v>
      </c>
      <c r="J778" s="212">
        <f ca="1">IFERROR(__xludf.DUMMYFUNCTION("IMPORTRANGE(""https://docs.google.com/spreadsheets/d/10OvvATaaLtwErnr3qtWFcTmtbfpFEt5Bsqel9sXx0uE/edit?usp=sharing"",""งานกองทุน!F38"")"),3197447.65)</f>
        <v>3197447.65</v>
      </c>
      <c r="K778" s="255">
        <f ca="1">IF(I778&gt;0,J778*100/I778,0)</f>
        <v>46.247541886632469</v>
      </c>
      <c r="L778" s="55"/>
      <c r="M778" s="55"/>
      <c r="N778" s="55"/>
      <c r="O778" s="55"/>
      <c r="P778" s="55"/>
      <c r="Q778" s="55"/>
      <c r="R778" s="55"/>
      <c r="S778" s="55"/>
      <c r="T778" s="55"/>
      <c r="U778" s="55"/>
    </row>
    <row r="779" spans="1:21" ht="18.75">
      <c r="A779" s="49"/>
      <c r="B779" s="50"/>
      <c r="C779" s="50"/>
      <c r="D779" s="188"/>
      <c r="E779" s="50"/>
      <c r="F779" s="50"/>
      <c r="G779" s="52"/>
      <c r="H779" s="53" t="s">
        <v>35</v>
      </c>
      <c r="I779" s="212">
        <f ca="1">IFERROR(__xludf.DUMMYFUNCTION("IMPORTRANGE(""https://docs.google.com/spreadsheets/d/10OvvATaaLtwErnr3qtWFcTmtbfpFEt5Bsqel9sXx0uE/edit?usp=sharing"",""งานกองทุน!C38"")"),288)</f>
        <v>288</v>
      </c>
      <c r="J779" s="212">
        <f ca="1">IFERROR(__xludf.DUMMYFUNCTION("IMPORTRANGE(""https://docs.google.com/spreadsheets/d/10OvvATaaLtwErnr3qtWFcTmtbfpFEt5Bsqel9sXx0uE/edit?usp=sharing"",""งานกองทุน!E38"")"),133)</f>
        <v>133</v>
      </c>
      <c r="K779" s="255">
        <f ca="1">IF(I779&gt;0,J779*100/I779,0)</f>
        <v>46.180555555555557</v>
      </c>
      <c r="L779" s="55"/>
      <c r="M779" s="55"/>
      <c r="N779" s="55"/>
      <c r="O779" s="55"/>
      <c r="P779" s="55"/>
      <c r="Q779" s="55"/>
      <c r="R779" s="55"/>
      <c r="S779" s="55"/>
      <c r="T779" s="55"/>
      <c r="U779" s="55"/>
    </row>
    <row r="780" spans="1:21" ht="18.75">
      <c r="A780" s="49"/>
      <c r="B780" s="58" t="s">
        <v>294</v>
      </c>
      <c r="C780" s="50"/>
      <c r="D780" s="188"/>
      <c r="E780" s="50"/>
      <c r="F780" s="50"/>
      <c r="G780" s="52"/>
      <c r="H780" s="53" t="s">
        <v>14</v>
      </c>
      <c r="I780" s="212">
        <f ca="1">IFERROR(__xludf.DUMMYFUNCTION("IMPORTRANGE(""https://docs.google.com/spreadsheets/d/10OvvATaaLtwErnr3qtWFcTmtbfpFEt5Bsqel9sXx0uE/edit?usp=sharing"",""งานกองทุน!I38"")"),2030446.75)</f>
        <v>2030446.75</v>
      </c>
      <c r="J780" s="212">
        <f ca="1">IFERROR(__xludf.DUMMYFUNCTION("IMPORTRANGE(""https://docs.google.com/spreadsheets/d/10OvvATaaLtwErnr3qtWFcTmtbfpFEt5Bsqel9sXx0uE/edit?usp=sharing"",""งานกองทุน!K38"")"),64540.24)</f>
        <v>64540.24</v>
      </c>
      <c r="K780" s="255">
        <f ca="1">IF(I780&gt;0,J780*100/I780,0)</f>
        <v>3.1786226356342513</v>
      </c>
      <c r="L780" s="55"/>
      <c r="M780" s="55"/>
      <c r="N780" s="55"/>
      <c r="O780" s="55"/>
      <c r="P780" s="55"/>
      <c r="Q780" s="55"/>
      <c r="R780" s="55"/>
      <c r="S780" s="55"/>
      <c r="T780" s="55"/>
      <c r="U780" s="55"/>
    </row>
    <row r="781" spans="1:21" ht="18.75">
      <c r="A781" s="49"/>
      <c r="B781" s="50"/>
      <c r="C781" s="50"/>
      <c r="D781" s="188"/>
      <c r="E781" s="50"/>
      <c r="F781" s="50"/>
      <c r="G781" s="52"/>
      <c r="H781" s="53" t="s">
        <v>35</v>
      </c>
      <c r="I781" s="212">
        <f ca="1">IFERROR(__xludf.DUMMYFUNCTION("IMPORTRANGE(""https://docs.google.com/spreadsheets/d/10OvvATaaLtwErnr3qtWFcTmtbfpFEt5Bsqel9sXx0uE/edit?usp=sharing"",""งานกองทุน!H38"")"),105)</f>
        <v>105</v>
      </c>
      <c r="J781" s="212">
        <f ca="1">IFERROR(__xludf.DUMMYFUNCTION("IMPORTRANGE(""https://docs.google.com/spreadsheets/d/10OvvATaaLtwErnr3qtWFcTmtbfpFEt5Bsqel9sXx0uE/edit?usp=sharing"",""งานกองทุน!J38"")"),8)</f>
        <v>8</v>
      </c>
      <c r="K781" s="255">
        <f ca="1">IF(I781&gt;0,J781*100/I781,0)</f>
        <v>7.6190476190476186</v>
      </c>
      <c r="L781" s="55"/>
      <c r="M781" s="55"/>
      <c r="N781" s="55"/>
      <c r="O781" s="55"/>
      <c r="P781" s="55"/>
      <c r="Q781" s="55"/>
      <c r="R781" s="55"/>
      <c r="S781" s="55"/>
      <c r="T781" s="55"/>
      <c r="U781" s="55"/>
    </row>
    <row r="782" spans="1:21" ht="18.75">
      <c r="A782" s="49"/>
      <c r="B782" s="58" t="s">
        <v>295</v>
      </c>
      <c r="C782" s="50"/>
      <c r="D782" s="188"/>
      <c r="E782" s="50"/>
      <c r="F782" s="50"/>
      <c r="G782" s="52"/>
      <c r="H782" s="53" t="s">
        <v>14</v>
      </c>
      <c r="I782" s="212">
        <f ca="1">IFERROR(__xludf.DUMMYFUNCTION("IMPORTRANGE(""https://docs.google.com/spreadsheets/d/10OvvATaaLtwErnr3qtWFcTmtbfpFEt5Bsqel9sXx0uE/edit?usp=sharing"",""งานกองทุน!N38"")"),2247792.53)</f>
        <v>2247792.5299999998</v>
      </c>
      <c r="J782" s="212">
        <f ca="1">IFERROR(__xludf.DUMMYFUNCTION("IMPORTRANGE(""https://docs.google.com/spreadsheets/d/10OvvATaaLtwErnr3qtWFcTmtbfpFEt5Bsqel9sXx0uE/edit?usp=sharing"",""งานกองทุน!P38"")"),429949.05)</f>
        <v>429949.05</v>
      </c>
      <c r="K782" s="255">
        <f ca="1">IF(I782&gt;0,J782*100/I782,0)</f>
        <v>19.127612725005363</v>
      </c>
      <c r="L782" s="55"/>
      <c r="M782" s="55"/>
      <c r="N782" s="55"/>
      <c r="O782" s="55"/>
      <c r="P782" s="55"/>
      <c r="Q782" s="55"/>
      <c r="R782" s="55"/>
      <c r="S782" s="55"/>
      <c r="T782" s="55"/>
      <c r="U782" s="55"/>
    </row>
    <row r="783" spans="1:21" ht="18.75">
      <c r="A783" s="49"/>
      <c r="B783" s="50"/>
      <c r="C783" s="50"/>
      <c r="D783" s="188"/>
      <c r="E783" s="50"/>
      <c r="F783" s="50"/>
      <c r="G783" s="52"/>
      <c r="H783" s="53" t="s">
        <v>35</v>
      </c>
      <c r="I783" s="212">
        <f ca="1">IFERROR(__xludf.DUMMYFUNCTION("IMPORTRANGE(""https://docs.google.com/spreadsheets/d/10OvvATaaLtwErnr3qtWFcTmtbfpFEt5Bsqel9sXx0uE/edit?usp=sharing"",""งานกองทุน!M38"")"),224)</f>
        <v>224</v>
      </c>
      <c r="J783" s="212">
        <f ca="1">IFERROR(__xludf.DUMMYFUNCTION("IMPORTRANGE(""https://docs.google.com/spreadsheets/d/10OvvATaaLtwErnr3qtWFcTmtbfpFEt5Bsqel9sXx0uE/edit?usp=sharing"",""งานกองทุน!O38"")"),82)</f>
        <v>82</v>
      </c>
      <c r="K783" s="255">
        <f ca="1">IF(I783&gt;0,J783*100/I783,0)</f>
        <v>36.607142857142854</v>
      </c>
      <c r="L783" s="55"/>
      <c r="M783" s="55"/>
      <c r="N783" s="55"/>
      <c r="O783" s="55"/>
      <c r="P783" s="55"/>
      <c r="Q783" s="55"/>
      <c r="R783" s="55"/>
      <c r="S783" s="55"/>
      <c r="T783" s="55"/>
      <c r="U783" s="55"/>
    </row>
    <row r="784" spans="1:21" ht="18.75">
      <c r="A784" s="49"/>
      <c r="B784" s="58" t="s">
        <v>296</v>
      </c>
      <c r="C784" s="50"/>
      <c r="D784" s="188"/>
      <c r="E784" s="50"/>
      <c r="F784" s="50"/>
      <c r="G784" s="52"/>
      <c r="H784" s="53" t="s">
        <v>14</v>
      </c>
      <c r="I784" s="212">
        <f ca="1">IFERROR(__xludf.DUMMYFUNCTION("IMPORTRANGE(""https://docs.google.com/spreadsheets/d/10OvvATaaLtwErnr3qtWFcTmtbfpFEt5Bsqel9sXx0uE/edit?usp=sharing"",""งานกองทุน!S38"")"),10248000)</f>
        <v>10248000</v>
      </c>
      <c r="J784" s="212">
        <f ca="1">IFERROR(__xludf.DUMMYFUNCTION("IMPORTRANGE(""https://docs.google.com/spreadsheets/d/10OvvATaaLtwErnr3qtWFcTmtbfpFEt5Bsqel9sXx0uE/edit?usp=sharing"",""งานกองทุน!U38"")"),3905000)</f>
        <v>3905000</v>
      </c>
      <c r="K784" s="255">
        <f ca="1">IF(I784&gt;0,J784*100/I784,0)</f>
        <v>38.104996096799375</v>
      </c>
      <c r="L784" s="55"/>
      <c r="M784" s="55"/>
      <c r="N784" s="55"/>
      <c r="O784" s="55"/>
      <c r="P784" s="55"/>
      <c r="Q784" s="55"/>
      <c r="R784" s="55"/>
      <c r="S784" s="55"/>
      <c r="T784" s="55"/>
      <c r="U784" s="55"/>
    </row>
    <row r="785" spans="1:21" ht="18.75">
      <c r="A785" s="63"/>
      <c r="B785" s="4"/>
      <c r="C785" s="4"/>
      <c r="D785" s="5"/>
      <c r="E785" s="4"/>
      <c r="F785" s="4"/>
      <c r="G785" s="65"/>
      <c r="H785" s="66" t="s">
        <v>35</v>
      </c>
      <c r="I785" s="216">
        <f ca="1">IFERROR(__xludf.DUMMYFUNCTION("IMPORTRANGE(""https://docs.google.com/spreadsheets/d/10OvvATaaLtwErnr3qtWFcTmtbfpFEt5Bsqel9sXx0uE/edit?usp=sharing"",""งานกองทุน!R38"")"),366)</f>
        <v>366</v>
      </c>
      <c r="J785" s="216">
        <f ca="1">IFERROR(__xludf.DUMMYFUNCTION("IMPORTRANGE(""https://docs.google.com/spreadsheets/d/10OvvATaaLtwErnr3qtWFcTmtbfpFEt5Bsqel9sXx0uE/edit?usp=sharing"",""งานกองทุน!T38"")"),116)</f>
        <v>116</v>
      </c>
      <c r="K785" s="506">
        <f ca="1">IF(I785&gt;0,J785*100/I785,0)</f>
        <v>31.693989071038253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6.5">
      <c r="A787" s="535" t="s">
        <v>297</v>
      </c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6.5">
      <c r="A788" s="535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</v>
      </c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6.5">
      <c r="A789" s="535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</v>
      </c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</sheetData>
  <mergeCells count="26">
    <mergeCell ref="A1:U1"/>
    <mergeCell ref="A2:U2"/>
    <mergeCell ref="A3:U3"/>
    <mergeCell ref="L4:P4"/>
    <mergeCell ref="Q4:U4"/>
    <mergeCell ref="A5:G6"/>
    <mergeCell ref="H5:H6"/>
    <mergeCell ref="I5:K5"/>
    <mergeCell ref="L5:M5"/>
    <mergeCell ref="N5:P5"/>
    <mergeCell ref="D616:G616"/>
    <mergeCell ref="D642:G642"/>
    <mergeCell ref="D690:G690"/>
    <mergeCell ref="D714:G714"/>
    <mergeCell ref="Q5:R5"/>
    <mergeCell ref="S5:U5"/>
    <mergeCell ref="D728:G728"/>
    <mergeCell ref="D760:G760"/>
    <mergeCell ref="A7:G7"/>
    <mergeCell ref="A17:G17"/>
    <mergeCell ref="A30:G30"/>
    <mergeCell ref="A56:G56"/>
    <mergeCell ref="B57:G57"/>
    <mergeCell ref="D413:G413"/>
    <mergeCell ref="D493:F493"/>
    <mergeCell ref="D599:G599"/>
  </mergeCells>
  <printOptions horizontalCentered="1"/>
  <pageMargins left="0.23622047244094491" right="0.23622047244094491" top="0.55118110236220474" bottom="0.55118110236220474" header="0" footer="0"/>
  <pageSetup paperSize="9" scale="29" fitToHeight="0" pageOrder="overThenDown" orientation="portrait" cellComments="atEnd" horizontalDpi="4294967293" verticalDpi="4294967293" r:id="rId1"/>
  <headerFooter>
    <oddFooter>&amp;Cหน้า 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FAC58D-86AC-4F4A-9979-FC83EEE033DE}">
  <sheetPr>
    <outlinePr summaryBelow="0" summaryRight="0"/>
    <pageSetUpPr fitToPage="1"/>
  </sheetPr>
  <dimension ref="A1:U789"/>
  <sheetViews>
    <sheetView view="pageBreakPreview" zoomScale="60" zoomScaleNormal="60" workbookViewId="0">
      <pane xSplit="8" ySplit="17" topLeftCell="I53" activePane="bottomRight" state="frozen"/>
      <selection activeCell="T32" sqref="T32"/>
      <selection pane="topRight" activeCell="T32" sqref="T32"/>
      <selection pane="bottomLeft" activeCell="T32" sqref="T32"/>
      <selection pane="bottomRight" activeCell="T32" sqref="T32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9" width="18.7109375" bestFit="1" customWidth="1"/>
    <col min="10" max="10" width="16.85546875" bestFit="1" customWidth="1"/>
    <col min="11" max="11" width="15.140625" customWidth="1"/>
    <col min="12" max="14" width="21.28515625" bestFit="1" customWidth="1"/>
    <col min="15" max="15" width="20.140625" bestFit="1" customWidth="1"/>
    <col min="16" max="16" width="22" bestFit="1" customWidth="1"/>
    <col min="17" max="18" width="21.28515625" bestFit="1" customWidth="1"/>
    <col min="19" max="19" width="18.7109375" bestFit="1" customWidth="1"/>
    <col min="20" max="20" width="20.140625" bestFit="1" customWidth="1"/>
    <col min="21" max="21" width="22" bestFit="1" customWidth="1"/>
  </cols>
  <sheetData>
    <row r="1" spans="1:21" ht="19.5">
      <c r="A1" s="894" t="s">
        <v>0</v>
      </c>
      <c r="B1" s="894"/>
      <c r="C1" s="894"/>
      <c r="D1" s="894"/>
      <c r="E1" s="894"/>
      <c r="F1" s="894"/>
      <c r="G1" s="894"/>
      <c r="H1" s="894"/>
      <c r="I1" s="894"/>
      <c r="J1" s="894"/>
      <c r="K1" s="894"/>
      <c r="L1" s="894"/>
      <c r="M1" s="894"/>
      <c r="N1" s="894"/>
      <c r="O1" s="894"/>
      <c r="P1" s="894"/>
      <c r="Q1" s="894"/>
      <c r="R1" s="894"/>
      <c r="S1" s="894"/>
      <c r="T1" s="894"/>
      <c r="U1" s="894"/>
    </row>
    <row r="2" spans="1:21" ht="19.5">
      <c r="A2" s="894" t="s">
        <v>319</v>
      </c>
      <c r="B2" s="894"/>
      <c r="C2" s="894"/>
      <c r="D2" s="894"/>
      <c r="E2" s="894"/>
      <c r="F2" s="894"/>
      <c r="G2" s="894"/>
      <c r="H2" s="894"/>
      <c r="I2" s="894"/>
      <c r="J2" s="894"/>
      <c r="K2" s="894"/>
      <c r="L2" s="894"/>
      <c r="M2" s="894"/>
      <c r="N2" s="894"/>
      <c r="O2" s="894"/>
      <c r="P2" s="894"/>
      <c r="Q2" s="894"/>
      <c r="R2" s="894"/>
      <c r="S2" s="894"/>
      <c r="T2" s="894"/>
      <c r="U2" s="894"/>
    </row>
    <row r="3" spans="1:21" ht="19.5">
      <c r="A3" s="894" t="s">
        <v>339</v>
      </c>
      <c r="B3" s="894"/>
      <c r="C3" s="894"/>
      <c r="D3" s="894"/>
      <c r="E3" s="894"/>
      <c r="F3" s="894"/>
      <c r="G3" s="894"/>
      <c r="H3" s="894"/>
      <c r="I3" s="894"/>
      <c r="J3" s="894"/>
      <c r="K3" s="894"/>
      <c r="L3" s="894"/>
      <c r="M3" s="894"/>
      <c r="N3" s="894"/>
      <c r="O3" s="894"/>
      <c r="P3" s="894"/>
      <c r="Q3" s="894"/>
      <c r="R3" s="894"/>
      <c r="S3" s="894"/>
      <c r="T3" s="894"/>
      <c r="U3" s="894"/>
    </row>
    <row r="4" spans="1:21" ht="19.5">
      <c r="A4" s="4"/>
      <c r="B4" s="4"/>
      <c r="C4" s="4"/>
      <c r="D4" s="4"/>
      <c r="E4" s="4"/>
      <c r="F4" s="4"/>
      <c r="G4" s="4"/>
      <c r="H4" s="4"/>
      <c r="I4" s="4"/>
      <c r="J4" s="5"/>
      <c r="K4" s="766"/>
      <c r="L4" s="765" t="s">
        <v>2</v>
      </c>
      <c r="M4" s="514"/>
      <c r="N4" s="514"/>
      <c r="O4" s="514"/>
      <c r="P4" s="512"/>
      <c r="Q4" s="518" t="s">
        <v>3</v>
      </c>
      <c r="R4" s="514"/>
      <c r="S4" s="514"/>
      <c r="T4" s="514"/>
      <c r="U4" s="512"/>
    </row>
    <row r="5" spans="1:21" ht="19.5">
      <c r="A5" s="764" t="s">
        <v>4</v>
      </c>
      <c r="B5" s="516"/>
      <c r="C5" s="516"/>
      <c r="D5" s="516"/>
      <c r="E5" s="516"/>
      <c r="F5" s="516"/>
      <c r="G5" s="763"/>
      <c r="H5" s="772" t="s">
        <v>5</v>
      </c>
      <c r="I5" s="761" t="s">
        <v>6</v>
      </c>
      <c r="J5" s="514"/>
      <c r="K5" s="512"/>
      <c r="L5" s="760" t="s">
        <v>7</v>
      </c>
      <c r="M5" s="512"/>
      <c r="N5" s="513" t="s">
        <v>8</v>
      </c>
      <c r="O5" s="514"/>
      <c r="P5" s="512"/>
      <c r="Q5" s="511" t="s">
        <v>7</v>
      </c>
      <c r="R5" s="512"/>
      <c r="S5" s="513" t="s">
        <v>8</v>
      </c>
      <c r="T5" s="514"/>
      <c r="U5" s="512"/>
    </row>
    <row r="6" spans="1:21" ht="19.5">
      <c r="A6" s="522"/>
      <c r="B6" s="514"/>
      <c r="C6" s="514"/>
      <c r="D6" s="514"/>
      <c r="E6" s="514"/>
      <c r="F6" s="514"/>
      <c r="G6" s="512"/>
      <c r="H6" s="512"/>
      <c r="I6" s="9" t="s">
        <v>9</v>
      </c>
      <c r="J6" s="10" t="s">
        <v>10</v>
      </c>
      <c r="K6" s="9" t="s">
        <v>11</v>
      </c>
      <c r="L6" s="758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 hidden="1">
      <c r="A7" s="750"/>
      <c r="B7" s="514"/>
      <c r="C7" s="514"/>
      <c r="D7" s="514"/>
      <c r="E7" s="514"/>
      <c r="F7" s="514"/>
      <c r="G7" s="512"/>
      <c r="H7" s="17"/>
      <c r="I7" s="18"/>
      <c r="J7" s="18"/>
      <c r="K7" s="19"/>
      <c r="L7" s="28"/>
      <c r="M7" s="19"/>
      <c r="N7" s="19"/>
      <c r="O7" s="19"/>
      <c r="P7" s="19"/>
      <c r="Q7" s="19"/>
      <c r="R7" s="19"/>
      <c r="S7" s="19"/>
      <c r="T7" s="19"/>
      <c r="U7" s="19"/>
    </row>
    <row r="8" spans="1:21" ht="12.75" hidden="1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6"/>
      <c r="M8" s="25"/>
      <c r="N8" s="25"/>
      <c r="O8" s="25"/>
      <c r="P8" s="25"/>
      <c r="Q8" s="25"/>
      <c r="R8" s="25"/>
      <c r="S8" s="25"/>
      <c r="T8" s="25"/>
      <c r="U8" s="25"/>
    </row>
    <row r="9" spans="1:21" ht="12.75" hidden="1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6"/>
      <c r="M9" s="25"/>
      <c r="N9" s="25"/>
      <c r="O9" s="25"/>
      <c r="P9" s="25"/>
      <c r="Q9" s="25"/>
      <c r="R9" s="25"/>
      <c r="S9" s="25"/>
      <c r="T9" s="25"/>
      <c r="U9" s="25"/>
    </row>
    <row r="10" spans="1:21" ht="12.75" hidden="1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6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2.75" hidden="1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6"/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2.75" hidden="1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6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2.75" hidden="1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6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2.75" hidden="1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2.75" hidden="1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6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2.75" hidden="1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28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9.5">
      <c r="A17" s="532" t="s">
        <v>311</v>
      </c>
      <c r="B17" s="514"/>
      <c r="C17" s="514"/>
      <c r="D17" s="514"/>
      <c r="E17" s="514"/>
      <c r="F17" s="514"/>
      <c r="G17" s="512"/>
      <c r="H17" s="29"/>
      <c r="I17" s="30"/>
      <c r="J17" s="30"/>
      <c r="K17" s="31"/>
      <c r="L17" s="32"/>
      <c r="M17" s="31"/>
      <c r="N17" s="31"/>
      <c r="O17" s="31"/>
      <c r="P17" s="31"/>
      <c r="Q17" s="31"/>
      <c r="R17" s="31"/>
      <c r="S17" s="31"/>
      <c r="T17" s="31"/>
      <c r="U17" s="31"/>
    </row>
    <row r="18" spans="1:21" ht="19.5">
      <c r="A18" s="33"/>
      <c r="B18" s="34"/>
      <c r="C18" s="35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757">
        <f ca="1">L19+L20</f>
        <v>1723648</v>
      </c>
      <c r="M18" s="720">
        <f ca="1">M19+M20</f>
        <v>1745836</v>
      </c>
      <c r="N18" s="720">
        <f ca="1">N19+N20</f>
        <v>1408889.96</v>
      </c>
      <c r="O18" s="720">
        <f ca="1">IF(L18&gt;0,N18*100/L18,0)</f>
        <v>81.738844590078713</v>
      </c>
      <c r="P18" s="720">
        <f ca="1">IF(M18&gt;0,N18*100/M18,0)</f>
        <v>80.700017641977823</v>
      </c>
      <c r="Q18" s="720">
        <f ca="1">Q19+Q20</f>
        <v>3466353.39</v>
      </c>
      <c r="R18" s="720">
        <f ca="1">R19+R20</f>
        <v>3403853</v>
      </c>
      <c r="S18" s="720">
        <f ca="1">S19+S20</f>
        <v>233597</v>
      </c>
      <c r="T18" s="720">
        <f ca="1">IF(Q18&gt;0,S18*100/Q18,0)</f>
        <v>6.7389839903195785</v>
      </c>
      <c r="U18" s="720">
        <f ca="1">IF(R18&gt;0,S18*100/R18,0)</f>
        <v>6.8627229201731099</v>
      </c>
    </row>
    <row r="19" spans="1:21" ht="18.75" hidden="1">
      <c r="A19" s="33"/>
      <c r="B19" s="34"/>
      <c r="C19" s="34"/>
      <c r="D19" s="34"/>
      <c r="E19" s="756" t="s">
        <v>20</v>
      </c>
      <c r="F19" s="34"/>
      <c r="G19" s="37"/>
      <c r="H19" s="755" t="s">
        <v>14</v>
      </c>
      <c r="I19" s="39"/>
      <c r="J19" s="39"/>
      <c r="K19" s="40"/>
      <c r="L19" s="754">
        <f>L22+L25</f>
        <v>0</v>
      </c>
      <c r="M19" s="753">
        <f>M22+M25</f>
        <v>0</v>
      </c>
      <c r="N19" s="753">
        <f>N22+N25</f>
        <v>0</v>
      </c>
      <c r="O19" s="753">
        <f>IF(L19&gt;0,N19*100/L19,0)</f>
        <v>0</v>
      </c>
      <c r="P19" s="753">
        <f>IF(M19&gt;0,N19*100/M19,0)</f>
        <v>0</v>
      </c>
      <c r="Q19" s="753">
        <f>Q22+Q25</f>
        <v>0</v>
      </c>
      <c r="R19" s="753">
        <f>R22+R25</f>
        <v>0</v>
      </c>
      <c r="S19" s="753">
        <f>S22+S25</f>
        <v>0</v>
      </c>
      <c r="T19" s="753">
        <f>IF(Q19&gt;0,S19*100/Q19,0)</f>
        <v>0</v>
      </c>
      <c r="U19" s="753">
        <f>IF(R19&gt;0,S19*100/R19,0)</f>
        <v>0</v>
      </c>
    </row>
    <row r="20" spans="1:21" ht="18.75" hidden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752">
        <f ca="1">L23+L26</f>
        <v>1723648</v>
      </c>
      <c r="M20" s="751">
        <f ca="1">M23+M26</f>
        <v>1745836</v>
      </c>
      <c r="N20" s="751">
        <f ca="1">N23+N26</f>
        <v>1408889.96</v>
      </c>
      <c r="O20" s="751">
        <f ca="1">IF(L20&gt;0,N20*100/L20,0)</f>
        <v>81.738844590078713</v>
      </c>
      <c r="P20" s="751">
        <f ca="1">IF(M20&gt;0,N20*100/M20,0)</f>
        <v>80.700017641977823</v>
      </c>
      <c r="Q20" s="751">
        <f ca="1">Q23+Q26</f>
        <v>3466353.39</v>
      </c>
      <c r="R20" s="751">
        <f ca="1">R23+R26</f>
        <v>3403853</v>
      </c>
      <c r="S20" s="751">
        <f ca="1">S23+S26</f>
        <v>233597</v>
      </c>
      <c r="T20" s="751">
        <f ca="1">IF(Q20&gt;0,S20*100/Q20,0)</f>
        <v>6.7389839903195785</v>
      </c>
      <c r="U20" s="751">
        <f ca="1">IF(R20&gt;0,S20*100/R20,0)</f>
        <v>6.8627229201731099</v>
      </c>
    </row>
    <row r="21" spans="1:21" ht="18.75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256">
        <f ca="1">L22+L23</f>
        <v>1723648</v>
      </c>
      <c r="M21" s="255">
        <f ca="1">M22+M23</f>
        <v>1745836</v>
      </c>
      <c r="N21" s="255">
        <f ca="1">N22+N23</f>
        <v>1408889.96</v>
      </c>
      <c r="O21" s="255">
        <f ca="1">IF(L21&gt;0,N21*100/L21,0)</f>
        <v>81.738844590078713</v>
      </c>
      <c r="P21" s="255">
        <f ca="1">IF(M21&gt;0,N21*100/M21,0)</f>
        <v>80.700017641977823</v>
      </c>
      <c r="Q21" s="255">
        <f ca="1">Q22+Q23</f>
        <v>3466353.39</v>
      </c>
      <c r="R21" s="255">
        <f ca="1">R22+R23</f>
        <v>3403853</v>
      </c>
      <c r="S21" s="255">
        <f ca="1">S22+S23</f>
        <v>233597</v>
      </c>
      <c r="T21" s="255">
        <f ca="1">IF(Q21&gt;0,S21*100/Q21,0)</f>
        <v>6.7389839903195785</v>
      </c>
      <c r="U21" s="255">
        <f ca="1">IF(R21&gt;0,S21*100/R21,0)</f>
        <v>6.8627229201731099</v>
      </c>
    </row>
    <row r="22" spans="1:21" ht="18.75" hidden="1">
      <c r="A22" s="49"/>
      <c r="B22" s="50"/>
      <c r="C22" s="50"/>
      <c r="D22" s="50"/>
      <c r="E22" s="186" t="s">
        <v>20</v>
      </c>
      <c r="F22" s="50"/>
      <c r="G22" s="52"/>
      <c r="H22" s="729" t="s">
        <v>14</v>
      </c>
      <c r="I22" s="54"/>
      <c r="J22" s="54"/>
      <c r="K22" s="55"/>
      <c r="L22" s="103">
        <f>L48+L63+L76+L98+L129+L143+L161+L190+L177+L270+L286+L307+L324+L337+L360+L517</f>
        <v>0</v>
      </c>
      <c r="M22" s="102">
        <f>M48+M63+M76+M98+M129+M143+M161+M190+M177+M270+M286+M307+M324+M337+M360+M517</f>
        <v>0</v>
      </c>
      <c r="N22" s="102">
        <f>N48+N63+N76+N98+N129+N143+N161+N190+N177+N270+N286+N307+N324+N337+N360+N517</f>
        <v>0</v>
      </c>
      <c r="O22" s="102">
        <f>IF(L22&gt;0,N22*100/L22,0)</f>
        <v>0</v>
      </c>
      <c r="P22" s="102">
        <f>IF(M22&gt;0,N22*100/M22,0)</f>
        <v>0</v>
      </c>
      <c r="Q22" s="102">
        <f>Q76+Q98+Q121+Q143+Q161+Q177+Q190+Q270+Q286+Q307+Q337+Q379+Q396+Q417+Q497+Q603+Q620+Q646+Q694+Q718+Q732+Q764</f>
        <v>0</v>
      </c>
      <c r="R22" s="102">
        <f>R76+R98+R121+R143+R161+R177+R190+R270+R286+R307+R337+R379+R396+R417+R497+R603+R620+R646+R694+R718+R732+R764</f>
        <v>0</v>
      </c>
      <c r="S22" s="102">
        <f>S76+S98+S121+S143+S161+S177+S190+S270+S286+S307+S337+S379+S396+S417+S497+S603+S620+S646+S694+S718+S732+S764</f>
        <v>0</v>
      </c>
      <c r="T22" s="102">
        <f>IF(Q22&gt;0,S22*100/Q22,0)</f>
        <v>0</v>
      </c>
      <c r="U22" s="102">
        <f>IF(R22&gt;0,S22*100/R22,0)</f>
        <v>0</v>
      </c>
    </row>
    <row r="23" spans="1:21" ht="18.75" hidden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256">
        <f ca="1">L49+L64+L77+L99+L130+L144+L162+L191+L178+L271+L287+L308+L325+L338+L361+L518</f>
        <v>1723648</v>
      </c>
      <c r="M23" s="255">
        <f ca="1">M49+M64+M77+M99+M130+M144+M162+M191+M178+M271+M287+M308+M325+M338+M361+M518</f>
        <v>1745836</v>
      </c>
      <c r="N23" s="255">
        <f ca="1">N49+N64+N77+N99+N130+N144+N162+N191+N178+N271+N287+N308+N325+N338+N361+N518</f>
        <v>1408889.96</v>
      </c>
      <c r="O23" s="255">
        <f ca="1">IF(L23&gt;0,N23*100/L23,0)</f>
        <v>81.738844590078713</v>
      </c>
      <c r="P23" s="255">
        <f ca="1">IF(M23&gt;0,N23*100/M23,0)</f>
        <v>80.700017641977823</v>
      </c>
      <c r="Q23" s="255">
        <f ca="1">Q77+Q99+Q122+Q144+Q162+Q178+Q191+Q271+Q287+Q308+Q338+Q380+Q397+Q418+Q498+Q604+Q621+Q647+Q695+Q719+Q733+Q765</f>
        <v>3466353.39</v>
      </c>
      <c r="R23" s="255">
        <f ca="1">R77+R99+R122+R144+R162+R178+R191+R271+R287+R308+R338+R380+R397+R418+R498+R604+R621+R647+R695+R719+R733+R765</f>
        <v>3403853</v>
      </c>
      <c r="S23" s="255">
        <f ca="1">S77+S99+S122+S144+S162+S178+S191+S271+S287+S308+S338+S380+S397+S418+S498+S604+S621+S647+S695+S719+S733+S765</f>
        <v>233597</v>
      </c>
      <c r="T23" s="255">
        <f ca="1">IF(Q23&gt;0,S23*100/Q23,0)</f>
        <v>6.7389839903195785</v>
      </c>
      <c r="U23" s="255">
        <f ca="1">IF(R23&gt;0,S23*100/R23,0)</f>
        <v>6.8627229201731099</v>
      </c>
    </row>
    <row r="24" spans="1:21" ht="18.75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256">
        <f ca="1">L25+L26</f>
        <v>0</v>
      </c>
      <c r="M24" s="255">
        <f ca="1">M25+M26</f>
        <v>0</v>
      </c>
      <c r="N24" s="255">
        <f ca="1">N25+N26</f>
        <v>0</v>
      </c>
      <c r="O24" s="255">
        <f ca="1">IF(L24&gt;0,N24*100/L24,0)</f>
        <v>0</v>
      </c>
      <c r="P24" s="255">
        <f ca="1">IF(M24&gt;0,N24*100/M24,0)</f>
        <v>0</v>
      </c>
      <c r="Q24" s="255">
        <f>Q25+Q26</f>
        <v>0</v>
      </c>
      <c r="R24" s="255">
        <f>R25+R26</f>
        <v>0</v>
      </c>
      <c r="S24" s="255">
        <f>S25+S26</f>
        <v>0</v>
      </c>
      <c r="T24" s="255">
        <f>IF(Q24&gt;0,S24*100/Q24,0)</f>
        <v>0</v>
      </c>
      <c r="U24" s="255">
        <f>IF(R24&gt;0,S24*100/R24,0)</f>
        <v>0</v>
      </c>
    </row>
    <row r="25" spans="1:21" ht="18.75" hidden="1">
      <c r="A25" s="49"/>
      <c r="B25" s="50"/>
      <c r="C25" s="50"/>
      <c r="D25" s="50"/>
      <c r="E25" s="186" t="s">
        <v>20</v>
      </c>
      <c r="F25" s="50"/>
      <c r="G25" s="52"/>
      <c r="H25" s="729" t="s">
        <v>14</v>
      </c>
      <c r="I25" s="54"/>
      <c r="J25" s="54"/>
      <c r="K25" s="55"/>
      <c r="L25" s="103">
        <f>L51+L66+L79+L101+L132+L146+L164+L193+L180+L273+L289+L310+L327+L340+L363+L520</f>
        <v>0</v>
      </c>
      <c r="M25" s="102">
        <f>M51+M66+M79+M101+M132+M146+M164+M193+M180+M273+M289+M310+M327+M340+M363+M520</f>
        <v>0</v>
      </c>
      <c r="N25" s="102">
        <f>N51+N66+N79+N101+N132+N146+N164+N193+N180+N273+N289+N310+N327+N340+N363+N520</f>
        <v>0</v>
      </c>
      <c r="O25" s="102">
        <f>IF(L25&gt;0,N25*100/L25,0)</f>
        <v>0</v>
      </c>
      <c r="P25" s="102">
        <f>IF(M25&gt;0,N25*100/M25,0)</f>
        <v>0</v>
      </c>
      <c r="Q25" s="102">
        <f>Q79+Q101+Q124+Q146+Q164+Q180+Q193+Q273+Q289+Q310+Q340+Q382+Q399+Q420+Q500+Q606+Q623+Q649+Q697+Q721+Q735+Q767</f>
        <v>0</v>
      </c>
      <c r="R25" s="102">
        <f>R79+R101+R124+R146+R164+R180+R193+R273+R289+R310+R340+R382+R399+R420+R500+R606+R623+R649+R697+R721+R735+R767</f>
        <v>0</v>
      </c>
      <c r="S25" s="102">
        <f>S79+S101+S124+S146+S164+S180+S193+S273+S289+S310+S340+S382+S399+S420+S500+S606+S623+S649+S697+S721+S735+S767</f>
        <v>0</v>
      </c>
      <c r="T25" s="102">
        <f>IF(Q25&gt;0,S25*100/Q25,0)</f>
        <v>0</v>
      </c>
      <c r="U25" s="102">
        <f>IF(R25&gt;0,S25*100/R25,0)</f>
        <v>0</v>
      </c>
    </row>
    <row r="26" spans="1:21" ht="18.75" hidden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256">
        <f ca="1">L52+L67+L80+L102+L133+L147+L165+L194+L181+L274+L290+L311+L328+L341+L364+L521</f>
        <v>0</v>
      </c>
      <c r="M26" s="255">
        <f ca="1">M52+M67+M80+M102+M133+M147+M165+M194+M181+M274+M290+M311+M328+M341+M364+M521</f>
        <v>0</v>
      </c>
      <c r="N26" s="255">
        <f ca="1">N52+N67+N80+N102+N133+N147+N165+N194+N181+N274+N290+N311+N328+N341+N364+N521</f>
        <v>0</v>
      </c>
      <c r="O26" s="255">
        <f ca="1">IF(L26&gt;0,N26*100/L26,0)</f>
        <v>0</v>
      </c>
      <c r="P26" s="255">
        <f ca="1">IF(M26&gt;0,N26*100/M26,0)</f>
        <v>0</v>
      </c>
      <c r="Q26" s="102">
        <f>Q80+Q102+Q125+Q147+Q165+Q181+Q194+Q274+Q290+Q311+Q341+Q383+Q400+Q421+Q501+Q607+Q624+Q650+Q698+Q722+Q736+Q768</f>
        <v>0</v>
      </c>
      <c r="R26" s="102">
        <f>R80+R102+R125+R147+R165+R181+R194+R274+R290+R311+R341+R383+R400+R421+R501+R607+R624+R650+R698+R722+R736+R768</f>
        <v>0</v>
      </c>
      <c r="S26" s="102">
        <f>S80+S102+S125+S147+S165+S181+S194+S274+S290+S311+S341+S383+S400+S421+S501+S607+S624+S650+S698+S722+S736+S768</f>
        <v>0</v>
      </c>
      <c r="T26" s="255">
        <f>IF(Q26&gt;0,S26*100/Q26,0)</f>
        <v>0</v>
      </c>
      <c r="U26" s="255">
        <f>IF(R26&gt;0,S26*100/R26,0)</f>
        <v>0</v>
      </c>
    </row>
    <row r="27" spans="1:21" ht="18.75">
      <c r="A27" s="49"/>
      <c r="B27" s="50"/>
      <c r="C27" s="50"/>
      <c r="D27" s="51" t="s">
        <v>24</v>
      </c>
      <c r="E27" s="50"/>
      <c r="F27" s="50"/>
      <c r="G27" s="52"/>
      <c r="H27" s="53" t="s">
        <v>14</v>
      </c>
      <c r="I27" s="54"/>
      <c r="J27" s="54"/>
      <c r="K27" s="55"/>
      <c r="L27" s="62"/>
      <c r="M27" s="55"/>
      <c r="N27" s="55"/>
      <c r="O27" s="55"/>
      <c r="P27" s="55"/>
      <c r="Q27" s="55"/>
      <c r="R27" s="55"/>
      <c r="S27" s="55"/>
      <c r="T27" s="55"/>
      <c r="U27" s="55"/>
    </row>
    <row r="28" spans="1:21" ht="18.75" hidden="1">
      <c r="A28" s="49"/>
      <c r="B28" s="50"/>
      <c r="C28" s="50"/>
      <c r="D28" s="50"/>
      <c r="E28" s="186" t="s">
        <v>20</v>
      </c>
      <c r="F28" s="50"/>
      <c r="G28" s="52"/>
      <c r="H28" s="729" t="s">
        <v>14</v>
      </c>
      <c r="I28" s="54"/>
      <c r="J28" s="54"/>
      <c r="K28" s="55"/>
      <c r="L28" s="62"/>
      <c r="M28" s="55"/>
      <c r="N28" s="55"/>
      <c r="O28" s="55"/>
      <c r="P28" s="55"/>
      <c r="Q28" s="55"/>
      <c r="R28" s="55"/>
      <c r="S28" s="55"/>
      <c r="T28" s="55"/>
      <c r="U28" s="55"/>
    </row>
    <row r="29" spans="1:21" ht="18.75" hidden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8"/>
      <c r="M29" s="6"/>
      <c r="N29" s="6"/>
      <c r="O29" s="6"/>
      <c r="P29" s="6"/>
      <c r="Q29" s="6"/>
      <c r="R29" s="6"/>
      <c r="S29" s="6"/>
      <c r="T29" s="6"/>
      <c r="U29" s="6"/>
    </row>
    <row r="30" spans="1:21" ht="12.75" hidden="1">
      <c r="A30" s="750"/>
      <c r="B30" s="514"/>
      <c r="C30" s="514"/>
      <c r="D30" s="514"/>
      <c r="E30" s="514"/>
      <c r="F30" s="514"/>
      <c r="G30" s="512"/>
      <c r="H30" s="17"/>
      <c r="I30" s="18"/>
      <c r="J30" s="18"/>
      <c r="K30" s="19"/>
      <c r="L30" s="28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 hidden="1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6"/>
      <c r="M31" s="25"/>
      <c r="N31" s="25"/>
      <c r="O31" s="25"/>
      <c r="P31" s="25"/>
      <c r="Q31" s="25"/>
      <c r="R31" s="25"/>
      <c r="S31" s="25"/>
      <c r="T31" s="25"/>
      <c r="U31" s="25"/>
    </row>
    <row r="32" spans="1:21" ht="12.75" hidden="1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6"/>
      <c r="M32" s="25"/>
      <c r="N32" s="25"/>
      <c r="O32" s="25"/>
      <c r="P32" s="25"/>
      <c r="Q32" s="25"/>
      <c r="R32" s="25"/>
      <c r="S32" s="25"/>
      <c r="T32" s="25"/>
      <c r="U32" s="25"/>
    </row>
    <row r="33" spans="1:21" ht="12.75" hidden="1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6"/>
      <c r="M33" s="25"/>
      <c r="N33" s="25"/>
      <c r="O33" s="25"/>
      <c r="P33" s="25"/>
      <c r="Q33" s="25"/>
      <c r="R33" s="25"/>
      <c r="S33" s="25"/>
      <c r="T33" s="25"/>
      <c r="U33" s="25"/>
    </row>
    <row r="34" spans="1:21" ht="12.75" hidden="1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6"/>
      <c r="M34" s="25"/>
      <c r="N34" s="25"/>
      <c r="O34" s="25"/>
      <c r="P34" s="25"/>
      <c r="Q34" s="25"/>
      <c r="R34" s="25"/>
      <c r="S34" s="25"/>
      <c r="T34" s="25"/>
      <c r="U34" s="25"/>
    </row>
    <row r="35" spans="1:21" ht="12.75" hidden="1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6"/>
      <c r="M35" s="25"/>
      <c r="N35" s="25"/>
      <c r="O35" s="25"/>
      <c r="P35" s="25"/>
      <c r="Q35" s="25"/>
      <c r="R35" s="25"/>
      <c r="S35" s="25"/>
      <c r="T35" s="25"/>
      <c r="U35" s="25"/>
    </row>
    <row r="36" spans="1:21" ht="12.75" hidden="1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6"/>
      <c r="M36" s="25"/>
      <c r="N36" s="25"/>
      <c r="O36" s="25"/>
      <c r="P36" s="25"/>
      <c r="Q36" s="25"/>
      <c r="R36" s="25"/>
      <c r="S36" s="25"/>
      <c r="T36" s="25"/>
      <c r="U36" s="25"/>
    </row>
    <row r="37" spans="1:21" ht="12.75" hidden="1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6"/>
      <c r="M37" s="25"/>
      <c r="N37" s="25"/>
      <c r="O37" s="25"/>
      <c r="P37" s="25"/>
      <c r="Q37" s="25"/>
      <c r="R37" s="25"/>
      <c r="S37" s="25"/>
      <c r="T37" s="25"/>
      <c r="U37" s="25"/>
    </row>
    <row r="38" spans="1:21" ht="12.75" hidden="1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6"/>
      <c r="M38" s="25"/>
      <c r="N38" s="25"/>
      <c r="O38" s="25"/>
      <c r="P38" s="25"/>
      <c r="Q38" s="25"/>
      <c r="R38" s="25"/>
      <c r="S38" s="25"/>
      <c r="T38" s="25"/>
      <c r="U38" s="25"/>
    </row>
    <row r="39" spans="1:21" ht="12.75" hidden="1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28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9.5" hidden="1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749">
        <f ca="1">L44+L59+L72+L94+L125+L139+L157+L173+L186+L266+L282+L303+L320+L333+L356</f>
        <v>1723648</v>
      </c>
      <c r="M40" s="748">
        <f ca="1">M44+M59+M72+M94+M125+M139+M157+M173+M186+M266+M282+M303+M320+M333+M356</f>
        <v>1745836</v>
      </c>
      <c r="N40" s="748">
        <f ca="1">N44+N59+N72+N94+N125+N139+N157+N173+N186+N266+N282+N303+N320+N333+N356</f>
        <v>1408889.96</v>
      </c>
      <c r="O40" s="748">
        <f ca="1">IF(L40&gt;0,N40*100/L40,0)</f>
        <v>81.738844590078713</v>
      </c>
      <c r="P40" s="748">
        <f ca="1">IF(M40&gt;0,N40*100/M40,0)</f>
        <v>80.700017641977823</v>
      </c>
      <c r="Q40" s="73"/>
      <c r="R40" s="73"/>
      <c r="S40" s="73"/>
      <c r="T40" s="73"/>
      <c r="U40" s="73"/>
    </row>
    <row r="41" spans="1:21" ht="19.5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78"/>
      <c r="R41" s="78"/>
      <c r="S41" s="78"/>
      <c r="T41" s="78"/>
      <c r="U41" s="79"/>
    </row>
    <row r="42" spans="1:21" ht="19.5">
      <c r="A42" s="80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5"/>
      <c r="M42" s="84"/>
      <c r="N42" s="84"/>
      <c r="O42" s="84"/>
      <c r="P42" s="84"/>
      <c r="Q42" s="84"/>
      <c r="R42" s="84"/>
      <c r="S42" s="84"/>
      <c r="T42" s="84"/>
      <c r="U42" s="84"/>
    </row>
    <row r="43" spans="1:21" ht="12.75" hidden="1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6"/>
      <c r="M43" s="25"/>
      <c r="N43" s="25"/>
      <c r="O43" s="25"/>
      <c r="P43" s="25"/>
      <c r="Q43" s="25"/>
      <c r="R43" s="25"/>
      <c r="S43" s="25"/>
      <c r="T43" s="25"/>
      <c r="U43" s="25"/>
    </row>
    <row r="44" spans="1:21" ht="19.5">
      <c r="A44" s="86"/>
      <c r="B44" s="87"/>
      <c r="C44" s="88" t="s">
        <v>18</v>
      </c>
      <c r="D44" s="747" t="s">
        <v>19</v>
      </c>
      <c r="E44" s="87"/>
      <c r="F44" s="87"/>
      <c r="G44" s="90"/>
      <c r="H44" s="91" t="s">
        <v>14</v>
      </c>
      <c r="I44" s="92"/>
      <c r="J44" s="92"/>
      <c r="K44" s="93"/>
      <c r="L44" s="746">
        <f ca="1">L45+L46</f>
        <v>346693</v>
      </c>
      <c r="M44" s="745">
        <f ca="1">M45+M46</f>
        <v>376991</v>
      </c>
      <c r="N44" s="745">
        <f ca="1">N45+N46</f>
        <v>369388</v>
      </c>
      <c r="O44" s="745">
        <f ca="1">IF(L44&gt;0,N44*100/L44,0)</f>
        <v>106.54613736071971</v>
      </c>
      <c r="P44" s="745">
        <f ca="1">IF(M44&gt;0,N44*100/M44,0)</f>
        <v>97.983240979227617</v>
      </c>
      <c r="Q44" s="745">
        <f>Q45+Q46</f>
        <v>0</v>
      </c>
      <c r="R44" s="745">
        <f>R45+R46</f>
        <v>0</v>
      </c>
      <c r="S44" s="745">
        <f>S45+S46</f>
        <v>0</v>
      </c>
      <c r="T44" s="745">
        <f>IF(Q44&gt;0,S44*100/Q44,0)</f>
        <v>0</v>
      </c>
      <c r="U44" s="745">
        <f>IF(R44&gt;0,S44*100/R44,0)</f>
        <v>0</v>
      </c>
    </row>
    <row r="45" spans="1:21" ht="18.75" hidden="1">
      <c r="A45" s="86"/>
      <c r="B45" s="87"/>
      <c r="C45" s="87"/>
      <c r="D45" s="87"/>
      <c r="E45" s="744" t="s">
        <v>20</v>
      </c>
      <c r="F45" s="87"/>
      <c r="G45" s="90"/>
      <c r="H45" s="743" t="s">
        <v>14</v>
      </c>
      <c r="I45" s="92"/>
      <c r="J45" s="92"/>
      <c r="K45" s="93"/>
      <c r="L45" s="742">
        <f>L48+L51</f>
        <v>0</v>
      </c>
      <c r="M45" s="741">
        <f>M48+M51</f>
        <v>0</v>
      </c>
      <c r="N45" s="741">
        <f>N48+N51</f>
        <v>0</v>
      </c>
      <c r="O45" s="741">
        <f>IF(L45&gt;0,N45*100/L45,0)</f>
        <v>0</v>
      </c>
      <c r="P45" s="741">
        <f>IF(M45&gt;0,N45*100/M45,0)</f>
        <v>0</v>
      </c>
      <c r="Q45" s="741">
        <f>Q48+Q51</f>
        <v>0</v>
      </c>
      <c r="R45" s="741">
        <f>R48+R51</f>
        <v>0</v>
      </c>
      <c r="S45" s="741">
        <f>S48+S51</f>
        <v>0</v>
      </c>
      <c r="T45" s="741">
        <f>IF(Q45&gt;0,S45*100/Q45,0)</f>
        <v>0</v>
      </c>
      <c r="U45" s="741">
        <f>IF(R45&gt;0,S45*100/R45,0)</f>
        <v>0</v>
      </c>
    </row>
    <row r="46" spans="1:21" ht="18.75" hidden="1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740">
        <f ca="1">L49+L52</f>
        <v>346693</v>
      </c>
      <c r="M46" s="739">
        <f ca="1">M49+M52</f>
        <v>376991</v>
      </c>
      <c r="N46" s="739">
        <f ca="1">N49+N52</f>
        <v>369388</v>
      </c>
      <c r="O46" s="739">
        <f ca="1">IF(L46&gt;0,N46*100/L46,0)</f>
        <v>106.54613736071971</v>
      </c>
      <c r="P46" s="739">
        <f ca="1">IF(M46&gt;0,N46*100/M46,0)</f>
        <v>97.983240979227617</v>
      </c>
      <c r="Q46" s="739">
        <f>Q49+Q52</f>
        <v>0</v>
      </c>
      <c r="R46" s="739">
        <f>R49+R52</f>
        <v>0</v>
      </c>
      <c r="S46" s="739">
        <f>S49+S52</f>
        <v>0</v>
      </c>
      <c r="T46" s="739">
        <f>IF(Q46&gt;0,S46*100/Q46,0)</f>
        <v>0</v>
      </c>
      <c r="U46" s="739">
        <f>IF(R46&gt;0,S46*100/R46,0)</f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256">
        <f ca="1">L48+L49</f>
        <v>346693</v>
      </c>
      <c r="M47" s="255">
        <f ca="1">M48+M49</f>
        <v>376991</v>
      </c>
      <c r="N47" s="255">
        <f ca="1">N48+N49</f>
        <v>369388</v>
      </c>
      <c r="O47" s="255">
        <f ca="1">IF(L47&gt;0,N47*100/L47,0)</f>
        <v>106.54613736071971</v>
      </c>
      <c r="P47" s="255">
        <f ca="1">IF(M47&gt;0,N47*100/M47,0)</f>
        <v>97.983240979227617</v>
      </c>
      <c r="Q47" s="255">
        <f>Q48+Q49</f>
        <v>0</v>
      </c>
      <c r="R47" s="255">
        <f>R48+R49</f>
        <v>0</v>
      </c>
      <c r="S47" s="255">
        <f>S48+S49</f>
        <v>0</v>
      </c>
      <c r="T47" s="255">
        <f>IF(Q47&gt;0,S47*100/Q47,0)</f>
        <v>0</v>
      </c>
      <c r="U47" s="255">
        <f>IF(R47&gt;0,S47*100/R47,0)</f>
        <v>0</v>
      </c>
    </row>
    <row r="48" spans="1:21" ht="18.75" hidden="1">
      <c r="A48" s="49"/>
      <c r="B48" s="50"/>
      <c r="C48" s="50"/>
      <c r="D48" s="50"/>
      <c r="E48" s="186" t="s">
        <v>20</v>
      </c>
      <c r="F48" s="50"/>
      <c r="G48" s="52"/>
      <c r="H48" s="729" t="s">
        <v>14</v>
      </c>
      <c r="I48" s="54"/>
      <c r="J48" s="54"/>
      <c r="K48" s="55"/>
      <c r="L48" s="103">
        <v>0</v>
      </c>
      <c r="M48" s="102">
        <v>0</v>
      </c>
      <c r="N48" s="102">
        <v>0</v>
      </c>
      <c r="O48" s="102">
        <f>IF(L48&gt;0,N48*100/L48,0)</f>
        <v>0</v>
      </c>
      <c r="P48" s="102">
        <f>IF(M48&gt;0,N48*100/M48,0)</f>
        <v>0</v>
      </c>
      <c r="Q48" s="102">
        <v>0</v>
      </c>
      <c r="R48" s="102">
        <v>0</v>
      </c>
      <c r="S48" s="102">
        <v>0</v>
      </c>
      <c r="T48" s="102">
        <f>IF(Q48&gt;0,S48*100/Q48,0)</f>
        <v>0</v>
      </c>
      <c r="U48" s="102">
        <f>IF(R48&gt;0,S48*100/R48,0)</f>
        <v>0</v>
      </c>
    </row>
    <row r="49" spans="1:21" ht="18.75" hidden="1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256">
        <f ca="1">IFERROR(__xludf.DUMMYFUNCTION("IMPORTRANGE(""https://docs.google.com/spreadsheets/d/1-uDff_7J0KD5mKrp0Vvzr7lt3OU09vwQwhkpOPPYv2Y/edit?usp=sharing"",""งบพรบ!P39"")"),346693)</f>
        <v>346693</v>
      </c>
      <c r="M49" s="255">
        <f ca="1">IFERROR(__xludf.DUMMYFUNCTION("IMPORTRANGE(""https://docs.google.com/spreadsheets/d/1-uDff_7J0KD5mKrp0Vvzr7lt3OU09vwQwhkpOPPYv2Y/edit?usp=sharing"",""งบพรบ!V39"")"),376991)</f>
        <v>376991</v>
      </c>
      <c r="N49" s="255">
        <f ca="1">IFERROR(__xludf.DUMMYFUNCTION("IMPORTRANGE(""https://docs.google.com/spreadsheets/d/1-uDff_7J0KD5mKrp0Vvzr7lt3OU09vwQwhkpOPPYv2Y/edit?usp=sharing"",""งบพรบ!Y39"")"),369388)</f>
        <v>369388</v>
      </c>
      <c r="O49" s="255">
        <f ca="1">IF(L49&gt;0,N49*100/L49,0)</f>
        <v>106.54613736071971</v>
      </c>
      <c r="P49" s="255">
        <f ca="1">IF(M49&gt;0,N49*100/M49,0)</f>
        <v>97.983240979227617</v>
      </c>
      <c r="Q49" s="255">
        <v>0</v>
      </c>
      <c r="R49" s="255">
        <v>0</v>
      </c>
      <c r="S49" s="255">
        <v>0</v>
      </c>
      <c r="T49" s="255">
        <f>IF(Q49&gt;0,S49*100/Q49,0)</f>
        <v>0</v>
      </c>
      <c r="U49" s="255">
        <f>IF(R49&gt;0,S49*100/R49,0)</f>
        <v>0</v>
      </c>
    </row>
    <row r="50" spans="1:21" ht="18.75">
      <c r="A50" s="49"/>
      <c r="B50" s="50"/>
      <c r="C50" s="50"/>
      <c r="D50" s="51" t="s">
        <v>23</v>
      </c>
      <c r="E50" s="50"/>
      <c r="F50" s="50"/>
      <c r="G50" s="52"/>
      <c r="H50" s="53" t="s">
        <v>14</v>
      </c>
      <c r="I50" s="54"/>
      <c r="J50" s="54"/>
      <c r="K50" s="55"/>
      <c r="L50" s="256">
        <f ca="1">L51+L52</f>
        <v>0</v>
      </c>
      <c r="M50" s="255">
        <f ca="1">M51+M52</f>
        <v>0</v>
      </c>
      <c r="N50" s="255">
        <f ca="1">N51+N52</f>
        <v>0</v>
      </c>
      <c r="O50" s="255">
        <f ca="1">IF(L50&gt;0,N50*100/L50,0)</f>
        <v>0</v>
      </c>
      <c r="P50" s="255">
        <f ca="1">IF(M50&gt;0,N50*100/M50,0)</f>
        <v>0</v>
      </c>
      <c r="Q50" s="255">
        <f>Q51+Q52</f>
        <v>0</v>
      </c>
      <c r="R50" s="255">
        <f>R51+R52</f>
        <v>0</v>
      </c>
      <c r="S50" s="255">
        <f>S51+S52</f>
        <v>0</v>
      </c>
      <c r="T50" s="255">
        <f>IF(Q50&gt;0,S50*100/Q50,0)</f>
        <v>0</v>
      </c>
      <c r="U50" s="255">
        <f>IF(R50&gt;0,S50*100/R50,0)</f>
        <v>0</v>
      </c>
    </row>
    <row r="51" spans="1:21" ht="18.75" hidden="1">
      <c r="A51" s="49"/>
      <c r="B51" s="50"/>
      <c r="C51" s="50"/>
      <c r="D51" s="50"/>
      <c r="E51" s="186" t="s">
        <v>20</v>
      </c>
      <c r="F51" s="50"/>
      <c r="G51" s="52"/>
      <c r="H51" s="729" t="s">
        <v>14</v>
      </c>
      <c r="I51" s="54"/>
      <c r="J51" s="54"/>
      <c r="K51" s="55"/>
      <c r="L51" s="103">
        <v>0</v>
      </c>
      <c r="M51" s="102">
        <v>0</v>
      </c>
      <c r="N51" s="102">
        <v>0</v>
      </c>
      <c r="O51" s="102">
        <f>IF(L51&gt;0,N51*100/L51,0)</f>
        <v>0</v>
      </c>
      <c r="P51" s="102">
        <f>IF(M51&gt;0,N51*100/M51,0)</f>
        <v>0</v>
      </c>
      <c r="Q51" s="102">
        <v>0</v>
      </c>
      <c r="R51" s="102">
        <v>0</v>
      </c>
      <c r="S51" s="102">
        <v>0</v>
      </c>
      <c r="T51" s="102">
        <f>IF(Q51&gt;0,S51*100/Q51,0)</f>
        <v>0</v>
      </c>
      <c r="U51" s="102">
        <f>IF(R51&gt;0,S51*100/R51,0)</f>
        <v>0</v>
      </c>
    </row>
    <row r="52" spans="1:21" ht="18.75" hidden="1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256">
        <f ca="1">IFERROR(__xludf.DUMMYFUNCTION("IMPORTRANGE(""https://docs.google.com/spreadsheets/d/1-uDff_7J0KD5mKrp0Vvzr7lt3OU09vwQwhkpOPPYv2Y/edit?usp=sharing"",""งบพรบ!S39"")"),0)</f>
        <v>0</v>
      </c>
      <c r="M52" s="255">
        <f ca="1">IFERROR(__xludf.DUMMYFUNCTION("IMPORTRANGE(""https://docs.google.com/spreadsheets/d/1-uDff_7J0KD5mKrp0Vvzr7lt3OU09vwQwhkpOPPYv2Y/edit?usp=sharing"",""งบพรบ!W39"")"),0)</f>
        <v>0</v>
      </c>
      <c r="N52" s="255">
        <f ca="1">IFERROR(__xludf.DUMMYFUNCTION("IMPORTRANGE(""https://docs.google.com/spreadsheets/d/1-uDff_7J0KD5mKrp0Vvzr7lt3OU09vwQwhkpOPPYv2Y/edit?usp=sharing"",""งบพรบ!Z39"")"),0)</f>
        <v>0</v>
      </c>
      <c r="O52" s="255">
        <f ca="1">IF(L52&gt;0,N52*100/L52,0)</f>
        <v>0</v>
      </c>
      <c r="P52" s="255">
        <f ca="1">IF(M52&gt;0,N52*100/M52,0)</f>
        <v>0</v>
      </c>
      <c r="Q52" s="255">
        <v>0</v>
      </c>
      <c r="R52" s="255">
        <v>0</v>
      </c>
      <c r="S52" s="255">
        <v>0</v>
      </c>
      <c r="T52" s="255">
        <f>IF(Q52&gt;0,S52*100/Q52,0)</f>
        <v>0</v>
      </c>
      <c r="U52" s="255">
        <f>IF(R52&gt;0,S52*100/R52,0)</f>
        <v>0</v>
      </c>
    </row>
    <row r="53" spans="1:21" ht="18.75">
      <c r="A53" s="49"/>
      <c r="B53" s="50"/>
      <c r="C53" s="50"/>
      <c r="D53" s="51" t="s">
        <v>24</v>
      </c>
      <c r="E53" s="50"/>
      <c r="F53" s="50"/>
      <c r="G53" s="52"/>
      <c r="H53" s="53" t="s">
        <v>14</v>
      </c>
      <c r="I53" s="54"/>
      <c r="J53" s="54"/>
      <c r="K53" s="55"/>
      <c r="L53" s="62"/>
      <c r="M53" s="55"/>
      <c r="N53" s="55"/>
      <c r="O53" s="55"/>
      <c r="P53" s="55"/>
      <c r="Q53" s="55"/>
      <c r="R53" s="55"/>
      <c r="S53" s="55"/>
      <c r="T53" s="55"/>
      <c r="U53" s="55"/>
    </row>
    <row r="54" spans="1:21" ht="18.75" hidden="1">
      <c r="A54" s="49"/>
      <c r="B54" s="50"/>
      <c r="C54" s="50"/>
      <c r="D54" s="50"/>
      <c r="E54" s="186" t="s">
        <v>20</v>
      </c>
      <c r="F54" s="50"/>
      <c r="G54" s="52"/>
      <c r="H54" s="729" t="s">
        <v>14</v>
      </c>
      <c r="I54" s="54"/>
      <c r="J54" s="54"/>
      <c r="K54" s="55"/>
      <c r="L54" s="62"/>
      <c r="M54" s="55"/>
      <c r="N54" s="55"/>
      <c r="O54" s="55"/>
      <c r="P54" s="55"/>
      <c r="Q54" s="55"/>
      <c r="R54" s="55"/>
      <c r="S54" s="55"/>
      <c r="T54" s="55"/>
      <c r="U54" s="55"/>
    </row>
    <row r="55" spans="1:21" ht="18.75" hidden="1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8"/>
      <c r="M55" s="6"/>
      <c r="N55" s="6"/>
      <c r="O55" s="6"/>
      <c r="P55" s="6"/>
      <c r="Q55" s="6"/>
      <c r="R55" s="6"/>
      <c r="S55" s="6"/>
      <c r="T55" s="6"/>
      <c r="U55" s="6"/>
    </row>
    <row r="56" spans="1:21" ht="19.5">
      <c r="A56" s="533" t="s">
        <v>28</v>
      </c>
      <c r="B56" s="514"/>
      <c r="C56" s="514"/>
      <c r="D56" s="514"/>
      <c r="E56" s="514"/>
      <c r="F56" s="514"/>
      <c r="G56" s="512"/>
      <c r="H56" s="104"/>
      <c r="I56" s="105"/>
      <c r="J56" s="105"/>
      <c r="K56" s="106"/>
      <c r="L56" s="106"/>
      <c r="M56" s="106"/>
      <c r="N56" s="106"/>
      <c r="O56" s="106"/>
      <c r="P56" s="107"/>
      <c r="Q56" s="106"/>
      <c r="R56" s="106"/>
      <c r="S56" s="106"/>
      <c r="T56" s="106"/>
      <c r="U56" s="107"/>
    </row>
    <row r="57" spans="1:21" ht="19.5">
      <c r="A57" s="108"/>
      <c r="B57" s="534" t="s">
        <v>29</v>
      </c>
      <c r="C57" s="529"/>
      <c r="D57" s="529"/>
      <c r="E57" s="529"/>
      <c r="F57" s="529"/>
      <c r="G57" s="530"/>
      <c r="H57" s="109"/>
      <c r="I57" s="110"/>
      <c r="J57" s="110"/>
      <c r="K57" s="111"/>
      <c r="L57" s="112"/>
      <c r="M57" s="111"/>
      <c r="N57" s="111"/>
      <c r="O57" s="111"/>
      <c r="P57" s="111"/>
      <c r="Q57" s="111"/>
      <c r="R57" s="111"/>
      <c r="S57" s="111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9"/>
      <c r="M58" s="118"/>
      <c r="N58" s="118"/>
      <c r="O58" s="118"/>
      <c r="P58" s="118"/>
      <c r="Q58" s="118"/>
      <c r="R58" s="118"/>
      <c r="S58" s="118"/>
      <c r="T58" s="118"/>
      <c r="U58" s="118"/>
    </row>
    <row r="59" spans="1:21" ht="19.5">
      <c r="A59" s="120"/>
      <c r="B59" s="121"/>
      <c r="C59" s="122" t="s">
        <v>18</v>
      </c>
      <c r="D59" s="738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737">
        <f ca="1">L60+L61</f>
        <v>461300</v>
      </c>
      <c r="M59" s="736">
        <f ca="1">M60+M61</f>
        <v>461300</v>
      </c>
      <c r="N59" s="736">
        <f ca="1">N60+N61</f>
        <v>397025.65</v>
      </c>
      <c r="O59" s="736">
        <f ca="1">IF(L59&gt;0,N59*100/L59,0)</f>
        <v>86.066691957511381</v>
      </c>
      <c r="P59" s="736">
        <f ca="1">IF(M59&gt;0,N59*100/M59,0)</f>
        <v>86.066691957511381</v>
      </c>
      <c r="Q59" s="736">
        <f>Q60+Q61</f>
        <v>0</v>
      </c>
      <c r="R59" s="736">
        <f>R60+R61</f>
        <v>0</v>
      </c>
      <c r="S59" s="736">
        <f>S60+S61</f>
        <v>0</v>
      </c>
      <c r="T59" s="736">
        <f>IF(Q59&gt;0,S59*100/Q59,0)</f>
        <v>0</v>
      </c>
      <c r="U59" s="736">
        <f>IF(R59&gt;0,S59*100/R59,0)</f>
        <v>0</v>
      </c>
    </row>
    <row r="60" spans="1:21" ht="18.75" hidden="1">
      <c r="A60" s="120"/>
      <c r="B60" s="121"/>
      <c r="C60" s="121"/>
      <c r="D60" s="121"/>
      <c r="E60" s="735" t="s">
        <v>20</v>
      </c>
      <c r="F60" s="121"/>
      <c r="G60" s="124"/>
      <c r="H60" s="734" t="s">
        <v>14</v>
      </c>
      <c r="I60" s="126"/>
      <c r="J60" s="126"/>
      <c r="K60" s="127"/>
      <c r="L60" s="733">
        <f>L63+L66</f>
        <v>0</v>
      </c>
      <c r="M60" s="732">
        <f>M63+M66</f>
        <v>0</v>
      </c>
      <c r="N60" s="732">
        <f>N63+N66</f>
        <v>0</v>
      </c>
      <c r="O60" s="732">
        <f>IF(L60&gt;0,N60*100/L60,0)</f>
        <v>0</v>
      </c>
      <c r="P60" s="732">
        <f>IF(M60&gt;0,N60*100/M60,0)</f>
        <v>0</v>
      </c>
      <c r="Q60" s="732">
        <f>Q63+Q66</f>
        <v>0</v>
      </c>
      <c r="R60" s="732">
        <f>R63+R66</f>
        <v>0</v>
      </c>
      <c r="S60" s="732">
        <f>S63+S66</f>
        <v>0</v>
      </c>
      <c r="T60" s="732">
        <f>IF(Q60&gt;0,S60*100/Q60,0)</f>
        <v>0</v>
      </c>
      <c r="U60" s="732">
        <f>IF(R60&gt;0,S60*100/R60,0)</f>
        <v>0</v>
      </c>
    </row>
    <row r="61" spans="1:21" ht="18.75" hidden="1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731">
        <f ca="1">L64+L67</f>
        <v>461300</v>
      </c>
      <c r="M61" s="730">
        <f ca="1">M64+M67</f>
        <v>461300</v>
      </c>
      <c r="N61" s="730">
        <f ca="1">N64+N67</f>
        <v>397025.65</v>
      </c>
      <c r="O61" s="730">
        <f ca="1">IF(L61&gt;0,N61*100/L61,0)</f>
        <v>86.066691957511381</v>
      </c>
      <c r="P61" s="730">
        <f ca="1">IF(M61&gt;0,N61*100/M61,0)</f>
        <v>86.066691957511381</v>
      </c>
      <c r="Q61" s="730">
        <f>Q64+Q67</f>
        <v>0</v>
      </c>
      <c r="R61" s="730">
        <f>R64+R67</f>
        <v>0</v>
      </c>
      <c r="S61" s="730">
        <f>S64+S67</f>
        <v>0</v>
      </c>
      <c r="T61" s="730">
        <f>IF(Q61&gt;0,S61*100/Q61,0)</f>
        <v>0</v>
      </c>
      <c r="U61" s="730">
        <f>IF(R61&gt;0,S61*100/R61,0)</f>
        <v>0</v>
      </c>
    </row>
    <row r="62" spans="1:21" ht="18.75">
      <c r="A62" s="49"/>
      <c r="B62" s="50"/>
      <c r="C62" s="50"/>
      <c r="D62" s="51" t="s">
        <v>22</v>
      </c>
      <c r="E62" s="50"/>
      <c r="F62" s="50"/>
      <c r="G62" s="52"/>
      <c r="H62" s="53" t="s">
        <v>14</v>
      </c>
      <c r="I62" s="54"/>
      <c r="J62" s="54"/>
      <c r="K62" s="55"/>
      <c r="L62" s="256">
        <f ca="1">L63+L64</f>
        <v>461300</v>
      </c>
      <c r="M62" s="255">
        <f ca="1">M63+M64</f>
        <v>461300</v>
      </c>
      <c r="N62" s="255">
        <f ca="1">N63+N64</f>
        <v>397025.65</v>
      </c>
      <c r="O62" s="255">
        <f ca="1">IF(L62&gt;0,N62*100/L62,0)</f>
        <v>86.066691957511381</v>
      </c>
      <c r="P62" s="255">
        <f ca="1">IF(M62&gt;0,N62*100/M62,0)</f>
        <v>86.066691957511381</v>
      </c>
      <c r="Q62" s="255">
        <f>Q63+Q64</f>
        <v>0</v>
      </c>
      <c r="R62" s="255">
        <f>R63+R64</f>
        <v>0</v>
      </c>
      <c r="S62" s="255">
        <f>S63+S64</f>
        <v>0</v>
      </c>
      <c r="T62" s="255">
        <f>IF(Q62&gt;0,S62*100/Q62,0)</f>
        <v>0</v>
      </c>
      <c r="U62" s="255">
        <f>IF(R62&gt;0,S62*100/R62,0)</f>
        <v>0</v>
      </c>
    </row>
    <row r="63" spans="1:21" ht="18.75" hidden="1">
      <c r="A63" s="49"/>
      <c r="B63" s="50"/>
      <c r="C63" s="50"/>
      <c r="D63" s="50"/>
      <c r="E63" s="186" t="s">
        <v>20</v>
      </c>
      <c r="F63" s="50"/>
      <c r="G63" s="52"/>
      <c r="H63" s="729" t="s">
        <v>14</v>
      </c>
      <c r="I63" s="54"/>
      <c r="J63" s="54"/>
      <c r="K63" s="55"/>
      <c r="L63" s="103">
        <v>0</v>
      </c>
      <c r="M63" s="102">
        <v>0</v>
      </c>
      <c r="N63" s="102">
        <v>0</v>
      </c>
      <c r="O63" s="102">
        <f>IF(L63&gt;0,N63*100/L63,0)</f>
        <v>0</v>
      </c>
      <c r="P63" s="102">
        <f>IF(M63&gt;0,N63*100/M63,0)</f>
        <v>0</v>
      </c>
      <c r="Q63" s="102">
        <v>0</v>
      </c>
      <c r="R63" s="102">
        <v>0</v>
      </c>
      <c r="S63" s="102">
        <v>0</v>
      </c>
      <c r="T63" s="102">
        <f>IF(Q63&gt;0,S63*100/Q63,0)</f>
        <v>0</v>
      </c>
      <c r="U63" s="102">
        <f>IF(R63&gt;0,S63*100/R63,0)</f>
        <v>0</v>
      </c>
    </row>
    <row r="64" spans="1:21" ht="18.75" hidden="1">
      <c r="A64" s="49"/>
      <c r="B64" s="50"/>
      <c r="C64" s="50"/>
      <c r="D64" s="50"/>
      <c r="E64" s="58" t="s">
        <v>21</v>
      </c>
      <c r="F64" s="50"/>
      <c r="G64" s="52"/>
      <c r="H64" s="53" t="s">
        <v>14</v>
      </c>
      <c r="I64" s="54"/>
      <c r="J64" s="54"/>
      <c r="K64" s="55"/>
      <c r="L64" s="256">
        <f ca="1">IFERROR(__xludf.DUMMYFUNCTION("IMPORTRANGE(""https://docs.google.com/spreadsheets/d/1-uDff_7J0KD5mKrp0Vvzr7lt3OU09vwQwhkpOPPYv2Y/edit?usp=sharing"",""งบพรบ!AC39"")"),461300)</f>
        <v>461300</v>
      </c>
      <c r="M64" s="255">
        <f ca="1">IFERROR(__xludf.DUMMYFUNCTION("IMPORTRANGE(""https://docs.google.com/spreadsheets/d/1-uDff_7J0KD5mKrp0Vvzr7lt3OU09vwQwhkpOPPYv2Y/edit?usp=sharing"",""งบพรบ!AH39"")"),461300)</f>
        <v>461300</v>
      </c>
      <c r="N64" s="255">
        <f ca="1">IFERROR(__xludf.DUMMYFUNCTION("IMPORTRANGE(""https://docs.google.com/spreadsheets/d/1-uDff_7J0KD5mKrp0Vvzr7lt3OU09vwQwhkpOPPYv2Y/edit?usp=sharing"",""งบพรบ!AJ39"")"),397025.65)</f>
        <v>397025.65</v>
      </c>
      <c r="O64" s="255">
        <f ca="1">IF(L64&gt;0,N64*100/L64,0)</f>
        <v>86.066691957511381</v>
      </c>
      <c r="P64" s="255">
        <f ca="1">IF(M64&gt;0,N64*100/M64,0)</f>
        <v>86.066691957511381</v>
      </c>
      <c r="Q64" s="255">
        <v>0</v>
      </c>
      <c r="R64" s="255">
        <v>0</v>
      </c>
      <c r="S64" s="255">
        <v>0</v>
      </c>
      <c r="T64" s="255">
        <f>IF(Q64&gt;0,S64*100/Q64,0)</f>
        <v>0</v>
      </c>
      <c r="U64" s="255">
        <f>IF(R64&gt;0,S64*100/R64,0)</f>
        <v>0</v>
      </c>
    </row>
    <row r="65" spans="1:21" ht="18.75">
      <c r="A65" s="49"/>
      <c r="B65" s="50"/>
      <c r="C65" s="50"/>
      <c r="D65" s="51" t="s">
        <v>23</v>
      </c>
      <c r="E65" s="50"/>
      <c r="F65" s="50"/>
      <c r="G65" s="52"/>
      <c r="H65" s="53" t="s">
        <v>14</v>
      </c>
      <c r="I65" s="54"/>
      <c r="J65" s="54"/>
      <c r="K65" s="55"/>
      <c r="L65" s="256">
        <f ca="1">L66+L67</f>
        <v>0</v>
      </c>
      <c r="M65" s="255">
        <f ca="1">M66+M67</f>
        <v>0</v>
      </c>
      <c r="N65" s="255">
        <f ca="1">N66+N67</f>
        <v>0</v>
      </c>
      <c r="O65" s="255">
        <f ca="1">IF(L65&gt;0,N65*100/L65,0)</f>
        <v>0</v>
      </c>
      <c r="P65" s="255">
        <f ca="1">IF(M65&gt;0,N65*100/M65,0)</f>
        <v>0</v>
      </c>
      <c r="Q65" s="255">
        <f>Q66+Q67</f>
        <v>0</v>
      </c>
      <c r="R65" s="255">
        <f>R66+R67</f>
        <v>0</v>
      </c>
      <c r="S65" s="255">
        <f>S66+S67</f>
        <v>0</v>
      </c>
      <c r="T65" s="255">
        <f>IF(Q65&gt;0,S65*100/Q65,0)</f>
        <v>0</v>
      </c>
      <c r="U65" s="255">
        <f>IF(R65&gt;0,S65*100/R65,0)</f>
        <v>0</v>
      </c>
    </row>
    <row r="66" spans="1:21" ht="18.75" hidden="1">
      <c r="A66" s="49"/>
      <c r="B66" s="50"/>
      <c r="C66" s="50"/>
      <c r="D66" s="50"/>
      <c r="E66" s="186" t="s">
        <v>20</v>
      </c>
      <c r="F66" s="50"/>
      <c r="G66" s="52"/>
      <c r="H66" s="729" t="s">
        <v>14</v>
      </c>
      <c r="I66" s="54"/>
      <c r="J66" s="54"/>
      <c r="K66" s="55"/>
      <c r="L66" s="103">
        <v>0</v>
      </c>
      <c r="M66" s="102">
        <v>0</v>
      </c>
      <c r="N66" s="102">
        <v>0</v>
      </c>
      <c r="O66" s="102">
        <f>IF(L66&gt;0,N66*100/L66,0)</f>
        <v>0</v>
      </c>
      <c r="P66" s="102">
        <f>IF(M66&gt;0,N66*100/M66,0)</f>
        <v>0</v>
      </c>
      <c r="Q66" s="102">
        <v>0</v>
      </c>
      <c r="R66" s="102">
        <v>0</v>
      </c>
      <c r="S66" s="102">
        <v>0</v>
      </c>
      <c r="T66" s="102">
        <f>IF(Q66&gt;0,S66*100/Q66,0)</f>
        <v>0</v>
      </c>
      <c r="U66" s="102">
        <f>IF(R66&gt;0,S66*100/R66,0)</f>
        <v>0</v>
      </c>
    </row>
    <row r="67" spans="1:21" ht="18.75" hidden="1">
      <c r="A67" s="63"/>
      <c r="B67" s="4"/>
      <c r="C67" s="4"/>
      <c r="D67" s="4"/>
      <c r="E67" s="64" t="s">
        <v>21</v>
      </c>
      <c r="F67" s="4"/>
      <c r="G67" s="65"/>
      <c r="H67" s="66" t="s">
        <v>14</v>
      </c>
      <c r="I67" s="67"/>
      <c r="J67" s="67"/>
      <c r="K67" s="6"/>
      <c r="L67" s="728">
        <f ca="1">IFERROR(__xludf.DUMMYFUNCTION("IMPORTRANGE(""https://docs.google.com/spreadsheets/d/1-uDff_7J0KD5mKrp0Vvzr7lt3OU09vwQwhkpOPPYv2Y/edit?usp=sharing"",""งบพรบ!AF39"")"),0)</f>
        <v>0</v>
      </c>
      <c r="M67" s="506">
        <f ca="1">IFERROR(__xludf.DUMMYFUNCTION("IMPORTRANGE(""https://docs.google.com/spreadsheets/d/1-uDff_7J0KD5mKrp0Vvzr7lt3OU09vwQwhkpOPPYv2Y/edit?usp=sharing"",""งบพรบ!AI39"")"),0)</f>
        <v>0</v>
      </c>
      <c r="N67" s="506">
        <f ca="1">IFERROR(__xludf.DUMMYFUNCTION("IMPORTRANGE(""https://docs.google.com/spreadsheets/d/1-uDff_7J0KD5mKrp0Vvzr7lt3OU09vwQwhkpOPPYv2Y/edit?usp=sharing"",""งบพรบ!AK39"")"),0)</f>
        <v>0</v>
      </c>
      <c r="O67" s="506">
        <f ca="1">IF(L67&gt;0,N67*100/L67,0)</f>
        <v>0</v>
      </c>
      <c r="P67" s="506">
        <f ca="1">IF(M67&gt;0,N67*100/M67,0)</f>
        <v>0</v>
      </c>
      <c r="Q67" s="506">
        <v>0</v>
      </c>
      <c r="R67" s="506">
        <v>0</v>
      </c>
      <c r="S67" s="506">
        <v>0</v>
      </c>
      <c r="T67" s="506">
        <f>IF(Q67&gt;0,S67*100/Q67,0)</f>
        <v>0</v>
      </c>
      <c r="U67" s="506">
        <f>IF(R67&gt;0,S67*100/R67,0)</f>
        <v>0</v>
      </c>
    </row>
    <row r="68" spans="1:21" ht="19.5">
      <c r="A68" s="137" t="s">
        <v>31</v>
      </c>
      <c r="B68" s="138"/>
      <c r="C68" s="138"/>
      <c r="D68" s="138"/>
      <c r="E68" s="139"/>
      <c r="F68" s="139"/>
      <c r="G68" s="139"/>
      <c r="H68" s="139"/>
      <c r="I68" s="140"/>
      <c r="J68" s="140"/>
      <c r="K68" s="141"/>
      <c r="L68" s="141"/>
      <c r="M68" s="141"/>
      <c r="N68" s="141"/>
      <c r="O68" s="141"/>
      <c r="P68" s="142"/>
      <c r="Q68" s="141"/>
      <c r="R68" s="141"/>
      <c r="S68" s="141"/>
      <c r="T68" s="141"/>
      <c r="U68" s="142"/>
    </row>
    <row r="69" spans="1:21" ht="19.5">
      <c r="A69" s="143" t="s">
        <v>32</v>
      </c>
      <c r="B69" s="144"/>
      <c r="C69" s="145"/>
      <c r="D69" s="144"/>
      <c r="E69" s="144"/>
      <c r="F69" s="144"/>
      <c r="G69" s="146"/>
      <c r="H69" s="146"/>
      <c r="I69" s="147"/>
      <c r="J69" s="147"/>
      <c r="K69" s="148"/>
      <c r="L69" s="149"/>
      <c r="M69" s="148"/>
      <c r="N69" s="148"/>
      <c r="O69" s="148"/>
      <c r="P69" s="148"/>
      <c r="Q69" s="148"/>
      <c r="R69" s="148"/>
      <c r="S69" s="148"/>
      <c r="T69" s="148"/>
      <c r="U69" s="148"/>
    </row>
    <row r="70" spans="1:21" ht="19.5">
      <c r="A70" s="150"/>
      <c r="B70" s="35" t="s">
        <v>33</v>
      </c>
      <c r="C70" s="34"/>
      <c r="D70" s="151"/>
      <c r="E70" s="34"/>
      <c r="F70" s="34"/>
      <c r="G70" s="37"/>
      <c r="H70" s="152" t="s">
        <v>34</v>
      </c>
      <c r="I70" s="721">
        <f ca="1">I82</f>
        <v>2</v>
      </c>
      <c r="J70" s="721">
        <f>J82</f>
        <v>0</v>
      </c>
      <c r="K70" s="720">
        <f ca="1">IF(I70&gt;0,J70*100/I70,0)</f>
        <v>0</v>
      </c>
      <c r="L70" s="154"/>
      <c r="M70" s="40"/>
      <c r="N70" s="40"/>
      <c r="O70" s="40"/>
      <c r="P70" s="40"/>
      <c r="Q70" s="40"/>
      <c r="R70" s="40"/>
      <c r="S70" s="40"/>
      <c r="T70" s="40"/>
      <c r="U70" s="40"/>
    </row>
    <row r="71" spans="1:21" ht="19.5">
      <c r="A71" s="150"/>
      <c r="B71" s="34"/>
      <c r="C71" s="34"/>
      <c r="D71" s="151"/>
      <c r="E71" s="34"/>
      <c r="F71" s="34"/>
      <c r="G71" s="37"/>
      <c r="H71" s="152" t="s">
        <v>35</v>
      </c>
      <c r="I71" s="721">
        <f ca="1">I83</f>
        <v>69</v>
      </c>
      <c r="J71" s="721">
        <f>J83</f>
        <v>0</v>
      </c>
      <c r="K71" s="720">
        <f ca="1">IF(I71&gt;0,J71*100/I71,0)</f>
        <v>0</v>
      </c>
      <c r="L71" s="154"/>
      <c r="M71" s="40"/>
      <c r="N71" s="40"/>
      <c r="O71" s="40"/>
      <c r="P71" s="40"/>
      <c r="Q71" s="40"/>
      <c r="R71" s="40"/>
      <c r="S71" s="40"/>
      <c r="T71" s="40"/>
      <c r="U71" s="40"/>
    </row>
    <row r="72" spans="1:21" ht="19.5">
      <c r="A72" s="155"/>
      <c r="B72" s="50"/>
      <c r="C72" s="156" t="s">
        <v>18</v>
      </c>
      <c r="D72" s="575" t="s">
        <v>19</v>
      </c>
      <c r="E72" s="50"/>
      <c r="F72" s="50"/>
      <c r="G72" s="52"/>
      <c r="H72" s="158" t="s">
        <v>14</v>
      </c>
      <c r="I72" s="54"/>
      <c r="J72" s="54"/>
      <c r="K72" s="55"/>
      <c r="L72" s="541">
        <f ca="1">L73+L74</f>
        <v>458100</v>
      </c>
      <c r="M72" s="540">
        <f ca="1">M73+M74</f>
        <v>458100</v>
      </c>
      <c r="N72" s="540">
        <f ca="1">N73+N74</f>
        <v>348088.34</v>
      </c>
      <c r="O72" s="540">
        <f ca="1">IF(L72&gt;0,N72*100/L72,0)</f>
        <v>75.985230299061342</v>
      </c>
      <c r="P72" s="540">
        <f ca="1">IF(M72&gt;0,N72*100/M72,0)</f>
        <v>75.985230299061342</v>
      </c>
      <c r="Q72" s="540">
        <f ca="1">Q73+Q74</f>
        <v>1044880</v>
      </c>
      <c r="R72" s="540">
        <f ca="1">R73+R74</f>
        <v>1044880</v>
      </c>
      <c r="S72" s="540">
        <f ca="1">S73+S74</f>
        <v>11220</v>
      </c>
      <c r="T72" s="540">
        <f ca="1">IF(Q72&gt;0,S72*100/Q72,0)</f>
        <v>1.0738075185667253</v>
      </c>
      <c r="U72" s="540">
        <f ca="1">IF(R72&gt;0,S72*100/R72,0)</f>
        <v>1.0738075185667253</v>
      </c>
    </row>
    <row r="73" spans="1:21" ht="18.75" hidden="1">
      <c r="A73" s="155"/>
      <c r="B73" s="50"/>
      <c r="C73" s="50"/>
      <c r="D73" s="50"/>
      <c r="E73" s="186" t="s">
        <v>20</v>
      </c>
      <c r="F73" s="50"/>
      <c r="G73" s="52"/>
      <c r="H73" s="187" t="s">
        <v>14</v>
      </c>
      <c r="I73" s="54"/>
      <c r="J73" s="54"/>
      <c r="K73" s="55"/>
      <c r="L73" s="103">
        <f>L76+L79</f>
        <v>0</v>
      </c>
      <c r="M73" s="102">
        <f>M76+M79</f>
        <v>0</v>
      </c>
      <c r="N73" s="102">
        <f>N76+N79</f>
        <v>0</v>
      </c>
      <c r="O73" s="102">
        <f>IF(L73&gt;0,N73*100/L73,0)</f>
        <v>0</v>
      </c>
      <c r="P73" s="102">
        <f>IF(M73&gt;0,N73*100/M73,0)</f>
        <v>0</v>
      </c>
      <c r="Q73" s="102">
        <f>Q76+Q79</f>
        <v>0</v>
      </c>
      <c r="R73" s="102">
        <f>R76+R79</f>
        <v>0</v>
      </c>
      <c r="S73" s="102">
        <f>S76+S79</f>
        <v>0</v>
      </c>
      <c r="T73" s="102">
        <f>IF(Q73&gt;0,S73*100/Q73,0)</f>
        <v>0</v>
      </c>
      <c r="U73" s="102">
        <f>IF(R73&gt;0,S73*100/R73,0)</f>
        <v>0</v>
      </c>
    </row>
    <row r="74" spans="1:21" ht="18.75" hidden="1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256">
        <f ca="1">L77+L80</f>
        <v>458100</v>
      </c>
      <c r="M74" s="255">
        <f ca="1">M77+M80</f>
        <v>458100</v>
      </c>
      <c r="N74" s="255">
        <f ca="1">N77+N80</f>
        <v>348088.34</v>
      </c>
      <c r="O74" s="255">
        <f ca="1">IF(L74&gt;0,N74*100/L74,0)</f>
        <v>75.985230299061342</v>
      </c>
      <c r="P74" s="255">
        <f ca="1">IF(M74&gt;0,N74*100/M74,0)</f>
        <v>75.985230299061342</v>
      </c>
      <c r="Q74" s="255">
        <f ca="1">Q77+Q80</f>
        <v>1044880</v>
      </c>
      <c r="R74" s="255">
        <f ca="1">R77+R80</f>
        <v>1044880</v>
      </c>
      <c r="S74" s="255">
        <f ca="1">S77+S80</f>
        <v>11220</v>
      </c>
      <c r="T74" s="255">
        <f ca="1">IF(Q74&gt;0,S74*100/Q74,0)</f>
        <v>1.0738075185667253</v>
      </c>
      <c r="U74" s="255">
        <f ca="1">IF(R74&gt;0,S74*100/R74,0)</f>
        <v>1.0738075185667253</v>
      </c>
    </row>
    <row r="75" spans="1:21" ht="18.75">
      <c r="A75" s="155"/>
      <c r="B75" s="50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256">
        <f ca="1">L76+L77</f>
        <v>458100</v>
      </c>
      <c r="M75" s="255">
        <f ca="1">M76+M77</f>
        <v>458100</v>
      </c>
      <c r="N75" s="255">
        <f ca="1">N76+N77</f>
        <v>348088.34</v>
      </c>
      <c r="O75" s="255">
        <f ca="1">IF(L75&gt;0,N75*100/L75,0)</f>
        <v>75.985230299061342</v>
      </c>
      <c r="P75" s="255">
        <f ca="1">IF(M75&gt;0,N75*100/M75,0)</f>
        <v>75.985230299061342</v>
      </c>
      <c r="Q75" s="255">
        <f ca="1">Q76+Q77</f>
        <v>1044880</v>
      </c>
      <c r="R75" s="255">
        <f ca="1">R76+R77</f>
        <v>1044880</v>
      </c>
      <c r="S75" s="255">
        <f ca="1">S76+S77</f>
        <v>11220</v>
      </c>
      <c r="T75" s="255">
        <f ca="1">IF(Q75&gt;0,S75*100/Q75,0)</f>
        <v>1.0738075185667253</v>
      </c>
      <c r="U75" s="255">
        <f ca="1">IF(R75&gt;0,S75*100/R75,0)</f>
        <v>1.0738075185667253</v>
      </c>
    </row>
    <row r="76" spans="1:21" ht="18.75" hidden="1">
      <c r="A76" s="155"/>
      <c r="B76" s="50"/>
      <c r="C76" s="50"/>
      <c r="D76" s="50"/>
      <c r="E76" s="186" t="s">
        <v>36</v>
      </c>
      <c r="F76" s="50"/>
      <c r="G76" s="52"/>
      <c r="H76" s="189" t="s">
        <v>14</v>
      </c>
      <c r="I76" s="163"/>
      <c r="J76" s="163"/>
      <c r="K76" s="164"/>
      <c r="L76" s="103">
        <v>0</v>
      </c>
      <c r="M76" s="102">
        <v>0</v>
      </c>
      <c r="N76" s="102">
        <v>0</v>
      </c>
      <c r="O76" s="102">
        <f>IF(L76&gt;0,N76*100/L76,0)</f>
        <v>0</v>
      </c>
      <c r="P76" s="102">
        <f>IF(M76&gt;0,N76*100/M76,0)</f>
        <v>0</v>
      </c>
      <c r="Q76" s="102">
        <v>0</v>
      </c>
      <c r="R76" s="102">
        <v>0</v>
      </c>
      <c r="S76" s="102">
        <v>0</v>
      </c>
      <c r="T76" s="102">
        <f>IF(Q76&gt;0,S76*100/Q76,0)</f>
        <v>0</v>
      </c>
      <c r="U76" s="102">
        <f>IF(R76&gt;0,S76*100/R76,0)</f>
        <v>0</v>
      </c>
    </row>
    <row r="77" spans="1:21" ht="18.75" hidden="1">
      <c r="A77" s="155"/>
      <c r="B77" s="50"/>
      <c r="C77" s="50"/>
      <c r="D77" s="50"/>
      <c r="E77" s="58" t="s">
        <v>37</v>
      </c>
      <c r="F77" s="50"/>
      <c r="G77" s="52"/>
      <c r="H77" s="162" t="s">
        <v>14</v>
      </c>
      <c r="I77" s="163"/>
      <c r="J77" s="163"/>
      <c r="K77" s="164"/>
      <c r="L77" s="256">
        <f ca="1">IFERROR(__xludf.DUMMYFUNCTION("IMPORTRANGE(""https://docs.google.com/spreadsheets/d/1-uDff_7J0KD5mKrp0Vvzr7lt3OU09vwQwhkpOPPYv2Y/edit?usp=sharing"",""งบพรบ!AM39"")"),458100)</f>
        <v>458100</v>
      </c>
      <c r="M77" s="255">
        <f ca="1">IFERROR(__xludf.DUMMYFUNCTION("IMPORTRANGE(""https://docs.google.com/spreadsheets/d/1-uDff_7J0KD5mKrp0Vvzr7lt3OU09vwQwhkpOPPYv2Y/edit?usp=sharing"",""งบพรบ!AR39"")"),458100)</f>
        <v>458100</v>
      </c>
      <c r="N77" s="255">
        <f ca="1">IFERROR(__xludf.DUMMYFUNCTION("IMPORTRANGE(""https://docs.google.com/spreadsheets/d/1-uDff_7J0KD5mKrp0Vvzr7lt3OU09vwQwhkpOPPYv2Y/edit?usp=sharing"",""งบพรบ!AT39"")"),348088.34)</f>
        <v>348088.34</v>
      </c>
      <c r="O77" s="255">
        <f ca="1">IF(L77&gt;0,N77*100/L77,0)</f>
        <v>75.985230299061342</v>
      </c>
      <c r="P77" s="255">
        <f ca="1">IF(M77&gt;0,N77*100/M77,0)</f>
        <v>75.985230299061342</v>
      </c>
      <c r="Q77" s="255">
        <f ca="1">IFERROR(__xludf.DUMMYFUNCTION("IMPORTRANGE(""https://docs.google.com/spreadsheets/d/1ItG2mGa2ceCfYo0BwxsXqNm01IGEUdYcSSLTEv9YCik/edit?usp=sharing"",""เบิกจ่ายกองทุน!AS39"")"),1044880)</f>
        <v>1044880</v>
      </c>
      <c r="R77" s="255">
        <f ca="1">IFERROR(__xludf.DUMMYFUNCTION("IMPORTRANGE(""https://docs.google.com/spreadsheets/d/1ItG2mGa2ceCfYo0BwxsXqNm01IGEUdYcSSLTEv9YCik/edit?usp=sharing"",""เบิกจ่ายกองทุน!AT39"")"),1044880)</f>
        <v>1044880</v>
      </c>
      <c r="S77" s="255">
        <f ca="1">IFERROR(__xludf.DUMMYFUNCTION("IMPORTRANGE(""https://docs.google.com/spreadsheets/d/1ItG2mGa2ceCfYo0BwxsXqNm01IGEUdYcSSLTEv9YCik/edit?usp=sharing"",""เบิกจ่ายกองทุน!AU39"")"),11220)</f>
        <v>11220</v>
      </c>
      <c r="T77" s="255">
        <f ca="1">IF(Q77&gt;0,S77*100/Q77,0)</f>
        <v>1.0738075185667253</v>
      </c>
      <c r="U77" s="255">
        <f ca="1">IF(R77&gt;0,S77*100/R77,0)</f>
        <v>1.0738075185667253</v>
      </c>
    </row>
    <row r="78" spans="1:21" ht="18.75">
      <c r="A78" s="155"/>
      <c r="B78" s="50"/>
      <c r="C78" s="50"/>
      <c r="D78" s="51" t="s">
        <v>23</v>
      </c>
      <c r="E78" s="50"/>
      <c r="F78" s="50"/>
      <c r="G78" s="52"/>
      <c r="H78" s="165" t="s">
        <v>14</v>
      </c>
      <c r="I78" s="163"/>
      <c r="J78" s="163"/>
      <c r="K78" s="164"/>
      <c r="L78" s="256">
        <f ca="1">L79+L80</f>
        <v>0</v>
      </c>
      <c r="M78" s="255">
        <f ca="1">M79+M80</f>
        <v>0</v>
      </c>
      <c r="N78" s="255">
        <f ca="1">N79+N80</f>
        <v>0</v>
      </c>
      <c r="O78" s="255">
        <f ca="1">IF(L78&gt;0,N78*100/L78,0)</f>
        <v>0</v>
      </c>
      <c r="P78" s="255">
        <f ca="1">IF(M78&gt;0,N78*100/M78,0)</f>
        <v>0</v>
      </c>
      <c r="Q78" s="255">
        <f>Q79+Q80</f>
        <v>0</v>
      </c>
      <c r="R78" s="255">
        <f>R79+R80</f>
        <v>0</v>
      </c>
      <c r="S78" s="255">
        <f>S79+S80</f>
        <v>0</v>
      </c>
      <c r="T78" s="255">
        <f>IF(Q78&gt;0,S78*100/Q78,0)</f>
        <v>0</v>
      </c>
      <c r="U78" s="255">
        <f>IF(R78&gt;0,S78*100/R78,0)</f>
        <v>0</v>
      </c>
    </row>
    <row r="79" spans="1:21" ht="18.75">
      <c r="A79" s="155"/>
      <c r="B79" s="50"/>
      <c r="C79" s="50"/>
      <c r="D79" s="50"/>
      <c r="E79" s="186" t="s">
        <v>20</v>
      </c>
      <c r="F79" s="50"/>
      <c r="G79" s="52"/>
      <c r="H79" s="189" t="s">
        <v>14</v>
      </c>
      <c r="I79" s="163"/>
      <c r="J79" s="163"/>
      <c r="K79" s="164"/>
      <c r="L79" s="103">
        <v>0</v>
      </c>
      <c r="M79" s="255">
        <v>0</v>
      </c>
      <c r="N79" s="255">
        <v>0</v>
      </c>
      <c r="O79" s="102">
        <f>IF(L79&gt;0,N79*100/L79,0)</f>
        <v>0</v>
      </c>
      <c r="P79" s="102">
        <f>IF(M79&gt;0,N79*100/M79,0)</f>
        <v>0</v>
      </c>
      <c r="Q79" s="102">
        <v>0</v>
      </c>
      <c r="R79" s="255">
        <v>0</v>
      </c>
      <c r="S79" s="255">
        <v>0</v>
      </c>
      <c r="T79" s="102">
        <f>IF(Q79&gt;0,S79*100/Q79,0)</f>
        <v>0</v>
      </c>
      <c r="U79" s="102">
        <f>IF(R79&gt;0,S79*100/R79,0)</f>
        <v>0</v>
      </c>
    </row>
    <row r="80" spans="1:21" ht="18.75">
      <c r="A80" s="155"/>
      <c r="B80" s="50"/>
      <c r="C80" s="50"/>
      <c r="D80" s="50"/>
      <c r="E80" s="58" t="s">
        <v>21</v>
      </c>
      <c r="F80" s="50"/>
      <c r="G80" s="52"/>
      <c r="H80" s="165" t="s">
        <v>14</v>
      </c>
      <c r="I80" s="163"/>
      <c r="J80" s="163"/>
      <c r="K80" s="164"/>
      <c r="L80" s="256">
        <f ca="1">IFERROR(__xludf.DUMMYFUNCTION("IMPORTRANGE(""https://docs.google.com/spreadsheets/d/1-uDff_7J0KD5mKrp0Vvzr7lt3OU09vwQwhkpOPPYv2Y/edit?usp=sharing"",""งบพรบ!AP39"")"),0)</f>
        <v>0</v>
      </c>
      <c r="M80" s="255">
        <f ca="1">IFERROR(__xludf.DUMMYFUNCTION("IMPORTRANGE(""https://docs.google.com/spreadsheets/d/1-uDff_7J0KD5mKrp0Vvzr7lt3OU09vwQwhkpOPPYv2Y/edit?usp=sharing"",""งบพรบ!AS39"")"),0)</f>
        <v>0</v>
      </c>
      <c r="N80" s="255">
        <f ca="1">IFERROR(__xludf.DUMMYFUNCTION("IMPORTRANGE(""https://docs.google.com/spreadsheets/d/1-uDff_7J0KD5mKrp0Vvzr7lt3OU09vwQwhkpOPPYv2Y/edit?usp=sharing"",""งบพรบ!AU39"")"),0)</f>
        <v>0</v>
      </c>
      <c r="O80" s="255">
        <f ca="1">IF(L80&gt;0,N80*100/L80,0)</f>
        <v>0</v>
      </c>
      <c r="P80" s="255">
        <f ca="1">IF(M80&gt;0,N80*100/M80,0)</f>
        <v>0</v>
      </c>
      <c r="Q80" s="255">
        <v>0</v>
      </c>
      <c r="R80" s="255">
        <v>0</v>
      </c>
      <c r="S80" s="255">
        <v>0</v>
      </c>
      <c r="T80" s="255">
        <f>IF(Q80&gt;0,S80*100/Q80,0)</f>
        <v>0</v>
      </c>
      <c r="U80" s="255">
        <f>IF(R80&gt;0,S80*100/R80,0)</f>
        <v>0</v>
      </c>
    </row>
    <row r="81" spans="1:21" ht="19.5">
      <c r="A81" s="166"/>
      <c r="B81" s="167"/>
      <c r="C81" s="156" t="s">
        <v>18</v>
      </c>
      <c r="D81" s="566" t="s">
        <v>38</v>
      </c>
      <c r="E81" s="169"/>
      <c r="F81" s="169"/>
      <c r="G81" s="170"/>
      <c r="H81" s="171"/>
      <c r="I81" s="163"/>
      <c r="J81" s="163"/>
      <c r="K81" s="164"/>
      <c r="L81" s="172"/>
      <c r="M81" s="164"/>
      <c r="N81" s="164"/>
      <c r="O81" s="164"/>
      <c r="P81" s="164"/>
      <c r="Q81" s="164"/>
      <c r="R81" s="164"/>
      <c r="S81" s="164"/>
      <c r="T81" s="164"/>
      <c r="U81" s="164"/>
    </row>
    <row r="82" spans="1:21" ht="19.5">
      <c r="A82" s="166"/>
      <c r="B82" s="167"/>
      <c r="C82" s="167"/>
      <c r="D82" s="173" t="s">
        <v>39</v>
      </c>
      <c r="E82" s="174"/>
      <c r="F82" s="174"/>
      <c r="G82" s="171"/>
      <c r="H82" s="175" t="s">
        <v>34</v>
      </c>
      <c r="I82" s="373">
        <f ca="1">I84+I86+I88</f>
        <v>2</v>
      </c>
      <c r="J82" s="373">
        <f>J84+J86+J88</f>
        <v>0</v>
      </c>
      <c r="K82" s="642">
        <f ca="1">IF(I82&gt;0,J82*100/I82,0)</f>
        <v>0</v>
      </c>
      <c r="L82" s="172"/>
      <c r="M82" s="164"/>
      <c r="N82" s="164"/>
      <c r="O82" s="164"/>
      <c r="P82" s="164"/>
      <c r="Q82" s="164"/>
      <c r="R82" s="164"/>
      <c r="S82" s="164"/>
      <c r="T82" s="164"/>
      <c r="U82" s="164"/>
    </row>
    <row r="83" spans="1:21" ht="19.5">
      <c r="A83" s="166"/>
      <c r="B83" s="167"/>
      <c r="C83" s="167"/>
      <c r="D83" s="167"/>
      <c r="E83" s="174"/>
      <c r="F83" s="174"/>
      <c r="G83" s="171"/>
      <c r="H83" s="175" t="s">
        <v>35</v>
      </c>
      <c r="I83" s="373">
        <f ca="1">I85+I87+I89</f>
        <v>69</v>
      </c>
      <c r="J83" s="373">
        <f>J85+J87+J89</f>
        <v>0</v>
      </c>
      <c r="K83" s="642">
        <f ca="1">IF(I83&gt;0,J83*100/I83,0)</f>
        <v>0</v>
      </c>
      <c r="L83" s="172"/>
      <c r="M83" s="164"/>
      <c r="N83" s="164"/>
      <c r="O83" s="164"/>
      <c r="P83" s="164"/>
      <c r="Q83" s="164"/>
      <c r="R83" s="164"/>
      <c r="S83" s="164"/>
      <c r="T83" s="164"/>
      <c r="U83" s="164"/>
    </row>
    <row r="84" spans="1:21" ht="18.75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641">
        <f ca="1">IFERROR(__xludf.DUMMYFUNCTION("IMPORTRANGE(""https://docs.google.com/spreadsheets/d/1eHaY18a8A9IcSdp1K8H6x8fbOy06t2VsZHhMHf-1x7Y/edit?usp=sharing"",""แผน!H39"")"),0)</f>
        <v>0</v>
      </c>
      <c r="J84" s="467">
        <v>0</v>
      </c>
      <c r="K84" s="565">
        <f ca="1">IF(I84&gt;0,J84*100/I84,0)</f>
        <v>0</v>
      </c>
      <c r="L84" s="172"/>
      <c r="M84" s="164"/>
      <c r="N84" s="164"/>
      <c r="O84" s="164"/>
      <c r="P84" s="164"/>
      <c r="Q84" s="164"/>
      <c r="R84" s="164"/>
      <c r="S84" s="164"/>
      <c r="T84" s="164"/>
      <c r="U84" s="164"/>
    </row>
    <row r="85" spans="1:21" ht="18.75">
      <c r="A85" s="166"/>
      <c r="B85" s="167"/>
      <c r="C85" s="167"/>
      <c r="D85" s="167"/>
      <c r="E85" s="174"/>
      <c r="F85" s="174"/>
      <c r="G85" s="171"/>
      <c r="H85" s="179" t="s">
        <v>35</v>
      </c>
      <c r="I85" s="641">
        <f ca="1">IFERROR(__xludf.DUMMYFUNCTION("IMPORTRANGE(""https://docs.google.com/spreadsheets/d/1eHaY18a8A9IcSdp1K8H6x8fbOy06t2VsZHhMHf-1x7Y/edit?usp=sharing"",""แผน!I39"")"),0)</f>
        <v>0</v>
      </c>
      <c r="J85" s="467">
        <v>0</v>
      </c>
      <c r="K85" s="565">
        <f ca="1">IF(I85&gt;0,J85*100/I85,0)</f>
        <v>0</v>
      </c>
      <c r="L85" s="172"/>
      <c r="M85" s="164"/>
      <c r="N85" s="164"/>
      <c r="O85" s="164"/>
      <c r="P85" s="164"/>
      <c r="Q85" s="164"/>
      <c r="R85" s="164"/>
      <c r="S85" s="164"/>
      <c r="T85" s="164"/>
      <c r="U85" s="164"/>
    </row>
    <row r="86" spans="1:21" ht="18.75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641">
        <f ca="1">IFERROR(__xludf.DUMMYFUNCTION("IMPORTRANGE(""https://docs.google.com/spreadsheets/d/1eHaY18a8A9IcSdp1K8H6x8fbOy06t2VsZHhMHf-1x7Y/edit?usp=sharing"",""แผน!F39"")"),1)</f>
        <v>1</v>
      </c>
      <c r="J86" s="467">
        <v>0</v>
      </c>
      <c r="K86" s="565">
        <f ca="1">IF(I86&gt;0,J86*100/I86,0)</f>
        <v>0</v>
      </c>
      <c r="L86" s="172"/>
      <c r="M86" s="164"/>
      <c r="N86" s="164"/>
      <c r="O86" s="164"/>
      <c r="P86" s="164"/>
      <c r="Q86" s="164"/>
      <c r="R86" s="164"/>
      <c r="S86" s="164"/>
      <c r="T86" s="164"/>
      <c r="U86" s="164"/>
    </row>
    <row r="87" spans="1:21" ht="18.75">
      <c r="A87" s="166"/>
      <c r="B87" s="167"/>
      <c r="C87" s="167"/>
      <c r="D87" s="167"/>
      <c r="E87" s="174"/>
      <c r="F87" s="174"/>
      <c r="G87" s="171"/>
      <c r="H87" s="179" t="s">
        <v>35</v>
      </c>
      <c r="I87" s="641">
        <f ca="1">IFERROR(__xludf.DUMMYFUNCTION("IMPORTRANGE(""https://docs.google.com/spreadsheets/d/1eHaY18a8A9IcSdp1K8H6x8fbOy06t2VsZHhMHf-1x7Y/edit?usp=sharing"",""แผน!G39"")"),32)</f>
        <v>32</v>
      </c>
      <c r="J87" s="467">
        <v>0</v>
      </c>
      <c r="K87" s="565">
        <f ca="1">IF(I87&gt;0,J87*100/I87,0)</f>
        <v>0</v>
      </c>
      <c r="L87" s="172"/>
      <c r="M87" s="164"/>
      <c r="N87" s="164"/>
      <c r="O87" s="164"/>
      <c r="P87" s="164"/>
      <c r="Q87" s="164"/>
      <c r="R87" s="164"/>
      <c r="S87" s="164"/>
      <c r="T87" s="164"/>
      <c r="U87" s="164"/>
    </row>
    <row r="88" spans="1:21" ht="18.75">
      <c r="A88" s="166"/>
      <c r="B88" s="167"/>
      <c r="C88" s="167"/>
      <c r="D88" s="167"/>
      <c r="E88" s="178" t="s">
        <v>42</v>
      </c>
      <c r="F88" s="174"/>
      <c r="G88" s="171"/>
      <c r="H88" s="179" t="s">
        <v>34</v>
      </c>
      <c r="I88" s="641">
        <f ca="1">IFERROR(__xludf.DUMMYFUNCTION("IMPORTRANGE(""https://docs.google.com/spreadsheets/d/1eHaY18a8A9IcSdp1K8H6x8fbOy06t2VsZHhMHf-1x7Y/edit?usp=sharing"",""แผน!D39"")"),1)</f>
        <v>1</v>
      </c>
      <c r="J88" s="467">
        <v>0</v>
      </c>
      <c r="K88" s="565">
        <f ca="1">IF(I88&gt;0,J88*100/I88,0)</f>
        <v>0</v>
      </c>
      <c r="L88" s="172"/>
      <c r="M88" s="164"/>
      <c r="N88" s="164"/>
      <c r="O88" s="164"/>
      <c r="P88" s="164"/>
      <c r="Q88" s="164"/>
      <c r="R88" s="164"/>
      <c r="S88" s="164"/>
      <c r="T88" s="164"/>
      <c r="U88" s="164"/>
    </row>
    <row r="89" spans="1:21" ht="18.75">
      <c r="A89" s="166"/>
      <c r="B89" s="167"/>
      <c r="C89" s="167"/>
      <c r="D89" s="167"/>
      <c r="E89" s="174"/>
      <c r="F89" s="174"/>
      <c r="G89" s="171"/>
      <c r="H89" s="179" t="s">
        <v>35</v>
      </c>
      <c r="I89" s="641">
        <f ca="1">IFERROR(__xludf.DUMMYFUNCTION("IMPORTRANGE(""https://docs.google.com/spreadsheets/d/1eHaY18a8A9IcSdp1K8H6x8fbOy06t2VsZHhMHf-1x7Y/edit?usp=sharing"",""แผน!E39"")"),37)</f>
        <v>37</v>
      </c>
      <c r="J89" s="467">
        <v>0</v>
      </c>
      <c r="K89" s="565">
        <f ca="1">IF(I89&gt;0,J89*100/I89,0)</f>
        <v>0</v>
      </c>
      <c r="L89" s="172"/>
      <c r="M89" s="164"/>
      <c r="N89" s="164"/>
      <c r="O89" s="164"/>
      <c r="P89" s="164"/>
      <c r="Q89" s="164"/>
      <c r="R89" s="164"/>
      <c r="S89" s="164"/>
      <c r="T89" s="164"/>
      <c r="U89" s="164"/>
    </row>
    <row r="90" spans="1:21" ht="18.75">
      <c r="A90" s="166"/>
      <c r="B90" s="167"/>
      <c r="C90" s="167"/>
      <c r="D90" s="173" t="s">
        <v>43</v>
      </c>
      <c r="E90" s="174"/>
      <c r="F90" s="174"/>
      <c r="G90" s="171"/>
      <c r="H90" s="183" t="s">
        <v>34</v>
      </c>
      <c r="I90" s="641">
        <f ca="1">IFERROR(__xludf.DUMMYFUNCTION("IMPORTRANGE(""https://docs.google.com/spreadsheets/d/1eHaY18a8A9IcSdp1K8H6x8fbOy06t2VsZHhMHf-1x7Y/edit?usp=sharing"",""แผน!J39"")"),2)</f>
        <v>2</v>
      </c>
      <c r="J90" s="467">
        <v>0</v>
      </c>
      <c r="K90" s="565">
        <f ca="1">IF(I90&gt;0,J90*100/I90,0)</f>
        <v>0</v>
      </c>
      <c r="L90" s="172"/>
      <c r="M90" s="164"/>
      <c r="N90" s="164"/>
      <c r="O90" s="164"/>
      <c r="P90" s="164"/>
      <c r="Q90" s="164"/>
      <c r="R90" s="164"/>
      <c r="S90" s="164"/>
      <c r="T90" s="164"/>
      <c r="U90" s="164"/>
    </row>
    <row r="91" spans="1:21" ht="19.5">
      <c r="A91" s="143" t="s">
        <v>44</v>
      </c>
      <c r="B91" s="144"/>
      <c r="C91" s="145"/>
      <c r="D91" s="144"/>
      <c r="E91" s="144"/>
      <c r="F91" s="144"/>
      <c r="G91" s="146"/>
      <c r="H91" s="146"/>
      <c r="I91" s="147"/>
      <c r="J91" s="147"/>
      <c r="K91" s="148"/>
      <c r="L91" s="149"/>
      <c r="M91" s="148"/>
      <c r="N91" s="148"/>
      <c r="O91" s="148"/>
      <c r="P91" s="148"/>
      <c r="Q91" s="148"/>
      <c r="R91" s="148"/>
      <c r="S91" s="148"/>
      <c r="T91" s="148"/>
      <c r="U91" s="148"/>
    </row>
    <row r="92" spans="1:21" ht="19.5">
      <c r="A92" s="150"/>
      <c r="B92" s="35" t="s">
        <v>45</v>
      </c>
      <c r="C92" s="34"/>
      <c r="D92" s="151"/>
      <c r="E92" s="34"/>
      <c r="F92" s="34"/>
      <c r="G92" s="37"/>
      <c r="H92" s="152" t="s">
        <v>46</v>
      </c>
      <c r="I92" s="721">
        <f ca="1">I108</f>
        <v>30</v>
      </c>
      <c r="J92" s="721">
        <f>J108</f>
        <v>0</v>
      </c>
      <c r="K92" s="720">
        <f ca="1">IF(I92&gt;0,J92*100/I92,0)</f>
        <v>0</v>
      </c>
      <c r="L92" s="154"/>
      <c r="M92" s="40"/>
      <c r="N92" s="40"/>
      <c r="O92" s="40"/>
      <c r="P92" s="40"/>
      <c r="Q92" s="40"/>
      <c r="R92" s="40"/>
      <c r="S92" s="40"/>
      <c r="T92" s="40"/>
      <c r="U92" s="40"/>
    </row>
    <row r="93" spans="1:21" ht="19.5">
      <c r="A93" s="150"/>
      <c r="B93" s="34"/>
      <c r="C93" s="34"/>
      <c r="D93" s="151"/>
      <c r="E93" s="34"/>
      <c r="F93" s="34"/>
      <c r="G93" s="37"/>
      <c r="H93" s="152" t="s">
        <v>35</v>
      </c>
      <c r="I93" s="721">
        <f ca="1">I109</f>
        <v>10</v>
      </c>
      <c r="J93" s="721">
        <f>J109</f>
        <v>0</v>
      </c>
      <c r="K93" s="720">
        <f ca="1">IF(I93&gt;0,J93*100/I93,0)</f>
        <v>0</v>
      </c>
      <c r="L93" s="154"/>
      <c r="M93" s="40"/>
      <c r="N93" s="40"/>
      <c r="O93" s="40"/>
      <c r="P93" s="40"/>
      <c r="Q93" s="40"/>
      <c r="R93" s="40"/>
      <c r="S93" s="40"/>
      <c r="T93" s="40"/>
      <c r="U93" s="40"/>
    </row>
    <row r="94" spans="1:21" ht="19.5">
      <c r="A94" s="155"/>
      <c r="B94" s="50"/>
      <c r="C94" s="156" t="s">
        <v>18</v>
      </c>
      <c r="D94" s="575" t="s">
        <v>19</v>
      </c>
      <c r="E94" s="50"/>
      <c r="F94" s="50"/>
      <c r="G94" s="52"/>
      <c r="H94" s="158" t="s">
        <v>14</v>
      </c>
      <c r="I94" s="54"/>
      <c r="J94" s="54"/>
      <c r="K94" s="55"/>
      <c r="L94" s="541">
        <f ca="1">L95+L96</f>
        <v>51000</v>
      </c>
      <c r="M94" s="540">
        <f ca="1">M95+M96</f>
        <v>35100</v>
      </c>
      <c r="N94" s="540">
        <f ca="1">N95+N96</f>
        <v>0</v>
      </c>
      <c r="O94" s="540">
        <f ca="1">IF(L94&gt;0,N94*100/L94,0)</f>
        <v>0</v>
      </c>
      <c r="P94" s="540">
        <f ca="1">IF(M94&gt;0,N94*100/M94,0)</f>
        <v>0</v>
      </c>
      <c r="Q94" s="540">
        <f ca="1">Q95+Q96</f>
        <v>64920</v>
      </c>
      <c r="R94" s="540">
        <f ca="1">R95+R96</f>
        <v>64920</v>
      </c>
      <c r="S94" s="540">
        <f ca="1">S95+S96</f>
        <v>2060</v>
      </c>
      <c r="T94" s="540">
        <f ca="1">IF(Q94&gt;0,S94*100/Q94,0)</f>
        <v>3.1731361675908811</v>
      </c>
      <c r="U94" s="540">
        <f ca="1">IF(R94&gt;0,S94*100/R94,0)</f>
        <v>3.1731361675908811</v>
      </c>
    </row>
    <row r="95" spans="1:21" ht="18.75" hidden="1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103">
        <f>L98+L101</f>
        <v>0</v>
      </c>
      <c r="M95" s="102">
        <f>M98+M101</f>
        <v>0</v>
      </c>
      <c r="N95" s="102">
        <f>N98+N101</f>
        <v>0</v>
      </c>
      <c r="O95" s="102">
        <f>IF(L95&gt;0,N95*100/L95,0)</f>
        <v>0</v>
      </c>
      <c r="P95" s="102">
        <f>IF(M95&gt;0,N95*100/M95,0)</f>
        <v>0</v>
      </c>
      <c r="Q95" s="102">
        <f>Q98+Q101</f>
        <v>0</v>
      </c>
      <c r="R95" s="102">
        <f>R98+R101</f>
        <v>0</v>
      </c>
      <c r="S95" s="102">
        <f>S98+S101</f>
        <v>0</v>
      </c>
      <c r="T95" s="102">
        <f>IF(Q95&gt;0,S95*100/Q95,0)</f>
        <v>0</v>
      </c>
      <c r="U95" s="102">
        <f>IF(R95&gt;0,S95*100/R95,0)</f>
        <v>0</v>
      </c>
    </row>
    <row r="96" spans="1:21" ht="18.75" hidden="1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256">
        <f ca="1">L99+L102</f>
        <v>51000</v>
      </c>
      <c r="M96" s="255">
        <f ca="1">M99+M102</f>
        <v>35100</v>
      </c>
      <c r="N96" s="255">
        <f ca="1">N99+N102</f>
        <v>0</v>
      </c>
      <c r="O96" s="255">
        <f ca="1">IF(L96&gt;0,N96*100/L96,0)</f>
        <v>0</v>
      </c>
      <c r="P96" s="255">
        <f ca="1">IF(M96&gt;0,N96*100/M96,0)</f>
        <v>0</v>
      </c>
      <c r="Q96" s="255">
        <f ca="1">Q99+Q102</f>
        <v>64920</v>
      </c>
      <c r="R96" s="255">
        <f ca="1">R99+R102</f>
        <v>64920</v>
      </c>
      <c r="S96" s="255">
        <f ca="1">S99+S102</f>
        <v>2060</v>
      </c>
      <c r="T96" s="255">
        <f ca="1">IF(Q96&gt;0,S96*100/Q96,0)</f>
        <v>3.1731361675908811</v>
      </c>
      <c r="U96" s="255">
        <f ca="1">IF(R96&gt;0,S96*100/R96,0)</f>
        <v>3.1731361675908811</v>
      </c>
    </row>
    <row r="97" spans="1:21" ht="18.75">
      <c r="A97" s="155"/>
      <c r="B97" s="50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256">
        <f ca="1">L98+L99</f>
        <v>51000</v>
      </c>
      <c r="M97" s="255">
        <f ca="1">M98+M99</f>
        <v>35100</v>
      </c>
      <c r="N97" s="255">
        <f ca="1">N98+N99</f>
        <v>0</v>
      </c>
      <c r="O97" s="255">
        <f ca="1">IF(L97&gt;0,N97*100/L97,0)</f>
        <v>0</v>
      </c>
      <c r="P97" s="255">
        <f ca="1">IF(M97&gt;0,N97*100/M97,0)</f>
        <v>0</v>
      </c>
      <c r="Q97" s="255">
        <f ca="1">Q98+Q99</f>
        <v>64920</v>
      </c>
      <c r="R97" s="255">
        <f ca="1">R98+R99</f>
        <v>64920</v>
      </c>
      <c r="S97" s="255">
        <f ca="1">S98+S99</f>
        <v>2060</v>
      </c>
      <c r="T97" s="255">
        <f ca="1">IF(Q97&gt;0,S97*100/Q97,0)</f>
        <v>3.1731361675908811</v>
      </c>
      <c r="U97" s="255">
        <f ca="1">IF(R97&gt;0,S97*100/R97,0)</f>
        <v>3.1731361675908811</v>
      </c>
    </row>
    <row r="98" spans="1:21" ht="18.75" hidden="1">
      <c r="A98" s="155"/>
      <c r="B98" s="50"/>
      <c r="C98" s="50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103">
        <v>0</v>
      </c>
      <c r="M98" s="102">
        <v>0</v>
      </c>
      <c r="N98" s="102">
        <v>0</v>
      </c>
      <c r="O98" s="102">
        <f>IF(L98&gt;0,N98*100/L98,0)</f>
        <v>0</v>
      </c>
      <c r="P98" s="102">
        <f>IF(M98&gt;0,N98*100/M98,0)</f>
        <v>0</v>
      </c>
      <c r="Q98" s="102">
        <v>0</v>
      </c>
      <c r="R98" s="102">
        <v>0</v>
      </c>
      <c r="S98" s="102">
        <v>0</v>
      </c>
      <c r="T98" s="102">
        <f>IF(Q98&gt;0,S98*100/Q98,0)</f>
        <v>0</v>
      </c>
      <c r="U98" s="102">
        <f>IF(R98&gt;0,S98*100/R98,0)</f>
        <v>0</v>
      </c>
    </row>
    <row r="99" spans="1:21" ht="18.75" hidden="1">
      <c r="A99" s="155"/>
      <c r="B99" s="50"/>
      <c r="C99" s="50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256">
        <f ca="1">IFERROR(__xludf.DUMMYFUNCTION("IMPORTRANGE(""https://docs.google.com/spreadsheets/d/1-uDff_7J0KD5mKrp0Vvzr7lt3OU09vwQwhkpOPPYv2Y/edit?usp=sharing"",""งบพรบ!AW39"")"),51000)</f>
        <v>51000</v>
      </c>
      <c r="M99" s="255">
        <f ca="1">IFERROR(__xludf.DUMMYFUNCTION("IMPORTRANGE(""https://docs.google.com/spreadsheets/d/1-uDff_7J0KD5mKrp0Vvzr7lt3OU09vwQwhkpOPPYv2Y/edit?usp=sharing"",""งบพรบ!BB39"")"),35100)</f>
        <v>35100</v>
      </c>
      <c r="N99" s="255">
        <f ca="1">IFERROR(__xludf.DUMMYFUNCTION("IMPORTRANGE(""https://docs.google.com/spreadsheets/d/1-uDff_7J0KD5mKrp0Vvzr7lt3OU09vwQwhkpOPPYv2Y/edit?usp=sharing"",""งบพรบ!BD39"")"),0)</f>
        <v>0</v>
      </c>
      <c r="O99" s="255">
        <f ca="1">IF(L99&gt;0,N99*100/L99,0)</f>
        <v>0</v>
      </c>
      <c r="P99" s="255">
        <f ca="1">IF(M99&gt;0,N99*100/M99,0)</f>
        <v>0</v>
      </c>
      <c r="Q99" s="255">
        <f ca="1">IFERROR(__xludf.DUMMYFUNCTION("IMPORTRANGE(""https://docs.google.com/spreadsheets/d/1ItG2mGa2ceCfYo0BwxsXqNm01IGEUdYcSSLTEv9YCik/edit?usp=sharing"",""เบิกจ่ายกองทุน!AD39"")"),64920)</f>
        <v>64920</v>
      </c>
      <c r="R99" s="255">
        <f ca="1">IFERROR(__xludf.DUMMYFUNCTION("IMPORTRANGE(""https://docs.google.com/spreadsheets/d/1ItG2mGa2ceCfYo0BwxsXqNm01IGEUdYcSSLTEv9YCik/edit?usp=sharing"",""เบิกจ่ายกองทุน!AE39"")"),64920)</f>
        <v>64920</v>
      </c>
      <c r="S99" s="255">
        <f ca="1">IFERROR(__xludf.DUMMYFUNCTION("IMPORTRANGE(""https://docs.google.com/spreadsheets/d/1ItG2mGa2ceCfYo0BwxsXqNm01IGEUdYcSSLTEv9YCik/edit?usp=sharing"",""เบิกจ่ายกองทุน!AF39"")"),2060)</f>
        <v>2060</v>
      </c>
      <c r="T99" s="255">
        <f ca="1">IF(Q99&gt;0,S99*100/Q99,0)</f>
        <v>3.1731361675908811</v>
      </c>
      <c r="U99" s="255">
        <f ca="1">IF(R99&gt;0,S99*100/R99,0)</f>
        <v>3.1731361675908811</v>
      </c>
    </row>
    <row r="100" spans="1:21" ht="18.75">
      <c r="A100" s="155"/>
      <c r="B100" s="50"/>
      <c r="C100" s="50"/>
      <c r="D100" s="51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256">
        <f ca="1">L101+L102</f>
        <v>0</v>
      </c>
      <c r="M100" s="255">
        <f ca="1">M101+M102</f>
        <v>0</v>
      </c>
      <c r="N100" s="255">
        <f ca="1">N101+N102</f>
        <v>0</v>
      </c>
      <c r="O100" s="255">
        <f ca="1">IF(L100&gt;0,N100*100/L100,0)</f>
        <v>0</v>
      </c>
      <c r="P100" s="255">
        <f ca="1">IF(M100&gt;0,N100*100/M100,0)</f>
        <v>0</v>
      </c>
      <c r="Q100" s="255">
        <f>Q101+Q102</f>
        <v>0</v>
      </c>
      <c r="R100" s="255">
        <f>R101+R102</f>
        <v>0</v>
      </c>
      <c r="S100" s="255">
        <f>S101+S102</f>
        <v>0</v>
      </c>
      <c r="T100" s="255">
        <f>IF(Q100&gt;0,S100*100/Q100,0)</f>
        <v>0</v>
      </c>
      <c r="U100" s="255">
        <f>IF(R100&gt;0,S100*100/R100,0)</f>
        <v>0</v>
      </c>
    </row>
    <row r="101" spans="1:21" ht="18.75" hidden="1">
      <c r="A101" s="155"/>
      <c r="B101" s="50"/>
      <c r="C101" s="50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103">
        <v>0</v>
      </c>
      <c r="M101" s="102">
        <v>0</v>
      </c>
      <c r="N101" s="102">
        <v>0</v>
      </c>
      <c r="O101" s="102">
        <f>IF(L101&gt;0,N101*100/L101,0)</f>
        <v>0</v>
      </c>
      <c r="P101" s="102">
        <f>IF(M101&gt;0,N101*100/M101,0)</f>
        <v>0</v>
      </c>
      <c r="Q101" s="102">
        <v>0</v>
      </c>
      <c r="R101" s="102">
        <v>0</v>
      </c>
      <c r="S101" s="102">
        <v>0</v>
      </c>
      <c r="T101" s="102">
        <f>IF(Q101&gt;0,S101*100/Q101,0)</f>
        <v>0</v>
      </c>
      <c r="U101" s="102">
        <f>IF(R101&gt;0,S101*100/R101,0)</f>
        <v>0</v>
      </c>
    </row>
    <row r="102" spans="1:21" ht="18.75" hidden="1">
      <c r="A102" s="155"/>
      <c r="B102" s="50"/>
      <c r="C102" s="50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256">
        <f ca="1">IFERROR(__xludf.DUMMYFUNCTION("IMPORTRANGE(""https://docs.google.com/spreadsheets/d/1-uDff_7J0KD5mKrp0Vvzr7lt3OU09vwQwhkpOPPYv2Y/edit?usp=sharing"",""งบพรบ!AZ39"")"),0)</f>
        <v>0</v>
      </c>
      <c r="M102" s="255">
        <f ca="1">IFERROR(__xludf.DUMMYFUNCTION("IMPORTRANGE(""https://docs.google.com/spreadsheets/d/1-uDff_7J0KD5mKrp0Vvzr7lt3OU09vwQwhkpOPPYv2Y/edit?usp=sharing"",""งบพรบ!BC39"")"),0)</f>
        <v>0</v>
      </c>
      <c r="N102" s="255">
        <f ca="1">IFERROR(__xludf.DUMMYFUNCTION("IMPORTRANGE(""https://docs.google.com/spreadsheets/d/1-uDff_7J0KD5mKrp0Vvzr7lt3OU09vwQwhkpOPPYv2Y/edit?usp=sharing"",""งบพรบ!BE39"")"),0)</f>
        <v>0</v>
      </c>
      <c r="O102" s="255">
        <f ca="1">IF(L102&gt;0,N102*100/L102,0)</f>
        <v>0</v>
      </c>
      <c r="P102" s="255">
        <f ca="1">IF(M102&gt;0,N102*100/M102,0)</f>
        <v>0</v>
      </c>
      <c r="Q102" s="255">
        <v>0</v>
      </c>
      <c r="R102" s="255">
        <v>0</v>
      </c>
      <c r="S102" s="255">
        <v>0</v>
      </c>
      <c r="T102" s="255">
        <f>IF(Q102&gt;0,S102*100/Q102,0)</f>
        <v>0</v>
      </c>
      <c r="U102" s="255">
        <f>IF(R102&gt;0,S102*100/R102,0)</f>
        <v>0</v>
      </c>
    </row>
    <row r="103" spans="1:21" ht="19.5">
      <c r="A103" s="166"/>
      <c r="B103" s="167"/>
      <c r="C103" s="156" t="s">
        <v>18</v>
      </c>
      <c r="D103" s="566" t="s">
        <v>38</v>
      </c>
      <c r="E103" s="169"/>
      <c r="F103" s="169"/>
      <c r="G103" s="170"/>
      <c r="H103" s="171"/>
      <c r="I103" s="163"/>
      <c r="J103" s="54"/>
      <c r="K103" s="55"/>
      <c r="L103" s="62"/>
      <c r="M103" s="55"/>
      <c r="N103" s="55"/>
      <c r="O103" s="164"/>
      <c r="P103" s="164"/>
      <c r="Q103" s="55"/>
      <c r="R103" s="55"/>
      <c r="S103" s="55"/>
      <c r="T103" s="164"/>
      <c r="U103" s="164"/>
    </row>
    <row r="104" spans="1:21" ht="12.75" hidden="1">
      <c r="A104" s="192"/>
      <c r="B104" s="193"/>
      <c r="C104" s="193"/>
      <c r="D104" s="22"/>
      <c r="E104" s="22"/>
      <c r="F104" s="22"/>
      <c r="G104" s="23"/>
      <c r="H104" s="23"/>
      <c r="I104" s="24"/>
      <c r="J104" s="24"/>
      <c r="K104" s="25"/>
      <c r="L104" s="26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2.75" hidden="1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6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2.75" hidden="1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9.5" hidden="1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62"/>
      <c r="M107" s="55"/>
      <c r="N107" s="55"/>
      <c r="O107" s="164"/>
      <c r="P107" s="164"/>
      <c r="Q107" s="55"/>
      <c r="R107" s="55"/>
      <c r="S107" s="55"/>
      <c r="T107" s="164"/>
      <c r="U107" s="164"/>
    </row>
    <row r="108" spans="1:21" ht="18.75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212">
        <f ca="1">IFERROR(__xludf.DUMMYFUNCTION("IMPORTRANGE(""https://docs.google.com/spreadsheets/d/1eHaY18a8A9IcSdp1K8H6x8fbOy06t2VsZHhMHf-1x7Y/edit?usp=sharing"",""แผน!N39"")"),30)</f>
        <v>30</v>
      </c>
      <c r="J108" s="467">
        <v>0</v>
      </c>
      <c r="K108" s="255">
        <f ca="1">IF(I108&gt;0,J108*100/I108,0)</f>
        <v>0</v>
      </c>
      <c r="L108" s="62"/>
      <c r="M108" s="55"/>
      <c r="N108" s="55"/>
      <c r="O108" s="164"/>
      <c r="P108" s="164"/>
      <c r="Q108" s="55"/>
      <c r="R108" s="55"/>
      <c r="S108" s="55"/>
      <c r="T108" s="164"/>
      <c r="U108" s="164"/>
    </row>
    <row r="109" spans="1:21" ht="18.75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212">
        <f ca="1">IFERROR(__xludf.DUMMYFUNCTION("IMPORTRANGE(""https://docs.google.com/spreadsheets/d/1eHaY18a8A9IcSdp1K8H6x8fbOy06t2VsZHhMHf-1x7Y/edit?usp=sharing"",""แผน!O39"")"),10)</f>
        <v>10</v>
      </c>
      <c r="J109" s="467">
        <v>0</v>
      </c>
      <c r="K109" s="255">
        <f ca="1">IF(I109&gt;0,J109*100/I109,0)</f>
        <v>0</v>
      </c>
      <c r="L109" s="62"/>
      <c r="M109" s="55"/>
      <c r="N109" s="55"/>
      <c r="O109" s="164"/>
      <c r="P109" s="164"/>
      <c r="Q109" s="55"/>
      <c r="R109" s="55"/>
      <c r="S109" s="55"/>
      <c r="T109" s="164"/>
      <c r="U109" s="164"/>
    </row>
    <row r="110" spans="1:21" ht="12.75" hidden="1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6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2.75" hidden="1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6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2.75" hidden="1">
      <c r="A112" s="192"/>
      <c r="B112" s="193"/>
      <c r="C112" s="193"/>
      <c r="D112" s="22"/>
      <c r="E112" s="22"/>
      <c r="F112" s="22"/>
      <c r="G112" s="23"/>
      <c r="H112" s="23"/>
      <c r="I112" s="24"/>
      <c r="J112" s="24"/>
      <c r="K112" s="25"/>
      <c r="L112" s="26"/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8.75">
      <c r="A113" s="771"/>
      <c r="B113" s="489"/>
      <c r="C113" s="489"/>
      <c r="D113" s="345" t="s">
        <v>50</v>
      </c>
      <c r="E113" s="491"/>
      <c r="F113" s="491"/>
      <c r="G113" s="492"/>
      <c r="H113" s="770" t="s">
        <v>46</v>
      </c>
      <c r="I113" s="769">
        <f ca="1">IFERROR(__xludf.DUMMYFUNCTION("IMPORTRANGE(""https://docs.google.com/spreadsheets/d/1eHaY18a8A9IcSdp1K8H6x8fbOy06t2VsZHhMHf-1x7Y/edit?usp=sharing"",""แผน!N39"")"),30)</f>
        <v>30</v>
      </c>
      <c r="J113" s="495">
        <v>0</v>
      </c>
      <c r="K113" s="708">
        <f ca="1">IF(I113&gt;0,J113*100/I113,0)</f>
        <v>0</v>
      </c>
      <c r="L113" s="350"/>
      <c r="M113" s="350"/>
      <c r="N113" s="350"/>
      <c r="O113" s="496"/>
      <c r="P113" s="496"/>
      <c r="Q113" s="350"/>
      <c r="R113" s="350"/>
      <c r="S113" s="350"/>
      <c r="T113" s="496"/>
      <c r="U113" s="496"/>
    </row>
    <row r="114" spans="1:21" ht="18.75">
      <c r="A114" s="166"/>
      <c r="B114" s="167"/>
      <c r="C114" s="167"/>
      <c r="D114" s="174"/>
      <c r="E114" s="174"/>
      <c r="F114" s="174"/>
      <c r="G114" s="171"/>
      <c r="H114" s="179" t="s">
        <v>35</v>
      </c>
      <c r="I114" s="641">
        <f ca="1">IFERROR(__xludf.DUMMYFUNCTION("IMPORTRANGE(""https://docs.google.com/spreadsheets/d/1eHaY18a8A9IcSdp1K8H6x8fbOy06t2VsZHhMHf-1x7Y/edit?usp=sharing"",""แผน!O39"")"),10)</f>
        <v>10</v>
      </c>
      <c r="J114" s="467">
        <v>0</v>
      </c>
      <c r="K114" s="255">
        <f ca="1">IF(I114&gt;0,J114*100/I114,0)</f>
        <v>0</v>
      </c>
      <c r="L114" s="55"/>
      <c r="M114" s="55"/>
      <c r="N114" s="55"/>
      <c r="O114" s="164"/>
      <c r="P114" s="164"/>
      <c r="Q114" s="55"/>
      <c r="R114" s="55"/>
      <c r="S114" s="55"/>
      <c r="T114" s="164"/>
      <c r="U114" s="164"/>
    </row>
    <row r="115" spans="1:21" ht="19.5">
      <c r="A115" s="727" t="s">
        <v>51</v>
      </c>
      <c r="B115" s="724"/>
      <c r="C115" s="726"/>
      <c r="D115" s="725"/>
      <c r="E115" s="725"/>
      <c r="F115" s="725"/>
      <c r="G115" s="725"/>
      <c r="H115" s="724"/>
      <c r="I115" s="723"/>
      <c r="J115" s="723"/>
      <c r="K115" s="722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721">
        <f ca="1">I127</f>
        <v>25</v>
      </c>
      <c r="J116" s="721">
        <f>J127</f>
        <v>25</v>
      </c>
      <c r="K116" s="720">
        <f ca="1">IF(I116&gt;0,J116*100/I116,0)</f>
        <v>100</v>
      </c>
      <c r="L116" s="154"/>
      <c r="M116" s="40"/>
      <c r="N116" s="40"/>
      <c r="O116" s="40"/>
      <c r="P116" s="40"/>
      <c r="Q116" s="40"/>
      <c r="R116" s="40"/>
      <c r="S116" s="40"/>
      <c r="T116" s="40"/>
      <c r="U116" s="40"/>
    </row>
    <row r="117" spans="1:21" ht="19.5">
      <c r="A117" s="155"/>
      <c r="B117" s="188"/>
      <c r="C117" s="191" t="s">
        <v>18</v>
      </c>
      <c r="D117" s="575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541">
        <f ca="1">L118+L119</f>
        <v>0</v>
      </c>
      <c r="M117" s="540">
        <f ca="1">M118+M119</f>
        <v>0</v>
      </c>
      <c r="N117" s="540">
        <f ca="1">N118+N119</f>
        <v>0</v>
      </c>
      <c r="O117" s="540">
        <f ca="1">IF(L117&gt;0,N117*100/L117,0)</f>
        <v>0</v>
      </c>
      <c r="P117" s="540">
        <f ca="1">IF(M117&gt;0,N117*100/M117,0)</f>
        <v>0</v>
      </c>
      <c r="Q117" s="540">
        <f ca="1">Q118+Q119</f>
        <v>227060</v>
      </c>
      <c r="R117" s="540">
        <f ca="1">R118+R119</f>
        <v>227060</v>
      </c>
      <c r="S117" s="540">
        <f ca="1">S118+S119</f>
        <v>76710</v>
      </c>
      <c r="T117" s="540">
        <f ca="1">IF(Q117&gt;0,S117*100/Q117,0)</f>
        <v>33.7840218444464</v>
      </c>
      <c r="U117" s="540">
        <f ca="1">IF(R117&gt;0,S117*100/R117,0)</f>
        <v>33.7840218444464</v>
      </c>
    </row>
    <row r="118" spans="1:21" ht="18.75" hidden="1">
      <c r="A118" s="155"/>
      <c r="B118" s="188"/>
      <c r="C118" s="188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103">
        <f>L121+L124</f>
        <v>0</v>
      </c>
      <c r="M118" s="102">
        <f>M121+M124</f>
        <v>0</v>
      </c>
      <c r="N118" s="102">
        <f>N121+N124</f>
        <v>0</v>
      </c>
      <c r="O118" s="102">
        <f>IF(L118&gt;0,N118*100/L118,0)</f>
        <v>0</v>
      </c>
      <c r="P118" s="102">
        <f>IF(M118&gt;0,N118*100/M118,0)</f>
        <v>0</v>
      </c>
      <c r="Q118" s="102">
        <f>Q121+Q124</f>
        <v>0</v>
      </c>
      <c r="R118" s="102">
        <f>R121+R124</f>
        <v>0</v>
      </c>
      <c r="S118" s="102">
        <f>S121+S124</f>
        <v>0</v>
      </c>
      <c r="T118" s="102">
        <f>IF(Q118&gt;0,S118*100/Q118,0)</f>
        <v>0</v>
      </c>
      <c r="U118" s="102">
        <f>IF(R118&gt;0,S118*100/R118,0)</f>
        <v>0</v>
      </c>
    </row>
    <row r="119" spans="1:21" ht="18.75" hidden="1">
      <c r="A119" s="155"/>
      <c r="B119" s="188"/>
      <c r="C119" s="188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256">
        <f ca="1">L122+L125</f>
        <v>0</v>
      </c>
      <c r="M119" s="255">
        <f ca="1">M122+M125</f>
        <v>0</v>
      </c>
      <c r="N119" s="255">
        <f ca="1">N122+N125</f>
        <v>0</v>
      </c>
      <c r="O119" s="255">
        <f ca="1">IF(L119&gt;0,N119*100/L119,0)</f>
        <v>0</v>
      </c>
      <c r="P119" s="255">
        <f ca="1">IF(M119&gt;0,N119*100/M119,0)</f>
        <v>0</v>
      </c>
      <c r="Q119" s="255">
        <f ca="1">Q122+Q125</f>
        <v>227060</v>
      </c>
      <c r="R119" s="255">
        <f ca="1">R122+R125</f>
        <v>227060</v>
      </c>
      <c r="S119" s="255">
        <f ca="1">S122+S125</f>
        <v>76710</v>
      </c>
      <c r="T119" s="255">
        <f ca="1">IF(Q119&gt;0,S119*100/Q119,0)</f>
        <v>33.7840218444464</v>
      </c>
      <c r="U119" s="255">
        <f ca="1">IF(R119&gt;0,S119*100/R119,0)</f>
        <v>33.7840218444464</v>
      </c>
    </row>
    <row r="120" spans="1:21" ht="18.75">
      <c r="A120" s="155"/>
      <c r="B120" s="188"/>
      <c r="C120" s="202"/>
      <c r="D120" s="602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256">
        <f ca="1">L121+L122</f>
        <v>0</v>
      </c>
      <c r="M120" s="255">
        <f ca="1">M121+M122</f>
        <v>0</v>
      </c>
      <c r="N120" s="255">
        <f ca="1">N121+N122</f>
        <v>0</v>
      </c>
      <c r="O120" s="255">
        <f ca="1">IF(L120&gt;0,N120*100/L120,0)</f>
        <v>0</v>
      </c>
      <c r="P120" s="255">
        <f ca="1">IF(M120&gt;0,N120*100/M120,0)</f>
        <v>0</v>
      </c>
      <c r="Q120" s="255">
        <f ca="1">Q121+Q122</f>
        <v>227060</v>
      </c>
      <c r="R120" s="255">
        <f ca="1">R121+R122</f>
        <v>227060</v>
      </c>
      <c r="S120" s="255">
        <f ca="1">S121+S122</f>
        <v>76710</v>
      </c>
      <c r="T120" s="255">
        <f ca="1">IF(Q120&gt;0,S120*100/Q120,0)</f>
        <v>33.7840218444464</v>
      </c>
      <c r="U120" s="255">
        <f ca="1">IF(R120&gt;0,S120*100/R120,0)</f>
        <v>33.7840218444464</v>
      </c>
    </row>
    <row r="121" spans="1:21" ht="18.75" hidden="1">
      <c r="A121" s="155"/>
      <c r="B121" s="188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103">
        <v>0</v>
      </c>
      <c r="M121" s="102">
        <v>0</v>
      </c>
      <c r="N121" s="102">
        <v>0</v>
      </c>
      <c r="O121" s="102">
        <f>IF(L121&gt;0,N121*100/L121,0)</f>
        <v>0</v>
      </c>
      <c r="P121" s="102">
        <f>IF(M121&gt;0,N121*100/M121,0)</f>
        <v>0</v>
      </c>
      <c r="Q121" s="102">
        <v>0</v>
      </c>
      <c r="R121" s="102">
        <v>0</v>
      </c>
      <c r="S121" s="102">
        <v>0</v>
      </c>
      <c r="T121" s="102">
        <f>IF(Q121&gt;0,S121*100/Q121,0)</f>
        <v>0</v>
      </c>
      <c r="U121" s="102">
        <f>IF(R121&gt;0,S121*100/R121,0)</f>
        <v>0</v>
      </c>
    </row>
    <row r="122" spans="1:21" ht="18.75" hidden="1">
      <c r="A122" s="155"/>
      <c r="B122" s="188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256">
        <f ca="1">IFERROR(__xludf.DUMMYFUNCTION("IMPORTRANGE(""https://docs.google.com/spreadsheets/d/1-uDff_7J0KD5mKrp0Vvzr7lt3OU09vwQwhkpOPPYv2Y/edit?usp=sharing"",""งบพรบ!BG39"")"),0)</f>
        <v>0</v>
      </c>
      <c r="M122" s="255">
        <f ca="1">IFERROR(__xludf.DUMMYFUNCTION("IMPORTRANGE(""https://docs.google.com/spreadsheets/d/1-uDff_7J0KD5mKrp0Vvzr7lt3OU09vwQwhkpOPPYv2Y/edit?usp=sharing"",""งบพรบ!BL39"")"),0)</f>
        <v>0</v>
      </c>
      <c r="N122" s="255">
        <f ca="1">IFERROR(__xludf.DUMMYFUNCTION("IMPORTRANGE(""https://docs.google.com/spreadsheets/d/1-uDff_7J0KD5mKrp0Vvzr7lt3OU09vwQwhkpOPPYv2Y/edit?usp=sharing"",""งบพรบ!BN39"")"),0)</f>
        <v>0</v>
      </c>
      <c r="O122" s="255">
        <f ca="1">IF(L122&gt;0,N122*100/L122,0)</f>
        <v>0</v>
      </c>
      <c r="P122" s="255">
        <f ca="1">IF(M122&gt;0,N122*100/M122,0)</f>
        <v>0</v>
      </c>
      <c r="Q122" s="255">
        <f ca="1">IFERROR(__xludf.DUMMYFUNCTION("IMPORTRANGE(""https://docs.google.com/spreadsheets/d/1ItG2mGa2ceCfYo0BwxsXqNm01IGEUdYcSSLTEv9YCik/edit?usp=sharing"",""เบิกจ่ายกองทุน!R39"")"),227060)</f>
        <v>227060</v>
      </c>
      <c r="R122" s="255">
        <f ca="1">IFERROR(__xludf.DUMMYFUNCTION("IMPORTRANGE(""https://docs.google.com/spreadsheets/d/1ItG2mGa2ceCfYo0BwxsXqNm01IGEUdYcSSLTEv9YCik/edit?usp=sharing"",""เบิกจ่ายกองทุน!S39"")"),227060)</f>
        <v>227060</v>
      </c>
      <c r="S122" s="255">
        <f ca="1">IFERROR(__xludf.DUMMYFUNCTION("IMPORTRANGE(""https://docs.google.com/spreadsheets/d/1ItG2mGa2ceCfYo0BwxsXqNm01IGEUdYcSSLTEv9YCik/edit?usp=sharing"",""เบิกจ่ายกองทุน!T39"")"),76710)</f>
        <v>76710</v>
      </c>
      <c r="T122" s="255">
        <f ca="1">IF(Q122&gt;0,S122*100/Q122,0)</f>
        <v>33.7840218444464</v>
      </c>
      <c r="U122" s="255">
        <f ca="1">IF(R122&gt;0,S122*100/R122,0)</f>
        <v>33.7840218444464</v>
      </c>
    </row>
    <row r="123" spans="1:21" ht="18.75">
      <c r="A123" s="155"/>
      <c r="B123" s="50"/>
      <c r="C123" s="202"/>
      <c r="D123" s="602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256">
        <f ca="1">L124+L125</f>
        <v>0</v>
      </c>
      <c r="M123" s="255">
        <f ca="1">M124+M125</f>
        <v>0</v>
      </c>
      <c r="N123" s="255">
        <f ca="1">N124+N125</f>
        <v>0</v>
      </c>
      <c r="O123" s="255">
        <f ca="1">IF(L123&gt;0,N123*100/L123,0)</f>
        <v>0</v>
      </c>
      <c r="P123" s="255">
        <f ca="1">IF(M123&gt;0,N123*100/M123,0)</f>
        <v>0</v>
      </c>
      <c r="Q123" s="255">
        <f>Q124+Q125</f>
        <v>0</v>
      </c>
      <c r="R123" s="255">
        <f>R124+R125</f>
        <v>0</v>
      </c>
      <c r="S123" s="255">
        <f>S124+S125</f>
        <v>0</v>
      </c>
      <c r="T123" s="255">
        <f>IF(Q123&gt;0,S123*100/Q123,0)</f>
        <v>0</v>
      </c>
      <c r="U123" s="255">
        <f>IF(R123&gt;0,S123*100/R123,0)</f>
        <v>0</v>
      </c>
    </row>
    <row r="124" spans="1:21" ht="18.75" hidden="1">
      <c r="A124" s="155"/>
      <c r="B124" s="50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103">
        <v>0</v>
      </c>
      <c r="M124" s="102">
        <v>0</v>
      </c>
      <c r="N124" s="102">
        <v>0</v>
      </c>
      <c r="O124" s="102">
        <f>IF(L124&gt;0,N124*100/L124,0)</f>
        <v>0</v>
      </c>
      <c r="P124" s="102">
        <f>IF(M124&gt;0,N124*100/M124,0)</f>
        <v>0</v>
      </c>
      <c r="Q124" s="102">
        <v>0</v>
      </c>
      <c r="R124" s="102">
        <v>0</v>
      </c>
      <c r="S124" s="102">
        <v>0</v>
      </c>
      <c r="T124" s="102">
        <f>IF(Q124&gt;0,S124*100/Q124,0)</f>
        <v>0</v>
      </c>
      <c r="U124" s="102">
        <f>IF(R124&gt;0,S124*100/R124,0)</f>
        <v>0</v>
      </c>
    </row>
    <row r="125" spans="1:21" ht="18.75" hidden="1">
      <c r="A125" s="155"/>
      <c r="B125" s="50"/>
      <c r="C125" s="50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256">
        <f ca="1">IFERROR(__xludf.DUMMYFUNCTION("IMPORTRANGE(""https://docs.google.com/spreadsheets/d/1-uDff_7J0KD5mKrp0Vvzr7lt3OU09vwQwhkpOPPYv2Y/edit?usp=sharing"",""งบพรบ!BJ39"")"),0)</f>
        <v>0</v>
      </c>
      <c r="M125" s="255">
        <f ca="1">IFERROR(__xludf.DUMMYFUNCTION("IMPORTRANGE(""https://docs.google.com/spreadsheets/d/1-uDff_7J0KD5mKrp0Vvzr7lt3OU09vwQwhkpOPPYv2Y/edit?usp=sharing"",""งบพรบ!BM39"")"),0)</f>
        <v>0</v>
      </c>
      <c r="N125" s="255">
        <f ca="1">IFERROR(__xludf.DUMMYFUNCTION("IMPORTRANGE(""https://docs.google.com/spreadsheets/d/1-uDff_7J0KD5mKrp0Vvzr7lt3OU09vwQwhkpOPPYv2Y/edit?usp=sharing"",""งบพรบ!BO39"")"),0)</f>
        <v>0</v>
      </c>
      <c r="O125" s="255">
        <f ca="1">IF(L125&gt;0,N125*100/L125,0)</f>
        <v>0</v>
      </c>
      <c r="P125" s="255">
        <f ca="1">IF(M125&gt;0,N125*100/M125,0)</f>
        <v>0</v>
      </c>
      <c r="Q125" s="255">
        <v>0</v>
      </c>
      <c r="R125" s="255">
        <v>0</v>
      </c>
      <c r="S125" s="255">
        <v>0</v>
      </c>
      <c r="T125" s="255">
        <f>IF(Q125&gt;0,S125*100/Q125,0)</f>
        <v>0</v>
      </c>
      <c r="U125" s="255">
        <f>IF(R125&gt;0,S125*100/R125,0)</f>
        <v>0</v>
      </c>
    </row>
    <row r="126" spans="1:21" ht="19.5">
      <c r="A126" s="166"/>
      <c r="B126" s="167"/>
      <c r="C126" s="205" t="s">
        <v>18</v>
      </c>
      <c r="D126" s="566" t="s">
        <v>38</v>
      </c>
      <c r="E126" s="169"/>
      <c r="F126" s="169"/>
      <c r="G126" s="170"/>
      <c r="H126" s="206"/>
      <c r="I126" s="54"/>
      <c r="J126" s="54"/>
      <c r="K126" s="55"/>
      <c r="L126" s="62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212">
        <f ca="1">IFERROR(__xludf.DUMMYFUNCTION("IMPORTRANGE(""https://docs.google.com/spreadsheets/d/1eHaY18a8A9IcSdp1K8H6x8fbOy06t2VsZHhMHf-1x7Y/edit?usp=sharing"",""แผน!FF39"")"),25)</f>
        <v>25</v>
      </c>
      <c r="J127" s="467">
        <v>25</v>
      </c>
      <c r="K127" s="255">
        <f ca="1">IF(I127&gt;0,J127*100/I127,0)</f>
        <v>100</v>
      </c>
      <c r="L127" s="62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212">
        <f ca="1">IFERROR(__xludf.DUMMYFUNCTION("IMPORTRANGE(""https://docs.google.com/spreadsheets/d/1eHaY18a8A9IcSdp1K8H6x8fbOy06t2VsZHhMHf-1x7Y/edit?usp=sharing"",""แผน!FG39"")"),0)</f>
        <v>0</v>
      </c>
      <c r="J128" s="467">
        <v>1</v>
      </c>
      <c r="K128" s="255">
        <f ca="1">IF(I128&gt;0,J128*100/I128,0)</f>
        <v>0</v>
      </c>
      <c r="L128" s="62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212">
        <f ca="1">IFERROR(__xludf.DUMMYFUNCTION("IMPORTRANGE(""https://docs.google.com/spreadsheets/d/1eHaY18a8A9IcSdp1K8H6x8fbOy06t2VsZHhMHf-1x7Y/edit?usp=sharing"",""แผน!FH39"")"),25)</f>
        <v>25</v>
      </c>
      <c r="J129" s="467">
        <v>25</v>
      </c>
      <c r="K129" s="255">
        <f ca="1">IF(I129&gt;0,J129*100/I129,0)</f>
        <v>100</v>
      </c>
      <c r="L129" s="62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212">
        <f ca="1">IFERROR(__xludf.DUMMYFUNCTION("IMPORTRANGE(""https://docs.google.com/spreadsheets/d/1eHaY18a8A9IcSdp1K8H6x8fbOy06t2VsZHhMHf-1x7Y/edit?usp=sharing"",""แผน!FI39"")"),0)</f>
        <v>0</v>
      </c>
      <c r="J130" s="467">
        <v>1</v>
      </c>
      <c r="K130" s="255">
        <f ca="1">IF(I130&gt;0,J130*100/I130,0)</f>
        <v>0</v>
      </c>
      <c r="L130" s="62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8.75" hidden="1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62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8.75" hidden="1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62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2.75" hidden="1">
      <c r="A133" s="192"/>
      <c r="B133" s="193"/>
      <c r="C133" s="193"/>
      <c r="D133" s="22"/>
      <c r="E133" s="22"/>
      <c r="F133" s="22"/>
      <c r="G133" s="23"/>
      <c r="H133" s="209"/>
      <c r="I133" s="24"/>
      <c r="J133" s="24"/>
      <c r="K133" s="25"/>
      <c r="L133" s="26"/>
      <c r="M133" s="25"/>
      <c r="N133" s="25"/>
      <c r="O133" s="25"/>
      <c r="P133" s="25"/>
      <c r="Q133" s="25"/>
      <c r="R133" s="25"/>
      <c r="S133" s="25"/>
      <c r="T133" s="25"/>
      <c r="U133" s="25"/>
    </row>
    <row r="134" spans="1:21" ht="19.5">
      <c r="A134" s="143" t="s">
        <v>58</v>
      </c>
      <c r="B134" s="144"/>
      <c r="C134" s="196"/>
      <c r="D134" s="144"/>
      <c r="E134" s="144"/>
      <c r="F134" s="144"/>
      <c r="G134" s="144"/>
      <c r="H134" s="144"/>
      <c r="I134" s="197"/>
      <c r="J134" s="197"/>
      <c r="K134" s="19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</row>
    <row r="135" spans="1:21" ht="19.5">
      <c r="A135" s="150"/>
      <c r="B135" s="35" t="s">
        <v>59</v>
      </c>
      <c r="C135" s="200"/>
      <c r="D135" s="151"/>
      <c r="E135" s="34"/>
      <c r="F135" s="34"/>
      <c r="G135" s="34"/>
      <c r="H135" s="34"/>
      <c r="I135" s="210"/>
      <c r="J135" s="39"/>
      <c r="K135" s="40"/>
      <c r="L135" s="154"/>
      <c r="M135" s="40"/>
      <c r="N135" s="40"/>
      <c r="O135" s="40"/>
      <c r="P135" s="40"/>
      <c r="Q135" s="40"/>
      <c r="R135" s="40"/>
      <c r="S135" s="40"/>
      <c r="T135" s="40"/>
      <c r="U135" s="40"/>
    </row>
    <row r="136" spans="1:21" ht="19.5">
      <c r="A136" s="150"/>
      <c r="B136" s="34"/>
      <c r="C136" s="211" t="s">
        <v>60</v>
      </c>
      <c r="D136" s="151"/>
      <c r="E136" s="34"/>
      <c r="F136" s="34"/>
      <c r="G136" s="37"/>
      <c r="H136" s="152" t="s">
        <v>61</v>
      </c>
      <c r="I136" s="721">
        <f ca="1">I154</f>
        <v>0</v>
      </c>
      <c r="J136" s="721">
        <f>J154</f>
        <v>0</v>
      </c>
      <c r="K136" s="720">
        <f ca="1">IF(I136&gt;0,J136*100/I136,0)</f>
        <v>0</v>
      </c>
      <c r="L136" s="154"/>
      <c r="M136" s="40"/>
      <c r="N136" s="40"/>
      <c r="O136" s="40"/>
      <c r="P136" s="40"/>
      <c r="Q136" s="40"/>
      <c r="R136" s="40"/>
      <c r="S136" s="40"/>
      <c r="T136" s="40"/>
      <c r="U136" s="40"/>
    </row>
    <row r="137" spans="1:21" ht="19.5">
      <c r="A137" s="150"/>
      <c r="B137" s="34"/>
      <c r="C137" s="211" t="s">
        <v>62</v>
      </c>
      <c r="D137" s="151"/>
      <c r="E137" s="34"/>
      <c r="F137" s="34"/>
      <c r="G137" s="37"/>
      <c r="H137" s="152" t="s">
        <v>35</v>
      </c>
      <c r="I137" s="721">
        <f ca="1">I152</f>
        <v>40</v>
      </c>
      <c r="J137" s="721">
        <f>J152</f>
        <v>40</v>
      </c>
      <c r="K137" s="720">
        <f ca="1">IF(I137&gt;0,J137*100/I137,0)</f>
        <v>100</v>
      </c>
      <c r="L137" s="154"/>
      <c r="M137" s="40"/>
      <c r="N137" s="40"/>
      <c r="O137" s="40"/>
      <c r="P137" s="40"/>
      <c r="Q137" s="40"/>
      <c r="R137" s="40"/>
      <c r="S137" s="40"/>
      <c r="T137" s="40"/>
      <c r="U137" s="40"/>
    </row>
    <row r="138" spans="1:21" ht="19.5">
      <c r="A138" s="150"/>
      <c r="B138" s="34"/>
      <c r="C138" s="200"/>
      <c r="D138" s="151"/>
      <c r="E138" s="34"/>
      <c r="F138" s="34"/>
      <c r="G138" s="37"/>
      <c r="H138" s="152" t="s">
        <v>54</v>
      </c>
      <c r="I138" s="721">
        <f ca="1">I153</f>
        <v>4</v>
      </c>
      <c r="J138" s="721">
        <f>J153</f>
        <v>4</v>
      </c>
      <c r="K138" s="720">
        <f ca="1">IF(I138&gt;0,J138*100/I138,0)</f>
        <v>100</v>
      </c>
      <c r="L138" s="154"/>
      <c r="M138" s="40"/>
      <c r="N138" s="40"/>
      <c r="O138" s="40"/>
      <c r="P138" s="40"/>
      <c r="Q138" s="40"/>
      <c r="R138" s="40"/>
      <c r="S138" s="40"/>
      <c r="T138" s="40"/>
      <c r="U138" s="40"/>
    </row>
    <row r="139" spans="1:21" ht="19.5">
      <c r="A139" s="155"/>
      <c r="B139" s="50"/>
      <c r="C139" s="156" t="s">
        <v>18</v>
      </c>
      <c r="D139" s="575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541">
        <f ca="1">L140+L141</f>
        <v>48200</v>
      </c>
      <c r="M139" s="540">
        <f ca="1">M140+M141</f>
        <v>43200</v>
      </c>
      <c r="N139" s="540">
        <f ca="1">N140+N141</f>
        <v>31769</v>
      </c>
      <c r="O139" s="540">
        <f ca="1">IF(L139&gt;0,N139*100/L139,0)</f>
        <v>65.910788381742734</v>
      </c>
      <c r="P139" s="540">
        <f ca="1">IF(M139&gt;0,N139*100/M139,0)</f>
        <v>73.539351851851848</v>
      </c>
      <c r="Q139" s="540">
        <f ca="1">Q140+Q141</f>
        <v>0</v>
      </c>
      <c r="R139" s="540">
        <f ca="1">R140+R141</f>
        <v>0</v>
      </c>
      <c r="S139" s="540">
        <f ca="1">S140+S141</f>
        <v>0</v>
      </c>
      <c r="T139" s="540">
        <f ca="1">IF(Q139&gt;0,S139*100/Q139,0)</f>
        <v>0</v>
      </c>
      <c r="U139" s="540">
        <f ca="1">IF(R139&gt;0,S139*100/R139,0)</f>
        <v>0</v>
      </c>
    </row>
    <row r="140" spans="1:21" ht="18.75" hidden="1">
      <c r="A140" s="155"/>
      <c r="B140" s="50"/>
      <c r="C140" s="50"/>
      <c r="D140" s="50"/>
      <c r="E140" s="186" t="s">
        <v>20</v>
      </c>
      <c r="F140" s="50"/>
      <c r="G140" s="52"/>
      <c r="H140" s="187" t="s">
        <v>14</v>
      </c>
      <c r="I140" s="54"/>
      <c r="J140" s="54"/>
      <c r="K140" s="55"/>
      <c r="L140" s="103">
        <f>L143+L146</f>
        <v>0</v>
      </c>
      <c r="M140" s="102">
        <f>M143+M146</f>
        <v>0</v>
      </c>
      <c r="N140" s="102">
        <f>N143+N146</f>
        <v>0</v>
      </c>
      <c r="O140" s="102">
        <f>IF(L140&gt;0,N140*100/L140,0)</f>
        <v>0</v>
      </c>
      <c r="P140" s="102">
        <f>IF(M140&gt;0,N140*100/M140,0)</f>
        <v>0</v>
      </c>
      <c r="Q140" s="102">
        <f>Q143+Q146</f>
        <v>0</v>
      </c>
      <c r="R140" s="102">
        <f>R143+R146</f>
        <v>0</v>
      </c>
      <c r="S140" s="102">
        <f>S143+S146</f>
        <v>0</v>
      </c>
      <c r="T140" s="102">
        <f>IF(Q140&gt;0,S140*100/Q140,0)</f>
        <v>0</v>
      </c>
      <c r="U140" s="102">
        <f>IF(R140&gt;0,S140*100/R140,0)</f>
        <v>0</v>
      </c>
    </row>
    <row r="141" spans="1:21" ht="18.75" hidden="1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256">
        <f ca="1">L144+L147</f>
        <v>48200</v>
      </c>
      <c r="M141" s="255">
        <f ca="1">M144+M147</f>
        <v>43200</v>
      </c>
      <c r="N141" s="255">
        <f ca="1">N144+N147</f>
        <v>31769</v>
      </c>
      <c r="O141" s="255">
        <f ca="1">IF(L141&gt;0,N141*100/L141,0)</f>
        <v>65.910788381742734</v>
      </c>
      <c r="P141" s="255">
        <f ca="1">IF(M141&gt;0,N141*100/M141,0)</f>
        <v>73.539351851851848</v>
      </c>
      <c r="Q141" s="255">
        <f ca="1">Q144+Q147</f>
        <v>0</v>
      </c>
      <c r="R141" s="255">
        <f ca="1">R144+R147</f>
        <v>0</v>
      </c>
      <c r="S141" s="255">
        <f ca="1">S144+S147</f>
        <v>0</v>
      </c>
      <c r="T141" s="255">
        <f ca="1">IF(Q141&gt;0,S141*100/Q141,0)</f>
        <v>0</v>
      </c>
      <c r="U141" s="255">
        <f ca="1">IF(R141&gt;0,S141*100/R141,0)</f>
        <v>0</v>
      </c>
    </row>
    <row r="142" spans="1:21" ht="18.75">
      <c r="A142" s="155"/>
      <c r="B142" s="50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256">
        <f ca="1">L143+L144</f>
        <v>48200</v>
      </c>
      <c r="M142" s="255">
        <f ca="1">M143+M144</f>
        <v>43200</v>
      </c>
      <c r="N142" s="255">
        <f ca="1">N143+N144</f>
        <v>31769</v>
      </c>
      <c r="O142" s="255">
        <f ca="1">IF(L142&gt;0,N142*100/L142,0)</f>
        <v>65.910788381742734</v>
      </c>
      <c r="P142" s="255">
        <f ca="1">IF(M142&gt;0,N142*100/M142,0)</f>
        <v>73.539351851851848</v>
      </c>
      <c r="Q142" s="255">
        <f ca="1">Q143+Q144</f>
        <v>0</v>
      </c>
      <c r="R142" s="255">
        <f ca="1">R143+R144</f>
        <v>0</v>
      </c>
      <c r="S142" s="255">
        <f ca="1">S143+S144</f>
        <v>0</v>
      </c>
      <c r="T142" s="255">
        <f ca="1">IF(Q142&gt;0,S142*100/Q142,0)</f>
        <v>0</v>
      </c>
      <c r="U142" s="255">
        <f ca="1">IF(R142&gt;0,S142*100/R142,0)</f>
        <v>0</v>
      </c>
    </row>
    <row r="143" spans="1:21" ht="18.75" hidden="1">
      <c r="A143" s="155"/>
      <c r="B143" s="50"/>
      <c r="C143" s="50"/>
      <c r="D143" s="50"/>
      <c r="E143" s="186" t="s">
        <v>36</v>
      </c>
      <c r="F143" s="50"/>
      <c r="G143" s="52"/>
      <c r="H143" s="189" t="s">
        <v>14</v>
      </c>
      <c r="I143" s="163"/>
      <c r="J143" s="163"/>
      <c r="K143" s="164"/>
      <c r="L143" s="103">
        <v>0</v>
      </c>
      <c r="M143" s="102">
        <v>0</v>
      </c>
      <c r="N143" s="102">
        <v>0</v>
      </c>
      <c r="O143" s="102">
        <f>IF(L143&gt;0,N143*100/L143,0)</f>
        <v>0</v>
      </c>
      <c r="P143" s="102">
        <f>IF(M143&gt;0,N143*100/M143,0)</f>
        <v>0</v>
      </c>
      <c r="Q143" s="102">
        <v>0</v>
      </c>
      <c r="R143" s="102">
        <v>0</v>
      </c>
      <c r="S143" s="102">
        <v>0</v>
      </c>
      <c r="T143" s="102">
        <f>IF(Q143&gt;0,S143*100/Q143,0)</f>
        <v>0</v>
      </c>
      <c r="U143" s="102">
        <f>IF(R143&gt;0,S143*100/R143,0)</f>
        <v>0</v>
      </c>
    </row>
    <row r="144" spans="1:21" ht="18.75" hidden="1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256">
        <f ca="1">IFERROR(__xludf.DUMMYFUNCTION("IMPORTRANGE(""https://docs.google.com/spreadsheets/d/1-uDff_7J0KD5mKrp0Vvzr7lt3OU09vwQwhkpOPPYv2Y/edit?usp=sharing"",""งบพรบ!BQ39"")"),48200)</f>
        <v>48200</v>
      </c>
      <c r="M144" s="255">
        <f ca="1">IFERROR(__xludf.DUMMYFUNCTION("IMPORTRANGE(""https://docs.google.com/spreadsheets/d/1-uDff_7J0KD5mKrp0Vvzr7lt3OU09vwQwhkpOPPYv2Y/edit?usp=sharing"",""งบพรบ!BV39"")"),43200)</f>
        <v>43200</v>
      </c>
      <c r="N144" s="255">
        <f ca="1">IFERROR(__xludf.DUMMYFUNCTION("IMPORTRANGE(""https://docs.google.com/spreadsheets/d/1-uDff_7J0KD5mKrp0Vvzr7lt3OU09vwQwhkpOPPYv2Y/edit?usp=sharing"",""งบพรบ!BX39"")"),31769)</f>
        <v>31769</v>
      </c>
      <c r="O144" s="255">
        <f ca="1">IF(L144&gt;0,N144*100/L144,0)</f>
        <v>65.910788381742734</v>
      </c>
      <c r="P144" s="255">
        <f ca="1">IF(M144&gt;0,N144*100/M144,0)</f>
        <v>73.539351851851848</v>
      </c>
      <c r="Q144" s="255">
        <f ca="1">IFERROR(__xludf.DUMMYFUNCTION("IMPORTRANGE(""https://docs.google.com/spreadsheets/d/1ItG2mGa2ceCfYo0BwxsXqNm01IGEUdYcSSLTEv9YCik/edit?usp=sharing"",""เบิกจ่ายกองทุน!BB39"")"),0)</f>
        <v>0</v>
      </c>
      <c r="R144" s="255">
        <f ca="1">IFERROR(__xludf.DUMMYFUNCTION("IMPORTRANGE(""https://docs.google.com/spreadsheets/d/1ItG2mGa2ceCfYo0BwxsXqNm01IGEUdYcSSLTEv9YCik/edit?usp=sharing"",""เบิกจ่ายกองทุน!BC39"")"),0)</f>
        <v>0</v>
      </c>
      <c r="S144" s="255">
        <f ca="1">IFERROR(__xludf.DUMMYFUNCTION("IMPORTRANGE(""https://docs.google.com/spreadsheets/d/1ItG2mGa2ceCfYo0BwxsXqNm01IGEUdYcSSLTEv9YCik/edit?usp=sharing"",""เบิกจ่ายกองทุน!BD39"")"),0)</f>
        <v>0</v>
      </c>
      <c r="T144" s="255">
        <f ca="1">IF(Q144&gt;0,S144*100/Q144,0)</f>
        <v>0</v>
      </c>
      <c r="U144" s="255">
        <f ca="1">IF(R144&gt;0,S144*100/R144,0)</f>
        <v>0</v>
      </c>
    </row>
    <row r="145" spans="1:21" ht="18.75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256">
        <f ca="1">L146+L147</f>
        <v>0</v>
      </c>
      <c r="M145" s="255">
        <f ca="1">M146+M147</f>
        <v>0</v>
      </c>
      <c r="N145" s="255">
        <f ca="1">N146+N147</f>
        <v>0</v>
      </c>
      <c r="O145" s="255">
        <f ca="1">IF(L145&gt;0,N145*100/L145,0)</f>
        <v>0</v>
      </c>
      <c r="P145" s="255">
        <f ca="1">IF(M145&gt;0,N145*100/M145,0)</f>
        <v>0</v>
      </c>
      <c r="Q145" s="255">
        <f>Q146+Q147</f>
        <v>0</v>
      </c>
      <c r="R145" s="255">
        <f>R146+R147</f>
        <v>0</v>
      </c>
      <c r="S145" s="255">
        <f>S146+S147</f>
        <v>0</v>
      </c>
      <c r="T145" s="255">
        <f>IF(Q145&gt;0,S145*100/Q145,0)</f>
        <v>0</v>
      </c>
      <c r="U145" s="255">
        <f>IF(R145&gt;0,S145*100/R145,0)</f>
        <v>0</v>
      </c>
    </row>
    <row r="146" spans="1:21" ht="18.75" hidden="1">
      <c r="A146" s="155"/>
      <c r="B146" s="50"/>
      <c r="C146" s="50"/>
      <c r="D146" s="50"/>
      <c r="E146" s="186" t="s">
        <v>20</v>
      </c>
      <c r="F146" s="50"/>
      <c r="G146" s="52"/>
      <c r="H146" s="189" t="s">
        <v>14</v>
      </c>
      <c r="I146" s="163"/>
      <c r="J146" s="163"/>
      <c r="K146" s="164"/>
      <c r="L146" s="103">
        <v>0</v>
      </c>
      <c r="M146" s="102">
        <v>0</v>
      </c>
      <c r="N146" s="102">
        <v>0</v>
      </c>
      <c r="O146" s="102">
        <f>IF(L146&gt;0,N146*100/L146,0)</f>
        <v>0</v>
      </c>
      <c r="P146" s="102">
        <f>IF(M146&gt;0,N146*100/M146,0)</f>
        <v>0</v>
      </c>
      <c r="Q146" s="102">
        <v>0</v>
      </c>
      <c r="R146" s="102">
        <v>0</v>
      </c>
      <c r="S146" s="102">
        <v>0</v>
      </c>
      <c r="T146" s="102">
        <f>IF(Q146&gt;0,S146*100/Q146,0)</f>
        <v>0</v>
      </c>
      <c r="U146" s="102">
        <f>IF(R146&gt;0,S146*100/R146,0)</f>
        <v>0</v>
      </c>
    </row>
    <row r="147" spans="1:21" ht="18.75" hidden="1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256">
        <f ca="1">IFERROR(__xludf.DUMMYFUNCTION("IMPORTRANGE(""https://docs.google.com/spreadsheets/d/1-uDff_7J0KD5mKrp0Vvzr7lt3OU09vwQwhkpOPPYv2Y/edit?usp=sharing"",""งบพรบ!BT39"")"),0)</f>
        <v>0</v>
      </c>
      <c r="M147" s="255">
        <f ca="1">IFERROR(__xludf.DUMMYFUNCTION("IMPORTRANGE(""https://docs.google.com/spreadsheets/d/1-uDff_7J0KD5mKrp0Vvzr7lt3OU09vwQwhkpOPPYv2Y/edit?usp=sharing"",""งบพรบ!BW39"")"),0)</f>
        <v>0</v>
      </c>
      <c r="N147" s="255">
        <f ca="1">IFERROR(__xludf.DUMMYFUNCTION("IMPORTRANGE(""https://docs.google.com/spreadsheets/d/1-uDff_7J0KD5mKrp0Vvzr7lt3OU09vwQwhkpOPPYv2Y/edit?usp=sharing"",""งบพรบ!BY39"")"),0)</f>
        <v>0</v>
      </c>
      <c r="O147" s="255">
        <f ca="1">IF(L147&gt;0,N147*100/L147,0)</f>
        <v>0</v>
      </c>
      <c r="P147" s="255">
        <f ca="1">IF(M147&gt;0,N147*100/M147,0)</f>
        <v>0</v>
      </c>
      <c r="Q147" s="255">
        <v>0</v>
      </c>
      <c r="R147" s="255">
        <v>0</v>
      </c>
      <c r="S147" s="255">
        <v>0</v>
      </c>
      <c r="T147" s="255">
        <f>IF(Q147&gt;0,S147*100/Q147,0)</f>
        <v>0</v>
      </c>
      <c r="U147" s="255">
        <f>IF(R147&gt;0,S147*100/R147,0)</f>
        <v>0</v>
      </c>
    </row>
    <row r="148" spans="1:21" ht="19.5">
      <c r="A148" s="166"/>
      <c r="B148" s="167"/>
      <c r="C148" s="156" t="s">
        <v>18</v>
      </c>
      <c r="D148" s="566" t="s">
        <v>38</v>
      </c>
      <c r="E148" s="169"/>
      <c r="F148" s="169"/>
      <c r="G148" s="170"/>
      <c r="H148" s="206"/>
      <c r="I148" s="54"/>
      <c r="J148" s="54"/>
      <c r="K148" s="55"/>
      <c r="L148" s="62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8.75">
      <c r="A149" s="155"/>
      <c r="B149" s="50"/>
      <c r="C149" s="50"/>
      <c r="D149" s="58" t="s">
        <v>63</v>
      </c>
      <c r="E149" s="50"/>
      <c r="F149" s="50"/>
      <c r="G149" s="52"/>
      <c r="H149" s="206"/>
      <c r="I149" s="54"/>
      <c r="J149" s="467">
        <v>0</v>
      </c>
      <c r="K149" s="55"/>
      <c r="L149" s="62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9.5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212">
        <f ca="1">IFERROR(__xludf.DUMMYFUNCTION("IMPORTRANGE(""https://docs.google.com/spreadsheets/d/1eHaY18a8A9IcSdp1K8H6x8fbOy06t2VsZHhMHf-1x7Y/edit?usp=sharing"",""แผน!U39"")"),0)</f>
        <v>0</v>
      </c>
      <c r="J150" s="467">
        <v>0</v>
      </c>
      <c r="K150" s="255">
        <f ca="1">IF(I150&gt;0,J150*100/I150,0)</f>
        <v>0</v>
      </c>
      <c r="L150" s="62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8.75">
      <c r="A151" s="155"/>
      <c r="B151" s="50"/>
      <c r="C151" s="50"/>
      <c r="D151" s="174"/>
      <c r="E151" s="50"/>
      <c r="F151" s="50"/>
      <c r="G151" s="52"/>
      <c r="H151" s="165" t="s">
        <v>54</v>
      </c>
      <c r="I151" s="212">
        <f ca="1">IFERROR(__xludf.DUMMYFUNCTION("IMPORTRANGE(""https://docs.google.com/spreadsheets/d/1eHaY18a8A9IcSdp1K8H6x8fbOy06t2VsZHhMHf-1x7Y/edit?usp=sharing"",""แผน!V39"")"),0)</f>
        <v>0</v>
      </c>
      <c r="J151" s="467">
        <v>0</v>
      </c>
      <c r="K151" s="255">
        <f ca="1">IF(I151&gt;0,J151*100/I151,0)</f>
        <v>0</v>
      </c>
      <c r="L151" s="62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9.5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212">
        <f ca="1">IFERROR(__xludf.DUMMYFUNCTION("IMPORTRANGE(""https://docs.google.com/spreadsheets/d/1eHaY18a8A9IcSdp1K8H6x8fbOy06t2VsZHhMHf-1x7Y/edit?usp=sharing"",""แผน!W39"")"),40)</f>
        <v>40</v>
      </c>
      <c r="J152" s="467">
        <v>40</v>
      </c>
      <c r="K152" s="255">
        <f ca="1">IF(I152&gt;0,J152*100/I152,0)</f>
        <v>100</v>
      </c>
      <c r="L152" s="62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8.75">
      <c r="A153" s="155"/>
      <c r="B153" s="50"/>
      <c r="C153" s="50"/>
      <c r="D153" s="50"/>
      <c r="E153" s="50"/>
      <c r="F153" s="50"/>
      <c r="G153" s="52"/>
      <c r="H153" s="165" t="s">
        <v>54</v>
      </c>
      <c r="I153" s="212">
        <f ca="1">IFERROR(__xludf.DUMMYFUNCTION("IMPORTRANGE(""https://docs.google.com/spreadsheets/d/1eHaY18a8A9IcSdp1K8H6x8fbOy06t2VsZHhMHf-1x7Y/edit?usp=sharing"",""แผน!X39"")"),4)</f>
        <v>4</v>
      </c>
      <c r="J153" s="467">
        <v>4</v>
      </c>
      <c r="K153" s="255">
        <f ca="1">IF(I153&gt;0,J153*100/I153,0)</f>
        <v>100</v>
      </c>
      <c r="L153" s="62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8.75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212">
        <f ca="1">IFERROR(__xludf.DUMMYFUNCTION("IMPORTRANGE(""https://docs.google.com/spreadsheets/d/1eHaY18a8A9IcSdp1K8H6x8fbOy06t2VsZHhMHf-1x7Y/edit?usp=sharing"",""แผน!Y39"")"),0)</f>
        <v>0</v>
      </c>
      <c r="J154" s="467">
        <v>0</v>
      </c>
      <c r="K154" s="255">
        <f ca="1">IF(I154&gt;0,J154*100/I154,0)</f>
        <v>0</v>
      </c>
      <c r="L154" s="62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9.5" hidden="1">
      <c r="A155" s="143" t="s">
        <v>67</v>
      </c>
      <c r="B155" s="144"/>
      <c r="C155" s="196"/>
      <c r="D155" s="144"/>
      <c r="E155" s="144"/>
      <c r="F155" s="144"/>
      <c r="G155" s="144"/>
      <c r="H155" s="144"/>
      <c r="I155" s="197"/>
      <c r="J155" s="197"/>
      <c r="K155" s="19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</row>
    <row r="156" spans="1:21" ht="19.5" hidden="1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721">
        <f ca="1">I169</f>
        <v>0</v>
      </c>
      <c r="J156" s="721">
        <f>J169</f>
        <v>0</v>
      </c>
      <c r="K156" s="720">
        <f ca="1">IF(I156&gt;0,J156*100/I156,0)</f>
        <v>0</v>
      </c>
      <c r="L156" s="154"/>
      <c r="M156" s="40"/>
      <c r="N156" s="40"/>
      <c r="O156" s="40"/>
      <c r="P156" s="40"/>
      <c r="Q156" s="40"/>
      <c r="R156" s="40"/>
      <c r="S156" s="40"/>
      <c r="T156" s="40"/>
      <c r="U156" s="40"/>
    </row>
    <row r="157" spans="1:21" ht="19.5" hidden="1">
      <c r="A157" s="155"/>
      <c r="B157" s="50"/>
      <c r="C157" s="156" t="s">
        <v>18</v>
      </c>
      <c r="D157" s="575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541">
        <f ca="1">L158+L159</f>
        <v>0</v>
      </c>
      <c r="M157" s="540">
        <f ca="1">M158+M159</f>
        <v>3840</v>
      </c>
      <c r="N157" s="540">
        <f ca="1">N158+N159</f>
        <v>3840</v>
      </c>
      <c r="O157" s="540">
        <f ca="1">IF(L157&gt;0,N157*100/L157,0)</f>
        <v>0</v>
      </c>
      <c r="P157" s="540">
        <f ca="1">IF(M157&gt;0,N157*100/M157,0)</f>
        <v>100</v>
      </c>
      <c r="Q157" s="540">
        <f ca="1">Q158+Q159</f>
        <v>0</v>
      </c>
      <c r="R157" s="540">
        <f ca="1">R158+R159</f>
        <v>0</v>
      </c>
      <c r="S157" s="540">
        <f ca="1">S158+S159</f>
        <v>0</v>
      </c>
      <c r="T157" s="540">
        <f ca="1">IF(Q157&gt;0,S157*100/Q157,0)</f>
        <v>0</v>
      </c>
      <c r="U157" s="540">
        <f ca="1">IF(R157&gt;0,S157*100/R157,0)</f>
        <v>0</v>
      </c>
    </row>
    <row r="158" spans="1:21" ht="18.75" hidden="1">
      <c r="A158" s="155"/>
      <c r="B158" s="50"/>
      <c r="C158" s="50"/>
      <c r="D158" s="50"/>
      <c r="E158" s="186" t="s">
        <v>20</v>
      </c>
      <c r="F158" s="50"/>
      <c r="G158" s="52"/>
      <c r="H158" s="187" t="s">
        <v>14</v>
      </c>
      <c r="I158" s="54"/>
      <c r="J158" s="54"/>
      <c r="K158" s="55"/>
      <c r="L158" s="103">
        <f>L161+L164</f>
        <v>0</v>
      </c>
      <c r="M158" s="102">
        <f>M161+M164</f>
        <v>0</v>
      </c>
      <c r="N158" s="102">
        <f>N161+N164</f>
        <v>0</v>
      </c>
      <c r="O158" s="102">
        <f>IF(L158&gt;0,N158*100/L158,0)</f>
        <v>0</v>
      </c>
      <c r="P158" s="102">
        <f>IF(M158&gt;0,N158*100/M158,0)</f>
        <v>0</v>
      </c>
      <c r="Q158" s="102">
        <f>Q161+Q164</f>
        <v>0</v>
      </c>
      <c r="R158" s="102">
        <f>R161+R164</f>
        <v>0</v>
      </c>
      <c r="S158" s="102">
        <f>S161+S164</f>
        <v>0</v>
      </c>
      <c r="T158" s="102">
        <f>IF(Q158&gt;0,S158*100/Q158,0)</f>
        <v>0</v>
      </c>
      <c r="U158" s="102">
        <f>IF(R158&gt;0,S158*100/R158,0)</f>
        <v>0</v>
      </c>
    </row>
    <row r="159" spans="1:21" ht="18.75" hidden="1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256">
        <f ca="1">L162+L165</f>
        <v>0</v>
      </c>
      <c r="M159" s="255">
        <f ca="1">M162+M165</f>
        <v>3840</v>
      </c>
      <c r="N159" s="255">
        <f ca="1">N162+N165</f>
        <v>3840</v>
      </c>
      <c r="O159" s="255">
        <f ca="1">IF(L159&gt;0,N159*100/L159,0)</f>
        <v>0</v>
      </c>
      <c r="P159" s="255">
        <f ca="1">IF(M159&gt;0,N159*100/M159,0)</f>
        <v>100</v>
      </c>
      <c r="Q159" s="255">
        <f ca="1">Q162+Q165</f>
        <v>0</v>
      </c>
      <c r="R159" s="255">
        <f ca="1">R162+R165</f>
        <v>0</v>
      </c>
      <c r="S159" s="255">
        <f ca="1">S162+S165</f>
        <v>0</v>
      </c>
      <c r="T159" s="255">
        <f ca="1">IF(Q159&gt;0,S159*100/Q159,0)</f>
        <v>0</v>
      </c>
      <c r="U159" s="255">
        <f ca="1">IF(R159&gt;0,S159*100/R159,0)</f>
        <v>0</v>
      </c>
    </row>
    <row r="160" spans="1:21" ht="18.75" hidden="1">
      <c r="A160" s="155"/>
      <c r="B160" s="50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256">
        <f ca="1">L161+L162</f>
        <v>0</v>
      </c>
      <c r="M160" s="255">
        <f ca="1">M161+M162</f>
        <v>3840</v>
      </c>
      <c r="N160" s="255">
        <f ca="1">N161+N162</f>
        <v>3840</v>
      </c>
      <c r="O160" s="255">
        <f ca="1">IF(L160&gt;0,N160*100/L160,0)</f>
        <v>0</v>
      </c>
      <c r="P160" s="255">
        <f ca="1">IF(M160&gt;0,N160*100/M160,0)</f>
        <v>100</v>
      </c>
      <c r="Q160" s="255">
        <f ca="1">Q161+Q162</f>
        <v>0</v>
      </c>
      <c r="R160" s="255">
        <f ca="1">R161+R162</f>
        <v>0</v>
      </c>
      <c r="S160" s="255">
        <f ca="1">S161+S162</f>
        <v>0</v>
      </c>
      <c r="T160" s="255">
        <f ca="1">IF(Q160&gt;0,S160*100/Q160,0)</f>
        <v>0</v>
      </c>
      <c r="U160" s="255">
        <f ca="1">IF(R160&gt;0,S160*100/R160,0)</f>
        <v>0</v>
      </c>
    </row>
    <row r="161" spans="1:21" ht="18.75" hidden="1">
      <c r="A161" s="155"/>
      <c r="B161" s="50"/>
      <c r="C161" s="50"/>
      <c r="D161" s="50"/>
      <c r="E161" s="186" t="s">
        <v>36</v>
      </c>
      <c r="F161" s="50"/>
      <c r="G161" s="52"/>
      <c r="H161" s="189" t="s">
        <v>14</v>
      </c>
      <c r="I161" s="163"/>
      <c r="J161" s="163"/>
      <c r="K161" s="164"/>
      <c r="L161" s="103">
        <v>0</v>
      </c>
      <c r="M161" s="102">
        <v>0</v>
      </c>
      <c r="N161" s="102">
        <v>0</v>
      </c>
      <c r="O161" s="102">
        <f>IF(L161&gt;0,N161*100/L161,0)</f>
        <v>0</v>
      </c>
      <c r="P161" s="102">
        <f>IF(M161&gt;0,N161*100/M161,0)</f>
        <v>0</v>
      </c>
      <c r="Q161" s="102">
        <v>0</v>
      </c>
      <c r="R161" s="102">
        <v>0</v>
      </c>
      <c r="S161" s="102">
        <v>0</v>
      </c>
      <c r="T161" s="102">
        <f>IF(Q161&gt;0,S161*100/Q161,0)</f>
        <v>0</v>
      </c>
      <c r="U161" s="102">
        <f>IF(R161&gt;0,S161*100/R161,0)</f>
        <v>0</v>
      </c>
    </row>
    <row r="162" spans="1:21" ht="18.75" hidden="1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256">
        <f ca="1">IFERROR(__xludf.DUMMYFUNCTION("IMPORTRANGE(""https://docs.google.com/spreadsheets/d/1-uDff_7J0KD5mKrp0Vvzr7lt3OU09vwQwhkpOPPYv2Y/edit?usp=sharing"",""งบพรบ!CA39"")"),0)</f>
        <v>0</v>
      </c>
      <c r="M162" s="255">
        <f ca="1">IFERROR(__xludf.DUMMYFUNCTION("IMPORTRANGE(""https://docs.google.com/spreadsheets/d/1-uDff_7J0KD5mKrp0Vvzr7lt3OU09vwQwhkpOPPYv2Y/edit?usp=sharing"",""งบพรบ!CF39"")"),3840)</f>
        <v>3840</v>
      </c>
      <c r="N162" s="255">
        <f ca="1">IFERROR(__xludf.DUMMYFUNCTION("IMPORTRANGE(""https://docs.google.com/spreadsheets/d/1-uDff_7J0KD5mKrp0Vvzr7lt3OU09vwQwhkpOPPYv2Y/edit?usp=sharing"",""งบพรบ!CH39"")"),3840)</f>
        <v>3840</v>
      </c>
      <c r="O162" s="255">
        <f ca="1">IF(L162&gt;0,N162*100/L162,0)</f>
        <v>0</v>
      </c>
      <c r="P162" s="255">
        <f ca="1">IF(M162&gt;0,N162*100/M162,0)</f>
        <v>100</v>
      </c>
      <c r="Q162" s="255">
        <f ca="1">IFERROR(__xludf.DUMMYFUNCTION("IMPORTRANGE(""https://docs.google.com/spreadsheets/d/1ItG2mGa2ceCfYo0BwxsXqNm01IGEUdYcSSLTEv9YCik/edit?usp=sharing"",""เบิกจ่ายกองทุน!AG39"")"),0)</f>
        <v>0</v>
      </c>
      <c r="R162" s="255">
        <f ca="1">IFERROR(__xludf.DUMMYFUNCTION("IMPORTRANGE(""https://docs.google.com/spreadsheets/d/1ItG2mGa2ceCfYo0BwxsXqNm01IGEUdYcSSLTEv9YCik/edit?usp=sharing"",""เบิกจ่ายกองทุน!AH39"")"),0)</f>
        <v>0</v>
      </c>
      <c r="S162" s="255">
        <f ca="1">IFERROR(__xludf.DUMMYFUNCTION("IMPORTRANGE(""https://docs.google.com/spreadsheets/d/1ItG2mGa2ceCfYo0BwxsXqNm01IGEUdYcSSLTEv9YCik/edit?usp=sharing"",""เบิกจ่ายกองทุน!AI39"")"),0)</f>
        <v>0</v>
      </c>
      <c r="T162" s="255">
        <f ca="1">IF(Q162&gt;0,S162*100/Q162,0)</f>
        <v>0</v>
      </c>
      <c r="U162" s="255">
        <f ca="1">IF(R162&gt;0,S162*100/R162,0)</f>
        <v>0</v>
      </c>
    </row>
    <row r="163" spans="1:21" ht="18.75" hidden="1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256">
        <f ca="1">L164+L165</f>
        <v>0</v>
      </c>
      <c r="M163" s="255">
        <f ca="1">M164+M165</f>
        <v>0</v>
      </c>
      <c r="N163" s="255">
        <f ca="1">N164+N165</f>
        <v>0</v>
      </c>
      <c r="O163" s="255">
        <f ca="1">IF(L163&gt;0,N163*100/L163,0)</f>
        <v>0</v>
      </c>
      <c r="P163" s="255">
        <f ca="1">IF(M163&gt;0,N163*100/M163,0)</f>
        <v>0</v>
      </c>
      <c r="Q163" s="255">
        <f>Q164+Q165</f>
        <v>0</v>
      </c>
      <c r="R163" s="255">
        <f>R164+R165</f>
        <v>0</v>
      </c>
      <c r="S163" s="255">
        <f>S164+S165</f>
        <v>0</v>
      </c>
      <c r="T163" s="255">
        <f>IF(Q163&gt;0,S163*100/Q163,0)</f>
        <v>0</v>
      </c>
      <c r="U163" s="255">
        <f>IF(R163&gt;0,S163*100/R163,0)</f>
        <v>0</v>
      </c>
    </row>
    <row r="164" spans="1:21" ht="18.75" hidden="1">
      <c r="A164" s="155"/>
      <c r="B164" s="50"/>
      <c r="C164" s="50"/>
      <c r="D164" s="50"/>
      <c r="E164" s="186" t="s">
        <v>20</v>
      </c>
      <c r="F164" s="50"/>
      <c r="G164" s="52"/>
      <c r="H164" s="189" t="s">
        <v>14</v>
      </c>
      <c r="I164" s="163"/>
      <c r="J164" s="163"/>
      <c r="K164" s="164"/>
      <c r="L164" s="103">
        <v>0</v>
      </c>
      <c r="M164" s="102">
        <v>0</v>
      </c>
      <c r="N164" s="102">
        <v>0</v>
      </c>
      <c r="O164" s="102">
        <f>IF(L164&gt;0,N164*100/L164,0)</f>
        <v>0</v>
      </c>
      <c r="P164" s="102">
        <f>IF(M164&gt;0,N164*100/M164,0)</f>
        <v>0</v>
      </c>
      <c r="Q164" s="102">
        <v>0</v>
      </c>
      <c r="R164" s="102">
        <v>0</v>
      </c>
      <c r="S164" s="102">
        <v>0</v>
      </c>
      <c r="T164" s="102">
        <f>IF(Q164&gt;0,S164*100/Q164,0)</f>
        <v>0</v>
      </c>
      <c r="U164" s="102">
        <f>IF(R164&gt;0,S164*100/R164,0)</f>
        <v>0</v>
      </c>
    </row>
    <row r="165" spans="1:21" ht="18.75" hidden="1">
      <c r="A165" s="155"/>
      <c r="B165" s="50"/>
      <c r="C165" s="50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256">
        <f ca="1">IFERROR(__xludf.DUMMYFUNCTION("IMPORTRANGE(""https://docs.google.com/spreadsheets/d/1-uDff_7J0KD5mKrp0Vvzr7lt3OU09vwQwhkpOPPYv2Y/edit?usp=sharing"",""งบพรบ!CD39"")"),0)</f>
        <v>0</v>
      </c>
      <c r="M165" s="255">
        <f ca="1">IFERROR(__xludf.DUMMYFUNCTION("IMPORTRANGE(""https://docs.google.com/spreadsheets/d/1-uDff_7J0KD5mKrp0Vvzr7lt3OU09vwQwhkpOPPYv2Y/edit?usp=sharing"",""งบพรบ!CG39"")"),0)</f>
        <v>0</v>
      </c>
      <c r="N165" s="255">
        <f ca="1">IFERROR(__xludf.DUMMYFUNCTION("IMPORTRANGE(""https://docs.google.com/spreadsheets/d/1-uDff_7J0KD5mKrp0Vvzr7lt3OU09vwQwhkpOPPYv2Y/edit?usp=sharing"",""งบพรบ!CI39"")"),0)</f>
        <v>0</v>
      </c>
      <c r="O165" s="255">
        <f ca="1">IF(L165&gt;0,N165*100/L165,0)</f>
        <v>0</v>
      </c>
      <c r="P165" s="255">
        <f ca="1">IF(M165&gt;0,N165*100/M165,0)</f>
        <v>0</v>
      </c>
      <c r="Q165" s="255">
        <v>0</v>
      </c>
      <c r="R165" s="255">
        <v>0</v>
      </c>
      <c r="S165" s="255">
        <v>0</v>
      </c>
      <c r="T165" s="255">
        <f>IF(Q165&gt;0,S165*100/Q165,0)</f>
        <v>0</v>
      </c>
      <c r="U165" s="255">
        <f>IF(R165&gt;0,S165*100/R165,0)</f>
        <v>0</v>
      </c>
    </row>
    <row r="166" spans="1:21" ht="19.5" hidden="1">
      <c r="A166" s="166"/>
      <c r="B166" s="167"/>
      <c r="C166" s="156" t="s">
        <v>18</v>
      </c>
      <c r="D166" s="566" t="s">
        <v>38</v>
      </c>
      <c r="E166" s="169"/>
      <c r="F166" s="169"/>
      <c r="G166" s="170"/>
      <c r="H166" s="206"/>
      <c r="I166" s="54"/>
      <c r="J166" s="54"/>
      <c r="K166" s="55"/>
      <c r="L166" s="62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8.75" hidden="1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212">
        <f ca="1">IFERROR(__xludf.DUMMYFUNCTION("IMPORTRANGE(""https://docs.google.com/spreadsheets/d/1eHaY18a8A9IcSdp1K8H6x8fbOy06t2VsZHhMHf-1x7Y/edit?usp=sharing"",""แผน!Z39"")"),0)</f>
        <v>0</v>
      </c>
      <c r="J167" s="467">
        <v>0</v>
      </c>
      <c r="K167" s="255">
        <f ca="1">IF(I167&gt;0,J167*100/I167,0)</f>
        <v>0</v>
      </c>
      <c r="L167" s="62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8.75" hidden="1">
      <c r="A168" s="155"/>
      <c r="B168" s="50"/>
      <c r="C168" s="50"/>
      <c r="D168" s="186" t="s">
        <v>70</v>
      </c>
      <c r="E168" s="50"/>
      <c r="F168" s="50"/>
      <c r="G168" s="52"/>
      <c r="H168" s="421" t="s">
        <v>35</v>
      </c>
      <c r="I168" s="483">
        <f ca="1">IFERROR(__xludf.DUMMYFUNCTION("IMPORTRANGE(""https://docs.google.com/spreadsheets/d/1eHaY18a8A9IcSdp1K8H6x8fbOy06t2VsZHhMHf-1x7Y/edit?usp=sharing"",""แผน!Z39"")"),0)</f>
        <v>0</v>
      </c>
      <c r="J168" s="589">
        <v>0</v>
      </c>
      <c r="K168" s="102">
        <f ca="1">IF(I168&gt;0,J168*100/I168,0)</f>
        <v>0</v>
      </c>
      <c r="L168" s="62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8.75" hidden="1">
      <c r="A169" s="213"/>
      <c r="B169" s="4"/>
      <c r="C169" s="4"/>
      <c r="D169" s="484" t="s">
        <v>71</v>
      </c>
      <c r="E169" s="4"/>
      <c r="F169" s="4"/>
      <c r="G169" s="65"/>
      <c r="H169" s="719" t="s">
        <v>35</v>
      </c>
      <c r="I169" s="486">
        <f ca="1">IFERROR(__xludf.DUMMYFUNCTION("IMPORTRANGE(""https://docs.google.com/spreadsheets/d/1eHaY18a8A9IcSdp1K8H6x8fbOy06t2VsZHhMHf-1x7Y/edit?usp=sharing"",""แผน!Z39"")"),0)</f>
        <v>0</v>
      </c>
      <c r="J169" s="586">
        <v>0</v>
      </c>
      <c r="K169" s="585">
        <f ca="1">IF(I169&gt;0,J169*100/I169,0)</f>
        <v>0</v>
      </c>
      <c r="L169" s="68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9"/>
      <c r="I170" s="220"/>
      <c r="J170" s="220"/>
      <c r="K170" s="221"/>
      <c r="L170" s="221"/>
      <c r="M170" s="221"/>
      <c r="N170" s="221"/>
      <c r="O170" s="221"/>
      <c r="P170" s="222"/>
      <c r="Q170" s="221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226"/>
      <c r="I171" s="227"/>
      <c r="J171" s="227"/>
      <c r="K171" s="228"/>
      <c r="L171" s="229"/>
      <c r="M171" s="228"/>
      <c r="N171" s="228"/>
      <c r="O171" s="228"/>
      <c r="P171" s="228"/>
      <c r="Q171" s="228"/>
      <c r="R171" s="228"/>
      <c r="S171" s="228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233" t="s">
        <v>35</v>
      </c>
      <c r="I172" s="718">
        <f ca="1">I183+I184</f>
        <v>7</v>
      </c>
      <c r="J172" s="718">
        <f>J183+J184</f>
        <v>7</v>
      </c>
      <c r="K172" s="717">
        <f ca="1">IF(I172&gt;0,J172*100/I172,0)</f>
        <v>100</v>
      </c>
      <c r="L172" s="237"/>
      <c r="M172" s="236"/>
      <c r="N172" s="236"/>
      <c r="O172" s="236"/>
      <c r="P172" s="236"/>
      <c r="Q172" s="236"/>
      <c r="R172" s="236"/>
      <c r="S172" s="236"/>
      <c r="T172" s="236"/>
      <c r="U172" s="236"/>
    </row>
    <row r="173" spans="1:21" ht="19.5">
      <c r="A173" s="155"/>
      <c r="B173" s="50"/>
      <c r="C173" s="156" t="s">
        <v>18</v>
      </c>
      <c r="D173" s="575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541">
        <f ca="1">L174+L175</f>
        <v>19590</v>
      </c>
      <c r="M173" s="540">
        <f ca="1">M174+M175</f>
        <v>34540</v>
      </c>
      <c r="N173" s="540">
        <f ca="1">N174+N175</f>
        <v>33670</v>
      </c>
      <c r="O173" s="540">
        <f ca="1">IF(L173&gt;0,N173*100/L173,0)</f>
        <v>171.87340479836652</v>
      </c>
      <c r="P173" s="540">
        <f ca="1">IF(M173&gt;0,N173*100/M173,0)</f>
        <v>97.481181239143027</v>
      </c>
      <c r="Q173" s="540">
        <f ca="1">Q174+Q175</f>
        <v>0</v>
      </c>
      <c r="R173" s="540">
        <f ca="1">R174+R175</f>
        <v>0</v>
      </c>
      <c r="S173" s="540">
        <f ca="1">S174+S175</f>
        <v>0</v>
      </c>
      <c r="T173" s="540">
        <f ca="1">IF(Q173&gt;0,S173*100/Q173,0)</f>
        <v>0</v>
      </c>
      <c r="U173" s="540">
        <f ca="1">IF(R173&gt;0,S173*100/R173,0)</f>
        <v>0</v>
      </c>
    </row>
    <row r="174" spans="1:21" ht="18.75" hidden="1">
      <c r="A174" s="155"/>
      <c r="B174" s="50"/>
      <c r="C174" s="50"/>
      <c r="D174" s="50"/>
      <c r="E174" s="186" t="s">
        <v>20</v>
      </c>
      <c r="F174" s="50"/>
      <c r="G174" s="52"/>
      <c r="H174" s="187" t="s">
        <v>14</v>
      </c>
      <c r="I174" s="54"/>
      <c r="J174" s="54"/>
      <c r="K174" s="55"/>
      <c r="L174" s="103">
        <f>L177+L180</f>
        <v>0</v>
      </c>
      <c r="M174" s="102">
        <f>M177+M180</f>
        <v>0</v>
      </c>
      <c r="N174" s="102">
        <f>N177+N180</f>
        <v>0</v>
      </c>
      <c r="O174" s="102">
        <f>IF(L174&gt;0,N174*100/L174,0)</f>
        <v>0</v>
      </c>
      <c r="P174" s="102">
        <f>IF(M174&gt;0,N174*100/M174,0)</f>
        <v>0</v>
      </c>
      <c r="Q174" s="102">
        <f>Q177+Q180</f>
        <v>0</v>
      </c>
      <c r="R174" s="102">
        <f>R177+R180</f>
        <v>0</v>
      </c>
      <c r="S174" s="102">
        <f>S177+S180</f>
        <v>0</v>
      </c>
      <c r="T174" s="102">
        <f>IF(Q174&gt;0,S174*100/Q174,0)</f>
        <v>0</v>
      </c>
      <c r="U174" s="102">
        <f>IF(R174&gt;0,S174*100/R174,0)</f>
        <v>0</v>
      </c>
    </row>
    <row r="175" spans="1:21" ht="18.75" hidden="1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256">
        <f ca="1">L178+L181</f>
        <v>19590</v>
      </c>
      <c r="M175" s="255">
        <f ca="1">M178+M181</f>
        <v>34540</v>
      </c>
      <c r="N175" s="255">
        <f ca="1">N178+N181</f>
        <v>33670</v>
      </c>
      <c r="O175" s="255">
        <f ca="1">IF(L175&gt;0,N175*100/L175,0)</f>
        <v>171.87340479836652</v>
      </c>
      <c r="P175" s="255">
        <f ca="1">IF(M175&gt;0,N175*100/M175,0)</f>
        <v>97.481181239143027</v>
      </c>
      <c r="Q175" s="255">
        <f ca="1">Q178+Q181</f>
        <v>0</v>
      </c>
      <c r="R175" s="255">
        <f ca="1">R178+R181</f>
        <v>0</v>
      </c>
      <c r="S175" s="255">
        <f ca="1">S178+S181</f>
        <v>0</v>
      </c>
      <c r="T175" s="255">
        <f ca="1">IF(Q175&gt;0,S175*100/Q175,0)</f>
        <v>0</v>
      </c>
      <c r="U175" s="255">
        <f ca="1">IF(R175&gt;0,S175*100/R175,0)</f>
        <v>0</v>
      </c>
    </row>
    <row r="176" spans="1:21" ht="18.75">
      <c r="A176" s="155"/>
      <c r="B176" s="50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256">
        <f ca="1">L177+L178</f>
        <v>19590</v>
      </c>
      <c r="M176" s="255">
        <f ca="1">M177+M178</f>
        <v>34540</v>
      </c>
      <c r="N176" s="255">
        <f ca="1">N177+N178</f>
        <v>33670</v>
      </c>
      <c r="O176" s="255">
        <f ca="1">IF(L176&gt;0,N176*100/L176,0)</f>
        <v>171.87340479836652</v>
      </c>
      <c r="P176" s="255">
        <f ca="1">IF(M176&gt;0,N176*100/M176,0)</f>
        <v>97.481181239143027</v>
      </c>
      <c r="Q176" s="255">
        <f ca="1">Q177+Q178</f>
        <v>0</v>
      </c>
      <c r="R176" s="255">
        <f ca="1">R177+R178</f>
        <v>0</v>
      </c>
      <c r="S176" s="255">
        <f ca="1">S177+S178</f>
        <v>0</v>
      </c>
      <c r="T176" s="255">
        <f ca="1">IF(Q176&gt;0,S176*100/Q176,0)</f>
        <v>0</v>
      </c>
      <c r="U176" s="255">
        <f ca="1">IF(R176&gt;0,S176*100/R176,0)</f>
        <v>0</v>
      </c>
    </row>
    <row r="177" spans="1:21" ht="18.75" hidden="1">
      <c r="A177" s="155"/>
      <c r="B177" s="50"/>
      <c r="C177" s="50"/>
      <c r="D177" s="50"/>
      <c r="E177" s="186" t="s">
        <v>36</v>
      </c>
      <c r="F177" s="50"/>
      <c r="G177" s="52"/>
      <c r="H177" s="189" t="s">
        <v>14</v>
      </c>
      <c r="I177" s="163"/>
      <c r="J177" s="163"/>
      <c r="K177" s="164"/>
      <c r="L177" s="103">
        <v>0</v>
      </c>
      <c r="M177" s="102">
        <v>0</v>
      </c>
      <c r="N177" s="102">
        <v>0</v>
      </c>
      <c r="O177" s="102">
        <f>IF(L177&gt;0,N177*100/L177,0)</f>
        <v>0</v>
      </c>
      <c r="P177" s="102">
        <f>IF(M177&gt;0,N177*100/M177,0)</f>
        <v>0</v>
      </c>
      <c r="Q177" s="102">
        <v>0</v>
      </c>
      <c r="R177" s="102">
        <v>0</v>
      </c>
      <c r="S177" s="102">
        <v>0</v>
      </c>
      <c r="T177" s="102">
        <f>IF(Q177&gt;0,S177*100/Q177,0)</f>
        <v>0</v>
      </c>
      <c r="U177" s="102">
        <f>IF(R177&gt;0,S177*100/R177,0)</f>
        <v>0</v>
      </c>
    </row>
    <row r="178" spans="1:21" ht="18.75" hidden="1">
      <c r="A178" s="155"/>
      <c r="B178" s="50"/>
      <c r="C178" s="50"/>
      <c r="D178" s="50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256">
        <f ca="1">IFERROR(__xludf.DUMMYFUNCTION("IMPORTRANGE(""https://docs.google.com/spreadsheets/d/1-uDff_7J0KD5mKrp0Vvzr7lt3OU09vwQwhkpOPPYv2Y/edit?usp=sharing"",""งบพรบ!CK39"")"),19590)</f>
        <v>19590</v>
      </c>
      <c r="M178" s="255">
        <f ca="1">IFERROR(__xludf.DUMMYFUNCTION("IMPORTRANGE(""https://docs.google.com/spreadsheets/d/1-uDff_7J0KD5mKrp0Vvzr7lt3OU09vwQwhkpOPPYv2Y/edit?usp=sharing"",""งบพรบ!CP39"")"),34540)</f>
        <v>34540</v>
      </c>
      <c r="N178" s="255">
        <f ca="1">IFERROR(__xludf.DUMMYFUNCTION("IMPORTRANGE(""https://docs.google.com/spreadsheets/d/1-uDff_7J0KD5mKrp0Vvzr7lt3OU09vwQwhkpOPPYv2Y/edit?usp=sharing"",""งบพรบ!CR39"")"),33670)</f>
        <v>33670</v>
      </c>
      <c r="O178" s="255">
        <f ca="1">IF(L178&gt;0,N178*100/L178,0)</f>
        <v>171.87340479836652</v>
      </c>
      <c r="P178" s="255">
        <f ca="1">IF(M178&gt;0,N178*100/M178,0)</f>
        <v>97.481181239143027</v>
      </c>
      <c r="Q178" s="255">
        <f ca="1">IFERROR(__xludf.DUMMYFUNCTION("IMPORTRANGE(""https://docs.google.com/spreadsheets/d/1ItG2mGa2ceCfYo0BwxsXqNm01IGEUdYcSSLTEv9YCik/edit?usp=sharing"",""เบิกจ่ายกองทุน!BE39"")"),0)</f>
        <v>0</v>
      </c>
      <c r="R178" s="255">
        <f ca="1">IFERROR(__xludf.DUMMYFUNCTION("IMPORTRANGE(""https://docs.google.com/spreadsheets/d/1ItG2mGa2ceCfYo0BwxsXqNm01IGEUdYcSSLTEv9YCik/edit?usp=sharing"",""เบิกจ่ายกองทุน!BF39"")"),0)</f>
        <v>0</v>
      </c>
      <c r="S178" s="255">
        <f ca="1">IFERROR(__xludf.DUMMYFUNCTION("IMPORTRANGE(""https://docs.google.com/spreadsheets/d/1ItG2mGa2ceCfYo0BwxsXqNm01IGEUdYcSSLTEv9YCik/edit?usp=sharing"",""เบิกจ่ายกองทุน!BG39"")"),0)</f>
        <v>0</v>
      </c>
      <c r="T178" s="255">
        <f ca="1">IF(Q178&gt;0,S178*100/Q178,0)</f>
        <v>0</v>
      </c>
      <c r="U178" s="255">
        <f ca="1">IF(R178&gt;0,S178*100/R178,0)</f>
        <v>0</v>
      </c>
    </row>
    <row r="179" spans="1:21" ht="18.75">
      <c r="A179" s="155"/>
      <c r="B179" s="50"/>
      <c r="C179" s="50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256">
        <f ca="1">L180+L181</f>
        <v>0</v>
      </c>
      <c r="M179" s="255">
        <f ca="1">M180+M181</f>
        <v>0</v>
      </c>
      <c r="N179" s="255">
        <f ca="1">N180+N181</f>
        <v>0</v>
      </c>
      <c r="O179" s="255">
        <f ca="1">IF(L179&gt;0,N179*100/L179,0)</f>
        <v>0</v>
      </c>
      <c r="P179" s="255">
        <f ca="1">IF(M179&gt;0,N179*100/M179,0)</f>
        <v>0</v>
      </c>
      <c r="Q179" s="255">
        <f>Q180+Q181</f>
        <v>0</v>
      </c>
      <c r="R179" s="255">
        <f>R180+R181</f>
        <v>0</v>
      </c>
      <c r="S179" s="255">
        <f>S180+S181</f>
        <v>0</v>
      </c>
      <c r="T179" s="255">
        <f>IF(Q179&gt;0,S179*100/Q179,0)</f>
        <v>0</v>
      </c>
      <c r="U179" s="255">
        <f>IF(R179&gt;0,S179*100/R179,0)</f>
        <v>0</v>
      </c>
    </row>
    <row r="180" spans="1:21" ht="18.75" hidden="1">
      <c r="A180" s="155"/>
      <c r="B180" s="50"/>
      <c r="C180" s="50"/>
      <c r="D180" s="50"/>
      <c r="E180" s="186" t="s">
        <v>20</v>
      </c>
      <c r="F180" s="50"/>
      <c r="G180" s="52"/>
      <c r="H180" s="189" t="s">
        <v>14</v>
      </c>
      <c r="I180" s="163"/>
      <c r="J180" s="163"/>
      <c r="K180" s="164"/>
      <c r="L180" s="103">
        <v>0</v>
      </c>
      <c r="M180" s="102">
        <v>0</v>
      </c>
      <c r="N180" s="102">
        <v>0</v>
      </c>
      <c r="O180" s="102">
        <f>IF(L180&gt;0,N180*100/L180,0)</f>
        <v>0</v>
      </c>
      <c r="P180" s="102">
        <f>IF(M180&gt;0,N180*100/M180,0)</f>
        <v>0</v>
      </c>
      <c r="Q180" s="102">
        <v>0</v>
      </c>
      <c r="R180" s="102">
        <v>0</v>
      </c>
      <c r="S180" s="102">
        <v>0</v>
      </c>
      <c r="T180" s="102">
        <f>IF(Q180&gt;0,S180*100/Q180,0)</f>
        <v>0</v>
      </c>
      <c r="U180" s="102">
        <f>IF(R180&gt;0,S180*100/R180,0)</f>
        <v>0</v>
      </c>
    </row>
    <row r="181" spans="1:21" ht="18.75" hidden="1">
      <c r="A181" s="155"/>
      <c r="B181" s="50"/>
      <c r="C181" s="50"/>
      <c r="D181" s="50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256">
        <f ca="1">IFERROR(__xludf.DUMMYFUNCTION("IMPORTRANGE(""https://docs.google.com/spreadsheets/d/1-uDff_7J0KD5mKrp0Vvzr7lt3OU09vwQwhkpOPPYv2Y/edit?usp=sharing"",""งบพรบ!CN39"")"),0)</f>
        <v>0</v>
      </c>
      <c r="M181" s="255">
        <f ca="1">IFERROR(__xludf.DUMMYFUNCTION("IMPORTRANGE(""https://docs.google.com/spreadsheets/d/1-uDff_7J0KD5mKrp0Vvzr7lt3OU09vwQwhkpOPPYv2Y/edit?usp=sharing"",""งบพรบ!CQ39"")"),0)</f>
        <v>0</v>
      </c>
      <c r="N181" s="255">
        <f ca="1">IFERROR(__xludf.DUMMYFUNCTION("IMPORTRANGE(""https://docs.google.com/spreadsheets/d/1-uDff_7J0KD5mKrp0Vvzr7lt3OU09vwQwhkpOPPYv2Y/edit?usp=sharing"",""งบพรบ!CS39"")"),0)</f>
        <v>0</v>
      </c>
      <c r="O181" s="255">
        <f ca="1">IF(L181&gt;0,N181*100/L181,0)</f>
        <v>0</v>
      </c>
      <c r="P181" s="255">
        <f ca="1">IF(M181&gt;0,N181*100/M181,0)</f>
        <v>0</v>
      </c>
      <c r="Q181" s="255">
        <v>0</v>
      </c>
      <c r="R181" s="255">
        <v>0</v>
      </c>
      <c r="S181" s="255">
        <v>0</v>
      </c>
      <c r="T181" s="255">
        <f>IF(Q181&gt;0,S181*100/Q181,0)</f>
        <v>0</v>
      </c>
      <c r="U181" s="255">
        <f>IF(R181&gt;0,S181*100/R181,0)</f>
        <v>0</v>
      </c>
    </row>
    <row r="182" spans="1:21" ht="19.5">
      <c r="A182" s="166"/>
      <c r="B182" s="167"/>
      <c r="C182" s="156" t="s">
        <v>18</v>
      </c>
      <c r="D182" s="566" t="s">
        <v>38</v>
      </c>
      <c r="E182" s="169"/>
      <c r="F182" s="169"/>
      <c r="G182" s="170"/>
      <c r="H182" s="206"/>
      <c r="I182" s="54"/>
      <c r="J182" s="54"/>
      <c r="K182" s="55"/>
      <c r="L182" s="62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40" t="s">
        <v>35</v>
      </c>
      <c r="I183" s="212">
        <f ca="1">IFERROR(__xludf.DUMMYFUNCTION("IMPORTRANGE(""https://docs.google.com/spreadsheets/d/1eHaY18a8A9IcSdp1K8H6x8fbOy06t2VsZHhMHf-1x7Y/edit?usp=sharing"",""แผน!AA39"")"),7)</f>
        <v>7</v>
      </c>
      <c r="J183" s="467">
        <v>7</v>
      </c>
      <c r="K183" s="255">
        <f ca="1">IF(I183&gt;0,J183*100/I183,0)</f>
        <v>100</v>
      </c>
      <c r="L183" s="62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8.75" hidden="1">
      <c r="A184" s="238"/>
      <c r="B184" s="188"/>
      <c r="C184" s="188"/>
      <c r="D184" s="358" t="s">
        <v>76</v>
      </c>
      <c r="E184" s="50"/>
      <c r="F184" s="50"/>
      <c r="G184" s="52"/>
      <c r="H184" s="590" t="s">
        <v>35</v>
      </c>
      <c r="I184" s="483">
        <v>0</v>
      </c>
      <c r="J184" s="483">
        <v>0</v>
      </c>
      <c r="K184" s="102">
        <f>IF(I184&gt;0,J184*100/I184,0)</f>
        <v>0</v>
      </c>
      <c r="L184" s="62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233" t="s">
        <v>35</v>
      </c>
      <c r="I185" s="718">
        <f ca="1">I230+I231</f>
        <v>0</v>
      </c>
      <c r="J185" s="718">
        <f>J230+J231</f>
        <v>0</v>
      </c>
      <c r="K185" s="717">
        <f ca="1">IF(I185&gt;0,J185*100/I185,0)</f>
        <v>0</v>
      </c>
      <c r="L185" s="237"/>
      <c r="M185" s="236"/>
      <c r="N185" s="236"/>
      <c r="O185" s="236"/>
      <c r="P185" s="236"/>
      <c r="Q185" s="236"/>
      <c r="R185" s="236"/>
      <c r="S185" s="236"/>
      <c r="T185" s="236"/>
      <c r="U185" s="236"/>
    </row>
    <row r="186" spans="1:21" ht="19.5">
      <c r="A186" s="155"/>
      <c r="B186" s="50"/>
      <c r="C186" s="156" t="s">
        <v>18</v>
      </c>
      <c r="D186" s="575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541">
        <f ca="1">L187+L188</f>
        <v>43500</v>
      </c>
      <c r="M186" s="540">
        <f ca="1">M187+M188</f>
        <v>27500</v>
      </c>
      <c r="N186" s="540">
        <f ca="1">N187+N188</f>
        <v>3620</v>
      </c>
      <c r="O186" s="540">
        <f ca="1">IF(L186&gt;0,N186*100/L186,0)</f>
        <v>8.3218390804597693</v>
      </c>
      <c r="P186" s="540">
        <f ca="1">IF(M186&gt;0,N186*100/M186,0)</f>
        <v>13.163636363636364</v>
      </c>
      <c r="Q186" s="540">
        <f ca="1">Q187+Q188</f>
        <v>28000</v>
      </c>
      <c r="R186" s="540">
        <f ca="1">R187+R188</f>
        <v>28000</v>
      </c>
      <c r="S186" s="540">
        <f ca="1">S187+S188</f>
        <v>0</v>
      </c>
      <c r="T186" s="540">
        <f ca="1">IF(Q186&gt;0,S186*100/Q186,0)</f>
        <v>0</v>
      </c>
      <c r="U186" s="540">
        <f ca="1">IF(R186&gt;0,S186*100/R186,0)</f>
        <v>0</v>
      </c>
    </row>
    <row r="187" spans="1:21" ht="18.75" hidden="1">
      <c r="A187" s="155"/>
      <c r="B187" s="50"/>
      <c r="C187" s="50"/>
      <c r="D187" s="50"/>
      <c r="E187" s="186" t="s">
        <v>20</v>
      </c>
      <c r="F187" s="50"/>
      <c r="G187" s="52"/>
      <c r="H187" s="187" t="s">
        <v>14</v>
      </c>
      <c r="I187" s="54"/>
      <c r="J187" s="54"/>
      <c r="K187" s="55"/>
      <c r="L187" s="103">
        <f>L190+L193</f>
        <v>0</v>
      </c>
      <c r="M187" s="102">
        <f>M190+M193</f>
        <v>0</v>
      </c>
      <c r="N187" s="102">
        <f>N190+N193</f>
        <v>0</v>
      </c>
      <c r="O187" s="102">
        <f>IF(L187&gt;0,N187*100/L187,0)</f>
        <v>0</v>
      </c>
      <c r="P187" s="102">
        <f>IF(M187&gt;0,N187*100/M187,0)</f>
        <v>0</v>
      </c>
      <c r="Q187" s="102">
        <f>Q190+Q193</f>
        <v>0</v>
      </c>
      <c r="R187" s="102">
        <f>R190+R193</f>
        <v>0</v>
      </c>
      <c r="S187" s="102">
        <f>S190+S193</f>
        <v>0</v>
      </c>
      <c r="T187" s="102">
        <f>IF(Q187&gt;0,S187*100/Q187,0)</f>
        <v>0</v>
      </c>
      <c r="U187" s="102">
        <f>IF(R187&gt;0,S187*100/R187,0)</f>
        <v>0</v>
      </c>
    </row>
    <row r="188" spans="1:21" ht="18.75" hidden="1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256">
        <f ca="1">L191+L194</f>
        <v>43500</v>
      </c>
      <c r="M188" s="255">
        <f ca="1">M191+M194</f>
        <v>27500</v>
      </c>
      <c r="N188" s="255">
        <f ca="1">N191+N194</f>
        <v>3620</v>
      </c>
      <c r="O188" s="255">
        <f ca="1">IF(L188&gt;0,N188*100/L188,0)</f>
        <v>8.3218390804597693</v>
      </c>
      <c r="P188" s="255">
        <f ca="1">IF(M188&gt;0,N188*100/M188,0)</f>
        <v>13.163636363636364</v>
      </c>
      <c r="Q188" s="255">
        <f ca="1">Q191+Q194</f>
        <v>28000</v>
      </c>
      <c r="R188" s="255">
        <f ca="1">R191+R194</f>
        <v>28000</v>
      </c>
      <c r="S188" s="255">
        <f ca="1">S191+S194</f>
        <v>0</v>
      </c>
      <c r="T188" s="255">
        <f ca="1">IF(Q188&gt;0,S188*100/Q188,0)</f>
        <v>0</v>
      </c>
      <c r="U188" s="255">
        <f ca="1">IF(R188&gt;0,S188*100/R188,0)</f>
        <v>0</v>
      </c>
    </row>
    <row r="189" spans="1:21" ht="18.75">
      <c r="A189" s="155"/>
      <c r="B189" s="50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256">
        <f ca="1">L190+L191</f>
        <v>43500</v>
      </c>
      <c r="M189" s="255">
        <f ca="1">M190+M191</f>
        <v>27500</v>
      </c>
      <c r="N189" s="255">
        <f ca="1">N190+N191</f>
        <v>3620</v>
      </c>
      <c r="O189" s="255">
        <f ca="1">IF(L189&gt;0,N189*100/L189,0)</f>
        <v>8.3218390804597693</v>
      </c>
      <c r="P189" s="255">
        <f ca="1">IF(M189&gt;0,N189*100/M189,0)</f>
        <v>13.163636363636364</v>
      </c>
      <c r="Q189" s="255">
        <f ca="1">Q190+Q191</f>
        <v>28000</v>
      </c>
      <c r="R189" s="255">
        <f ca="1">R190+R191</f>
        <v>28000</v>
      </c>
      <c r="S189" s="255">
        <f ca="1">S190+S191</f>
        <v>0</v>
      </c>
      <c r="T189" s="255">
        <f ca="1">IF(Q189&gt;0,S189*100/Q189,0)</f>
        <v>0</v>
      </c>
      <c r="U189" s="255">
        <f ca="1">IF(R189&gt;0,S189*100/R189,0)</f>
        <v>0</v>
      </c>
    </row>
    <row r="190" spans="1:21" ht="18.75" hidden="1">
      <c r="A190" s="155"/>
      <c r="B190" s="50"/>
      <c r="C190" s="50"/>
      <c r="D190" s="50"/>
      <c r="E190" s="186" t="s">
        <v>36</v>
      </c>
      <c r="F190" s="50"/>
      <c r="G190" s="52"/>
      <c r="H190" s="189" t="s">
        <v>14</v>
      </c>
      <c r="I190" s="163"/>
      <c r="J190" s="163"/>
      <c r="K190" s="164"/>
      <c r="L190" s="103">
        <v>0</v>
      </c>
      <c r="M190" s="102">
        <v>0</v>
      </c>
      <c r="N190" s="102">
        <v>0</v>
      </c>
      <c r="O190" s="102">
        <f>IF(L190&gt;0,N190*100/L190,0)</f>
        <v>0</v>
      </c>
      <c r="P190" s="102">
        <f>IF(M190&gt;0,N190*100/M190,0)</f>
        <v>0</v>
      </c>
      <c r="Q190" s="102">
        <v>0</v>
      </c>
      <c r="R190" s="102">
        <v>0</v>
      </c>
      <c r="S190" s="102">
        <v>0</v>
      </c>
      <c r="T190" s="102">
        <f>IF(Q190&gt;0,S190*100/Q190,0)</f>
        <v>0</v>
      </c>
      <c r="U190" s="102">
        <f>IF(R190&gt;0,S190*100/R190,0)</f>
        <v>0</v>
      </c>
    </row>
    <row r="191" spans="1:21" ht="18.75" hidden="1">
      <c r="A191" s="155"/>
      <c r="B191" s="50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256">
        <f ca="1">IFERROR(__xludf.DUMMYFUNCTION("IMPORTRANGE(""https://docs.google.com/spreadsheets/d/1-uDff_7J0KD5mKrp0Vvzr7lt3OU09vwQwhkpOPPYv2Y/edit?usp=sharing"",""งบพรบ!CU39"")"),43500)</f>
        <v>43500</v>
      </c>
      <c r="M191" s="255">
        <f ca="1">IFERROR(__xludf.DUMMYFUNCTION("IMPORTRANGE(""https://docs.google.com/spreadsheets/d/1-uDff_7J0KD5mKrp0Vvzr7lt3OU09vwQwhkpOPPYv2Y/edit?usp=sharing"",""งบพรบ!CZ39"")"),27500)</f>
        <v>27500</v>
      </c>
      <c r="N191" s="255">
        <f ca="1">IFERROR(__xludf.DUMMYFUNCTION("IMPORTRANGE(""https://docs.google.com/spreadsheets/d/1-uDff_7J0KD5mKrp0Vvzr7lt3OU09vwQwhkpOPPYv2Y/edit?usp=sharing"",""งบพรบ!DB39"")"),3620)</f>
        <v>3620</v>
      </c>
      <c r="O191" s="255">
        <f ca="1">IF(L191&gt;0,N191*100/L191,0)</f>
        <v>8.3218390804597693</v>
      </c>
      <c r="P191" s="255">
        <f ca="1">IF(M191&gt;0,N191*100/M191,0)</f>
        <v>13.163636363636364</v>
      </c>
      <c r="Q191" s="255">
        <f ca="1">IFERROR(__xludf.DUMMYFUNCTION("IMPORTRANGE(""https://docs.google.com/spreadsheets/d/1ItG2mGa2ceCfYo0BwxsXqNm01IGEUdYcSSLTEv9YCik/edit?usp=sharing"",""เบิกจ่ายกองทุน!AV39"")"),28000)</f>
        <v>28000</v>
      </c>
      <c r="R191" s="255">
        <f ca="1">IFERROR(__xludf.DUMMYFUNCTION("IMPORTRANGE(""https://docs.google.com/spreadsheets/d/1ItG2mGa2ceCfYo0BwxsXqNm01IGEUdYcSSLTEv9YCik/edit?usp=sharing"",""เบิกจ่ายกองทุน!AW39"")"),28000)</f>
        <v>28000</v>
      </c>
      <c r="S191" s="255">
        <f ca="1">IFERROR(__xludf.DUMMYFUNCTION("IMPORTRANGE(""https://docs.google.com/spreadsheets/d/1ItG2mGa2ceCfYo0BwxsXqNm01IGEUdYcSSLTEv9YCik/edit?usp=sharing"",""เบิกจ่ายกองทุน!AX39"")"),0)</f>
        <v>0</v>
      </c>
      <c r="T191" s="255">
        <f ca="1">IF(Q191&gt;0,S191*100/Q191,0)</f>
        <v>0</v>
      </c>
      <c r="U191" s="255">
        <f ca="1">IF(R191&gt;0,S191*100/R191,0)</f>
        <v>0</v>
      </c>
    </row>
    <row r="192" spans="1:21" ht="18.75">
      <c r="A192" s="155"/>
      <c r="B192" s="50"/>
      <c r="C192" s="50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256">
        <f ca="1">L193+L194</f>
        <v>0</v>
      </c>
      <c r="M192" s="255">
        <f ca="1">M193+M194</f>
        <v>0</v>
      </c>
      <c r="N192" s="255">
        <f ca="1">N193+N194</f>
        <v>0</v>
      </c>
      <c r="O192" s="255">
        <f ca="1">IF(L192&gt;0,N192*100/L192,0)</f>
        <v>0</v>
      </c>
      <c r="P192" s="255">
        <f ca="1">IF(M192&gt;0,N192*100/M192,0)</f>
        <v>0</v>
      </c>
      <c r="Q192" s="255">
        <f>Q193+Q194</f>
        <v>0</v>
      </c>
      <c r="R192" s="255">
        <f>R193+R194</f>
        <v>0</v>
      </c>
      <c r="S192" s="255">
        <f>S193+S194</f>
        <v>0</v>
      </c>
      <c r="T192" s="255">
        <f>IF(Q192&gt;0,S192*100/Q192,0)</f>
        <v>0</v>
      </c>
      <c r="U192" s="255">
        <f>IF(R192&gt;0,S192*100/R192,0)</f>
        <v>0</v>
      </c>
    </row>
    <row r="193" spans="1:21" ht="18.75" hidden="1">
      <c r="A193" s="155"/>
      <c r="B193" s="50"/>
      <c r="C193" s="50"/>
      <c r="D193" s="50"/>
      <c r="E193" s="186" t="s">
        <v>20</v>
      </c>
      <c r="F193" s="50"/>
      <c r="G193" s="52"/>
      <c r="H193" s="189" t="s">
        <v>14</v>
      </c>
      <c r="I193" s="163"/>
      <c r="J193" s="163"/>
      <c r="K193" s="164"/>
      <c r="L193" s="103">
        <v>0</v>
      </c>
      <c r="M193" s="102">
        <v>0</v>
      </c>
      <c r="N193" s="102">
        <v>0</v>
      </c>
      <c r="O193" s="102">
        <f>IF(L193&gt;0,N193*100/L193,0)</f>
        <v>0</v>
      </c>
      <c r="P193" s="102">
        <f>IF(M193&gt;0,N193*100/M193,0)</f>
        <v>0</v>
      </c>
      <c r="Q193" s="102">
        <v>0</v>
      </c>
      <c r="R193" s="102">
        <v>0</v>
      </c>
      <c r="S193" s="102">
        <v>0</v>
      </c>
      <c r="T193" s="102">
        <f>IF(Q193&gt;0,S193*100/Q193,0)</f>
        <v>0</v>
      </c>
      <c r="U193" s="102">
        <f>IF(R193&gt;0,S193*100/R193,0)</f>
        <v>0</v>
      </c>
    </row>
    <row r="194" spans="1:21" ht="18.75" hidden="1">
      <c r="A194" s="155"/>
      <c r="B194" s="50"/>
      <c r="C194" s="50"/>
      <c r="D194" s="50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256">
        <f ca="1">IFERROR(__xludf.DUMMYFUNCTION("IMPORTRANGE(""https://docs.google.com/spreadsheets/d/1-uDff_7J0KD5mKrp0Vvzr7lt3OU09vwQwhkpOPPYv2Y/edit?usp=sharing"",""งบพรบ!CX39"")"),0)</f>
        <v>0</v>
      </c>
      <c r="M194" s="255">
        <f ca="1">IFERROR(__xludf.DUMMYFUNCTION("IMPORTRANGE(""https://docs.google.com/spreadsheets/d/1-uDff_7J0KD5mKrp0Vvzr7lt3OU09vwQwhkpOPPYv2Y/edit?usp=sharing"",""งบพรบ!DA39"")"),0)</f>
        <v>0</v>
      </c>
      <c r="N194" s="255">
        <f ca="1">IFERROR(__xludf.DUMMYFUNCTION("IMPORTRANGE(""https://docs.google.com/spreadsheets/d/1-uDff_7J0KD5mKrp0Vvzr7lt3OU09vwQwhkpOPPYv2Y/edit?usp=sharing"",""งบพรบ!DC39"")"),0)</f>
        <v>0</v>
      </c>
      <c r="O194" s="255">
        <f ca="1">IF(L194&gt;0,N194*100/L194,0)</f>
        <v>0</v>
      </c>
      <c r="P194" s="255">
        <f ca="1">IF(M194&gt;0,N194*100/M194,0)</f>
        <v>0</v>
      </c>
      <c r="Q194" s="255">
        <v>0</v>
      </c>
      <c r="R194" s="255">
        <v>0</v>
      </c>
      <c r="S194" s="255">
        <v>0</v>
      </c>
      <c r="T194" s="255">
        <f>IF(Q194&gt;0,S194*100/Q194,0)</f>
        <v>0</v>
      </c>
      <c r="U194" s="255">
        <f>IF(R194&gt;0,S194*100/R194,0)</f>
        <v>0</v>
      </c>
    </row>
    <row r="195" spans="1:21" ht="19.5">
      <c r="A195" s="241"/>
      <c r="B195" s="242"/>
      <c r="C195" s="243" t="s">
        <v>78</v>
      </c>
      <c r="D195" s="244"/>
      <c r="E195" s="244"/>
      <c r="F195" s="244"/>
      <c r="G195" s="245"/>
      <c r="H195" s="246" t="s">
        <v>79</v>
      </c>
      <c r="I195" s="339">
        <f ca="1">I198</f>
        <v>4</v>
      </c>
      <c r="J195" s="339">
        <f>J198</f>
        <v>2</v>
      </c>
      <c r="K195" s="340">
        <f ca="1">IF(I195&gt;0,J195*100/I195,0)</f>
        <v>50</v>
      </c>
      <c r="L195" s="250"/>
      <c r="M195" s="249"/>
      <c r="N195" s="249"/>
      <c r="O195" s="249"/>
      <c r="P195" s="249"/>
      <c r="Q195" s="249"/>
      <c r="R195" s="249"/>
      <c r="S195" s="249"/>
      <c r="T195" s="249"/>
      <c r="U195" s="249"/>
    </row>
    <row r="196" spans="1:21" ht="19.5">
      <c r="A196" s="155"/>
      <c r="B196" s="50"/>
      <c r="C196" s="156" t="s">
        <v>18</v>
      </c>
      <c r="D196" s="713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541">
        <f ca="1">IFERROR(__xludf.DUMMYFUNCTION("IMPORTRANGE(""https://docs.google.com/spreadsheets/d/1eHaY18a8A9IcSdp1K8H6x8fbOy06t2VsZHhMHf-1x7Y/edit?usp=sharing"",""แผน!AB39"")"),6000)</f>
        <v>6000</v>
      </c>
      <c r="M196" s="55"/>
      <c r="N196" s="716">
        <v>2860</v>
      </c>
      <c r="O196" s="540">
        <f ca="1">IF(L196&gt;0,N196*100/L196,0)</f>
        <v>47.666666666666664</v>
      </c>
      <c r="P196" s="540">
        <f>IF(M196&gt;0,N196*100/M196,0)</f>
        <v>0</v>
      </c>
      <c r="Q196" s="55"/>
      <c r="R196" s="55"/>
      <c r="S196" s="55"/>
      <c r="T196" s="55"/>
      <c r="U196" s="55"/>
    </row>
    <row r="197" spans="1:21" ht="19.5">
      <c r="A197" s="166"/>
      <c r="B197" s="167"/>
      <c r="C197" s="156" t="s">
        <v>18</v>
      </c>
      <c r="D197" s="566" t="s">
        <v>38</v>
      </c>
      <c r="E197" s="169"/>
      <c r="F197" s="169"/>
      <c r="G197" s="170"/>
      <c r="H197" s="171"/>
      <c r="I197" s="54"/>
      <c r="J197" s="54"/>
      <c r="K197" s="55"/>
      <c r="L197" s="62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8.75">
      <c r="A198" s="166"/>
      <c r="B198" s="167"/>
      <c r="C198" s="167"/>
      <c r="D198" s="178" t="s">
        <v>80</v>
      </c>
      <c r="E198" s="174"/>
      <c r="F198" s="174"/>
      <c r="G198" s="171"/>
      <c r="H198" s="179" t="s">
        <v>79</v>
      </c>
      <c r="I198" s="212">
        <f ca="1">IFERROR(__xludf.DUMMYFUNCTION("IMPORTRANGE(""https://docs.google.com/spreadsheets/d/1eHaY18a8A9IcSdp1K8H6x8fbOy06t2VsZHhMHf-1x7Y/edit?usp=sharing"",""แผน!AE39"")"),4)</f>
        <v>4</v>
      </c>
      <c r="J198" s="467">
        <v>2</v>
      </c>
      <c r="K198" s="255">
        <f ca="1">IF(I198&gt;0,J198*100/I198,0)</f>
        <v>50</v>
      </c>
      <c r="L198" s="62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8.75">
      <c r="A199" s="166"/>
      <c r="B199" s="167"/>
      <c r="C199" s="167"/>
      <c r="D199" s="178" t="s">
        <v>81</v>
      </c>
      <c r="E199" s="174"/>
      <c r="F199" s="174"/>
      <c r="G199" s="171"/>
      <c r="H199" s="240" t="s">
        <v>35</v>
      </c>
      <c r="I199" s="54"/>
      <c r="J199" s="212">
        <f>J200+J201</f>
        <v>84</v>
      </c>
      <c r="K199" s="55"/>
      <c r="L199" s="62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467">
        <v>84</v>
      </c>
      <c r="K200" s="55"/>
      <c r="L200" s="62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40" t="s">
        <v>35</v>
      </c>
      <c r="I201" s="54"/>
      <c r="J201" s="467">
        <v>0</v>
      </c>
      <c r="K201" s="55"/>
      <c r="L201" s="62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254" t="s">
        <v>85</v>
      </c>
      <c r="I202" s="339">
        <f ca="1">I209</f>
        <v>2</v>
      </c>
      <c r="J202" s="339">
        <f>J209</f>
        <v>0</v>
      </c>
      <c r="K202" s="340">
        <f ca="1">IF(I202&gt;0,J202*100/I202,0)</f>
        <v>0</v>
      </c>
      <c r="L202" s="250"/>
      <c r="M202" s="249"/>
      <c r="N202" s="249"/>
      <c r="O202" s="249"/>
      <c r="P202" s="249"/>
      <c r="Q202" s="249"/>
      <c r="R202" s="249"/>
      <c r="S202" s="249"/>
      <c r="T202" s="249"/>
      <c r="U202" s="249"/>
    </row>
    <row r="203" spans="1:21" ht="19.5">
      <c r="A203" s="155"/>
      <c r="B203" s="50"/>
      <c r="C203" s="156" t="s">
        <v>18</v>
      </c>
      <c r="D203" s="713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541">
        <f ca="1">L204+L205+L206+L207</f>
        <v>13000</v>
      </c>
      <c r="M203" s="55"/>
      <c r="N203" s="540">
        <f>N204+N205+N206+N207</f>
        <v>0</v>
      </c>
      <c r="O203" s="540">
        <f ca="1">IF(L203&gt;0,N203*100/L203,0)</f>
        <v>0</v>
      </c>
      <c r="P203" s="540">
        <f>IF(M203&gt;0,N203*100/M203,0)</f>
        <v>0</v>
      </c>
      <c r="Q203" s="715">
        <f ca="1">Q204+Q205+Q206+Q207</f>
        <v>28000</v>
      </c>
      <c r="R203" s="350"/>
      <c r="S203" s="714">
        <f>S204+S205+S206+S207</f>
        <v>0</v>
      </c>
      <c r="T203" s="714">
        <f ca="1">IF(Q203&gt;0,S203*100/Q203,0)</f>
        <v>0</v>
      </c>
      <c r="U203" s="714">
        <f>IF(R203&gt;0,S203*100/R203,0)</f>
        <v>0</v>
      </c>
    </row>
    <row r="204" spans="1:21" ht="18.75">
      <c r="A204" s="155"/>
      <c r="B204" s="188"/>
      <c r="C204" s="50"/>
      <c r="D204" s="712" t="s">
        <v>310</v>
      </c>
      <c r="E204" s="50"/>
      <c r="F204" s="50"/>
      <c r="G204" s="52"/>
      <c r="H204" s="162" t="s">
        <v>14</v>
      </c>
      <c r="I204" s="163"/>
      <c r="J204" s="163"/>
      <c r="K204" s="164"/>
      <c r="L204" s="256">
        <f ca="1">IFERROR(__xludf.DUMMYFUNCTION("IMPORTRANGE(""https://docs.google.com/spreadsheets/d/1eHaY18a8A9IcSdp1K8H6x8fbOy06t2VsZHhMHf-1x7Y/edit?usp=sharing"",""แผน!AG39"")"),2000)</f>
        <v>2000</v>
      </c>
      <c r="M204" s="55"/>
      <c r="N204" s="702">
        <v>0</v>
      </c>
      <c r="O204" s="164"/>
      <c r="P204" s="55"/>
      <c r="Q204" s="256">
        <v>0</v>
      </c>
      <c r="R204" s="55"/>
      <c r="S204" s="255">
        <v>0</v>
      </c>
      <c r="T204" s="164"/>
      <c r="U204" s="55"/>
    </row>
    <row r="205" spans="1:21" ht="18.75">
      <c r="A205" s="238"/>
      <c r="B205" s="188"/>
      <c r="C205" s="50"/>
      <c r="D205" s="58" t="s">
        <v>308</v>
      </c>
      <c r="E205" s="50"/>
      <c r="F205" s="50"/>
      <c r="G205" s="52"/>
      <c r="H205" s="53" t="s">
        <v>14</v>
      </c>
      <c r="I205" s="54"/>
      <c r="J205" s="54"/>
      <c r="K205" s="55"/>
      <c r="L205" s="256">
        <f ca="1">IFERROR(__xludf.DUMMYFUNCTION("IMPORTRANGE(""https://docs.google.com/spreadsheets/d/1eHaY18a8A9IcSdp1K8H6x8fbOy06t2VsZHhMHf-1x7Y/edit?usp=sharing"",""แผน!AH39"")"),0)</f>
        <v>0</v>
      </c>
      <c r="M205" s="55"/>
      <c r="N205" s="702">
        <v>0</v>
      </c>
      <c r="O205" s="164"/>
      <c r="P205" s="55"/>
      <c r="Q205" s="256">
        <v>0</v>
      </c>
      <c r="R205" s="55"/>
      <c r="S205" s="255">
        <v>0</v>
      </c>
      <c r="T205" s="164"/>
      <c r="U205" s="55"/>
    </row>
    <row r="206" spans="1:21" ht="18.75">
      <c r="A206" s="238"/>
      <c r="B206" s="188"/>
      <c r="C206" s="50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256">
        <f ca="1">IFERROR(__xludf.DUMMYFUNCTION("IMPORTRANGE(""https://docs.google.com/spreadsheets/d/1eHaY18a8A9IcSdp1K8H6x8fbOy06t2VsZHhMHf-1x7Y/edit?usp=sharing"",""แผน!AI39"")"),0)</f>
        <v>0</v>
      </c>
      <c r="M206" s="55"/>
      <c r="N206" s="702">
        <v>0</v>
      </c>
      <c r="O206" s="164"/>
      <c r="P206" s="55"/>
      <c r="Q206" s="256">
        <f ca="1">IFERROR(__xludf.DUMMYFUNCTION("IMPORTRANGE(""https://docs.google.com/spreadsheets/d/1eHaY18a8A9IcSdp1K8H6x8fbOy06t2VsZHhMHf-1x7Y/edit?usp=sharing"",""แผน!LV39"")"),28000)</f>
        <v>28000</v>
      </c>
      <c r="R206" s="55"/>
      <c r="S206" s="702">
        <v>0</v>
      </c>
      <c r="T206" s="164"/>
      <c r="U206" s="55"/>
    </row>
    <row r="207" spans="1:21" ht="18.75">
      <c r="A207" s="238"/>
      <c r="B207" s="188"/>
      <c r="C207" s="50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256">
        <f ca="1">IFERROR(__xludf.DUMMYFUNCTION("IMPORTRANGE(""https://docs.google.com/spreadsheets/d/1eHaY18a8A9IcSdp1K8H6x8fbOy06t2VsZHhMHf-1x7Y/edit?usp=sharing"",""แผน!AJ39"")"),11000)</f>
        <v>11000</v>
      </c>
      <c r="M207" s="55"/>
      <c r="N207" s="702">
        <v>0</v>
      </c>
      <c r="O207" s="164"/>
      <c r="P207" s="55"/>
      <c r="Q207" s="256">
        <v>0</v>
      </c>
      <c r="R207" s="55"/>
      <c r="S207" s="255">
        <v>0</v>
      </c>
      <c r="T207" s="164"/>
      <c r="U207" s="55"/>
    </row>
    <row r="208" spans="1:21" ht="19.5">
      <c r="A208" s="166"/>
      <c r="B208" s="167"/>
      <c r="C208" s="156" t="s">
        <v>18</v>
      </c>
      <c r="D208" s="566" t="s">
        <v>38</v>
      </c>
      <c r="E208" s="169"/>
      <c r="F208" s="169"/>
      <c r="G208" s="170"/>
      <c r="H208" s="171"/>
      <c r="I208" s="163"/>
      <c r="J208" s="163"/>
      <c r="K208" s="164"/>
      <c r="L208" s="172"/>
      <c r="M208" s="164"/>
      <c r="N208" s="164"/>
      <c r="O208" s="164"/>
      <c r="P208" s="164"/>
      <c r="Q208" s="172"/>
      <c r="R208" s="164"/>
      <c r="S208" s="164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257" t="s">
        <v>85</v>
      </c>
      <c r="I209" s="212">
        <f ca="1">IFERROR(__xludf.DUMMYFUNCTION("IMPORTRANGE(""https://docs.google.com/spreadsheets/d/1eHaY18a8A9IcSdp1K8H6x8fbOy06t2VsZHhMHf-1x7Y/edit?usp=sharing"",""แผน!AK39"")"),2)</f>
        <v>2</v>
      </c>
      <c r="J209" s="467">
        <v>0</v>
      </c>
      <c r="K209" s="565">
        <f ca="1">IF(I209&gt;0,J209*100/I209,0)</f>
        <v>0</v>
      </c>
      <c r="L209" s="62"/>
      <c r="M209" s="55"/>
      <c r="N209" s="55"/>
      <c r="O209" s="55"/>
      <c r="P209" s="55"/>
      <c r="Q209" s="62"/>
      <c r="R209" s="55"/>
      <c r="S209" s="55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171"/>
      <c r="I210" s="54"/>
      <c r="J210" s="54"/>
      <c r="K210" s="164"/>
      <c r="L210" s="62"/>
      <c r="M210" s="55"/>
      <c r="N210" s="55"/>
      <c r="O210" s="55"/>
      <c r="P210" s="55"/>
      <c r="Q210" s="62"/>
      <c r="R210" s="55"/>
      <c r="S210" s="55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257" t="s">
        <v>85</v>
      </c>
      <c r="I211" s="212">
        <f ca="1">IFERROR(__xludf.DUMMYFUNCTION("IMPORTRANGE(""https://docs.google.com/spreadsheets/d/1eHaY18a8A9IcSdp1K8H6x8fbOy06t2VsZHhMHf-1x7Y/edit?usp=sharing"",""แผน!JX39"")"),2)</f>
        <v>2</v>
      </c>
      <c r="J211" s="467">
        <v>0</v>
      </c>
      <c r="K211" s="565">
        <f ca="1">IF(I211&gt;0,J211*100/I211,0)</f>
        <v>0</v>
      </c>
      <c r="L211" s="62"/>
      <c r="M211" s="55"/>
      <c r="N211" s="55"/>
      <c r="O211" s="55"/>
      <c r="P211" s="55"/>
      <c r="Q211" s="62"/>
      <c r="R211" s="55"/>
      <c r="S211" s="55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79" t="s">
        <v>93</v>
      </c>
      <c r="I212" s="212">
        <f ca="1">IFERROR(__xludf.DUMMYFUNCTION("IMPORTRANGE(""https://docs.google.com/spreadsheets/d/1eHaY18a8A9IcSdp1K8H6x8fbOy06t2VsZHhMHf-1x7Y/edit?usp=sharing"",""แผน!JY39"")"),1)</f>
        <v>1</v>
      </c>
      <c r="J212" s="467">
        <v>0</v>
      </c>
      <c r="K212" s="565">
        <f ca="1">IF(I212&gt;0,J212*100/I212,0)</f>
        <v>0</v>
      </c>
      <c r="L212" s="62"/>
      <c r="M212" s="55"/>
      <c r="N212" s="55"/>
      <c r="O212" s="55"/>
      <c r="P212" s="55"/>
      <c r="Q212" s="62"/>
      <c r="R212" s="55"/>
      <c r="S212" s="55"/>
      <c r="T212" s="55"/>
      <c r="U212" s="55"/>
    </row>
    <row r="213" spans="1:21" ht="19.5" hidden="1">
      <c r="A213" s="241"/>
      <c r="B213" s="242"/>
      <c r="C213" s="243" t="s">
        <v>94</v>
      </c>
      <c r="D213" s="244"/>
      <c r="E213" s="244"/>
      <c r="F213" s="244"/>
      <c r="G213" s="245"/>
      <c r="H213" s="254" t="s">
        <v>85</v>
      </c>
      <c r="I213" s="339">
        <f ca="1">I220</f>
        <v>0</v>
      </c>
      <c r="J213" s="339">
        <f>J220</f>
        <v>0</v>
      </c>
      <c r="K213" s="340">
        <f ca="1">IF(I213&gt;0,J213*100/I213,0)</f>
        <v>0</v>
      </c>
      <c r="L213" s="250"/>
      <c r="M213" s="249"/>
      <c r="N213" s="249"/>
      <c r="O213" s="249"/>
      <c r="P213" s="249"/>
      <c r="Q213" s="250"/>
      <c r="R213" s="249"/>
      <c r="S213" s="249"/>
      <c r="T213" s="249"/>
      <c r="U213" s="249"/>
    </row>
    <row r="214" spans="1:21" ht="19.5" hidden="1">
      <c r="A214" s="155"/>
      <c r="B214" s="50"/>
      <c r="C214" s="156" t="s">
        <v>18</v>
      </c>
      <c r="D214" s="713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541">
        <f ca="1">L215+L216+L217</f>
        <v>0</v>
      </c>
      <c r="M214" s="55"/>
      <c r="N214" s="540">
        <f>N215+N216+N217</f>
        <v>0</v>
      </c>
      <c r="O214" s="540">
        <f ca="1">IF(L214&gt;0,N214*100/L214,0)</f>
        <v>0</v>
      </c>
      <c r="P214" s="540">
        <f>IF(M214&gt;0,N214*100/M214,0)</f>
        <v>0</v>
      </c>
      <c r="Q214" s="541">
        <f ca="1">Q215+Q216+Q217</f>
        <v>0</v>
      </c>
      <c r="R214" s="55"/>
      <c r="S214" s="540">
        <f>S215+S216+S217</f>
        <v>0</v>
      </c>
      <c r="T214" s="540">
        <f ca="1">IF(Q214&gt;0,S214*100/Q214,0)</f>
        <v>0</v>
      </c>
      <c r="U214" s="540">
        <f>IF(R214&gt;0,S214*100/R214,0)</f>
        <v>0</v>
      </c>
    </row>
    <row r="215" spans="1:21" ht="18.75" hidden="1">
      <c r="A215" s="155"/>
      <c r="B215" s="188"/>
      <c r="C215" s="50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256">
        <f ca="1">IFERROR(__xludf.DUMMYFUNCTION("IMPORTRANGE(""https://docs.google.com/spreadsheets/d/1eHaY18a8A9IcSdp1K8H6x8fbOy06t2VsZHhMHf-1x7Y/edit?usp=sharing"",""แผน!AM39"")"),0)</f>
        <v>0</v>
      </c>
      <c r="M215" s="55"/>
      <c r="N215" s="702">
        <v>0</v>
      </c>
      <c r="O215" s="164"/>
      <c r="P215" s="55"/>
      <c r="Q215" s="256">
        <v>0</v>
      </c>
      <c r="R215" s="55"/>
      <c r="S215" s="255">
        <v>0</v>
      </c>
      <c r="T215" s="164"/>
      <c r="U215" s="55"/>
    </row>
    <row r="216" spans="1:21" ht="18.75" hidden="1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256">
        <f ca="1">IFERROR(__xludf.DUMMYFUNCTION("IMPORTRANGE(""https://docs.google.com/spreadsheets/d/1eHaY18a8A9IcSdp1K8H6x8fbOy06t2VsZHhMHf-1x7Y/edit?usp=sharing"",""แผน!AN39"")"),0)</f>
        <v>0</v>
      </c>
      <c r="M216" s="55"/>
      <c r="N216" s="702">
        <v>0</v>
      </c>
      <c r="O216" s="164"/>
      <c r="P216" s="55"/>
      <c r="Q216" s="256">
        <v>0</v>
      </c>
      <c r="R216" s="55"/>
      <c r="S216" s="255">
        <v>0</v>
      </c>
      <c r="T216" s="164"/>
      <c r="U216" s="55"/>
    </row>
    <row r="217" spans="1:21" ht="18.75" hidden="1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256">
        <f ca="1">IFERROR(__xludf.DUMMYFUNCTION("IMPORTRANGE(""https://docs.google.com/spreadsheets/d/1eHaY18a8A9IcSdp1K8H6x8fbOy06t2VsZHhMHf-1x7Y/edit?usp=sharing"",""แผน!AO39"")"),0)</f>
        <v>0</v>
      </c>
      <c r="M217" s="55"/>
      <c r="N217" s="702">
        <v>0</v>
      </c>
      <c r="O217" s="164"/>
      <c r="P217" s="55"/>
      <c r="Q217" s="256">
        <f ca="1">IFERROR(__xludf.DUMMYFUNCTION("IMPORTRANGE(""https://docs.google.com/spreadsheets/d/1eHaY18a8A9IcSdp1K8H6x8fbOy06t2VsZHhMHf-1x7Y/edit?usp=sharing"",""แผน!LY39"")"),0)</f>
        <v>0</v>
      </c>
      <c r="R217" s="55"/>
      <c r="S217" s="702">
        <v>0</v>
      </c>
      <c r="T217" s="164"/>
      <c r="U217" s="55"/>
    </row>
    <row r="218" spans="1:21" ht="19.5" hidden="1">
      <c r="A218" s="166"/>
      <c r="B218" s="167"/>
      <c r="C218" s="191" t="s">
        <v>18</v>
      </c>
      <c r="D218" s="566" t="s">
        <v>38</v>
      </c>
      <c r="E218" s="169"/>
      <c r="F218" s="169"/>
      <c r="G218" s="170"/>
      <c r="H218" s="171"/>
      <c r="I218" s="163"/>
      <c r="J218" s="54"/>
      <c r="K218" s="55"/>
      <c r="L218" s="62"/>
      <c r="M218" s="55"/>
      <c r="N218" s="55"/>
      <c r="O218" s="164"/>
      <c r="P218" s="164"/>
      <c r="Q218" s="62"/>
      <c r="R218" s="55"/>
      <c r="S218" s="55"/>
      <c r="T218" s="164"/>
      <c r="U218" s="164"/>
    </row>
    <row r="219" spans="1:21" ht="18.75" hidden="1">
      <c r="A219" s="166"/>
      <c r="B219" s="167"/>
      <c r="C219" s="167"/>
      <c r="D219" s="173" t="s">
        <v>96</v>
      </c>
      <c r="E219" s="174"/>
      <c r="F219" s="174"/>
      <c r="G219" s="171"/>
      <c r="H219" s="257" t="s">
        <v>85</v>
      </c>
      <c r="I219" s="212">
        <f ca="1">IFERROR(__xludf.DUMMYFUNCTION("IMPORTRANGE(""https://docs.google.com/spreadsheets/d/1eHaY18a8A9IcSdp1K8H6x8fbOy06t2VsZHhMHf-1x7Y/edit?usp=sharing"",""แผน!AP39"")"),0)</f>
        <v>0</v>
      </c>
      <c r="J219" s="467">
        <v>0</v>
      </c>
      <c r="K219" s="255">
        <f ca="1">IF(I219&gt;0,J219*100/I219,0)</f>
        <v>0</v>
      </c>
      <c r="L219" s="62"/>
      <c r="M219" s="55"/>
      <c r="N219" s="55"/>
      <c r="O219" s="55"/>
      <c r="P219" s="55"/>
      <c r="Q219" s="62"/>
      <c r="R219" s="55"/>
      <c r="S219" s="55"/>
      <c r="T219" s="55"/>
      <c r="U219" s="55"/>
    </row>
    <row r="220" spans="1:21" ht="18.75" hidden="1">
      <c r="A220" s="166"/>
      <c r="B220" s="167"/>
      <c r="C220" s="167"/>
      <c r="D220" s="173" t="s">
        <v>97</v>
      </c>
      <c r="E220" s="174"/>
      <c r="F220" s="174"/>
      <c r="G220" s="171"/>
      <c r="H220" s="257" t="s">
        <v>85</v>
      </c>
      <c r="I220" s="212">
        <f ca="1">IFERROR(__xludf.DUMMYFUNCTION("IMPORTRANGE(""https://docs.google.com/spreadsheets/d/1eHaY18a8A9IcSdp1K8H6x8fbOy06t2VsZHhMHf-1x7Y/edit?usp=sharing"",""แผน!AP39"")"),0)</f>
        <v>0</v>
      </c>
      <c r="J220" s="467">
        <v>0</v>
      </c>
      <c r="K220" s="255">
        <f ca="1">IF(I220&gt;0,J220*100/I220,0)</f>
        <v>0</v>
      </c>
      <c r="L220" s="62"/>
      <c r="M220" s="55"/>
      <c r="N220" s="55"/>
      <c r="O220" s="55"/>
      <c r="P220" s="55"/>
      <c r="Q220" s="62"/>
      <c r="R220" s="55"/>
      <c r="S220" s="55"/>
      <c r="T220" s="55"/>
      <c r="U220" s="55"/>
    </row>
    <row r="221" spans="1:21" ht="19.5">
      <c r="A221" s="241"/>
      <c r="B221" s="242"/>
      <c r="C221" s="243" t="s">
        <v>98</v>
      </c>
      <c r="D221" s="244"/>
      <c r="E221" s="244"/>
      <c r="F221" s="244"/>
      <c r="G221" s="245"/>
      <c r="H221" s="246" t="s">
        <v>99</v>
      </c>
      <c r="I221" s="339">
        <f ca="1">I229</f>
        <v>50000</v>
      </c>
      <c r="J221" s="339">
        <f>J229</f>
        <v>0</v>
      </c>
      <c r="K221" s="340">
        <f ca="1">IF(I221&gt;0,J221*100/I221,0)</f>
        <v>0</v>
      </c>
      <c r="L221" s="250"/>
      <c r="M221" s="249"/>
      <c r="N221" s="249"/>
      <c r="O221" s="249"/>
      <c r="P221" s="249"/>
      <c r="Q221" s="249"/>
      <c r="R221" s="249"/>
      <c r="S221" s="249"/>
      <c r="T221" s="249"/>
      <c r="U221" s="249"/>
    </row>
    <row r="222" spans="1:21" ht="19.5">
      <c r="A222" s="155"/>
      <c r="B222" s="50"/>
      <c r="C222" s="156" t="s">
        <v>18</v>
      </c>
      <c r="D222" s="713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541">
        <f ca="1">L223+L224+L225</f>
        <v>8500</v>
      </c>
      <c r="M222" s="55"/>
      <c r="N222" s="540">
        <f>N223+N224+N225</f>
        <v>0</v>
      </c>
      <c r="O222" s="540">
        <f ca="1">IF(L222&gt;0,N222*100/L222,0)</f>
        <v>0</v>
      </c>
      <c r="P222" s="540">
        <f>IF(M222&gt;0,N222*100/M222,0)</f>
        <v>0</v>
      </c>
      <c r="Q222" s="55"/>
      <c r="R222" s="55"/>
      <c r="S222" s="55"/>
      <c r="T222" s="55"/>
      <c r="U222" s="55"/>
    </row>
    <row r="223" spans="1:21" ht="18.75">
      <c r="A223" s="155"/>
      <c r="B223" s="188"/>
      <c r="C223" s="50"/>
      <c r="D223" s="712" t="s">
        <v>309</v>
      </c>
      <c r="E223" s="50"/>
      <c r="F223" s="50"/>
      <c r="G223" s="52"/>
      <c r="H223" s="162" t="s">
        <v>14</v>
      </c>
      <c r="I223" s="163"/>
      <c r="J223" s="163"/>
      <c r="K223" s="164"/>
      <c r="L223" s="256">
        <f ca="1">IFERROR(__xludf.DUMMYFUNCTION("IMPORTRANGE(""https://docs.google.com/spreadsheets/d/1eHaY18a8A9IcSdp1K8H6x8fbOy06t2VsZHhMHf-1x7Y/edit?usp=sharing"",""แผน!AR39"")"),2500)</f>
        <v>2500</v>
      </c>
      <c r="M223" s="55"/>
      <c r="N223" s="702">
        <v>0</v>
      </c>
      <c r="O223" s="164"/>
      <c r="P223" s="55"/>
      <c r="Q223" s="55"/>
      <c r="R223" s="55"/>
      <c r="S223" s="55"/>
      <c r="T223" s="164"/>
      <c r="U223" s="55"/>
    </row>
    <row r="224" spans="1:21" ht="18.75">
      <c r="A224" s="238"/>
      <c r="B224" s="188"/>
      <c r="C224" s="188"/>
      <c r="D224" s="58" t="s">
        <v>308</v>
      </c>
      <c r="E224" s="50"/>
      <c r="F224" s="50"/>
      <c r="G224" s="52"/>
      <c r="H224" s="162" t="s">
        <v>14</v>
      </c>
      <c r="I224" s="54"/>
      <c r="J224" s="54"/>
      <c r="K224" s="55"/>
      <c r="L224" s="256">
        <f ca="1">IFERROR(__xludf.DUMMYFUNCTION("IMPORTRANGE(""https://docs.google.com/spreadsheets/d/1eHaY18a8A9IcSdp1K8H6x8fbOy06t2VsZHhMHf-1x7Y/edit?usp=sharing"",""แผน!AS39"")"),6000)</f>
        <v>6000</v>
      </c>
      <c r="M224" s="55"/>
      <c r="N224" s="702">
        <v>0</v>
      </c>
      <c r="O224" s="164"/>
      <c r="P224" s="55"/>
      <c r="Q224" s="55"/>
      <c r="R224" s="55"/>
      <c r="S224" s="55"/>
      <c r="T224" s="164"/>
      <c r="U224" s="55"/>
    </row>
    <row r="225" spans="1:21" ht="18.75">
      <c r="A225" s="238"/>
      <c r="B225" s="188"/>
      <c r="C225" s="188"/>
      <c r="D225" s="58" t="s">
        <v>88</v>
      </c>
      <c r="E225" s="50"/>
      <c r="F225" s="50"/>
      <c r="G225" s="52"/>
      <c r="H225" s="162" t="s">
        <v>14</v>
      </c>
      <c r="I225" s="54"/>
      <c r="J225" s="54"/>
      <c r="K225" s="55"/>
      <c r="L225" s="256">
        <f ca="1">IFERROR(__xludf.DUMMYFUNCTION("IMPORTRANGE(""https://docs.google.com/spreadsheets/d/1eHaY18a8A9IcSdp1K8H6x8fbOy06t2VsZHhMHf-1x7Y/edit?usp=sharing"",""แผน!AT39"")"),0)</f>
        <v>0</v>
      </c>
      <c r="M225" s="55"/>
      <c r="N225" s="702">
        <v>0</v>
      </c>
      <c r="O225" s="164"/>
      <c r="P225" s="55"/>
      <c r="Q225" s="55"/>
      <c r="R225" s="55"/>
      <c r="S225" s="55"/>
      <c r="T225" s="164"/>
      <c r="U225" s="55"/>
    </row>
    <row r="226" spans="1:21" ht="19.5">
      <c r="A226" s="166"/>
      <c r="B226" s="167"/>
      <c r="C226" s="191" t="s">
        <v>18</v>
      </c>
      <c r="D226" s="566" t="s">
        <v>38</v>
      </c>
      <c r="E226" s="169"/>
      <c r="F226" s="169"/>
      <c r="G226" s="170"/>
      <c r="H226" s="171"/>
      <c r="I226" s="163"/>
      <c r="J226" s="163"/>
      <c r="K226" s="164"/>
      <c r="L226" s="172"/>
      <c r="M226" s="164"/>
      <c r="N226" s="164"/>
      <c r="O226" s="164"/>
      <c r="P226" s="164"/>
      <c r="Q226" s="164"/>
      <c r="R226" s="164"/>
      <c r="S226" s="164"/>
      <c r="T226" s="164"/>
      <c r="U226" s="164"/>
    </row>
    <row r="227" spans="1:21" ht="18.75">
      <c r="A227" s="166"/>
      <c r="B227" s="167"/>
      <c r="C227" s="167"/>
      <c r="D227" s="58" t="s">
        <v>101</v>
      </c>
      <c r="E227" s="174"/>
      <c r="F227" s="174"/>
      <c r="G227" s="171"/>
      <c r="H227" s="171"/>
      <c r="I227" s="54"/>
      <c r="J227" s="54"/>
      <c r="K227" s="164"/>
      <c r="L227" s="172"/>
      <c r="M227" s="164"/>
      <c r="N227" s="164"/>
      <c r="O227" s="164"/>
      <c r="P227" s="164"/>
      <c r="Q227" s="164"/>
      <c r="R227" s="164"/>
      <c r="S227" s="164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79" t="s">
        <v>99</v>
      </c>
      <c r="I228" s="212">
        <f ca="1">IFERROR(__xludf.DUMMYFUNCTION("IMPORTRANGE(""https://docs.google.com/spreadsheets/d/1eHaY18a8A9IcSdp1K8H6x8fbOy06t2VsZHhMHf-1x7Y/edit?usp=sharing"",""แผน!AV39"")"),50000)</f>
        <v>50000</v>
      </c>
      <c r="J228" s="467">
        <v>0</v>
      </c>
      <c r="K228" s="565">
        <f ca="1">IF(I228&gt;0,J228*100/I228,0)</f>
        <v>0</v>
      </c>
      <c r="L228" s="172"/>
      <c r="M228" s="164"/>
      <c r="N228" s="164"/>
      <c r="O228" s="164"/>
      <c r="P228" s="164"/>
      <c r="Q228" s="164"/>
      <c r="R228" s="164"/>
      <c r="S228" s="164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79" t="s">
        <v>99</v>
      </c>
      <c r="I229" s="212">
        <f ca="1">IFERROR(__xludf.DUMMYFUNCTION("IMPORTRANGE(""https://docs.google.com/spreadsheets/d/1eHaY18a8A9IcSdp1K8H6x8fbOy06t2VsZHhMHf-1x7Y/edit?usp=sharing"",""แผน!AV39"")"),50000)</f>
        <v>50000</v>
      </c>
      <c r="J229" s="467">
        <v>0</v>
      </c>
      <c r="K229" s="565">
        <f ca="1">IF(I229&gt;0,J229*100/I229,0)</f>
        <v>0</v>
      </c>
      <c r="L229" s="62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79" t="s">
        <v>35</v>
      </c>
      <c r="I230" s="212">
        <f ca="1">IFERROR(__xludf.DUMMYFUNCTION("IMPORTRANGE(""https://docs.google.com/spreadsheets/d/1eHaY18a8A9IcSdp1K8H6x8fbOy06t2VsZHhMHf-1x7Y/edit?usp=sharing"",""แผน!AU39"")"),0)</f>
        <v>0</v>
      </c>
      <c r="J230" s="467">
        <v>0</v>
      </c>
      <c r="K230" s="565">
        <f ca="1">IF(I230&gt;0,J230*100/I230,0)</f>
        <v>0</v>
      </c>
      <c r="L230" s="62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9.5" hidden="1">
      <c r="A231" s="241"/>
      <c r="B231" s="242"/>
      <c r="C231" s="243" t="s">
        <v>105</v>
      </c>
      <c r="D231" s="244"/>
      <c r="E231" s="244"/>
      <c r="F231" s="244"/>
      <c r="G231" s="245"/>
      <c r="H231" s="246" t="s">
        <v>35</v>
      </c>
      <c r="I231" s="339">
        <f ca="1">I242+I253</f>
        <v>0</v>
      </c>
      <c r="J231" s="339">
        <f>J242+J253</f>
        <v>0</v>
      </c>
      <c r="K231" s="340">
        <f ca="1">IF(I231&gt;0,J231*100/I231,0)</f>
        <v>0</v>
      </c>
      <c r="L231" s="250"/>
      <c r="M231" s="249"/>
      <c r="N231" s="249"/>
      <c r="O231" s="249"/>
      <c r="P231" s="249"/>
      <c r="Q231" s="249"/>
      <c r="R231" s="249"/>
      <c r="S231" s="249"/>
      <c r="T231" s="249"/>
      <c r="U231" s="249"/>
    </row>
    <row r="232" spans="1:21" ht="19.5" hidden="1">
      <c r="A232" s="155"/>
      <c r="B232" s="50"/>
      <c r="C232" s="156" t="s">
        <v>18</v>
      </c>
      <c r="D232" s="575" t="s">
        <v>19</v>
      </c>
      <c r="E232" s="50"/>
      <c r="F232" s="50"/>
      <c r="G232" s="52"/>
      <c r="H232" s="252" t="s">
        <v>14</v>
      </c>
      <c r="I232" s="163"/>
      <c r="J232" s="163"/>
      <c r="K232" s="164"/>
      <c r="L232" s="711">
        <f ca="1">L243+L254</f>
        <v>0</v>
      </c>
      <c r="M232" s="55"/>
      <c r="N232" s="710">
        <f>N243+N254</f>
        <v>0</v>
      </c>
      <c r="O232" s="55"/>
      <c r="P232" s="55"/>
      <c r="Q232" s="55"/>
      <c r="R232" s="55"/>
      <c r="S232" s="55"/>
      <c r="T232" s="55"/>
      <c r="U232" s="55"/>
    </row>
    <row r="233" spans="1:21" ht="18.75" hidden="1">
      <c r="A233" s="155"/>
      <c r="B233" s="188"/>
      <c r="C233" s="50"/>
      <c r="D233" s="58" t="s">
        <v>86</v>
      </c>
      <c r="E233" s="50"/>
      <c r="F233" s="50"/>
      <c r="G233" s="52"/>
      <c r="H233" s="162" t="s">
        <v>14</v>
      </c>
      <c r="I233" s="163"/>
      <c r="J233" s="163"/>
      <c r="K233" s="164"/>
      <c r="L233" s="103">
        <f ca="1">L244+L255</f>
        <v>0</v>
      </c>
      <c r="M233" s="55"/>
      <c r="N233" s="102">
        <f>N244+N255</f>
        <v>0</v>
      </c>
      <c r="O233" s="55"/>
      <c r="P233" s="55"/>
      <c r="Q233" s="709">
        <v>0</v>
      </c>
      <c r="R233" s="708">
        <v>0</v>
      </c>
      <c r="S233" s="708">
        <v>0</v>
      </c>
      <c r="T233" s="55"/>
      <c r="U233" s="55"/>
    </row>
    <row r="234" spans="1:21" ht="18.75" hidden="1">
      <c r="A234" s="238"/>
      <c r="B234" s="188"/>
      <c r="C234" s="188"/>
      <c r="D234" s="58" t="s">
        <v>88</v>
      </c>
      <c r="E234" s="50"/>
      <c r="F234" s="50"/>
      <c r="G234" s="52"/>
      <c r="H234" s="162" t="s">
        <v>14</v>
      </c>
      <c r="I234" s="54"/>
      <c r="J234" s="54"/>
      <c r="K234" s="55"/>
      <c r="L234" s="103">
        <f ca="1">L245+L256</f>
        <v>0</v>
      </c>
      <c r="M234" s="55"/>
      <c r="N234" s="102">
        <f>N245+N256</f>
        <v>0</v>
      </c>
      <c r="O234" s="55"/>
      <c r="P234" s="55"/>
      <c r="Q234" s="256">
        <v>0</v>
      </c>
      <c r="R234" s="255">
        <v>0</v>
      </c>
      <c r="S234" s="255">
        <v>0</v>
      </c>
      <c r="T234" s="55"/>
      <c r="U234" s="55"/>
    </row>
    <row r="235" spans="1:21" ht="18.75" hidden="1">
      <c r="A235" s="238"/>
      <c r="B235" s="188"/>
      <c r="C235" s="188"/>
      <c r="D235" s="58" t="s">
        <v>106</v>
      </c>
      <c r="E235" s="50"/>
      <c r="F235" s="50"/>
      <c r="G235" s="52"/>
      <c r="H235" s="162" t="s">
        <v>14</v>
      </c>
      <c r="I235" s="54"/>
      <c r="J235" s="54"/>
      <c r="K235" s="55"/>
      <c r="L235" s="103">
        <f ca="1">L246+L257</f>
        <v>0</v>
      </c>
      <c r="M235" s="55"/>
      <c r="N235" s="102">
        <f>N246+N257</f>
        <v>0</v>
      </c>
      <c r="O235" s="55"/>
      <c r="P235" s="55"/>
      <c r="Q235" s="256">
        <v>0</v>
      </c>
      <c r="R235" s="255">
        <v>0</v>
      </c>
      <c r="S235" s="255">
        <v>0</v>
      </c>
      <c r="T235" s="55"/>
      <c r="U235" s="55"/>
    </row>
    <row r="236" spans="1:21" ht="18.75" hidden="1">
      <c r="A236" s="238"/>
      <c r="B236" s="188"/>
      <c r="C236" s="188"/>
      <c r="D236" s="58" t="s">
        <v>107</v>
      </c>
      <c r="E236" s="50"/>
      <c r="F236" s="50"/>
      <c r="G236" s="52"/>
      <c r="H236" s="162" t="s">
        <v>14</v>
      </c>
      <c r="I236" s="54"/>
      <c r="J236" s="54"/>
      <c r="K236" s="55"/>
      <c r="L236" s="103">
        <f ca="1">L247+L258</f>
        <v>0</v>
      </c>
      <c r="M236" s="55"/>
      <c r="N236" s="102">
        <f>N247+N258</f>
        <v>0</v>
      </c>
      <c r="O236" s="55"/>
      <c r="P236" s="55"/>
      <c r="Q236" s="256">
        <v>0</v>
      </c>
      <c r="R236" s="255">
        <v>0</v>
      </c>
      <c r="S236" s="255">
        <v>0</v>
      </c>
      <c r="T236" s="55"/>
      <c r="U236" s="55"/>
    </row>
    <row r="237" spans="1:21" ht="19.5" hidden="1">
      <c r="A237" s="166"/>
      <c r="B237" s="167"/>
      <c r="C237" s="191" t="s">
        <v>18</v>
      </c>
      <c r="D237" s="566" t="s">
        <v>38</v>
      </c>
      <c r="E237" s="169"/>
      <c r="F237" s="169"/>
      <c r="G237" s="170"/>
      <c r="H237" s="171"/>
      <c r="I237" s="163"/>
      <c r="J237" s="54"/>
      <c r="K237" s="55"/>
      <c r="L237" s="62"/>
      <c r="M237" s="55"/>
      <c r="N237" s="55"/>
      <c r="O237" s="164"/>
      <c r="P237" s="164"/>
      <c r="Q237" s="55"/>
      <c r="R237" s="55"/>
      <c r="S237" s="55"/>
      <c r="T237" s="164"/>
      <c r="U237" s="164"/>
    </row>
    <row r="238" spans="1:21" ht="18.75" hidden="1">
      <c r="A238" s="166"/>
      <c r="B238" s="167"/>
      <c r="C238" s="167"/>
      <c r="D238" s="178" t="s">
        <v>108</v>
      </c>
      <c r="E238" s="174"/>
      <c r="F238" s="174"/>
      <c r="G238" s="171"/>
      <c r="H238" s="179" t="s">
        <v>35</v>
      </c>
      <c r="I238" s="212">
        <f ca="1">I249+I260</f>
        <v>0</v>
      </c>
      <c r="J238" s="212">
        <f>J249+J260</f>
        <v>0</v>
      </c>
      <c r="K238" s="255">
        <f ca="1">IF(I238&gt;0,J238*100/I238,0)</f>
        <v>0</v>
      </c>
      <c r="L238" s="62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ht="18.75" hidden="1">
      <c r="A239" s="166"/>
      <c r="B239" s="167"/>
      <c r="C239" s="167"/>
      <c r="D239" s="266" t="s">
        <v>43</v>
      </c>
      <c r="E239" s="174"/>
      <c r="F239" s="174"/>
      <c r="G239" s="171"/>
      <c r="H239" s="171"/>
      <c r="I239" s="54"/>
      <c r="J239" s="54"/>
      <c r="K239" s="55"/>
      <c r="L239" s="62"/>
      <c r="M239" s="55"/>
      <c r="N239" s="55"/>
      <c r="O239" s="164"/>
      <c r="P239" s="164"/>
      <c r="Q239" s="55"/>
      <c r="R239" s="55"/>
      <c r="S239" s="55"/>
      <c r="T239" s="164"/>
      <c r="U239" s="164"/>
    </row>
    <row r="240" spans="1:21" ht="18.75" hidden="1">
      <c r="A240" s="166"/>
      <c r="B240" s="167"/>
      <c r="C240" s="167"/>
      <c r="D240" s="167"/>
      <c r="E240" s="173" t="s">
        <v>109</v>
      </c>
      <c r="F240" s="174"/>
      <c r="G240" s="171"/>
      <c r="H240" s="179" t="s">
        <v>35</v>
      </c>
      <c r="I240" s="212">
        <f>I251+I262</f>
        <v>0</v>
      </c>
      <c r="J240" s="212">
        <f>J251+J262</f>
        <v>0</v>
      </c>
      <c r="K240" s="255">
        <f>IF(I240&gt;0,J240*100/I240,0)</f>
        <v>0</v>
      </c>
      <c r="L240" s="62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ht="18.75" hidden="1">
      <c r="A241" s="166"/>
      <c r="B241" s="167"/>
      <c r="C241" s="167"/>
      <c r="D241" s="167"/>
      <c r="E241" s="173" t="s">
        <v>110</v>
      </c>
      <c r="F241" s="174"/>
      <c r="G241" s="171"/>
      <c r="H241" s="179" t="s">
        <v>61</v>
      </c>
      <c r="I241" s="212">
        <f>I252+I263</f>
        <v>0</v>
      </c>
      <c r="J241" s="212">
        <f>J252+J263</f>
        <v>0</v>
      </c>
      <c r="K241" s="255">
        <f>IF(I241&gt;0,J241*100/I241,0)</f>
        <v>0</v>
      </c>
      <c r="L241" s="62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ht="19.5" hidden="1">
      <c r="A242" s="241"/>
      <c r="B242" s="242"/>
      <c r="C242" s="707" t="s">
        <v>111</v>
      </c>
      <c r="D242" s="244"/>
      <c r="E242" s="244"/>
      <c r="F242" s="244"/>
      <c r="G242" s="245"/>
      <c r="H242" s="706" t="s">
        <v>35</v>
      </c>
      <c r="I242" s="705">
        <f ca="1">I249</f>
        <v>0</v>
      </c>
      <c r="J242" s="705">
        <f>J249</f>
        <v>0</v>
      </c>
      <c r="K242" s="704">
        <f ca="1">IF(I242&gt;0,J242*100/I242,0)</f>
        <v>0</v>
      </c>
      <c r="L242" s="250"/>
      <c r="M242" s="249"/>
      <c r="N242" s="249"/>
      <c r="O242" s="249"/>
      <c r="P242" s="249"/>
      <c r="Q242" s="249"/>
      <c r="R242" s="249"/>
      <c r="S242" s="249"/>
      <c r="T242" s="249"/>
      <c r="U242" s="249"/>
    </row>
    <row r="243" spans="1:21" ht="19.5" hidden="1">
      <c r="A243" s="155"/>
      <c r="B243" s="50"/>
      <c r="C243" s="591" t="s">
        <v>18</v>
      </c>
      <c r="D243" s="562" t="s">
        <v>19</v>
      </c>
      <c r="E243" s="50"/>
      <c r="F243" s="50"/>
      <c r="G243" s="52"/>
      <c r="H243" s="418" t="s">
        <v>14</v>
      </c>
      <c r="I243" s="163"/>
      <c r="J243" s="163"/>
      <c r="K243" s="164"/>
      <c r="L243" s="541">
        <f ca="1">L244+L245+L246+L247</f>
        <v>0</v>
      </c>
      <c r="M243" s="55"/>
      <c r="N243" s="540">
        <f>N244+N245+N246+N247</f>
        <v>0</v>
      </c>
      <c r="O243" s="540">
        <f ca="1">IF(L243&gt;0,N243*100/L243,0)</f>
        <v>0</v>
      </c>
      <c r="P243" s="540">
        <f>IF(M243&gt;0,N243*100/M243,0)</f>
        <v>0</v>
      </c>
      <c r="Q243" s="55"/>
      <c r="R243" s="55"/>
      <c r="S243" s="55"/>
      <c r="T243" s="55"/>
      <c r="U243" s="55"/>
    </row>
    <row r="244" spans="1:21" ht="18.75" hidden="1">
      <c r="A244" s="155"/>
      <c r="B244" s="188"/>
      <c r="C244" s="50"/>
      <c r="D244" s="186" t="s">
        <v>86</v>
      </c>
      <c r="E244" s="50"/>
      <c r="F244" s="50"/>
      <c r="G244" s="52"/>
      <c r="H244" s="189" t="s">
        <v>14</v>
      </c>
      <c r="I244" s="163"/>
      <c r="J244" s="163"/>
      <c r="K244" s="164"/>
      <c r="L244" s="256">
        <f ca="1">IFERROR(__xludf.DUMMYFUNCTION("IMPORTRANGE(""https://docs.google.com/spreadsheets/d/1eHaY18a8A9IcSdp1K8H6x8fbOy06t2VsZHhMHf-1x7Y/edit?usp=sharing"",""แผน!AX39"")"),0)</f>
        <v>0</v>
      </c>
      <c r="M244" s="55"/>
      <c r="N244" s="702">
        <v>0</v>
      </c>
      <c r="O244" s="55"/>
      <c r="P244" s="55"/>
      <c r="Q244" s="55"/>
      <c r="R244" s="55"/>
      <c r="S244" s="55"/>
      <c r="T244" s="55"/>
      <c r="U244" s="55"/>
    </row>
    <row r="245" spans="1:21" ht="18.75" hidden="1">
      <c r="A245" s="238"/>
      <c r="B245" s="188"/>
      <c r="C245" s="188"/>
      <c r="D245" s="186" t="s">
        <v>88</v>
      </c>
      <c r="E245" s="50"/>
      <c r="F245" s="50"/>
      <c r="G245" s="52"/>
      <c r="H245" s="189" t="s">
        <v>14</v>
      </c>
      <c r="I245" s="54"/>
      <c r="J245" s="54"/>
      <c r="K245" s="55"/>
      <c r="L245" s="256">
        <f ca="1">IFERROR(__xludf.DUMMYFUNCTION("IMPORTRANGE(""https://docs.google.com/spreadsheets/d/1eHaY18a8A9IcSdp1K8H6x8fbOy06t2VsZHhMHf-1x7Y/edit?usp=sharing"",""แผน!AY39"")"),0)</f>
        <v>0</v>
      </c>
      <c r="M245" s="55"/>
      <c r="N245" s="702">
        <v>0</v>
      </c>
      <c r="O245" s="55"/>
      <c r="P245" s="55"/>
      <c r="Q245" s="55"/>
      <c r="R245" s="55"/>
      <c r="S245" s="55"/>
      <c r="T245" s="55"/>
      <c r="U245" s="55"/>
    </row>
    <row r="246" spans="1:21" ht="18.75" hidden="1">
      <c r="A246" s="238"/>
      <c r="B246" s="188"/>
      <c r="C246" s="188"/>
      <c r="D246" s="186" t="s">
        <v>106</v>
      </c>
      <c r="E246" s="50"/>
      <c r="F246" s="50"/>
      <c r="G246" s="52"/>
      <c r="H246" s="189" t="s">
        <v>14</v>
      </c>
      <c r="I246" s="54"/>
      <c r="J246" s="54"/>
      <c r="K246" s="55"/>
      <c r="L246" s="256">
        <f ca="1">IFERROR(__xludf.DUMMYFUNCTION("IMPORTRANGE(""https://docs.google.com/spreadsheets/d/1eHaY18a8A9IcSdp1K8H6x8fbOy06t2VsZHhMHf-1x7Y/edit?usp=sharing"",""แผน!AZ39"")"),0)</f>
        <v>0</v>
      </c>
      <c r="M246" s="55"/>
      <c r="N246" s="702">
        <v>0</v>
      </c>
      <c r="O246" s="55"/>
      <c r="P246" s="55"/>
      <c r="Q246" s="55"/>
      <c r="R246" s="55"/>
      <c r="S246" s="55"/>
      <c r="T246" s="55"/>
      <c r="U246" s="55"/>
    </row>
    <row r="247" spans="1:21" ht="18.75" hidden="1">
      <c r="A247" s="238"/>
      <c r="B247" s="188"/>
      <c r="C247" s="188"/>
      <c r="D247" s="186" t="s">
        <v>107</v>
      </c>
      <c r="E247" s="50"/>
      <c r="F247" s="50"/>
      <c r="G247" s="52"/>
      <c r="H247" s="189" t="s">
        <v>14</v>
      </c>
      <c r="I247" s="54"/>
      <c r="J247" s="54"/>
      <c r="K247" s="55"/>
      <c r="L247" s="256">
        <f ca="1">IFERROR(__xludf.DUMMYFUNCTION("IMPORTRANGE(""https://docs.google.com/spreadsheets/d/1eHaY18a8A9IcSdp1K8H6x8fbOy06t2VsZHhMHf-1x7Y/edit?usp=sharing"",""แผน!BA39"")"),0)</f>
        <v>0</v>
      </c>
      <c r="M247" s="55"/>
      <c r="N247" s="702">
        <v>0</v>
      </c>
      <c r="O247" s="55"/>
      <c r="P247" s="55"/>
      <c r="Q247" s="55"/>
      <c r="R247" s="55"/>
      <c r="S247" s="55"/>
      <c r="T247" s="55"/>
      <c r="U247" s="55"/>
    </row>
    <row r="248" spans="1:21" ht="19.5" hidden="1">
      <c r="A248" s="166"/>
      <c r="B248" s="167"/>
      <c r="C248" s="701" t="s">
        <v>18</v>
      </c>
      <c r="D248" s="574" t="s">
        <v>38</v>
      </c>
      <c r="E248" s="169"/>
      <c r="F248" s="169"/>
      <c r="G248" s="170"/>
      <c r="H248" s="171"/>
      <c r="I248" s="163"/>
      <c r="J248" s="54"/>
      <c r="K248" s="55"/>
      <c r="L248" s="62"/>
      <c r="M248" s="55"/>
      <c r="N248" s="55"/>
      <c r="O248" s="164"/>
      <c r="P248" s="164"/>
      <c r="Q248" s="55"/>
      <c r="R248" s="55"/>
      <c r="S248" s="55"/>
      <c r="T248" s="164"/>
      <c r="U248" s="164"/>
    </row>
    <row r="249" spans="1:21" ht="18.75" hidden="1">
      <c r="A249" s="166"/>
      <c r="B249" s="167"/>
      <c r="C249" s="167"/>
      <c r="D249" s="207" t="s">
        <v>108</v>
      </c>
      <c r="E249" s="174"/>
      <c r="F249" s="174"/>
      <c r="G249" s="171"/>
      <c r="H249" s="698" t="s">
        <v>35</v>
      </c>
      <c r="I249" s="483">
        <f ca="1">IFERROR(__xludf.DUMMYFUNCTION("IMPORTRANGE(""https://docs.google.com/spreadsheets/d/1eHaY18a8A9IcSdp1K8H6x8fbOy06t2VsZHhMHf-1x7Y/edit?usp=sharing"",""แผน!BG39"")"),0)</f>
        <v>0</v>
      </c>
      <c r="J249" s="589">
        <v>0</v>
      </c>
      <c r="K249" s="102">
        <f ca="1">IF(I249&gt;0,J249*100/I249,0)</f>
        <v>0</v>
      </c>
      <c r="L249" s="62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8.75" hidden="1">
      <c r="A250" s="166"/>
      <c r="B250" s="167"/>
      <c r="C250" s="167"/>
      <c r="D250" s="700" t="s">
        <v>43</v>
      </c>
      <c r="E250" s="174"/>
      <c r="F250" s="174"/>
      <c r="G250" s="171"/>
      <c r="H250" s="171"/>
      <c r="I250" s="54"/>
      <c r="J250" s="54"/>
      <c r="K250" s="55"/>
      <c r="L250" s="62"/>
      <c r="M250" s="55"/>
      <c r="N250" s="55"/>
      <c r="O250" s="164"/>
      <c r="P250" s="164"/>
      <c r="Q250" s="55"/>
      <c r="R250" s="55"/>
      <c r="S250" s="55"/>
      <c r="T250" s="164"/>
      <c r="U250" s="164"/>
    </row>
    <row r="251" spans="1:21" ht="18.75" hidden="1">
      <c r="A251" s="166"/>
      <c r="B251" s="167"/>
      <c r="C251" s="167"/>
      <c r="D251" s="167"/>
      <c r="E251" s="699" t="s">
        <v>109</v>
      </c>
      <c r="F251" s="174"/>
      <c r="G251" s="171"/>
      <c r="H251" s="698" t="s">
        <v>35</v>
      </c>
      <c r="I251" s="483">
        <v>0</v>
      </c>
      <c r="J251" s="589">
        <v>0</v>
      </c>
      <c r="K251" s="102">
        <f>IF(I251&gt;0,J251*100/I251,0)</f>
        <v>0</v>
      </c>
      <c r="L251" s="62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8.75" hidden="1">
      <c r="A252" s="166"/>
      <c r="B252" s="167"/>
      <c r="C252" s="167"/>
      <c r="D252" s="167"/>
      <c r="E252" s="699" t="s">
        <v>110</v>
      </c>
      <c r="F252" s="174"/>
      <c r="G252" s="171"/>
      <c r="H252" s="698" t="s">
        <v>61</v>
      </c>
      <c r="I252" s="483">
        <v>0</v>
      </c>
      <c r="J252" s="589">
        <v>0</v>
      </c>
      <c r="K252" s="102">
        <f>IF(I252&gt;0,J252*100/I252,0)</f>
        <v>0</v>
      </c>
      <c r="L252" s="62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9.5" hidden="1">
      <c r="A253" s="241"/>
      <c r="B253" s="242"/>
      <c r="C253" s="707" t="s">
        <v>112</v>
      </c>
      <c r="D253" s="244"/>
      <c r="E253" s="244"/>
      <c r="F253" s="244"/>
      <c r="G253" s="245"/>
      <c r="H253" s="706" t="s">
        <v>35</v>
      </c>
      <c r="I253" s="705">
        <f ca="1">I260</f>
        <v>0</v>
      </c>
      <c r="J253" s="705">
        <f>J260</f>
        <v>0</v>
      </c>
      <c r="K253" s="704">
        <f ca="1">IF(I253&gt;0,J253*100/I253,0)</f>
        <v>0</v>
      </c>
      <c r="L253" s="250"/>
      <c r="M253" s="249"/>
      <c r="N253" s="249"/>
      <c r="O253" s="249"/>
      <c r="P253" s="249"/>
      <c r="Q253" s="249"/>
      <c r="R253" s="249"/>
      <c r="S253" s="249"/>
      <c r="T253" s="249"/>
      <c r="U253" s="249"/>
    </row>
    <row r="254" spans="1:21" ht="19.5" hidden="1">
      <c r="A254" s="155"/>
      <c r="B254" s="50"/>
      <c r="C254" s="591" t="s">
        <v>18</v>
      </c>
      <c r="D254" s="703" t="s">
        <v>19</v>
      </c>
      <c r="E254" s="50"/>
      <c r="F254" s="50"/>
      <c r="G254" s="52"/>
      <c r="H254" s="418" t="s">
        <v>14</v>
      </c>
      <c r="I254" s="163"/>
      <c r="J254" s="163"/>
      <c r="K254" s="164"/>
      <c r="L254" s="541">
        <f ca="1">L255+L256+L257+L258</f>
        <v>0</v>
      </c>
      <c r="M254" s="55"/>
      <c r="N254" s="540">
        <f>N255+N256+N257+N258</f>
        <v>0</v>
      </c>
      <c r="O254" s="540">
        <f ca="1">IF(L254&gt;0,N254*100/L254,0)</f>
        <v>0</v>
      </c>
      <c r="P254" s="540">
        <f>IF(M254&gt;0,N254*100/M254,0)</f>
        <v>0</v>
      </c>
      <c r="Q254" s="55"/>
      <c r="R254" s="55"/>
      <c r="S254" s="55"/>
      <c r="T254" s="55"/>
      <c r="U254" s="55"/>
    </row>
    <row r="255" spans="1:21" ht="18.75" hidden="1">
      <c r="A255" s="155"/>
      <c r="B255" s="188"/>
      <c r="C255" s="50"/>
      <c r="D255" s="186" t="s">
        <v>86</v>
      </c>
      <c r="E255" s="50"/>
      <c r="F255" s="50"/>
      <c r="G255" s="52"/>
      <c r="H255" s="189" t="s">
        <v>14</v>
      </c>
      <c r="I255" s="163"/>
      <c r="J255" s="163"/>
      <c r="K255" s="164"/>
      <c r="L255" s="256">
        <f ca="1">IFERROR(__xludf.DUMMYFUNCTION("IMPORTRANGE(""https://docs.google.com/spreadsheets/d/1eHaY18a8A9IcSdp1K8H6x8fbOy06t2VsZHhMHf-1x7Y/edit?usp=sharing"",""แผน!BB39"")"),0)</f>
        <v>0</v>
      </c>
      <c r="M255" s="55"/>
      <c r="N255" s="702">
        <v>0</v>
      </c>
      <c r="O255" s="55"/>
      <c r="P255" s="55"/>
      <c r="Q255" s="55"/>
      <c r="R255" s="55"/>
      <c r="S255" s="55"/>
      <c r="T255" s="55"/>
      <c r="U255" s="55"/>
    </row>
    <row r="256" spans="1:21" ht="18.75" hidden="1">
      <c r="A256" s="238"/>
      <c r="B256" s="188"/>
      <c r="C256" s="188"/>
      <c r="D256" s="186" t="s">
        <v>88</v>
      </c>
      <c r="E256" s="50"/>
      <c r="F256" s="50"/>
      <c r="G256" s="52"/>
      <c r="H256" s="189" t="s">
        <v>14</v>
      </c>
      <c r="I256" s="54"/>
      <c r="J256" s="54"/>
      <c r="K256" s="55"/>
      <c r="L256" s="256">
        <f ca="1">IFERROR(__xludf.DUMMYFUNCTION("IMPORTRANGE(""https://docs.google.com/spreadsheets/d/1eHaY18a8A9IcSdp1K8H6x8fbOy06t2VsZHhMHf-1x7Y/edit?usp=sharing"",""แผน!BC39"")"),0)</f>
        <v>0</v>
      </c>
      <c r="M256" s="55"/>
      <c r="N256" s="702">
        <v>0</v>
      </c>
      <c r="O256" s="55"/>
      <c r="P256" s="55"/>
      <c r="Q256" s="55"/>
      <c r="R256" s="55"/>
      <c r="S256" s="55"/>
      <c r="T256" s="55"/>
      <c r="U256" s="55"/>
    </row>
    <row r="257" spans="1:21" ht="18.75" hidden="1">
      <c r="A257" s="238"/>
      <c r="B257" s="188"/>
      <c r="C257" s="188"/>
      <c r="D257" s="186" t="s">
        <v>106</v>
      </c>
      <c r="E257" s="50"/>
      <c r="F257" s="50"/>
      <c r="G257" s="52"/>
      <c r="H257" s="189" t="s">
        <v>14</v>
      </c>
      <c r="I257" s="54"/>
      <c r="J257" s="54"/>
      <c r="K257" s="55"/>
      <c r="L257" s="256">
        <f ca="1">IFERROR(__xludf.DUMMYFUNCTION("IMPORTRANGE(""https://docs.google.com/spreadsheets/d/1eHaY18a8A9IcSdp1K8H6x8fbOy06t2VsZHhMHf-1x7Y/edit?usp=sharing"",""แผน!BD39"")"),0)</f>
        <v>0</v>
      </c>
      <c r="M257" s="55"/>
      <c r="N257" s="702">
        <v>0</v>
      </c>
      <c r="O257" s="55"/>
      <c r="P257" s="55"/>
      <c r="Q257" s="55"/>
      <c r="R257" s="55"/>
      <c r="S257" s="55"/>
      <c r="T257" s="55"/>
      <c r="U257" s="55"/>
    </row>
    <row r="258" spans="1:21" ht="18.75" hidden="1">
      <c r="A258" s="238"/>
      <c r="B258" s="188"/>
      <c r="C258" s="188"/>
      <c r="D258" s="186" t="s">
        <v>107</v>
      </c>
      <c r="E258" s="50"/>
      <c r="F258" s="50"/>
      <c r="G258" s="52"/>
      <c r="H258" s="189" t="s">
        <v>14</v>
      </c>
      <c r="I258" s="54"/>
      <c r="J258" s="54"/>
      <c r="K258" s="55"/>
      <c r="L258" s="256">
        <f ca="1">IFERROR(__xludf.DUMMYFUNCTION("IMPORTRANGE(""https://docs.google.com/spreadsheets/d/1eHaY18a8A9IcSdp1K8H6x8fbOy06t2VsZHhMHf-1x7Y/edit?usp=sharing"",""แผน!BE39"")"),0)</f>
        <v>0</v>
      </c>
      <c r="M258" s="55"/>
      <c r="N258" s="702">
        <v>0</v>
      </c>
      <c r="O258" s="55"/>
      <c r="P258" s="55"/>
      <c r="Q258" s="55"/>
      <c r="R258" s="55"/>
      <c r="S258" s="55"/>
      <c r="T258" s="55"/>
      <c r="U258" s="55"/>
    </row>
    <row r="259" spans="1:21" ht="19.5" hidden="1">
      <c r="A259" s="166"/>
      <c r="B259" s="167"/>
      <c r="C259" s="701" t="s">
        <v>18</v>
      </c>
      <c r="D259" s="574" t="s">
        <v>38</v>
      </c>
      <c r="E259" s="169"/>
      <c r="F259" s="169"/>
      <c r="G259" s="170"/>
      <c r="H259" s="171"/>
      <c r="I259" s="163"/>
      <c r="J259" s="54"/>
      <c r="K259" s="55"/>
      <c r="L259" s="62"/>
      <c r="M259" s="55"/>
      <c r="N259" s="55"/>
      <c r="O259" s="164"/>
      <c r="P259" s="164"/>
      <c r="Q259" s="55"/>
      <c r="R259" s="55"/>
      <c r="S259" s="55"/>
      <c r="T259" s="164"/>
      <c r="U259" s="164"/>
    </row>
    <row r="260" spans="1:21" ht="18.75" hidden="1">
      <c r="A260" s="166"/>
      <c r="B260" s="167"/>
      <c r="C260" s="167"/>
      <c r="D260" s="207" t="s">
        <v>108</v>
      </c>
      <c r="E260" s="174"/>
      <c r="F260" s="174"/>
      <c r="G260" s="171"/>
      <c r="H260" s="698" t="s">
        <v>35</v>
      </c>
      <c r="I260" s="483">
        <f ca="1">IFERROR(__xludf.DUMMYFUNCTION("IMPORTRANGE(""https://docs.google.com/spreadsheets/d/1eHaY18a8A9IcSdp1K8H6x8fbOy06t2VsZHhMHf-1x7Y/edit?usp=sharing"",""แผน!BH39"")"),0)</f>
        <v>0</v>
      </c>
      <c r="J260" s="589">
        <v>0</v>
      </c>
      <c r="K260" s="102">
        <f ca="1">IF(I260&gt;0,J260*100/I260,0)</f>
        <v>0</v>
      </c>
      <c r="L260" s="62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8.75" hidden="1">
      <c r="A261" s="166"/>
      <c r="B261" s="167"/>
      <c r="C261" s="167"/>
      <c r="D261" s="700" t="s">
        <v>43</v>
      </c>
      <c r="E261" s="174"/>
      <c r="F261" s="174"/>
      <c r="G261" s="171"/>
      <c r="H261" s="171"/>
      <c r="I261" s="54"/>
      <c r="J261" s="54"/>
      <c r="K261" s="55"/>
      <c r="L261" s="62"/>
      <c r="M261" s="55"/>
      <c r="N261" s="55"/>
      <c r="O261" s="164"/>
      <c r="P261" s="164"/>
      <c r="Q261" s="55"/>
      <c r="R261" s="55"/>
      <c r="S261" s="55"/>
      <c r="T261" s="164"/>
      <c r="U261" s="164"/>
    </row>
    <row r="262" spans="1:21" ht="18.75" hidden="1">
      <c r="A262" s="166"/>
      <c r="B262" s="167"/>
      <c r="C262" s="167"/>
      <c r="D262" s="167"/>
      <c r="E262" s="699" t="s">
        <v>109</v>
      </c>
      <c r="F262" s="174"/>
      <c r="G262" s="171"/>
      <c r="H262" s="698" t="s">
        <v>35</v>
      </c>
      <c r="I262" s="54"/>
      <c r="J262" s="589">
        <v>0</v>
      </c>
      <c r="K262" s="102">
        <f>IF(I262&gt;0,J262*100/I262,0)</f>
        <v>0</v>
      </c>
      <c r="L262" s="62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8.75" hidden="1">
      <c r="A263" s="166"/>
      <c r="B263" s="167"/>
      <c r="C263" s="167"/>
      <c r="D263" s="167"/>
      <c r="E263" s="699" t="s">
        <v>110</v>
      </c>
      <c r="F263" s="174"/>
      <c r="G263" s="171"/>
      <c r="H263" s="698" t="s">
        <v>61</v>
      </c>
      <c r="I263" s="54"/>
      <c r="J263" s="589">
        <v>0</v>
      </c>
      <c r="K263" s="102">
        <f>IF(I263&gt;0,J263*100/I263,0)</f>
        <v>0</v>
      </c>
      <c r="L263" s="62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9.5">
      <c r="A264" s="697" t="s">
        <v>113</v>
      </c>
      <c r="B264" s="696"/>
      <c r="C264" s="696"/>
      <c r="D264" s="695"/>
      <c r="E264" s="695"/>
      <c r="F264" s="695"/>
      <c r="G264" s="694"/>
      <c r="H264" s="694"/>
      <c r="I264" s="785"/>
      <c r="J264" s="785"/>
      <c r="K264" s="784"/>
      <c r="L264" s="692"/>
      <c r="M264" s="691"/>
      <c r="N264" s="691"/>
      <c r="O264" s="691"/>
      <c r="P264" s="691"/>
      <c r="Q264" s="691"/>
      <c r="R264" s="691"/>
      <c r="S264" s="691"/>
      <c r="T264" s="691"/>
      <c r="U264" s="691"/>
    </row>
    <row r="265" spans="1:21" ht="19.5">
      <c r="A265" s="690"/>
      <c r="B265" s="689" t="s">
        <v>114</v>
      </c>
      <c r="C265" s="688"/>
      <c r="D265" s="661"/>
      <c r="E265" s="661"/>
      <c r="F265" s="661"/>
      <c r="G265" s="660"/>
      <c r="H265" s="687" t="s">
        <v>35</v>
      </c>
      <c r="I265" s="686">
        <f ca="1">I276</f>
        <v>22</v>
      </c>
      <c r="J265" s="686">
        <f>J276</f>
        <v>0</v>
      </c>
      <c r="K265" s="685">
        <f ca="1">IF(I265&gt;0,J265*100/I265,0)</f>
        <v>0</v>
      </c>
      <c r="L265" s="684"/>
      <c r="M265" s="683"/>
      <c r="N265" s="683"/>
      <c r="O265" s="683"/>
      <c r="P265" s="683"/>
      <c r="Q265" s="683"/>
      <c r="R265" s="683"/>
      <c r="S265" s="683"/>
      <c r="T265" s="683"/>
      <c r="U265" s="683"/>
    </row>
    <row r="266" spans="1:21" ht="19.5">
      <c r="A266" s="668"/>
      <c r="B266" s="667"/>
      <c r="C266" s="682" t="s">
        <v>18</v>
      </c>
      <c r="D266" s="681" t="s">
        <v>19</v>
      </c>
      <c r="E266" s="667"/>
      <c r="F266" s="667"/>
      <c r="G266" s="666"/>
      <c r="H266" s="680" t="s">
        <v>14</v>
      </c>
      <c r="I266" s="548"/>
      <c r="J266" s="548"/>
      <c r="K266" s="545"/>
      <c r="L266" s="679">
        <f ca="1">L267+L268</f>
        <v>0</v>
      </c>
      <c r="M266" s="678">
        <f ca="1">M267+M268</f>
        <v>5000</v>
      </c>
      <c r="N266" s="678">
        <f ca="1">N267+N268</f>
        <v>0</v>
      </c>
      <c r="O266" s="678">
        <f ca="1">IF(L266&gt;0,N266*100/L266,0)</f>
        <v>0</v>
      </c>
      <c r="P266" s="678">
        <f ca="1">IF(M266&gt;0,N266*100/M266,0)</f>
        <v>0</v>
      </c>
      <c r="Q266" s="678">
        <f ca="1">Q267+Q268</f>
        <v>50660</v>
      </c>
      <c r="R266" s="678">
        <f ca="1">R267+R268</f>
        <v>50660</v>
      </c>
      <c r="S266" s="678">
        <f ca="1">S267+S268</f>
        <v>0</v>
      </c>
      <c r="T266" s="678">
        <f ca="1">IF(Q266&gt;0,S266*100/Q266,0)</f>
        <v>0</v>
      </c>
      <c r="U266" s="678">
        <f ca="1">IF(R266&gt;0,S266*100/R266,0)</f>
        <v>0</v>
      </c>
    </row>
    <row r="267" spans="1:21" ht="18.75" hidden="1">
      <c r="A267" s="673"/>
      <c r="B267" s="672"/>
      <c r="C267" s="672"/>
      <c r="D267" s="672"/>
      <c r="E267" s="186" t="s">
        <v>20</v>
      </c>
      <c r="F267" s="672"/>
      <c r="G267" s="671"/>
      <c r="H267" s="187" t="s">
        <v>14</v>
      </c>
      <c r="I267" s="677"/>
      <c r="J267" s="677"/>
      <c r="K267" s="676"/>
      <c r="L267" s="103">
        <f>L270+L273</f>
        <v>0</v>
      </c>
      <c r="M267" s="102">
        <f>M270+M273</f>
        <v>0</v>
      </c>
      <c r="N267" s="102">
        <f>N270+N273</f>
        <v>0</v>
      </c>
      <c r="O267" s="102">
        <f>IF(L267&gt;0,N267*100/L267,0)</f>
        <v>0</v>
      </c>
      <c r="P267" s="102">
        <f>IF(M267&gt;0,N267*100/M267,0)</f>
        <v>0</v>
      </c>
      <c r="Q267" s="102">
        <f>Q270+Q273</f>
        <v>0</v>
      </c>
      <c r="R267" s="102">
        <f>R270+R273</f>
        <v>0</v>
      </c>
      <c r="S267" s="102">
        <f>S270+S273</f>
        <v>0</v>
      </c>
      <c r="T267" s="102">
        <f>IF(Q267&gt;0,S267*100/Q267,0)</f>
        <v>0</v>
      </c>
      <c r="U267" s="102">
        <f>IF(R267&gt;0,S267*100/R267,0)</f>
        <v>0</v>
      </c>
    </row>
    <row r="268" spans="1:21" ht="18.75" hidden="1">
      <c r="A268" s="668"/>
      <c r="B268" s="667"/>
      <c r="C268" s="667"/>
      <c r="D268" s="667"/>
      <c r="E268" s="663" t="s">
        <v>21</v>
      </c>
      <c r="F268" s="667"/>
      <c r="G268" s="666"/>
      <c r="H268" s="549" t="s">
        <v>14</v>
      </c>
      <c r="I268" s="548"/>
      <c r="J268" s="548"/>
      <c r="K268" s="545"/>
      <c r="L268" s="664">
        <f ca="1">L271+L274</f>
        <v>0</v>
      </c>
      <c r="M268" s="555">
        <f ca="1">M271+M274</f>
        <v>5000</v>
      </c>
      <c r="N268" s="555">
        <f ca="1">N271+N274</f>
        <v>0</v>
      </c>
      <c r="O268" s="555">
        <f ca="1">IF(L268&gt;0,N268*100/L268,0)</f>
        <v>0</v>
      </c>
      <c r="P268" s="555">
        <f ca="1">IF(M268&gt;0,N268*100/M268,0)</f>
        <v>0</v>
      </c>
      <c r="Q268" s="555">
        <f ca="1">Q271+Q274</f>
        <v>50660</v>
      </c>
      <c r="R268" s="555">
        <f ca="1">R271+R274</f>
        <v>50660</v>
      </c>
      <c r="S268" s="555">
        <f ca="1">S271+S274</f>
        <v>0</v>
      </c>
      <c r="T268" s="555">
        <f ca="1">IF(Q268&gt;0,S268*100/Q268,0)</f>
        <v>0</v>
      </c>
      <c r="U268" s="555">
        <f ca="1">IF(R268&gt;0,S268*100/R268,0)</f>
        <v>0</v>
      </c>
    </row>
    <row r="269" spans="1:21" ht="18.75">
      <c r="A269" s="668"/>
      <c r="B269" s="667"/>
      <c r="C269" s="667"/>
      <c r="D269" s="674" t="s">
        <v>22</v>
      </c>
      <c r="E269" s="667"/>
      <c r="F269" s="667"/>
      <c r="G269" s="666"/>
      <c r="H269" s="675" t="s">
        <v>14</v>
      </c>
      <c r="I269" s="659"/>
      <c r="J269" s="659"/>
      <c r="K269" s="657"/>
      <c r="L269" s="664">
        <f ca="1">L270+L271</f>
        <v>0</v>
      </c>
      <c r="M269" s="555">
        <f ca="1">M270+M271</f>
        <v>5000</v>
      </c>
      <c r="N269" s="555">
        <f ca="1">N270+N271</f>
        <v>0</v>
      </c>
      <c r="O269" s="555">
        <f ca="1">IF(L269&gt;0,N269*100/L269,0)</f>
        <v>0</v>
      </c>
      <c r="P269" s="555">
        <f ca="1">IF(M269&gt;0,N269*100/M269,0)</f>
        <v>0</v>
      </c>
      <c r="Q269" s="555">
        <f ca="1">Q270+Q271</f>
        <v>50660</v>
      </c>
      <c r="R269" s="555">
        <f ca="1">R270+R271</f>
        <v>50660</v>
      </c>
      <c r="S269" s="555">
        <f ca="1">S270+S271</f>
        <v>0</v>
      </c>
      <c r="T269" s="555">
        <f ca="1">IF(Q269&gt;0,S269*100/Q269,0)</f>
        <v>0</v>
      </c>
      <c r="U269" s="555">
        <f ca="1">IF(R269&gt;0,S269*100/R269,0)</f>
        <v>0</v>
      </c>
    </row>
    <row r="270" spans="1:21" ht="18.75" hidden="1">
      <c r="A270" s="673"/>
      <c r="B270" s="672"/>
      <c r="C270" s="672"/>
      <c r="D270" s="672"/>
      <c r="E270" s="186" t="s">
        <v>36</v>
      </c>
      <c r="F270" s="672"/>
      <c r="G270" s="671"/>
      <c r="H270" s="189" t="s">
        <v>14</v>
      </c>
      <c r="I270" s="670"/>
      <c r="J270" s="670"/>
      <c r="K270" s="669"/>
      <c r="L270" s="103">
        <v>0</v>
      </c>
      <c r="M270" s="102">
        <v>0</v>
      </c>
      <c r="N270" s="102">
        <v>0</v>
      </c>
      <c r="O270" s="102">
        <f>IF(L270&gt;0,N270*100/L270,0)</f>
        <v>0</v>
      </c>
      <c r="P270" s="102">
        <f>IF(M270&gt;0,N270*100/M270,0)</f>
        <v>0</v>
      </c>
      <c r="Q270" s="102">
        <v>0</v>
      </c>
      <c r="R270" s="102">
        <v>0</v>
      </c>
      <c r="S270" s="102">
        <v>0</v>
      </c>
      <c r="T270" s="102">
        <f>IF(Q270&gt;0,S270*100/Q270,0)</f>
        <v>0</v>
      </c>
      <c r="U270" s="102">
        <f>IF(R270&gt;0,S270*100/R270,0)</f>
        <v>0</v>
      </c>
    </row>
    <row r="271" spans="1:21" ht="18.75" hidden="1">
      <c r="A271" s="668"/>
      <c r="B271" s="667"/>
      <c r="C271" s="667"/>
      <c r="D271" s="667"/>
      <c r="E271" s="663" t="s">
        <v>37</v>
      </c>
      <c r="F271" s="667"/>
      <c r="G271" s="666"/>
      <c r="H271" s="675" t="s">
        <v>14</v>
      </c>
      <c r="I271" s="659"/>
      <c r="J271" s="659"/>
      <c r="K271" s="657"/>
      <c r="L271" s="664">
        <f ca="1">IFERROR(__xludf.DUMMYFUNCTION("IMPORTRANGE(""https://docs.google.com/spreadsheets/d/1-uDff_7J0KD5mKrp0Vvzr7lt3OU09vwQwhkpOPPYv2Y/edit?usp=sharing"",""งบพรบ!DE39"")"),0)</f>
        <v>0</v>
      </c>
      <c r="M271" s="555">
        <f ca="1">IFERROR(__xludf.DUMMYFUNCTION("IMPORTRANGE(""https://docs.google.com/spreadsheets/d/1-uDff_7J0KD5mKrp0Vvzr7lt3OU09vwQwhkpOPPYv2Y/edit?usp=sharing"",""งบพรบ!DJ39"")"),5000)</f>
        <v>5000</v>
      </c>
      <c r="N271" s="555">
        <f ca="1">IFERROR(__xludf.DUMMYFUNCTION("IMPORTRANGE(""https://docs.google.com/spreadsheets/d/1-uDff_7J0KD5mKrp0Vvzr7lt3OU09vwQwhkpOPPYv2Y/edit?usp=sharing"",""งบพรบ!DL39"")"),0)</f>
        <v>0</v>
      </c>
      <c r="O271" s="555">
        <f ca="1">IF(L271&gt;0,N271*100/L271,0)</f>
        <v>0</v>
      </c>
      <c r="P271" s="555">
        <f ca="1">IF(M271&gt;0,N271*100/M271,0)</f>
        <v>0</v>
      </c>
      <c r="Q271" s="555">
        <f ca="1">IFERROR(__xludf.DUMMYFUNCTION("IMPORTRANGE(""https://docs.google.com/spreadsheets/d/1ItG2mGa2ceCfYo0BwxsXqNm01IGEUdYcSSLTEv9YCik/edit?usp=sharing"",""เบิกจ่ายกองทุน!AJ39"")"),50660)</f>
        <v>50660</v>
      </c>
      <c r="R271" s="555">
        <f ca="1">IFERROR(__xludf.DUMMYFUNCTION("IMPORTRANGE(""https://docs.google.com/spreadsheets/d/1ItG2mGa2ceCfYo0BwxsXqNm01IGEUdYcSSLTEv9YCik/edit?usp=sharing"",""เบิกจ่ายกองทุน!AK39"")"),50660)</f>
        <v>50660</v>
      </c>
      <c r="S271" s="555">
        <f ca="1">IFERROR(__xludf.DUMMYFUNCTION("IMPORTRANGE(""https://docs.google.com/spreadsheets/d/1ItG2mGa2ceCfYo0BwxsXqNm01IGEUdYcSSLTEv9YCik/edit?usp=sharing"",""เบิกจ่ายกองทุน!AL39"")"),0)</f>
        <v>0</v>
      </c>
      <c r="T271" s="555">
        <f ca="1">IF(Q271&gt;0,S271*100/Q271,0)</f>
        <v>0</v>
      </c>
      <c r="U271" s="555">
        <f ca="1">IF(R271&gt;0,S271*100/R271,0)</f>
        <v>0</v>
      </c>
    </row>
    <row r="272" spans="1:21" ht="18.75">
      <c r="A272" s="668"/>
      <c r="B272" s="667"/>
      <c r="C272" s="667"/>
      <c r="D272" s="674" t="s">
        <v>23</v>
      </c>
      <c r="E272" s="667"/>
      <c r="F272" s="667"/>
      <c r="G272" s="666"/>
      <c r="H272" s="665" t="s">
        <v>14</v>
      </c>
      <c r="I272" s="659"/>
      <c r="J272" s="659"/>
      <c r="K272" s="657"/>
      <c r="L272" s="664">
        <f ca="1">L273+L274</f>
        <v>0</v>
      </c>
      <c r="M272" s="555">
        <f ca="1">M273+M274</f>
        <v>0</v>
      </c>
      <c r="N272" s="555">
        <f ca="1">N273+N274</f>
        <v>0</v>
      </c>
      <c r="O272" s="555">
        <f ca="1">IF(L272&gt;0,N272*100/L272,0)</f>
        <v>0</v>
      </c>
      <c r="P272" s="555">
        <f ca="1">IF(M272&gt;0,N272*100/M272,0)</f>
        <v>0</v>
      </c>
      <c r="Q272" s="555">
        <f>Q273+Q274</f>
        <v>0</v>
      </c>
      <c r="R272" s="555">
        <f>R273+R274</f>
        <v>0</v>
      </c>
      <c r="S272" s="555">
        <f>S273+S274</f>
        <v>0</v>
      </c>
      <c r="T272" s="555">
        <f>IF(Q272&gt;0,S272*100/Q272,0)</f>
        <v>0</v>
      </c>
      <c r="U272" s="555">
        <f>IF(R272&gt;0,S272*100/R272,0)</f>
        <v>0</v>
      </c>
    </row>
    <row r="273" spans="1:21" ht="18.75" hidden="1">
      <c r="A273" s="673"/>
      <c r="B273" s="672"/>
      <c r="C273" s="672"/>
      <c r="D273" s="672"/>
      <c r="E273" s="186" t="s">
        <v>20</v>
      </c>
      <c r="F273" s="672"/>
      <c r="G273" s="671"/>
      <c r="H273" s="189" t="s">
        <v>14</v>
      </c>
      <c r="I273" s="670"/>
      <c r="J273" s="670"/>
      <c r="K273" s="669"/>
      <c r="L273" s="103">
        <v>0</v>
      </c>
      <c r="M273" s="102">
        <v>0</v>
      </c>
      <c r="N273" s="102">
        <v>0</v>
      </c>
      <c r="O273" s="102">
        <f>IF(L273&gt;0,N273*100/L273,0)</f>
        <v>0</v>
      </c>
      <c r="P273" s="102">
        <f>IF(M273&gt;0,N273*100/M273,0)</f>
        <v>0</v>
      </c>
      <c r="Q273" s="102">
        <v>0</v>
      </c>
      <c r="R273" s="102">
        <v>0</v>
      </c>
      <c r="S273" s="102">
        <v>0</v>
      </c>
      <c r="T273" s="102">
        <f>IF(Q273&gt;0,S273*100/Q273,0)</f>
        <v>0</v>
      </c>
      <c r="U273" s="102">
        <f>IF(R273&gt;0,S273*100/R273,0)</f>
        <v>0</v>
      </c>
    </row>
    <row r="274" spans="1:21" ht="18.75" hidden="1">
      <c r="A274" s="668"/>
      <c r="B274" s="667"/>
      <c r="C274" s="667"/>
      <c r="D274" s="667"/>
      <c r="E274" s="663" t="s">
        <v>21</v>
      </c>
      <c r="F274" s="667"/>
      <c r="G274" s="666"/>
      <c r="H274" s="665" t="s">
        <v>14</v>
      </c>
      <c r="I274" s="659"/>
      <c r="J274" s="659"/>
      <c r="K274" s="657"/>
      <c r="L274" s="664">
        <f ca="1">IFERROR(__xludf.DUMMYFUNCTION("IMPORTRANGE(""https://docs.google.com/spreadsheets/d/1-uDff_7J0KD5mKrp0Vvzr7lt3OU09vwQwhkpOPPYv2Y/edit?usp=sharing"",""งบพรบ!DH39"")"),0)</f>
        <v>0</v>
      </c>
      <c r="M274" s="555">
        <f ca="1">IFERROR(__xludf.DUMMYFUNCTION("IMPORTRANGE(""https://docs.google.com/spreadsheets/d/1-uDff_7J0KD5mKrp0Vvzr7lt3OU09vwQwhkpOPPYv2Y/edit?usp=sharing"",""งบพรบ!DK39"")"),0)</f>
        <v>0</v>
      </c>
      <c r="N274" s="555">
        <f ca="1">IFERROR(__xludf.DUMMYFUNCTION("IMPORTRANGE(""https://docs.google.com/spreadsheets/d/1-uDff_7J0KD5mKrp0Vvzr7lt3OU09vwQwhkpOPPYv2Y/edit?usp=sharing"",""งบพรบ!DM39"")"),0)</f>
        <v>0</v>
      </c>
      <c r="O274" s="555">
        <f ca="1">IF(L274&gt;0,N274*100/L274,0)</f>
        <v>0</v>
      </c>
      <c r="P274" s="555">
        <f ca="1">IF(M274&gt;0,N274*100/M274,0)</f>
        <v>0</v>
      </c>
      <c r="Q274" s="555">
        <v>0</v>
      </c>
      <c r="R274" s="555">
        <v>0</v>
      </c>
      <c r="S274" s="555">
        <v>0</v>
      </c>
      <c r="T274" s="555">
        <f>IF(Q274&gt;0,S274*100/Q274,0)</f>
        <v>0</v>
      </c>
      <c r="U274" s="555">
        <f>IF(R274&gt;0,S274*100/R274,0)</f>
        <v>0</v>
      </c>
    </row>
    <row r="275" spans="1:21" ht="19.5">
      <c r="A275" s="554"/>
      <c r="B275" s="553"/>
      <c r="C275" s="663" t="s">
        <v>18</v>
      </c>
      <c r="D275" s="662" t="s">
        <v>38</v>
      </c>
      <c r="E275" s="661"/>
      <c r="F275" s="661"/>
      <c r="G275" s="660"/>
      <c r="H275" s="550"/>
      <c r="I275" s="659"/>
      <c r="J275" s="659"/>
      <c r="K275" s="657"/>
      <c r="L275" s="658"/>
      <c r="M275" s="657"/>
      <c r="N275" s="657"/>
      <c r="O275" s="657"/>
      <c r="P275" s="657"/>
      <c r="Q275" s="657"/>
      <c r="R275" s="657"/>
      <c r="S275" s="657"/>
      <c r="T275" s="657"/>
      <c r="U275" s="657"/>
    </row>
    <row r="276" spans="1:21" ht="18.75">
      <c r="A276" s="783"/>
      <c r="B276" s="343"/>
      <c r="C276" s="343"/>
      <c r="D276" s="782" t="s">
        <v>115</v>
      </c>
      <c r="E276" s="344"/>
      <c r="F276" s="344"/>
      <c r="G276" s="346"/>
      <c r="H276" s="347" t="s">
        <v>35</v>
      </c>
      <c r="I276" s="349">
        <f ca="1">IFERROR(__xludf.DUMMYFUNCTION("IMPORTRANGE(""https://docs.google.com/spreadsheets/d/1eHaY18a8A9IcSdp1K8H6x8fbOy06t2VsZHhMHf-1x7Y/edit?usp=sharing"",""แผน!EC39"")"),22)</f>
        <v>22</v>
      </c>
      <c r="J276" s="495">
        <v>0</v>
      </c>
      <c r="K276" s="708">
        <f ca="1">IF(I276&gt;0,J276*100/I276,0)</f>
        <v>0</v>
      </c>
      <c r="L276" s="62"/>
      <c r="M276" s="55"/>
      <c r="N276" s="55"/>
      <c r="O276" s="55"/>
      <c r="P276" s="55"/>
      <c r="Q276" s="55"/>
      <c r="R276" s="55"/>
      <c r="S276" s="55"/>
      <c r="T276" s="55"/>
      <c r="U276" s="55"/>
    </row>
    <row r="277" spans="1:21" ht="18.75" hidden="1">
      <c r="A277" s="281"/>
      <c r="B277" s="282"/>
      <c r="C277" s="282"/>
      <c r="D277" s="647" t="s">
        <v>116</v>
      </c>
      <c r="E277" s="2"/>
      <c r="F277" s="2"/>
      <c r="G277" s="284"/>
      <c r="H277" s="646" t="s">
        <v>35</v>
      </c>
      <c r="I277" s="486">
        <v>0</v>
      </c>
      <c r="J277" s="486">
        <v>0</v>
      </c>
      <c r="K277" s="645">
        <v>0</v>
      </c>
      <c r="L277" s="287"/>
      <c r="M277" s="286"/>
      <c r="N277" s="286"/>
      <c r="O277" s="286"/>
      <c r="P277" s="286"/>
      <c r="Q277" s="286"/>
      <c r="R277" s="286"/>
      <c r="S277" s="286"/>
      <c r="T277" s="286"/>
      <c r="U277" s="286"/>
    </row>
    <row r="278" spans="1:21" ht="19.5" hidden="1">
      <c r="A278" s="288" t="s">
        <v>117</v>
      </c>
      <c r="B278" s="289"/>
      <c r="C278" s="289"/>
      <c r="D278" s="289"/>
      <c r="E278" s="290"/>
      <c r="F278" s="290"/>
      <c r="G278" s="290"/>
      <c r="H278" s="290"/>
      <c r="I278" s="291"/>
      <c r="J278" s="291"/>
      <c r="K278" s="292"/>
      <c r="L278" s="292"/>
      <c r="M278" s="292"/>
      <c r="N278" s="292"/>
      <c r="O278" s="292"/>
      <c r="P278" s="293"/>
      <c r="Q278" s="292"/>
      <c r="R278" s="292"/>
      <c r="S278" s="292"/>
      <c r="T278" s="292"/>
      <c r="U278" s="293"/>
    </row>
    <row r="279" spans="1:21" ht="19.5" hidden="1">
      <c r="A279" s="294" t="s">
        <v>118</v>
      </c>
      <c r="B279" s="295"/>
      <c r="C279" s="296"/>
      <c r="D279" s="295"/>
      <c r="E279" s="295"/>
      <c r="F279" s="295"/>
      <c r="G279" s="295"/>
      <c r="H279" s="295"/>
      <c r="I279" s="297"/>
      <c r="J279" s="298"/>
      <c r="K279" s="299"/>
      <c r="L279" s="300"/>
      <c r="M279" s="299"/>
      <c r="N279" s="299"/>
      <c r="O279" s="299"/>
      <c r="P279" s="299"/>
      <c r="Q279" s="299"/>
      <c r="R279" s="299"/>
      <c r="S279" s="299"/>
      <c r="T279" s="299"/>
      <c r="U279" s="299"/>
    </row>
    <row r="280" spans="1:21" ht="19.5" hidden="1">
      <c r="A280" s="301"/>
      <c r="B280" s="302" t="s">
        <v>119</v>
      </c>
      <c r="C280" s="303"/>
      <c r="D280" s="304"/>
      <c r="E280" s="303"/>
      <c r="F280" s="303"/>
      <c r="G280" s="305"/>
      <c r="H280" s="306" t="s">
        <v>35</v>
      </c>
      <c r="I280" s="644">
        <f ca="1">I293</f>
        <v>0</v>
      </c>
      <c r="J280" s="644">
        <f>J293</f>
        <v>0</v>
      </c>
      <c r="K280" s="643">
        <f ca="1">IF(I280&gt;0,J280*100/I280,0)</f>
        <v>0</v>
      </c>
      <c r="L280" s="310"/>
      <c r="M280" s="309"/>
      <c r="N280" s="309"/>
      <c r="O280" s="309"/>
      <c r="P280" s="309"/>
      <c r="Q280" s="309"/>
      <c r="R280" s="309"/>
      <c r="S280" s="309"/>
      <c r="T280" s="309"/>
      <c r="U280" s="309"/>
    </row>
    <row r="281" spans="1:21" ht="19.5" hidden="1">
      <c r="A281" s="301"/>
      <c r="B281" s="303"/>
      <c r="C281" s="303"/>
      <c r="D281" s="304"/>
      <c r="E281" s="303"/>
      <c r="F281" s="303"/>
      <c r="G281" s="305"/>
      <c r="H281" s="306" t="s">
        <v>46</v>
      </c>
      <c r="I281" s="644">
        <f ca="1">I292</f>
        <v>0</v>
      </c>
      <c r="J281" s="644">
        <f>J292</f>
        <v>0</v>
      </c>
      <c r="K281" s="643">
        <f ca="1">IF(I281&gt;0,J281*100/I281,0)</f>
        <v>0</v>
      </c>
      <c r="L281" s="310"/>
      <c r="M281" s="309"/>
      <c r="N281" s="309"/>
      <c r="O281" s="309"/>
      <c r="P281" s="309"/>
      <c r="Q281" s="309"/>
      <c r="R281" s="309"/>
      <c r="S281" s="309"/>
      <c r="T281" s="309"/>
      <c r="U281" s="309"/>
    </row>
    <row r="282" spans="1:21" ht="19.5" hidden="1">
      <c r="A282" s="155"/>
      <c r="B282" s="50"/>
      <c r="C282" s="156" t="s">
        <v>18</v>
      </c>
      <c r="D282" s="575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541">
        <f ca="1">L283+L284</f>
        <v>0</v>
      </c>
      <c r="M282" s="540">
        <f ca="1">M283+M284</f>
        <v>0</v>
      </c>
      <c r="N282" s="540">
        <f ca="1">N283+N284</f>
        <v>0</v>
      </c>
      <c r="O282" s="540">
        <f ca="1">IF(L282&gt;0,N282*100/L282,0)</f>
        <v>0</v>
      </c>
      <c r="P282" s="540">
        <f ca="1">IF(M282&gt;0,N282*100/M282,0)</f>
        <v>0</v>
      </c>
      <c r="Q282" s="540">
        <f>Q283+Q284</f>
        <v>0</v>
      </c>
      <c r="R282" s="540">
        <f>R283+R284</f>
        <v>0</v>
      </c>
      <c r="S282" s="540">
        <f>S283+S284</f>
        <v>0</v>
      </c>
      <c r="T282" s="540">
        <f>IF(Q282&gt;0,S282*100/Q282,0)</f>
        <v>0</v>
      </c>
      <c r="U282" s="540">
        <f>IF(R282&gt;0,S282*100/R282,0)</f>
        <v>0</v>
      </c>
    </row>
    <row r="283" spans="1:21" ht="18.75" hidden="1">
      <c r="A283" s="155"/>
      <c r="B283" s="50"/>
      <c r="C283" s="50"/>
      <c r="D283" s="50"/>
      <c r="E283" s="186" t="s">
        <v>20</v>
      </c>
      <c r="F283" s="50"/>
      <c r="G283" s="52"/>
      <c r="H283" s="187" t="s">
        <v>14</v>
      </c>
      <c r="I283" s="54"/>
      <c r="J283" s="54"/>
      <c r="K283" s="55"/>
      <c r="L283" s="103">
        <f>L286+L289</f>
        <v>0</v>
      </c>
      <c r="M283" s="102">
        <f>M286+M289</f>
        <v>0</v>
      </c>
      <c r="N283" s="102">
        <f>N286+N289</f>
        <v>0</v>
      </c>
      <c r="O283" s="102">
        <f>IF(L283&gt;0,N283*100/L283,0)</f>
        <v>0</v>
      </c>
      <c r="P283" s="102">
        <f>IF(M283&gt;0,N283*100/M283,0)</f>
        <v>0</v>
      </c>
      <c r="Q283" s="102">
        <f>Q286+Q289</f>
        <v>0</v>
      </c>
      <c r="R283" s="102">
        <f>R286+R289</f>
        <v>0</v>
      </c>
      <c r="S283" s="102">
        <f>S286+S289</f>
        <v>0</v>
      </c>
      <c r="T283" s="102">
        <f>IF(Q283&gt;0,S283*100/Q283,0)</f>
        <v>0</v>
      </c>
      <c r="U283" s="102">
        <f>IF(R283&gt;0,S283*100/R283,0)</f>
        <v>0</v>
      </c>
    </row>
    <row r="284" spans="1:21" ht="18.75" hidden="1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256">
        <f ca="1">L287+L290</f>
        <v>0</v>
      </c>
      <c r="M284" s="255">
        <f ca="1">M287+M290</f>
        <v>0</v>
      </c>
      <c r="N284" s="255">
        <f ca="1">N287+N290</f>
        <v>0</v>
      </c>
      <c r="O284" s="255">
        <f ca="1">IF(L284&gt;0,N284*100/L284,0)</f>
        <v>0</v>
      </c>
      <c r="P284" s="255">
        <f ca="1">IF(M284&gt;0,N284*100/M284,0)</f>
        <v>0</v>
      </c>
      <c r="Q284" s="255">
        <f>Q287+Q290</f>
        <v>0</v>
      </c>
      <c r="R284" s="255">
        <f>R287+R290</f>
        <v>0</v>
      </c>
      <c r="S284" s="255">
        <f>S287+S290</f>
        <v>0</v>
      </c>
      <c r="T284" s="255">
        <f>IF(Q284&gt;0,S284*100/Q284,0)</f>
        <v>0</v>
      </c>
      <c r="U284" s="255">
        <f>IF(R284&gt;0,S284*100/R284,0)</f>
        <v>0</v>
      </c>
    </row>
    <row r="285" spans="1:21" ht="18.75" hidden="1">
      <c r="A285" s="155"/>
      <c r="B285" s="50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256">
        <f ca="1">L286+L287</f>
        <v>0</v>
      </c>
      <c r="M285" s="255">
        <f ca="1">M286+M287</f>
        <v>0</v>
      </c>
      <c r="N285" s="255">
        <f ca="1">N286+N287</f>
        <v>0</v>
      </c>
      <c r="O285" s="255">
        <f ca="1">IF(L285&gt;0,N285*100/L285,0)</f>
        <v>0</v>
      </c>
      <c r="P285" s="255">
        <f ca="1">IF(M285&gt;0,N285*100/M285,0)</f>
        <v>0</v>
      </c>
      <c r="Q285" s="255">
        <f>Q286+Q287</f>
        <v>0</v>
      </c>
      <c r="R285" s="255">
        <f>R286+R287</f>
        <v>0</v>
      </c>
      <c r="S285" s="255">
        <f>S286+S287</f>
        <v>0</v>
      </c>
      <c r="T285" s="255">
        <f>IF(Q285&gt;0,S285*100/Q285,0)</f>
        <v>0</v>
      </c>
      <c r="U285" s="255">
        <f>IF(R285&gt;0,S285*100/R285,0)</f>
        <v>0</v>
      </c>
    </row>
    <row r="286" spans="1:21" ht="18.75" hidden="1">
      <c r="A286" s="155"/>
      <c r="B286" s="50"/>
      <c r="C286" s="50"/>
      <c r="D286" s="50"/>
      <c r="E286" s="186" t="s">
        <v>36</v>
      </c>
      <c r="F286" s="50"/>
      <c r="G286" s="52"/>
      <c r="H286" s="189" t="s">
        <v>14</v>
      </c>
      <c r="I286" s="163"/>
      <c r="J286" s="163"/>
      <c r="K286" s="164"/>
      <c r="L286" s="103">
        <v>0</v>
      </c>
      <c r="M286" s="102">
        <v>0</v>
      </c>
      <c r="N286" s="102">
        <v>0</v>
      </c>
      <c r="O286" s="102">
        <f>IF(L286&gt;0,N286*100/L286,0)</f>
        <v>0</v>
      </c>
      <c r="P286" s="102">
        <f>IF(M286&gt;0,N286*100/M286,0)</f>
        <v>0</v>
      </c>
      <c r="Q286" s="102">
        <v>0</v>
      </c>
      <c r="R286" s="102">
        <v>0</v>
      </c>
      <c r="S286" s="102">
        <v>0</v>
      </c>
      <c r="T286" s="102">
        <f>IF(Q286&gt;0,S286*100/Q286,0)</f>
        <v>0</v>
      </c>
      <c r="U286" s="102">
        <f>IF(R286&gt;0,S286*100/R286,0)</f>
        <v>0</v>
      </c>
    </row>
    <row r="287" spans="1:21" ht="18.75" hidden="1">
      <c r="A287" s="155"/>
      <c r="B287" s="50"/>
      <c r="C287" s="50"/>
      <c r="D287" s="50"/>
      <c r="E287" s="58" t="s">
        <v>37</v>
      </c>
      <c r="F287" s="50"/>
      <c r="G287" s="52"/>
      <c r="H287" s="162" t="s">
        <v>14</v>
      </c>
      <c r="I287" s="163"/>
      <c r="J287" s="163"/>
      <c r="K287" s="164"/>
      <c r="L287" s="256">
        <f ca="1">IFERROR(__xludf.DUMMYFUNCTION("IMPORTRANGE(""https://docs.google.com/spreadsheets/d/1-uDff_7J0KD5mKrp0Vvzr7lt3OU09vwQwhkpOPPYv2Y/edit?usp=sharing"",""งบพรบ!DO39"")"),0)</f>
        <v>0</v>
      </c>
      <c r="M287" s="255">
        <f ca="1">IFERROR(__xludf.DUMMYFUNCTION("IMPORTRANGE(""https://docs.google.com/spreadsheets/d/1-uDff_7J0KD5mKrp0Vvzr7lt3OU09vwQwhkpOPPYv2Y/edit?usp=sharing"",""งบพรบ!DT39"")"),0)</f>
        <v>0</v>
      </c>
      <c r="N287" s="255">
        <f ca="1">IFERROR(__xludf.DUMMYFUNCTION("IMPORTRANGE(""https://docs.google.com/spreadsheets/d/1-uDff_7J0KD5mKrp0Vvzr7lt3OU09vwQwhkpOPPYv2Y/edit?usp=sharing"",""งบพรบ!DV39"")"),0)</f>
        <v>0</v>
      </c>
      <c r="O287" s="255">
        <f ca="1">IF(L287&gt;0,N287*100/L287,0)</f>
        <v>0</v>
      </c>
      <c r="P287" s="255">
        <f ca="1">IF(M287&gt;0,N287*100/M287,0)</f>
        <v>0</v>
      </c>
      <c r="Q287" s="255">
        <v>0</v>
      </c>
      <c r="R287" s="255">
        <v>0</v>
      </c>
      <c r="S287" s="255">
        <v>0</v>
      </c>
      <c r="T287" s="102">
        <f>IF(Q287&gt;0,S287*100/Q287,0)</f>
        <v>0</v>
      </c>
      <c r="U287" s="102">
        <f>IF(R287&gt;0,S287*100/R287,0)</f>
        <v>0</v>
      </c>
    </row>
    <row r="288" spans="1:21" ht="18.75" hidden="1">
      <c r="A288" s="155"/>
      <c r="B288" s="50"/>
      <c r="C288" s="50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256">
        <f ca="1">L289+L290</f>
        <v>0</v>
      </c>
      <c r="M288" s="255">
        <f ca="1">M289+M290</f>
        <v>0</v>
      </c>
      <c r="N288" s="255">
        <f ca="1">N289+N290</f>
        <v>0</v>
      </c>
      <c r="O288" s="255">
        <f ca="1">IF(L288&gt;0,N288*100/L288,0)</f>
        <v>0</v>
      </c>
      <c r="P288" s="255">
        <f ca="1">IF(M288&gt;0,N288*100/M288,0)</f>
        <v>0</v>
      </c>
      <c r="Q288" s="255">
        <f>Q289+Q290</f>
        <v>0</v>
      </c>
      <c r="R288" s="255">
        <f>R289+R290</f>
        <v>0</v>
      </c>
      <c r="S288" s="255">
        <f>S289+S290</f>
        <v>0</v>
      </c>
      <c r="T288" s="255">
        <f>IF(Q288&gt;0,S288*100/Q288,0)</f>
        <v>0</v>
      </c>
      <c r="U288" s="255">
        <f>IF(R288&gt;0,S288*100/R288,0)</f>
        <v>0</v>
      </c>
    </row>
    <row r="289" spans="1:21" ht="18.75" hidden="1">
      <c r="A289" s="155"/>
      <c r="B289" s="50"/>
      <c r="C289" s="50"/>
      <c r="D289" s="50"/>
      <c r="E289" s="186" t="s">
        <v>20</v>
      </c>
      <c r="F289" s="50"/>
      <c r="G289" s="52"/>
      <c r="H289" s="189" t="s">
        <v>14</v>
      </c>
      <c r="I289" s="163"/>
      <c r="J289" s="163"/>
      <c r="K289" s="164"/>
      <c r="L289" s="103">
        <v>0</v>
      </c>
      <c r="M289" s="102">
        <v>0</v>
      </c>
      <c r="N289" s="102">
        <v>0</v>
      </c>
      <c r="O289" s="102">
        <f>IF(L289&gt;0,N289*100/L289,0)</f>
        <v>0</v>
      </c>
      <c r="P289" s="102">
        <f>IF(M289&gt;0,N289*100/M289,0)</f>
        <v>0</v>
      </c>
      <c r="Q289" s="102">
        <v>0</v>
      </c>
      <c r="R289" s="102">
        <v>0</v>
      </c>
      <c r="S289" s="102">
        <v>0</v>
      </c>
      <c r="T289" s="102">
        <f>IF(Q289&gt;0,S289*100/Q289,0)</f>
        <v>0</v>
      </c>
      <c r="U289" s="102">
        <f>IF(R289&gt;0,S289*100/R289,0)</f>
        <v>0</v>
      </c>
    </row>
    <row r="290" spans="1:21" ht="18.75" hidden="1">
      <c r="A290" s="155"/>
      <c r="B290" s="50"/>
      <c r="C290" s="50"/>
      <c r="D290" s="50"/>
      <c r="E290" s="58" t="s">
        <v>21</v>
      </c>
      <c r="F290" s="50"/>
      <c r="G290" s="52"/>
      <c r="H290" s="165" t="s">
        <v>14</v>
      </c>
      <c r="I290" s="163"/>
      <c r="J290" s="163"/>
      <c r="K290" s="164"/>
      <c r="L290" s="256">
        <f ca="1">IFERROR(__xludf.DUMMYFUNCTION("IMPORTRANGE(""https://docs.google.com/spreadsheets/d/1-uDff_7J0KD5mKrp0Vvzr7lt3OU09vwQwhkpOPPYv2Y/edit?usp=sharing"",""งบพรบ!DR39"")"),0)</f>
        <v>0</v>
      </c>
      <c r="M290" s="255">
        <f ca="1">IFERROR(__xludf.DUMMYFUNCTION("IMPORTRANGE(""https://docs.google.com/spreadsheets/d/1-uDff_7J0KD5mKrp0Vvzr7lt3OU09vwQwhkpOPPYv2Y/edit?usp=sharing"",""งบพรบ!DU39"")"),0)</f>
        <v>0</v>
      </c>
      <c r="N290" s="255">
        <f ca="1">IFERROR(__xludf.DUMMYFUNCTION("IMPORTRANGE(""https://docs.google.com/spreadsheets/d/1-uDff_7J0KD5mKrp0Vvzr7lt3OU09vwQwhkpOPPYv2Y/edit?usp=sharing"",""งบพรบ!DW39"")"),0)</f>
        <v>0</v>
      </c>
      <c r="O290" s="255">
        <f ca="1">IF(L290&gt;0,N290*100/L290,0)</f>
        <v>0</v>
      </c>
      <c r="P290" s="255">
        <f ca="1">IF(M290&gt;0,N290*100/M290,0)</f>
        <v>0</v>
      </c>
      <c r="Q290" s="255">
        <v>0</v>
      </c>
      <c r="R290" s="255">
        <v>0</v>
      </c>
      <c r="S290" s="255">
        <v>0</v>
      </c>
      <c r="T290" s="255">
        <f>IF(Q290&gt;0,S290*100/Q290,0)</f>
        <v>0</v>
      </c>
      <c r="U290" s="255">
        <f>IF(R290&gt;0,S290*100/R290,0)</f>
        <v>0</v>
      </c>
    </row>
    <row r="291" spans="1:21" ht="19.5" hidden="1">
      <c r="A291" s="166"/>
      <c r="B291" s="167"/>
      <c r="C291" s="156" t="s">
        <v>18</v>
      </c>
      <c r="D291" s="566" t="s">
        <v>38</v>
      </c>
      <c r="E291" s="169"/>
      <c r="F291" s="169"/>
      <c r="G291" s="170"/>
      <c r="H291" s="171"/>
      <c r="I291" s="163"/>
      <c r="J291" s="163"/>
      <c r="K291" s="164"/>
      <c r="L291" s="172"/>
      <c r="M291" s="164"/>
      <c r="N291" s="164"/>
      <c r="O291" s="164"/>
      <c r="P291" s="164"/>
      <c r="Q291" s="164"/>
      <c r="R291" s="164"/>
      <c r="S291" s="164"/>
      <c r="T291" s="164"/>
      <c r="U291" s="164"/>
    </row>
    <row r="292" spans="1:21" ht="18.75" hidden="1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212">
        <f ca="1">IFERROR(__xludf.DUMMYFUNCTION("IMPORTRANGE(""https://docs.google.com/spreadsheets/d/1eHaY18a8A9IcSdp1K8H6x8fbOy06t2VsZHhMHf-1x7Y/edit?usp=sharing"",""แผน!EE39"")"),0)</f>
        <v>0</v>
      </c>
      <c r="J292" s="467">
        <v>0</v>
      </c>
      <c r="K292" s="565">
        <f ca="1">IF(I292&gt;0,J292*100/I292,0)</f>
        <v>0</v>
      </c>
      <c r="L292" s="172"/>
      <c r="M292" s="164"/>
      <c r="N292" s="164"/>
      <c r="O292" s="164"/>
      <c r="P292" s="164"/>
      <c r="Q292" s="164"/>
      <c r="R292" s="164"/>
      <c r="S292" s="164"/>
      <c r="T292" s="164"/>
      <c r="U292" s="164"/>
    </row>
    <row r="293" spans="1:21" ht="19.5" hidden="1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373">
        <f ca="1">IFERROR(__xludf.DUMMYFUNCTION("IMPORTRANGE(""https://docs.google.com/spreadsheets/d/1eHaY18a8A9IcSdp1K8H6x8fbOy06t2VsZHhMHf-1x7Y/edit?usp=sharing"",""แผน!ED39"")"),0)</f>
        <v>0</v>
      </c>
      <c r="J293" s="373">
        <f>J296</f>
        <v>0</v>
      </c>
      <c r="K293" s="642">
        <f ca="1">IF(I293&gt;0,J293*100/I293,0)</f>
        <v>0</v>
      </c>
      <c r="L293" s="172"/>
      <c r="M293" s="164"/>
      <c r="N293" s="164"/>
      <c r="O293" s="164"/>
      <c r="P293" s="164"/>
      <c r="Q293" s="164"/>
      <c r="R293" s="164"/>
      <c r="S293" s="164"/>
      <c r="T293" s="164"/>
      <c r="U293" s="164"/>
    </row>
    <row r="294" spans="1:21" ht="19.5" hidden="1">
      <c r="A294" s="166"/>
      <c r="B294" s="167"/>
      <c r="C294" s="167"/>
      <c r="D294" s="174"/>
      <c r="E294" s="194" t="s">
        <v>122</v>
      </c>
      <c r="F294" s="174"/>
      <c r="G294" s="171"/>
      <c r="H294" s="171"/>
      <c r="I294" s="163"/>
      <c r="J294" s="54"/>
      <c r="K294" s="164"/>
      <c r="L294" s="172"/>
      <c r="M294" s="164"/>
      <c r="N294" s="164"/>
      <c r="O294" s="164"/>
      <c r="P294" s="164"/>
      <c r="Q294" s="164"/>
      <c r="R294" s="164"/>
      <c r="S294" s="164"/>
      <c r="T294" s="164"/>
      <c r="U294" s="164"/>
    </row>
    <row r="295" spans="1:21" ht="19.5" hidden="1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641">
        <f ca="1">IFERROR(__xludf.DUMMYFUNCTION("IMPORTRANGE(""https://docs.google.com/spreadsheets/d/1eHaY18a8A9IcSdp1K8H6x8fbOy06t2VsZHhMHf-1x7Y/edit?usp=sharing"",""แผน!ED39"")"),0)</f>
        <v>0</v>
      </c>
      <c r="J295" s="467">
        <v>0</v>
      </c>
      <c r="K295" s="565">
        <f ca="1">IF(I295&gt;0,J295*100/I295,0)</f>
        <v>0</v>
      </c>
      <c r="L295" s="172"/>
      <c r="M295" s="164"/>
      <c r="N295" s="164"/>
      <c r="O295" s="164"/>
      <c r="P295" s="164"/>
      <c r="Q295" s="164"/>
      <c r="R295" s="164"/>
      <c r="S295" s="164"/>
      <c r="T295" s="164"/>
      <c r="U295" s="164"/>
    </row>
    <row r="296" spans="1:21" ht="19.5" hidden="1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641">
        <f ca="1">IFERROR(__xludf.DUMMYFUNCTION("IMPORTRANGE(""https://docs.google.com/spreadsheets/d/1eHaY18a8A9IcSdp1K8H6x8fbOy06t2VsZHhMHf-1x7Y/edit?usp=sharing"",""แผน!ED39"")"),0)</f>
        <v>0</v>
      </c>
      <c r="J296" s="467">
        <v>0</v>
      </c>
      <c r="K296" s="565">
        <f ca="1">IF(I296&gt;0,J296*100/I296,0)</f>
        <v>0</v>
      </c>
      <c r="L296" s="172"/>
      <c r="M296" s="164"/>
      <c r="N296" s="164"/>
      <c r="O296" s="164"/>
      <c r="P296" s="164"/>
      <c r="Q296" s="164"/>
      <c r="R296" s="164"/>
      <c r="S296" s="164"/>
      <c r="T296" s="164"/>
      <c r="U296" s="164"/>
    </row>
    <row r="297" spans="1:21" ht="12.75" hidden="1">
      <c r="A297" s="192"/>
      <c r="B297" s="193"/>
      <c r="C297" s="193"/>
      <c r="D297" s="22"/>
      <c r="E297" s="22"/>
      <c r="F297" s="22"/>
      <c r="G297" s="23"/>
      <c r="H297" s="23"/>
      <c r="I297" s="24"/>
      <c r="J297" s="24"/>
      <c r="K297" s="25"/>
      <c r="L297" s="26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2.75" hidden="1">
      <c r="A298" s="192"/>
      <c r="B298" s="193"/>
      <c r="C298" s="193"/>
      <c r="D298" s="22"/>
      <c r="E298" s="22"/>
      <c r="F298" s="22"/>
      <c r="G298" s="23"/>
      <c r="H298" s="23"/>
      <c r="I298" s="24"/>
      <c r="J298" s="24"/>
      <c r="K298" s="25"/>
      <c r="L298" s="26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2.75" hidden="1">
      <c r="A299" s="311"/>
      <c r="B299" s="312"/>
      <c r="C299" s="312"/>
      <c r="D299" s="27"/>
      <c r="E299" s="27"/>
      <c r="F299" s="27"/>
      <c r="G299" s="17"/>
      <c r="H299" s="17"/>
      <c r="I299" s="18"/>
      <c r="J299" s="18"/>
      <c r="K299" s="19"/>
      <c r="L299" s="28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>
      <c r="A300" s="313" t="s">
        <v>125</v>
      </c>
      <c r="B300" s="314"/>
      <c r="C300" s="314"/>
      <c r="D300" s="314"/>
      <c r="E300" s="315"/>
      <c r="F300" s="315"/>
      <c r="G300" s="315"/>
      <c r="H300" s="315"/>
      <c r="I300" s="316"/>
      <c r="J300" s="316"/>
      <c r="K300" s="317"/>
      <c r="L300" s="317"/>
      <c r="M300" s="317"/>
      <c r="N300" s="317"/>
      <c r="O300" s="317"/>
      <c r="P300" s="318"/>
      <c r="Q300" s="317"/>
      <c r="R300" s="317"/>
      <c r="S300" s="317"/>
      <c r="T300" s="317"/>
      <c r="U300" s="318"/>
    </row>
    <row r="301" spans="1:21" ht="19.5">
      <c r="A301" s="319" t="s">
        <v>126</v>
      </c>
      <c r="B301" s="320"/>
      <c r="C301" s="320"/>
      <c r="D301" s="321"/>
      <c r="E301" s="321"/>
      <c r="F301" s="321"/>
      <c r="G301" s="322"/>
      <c r="H301" s="322"/>
      <c r="I301" s="323"/>
      <c r="J301" s="323"/>
      <c r="K301" s="324"/>
      <c r="L301" s="325"/>
      <c r="M301" s="324"/>
      <c r="N301" s="324"/>
      <c r="O301" s="324"/>
      <c r="P301" s="324"/>
      <c r="Q301" s="324"/>
      <c r="R301" s="324"/>
      <c r="S301" s="324"/>
      <c r="T301" s="324"/>
      <c r="U301" s="324"/>
    </row>
    <row r="302" spans="1:21" ht="19.5">
      <c r="A302" s="326"/>
      <c r="B302" s="327" t="s">
        <v>127</v>
      </c>
      <c r="C302" s="328"/>
      <c r="D302" s="328"/>
      <c r="E302" s="328"/>
      <c r="F302" s="328"/>
      <c r="G302" s="329"/>
      <c r="H302" s="330" t="s">
        <v>35</v>
      </c>
      <c r="I302" s="605">
        <f ca="1">I314</f>
        <v>30</v>
      </c>
      <c r="J302" s="605">
        <f>J314</f>
        <v>0</v>
      </c>
      <c r="K302" s="604">
        <f ca="1">IF(I302&gt;0,J302*100/I302,0)</f>
        <v>0</v>
      </c>
      <c r="L302" s="334"/>
      <c r="M302" s="333"/>
      <c r="N302" s="333"/>
      <c r="O302" s="333"/>
      <c r="P302" s="333"/>
      <c r="Q302" s="333"/>
      <c r="R302" s="333"/>
      <c r="S302" s="333"/>
      <c r="T302" s="333"/>
      <c r="U302" s="333"/>
    </row>
    <row r="303" spans="1:21" ht="19.5">
      <c r="A303" s="155"/>
      <c r="B303" s="50"/>
      <c r="C303" s="156" t="s">
        <v>18</v>
      </c>
      <c r="D303" s="575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541">
        <f ca="1">L304+L305</f>
        <v>0</v>
      </c>
      <c r="M303" s="540">
        <f ca="1">M304+M305</f>
        <v>0</v>
      </c>
      <c r="N303" s="540">
        <f ca="1">N304+N305</f>
        <v>0</v>
      </c>
      <c r="O303" s="540">
        <f ca="1">IF(L303&gt;0,N303*100/L303,0)</f>
        <v>0</v>
      </c>
      <c r="P303" s="540">
        <f ca="1">IF(M303&gt;0,N303*100/M303,0)</f>
        <v>0</v>
      </c>
      <c r="Q303" s="540">
        <f ca="1">Q304+Q305</f>
        <v>260958.39</v>
      </c>
      <c r="R303" s="540">
        <f ca="1">R304+R305</f>
        <v>260958</v>
      </c>
      <c r="S303" s="540">
        <f ca="1">S304+S305</f>
        <v>11870</v>
      </c>
      <c r="T303" s="540">
        <f ca="1">IF(Q303&gt;0,S303*100/Q303,0)</f>
        <v>4.5486178850199064</v>
      </c>
      <c r="U303" s="540">
        <f ca="1">IF(R303&gt;0,S303*100/R303,0)</f>
        <v>4.5486246828991641</v>
      </c>
    </row>
    <row r="304" spans="1:21" ht="18.75" hidden="1">
      <c r="A304" s="155"/>
      <c r="B304" s="50"/>
      <c r="C304" s="50"/>
      <c r="D304" s="50"/>
      <c r="E304" s="186" t="s">
        <v>20</v>
      </c>
      <c r="F304" s="50"/>
      <c r="G304" s="52"/>
      <c r="H304" s="187" t="s">
        <v>14</v>
      </c>
      <c r="I304" s="54"/>
      <c r="J304" s="54"/>
      <c r="K304" s="55"/>
      <c r="L304" s="103">
        <f>L307+L310</f>
        <v>0</v>
      </c>
      <c r="M304" s="102">
        <f>M307+M310</f>
        <v>0</v>
      </c>
      <c r="N304" s="102">
        <f>N307+N310</f>
        <v>0</v>
      </c>
      <c r="O304" s="102">
        <f>IF(L304&gt;0,N304*100/L304,0)</f>
        <v>0</v>
      </c>
      <c r="P304" s="102">
        <f>IF(M304&gt;0,N304*100/M304,0)</f>
        <v>0</v>
      </c>
      <c r="Q304" s="102">
        <f>Q307+Q310</f>
        <v>0</v>
      </c>
      <c r="R304" s="102">
        <f>R307+R310</f>
        <v>0</v>
      </c>
      <c r="S304" s="102">
        <f>S307+S310</f>
        <v>0</v>
      </c>
      <c r="T304" s="102">
        <f>IF(Q304&gt;0,S304*100/Q304,0)</f>
        <v>0</v>
      </c>
      <c r="U304" s="102">
        <f>IF(R304&gt;0,S304*100/R304,0)</f>
        <v>0</v>
      </c>
    </row>
    <row r="305" spans="1:21" ht="18.75" hidden="1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256">
        <f ca="1">L308+L311</f>
        <v>0</v>
      </c>
      <c r="M305" s="255">
        <f ca="1">M308+M311</f>
        <v>0</v>
      </c>
      <c r="N305" s="255">
        <f ca="1">N308+N311</f>
        <v>0</v>
      </c>
      <c r="O305" s="255">
        <f ca="1">IF(L305&gt;0,N305*100/L305,0)</f>
        <v>0</v>
      </c>
      <c r="P305" s="255">
        <f ca="1">IF(M305&gt;0,N305*100/M305,0)</f>
        <v>0</v>
      </c>
      <c r="Q305" s="255">
        <f ca="1">Q308+Q311</f>
        <v>260958.39</v>
      </c>
      <c r="R305" s="255">
        <f ca="1">R308+R311</f>
        <v>260958</v>
      </c>
      <c r="S305" s="255">
        <f ca="1">S308+S311</f>
        <v>11870</v>
      </c>
      <c r="T305" s="255">
        <f ca="1">IF(Q305&gt;0,S305*100/Q305,0)</f>
        <v>4.5486178850199064</v>
      </c>
      <c r="U305" s="255">
        <f ca="1">IF(R305&gt;0,S305*100/R305,0)</f>
        <v>4.5486246828991641</v>
      </c>
    </row>
    <row r="306" spans="1:21" ht="18.75">
      <c r="A306" s="155"/>
      <c r="B306" s="50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256">
        <f ca="1">L307+L308</f>
        <v>0</v>
      </c>
      <c r="M306" s="255">
        <f ca="1">M307+M308</f>
        <v>0</v>
      </c>
      <c r="N306" s="255">
        <f ca="1">N307+N308</f>
        <v>0</v>
      </c>
      <c r="O306" s="255">
        <f ca="1">IF(L306&gt;0,N306*100/L306,0)</f>
        <v>0</v>
      </c>
      <c r="P306" s="255">
        <f ca="1">IF(M306&gt;0,N306*100/M306,0)</f>
        <v>0</v>
      </c>
      <c r="Q306" s="255">
        <f ca="1">Q307+Q308</f>
        <v>260958.39</v>
      </c>
      <c r="R306" s="255">
        <f ca="1">R307+R308</f>
        <v>260958</v>
      </c>
      <c r="S306" s="255">
        <f ca="1">S307+S308</f>
        <v>11870</v>
      </c>
      <c r="T306" s="255">
        <f ca="1">IF(Q306&gt;0,S306*100/Q306,0)</f>
        <v>4.5486178850199064</v>
      </c>
      <c r="U306" s="255">
        <f ca="1">IF(R306&gt;0,S306*100/R306,0)</f>
        <v>4.5486246828991641</v>
      </c>
    </row>
    <row r="307" spans="1:21" ht="18.75" hidden="1">
      <c r="A307" s="155"/>
      <c r="B307" s="50"/>
      <c r="C307" s="50"/>
      <c r="D307" s="50"/>
      <c r="E307" s="186" t="s">
        <v>36</v>
      </c>
      <c r="F307" s="50"/>
      <c r="G307" s="52"/>
      <c r="H307" s="189" t="s">
        <v>14</v>
      </c>
      <c r="I307" s="163"/>
      <c r="J307" s="163"/>
      <c r="K307" s="164"/>
      <c r="L307" s="103">
        <v>0</v>
      </c>
      <c r="M307" s="102">
        <v>0</v>
      </c>
      <c r="N307" s="102">
        <v>0</v>
      </c>
      <c r="O307" s="102">
        <f>IF(L307&gt;0,N307*100/L307,0)</f>
        <v>0</v>
      </c>
      <c r="P307" s="102">
        <f>IF(M307&gt;0,N307*100/M307,0)</f>
        <v>0</v>
      </c>
      <c r="Q307" s="102">
        <v>0</v>
      </c>
      <c r="R307" s="102">
        <v>0</v>
      </c>
      <c r="S307" s="102">
        <v>0</v>
      </c>
      <c r="T307" s="102">
        <f>IF(Q307&gt;0,S307*100/Q307,0)</f>
        <v>0</v>
      </c>
      <c r="U307" s="102">
        <f>IF(R307&gt;0,S307*100/R307,0)</f>
        <v>0</v>
      </c>
    </row>
    <row r="308" spans="1:21" ht="18.75" hidden="1">
      <c r="A308" s="155"/>
      <c r="B308" s="50"/>
      <c r="C308" s="50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256">
        <f ca="1">IFERROR(__xludf.DUMMYFUNCTION("IMPORTRANGE(""https://docs.google.com/spreadsheets/d/1-uDff_7J0KD5mKrp0Vvzr7lt3OU09vwQwhkpOPPYv2Y/edit?usp=sharing"",""งบพรบ!DY39"")"),0)</f>
        <v>0</v>
      </c>
      <c r="M308" s="255">
        <f ca="1">IFERROR(__xludf.DUMMYFUNCTION("IMPORTRANGE(""https://docs.google.com/spreadsheets/d/1-uDff_7J0KD5mKrp0Vvzr7lt3OU09vwQwhkpOPPYv2Y/edit?usp=sharing"",""งบพรบ!ED39"")"),0)</f>
        <v>0</v>
      </c>
      <c r="N308" s="255">
        <f ca="1">IFERROR(__xludf.DUMMYFUNCTION("IMPORTRANGE(""https://docs.google.com/spreadsheets/d/1-uDff_7J0KD5mKrp0Vvzr7lt3OU09vwQwhkpOPPYv2Y/edit?usp=sharing"",""งบพรบ!EF39"")"),0)</f>
        <v>0</v>
      </c>
      <c r="O308" s="255">
        <f ca="1">IF(L308&gt;0,N308*100/L308,0)</f>
        <v>0</v>
      </c>
      <c r="P308" s="255">
        <f ca="1">IF(M308&gt;0,N308*100/M308,0)</f>
        <v>0</v>
      </c>
      <c r="Q308" s="255">
        <f ca="1">IFERROR(__xludf.DUMMYFUNCTION("IMPORTRANGE(""https://docs.google.com/spreadsheets/d/1ItG2mGa2ceCfYo0BwxsXqNm01IGEUdYcSSLTEv9YCik/edit?usp=sharing"",""เบิกจ่ายกองทุน!AP39"")"),260958.39)</f>
        <v>260958.39</v>
      </c>
      <c r="R308" s="255">
        <f ca="1">IFERROR(__xludf.DUMMYFUNCTION("IMPORTRANGE(""https://docs.google.com/spreadsheets/d/1ItG2mGa2ceCfYo0BwxsXqNm01IGEUdYcSSLTEv9YCik/edit?usp=sharing"",""เบิกจ่ายกองทุน!AQ39"")"),260958)</f>
        <v>260958</v>
      </c>
      <c r="S308" s="255">
        <f ca="1">IFERROR(__xludf.DUMMYFUNCTION("IMPORTRANGE(""https://docs.google.com/spreadsheets/d/1ItG2mGa2ceCfYo0BwxsXqNm01IGEUdYcSSLTEv9YCik/edit?usp=sharing"",""เบิกจ่ายกองทุน!AR39"")"),11870)</f>
        <v>11870</v>
      </c>
      <c r="T308" s="255">
        <f ca="1">IF(Q308&gt;0,S308*100/Q308,0)</f>
        <v>4.5486178850199064</v>
      </c>
      <c r="U308" s="255">
        <f ca="1">IF(R308&gt;0,S308*100/R308,0)</f>
        <v>4.5486246828991641</v>
      </c>
    </row>
    <row r="309" spans="1:21" ht="18.75">
      <c r="A309" s="155"/>
      <c r="B309" s="50"/>
      <c r="C309" s="50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256">
        <f ca="1">L310+L311</f>
        <v>0</v>
      </c>
      <c r="M309" s="255">
        <f ca="1">M310+M311</f>
        <v>0</v>
      </c>
      <c r="N309" s="255">
        <f ca="1">N310+N311</f>
        <v>0</v>
      </c>
      <c r="O309" s="255">
        <f ca="1">IF(L309&gt;0,N309*100/L309,0)</f>
        <v>0</v>
      </c>
      <c r="P309" s="255">
        <f ca="1">IF(M309&gt;0,N309*100/M309,0)</f>
        <v>0</v>
      </c>
      <c r="Q309" s="255">
        <f>Q310+Q311</f>
        <v>0</v>
      </c>
      <c r="R309" s="255">
        <f>R310+R311</f>
        <v>0</v>
      </c>
      <c r="S309" s="255">
        <f>S310+S311</f>
        <v>0</v>
      </c>
      <c r="T309" s="255">
        <f>IF(Q309&gt;0,S309*100/Q309,0)</f>
        <v>0</v>
      </c>
      <c r="U309" s="255">
        <f>IF(R309&gt;0,S309*100/R309,0)</f>
        <v>0</v>
      </c>
    </row>
    <row r="310" spans="1:21" ht="18.75" hidden="1">
      <c r="A310" s="155"/>
      <c r="B310" s="50"/>
      <c r="C310" s="50"/>
      <c r="D310" s="50"/>
      <c r="E310" s="186" t="s">
        <v>20</v>
      </c>
      <c r="F310" s="50"/>
      <c r="G310" s="52"/>
      <c r="H310" s="189" t="s">
        <v>14</v>
      </c>
      <c r="I310" s="163"/>
      <c r="J310" s="163"/>
      <c r="K310" s="164"/>
      <c r="L310" s="103">
        <v>0</v>
      </c>
      <c r="M310" s="102">
        <v>0</v>
      </c>
      <c r="N310" s="102">
        <v>0</v>
      </c>
      <c r="O310" s="102">
        <f>IF(L310&gt;0,N310*100/L310,0)</f>
        <v>0</v>
      </c>
      <c r="P310" s="102">
        <f>IF(M310&gt;0,N310*100/M310,0)</f>
        <v>0</v>
      </c>
      <c r="Q310" s="102">
        <v>0</v>
      </c>
      <c r="R310" s="102">
        <v>0</v>
      </c>
      <c r="S310" s="102">
        <v>0</v>
      </c>
      <c r="T310" s="102">
        <f>IF(Q310&gt;0,S310*100/Q310,0)</f>
        <v>0</v>
      </c>
      <c r="U310" s="102">
        <f>IF(R310&gt;0,S310*100/R310,0)</f>
        <v>0</v>
      </c>
    </row>
    <row r="311" spans="1:21" ht="18.75" hidden="1">
      <c r="A311" s="155"/>
      <c r="B311" s="50"/>
      <c r="C311" s="50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256">
        <f ca="1">IFERROR(__xludf.DUMMYFUNCTION("IMPORTRANGE(""https://docs.google.com/spreadsheets/d/1-uDff_7J0KD5mKrp0Vvzr7lt3OU09vwQwhkpOPPYv2Y/edit?usp=sharing"",""งบพรบ!EB39"")"),0)</f>
        <v>0</v>
      </c>
      <c r="M311" s="255">
        <f ca="1">IFERROR(__xludf.DUMMYFUNCTION("IMPORTRANGE(""https://docs.google.com/spreadsheets/d/1-uDff_7J0KD5mKrp0Vvzr7lt3OU09vwQwhkpOPPYv2Y/edit?usp=sharing"",""งบพรบ!EE39"")"),0)</f>
        <v>0</v>
      </c>
      <c r="N311" s="255">
        <f ca="1">IFERROR(__xludf.DUMMYFUNCTION("IMPORTRANGE(""https://docs.google.com/spreadsheets/d/1-uDff_7J0KD5mKrp0Vvzr7lt3OU09vwQwhkpOPPYv2Y/edit?usp=sharing"",""งบพรบ!EG39"")"),0)</f>
        <v>0</v>
      </c>
      <c r="O311" s="255">
        <f ca="1">IF(L311&gt;0,N311*100/L311,0)</f>
        <v>0</v>
      </c>
      <c r="P311" s="255">
        <f ca="1">IF(M311&gt;0,N311*100/M311,0)</f>
        <v>0</v>
      </c>
      <c r="Q311" s="255">
        <v>0</v>
      </c>
      <c r="R311" s="255">
        <v>0</v>
      </c>
      <c r="S311" s="255">
        <v>0</v>
      </c>
      <c r="T311" s="255">
        <f>IF(Q311&gt;0,S311*100/Q311,0)</f>
        <v>0</v>
      </c>
      <c r="U311" s="255">
        <f>IF(R311&gt;0,S311*100/R311,0)</f>
        <v>0</v>
      </c>
    </row>
    <row r="312" spans="1:21" ht="19.5">
      <c r="A312" s="166"/>
      <c r="B312" s="167"/>
      <c r="C312" s="156" t="s">
        <v>18</v>
      </c>
      <c r="D312" s="566" t="s">
        <v>38</v>
      </c>
      <c r="E312" s="169"/>
      <c r="F312" s="169"/>
      <c r="G312" s="170"/>
      <c r="H312" s="171"/>
      <c r="I312" s="54"/>
      <c r="J312" s="54"/>
      <c r="K312" s="55"/>
      <c r="L312" s="62"/>
      <c r="M312" s="55"/>
      <c r="N312" s="55"/>
      <c r="O312" s="55"/>
      <c r="P312" s="55"/>
      <c r="Q312" s="55"/>
      <c r="R312" s="55"/>
      <c r="S312" s="55"/>
      <c r="T312" s="55"/>
      <c r="U312" s="55"/>
    </row>
    <row r="313" spans="1:21" ht="18.75" hidden="1">
      <c r="A313" s="192"/>
      <c r="B313" s="193"/>
      <c r="C313" s="193"/>
      <c r="D313" s="640"/>
      <c r="E313" s="22"/>
      <c r="F313" s="22"/>
      <c r="G313" s="23"/>
      <c r="H313" s="23"/>
      <c r="I313" s="24"/>
      <c r="J313" s="638"/>
      <c r="K313" s="25"/>
      <c r="L313" s="26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8.75">
      <c r="A314" s="166"/>
      <c r="B314" s="167"/>
      <c r="C314" s="167"/>
      <c r="D314" s="178" t="s">
        <v>121</v>
      </c>
      <c r="E314" s="174"/>
      <c r="F314" s="174"/>
      <c r="G314" s="171"/>
      <c r="H314" s="179" t="s">
        <v>35</v>
      </c>
      <c r="I314" s="212">
        <f ca="1">IFERROR(__xludf.DUMMYFUNCTION("IMPORTRANGE(""https://docs.google.com/spreadsheets/d/1eHaY18a8A9IcSdp1K8H6x8fbOy06t2VsZHhMHf-1x7Y/edit?usp=sharing"",""แผน!EF39"")"),30)</f>
        <v>30</v>
      </c>
      <c r="J314" s="467">
        <v>0</v>
      </c>
      <c r="K314" s="255">
        <f ca="1">IF(I314&gt;0,J314*100/I314,0)</f>
        <v>0</v>
      </c>
      <c r="L314" s="62"/>
      <c r="M314" s="55"/>
      <c r="N314" s="55"/>
      <c r="O314" s="55"/>
      <c r="P314" s="55"/>
      <c r="Q314" s="55"/>
      <c r="R314" s="55"/>
      <c r="S314" s="55"/>
      <c r="T314" s="55"/>
      <c r="U314" s="55"/>
    </row>
    <row r="315" spans="1:21" ht="18.75" hidden="1">
      <c r="A315" s="192"/>
      <c r="B315" s="193"/>
      <c r="C315" s="193"/>
      <c r="D315" s="640"/>
      <c r="E315" s="22"/>
      <c r="F315" s="22"/>
      <c r="G315" s="23"/>
      <c r="H315" s="639"/>
      <c r="I315" s="638"/>
      <c r="J315" s="638"/>
      <c r="K315" s="637"/>
      <c r="L315" s="26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8.75" hidden="1">
      <c r="A316" s="192"/>
      <c r="B316" s="193"/>
      <c r="C316" s="193"/>
      <c r="D316" s="640"/>
      <c r="E316" s="22"/>
      <c r="F316" s="22"/>
      <c r="G316" s="23"/>
      <c r="H316" s="639"/>
      <c r="I316" s="638"/>
      <c r="J316" s="638"/>
      <c r="K316" s="637"/>
      <c r="L316" s="26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8.75" hidden="1">
      <c r="A317" s="192"/>
      <c r="B317" s="193"/>
      <c r="C317" s="193"/>
      <c r="D317" s="636"/>
      <c r="E317" s="22"/>
      <c r="F317" s="22"/>
      <c r="G317" s="23"/>
      <c r="H317" s="635"/>
      <c r="I317" s="638"/>
      <c r="J317" s="634"/>
      <c r="K317" s="633"/>
      <c r="L317" s="26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9.5" hidden="1">
      <c r="A318" s="319" t="s">
        <v>131</v>
      </c>
      <c r="B318" s="320"/>
      <c r="C318" s="320"/>
      <c r="D318" s="321"/>
      <c r="E318" s="320"/>
      <c r="F318" s="320"/>
      <c r="G318" s="320"/>
      <c r="H318" s="321"/>
      <c r="I318" s="323"/>
      <c r="J318" s="323"/>
      <c r="K318" s="324"/>
      <c r="L318" s="325"/>
      <c r="M318" s="324"/>
      <c r="N318" s="324"/>
      <c r="O318" s="324"/>
      <c r="P318" s="324"/>
      <c r="Q318" s="324"/>
      <c r="R318" s="324"/>
      <c r="S318" s="324"/>
      <c r="T318" s="324"/>
      <c r="U318" s="324"/>
    </row>
    <row r="319" spans="1:21" ht="19.5" hidden="1">
      <c r="A319" s="335"/>
      <c r="B319" s="327" t="s">
        <v>132</v>
      </c>
      <c r="C319" s="336"/>
      <c r="D319" s="337"/>
      <c r="E319" s="328"/>
      <c r="F319" s="328"/>
      <c r="G319" s="329"/>
      <c r="H319" s="330" t="s">
        <v>133</v>
      </c>
      <c r="I319" s="605">
        <f ca="1">I330</f>
        <v>0</v>
      </c>
      <c r="J319" s="605">
        <f>J330</f>
        <v>0</v>
      </c>
      <c r="K319" s="604">
        <f ca="1">IF(I319&gt;0,J319*100/I319,0)</f>
        <v>0</v>
      </c>
      <c r="L319" s="334"/>
      <c r="M319" s="333"/>
      <c r="N319" s="333"/>
      <c r="O319" s="333"/>
      <c r="P319" s="333"/>
      <c r="Q319" s="333"/>
      <c r="R319" s="333"/>
      <c r="S319" s="333"/>
      <c r="T319" s="333"/>
      <c r="U319" s="333"/>
    </row>
    <row r="320" spans="1:21" ht="19.5" hidden="1">
      <c r="A320" s="155"/>
      <c r="B320" s="50"/>
      <c r="C320" s="156" t="s">
        <v>18</v>
      </c>
      <c r="D320" s="575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541">
        <f ca="1">L321+L322</f>
        <v>0</v>
      </c>
      <c r="M320" s="540">
        <f ca="1">M321+M322</f>
        <v>0</v>
      </c>
      <c r="N320" s="540">
        <f ca="1">N321+N322</f>
        <v>0</v>
      </c>
      <c r="O320" s="540">
        <f ca="1">IF(L320&gt;0,N320*100/L320,0)</f>
        <v>0</v>
      </c>
      <c r="P320" s="540">
        <f ca="1">IF(M320&gt;0,N320*100/M320,0)</f>
        <v>0</v>
      </c>
      <c r="Q320" s="540">
        <f>Q321+Q322</f>
        <v>0</v>
      </c>
      <c r="R320" s="540">
        <f>R321+R322</f>
        <v>0</v>
      </c>
      <c r="S320" s="540">
        <f>S321+S322</f>
        <v>0</v>
      </c>
      <c r="T320" s="540">
        <f>IF(Q320&gt;0,S320*100/Q320,0)</f>
        <v>0</v>
      </c>
      <c r="U320" s="540">
        <f>IF(R320&gt;0,S320*100/R320,0)</f>
        <v>0</v>
      </c>
    </row>
    <row r="321" spans="1:21" ht="18.75" hidden="1">
      <c r="A321" s="155"/>
      <c r="B321" s="50"/>
      <c r="C321" s="50"/>
      <c r="D321" s="50"/>
      <c r="E321" s="186" t="s">
        <v>20</v>
      </c>
      <c r="F321" s="50"/>
      <c r="G321" s="52"/>
      <c r="H321" s="187" t="s">
        <v>14</v>
      </c>
      <c r="I321" s="54"/>
      <c r="J321" s="54"/>
      <c r="K321" s="55"/>
      <c r="L321" s="103">
        <f>L324+L327</f>
        <v>0</v>
      </c>
      <c r="M321" s="102">
        <f>M324+M327</f>
        <v>0</v>
      </c>
      <c r="N321" s="102">
        <f>N324+N327</f>
        <v>0</v>
      </c>
      <c r="O321" s="102">
        <f>IF(L321&gt;0,N321*100/L321,0)</f>
        <v>0</v>
      </c>
      <c r="P321" s="102">
        <f>IF(M321&gt;0,N321*100/M321,0)</f>
        <v>0</v>
      </c>
      <c r="Q321" s="102">
        <f>Q324+Q327</f>
        <v>0</v>
      </c>
      <c r="R321" s="102">
        <f>R324+R327</f>
        <v>0</v>
      </c>
      <c r="S321" s="102">
        <f>S324+S327</f>
        <v>0</v>
      </c>
      <c r="T321" s="102">
        <f>IF(Q321&gt;0,S321*100/Q321,0)</f>
        <v>0</v>
      </c>
      <c r="U321" s="102">
        <f>IF(R321&gt;0,S321*100/R321,0)</f>
        <v>0</v>
      </c>
    </row>
    <row r="322" spans="1:21" ht="18.75" hidden="1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256">
        <f ca="1">L325+L328</f>
        <v>0</v>
      </c>
      <c r="M322" s="255">
        <f ca="1">M325+M328</f>
        <v>0</v>
      </c>
      <c r="N322" s="255">
        <f ca="1">N325+N328</f>
        <v>0</v>
      </c>
      <c r="O322" s="255">
        <f ca="1">IF(L322&gt;0,N322*100/L322,0)</f>
        <v>0</v>
      </c>
      <c r="P322" s="255">
        <f ca="1">IF(M322&gt;0,N322*100/M322,0)</f>
        <v>0</v>
      </c>
      <c r="Q322" s="255">
        <f>Q325+Q328</f>
        <v>0</v>
      </c>
      <c r="R322" s="255">
        <f>R325+R328</f>
        <v>0</v>
      </c>
      <c r="S322" s="255">
        <f>S325+S328</f>
        <v>0</v>
      </c>
      <c r="T322" s="255">
        <f>IF(Q322&gt;0,S322*100/Q322,0)</f>
        <v>0</v>
      </c>
      <c r="U322" s="255">
        <f>IF(R322&gt;0,S322*100/R322,0)</f>
        <v>0</v>
      </c>
    </row>
    <row r="323" spans="1:21" ht="18.75" hidden="1">
      <c r="A323" s="155"/>
      <c r="B323" s="50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256">
        <f ca="1">L324+L325</f>
        <v>0</v>
      </c>
      <c r="M323" s="255">
        <f ca="1">M324+M325</f>
        <v>0</v>
      </c>
      <c r="N323" s="255">
        <f ca="1">N324+N325</f>
        <v>0</v>
      </c>
      <c r="O323" s="255">
        <f ca="1">IF(L323&gt;0,N323*100/L323,0)</f>
        <v>0</v>
      </c>
      <c r="P323" s="255">
        <f ca="1">IF(M323&gt;0,N323*100/M323,0)</f>
        <v>0</v>
      </c>
      <c r="Q323" s="255">
        <f>Q324+Q325</f>
        <v>0</v>
      </c>
      <c r="R323" s="255">
        <f>R324+R325</f>
        <v>0</v>
      </c>
      <c r="S323" s="255">
        <f>S324+S325</f>
        <v>0</v>
      </c>
      <c r="T323" s="255">
        <f>IF(Q323&gt;0,S323*100/Q323,0)</f>
        <v>0</v>
      </c>
      <c r="U323" s="255">
        <f>IF(R323&gt;0,S323*100/R323,0)</f>
        <v>0</v>
      </c>
    </row>
    <row r="324" spans="1:21" ht="18.75" hidden="1">
      <c r="A324" s="155"/>
      <c r="B324" s="50"/>
      <c r="C324" s="50"/>
      <c r="D324" s="50"/>
      <c r="E324" s="186" t="s">
        <v>36</v>
      </c>
      <c r="F324" s="50"/>
      <c r="G324" s="52"/>
      <c r="H324" s="189" t="s">
        <v>14</v>
      </c>
      <c r="I324" s="163"/>
      <c r="J324" s="163"/>
      <c r="K324" s="164"/>
      <c r="L324" s="103">
        <v>0</v>
      </c>
      <c r="M324" s="102">
        <v>0</v>
      </c>
      <c r="N324" s="102">
        <v>0</v>
      </c>
      <c r="O324" s="102">
        <f>IF(L324&gt;0,N324*100/L324,0)</f>
        <v>0</v>
      </c>
      <c r="P324" s="102">
        <f>IF(M324&gt;0,N324*100/M324,0)</f>
        <v>0</v>
      </c>
      <c r="Q324" s="102">
        <v>0</v>
      </c>
      <c r="R324" s="102">
        <v>0</v>
      </c>
      <c r="S324" s="102">
        <v>0</v>
      </c>
      <c r="T324" s="102">
        <f>IF(Q324&gt;0,S324*100/Q324,0)</f>
        <v>0</v>
      </c>
      <c r="U324" s="102">
        <f>IF(R324&gt;0,S324*100/R324,0)</f>
        <v>0</v>
      </c>
    </row>
    <row r="325" spans="1:21" ht="18.75" hidden="1">
      <c r="A325" s="155"/>
      <c r="B325" s="50"/>
      <c r="C325" s="50"/>
      <c r="D325" s="50"/>
      <c r="E325" s="58" t="s">
        <v>37</v>
      </c>
      <c r="F325" s="50"/>
      <c r="G325" s="52"/>
      <c r="H325" s="162" t="s">
        <v>14</v>
      </c>
      <c r="I325" s="163"/>
      <c r="J325" s="163"/>
      <c r="K325" s="164"/>
      <c r="L325" s="256">
        <f ca="1">IFERROR(__xludf.DUMMYFUNCTION("IMPORTRANGE(""https://docs.google.com/spreadsheets/d/1-uDff_7J0KD5mKrp0Vvzr7lt3OU09vwQwhkpOPPYv2Y/edit?usp=sharing"",""งบพรบ!EI39"")"),0)</f>
        <v>0</v>
      </c>
      <c r="M325" s="255">
        <f ca="1">IFERROR(__xludf.DUMMYFUNCTION("IMPORTRANGE(""https://docs.google.com/spreadsheets/d/1-uDff_7J0KD5mKrp0Vvzr7lt3OU09vwQwhkpOPPYv2Y/edit?usp=sharing"",""งบพรบ!EN39"")"),0)</f>
        <v>0</v>
      </c>
      <c r="N325" s="255">
        <f ca="1">IFERROR(__xludf.DUMMYFUNCTION("IMPORTRANGE(""https://docs.google.com/spreadsheets/d/1-uDff_7J0KD5mKrp0Vvzr7lt3OU09vwQwhkpOPPYv2Y/edit?usp=sharing"",""งบพรบ!EP39"")"),0)</f>
        <v>0</v>
      </c>
      <c r="O325" s="255">
        <f ca="1">IF(L325&gt;0,N325*100/L325,0)</f>
        <v>0</v>
      </c>
      <c r="P325" s="255">
        <f ca="1">IF(M325&gt;0,N325*100/M325,0)</f>
        <v>0</v>
      </c>
      <c r="Q325" s="255">
        <v>0</v>
      </c>
      <c r="R325" s="255">
        <v>0</v>
      </c>
      <c r="S325" s="255">
        <v>0</v>
      </c>
      <c r="T325" s="255">
        <f>IF(Q325&gt;0,S325*100/Q325,0)</f>
        <v>0</v>
      </c>
      <c r="U325" s="255">
        <f>IF(R325&gt;0,S325*100/R325,0)</f>
        <v>0</v>
      </c>
    </row>
    <row r="326" spans="1:21" ht="18.75" hidden="1">
      <c r="A326" s="155"/>
      <c r="B326" s="50"/>
      <c r="C326" s="50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256">
        <f ca="1">L327+L328</f>
        <v>0</v>
      </c>
      <c r="M326" s="255">
        <f ca="1">M327+M328</f>
        <v>0</v>
      </c>
      <c r="N326" s="255">
        <f ca="1">N327+N328</f>
        <v>0</v>
      </c>
      <c r="O326" s="255">
        <f ca="1">IF(L326&gt;0,N326*100/L326,0)</f>
        <v>0</v>
      </c>
      <c r="P326" s="255">
        <f ca="1">IF(M326&gt;0,N326*100/M326,0)</f>
        <v>0</v>
      </c>
      <c r="Q326" s="255">
        <f>Q327+Q328</f>
        <v>0</v>
      </c>
      <c r="R326" s="255">
        <f>R327+R328</f>
        <v>0</v>
      </c>
      <c r="S326" s="255">
        <f>S327+S328</f>
        <v>0</v>
      </c>
      <c r="T326" s="255">
        <f>IF(Q326&gt;0,S326*100/Q326,0)</f>
        <v>0</v>
      </c>
      <c r="U326" s="255">
        <f>IF(R326&gt;0,S326*100/R326,0)</f>
        <v>0</v>
      </c>
    </row>
    <row r="327" spans="1:21" ht="18.75" hidden="1">
      <c r="A327" s="155"/>
      <c r="B327" s="50"/>
      <c r="C327" s="50"/>
      <c r="D327" s="50"/>
      <c r="E327" s="186" t="s">
        <v>20</v>
      </c>
      <c r="F327" s="50"/>
      <c r="G327" s="52"/>
      <c r="H327" s="189" t="s">
        <v>14</v>
      </c>
      <c r="I327" s="163"/>
      <c r="J327" s="163"/>
      <c r="K327" s="164"/>
      <c r="L327" s="103">
        <v>0</v>
      </c>
      <c r="M327" s="102">
        <v>0</v>
      </c>
      <c r="N327" s="102">
        <v>0</v>
      </c>
      <c r="O327" s="102">
        <f>IF(L327&gt;0,N327*100/L327,0)</f>
        <v>0</v>
      </c>
      <c r="P327" s="102">
        <f>IF(M327&gt;0,N327*100/M327,0)</f>
        <v>0</v>
      </c>
      <c r="Q327" s="102">
        <v>0</v>
      </c>
      <c r="R327" s="102">
        <v>0</v>
      </c>
      <c r="S327" s="102">
        <v>0</v>
      </c>
      <c r="T327" s="102">
        <f>IF(Q327&gt;0,S327*100/Q327,0)</f>
        <v>0</v>
      </c>
      <c r="U327" s="102">
        <f>IF(R327&gt;0,S327*100/R327,0)</f>
        <v>0</v>
      </c>
    </row>
    <row r="328" spans="1:21" ht="18.75" hidden="1">
      <c r="A328" s="155"/>
      <c r="B328" s="50"/>
      <c r="C328" s="50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256">
        <f ca="1">IFERROR(__xludf.DUMMYFUNCTION("IMPORTRANGE(""https://docs.google.com/spreadsheets/d/1-uDff_7J0KD5mKrp0Vvzr7lt3OU09vwQwhkpOPPYv2Y/edit?usp=sharing"",""งบพรบ!EL39"")"),0)</f>
        <v>0</v>
      </c>
      <c r="M328" s="255">
        <f ca="1">IFERROR(__xludf.DUMMYFUNCTION("IMPORTRANGE(""https://docs.google.com/spreadsheets/d/1-uDff_7J0KD5mKrp0Vvzr7lt3OU09vwQwhkpOPPYv2Y/edit?usp=sharing"",""งบพรบ!EO39"")"),0)</f>
        <v>0</v>
      </c>
      <c r="N328" s="255">
        <f ca="1">IFERROR(__xludf.DUMMYFUNCTION("IMPORTRANGE(""https://docs.google.com/spreadsheets/d/1-uDff_7J0KD5mKrp0Vvzr7lt3OU09vwQwhkpOPPYv2Y/edit?usp=sharing"",""งบพรบ!EQ39"")"),0)</f>
        <v>0</v>
      </c>
      <c r="O328" s="255">
        <f ca="1">IF(L328&gt;0,N328*100/L328,0)</f>
        <v>0</v>
      </c>
      <c r="P328" s="255">
        <f ca="1">IF(M328&gt;0,N328*100/M328,0)</f>
        <v>0</v>
      </c>
      <c r="Q328" s="255">
        <v>0</v>
      </c>
      <c r="R328" s="255">
        <v>0</v>
      </c>
      <c r="S328" s="255">
        <v>0</v>
      </c>
      <c r="T328" s="255">
        <f>IF(Q328&gt;0,S328*100/Q328,0)</f>
        <v>0</v>
      </c>
      <c r="U328" s="255">
        <f>IF(R328&gt;0,S328*100/R328,0)</f>
        <v>0</v>
      </c>
    </row>
    <row r="329" spans="1:21" ht="19.5" hidden="1">
      <c r="A329" s="166"/>
      <c r="B329" s="167"/>
      <c r="C329" s="156" t="s">
        <v>18</v>
      </c>
      <c r="D329" s="566" t="s">
        <v>38</v>
      </c>
      <c r="E329" s="169"/>
      <c r="F329" s="169"/>
      <c r="G329" s="170"/>
      <c r="H329" s="171"/>
      <c r="I329" s="163"/>
      <c r="J329" s="54"/>
      <c r="K329" s="55"/>
      <c r="L329" s="62"/>
      <c r="M329" s="55"/>
      <c r="N329" s="55"/>
      <c r="O329" s="164"/>
      <c r="P329" s="164"/>
      <c r="Q329" s="55"/>
      <c r="R329" s="55"/>
      <c r="S329" s="55"/>
      <c r="T329" s="164"/>
      <c r="U329" s="164"/>
    </row>
    <row r="330" spans="1:21" ht="18.75" hidden="1">
      <c r="A330" s="166"/>
      <c r="B330" s="167"/>
      <c r="C330" s="167"/>
      <c r="D330" s="173" t="s">
        <v>134</v>
      </c>
      <c r="E330" s="174"/>
      <c r="F330" s="174"/>
      <c r="G330" s="171"/>
      <c r="H330" s="53" t="s">
        <v>133</v>
      </c>
      <c r="I330" s="212">
        <f ca="1">IFERROR(__xludf.DUMMYFUNCTION("IMPORTRANGE(""https://docs.google.com/spreadsheets/d/1eHaY18a8A9IcSdp1K8H6x8fbOy06t2VsZHhMHf-1x7Y/edit?usp=sharing"",""แผน!EJ39"")"),0)</f>
        <v>0</v>
      </c>
      <c r="J330" s="467">
        <v>0</v>
      </c>
      <c r="K330" s="255">
        <f ca="1">IF(I330&gt;0,J330*100/I330,0)</f>
        <v>0</v>
      </c>
      <c r="L330" s="62"/>
      <c r="M330" s="55"/>
      <c r="N330" s="55"/>
      <c r="O330" s="164"/>
      <c r="P330" s="164"/>
      <c r="Q330" s="55"/>
      <c r="R330" s="55"/>
      <c r="S330" s="55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1"/>
      <c r="I331" s="323"/>
      <c r="J331" s="323"/>
      <c r="K331" s="324"/>
      <c r="L331" s="325"/>
      <c r="M331" s="324"/>
      <c r="N331" s="324"/>
      <c r="O331" s="324"/>
      <c r="P331" s="324"/>
      <c r="Q331" s="324"/>
      <c r="R331" s="324"/>
      <c r="S331" s="324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30" t="s">
        <v>35</v>
      </c>
      <c r="I332" s="632">
        <f ca="1">I344</f>
        <v>660</v>
      </c>
      <c r="J332" s="631">
        <f ca="1">J344+J347+J348+J349+J353+J354</f>
        <v>8397</v>
      </c>
      <c r="K332" s="630">
        <f ca="1">IF(I332&gt;0,J332*100/I332,0)</f>
        <v>1272.2727272727273</v>
      </c>
      <c r="L332" s="334"/>
      <c r="M332" s="333"/>
      <c r="N332" s="333"/>
      <c r="O332" s="333"/>
      <c r="P332" s="333"/>
      <c r="Q332" s="333"/>
      <c r="R332" s="333"/>
      <c r="S332" s="333"/>
      <c r="T332" s="333"/>
      <c r="U332" s="333"/>
    </row>
    <row r="333" spans="1:21" ht="19.5">
      <c r="A333" s="155"/>
      <c r="B333" s="50"/>
      <c r="C333" s="156" t="s">
        <v>18</v>
      </c>
      <c r="D333" s="575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541">
        <f ca="1">L334+L335</f>
        <v>103000</v>
      </c>
      <c r="M333" s="540">
        <f ca="1">M334+M335</f>
        <v>108000</v>
      </c>
      <c r="N333" s="540">
        <f ca="1">N334+N335</f>
        <v>94160</v>
      </c>
      <c r="O333" s="540">
        <f ca="1">IF(L333&gt;0,N333*100/L333,0)</f>
        <v>91.417475728155338</v>
      </c>
      <c r="P333" s="540">
        <f ca="1">IF(M333&gt;0,N333*100/M333,0)</f>
        <v>87.18518518518519</v>
      </c>
      <c r="Q333" s="540">
        <f>Q334+Q335</f>
        <v>0</v>
      </c>
      <c r="R333" s="540">
        <f>R334+R335</f>
        <v>0</v>
      </c>
      <c r="S333" s="540">
        <f>S334+S335</f>
        <v>0</v>
      </c>
      <c r="T333" s="540">
        <f>IF(Q333&gt;0,S333*100/Q333,0)</f>
        <v>0</v>
      </c>
      <c r="U333" s="540">
        <f>IF(R333&gt;0,S333*100/R333,0)</f>
        <v>0</v>
      </c>
    </row>
    <row r="334" spans="1:21" ht="18.75" hidden="1">
      <c r="A334" s="155"/>
      <c r="B334" s="50"/>
      <c r="C334" s="50"/>
      <c r="D334" s="50"/>
      <c r="E334" s="186" t="s">
        <v>20</v>
      </c>
      <c r="F334" s="50"/>
      <c r="G334" s="52"/>
      <c r="H334" s="187" t="s">
        <v>14</v>
      </c>
      <c r="I334" s="54"/>
      <c r="J334" s="54"/>
      <c r="K334" s="55"/>
      <c r="L334" s="103">
        <f>L337+L340</f>
        <v>0</v>
      </c>
      <c r="M334" s="102">
        <f>M337+M340</f>
        <v>0</v>
      </c>
      <c r="N334" s="102">
        <f>N337+N340</f>
        <v>0</v>
      </c>
      <c r="O334" s="102">
        <f>IF(L334&gt;0,N334*100/L334,0)</f>
        <v>0</v>
      </c>
      <c r="P334" s="102">
        <f>IF(M334&gt;0,N334*100/M334,0)</f>
        <v>0</v>
      </c>
      <c r="Q334" s="102">
        <f>Q337+Q340</f>
        <v>0</v>
      </c>
      <c r="R334" s="102">
        <f>R337+R340</f>
        <v>0</v>
      </c>
      <c r="S334" s="102">
        <f>S337+S340</f>
        <v>0</v>
      </c>
      <c r="T334" s="102">
        <f>IF(Q334&gt;0,S334*100/Q334,0)</f>
        <v>0</v>
      </c>
      <c r="U334" s="102">
        <f>IF(R334&gt;0,S334*100/R334,0)</f>
        <v>0</v>
      </c>
    </row>
    <row r="335" spans="1:21" ht="18.75" hidden="1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256">
        <f ca="1">L338+L341</f>
        <v>103000</v>
      </c>
      <c r="M335" s="255">
        <f ca="1">M338+M341</f>
        <v>108000</v>
      </c>
      <c r="N335" s="255">
        <f ca="1">N338+N341</f>
        <v>94160</v>
      </c>
      <c r="O335" s="255">
        <f ca="1">IF(L335&gt;0,N335*100/L335,0)</f>
        <v>91.417475728155338</v>
      </c>
      <c r="P335" s="255">
        <f ca="1">IF(M335&gt;0,N335*100/M335,0)</f>
        <v>87.18518518518519</v>
      </c>
      <c r="Q335" s="255">
        <f>Q338+Q341</f>
        <v>0</v>
      </c>
      <c r="R335" s="255">
        <f>R338+R341</f>
        <v>0</v>
      </c>
      <c r="S335" s="255">
        <f>S338+S341</f>
        <v>0</v>
      </c>
      <c r="T335" s="255">
        <f>IF(Q335&gt;0,S335*100/Q335,0)</f>
        <v>0</v>
      </c>
      <c r="U335" s="255">
        <f>IF(R335&gt;0,S335*100/R335,0)</f>
        <v>0</v>
      </c>
    </row>
    <row r="336" spans="1:21" ht="18.75">
      <c r="A336" s="155"/>
      <c r="B336" s="50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256">
        <f ca="1">L337+L338</f>
        <v>103000</v>
      </c>
      <c r="M336" s="255">
        <f ca="1">M337+M338</f>
        <v>108000</v>
      </c>
      <c r="N336" s="255">
        <f ca="1">N337+N338</f>
        <v>94160</v>
      </c>
      <c r="O336" s="255">
        <f ca="1">IF(L336&gt;0,N336*100/L336,0)</f>
        <v>91.417475728155338</v>
      </c>
      <c r="P336" s="255">
        <f ca="1">IF(M336&gt;0,N336*100/M336,0)</f>
        <v>87.18518518518519</v>
      </c>
      <c r="Q336" s="255">
        <f>Q337+Q338</f>
        <v>0</v>
      </c>
      <c r="R336" s="255">
        <f>R337+R338</f>
        <v>0</v>
      </c>
      <c r="S336" s="255">
        <f>S337+S338</f>
        <v>0</v>
      </c>
      <c r="T336" s="255">
        <f>IF(Q336&gt;0,S336*100/Q336,0)</f>
        <v>0</v>
      </c>
      <c r="U336" s="255">
        <f>IF(R336&gt;0,S336*100/R336,0)</f>
        <v>0</v>
      </c>
    </row>
    <row r="337" spans="1:21" ht="18.75" hidden="1">
      <c r="A337" s="155"/>
      <c r="B337" s="50"/>
      <c r="C337" s="50"/>
      <c r="D337" s="50"/>
      <c r="E337" s="186" t="s">
        <v>36</v>
      </c>
      <c r="F337" s="50"/>
      <c r="G337" s="52"/>
      <c r="H337" s="189" t="s">
        <v>14</v>
      </c>
      <c r="I337" s="163"/>
      <c r="J337" s="163"/>
      <c r="K337" s="164"/>
      <c r="L337" s="103">
        <v>0</v>
      </c>
      <c r="M337" s="102">
        <v>0</v>
      </c>
      <c r="N337" s="102">
        <v>0</v>
      </c>
      <c r="O337" s="102">
        <f>IF(L337&gt;0,N337*100/L337,0)</f>
        <v>0</v>
      </c>
      <c r="P337" s="102">
        <f>IF(M337&gt;0,N337*100/M337,0)</f>
        <v>0</v>
      </c>
      <c r="Q337" s="102">
        <v>0</v>
      </c>
      <c r="R337" s="102">
        <v>0</v>
      </c>
      <c r="S337" s="102">
        <v>0</v>
      </c>
      <c r="T337" s="102">
        <f>IF(Q337&gt;0,S337*100/Q337,0)</f>
        <v>0</v>
      </c>
      <c r="U337" s="102">
        <f>IF(R337&gt;0,S337*100/R337,0)</f>
        <v>0</v>
      </c>
    </row>
    <row r="338" spans="1:21" ht="18.75" hidden="1">
      <c r="A338" s="155"/>
      <c r="B338" s="50"/>
      <c r="C338" s="50"/>
      <c r="D338" s="50"/>
      <c r="E338" s="58" t="s">
        <v>37</v>
      </c>
      <c r="F338" s="50"/>
      <c r="G338" s="52"/>
      <c r="H338" s="162" t="s">
        <v>14</v>
      </c>
      <c r="I338" s="163"/>
      <c r="J338" s="163"/>
      <c r="K338" s="164"/>
      <c r="L338" s="256">
        <f ca="1">IFERROR(__xludf.DUMMYFUNCTION("IMPORTRANGE(""https://docs.google.com/spreadsheets/d/1-uDff_7J0KD5mKrp0Vvzr7lt3OU09vwQwhkpOPPYv2Y/edit?usp=sharing"",""งบพรบ!ES39"")"),103000)</f>
        <v>103000</v>
      </c>
      <c r="M338" s="255">
        <f ca="1">IFERROR(__xludf.DUMMYFUNCTION("IMPORTRANGE(""https://docs.google.com/spreadsheets/d/1-uDff_7J0KD5mKrp0Vvzr7lt3OU09vwQwhkpOPPYv2Y/edit?usp=sharing"",""งบพรบ!EX39"")"),108000)</f>
        <v>108000</v>
      </c>
      <c r="N338" s="255">
        <f ca="1">IFERROR(__xludf.DUMMYFUNCTION("IMPORTRANGE(""https://docs.google.com/spreadsheets/d/1-uDff_7J0KD5mKrp0Vvzr7lt3OU09vwQwhkpOPPYv2Y/edit?usp=sharing"",""งบพรบ!EZ39"")"),94160)</f>
        <v>94160</v>
      </c>
      <c r="O338" s="255">
        <f ca="1">IF(L338&gt;0,N338*100/L338,0)</f>
        <v>91.417475728155338</v>
      </c>
      <c r="P338" s="255">
        <f ca="1">IF(M338&gt;0,N338*100/M338,0)</f>
        <v>87.18518518518519</v>
      </c>
      <c r="Q338" s="255">
        <v>0</v>
      </c>
      <c r="R338" s="255">
        <v>0</v>
      </c>
      <c r="S338" s="255">
        <v>0</v>
      </c>
      <c r="T338" s="255">
        <f>IF(Q338&gt;0,S338*100/Q338,0)</f>
        <v>0</v>
      </c>
      <c r="U338" s="255">
        <f>IF(R338&gt;0,S338*100/R338,0)</f>
        <v>0</v>
      </c>
    </row>
    <row r="339" spans="1:21" ht="18.75">
      <c r="A339" s="155"/>
      <c r="B339" s="50"/>
      <c r="C339" s="50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256">
        <f ca="1">L340+L341</f>
        <v>0</v>
      </c>
      <c r="M339" s="255">
        <f ca="1">M340+M341</f>
        <v>0</v>
      </c>
      <c r="N339" s="255">
        <f ca="1">N340+N341</f>
        <v>0</v>
      </c>
      <c r="O339" s="255">
        <f ca="1">IF(L339&gt;0,N339*100/L339,0)</f>
        <v>0</v>
      </c>
      <c r="P339" s="255">
        <f ca="1">IF(M339&gt;0,N339*100/M339,0)</f>
        <v>0</v>
      </c>
      <c r="Q339" s="255">
        <f>Q340+Q341</f>
        <v>0</v>
      </c>
      <c r="R339" s="255">
        <f>R340+R341</f>
        <v>0</v>
      </c>
      <c r="S339" s="255">
        <f>S340+S341</f>
        <v>0</v>
      </c>
      <c r="T339" s="255">
        <f>IF(Q339&gt;0,S339*100/Q339,0)</f>
        <v>0</v>
      </c>
      <c r="U339" s="255">
        <f>IF(R339&gt;0,S339*100/R339,0)</f>
        <v>0</v>
      </c>
    </row>
    <row r="340" spans="1:21" ht="18.75" hidden="1">
      <c r="A340" s="155"/>
      <c r="B340" s="50"/>
      <c r="C340" s="50"/>
      <c r="D340" s="50"/>
      <c r="E340" s="186" t="s">
        <v>20</v>
      </c>
      <c r="F340" s="50"/>
      <c r="G340" s="52"/>
      <c r="H340" s="189" t="s">
        <v>14</v>
      </c>
      <c r="I340" s="163"/>
      <c r="J340" s="163"/>
      <c r="K340" s="164"/>
      <c r="L340" s="103">
        <v>0</v>
      </c>
      <c r="M340" s="102">
        <v>0</v>
      </c>
      <c r="N340" s="102">
        <v>0</v>
      </c>
      <c r="O340" s="102">
        <f>IF(L340&gt;0,N340*100/L340,0)</f>
        <v>0</v>
      </c>
      <c r="P340" s="102">
        <f>IF(M340&gt;0,N340*100/M340,0)</f>
        <v>0</v>
      </c>
      <c r="Q340" s="102">
        <v>0</v>
      </c>
      <c r="R340" s="102">
        <v>0</v>
      </c>
      <c r="S340" s="102">
        <v>0</v>
      </c>
      <c r="T340" s="102">
        <f>IF(Q340&gt;0,S340*100/Q340,0)</f>
        <v>0</v>
      </c>
      <c r="U340" s="102">
        <f>IF(R340&gt;0,S340*100/R340,0)</f>
        <v>0</v>
      </c>
    </row>
    <row r="341" spans="1:21" ht="18.75" hidden="1">
      <c r="A341" s="155"/>
      <c r="B341" s="50"/>
      <c r="C341" s="50"/>
      <c r="D341" s="50"/>
      <c r="E341" s="58" t="s">
        <v>21</v>
      </c>
      <c r="F341" s="50"/>
      <c r="G341" s="52"/>
      <c r="H341" s="165" t="s">
        <v>14</v>
      </c>
      <c r="I341" s="163"/>
      <c r="J341" s="163"/>
      <c r="K341" s="164"/>
      <c r="L341" s="256">
        <f ca="1">IFERROR(__xludf.DUMMYFUNCTION("IMPORTRANGE(""https://docs.google.com/spreadsheets/d/1-uDff_7J0KD5mKrp0Vvzr7lt3OU09vwQwhkpOPPYv2Y/edit?usp=sharing"",""งบพรบ!EV39"")"),0)</f>
        <v>0</v>
      </c>
      <c r="M341" s="255">
        <f ca="1">IFERROR(__xludf.DUMMYFUNCTION("IMPORTRANGE(""https://docs.google.com/spreadsheets/d/1-uDff_7J0KD5mKrp0Vvzr7lt3OU09vwQwhkpOPPYv2Y/edit?usp=sharing"",""งบพรบ!EY39"")"),0)</f>
        <v>0</v>
      </c>
      <c r="N341" s="255">
        <f ca="1">IFERROR(__xludf.DUMMYFUNCTION("IMPORTRANGE(""https://docs.google.com/spreadsheets/d/1-uDff_7J0KD5mKrp0Vvzr7lt3OU09vwQwhkpOPPYv2Y/edit?usp=sharing"",""งบพรบ!FA39"")"),0)</f>
        <v>0</v>
      </c>
      <c r="O341" s="255">
        <f ca="1">IF(L341&gt;0,N341*100/L341,0)</f>
        <v>0</v>
      </c>
      <c r="P341" s="255">
        <f ca="1">IF(M341&gt;0,N341*100/M341,0)</f>
        <v>0</v>
      </c>
      <c r="Q341" s="255">
        <v>0</v>
      </c>
      <c r="R341" s="255">
        <v>0</v>
      </c>
      <c r="S341" s="255">
        <v>0</v>
      </c>
      <c r="T341" s="255">
        <f>IF(Q341&gt;0,S341*100/Q341,0)</f>
        <v>0</v>
      </c>
      <c r="U341" s="255">
        <f>IF(R341&gt;0,S341*100/R341,0)</f>
        <v>0</v>
      </c>
    </row>
    <row r="342" spans="1:21" ht="19.5">
      <c r="A342" s="166"/>
      <c r="B342" s="167"/>
      <c r="C342" s="156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62"/>
      <c r="M342" s="55"/>
      <c r="N342" s="55"/>
      <c r="O342" s="164"/>
      <c r="P342" s="164"/>
      <c r="Q342" s="55"/>
      <c r="R342" s="55"/>
      <c r="S342" s="55"/>
      <c r="T342" s="164"/>
      <c r="U342" s="164"/>
    </row>
    <row r="343" spans="1:21" ht="19.5">
      <c r="A343" s="629"/>
      <c r="B343" s="626"/>
      <c r="C343" s="628"/>
      <c r="D343" s="626"/>
      <c r="E343" s="627" t="s">
        <v>137</v>
      </c>
      <c r="F343" s="626"/>
      <c r="G343" s="625"/>
      <c r="H343" s="624" t="s">
        <v>35</v>
      </c>
      <c r="I343" s="623">
        <v>0</v>
      </c>
      <c r="J343" s="623">
        <f ca="1">J344+J347+J348+J349</f>
        <v>623</v>
      </c>
      <c r="K343" s="622">
        <v>0</v>
      </c>
      <c r="L343" s="250"/>
      <c r="M343" s="249"/>
      <c r="N343" s="249"/>
      <c r="O343" s="249"/>
      <c r="P343" s="249"/>
      <c r="Q343" s="249"/>
      <c r="R343" s="249"/>
      <c r="S343" s="249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40" t="s">
        <v>35</v>
      </c>
      <c r="I344" s="212">
        <f ca="1">IFERROR(__xludf.DUMMYFUNCTION("IMPORTRANGE(""https://docs.google.com/spreadsheets/d/1eHaY18a8A9IcSdp1K8H6x8fbOy06t2VsZHhMHf-1x7Y/edit?usp=sharing"",""แผน!EK39"")"),660)</f>
        <v>660</v>
      </c>
      <c r="J344" s="212">
        <f ca="1">IFERROR(__xludf.DUMMYFUNCTION("IMPORTRANGE(""https://docs.google.com/spreadsheets/d/1awYsYK3VOup2i3Pq_Yjnu8DRu_mYwSBnCR2QPthd0rU/edit?usp=sharing"",""ศูนย์ยกเว้นโฉนด!D39"")"),623)</f>
        <v>623</v>
      </c>
      <c r="K344" s="255">
        <f ca="1">IF(I344&gt;0,J344*100/I344,0)</f>
        <v>94.393939393939391</v>
      </c>
      <c r="L344" s="62"/>
      <c r="M344" s="55"/>
      <c r="N344" s="55"/>
      <c r="O344" s="55"/>
      <c r="P344" s="55"/>
      <c r="Q344" s="55"/>
      <c r="R344" s="55"/>
      <c r="S344" s="55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62"/>
      <c r="M345" s="55"/>
      <c r="N345" s="55"/>
      <c r="O345" s="55"/>
      <c r="P345" s="55"/>
      <c r="Q345" s="55"/>
      <c r="R345" s="55"/>
      <c r="S345" s="55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212">
        <f ca="1">IFERROR(__xludf.DUMMYFUNCTION("IMPORTRANGE(""https://docs.google.com/spreadsheets/d/1eHaY18a8A9IcSdp1K8H6x8fbOy06t2VsZHhMHf-1x7Y/edit?usp=sharing"",""แผน!EL39"")"),3)</f>
        <v>3</v>
      </c>
      <c r="J346" s="212">
        <f ca="1">IFERROR(__xludf.DUMMYFUNCTION("IMPORTRANGE(""https://docs.google.com/spreadsheets/d/1awYsYK3VOup2i3Pq_Yjnu8DRu_mYwSBnCR2QPthd0rU/edit?usp=sharing"",""ศูนย์รวม!E39"")"),4)</f>
        <v>4</v>
      </c>
      <c r="K346" s="255">
        <f ca="1">IF(I346&gt;0,J346*100/I346,0)</f>
        <v>133.33333333333334</v>
      </c>
      <c r="L346" s="62"/>
      <c r="M346" s="55"/>
      <c r="N346" s="55"/>
      <c r="O346" s="55"/>
      <c r="P346" s="55"/>
      <c r="Q346" s="55"/>
      <c r="R346" s="55"/>
      <c r="S346" s="55"/>
      <c r="T346" s="55"/>
      <c r="U346" s="55"/>
    </row>
    <row r="347" spans="1:21" ht="18.75">
      <c r="A347" s="238"/>
      <c r="B347" s="50"/>
      <c r="C347" s="188"/>
      <c r="D347" s="174"/>
      <c r="E347" s="174"/>
      <c r="F347" s="178" t="s">
        <v>142</v>
      </c>
      <c r="G347" s="52"/>
      <c r="H347" s="203" t="s">
        <v>35</v>
      </c>
      <c r="I347" s="54"/>
      <c r="J347" s="212">
        <f ca="1">IFERROR(__xludf.DUMMYFUNCTION("IMPORTRANGE(""https://docs.google.com/spreadsheets/d/1awYsYK3VOup2i3Pq_Yjnu8DRu_mYwSBnCR2QPthd0rU/edit?usp=sharing"",""ศูนย์ยกเว้นโฉนด!F39"")"),0)</f>
        <v>0</v>
      </c>
      <c r="K347" s="55"/>
      <c r="L347" s="62"/>
      <c r="M347" s="55"/>
      <c r="N347" s="55"/>
      <c r="O347" s="55"/>
      <c r="P347" s="55"/>
      <c r="Q347" s="55"/>
      <c r="R347" s="55"/>
      <c r="S347" s="55"/>
      <c r="T347" s="55"/>
      <c r="U347" s="55"/>
    </row>
    <row r="348" spans="1:21" ht="18.75">
      <c r="A348" s="238"/>
      <c r="B348" s="50"/>
      <c r="C348" s="188"/>
      <c r="D348" s="174"/>
      <c r="E348" s="178" t="s">
        <v>143</v>
      </c>
      <c r="F348" s="174"/>
      <c r="G348" s="52"/>
      <c r="H348" s="203" t="s">
        <v>35</v>
      </c>
      <c r="I348" s="54"/>
      <c r="J348" s="212">
        <f ca="1">IFERROR(__xludf.DUMMYFUNCTION("IMPORTRANGE(""https://docs.google.com/spreadsheets/d/1awYsYK3VOup2i3Pq_Yjnu8DRu_mYwSBnCR2QPthd0rU/edit?usp=sharing"",""ศูนย์ยกเว้นโฉนด!G39"")"),0)</f>
        <v>0</v>
      </c>
      <c r="K348" s="55"/>
      <c r="L348" s="62"/>
      <c r="M348" s="55"/>
      <c r="N348" s="55"/>
      <c r="O348" s="55"/>
      <c r="P348" s="55"/>
      <c r="Q348" s="55"/>
      <c r="R348" s="55"/>
      <c r="S348" s="55"/>
      <c r="T348" s="55"/>
      <c r="U348" s="55"/>
    </row>
    <row r="349" spans="1:21" ht="18.75">
      <c r="A349" s="238"/>
      <c r="B349" s="50"/>
      <c r="C349" s="188"/>
      <c r="D349" s="167"/>
      <c r="E349" s="178" t="s">
        <v>144</v>
      </c>
      <c r="F349" s="174"/>
      <c r="G349" s="52"/>
      <c r="H349" s="203" t="s">
        <v>35</v>
      </c>
      <c r="I349" s="54"/>
      <c r="J349" s="212">
        <f ca="1">IFERROR(__xludf.DUMMYFUNCTION("IMPORTRANGE(""https://docs.google.com/spreadsheets/d/1awYsYK3VOup2i3Pq_Yjnu8DRu_mYwSBnCR2QPthd0rU/edit?usp=sharing"",""ศูนย์ยกเว้นโฉนด!H39"")"),0)</f>
        <v>0</v>
      </c>
      <c r="K349" s="55"/>
      <c r="L349" s="62"/>
      <c r="M349" s="55"/>
      <c r="N349" s="55"/>
      <c r="O349" s="55"/>
      <c r="P349" s="55"/>
      <c r="Q349" s="55"/>
      <c r="R349" s="55"/>
      <c r="S349" s="55"/>
      <c r="T349" s="55"/>
      <c r="U349" s="55"/>
    </row>
    <row r="350" spans="1:21" ht="16.5">
      <c r="A350" s="18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0" s="50"/>
      <c r="F350" s="50"/>
      <c r="G350" s="52"/>
      <c r="H350" s="208"/>
      <c r="I350" s="54"/>
      <c r="J350" s="54"/>
      <c r="K350" s="55"/>
      <c r="L350" s="62"/>
      <c r="M350" s="55"/>
      <c r="N350" s="55"/>
      <c r="O350" s="55"/>
      <c r="P350" s="55"/>
      <c r="Q350" s="55"/>
      <c r="R350" s="55"/>
      <c r="S350" s="55"/>
      <c r="T350" s="55"/>
      <c r="U350" s="55"/>
    </row>
    <row r="351" spans="1:21" ht="19.5">
      <c r="A351" s="241"/>
      <c r="B351" s="244"/>
      <c r="C351" s="242"/>
      <c r="D351" s="244"/>
      <c r="E351" s="621" t="s">
        <v>145</v>
      </c>
      <c r="F351" s="244"/>
      <c r="G351" s="245"/>
      <c r="H351" s="246" t="s">
        <v>35</v>
      </c>
      <c r="I351" s="339">
        <v>0</v>
      </c>
      <c r="J351" s="339">
        <f ca="1">J352+J353+J354</f>
        <v>8153</v>
      </c>
      <c r="K351" s="340">
        <v>0</v>
      </c>
      <c r="L351" s="250"/>
      <c r="M351" s="249"/>
      <c r="N351" s="249"/>
      <c r="O351" s="249"/>
      <c r="P351" s="249"/>
      <c r="Q351" s="249"/>
      <c r="R351" s="249"/>
      <c r="S351" s="249"/>
      <c r="T351" s="249"/>
      <c r="U351" s="249"/>
    </row>
    <row r="352" spans="1:21" ht="18.75">
      <c r="A352" s="188"/>
      <c r="B352" s="50"/>
      <c r="C352" s="188"/>
      <c r="D352" s="174"/>
      <c r="E352" s="178" t="s">
        <v>146</v>
      </c>
      <c r="F352" s="50"/>
      <c r="G352" s="52"/>
      <c r="H352" s="161" t="s">
        <v>35</v>
      </c>
      <c r="I352" s="54"/>
      <c r="J352" s="212">
        <f ca="1">IFERROR(__xludf.DUMMYFUNCTION("IMPORTRANGE(""https://docs.google.com/spreadsheets/d/1awYsYK3VOup2i3Pq_Yjnu8DRu_mYwSBnCR2QPthd0rU/edit?usp=sharing"",""โฉนดM3!G39"")"),379)</f>
        <v>379</v>
      </c>
      <c r="K352" s="55"/>
      <c r="L352" s="62"/>
      <c r="M352" s="55"/>
      <c r="N352" s="55"/>
      <c r="O352" s="55"/>
      <c r="P352" s="55"/>
      <c r="Q352" s="55"/>
      <c r="R352" s="55"/>
      <c r="S352" s="55"/>
      <c r="T352" s="55"/>
      <c r="U352" s="55"/>
    </row>
    <row r="353" spans="1:21" ht="18.75">
      <c r="A353" s="18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212">
        <f ca="1">IFERROR(__xludf.DUMMYFUNCTION("IMPORTRANGE(""https://docs.google.com/spreadsheets/d/1awYsYK3VOup2i3Pq_Yjnu8DRu_mYwSBnCR2QPthd0rU/edit?usp=sharing"",""โฉนดM3!H39"")"),7774)</f>
        <v>7774</v>
      </c>
      <c r="K353" s="55"/>
      <c r="L353" s="62"/>
      <c r="M353" s="55"/>
      <c r="N353" s="55"/>
      <c r="O353" s="55"/>
      <c r="P353" s="55"/>
      <c r="Q353" s="55"/>
      <c r="R353" s="55"/>
      <c r="S353" s="55"/>
      <c r="T353" s="55"/>
      <c r="U353" s="55"/>
    </row>
    <row r="354" spans="1:21" ht="18.75">
      <c r="A354" s="343"/>
      <c r="B354" s="344"/>
      <c r="C354" s="343"/>
      <c r="D354" s="343"/>
      <c r="E354" s="345" t="s">
        <v>148</v>
      </c>
      <c r="F354" s="344"/>
      <c r="G354" s="346"/>
      <c r="H354" s="347" t="s">
        <v>35</v>
      </c>
      <c r="I354" s="348"/>
      <c r="J354" s="349">
        <f ca="1">IFERROR(__xludf.DUMMYFUNCTION("IMPORTRANGE(""https://docs.google.com/spreadsheets/d/1awYsYK3VOup2i3Pq_Yjnu8DRu_mYwSBnCR2QPthd0rU/edit?usp=sharing"",""โฉนดM3!I39"")"),0)</f>
        <v>0</v>
      </c>
      <c r="K354" s="350"/>
      <c r="L354" s="350"/>
      <c r="M354" s="350"/>
      <c r="N354" s="350"/>
      <c r="O354" s="350"/>
      <c r="P354" s="350"/>
      <c r="Q354" s="350"/>
      <c r="R354" s="350"/>
      <c r="S354" s="350"/>
      <c r="T354" s="350"/>
      <c r="U354" s="350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29"/>
      <c r="I355" s="351"/>
      <c r="J355" s="351"/>
      <c r="K355" s="333"/>
      <c r="L355" s="334"/>
      <c r="M355" s="333"/>
      <c r="N355" s="333"/>
      <c r="O355" s="333"/>
      <c r="P355" s="333"/>
      <c r="Q355" s="333"/>
      <c r="R355" s="333"/>
      <c r="S355" s="333"/>
      <c r="T355" s="333"/>
      <c r="U355" s="333"/>
    </row>
    <row r="356" spans="1:21" ht="19.5">
      <c r="A356" s="155"/>
      <c r="B356" s="50"/>
      <c r="C356" s="156" t="s">
        <v>18</v>
      </c>
      <c r="D356" s="575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541">
        <f ca="1">L357+L358</f>
        <v>192265</v>
      </c>
      <c r="M356" s="540">
        <f ca="1">M357+M358</f>
        <v>192265</v>
      </c>
      <c r="N356" s="540">
        <f ca="1">N357+N358</f>
        <v>127328.97</v>
      </c>
      <c r="O356" s="540">
        <f ca="1">IF(L356&gt;0,N356*100/L356,0)</f>
        <v>66.225766520167483</v>
      </c>
      <c r="P356" s="540">
        <f ca="1">IF(M356&gt;0,N356*100/M356,0)</f>
        <v>66.225766520167483</v>
      </c>
      <c r="Q356" s="540">
        <f>Q357+Q358</f>
        <v>0</v>
      </c>
      <c r="R356" s="540">
        <f>R357+R358</f>
        <v>0</v>
      </c>
      <c r="S356" s="540">
        <f>S357+S358</f>
        <v>0</v>
      </c>
      <c r="T356" s="540">
        <f>IF(Q356&gt;0,S356*100/Q356,0)</f>
        <v>0</v>
      </c>
      <c r="U356" s="540">
        <f>IF(R356&gt;0,S356*100/R356,0)</f>
        <v>0</v>
      </c>
    </row>
    <row r="357" spans="1:21" ht="18.75" hidden="1">
      <c r="A357" s="155"/>
      <c r="B357" s="50"/>
      <c r="C357" s="50"/>
      <c r="D357" s="50"/>
      <c r="E357" s="186" t="s">
        <v>20</v>
      </c>
      <c r="F357" s="50"/>
      <c r="G357" s="52"/>
      <c r="H357" s="187" t="s">
        <v>14</v>
      </c>
      <c r="I357" s="54"/>
      <c r="J357" s="54"/>
      <c r="K357" s="55"/>
      <c r="L357" s="103">
        <f>L360+L363</f>
        <v>0</v>
      </c>
      <c r="M357" s="102">
        <f>M360+M363</f>
        <v>0</v>
      </c>
      <c r="N357" s="102">
        <f>N360+N363</f>
        <v>0</v>
      </c>
      <c r="O357" s="102">
        <f>IF(L357&gt;0,N357*100/L357,0)</f>
        <v>0</v>
      </c>
      <c r="P357" s="102">
        <f>IF(M357&gt;0,N357*100/M357,0)</f>
        <v>0</v>
      </c>
      <c r="Q357" s="102">
        <f>Q360+Q363</f>
        <v>0</v>
      </c>
      <c r="R357" s="102">
        <f>R360+R363</f>
        <v>0</v>
      </c>
      <c r="S357" s="102">
        <f>S360+S363</f>
        <v>0</v>
      </c>
      <c r="T357" s="102">
        <f>IF(Q357&gt;0,S357*100/Q357,0)</f>
        <v>0</v>
      </c>
      <c r="U357" s="102">
        <f>IF(R357&gt;0,S357*100/R357,0)</f>
        <v>0</v>
      </c>
    </row>
    <row r="358" spans="1:21" ht="18.75" hidden="1">
      <c r="A358" s="155"/>
      <c r="B358" s="50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256">
        <f ca="1">L361+L364</f>
        <v>192265</v>
      </c>
      <c r="M358" s="255">
        <f ca="1">M361+M364</f>
        <v>192265</v>
      </c>
      <c r="N358" s="255">
        <f ca="1">N361+N364</f>
        <v>127328.97</v>
      </c>
      <c r="O358" s="255">
        <f ca="1">IF(L358&gt;0,N358*100/L358,0)</f>
        <v>66.225766520167483</v>
      </c>
      <c r="P358" s="255">
        <f ca="1">IF(M358&gt;0,N358*100/M358,0)</f>
        <v>66.225766520167483</v>
      </c>
      <c r="Q358" s="255">
        <f>Q361+Q364</f>
        <v>0</v>
      </c>
      <c r="R358" s="255">
        <f>R361+R364</f>
        <v>0</v>
      </c>
      <c r="S358" s="255">
        <f>S361+S364</f>
        <v>0</v>
      </c>
      <c r="T358" s="255">
        <f>IF(Q358&gt;0,S358*100/Q358,0)</f>
        <v>0</v>
      </c>
      <c r="U358" s="255">
        <f>IF(R358&gt;0,S358*100/R358,0)</f>
        <v>0</v>
      </c>
    </row>
    <row r="359" spans="1:21" ht="18.75">
      <c r="A359" s="155"/>
      <c r="B359" s="50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256">
        <f ca="1">L360+L361</f>
        <v>192265</v>
      </c>
      <c r="M359" s="255">
        <f ca="1">M360+M361</f>
        <v>192265</v>
      </c>
      <c r="N359" s="255">
        <f ca="1">N360+N361</f>
        <v>127328.97</v>
      </c>
      <c r="O359" s="255">
        <f ca="1">IF(L359&gt;0,N359*100/L359,0)</f>
        <v>66.225766520167483</v>
      </c>
      <c r="P359" s="255">
        <f ca="1">IF(M359&gt;0,N359*100/M359,0)</f>
        <v>66.225766520167483</v>
      </c>
      <c r="Q359" s="255">
        <f>Q360+Q361</f>
        <v>0</v>
      </c>
      <c r="R359" s="255">
        <f>R360+R361</f>
        <v>0</v>
      </c>
      <c r="S359" s="255">
        <f>S360+S361</f>
        <v>0</v>
      </c>
      <c r="T359" s="255">
        <f>IF(Q359&gt;0,S359*100/Q359,0)</f>
        <v>0</v>
      </c>
      <c r="U359" s="255">
        <f>IF(R359&gt;0,S359*100/R359,0)</f>
        <v>0</v>
      </c>
    </row>
    <row r="360" spans="1:21" ht="18.75" hidden="1">
      <c r="A360" s="155"/>
      <c r="B360" s="50"/>
      <c r="C360" s="50"/>
      <c r="D360" s="50"/>
      <c r="E360" s="186" t="s">
        <v>36</v>
      </c>
      <c r="F360" s="50"/>
      <c r="G360" s="52"/>
      <c r="H360" s="189" t="s">
        <v>14</v>
      </c>
      <c r="I360" s="163"/>
      <c r="J360" s="163"/>
      <c r="K360" s="164"/>
      <c r="L360" s="103">
        <v>0</v>
      </c>
      <c r="M360" s="102">
        <v>0</v>
      </c>
      <c r="N360" s="102">
        <v>0</v>
      </c>
      <c r="O360" s="102">
        <f>IF(L360&gt;0,N360*100/L360,0)</f>
        <v>0</v>
      </c>
      <c r="P360" s="102">
        <f>IF(M360&gt;0,N360*100/M360,0)</f>
        <v>0</v>
      </c>
      <c r="Q360" s="102">
        <v>0</v>
      </c>
      <c r="R360" s="102">
        <v>0</v>
      </c>
      <c r="S360" s="102">
        <v>0</v>
      </c>
      <c r="T360" s="102">
        <f>IF(Q360&gt;0,S360*100/Q360,0)</f>
        <v>0</v>
      </c>
      <c r="U360" s="102">
        <f>IF(R360&gt;0,S360*100/R360,0)</f>
        <v>0</v>
      </c>
    </row>
    <row r="361" spans="1:21" ht="18.75" hidden="1">
      <c r="A361" s="155"/>
      <c r="B361" s="50"/>
      <c r="C361" s="50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256">
        <f ca="1">IFERROR(__xludf.DUMMYFUNCTION("IMPORTRANGE(""https://docs.google.com/spreadsheets/d/1-uDff_7J0KD5mKrp0Vvzr7lt3OU09vwQwhkpOPPYv2Y/edit?usp=sharing"",""งบพรบ!FC39"")"),192265)</f>
        <v>192265</v>
      </c>
      <c r="M361" s="255">
        <f ca="1">IFERROR(__xludf.DUMMYFUNCTION("IMPORTRANGE(""https://docs.google.com/spreadsheets/d/1-uDff_7J0KD5mKrp0Vvzr7lt3OU09vwQwhkpOPPYv2Y/edit?usp=sharing"",""งบพรบ!FH39"")"),192265)</f>
        <v>192265</v>
      </c>
      <c r="N361" s="255">
        <f ca="1">IFERROR(__xludf.DUMMYFUNCTION("IMPORTRANGE(""https://docs.google.com/spreadsheets/d/1-uDff_7J0KD5mKrp0Vvzr7lt3OU09vwQwhkpOPPYv2Y/edit?usp=sharing"",""งบพรบ!FJ39"")"),127328.97)</f>
        <v>127328.97</v>
      </c>
      <c r="O361" s="255">
        <f ca="1">IF(L361&gt;0,N361*100/L361,0)</f>
        <v>66.225766520167483</v>
      </c>
      <c r="P361" s="255">
        <f ca="1">IF(M361&gt;0,N361*100/M361,0)</f>
        <v>66.225766520167483</v>
      </c>
      <c r="Q361" s="255">
        <v>0</v>
      </c>
      <c r="R361" s="255">
        <v>0</v>
      </c>
      <c r="S361" s="255">
        <v>0</v>
      </c>
      <c r="T361" s="255">
        <f>IF(Q361&gt;0,S361*100/Q361,0)</f>
        <v>0</v>
      </c>
      <c r="U361" s="255">
        <f>IF(R361&gt;0,S361*100/R361,0)</f>
        <v>0</v>
      </c>
    </row>
    <row r="362" spans="1:21" ht="18.75">
      <c r="A362" s="155"/>
      <c r="B362" s="50"/>
      <c r="C362" s="50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256">
        <f ca="1">L363+L364</f>
        <v>0</v>
      </c>
      <c r="M362" s="255">
        <f ca="1">M363+M364</f>
        <v>0</v>
      </c>
      <c r="N362" s="255">
        <f ca="1">N363+N364</f>
        <v>0</v>
      </c>
      <c r="O362" s="255">
        <f ca="1">IF(L362&gt;0,N362*100/L362,0)</f>
        <v>0</v>
      </c>
      <c r="P362" s="255">
        <f ca="1">IF(M362&gt;0,N362*100/M362,0)</f>
        <v>0</v>
      </c>
      <c r="Q362" s="255">
        <f>Q363+Q364</f>
        <v>0</v>
      </c>
      <c r="R362" s="255">
        <f>R363+R364</f>
        <v>0</v>
      </c>
      <c r="S362" s="255">
        <f>S363+S364</f>
        <v>0</v>
      </c>
      <c r="T362" s="255">
        <f>IF(Q362&gt;0,S362*100/Q362,0)</f>
        <v>0</v>
      </c>
      <c r="U362" s="255">
        <f>IF(R362&gt;0,S362*100/R362,0)</f>
        <v>0</v>
      </c>
    </row>
    <row r="363" spans="1:21" ht="18.75" hidden="1">
      <c r="A363" s="155"/>
      <c r="B363" s="50"/>
      <c r="C363" s="50"/>
      <c r="D363" s="50"/>
      <c r="E363" s="186" t="s">
        <v>20</v>
      </c>
      <c r="F363" s="50"/>
      <c r="G363" s="52"/>
      <c r="H363" s="189" t="s">
        <v>14</v>
      </c>
      <c r="I363" s="163"/>
      <c r="J363" s="163"/>
      <c r="K363" s="164"/>
      <c r="L363" s="103">
        <v>0</v>
      </c>
      <c r="M363" s="102">
        <v>0</v>
      </c>
      <c r="N363" s="102">
        <v>0</v>
      </c>
      <c r="O363" s="102">
        <f>IF(L363&gt;0,N363*100/L363,0)</f>
        <v>0</v>
      </c>
      <c r="P363" s="102">
        <f>IF(M363&gt;0,N363*100/M363,0)</f>
        <v>0</v>
      </c>
      <c r="Q363" s="102">
        <v>0</v>
      </c>
      <c r="R363" s="102">
        <v>0</v>
      </c>
      <c r="S363" s="102">
        <v>0</v>
      </c>
      <c r="T363" s="102">
        <f>IF(Q363&gt;0,S363*100/Q363,0)</f>
        <v>0</v>
      </c>
      <c r="U363" s="102">
        <f>IF(R363&gt;0,S363*100/R363,0)</f>
        <v>0</v>
      </c>
    </row>
    <row r="364" spans="1:21" ht="18.75" hidden="1">
      <c r="A364" s="155"/>
      <c r="B364" s="50"/>
      <c r="C364" s="50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256">
        <f ca="1">IFERROR(__xludf.DUMMYFUNCTION("IMPORTRANGE(""https://docs.google.com/spreadsheets/d/1-uDff_7J0KD5mKrp0Vvzr7lt3OU09vwQwhkpOPPYv2Y/edit?usp=sharing"",""งบพรบ!FF39"")"),0)</f>
        <v>0</v>
      </c>
      <c r="M364" s="255">
        <f ca="1">IFERROR(__xludf.DUMMYFUNCTION("IMPORTRANGE(""https://docs.google.com/spreadsheets/d/1-uDff_7J0KD5mKrp0Vvzr7lt3OU09vwQwhkpOPPYv2Y/edit?usp=sharing"",""งบพรบ!FI39"")"),0)</f>
        <v>0</v>
      </c>
      <c r="N364" s="255">
        <f ca="1">IFERROR(__xludf.DUMMYFUNCTION("IMPORTRANGE(""https://docs.google.com/spreadsheets/d/1-uDff_7J0KD5mKrp0Vvzr7lt3OU09vwQwhkpOPPYv2Y/edit?usp=sharing"",""งบพรบ!FK39"")"),0)</f>
        <v>0</v>
      </c>
      <c r="O364" s="255">
        <f ca="1">IF(L364&gt;0,N364*100/L364,0)</f>
        <v>0</v>
      </c>
      <c r="P364" s="255">
        <f ca="1">IF(M364&gt;0,N364*100/M364,0)</f>
        <v>0</v>
      </c>
      <c r="Q364" s="255">
        <v>0</v>
      </c>
      <c r="R364" s="255">
        <v>0</v>
      </c>
      <c r="S364" s="255">
        <v>0</v>
      </c>
      <c r="T364" s="255">
        <f>IF(Q364&gt;0,S364*100/Q364,0)</f>
        <v>0</v>
      </c>
      <c r="U364" s="255">
        <f>IF(R364&gt;0,S364*100/R364,0)</f>
        <v>0</v>
      </c>
    </row>
    <row r="365" spans="1:21" ht="19.5">
      <c r="A365" s="241"/>
      <c r="B365" s="242"/>
      <c r="C365" s="244"/>
      <c r="D365" s="621" t="s">
        <v>150</v>
      </c>
      <c r="E365" s="244"/>
      <c r="F365" s="244"/>
      <c r="G365" s="245"/>
      <c r="H365" s="254" t="s">
        <v>35</v>
      </c>
      <c r="I365" s="339">
        <f ca="1">I371</f>
        <v>28</v>
      </c>
      <c r="J365" s="339">
        <f ca="1">J371</f>
        <v>268</v>
      </c>
      <c r="K365" s="340">
        <f ca="1">IF(I365&gt;0,J365*100/I365,0)</f>
        <v>957.14285714285711</v>
      </c>
      <c r="L365" s="250"/>
      <c r="M365" s="249"/>
      <c r="N365" s="249"/>
      <c r="O365" s="249"/>
      <c r="P365" s="249"/>
      <c r="Q365" s="249"/>
      <c r="R365" s="249"/>
      <c r="S365" s="249"/>
      <c r="T365" s="249"/>
      <c r="U365" s="249"/>
    </row>
    <row r="366" spans="1:21" ht="19.5">
      <c r="A366" s="166"/>
      <c r="B366" s="167"/>
      <c r="C366" s="156" t="s">
        <v>18</v>
      </c>
      <c r="D366" s="566" t="s">
        <v>38</v>
      </c>
      <c r="E366" s="169"/>
      <c r="F366" s="169"/>
      <c r="G366" s="170"/>
      <c r="H366" s="171"/>
      <c r="I366" s="54"/>
      <c r="J366" s="54"/>
      <c r="K366" s="55"/>
      <c r="L366" s="172"/>
      <c r="M366" s="164"/>
      <c r="N366" s="164"/>
      <c r="O366" s="164"/>
      <c r="P366" s="164"/>
      <c r="Q366" s="164"/>
      <c r="R366" s="164"/>
      <c r="S366" s="164"/>
      <c r="T366" s="164"/>
      <c r="U366" s="164"/>
    </row>
    <row r="367" spans="1:21" ht="18.75">
      <c r="A367" s="166"/>
      <c r="B367" s="174"/>
      <c r="C367" s="167"/>
      <c r="D367" s="174"/>
      <c r="E367" s="173" t="s">
        <v>151</v>
      </c>
      <c r="F367" s="174"/>
      <c r="G367" s="171"/>
      <c r="H367" s="183" t="s">
        <v>35</v>
      </c>
      <c r="I367" s="212">
        <v>0</v>
      </c>
      <c r="J367" s="212">
        <f ca="1">IFERROR(__xludf.DUMMYFUNCTION("IMPORTRANGE(""https://docs.google.com/spreadsheets/d/1tdoBKaGub7dwA3U6UFTqxio9LNnvDCQjHKmttSEBsFQ/edit?usp=sharing"",""จัดที่ดิน!AB39"")"),10)</f>
        <v>10</v>
      </c>
      <c r="K367" s="255">
        <f>IF(I367&gt;0,J367*100/I367,0)</f>
        <v>0</v>
      </c>
      <c r="L367" s="172"/>
      <c r="M367" s="164"/>
      <c r="N367" s="164"/>
      <c r="O367" s="164"/>
      <c r="P367" s="164"/>
      <c r="Q367" s="164"/>
      <c r="R367" s="164"/>
      <c r="S367" s="164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212">
        <f ca="1">IFERROR(__xludf.DUMMYFUNCTION("IMPORTRANGE(""https://docs.google.com/spreadsheets/d/1eHaY18a8A9IcSdp1K8H6x8fbOy06t2VsZHhMHf-1x7Y/edit?usp=sharing"",""แผน!EW39"")"),155)</f>
        <v>155</v>
      </c>
      <c r="J368" s="620">
        <f ca="1">IFERROR(__xludf.DUMMYFUNCTION("IMPORTRANGE(""https://docs.google.com/spreadsheets/d/1tdoBKaGub7dwA3U6UFTqxio9LNnvDCQjHKmttSEBsFQ/edit?usp=sharing"",""จัดที่ดิน!AC39"")"),53.18)</f>
        <v>53.18</v>
      </c>
      <c r="K368" s="255">
        <f ca="1">IF(I368&gt;0,J368*100/I368,0)</f>
        <v>34.309677419354841</v>
      </c>
      <c r="L368" s="172"/>
      <c r="M368" s="164"/>
      <c r="N368" s="164"/>
      <c r="O368" s="164"/>
      <c r="P368" s="164"/>
      <c r="Q368" s="164"/>
      <c r="R368" s="164"/>
      <c r="S368" s="164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79" t="s">
        <v>35</v>
      </c>
      <c r="I369" s="212">
        <f ca="1">IFERROR(__xludf.DUMMYFUNCTION("IMPORTRANGE(""https://docs.google.com/spreadsheets/d/1eHaY18a8A9IcSdp1K8H6x8fbOy06t2VsZHhMHf-1x7Y/edit?usp=sharing"",""แผน!EX39"")"),28)</f>
        <v>28</v>
      </c>
      <c r="J369" s="212">
        <f ca="1">IFERROR(__xludf.DUMMYFUNCTION("IMPORTRANGE(""https://docs.google.com/spreadsheets/d/1tdoBKaGub7dwA3U6UFTqxio9LNnvDCQjHKmttSEBsFQ/edit?usp=sharing"",""จัดที่ดิน!AD39"")"),294)</f>
        <v>294</v>
      </c>
      <c r="K369" s="255">
        <f ca="1">IF(I369&gt;0,J369*100/I369,0)</f>
        <v>1050</v>
      </c>
      <c r="L369" s="172"/>
      <c r="M369" s="164"/>
      <c r="N369" s="164"/>
      <c r="O369" s="164"/>
      <c r="P369" s="164"/>
      <c r="Q369" s="164"/>
      <c r="R369" s="164"/>
      <c r="S369" s="164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79" t="s">
        <v>46</v>
      </c>
      <c r="I370" s="212">
        <v>0</v>
      </c>
      <c r="J370" s="620">
        <f ca="1">IFERROR(__xludf.DUMMYFUNCTION("IMPORTRANGE(""https://docs.google.com/spreadsheets/d/1tdoBKaGub7dwA3U6UFTqxio9LNnvDCQjHKmttSEBsFQ/edit?usp=sharing"",""จัดที่ดิน!AE39"")"),2911.68)</f>
        <v>2911.68</v>
      </c>
      <c r="K370" s="255">
        <f>IF(I370&gt;0,J370*100/I370,0)</f>
        <v>0</v>
      </c>
      <c r="L370" s="172"/>
      <c r="M370" s="164"/>
      <c r="N370" s="164"/>
      <c r="O370" s="164"/>
      <c r="P370" s="164"/>
      <c r="Q370" s="164"/>
      <c r="R370" s="164"/>
      <c r="S370" s="164"/>
      <c r="T370" s="164"/>
      <c r="U370" s="164"/>
    </row>
    <row r="371" spans="1:21" ht="18.75">
      <c r="A371" s="166"/>
      <c r="B371" s="174"/>
      <c r="C371" s="167"/>
      <c r="D371" s="174"/>
      <c r="E371" s="352" t="s">
        <v>153</v>
      </c>
      <c r="F371" s="174"/>
      <c r="G371" s="171"/>
      <c r="H371" s="179" t="s">
        <v>35</v>
      </c>
      <c r="I371" s="212">
        <f ca="1">IFERROR(__xludf.DUMMYFUNCTION("IMPORTRANGE(""https://docs.google.com/spreadsheets/d/1eHaY18a8A9IcSdp1K8H6x8fbOy06t2VsZHhMHf-1x7Y/edit?usp=sharing"",""แผน!EY39"")"),28)</f>
        <v>28</v>
      </c>
      <c r="J371" s="212">
        <f ca="1">IFERROR(__xludf.DUMMYFUNCTION("IMPORTRANGE(""https://docs.google.com/spreadsheets/d/1tdoBKaGub7dwA3U6UFTqxio9LNnvDCQjHKmttSEBsFQ/edit?usp=sharing"",""จัดที่ดิน!AF39"")"),268)</f>
        <v>268</v>
      </c>
      <c r="K371" s="255">
        <f ca="1">IF(I371&gt;0,J371*100/I371,0)</f>
        <v>957.14285714285711</v>
      </c>
      <c r="L371" s="172"/>
      <c r="M371" s="164"/>
      <c r="N371" s="164"/>
      <c r="O371" s="164"/>
      <c r="P371" s="164"/>
      <c r="Q371" s="164"/>
      <c r="R371" s="164"/>
      <c r="S371" s="164"/>
      <c r="T371" s="164"/>
      <c r="U371" s="164"/>
    </row>
    <row r="372" spans="1:21" ht="18.75">
      <c r="A372" s="166"/>
      <c r="B372" s="174"/>
      <c r="C372" s="167"/>
      <c r="D372" s="174"/>
      <c r="E372" s="174"/>
      <c r="F372" s="174"/>
      <c r="G372" s="171"/>
      <c r="H372" s="179" t="s">
        <v>46</v>
      </c>
      <c r="I372" s="212">
        <v>0</v>
      </c>
      <c r="J372" s="620">
        <f ca="1">IFERROR(__xludf.DUMMYFUNCTION("IMPORTRANGE(""https://docs.google.com/spreadsheets/d/1tdoBKaGub7dwA3U6UFTqxio9LNnvDCQjHKmttSEBsFQ/edit?usp=sharing"",""จัดที่ดิน!AG39"")"),2659.01)</f>
        <v>2659.01</v>
      </c>
      <c r="K372" s="255">
        <f>IF(I372&gt;0,J372*100/I372,0)</f>
        <v>0</v>
      </c>
      <c r="L372" s="172"/>
      <c r="M372" s="164"/>
      <c r="N372" s="164"/>
      <c r="O372" s="164"/>
      <c r="P372" s="164"/>
      <c r="Q372" s="164"/>
      <c r="R372" s="164"/>
      <c r="S372" s="164"/>
      <c r="T372" s="164"/>
      <c r="U372" s="164"/>
    </row>
    <row r="373" spans="1:21" ht="16.5">
      <c r="A373" s="5"/>
      <c r="B373" s="4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พ.ค. 67 เวลา 07.29 น.]")</f>
        <v xml:space="preserve"> [ข้อมูลจาก ระบบ ALRO Land Online ข้อมูล ณ 1 พ.ค. 67 เวลา 07.29 น.]</v>
      </c>
      <c r="E373" s="4"/>
      <c r="F373" s="4"/>
      <c r="G373" s="65"/>
      <c r="H373" s="65"/>
      <c r="I373" s="67"/>
      <c r="J373" s="67"/>
      <c r="K373" s="6"/>
      <c r="L373" s="68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>
      <c r="A374" s="619"/>
      <c r="B374" s="618" t="s">
        <v>154</v>
      </c>
      <c r="C374" s="617"/>
      <c r="D374" s="616"/>
      <c r="E374" s="615"/>
      <c r="F374" s="615"/>
      <c r="G374" s="614"/>
      <c r="H374" s="613" t="s">
        <v>46</v>
      </c>
      <c r="I374" s="612">
        <f ca="1">I386+I388</f>
        <v>1000</v>
      </c>
      <c r="J374" s="612">
        <f ca="1">J386+J388</f>
        <v>0</v>
      </c>
      <c r="K374" s="611">
        <f ca="1">IF(I374&gt;0,J374*100/I374,0)</f>
        <v>0</v>
      </c>
      <c r="L374" s="334"/>
      <c r="M374" s="333"/>
      <c r="N374" s="333"/>
      <c r="O374" s="333"/>
      <c r="P374" s="333"/>
      <c r="Q374" s="333"/>
      <c r="R374" s="333"/>
      <c r="S374" s="333"/>
      <c r="T374" s="333"/>
      <c r="U374" s="333"/>
    </row>
    <row r="375" spans="1:21" ht="19.5">
      <c r="A375" s="155"/>
      <c r="B375" s="188"/>
      <c r="C375" s="191" t="s">
        <v>18</v>
      </c>
      <c r="D375" s="608" t="s">
        <v>19</v>
      </c>
      <c r="E375" s="50"/>
      <c r="F375" s="50"/>
      <c r="G375" s="52"/>
      <c r="H375" s="158" t="s">
        <v>14</v>
      </c>
      <c r="I375" s="54"/>
      <c r="J375" s="54"/>
      <c r="K375" s="55"/>
      <c r="L375" s="541">
        <f>L376+L377</f>
        <v>0</v>
      </c>
      <c r="M375" s="540">
        <f>M376+M377</f>
        <v>0</v>
      </c>
      <c r="N375" s="540">
        <f>N376+N377</f>
        <v>0</v>
      </c>
      <c r="O375" s="540">
        <f>IF(L375&gt;0,N375*100/L375,0)</f>
        <v>0</v>
      </c>
      <c r="P375" s="540">
        <f>IF(M375&gt;0,N375*100/M375,0)</f>
        <v>0</v>
      </c>
      <c r="Q375" s="540">
        <f ca="1">Q376+Q377</f>
        <v>62500</v>
      </c>
      <c r="R375" s="540">
        <f ca="1">R376+R377</f>
        <v>0</v>
      </c>
      <c r="S375" s="540">
        <f ca="1">S376+S377</f>
        <v>0</v>
      </c>
      <c r="T375" s="540">
        <f ca="1">IF(Q375&gt;0,S375*100/Q375,0)</f>
        <v>0</v>
      </c>
      <c r="U375" s="540">
        <f ca="1">IF(R375&gt;0,S375*100/R375,0)</f>
        <v>0</v>
      </c>
    </row>
    <row r="376" spans="1:21" ht="18.75" hidden="1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103">
        <f>L379+L382</f>
        <v>0</v>
      </c>
      <c r="M376" s="102">
        <f>M379+M382</f>
        <v>0</v>
      </c>
      <c r="N376" s="102">
        <f>N379+N382</f>
        <v>0</v>
      </c>
      <c r="O376" s="102">
        <f>IF(L376&gt;0,N376*100/L376,0)</f>
        <v>0</v>
      </c>
      <c r="P376" s="102">
        <f>IF(M376&gt;0,N376*100/M376,0)</f>
        <v>0</v>
      </c>
      <c r="Q376" s="102">
        <f>Q379+Q382</f>
        <v>0</v>
      </c>
      <c r="R376" s="102">
        <f>R379+R382</f>
        <v>0</v>
      </c>
      <c r="S376" s="102">
        <f>S379+S382</f>
        <v>0</v>
      </c>
      <c r="T376" s="102">
        <f>IF(Q376&gt;0,S376*100/Q376,0)</f>
        <v>0</v>
      </c>
      <c r="U376" s="102">
        <f>IF(R376&gt;0,S376*100/R376,0)</f>
        <v>0</v>
      </c>
    </row>
    <row r="377" spans="1:21" ht="18.75" hidden="1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256">
        <f>L380+L383</f>
        <v>0</v>
      </c>
      <c r="M377" s="255">
        <f>M380+M383</f>
        <v>0</v>
      </c>
      <c r="N377" s="255">
        <f>N380+N383</f>
        <v>0</v>
      </c>
      <c r="O377" s="255">
        <f>IF(L377&gt;0,N377*100/L377,0)</f>
        <v>0</v>
      </c>
      <c r="P377" s="255">
        <f>IF(M377&gt;0,N377*100/M377,0)</f>
        <v>0</v>
      </c>
      <c r="Q377" s="255">
        <f ca="1">Q380+Q383</f>
        <v>62500</v>
      </c>
      <c r="R377" s="255">
        <f ca="1">R380+R383</f>
        <v>0</v>
      </c>
      <c r="S377" s="255">
        <f ca="1">S380+S383</f>
        <v>0</v>
      </c>
      <c r="T377" s="255">
        <f ca="1">IF(Q377&gt;0,S377*100/Q377,0)</f>
        <v>0</v>
      </c>
      <c r="U377" s="255">
        <f ca="1">IF(R377&gt;0,S377*100/R377,0)</f>
        <v>0</v>
      </c>
    </row>
    <row r="378" spans="1:21" ht="18.75">
      <c r="A378" s="155"/>
      <c r="B378" s="188"/>
      <c r="C378" s="188"/>
      <c r="D378" s="602" t="s">
        <v>22</v>
      </c>
      <c r="E378" s="50"/>
      <c r="F378" s="50"/>
      <c r="G378" s="52"/>
      <c r="H378" s="162" t="s">
        <v>14</v>
      </c>
      <c r="I378" s="163"/>
      <c r="J378" s="163"/>
      <c r="K378" s="164"/>
      <c r="L378" s="256">
        <f>L379+L380</f>
        <v>0</v>
      </c>
      <c r="M378" s="255">
        <f>M379+M380</f>
        <v>0</v>
      </c>
      <c r="N378" s="255">
        <f>N379+N380</f>
        <v>0</v>
      </c>
      <c r="O378" s="255">
        <f>IF(L378&gt;0,N378*100/L378,0)</f>
        <v>0</v>
      </c>
      <c r="P378" s="255">
        <f>IF(M378&gt;0,N378*100/M378,0)</f>
        <v>0</v>
      </c>
      <c r="Q378" s="255">
        <f ca="1">Q379+Q380</f>
        <v>62500</v>
      </c>
      <c r="R378" s="255">
        <f ca="1">R379+R380</f>
        <v>0</v>
      </c>
      <c r="S378" s="255">
        <f ca="1">S379+S380</f>
        <v>0</v>
      </c>
      <c r="T378" s="255">
        <f ca="1">IF(Q378&gt;0,S378*100/Q378,0)</f>
        <v>0</v>
      </c>
      <c r="U378" s="255">
        <f ca="1">IF(R378&gt;0,S378*100/R378,0)</f>
        <v>0</v>
      </c>
    </row>
    <row r="379" spans="1:21" ht="18.75" hidden="1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103">
        <v>0</v>
      </c>
      <c r="M379" s="102">
        <v>0</v>
      </c>
      <c r="N379" s="102">
        <v>0</v>
      </c>
      <c r="O379" s="102">
        <f>IF(L379&gt;0,N379*100/L379,0)</f>
        <v>0</v>
      </c>
      <c r="P379" s="102">
        <f>IF(M379&gt;0,N379*100/M379,0)</f>
        <v>0</v>
      </c>
      <c r="Q379" s="102">
        <v>0</v>
      </c>
      <c r="R379" s="102">
        <v>0</v>
      </c>
      <c r="S379" s="102">
        <v>0</v>
      </c>
      <c r="T379" s="102">
        <f>IF(Q379&gt;0,S379*100/Q379,0)</f>
        <v>0</v>
      </c>
      <c r="U379" s="102">
        <f>IF(R379&gt;0,S379*100/R379,0)</f>
        <v>0</v>
      </c>
    </row>
    <row r="380" spans="1:21" ht="18.75" hidden="1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256">
        <v>0</v>
      </c>
      <c r="M380" s="255">
        <v>0</v>
      </c>
      <c r="N380" s="255">
        <v>0</v>
      </c>
      <c r="O380" s="255">
        <f>IF(L380&gt;0,N380*100/L380,0)</f>
        <v>0</v>
      </c>
      <c r="P380" s="255">
        <f>IF(M380&gt;0,N380*100/M380,0)</f>
        <v>0</v>
      </c>
      <c r="Q380" s="255">
        <f ca="1">IFERROR(__xludf.DUMMYFUNCTION("IMPORTRANGE(""https://docs.google.com/spreadsheets/d/1ItG2mGa2ceCfYo0BwxsXqNm01IGEUdYcSSLTEv9YCik/edit?usp=sharing"",""เบิกจ่ายกองทุน!AY39"")"),62500)</f>
        <v>62500</v>
      </c>
      <c r="R380" s="255">
        <f ca="1">IFERROR(__xludf.DUMMYFUNCTION("IMPORTRANGE(""https://docs.google.com/spreadsheets/d/1ItG2mGa2ceCfYo0BwxsXqNm01IGEUdYcSSLTEv9YCik/edit?usp=sharing"",""เบิกจ่ายกองทุน!AZ39"")"),0)</f>
        <v>0</v>
      </c>
      <c r="S380" s="255">
        <f ca="1">IFERROR(__xludf.DUMMYFUNCTION("IMPORTRANGE(""https://docs.google.com/spreadsheets/d/1ItG2mGa2ceCfYo0BwxsXqNm01IGEUdYcSSLTEv9YCik/edit?usp=sharing"",""เบิกจ่ายกองทุน!BA39"")"),0)</f>
        <v>0</v>
      </c>
      <c r="T380" s="255">
        <f ca="1">IF(Q380&gt;0,S380*100/Q380,0)</f>
        <v>0</v>
      </c>
      <c r="U380" s="255">
        <f ca="1">IF(R380&gt;0,S380*100/R380,0)</f>
        <v>0</v>
      </c>
    </row>
    <row r="381" spans="1:21" ht="18.75">
      <c r="A381" s="155"/>
      <c r="B381" s="188"/>
      <c r="C381" s="188"/>
      <c r="D381" s="602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256">
        <f>L382+L383</f>
        <v>0</v>
      </c>
      <c r="M381" s="255">
        <f>M382+M383</f>
        <v>0</v>
      </c>
      <c r="N381" s="255">
        <f>N382+N383</f>
        <v>0</v>
      </c>
      <c r="O381" s="255">
        <f>IF(L381&gt;0,N381*100/L381,0)</f>
        <v>0</v>
      </c>
      <c r="P381" s="255">
        <f>IF(M381&gt;0,N381*100/M381,0)</f>
        <v>0</v>
      </c>
      <c r="Q381" s="255">
        <f>Q382+Q383</f>
        <v>0</v>
      </c>
      <c r="R381" s="255">
        <f>R382+R383</f>
        <v>0</v>
      </c>
      <c r="S381" s="255">
        <f>S382+S383</f>
        <v>0</v>
      </c>
      <c r="T381" s="255">
        <f>IF(Q381&gt;0,S381*100/Q381,0)</f>
        <v>0</v>
      </c>
      <c r="U381" s="255">
        <f>IF(R381&gt;0,S381*100/R381,0)</f>
        <v>0</v>
      </c>
    </row>
    <row r="382" spans="1:21" ht="18.75" hidden="1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103">
        <v>0</v>
      </c>
      <c r="M382" s="102">
        <v>0</v>
      </c>
      <c r="N382" s="102">
        <v>0</v>
      </c>
      <c r="O382" s="102">
        <f>IF(L382&gt;0,N382*100/L382,0)</f>
        <v>0</v>
      </c>
      <c r="P382" s="102">
        <f>IF(M382&gt;0,N382*100/M382,0)</f>
        <v>0</v>
      </c>
      <c r="Q382" s="102">
        <v>0</v>
      </c>
      <c r="R382" s="102">
        <v>0</v>
      </c>
      <c r="S382" s="102">
        <v>0</v>
      </c>
      <c r="T382" s="102">
        <f>IF(Q382&gt;0,S382*100/Q382,0)</f>
        <v>0</v>
      </c>
      <c r="U382" s="102">
        <f>IF(R382&gt;0,S382*100/R382,0)</f>
        <v>0</v>
      </c>
    </row>
    <row r="383" spans="1:21" ht="18.75" hidden="1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256">
        <v>0</v>
      </c>
      <c r="M383" s="255">
        <v>0</v>
      </c>
      <c r="N383" s="255">
        <v>0</v>
      </c>
      <c r="O383" s="255">
        <f>IF(L383&gt;0,N383*100/L383,0)</f>
        <v>0</v>
      </c>
      <c r="P383" s="255">
        <f>IF(M383&gt;0,N383*100/M383,0)</f>
        <v>0</v>
      </c>
      <c r="Q383" s="255">
        <v>0</v>
      </c>
      <c r="R383" s="255">
        <v>0</v>
      </c>
      <c r="S383" s="255">
        <v>0</v>
      </c>
      <c r="T383" s="255">
        <f>IF(Q383&gt;0,S383*100/Q383,0)</f>
        <v>0</v>
      </c>
      <c r="U383" s="255">
        <f>IF(R383&gt;0,S383*100/R383,0)</f>
        <v>0</v>
      </c>
    </row>
    <row r="384" spans="1:21" ht="19.5">
      <c r="A384" s="166"/>
      <c r="B384" s="167"/>
      <c r="C384" s="191" t="s">
        <v>18</v>
      </c>
      <c r="D384" s="560" t="s">
        <v>38</v>
      </c>
      <c r="E384" s="169"/>
      <c r="F384" s="169"/>
      <c r="G384" s="170"/>
      <c r="H384" s="206"/>
      <c r="I384" s="163"/>
      <c r="J384" s="54"/>
      <c r="K384" s="55"/>
      <c r="L384" s="62"/>
      <c r="M384" s="55"/>
      <c r="N384" s="55"/>
      <c r="O384" s="164"/>
      <c r="P384" s="164"/>
      <c r="Q384" s="55"/>
      <c r="R384" s="55"/>
      <c r="S384" s="55"/>
      <c r="T384" s="164"/>
      <c r="U384" s="164"/>
    </row>
    <row r="385" spans="1:21" ht="18.75">
      <c r="A385" s="238"/>
      <c r="B385" s="188"/>
      <c r="C385" s="188"/>
      <c r="D385" s="188"/>
      <c r="E385" s="58" t="s">
        <v>155</v>
      </c>
      <c r="F385" s="50"/>
      <c r="G385" s="52"/>
      <c r="H385" s="161" t="s">
        <v>34</v>
      </c>
      <c r="I385" s="212">
        <v>0</v>
      </c>
      <c r="J385" s="212">
        <f ca="1">IFERROR(__xludf.DUMMYFUNCTION("IMPORTRANGE(""https://docs.google.com/spreadsheets/d/1w5rwWK1o49a35cNtocGL0gxDwhFSTZUQu90BiH9_zqM/edit?usp=sharing"",""RTK!H39"")"),0)</f>
        <v>0</v>
      </c>
      <c r="K385" s="255">
        <f>IF(I385&gt;0,J385*100/I385,0)</f>
        <v>0</v>
      </c>
      <c r="L385" s="62"/>
      <c r="M385" s="55"/>
      <c r="N385" s="55"/>
      <c r="O385" s="55"/>
      <c r="P385" s="55"/>
      <c r="Q385" s="55"/>
      <c r="R385" s="55"/>
      <c r="S385" s="55"/>
      <c r="T385" s="55"/>
      <c r="U385" s="55"/>
    </row>
    <row r="386" spans="1:21" ht="18.75">
      <c r="A386" s="188"/>
      <c r="B386" s="188"/>
      <c r="C386" s="188"/>
      <c r="D386" s="188"/>
      <c r="E386" s="188"/>
      <c r="F386" s="188"/>
      <c r="G386" s="208"/>
      <c r="H386" s="161" t="s">
        <v>46</v>
      </c>
      <c r="I386" s="212">
        <f ca="1">IFERROR(__xludf.DUMMYFUNCTION("IMPORTRANGE(""https://docs.google.com/spreadsheets/d/1w5rwWK1o49a35cNtocGL0gxDwhFSTZUQu90BiH9_zqM/edit?usp=sharing"",""RTK!G39"")"),1000)</f>
        <v>1000</v>
      </c>
      <c r="J386" s="212">
        <f ca="1">IFERROR(__xludf.DUMMYFUNCTION("IMPORTRANGE(""https://docs.google.com/spreadsheets/d/1w5rwWK1o49a35cNtocGL0gxDwhFSTZUQu90BiH9_zqM/edit?usp=sharing"",""RTK!I39"")"),0)</f>
        <v>0</v>
      </c>
      <c r="K386" s="255">
        <f ca="1">IF(I386&gt;0,J386*100/I386,0)</f>
        <v>0</v>
      </c>
      <c r="L386" s="62"/>
      <c r="M386" s="55"/>
      <c r="N386" s="55"/>
      <c r="O386" s="55"/>
      <c r="P386" s="55"/>
      <c r="Q386" s="55"/>
      <c r="R386" s="55"/>
      <c r="S386" s="55"/>
      <c r="T386" s="55"/>
      <c r="U386" s="55"/>
    </row>
    <row r="387" spans="1:21" ht="18.75">
      <c r="A387" s="609"/>
      <c r="B387" s="609"/>
      <c r="C387" s="609"/>
      <c r="D387" s="609"/>
      <c r="E387" s="610" t="s">
        <v>156</v>
      </c>
      <c r="F387" s="609"/>
      <c r="G387" s="557"/>
      <c r="H387" s="549" t="s">
        <v>34</v>
      </c>
      <c r="I387" s="556">
        <v>0</v>
      </c>
      <c r="J387" s="556">
        <f ca="1">IFERROR(__xludf.DUMMYFUNCTION("IMPORTRANGE(""https://docs.google.com/spreadsheets/d/1w5rwWK1o49a35cNtocGL0gxDwhFSTZUQu90BiH9_zqM/edit?usp=sharing"",""RTK!L39"")"),0)</f>
        <v>0</v>
      </c>
      <c r="K387" s="555">
        <f>IF(I387&gt;0,J387*100/I387,0)</f>
        <v>0</v>
      </c>
      <c r="L387" s="546"/>
      <c r="M387" s="545"/>
      <c r="N387" s="545"/>
      <c r="O387" s="545"/>
      <c r="P387" s="545"/>
      <c r="Q387" s="545"/>
      <c r="R387" s="545"/>
      <c r="S387" s="545"/>
      <c r="T387" s="545"/>
      <c r="U387" s="545"/>
    </row>
    <row r="388" spans="1:21" ht="18.75">
      <c r="A388" s="609"/>
      <c r="B388" s="609"/>
      <c r="C388" s="609"/>
      <c r="D388" s="609"/>
      <c r="E388" s="609"/>
      <c r="F388" s="609"/>
      <c r="G388" s="557"/>
      <c r="H388" s="549" t="s">
        <v>46</v>
      </c>
      <c r="I388" s="556">
        <f ca="1">IFERROR(__xludf.DUMMYFUNCTION("IMPORTRANGE(""https://docs.google.com/spreadsheets/d/1w5rwWK1o49a35cNtocGL0gxDwhFSTZUQu90BiH9_zqM/edit?usp=sharing"",""RTK!K39"")"),0)</f>
        <v>0</v>
      </c>
      <c r="J388" s="556">
        <f ca="1">IFERROR(__xludf.DUMMYFUNCTION("IMPORTRANGE(""https://docs.google.com/spreadsheets/d/1w5rwWK1o49a35cNtocGL0gxDwhFSTZUQu90BiH9_zqM/edit?usp=sharing"",""RTK!M39"")"),0)</f>
        <v>0</v>
      </c>
      <c r="K388" s="555">
        <f ca="1">IF(I388&gt;0,J388*100/I388,0)</f>
        <v>0</v>
      </c>
      <c r="L388" s="546"/>
      <c r="M388" s="545"/>
      <c r="N388" s="545"/>
      <c r="O388" s="545"/>
      <c r="P388" s="545"/>
      <c r="Q388" s="545"/>
      <c r="R388" s="545"/>
      <c r="S388" s="545"/>
      <c r="T388" s="545"/>
      <c r="U388" s="545"/>
    </row>
    <row r="389" spans="1:21" ht="12.75" hidden="1">
      <c r="A389" s="259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5"/>
      <c r="M389" s="264"/>
      <c r="N389" s="264"/>
      <c r="O389" s="264"/>
      <c r="P389" s="264"/>
      <c r="Q389" s="264"/>
      <c r="R389" s="264"/>
      <c r="S389" s="264"/>
      <c r="T389" s="264"/>
      <c r="U389" s="264"/>
    </row>
    <row r="390" spans="1:21" ht="12.75" hidden="1">
      <c r="A390" s="360"/>
      <c r="B390" s="360"/>
      <c r="C390" s="360"/>
      <c r="D390" s="360"/>
      <c r="E390" s="360"/>
      <c r="F390" s="360"/>
      <c r="G390" s="361"/>
      <c r="H390" s="361"/>
      <c r="I390" s="362"/>
      <c r="J390" s="362"/>
      <c r="K390" s="363"/>
      <c r="L390" s="364"/>
      <c r="M390" s="363"/>
      <c r="N390" s="363"/>
      <c r="O390" s="363"/>
      <c r="P390" s="363"/>
      <c r="Q390" s="363"/>
      <c r="R390" s="363"/>
      <c r="S390" s="363"/>
      <c r="T390" s="363"/>
      <c r="U390" s="363"/>
    </row>
    <row r="391" spans="1:21" ht="19.5" hidden="1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51">
        <f>I402</f>
        <v>0</v>
      </c>
      <c r="J391" s="351">
        <f>J402</f>
        <v>0</v>
      </c>
      <c r="K391" s="604">
        <f>IF(I391&gt;0,J391*100/I391,0)</f>
        <v>0</v>
      </c>
      <c r="L391" s="334"/>
      <c r="M391" s="333"/>
      <c r="N391" s="333"/>
      <c r="O391" s="333"/>
      <c r="P391" s="333"/>
      <c r="Q391" s="333"/>
      <c r="R391" s="333"/>
      <c r="S391" s="333"/>
      <c r="T391" s="333"/>
      <c r="U391" s="333"/>
    </row>
    <row r="392" spans="1:21" ht="19.5" hidden="1">
      <c r="A392" s="155"/>
      <c r="B392" s="188"/>
      <c r="C392" s="191" t="s">
        <v>18</v>
      </c>
      <c r="D392" s="608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541">
        <f>L393+L394</f>
        <v>0</v>
      </c>
      <c r="M392" s="540">
        <f>M393+M394</f>
        <v>0</v>
      </c>
      <c r="N392" s="540">
        <f>N393+N394</f>
        <v>0</v>
      </c>
      <c r="O392" s="540">
        <f>IF(L392&gt;0,N392*100/L392,0)</f>
        <v>0</v>
      </c>
      <c r="P392" s="540">
        <f>IF(M392&gt;0,N392*100/M392,0)</f>
        <v>0</v>
      </c>
      <c r="Q392" s="540">
        <f>Q393+Q394</f>
        <v>0</v>
      </c>
      <c r="R392" s="540">
        <f>R393+R394</f>
        <v>0</v>
      </c>
      <c r="S392" s="540">
        <f>S393+S394</f>
        <v>0</v>
      </c>
      <c r="T392" s="540">
        <f>IF(Q392&gt;0,S392*100/Q392,0)</f>
        <v>0</v>
      </c>
      <c r="U392" s="540">
        <f>IF(R392&gt;0,S392*100/R392,0)</f>
        <v>0</v>
      </c>
    </row>
    <row r="393" spans="1:21" ht="18.75" hidden="1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103">
        <f>L396+L399</f>
        <v>0</v>
      </c>
      <c r="M393" s="102">
        <f>M396+M399</f>
        <v>0</v>
      </c>
      <c r="N393" s="102">
        <f>N396+N399</f>
        <v>0</v>
      </c>
      <c r="O393" s="102">
        <f>IF(L393&gt;0,N393*100/L393,0)</f>
        <v>0</v>
      </c>
      <c r="P393" s="102">
        <f>IF(M393&gt;0,N393*100/M393,0)</f>
        <v>0</v>
      </c>
      <c r="Q393" s="102">
        <f>Q396+Q399</f>
        <v>0</v>
      </c>
      <c r="R393" s="102">
        <f>R396+R399</f>
        <v>0</v>
      </c>
      <c r="S393" s="102">
        <f>S396+S399</f>
        <v>0</v>
      </c>
      <c r="T393" s="102">
        <f>IF(Q393&gt;0,S393*100/Q393,0)</f>
        <v>0</v>
      </c>
      <c r="U393" s="102">
        <f>IF(R393&gt;0,S393*100/R393,0)</f>
        <v>0</v>
      </c>
    </row>
    <row r="394" spans="1:21" ht="18.75" hidden="1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256">
        <f>L397+L400</f>
        <v>0</v>
      </c>
      <c r="M394" s="255">
        <f>M397+M400</f>
        <v>0</v>
      </c>
      <c r="N394" s="255">
        <f>N397+N400</f>
        <v>0</v>
      </c>
      <c r="O394" s="255">
        <f>IF(L394&gt;0,N394*100/L394,0)</f>
        <v>0</v>
      </c>
      <c r="P394" s="255">
        <f>IF(M394&gt;0,N394*100/M394,0)</f>
        <v>0</v>
      </c>
      <c r="Q394" s="255">
        <f>Q397+Q400</f>
        <v>0</v>
      </c>
      <c r="R394" s="255">
        <f>R397+R400</f>
        <v>0</v>
      </c>
      <c r="S394" s="255">
        <f>S397+S400</f>
        <v>0</v>
      </c>
      <c r="T394" s="255">
        <f>IF(Q394&gt;0,S394*100/Q394,0)</f>
        <v>0</v>
      </c>
      <c r="U394" s="255">
        <f>IF(R394&gt;0,S394*100/R394,0)</f>
        <v>0</v>
      </c>
    </row>
    <row r="395" spans="1:21" ht="18.75" hidden="1">
      <c r="A395" s="155"/>
      <c r="B395" s="188"/>
      <c r="C395" s="188"/>
      <c r="D395" s="602" t="s">
        <v>22</v>
      </c>
      <c r="E395" s="50"/>
      <c r="F395" s="50"/>
      <c r="G395" s="52"/>
      <c r="H395" s="162" t="s">
        <v>14</v>
      </c>
      <c r="I395" s="163"/>
      <c r="J395" s="163"/>
      <c r="K395" s="164"/>
      <c r="L395" s="256">
        <f>L396+L397</f>
        <v>0</v>
      </c>
      <c r="M395" s="255">
        <f>M396+M397</f>
        <v>0</v>
      </c>
      <c r="N395" s="255">
        <f>N396+N397</f>
        <v>0</v>
      </c>
      <c r="O395" s="255">
        <f>IF(L395&gt;0,N395*100/L395,0)</f>
        <v>0</v>
      </c>
      <c r="P395" s="255">
        <f>IF(M395&gt;0,N395*100/M395,0)</f>
        <v>0</v>
      </c>
      <c r="Q395" s="255">
        <f>Q396+Q397</f>
        <v>0</v>
      </c>
      <c r="R395" s="255">
        <f>R396+R397</f>
        <v>0</v>
      </c>
      <c r="S395" s="255">
        <f>S396+S397</f>
        <v>0</v>
      </c>
      <c r="T395" s="255">
        <f>IF(Q395&gt;0,S395*100/Q395,0)</f>
        <v>0</v>
      </c>
      <c r="U395" s="255">
        <f>IF(R395&gt;0,S395*100/R395,0)</f>
        <v>0</v>
      </c>
    </row>
    <row r="396" spans="1:21" ht="18.75" hidden="1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103">
        <v>0</v>
      </c>
      <c r="M396" s="102">
        <v>0</v>
      </c>
      <c r="N396" s="102">
        <v>0</v>
      </c>
      <c r="O396" s="102">
        <f>IF(L396&gt;0,N396*100/L396,0)</f>
        <v>0</v>
      </c>
      <c r="P396" s="102">
        <f>IF(M396&gt;0,N396*100/M396,0)</f>
        <v>0</v>
      </c>
      <c r="Q396" s="102">
        <v>0</v>
      </c>
      <c r="R396" s="102">
        <v>0</v>
      </c>
      <c r="S396" s="102">
        <v>0</v>
      </c>
      <c r="T396" s="102">
        <f>IF(Q396&gt;0,S396*100/Q396,0)</f>
        <v>0</v>
      </c>
      <c r="U396" s="102">
        <f>IF(R396&gt;0,S396*100/R396,0)</f>
        <v>0</v>
      </c>
    </row>
    <row r="397" spans="1:21" ht="18.75" hidden="1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256">
        <v>0</v>
      </c>
      <c r="M397" s="255">
        <v>0</v>
      </c>
      <c r="N397" s="255">
        <v>0</v>
      </c>
      <c r="O397" s="255">
        <f>IF(L397&gt;0,N397*100/L397,0)</f>
        <v>0</v>
      </c>
      <c r="P397" s="255">
        <f>IF(M397&gt;0,N397*100/M397,0)</f>
        <v>0</v>
      </c>
      <c r="Q397" s="255">
        <v>0</v>
      </c>
      <c r="R397" s="255">
        <v>0</v>
      </c>
      <c r="S397" s="255">
        <v>0</v>
      </c>
      <c r="T397" s="255">
        <f>IF(Q397&gt;0,S397*100/Q397,0)</f>
        <v>0</v>
      </c>
      <c r="U397" s="255">
        <f>IF(R397&gt;0,S397*100/R397,0)</f>
        <v>0</v>
      </c>
    </row>
    <row r="398" spans="1:21" ht="18.75" hidden="1">
      <c r="A398" s="155"/>
      <c r="B398" s="188"/>
      <c r="C398" s="188"/>
      <c r="D398" s="602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256">
        <f>L399+L400</f>
        <v>0</v>
      </c>
      <c r="M398" s="255">
        <f>M399+M400</f>
        <v>0</v>
      </c>
      <c r="N398" s="255">
        <f>N399+N400</f>
        <v>0</v>
      </c>
      <c r="O398" s="255">
        <f>IF(L398&gt;0,N398*100/L398,0)</f>
        <v>0</v>
      </c>
      <c r="P398" s="255">
        <f>IF(M398&gt;0,N398*100/M398,0)</f>
        <v>0</v>
      </c>
      <c r="Q398" s="255">
        <f>Q399+Q400</f>
        <v>0</v>
      </c>
      <c r="R398" s="255">
        <f>R399+R400</f>
        <v>0</v>
      </c>
      <c r="S398" s="255">
        <f>S399+S400</f>
        <v>0</v>
      </c>
      <c r="T398" s="255">
        <f>IF(Q398&gt;0,S398*100/Q398,0)</f>
        <v>0</v>
      </c>
      <c r="U398" s="255">
        <f>IF(R398&gt;0,S398*100/R398,0)</f>
        <v>0</v>
      </c>
    </row>
    <row r="399" spans="1:21" ht="18.75" hidden="1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103">
        <v>0</v>
      </c>
      <c r="M399" s="102">
        <v>0</v>
      </c>
      <c r="N399" s="102">
        <v>0</v>
      </c>
      <c r="O399" s="102">
        <f>IF(L399&gt;0,N399*100/L399,0)</f>
        <v>0</v>
      </c>
      <c r="P399" s="102">
        <f>IF(M399&gt;0,N399*100/M399,0)</f>
        <v>0</v>
      </c>
      <c r="Q399" s="102">
        <v>0</v>
      </c>
      <c r="R399" s="102">
        <v>0</v>
      </c>
      <c r="S399" s="102">
        <v>0</v>
      </c>
      <c r="T399" s="102">
        <f>IF(Q399&gt;0,S399*100/Q399,0)</f>
        <v>0</v>
      </c>
      <c r="U399" s="102">
        <f>IF(R399&gt;0,S399*100/R399,0)</f>
        <v>0</v>
      </c>
    </row>
    <row r="400" spans="1:21" ht="18.75" hidden="1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256">
        <v>0</v>
      </c>
      <c r="M400" s="255">
        <v>0</v>
      </c>
      <c r="N400" s="255">
        <v>0</v>
      </c>
      <c r="O400" s="255">
        <f>IF(L400&gt;0,N400*100/L400,0)</f>
        <v>0</v>
      </c>
      <c r="P400" s="255">
        <f>IF(M400&gt;0,N400*100/M400,0)</f>
        <v>0</v>
      </c>
      <c r="Q400" s="255">
        <v>0</v>
      </c>
      <c r="R400" s="255">
        <v>0</v>
      </c>
      <c r="S400" s="255">
        <v>0</v>
      </c>
      <c r="T400" s="255">
        <f>IF(Q400&gt;0,S400*100/Q400,0)</f>
        <v>0</v>
      </c>
      <c r="U400" s="255">
        <f>IF(R400&gt;0,S400*100/R400,0)</f>
        <v>0</v>
      </c>
    </row>
    <row r="401" spans="1:21" ht="19.5" hidden="1">
      <c r="A401" s="166"/>
      <c r="B401" s="167"/>
      <c r="C401" s="191" t="s">
        <v>18</v>
      </c>
      <c r="D401" s="560" t="s">
        <v>38</v>
      </c>
      <c r="E401" s="169"/>
      <c r="F401" s="169"/>
      <c r="G401" s="170"/>
      <c r="H401" s="206"/>
      <c r="I401" s="163"/>
      <c r="J401" s="54"/>
      <c r="K401" s="55"/>
      <c r="L401" s="62"/>
      <c r="M401" s="55"/>
      <c r="N401" s="55"/>
      <c r="O401" s="164"/>
      <c r="P401" s="164"/>
      <c r="Q401" s="55"/>
      <c r="R401" s="55"/>
      <c r="S401" s="55"/>
      <c r="T401" s="164"/>
      <c r="U401" s="164"/>
    </row>
    <row r="402" spans="1:21" ht="12.75" hidden="1">
      <c r="A402" s="258"/>
      <c r="B402" s="259"/>
      <c r="C402" s="259"/>
      <c r="D402" s="259"/>
      <c r="E402" s="260"/>
      <c r="F402" s="260"/>
      <c r="G402" s="261"/>
      <c r="H402" s="262"/>
      <c r="I402" s="263"/>
      <c r="J402" s="263"/>
      <c r="K402" s="264"/>
      <c r="L402" s="265"/>
      <c r="M402" s="264"/>
      <c r="N402" s="264"/>
      <c r="O402" s="264"/>
      <c r="P402" s="264"/>
      <c r="Q402" s="264"/>
      <c r="R402" s="264"/>
      <c r="S402" s="264"/>
      <c r="T402" s="264"/>
      <c r="U402" s="264"/>
    </row>
    <row r="403" spans="1:21" ht="12.75" hidden="1">
      <c r="A403" s="259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5"/>
      <c r="M403" s="264"/>
      <c r="N403" s="264"/>
      <c r="O403" s="264"/>
      <c r="P403" s="264"/>
      <c r="Q403" s="264"/>
      <c r="R403" s="264"/>
      <c r="S403" s="264"/>
      <c r="T403" s="264"/>
      <c r="U403" s="264"/>
    </row>
    <row r="404" spans="1:21" ht="12.75" hidden="1">
      <c r="A404" s="259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5"/>
      <c r="M404" s="264"/>
      <c r="N404" s="264"/>
      <c r="O404" s="264"/>
      <c r="P404" s="264"/>
      <c r="Q404" s="264"/>
      <c r="R404" s="264"/>
      <c r="S404" s="264"/>
      <c r="T404" s="264"/>
      <c r="U404" s="264"/>
    </row>
    <row r="405" spans="1:21" ht="12.75" hidden="1">
      <c r="A405" s="259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5"/>
      <c r="M405" s="264"/>
      <c r="N405" s="264"/>
      <c r="O405" s="264"/>
      <c r="P405" s="264"/>
      <c r="Q405" s="264"/>
      <c r="R405" s="264"/>
      <c r="S405" s="264"/>
      <c r="T405" s="264"/>
      <c r="U405" s="264"/>
    </row>
    <row r="406" spans="1:21" ht="12.75" hidden="1">
      <c r="A406" s="259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5"/>
      <c r="M406" s="264"/>
      <c r="N406" s="264"/>
      <c r="O406" s="264"/>
      <c r="P406" s="264"/>
      <c r="Q406" s="264"/>
      <c r="R406" s="264"/>
      <c r="S406" s="264"/>
      <c r="T406" s="264"/>
      <c r="U406" s="264"/>
    </row>
    <row r="407" spans="1:21" ht="12.75" hidden="1">
      <c r="A407" s="259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5"/>
      <c r="M407" s="264"/>
      <c r="N407" s="264"/>
      <c r="O407" s="264"/>
      <c r="P407" s="264"/>
      <c r="Q407" s="264"/>
      <c r="R407" s="264"/>
      <c r="S407" s="264"/>
      <c r="T407" s="264"/>
      <c r="U407" s="264"/>
    </row>
    <row r="408" spans="1:21" ht="12.75" hidden="1">
      <c r="A408" s="259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5"/>
      <c r="M408" s="264"/>
      <c r="N408" s="264"/>
      <c r="O408" s="264"/>
      <c r="P408" s="264"/>
      <c r="Q408" s="264"/>
      <c r="R408" s="264"/>
      <c r="S408" s="264"/>
      <c r="T408" s="264"/>
      <c r="U408" s="264"/>
    </row>
    <row r="409" spans="1:21" ht="12.75" hidden="1">
      <c r="A409" s="259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5"/>
      <c r="M409" s="264"/>
      <c r="N409" s="264"/>
      <c r="O409" s="264"/>
      <c r="P409" s="264"/>
      <c r="Q409" s="264"/>
      <c r="R409" s="264"/>
      <c r="S409" s="264"/>
      <c r="T409" s="264"/>
      <c r="U409" s="264"/>
    </row>
    <row r="410" spans="1:21" ht="12.75" hidden="1">
      <c r="A410" s="259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5"/>
      <c r="M410" s="264"/>
      <c r="N410" s="264"/>
      <c r="O410" s="264"/>
      <c r="P410" s="264"/>
      <c r="Q410" s="264"/>
      <c r="R410" s="264"/>
      <c r="S410" s="264"/>
      <c r="T410" s="264"/>
      <c r="U410" s="264"/>
    </row>
    <row r="411" spans="1:21" ht="12.75" hidden="1">
      <c r="A411" s="360"/>
      <c r="B411" s="360"/>
      <c r="C411" s="360"/>
      <c r="D411" s="360"/>
      <c r="E411" s="360"/>
      <c r="F411" s="360"/>
      <c r="G411" s="361"/>
      <c r="H411" s="361"/>
      <c r="I411" s="362"/>
      <c r="J411" s="362"/>
      <c r="K411" s="363"/>
      <c r="L411" s="364"/>
      <c r="M411" s="363"/>
      <c r="N411" s="363"/>
      <c r="O411" s="363"/>
      <c r="P411" s="363"/>
      <c r="Q411" s="363"/>
      <c r="R411" s="363"/>
      <c r="S411" s="363"/>
      <c r="T411" s="363"/>
      <c r="U411" s="363"/>
    </row>
    <row r="412" spans="1:21" ht="19.5" hidden="1">
      <c r="A412" s="337"/>
      <c r="B412" s="354" t="s">
        <v>158</v>
      </c>
      <c r="C412" s="337"/>
      <c r="D412" s="337"/>
      <c r="E412" s="337"/>
      <c r="F412" s="337"/>
      <c r="G412" s="365"/>
      <c r="H412" s="366" t="s">
        <v>46</v>
      </c>
      <c r="I412" s="605">
        <f ca="1">I423</f>
        <v>0</v>
      </c>
      <c r="J412" s="605">
        <f>J423</f>
        <v>0</v>
      </c>
      <c r="K412" s="604">
        <f ca="1">IF(I412&gt;0,J412*100/I412,0)</f>
        <v>0</v>
      </c>
      <c r="L412" s="334"/>
      <c r="M412" s="333"/>
      <c r="N412" s="333"/>
      <c r="O412" s="333"/>
      <c r="P412" s="333"/>
      <c r="Q412" s="333"/>
      <c r="R412" s="333"/>
      <c r="S412" s="333"/>
      <c r="T412" s="333"/>
      <c r="U412" s="333"/>
    </row>
    <row r="413" spans="1:21" ht="19.5" hidden="1">
      <c r="A413" s="155"/>
      <c r="B413" s="188"/>
      <c r="C413" s="367" t="s">
        <v>18</v>
      </c>
      <c r="D413" s="603" t="s">
        <v>19</v>
      </c>
      <c r="E413" s="514"/>
      <c r="F413" s="514"/>
      <c r="G413" s="512"/>
      <c r="H413" s="368" t="s">
        <v>14</v>
      </c>
      <c r="I413" s="54"/>
      <c r="J413" s="54"/>
      <c r="K413" s="55"/>
      <c r="L413" s="541">
        <f>L414+L415</f>
        <v>0</v>
      </c>
      <c r="M413" s="540">
        <f>M414+M415</f>
        <v>0</v>
      </c>
      <c r="N413" s="540">
        <f>N414+N415</f>
        <v>0</v>
      </c>
      <c r="O413" s="540">
        <f>IF(L413&gt;0,N413*100/L413,0)</f>
        <v>0</v>
      </c>
      <c r="P413" s="540">
        <f>IF(M413&gt;0,N413*100/M413,0)</f>
        <v>0</v>
      </c>
      <c r="Q413" s="540">
        <f ca="1">Q414+Q415</f>
        <v>0</v>
      </c>
      <c r="R413" s="540">
        <f ca="1">R414+R415</f>
        <v>0</v>
      </c>
      <c r="S413" s="540">
        <f ca="1">S414+S415</f>
        <v>0</v>
      </c>
      <c r="T413" s="540">
        <f ca="1">IF(Q413&gt;0,S413*100/Q413,0)</f>
        <v>0</v>
      </c>
      <c r="U413" s="540">
        <f ca="1">IF(R413&gt;0,S413*100/R413,0)</f>
        <v>0</v>
      </c>
    </row>
    <row r="414" spans="1:21" ht="18.75" hidden="1">
      <c r="A414" s="155"/>
      <c r="B414" s="188"/>
      <c r="C414" s="188"/>
      <c r="D414" s="188"/>
      <c r="E414" s="358" t="s">
        <v>159</v>
      </c>
      <c r="F414" s="188"/>
      <c r="G414" s="208"/>
      <c r="H414" s="204" t="s">
        <v>14</v>
      </c>
      <c r="I414" s="54"/>
      <c r="J414" s="54"/>
      <c r="K414" s="55"/>
      <c r="L414" s="103">
        <f>L417+L420</f>
        <v>0</v>
      </c>
      <c r="M414" s="102">
        <f>M417+M420</f>
        <v>0</v>
      </c>
      <c r="N414" s="102">
        <f>N417+N420</f>
        <v>0</v>
      </c>
      <c r="O414" s="102">
        <f>IF(L414&gt;0,N414*100/L414,0)</f>
        <v>0</v>
      </c>
      <c r="P414" s="102">
        <f>IF(M414&gt;0,N414*100/M414,0)</f>
        <v>0</v>
      </c>
      <c r="Q414" s="102">
        <f>Q417+Q420</f>
        <v>0</v>
      </c>
      <c r="R414" s="102">
        <f>R417+R420</f>
        <v>0</v>
      </c>
      <c r="S414" s="102">
        <f>S417+S420</f>
        <v>0</v>
      </c>
      <c r="T414" s="102">
        <f>IF(Q414&gt;0,S414*100/Q414,0)</f>
        <v>0</v>
      </c>
      <c r="U414" s="102">
        <f>IF(R414&gt;0,S414*100/R414,0)</f>
        <v>0</v>
      </c>
    </row>
    <row r="415" spans="1:21" ht="18.75" hidden="1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256">
        <f>L418+L421</f>
        <v>0</v>
      </c>
      <c r="M415" s="255">
        <f>M418+M421</f>
        <v>0</v>
      </c>
      <c r="N415" s="255">
        <f>N418+N421</f>
        <v>0</v>
      </c>
      <c r="O415" s="255">
        <f>IF(L415&gt;0,N415*100/L415,0)</f>
        <v>0</v>
      </c>
      <c r="P415" s="255">
        <f>IF(M415&gt;0,N415*100/M415,0)</f>
        <v>0</v>
      </c>
      <c r="Q415" s="255">
        <f ca="1">Q418+Q421</f>
        <v>0</v>
      </c>
      <c r="R415" s="255">
        <f ca="1">R418+R421</f>
        <v>0</v>
      </c>
      <c r="S415" s="255">
        <f ca="1">S418+S421</f>
        <v>0</v>
      </c>
      <c r="T415" s="255">
        <f ca="1">IF(Q415&gt;0,S415*100/Q415,0)</f>
        <v>0</v>
      </c>
      <c r="U415" s="255">
        <f ca="1">IF(R415&gt;0,S415*100/R415,0)</f>
        <v>0</v>
      </c>
    </row>
    <row r="416" spans="1:21" ht="19.5" hidden="1">
      <c r="A416" s="155"/>
      <c r="B416" s="188"/>
      <c r="C416" s="188"/>
      <c r="D416" s="608" t="s">
        <v>22</v>
      </c>
      <c r="E416" s="188"/>
      <c r="F416" s="188"/>
      <c r="G416" s="208"/>
      <c r="H416" s="368" t="s">
        <v>14</v>
      </c>
      <c r="I416" s="54"/>
      <c r="J416" s="54"/>
      <c r="K416" s="55"/>
      <c r="L416" s="256">
        <f>L417+L418</f>
        <v>0</v>
      </c>
      <c r="M416" s="255">
        <f>M417+M418</f>
        <v>0</v>
      </c>
      <c r="N416" s="255">
        <f>N417+N418</f>
        <v>0</v>
      </c>
      <c r="O416" s="255">
        <f>IF(L416&gt;0,N416*100/L416,0)</f>
        <v>0</v>
      </c>
      <c r="P416" s="255">
        <f>IF(M416&gt;0,N416*100/M416,0)</f>
        <v>0</v>
      </c>
      <c r="Q416" s="255">
        <f ca="1">Q417+Q418</f>
        <v>0</v>
      </c>
      <c r="R416" s="255">
        <f ca="1">R417+R418</f>
        <v>0</v>
      </c>
      <c r="S416" s="255">
        <f ca="1">S417+S418</f>
        <v>0</v>
      </c>
      <c r="T416" s="255">
        <f ca="1">IF(Q416&gt;0,S416*100/Q416,0)</f>
        <v>0</v>
      </c>
      <c r="U416" s="255">
        <f ca="1">IF(R416&gt;0,S416*100/R416,0)</f>
        <v>0</v>
      </c>
    </row>
    <row r="417" spans="1:21" ht="18.75" hidden="1">
      <c r="A417" s="155"/>
      <c r="B417" s="188"/>
      <c r="C417" s="188"/>
      <c r="D417" s="188"/>
      <c r="E417" s="358" t="s">
        <v>159</v>
      </c>
      <c r="F417" s="188"/>
      <c r="G417" s="208"/>
      <c r="H417" s="204" t="s">
        <v>14</v>
      </c>
      <c r="I417" s="54"/>
      <c r="J417" s="54"/>
      <c r="K417" s="55"/>
      <c r="L417" s="103">
        <v>0</v>
      </c>
      <c r="M417" s="102">
        <v>0</v>
      </c>
      <c r="N417" s="102">
        <v>0</v>
      </c>
      <c r="O417" s="102">
        <f>IF(L417&gt;0,N417*100/L417,0)</f>
        <v>0</v>
      </c>
      <c r="P417" s="102">
        <f>IF(M417&gt;0,N417*100/M417,0)</f>
        <v>0</v>
      </c>
      <c r="Q417" s="102">
        <v>0</v>
      </c>
      <c r="R417" s="102">
        <v>0</v>
      </c>
      <c r="S417" s="102">
        <v>0</v>
      </c>
      <c r="T417" s="102">
        <f>IF(Q417&gt;0,S417*100/Q417,0)</f>
        <v>0</v>
      </c>
      <c r="U417" s="102">
        <f>IF(R417&gt;0,S417*100/R417,0)</f>
        <v>0</v>
      </c>
    </row>
    <row r="418" spans="1:21" ht="18.75" hidden="1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256">
        <v>0</v>
      </c>
      <c r="M418" s="255">
        <v>0</v>
      </c>
      <c r="N418" s="255">
        <v>0</v>
      </c>
      <c r="O418" s="255">
        <f>IF(L418&gt;0,N418*100/L418,0)</f>
        <v>0</v>
      </c>
      <c r="P418" s="255">
        <f>IF(M418&gt;0,N418*100/M418,0)</f>
        <v>0</v>
      </c>
      <c r="Q418" s="255">
        <f ca="1">IFERROR(__xludf.DUMMYFUNCTION("IMPORTRANGE(""https://docs.google.com/spreadsheets/d/1ItG2mGa2ceCfYo0BwxsXqNm01IGEUdYcSSLTEv9YCik/edit?usp=sharing"",""เบิกจ่ายกองทุน!BH39"")"),0)</f>
        <v>0</v>
      </c>
      <c r="R418" s="255">
        <f ca="1">IFERROR(__xludf.DUMMYFUNCTION("IMPORTRANGE(""https://docs.google.com/spreadsheets/d/1ItG2mGa2ceCfYo0BwxsXqNm01IGEUdYcSSLTEv9YCik/edit?usp=sharing"",""เบิกจ่ายกองทุน!BI39"")"),0)</f>
        <v>0</v>
      </c>
      <c r="S418" s="255">
        <f ca="1">IFERROR(__xludf.DUMMYFUNCTION("IMPORTRANGE(""https://docs.google.com/spreadsheets/d/1ItG2mGa2ceCfYo0BwxsXqNm01IGEUdYcSSLTEv9YCik/edit?usp=sharing"",""เบิกจ่ายกองทุน!BJ39"")"),0)</f>
        <v>0</v>
      </c>
      <c r="T418" s="255">
        <f ca="1">IF(Q418&gt;0,S418*100/Q418,0)</f>
        <v>0</v>
      </c>
      <c r="U418" s="255">
        <f ca="1">IF(R418&gt;0,S418*100/R418,0)</f>
        <v>0</v>
      </c>
    </row>
    <row r="419" spans="1:21" ht="19.5" hidden="1">
      <c r="A419" s="155"/>
      <c r="B419" s="188"/>
      <c r="C419" s="188"/>
      <c r="D419" s="608" t="s">
        <v>23</v>
      </c>
      <c r="E419" s="188"/>
      <c r="F419" s="188"/>
      <c r="G419" s="208"/>
      <c r="H419" s="158" t="s">
        <v>14</v>
      </c>
      <c r="I419" s="54"/>
      <c r="J419" s="54"/>
      <c r="K419" s="55"/>
      <c r="L419" s="256">
        <f>L420+L421</f>
        <v>0</v>
      </c>
      <c r="M419" s="255">
        <f>M420+M421</f>
        <v>0</v>
      </c>
      <c r="N419" s="255">
        <f>N420+N421</f>
        <v>0</v>
      </c>
      <c r="O419" s="255">
        <f>IF(L419&gt;0,N419*100/L419,0)</f>
        <v>0</v>
      </c>
      <c r="P419" s="255">
        <f>IF(M419&gt;0,N419*100/M419,0)</f>
        <v>0</v>
      </c>
      <c r="Q419" s="255">
        <f>Q420+Q421</f>
        <v>0</v>
      </c>
      <c r="R419" s="255">
        <f>R420+R421</f>
        <v>0</v>
      </c>
      <c r="S419" s="255">
        <f>S420+S421</f>
        <v>0</v>
      </c>
      <c r="T419" s="255">
        <f>IF(Q419&gt;0,S419*100/Q419,0)</f>
        <v>0</v>
      </c>
      <c r="U419" s="255">
        <f>IF(R419&gt;0,S419*100/R419,0)</f>
        <v>0</v>
      </c>
    </row>
    <row r="420" spans="1:21" ht="18.75" hidden="1">
      <c r="A420" s="155"/>
      <c r="B420" s="188"/>
      <c r="C420" s="188"/>
      <c r="D420" s="188"/>
      <c r="E420" s="358" t="s">
        <v>20</v>
      </c>
      <c r="F420" s="188"/>
      <c r="G420" s="208"/>
      <c r="H420" s="204" t="s">
        <v>14</v>
      </c>
      <c r="I420" s="54"/>
      <c r="J420" s="54"/>
      <c r="K420" s="55"/>
      <c r="L420" s="103">
        <v>0</v>
      </c>
      <c r="M420" s="102">
        <v>0</v>
      </c>
      <c r="N420" s="102">
        <v>0</v>
      </c>
      <c r="O420" s="102">
        <f>IF(L420&gt;0,N420*100/L420,0)</f>
        <v>0</v>
      </c>
      <c r="P420" s="102">
        <f>IF(M420&gt;0,N420*100/M420,0)</f>
        <v>0</v>
      </c>
      <c r="Q420" s="102">
        <v>0</v>
      </c>
      <c r="R420" s="102">
        <v>0</v>
      </c>
      <c r="S420" s="102">
        <v>0</v>
      </c>
      <c r="T420" s="102">
        <f>IF(Q420&gt;0,S420*100/Q420,0)</f>
        <v>0</v>
      </c>
      <c r="U420" s="102">
        <f>IF(R420&gt;0,S420*100/R420,0)</f>
        <v>0</v>
      </c>
    </row>
    <row r="421" spans="1:21" ht="18.75" hidden="1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256">
        <v>0</v>
      </c>
      <c r="M421" s="255">
        <v>0</v>
      </c>
      <c r="N421" s="255">
        <v>0</v>
      </c>
      <c r="O421" s="255">
        <f>IF(L421&gt;0,N421*100/L421,0)</f>
        <v>0</v>
      </c>
      <c r="P421" s="255">
        <f>IF(M421&gt;0,N421*100/M421,0)</f>
        <v>0</v>
      </c>
      <c r="Q421" s="255">
        <v>0</v>
      </c>
      <c r="R421" s="255">
        <v>0</v>
      </c>
      <c r="S421" s="255">
        <v>0</v>
      </c>
      <c r="T421" s="255">
        <f>IF(Q421&gt;0,S421*100/Q421,0)</f>
        <v>0</v>
      </c>
      <c r="U421" s="255">
        <f>IF(R421&gt;0,S421*100/R421,0)</f>
        <v>0</v>
      </c>
    </row>
    <row r="422" spans="1:21" ht="19.5" hidden="1">
      <c r="A422" s="238"/>
      <c r="B422" s="188"/>
      <c r="C422" s="367" t="s">
        <v>18</v>
      </c>
      <c r="D422" s="607" t="s">
        <v>38</v>
      </c>
      <c r="E422" s="188"/>
      <c r="F422" s="188"/>
      <c r="G422" s="208"/>
      <c r="H422" s="208"/>
      <c r="I422" s="54"/>
      <c r="J422" s="54"/>
      <c r="K422" s="55"/>
      <c r="L422" s="62"/>
      <c r="M422" s="55"/>
      <c r="N422" s="55"/>
      <c r="O422" s="55"/>
      <c r="P422" s="55"/>
      <c r="Q422" s="55"/>
      <c r="R422" s="55"/>
      <c r="S422" s="55"/>
      <c r="T422" s="55"/>
      <c r="U422" s="55"/>
    </row>
    <row r="423" spans="1:21" ht="19.5" hidden="1">
      <c r="A423" s="238"/>
      <c r="B423" s="191" t="s">
        <v>161</v>
      </c>
      <c r="C423" s="188"/>
      <c r="D423" s="188"/>
      <c r="E423" s="188"/>
      <c r="F423" s="188"/>
      <c r="G423" s="208"/>
      <c r="H423" s="368" t="s">
        <v>46</v>
      </c>
      <c r="I423" s="373">
        <f ca="1">I440</f>
        <v>0</v>
      </c>
      <c r="J423" s="373">
        <f>J440</f>
        <v>0</v>
      </c>
      <c r="K423" s="540">
        <f ca="1">IF(I423&gt;0,J423*100/I423,0)</f>
        <v>0</v>
      </c>
      <c r="L423" s="62"/>
      <c r="M423" s="55"/>
      <c r="N423" s="55"/>
      <c r="O423" s="55"/>
      <c r="P423" s="55"/>
      <c r="Q423" s="55"/>
      <c r="R423" s="55"/>
      <c r="S423" s="55"/>
      <c r="T423" s="55"/>
      <c r="U423" s="55"/>
    </row>
    <row r="424" spans="1:21" ht="19.5" hidden="1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373">
        <f ca="1">IFERROR(__xludf.DUMMYFUNCTION("IMPORTRANGE(""https://docs.google.com/spreadsheets/d/1eHaY18a8A9IcSdp1K8H6x8fbOy06t2VsZHhMHf-1x7Y/edit?usp=sharing"",""แผน!HJ39"")"),0)</f>
        <v>0</v>
      </c>
      <c r="J424" s="373">
        <f>J426+J428+J430</f>
        <v>0</v>
      </c>
      <c r="K424" s="540">
        <f ca="1">IF(I424&gt;0,J424*100/I424,0)</f>
        <v>0</v>
      </c>
      <c r="L424" s="62"/>
      <c r="M424" s="55"/>
      <c r="N424" s="55"/>
      <c r="O424" s="55"/>
      <c r="P424" s="55"/>
      <c r="Q424" s="55"/>
      <c r="R424" s="55"/>
      <c r="S424" s="55"/>
      <c r="T424" s="55"/>
      <c r="U424" s="55"/>
    </row>
    <row r="425" spans="1:21" ht="19.5" hidden="1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373">
        <f ca="1">IFERROR(__xludf.DUMMYFUNCTION("IMPORTRANGE(""https://docs.google.com/spreadsheets/d/1eHaY18a8A9IcSdp1K8H6x8fbOy06t2VsZHhMHf-1x7Y/edit?usp=sharing"",""แผน!HK39"")"),0)</f>
        <v>0</v>
      </c>
      <c r="J425" s="373">
        <f>J427+J429+J431</f>
        <v>0</v>
      </c>
      <c r="K425" s="540">
        <f ca="1">IF(I425&gt;0,J425*100/I425,0)</f>
        <v>0</v>
      </c>
      <c r="L425" s="62"/>
      <c r="M425" s="55"/>
      <c r="N425" s="55"/>
      <c r="O425" s="55"/>
      <c r="P425" s="55"/>
      <c r="Q425" s="55"/>
      <c r="R425" s="55"/>
      <c r="S425" s="55"/>
      <c r="T425" s="55"/>
      <c r="U425" s="55"/>
    </row>
    <row r="426" spans="1:21" ht="18.75" hidden="1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54"/>
      <c r="K426" s="55"/>
      <c r="L426" s="62"/>
      <c r="M426" s="55"/>
      <c r="N426" s="55"/>
      <c r="O426" s="55"/>
      <c r="P426" s="55"/>
      <c r="Q426" s="55"/>
      <c r="R426" s="55"/>
      <c r="S426" s="55"/>
      <c r="T426" s="55"/>
      <c r="U426" s="55"/>
    </row>
    <row r="427" spans="1:21" ht="18.75" hidden="1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54"/>
      <c r="K427" s="55"/>
      <c r="L427" s="62"/>
      <c r="M427" s="55"/>
      <c r="N427" s="55"/>
      <c r="O427" s="55"/>
      <c r="P427" s="55"/>
      <c r="Q427" s="55"/>
      <c r="R427" s="55"/>
      <c r="S427" s="55"/>
      <c r="T427" s="55"/>
      <c r="U427" s="55"/>
    </row>
    <row r="428" spans="1:21" ht="18.75" hidden="1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54"/>
      <c r="K428" s="55"/>
      <c r="L428" s="62"/>
      <c r="M428" s="55"/>
      <c r="N428" s="55"/>
      <c r="O428" s="55"/>
      <c r="P428" s="55"/>
      <c r="Q428" s="55"/>
      <c r="R428" s="55"/>
      <c r="S428" s="55"/>
      <c r="T428" s="55"/>
      <c r="U428" s="55"/>
    </row>
    <row r="429" spans="1:21" ht="18.75" hidden="1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54"/>
      <c r="K429" s="55"/>
      <c r="L429" s="62"/>
      <c r="M429" s="55"/>
      <c r="N429" s="55"/>
      <c r="O429" s="55"/>
      <c r="P429" s="55"/>
      <c r="Q429" s="55"/>
      <c r="R429" s="55"/>
      <c r="S429" s="55"/>
      <c r="T429" s="55"/>
      <c r="U429" s="55"/>
    </row>
    <row r="430" spans="1:21" ht="18.75" hidden="1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54"/>
      <c r="K430" s="55"/>
      <c r="L430" s="62"/>
      <c r="M430" s="55"/>
      <c r="N430" s="55"/>
      <c r="O430" s="55"/>
      <c r="P430" s="55"/>
      <c r="Q430" s="55"/>
      <c r="R430" s="55"/>
      <c r="S430" s="55"/>
      <c r="T430" s="55"/>
      <c r="U430" s="55"/>
    </row>
    <row r="431" spans="1:21" ht="18.75" hidden="1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54"/>
      <c r="K431" s="55"/>
      <c r="L431" s="62"/>
      <c r="M431" s="55"/>
      <c r="N431" s="55"/>
      <c r="O431" s="55"/>
      <c r="P431" s="55"/>
      <c r="Q431" s="55"/>
      <c r="R431" s="55"/>
      <c r="S431" s="55"/>
      <c r="T431" s="55"/>
      <c r="U431" s="55"/>
    </row>
    <row r="432" spans="1:21" ht="19.5" hidden="1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373">
        <f ca="1">IFERROR(__xludf.DUMMYFUNCTION("IMPORTRANGE(""https://docs.google.com/spreadsheets/d/1eHaY18a8A9IcSdp1K8H6x8fbOy06t2VsZHhMHf-1x7Y/edit?usp=sharing"",""แผน!HJ39"")"),0)</f>
        <v>0</v>
      </c>
      <c r="J432" s="373">
        <f>J434+J436+J438</f>
        <v>0</v>
      </c>
      <c r="K432" s="540">
        <f ca="1">IF(I432&gt;0,J432*100/I432,0)</f>
        <v>0</v>
      </c>
      <c r="L432" s="62"/>
      <c r="M432" s="55"/>
      <c r="N432" s="55"/>
      <c r="O432" s="55"/>
      <c r="P432" s="55"/>
      <c r="Q432" s="55"/>
      <c r="R432" s="55"/>
      <c r="S432" s="55"/>
      <c r="T432" s="55"/>
      <c r="U432" s="55"/>
    </row>
    <row r="433" spans="1:21" ht="19.5" hidden="1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373">
        <f ca="1">IFERROR(__xludf.DUMMYFUNCTION("IMPORTRANGE(""https://docs.google.com/spreadsheets/d/1eHaY18a8A9IcSdp1K8H6x8fbOy06t2VsZHhMHf-1x7Y/edit?usp=sharing"",""แผน!HK39"")"),0)</f>
        <v>0</v>
      </c>
      <c r="J433" s="373">
        <f>J435+J437+J439</f>
        <v>0</v>
      </c>
      <c r="K433" s="540">
        <f ca="1">IF(I433&gt;0,J433*100/I433,0)</f>
        <v>0</v>
      </c>
      <c r="L433" s="62"/>
      <c r="M433" s="55"/>
      <c r="N433" s="55"/>
      <c r="O433" s="55"/>
      <c r="P433" s="55"/>
      <c r="Q433" s="55"/>
      <c r="R433" s="55"/>
      <c r="S433" s="55"/>
      <c r="T433" s="55"/>
      <c r="U433" s="55"/>
    </row>
    <row r="434" spans="1:21" ht="18.75" hidden="1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54"/>
      <c r="K434" s="55"/>
      <c r="L434" s="62"/>
      <c r="M434" s="55"/>
      <c r="N434" s="55"/>
      <c r="O434" s="55"/>
      <c r="P434" s="55"/>
      <c r="Q434" s="55"/>
      <c r="R434" s="55"/>
      <c r="S434" s="55"/>
      <c r="T434" s="55"/>
      <c r="U434" s="55"/>
    </row>
    <row r="435" spans="1:21" ht="18.75" hidden="1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54"/>
      <c r="K435" s="55"/>
      <c r="L435" s="62"/>
      <c r="M435" s="55"/>
      <c r="N435" s="55"/>
      <c r="O435" s="55"/>
      <c r="P435" s="55"/>
      <c r="Q435" s="55"/>
      <c r="R435" s="55"/>
      <c r="S435" s="55"/>
      <c r="T435" s="55"/>
      <c r="U435" s="55"/>
    </row>
    <row r="436" spans="1:21" ht="18.75" hidden="1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54"/>
      <c r="K436" s="55"/>
      <c r="L436" s="62"/>
      <c r="M436" s="55"/>
      <c r="N436" s="55"/>
      <c r="O436" s="55"/>
      <c r="P436" s="55"/>
      <c r="Q436" s="55"/>
      <c r="R436" s="55"/>
      <c r="S436" s="55"/>
      <c r="T436" s="55"/>
      <c r="U436" s="55"/>
    </row>
    <row r="437" spans="1:21" ht="18.75" hidden="1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54"/>
      <c r="K437" s="55"/>
      <c r="L437" s="62"/>
      <c r="M437" s="55"/>
      <c r="N437" s="55"/>
      <c r="O437" s="55"/>
      <c r="P437" s="55"/>
      <c r="Q437" s="55"/>
      <c r="R437" s="55"/>
      <c r="S437" s="55"/>
      <c r="T437" s="55"/>
      <c r="U437" s="55"/>
    </row>
    <row r="438" spans="1:21" ht="18.75" hidden="1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54"/>
      <c r="K438" s="55"/>
      <c r="L438" s="62"/>
      <c r="M438" s="55"/>
      <c r="N438" s="55"/>
      <c r="O438" s="55"/>
      <c r="P438" s="55"/>
      <c r="Q438" s="55"/>
      <c r="R438" s="55"/>
      <c r="S438" s="55"/>
      <c r="T438" s="55"/>
      <c r="U438" s="55"/>
    </row>
    <row r="439" spans="1:21" ht="18.75" hidden="1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54"/>
      <c r="K439" s="55"/>
      <c r="L439" s="62"/>
      <c r="M439" s="55"/>
      <c r="N439" s="55"/>
      <c r="O439" s="55"/>
      <c r="P439" s="55"/>
      <c r="Q439" s="55"/>
      <c r="R439" s="55"/>
      <c r="S439" s="55"/>
      <c r="T439" s="55"/>
      <c r="U439" s="55"/>
    </row>
    <row r="440" spans="1:21" ht="19.5" hidden="1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373">
        <f ca="1">IFERROR(__xludf.DUMMYFUNCTION("IMPORTRANGE(""https://docs.google.com/spreadsheets/d/1eHaY18a8A9IcSdp1K8H6x8fbOy06t2VsZHhMHf-1x7Y/edit?usp=sharing"",""แผน!HJ39"")"),0)</f>
        <v>0</v>
      </c>
      <c r="J440" s="373">
        <f>J442+J444+J446+J452+J454</f>
        <v>0</v>
      </c>
      <c r="K440" s="540">
        <f ca="1">IF(I440&gt;0,J440*100/I440,0)</f>
        <v>0</v>
      </c>
      <c r="L440" s="62"/>
      <c r="M440" s="55"/>
      <c r="N440" s="55"/>
      <c r="O440" s="55"/>
      <c r="P440" s="55"/>
      <c r="Q440" s="55"/>
      <c r="R440" s="55"/>
      <c r="S440" s="55"/>
      <c r="T440" s="55"/>
      <c r="U440" s="55"/>
    </row>
    <row r="441" spans="1:21" ht="19.5" hidden="1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373">
        <f ca="1">IFERROR(__xludf.DUMMYFUNCTION("IMPORTRANGE(""https://docs.google.com/spreadsheets/d/1eHaY18a8A9IcSdp1K8H6x8fbOy06t2VsZHhMHf-1x7Y/edit?usp=sharing"",""แผน!HK39"")"),0)</f>
        <v>0</v>
      </c>
      <c r="J441" s="373">
        <f>J443+J445+J447+J453+J455</f>
        <v>0</v>
      </c>
      <c r="K441" s="540">
        <f ca="1">IF(I441&gt;0,J441*100/I441,0)</f>
        <v>0</v>
      </c>
      <c r="L441" s="62"/>
      <c r="M441" s="55"/>
      <c r="N441" s="55"/>
      <c r="O441" s="55"/>
      <c r="P441" s="55"/>
      <c r="Q441" s="55"/>
      <c r="R441" s="55"/>
      <c r="S441" s="55"/>
      <c r="T441" s="55"/>
      <c r="U441" s="55"/>
    </row>
    <row r="442" spans="1:21" ht="18.75" hidden="1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54"/>
      <c r="K442" s="55"/>
      <c r="L442" s="62"/>
      <c r="M442" s="55"/>
      <c r="N442" s="55"/>
      <c r="O442" s="55"/>
      <c r="P442" s="55"/>
      <c r="Q442" s="55"/>
      <c r="R442" s="55"/>
      <c r="S442" s="55"/>
      <c r="T442" s="55"/>
      <c r="U442" s="55"/>
    </row>
    <row r="443" spans="1:21" ht="18.75" hidden="1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54"/>
      <c r="K443" s="55"/>
      <c r="L443" s="62"/>
      <c r="M443" s="55"/>
      <c r="N443" s="55"/>
      <c r="O443" s="55"/>
      <c r="P443" s="55"/>
      <c r="Q443" s="55"/>
      <c r="R443" s="55"/>
      <c r="S443" s="55"/>
      <c r="T443" s="55"/>
      <c r="U443" s="55"/>
    </row>
    <row r="444" spans="1:21" ht="18.75" hidden="1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54"/>
      <c r="K444" s="55"/>
      <c r="L444" s="62"/>
      <c r="M444" s="55"/>
      <c r="N444" s="55"/>
      <c r="O444" s="55"/>
      <c r="P444" s="55"/>
      <c r="Q444" s="55"/>
      <c r="R444" s="55"/>
      <c r="S444" s="55"/>
      <c r="T444" s="55"/>
      <c r="U444" s="55"/>
    </row>
    <row r="445" spans="1:21" ht="18.75" hidden="1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54"/>
      <c r="K445" s="55"/>
      <c r="L445" s="62"/>
      <c r="M445" s="55"/>
      <c r="N445" s="55"/>
      <c r="O445" s="55"/>
      <c r="P445" s="55"/>
      <c r="Q445" s="55"/>
      <c r="R445" s="55"/>
      <c r="S445" s="55"/>
      <c r="T445" s="55"/>
      <c r="U445" s="55"/>
    </row>
    <row r="446" spans="1:21" ht="19.5" hidden="1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373">
        <f>J448+J450</f>
        <v>0</v>
      </c>
      <c r="K446" s="55"/>
      <c r="L446" s="62"/>
      <c r="M446" s="55"/>
      <c r="N446" s="55"/>
      <c r="O446" s="55"/>
      <c r="P446" s="55"/>
      <c r="Q446" s="55"/>
      <c r="R446" s="55"/>
      <c r="S446" s="55"/>
      <c r="T446" s="55"/>
      <c r="U446" s="55"/>
    </row>
    <row r="447" spans="1:21" ht="19.5" hidden="1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373">
        <f>J449+J451</f>
        <v>0</v>
      </c>
      <c r="K447" s="55"/>
      <c r="L447" s="62"/>
      <c r="M447" s="55"/>
      <c r="N447" s="55"/>
      <c r="O447" s="55"/>
      <c r="P447" s="55"/>
      <c r="Q447" s="55"/>
      <c r="R447" s="55"/>
      <c r="S447" s="55"/>
      <c r="T447" s="55"/>
      <c r="U447" s="55"/>
    </row>
    <row r="448" spans="1:21" ht="18.75" hidden="1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54"/>
      <c r="K448" s="55"/>
      <c r="L448" s="62"/>
      <c r="M448" s="55"/>
      <c r="N448" s="55"/>
      <c r="O448" s="55"/>
      <c r="P448" s="55"/>
      <c r="Q448" s="55"/>
      <c r="R448" s="55"/>
      <c r="S448" s="55"/>
      <c r="T448" s="55"/>
      <c r="U448" s="55"/>
    </row>
    <row r="449" spans="1:21" ht="18.75" hidden="1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54"/>
      <c r="K449" s="55"/>
      <c r="L449" s="62"/>
      <c r="M449" s="55"/>
      <c r="N449" s="55"/>
      <c r="O449" s="55"/>
      <c r="P449" s="55"/>
      <c r="Q449" s="55"/>
      <c r="R449" s="55"/>
      <c r="S449" s="55"/>
      <c r="T449" s="55"/>
      <c r="U449" s="55"/>
    </row>
    <row r="450" spans="1:21" ht="18.75" hidden="1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54"/>
      <c r="K450" s="55"/>
      <c r="L450" s="62"/>
      <c r="M450" s="55"/>
      <c r="N450" s="55"/>
      <c r="O450" s="55"/>
      <c r="P450" s="55"/>
      <c r="Q450" s="55"/>
      <c r="R450" s="55"/>
      <c r="S450" s="55"/>
      <c r="T450" s="55"/>
      <c r="U450" s="55"/>
    </row>
    <row r="451" spans="1:21" ht="18.75" hidden="1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54"/>
      <c r="K451" s="55"/>
      <c r="L451" s="62"/>
      <c r="M451" s="55"/>
      <c r="N451" s="55"/>
      <c r="O451" s="55"/>
      <c r="P451" s="55"/>
      <c r="Q451" s="55"/>
      <c r="R451" s="55"/>
      <c r="S451" s="55"/>
      <c r="T451" s="55"/>
      <c r="U451" s="55"/>
    </row>
    <row r="452" spans="1:21" ht="18.75" hidden="1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54"/>
      <c r="K452" s="55"/>
      <c r="L452" s="62"/>
      <c r="M452" s="55"/>
      <c r="N452" s="55"/>
      <c r="O452" s="55"/>
      <c r="P452" s="55"/>
      <c r="Q452" s="55"/>
      <c r="R452" s="55"/>
      <c r="S452" s="55"/>
      <c r="T452" s="55"/>
      <c r="U452" s="55"/>
    </row>
    <row r="453" spans="1:21" ht="18.75" hidden="1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54"/>
      <c r="K453" s="55"/>
      <c r="L453" s="62"/>
      <c r="M453" s="55"/>
      <c r="N453" s="55"/>
      <c r="O453" s="55"/>
      <c r="P453" s="55"/>
      <c r="Q453" s="55"/>
      <c r="R453" s="55"/>
      <c r="S453" s="55"/>
      <c r="T453" s="55"/>
      <c r="U453" s="55"/>
    </row>
    <row r="454" spans="1:21" ht="18.75" hidden="1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606"/>
      <c r="K454" s="55"/>
      <c r="L454" s="62"/>
      <c r="M454" s="55"/>
      <c r="N454" s="55"/>
      <c r="O454" s="55"/>
      <c r="P454" s="55"/>
      <c r="Q454" s="55"/>
      <c r="R454" s="55"/>
      <c r="S454" s="55"/>
      <c r="T454" s="55"/>
      <c r="U454" s="55"/>
    </row>
    <row r="455" spans="1:21" ht="18.75" hidden="1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54"/>
      <c r="K455" s="55"/>
      <c r="L455" s="62"/>
      <c r="M455" s="55"/>
      <c r="N455" s="55"/>
      <c r="O455" s="55"/>
      <c r="P455" s="55"/>
      <c r="Q455" s="55"/>
      <c r="R455" s="55"/>
      <c r="S455" s="55"/>
      <c r="T455" s="55"/>
      <c r="U455" s="55"/>
    </row>
    <row r="456" spans="1:21" ht="19.5" hidden="1">
      <c r="A456" s="238"/>
      <c r="B456" s="191" t="s">
        <v>178</v>
      </c>
      <c r="C456" s="188"/>
      <c r="D456" s="188"/>
      <c r="E456" s="188"/>
      <c r="F456" s="188"/>
      <c r="G456" s="208"/>
      <c r="H456" s="368" t="s">
        <v>46</v>
      </c>
      <c r="I456" s="373">
        <f ca="1">I457</f>
        <v>0</v>
      </c>
      <c r="J456" s="373">
        <f>J457</f>
        <v>0</v>
      </c>
      <c r="K456" s="540">
        <f ca="1">IF(I456&gt;0,J456*100/I456,0)</f>
        <v>0</v>
      </c>
      <c r="L456" s="62"/>
      <c r="M456" s="55"/>
      <c r="N456" s="55"/>
      <c r="O456" s="55"/>
      <c r="P456" s="55"/>
      <c r="Q456" s="55"/>
      <c r="R456" s="55"/>
      <c r="S456" s="55"/>
      <c r="T456" s="55"/>
      <c r="U456" s="55"/>
    </row>
    <row r="457" spans="1:21" ht="19.5" hidden="1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373">
        <f ca="1">IFERROR(__xludf.DUMMYFUNCTION("IMPORTRANGE(""https://docs.google.com/spreadsheets/d/1eHaY18a8A9IcSdp1K8H6x8fbOy06t2VsZHhMHf-1x7Y/edit?usp=sharing"",""แผน!HL39"")"),0)</f>
        <v>0</v>
      </c>
      <c r="J457" s="373">
        <f>J459+J467+J473</f>
        <v>0</v>
      </c>
      <c r="K457" s="540">
        <f ca="1">IF(I457&gt;0,J457*100/I457,0)</f>
        <v>0</v>
      </c>
      <c r="L457" s="62"/>
      <c r="M457" s="55"/>
      <c r="N457" s="55"/>
      <c r="O457" s="55"/>
      <c r="P457" s="55"/>
      <c r="Q457" s="55"/>
      <c r="R457" s="55"/>
      <c r="S457" s="55"/>
      <c r="T457" s="55"/>
      <c r="U457" s="55"/>
    </row>
    <row r="458" spans="1:21" ht="19.5" hidden="1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373">
        <f ca="1">IFERROR(__xludf.DUMMYFUNCTION("IMPORTRANGE(""https://docs.google.com/spreadsheets/d/1eHaY18a8A9IcSdp1K8H6x8fbOy06t2VsZHhMHf-1x7Y/edit?usp=sharing"",""แผน!HM39"")"),0)</f>
        <v>0</v>
      </c>
      <c r="J458" s="373">
        <f>J460+J468+J474</f>
        <v>0</v>
      </c>
      <c r="K458" s="540">
        <f ca="1">IF(I458&gt;0,J458*100/I458,0)</f>
        <v>0</v>
      </c>
      <c r="L458" s="62"/>
      <c r="M458" s="55"/>
      <c r="N458" s="55"/>
      <c r="O458" s="55"/>
      <c r="P458" s="55"/>
      <c r="Q458" s="55"/>
      <c r="R458" s="55"/>
      <c r="S458" s="55"/>
      <c r="T458" s="55"/>
      <c r="U458" s="55"/>
    </row>
    <row r="459" spans="1:21" ht="18.75" hidden="1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212">
        <f>J461+J463</f>
        <v>0</v>
      </c>
      <c r="K459" s="55"/>
      <c r="L459" s="62"/>
      <c r="M459" s="55"/>
      <c r="N459" s="55"/>
      <c r="O459" s="55"/>
      <c r="P459" s="55"/>
      <c r="Q459" s="55"/>
      <c r="R459" s="55"/>
      <c r="S459" s="55"/>
      <c r="T459" s="55"/>
      <c r="U459" s="55"/>
    </row>
    <row r="460" spans="1:21" ht="18.75" hidden="1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212">
        <f>J462+J464</f>
        <v>0</v>
      </c>
      <c r="K460" s="55"/>
      <c r="L460" s="62"/>
      <c r="M460" s="55"/>
      <c r="N460" s="55"/>
      <c r="O460" s="55"/>
      <c r="P460" s="55"/>
      <c r="Q460" s="55"/>
      <c r="R460" s="55"/>
      <c r="S460" s="55"/>
      <c r="T460" s="55"/>
      <c r="U460" s="55"/>
    </row>
    <row r="461" spans="1:21" ht="18.75" hidden="1">
      <c r="A461" s="238"/>
      <c r="B461" s="188"/>
      <c r="C461" s="188"/>
      <c r="D461" s="371" t="s">
        <v>181</v>
      </c>
      <c r="E461" s="188"/>
      <c r="F461" s="188"/>
      <c r="G461" s="208"/>
      <c r="H461" s="161" t="s">
        <v>46</v>
      </c>
      <c r="I461" s="54"/>
      <c r="J461" s="54"/>
      <c r="K461" s="55"/>
      <c r="L461" s="62"/>
      <c r="M461" s="55"/>
      <c r="N461" s="55"/>
      <c r="O461" s="55"/>
      <c r="P461" s="55"/>
      <c r="Q461" s="55"/>
      <c r="R461" s="55"/>
      <c r="S461" s="55"/>
      <c r="T461" s="55"/>
      <c r="U461" s="55"/>
    </row>
    <row r="462" spans="1:21" ht="18.75" hidden="1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54"/>
      <c r="K462" s="55"/>
      <c r="L462" s="62"/>
      <c r="M462" s="55"/>
      <c r="N462" s="55"/>
      <c r="O462" s="55"/>
      <c r="P462" s="55"/>
      <c r="Q462" s="55"/>
      <c r="R462" s="55"/>
      <c r="S462" s="55"/>
      <c r="T462" s="55"/>
      <c r="U462" s="55"/>
    </row>
    <row r="463" spans="1:21" ht="18.75" hidden="1">
      <c r="A463" s="238"/>
      <c r="B463" s="188"/>
      <c r="C463" s="188"/>
      <c r="D463" s="371" t="s">
        <v>182</v>
      </c>
      <c r="E463" s="188"/>
      <c r="F463" s="188"/>
      <c r="G463" s="208"/>
      <c r="H463" s="161" t="s">
        <v>46</v>
      </c>
      <c r="I463" s="54"/>
      <c r="J463" s="54"/>
      <c r="K463" s="55"/>
      <c r="L463" s="62"/>
      <c r="M463" s="55"/>
      <c r="N463" s="55"/>
      <c r="O463" s="55"/>
      <c r="P463" s="55"/>
      <c r="Q463" s="55"/>
      <c r="R463" s="55"/>
      <c r="S463" s="55"/>
      <c r="T463" s="55"/>
      <c r="U463" s="55"/>
    </row>
    <row r="464" spans="1:21" ht="18.75" hidden="1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54"/>
      <c r="K464" s="55"/>
      <c r="L464" s="62"/>
      <c r="M464" s="55"/>
      <c r="N464" s="55"/>
      <c r="O464" s="55"/>
      <c r="P464" s="55"/>
      <c r="Q464" s="55"/>
      <c r="R464" s="55"/>
      <c r="S464" s="55"/>
      <c r="T464" s="55"/>
      <c r="U464" s="55"/>
    </row>
    <row r="465" spans="1:21" ht="18.75" hidden="1">
      <c r="A465" s="238"/>
      <c r="B465" s="188"/>
      <c r="C465" s="188"/>
      <c r="D465" s="371" t="s">
        <v>183</v>
      </c>
      <c r="E465" s="188"/>
      <c r="F465" s="188"/>
      <c r="G465" s="208"/>
      <c r="H465" s="161" t="s">
        <v>46</v>
      </c>
      <c r="I465" s="54"/>
      <c r="J465" s="54"/>
      <c r="K465" s="55"/>
      <c r="L465" s="62"/>
      <c r="M465" s="55"/>
      <c r="N465" s="55"/>
      <c r="O465" s="55"/>
      <c r="P465" s="55"/>
      <c r="Q465" s="55"/>
      <c r="R465" s="55"/>
      <c r="S465" s="55"/>
      <c r="T465" s="55"/>
      <c r="U465" s="55"/>
    </row>
    <row r="466" spans="1:21" ht="18.75" hidden="1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54"/>
      <c r="K466" s="55"/>
      <c r="L466" s="62"/>
      <c r="M466" s="55"/>
      <c r="N466" s="55"/>
      <c r="O466" s="55"/>
      <c r="P466" s="55"/>
      <c r="Q466" s="55"/>
      <c r="R466" s="55"/>
      <c r="S466" s="55"/>
      <c r="T466" s="55"/>
      <c r="U466" s="55"/>
    </row>
    <row r="467" spans="1:21" ht="18.75" hidden="1">
      <c r="A467" s="238"/>
      <c r="B467" s="188"/>
      <c r="C467" s="371" t="s">
        <v>184</v>
      </c>
      <c r="D467" s="188"/>
      <c r="E467" s="188"/>
      <c r="F467" s="188"/>
      <c r="G467" s="208"/>
      <c r="H467" s="161" t="s">
        <v>46</v>
      </c>
      <c r="I467" s="54"/>
      <c r="J467" s="212">
        <f>J469+J471</f>
        <v>0</v>
      </c>
      <c r="K467" s="55"/>
      <c r="L467" s="62"/>
      <c r="M467" s="55"/>
      <c r="N467" s="55"/>
      <c r="O467" s="55"/>
      <c r="P467" s="55"/>
      <c r="Q467" s="55"/>
      <c r="R467" s="55"/>
      <c r="S467" s="55"/>
      <c r="T467" s="55"/>
      <c r="U467" s="55"/>
    </row>
    <row r="468" spans="1:21" ht="18.75" hidden="1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212">
        <f>J470+J472</f>
        <v>0</v>
      </c>
      <c r="K468" s="55"/>
      <c r="L468" s="62"/>
      <c r="M468" s="55"/>
      <c r="N468" s="55"/>
      <c r="O468" s="55"/>
      <c r="P468" s="55"/>
      <c r="Q468" s="55"/>
      <c r="R468" s="55"/>
      <c r="S468" s="55"/>
      <c r="T468" s="55"/>
      <c r="U468" s="55"/>
    </row>
    <row r="469" spans="1:21" ht="18.75" hidden="1">
      <c r="A469" s="238"/>
      <c r="B469" s="188"/>
      <c r="C469" s="188"/>
      <c r="D469" s="371" t="s">
        <v>185</v>
      </c>
      <c r="E469" s="188"/>
      <c r="F469" s="188"/>
      <c r="G469" s="208"/>
      <c r="H469" s="161" t="s">
        <v>46</v>
      </c>
      <c r="I469" s="54"/>
      <c r="J469" s="54"/>
      <c r="K469" s="55"/>
      <c r="L469" s="62"/>
      <c r="M469" s="55"/>
      <c r="N469" s="55"/>
      <c r="O469" s="55"/>
      <c r="P469" s="55"/>
      <c r="Q469" s="55"/>
      <c r="R469" s="55"/>
      <c r="S469" s="55"/>
      <c r="T469" s="55"/>
      <c r="U469" s="55"/>
    </row>
    <row r="470" spans="1:21" ht="18.75" hidden="1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54"/>
      <c r="K470" s="55"/>
      <c r="L470" s="62"/>
      <c r="M470" s="55"/>
      <c r="N470" s="55"/>
      <c r="O470" s="55"/>
      <c r="P470" s="55"/>
      <c r="Q470" s="55"/>
      <c r="R470" s="55"/>
      <c r="S470" s="55"/>
      <c r="T470" s="55"/>
      <c r="U470" s="55"/>
    </row>
    <row r="471" spans="1:21" ht="18.75" hidden="1">
      <c r="A471" s="238"/>
      <c r="B471" s="188"/>
      <c r="C471" s="188"/>
      <c r="D471" s="371" t="s">
        <v>186</v>
      </c>
      <c r="E471" s="188"/>
      <c r="F471" s="188"/>
      <c r="G471" s="208"/>
      <c r="H471" s="161" t="s">
        <v>46</v>
      </c>
      <c r="I471" s="54"/>
      <c r="J471" s="54"/>
      <c r="K471" s="55"/>
      <c r="L471" s="62"/>
      <c r="M471" s="55"/>
      <c r="N471" s="55"/>
      <c r="O471" s="55"/>
      <c r="P471" s="55"/>
      <c r="Q471" s="55"/>
      <c r="R471" s="55"/>
      <c r="S471" s="55"/>
      <c r="T471" s="55"/>
      <c r="U471" s="55"/>
    </row>
    <row r="472" spans="1:21" ht="18.75" hidden="1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54"/>
      <c r="K472" s="55"/>
      <c r="L472" s="62"/>
      <c r="M472" s="55"/>
      <c r="N472" s="55"/>
      <c r="O472" s="55"/>
      <c r="P472" s="55"/>
      <c r="Q472" s="55"/>
      <c r="R472" s="55"/>
      <c r="S472" s="55"/>
      <c r="T472" s="55"/>
      <c r="U472" s="55"/>
    </row>
    <row r="473" spans="1:21" ht="18.75" hidden="1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54"/>
      <c r="K473" s="55"/>
      <c r="L473" s="62"/>
      <c r="M473" s="55"/>
      <c r="N473" s="55"/>
      <c r="O473" s="55"/>
      <c r="P473" s="55"/>
      <c r="Q473" s="55"/>
      <c r="R473" s="55"/>
      <c r="S473" s="55"/>
      <c r="T473" s="55"/>
      <c r="U473" s="55"/>
    </row>
    <row r="474" spans="1:21" ht="18.75" hidden="1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54"/>
      <c r="K474" s="55"/>
      <c r="L474" s="62"/>
      <c r="M474" s="55"/>
      <c r="N474" s="55"/>
      <c r="O474" s="55"/>
      <c r="P474" s="55"/>
      <c r="Q474" s="55"/>
      <c r="R474" s="55"/>
      <c r="S474" s="55"/>
      <c r="T474" s="55"/>
      <c r="U474" s="55"/>
    </row>
    <row r="475" spans="1:21" ht="19.5" hidden="1">
      <c r="A475" s="238"/>
      <c r="B475" s="372" t="s">
        <v>188</v>
      </c>
      <c r="C475" s="188"/>
      <c r="D475" s="188"/>
      <c r="E475" s="188"/>
      <c r="F475" s="188"/>
      <c r="G475" s="208"/>
      <c r="H475" s="158" t="s">
        <v>46</v>
      </c>
      <c r="I475" s="373">
        <v>0</v>
      </c>
      <c r="J475" s="373">
        <f>J478+J480</f>
        <v>0</v>
      </c>
      <c r="K475" s="540">
        <f>IF(I475&gt;0,J475*100/I475,0)</f>
        <v>0</v>
      </c>
      <c r="L475" s="62"/>
      <c r="M475" s="55"/>
      <c r="N475" s="55"/>
      <c r="O475" s="55"/>
      <c r="P475" s="55"/>
      <c r="Q475" s="55"/>
      <c r="R475" s="55"/>
      <c r="S475" s="55"/>
      <c r="T475" s="55"/>
      <c r="U475" s="55"/>
    </row>
    <row r="476" spans="1:21" ht="19.5" hidden="1">
      <c r="A476" s="238"/>
      <c r="B476" s="188"/>
      <c r="C476" s="191" t="s">
        <v>189</v>
      </c>
      <c r="D476" s="188"/>
      <c r="E476" s="188"/>
      <c r="F476" s="188"/>
      <c r="G476" s="208"/>
      <c r="H476" s="158" t="s">
        <v>46</v>
      </c>
      <c r="I476" s="373">
        <v>0</v>
      </c>
      <c r="J476" s="373">
        <f>J478+J480</f>
        <v>0</v>
      </c>
      <c r="K476" s="540">
        <f>IF(I476&gt;0,J476*100/I476,0)</f>
        <v>0</v>
      </c>
      <c r="L476" s="62"/>
      <c r="M476" s="55"/>
      <c r="N476" s="55"/>
      <c r="O476" s="55"/>
      <c r="P476" s="55"/>
      <c r="Q476" s="55"/>
      <c r="R476" s="55"/>
      <c r="S476" s="55"/>
      <c r="T476" s="55"/>
      <c r="U476" s="55"/>
    </row>
    <row r="477" spans="1:21" ht="19.5" hidden="1">
      <c r="A477" s="238"/>
      <c r="B477" s="188"/>
      <c r="C477" s="239" t="s">
        <v>190</v>
      </c>
      <c r="D477" s="188"/>
      <c r="E477" s="188"/>
      <c r="F477" s="188"/>
      <c r="G477" s="208"/>
      <c r="H477" s="158" t="s">
        <v>34</v>
      </c>
      <c r="I477" s="373">
        <v>0</v>
      </c>
      <c r="J477" s="373">
        <f>J479+J481</f>
        <v>0</v>
      </c>
      <c r="K477" s="540">
        <f>IF(I477&gt;0,J477*100/I477,0)</f>
        <v>0</v>
      </c>
      <c r="L477" s="62"/>
      <c r="M477" s="55"/>
      <c r="N477" s="55"/>
      <c r="O477" s="55"/>
      <c r="P477" s="55"/>
      <c r="Q477" s="55"/>
      <c r="R477" s="55"/>
      <c r="S477" s="55"/>
      <c r="T477" s="55"/>
      <c r="U477" s="55"/>
    </row>
    <row r="478" spans="1:21" ht="18.75" hidden="1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54"/>
      <c r="K478" s="55"/>
      <c r="L478" s="62"/>
      <c r="M478" s="55"/>
      <c r="N478" s="55"/>
      <c r="O478" s="55"/>
      <c r="P478" s="55"/>
      <c r="Q478" s="55"/>
      <c r="R478" s="55"/>
      <c r="S478" s="55"/>
      <c r="T478" s="55"/>
      <c r="U478" s="55"/>
    </row>
    <row r="479" spans="1:21" ht="18.75" hidden="1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54"/>
      <c r="K479" s="55"/>
      <c r="L479" s="62"/>
      <c r="M479" s="55"/>
      <c r="N479" s="55"/>
      <c r="O479" s="55"/>
      <c r="P479" s="55"/>
      <c r="Q479" s="55"/>
      <c r="R479" s="55"/>
      <c r="S479" s="55"/>
      <c r="T479" s="55"/>
      <c r="U479" s="55"/>
    </row>
    <row r="480" spans="1:21" ht="18.75" hidden="1">
      <c r="A480" s="238"/>
      <c r="B480" s="188"/>
      <c r="C480" s="188"/>
      <c r="D480" s="371" t="s">
        <v>192</v>
      </c>
      <c r="E480" s="188"/>
      <c r="F480" s="188"/>
      <c r="G480" s="208"/>
      <c r="H480" s="161" t="s">
        <v>46</v>
      </c>
      <c r="I480" s="54"/>
      <c r="J480" s="54"/>
      <c r="K480" s="55"/>
      <c r="L480" s="62"/>
      <c r="M480" s="55"/>
      <c r="N480" s="55"/>
      <c r="O480" s="55"/>
      <c r="P480" s="55"/>
      <c r="Q480" s="55"/>
      <c r="R480" s="55"/>
      <c r="S480" s="55"/>
      <c r="T480" s="55"/>
      <c r="U480" s="55"/>
    </row>
    <row r="481" spans="1:21" ht="18.75" hidden="1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54"/>
      <c r="K481" s="55"/>
      <c r="L481" s="62"/>
      <c r="M481" s="55"/>
      <c r="N481" s="55"/>
      <c r="O481" s="55"/>
      <c r="P481" s="55"/>
      <c r="Q481" s="55"/>
      <c r="R481" s="55"/>
      <c r="S481" s="55"/>
      <c r="T481" s="55"/>
      <c r="U481" s="55"/>
    </row>
    <row r="482" spans="1:21" ht="18.75" hidden="1">
      <c r="A482" s="238"/>
      <c r="B482" s="188"/>
      <c r="C482" s="188"/>
      <c r="D482" s="371" t="s">
        <v>193</v>
      </c>
      <c r="E482" s="188"/>
      <c r="F482" s="188"/>
      <c r="G482" s="208"/>
      <c r="H482" s="161" t="s">
        <v>46</v>
      </c>
      <c r="I482" s="54"/>
      <c r="J482" s="212">
        <f ca="1">IFERROR(__xludf.DUMMYFUNCTION("IMPORTRANGE(""https://docs.google.com/spreadsheets/d/1eHaY18a8A9IcSdp1K8H6x8fbOy06t2VsZHhMHf-1x7Y/edit?usp=sharing"",""แผน!HN39"")"),0)</f>
        <v>0</v>
      </c>
      <c r="K482" s="55"/>
      <c r="L482" s="62"/>
      <c r="M482" s="55"/>
      <c r="N482" s="55"/>
      <c r="O482" s="55"/>
      <c r="P482" s="55"/>
      <c r="Q482" s="55"/>
      <c r="R482" s="55"/>
      <c r="S482" s="55"/>
      <c r="T482" s="55"/>
      <c r="U482" s="55"/>
    </row>
    <row r="483" spans="1:21" ht="18.75" hidden="1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212">
        <f ca="1">IFERROR(__xludf.DUMMYFUNCTION("IMPORTRANGE(""https://docs.google.com/spreadsheets/d/1eHaY18a8A9IcSdp1K8H6x8fbOy06t2VsZHhMHf-1x7Y/edit?usp=sharing"",""แผน!HO39"")"),0)</f>
        <v>0</v>
      </c>
      <c r="K483" s="55"/>
      <c r="L483" s="62"/>
      <c r="M483" s="55"/>
      <c r="N483" s="55"/>
      <c r="O483" s="55"/>
      <c r="P483" s="55"/>
      <c r="Q483" s="55"/>
      <c r="R483" s="55"/>
      <c r="S483" s="55"/>
      <c r="T483" s="55"/>
      <c r="U483" s="55"/>
    </row>
    <row r="484" spans="1:21" ht="19.5" hidden="1">
      <c r="A484" s="238"/>
      <c r="B484" s="188"/>
      <c r="C484" s="191" t="s">
        <v>194</v>
      </c>
      <c r="D484" s="188"/>
      <c r="E484" s="188"/>
      <c r="F484" s="188"/>
      <c r="G484" s="208"/>
      <c r="H484" s="158" t="s">
        <v>46</v>
      </c>
      <c r="I484" s="54">
        <f>J480</f>
        <v>0</v>
      </c>
      <c r="J484" s="373">
        <f>J486+J488+J490</f>
        <v>0</v>
      </c>
      <c r="K484" s="540">
        <f>IF(I484&gt;0,J484*100/I484,0)</f>
        <v>0</v>
      </c>
      <c r="L484" s="62"/>
      <c r="M484" s="55"/>
      <c r="N484" s="55"/>
      <c r="O484" s="55"/>
      <c r="P484" s="55"/>
      <c r="Q484" s="55"/>
      <c r="R484" s="55"/>
      <c r="S484" s="55"/>
      <c r="T484" s="55"/>
      <c r="U484" s="55"/>
    </row>
    <row r="485" spans="1:21" ht="19.5" hidden="1">
      <c r="A485" s="238"/>
      <c r="B485" s="188"/>
      <c r="C485" s="239" t="s">
        <v>195</v>
      </c>
      <c r="D485" s="188"/>
      <c r="E485" s="188"/>
      <c r="F485" s="188"/>
      <c r="G485" s="208"/>
      <c r="H485" s="158" t="s">
        <v>34</v>
      </c>
      <c r="I485" s="54">
        <f>J481</f>
        <v>0</v>
      </c>
      <c r="J485" s="373">
        <f>J487+J489+J491</f>
        <v>0</v>
      </c>
      <c r="K485" s="540">
        <f>IF(I485&gt;0,J485*100/I485,0)</f>
        <v>0</v>
      </c>
      <c r="L485" s="62"/>
      <c r="M485" s="55"/>
      <c r="N485" s="55"/>
      <c r="O485" s="55"/>
      <c r="P485" s="55"/>
      <c r="Q485" s="55"/>
      <c r="R485" s="55"/>
      <c r="S485" s="55"/>
      <c r="T485" s="55"/>
      <c r="U485" s="55"/>
    </row>
    <row r="486" spans="1:21" ht="18.75" hidden="1">
      <c r="A486" s="238"/>
      <c r="B486" s="188"/>
      <c r="C486" s="188"/>
      <c r="D486" s="371" t="s">
        <v>196</v>
      </c>
      <c r="E486" s="188"/>
      <c r="F486" s="188"/>
      <c r="G486" s="208"/>
      <c r="H486" s="161" t="s">
        <v>46</v>
      </c>
      <c r="I486" s="54"/>
      <c r="J486" s="54"/>
      <c r="K486" s="55"/>
      <c r="L486" s="62"/>
      <c r="M486" s="55"/>
      <c r="N486" s="55"/>
      <c r="O486" s="55"/>
      <c r="P486" s="55"/>
      <c r="Q486" s="55"/>
      <c r="R486" s="55"/>
      <c r="S486" s="55"/>
      <c r="T486" s="55"/>
      <c r="U486" s="55"/>
    </row>
    <row r="487" spans="1:21" ht="18.75" hidden="1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54"/>
      <c r="K487" s="55"/>
      <c r="L487" s="62"/>
      <c r="M487" s="55"/>
      <c r="N487" s="55"/>
      <c r="O487" s="55"/>
      <c r="P487" s="55"/>
      <c r="Q487" s="55"/>
      <c r="R487" s="55"/>
      <c r="S487" s="55"/>
      <c r="T487" s="55"/>
      <c r="U487" s="55"/>
    </row>
    <row r="488" spans="1:21" ht="18.75" hidden="1">
      <c r="A488" s="238"/>
      <c r="B488" s="188"/>
      <c r="C488" s="188"/>
      <c r="D488" s="371" t="s">
        <v>197</v>
      </c>
      <c r="E488" s="188"/>
      <c r="F488" s="188"/>
      <c r="G488" s="208"/>
      <c r="H488" s="161" t="s">
        <v>46</v>
      </c>
      <c r="I488" s="54"/>
      <c r="J488" s="54"/>
      <c r="K488" s="55"/>
      <c r="L488" s="62"/>
      <c r="M488" s="55"/>
      <c r="N488" s="55"/>
      <c r="O488" s="55"/>
      <c r="P488" s="55"/>
      <c r="Q488" s="55"/>
      <c r="R488" s="55"/>
      <c r="S488" s="55"/>
      <c r="T488" s="55"/>
      <c r="U488" s="55"/>
    </row>
    <row r="489" spans="1:21" ht="18.75" hidden="1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54"/>
      <c r="K489" s="55"/>
      <c r="L489" s="62"/>
      <c r="M489" s="55"/>
      <c r="N489" s="55"/>
      <c r="O489" s="55"/>
      <c r="P489" s="55"/>
      <c r="Q489" s="55"/>
      <c r="R489" s="55"/>
      <c r="S489" s="55"/>
      <c r="T489" s="55"/>
      <c r="U489" s="55"/>
    </row>
    <row r="490" spans="1:21" ht="18.75" hidden="1">
      <c r="A490" s="238"/>
      <c r="B490" s="188"/>
      <c r="C490" s="188"/>
      <c r="D490" s="371" t="s">
        <v>198</v>
      </c>
      <c r="E490" s="188"/>
      <c r="F490" s="188"/>
      <c r="G490" s="208"/>
      <c r="H490" s="161" t="s">
        <v>46</v>
      </c>
      <c r="I490" s="54"/>
      <c r="J490" s="54"/>
      <c r="K490" s="55"/>
      <c r="L490" s="62"/>
      <c r="M490" s="55"/>
      <c r="N490" s="55"/>
      <c r="O490" s="55"/>
      <c r="P490" s="55"/>
      <c r="Q490" s="55"/>
      <c r="R490" s="55"/>
      <c r="S490" s="55"/>
      <c r="T490" s="55"/>
      <c r="U490" s="55"/>
    </row>
    <row r="491" spans="1:21" ht="18.75" hidden="1">
      <c r="A491" s="374"/>
      <c r="B491" s="5"/>
      <c r="C491" s="5"/>
      <c r="D491" s="5"/>
      <c r="E491" s="5"/>
      <c r="F491" s="5"/>
      <c r="G491" s="375"/>
      <c r="H491" s="376" t="s">
        <v>34</v>
      </c>
      <c r="I491" s="67"/>
      <c r="J491" s="67"/>
      <c r="K491" s="6"/>
      <c r="L491" s="68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 hidden="1">
      <c r="A492" s="335"/>
      <c r="B492" s="354" t="s">
        <v>199</v>
      </c>
      <c r="C492" s="337"/>
      <c r="D492" s="337"/>
      <c r="E492" s="328"/>
      <c r="F492" s="328"/>
      <c r="G492" s="329"/>
      <c r="H492" s="366" t="s">
        <v>35</v>
      </c>
      <c r="I492" s="605">
        <f ca="1">I503</f>
        <v>0</v>
      </c>
      <c r="J492" s="605">
        <f ca="1">J503</f>
        <v>0</v>
      </c>
      <c r="K492" s="604">
        <f ca="1">IF(I492&gt;0,J492*100/I492,0)</f>
        <v>0</v>
      </c>
      <c r="L492" s="334"/>
      <c r="M492" s="333"/>
      <c r="N492" s="333"/>
      <c r="O492" s="333"/>
      <c r="P492" s="333"/>
      <c r="Q492" s="333"/>
      <c r="R492" s="333"/>
      <c r="S492" s="333"/>
      <c r="T492" s="333"/>
      <c r="U492" s="333"/>
    </row>
    <row r="493" spans="1:21" ht="19.5" hidden="1">
      <c r="A493" s="155"/>
      <c r="B493" s="188"/>
      <c r="C493" s="205" t="s">
        <v>18</v>
      </c>
      <c r="D493" s="603" t="s">
        <v>19</v>
      </c>
      <c r="E493" s="514"/>
      <c r="F493" s="514"/>
      <c r="G493" s="52"/>
      <c r="H493" s="252" t="s">
        <v>14</v>
      </c>
      <c r="I493" s="54"/>
      <c r="J493" s="54"/>
      <c r="K493" s="55"/>
      <c r="L493" s="541">
        <f>L494+L495</f>
        <v>0</v>
      </c>
      <c r="M493" s="540">
        <f>M494+M495</f>
        <v>0</v>
      </c>
      <c r="N493" s="540">
        <f>N494+N495</f>
        <v>0</v>
      </c>
      <c r="O493" s="540">
        <f>IF(L493&gt;0,N493*100/L493,0)</f>
        <v>0</v>
      </c>
      <c r="P493" s="540">
        <f>IF(M493&gt;0,N493*100/M493,0)</f>
        <v>0</v>
      </c>
      <c r="Q493" s="540">
        <f ca="1">Q494+Q495</f>
        <v>0</v>
      </c>
      <c r="R493" s="540">
        <f ca="1">R494+R495</f>
        <v>0</v>
      </c>
      <c r="S493" s="540">
        <f ca="1">S494+S495</f>
        <v>0</v>
      </c>
      <c r="T493" s="540">
        <f ca="1">IF(Q493&gt;0,S493*100/Q493,0)</f>
        <v>0</v>
      </c>
      <c r="U493" s="540">
        <f ca="1">IF(R493&gt;0,S493*100/R493,0)</f>
        <v>0</v>
      </c>
    </row>
    <row r="494" spans="1:21" ht="18.75" hidden="1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103">
        <f>L497+L500</f>
        <v>0</v>
      </c>
      <c r="M494" s="102">
        <f>M497+M500</f>
        <v>0</v>
      </c>
      <c r="N494" s="102">
        <f>N497+N500</f>
        <v>0</v>
      </c>
      <c r="O494" s="102">
        <f>IF(L494&gt;0,N494*100/L494,0)</f>
        <v>0</v>
      </c>
      <c r="P494" s="102">
        <f>IF(M494&gt;0,N494*100/M494,0)</f>
        <v>0</v>
      </c>
      <c r="Q494" s="102">
        <f>Q497+Q500</f>
        <v>0</v>
      </c>
      <c r="R494" s="102">
        <f>R497+R500</f>
        <v>0</v>
      </c>
      <c r="S494" s="102">
        <f>S497+S500</f>
        <v>0</v>
      </c>
      <c r="T494" s="102">
        <f>IF(Q494&gt;0,S494*100/Q494,0)</f>
        <v>0</v>
      </c>
      <c r="U494" s="102">
        <f>IF(R494&gt;0,S494*100/R494,0)</f>
        <v>0</v>
      </c>
    </row>
    <row r="495" spans="1:21" ht="18.75" hidden="1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256">
        <f>L498+L501</f>
        <v>0</v>
      </c>
      <c r="M495" s="255">
        <f>M498+M501</f>
        <v>0</v>
      </c>
      <c r="N495" s="255">
        <f>N498+N501</f>
        <v>0</v>
      </c>
      <c r="O495" s="255">
        <f>IF(L495&gt;0,N495*100/L495,0)</f>
        <v>0</v>
      </c>
      <c r="P495" s="255">
        <f>IF(M495&gt;0,N495*100/M495,0)</f>
        <v>0</v>
      </c>
      <c r="Q495" s="255">
        <f ca="1">Q498+Q501</f>
        <v>0</v>
      </c>
      <c r="R495" s="255">
        <f ca="1">R498+R501</f>
        <v>0</v>
      </c>
      <c r="S495" s="255">
        <f ca="1">S498+S501</f>
        <v>0</v>
      </c>
      <c r="T495" s="255">
        <f ca="1">IF(Q495&gt;0,S495*100/Q495,0)</f>
        <v>0</v>
      </c>
      <c r="U495" s="255">
        <f ca="1">IF(R495&gt;0,S495*100/R495,0)</f>
        <v>0</v>
      </c>
    </row>
    <row r="496" spans="1:21" ht="18.75" hidden="1">
      <c r="A496" s="155"/>
      <c r="B496" s="188"/>
      <c r="C496" s="188"/>
      <c r="D496" s="602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256">
        <f>L497+L498</f>
        <v>0</v>
      </c>
      <c r="M496" s="255">
        <f>M497+M498</f>
        <v>0</v>
      </c>
      <c r="N496" s="255">
        <f>N497+N498</f>
        <v>0</v>
      </c>
      <c r="O496" s="255">
        <f>IF(L496&gt;0,N496*100/L496,0)</f>
        <v>0</v>
      </c>
      <c r="P496" s="255">
        <f>IF(M496&gt;0,N496*100/M496,0)</f>
        <v>0</v>
      </c>
      <c r="Q496" s="255">
        <f ca="1">Q497+Q498</f>
        <v>0</v>
      </c>
      <c r="R496" s="255">
        <f ca="1">R497+R498</f>
        <v>0</v>
      </c>
      <c r="S496" s="255">
        <f ca="1">S497+S498</f>
        <v>0</v>
      </c>
      <c r="T496" s="255">
        <f ca="1">IF(Q496&gt;0,S496*100/Q496,0)</f>
        <v>0</v>
      </c>
      <c r="U496" s="255">
        <f ca="1">IF(R496&gt;0,S496*100/R496,0)</f>
        <v>0</v>
      </c>
    </row>
    <row r="497" spans="1:21" ht="18.75" hidden="1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103">
        <v>0</v>
      </c>
      <c r="M497" s="102">
        <v>0</v>
      </c>
      <c r="N497" s="102">
        <v>0</v>
      </c>
      <c r="O497" s="102">
        <f>IF(L497&gt;0,N497*100/L497,0)</f>
        <v>0</v>
      </c>
      <c r="P497" s="102">
        <f>IF(M497&gt;0,N497*100/M497,0)</f>
        <v>0</v>
      </c>
      <c r="Q497" s="102">
        <v>0</v>
      </c>
      <c r="R497" s="102">
        <v>0</v>
      </c>
      <c r="S497" s="102">
        <v>0</v>
      </c>
      <c r="T497" s="102">
        <f>IF(Q497&gt;0,S497*100/Q497,0)</f>
        <v>0</v>
      </c>
      <c r="U497" s="102">
        <f>IF(R497&gt;0,S497*100/R497,0)</f>
        <v>0</v>
      </c>
    </row>
    <row r="498" spans="1:21" ht="18.75" hidden="1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256">
        <v>0</v>
      </c>
      <c r="M498" s="255">
        <v>0</v>
      </c>
      <c r="N498" s="255">
        <v>0</v>
      </c>
      <c r="O498" s="255">
        <f>IF(L498&gt;0,N498*100/L498,0)</f>
        <v>0</v>
      </c>
      <c r="P498" s="255">
        <f>IF(M498&gt;0,N498*100/M498,0)</f>
        <v>0</v>
      </c>
      <c r="Q498" s="255">
        <f ca="1">IFERROR(__xludf.DUMMYFUNCTION("IMPORTRANGE(""https://docs.google.com/spreadsheets/d/1ItG2mGa2ceCfYo0BwxsXqNm01IGEUdYcSSLTEv9YCik/edit?usp=sharing"",""เบิกจ่ายกองทุน!X39"")"),0)</f>
        <v>0</v>
      </c>
      <c r="R498" s="255">
        <f ca="1">IFERROR(__xludf.DUMMYFUNCTION("IMPORTRANGE(""https://docs.google.com/spreadsheets/d/1ItG2mGa2ceCfYo0BwxsXqNm01IGEUdYcSSLTEv9YCik/edit?usp=sharing"",""เบิกจ่ายกองทุน!Y39"")"),0)</f>
        <v>0</v>
      </c>
      <c r="S498" s="255">
        <f ca="1">IFERROR(__xludf.DUMMYFUNCTION("IMPORTRANGE(""https://docs.google.com/spreadsheets/d/1ItG2mGa2ceCfYo0BwxsXqNm01IGEUdYcSSLTEv9YCik/edit?usp=sharing"",""เบิกจ่ายกองทุน!Z39"")"),0)</f>
        <v>0</v>
      </c>
      <c r="T498" s="255">
        <f ca="1">IF(Q498&gt;0,S498*100/Q498,0)</f>
        <v>0</v>
      </c>
      <c r="U498" s="255">
        <f ca="1">IF(R498&gt;0,S498*100/R498,0)</f>
        <v>0</v>
      </c>
    </row>
    <row r="499" spans="1:21" ht="18.75" hidden="1">
      <c r="A499" s="155"/>
      <c r="B499" s="188"/>
      <c r="C499" s="188"/>
      <c r="D499" s="602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256">
        <f>L500+L501</f>
        <v>0</v>
      </c>
      <c r="M499" s="255">
        <f>M500+M501</f>
        <v>0</v>
      </c>
      <c r="N499" s="255">
        <f>N500+N501</f>
        <v>0</v>
      </c>
      <c r="O499" s="255">
        <f>IF(L499&gt;0,N499*100/L499,0)</f>
        <v>0</v>
      </c>
      <c r="P499" s="255">
        <f>IF(M499&gt;0,N499*100/M499,0)</f>
        <v>0</v>
      </c>
      <c r="Q499" s="255">
        <f>Q500+Q501</f>
        <v>0</v>
      </c>
      <c r="R499" s="255">
        <f>R500+R501</f>
        <v>0</v>
      </c>
      <c r="S499" s="255">
        <f>S500+S501</f>
        <v>0</v>
      </c>
      <c r="T499" s="255">
        <f>IF(Q499&gt;0,S499*100/Q499,0)</f>
        <v>0</v>
      </c>
      <c r="U499" s="255">
        <f>IF(R499&gt;0,S499*100/R499,0)</f>
        <v>0</v>
      </c>
    </row>
    <row r="500" spans="1:21" ht="18.75" hidden="1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103">
        <v>0</v>
      </c>
      <c r="M500" s="102">
        <v>0</v>
      </c>
      <c r="N500" s="102">
        <v>0</v>
      </c>
      <c r="O500" s="102">
        <f>IF(L500&gt;0,N500*100/L500,0)</f>
        <v>0</v>
      </c>
      <c r="P500" s="102">
        <f>IF(M500&gt;0,N500*100/M500,0)</f>
        <v>0</v>
      </c>
      <c r="Q500" s="102">
        <v>0</v>
      </c>
      <c r="R500" s="102">
        <v>0</v>
      </c>
      <c r="S500" s="102">
        <v>0</v>
      </c>
      <c r="T500" s="102">
        <f>IF(Q500&gt;0,S500*100/Q500,0)</f>
        <v>0</v>
      </c>
      <c r="U500" s="102">
        <f>IF(R500&gt;0,S500*100/R500,0)</f>
        <v>0</v>
      </c>
    </row>
    <row r="501" spans="1:21" ht="18.75" hidden="1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256">
        <v>0</v>
      </c>
      <c r="M501" s="255">
        <v>0</v>
      </c>
      <c r="N501" s="255">
        <v>0</v>
      </c>
      <c r="O501" s="255">
        <f>IF(L501&gt;0,N501*100/L501,0)</f>
        <v>0</v>
      </c>
      <c r="P501" s="255">
        <f>IF(M501&gt;0,N501*100/M501,0)</f>
        <v>0</v>
      </c>
      <c r="Q501" s="255">
        <v>0</v>
      </c>
      <c r="R501" s="255">
        <v>0</v>
      </c>
      <c r="S501" s="255">
        <v>0</v>
      </c>
      <c r="T501" s="255">
        <f>IF(Q501&gt;0,S501*100/Q501,0)</f>
        <v>0</v>
      </c>
      <c r="U501" s="255">
        <f>IF(R501&gt;0,S501*100/R501,0)</f>
        <v>0</v>
      </c>
    </row>
    <row r="502" spans="1:21" ht="19.5" hidden="1">
      <c r="A502" s="166"/>
      <c r="B502" s="167"/>
      <c r="C502" s="205" t="s">
        <v>18</v>
      </c>
      <c r="D502" s="560" t="s">
        <v>38</v>
      </c>
      <c r="E502" s="169"/>
      <c r="F502" s="169"/>
      <c r="G502" s="170"/>
      <c r="H502" s="206"/>
      <c r="I502" s="163"/>
      <c r="J502" s="163"/>
      <c r="K502" s="164"/>
      <c r="L502" s="172"/>
      <c r="M502" s="164"/>
      <c r="N502" s="164"/>
      <c r="O502" s="164"/>
      <c r="P502" s="164"/>
      <c r="Q502" s="164"/>
      <c r="R502" s="164"/>
      <c r="S502" s="164"/>
      <c r="T502" s="164"/>
      <c r="U502" s="164"/>
    </row>
    <row r="503" spans="1:21" ht="19.5" hidden="1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373">
        <f ca="1">IFERROR(__xludf.DUMMYFUNCTION("IMPORTRANGE(""https://docs.google.com/spreadsheets/d/1eHaY18a8A9IcSdp1K8H6x8fbOy06t2VsZHhMHf-1x7Y/edit?usp=sharing"",""แผน!GX39"")"),0)</f>
        <v>0</v>
      </c>
      <c r="J503" s="373">
        <f ca="1">IF(AND(J504=I504,J505=I505,J506=I506,J507=I507),I503,0)</f>
        <v>0</v>
      </c>
      <c r="K503" s="540">
        <f ca="1">IF(I503&gt;0,J503*100/I503,0)</f>
        <v>0</v>
      </c>
      <c r="L503" s="62"/>
      <c r="M503" s="55"/>
      <c r="N503" s="55"/>
      <c r="O503" s="55"/>
      <c r="P503" s="55"/>
      <c r="Q503" s="55"/>
      <c r="R503" s="55"/>
      <c r="S503" s="55"/>
      <c r="T503" s="55"/>
      <c r="U503" s="55"/>
    </row>
    <row r="504" spans="1:21" ht="18.75" hidden="1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212">
        <f ca="1">IFERROR(__xludf.DUMMYFUNCTION("IMPORTRANGE(""https://docs.google.com/spreadsheets/d/1eHaY18a8A9IcSdp1K8H6x8fbOy06t2VsZHhMHf-1x7Y/edit?usp=sharing"",""แผน!GY39"")"),0)</f>
        <v>0</v>
      </c>
      <c r="J504" s="467">
        <v>0</v>
      </c>
      <c r="K504" s="255">
        <f ca="1">IF(I504&gt;0,J504*100/I504,0)</f>
        <v>0</v>
      </c>
      <c r="L504" s="62"/>
      <c r="M504" s="55"/>
      <c r="N504" s="55"/>
      <c r="O504" s="55"/>
      <c r="P504" s="55"/>
      <c r="Q504" s="55"/>
      <c r="R504" s="55"/>
      <c r="S504" s="55"/>
      <c r="T504" s="55"/>
      <c r="U504" s="55"/>
    </row>
    <row r="505" spans="1:21" ht="18.75" hidden="1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212">
        <f ca="1">IFERROR(__xludf.DUMMYFUNCTION("IMPORTRANGE(""https://docs.google.com/spreadsheets/d/1eHaY18a8A9IcSdp1K8H6x8fbOy06t2VsZHhMHf-1x7Y/edit?usp=sharing"",""แผน!GZ39"")"),0)</f>
        <v>0</v>
      </c>
      <c r="J505" s="467">
        <v>0</v>
      </c>
      <c r="K505" s="255">
        <f ca="1">IF(I505&gt;0,J505*100/I505,0)</f>
        <v>0</v>
      </c>
      <c r="L505" s="62"/>
      <c r="M505" s="55"/>
      <c r="N505" s="55"/>
      <c r="O505" s="55"/>
      <c r="P505" s="55"/>
      <c r="Q505" s="55"/>
      <c r="R505" s="55"/>
      <c r="S505" s="55"/>
      <c r="T505" s="55"/>
      <c r="U505" s="55"/>
    </row>
    <row r="506" spans="1:21" ht="18.75" hidden="1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212">
        <f ca="1">IFERROR(__xludf.DUMMYFUNCTION("IMPORTRANGE(""https://docs.google.com/spreadsheets/d/1eHaY18a8A9IcSdp1K8H6x8fbOy06t2VsZHhMHf-1x7Y/edit?usp=sharing"",""แผน!HA39"")"),0)</f>
        <v>0</v>
      </c>
      <c r="J506" s="467">
        <v>0</v>
      </c>
      <c r="K506" s="255">
        <f ca="1">IF(I506&gt;0,J506*100/I506,0)</f>
        <v>0</v>
      </c>
      <c r="L506" s="62"/>
      <c r="M506" s="55"/>
      <c r="N506" s="55"/>
      <c r="O506" s="55"/>
      <c r="P506" s="55"/>
      <c r="Q506" s="55"/>
      <c r="R506" s="55"/>
      <c r="S506" s="55"/>
      <c r="T506" s="55"/>
      <c r="U506" s="55"/>
    </row>
    <row r="507" spans="1:21" ht="18.75" hidden="1">
      <c r="A507" s="238"/>
      <c r="B507" s="188"/>
      <c r="C507" s="188"/>
      <c r="D507" s="188"/>
      <c r="E507" s="377" t="s">
        <v>204</v>
      </c>
      <c r="F507" s="50"/>
      <c r="G507" s="52"/>
      <c r="H507" s="161" t="s">
        <v>35</v>
      </c>
      <c r="I507" s="212">
        <f ca="1">IFERROR(__xludf.DUMMYFUNCTION("IMPORTRANGE(""https://docs.google.com/spreadsheets/d/1eHaY18a8A9IcSdp1K8H6x8fbOy06t2VsZHhMHf-1x7Y/edit?usp=sharing"",""แผน!HB39"")"),0)</f>
        <v>0</v>
      </c>
      <c r="J507" s="467">
        <v>0</v>
      </c>
      <c r="K507" s="255">
        <f ca="1">IF(I507&gt;0,J507*100/I507,0)</f>
        <v>0</v>
      </c>
      <c r="L507" s="62"/>
      <c r="M507" s="55"/>
      <c r="N507" s="55"/>
      <c r="O507" s="55"/>
      <c r="P507" s="55"/>
      <c r="Q507" s="55"/>
      <c r="R507" s="55"/>
      <c r="S507" s="55"/>
      <c r="T507" s="55"/>
      <c r="U507" s="55"/>
    </row>
    <row r="508" spans="1:21" ht="18.75" hidden="1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255">
        <f>IF(I508&gt;0,J508*100/I508,0)</f>
        <v>0</v>
      </c>
      <c r="L508" s="62"/>
      <c r="M508" s="55"/>
      <c r="N508" s="55"/>
      <c r="O508" s="55"/>
      <c r="P508" s="55"/>
      <c r="Q508" s="55"/>
      <c r="R508" s="55"/>
      <c r="S508" s="55"/>
      <c r="T508" s="55"/>
      <c r="U508" s="55"/>
    </row>
    <row r="509" spans="1:21" ht="19.5" hidden="1">
      <c r="A509" s="374"/>
      <c r="B509" s="5"/>
      <c r="C509" s="5"/>
      <c r="D509" s="378" t="s">
        <v>50</v>
      </c>
      <c r="E509" s="4"/>
      <c r="F509" s="4"/>
      <c r="G509" s="65"/>
      <c r="H509" s="376" t="s">
        <v>35</v>
      </c>
      <c r="I509" s="216">
        <f ca="1">IFERROR(__xludf.DUMMYFUNCTION("IMPORTRANGE(""https://docs.google.com/spreadsheets/d/1eHaY18a8A9IcSdp1K8H6x8fbOy06t2VsZHhMHf-1x7Y/edit?usp=sharing"",""แผน!HC39"")"),0)</f>
        <v>0</v>
      </c>
      <c r="J509" s="538">
        <v>0</v>
      </c>
      <c r="K509" s="506">
        <f ca="1">IF(I509&gt;0,J509*100/I509,0)</f>
        <v>0</v>
      </c>
      <c r="L509" s="68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 hidden="1">
      <c r="A510" s="601" t="s">
        <v>206</v>
      </c>
      <c r="B510" s="381"/>
      <c r="C510" s="381"/>
      <c r="D510" s="381"/>
      <c r="E510" s="382"/>
      <c r="F510" s="382"/>
      <c r="G510" s="382"/>
      <c r="H510" s="382"/>
      <c r="I510" s="383"/>
      <c r="J510" s="383"/>
      <c r="K510" s="384"/>
      <c r="L510" s="600"/>
      <c r="M510" s="386"/>
      <c r="N510" s="386"/>
      <c r="O510" s="386"/>
      <c r="P510" s="386"/>
      <c r="Q510" s="386"/>
      <c r="R510" s="386"/>
      <c r="S510" s="386"/>
      <c r="T510" s="386"/>
      <c r="U510" s="386"/>
    </row>
    <row r="511" spans="1:21" ht="19.5" hidden="1">
      <c r="A511" s="599" t="s">
        <v>207</v>
      </c>
      <c r="B511" s="388"/>
      <c r="C511" s="388"/>
      <c r="D511" s="389"/>
      <c r="E511" s="388"/>
      <c r="F511" s="388"/>
      <c r="G511" s="388"/>
      <c r="H511" s="390"/>
      <c r="I511" s="391"/>
      <c r="J511" s="391"/>
      <c r="K511" s="392"/>
      <c r="L511" s="598"/>
      <c r="M511" s="394"/>
      <c r="N511" s="394"/>
      <c r="O511" s="394"/>
      <c r="P511" s="394"/>
      <c r="Q511" s="394"/>
      <c r="R511" s="394"/>
      <c r="S511" s="394"/>
      <c r="T511" s="394"/>
      <c r="U511" s="394"/>
    </row>
    <row r="512" spans="1:21" ht="19.5" hidden="1">
      <c r="A512" s="395"/>
      <c r="B512" s="597" t="s">
        <v>208</v>
      </c>
      <c r="C512" s="397"/>
      <c r="D512" s="398"/>
      <c r="E512" s="398"/>
      <c r="F512" s="398"/>
      <c r="G512" s="399"/>
      <c r="H512" s="596" t="s">
        <v>61</v>
      </c>
      <c r="I512" s="595">
        <f>I524</f>
        <v>0</v>
      </c>
      <c r="J512" s="595">
        <f>J524</f>
        <v>0</v>
      </c>
      <c r="K512" s="594">
        <f>IF(I512&gt;0,J512*100/I512,0)</f>
        <v>0</v>
      </c>
      <c r="L512" s="404"/>
      <c r="M512" s="403"/>
      <c r="N512" s="403"/>
      <c r="O512" s="403"/>
      <c r="P512" s="403"/>
      <c r="Q512" s="403"/>
      <c r="R512" s="403"/>
      <c r="S512" s="403"/>
      <c r="T512" s="403"/>
      <c r="U512" s="403"/>
    </row>
    <row r="513" spans="1:21" ht="19.5" hidden="1">
      <c r="A513" s="155"/>
      <c r="B513" s="50"/>
      <c r="C513" s="591" t="s">
        <v>18</v>
      </c>
      <c r="D513" s="562" t="s">
        <v>19</v>
      </c>
      <c r="E513" s="50"/>
      <c r="F513" s="50"/>
      <c r="G513" s="52"/>
      <c r="H513" s="593" t="s">
        <v>14</v>
      </c>
      <c r="I513" s="54"/>
      <c r="J513" s="54"/>
      <c r="K513" s="55"/>
      <c r="L513" s="541">
        <f ca="1">L514+L515</f>
        <v>0</v>
      </c>
      <c r="M513" s="540">
        <f ca="1">M514+M515</f>
        <v>0</v>
      </c>
      <c r="N513" s="540">
        <f ca="1">N514+N515</f>
        <v>0</v>
      </c>
      <c r="O513" s="540">
        <f ca="1">IF(L513&gt;0,N513*100/L513,0)</f>
        <v>0</v>
      </c>
      <c r="P513" s="540">
        <f ca="1">IF(M513&gt;0,N513*100/M513,0)</f>
        <v>0</v>
      </c>
      <c r="Q513" s="540">
        <f>Q514+Q515</f>
        <v>0</v>
      </c>
      <c r="R513" s="540">
        <f>R514+R515</f>
        <v>0</v>
      </c>
      <c r="S513" s="540">
        <f>S514+S515</f>
        <v>0</v>
      </c>
      <c r="T513" s="540">
        <f>IF(Q513&gt;0,S513*100/Q513,0)</f>
        <v>0</v>
      </c>
      <c r="U513" s="540">
        <f>IF(R513&gt;0,S513*100/R513,0)</f>
        <v>0</v>
      </c>
    </row>
    <row r="514" spans="1:21" ht="18.75" hidden="1">
      <c r="A514" s="155"/>
      <c r="B514" s="50"/>
      <c r="C514" s="50"/>
      <c r="D514" s="50"/>
      <c r="E514" s="186" t="s">
        <v>20</v>
      </c>
      <c r="F514" s="50"/>
      <c r="G514" s="52"/>
      <c r="H514" s="187" t="s">
        <v>14</v>
      </c>
      <c r="I514" s="54"/>
      <c r="J514" s="54"/>
      <c r="K514" s="55"/>
      <c r="L514" s="103">
        <f>L517+L520</f>
        <v>0</v>
      </c>
      <c r="M514" s="102">
        <f>M517+M520</f>
        <v>0</v>
      </c>
      <c r="N514" s="102">
        <f>N517+N520</f>
        <v>0</v>
      </c>
      <c r="O514" s="102">
        <f>IF(L514&gt;0,N514*100/L514,0)</f>
        <v>0</v>
      </c>
      <c r="P514" s="102">
        <f>IF(M514&gt;0,N514*100/M514,0)</f>
        <v>0</v>
      </c>
      <c r="Q514" s="102">
        <f>Q517+Q520</f>
        <v>0</v>
      </c>
      <c r="R514" s="102">
        <f>R517+R520</f>
        <v>0</v>
      </c>
      <c r="S514" s="102">
        <f>S517+S520</f>
        <v>0</v>
      </c>
      <c r="T514" s="102">
        <f>IF(Q514&gt;0,S514*100/Q514,0)</f>
        <v>0</v>
      </c>
      <c r="U514" s="102">
        <f>IF(R514&gt;0,S514*100/R514,0)</f>
        <v>0</v>
      </c>
    </row>
    <row r="515" spans="1:21" ht="18.75" hidden="1">
      <c r="A515" s="155"/>
      <c r="B515" s="50"/>
      <c r="C515" s="50"/>
      <c r="D515" s="50"/>
      <c r="E515" s="186" t="s">
        <v>21</v>
      </c>
      <c r="F515" s="50"/>
      <c r="G515" s="52"/>
      <c r="H515" s="187" t="s">
        <v>14</v>
      </c>
      <c r="I515" s="54"/>
      <c r="J515" s="54"/>
      <c r="K515" s="55"/>
      <c r="L515" s="256">
        <f ca="1">L518+L521</f>
        <v>0</v>
      </c>
      <c r="M515" s="255">
        <f ca="1">M518+M521</f>
        <v>0</v>
      </c>
      <c r="N515" s="255">
        <f ca="1">N518+N521</f>
        <v>0</v>
      </c>
      <c r="O515" s="255">
        <f ca="1">IF(L515&gt;0,N515*100/L515,0)</f>
        <v>0</v>
      </c>
      <c r="P515" s="255">
        <f ca="1">IF(M515&gt;0,N515*100/M515,0)</f>
        <v>0</v>
      </c>
      <c r="Q515" s="255">
        <f>Q518+Q521</f>
        <v>0</v>
      </c>
      <c r="R515" s="255">
        <f>R518+R521</f>
        <v>0</v>
      </c>
      <c r="S515" s="255">
        <f>S518+S521</f>
        <v>0</v>
      </c>
      <c r="T515" s="255">
        <f>IF(Q515&gt;0,S515*100/Q515,0)</f>
        <v>0</v>
      </c>
      <c r="U515" s="255">
        <f>IF(R515&gt;0,S515*100/R515,0)</f>
        <v>0</v>
      </c>
    </row>
    <row r="516" spans="1:21" ht="18.75" hidden="1">
      <c r="A516" s="155"/>
      <c r="B516" s="50"/>
      <c r="C516" s="50"/>
      <c r="D516" s="592" t="s">
        <v>22</v>
      </c>
      <c r="E516" s="50"/>
      <c r="F516" s="50"/>
      <c r="G516" s="52"/>
      <c r="H516" s="189" t="s">
        <v>14</v>
      </c>
      <c r="I516" s="163"/>
      <c r="J516" s="163"/>
      <c r="K516" s="164"/>
      <c r="L516" s="256">
        <f ca="1">L517+L518</f>
        <v>0</v>
      </c>
      <c r="M516" s="255">
        <f ca="1">M517+M518</f>
        <v>0</v>
      </c>
      <c r="N516" s="255">
        <f ca="1">N517+N518</f>
        <v>0</v>
      </c>
      <c r="O516" s="255">
        <f ca="1">IF(L516&gt;0,N516*100/L516,0)</f>
        <v>0</v>
      </c>
      <c r="P516" s="255">
        <f ca="1">IF(M516&gt;0,N516*100/M516,0)</f>
        <v>0</v>
      </c>
      <c r="Q516" s="255">
        <f>Q517+Q518</f>
        <v>0</v>
      </c>
      <c r="R516" s="255">
        <f>R517+R518</f>
        <v>0</v>
      </c>
      <c r="S516" s="255">
        <f>S517+S518</f>
        <v>0</v>
      </c>
      <c r="T516" s="255">
        <f>IF(Q516&gt;0,S516*100/Q516,0)</f>
        <v>0</v>
      </c>
      <c r="U516" s="255">
        <f>IF(R516&gt;0,S516*100/R516,0)</f>
        <v>0</v>
      </c>
    </row>
    <row r="517" spans="1:21" ht="18.75" hidden="1">
      <c r="A517" s="155"/>
      <c r="B517" s="50"/>
      <c r="C517" s="50"/>
      <c r="D517" s="50"/>
      <c r="E517" s="186" t="s">
        <v>36</v>
      </c>
      <c r="F517" s="50"/>
      <c r="G517" s="52"/>
      <c r="H517" s="189" t="s">
        <v>14</v>
      </c>
      <c r="I517" s="163"/>
      <c r="J517" s="163"/>
      <c r="K517" s="164"/>
      <c r="L517" s="103">
        <v>0</v>
      </c>
      <c r="M517" s="102">
        <v>0</v>
      </c>
      <c r="N517" s="102">
        <v>0</v>
      </c>
      <c r="O517" s="102">
        <f>IF(L517&gt;0,N517*100/L517,0)</f>
        <v>0</v>
      </c>
      <c r="P517" s="102">
        <f>IF(M517&gt;0,N517*100/M517,0)</f>
        <v>0</v>
      </c>
      <c r="Q517" s="102">
        <v>0</v>
      </c>
      <c r="R517" s="102">
        <v>0</v>
      </c>
      <c r="S517" s="102">
        <v>0</v>
      </c>
      <c r="T517" s="102">
        <f>IF(Q517&gt;0,S517*100/Q517,0)</f>
        <v>0</v>
      </c>
      <c r="U517" s="102">
        <f>IF(R517&gt;0,S517*100/R517,0)</f>
        <v>0</v>
      </c>
    </row>
    <row r="518" spans="1:21" ht="18.75" hidden="1">
      <c r="A518" s="155"/>
      <c r="B518" s="50"/>
      <c r="C518" s="50"/>
      <c r="D518" s="50"/>
      <c r="E518" s="186" t="s">
        <v>37</v>
      </c>
      <c r="F518" s="50"/>
      <c r="G518" s="52"/>
      <c r="H518" s="189" t="s">
        <v>14</v>
      </c>
      <c r="I518" s="163"/>
      <c r="J518" s="163"/>
      <c r="K518" s="164"/>
      <c r="L518" s="256">
        <f ca="1">IFERROR(__xludf.DUMMYFUNCTION("IMPORTRANGE(""https://docs.google.com/spreadsheets/d/1-uDff_7J0KD5mKrp0Vvzr7lt3OU09vwQwhkpOPPYv2Y/edit?usp=sharing"",""งบพรบ!FM39"")"),0)</f>
        <v>0</v>
      </c>
      <c r="M518" s="255">
        <f ca="1">IFERROR(__xludf.DUMMYFUNCTION("IMPORTRANGE(""https://docs.google.com/spreadsheets/d/1-uDff_7J0KD5mKrp0Vvzr7lt3OU09vwQwhkpOPPYv2Y/edit?usp=sharing"",""งบพรบ!FR39"")"),0)</f>
        <v>0</v>
      </c>
      <c r="N518" s="255">
        <f ca="1">IFERROR(__xludf.DUMMYFUNCTION("IMPORTRANGE(""https://docs.google.com/spreadsheets/d/1-uDff_7J0KD5mKrp0Vvzr7lt3OU09vwQwhkpOPPYv2Y/edit?usp=sharing"",""งบพรบ!FT39"")"),0)</f>
        <v>0</v>
      </c>
      <c r="O518" s="255">
        <f ca="1">IF(L518&gt;0,N518*100/L518,0)</f>
        <v>0</v>
      </c>
      <c r="P518" s="255">
        <f ca="1">IF(M518&gt;0,N518*100/M518,0)</f>
        <v>0</v>
      </c>
      <c r="Q518" s="255">
        <v>0</v>
      </c>
      <c r="R518" s="255">
        <v>0</v>
      </c>
      <c r="S518" s="255">
        <v>0</v>
      </c>
      <c r="T518" s="255">
        <f>IF(Q518&gt;0,S518*100/Q518,0)</f>
        <v>0</v>
      </c>
      <c r="U518" s="255">
        <f>IF(R518&gt;0,S518*100/R518,0)</f>
        <v>0</v>
      </c>
    </row>
    <row r="519" spans="1:21" ht="18.75" hidden="1">
      <c r="A519" s="155"/>
      <c r="B519" s="50"/>
      <c r="C519" s="50"/>
      <c r="D519" s="592" t="s">
        <v>23</v>
      </c>
      <c r="E519" s="50"/>
      <c r="F519" s="50"/>
      <c r="G519" s="52"/>
      <c r="H519" s="421" t="s">
        <v>14</v>
      </c>
      <c r="I519" s="163"/>
      <c r="J519" s="163"/>
      <c r="K519" s="164"/>
      <c r="L519" s="256">
        <f ca="1">L520+L521</f>
        <v>0</v>
      </c>
      <c r="M519" s="255">
        <f ca="1">M520+M521</f>
        <v>0</v>
      </c>
      <c r="N519" s="255">
        <f ca="1">N520+N521</f>
        <v>0</v>
      </c>
      <c r="O519" s="255">
        <f ca="1">IF(L519&gt;0,N519*100/L519,0)</f>
        <v>0</v>
      </c>
      <c r="P519" s="255">
        <f ca="1">IF(M519&gt;0,N519*100/M519,0)</f>
        <v>0</v>
      </c>
      <c r="Q519" s="255">
        <f>Q520+Q521</f>
        <v>0</v>
      </c>
      <c r="R519" s="255">
        <f>R520+R521</f>
        <v>0</v>
      </c>
      <c r="S519" s="255">
        <f>S520+S521</f>
        <v>0</v>
      </c>
      <c r="T519" s="255">
        <f>IF(Q519&gt;0,S519*100/Q519,0)</f>
        <v>0</v>
      </c>
      <c r="U519" s="255">
        <f>IF(R519&gt;0,S519*100/R519,0)</f>
        <v>0</v>
      </c>
    </row>
    <row r="520" spans="1:21" ht="18.75" hidden="1">
      <c r="A520" s="155"/>
      <c r="B520" s="50"/>
      <c r="C520" s="50"/>
      <c r="D520" s="50"/>
      <c r="E520" s="186" t="s">
        <v>20</v>
      </c>
      <c r="F520" s="50"/>
      <c r="G520" s="52"/>
      <c r="H520" s="189" t="s">
        <v>14</v>
      </c>
      <c r="I520" s="163"/>
      <c r="J520" s="163"/>
      <c r="K520" s="164"/>
      <c r="L520" s="103">
        <v>0</v>
      </c>
      <c r="M520" s="102">
        <v>0</v>
      </c>
      <c r="N520" s="102">
        <v>0</v>
      </c>
      <c r="O520" s="102">
        <f>IF(L520&gt;0,N520*100/L520,0)</f>
        <v>0</v>
      </c>
      <c r="P520" s="102">
        <f>IF(M520&gt;0,N520*100/M520,0)</f>
        <v>0</v>
      </c>
      <c r="Q520" s="102">
        <v>0</v>
      </c>
      <c r="R520" s="102">
        <v>0</v>
      </c>
      <c r="S520" s="102">
        <v>0</v>
      </c>
      <c r="T520" s="102">
        <f>IF(Q520&gt;0,S520*100/Q520,0)</f>
        <v>0</v>
      </c>
      <c r="U520" s="102">
        <f>IF(R520&gt;0,S520*100/R520,0)</f>
        <v>0</v>
      </c>
    </row>
    <row r="521" spans="1:21" ht="18.75" hidden="1">
      <c r="A521" s="155"/>
      <c r="B521" s="50"/>
      <c r="C521" s="50"/>
      <c r="D521" s="50"/>
      <c r="E521" s="186" t="s">
        <v>21</v>
      </c>
      <c r="F521" s="50"/>
      <c r="G521" s="52"/>
      <c r="H521" s="421" t="s">
        <v>14</v>
      </c>
      <c r="I521" s="163"/>
      <c r="J521" s="163"/>
      <c r="K521" s="164"/>
      <c r="L521" s="256">
        <f ca="1">IFERROR(__xludf.DUMMYFUNCTION("IMPORTRANGE(""https://docs.google.com/spreadsheets/d/1-uDff_7J0KD5mKrp0Vvzr7lt3OU09vwQwhkpOPPYv2Y/edit?usp=sharing"",""งบพรบ!FP39"")"),0)</f>
        <v>0</v>
      </c>
      <c r="M521" s="255">
        <f ca="1">IFERROR(__xludf.DUMMYFUNCTION("IMPORTRANGE(""https://docs.google.com/spreadsheets/d/1-uDff_7J0KD5mKrp0Vvzr7lt3OU09vwQwhkpOPPYv2Y/edit?usp=sharing"",""งบพรบ!FS39"")"),0)</f>
        <v>0</v>
      </c>
      <c r="N521" s="255">
        <f ca="1">IFERROR(__xludf.DUMMYFUNCTION("IMPORTRANGE(""https://docs.google.com/spreadsheets/d/1-uDff_7J0KD5mKrp0Vvzr7lt3OU09vwQwhkpOPPYv2Y/edit?usp=sharing"",""งบพรบ!FU39"")"),0)</f>
        <v>0</v>
      </c>
      <c r="O521" s="255">
        <f ca="1">IF(L521&gt;0,N521*100/L521,0)</f>
        <v>0</v>
      </c>
      <c r="P521" s="255">
        <f ca="1">IF(M521&gt;0,N521*100/M521,0)</f>
        <v>0</v>
      </c>
      <c r="Q521" s="255">
        <v>0</v>
      </c>
      <c r="R521" s="255">
        <v>0</v>
      </c>
      <c r="S521" s="255">
        <v>0</v>
      </c>
      <c r="T521" s="255">
        <f>IF(Q521&gt;0,S521*100/Q521,0)</f>
        <v>0</v>
      </c>
      <c r="U521" s="255">
        <f>IF(R521&gt;0,S521*100/R521,0)</f>
        <v>0</v>
      </c>
    </row>
    <row r="522" spans="1:21" ht="19.5" hidden="1">
      <c r="A522" s="166"/>
      <c r="B522" s="167"/>
      <c r="C522" s="591" t="s">
        <v>18</v>
      </c>
      <c r="D522" s="574" t="s">
        <v>38</v>
      </c>
      <c r="E522" s="169"/>
      <c r="F522" s="169"/>
      <c r="G522" s="170"/>
      <c r="H522" s="171"/>
      <c r="I522" s="163"/>
      <c r="J522" s="54"/>
      <c r="K522" s="55"/>
      <c r="L522" s="62"/>
      <c r="M522" s="55"/>
      <c r="N522" s="55"/>
      <c r="O522" s="164"/>
      <c r="P522" s="164"/>
      <c r="Q522" s="55"/>
      <c r="R522" s="55"/>
      <c r="S522" s="55"/>
      <c r="T522" s="164"/>
      <c r="U522" s="164"/>
    </row>
    <row r="523" spans="1:21" ht="18.75" hidden="1">
      <c r="A523" s="238"/>
      <c r="B523" s="50"/>
      <c r="C523" s="188"/>
      <c r="D523" s="207" t="s">
        <v>209</v>
      </c>
      <c r="E523" s="167"/>
      <c r="F523" s="50"/>
      <c r="G523" s="52"/>
      <c r="H523" s="590" t="s">
        <v>11</v>
      </c>
      <c r="I523" s="483">
        <v>0</v>
      </c>
      <c r="J523" s="589">
        <v>0</v>
      </c>
      <c r="K523" s="102">
        <f>IF(I523&gt;0,J523*100/I523,0)</f>
        <v>0</v>
      </c>
      <c r="L523" s="62"/>
      <c r="M523" s="55"/>
      <c r="N523" s="55"/>
      <c r="O523" s="55"/>
      <c r="P523" s="55"/>
      <c r="Q523" s="55"/>
      <c r="R523" s="55"/>
      <c r="S523" s="55"/>
      <c r="T523" s="55"/>
      <c r="U523" s="55"/>
    </row>
    <row r="524" spans="1:21" ht="18.75" hidden="1">
      <c r="A524" s="374"/>
      <c r="B524" s="4"/>
      <c r="C524" s="5"/>
      <c r="D524" s="588" t="s">
        <v>210</v>
      </c>
      <c r="E524" s="282"/>
      <c r="F524" s="4"/>
      <c r="G524" s="65"/>
      <c r="H524" s="587" t="s">
        <v>61</v>
      </c>
      <c r="I524" s="486">
        <v>0</v>
      </c>
      <c r="J524" s="586">
        <v>0</v>
      </c>
      <c r="K524" s="585">
        <f>IF(I524&gt;0,J524*100/I524,0)</f>
        <v>0</v>
      </c>
      <c r="L524" s="62"/>
      <c r="M524" s="55"/>
      <c r="N524" s="55"/>
      <c r="O524" s="55"/>
      <c r="P524" s="55"/>
      <c r="Q524" s="55"/>
      <c r="R524" s="55"/>
      <c r="S524" s="55"/>
      <c r="T524" s="55"/>
      <c r="U524" s="55"/>
    </row>
    <row r="525" spans="1:21" ht="12.75" hidden="1">
      <c r="A525" s="584"/>
      <c r="B525" s="583"/>
      <c r="C525" s="583"/>
      <c r="D525" s="582"/>
      <c r="E525" s="582"/>
      <c r="F525" s="582"/>
      <c r="G525" s="581"/>
      <c r="H525" s="580"/>
      <c r="I525" s="579"/>
      <c r="J525" s="579"/>
      <c r="K525" s="578"/>
      <c r="L525" s="265"/>
      <c r="M525" s="264"/>
      <c r="N525" s="264"/>
      <c r="O525" s="264"/>
      <c r="P525" s="264"/>
      <c r="Q525" s="264"/>
      <c r="R525" s="264"/>
      <c r="S525" s="264"/>
      <c r="T525" s="264"/>
      <c r="U525" s="264"/>
    </row>
    <row r="526" spans="1:21" ht="12.75" hidden="1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5"/>
      <c r="M526" s="264"/>
      <c r="N526" s="264"/>
      <c r="O526" s="264"/>
      <c r="P526" s="264"/>
      <c r="Q526" s="264"/>
      <c r="R526" s="264"/>
      <c r="S526" s="264"/>
      <c r="T526" s="264"/>
      <c r="U526" s="264"/>
    </row>
    <row r="527" spans="1:21" ht="12.75" hidden="1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5"/>
      <c r="M527" s="264"/>
      <c r="N527" s="264"/>
      <c r="O527" s="264"/>
      <c r="P527" s="264"/>
      <c r="Q527" s="264"/>
      <c r="R527" s="264"/>
      <c r="S527" s="264"/>
      <c r="T527" s="264"/>
      <c r="U527" s="264"/>
    </row>
    <row r="528" spans="1:21" ht="12.75" hidden="1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5"/>
      <c r="M528" s="264"/>
      <c r="N528" s="264"/>
      <c r="O528" s="264"/>
      <c r="P528" s="264"/>
      <c r="Q528" s="264"/>
      <c r="R528" s="264"/>
      <c r="S528" s="264"/>
      <c r="T528" s="264"/>
      <c r="U528" s="264"/>
    </row>
    <row r="529" spans="1:21" ht="12.75" hidden="1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5"/>
      <c r="M529" s="264"/>
      <c r="N529" s="264"/>
      <c r="O529" s="264"/>
      <c r="P529" s="264"/>
      <c r="Q529" s="264"/>
      <c r="R529" s="264"/>
      <c r="S529" s="264"/>
      <c r="T529" s="264"/>
      <c r="U529" s="264"/>
    </row>
    <row r="530" spans="1:21" ht="12.75" hidden="1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5"/>
      <c r="M530" s="264"/>
      <c r="N530" s="264"/>
      <c r="O530" s="264"/>
      <c r="P530" s="264"/>
      <c r="Q530" s="264"/>
      <c r="R530" s="264"/>
      <c r="S530" s="264"/>
      <c r="T530" s="264"/>
      <c r="U530" s="264"/>
    </row>
    <row r="531" spans="1:21" ht="12.75" hidden="1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5"/>
      <c r="M531" s="264"/>
      <c r="N531" s="264"/>
      <c r="O531" s="264"/>
      <c r="P531" s="264"/>
      <c r="Q531" s="264"/>
      <c r="R531" s="264"/>
      <c r="S531" s="264"/>
      <c r="T531" s="264"/>
      <c r="U531" s="264"/>
    </row>
    <row r="532" spans="1:21" ht="12.75" hidden="1">
      <c r="A532" s="407"/>
      <c r="B532" s="360"/>
      <c r="C532" s="360"/>
      <c r="D532" s="408"/>
      <c r="E532" s="408"/>
      <c r="F532" s="408"/>
      <c r="G532" s="409"/>
      <c r="H532" s="361"/>
      <c r="I532" s="362"/>
      <c r="J532" s="362"/>
      <c r="K532" s="363"/>
      <c r="L532" s="364"/>
      <c r="M532" s="363"/>
      <c r="N532" s="363"/>
      <c r="O532" s="363"/>
      <c r="P532" s="363"/>
      <c r="Q532" s="363"/>
      <c r="R532" s="363"/>
      <c r="S532" s="363"/>
      <c r="T532" s="363"/>
      <c r="U532" s="363"/>
    </row>
    <row r="533" spans="1:21" ht="19.5" hidden="1">
      <c r="A533" s="395"/>
      <c r="B533" s="396" t="s">
        <v>211</v>
      </c>
      <c r="C533" s="397"/>
      <c r="D533" s="398"/>
      <c r="E533" s="398"/>
      <c r="F533" s="398"/>
      <c r="G533" s="399"/>
      <c r="H533" s="410" t="s">
        <v>61</v>
      </c>
      <c r="I533" s="577">
        <f>I545</f>
        <v>0</v>
      </c>
      <c r="J533" s="577">
        <f>J545</f>
        <v>0</v>
      </c>
      <c r="K533" s="576">
        <f>IF(I533&gt;0,J533*100/I533,0)</f>
        <v>0</v>
      </c>
      <c r="L533" s="404"/>
      <c r="M533" s="403"/>
      <c r="N533" s="403"/>
      <c r="O533" s="403"/>
      <c r="P533" s="403"/>
      <c r="Q533" s="403"/>
      <c r="R533" s="403"/>
      <c r="S533" s="403"/>
      <c r="T533" s="403"/>
      <c r="U533" s="403"/>
    </row>
    <row r="534" spans="1:21" ht="19.5" hidden="1">
      <c r="A534" s="155"/>
      <c r="B534" s="50"/>
      <c r="C534" s="156" t="s">
        <v>18</v>
      </c>
      <c r="D534" s="575" t="s">
        <v>19</v>
      </c>
      <c r="E534" s="50"/>
      <c r="F534" s="50"/>
      <c r="G534" s="52"/>
      <c r="H534" s="158" t="s">
        <v>14</v>
      </c>
      <c r="I534" s="54"/>
      <c r="J534" s="54"/>
      <c r="K534" s="55"/>
      <c r="L534" s="541">
        <f>L535+L536</f>
        <v>0</v>
      </c>
      <c r="M534" s="540">
        <f>M535+M536</f>
        <v>0</v>
      </c>
      <c r="N534" s="540">
        <f>N535+N536</f>
        <v>0</v>
      </c>
      <c r="O534" s="540">
        <f>IF(L534&gt;0,N534*100/L534,0)</f>
        <v>0</v>
      </c>
      <c r="P534" s="540">
        <f>IF(M534&gt;0,N534*100/M534,0)</f>
        <v>0</v>
      </c>
      <c r="Q534" s="540">
        <f>Q535+Q536</f>
        <v>0</v>
      </c>
      <c r="R534" s="540">
        <f>R535+R536</f>
        <v>0</v>
      </c>
      <c r="S534" s="540">
        <f>S535+S536</f>
        <v>0</v>
      </c>
      <c r="T534" s="540">
        <f>IF(Q534&gt;0,S534*100/Q534,0)</f>
        <v>0</v>
      </c>
      <c r="U534" s="540">
        <f>IF(R534&gt;0,S534*100/R534,0)</f>
        <v>0</v>
      </c>
    </row>
    <row r="535" spans="1:21" ht="18.75" hidden="1">
      <c r="A535" s="155"/>
      <c r="B535" s="188"/>
      <c r="C535" s="50"/>
      <c r="D535" s="50"/>
      <c r="E535" s="186" t="s">
        <v>20</v>
      </c>
      <c r="F535" s="50"/>
      <c r="G535" s="52"/>
      <c r="H535" s="187" t="s">
        <v>14</v>
      </c>
      <c r="I535" s="54"/>
      <c r="J535" s="54"/>
      <c r="K535" s="55"/>
      <c r="L535" s="103">
        <f>L538+L541</f>
        <v>0</v>
      </c>
      <c r="M535" s="102">
        <f>M538+M541</f>
        <v>0</v>
      </c>
      <c r="N535" s="102">
        <f>N538+N541</f>
        <v>0</v>
      </c>
      <c r="O535" s="102">
        <f>IF(L535&gt;0,N535*100/L535,0)</f>
        <v>0</v>
      </c>
      <c r="P535" s="102">
        <f>IF(M535&gt;0,N535*100/M535,0)</f>
        <v>0</v>
      </c>
      <c r="Q535" s="102">
        <f>Q538+Q541</f>
        <v>0</v>
      </c>
      <c r="R535" s="102">
        <f>R538+R541</f>
        <v>0</v>
      </c>
      <c r="S535" s="102">
        <f>S538+S541</f>
        <v>0</v>
      </c>
      <c r="T535" s="102">
        <f>IF(Q535&gt;0,S535*100/Q535,0)</f>
        <v>0</v>
      </c>
      <c r="U535" s="102">
        <f>IF(R535&gt;0,S535*100/R535,0)</f>
        <v>0</v>
      </c>
    </row>
    <row r="536" spans="1:21" ht="18.75" hidden="1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256">
        <f>L539+L542</f>
        <v>0</v>
      </c>
      <c r="M536" s="255">
        <f>M539+M542</f>
        <v>0</v>
      </c>
      <c r="N536" s="255">
        <f>N539+N542</f>
        <v>0</v>
      </c>
      <c r="O536" s="255">
        <f>IF(L536&gt;0,N536*100/L536,0)</f>
        <v>0</v>
      </c>
      <c r="P536" s="255">
        <f>IF(M536&gt;0,N536*100/M536,0)</f>
        <v>0</v>
      </c>
      <c r="Q536" s="255">
        <f>Q539+Q542</f>
        <v>0</v>
      </c>
      <c r="R536" s="255">
        <f>R539+R542</f>
        <v>0</v>
      </c>
      <c r="S536" s="255">
        <f>S539+S542</f>
        <v>0</v>
      </c>
      <c r="T536" s="255">
        <f>IF(Q536&gt;0,S536*100/Q536,0)</f>
        <v>0</v>
      </c>
      <c r="U536" s="255">
        <f>IF(R536&gt;0,S536*100/R536,0)</f>
        <v>0</v>
      </c>
    </row>
    <row r="537" spans="1:21" ht="18.75" hidden="1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256">
        <f>L538+L539</f>
        <v>0</v>
      </c>
      <c r="M537" s="255">
        <f>M538+M539</f>
        <v>0</v>
      </c>
      <c r="N537" s="255">
        <f>N538+N539</f>
        <v>0</v>
      </c>
      <c r="O537" s="255">
        <f>IF(L537&gt;0,N537*100/L537,0)</f>
        <v>0</v>
      </c>
      <c r="P537" s="255">
        <f>IF(M537&gt;0,N537*100/M537,0)</f>
        <v>0</v>
      </c>
      <c r="Q537" s="255">
        <f>Q538+Q539</f>
        <v>0</v>
      </c>
      <c r="R537" s="255">
        <f>R538+R539</f>
        <v>0</v>
      </c>
      <c r="S537" s="255">
        <f>S538+S539</f>
        <v>0</v>
      </c>
      <c r="T537" s="255">
        <f>IF(Q537&gt;0,S537*100/Q537,0)</f>
        <v>0</v>
      </c>
      <c r="U537" s="255">
        <f>IF(R537&gt;0,S537*100/R537,0)</f>
        <v>0</v>
      </c>
    </row>
    <row r="538" spans="1:21" ht="18.75" hidden="1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103">
        <v>0</v>
      </c>
      <c r="M538" s="102">
        <v>0</v>
      </c>
      <c r="N538" s="102">
        <v>0</v>
      </c>
      <c r="O538" s="102">
        <f>IF(L538&gt;0,N538*100/L538,0)</f>
        <v>0</v>
      </c>
      <c r="P538" s="102">
        <f>IF(M538&gt;0,N538*100/M538,0)</f>
        <v>0</v>
      </c>
      <c r="Q538" s="102">
        <v>0</v>
      </c>
      <c r="R538" s="102">
        <v>0</v>
      </c>
      <c r="S538" s="102">
        <v>0</v>
      </c>
      <c r="T538" s="102">
        <f>IF(Q538&gt;0,S538*100/Q538,0)</f>
        <v>0</v>
      </c>
      <c r="U538" s="102">
        <f>IF(R538&gt;0,S538*100/R538,0)</f>
        <v>0</v>
      </c>
    </row>
    <row r="539" spans="1:21" ht="18.75" hidden="1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256">
        <v>0</v>
      </c>
      <c r="M539" s="255">
        <v>0</v>
      </c>
      <c r="N539" s="255">
        <v>0</v>
      </c>
      <c r="O539" s="255">
        <f>IF(L539&gt;0,N539*100/L539,0)</f>
        <v>0</v>
      </c>
      <c r="P539" s="255">
        <f>IF(M539&gt;0,N539*100/M539,0)</f>
        <v>0</v>
      </c>
      <c r="Q539" s="255">
        <v>0</v>
      </c>
      <c r="R539" s="255">
        <v>0</v>
      </c>
      <c r="S539" s="255">
        <v>0</v>
      </c>
      <c r="T539" s="255">
        <f>IF(Q539&gt;0,S539*100/Q539,0)</f>
        <v>0</v>
      </c>
      <c r="U539" s="255">
        <f>IF(R539&gt;0,S539*100/R539,0)</f>
        <v>0</v>
      </c>
    </row>
    <row r="540" spans="1:21" ht="18.75" hidden="1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256">
        <f>L541+L542</f>
        <v>0</v>
      </c>
      <c r="M540" s="255">
        <f>M541+M542</f>
        <v>0</v>
      </c>
      <c r="N540" s="255">
        <f>N541+N542</f>
        <v>0</v>
      </c>
      <c r="O540" s="255">
        <f>IF(L540&gt;0,N540*100/L540,0)</f>
        <v>0</v>
      </c>
      <c r="P540" s="255">
        <f>IF(M540&gt;0,N540*100/M540,0)</f>
        <v>0</v>
      </c>
      <c r="Q540" s="255">
        <f>Q541+Q542</f>
        <v>0</v>
      </c>
      <c r="R540" s="255">
        <f>R541+R542</f>
        <v>0</v>
      </c>
      <c r="S540" s="255">
        <f>S541+S542</f>
        <v>0</v>
      </c>
      <c r="T540" s="255">
        <f>IF(Q540&gt;0,S540*100/Q540,0)</f>
        <v>0</v>
      </c>
      <c r="U540" s="255">
        <f>IF(R540&gt;0,S540*100/R540,0)</f>
        <v>0</v>
      </c>
    </row>
    <row r="541" spans="1:21" ht="18.75" hidden="1">
      <c r="A541" s="155"/>
      <c r="B541" s="50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103">
        <v>0</v>
      </c>
      <c r="M541" s="102">
        <v>0</v>
      </c>
      <c r="N541" s="102">
        <v>0</v>
      </c>
      <c r="O541" s="102">
        <f>IF(L541&gt;0,N541*100/L541,0)</f>
        <v>0</v>
      </c>
      <c r="P541" s="102">
        <f>IF(M541&gt;0,N541*100/M541,0)</f>
        <v>0</v>
      </c>
      <c r="Q541" s="102">
        <v>0</v>
      </c>
      <c r="R541" s="102">
        <v>0</v>
      </c>
      <c r="S541" s="102">
        <v>0</v>
      </c>
      <c r="T541" s="102">
        <f>IF(Q541&gt;0,S541*100/Q541,0)</f>
        <v>0</v>
      </c>
      <c r="U541" s="102">
        <f>IF(R541&gt;0,S541*100/R541,0)</f>
        <v>0</v>
      </c>
    </row>
    <row r="542" spans="1:21" ht="18.75" hidden="1">
      <c r="A542" s="155"/>
      <c r="B542" s="50"/>
      <c r="C542" s="50"/>
      <c r="D542" s="50"/>
      <c r="E542" s="58" t="s">
        <v>21</v>
      </c>
      <c r="F542" s="50"/>
      <c r="G542" s="52"/>
      <c r="H542" s="165" t="s">
        <v>14</v>
      </c>
      <c r="I542" s="163"/>
      <c r="J542" s="163"/>
      <c r="K542" s="164"/>
      <c r="L542" s="256">
        <v>0</v>
      </c>
      <c r="M542" s="255">
        <v>0</v>
      </c>
      <c r="N542" s="255">
        <v>0</v>
      </c>
      <c r="O542" s="255">
        <f>IF(L542&gt;0,N542*100/L542,0)</f>
        <v>0</v>
      </c>
      <c r="P542" s="255">
        <f>IF(M542&gt;0,N542*100/M542,0)</f>
        <v>0</v>
      </c>
      <c r="Q542" s="255">
        <v>0</v>
      </c>
      <c r="R542" s="255">
        <v>0</v>
      </c>
      <c r="S542" s="255">
        <v>0</v>
      </c>
      <c r="T542" s="255">
        <f>IF(Q542&gt;0,S542*100/Q542,0)</f>
        <v>0</v>
      </c>
      <c r="U542" s="255">
        <f>IF(R542&gt;0,S542*100/R542,0)</f>
        <v>0</v>
      </c>
    </row>
    <row r="543" spans="1:21" ht="19.5" hidden="1">
      <c r="A543" s="166"/>
      <c r="B543" s="167"/>
      <c r="C543" s="411" t="s">
        <v>18</v>
      </c>
      <c r="D543" s="566" t="s">
        <v>38</v>
      </c>
      <c r="E543" s="169"/>
      <c r="F543" s="169"/>
      <c r="G543" s="170"/>
      <c r="H543" s="171"/>
      <c r="I543" s="163"/>
      <c r="J543" s="54"/>
      <c r="K543" s="55"/>
      <c r="L543" s="62"/>
      <c r="M543" s="55"/>
      <c r="N543" s="55"/>
      <c r="O543" s="164"/>
      <c r="P543" s="164"/>
      <c r="Q543" s="55"/>
      <c r="R543" s="55"/>
      <c r="S543" s="55"/>
      <c r="T543" s="164"/>
      <c r="U543" s="164"/>
    </row>
    <row r="544" spans="1:21" ht="12.75" hidden="1">
      <c r="A544" s="258"/>
      <c r="B544" s="260"/>
      <c r="C544" s="259"/>
      <c r="D544" s="260"/>
      <c r="E544" s="259"/>
      <c r="F544" s="260"/>
      <c r="G544" s="261"/>
      <c r="H544" s="261"/>
      <c r="I544" s="263"/>
      <c r="J544" s="263"/>
      <c r="K544" s="264"/>
      <c r="L544" s="265"/>
      <c r="M544" s="264"/>
      <c r="N544" s="264"/>
      <c r="O544" s="264"/>
      <c r="P544" s="264"/>
      <c r="Q544" s="264"/>
      <c r="R544" s="264"/>
      <c r="S544" s="264"/>
      <c r="T544" s="264"/>
      <c r="U544" s="264"/>
    </row>
    <row r="545" spans="1:21" ht="12.75" hidden="1">
      <c r="A545" s="258"/>
      <c r="B545" s="260"/>
      <c r="C545" s="259"/>
      <c r="D545" s="260"/>
      <c r="E545" s="259"/>
      <c r="F545" s="260"/>
      <c r="G545" s="261"/>
      <c r="H545" s="261"/>
      <c r="I545" s="263"/>
      <c r="J545" s="263"/>
      <c r="K545" s="264"/>
      <c r="L545" s="265"/>
      <c r="M545" s="264"/>
      <c r="N545" s="264"/>
      <c r="O545" s="264"/>
      <c r="P545" s="264"/>
      <c r="Q545" s="264"/>
      <c r="R545" s="264"/>
      <c r="S545" s="264"/>
      <c r="T545" s="264"/>
      <c r="U545" s="264"/>
    </row>
    <row r="546" spans="1:21" ht="12.75" hidden="1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5"/>
      <c r="M546" s="264"/>
      <c r="N546" s="264"/>
      <c r="O546" s="264"/>
      <c r="P546" s="264"/>
      <c r="Q546" s="264"/>
      <c r="R546" s="264"/>
      <c r="S546" s="264"/>
      <c r="T546" s="264"/>
      <c r="U546" s="264"/>
    </row>
    <row r="547" spans="1:21" ht="12.75" hidden="1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5"/>
      <c r="M547" s="264"/>
      <c r="N547" s="264"/>
      <c r="O547" s="264"/>
      <c r="P547" s="264"/>
      <c r="Q547" s="264"/>
      <c r="R547" s="264"/>
      <c r="S547" s="264"/>
      <c r="T547" s="264"/>
      <c r="U547" s="264"/>
    </row>
    <row r="548" spans="1:21" ht="12.75" hidden="1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5"/>
      <c r="M548" s="264"/>
      <c r="N548" s="264"/>
      <c r="O548" s="264"/>
      <c r="P548" s="264"/>
      <c r="Q548" s="264"/>
      <c r="R548" s="264"/>
      <c r="S548" s="264"/>
      <c r="T548" s="264"/>
      <c r="U548" s="264"/>
    </row>
    <row r="549" spans="1:21" ht="12.75" hidden="1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5"/>
      <c r="M549" s="264"/>
      <c r="N549" s="264"/>
      <c r="O549" s="264"/>
      <c r="P549" s="264"/>
      <c r="Q549" s="264"/>
      <c r="R549" s="264"/>
      <c r="S549" s="264"/>
      <c r="T549" s="264"/>
      <c r="U549" s="264"/>
    </row>
    <row r="550" spans="1:21" ht="12.75" hidden="1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5"/>
      <c r="M550" s="264"/>
      <c r="N550" s="264"/>
      <c r="O550" s="264"/>
      <c r="P550" s="264"/>
      <c r="Q550" s="264"/>
      <c r="R550" s="264"/>
      <c r="S550" s="264"/>
      <c r="T550" s="264"/>
      <c r="U550" s="264"/>
    </row>
    <row r="551" spans="1:21" ht="12.75" hidden="1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5"/>
      <c r="M551" s="264"/>
      <c r="N551" s="264"/>
      <c r="O551" s="264"/>
      <c r="P551" s="264"/>
      <c r="Q551" s="264"/>
      <c r="R551" s="264"/>
      <c r="S551" s="264"/>
      <c r="T551" s="264"/>
      <c r="U551" s="264"/>
    </row>
    <row r="552" spans="1:21" ht="12.75" hidden="1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5"/>
      <c r="M552" s="264"/>
      <c r="N552" s="264"/>
      <c r="O552" s="264"/>
      <c r="P552" s="264"/>
      <c r="Q552" s="264"/>
      <c r="R552" s="264"/>
      <c r="S552" s="264"/>
      <c r="T552" s="264"/>
      <c r="U552" s="264"/>
    </row>
    <row r="553" spans="1:21" ht="12.75" hidden="1">
      <c r="A553" s="407"/>
      <c r="B553" s="360"/>
      <c r="C553" s="360"/>
      <c r="D553" s="408"/>
      <c r="E553" s="408"/>
      <c r="F553" s="408"/>
      <c r="G553" s="409"/>
      <c r="H553" s="361"/>
      <c r="I553" s="362"/>
      <c r="J553" s="362"/>
      <c r="K553" s="363"/>
      <c r="L553" s="364"/>
      <c r="M553" s="363"/>
      <c r="N553" s="363"/>
      <c r="O553" s="363"/>
      <c r="P553" s="363"/>
      <c r="Q553" s="363"/>
      <c r="R553" s="363"/>
      <c r="S553" s="363"/>
      <c r="T553" s="363"/>
      <c r="U553" s="363"/>
    </row>
    <row r="554" spans="1:21" ht="19.5" hidden="1">
      <c r="A554" s="395"/>
      <c r="B554" s="396" t="s">
        <v>212</v>
      </c>
      <c r="C554" s="397"/>
      <c r="D554" s="398"/>
      <c r="E554" s="398"/>
      <c r="F554" s="398"/>
      <c r="G554" s="399"/>
      <c r="H554" s="410" t="s">
        <v>61</v>
      </c>
      <c r="I554" s="577">
        <f>I566</f>
        <v>0</v>
      </c>
      <c r="J554" s="577">
        <f>J566</f>
        <v>0</v>
      </c>
      <c r="K554" s="576">
        <f>IF(I554&gt;0,J554*100/I554,0)</f>
        <v>0</v>
      </c>
      <c r="L554" s="404"/>
      <c r="M554" s="403"/>
      <c r="N554" s="403"/>
      <c r="O554" s="403"/>
      <c r="P554" s="403"/>
      <c r="Q554" s="403"/>
      <c r="R554" s="403"/>
      <c r="S554" s="403"/>
      <c r="T554" s="403"/>
      <c r="U554" s="403"/>
    </row>
    <row r="555" spans="1:21" ht="19.5" hidden="1">
      <c r="A555" s="155"/>
      <c r="B555" s="50"/>
      <c r="C555" s="156" t="s">
        <v>18</v>
      </c>
      <c r="D555" s="575" t="s">
        <v>19</v>
      </c>
      <c r="E555" s="50"/>
      <c r="F555" s="50"/>
      <c r="G555" s="52"/>
      <c r="H555" s="158" t="s">
        <v>14</v>
      </c>
      <c r="I555" s="54"/>
      <c r="J555" s="54"/>
      <c r="K555" s="55"/>
      <c r="L555" s="541">
        <f>L556+L557</f>
        <v>0</v>
      </c>
      <c r="M555" s="540">
        <f>M556+M557</f>
        <v>0</v>
      </c>
      <c r="N555" s="540">
        <f>N556+N557</f>
        <v>0</v>
      </c>
      <c r="O555" s="540">
        <f>IF(L555&gt;0,N555*100/L555,0)</f>
        <v>0</v>
      </c>
      <c r="P555" s="540">
        <f>IF(M555&gt;0,N555*100/M555,0)</f>
        <v>0</v>
      </c>
      <c r="Q555" s="540">
        <f>Q556+Q557</f>
        <v>0</v>
      </c>
      <c r="R555" s="540">
        <f>R556+R557</f>
        <v>0</v>
      </c>
      <c r="S555" s="540">
        <f>S556+S557</f>
        <v>0</v>
      </c>
      <c r="T555" s="540">
        <f>IF(Q555&gt;0,S555*100/Q555,0)</f>
        <v>0</v>
      </c>
      <c r="U555" s="540">
        <f>IF(R555&gt;0,S555*100/R555,0)</f>
        <v>0</v>
      </c>
    </row>
    <row r="556" spans="1:21" ht="18.75" hidden="1">
      <c r="A556" s="155"/>
      <c r="B556" s="188"/>
      <c r="C556" s="50"/>
      <c r="D556" s="50"/>
      <c r="E556" s="186" t="s">
        <v>20</v>
      </c>
      <c r="F556" s="50"/>
      <c r="G556" s="52"/>
      <c r="H556" s="187" t="s">
        <v>14</v>
      </c>
      <c r="I556" s="54"/>
      <c r="J556" s="54"/>
      <c r="K556" s="55"/>
      <c r="L556" s="103">
        <f>L559+L562</f>
        <v>0</v>
      </c>
      <c r="M556" s="102">
        <f>M559+M562</f>
        <v>0</v>
      </c>
      <c r="N556" s="102">
        <f>N559+N562</f>
        <v>0</v>
      </c>
      <c r="O556" s="102">
        <f>IF(L556&gt;0,N556*100/L556,0)</f>
        <v>0</v>
      </c>
      <c r="P556" s="102">
        <f>IF(M556&gt;0,N556*100/M556,0)</f>
        <v>0</v>
      </c>
      <c r="Q556" s="102">
        <f>Q559+Q562</f>
        <v>0</v>
      </c>
      <c r="R556" s="102">
        <f>R559+R562</f>
        <v>0</v>
      </c>
      <c r="S556" s="102">
        <f>S559+S562</f>
        <v>0</v>
      </c>
      <c r="T556" s="102">
        <f>IF(Q556&gt;0,S556*100/Q556,0)</f>
        <v>0</v>
      </c>
      <c r="U556" s="102">
        <f>IF(R556&gt;0,S556*100/R556,0)</f>
        <v>0</v>
      </c>
    </row>
    <row r="557" spans="1:21" ht="18.75" hidden="1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256">
        <f>L560+L563</f>
        <v>0</v>
      </c>
      <c r="M557" s="255">
        <f>M560+M563</f>
        <v>0</v>
      </c>
      <c r="N557" s="255">
        <f>N560+N563</f>
        <v>0</v>
      </c>
      <c r="O557" s="255">
        <f>IF(L557&gt;0,N557*100/L557,0)</f>
        <v>0</v>
      </c>
      <c r="P557" s="255">
        <f>IF(M557&gt;0,N557*100/M557,0)</f>
        <v>0</v>
      </c>
      <c r="Q557" s="255">
        <f>Q560+Q563</f>
        <v>0</v>
      </c>
      <c r="R557" s="255">
        <f>R560+R563</f>
        <v>0</v>
      </c>
      <c r="S557" s="255">
        <f>S560+S563</f>
        <v>0</v>
      </c>
      <c r="T557" s="255">
        <f>IF(Q557&gt;0,S557*100/Q557,0)</f>
        <v>0</v>
      </c>
      <c r="U557" s="255">
        <f>IF(R557&gt;0,S557*100/R557,0)</f>
        <v>0</v>
      </c>
    </row>
    <row r="558" spans="1:21" ht="18.75" hidden="1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256">
        <f>L559+L560</f>
        <v>0</v>
      </c>
      <c r="M558" s="255">
        <f>M559+M560</f>
        <v>0</v>
      </c>
      <c r="N558" s="255">
        <f>N559+N560</f>
        <v>0</v>
      </c>
      <c r="O558" s="255">
        <f>IF(L558&gt;0,N558*100/L558,0)</f>
        <v>0</v>
      </c>
      <c r="P558" s="255">
        <f>IF(M558&gt;0,N558*100/M558,0)</f>
        <v>0</v>
      </c>
      <c r="Q558" s="255">
        <f>Q559+Q560</f>
        <v>0</v>
      </c>
      <c r="R558" s="255">
        <f>R559+R560</f>
        <v>0</v>
      </c>
      <c r="S558" s="255">
        <f>S559+S560</f>
        <v>0</v>
      </c>
      <c r="T558" s="255">
        <f>IF(Q558&gt;0,S558*100/Q558,0)</f>
        <v>0</v>
      </c>
      <c r="U558" s="255">
        <f>IF(R558&gt;0,S558*100/R558,0)</f>
        <v>0</v>
      </c>
    </row>
    <row r="559" spans="1:21" ht="18.75" hidden="1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103">
        <v>0</v>
      </c>
      <c r="M559" s="102">
        <v>0</v>
      </c>
      <c r="N559" s="102">
        <v>0</v>
      </c>
      <c r="O559" s="102">
        <f>IF(L559&gt;0,N559*100/L559,0)</f>
        <v>0</v>
      </c>
      <c r="P559" s="102">
        <f>IF(M559&gt;0,N559*100/M559,0)</f>
        <v>0</v>
      </c>
      <c r="Q559" s="102">
        <v>0</v>
      </c>
      <c r="R559" s="102">
        <v>0</v>
      </c>
      <c r="S559" s="102">
        <v>0</v>
      </c>
      <c r="T559" s="102">
        <f>IF(Q559&gt;0,S559*100/Q559,0)</f>
        <v>0</v>
      </c>
      <c r="U559" s="102">
        <f>IF(R559&gt;0,S559*100/R559,0)</f>
        <v>0</v>
      </c>
    </row>
    <row r="560" spans="1:21" ht="18.75" hidden="1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256">
        <v>0</v>
      </c>
      <c r="M560" s="255">
        <v>0</v>
      </c>
      <c r="N560" s="255">
        <v>0</v>
      </c>
      <c r="O560" s="255">
        <f>IF(L560&gt;0,N560*100/L560,0)</f>
        <v>0</v>
      </c>
      <c r="P560" s="255">
        <f>IF(M560&gt;0,N560*100/M560,0)</f>
        <v>0</v>
      </c>
      <c r="Q560" s="255">
        <v>0</v>
      </c>
      <c r="R560" s="255">
        <v>0</v>
      </c>
      <c r="S560" s="255">
        <v>0</v>
      </c>
      <c r="T560" s="255">
        <f>IF(Q560&gt;0,S560*100/Q560,0)</f>
        <v>0</v>
      </c>
      <c r="U560" s="255">
        <f>IF(R560&gt;0,S560*100/R560,0)</f>
        <v>0</v>
      </c>
    </row>
    <row r="561" spans="1:21" ht="18.75" hidden="1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256">
        <f>L562+L563</f>
        <v>0</v>
      </c>
      <c r="M561" s="255">
        <f>M562+M563</f>
        <v>0</v>
      </c>
      <c r="N561" s="255">
        <f>N562+N563</f>
        <v>0</v>
      </c>
      <c r="O561" s="255">
        <f>IF(L561&gt;0,N561*100/L561,0)</f>
        <v>0</v>
      </c>
      <c r="P561" s="255">
        <f>IF(M561&gt;0,N561*100/M561,0)</f>
        <v>0</v>
      </c>
      <c r="Q561" s="255">
        <f>Q562+Q563</f>
        <v>0</v>
      </c>
      <c r="R561" s="255">
        <f>R562+R563</f>
        <v>0</v>
      </c>
      <c r="S561" s="255">
        <f>S562+S563</f>
        <v>0</v>
      </c>
      <c r="T561" s="255">
        <f>IF(Q561&gt;0,S561*100/Q561,0)</f>
        <v>0</v>
      </c>
      <c r="U561" s="255">
        <f>IF(R561&gt;0,S561*100/R561,0)</f>
        <v>0</v>
      </c>
    </row>
    <row r="562" spans="1:21" ht="18.75" hidden="1">
      <c r="A562" s="155"/>
      <c r="B562" s="50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103">
        <v>0</v>
      </c>
      <c r="M562" s="102">
        <v>0</v>
      </c>
      <c r="N562" s="102">
        <v>0</v>
      </c>
      <c r="O562" s="102">
        <f>IF(L562&gt;0,N562*100/L562,0)</f>
        <v>0</v>
      </c>
      <c r="P562" s="102">
        <f>IF(M562&gt;0,N562*100/M562,0)</f>
        <v>0</v>
      </c>
      <c r="Q562" s="102">
        <v>0</v>
      </c>
      <c r="R562" s="102">
        <v>0</v>
      </c>
      <c r="S562" s="102">
        <v>0</v>
      </c>
      <c r="T562" s="102">
        <f>IF(Q562&gt;0,S562*100/Q562,0)</f>
        <v>0</v>
      </c>
      <c r="U562" s="102">
        <f>IF(R562&gt;0,S562*100/R562,0)</f>
        <v>0</v>
      </c>
    </row>
    <row r="563" spans="1:21" ht="18.75" hidden="1">
      <c r="A563" s="155"/>
      <c r="B563" s="50"/>
      <c r="C563" s="50"/>
      <c r="D563" s="50"/>
      <c r="E563" s="58" t="s">
        <v>21</v>
      </c>
      <c r="F563" s="50"/>
      <c r="G563" s="52"/>
      <c r="H563" s="165" t="s">
        <v>14</v>
      </c>
      <c r="I563" s="163"/>
      <c r="J563" s="163"/>
      <c r="K563" s="164"/>
      <c r="L563" s="256">
        <v>0</v>
      </c>
      <c r="M563" s="255">
        <v>0</v>
      </c>
      <c r="N563" s="255">
        <v>0</v>
      </c>
      <c r="O563" s="255">
        <f>IF(L563&gt;0,N563*100/L563,0)</f>
        <v>0</v>
      </c>
      <c r="P563" s="255">
        <f>IF(M563&gt;0,N563*100/M563,0)</f>
        <v>0</v>
      </c>
      <c r="Q563" s="255">
        <v>0</v>
      </c>
      <c r="R563" s="255">
        <v>0</v>
      </c>
      <c r="S563" s="255">
        <v>0</v>
      </c>
      <c r="T563" s="255">
        <f>IF(Q563&gt;0,S563*100/Q563,0)</f>
        <v>0</v>
      </c>
      <c r="U563" s="255">
        <f>IF(R563&gt;0,S563*100/R563,0)</f>
        <v>0</v>
      </c>
    </row>
    <row r="564" spans="1:21" ht="19.5" hidden="1">
      <c r="A564" s="166"/>
      <c r="B564" s="167"/>
      <c r="C564" s="411" t="s">
        <v>18</v>
      </c>
      <c r="D564" s="566" t="s">
        <v>38</v>
      </c>
      <c r="E564" s="169"/>
      <c r="F564" s="169"/>
      <c r="G564" s="170"/>
      <c r="H564" s="171"/>
      <c r="I564" s="163"/>
      <c r="J564" s="54"/>
      <c r="K564" s="55"/>
      <c r="L564" s="62"/>
      <c r="M564" s="55"/>
      <c r="N564" s="55"/>
      <c r="O564" s="164"/>
      <c r="P564" s="164"/>
      <c r="Q564" s="55"/>
      <c r="R564" s="55"/>
      <c r="S564" s="55"/>
      <c r="T564" s="164"/>
      <c r="U564" s="164"/>
    </row>
    <row r="565" spans="1:21" ht="12.75" hidden="1">
      <c r="A565" s="258"/>
      <c r="B565" s="260"/>
      <c r="C565" s="259"/>
      <c r="D565" s="260"/>
      <c r="E565" s="259"/>
      <c r="F565" s="260"/>
      <c r="G565" s="261"/>
      <c r="H565" s="261"/>
      <c r="I565" s="263"/>
      <c r="J565" s="263"/>
      <c r="K565" s="264"/>
      <c r="L565" s="265"/>
      <c r="M565" s="264"/>
      <c r="N565" s="264"/>
      <c r="O565" s="264"/>
      <c r="P565" s="264"/>
      <c r="Q565" s="264"/>
      <c r="R565" s="264"/>
      <c r="S565" s="264"/>
      <c r="T565" s="264"/>
      <c r="U565" s="264"/>
    </row>
    <row r="566" spans="1:21" ht="12.75" hidden="1">
      <c r="A566" s="258"/>
      <c r="B566" s="260"/>
      <c r="C566" s="259"/>
      <c r="D566" s="260"/>
      <c r="E566" s="259"/>
      <c r="F566" s="260"/>
      <c r="G566" s="261"/>
      <c r="H566" s="261"/>
      <c r="I566" s="263"/>
      <c r="J566" s="263"/>
      <c r="K566" s="264"/>
      <c r="L566" s="265"/>
      <c r="M566" s="264"/>
      <c r="N566" s="264"/>
      <c r="O566" s="264"/>
      <c r="P566" s="264"/>
      <c r="Q566" s="264"/>
      <c r="R566" s="264"/>
      <c r="S566" s="264"/>
      <c r="T566" s="264"/>
      <c r="U566" s="264"/>
    </row>
    <row r="567" spans="1:21" ht="12.75" hidden="1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5"/>
      <c r="M567" s="264"/>
      <c r="N567" s="264"/>
      <c r="O567" s="264"/>
      <c r="P567" s="264"/>
      <c r="Q567" s="264"/>
      <c r="R567" s="264"/>
      <c r="S567" s="264"/>
      <c r="T567" s="264"/>
      <c r="U567" s="264"/>
    </row>
    <row r="568" spans="1:21" ht="12.75" hidden="1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5"/>
      <c r="M568" s="264"/>
      <c r="N568" s="264"/>
      <c r="O568" s="264"/>
      <c r="P568" s="264"/>
      <c r="Q568" s="264"/>
      <c r="R568" s="264"/>
      <c r="S568" s="264"/>
      <c r="T568" s="264"/>
      <c r="U568" s="264"/>
    </row>
    <row r="569" spans="1:21" ht="12.75" hidden="1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5"/>
      <c r="M569" s="264"/>
      <c r="N569" s="264"/>
      <c r="O569" s="264"/>
      <c r="P569" s="264"/>
      <c r="Q569" s="264"/>
      <c r="R569" s="264"/>
      <c r="S569" s="264"/>
      <c r="T569" s="264"/>
      <c r="U569" s="264"/>
    </row>
    <row r="570" spans="1:21" ht="12.75" hidden="1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5"/>
      <c r="M570" s="264"/>
      <c r="N570" s="264"/>
      <c r="O570" s="264"/>
      <c r="P570" s="264"/>
      <c r="Q570" s="264"/>
      <c r="R570" s="264"/>
      <c r="S570" s="264"/>
      <c r="T570" s="264"/>
      <c r="U570" s="264"/>
    </row>
    <row r="571" spans="1:21" ht="12.75" hidden="1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5"/>
      <c r="M571" s="264"/>
      <c r="N571" s="264"/>
      <c r="O571" s="264"/>
      <c r="P571" s="264"/>
      <c r="Q571" s="264"/>
      <c r="R571" s="264"/>
      <c r="S571" s="264"/>
      <c r="T571" s="264"/>
      <c r="U571" s="264"/>
    </row>
    <row r="572" spans="1:21" ht="12.75" hidden="1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5"/>
      <c r="M572" s="264"/>
      <c r="N572" s="264"/>
      <c r="O572" s="264"/>
      <c r="P572" s="264"/>
      <c r="Q572" s="264"/>
      <c r="R572" s="264"/>
      <c r="S572" s="264"/>
      <c r="T572" s="264"/>
      <c r="U572" s="264"/>
    </row>
    <row r="573" spans="1:21" ht="12.75" hidden="1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5"/>
      <c r="M573" s="264"/>
      <c r="N573" s="264"/>
      <c r="O573" s="264"/>
      <c r="P573" s="264"/>
      <c r="Q573" s="264"/>
      <c r="R573" s="264"/>
      <c r="S573" s="264"/>
      <c r="T573" s="264"/>
      <c r="U573" s="264"/>
    </row>
    <row r="574" spans="1:21" ht="12.75" hidden="1">
      <c r="A574" s="407"/>
      <c r="B574" s="360"/>
      <c r="C574" s="360"/>
      <c r="D574" s="408"/>
      <c r="E574" s="408"/>
      <c r="F574" s="408"/>
      <c r="G574" s="409"/>
      <c r="H574" s="361"/>
      <c r="I574" s="362"/>
      <c r="J574" s="362"/>
      <c r="K574" s="363"/>
      <c r="L574" s="364"/>
      <c r="M574" s="363"/>
      <c r="N574" s="363"/>
      <c r="O574" s="363"/>
      <c r="P574" s="363"/>
      <c r="Q574" s="363"/>
      <c r="R574" s="363"/>
      <c r="S574" s="363"/>
      <c r="T574" s="363"/>
      <c r="U574" s="363"/>
    </row>
    <row r="575" spans="1:21" ht="19.5" hidden="1">
      <c r="A575" s="395"/>
      <c r="B575" s="396" t="s">
        <v>213</v>
      </c>
      <c r="C575" s="397"/>
      <c r="D575" s="398"/>
      <c r="E575" s="398"/>
      <c r="F575" s="398"/>
      <c r="G575" s="399"/>
      <c r="H575" s="410" t="s">
        <v>61</v>
      </c>
      <c r="I575" s="577">
        <f>I587</f>
        <v>0</v>
      </c>
      <c r="J575" s="577">
        <f>J587</f>
        <v>0</v>
      </c>
      <c r="K575" s="576">
        <f>IF(I575&gt;0,J575*100/I575,0)</f>
        <v>0</v>
      </c>
      <c r="L575" s="404"/>
      <c r="M575" s="403"/>
      <c r="N575" s="403"/>
      <c r="O575" s="403"/>
      <c r="P575" s="403"/>
      <c r="Q575" s="403"/>
      <c r="R575" s="403"/>
      <c r="S575" s="403"/>
      <c r="T575" s="403"/>
      <c r="U575" s="403"/>
    </row>
    <row r="576" spans="1:21" ht="19.5" hidden="1">
      <c r="A576" s="155"/>
      <c r="B576" s="50"/>
      <c r="C576" s="156" t="s">
        <v>18</v>
      </c>
      <c r="D576" s="575" t="s">
        <v>19</v>
      </c>
      <c r="E576" s="50"/>
      <c r="F576" s="50"/>
      <c r="G576" s="52"/>
      <c r="H576" s="158" t="s">
        <v>14</v>
      </c>
      <c r="I576" s="54"/>
      <c r="J576" s="54"/>
      <c r="K576" s="55"/>
      <c r="L576" s="541">
        <f>L577+L578</f>
        <v>0</v>
      </c>
      <c r="M576" s="540">
        <f>M577+M578</f>
        <v>0</v>
      </c>
      <c r="N576" s="540">
        <f>N577+N578</f>
        <v>0</v>
      </c>
      <c r="O576" s="540">
        <f>IF(L576&gt;0,N576*100/L576,0)</f>
        <v>0</v>
      </c>
      <c r="P576" s="540">
        <f>IF(M576&gt;0,N576*100/M576,0)</f>
        <v>0</v>
      </c>
      <c r="Q576" s="540">
        <f>Q577+Q578</f>
        <v>0</v>
      </c>
      <c r="R576" s="540">
        <f>R577+R578</f>
        <v>0</v>
      </c>
      <c r="S576" s="540">
        <f>S577+S578</f>
        <v>0</v>
      </c>
      <c r="T576" s="540">
        <f>IF(Q576&gt;0,S576*100/Q576,0)</f>
        <v>0</v>
      </c>
      <c r="U576" s="540">
        <f>IF(R576&gt;0,S576*100/R576,0)</f>
        <v>0</v>
      </c>
    </row>
    <row r="577" spans="1:21" ht="18.75" hidden="1">
      <c r="A577" s="155"/>
      <c r="B577" s="188"/>
      <c r="C577" s="50"/>
      <c r="D577" s="50"/>
      <c r="E577" s="186" t="s">
        <v>20</v>
      </c>
      <c r="F577" s="50"/>
      <c r="G577" s="52"/>
      <c r="H577" s="187" t="s">
        <v>14</v>
      </c>
      <c r="I577" s="54"/>
      <c r="J577" s="54"/>
      <c r="K577" s="55"/>
      <c r="L577" s="103">
        <f>L580+L583</f>
        <v>0</v>
      </c>
      <c r="M577" s="102">
        <f>M580+M583</f>
        <v>0</v>
      </c>
      <c r="N577" s="102">
        <f>N580+N583</f>
        <v>0</v>
      </c>
      <c r="O577" s="102">
        <f>IF(L577&gt;0,N577*100/L577,0)</f>
        <v>0</v>
      </c>
      <c r="P577" s="102">
        <f>IF(M577&gt;0,N577*100/M577,0)</f>
        <v>0</v>
      </c>
      <c r="Q577" s="102">
        <f>Q580+Q583</f>
        <v>0</v>
      </c>
      <c r="R577" s="102">
        <f>R580+R583</f>
        <v>0</v>
      </c>
      <c r="S577" s="102">
        <f>S580+S583</f>
        <v>0</v>
      </c>
      <c r="T577" s="102">
        <f>IF(Q577&gt;0,S577*100/Q577,0)</f>
        <v>0</v>
      </c>
      <c r="U577" s="102">
        <f>IF(R577&gt;0,S577*100/R577,0)</f>
        <v>0</v>
      </c>
    </row>
    <row r="578" spans="1:21" ht="18.75" hidden="1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256">
        <f>L581+L584</f>
        <v>0</v>
      </c>
      <c r="M578" s="255">
        <f>M581+M584</f>
        <v>0</v>
      </c>
      <c r="N578" s="255">
        <f>N581+N584</f>
        <v>0</v>
      </c>
      <c r="O578" s="255">
        <f>IF(L578&gt;0,N578*100/L578,0)</f>
        <v>0</v>
      </c>
      <c r="P578" s="255">
        <f>IF(M578&gt;0,N578*100/M578,0)</f>
        <v>0</v>
      </c>
      <c r="Q578" s="255">
        <f>Q581+Q584</f>
        <v>0</v>
      </c>
      <c r="R578" s="255">
        <f>R581+R584</f>
        <v>0</v>
      </c>
      <c r="S578" s="255">
        <f>S581+S584</f>
        <v>0</v>
      </c>
      <c r="T578" s="255">
        <f>IF(Q578&gt;0,S578*100/Q578,0)</f>
        <v>0</v>
      </c>
      <c r="U578" s="255">
        <f>IF(R578&gt;0,S578*100/R578,0)</f>
        <v>0</v>
      </c>
    </row>
    <row r="579" spans="1:21" ht="18.75" hidden="1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256">
        <f>L580+L581</f>
        <v>0</v>
      </c>
      <c r="M579" s="255">
        <f>M580+M581</f>
        <v>0</v>
      </c>
      <c r="N579" s="255">
        <f>N580+N581</f>
        <v>0</v>
      </c>
      <c r="O579" s="255">
        <f>IF(L579&gt;0,N579*100/L579,0)</f>
        <v>0</v>
      </c>
      <c r="P579" s="255">
        <f>IF(M579&gt;0,N579*100/M579,0)</f>
        <v>0</v>
      </c>
      <c r="Q579" s="255">
        <f>Q580+Q581</f>
        <v>0</v>
      </c>
      <c r="R579" s="255">
        <f>R580+R581</f>
        <v>0</v>
      </c>
      <c r="S579" s="255">
        <f>S580+S581</f>
        <v>0</v>
      </c>
      <c r="T579" s="255">
        <f>IF(Q579&gt;0,S579*100/Q579,0)</f>
        <v>0</v>
      </c>
      <c r="U579" s="255">
        <f>IF(R579&gt;0,S579*100/R579,0)</f>
        <v>0</v>
      </c>
    </row>
    <row r="580" spans="1:21" ht="18.75" hidden="1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103">
        <v>0</v>
      </c>
      <c r="M580" s="102">
        <v>0</v>
      </c>
      <c r="N580" s="102">
        <v>0</v>
      </c>
      <c r="O580" s="102">
        <f>IF(L580&gt;0,N580*100/L580,0)</f>
        <v>0</v>
      </c>
      <c r="P580" s="102">
        <f>IF(M580&gt;0,N580*100/M580,0)</f>
        <v>0</v>
      </c>
      <c r="Q580" s="102">
        <v>0</v>
      </c>
      <c r="R580" s="102">
        <v>0</v>
      </c>
      <c r="S580" s="102">
        <v>0</v>
      </c>
      <c r="T580" s="102">
        <f>IF(Q580&gt;0,S580*100/Q580,0)</f>
        <v>0</v>
      </c>
      <c r="U580" s="102">
        <f>IF(R580&gt;0,S580*100/R580,0)</f>
        <v>0</v>
      </c>
    </row>
    <row r="581" spans="1:21" ht="18.75" hidden="1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256">
        <v>0</v>
      </c>
      <c r="M581" s="255">
        <v>0</v>
      </c>
      <c r="N581" s="255">
        <v>0</v>
      </c>
      <c r="O581" s="255">
        <f>IF(L581&gt;0,N581*100/L581,0)</f>
        <v>0</v>
      </c>
      <c r="P581" s="255">
        <f>IF(M581&gt;0,N581*100/M581,0)</f>
        <v>0</v>
      </c>
      <c r="Q581" s="255">
        <v>0</v>
      </c>
      <c r="R581" s="255">
        <v>0</v>
      </c>
      <c r="S581" s="255">
        <v>0</v>
      </c>
      <c r="T581" s="255">
        <f>IF(Q581&gt;0,S581*100/Q581,0)</f>
        <v>0</v>
      </c>
      <c r="U581" s="255">
        <f>IF(R581&gt;0,S581*100/R581,0)</f>
        <v>0</v>
      </c>
    </row>
    <row r="582" spans="1:21" ht="18.75" hidden="1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256">
        <f>L583+L584</f>
        <v>0</v>
      </c>
      <c r="M582" s="255">
        <f>M583+M584</f>
        <v>0</v>
      </c>
      <c r="N582" s="255">
        <f>N583+N584</f>
        <v>0</v>
      </c>
      <c r="O582" s="255">
        <f>IF(L582&gt;0,N582*100/L582,0)</f>
        <v>0</v>
      </c>
      <c r="P582" s="255">
        <f>IF(M582&gt;0,N582*100/M582,0)</f>
        <v>0</v>
      </c>
      <c r="Q582" s="255">
        <f>Q583+Q584</f>
        <v>0</v>
      </c>
      <c r="R582" s="255">
        <f>R583+R584</f>
        <v>0</v>
      </c>
      <c r="S582" s="255">
        <f>S583+S584</f>
        <v>0</v>
      </c>
      <c r="T582" s="255">
        <f>IF(Q582&gt;0,S582*100/Q582,0)</f>
        <v>0</v>
      </c>
      <c r="U582" s="255">
        <f>IF(R582&gt;0,S582*100/R582,0)</f>
        <v>0</v>
      </c>
    </row>
    <row r="583" spans="1:21" ht="18.75" hidden="1">
      <c r="A583" s="155"/>
      <c r="B583" s="50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103">
        <v>0</v>
      </c>
      <c r="M583" s="102">
        <v>0</v>
      </c>
      <c r="N583" s="102">
        <v>0</v>
      </c>
      <c r="O583" s="102">
        <f>IF(L583&gt;0,N583*100/L583,0)</f>
        <v>0</v>
      </c>
      <c r="P583" s="102">
        <f>IF(M583&gt;0,N583*100/M583,0)</f>
        <v>0</v>
      </c>
      <c r="Q583" s="102">
        <v>0</v>
      </c>
      <c r="R583" s="102">
        <v>0</v>
      </c>
      <c r="S583" s="102">
        <v>0</v>
      </c>
      <c r="T583" s="102">
        <f>IF(Q583&gt;0,S583*100/Q583,0)</f>
        <v>0</v>
      </c>
      <c r="U583" s="102">
        <f>IF(R583&gt;0,S583*100/R583,0)</f>
        <v>0</v>
      </c>
    </row>
    <row r="584" spans="1:21" ht="18.75" hidden="1">
      <c r="A584" s="155"/>
      <c r="B584" s="50"/>
      <c r="C584" s="50"/>
      <c r="D584" s="50"/>
      <c r="E584" s="58" t="s">
        <v>21</v>
      </c>
      <c r="F584" s="50"/>
      <c r="G584" s="52"/>
      <c r="H584" s="165" t="s">
        <v>14</v>
      </c>
      <c r="I584" s="163"/>
      <c r="J584" s="163"/>
      <c r="K584" s="164"/>
      <c r="L584" s="256">
        <v>0</v>
      </c>
      <c r="M584" s="255">
        <v>0</v>
      </c>
      <c r="N584" s="255">
        <v>0</v>
      </c>
      <c r="O584" s="255">
        <f>IF(L584&gt;0,N584*100/L584,0)</f>
        <v>0</v>
      </c>
      <c r="P584" s="255">
        <f>IF(M584&gt;0,N584*100/M584,0)</f>
        <v>0</v>
      </c>
      <c r="Q584" s="255">
        <v>0</v>
      </c>
      <c r="R584" s="255">
        <v>0</v>
      </c>
      <c r="S584" s="255">
        <v>0</v>
      </c>
      <c r="T584" s="255">
        <f>IF(Q584&gt;0,S584*100/Q584,0)</f>
        <v>0</v>
      </c>
      <c r="U584" s="255">
        <f>IF(R584&gt;0,S584*100/R584,0)</f>
        <v>0</v>
      </c>
    </row>
    <row r="585" spans="1:21" ht="19.5" hidden="1">
      <c r="A585" s="166"/>
      <c r="B585" s="167"/>
      <c r="C585" s="411" t="s">
        <v>18</v>
      </c>
      <c r="D585" s="566" t="s">
        <v>38</v>
      </c>
      <c r="E585" s="169"/>
      <c r="F585" s="169"/>
      <c r="G585" s="170"/>
      <c r="H585" s="171"/>
      <c r="I585" s="163"/>
      <c r="J585" s="54"/>
      <c r="K585" s="55"/>
      <c r="L585" s="62"/>
      <c r="M585" s="55"/>
      <c r="N585" s="55"/>
      <c r="O585" s="164"/>
      <c r="P585" s="164"/>
      <c r="Q585" s="55"/>
      <c r="R585" s="55"/>
      <c r="S585" s="55"/>
      <c r="T585" s="164"/>
      <c r="U585" s="164"/>
    </row>
    <row r="586" spans="1:21" ht="12.75" hidden="1">
      <c r="A586" s="258"/>
      <c r="B586" s="260"/>
      <c r="C586" s="259"/>
      <c r="D586" s="260"/>
      <c r="E586" s="259"/>
      <c r="F586" s="260"/>
      <c r="G586" s="261"/>
      <c r="H586" s="261"/>
      <c r="I586" s="263"/>
      <c r="J586" s="263"/>
      <c r="K586" s="264"/>
      <c r="L586" s="265"/>
      <c r="M586" s="264"/>
      <c r="N586" s="264"/>
      <c r="O586" s="264"/>
      <c r="P586" s="264"/>
      <c r="Q586" s="264"/>
      <c r="R586" s="264"/>
      <c r="S586" s="264"/>
      <c r="T586" s="264"/>
      <c r="U586" s="264"/>
    </row>
    <row r="587" spans="1:21" ht="12.75" hidden="1">
      <c r="A587" s="258"/>
      <c r="B587" s="260"/>
      <c r="C587" s="259"/>
      <c r="D587" s="260"/>
      <c r="E587" s="259"/>
      <c r="F587" s="260"/>
      <c r="G587" s="261"/>
      <c r="H587" s="261"/>
      <c r="I587" s="263"/>
      <c r="J587" s="263"/>
      <c r="K587" s="264"/>
      <c r="L587" s="265"/>
      <c r="M587" s="264"/>
      <c r="N587" s="264"/>
      <c r="O587" s="264"/>
      <c r="P587" s="264"/>
      <c r="Q587" s="264"/>
      <c r="R587" s="264"/>
      <c r="S587" s="264"/>
      <c r="T587" s="264"/>
      <c r="U587" s="264"/>
    </row>
    <row r="588" spans="1:21" ht="12.75" hidden="1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5"/>
      <c r="M588" s="264"/>
      <c r="N588" s="264"/>
      <c r="O588" s="264"/>
      <c r="P588" s="264"/>
      <c r="Q588" s="264"/>
      <c r="R588" s="264"/>
      <c r="S588" s="264"/>
      <c r="T588" s="264"/>
      <c r="U588" s="264"/>
    </row>
    <row r="589" spans="1:21" ht="12.75" hidden="1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5"/>
      <c r="M589" s="264"/>
      <c r="N589" s="264"/>
      <c r="O589" s="264"/>
      <c r="P589" s="264"/>
      <c r="Q589" s="264"/>
      <c r="R589" s="264"/>
      <c r="S589" s="264"/>
      <c r="T589" s="264"/>
      <c r="U589" s="264"/>
    </row>
    <row r="590" spans="1:21" ht="12.75" hidden="1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5"/>
      <c r="M590" s="264"/>
      <c r="N590" s="264"/>
      <c r="O590" s="264"/>
      <c r="P590" s="264"/>
      <c r="Q590" s="264"/>
      <c r="R590" s="264"/>
      <c r="S590" s="264"/>
      <c r="T590" s="264"/>
      <c r="U590" s="264"/>
    </row>
    <row r="591" spans="1:21" ht="12.75" hidden="1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5"/>
      <c r="M591" s="264"/>
      <c r="N591" s="264"/>
      <c r="O591" s="264"/>
      <c r="P591" s="264"/>
      <c r="Q591" s="264"/>
      <c r="R591" s="264"/>
      <c r="S591" s="264"/>
      <c r="T591" s="264"/>
      <c r="U591" s="264"/>
    </row>
    <row r="592" spans="1:21" ht="12.75" hidden="1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5"/>
      <c r="M592" s="264"/>
      <c r="N592" s="264"/>
      <c r="O592" s="264"/>
      <c r="P592" s="264"/>
      <c r="Q592" s="264"/>
      <c r="R592" s="264"/>
      <c r="S592" s="264"/>
      <c r="T592" s="264"/>
      <c r="U592" s="264"/>
    </row>
    <row r="593" spans="1:21" ht="12.75" hidden="1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5"/>
      <c r="M593" s="264"/>
      <c r="N593" s="264"/>
      <c r="O593" s="264"/>
      <c r="P593" s="264"/>
      <c r="Q593" s="264"/>
      <c r="R593" s="264"/>
      <c r="S593" s="264"/>
      <c r="T593" s="264"/>
      <c r="U593" s="264"/>
    </row>
    <row r="594" spans="1:21" ht="12.75" hidden="1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5"/>
      <c r="M594" s="264"/>
      <c r="N594" s="264"/>
      <c r="O594" s="264"/>
      <c r="P594" s="264"/>
      <c r="Q594" s="264"/>
      <c r="R594" s="264"/>
      <c r="S594" s="264"/>
      <c r="T594" s="264"/>
      <c r="U594" s="264"/>
    </row>
    <row r="595" spans="1:21" ht="12.75" hidden="1">
      <c r="A595" s="407"/>
      <c r="B595" s="360"/>
      <c r="C595" s="360"/>
      <c r="D595" s="408"/>
      <c r="E595" s="408"/>
      <c r="F595" s="408"/>
      <c r="G595" s="409"/>
      <c r="H595" s="361"/>
      <c r="I595" s="362"/>
      <c r="J595" s="362"/>
      <c r="K595" s="363"/>
      <c r="L595" s="364"/>
      <c r="M595" s="363"/>
      <c r="N595" s="363"/>
      <c r="O595" s="363"/>
      <c r="P595" s="363"/>
      <c r="Q595" s="363"/>
      <c r="R595" s="363"/>
      <c r="S595" s="363"/>
      <c r="T595" s="363"/>
      <c r="U595" s="363"/>
    </row>
    <row r="596" spans="1:21" ht="19.5" hidden="1">
      <c r="A596" s="412" t="s">
        <v>214</v>
      </c>
      <c r="B596" s="144"/>
      <c r="C596" s="196"/>
      <c r="D596" s="144"/>
      <c r="E596" s="144"/>
      <c r="F596" s="144"/>
      <c r="G596" s="144"/>
      <c r="H596" s="145"/>
      <c r="I596" s="197"/>
      <c r="J596" s="197"/>
      <c r="K596" s="19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8"/>
    </row>
    <row r="597" spans="1:21" ht="19.5" hidden="1">
      <c r="A597" s="150"/>
      <c r="B597" s="413" t="s">
        <v>215</v>
      </c>
      <c r="C597" s="200"/>
      <c r="D597" s="151"/>
      <c r="E597" s="34"/>
      <c r="F597" s="34"/>
      <c r="G597" s="34"/>
      <c r="H597" s="414" t="s">
        <v>99</v>
      </c>
      <c r="I597" s="210"/>
      <c r="J597" s="39"/>
      <c r="K597" s="40"/>
      <c r="L597" s="154"/>
      <c r="M597" s="40"/>
      <c r="N597" s="40"/>
      <c r="O597" s="40"/>
      <c r="P597" s="40"/>
      <c r="Q597" s="40"/>
      <c r="R597" s="40"/>
      <c r="S597" s="40"/>
      <c r="T597" s="40"/>
      <c r="U597" s="40"/>
    </row>
    <row r="598" spans="1:21" ht="19.5" hidden="1">
      <c r="A598" s="415"/>
      <c r="B598" s="416" t="s">
        <v>216</v>
      </c>
      <c r="C598" s="151"/>
      <c r="D598" s="34"/>
      <c r="E598" s="34"/>
      <c r="F598" s="34"/>
      <c r="G598" s="37"/>
      <c r="H598" s="417" t="s">
        <v>35</v>
      </c>
      <c r="I598" s="39"/>
      <c r="J598" s="39"/>
      <c r="K598" s="40"/>
      <c r="L598" s="154"/>
      <c r="M598" s="40"/>
      <c r="N598" s="40"/>
      <c r="O598" s="40"/>
      <c r="P598" s="40"/>
      <c r="Q598" s="40"/>
      <c r="R598" s="40"/>
      <c r="S598" s="40"/>
      <c r="T598" s="40"/>
      <c r="U598" s="40"/>
    </row>
    <row r="599" spans="1:21" ht="19.5" hidden="1">
      <c r="A599" s="155"/>
      <c r="B599" s="188"/>
      <c r="C599" s="205" t="s">
        <v>18</v>
      </c>
      <c r="D599" s="563" t="s">
        <v>19</v>
      </c>
      <c r="E599" s="529"/>
      <c r="F599" s="529"/>
      <c r="G599" s="530"/>
      <c r="H599" s="418" t="s">
        <v>14</v>
      </c>
      <c r="I599" s="54"/>
      <c r="J599" s="54"/>
      <c r="K599" s="55"/>
      <c r="L599" s="541">
        <f>L600+L601</f>
        <v>0</v>
      </c>
      <c r="M599" s="540">
        <f>M600+M601</f>
        <v>0</v>
      </c>
      <c r="N599" s="540">
        <f>N600+N601</f>
        <v>0</v>
      </c>
      <c r="O599" s="540">
        <f>IF(L599&gt;0,N599*100/L599,0)</f>
        <v>0</v>
      </c>
      <c r="P599" s="540">
        <f>IF(M599&gt;0,N599*100/M599,0)</f>
        <v>0</v>
      </c>
      <c r="Q599" s="540">
        <f>Q600+Q601</f>
        <v>0</v>
      </c>
      <c r="R599" s="540">
        <f>R600+R601</f>
        <v>0</v>
      </c>
      <c r="S599" s="540">
        <f>S600+S601</f>
        <v>0</v>
      </c>
      <c r="T599" s="540">
        <f>IF(Q599&gt;0,S599*100/Q599,0)</f>
        <v>0</v>
      </c>
      <c r="U599" s="540">
        <f>IF(R599&gt;0,S599*100/R599,0)</f>
        <v>0</v>
      </c>
    </row>
    <row r="600" spans="1:21" ht="18.75" hidden="1">
      <c r="A600" s="155"/>
      <c r="B600" s="188"/>
      <c r="C600" s="188"/>
      <c r="D600" s="174"/>
      <c r="E600" s="186" t="s">
        <v>159</v>
      </c>
      <c r="F600" s="50"/>
      <c r="G600" s="52"/>
      <c r="H600" s="189" t="s">
        <v>14</v>
      </c>
      <c r="I600" s="54"/>
      <c r="J600" s="54"/>
      <c r="K600" s="55"/>
      <c r="L600" s="103">
        <f>L603+L606</f>
        <v>0</v>
      </c>
      <c r="M600" s="102">
        <f>M603+M606</f>
        <v>0</v>
      </c>
      <c r="N600" s="102">
        <f>N603+N606</f>
        <v>0</v>
      </c>
      <c r="O600" s="102">
        <f>IF(L600&gt;0,N600*100/L600,0)</f>
        <v>0</v>
      </c>
      <c r="P600" s="102">
        <f>IF(M600&gt;0,N600*100/M600,0)</f>
        <v>0</v>
      </c>
      <c r="Q600" s="102">
        <f>Q603+Q606</f>
        <v>0</v>
      </c>
      <c r="R600" s="102">
        <f>R603+R606</f>
        <v>0</v>
      </c>
      <c r="S600" s="102">
        <f>S603+S606</f>
        <v>0</v>
      </c>
      <c r="T600" s="102">
        <f>IF(Q600&gt;0,S600*100/Q600,0)</f>
        <v>0</v>
      </c>
      <c r="U600" s="102">
        <f>IF(R600&gt;0,S600*100/R600,0)</f>
        <v>0</v>
      </c>
    </row>
    <row r="601" spans="1:21" ht="18.75" hidden="1">
      <c r="A601" s="155"/>
      <c r="B601" s="188"/>
      <c r="C601" s="188"/>
      <c r="D601" s="174"/>
      <c r="E601" s="186" t="s">
        <v>160</v>
      </c>
      <c r="F601" s="50"/>
      <c r="G601" s="52"/>
      <c r="H601" s="189" t="s">
        <v>14</v>
      </c>
      <c r="I601" s="54"/>
      <c r="J601" s="54"/>
      <c r="K601" s="55"/>
      <c r="L601" s="256">
        <f>L604+L607</f>
        <v>0</v>
      </c>
      <c r="M601" s="255">
        <f>M604+M607</f>
        <v>0</v>
      </c>
      <c r="N601" s="255">
        <f>N604+N607</f>
        <v>0</v>
      </c>
      <c r="O601" s="255">
        <f>IF(L601&gt;0,N601*100/L601,0)</f>
        <v>0</v>
      </c>
      <c r="P601" s="255">
        <f>IF(M601&gt;0,N601*100/M601,0)</f>
        <v>0</v>
      </c>
      <c r="Q601" s="255">
        <f>Q604+Q607</f>
        <v>0</v>
      </c>
      <c r="R601" s="255">
        <f>R604+R607</f>
        <v>0</v>
      </c>
      <c r="S601" s="255">
        <f>S604+S607</f>
        <v>0</v>
      </c>
      <c r="T601" s="255">
        <f>IF(Q601&gt;0,S601*100/Q601,0)</f>
        <v>0</v>
      </c>
      <c r="U601" s="255">
        <f>IF(R601&gt;0,S601*100/R601,0)</f>
        <v>0</v>
      </c>
    </row>
    <row r="602" spans="1:21" ht="19.5" hidden="1">
      <c r="A602" s="155"/>
      <c r="B602" s="188"/>
      <c r="C602" s="188"/>
      <c r="D602" s="562" t="s">
        <v>22</v>
      </c>
      <c r="E602" s="50"/>
      <c r="F602" s="50"/>
      <c r="G602" s="52"/>
      <c r="H602" s="418" t="s">
        <v>14</v>
      </c>
      <c r="I602" s="163"/>
      <c r="J602" s="163"/>
      <c r="K602" s="164"/>
      <c r="L602" s="256">
        <f>L603+L604</f>
        <v>0</v>
      </c>
      <c r="M602" s="255">
        <f>M603+M604</f>
        <v>0</v>
      </c>
      <c r="N602" s="255">
        <f>N603+N604</f>
        <v>0</v>
      </c>
      <c r="O602" s="255">
        <f>IF(L602&gt;0,N602*100/L602,0)</f>
        <v>0</v>
      </c>
      <c r="P602" s="255">
        <f>IF(M602&gt;0,N602*100/M602,0)</f>
        <v>0</v>
      </c>
      <c r="Q602" s="255">
        <f>Q603+Q604</f>
        <v>0</v>
      </c>
      <c r="R602" s="255">
        <f>R603+R604</f>
        <v>0</v>
      </c>
      <c r="S602" s="255">
        <f>S603+S604</f>
        <v>0</v>
      </c>
      <c r="T602" s="255">
        <f>IF(Q602&gt;0,S602*100/Q602,0)</f>
        <v>0</v>
      </c>
      <c r="U602" s="255">
        <f>IF(R602&gt;0,S602*100/R602,0)</f>
        <v>0</v>
      </c>
    </row>
    <row r="603" spans="1:21" ht="18.75" hidden="1">
      <c r="A603" s="155"/>
      <c r="B603" s="188"/>
      <c r="C603" s="188"/>
      <c r="D603" s="174"/>
      <c r="E603" s="186" t="s">
        <v>159</v>
      </c>
      <c r="F603" s="50"/>
      <c r="G603" s="52"/>
      <c r="H603" s="189" t="s">
        <v>14</v>
      </c>
      <c r="I603" s="54"/>
      <c r="J603" s="54"/>
      <c r="K603" s="55"/>
      <c r="L603" s="103">
        <v>0</v>
      </c>
      <c r="M603" s="102">
        <v>0</v>
      </c>
      <c r="N603" s="102">
        <v>0</v>
      </c>
      <c r="O603" s="102">
        <f>IF(L603&gt;0,N603*100/L603,0)</f>
        <v>0</v>
      </c>
      <c r="P603" s="102">
        <f>IF(M603&gt;0,N603*100/M603,0)</f>
        <v>0</v>
      </c>
      <c r="Q603" s="102">
        <v>0</v>
      </c>
      <c r="R603" s="102">
        <v>0</v>
      </c>
      <c r="S603" s="102">
        <v>0</v>
      </c>
      <c r="T603" s="102">
        <f>IF(Q603&gt;0,S603*100/Q603,0)</f>
        <v>0</v>
      </c>
      <c r="U603" s="102">
        <f>IF(R603&gt;0,S603*100/R603,0)</f>
        <v>0</v>
      </c>
    </row>
    <row r="604" spans="1:21" ht="18.75" hidden="1">
      <c r="A604" s="155"/>
      <c r="B604" s="188"/>
      <c r="C604" s="188"/>
      <c r="D604" s="174"/>
      <c r="E604" s="186" t="s">
        <v>160</v>
      </c>
      <c r="F604" s="50"/>
      <c r="G604" s="52"/>
      <c r="H604" s="189" t="s">
        <v>14</v>
      </c>
      <c r="I604" s="54"/>
      <c r="J604" s="54"/>
      <c r="K604" s="55"/>
      <c r="L604" s="256">
        <v>0</v>
      </c>
      <c r="M604" s="255">
        <v>0</v>
      </c>
      <c r="N604" s="255">
        <v>0</v>
      </c>
      <c r="O604" s="255">
        <f>IF(L604&gt;0,N604*100/L604,0)</f>
        <v>0</v>
      </c>
      <c r="P604" s="255">
        <f>IF(M604&gt;0,N604*100/M604,0)</f>
        <v>0</v>
      </c>
      <c r="Q604" s="255">
        <v>0</v>
      </c>
      <c r="R604" s="255">
        <v>0</v>
      </c>
      <c r="S604" s="255">
        <v>0</v>
      </c>
      <c r="T604" s="255">
        <f>IF(Q604&gt;0,S604*100/Q604,0)</f>
        <v>0</v>
      </c>
      <c r="U604" s="255">
        <f>IF(R604&gt;0,S604*100/R604,0)</f>
        <v>0</v>
      </c>
    </row>
    <row r="605" spans="1:21" ht="19.5" hidden="1">
      <c r="A605" s="155"/>
      <c r="B605" s="188"/>
      <c r="C605" s="188"/>
      <c r="D605" s="562" t="s">
        <v>23</v>
      </c>
      <c r="E605" s="188"/>
      <c r="F605" s="50"/>
      <c r="G605" s="52"/>
      <c r="H605" s="420" t="s">
        <v>14</v>
      </c>
      <c r="I605" s="163"/>
      <c r="J605" s="163"/>
      <c r="K605" s="164"/>
      <c r="L605" s="256">
        <f>L606+L607</f>
        <v>0</v>
      </c>
      <c r="M605" s="255">
        <f>M606+M607</f>
        <v>0</v>
      </c>
      <c r="N605" s="255">
        <f>N606+N607</f>
        <v>0</v>
      </c>
      <c r="O605" s="255">
        <f>IF(L605&gt;0,N605*100/L605,0)</f>
        <v>0</v>
      </c>
      <c r="P605" s="255">
        <f>IF(M605&gt;0,N605*100/M605,0)</f>
        <v>0</v>
      </c>
      <c r="Q605" s="255">
        <f>Q606+Q607</f>
        <v>0</v>
      </c>
      <c r="R605" s="255">
        <f>R606+R607</f>
        <v>0</v>
      </c>
      <c r="S605" s="255">
        <f>S606+S607</f>
        <v>0</v>
      </c>
      <c r="T605" s="255">
        <f>IF(Q605&gt;0,S605*100/Q605,0)</f>
        <v>0</v>
      </c>
      <c r="U605" s="255">
        <f>IF(R605&gt;0,S605*100/R605,0)</f>
        <v>0</v>
      </c>
    </row>
    <row r="606" spans="1:21" ht="18.75" hidden="1">
      <c r="A606" s="155"/>
      <c r="B606" s="188"/>
      <c r="C606" s="188"/>
      <c r="D606" s="188"/>
      <c r="E606" s="358" t="s">
        <v>20</v>
      </c>
      <c r="F606" s="50"/>
      <c r="G606" s="52"/>
      <c r="H606" s="189" t="s">
        <v>14</v>
      </c>
      <c r="I606" s="163"/>
      <c r="J606" s="163"/>
      <c r="K606" s="164"/>
      <c r="L606" s="103">
        <v>0</v>
      </c>
      <c r="M606" s="102">
        <v>0</v>
      </c>
      <c r="N606" s="102">
        <v>0</v>
      </c>
      <c r="O606" s="102">
        <f>IF(L606&gt;0,N606*100/L606,0)</f>
        <v>0</v>
      </c>
      <c r="P606" s="102">
        <f>IF(M606&gt;0,N606*100/M606,0)</f>
        <v>0</v>
      </c>
      <c r="Q606" s="102">
        <v>0</v>
      </c>
      <c r="R606" s="102">
        <v>0</v>
      </c>
      <c r="S606" s="102">
        <v>0</v>
      </c>
      <c r="T606" s="102">
        <f>IF(Q606&gt;0,S606*100/Q606,0)</f>
        <v>0</v>
      </c>
      <c r="U606" s="102">
        <f>IF(R606&gt;0,S606*100/R606,0)</f>
        <v>0</v>
      </c>
    </row>
    <row r="607" spans="1:21" ht="18.75" hidden="1">
      <c r="A607" s="155"/>
      <c r="B607" s="188"/>
      <c r="C607" s="188"/>
      <c r="D607" s="50"/>
      <c r="E607" s="358" t="s">
        <v>21</v>
      </c>
      <c r="F607" s="50"/>
      <c r="G607" s="52"/>
      <c r="H607" s="421" t="s">
        <v>14</v>
      </c>
      <c r="I607" s="163"/>
      <c r="J607" s="163"/>
      <c r="K607" s="164"/>
      <c r="L607" s="256">
        <v>0</v>
      </c>
      <c r="M607" s="255">
        <v>0</v>
      </c>
      <c r="N607" s="255">
        <v>0</v>
      </c>
      <c r="O607" s="255">
        <f>IF(L607&gt;0,N607*100/L607,0)</f>
        <v>0</v>
      </c>
      <c r="P607" s="255">
        <f>IF(M607&gt;0,N607*100/M607,0)</f>
        <v>0</v>
      </c>
      <c r="Q607" s="255">
        <v>0</v>
      </c>
      <c r="R607" s="255">
        <v>0</v>
      </c>
      <c r="S607" s="255">
        <v>0</v>
      </c>
      <c r="T607" s="255">
        <f>IF(Q607&gt;0,S607*100/Q607,0)</f>
        <v>0</v>
      </c>
      <c r="U607" s="255">
        <f>IF(R607&gt;0,S607*100/R607,0)</f>
        <v>0</v>
      </c>
    </row>
    <row r="608" spans="1:21" ht="19.5" hidden="1">
      <c r="A608" s="166"/>
      <c r="B608" s="167"/>
      <c r="C608" s="205" t="s">
        <v>18</v>
      </c>
      <c r="D608" s="574" t="s">
        <v>38</v>
      </c>
      <c r="E608" s="169"/>
      <c r="F608" s="169"/>
      <c r="G608" s="170"/>
      <c r="H608" s="206"/>
      <c r="I608" s="163"/>
      <c r="J608" s="163"/>
      <c r="K608" s="164"/>
      <c r="L608" s="62"/>
      <c r="M608" s="55"/>
      <c r="N608" s="55"/>
      <c r="O608" s="55"/>
      <c r="P608" s="55"/>
      <c r="Q608" s="55"/>
      <c r="R608" s="55"/>
      <c r="S608" s="55"/>
      <c r="T608" s="55"/>
      <c r="U608" s="55"/>
    </row>
    <row r="609" spans="1:21" ht="18.75" hidden="1">
      <c r="A609" s="166"/>
      <c r="B609" s="167"/>
      <c r="C609" s="167"/>
      <c r="D609" s="423" t="s">
        <v>217</v>
      </c>
      <c r="E609" s="174"/>
      <c r="F609" s="174"/>
      <c r="G609" s="171"/>
      <c r="H609" s="189" t="s">
        <v>99</v>
      </c>
      <c r="I609" s="54"/>
      <c r="J609" s="54"/>
      <c r="K609" s="164"/>
      <c r="L609" s="62"/>
      <c r="M609" s="55"/>
      <c r="N609" s="55"/>
      <c r="O609" s="55"/>
      <c r="P609" s="55"/>
      <c r="Q609" s="55"/>
      <c r="R609" s="55"/>
      <c r="S609" s="55"/>
      <c r="T609" s="55"/>
      <c r="U609" s="55"/>
    </row>
    <row r="610" spans="1:21" ht="19.5" hidden="1">
      <c r="A610" s="166"/>
      <c r="B610" s="167"/>
      <c r="C610" s="167"/>
      <c r="D610" s="423" t="s">
        <v>218</v>
      </c>
      <c r="E610" s="174"/>
      <c r="F610" s="174"/>
      <c r="G610" s="171"/>
      <c r="H610" s="418" t="s">
        <v>35</v>
      </c>
      <c r="I610" s="54"/>
      <c r="J610" s="54"/>
      <c r="K610" s="164"/>
      <c r="L610" s="62"/>
      <c r="M610" s="55"/>
      <c r="N610" s="55"/>
      <c r="O610" s="55"/>
      <c r="P610" s="55"/>
      <c r="Q610" s="55"/>
      <c r="R610" s="55"/>
      <c r="S610" s="55"/>
      <c r="T610" s="55"/>
      <c r="U610" s="55"/>
    </row>
    <row r="611" spans="1:21" ht="18.75" hidden="1">
      <c r="A611" s="166"/>
      <c r="B611" s="167"/>
      <c r="C611" s="167"/>
      <c r="D611" s="167"/>
      <c r="E611" s="423" t="s">
        <v>219</v>
      </c>
      <c r="F611" s="174"/>
      <c r="G611" s="171"/>
      <c r="H611" s="421" t="s">
        <v>35</v>
      </c>
      <c r="I611" s="54"/>
      <c r="J611" s="54"/>
      <c r="K611" s="164"/>
      <c r="L611" s="62"/>
      <c r="M611" s="55"/>
      <c r="N611" s="55"/>
      <c r="O611" s="55"/>
      <c r="P611" s="55"/>
      <c r="Q611" s="55"/>
      <c r="R611" s="55"/>
      <c r="S611" s="55"/>
      <c r="T611" s="55"/>
      <c r="U611" s="55"/>
    </row>
    <row r="612" spans="1:21" ht="19.5" hidden="1" thickBot="1">
      <c r="A612" s="424"/>
      <c r="B612" s="425"/>
      <c r="C612" s="425"/>
      <c r="D612" s="425"/>
      <c r="E612" s="426" t="s">
        <v>220</v>
      </c>
      <c r="F612" s="427"/>
      <c r="G612" s="428"/>
      <c r="H612" s="429" t="s">
        <v>35</v>
      </c>
      <c r="I612" s="430"/>
      <c r="J612" s="430"/>
      <c r="K612" s="431"/>
      <c r="L612" s="433"/>
      <c r="M612" s="432"/>
      <c r="N612" s="432"/>
      <c r="O612" s="432"/>
      <c r="P612" s="432"/>
      <c r="Q612" s="432"/>
      <c r="R612" s="432"/>
      <c r="S612" s="432"/>
      <c r="T612" s="432"/>
      <c r="U612" s="432"/>
    </row>
    <row r="613" spans="1:21" ht="19.5" hidden="1">
      <c r="A613" s="434" t="s">
        <v>221</v>
      </c>
      <c r="B613" s="435"/>
      <c r="C613" s="435"/>
      <c r="D613" s="436"/>
      <c r="E613" s="436"/>
      <c r="F613" s="436"/>
      <c r="G613" s="437"/>
      <c r="H613" s="438"/>
      <c r="I613" s="439"/>
      <c r="J613" s="439"/>
      <c r="K613" s="440"/>
      <c r="L613" s="441"/>
      <c r="M613" s="440"/>
      <c r="N613" s="440"/>
      <c r="O613" s="440"/>
      <c r="P613" s="440"/>
      <c r="Q613" s="440"/>
      <c r="R613" s="440"/>
      <c r="S613" s="440"/>
      <c r="T613" s="440"/>
      <c r="U613" s="440"/>
    </row>
    <row r="614" spans="1:21" ht="19.5">
      <c r="A614" s="442"/>
      <c r="B614" s="443" t="s">
        <v>222</v>
      </c>
      <c r="C614" s="442"/>
      <c r="D614" s="444"/>
      <c r="E614" s="444"/>
      <c r="F614" s="444"/>
      <c r="G614" s="445"/>
      <c r="H614" s="446"/>
      <c r="I614" s="447"/>
      <c r="J614" s="447"/>
      <c r="K614" s="448"/>
      <c r="L614" s="449"/>
      <c r="M614" s="448"/>
      <c r="N614" s="448"/>
      <c r="O614" s="448"/>
      <c r="P614" s="448"/>
      <c r="Q614" s="448"/>
      <c r="R614" s="448"/>
      <c r="S614" s="448"/>
      <c r="T614" s="448"/>
      <c r="U614" s="448"/>
    </row>
    <row r="615" spans="1:21" ht="19.5">
      <c r="A615" s="450"/>
      <c r="B615" s="451" t="s">
        <v>223</v>
      </c>
      <c r="C615" s="450"/>
      <c r="D615" s="452"/>
      <c r="E615" s="452"/>
      <c r="F615" s="452"/>
      <c r="G615" s="453"/>
      <c r="H615" s="454" t="s">
        <v>46</v>
      </c>
      <c r="I615" s="573">
        <f ca="1">I626</f>
        <v>50</v>
      </c>
      <c r="J615" s="573">
        <f>J626</f>
        <v>0</v>
      </c>
      <c r="K615" s="572">
        <f ca="1">IF(I615&gt;0,J615*100/I615,0)</f>
        <v>0</v>
      </c>
      <c r="L615" s="458"/>
      <c r="M615" s="457"/>
      <c r="N615" s="457"/>
      <c r="O615" s="457"/>
      <c r="P615" s="457"/>
      <c r="Q615" s="457"/>
      <c r="R615" s="457"/>
      <c r="S615" s="457"/>
      <c r="T615" s="457"/>
      <c r="U615" s="457"/>
    </row>
    <row r="616" spans="1:21" ht="19.5">
      <c r="A616" s="155"/>
      <c r="B616" s="188"/>
      <c r="C616" s="205" t="s">
        <v>18</v>
      </c>
      <c r="D616" s="542" t="s">
        <v>19</v>
      </c>
      <c r="E616" s="529"/>
      <c r="F616" s="529"/>
      <c r="G616" s="530"/>
      <c r="H616" s="252" t="s">
        <v>14</v>
      </c>
      <c r="I616" s="54"/>
      <c r="J616" s="54"/>
      <c r="K616" s="55"/>
      <c r="L616" s="541">
        <f>L617+L618</f>
        <v>0</v>
      </c>
      <c r="M616" s="540">
        <f>M617+M618</f>
        <v>0</v>
      </c>
      <c r="N616" s="540">
        <f>N617+N618</f>
        <v>0</v>
      </c>
      <c r="O616" s="540">
        <f>IF(L616&gt;0,N616*100/L616,0)</f>
        <v>0</v>
      </c>
      <c r="P616" s="540">
        <f>IF(M616&gt;0,N616*100/M616,0)</f>
        <v>0</v>
      </c>
      <c r="Q616" s="540">
        <f ca="1">Q617+Q618</f>
        <v>7425</v>
      </c>
      <c r="R616" s="540">
        <f ca="1">R617+R618</f>
        <v>7425</v>
      </c>
      <c r="S616" s="540">
        <f ca="1">S617+S618</f>
        <v>0</v>
      </c>
      <c r="T616" s="540">
        <f ca="1">IF(Q616&gt;0,S616*100/Q616,0)</f>
        <v>0</v>
      </c>
      <c r="U616" s="540">
        <f ca="1">IF(R616&gt;0,S616*100/R616,0)</f>
        <v>0</v>
      </c>
    </row>
    <row r="617" spans="1:21" ht="18.75" hidden="1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103">
        <f>L620+L623</f>
        <v>0</v>
      </c>
      <c r="M617" s="102">
        <f>M620+M623</f>
        <v>0</v>
      </c>
      <c r="N617" s="102">
        <f>N620+N623</f>
        <v>0</v>
      </c>
      <c r="O617" s="102">
        <f>IF(L617&gt;0,N617*100/L617,0)</f>
        <v>0</v>
      </c>
      <c r="P617" s="102">
        <f>IF(M617&gt;0,N617*100/M617,0)</f>
        <v>0</v>
      </c>
      <c r="Q617" s="102">
        <f>Q620+Q623</f>
        <v>0</v>
      </c>
      <c r="R617" s="102">
        <f>R620+R623</f>
        <v>0</v>
      </c>
      <c r="S617" s="102">
        <f>S620+S623</f>
        <v>0</v>
      </c>
      <c r="T617" s="102">
        <f>IF(Q617&gt;0,S617*100/Q617,0)</f>
        <v>0</v>
      </c>
      <c r="U617" s="102">
        <f>IF(R617&gt;0,S617*100/R617,0)</f>
        <v>0</v>
      </c>
    </row>
    <row r="618" spans="1:21" ht="18.75" hidden="1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256">
        <f>L621+L624</f>
        <v>0</v>
      </c>
      <c r="M618" s="255">
        <f>M621+M624</f>
        <v>0</v>
      </c>
      <c r="N618" s="255">
        <f>N621+N624</f>
        <v>0</v>
      </c>
      <c r="O618" s="255">
        <f>IF(L618&gt;0,N618*100/L618,0)</f>
        <v>0</v>
      </c>
      <c r="P618" s="255">
        <f>IF(M618&gt;0,N618*100/M618,0)</f>
        <v>0</v>
      </c>
      <c r="Q618" s="255">
        <f ca="1">Q621+Q624</f>
        <v>7425</v>
      </c>
      <c r="R618" s="255">
        <f ca="1">R621+R624</f>
        <v>7425</v>
      </c>
      <c r="S618" s="255">
        <f ca="1">S621+S624</f>
        <v>0</v>
      </c>
      <c r="T618" s="255">
        <f ca="1">IF(Q618&gt;0,S618*100/Q618,0)</f>
        <v>0</v>
      </c>
      <c r="U618" s="255">
        <f ca="1">IF(R618&gt;0,S618*100/R618,0)</f>
        <v>0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256">
        <f>L620+L621</f>
        <v>0</v>
      </c>
      <c r="M619" s="255">
        <f>M620+M621</f>
        <v>0</v>
      </c>
      <c r="N619" s="255">
        <f>N620+N621</f>
        <v>0</v>
      </c>
      <c r="O619" s="255">
        <f>IF(L619&gt;0,N619*100/L619,0)</f>
        <v>0</v>
      </c>
      <c r="P619" s="255">
        <f>IF(M619&gt;0,N619*100/M619,0)</f>
        <v>0</v>
      </c>
      <c r="Q619" s="255">
        <f ca="1">Q620+Q621</f>
        <v>7425</v>
      </c>
      <c r="R619" s="255">
        <f ca="1">R620+R621</f>
        <v>7425</v>
      </c>
      <c r="S619" s="255">
        <f ca="1">S620+S621</f>
        <v>0</v>
      </c>
      <c r="T619" s="255">
        <f ca="1">IF(Q619&gt;0,S619*100/Q619,0)</f>
        <v>0</v>
      </c>
      <c r="U619" s="255">
        <f ca="1">IF(R619&gt;0,S619*100/R619,0)</f>
        <v>0</v>
      </c>
    </row>
    <row r="620" spans="1:21" ht="18.75" hidden="1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103">
        <v>0</v>
      </c>
      <c r="M620" s="102">
        <v>0</v>
      </c>
      <c r="N620" s="102">
        <v>0</v>
      </c>
      <c r="O620" s="102">
        <f>IF(L620&gt;0,N620*100/L620,0)</f>
        <v>0</v>
      </c>
      <c r="P620" s="102">
        <f>IF(M620&gt;0,N620*100/M620,0)</f>
        <v>0</v>
      </c>
      <c r="Q620" s="102">
        <v>0</v>
      </c>
      <c r="R620" s="102">
        <v>0</v>
      </c>
      <c r="S620" s="102">
        <v>0</v>
      </c>
      <c r="T620" s="102">
        <f>IF(Q620&gt;0,S620*100/Q620,0)</f>
        <v>0</v>
      </c>
      <c r="U620" s="102">
        <f>IF(R620&gt;0,S620*100/R620,0)</f>
        <v>0</v>
      </c>
    </row>
    <row r="621" spans="1:21" ht="18.75" hidden="1">
      <c r="A621" s="155"/>
      <c r="B621" s="188"/>
      <c r="C621" s="188"/>
      <c r="D621" s="174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256">
        <v>0</v>
      </c>
      <c r="M621" s="255">
        <v>0</v>
      </c>
      <c r="N621" s="255">
        <v>0</v>
      </c>
      <c r="O621" s="255">
        <f>IF(L621&gt;0,N621*100/L621,0)</f>
        <v>0</v>
      </c>
      <c r="P621" s="255">
        <f>IF(M621&gt;0,N621*100/M621,0)</f>
        <v>0</v>
      </c>
      <c r="Q621" s="255">
        <f ca="1">IFERROR(__xludf.DUMMYFUNCTION("IMPORTRANGE(""https://docs.google.com/spreadsheets/d/1ItG2mGa2ceCfYo0BwxsXqNm01IGEUdYcSSLTEv9YCik/edit?usp=sharing"",""เบิกจ่ายกองทุน!F39"")"),7425)</f>
        <v>7425</v>
      </c>
      <c r="R621" s="255">
        <f ca="1">IFERROR(__xludf.DUMMYFUNCTION("IMPORTRANGE(""https://docs.google.com/spreadsheets/d/1ItG2mGa2ceCfYo0BwxsXqNm01IGEUdYcSSLTEv9YCik/edit?usp=sharing"",""เบิกจ่ายกองทุน!G39"")"),7425)</f>
        <v>7425</v>
      </c>
      <c r="S621" s="255">
        <f ca="1">IFERROR(__xludf.DUMMYFUNCTION("IMPORTRANGE(""https://docs.google.com/spreadsheets/d/1ItG2mGa2ceCfYo0BwxsXqNm01IGEUdYcSSLTEv9YCik/edit?usp=sharing"",""เบิกจ่ายกองทุน!H39"")"),0)</f>
        <v>0</v>
      </c>
      <c r="T621" s="255">
        <f ca="1">IF(Q621&gt;0,S621*100/Q621,0)</f>
        <v>0</v>
      </c>
      <c r="U621" s="255">
        <f ca="1">IF(R621&gt;0,S621*100/R621,0)</f>
        <v>0</v>
      </c>
    </row>
    <row r="622" spans="1:21" ht="18.75">
      <c r="A622" s="155"/>
      <c r="B622" s="188"/>
      <c r="C622" s="188"/>
      <c r="D622" s="51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256">
        <f>L623+L624</f>
        <v>0</v>
      </c>
      <c r="M622" s="255">
        <f>M623+M624</f>
        <v>0</v>
      </c>
      <c r="N622" s="255">
        <f>N623+N624</f>
        <v>0</v>
      </c>
      <c r="O622" s="255">
        <f>IF(L622&gt;0,N622*100/L622,0)</f>
        <v>0</v>
      </c>
      <c r="P622" s="255">
        <f>IF(M622&gt;0,N622*100/M622,0)</f>
        <v>0</v>
      </c>
      <c r="Q622" s="255">
        <f>Q623+Q624</f>
        <v>0</v>
      </c>
      <c r="R622" s="255">
        <f>R623+R624</f>
        <v>0</v>
      </c>
      <c r="S622" s="255">
        <f>S623+S624</f>
        <v>0</v>
      </c>
      <c r="T622" s="255">
        <f>IF(Q622&gt;0,S622*100/Q622,0)</f>
        <v>0</v>
      </c>
      <c r="U622" s="255">
        <f>IF(R622&gt;0,S622*100/R622,0)</f>
        <v>0</v>
      </c>
    </row>
    <row r="623" spans="1:21" ht="18.75" hidden="1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103">
        <v>0</v>
      </c>
      <c r="M623" s="102">
        <v>0</v>
      </c>
      <c r="N623" s="102">
        <v>0</v>
      </c>
      <c r="O623" s="102">
        <f>IF(L623&gt;0,N623*100/L623,0)</f>
        <v>0</v>
      </c>
      <c r="P623" s="102">
        <f>IF(M623&gt;0,N623*100/M623,0)</f>
        <v>0</v>
      </c>
      <c r="Q623" s="102">
        <v>0</v>
      </c>
      <c r="R623" s="102">
        <v>0</v>
      </c>
      <c r="S623" s="102">
        <v>0</v>
      </c>
      <c r="T623" s="102">
        <f>IF(Q623&gt;0,S623*100/Q623,0)</f>
        <v>0</v>
      </c>
      <c r="U623" s="102">
        <f>IF(R623&gt;0,S623*100/R623,0)</f>
        <v>0</v>
      </c>
    </row>
    <row r="624" spans="1:21" ht="18.75" hidden="1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256">
        <v>0</v>
      </c>
      <c r="M624" s="255">
        <v>0</v>
      </c>
      <c r="N624" s="255">
        <v>0</v>
      </c>
      <c r="O624" s="255">
        <f>IF(L624&gt;0,N624*100/L624,0)</f>
        <v>0</v>
      </c>
      <c r="P624" s="255">
        <f>IF(M624&gt;0,N624*100/M624,0)</f>
        <v>0</v>
      </c>
      <c r="Q624" s="255">
        <v>0</v>
      </c>
      <c r="R624" s="255">
        <v>0</v>
      </c>
      <c r="S624" s="255">
        <v>0</v>
      </c>
      <c r="T624" s="255">
        <f>IF(Q624&gt;0,S624*100/Q624,0)</f>
        <v>0</v>
      </c>
      <c r="U624" s="255">
        <f>IF(R624&gt;0,S624*100/R624,0)</f>
        <v>0</v>
      </c>
    </row>
    <row r="625" spans="1:21" ht="19.5">
      <c r="A625" s="166"/>
      <c r="B625" s="167"/>
      <c r="C625" s="205" t="s">
        <v>18</v>
      </c>
      <c r="D625" s="539" t="s">
        <v>38</v>
      </c>
      <c r="E625" s="169"/>
      <c r="F625" s="169"/>
      <c r="G625" s="170"/>
      <c r="H625" s="206"/>
      <c r="I625" s="163"/>
      <c r="J625" s="163"/>
      <c r="K625" s="164"/>
      <c r="L625" s="172"/>
      <c r="M625" s="164"/>
      <c r="N625" s="164"/>
      <c r="O625" s="164"/>
      <c r="P625" s="164"/>
      <c r="Q625" s="164"/>
      <c r="R625" s="164"/>
      <c r="S625" s="164"/>
      <c r="T625" s="164"/>
      <c r="U625" s="164"/>
    </row>
    <row r="626" spans="1:21" ht="19.5">
      <c r="A626" s="166"/>
      <c r="B626" s="167"/>
      <c r="C626" s="167"/>
      <c r="D626" s="460" t="s">
        <v>224</v>
      </c>
      <c r="E626" s="174"/>
      <c r="F626" s="174"/>
      <c r="G626" s="171"/>
      <c r="H626" s="461" t="s">
        <v>46</v>
      </c>
      <c r="I626" s="373">
        <f ca="1">IFERROR(__xludf.DUMMYFUNCTION("IMPORTRANGE(""https://docs.google.com/spreadsheets/d/1eHaY18a8A9IcSdp1K8H6x8fbOy06t2VsZHhMHf-1x7Y/edit?usp=sharing"",""แผน!ID39"")"),50)</f>
        <v>50</v>
      </c>
      <c r="J626" s="373">
        <f>J632</f>
        <v>0</v>
      </c>
      <c r="K626" s="540">
        <f ca="1">IF(I626&gt;0,J626*100/I626,0)</f>
        <v>0</v>
      </c>
      <c r="L626" s="172"/>
      <c r="M626" s="164"/>
      <c r="N626" s="164"/>
      <c r="O626" s="164"/>
      <c r="P626" s="164"/>
      <c r="Q626" s="164"/>
      <c r="R626" s="164"/>
      <c r="S626" s="164"/>
      <c r="T626" s="164"/>
      <c r="U626" s="164"/>
    </row>
    <row r="627" spans="1:21" ht="18.75">
      <c r="A627" s="166"/>
      <c r="B627" s="167"/>
      <c r="C627" s="167"/>
      <c r="D627" s="167"/>
      <c r="E627" s="178" t="s">
        <v>225</v>
      </c>
      <c r="F627" s="174"/>
      <c r="G627" s="171"/>
      <c r="H627" s="165" t="s">
        <v>61</v>
      </c>
      <c r="I627" s="212">
        <f ca="1">IFERROR(__xludf.DUMMYFUNCTION("IMPORTRANGE(""https://docs.google.com/spreadsheets/d/1eHaY18a8A9IcSdp1K8H6x8fbOy06t2VsZHhMHf-1x7Y/edit?usp=sharing"",""แผน!IC39"")"),1)</f>
        <v>1</v>
      </c>
      <c r="J627" s="467">
        <v>0</v>
      </c>
      <c r="K627" s="255">
        <f ca="1">IF(I627&gt;0,(J627*100)/I627,0)</f>
        <v>0</v>
      </c>
      <c r="L627" s="172"/>
      <c r="M627" s="164"/>
      <c r="N627" s="164"/>
      <c r="O627" s="164"/>
      <c r="P627" s="164"/>
      <c r="Q627" s="164"/>
      <c r="R627" s="164"/>
      <c r="S627" s="164"/>
      <c r="T627" s="164"/>
      <c r="U627" s="164"/>
    </row>
    <row r="628" spans="1:21" ht="18.75">
      <c r="A628" s="166"/>
      <c r="B628" s="167"/>
      <c r="C628" s="167"/>
      <c r="D628" s="167"/>
      <c r="E628" s="178" t="s">
        <v>226</v>
      </c>
      <c r="F628" s="174"/>
      <c r="G628" s="171"/>
      <c r="H628" s="165" t="s">
        <v>61</v>
      </c>
      <c r="I628" s="212">
        <f ca="1">IFERROR(__xludf.DUMMYFUNCTION("IMPORTRANGE(""https://docs.google.com/spreadsheets/d/1eHaY18a8A9IcSdp1K8H6x8fbOy06t2VsZHhMHf-1x7Y/edit?usp=sharing"",""แผน!IC39"")"),1)</f>
        <v>1</v>
      </c>
      <c r="J628" s="467">
        <v>0</v>
      </c>
      <c r="K628" s="255">
        <f ca="1">IF(I628&gt;0,(J628*100)/I628,0)</f>
        <v>0</v>
      </c>
      <c r="L628" s="172"/>
      <c r="M628" s="164"/>
      <c r="N628" s="164"/>
      <c r="O628" s="164"/>
      <c r="P628" s="164"/>
      <c r="Q628" s="164"/>
      <c r="R628" s="164"/>
      <c r="S628" s="164"/>
      <c r="T628" s="164"/>
      <c r="U628" s="164"/>
    </row>
    <row r="629" spans="1:21" ht="18.75">
      <c r="A629" s="166"/>
      <c r="B629" s="167"/>
      <c r="C629" s="167"/>
      <c r="D629" s="167"/>
      <c r="E629" s="178" t="s">
        <v>227</v>
      </c>
      <c r="F629" s="174"/>
      <c r="G629" s="171"/>
      <c r="H629" s="165" t="s">
        <v>46</v>
      </c>
      <c r="I629" s="54"/>
      <c r="J629" s="467">
        <v>0</v>
      </c>
      <c r="K629" s="255">
        <f ca="1">IF(I$626&gt;0,J629*100/I$626,0)</f>
        <v>0</v>
      </c>
      <c r="L629" s="172"/>
      <c r="M629" s="164"/>
      <c r="N629" s="164"/>
      <c r="O629" s="164"/>
      <c r="P629" s="164"/>
      <c r="Q629" s="164"/>
      <c r="R629" s="164"/>
      <c r="S629" s="164"/>
      <c r="T629" s="164"/>
      <c r="U629" s="164"/>
    </row>
    <row r="630" spans="1:21" ht="18.75">
      <c r="A630" s="166"/>
      <c r="B630" s="167"/>
      <c r="C630" s="167"/>
      <c r="D630" s="167"/>
      <c r="E630" s="178" t="s">
        <v>228</v>
      </c>
      <c r="F630" s="174"/>
      <c r="G630" s="171"/>
      <c r="H630" s="165" t="s">
        <v>46</v>
      </c>
      <c r="I630" s="54"/>
      <c r="J630" s="467">
        <v>0</v>
      </c>
      <c r="K630" s="255">
        <f ca="1">IF(I$626&gt;0,J630*100/I$626,0)</f>
        <v>0</v>
      </c>
      <c r="L630" s="172"/>
      <c r="M630" s="164"/>
      <c r="N630" s="164"/>
      <c r="O630" s="164"/>
      <c r="P630" s="164"/>
      <c r="Q630" s="164"/>
      <c r="R630" s="164"/>
      <c r="S630" s="164"/>
      <c r="T630" s="164"/>
      <c r="U630" s="164"/>
    </row>
    <row r="631" spans="1:21" ht="18.75">
      <c r="A631" s="166"/>
      <c r="B631" s="167"/>
      <c r="C631" s="167"/>
      <c r="D631" s="167"/>
      <c r="E631" s="178" t="s">
        <v>229</v>
      </c>
      <c r="F631" s="174"/>
      <c r="G631" s="171"/>
      <c r="H631" s="165" t="s">
        <v>46</v>
      </c>
      <c r="I631" s="54"/>
      <c r="J631" s="467">
        <v>0</v>
      </c>
      <c r="K631" s="255">
        <f ca="1">IF(I$626&gt;0,J631*100/I$626,0)</f>
        <v>0</v>
      </c>
      <c r="L631" s="172"/>
      <c r="M631" s="164"/>
      <c r="N631" s="164"/>
      <c r="O631" s="164"/>
      <c r="P631" s="164"/>
      <c r="Q631" s="164"/>
      <c r="R631" s="164"/>
      <c r="S631" s="164"/>
      <c r="T631" s="164"/>
      <c r="U631" s="164"/>
    </row>
    <row r="632" spans="1:21" ht="19.5">
      <c r="A632" s="166"/>
      <c r="B632" s="167"/>
      <c r="C632" s="167"/>
      <c r="D632" s="167"/>
      <c r="E632" s="178" t="s">
        <v>230</v>
      </c>
      <c r="F632" s="174"/>
      <c r="G632" s="171"/>
      <c r="H632" s="165" t="s">
        <v>46</v>
      </c>
      <c r="I632" s="54"/>
      <c r="J632" s="373">
        <f>J633+J634</f>
        <v>0</v>
      </c>
      <c r="K632" s="540">
        <f ca="1">IF(I626&gt;0,J632*100/I626,0)</f>
        <v>0</v>
      </c>
      <c r="L632" s="172"/>
      <c r="M632" s="164"/>
      <c r="N632" s="164"/>
      <c r="O632" s="164"/>
      <c r="P632" s="164"/>
      <c r="Q632" s="164"/>
      <c r="R632" s="164"/>
      <c r="S632" s="164"/>
      <c r="T632" s="164"/>
      <c r="U632" s="164"/>
    </row>
    <row r="633" spans="1:21" ht="18.75">
      <c r="A633" s="166"/>
      <c r="B633" s="167"/>
      <c r="C633" s="167"/>
      <c r="D633" s="167"/>
      <c r="E633" s="174"/>
      <c r="F633" s="178" t="s">
        <v>231</v>
      </c>
      <c r="G633" s="171"/>
      <c r="H633" s="165" t="s">
        <v>46</v>
      </c>
      <c r="I633" s="54"/>
      <c r="J633" s="467">
        <v>0</v>
      </c>
      <c r="K633" s="55"/>
      <c r="L633" s="172"/>
      <c r="M633" s="164"/>
      <c r="N633" s="164"/>
      <c r="O633" s="164"/>
      <c r="P633" s="164"/>
      <c r="Q633" s="164"/>
      <c r="R633" s="164"/>
      <c r="S633" s="164"/>
      <c r="T633" s="164"/>
      <c r="U633" s="164"/>
    </row>
    <row r="634" spans="1:21" ht="18.75">
      <c r="A634" s="166"/>
      <c r="B634" s="167"/>
      <c r="C634" s="167"/>
      <c r="D634" s="167"/>
      <c r="E634" s="174"/>
      <c r="F634" s="178" t="s">
        <v>232</v>
      </c>
      <c r="G634" s="171"/>
      <c r="H634" s="165" t="s">
        <v>46</v>
      </c>
      <c r="I634" s="54"/>
      <c r="J634" s="467">
        <v>0</v>
      </c>
      <c r="K634" s="55"/>
      <c r="L634" s="172"/>
      <c r="M634" s="164"/>
      <c r="N634" s="164"/>
      <c r="O634" s="164"/>
      <c r="P634" s="164"/>
      <c r="Q634" s="164"/>
      <c r="R634" s="164"/>
      <c r="S634" s="164"/>
      <c r="T634" s="164"/>
      <c r="U634" s="164"/>
    </row>
    <row r="635" spans="1:21" ht="19.5">
      <c r="A635" s="166"/>
      <c r="B635" s="167"/>
      <c r="C635" s="167"/>
      <c r="D635" s="460" t="s">
        <v>233</v>
      </c>
      <c r="E635" s="174"/>
      <c r="F635" s="174"/>
      <c r="G635" s="171"/>
      <c r="H635" s="165" t="s">
        <v>46</v>
      </c>
      <c r="I635" s="373">
        <f ca="1">IFERROR(__xludf.DUMMYFUNCTION("IMPORTRANGE(""https://docs.google.com/spreadsheets/d/1eHaY18a8A9IcSdp1K8H6x8fbOy06t2VsZHhMHf-1x7Y/edit?usp=sharing"",""แผน!IE39"")"),0)</f>
        <v>0</v>
      </c>
      <c r="J635" s="373">
        <f>J636</f>
        <v>0</v>
      </c>
      <c r="K635" s="540">
        <f ca="1">IF(I635&gt;0,J635*100/I635,0)</f>
        <v>0</v>
      </c>
      <c r="L635" s="172"/>
      <c r="M635" s="164"/>
      <c r="N635" s="164"/>
      <c r="O635" s="164"/>
      <c r="P635" s="164"/>
      <c r="Q635" s="164"/>
      <c r="R635" s="164"/>
      <c r="S635" s="164"/>
      <c r="T635" s="164"/>
      <c r="U635" s="164"/>
    </row>
    <row r="636" spans="1:21" ht="18.75">
      <c r="A636" s="166"/>
      <c r="B636" s="167"/>
      <c r="C636" s="167"/>
      <c r="D636" s="167"/>
      <c r="E636" s="178" t="s">
        <v>234</v>
      </c>
      <c r="F636" s="174"/>
      <c r="G636" s="171"/>
      <c r="H636" s="165" t="s">
        <v>46</v>
      </c>
      <c r="I636" s="54"/>
      <c r="J636" s="212">
        <f>J637+J638</f>
        <v>0</v>
      </c>
      <c r="K636" s="55"/>
      <c r="L636" s="172"/>
      <c r="M636" s="164"/>
      <c r="N636" s="164"/>
      <c r="O636" s="164"/>
      <c r="P636" s="164"/>
      <c r="Q636" s="164"/>
      <c r="R636" s="164"/>
      <c r="S636" s="164"/>
      <c r="T636" s="164"/>
      <c r="U636" s="164"/>
    </row>
    <row r="637" spans="1:21" ht="18.75">
      <c r="A637" s="166"/>
      <c r="B637" s="167"/>
      <c r="C637" s="167"/>
      <c r="D637" s="167"/>
      <c r="E637" s="174"/>
      <c r="F637" s="178" t="s">
        <v>231</v>
      </c>
      <c r="G637" s="171"/>
      <c r="H637" s="165" t="s">
        <v>46</v>
      </c>
      <c r="I637" s="54"/>
      <c r="J637" s="467">
        <v>0</v>
      </c>
      <c r="K637" s="55"/>
      <c r="L637" s="172"/>
      <c r="M637" s="164"/>
      <c r="N637" s="164"/>
      <c r="O637" s="164"/>
      <c r="P637" s="164"/>
      <c r="Q637" s="164"/>
      <c r="R637" s="164"/>
      <c r="S637" s="164"/>
      <c r="T637" s="164"/>
      <c r="U637" s="164"/>
    </row>
    <row r="638" spans="1:21" ht="18.75">
      <c r="A638" s="166"/>
      <c r="B638" s="167"/>
      <c r="C638" s="167"/>
      <c r="D638" s="167"/>
      <c r="E638" s="174"/>
      <c r="F638" s="178" t="s">
        <v>232</v>
      </c>
      <c r="G638" s="171"/>
      <c r="H638" s="165" t="s">
        <v>46</v>
      </c>
      <c r="I638" s="54"/>
      <c r="J638" s="467">
        <v>0</v>
      </c>
      <c r="K638" s="55"/>
      <c r="L638" s="172"/>
      <c r="M638" s="164"/>
      <c r="N638" s="164"/>
      <c r="O638" s="164"/>
      <c r="P638" s="164"/>
      <c r="Q638" s="164"/>
      <c r="R638" s="164"/>
      <c r="S638" s="164"/>
      <c r="T638" s="164"/>
      <c r="U638" s="164"/>
    </row>
    <row r="639" spans="1:21" ht="18.75">
      <c r="A639" s="166"/>
      <c r="B639" s="167"/>
      <c r="C639" s="167"/>
      <c r="D639" s="167"/>
      <c r="E639" s="178" t="s">
        <v>235</v>
      </c>
      <c r="F639" s="174"/>
      <c r="G639" s="171"/>
      <c r="H639" s="165" t="s">
        <v>46</v>
      </c>
      <c r="I639" s="54"/>
      <c r="J639" s="467">
        <v>0</v>
      </c>
      <c r="K639" s="55"/>
      <c r="L639" s="172"/>
      <c r="M639" s="164"/>
      <c r="N639" s="164"/>
      <c r="O639" s="164"/>
      <c r="P639" s="164"/>
      <c r="Q639" s="164"/>
      <c r="R639" s="164"/>
      <c r="S639" s="164"/>
      <c r="T639" s="164"/>
      <c r="U639" s="164"/>
    </row>
    <row r="640" spans="1:21" ht="18.75">
      <c r="A640" s="166"/>
      <c r="B640" s="167"/>
      <c r="C640" s="167"/>
      <c r="D640" s="167"/>
      <c r="E640" s="174"/>
      <c r="F640" s="178" t="s">
        <v>236</v>
      </c>
      <c r="G640" s="171"/>
      <c r="H640" s="165" t="s">
        <v>46</v>
      </c>
      <c r="I640" s="54"/>
      <c r="J640" s="467">
        <v>0</v>
      </c>
      <c r="K640" s="55"/>
      <c r="L640" s="172"/>
      <c r="M640" s="164"/>
      <c r="N640" s="164"/>
      <c r="O640" s="164"/>
      <c r="P640" s="164"/>
      <c r="Q640" s="164"/>
      <c r="R640" s="164"/>
      <c r="S640" s="164"/>
      <c r="T640" s="164"/>
      <c r="U640" s="164"/>
    </row>
    <row r="641" spans="1:21" ht="19.5" hidden="1">
      <c r="A641" s="450"/>
      <c r="B641" s="451" t="s">
        <v>237</v>
      </c>
      <c r="C641" s="450"/>
      <c r="D641" s="452"/>
      <c r="E641" s="452"/>
      <c r="F641" s="452"/>
      <c r="G641" s="453"/>
      <c r="H641" s="462"/>
      <c r="I641" s="463"/>
      <c r="J641" s="463"/>
      <c r="K641" s="457"/>
      <c r="L641" s="458"/>
      <c r="M641" s="457"/>
      <c r="N641" s="457"/>
      <c r="O641" s="457"/>
      <c r="P641" s="457"/>
      <c r="Q641" s="457"/>
      <c r="R641" s="457"/>
      <c r="S641" s="457"/>
      <c r="T641" s="457"/>
      <c r="U641" s="457"/>
    </row>
    <row r="642" spans="1:21" ht="19.5" hidden="1">
      <c r="A642" s="155"/>
      <c r="B642" s="188"/>
      <c r="C642" s="239" t="s">
        <v>18</v>
      </c>
      <c r="D642" s="542" t="s">
        <v>19</v>
      </c>
      <c r="E642" s="529"/>
      <c r="F642" s="529"/>
      <c r="G642" s="530"/>
      <c r="H642" s="252" t="s">
        <v>14</v>
      </c>
      <c r="I642" s="54"/>
      <c r="J642" s="54"/>
      <c r="K642" s="55"/>
      <c r="L642" s="541">
        <f>L643+L644</f>
        <v>0</v>
      </c>
      <c r="M642" s="540">
        <f>M643+M644</f>
        <v>0</v>
      </c>
      <c r="N642" s="540">
        <f>N643+N644</f>
        <v>0</v>
      </c>
      <c r="O642" s="540">
        <f>IF(L642&gt;0,N642*100/L642,0)</f>
        <v>0</v>
      </c>
      <c r="P642" s="540">
        <f>IF(M642&gt;0,N642*100/M642,0)</f>
        <v>0</v>
      </c>
      <c r="Q642" s="540">
        <f ca="1">Q643+Q644</f>
        <v>0</v>
      </c>
      <c r="R642" s="540">
        <f ca="1">R643+R644</f>
        <v>0</v>
      </c>
      <c r="S642" s="540">
        <f ca="1">S643+S644</f>
        <v>0</v>
      </c>
      <c r="T642" s="540">
        <f ca="1">IF(Q642&gt;0,S642*100/Q642,0)</f>
        <v>0</v>
      </c>
      <c r="U642" s="540">
        <f ca="1">IF(R642&gt;0,S642*100/R642,0)</f>
        <v>0</v>
      </c>
    </row>
    <row r="643" spans="1:21" ht="18.75" hidden="1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103">
        <f>L646+L649</f>
        <v>0</v>
      </c>
      <c r="M643" s="102">
        <f>M646+M649</f>
        <v>0</v>
      </c>
      <c r="N643" s="102">
        <f>N646+N649</f>
        <v>0</v>
      </c>
      <c r="O643" s="102">
        <f>IF(L643&gt;0,N643*100/L643,0)</f>
        <v>0</v>
      </c>
      <c r="P643" s="102">
        <f>IF(M643&gt;0,N643*100/M643,0)</f>
        <v>0</v>
      </c>
      <c r="Q643" s="102">
        <f>Q646+Q649</f>
        <v>0</v>
      </c>
      <c r="R643" s="102">
        <f>R646+R649</f>
        <v>0</v>
      </c>
      <c r="S643" s="102">
        <f>S646+S649</f>
        <v>0</v>
      </c>
      <c r="T643" s="102">
        <f>IF(Q643&gt;0,S643*100/Q643,0)</f>
        <v>0</v>
      </c>
      <c r="U643" s="102">
        <f>IF(R643&gt;0,S643*100/R643,0)</f>
        <v>0</v>
      </c>
    </row>
    <row r="644" spans="1:21" ht="18.75" hidden="1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256">
        <f>L647+L650</f>
        <v>0</v>
      </c>
      <c r="M644" s="255">
        <f>M647+M650</f>
        <v>0</v>
      </c>
      <c r="N644" s="255">
        <f>N647+N650</f>
        <v>0</v>
      </c>
      <c r="O644" s="255">
        <f>IF(L644&gt;0,N644*100/L644,0)</f>
        <v>0</v>
      </c>
      <c r="P644" s="255">
        <f>IF(M644&gt;0,N644*100/M644,0)</f>
        <v>0</v>
      </c>
      <c r="Q644" s="255">
        <f ca="1">Q647+Q650</f>
        <v>0</v>
      </c>
      <c r="R644" s="255">
        <f ca="1">R647+R650</f>
        <v>0</v>
      </c>
      <c r="S644" s="255">
        <f ca="1">S647+S650</f>
        <v>0</v>
      </c>
      <c r="T644" s="255">
        <f ca="1">IF(Q644&gt;0,S644*100/Q644,0)</f>
        <v>0</v>
      </c>
      <c r="U644" s="255">
        <f ca="1">IF(R644&gt;0,S644*100/R644,0)</f>
        <v>0</v>
      </c>
    </row>
    <row r="645" spans="1:21" ht="18.75" hidden="1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256">
        <f>L646+L647</f>
        <v>0</v>
      </c>
      <c r="M645" s="255">
        <f>M646+M647</f>
        <v>0</v>
      </c>
      <c r="N645" s="255">
        <f>N646+N647</f>
        <v>0</v>
      </c>
      <c r="O645" s="255">
        <f>IF(L645&gt;0,N645*100/L645,0)</f>
        <v>0</v>
      </c>
      <c r="P645" s="255">
        <f>IF(M645&gt;0,N645*100/M645,0)</f>
        <v>0</v>
      </c>
      <c r="Q645" s="255">
        <f ca="1">Q646+Q647</f>
        <v>0</v>
      </c>
      <c r="R645" s="255">
        <f ca="1">R646+R647</f>
        <v>0</v>
      </c>
      <c r="S645" s="255">
        <f ca="1">S646+S647</f>
        <v>0</v>
      </c>
      <c r="T645" s="255">
        <f ca="1">IF(Q645&gt;0,S645*100/Q645,0)</f>
        <v>0</v>
      </c>
      <c r="U645" s="255">
        <f ca="1">IF(R645&gt;0,S645*100/R645,0)</f>
        <v>0</v>
      </c>
    </row>
    <row r="646" spans="1:21" ht="18.75" hidden="1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103">
        <v>0</v>
      </c>
      <c r="M646" s="102">
        <v>0</v>
      </c>
      <c r="N646" s="102">
        <v>0</v>
      </c>
      <c r="O646" s="102">
        <f>IF(L646&gt;0,N646*100/L646,0)</f>
        <v>0</v>
      </c>
      <c r="P646" s="102">
        <f>IF(M646&gt;0,N646*100/M646,0)</f>
        <v>0</v>
      </c>
      <c r="Q646" s="102">
        <v>0</v>
      </c>
      <c r="R646" s="102">
        <v>0</v>
      </c>
      <c r="S646" s="102">
        <v>0</v>
      </c>
      <c r="T646" s="102">
        <f>IF(Q646&gt;0,S646*100/Q646,0)</f>
        <v>0</v>
      </c>
      <c r="U646" s="102">
        <f>IF(R646&gt;0,S646*100/R646,0)</f>
        <v>0</v>
      </c>
    </row>
    <row r="647" spans="1:21" ht="18.75" hidden="1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256">
        <v>0</v>
      </c>
      <c r="M647" s="255">
        <v>0</v>
      </c>
      <c r="N647" s="255">
        <v>0</v>
      </c>
      <c r="O647" s="255">
        <f>IF(L647&gt;0,N647*100/L647,0)</f>
        <v>0</v>
      </c>
      <c r="P647" s="255">
        <f>IF(M647&gt;0,N647*100/M647,0)</f>
        <v>0</v>
      </c>
      <c r="Q647" s="255">
        <f ca="1">IFERROR(__xludf.DUMMYFUNCTION("IMPORTRANGE(""https://docs.google.com/spreadsheets/d/1ItG2mGa2ceCfYo0BwxsXqNm01IGEUdYcSSLTEv9YCik/edit?usp=sharing"",""เบิกจ่ายกองทุน!I39"")"),0)</f>
        <v>0</v>
      </c>
      <c r="R647" s="255">
        <f ca="1">IFERROR(__xludf.DUMMYFUNCTION("IMPORTRANGE(""https://docs.google.com/spreadsheets/d/1ItG2mGa2ceCfYo0BwxsXqNm01IGEUdYcSSLTEv9YCik/edit?usp=sharing"",""เบิกจ่ายกองทุน!J39"")"),0)</f>
        <v>0</v>
      </c>
      <c r="S647" s="255">
        <f ca="1">IFERROR(__xludf.DUMMYFUNCTION("IMPORTRANGE(""https://docs.google.com/spreadsheets/d/1ItG2mGa2ceCfYo0BwxsXqNm01IGEUdYcSSLTEv9YCik/edit?usp=sharing"",""เบิกจ่ายกองทุน!K39"")"),0)</f>
        <v>0</v>
      </c>
      <c r="T647" s="255">
        <f ca="1">IF(Q647&gt;0,S647*100/Q647,0)</f>
        <v>0</v>
      </c>
      <c r="U647" s="255">
        <f ca="1">IF(R647&gt;0,S647*100/R647,0)</f>
        <v>0</v>
      </c>
    </row>
    <row r="648" spans="1:21" ht="18.75" hidden="1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256">
        <f>L649+L650</f>
        <v>0</v>
      </c>
      <c r="M648" s="255">
        <f>M649+M650</f>
        <v>0</v>
      </c>
      <c r="N648" s="255">
        <f>N649+N650</f>
        <v>0</v>
      </c>
      <c r="O648" s="255">
        <f>IF(L648&gt;0,N648*100/L648,0)</f>
        <v>0</v>
      </c>
      <c r="P648" s="255">
        <f>IF(M648&gt;0,N648*100/M648,0)</f>
        <v>0</v>
      </c>
      <c r="Q648" s="255">
        <f>Q649+Q650</f>
        <v>0</v>
      </c>
      <c r="R648" s="255">
        <f>R649+R650</f>
        <v>0</v>
      </c>
      <c r="S648" s="255">
        <f>S649+S650</f>
        <v>0</v>
      </c>
      <c r="T648" s="255">
        <f>IF(Q648&gt;0,S648*100/Q648,0)</f>
        <v>0</v>
      </c>
      <c r="U648" s="255">
        <f>IF(R648&gt;0,S648*100/R648,0)</f>
        <v>0</v>
      </c>
    </row>
    <row r="649" spans="1:21" ht="18.75" hidden="1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103">
        <v>0</v>
      </c>
      <c r="M649" s="102">
        <v>0</v>
      </c>
      <c r="N649" s="102">
        <v>0</v>
      </c>
      <c r="O649" s="102">
        <f>IF(L649&gt;0,N649*100/L649,0)</f>
        <v>0</v>
      </c>
      <c r="P649" s="102">
        <f>IF(M649&gt;0,N649*100/M649,0)</f>
        <v>0</v>
      </c>
      <c r="Q649" s="102">
        <v>0</v>
      </c>
      <c r="R649" s="102">
        <v>0</v>
      </c>
      <c r="S649" s="102">
        <v>0</v>
      </c>
      <c r="T649" s="102">
        <f>IF(Q649&gt;0,S649*100/Q649,0)</f>
        <v>0</v>
      </c>
      <c r="U649" s="102">
        <f>IF(R649&gt;0,S649*100/R649,0)</f>
        <v>0</v>
      </c>
    </row>
    <row r="650" spans="1:21" ht="18.75" hidden="1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256">
        <v>0</v>
      </c>
      <c r="M650" s="255">
        <v>0</v>
      </c>
      <c r="N650" s="255">
        <v>0</v>
      </c>
      <c r="O650" s="255">
        <f>IF(L650&gt;0,N650*100/L650,0)</f>
        <v>0</v>
      </c>
      <c r="P650" s="255">
        <f>IF(M650&gt;0,N650*100/M650,0)</f>
        <v>0</v>
      </c>
      <c r="Q650" s="255">
        <v>0</v>
      </c>
      <c r="R650" s="255">
        <v>0</v>
      </c>
      <c r="S650" s="255">
        <v>0</v>
      </c>
      <c r="T650" s="255">
        <f>IF(Q650&gt;0,S650*100/Q650,0)</f>
        <v>0</v>
      </c>
      <c r="U650" s="255">
        <f>IF(R650&gt;0,S650*100/R650,0)</f>
        <v>0</v>
      </c>
    </row>
    <row r="651" spans="1:21" ht="19.5" hidden="1">
      <c r="A651" s="166"/>
      <c r="B651" s="167"/>
      <c r="C651" s="239" t="s">
        <v>18</v>
      </c>
      <c r="D651" s="571" t="s">
        <v>38</v>
      </c>
      <c r="E651" s="169"/>
      <c r="F651" s="169"/>
      <c r="G651" s="170"/>
      <c r="H651" s="206"/>
      <c r="I651" s="163"/>
      <c r="J651" s="163"/>
      <c r="K651" s="164"/>
      <c r="L651" s="172"/>
      <c r="M651" s="164"/>
      <c r="N651" s="164"/>
      <c r="O651" s="164"/>
      <c r="P651" s="164"/>
      <c r="Q651" s="55"/>
      <c r="R651" s="55"/>
      <c r="S651" s="55"/>
      <c r="T651" s="164"/>
      <c r="U651" s="164"/>
    </row>
    <row r="652" spans="1:21" ht="18.75" hidden="1">
      <c r="A652" s="238"/>
      <c r="B652" s="188"/>
      <c r="C652" s="188"/>
      <c r="D652" s="58" t="s">
        <v>238</v>
      </c>
      <c r="E652" s="50"/>
      <c r="F652" s="50"/>
      <c r="G652" s="52"/>
      <c r="H652" s="165" t="s">
        <v>46</v>
      </c>
      <c r="I652" s="570">
        <f ca="1">IFERROR(__xludf.DUMMYFUNCTION("IMPORTRANGE(""https://docs.google.com/spreadsheets/d/1eHaY18a8A9IcSdp1K8H6x8fbOy06t2VsZHhMHf-1x7Y/edit?usp=sharing"",""แผน!IF39"")"),0)</f>
        <v>0</v>
      </c>
      <c r="J652" s="212">
        <f ca="1">IFERROR(__xludf.DUMMYFUNCTION("IMPORTRANGE(""https://docs.google.com/spreadsheets/d/1tdoBKaGub7dwA3U6UFTqxio9LNnvDCQjHKmttSEBsFQ/edit?usp=sharing"",""จัดที่ดิน!AU39"")"),0)</f>
        <v>0</v>
      </c>
      <c r="K652" s="255">
        <f ca="1">IF(I652&gt;0,J652*100/I652,0)</f>
        <v>0</v>
      </c>
      <c r="L652" s="62"/>
      <c r="M652" s="55"/>
      <c r="N652" s="468"/>
      <c r="O652" s="55"/>
      <c r="P652" s="55"/>
      <c r="Q652" s="55"/>
      <c r="R652" s="55"/>
      <c r="S652" s="468"/>
      <c r="T652" s="55"/>
      <c r="U652" s="55"/>
    </row>
    <row r="653" spans="1:21" ht="18.75" hidden="1">
      <c r="A653" s="238"/>
      <c r="B653" s="188"/>
      <c r="C653" s="188"/>
      <c r="D653" s="58" t="s">
        <v>239</v>
      </c>
      <c r="E653" s="50"/>
      <c r="F653" s="50"/>
      <c r="G653" s="52"/>
      <c r="H653" s="165" t="s">
        <v>35</v>
      </c>
      <c r="I653" s="570">
        <f ca="1">IFERROR(__xludf.DUMMYFUNCTION("IMPORTRANGE(""https://docs.google.com/spreadsheets/d/1eHaY18a8A9IcSdp1K8H6x8fbOy06t2VsZHhMHf-1x7Y/edit?usp=sharing"",""แผน!IG39"")"),0)</f>
        <v>0</v>
      </c>
      <c r="J653" s="212">
        <f ca="1">IFERROR(__xludf.DUMMYFUNCTION("IMPORTRANGE(""https://docs.google.com/spreadsheets/d/1tdoBKaGub7dwA3U6UFTqxio9LNnvDCQjHKmttSEBsFQ/edit?usp=sharing"",""จัดที่ดิน!AW39"")"),0)</f>
        <v>0</v>
      </c>
      <c r="K653" s="255">
        <f ca="1">IF(I653&gt;0,J653*100/I653,0)</f>
        <v>0</v>
      </c>
      <c r="L653" s="62"/>
      <c r="M653" s="55"/>
      <c r="N653" s="468"/>
      <c r="O653" s="55"/>
      <c r="P653" s="55"/>
      <c r="Q653" s="55"/>
      <c r="R653" s="55"/>
      <c r="S653" s="468"/>
      <c r="T653" s="55"/>
      <c r="U653" s="55"/>
    </row>
    <row r="654" spans="1:21" ht="19.5" hidden="1">
      <c r="A654" s="238"/>
      <c r="B654" s="188"/>
      <c r="C654" s="188"/>
      <c r="D654" s="58" t="s">
        <v>240</v>
      </c>
      <c r="E654" s="50"/>
      <c r="F654" s="50"/>
      <c r="G654" s="52"/>
      <c r="H654" s="461" t="s">
        <v>46</v>
      </c>
      <c r="I654" s="569">
        <f ca="1">IFERROR(__xludf.DUMMYFUNCTION("IMPORTRANGE(""https://docs.google.com/spreadsheets/d/1eHaY18a8A9IcSdp1K8H6x8fbOy06t2VsZHhMHf-1x7Y/edit?usp=sharing"",""แผน!IH39"")"),0)</f>
        <v>0</v>
      </c>
      <c r="J654" s="373">
        <f>J657+J660</f>
        <v>0</v>
      </c>
      <c r="K654" s="540">
        <f ca="1">IF(I654&gt;0,J654*100/I654,0)</f>
        <v>0</v>
      </c>
      <c r="L654" s="62"/>
      <c r="M654" s="55"/>
      <c r="N654" s="468"/>
      <c r="O654" s="55"/>
      <c r="P654" s="55"/>
      <c r="Q654" s="55"/>
      <c r="R654" s="55"/>
      <c r="S654" s="468"/>
      <c r="T654" s="55"/>
      <c r="U654" s="55"/>
    </row>
    <row r="655" spans="1:21" ht="18.75" hidden="1">
      <c r="A655" s="238"/>
      <c r="B655" s="188"/>
      <c r="C655" s="188"/>
      <c r="D655" s="50"/>
      <c r="E655" s="58" t="s">
        <v>241</v>
      </c>
      <c r="F655" s="50"/>
      <c r="G655" s="52"/>
      <c r="H655" s="165" t="s">
        <v>35</v>
      </c>
      <c r="I655" s="208"/>
      <c r="J655" s="467">
        <v>0</v>
      </c>
      <c r="K655" s="55"/>
      <c r="L655" s="62"/>
      <c r="M655" s="55"/>
      <c r="N655" s="468"/>
      <c r="O655" s="55"/>
      <c r="P655" s="55"/>
      <c r="Q655" s="55"/>
      <c r="R655" s="55"/>
      <c r="S655" s="468"/>
      <c r="T655" s="55"/>
      <c r="U655" s="55"/>
    </row>
    <row r="656" spans="1:21" ht="18.75" hidden="1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67">
        <v>0</v>
      </c>
      <c r="K656" s="55"/>
      <c r="L656" s="62"/>
      <c r="M656" s="55"/>
      <c r="N656" s="468"/>
      <c r="O656" s="55"/>
      <c r="P656" s="55"/>
      <c r="Q656" s="55"/>
      <c r="R656" s="55"/>
      <c r="S656" s="468"/>
      <c r="T656" s="55"/>
      <c r="U656" s="55"/>
    </row>
    <row r="657" spans="1:21" ht="18.75" hidden="1">
      <c r="A657" s="238"/>
      <c r="B657" s="188"/>
      <c r="C657" s="188"/>
      <c r="D657" s="50"/>
      <c r="E657" s="50"/>
      <c r="F657" s="50"/>
      <c r="G657" s="52"/>
      <c r="H657" s="165" t="s">
        <v>46</v>
      </c>
      <c r="I657" s="570">
        <f ca="1">IFERROR(__xludf.DUMMYFUNCTION("IMPORTRANGE(""https://docs.google.com/spreadsheets/d/1eHaY18a8A9IcSdp1K8H6x8fbOy06t2VsZHhMHf-1x7Y/edit?usp=sharing"",""แผน!II39"")"),0)</f>
        <v>0</v>
      </c>
      <c r="J657" s="467">
        <v>0</v>
      </c>
      <c r="K657" s="55"/>
      <c r="L657" s="62"/>
      <c r="M657" s="55"/>
      <c r="N657" s="468"/>
      <c r="O657" s="55"/>
      <c r="P657" s="55"/>
      <c r="Q657" s="55"/>
      <c r="R657" s="55"/>
      <c r="S657" s="468"/>
      <c r="T657" s="55"/>
      <c r="U657" s="55"/>
    </row>
    <row r="658" spans="1:21" ht="18.75" hidden="1">
      <c r="A658" s="238"/>
      <c r="B658" s="188"/>
      <c r="C658" s="188"/>
      <c r="D658" s="50"/>
      <c r="E658" s="58" t="s">
        <v>242</v>
      </c>
      <c r="F658" s="50"/>
      <c r="G658" s="52"/>
      <c r="H658" s="165" t="s">
        <v>35</v>
      </c>
      <c r="I658" s="208"/>
      <c r="J658" s="467">
        <v>0</v>
      </c>
      <c r="K658" s="55"/>
      <c r="L658" s="62"/>
      <c r="M658" s="55"/>
      <c r="N658" s="468"/>
      <c r="O658" s="55"/>
      <c r="P658" s="55"/>
      <c r="Q658" s="55"/>
      <c r="R658" s="55"/>
      <c r="S658" s="468"/>
      <c r="T658" s="55"/>
      <c r="U658" s="55"/>
    </row>
    <row r="659" spans="1:21" ht="18.75" hidden="1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67">
        <v>0</v>
      </c>
      <c r="K659" s="55"/>
      <c r="L659" s="62"/>
      <c r="M659" s="55"/>
      <c r="N659" s="468"/>
      <c r="O659" s="55"/>
      <c r="P659" s="55"/>
      <c r="Q659" s="55"/>
      <c r="R659" s="55"/>
      <c r="S659" s="468"/>
      <c r="T659" s="55"/>
      <c r="U659" s="55"/>
    </row>
    <row r="660" spans="1:21" ht="18.75" hidden="1">
      <c r="A660" s="238"/>
      <c r="B660" s="188"/>
      <c r="C660" s="188"/>
      <c r="D660" s="50"/>
      <c r="E660" s="50"/>
      <c r="F660" s="50"/>
      <c r="G660" s="52"/>
      <c r="H660" s="165" t="s">
        <v>46</v>
      </c>
      <c r="I660" s="570">
        <f ca="1">IFERROR(__xludf.DUMMYFUNCTION("IMPORTRANGE(""https://docs.google.com/spreadsheets/d/1eHaY18a8A9IcSdp1K8H6x8fbOy06t2VsZHhMHf-1x7Y/edit?usp=sharing"",""แผน!IJ39"")"),0)</f>
        <v>0</v>
      </c>
      <c r="J660" s="467">
        <v>0</v>
      </c>
      <c r="K660" s="55"/>
      <c r="L660" s="62"/>
      <c r="M660" s="55"/>
      <c r="N660" s="468"/>
      <c r="O660" s="55"/>
      <c r="P660" s="55"/>
      <c r="Q660" s="55"/>
      <c r="R660" s="55"/>
      <c r="S660" s="468"/>
      <c r="T660" s="55"/>
      <c r="U660" s="55"/>
    </row>
    <row r="661" spans="1:21" ht="19.5" hidden="1">
      <c r="A661" s="238"/>
      <c r="B661" s="188"/>
      <c r="C661" s="188"/>
      <c r="D661" s="377" t="s">
        <v>243</v>
      </c>
      <c r="E661" s="50"/>
      <c r="F661" s="50"/>
      <c r="G661" s="52"/>
      <c r="H661" s="461" t="s">
        <v>46</v>
      </c>
      <c r="I661" s="569">
        <f ca="1">IFERROR(__xludf.DUMMYFUNCTION("IMPORTRANGE(""https://docs.google.com/spreadsheets/d/1eHaY18a8A9IcSdp1K8H6x8fbOy06t2VsZHhMHf-1x7Y/edit?usp=sharing"",""แผน!IK39"")"),0)</f>
        <v>0</v>
      </c>
      <c r="J661" s="373">
        <f>J667+J670</f>
        <v>0</v>
      </c>
      <c r="K661" s="540">
        <f ca="1">IF(I661&gt;0,J661*100/I661,0)</f>
        <v>0</v>
      </c>
      <c r="L661" s="62"/>
      <c r="M661" s="55"/>
      <c r="N661" s="468"/>
      <c r="O661" s="55"/>
      <c r="P661" s="55"/>
      <c r="Q661" s="55"/>
      <c r="R661" s="55"/>
      <c r="S661" s="468"/>
      <c r="T661" s="55"/>
      <c r="U661" s="55"/>
    </row>
    <row r="662" spans="1:21" ht="18.75" hidden="1">
      <c r="A662" s="238"/>
      <c r="B662" s="188"/>
      <c r="C662" s="188"/>
      <c r="D662" s="50"/>
      <c r="E662" s="58" t="s">
        <v>244</v>
      </c>
      <c r="F662" s="50"/>
      <c r="G662" s="52"/>
      <c r="H662" s="165" t="s">
        <v>34</v>
      </c>
      <c r="I662" s="208"/>
      <c r="J662" s="467">
        <v>0</v>
      </c>
      <c r="K662" s="55"/>
      <c r="L662" s="469"/>
      <c r="M662" s="55"/>
      <c r="N662" s="468"/>
      <c r="O662" s="55"/>
      <c r="P662" s="55"/>
      <c r="Q662" s="468"/>
      <c r="R662" s="55"/>
      <c r="S662" s="468"/>
      <c r="T662" s="55"/>
      <c r="U662" s="55"/>
    </row>
    <row r="663" spans="1:21" ht="18.75" hidden="1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67">
        <v>0</v>
      </c>
      <c r="K663" s="55"/>
      <c r="L663" s="469"/>
      <c r="M663" s="55"/>
      <c r="N663" s="468"/>
      <c r="O663" s="55"/>
      <c r="P663" s="55"/>
      <c r="Q663" s="468"/>
      <c r="R663" s="55"/>
      <c r="S663" s="468"/>
      <c r="T663" s="55"/>
      <c r="U663" s="55"/>
    </row>
    <row r="664" spans="1:21" ht="18.75" hidden="1">
      <c r="A664" s="238"/>
      <c r="B664" s="188"/>
      <c r="C664" s="188"/>
      <c r="D664" s="50"/>
      <c r="E664" s="58" t="s">
        <v>245</v>
      </c>
      <c r="F664" s="50"/>
      <c r="G664" s="52"/>
      <c r="H664" s="206"/>
      <c r="I664" s="208"/>
      <c r="J664" s="54"/>
      <c r="K664" s="55"/>
      <c r="L664" s="469"/>
      <c r="M664" s="55"/>
      <c r="N664" s="468"/>
      <c r="O664" s="55"/>
      <c r="P664" s="55"/>
      <c r="Q664" s="468"/>
      <c r="R664" s="55"/>
      <c r="S664" s="468"/>
      <c r="T664" s="55"/>
      <c r="U664" s="55"/>
    </row>
    <row r="665" spans="1:21" ht="18.75" hidden="1">
      <c r="A665" s="238"/>
      <c r="B665" s="188"/>
      <c r="C665" s="188"/>
      <c r="D665" s="50"/>
      <c r="E665" s="50"/>
      <c r="F665" s="58" t="s">
        <v>246</v>
      </c>
      <c r="G665" s="52"/>
      <c r="H665" s="165" t="s">
        <v>35</v>
      </c>
      <c r="I665" s="208"/>
      <c r="J665" s="467">
        <v>0</v>
      </c>
      <c r="K665" s="55"/>
      <c r="L665" s="469"/>
      <c r="M665" s="55"/>
      <c r="N665" s="468"/>
      <c r="O665" s="55"/>
      <c r="P665" s="55"/>
      <c r="Q665" s="468"/>
      <c r="R665" s="55"/>
      <c r="S665" s="468"/>
      <c r="T665" s="55"/>
      <c r="U665" s="55"/>
    </row>
    <row r="666" spans="1:21" ht="18.75" hidden="1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67">
        <v>0</v>
      </c>
      <c r="K666" s="55"/>
      <c r="L666" s="469"/>
      <c r="M666" s="55"/>
      <c r="N666" s="468"/>
      <c r="O666" s="55"/>
      <c r="P666" s="55"/>
      <c r="Q666" s="468"/>
      <c r="R666" s="55"/>
      <c r="S666" s="468"/>
      <c r="T666" s="55"/>
      <c r="U666" s="55"/>
    </row>
    <row r="667" spans="1:21" ht="18.75" hidden="1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67">
        <v>0</v>
      </c>
      <c r="K667" s="55"/>
      <c r="L667" s="469"/>
      <c r="M667" s="55"/>
      <c r="N667" s="468"/>
      <c r="O667" s="55"/>
      <c r="P667" s="55"/>
      <c r="Q667" s="468"/>
      <c r="R667" s="55"/>
      <c r="S667" s="468"/>
      <c r="T667" s="55"/>
      <c r="U667" s="55"/>
    </row>
    <row r="668" spans="1:21" ht="18.75" hidden="1">
      <c r="A668" s="238"/>
      <c r="B668" s="188"/>
      <c r="C668" s="188"/>
      <c r="D668" s="50"/>
      <c r="E668" s="50"/>
      <c r="F668" s="58" t="s">
        <v>247</v>
      </c>
      <c r="G668" s="52"/>
      <c r="H668" s="165" t="s">
        <v>35</v>
      </c>
      <c r="I668" s="208"/>
      <c r="J668" s="467">
        <v>0</v>
      </c>
      <c r="K668" s="55"/>
      <c r="L668" s="469"/>
      <c r="M668" s="55"/>
      <c r="N668" s="468"/>
      <c r="O668" s="55"/>
      <c r="P668" s="55"/>
      <c r="Q668" s="468"/>
      <c r="R668" s="55"/>
      <c r="S668" s="468"/>
      <c r="T668" s="55"/>
      <c r="U668" s="55"/>
    </row>
    <row r="669" spans="1:21" ht="18.75" hidden="1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67">
        <v>0</v>
      </c>
      <c r="K669" s="55"/>
      <c r="L669" s="469"/>
      <c r="M669" s="55"/>
      <c r="N669" s="468"/>
      <c r="O669" s="55"/>
      <c r="P669" s="55"/>
      <c r="Q669" s="468"/>
      <c r="R669" s="55"/>
      <c r="S669" s="468"/>
      <c r="T669" s="55"/>
      <c r="U669" s="55"/>
    </row>
    <row r="670" spans="1:21" ht="18.75" hidden="1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67">
        <v>0</v>
      </c>
      <c r="K670" s="55"/>
      <c r="L670" s="469"/>
      <c r="M670" s="55"/>
      <c r="N670" s="468"/>
      <c r="O670" s="55"/>
      <c r="P670" s="55"/>
      <c r="Q670" s="468"/>
      <c r="R670" s="55"/>
      <c r="S670" s="468"/>
      <c r="T670" s="55"/>
      <c r="U670" s="55"/>
    </row>
    <row r="671" spans="1:21" ht="18.75" hidden="1">
      <c r="A671" s="238"/>
      <c r="B671" s="188"/>
      <c r="C671" s="188"/>
      <c r="D671" s="58" t="s">
        <v>248</v>
      </c>
      <c r="E671" s="50"/>
      <c r="F671" s="50"/>
      <c r="G671" s="52"/>
      <c r="H671" s="165" t="s">
        <v>35</v>
      </c>
      <c r="I671" s="208"/>
      <c r="J671" s="212">
        <f ca="1">IFERROR(__xludf.DUMMYFUNCTION("IMPORTRANGE(""https://docs.google.com/spreadsheets/d/1tdoBKaGub7dwA3U6UFTqxio9LNnvDCQjHKmttSEBsFQ/edit?usp=sharing"",""จัดที่ดิน!AY39"")"),0)</f>
        <v>0</v>
      </c>
      <c r="K671" s="55"/>
      <c r="L671" s="62"/>
      <c r="M671" s="55"/>
      <c r="N671" s="468"/>
      <c r="O671" s="55"/>
      <c r="P671" s="55"/>
      <c r="Q671" s="55"/>
      <c r="R671" s="55"/>
      <c r="S671" s="468"/>
      <c r="T671" s="55"/>
      <c r="U671" s="55"/>
    </row>
    <row r="672" spans="1:21" ht="18.75" hidden="1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212">
        <f ca="1">IFERROR(__xludf.DUMMYFUNCTION("IMPORTRANGE(""https://docs.google.com/spreadsheets/d/1tdoBKaGub7dwA3U6UFTqxio9LNnvDCQjHKmttSEBsFQ/edit?usp=sharing"",""จัดที่ดิน!AZ39"")"),0)</f>
        <v>0</v>
      </c>
      <c r="K672" s="55"/>
      <c r="L672" s="469"/>
      <c r="M672" s="55"/>
      <c r="N672" s="468"/>
      <c r="O672" s="55"/>
      <c r="P672" s="55"/>
      <c r="Q672" s="468"/>
      <c r="R672" s="55"/>
      <c r="S672" s="468"/>
      <c r="T672" s="55"/>
      <c r="U672" s="55"/>
    </row>
    <row r="673" spans="1:21" ht="18.75" hidden="1">
      <c r="A673" s="238"/>
      <c r="B673" s="188"/>
      <c r="C673" s="188"/>
      <c r="D673" s="50"/>
      <c r="E673" s="50"/>
      <c r="F673" s="50"/>
      <c r="G673" s="52"/>
      <c r="H673" s="165" t="s">
        <v>46</v>
      </c>
      <c r="I673" s="570">
        <f ca="1">IFERROR(__xludf.DUMMYFUNCTION("IMPORTRANGE(""https://docs.google.com/spreadsheets/d/1eHaY18a8A9IcSdp1K8H6x8fbOy06t2VsZHhMHf-1x7Y/edit?usp=sharing"",""แผน!IL39"")"),0)</f>
        <v>0</v>
      </c>
      <c r="J673" s="212">
        <f ca="1">IFERROR(__xludf.DUMMYFUNCTION("IMPORTRANGE(""https://docs.google.com/spreadsheets/d/1tdoBKaGub7dwA3U6UFTqxio9LNnvDCQjHKmttSEBsFQ/edit?usp=sharing"",""จัดที่ดิน!BA39"")"),0)</f>
        <v>0</v>
      </c>
      <c r="K673" s="255">
        <f ca="1">IF(I673&gt;0,J673*100/I673,0)</f>
        <v>0</v>
      </c>
      <c r="L673" s="469"/>
      <c r="M673" s="55"/>
      <c r="N673" s="468"/>
      <c r="O673" s="55"/>
      <c r="P673" s="55"/>
      <c r="Q673" s="468"/>
      <c r="R673" s="55"/>
      <c r="S673" s="468"/>
      <c r="T673" s="55"/>
      <c r="U673" s="55"/>
    </row>
    <row r="674" spans="1:21" ht="19.5" hidden="1">
      <c r="A674" s="238"/>
      <c r="B674" s="188"/>
      <c r="C674" s="188"/>
      <c r="D674" s="58" t="s">
        <v>249</v>
      </c>
      <c r="E674" s="50"/>
      <c r="F674" s="50"/>
      <c r="G674" s="52"/>
      <c r="H674" s="461" t="s">
        <v>35</v>
      </c>
      <c r="I674" s="569">
        <f ca="1">IFERROR(__xludf.DUMMYFUNCTION("IMPORTRANGE(""https://docs.google.com/spreadsheets/d/1eHaY18a8A9IcSdp1K8H6x8fbOy06t2VsZHhMHf-1x7Y/edit?usp=sharing"",""แผน!IM39"")"),0)</f>
        <v>0</v>
      </c>
      <c r="J674" s="373">
        <f ca="1">J676+J679</f>
        <v>0</v>
      </c>
      <c r="K674" s="540">
        <f ca="1">IF(I674&gt;0,J674*100/I674,0)</f>
        <v>0</v>
      </c>
      <c r="L674" s="469"/>
      <c r="M674" s="55"/>
      <c r="N674" s="468"/>
      <c r="O674" s="55"/>
      <c r="P674" s="55"/>
      <c r="Q674" s="468"/>
      <c r="R674" s="55"/>
      <c r="S674" s="468"/>
      <c r="T674" s="55"/>
      <c r="U674" s="55"/>
    </row>
    <row r="675" spans="1:21" ht="19.5" hidden="1">
      <c r="A675" s="238"/>
      <c r="B675" s="188"/>
      <c r="C675" s="188"/>
      <c r="D675" s="50"/>
      <c r="E675" s="50"/>
      <c r="F675" s="50"/>
      <c r="G675" s="52"/>
      <c r="H675" s="461" t="s">
        <v>46</v>
      </c>
      <c r="I675" s="569">
        <f ca="1">IFERROR(__xludf.DUMMYFUNCTION("IMPORTRANGE(""https://docs.google.com/spreadsheets/d/1eHaY18a8A9IcSdp1K8H6x8fbOy06t2VsZHhMHf-1x7Y/edit?usp=sharing"",""แผน!IN39"")"),0)</f>
        <v>0</v>
      </c>
      <c r="J675" s="373">
        <f ca="1">J678+J681</f>
        <v>0</v>
      </c>
      <c r="K675" s="540">
        <f ca="1">IF(I675&gt;0,J675*100/I675,0)</f>
        <v>0</v>
      </c>
      <c r="L675" s="62"/>
      <c r="M675" s="55"/>
      <c r="N675" s="468"/>
      <c r="O675" s="55"/>
      <c r="P675" s="55"/>
      <c r="Q675" s="55"/>
      <c r="R675" s="55"/>
      <c r="S675" s="468"/>
      <c r="T675" s="55"/>
      <c r="U675" s="55"/>
    </row>
    <row r="676" spans="1:21" ht="18.75" hidden="1">
      <c r="A676" s="238"/>
      <c r="B676" s="188"/>
      <c r="C676" s="188"/>
      <c r="D676" s="50"/>
      <c r="E676" s="58" t="s">
        <v>250</v>
      </c>
      <c r="F676" s="50"/>
      <c r="G676" s="52"/>
      <c r="H676" s="165" t="s">
        <v>35</v>
      </c>
      <c r="I676" s="570">
        <f ca="1">IFERROR(__xludf.DUMMYFUNCTION("IMPORTRANGE(""https://docs.google.com/spreadsheets/d/1eHaY18a8A9IcSdp1K8H6x8fbOy06t2VsZHhMHf-1x7Y/edit?usp=sharing"",""แผน!IO39"")"),0)</f>
        <v>0</v>
      </c>
      <c r="J676" s="212">
        <f ca="1">IFERROR(__xludf.DUMMYFUNCTION("IMPORTRANGE(""https://docs.google.com/spreadsheets/d/1tdoBKaGub7dwA3U6UFTqxio9LNnvDCQjHKmttSEBsFQ/edit?usp=sharing"",""จัดที่ดิน!BF39"")"),0)</f>
        <v>0</v>
      </c>
      <c r="K676" s="255">
        <f ca="1">IF(I676&gt;0,J676*100/I676,0)</f>
        <v>0</v>
      </c>
      <c r="L676" s="62"/>
      <c r="M676" s="55"/>
      <c r="N676" s="468"/>
      <c r="O676" s="55"/>
      <c r="P676" s="55"/>
      <c r="Q676" s="55"/>
      <c r="R676" s="55"/>
      <c r="S676" s="468"/>
      <c r="T676" s="55"/>
      <c r="U676" s="55"/>
    </row>
    <row r="677" spans="1:21" ht="18.75" hidden="1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212">
        <f ca="1">IFERROR(__xludf.DUMMYFUNCTION("IMPORTRANGE(""https://docs.google.com/spreadsheets/d/1tdoBKaGub7dwA3U6UFTqxio9LNnvDCQjHKmttSEBsFQ/edit?usp=sharing"",""จัดที่ดิน!BG39"")"),0)</f>
        <v>0</v>
      </c>
      <c r="K677" s="55"/>
      <c r="L677" s="469"/>
      <c r="M677" s="55"/>
      <c r="N677" s="468"/>
      <c r="O677" s="55"/>
      <c r="P677" s="55"/>
      <c r="Q677" s="468"/>
      <c r="R677" s="55"/>
      <c r="S677" s="468"/>
      <c r="T677" s="55"/>
      <c r="U677" s="55"/>
    </row>
    <row r="678" spans="1:21" ht="18.75" hidden="1">
      <c r="A678" s="238"/>
      <c r="B678" s="188"/>
      <c r="C678" s="188"/>
      <c r="D678" s="50"/>
      <c r="E678" s="50"/>
      <c r="F678" s="50"/>
      <c r="G678" s="52"/>
      <c r="H678" s="165" t="s">
        <v>46</v>
      </c>
      <c r="I678" s="570">
        <f ca="1">IFERROR(__xludf.DUMMYFUNCTION("IMPORTRANGE(""https://docs.google.com/spreadsheets/d/1eHaY18a8A9IcSdp1K8H6x8fbOy06t2VsZHhMHf-1x7Y/edit?usp=sharing"",""แผน!IP39"")"),0)</f>
        <v>0</v>
      </c>
      <c r="J678" s="212">
        <f ca="1">IFERROR(__xludf.DUMMYFUNCTION("IMPORTRANGE(""https://docs.google.com/spreadsheets/d/1tdoBKaGub7dwA3U6UFTqxio9LNnvDCQjHKmttSEBsFQ/edit?usp=sharing"",""จัดที่ดิน!BH39"")"),0)</f>
        <v>0</v>
      </c>
      <c r="K678" s="255">
        <f ca="1">IF(I678&gt;0,J678*100/I678,0)</f>
        <v>0</v>
      </c>
      <c r="L678" s="469"/>
      <c r="M678" s="55"/>
      <c r="N678" s="468"/>
      <c r="O678" s="55"/>
      <c r="P678" s="55"/>
      <c r="Q678" s="468"/>
      <c r="R678" s="55"/>
      <c r="S678" s="468"/>
      <c r="T678" s="55"/>
      <c r="U678" s="55"/>
    </row>
    <row r="679" spans="1:21" ht="18.75" hidden="1">
      <c r="A679" s="238"/>
      <c r="B679" s="188"/>
      <c r="C679" s="188"/>
      <c r="D679" s="50"/>
      <c r="E679" s="58" t="s">
        <v>251</v>
      </c>
      <c r="F679" s="50"/>
      <c r="G679" s="52"/>
      <c r="H679" s="165" t="s">
        <v>35</v>
      </c>
      <c r="I679" s="570">
        <f ca="1">IFERROR(__xludf.DUMMYFUNCTION("IMPORTRANGE(""https://docs.google.com/spreadsheets/d/1eHaY18a8A9IcSdp1K8H6x8fbOy06t2VsZHhMHf-1x7Y/edit?usp=sharing"",""แผน!IQ39"")"),0)</f>
        <v>0</v>
      </c>
      <c r="J679" s="212">
        <f ca="1">IFERROR(__xludf.DUMMYFUNCTION("IMPORTRANGE(""https://docs.google.com/spreadsheets/d/1tdoBKaGub7dwA3U6UFTqxio9LNnvDCQjHKmttSEBsFQ/edit?usp=sharing"",""จัดที่ดิน!BK39"")"),0)</f>
        <v>0</v>
      </c>
      <c r="K679" s="255">
        <f ca="1">IF(I679&gt;0,J679*100/I679,0)</f>
        <v>0</v>
      </c>
      <c r="L679" s="62"/>
      <c r="M679" s="55"/>
      <c r="N679" s="468"/>
      <c r="O679" s="55"/>
      <c r="P679" s="55"/>
      <c r="Q679" s="55"/>
      <c r="R679" s="55"/>
      <c r="S679" s="468"/>
      <c r="T679" s="55"/>
      <c r="U679" s="55"/>
    </row>
    <row r="680" spans="1:21" ht="18.75" hidden="1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212">
        <f ca="1">IFERROR(__xludf.DUMMYFUNCTION("IMPORTRANGE(""https://docs.google.com/spreadsheets/d/1tdoBKaGub7dwA3U6UFTqxio9LNnvDCQjHKmttSEBsFQ/edit?usp=sharing"",""จัดที่ดิน!BL39"")"),0)</f>
        <v>0</v>
      </c>
      <c r="K680" s="55"/>
      <c r="L680" s="469"/>
      <c r="M680" s="55"/>
      <c r="N680" s="468"/>
      <c r="O680" s="55"/>
      <c r="P680" s="55"/>
      <c r="Q680" s="468"/>
      <c r="R680" s="55"/>
      <c r="S680" s="468"/>
      <c r="T680" s="55"/>
      <c r="U680" s="55"/>
    </row>
    <row r="681" spans="1:21" ht="18.75" hidden="1">
      <c r="A681" s="238"/>
      <c r="B681" s="188"/>
      <c r="C681" s="188"/>
      <c r="D681" s="50"/>
      <c r="E681" s="50"/>
      <c r="F681" s="50"/>
      <c r="G681" s="52"/>
      <c r="H681" s="165" t="s">
        <v>46</v>
      </c>
      <c r="I681" s="570">
        <f ca="1">IFERROR(__xludf.DUMMYFUNCTION("IMPORTRANGE(""https://docs.google.com/spreadsheets/d/1eHaY18a8A9IcSdp1K8H6x8fbOy06t2VsZHhMHf-1x7Y/edit?usp=sharing"",""แผน!IR39"")"),0)</f>
        <v>0</v>
      </c>
      <c r="J681" s="212">
        <f ca="1">IFERROR(__xludf.DUMMYFUNCTION("IMPORTRANGE(""https://docs.google.com/spreadsheets/d/1tdoBKaGub7dwA3U6UFTqxio9LNnvDCQjHKmttSEBsFQ/edit?usp=sharing"",""จัดที่ดิน!BM39"")"),0)</f>
        <v>0</v>
      </c>
      <c r="K681" s="255">
        <f ca="1">IF(I681&gt;0,J681*100/I681,0)</f>
        <v>0</v>
      </c>
      <c r="L681" s="469"/>
      <c r="M681" s="55"/>
      <c r="N681" s="468"/>
      <c r="O681" s="55"/>
      <c r="P681" s="55"/>
      <c r="Q681" s="468"/>
      <c r="R681" s="55"/>
      <c r="S681" s="468"/>
      <c r="T681" s="55"/>
      <c r="U681" s="55"/>
    </row>
    <row r="682" spans="1:21" ht="19.5" hidden="1">
      <c r="A682" s="238"/>
      <c r="B682" s="188"/>
      <c r="C682" s="188"/>
      <c r="D682" s="58" t="s">
        <v>252</v>
      </c>
      <c r="E682" s="50"/>
      <c r="F682" s="50"/>
      <c r="G682" s="52"/>
      <c r="H682" s="461" t="s">
        <v>46</v>
      </c>
      <c r="I682" s="569">
        <f ca="1">IFERROR(__xludf.DUMMYFUNCTION("IMPORTRANGE(""https://docs.google.com/spreadsheets/d/1eHaY18a8A9IcSdp1K8H6x8fbOy06t2VsZHhMHf-1x7Y/edit?usp=sharing"",""แผน!IS39"")"),0)</f>
        <v>0</v>
      </c>
      <c r="J682" s="373">
        <f>J685+J688</f>
        <v>0</v>
      </c>
      <c r="K682" s="540">
        <f ca="1">IF(I682&gt;0,J682*100/I682,0)</f>
        <v>0</v>
      </c>
      <c r="L682" s="62"/>
      <c r="M682" s="55"/>
      <c r="N682" s="468"/>
      <c r="O682" s="55"/>
      <c r="P682" s="55"/>
      <c r="Q682" s="55"/>
      <c r="R682" s="55"/>
      <c r="S682" s="468"/>
      <c r="T682" s="55"/>
      <c r="U682" s="55"/>
    </row>
    <row r="683" spans="1:21" ht="18.75" hidden="1">
      <c r="A683" s="238"/>
      <c r="B683" s="188"/>
      <c r="C683" s="188"/>
      <c r="D683" s="50"/>
      <c r="E683" s="58" t="s">
        <v>253</v>
      </c>
      <c r="F683" s="50"/>
      <c r="G683" s="52"/>
      <c r="H683" s="165" t="s">
        <v>35</v>
      </c>
      <c r="I683" s="208"/>
      <c r="J683" s="467">
        <v>0</v>
      </c>
      <c r="K683" s="55"/>
      <c r="L683" s="469"/>
      <c r="M683" s="55"/>
      <c r="N683" s="468"/>
      <c r="O683" s="55"/>
      <c r="P683" s="55"/>
      <c r="Q683" s="468"/>
      <c r="R683" s="55"/>
      <c r="S683" s="468"/>
      <c r="T683" s="55"/>
      <c r="U683" s="55"/>
    </row>
    <row r="684" spans="1:21" ht="18.75" hidden="1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467">
        <v>0</v>
      </c>
      <c r="K684" s="55"/>
      <c r="L684" s="469"/>
      <c r="M684" s="55"/>
      <c r="N684" s="468"/>
      <c r="O684" s="55"/>
      <c r="P684" s="55"/>
      <c r="Q684" s="468"/>
      <c r="R684" s="55"/>
      <c r="S684" s="468"/>
      <c r="T684" s="55"/>
      <c r="U684" s="55"/>
    </row>
    <row r="685" spans="1:21" ht="18.75" hidden="1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467">
        <v>0</v>
      </c>
      <c r="K685" s="55"/>
      <c r="L685" s="469"/>
      <c r="M685" s="55"/>
      <c r="N685" s="468"/>
      <c r="O685" s="55"/>
      <c r="P685" s="55"/>
      <c r="Q685" s="468"/>
      <c r="R685" s="55"/>
      <c r="S685" s="468"/>
      <c r="T685" s="55"/>
      <c r="U685" s="55"/>
    </row>
    <row r="686" spans="1:21" ht="18.75" hidden="1">
      <c r="A686" s="238"/>
      <c r="B686" s="188"/>
      <c r="C686" s="188"/>
      <c r="D686" s="50"/>
      <c r="E686" s="58" t="s">
        <v>254</v>
      </c>
      <c r="F686" s="50"/>
      <c r="G686" s="52"/>
      <c r="H686" s="165" t="s">
        <v>35</v>
      </c>
      <c r="I686" s="208"/>
      <c r="J686" s="467">
        <v>0</v>
      </c>
      <c r="K686" s="55"/>
      <c r="L686" s="469"/>
      <c r="M686" s="55"/>
      <c r="N686" s="468"/>
      <c r="O686" s="55"/>
      <c r="P686" s="55"/>
      <c r="Q686" s="468"/>
      <c r="R686" s="55"/>
      <c r="S686" s="468"/>
      <c r="T686" s="55"/>
      <c r="U686" s="55"/>
    </row>
    <row r="687" spans="1:21" ht="18.75" hidden="1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467">
        <v>0</v>
      </c>
      <c r="K687" s="55"/>
      <c r="L687" s="469"/>
      <c r="M687" s="55"/>
      <c r="N687" s="468"/>
      <c r="O687" s="55"/>
      <c r="P687" s="55"/>
      <c r="Q687" s="468"/>
      <c r="R687" s="55"/>
      <c r="S687" s="468"/>
      <c r="T687" s="55"/>
      <c r="U687" s="55"/>
    </row>
    <row r="688" spans="1:21" ht="19.5" hidden="1">
      <c r="A688" s="281"/>
      <c r="B688" s="470" t="s">
        <v>255</v>
      </c>
      <c r="C688" s="282"/>
      <c r="D688" s="2"/>
      <c r="E688" s="2"/>
      <c r="F688" s="2"/>
      <c r="G688" s="284"/>
      <c r="H688" s="214" t="s">
        <v>46</v>
      </c>
      <c r="I688" s="375"/>
      <c r="J688" s="538">
        <v>0</v>
      </c>
      <c r="K688" s="6"/>
      <c r="L688" s="472"/>
      <c r="M688" s="6"/>
      <c r="N688" s="471"/>
      <c r="O688" s="6"/>
      <c r="P688" s="6"/>
      <c r="Q688" s="471"/>
      <c r="R688" s="6"/>
      <c r="S688" s="471"/>
      <c r="T688" s="6"/>
      <c r="U688" s="6"/>
    </row>
    <row r="689" spans="1:21" ht="19.5" hidden="1">
      <c r="A689" s="442"/>
      <c r="B689" s="443" t="s">
        <v>256</v>
      </c>
      <c r="C689" s="442"/>
      <c r="D689" s="444"/>
      <c r="E689" s="444"/>
      <c r="F689" s="444"/>
      <c r="G689" s="445"/>
      <c r="H689" s="568" t="s">
        <v>35</v>
      </c>
      <c r="I689" s="567">
        <f ca="1">I707</f>
        <v>0</v>
      </c>
      <c r="J689" s="567">
        <f ca="1">J707</f>
        <v>0</v>
      </c>
      <c r="K689" s="543">
        <f ca="1">IF(I689&gt;0,J689*100/I689,0)</f>
        <v>0</v>
      </c>
      <c r="L689" s="449"/>
      <c r="M689" s="448"/>
      <c r="N689" s="448"/>
      <c r="O689" s="448"/>
      <c r="P689" s="448"/>
      <c r="Q689" s="448"/>
      <c r="R689" s="448"/>
      <c r="S689" s="448"/>
      <c r="T689" s="448"/>
      <c r="U689" s="448"/>
    </row>
    <row r="690" spans="1:21" ht="19.5" hidden="1">
      <c r="A690" s="155"/>
      <c r="B690" s="188"/>
      <c r="C690" s="205" t="s">
        <v>18</v>
      </c>
      <c r="D690" s="542" t="s">
        <v>19</v>
      </c>
      <c r="E690" s="529"/>
      <c r="F690" s="529"/>
      <c r="G690" s="530"/>
      <c r="H690" s="252" t="s">
        <v>14</v>
      </c>
      <c r="I690" s="54"/>
      <c r="J690" s="54"/>
      <c r="K690" s="55"/>
      <c r="L690" s="541">
        <f>L691+L692</f>
        <v>0</v>
      </c>
      <c r="M690" s="540">
        <f>M691+M692</f>
        <v>0</v>
      </c>
      <c r="N690" s="540">
        <f>N691+N692</f>
        <v>0</v>
      </c>
      <c r="O690" s="540">
        <f>IF(L690&gt;0,N690*100/L690,0)</f>
        <v>0</v>
      </c>
      <c r="P690" s="540">
        <f>IF(M690&gt;0,N690*100/M690,0)</f>
        <v>0</v>
      </c>
      <c r="Q690" s="540">
        <f ca="1">Q691+Q692</f>
        <v>0</v>
      </c>
      <c r="R690" s="540">
        <f ca="1">R691+R692</f>
        <v>0</v>
      </c>
      <c r="S690" s="540">
        <f ca="1">S691+S692</f>
        <v>0</v>
      </c>
      <c r="T690" s="540">
        <f ca="1">IF(Q690&gt;0,S690*100/Q690,0)</f>
        <v>0</v>
      </c>
      <c r="U690" s="540">
        <f ca="1">IF(R690&gt;0,S690*100/R690,0)</f>
        <v>0</v>
      </c>
    </row>
    <row r="691" spans="1:21" ht="18.75" hidden="1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103">
        <f>L694+L697</f>
        <v>0</v>
      </c>
      <c r="M691" s="102">
        <f>M694+M697</f>
        <v>0</v>
      </c>
      <c r="N691" s="102">
        <f>N694+N697</f>
        <v>0</v>
      </c>
      <c r="O691" s="102">
        <f>IF(L691&gt;0,N691*100/L691,0)</f>
        <v>0</v>
      </c>
      <c r="P691" s="102">
        <f>IF(M691&gt;0,N691*100/M691,0)</f>
        <v>0</v>
      </c>
      <c r="Q691" s="102">
        <f>Q694+Q697</f>
        <v>0</v>
      </c>
      <c r="R691" s="102">
        <f>R694+R697</f>
        <v>0</v>
      </c>
      <c r="S691" s="102">
        <f>S694+S697</f>
        <v>0</v>
      </c>
      <c r="T691" s="102">
        <f>IF(Q691&gt;0,S691*100/Q691,0)</f>
        <v>0</v>
      </c>
      <c r="U691" s="102">
        <f>IF(R691&gt;0,S691*100/R691,0)</f>
        <v>0</v>
      </c>
    </row>
    <row r="692" spans="1:21" ht="18.75" hidden="1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256">
        <f>L695+L698</f>
        <v>0</v>
      </c>
      <c r="M692" s="255">
        <f>M695+M698</f>
        <v>0</v>
      </c>
      <c r="N692" s="255">
        <f>N695+N698</f>
        <v>0</v>
      </c>
      <c r="O692" s="255">
        <f>IF(L692&gt;0,N692*100/L692,0)</f>
        <v>0</v>
      </c>
      <c r="P692" s="255">
        <f>IF(M692&gt;0,N692*100/M692,0)</f>
        <v>0</v>
      </c>
      <c r="Q692" s="255">
        <f ca="1">Q695+Q698</f>
        <v>0</v>
      </c>
      <c r="R692" s="255">
        <f ca="1">R695+R698</f>
        <v>0</v>
      </c>
      <c r="S692" s="255">
        <f ca="1">S695+S698</f>
        <v>0</v>
      </c>
      <c r="T692" s="255">
        <f ca="1">IF(Q692&gt;0,S692*100/Q692,0)</f>
        <v>0</v>
      </c>
      <c r="U692" s="255">
        <f ca="1">IF(R692&gt;0,S692*100/R692,0)</f>
        <v>0</v>
      </c>
    </row>
    <row r="693" spans="1:21" ht="18.75" hidden="1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256">
        <f>L694+L695</f>
        <v>0</v>
      </c>
      <c r="M693" s="255">
        <f>M694+M695</f>
        <v>0</v>
      </c>
      <c r="N693" s="255">
        <f>N694+N695</f>
        <v>0</v>
      </c>
      <c r="O693" s="255">
        <f>IF(L693&gt;0,N693*100/L693,0)</f>
        <v>0</v>
      </c>
      <c r="P693" s="255">
        <f>IF(M693&gt;0,N693*100/M693,0)</f>
        <v>0</v>
      </c>
      <c r="Q693" s="255">
        <f ca="1">Q694+Q695</f>
        <v>0</v>
      </c>
      <c r="R693" s="255">
        <f ca="1">R694+R695</f>
        <v>0</v>
      </c>
      <c r="S693" s="255">
        <f ca="1">S694+S695</f>
        <v>0</v>
      </c>
      <c r="T693" s="255">
        <f ca="1">IF(Q693&gt;0,S693*100/Q693,0)</f>
        <v>0</v>
      </c>
      <c r="U693" s="255">
        <f ca="1">IF(R693&gt;0,S693*100/R693,0)</f>
        <v>0</v>
      </c>
    </row>
    <row r="694" spans="1:21" ht="18.75" hidden="1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103">
        <v>0</v>
      </c>
      <c r="M694" s="102">
        <v>0</v>
      </c>
      <c r="N694" s="102">
        <v>0</v>
      </c>
      <c r="O694" s="102">
        <f>IF(L694&gt;0,N694*100/L694,0)</f>
        <v>0</v>
      </c>
      <c r="P694" s="102">
        <f>IF(M694&gt;0,N694*100/M694,0)</f>
        <v>0</v>
      </c>
      <c r="Q694" s="102">
        <v>0</v>
      </c>
      <c r="R694" s="102">
        <v>0</v>
      </c>
      <c r="S694" s="102">
        <v>0</v>
      </c>
      <c r="T694" s="102">
        <f>IF(Q694&gt;0,S694*100/Q694,0)</f>
        <v>0</v>
      </c>
      <c r="U694" s="102">
        <f>IF(R694&gt;0,S694*100/R694,0)</f>
        <v>0</v>
      </c>
    </row>
    <row r="695" spans="1:21" ht="18.75" hidden="1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256">
        <v>0</v>
      </c>
      <c r="M695" s="255">
        <v>0</v>
      </c>
      <c r="N695" s="255">
        <v>0</v>
      </c>
      <c r="O695" s="255">
        <f>IF(L695&gt;0,N695*100/L695,0)</f>
        <v>0</v>
      </c>
      <c r="P695" s="255">
        <f>IF(M695&gt;0,N695*100/M695,0)</f>
        <v>0</v>
      </c>
      <c r="Q695" s="255">
        <f ca="1">IFERROR(__xludf.DUMMYFUNCTION("IMPORTRANGE(""https://docs.google.com/spreadsheets/d/1ItG2mGa2ceCfYo0BwxsXqNm01IGEUdYcSSLTEv9YCik/edit?usp=sharing"",""เบิกจ่ายกองทุน!L39"")"),0)</f>
        <v>0</v>
      </c>
      <c r="R695" s="255">
        <f ca="1">IFERROR(__xludf.DUMMYFUNCTION("IMPORTRANGE(""https://docs.google.com/spreadsheets/d/1ItG2mGa2ceCfYo0BwxsXqNm01IGEUdYcSSLTEv9YCik/edit?usp=sharing"",""เบิกจ่ายกองทุน!M39"")"),0)</f>
        <v>0</v>
      </c>
      <c r="S695" s="255">
        <f ca="1">IFERROR(__xludf.DUMMYFUNCTION("IMPORTRANGE(""https://docs.google.com/spreadsheets/d/1ItG2mGa2ceCfYo0BwxsXqNm01IGEUdYcSSLTEv9YCik/edit?usp=sharing"",""เบิกจ่ายกองทุน!N39"")"),0)</f>
        <v>0</v>
      </c>
      <c r="T695" s="255">
        <f ca="1">IF(Q695&gt;0,S695*100/Q695,0)</f>
        <v>0</v>
      </c>
      <c r="U695" s="255">
        <f ca="1">IF(R695&gt;0,S695*100/R695,0)</f>
        <v>0</v>
      </c>
    </row>
    <row r="696" spans="1:21" ht="18.75" hidden="1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256">
        <f>L697+L698</f>
        <v>0</v>
      </c>
      <c r="M696" s="255">
        <f>M697+M698</f>
        <v>0</v>
      </c>
      <c r="N696" s="255">
        <f>N697+N698</f>
        <v>0</v>
      </c>
      <c r="O696" s="255">
        <f>IF(L696&gt;0,N696*100/L696,0)</f>
        <v>0</v>
      </c>
      <c r="P696" s="255">
        <f>IF(M696&gt;0,N696*100/M696,0)</f>
        <v>0</v>
      </c>
      <c r="Q696" s="255">
        <f>Q697+Q698</f>
        <v>0</v>
      </c>
      <c r="R696" s="255">
        <f>R697+R698</f>
        <v>0</v>
      </c>
      <c r="S696" s="255">
        <f>S697+S698</f>
        <v>0</v>
      </c>
      <c r="T696" s="255">
        <f>IF(Q696&gt;0,S696*100/Q696,0)</f>
        <v>0</v>
      </c>
      <c r="U696" s="255">
        <f>IF(R696&gt;0,S696*100/R696,0)</f>
        <v>0</v>
      </c>
    </row>
    <row r="697" spans="1:21" ht="18.75" hidden="1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103">
        <v>0</v>
      </c>
      <c r="M697" s="102">
        <v>0</v>
      </c>
      <c r="N697" s="102">
        <v>0</v>
      </c>
      <c r="O697" s="102">
        <f>IF(L697&gt;0,N697*100/L697,0)</f>
        <v>0</v>
      </c>
      <c r="P697" s="102">
        <f>IF(M697&gt;0,N697*100/M697,0)</f>
        <v>0</v>
      </c>
      <c r="Q697" s="102">
        <v>0</v>
      </c>
      <c r="R697" s="102">
        <v>0</v>
      </c>
      <c r="S697" s="102">
        <v>0</v>
      </c>
      <c r="T697" s="102">
        <f>IF(Q697&gt;0,S697*100/Q697,0)</f>
        <v>0</v>
      </c>
      <c r="U697" s="102">
        <f>IF(R697&gt;0,S697*100/R697,0)</f>
        <v>0</v>
      </c>
    </row>
    <row r="698" spans="1:21" ht="18.75" hidden="1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256">
        <v>0</v>
      </c>
      <c r="M698" s="255">
        <v>0</v>
      </c>
      <c r="N698" s="255">
        <v>0</v>
      </c>
      <c r="O698" s="255">
        <f>IF(L698&gt;0,N698*100/L698,0)</f>
        <v>0</v>
      </c>
      <c r="P698" s="255">
        <f>IF(M698&gt;0,N698*100/M698,0)</f>
        <v>0</v>
      </c>
      <c r="Q698" s="255">
        <v>0</v>
      </c>
      <c r="R698" s="255">
        <v>0</v>
      </c>
      <c r="S698" s="255">
        <v>0</v>
      </c>
      <c r="T698" s="255">
        <f>IF(Q698&gt;0,S698*100/Q698,0)</f>
        <v>0</v>
      </c>
      <c r="U698" s="255">
        <f>IF(R698&gt;0,S698*100/R698,0)</f>
        <v>0</v>
      </c>
    </row>
    <row r="699" spans="1:21" ht="19.5" hidden="1">
      <c r="A699" s="166"/>
      <c r="B699" s="167"/>
      <c r="C699" s="205" t="s">
        <v>18</v>
      </c>
      <c r="D699" s="566" t="s">
        <v>38</v>
      </c>
      <c r="E699" s="169"/>
      <c r="F699" s="169"/>
      <c r="G699" s="169"/>
      <c r="H699" s="206"/>
      <c r="I699" s="163"/>
      <c r="J699" s="163"/>
      <c r="K699" s="164"/>
      <c r="L699" s="62"/>
      <c r="M699" s="55"/>
      <c r="N699" s="55"/>
      <c r="O699" s="55"/>
      <c r="P699" s="55"/>
      <c r="Q699" s="55"/>
      <c r="R699" s="55"/>
      <c r="S699" s="55"/>
      <c r="T699" s="55"/>
      <c r="U699" s="55"/>
    </row>
    <row r="700" spans="1:21" ht="18.75" hidden="1">
      <c r="A700" s="238"/>
      <c r="B700" s="188"/>
      <c r="C700" s="188"/>
      <c r="D700" s="174"/>
      <c r="E700" s="173" t="s">
        <v>257</v>
      </c>
      <c r="F700" s="174"/>
      <c r="G700" s="171"/>
      <c r="H700" s="165" t="s">
        <v>258</v>
      </c>
      <c r="I700" s="212">
        <f ca="1">IFERROR(__xludf.DUMMYFUNCTION("IMPORTRANGE(""https://docs.google.com/spreadsheets/d/1eHaY18a8A9IcSdp1K8H6x8fbOy06t2VsZHhMHf-1x7Y/edit?usp=sharing"",""แผน!LC39"")"),0)</f>
        <v>0</v>
      </c>
      <c r="J700" s="467">
        <v>0</v>
      </c>
      <c r="K700" s="565">
        <f ca="1">IF(I700&gt;0,J700*100/I700,0)</f>
        <v>0</v>
      </c>
      <c r="L700" s="172"/>
      <c r="M700" s="164"/>
      <c r="N700" s="55"/>
      <c r="O700" s="164"/>
      <c r="P700" s="164"/>
      <c r="Q700" s="164"/>
      <c r="R700" s="164"/>
      <c r="S700" s="55"/>
      <c r="T700" s="164"/>
      <c r="U700" s="164"/>
    </row>
    <row r="701" spans="1:21" ht="19.5" hidden="1">
      <c r="A701" s="238"/>
      <c r="B701" s="188"/>
      <c r="C701" s="188"/>
      <c r="D701" s="174"/>
      <c r="E701" s="476" t="s">
        <v>259</v>
      </c>
      <c r="F701" s="174"/>
      <c r="G701" s="171"/>
      <c r="H701" s="158" t="s">
        <v>35</v>
      </c>
      <c r="I701" s="373">
        <f ca="1">I703+I705</f>
        <v>0</v>
      </c>
      <c r="J701" s="373">
        <f ca="1">J703+J705</f>
        <v>0</v>
      </c>
      <c r="K701" s="540">
        <f ca="1">IF(I701&gt;0,J701*100/I701,0)</f>
        <v>0</v>
      </c>
      <c r="L701" s="172"/>
      <c r="M701" s="164"/>
      <c r="N701" s="164"/>
      <c r="O701" s="164"/>
      <c r="P701" s="164"/>
      <c r="Q701" s="164"/>
      <c r="R701" s="164"/>
      <c r="S701" s="164"/>
      <c r="T701" s="164"/>
      <c r="U701" s="164"/>
    </row>
    <row r="702" spans="1:21" ht="19.5" hidden="1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73">
        <v>0</v>
      </c>
      <c r="J702" s="373">
        <f ca="1">J704+J706</f>
        <v>0</v>
      </c>
      <c r="K702" s="540">
        <f>IF(I702&gt;0,J702*100/I702,0)</f>
        <v>0</v>
      </c>
      <c r="L702" s="172"/>
      <c r="M702" s="164"/>
      <c r="N702" s="164"/>
      <c r="O702" s="164"/>
      <c r="P702" s="164"/>
      <c r="Q702" s="164"/>
      <c r="R702" s="164"/>
      <c r="S702" s="164"/>
      <c r="T702" s="164"/>
      <c r="U702" s="164"/>
    </row>
    <row r="703" spans="1:21" ht="18.75" hidden="1">
      <c r="A703" s="238"/>
      <c r="B703" s="188"/>
      <c r="C703" s="188"/>
      <c r="D703" s="174"/>
      <c r="E703" s="174"/>
      <c r="F703" s="173" t="s">
        <v>260</v>
      </c>
      <c r="G703" s="171"/>
      <c r="H703" s="165" t="s">
        <v>35</v>
      </c>
      <c r="I703" s="212">
        <f ca="1">IFERROR(__xludf.DUMMYFUNCTION("IMPORTRANGE(""https://docs.google.com/spreadsheets/d/1eHaY18a8A9IcSdp1K8H6x8fbOy06t2VsZHhMHf-1x7Y/edit?usp=sharing"",""แผน!LJ39"")"),0)</f>
        <v>0</v>
      </c>
      <c r="J703" s="212">
        <f ca="1">IFERROR(__xludf.DUMMYFUNCTION("IMPORTRANGE(""https://docs.google.com/spreadsheets/d/1tdoBKaGub7dwA3U6UFTqxio9LNnvDCQjHKmttSEBsFQ/edit?usp=sharing"",""จัดที่ดิน!AP39"")"),0)</f>
        <v>0</v>
      </c>
      <c r="K703" s="255">
        <f ca="1">IF(I703&gt;0,J703*100/I703,0)</f>
        <v>0</v>
      </c>
      <c r="L703" s="172"/>
      <c r="M703" s="164"/>
      <c r="N703" s="164"/>
      <c r="O703" s="164"/>
      <c r="P703" s="164"/>
      <c r="Q703" s="164"/>
      <c r="R703" s="164"/>
      <c r="S703" s="164"/>
      <c r="T703" s="164"/>
      <c r="U703" s="164"/>
    </row>
    <row r="704" spans="1:21" ht="18.75" hidden="1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212">
        <f ca="1">IFERROR(__xludf.DUMMYFUNCTION("IMPORTRANGE(""https://docs.google.com/spreadsheets/d/1tdoBKaGub7dwA3U6UFTqxio9LNnvDCQjHKmttSEBsFQ/edit?usp=sharing"",""จัดที่ดิน!AQ39"")"),0)</f>
        <v>0</v>
      </c>
      <c r="K704" s="255">
        <f>IF(I704&gt;0,J704*100/I704,0)</f>
        <v>0</v>
      </c>
      <c r="L704" s="172"/>
      <c r="M704" s="164"/>
      <c r="N704" s="164"/>
      <c r="O704" s="164"/>
      <c r="P704" s="164"/>
      <c r="Q704" s="164"/>
      <c r="R704" s="164"/>
      <c r="S704" s="164"/>
      <c r="T704" s="164"/>
      <c r="U704" s="164"/>
    </row>
    <row r="705" spans="1:21" ht="18.75" hidden="1">
      <c r="A705" s="238"/>
      <c r="B705" s="188"/>
      <c r="C705" s="188"/>
      <c r="D705" s="174"/>
      <c r="E705" s="174"/>
      <c r="F705" s="173" t="s">
        <v>261</v>
      </c>
      <c r="G705" s="171"/>
      <c r="H705" s="165" t="s">
        <v>35</v>
      </c>
      <c r="I705" s="212">
        <f ca="1">IFERROR(__xludf.DUMMYFUNCTION("IMPORTRANGE(""https://docs.google.com/spreadsheets/d/1eHaY18a8A9IcSdp1K8H6x8fbOy06t2VsZHhMHf-1x7Y/edit?usp=sharing"",""แผน!LK39"")"),0)</f>
        <v>0</v>
      </c>
      <c r="J705" s="212">
        <f ca="1">IFERROR(__xludf.DUMMYFUNCTION("IMPORTRANGE(""https://docs.google.com/spreadsheets/d/1tdoBKaGub7dwA3U6UFTqxio9LNnvDCQjHKmttSEBsFQ/edit?usp=sharing"",""จัดที่ดิน!AR39"")"),0)</f>
        <v>0</v>
      </c>
      <c r="K705" s="565">
        <f ca="1">IF(I705&gt;0,J705*100/I705,0)</f>
        <v>0</v>
      </c>
      <c r="L705" s="172"/>
      <c r="M705" s="164"/>
      <c r="N705" s="164"/>
      <c r="O705" s="164"/>
      <c r="P705" s="164"/>
      <c r="Q705" s="164"/>
      <c r="R705" s="164"/>
      <c r="S705" s="164"/>
      <c r="T705" s="164"/>
      <c r="U705" s="164"/>
    </row>
    <row r="706" spans="1:21" ht="18.75" hidden="1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212">
        <f ca="1">IFERROR(__xludf.DUMMYFUNCTION("IMPORTRANGE(""https://docs.google.com/spreadsheets/d/1tdoBKaGub7dwA3U6UFTqxio9LNnvDCQjHKmttSEBsFQ/edit?usp=sharing"",""จัดที่ดิน!AS39"")"),0)</f>
        <v>0</v>
      </c>
      <c r="K706" s="255">
        <f>IF(I706&gt;0,J706*100/I706,0)</f>
        <v>0</v>
      </c>
      <c r="L706" s="172"/>
      <c r="M706" s="164"/>
      <c r="N706" s="164"/>
      <c r="O706" s="164"/>
      <c r="P706" s="164"/>
      <c r="Q706" s="164"/>
      <c r="R706" s="164"/>
      <c r="S706" s="164"/>
      <c r="T706" s="164"/>
      <c r="U706" s="164"/>
    </row>
    <row r="707" spans="1:21" ht="18.75" hidden="1">
      <c r="A707" s="238"/>
      <c r="B707" s="188"/>
      <c r="C707" s="188"/>
      <c r="D707" s="174"/>
      <c r="E707" s="173" t="s">
        <v>262</v>
      </c>
      <c r="F707" s="174"/>
      <c r="G707" s="171"/>
      <c r="H707" s="162" t="s">
        <v>35</v>
      </c>
      <c r="I707" s="212">
        <f ca="1">IFERROR(__xludf.DUMMYFUNCTION("IMPORTRANGE(""https://docs.google.com/spreadsheets/d/1eHaY18a8A9IcSdp1K8H6x8fbOy06t2VsZHhMHf-1x7Y/edit?usp=sharing"",""แผน!LJ39"")"),0)</f>
        <v>0</v>
      </c>
      <c r="J707" s="212">
        <f ca="1">IFERROR(__xludf.DUMMYFUNCTION("IMPORTRANGE(""https://docs.google.com/spreadsheets/d/1tdoBKaGub7dwA3U6UFTqxio9LNnvDCQjHKmttSEBsFQ/edit?usp=sharing"",""จัดที่ดิน!BN39"")"),0)</f>
        <v>0</v>
      </c>
      <c r="K707" s="255">
        <f ca="1">IF(I707&gt;0,J707*100/I707,0)</f>
        <v>0</v>
      </c>
      <c r="L707" s="172"/>
      <c r="M707" s="164"/>
      <c r="N707" s="164"/>
      <c r="O707" s="164"/>
      <c r="P707" s="164"/>
      <c r="Q707" s="164"/>
      <c r="R707" s="164"/>
      <c r="S707" s="164"/>
      <c r="T707" s="164"/>
      <c r="U707" s="164"/>
    </row>
    <row r="708" spans="1:21" ht="18.75" hidden="1">
      <c r="A708" s="238"/>
      <c r="B708" s="188"/>
      <c r="C708" s="188"/>
      <c r="D708" s="174"/>
      <c r="E708" s="477" t="s">
        <v>263</v>
      </c>
      <c r="F708" s="174"/>
      <c r="G708" s="171"/>
      <c r="H708" s="162" t="s">
        <v>46</v>
      </c>
      <c r="I708" s="212">
        <v>0</v>
      </c>
      <c r="J708" s="212">
        <f ca="1">IFERROR(__xludf.DUMMYFUNCTION("IMPORTRANGE(""https://docs.google.com/spreadsheets/d/1tdoBKaGub7dwA3U6UFTqxio9LNnvDCQjHKmttSEBsFQ/edit?usp=sharing"",""จัดที่ดิน!BO39"")"),0)</f>
        <v>0</v>
      </c>
      <c r="K708" s="255">
        <f>IF(I708&gt;0,J708*100/I708,0)</f>
        <v>0</v>
      </c>
      <c r="L708" s="172"/>
      <c r="M708" s="164"/>
      <c r="N708" s="164"/>
      <c r="O708" s="164"/>
      <c r="P708" s="164"/>
      <c r="Q708" s="164"/>
      <c r="R708" s="164"/>
      <c r="S708" s="164"/>
      <c r="T708" s="164"/>
      <c r="U708" s="164"/>
    </row>
    <row r="709" spans="1:21" ht="18.75" hidden="1">
      <c r="A709" s="238"/>
      <c r="B709" s="188"/>
      <c r="C709" s="188"/>
      <c r="D709" s="50"/>
      <c r="E709" s="58" t="s">
        <v>264</v>
      </c>
      <c r="F709" s="50"/>
      <c r="G709" s="52"/>
      <c r="H709" s="203" t="s">
        <v>35</v>
      </c>
      <c r="I709" s="212">
        <f ca="1">IFERROR(__xludf.DUMMYFUNCTION("IMPORTRANGE(""https://docs.google.com/spreadsheets/d/1eHaY18a8A9IcSdp1K8H6x8fbOy06t2VsZHhMHf-1x7Y/edit?usp=sharing"",""แผน!LK39"")"),0)</f>
        <v>0</v>
      </c>
      <c r="J709" s="212">
        <f ca="1">IFERROR(__xludf.DUMMYFUNCTION("IMPORTRANGE(""https://docs.google.com/spreadsheets/d/1tdoBKaGub7dwA3U6UFTqxio9LNnvDCQjHKmttSEBsFQ/edit?usp=sharing"",""จัดที่ดิน!BP39"")"),0)</f>
        <v>0</v>
      </c>
      <c r="K709" s="255">
        <f ca="1">IF(I709&gt;0,J709*100/I709,0)</f>
        <v>0</v>
      </c>
      <c r="L709" s="62"/>
      <c r="M709" s="55"/>
      <c r="N709" s="55"/>
      <c r="O709" s="55"/>
      <c r="P709" s="55"/>
      <c r="Q709" s="55"/>
      <c r="R709" s="55"/>
      <c r="S709" s="55"/>
      <c r="T709" s="55"/>
      <c r="U709" s="55"/>
    </row>
    <row r="710" spans="1:21" ht="18.75" hidden="1">
      <c r="A710" s="238"/>
      <c r="B710" s="188"/>
      <c r="C710" s="188"/>
      <c r="D710" s="50"/>
      <c r="E710" s="477" t="s">
        <v>265</v>
      </c>
      <c r="F710" s="50"/>
      <c r="G710" s="52"/>
      <c r="H710" s="203" t="s">
        <v>46</v>
      </c>
      <c r="I710" s="212">
        <v>0</v>
      </c>
      <c r="J710" s="212">
        <f ca="1">IFERROR(__xludf.DUMMYFUNCTION("IMPORTRANGE(""https://docs.google.com/spreadsheets/d/1tdoBKaGub7dwA3U6UFTqxio9LNnvDCQjHKmttSEBsFQ/edit?usp=sharing"",""จัดที่ดิน!BQ39"")"),0)</f>
        <v>0</v>
      </c>
      <c r="K710" s="255">
        <f>IF(I710&gt;0,J710*100/I710,0)</f>
        <v>0</v>
      </c>
      <c r="L710" s="62"/>
      <c r="M710" s="55"/>
      <c r="N710" s="55"/>
      <c r="O710" s="55"/>
      <c r="P710" s="55"/>
      <c r="Q710" s="55"/>
      <c r="R710" s="55"/>
      <c r="S710" s="55"/>
      <c r="T710" s="55"/>
      <c r="U710" s="55"/>
    </row>
    <row r="711" spans="1:21" ht="12.75" hidden="1">
      <c r="A711" s="407"/>
      <c r="B711" s="360"/>
      <c r="C711" s="360"/>
      <c r="D711" s="408"/>
      <c r="E711" s="408"/>
      <c r="F711" s="408"/>
      <c r="G711" s="409"/>
      <c r="H711" s="361"/>
      <c r="I711" s="362"/>
      <c r="J711" s="362"/>
      <c r="K711" s="363"/>
      <c r="L711" s="364"/>
      <c r="M711" s="363"/>
      <c r="N711" s="363"/>
      <c r="O711" s="363"/>
      <c r="P711" s="363"/>
      <c r="Q711" s="363"/>
      <c r="R711" s="363"/>
      <c r="S711" s="363"/>
      <c r="T711" s="363"/>
      <c r="U711" s="363"/>
    </row>
    <row r="712" spans="1:21" ht="19.5" hidden="1">
      <c r="A712" s="442"/>
      <c r="B712" s="478" t="s">
        <v>266</v>
      </c>
      <c r="C712" s="442"/>
      <c r="D712" s="444"/>
      <c r="E712" s="444"/>
      <c r="F712" s="444"/>
      <c r="G712" s="445"/>
      <c r="H712" s="479" t="s">
        <v>46</v>
      </c>
      <c r="I712" s="447"/>
      <c r="J712" s="447">
        <f>J724</f>
        <v>0</v>
      </c>
      <c r="K712" s="564">
        <f>IF(I712&gt;0,J712*100/I712,0)</f>
        <v>0</v>
      </c>
      <c r="L712" s="449"/>
      <c r="M712" s="448"/>
      <c r="N712" s="448"/>
      <c r="O712" s="448"/>
      <c r="P712" s="448"/>
      <c r="Q712" s="448"/>
      <c r="R712" s="448"/>
      <c r="S712" s="448"/>
      <c r="T712" s="448"/>
      <c r="U712" s="448"/>
    </row>
    <row r="713" spans="1:21" ht="19.5" hidden="1">
      <c r="A713" s="442"/>
      <c r="B713" s="478" t="s">
        <v>267</v>
      </c>
      <c r="C713" s="442"/>
      <c r="D713" s="444"/>
      <c r="E713" s="444"/>
      <c r="F713" s="444"/>
      <c r="G713" s="445"/>
      <c r="H713" s="446"/>
      <c r="I713" s="447"/>
      <c r="J713" s="447"/>
      <c r="K713" s="448"/>
      <c r="L713" s="449"/>
      <c r="M713" s="448"/>
      <c r="N713" s="448"/>
      <c r="O713" s="448"/>
      <c r="P713" s="448"/>
      <c r="Q713" s="448"/>
      <c r="R713" s="448"/>
      <c r="S713" s="448"/>
      <c r="T713" s="448"/>
      <c r="U713" s="448"/>
    </row>
    <row r="714" spans="1:21" ht="19.5" hidden="1">
      <c r="A714" s="155"/>
      <c r="B714" s="188"/>
      <c r="C714" s="358" t="s">
        <v>18</v>
      </c>
      <c r="D714" s="563" t="s">
        <v>19</v>
      </c>
      <c r="E714" s="529"/>
      <c r="F714" s="529"/>
      <c r="G714" s="530"/>
      <c r="H714" s="418" t="s">
        <v>14</v>
      </c>
      <c r="I714" s="54"/>
      <c r="J714" s="54"/>
      <c r="K714" s="55"/>
      <c r="L714" s="541">
        <f>L715+L716</f>
        <v>0</v>
      </c>
      <c r="M714" s="540">
        <f>M715+M716</f>
        <v>0</v>
      </c>
      <c r="N714" s="540">
        <f>N715+N716</f>
        <v>0</v>
      </c>
      <c r="O714" s="540">
        <f>IF(L714&gt;0,N714*100/L714,0)</f>
        <v>0</v>
      </c>
      <c r="P714" s="540">
        <f>IF(M714&gt;0,N714*100/M714,0)</f>
        <v>0</v>
      </c>
      <c r="Q714" s="540">
        <f>Q715+Q716</f>
        <v>0</v>
      </c>
      <c r="R714" s="540">
        <f>R715+R716</f>
        <v>0</v>
      </c>
      <c r="S714" s="540">
        <f>S715+S716</f>
        <v>0</v>
      </c>
      <c r="T714" s="540">
        <f>IF(Q714&gt;0,S714*100/Q714,0)</f>
        <v>0</v>
      </c>
      <c r="U714" s="540">
        <f>IF(R714&gt;0,S714*100/R714,0)</f>
        <v>0</v>
      </c>
    </row>
    <row r="715" spans="1:21" ht="18.75" hidden="1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103">
        <f>L718+L721</f>
        <v>0</v>
      </c>
      <c r="M715" s="102">
        <f>M718+M721</f>
        <v>0</v>
      </c>
      <c r="N715" s="102">
        <f>N718+N721</f>
        <v>0</v>
      </c>
      <c r="O715" s="102">
        <f>IF(L715&gt;0,N715*100/L715,0)</f>
        <v>0</v>
      </c>
      <c r="P715" s="102">
        <f>IF(M715&gt;0,N715*100/M715,0)</f>
        <v>0</v>
      </c>
      <c r="Q715" s="102">
        <f>Q718+Q721</f>
        <v>0</v>
      </c>
      <c r="R715" s="102">
        <f>R718+R721</f>
        <v>0</v>
      </c>
      <c r="S715" s="102">
        <f>S718+S721</f>
        <v>0</v>
      </c>
      <c r="T715" s="102">
        <f>IF(Q715&gt;0,S715*100/Q715,0)</f>
        <v>0</v>
      </c>
      <c r="U715" s="102">
        <f>IF(R715&gt;0,S715*100/R715,0)</f>
        <v>0</v>
      </c>
    </row>
    <row r="716" spans="1:21" ht="18.75" hidden="1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256">
        <f>L719+L722</f>
        <v>0</v>
      </c>
      <c r="M716" s="255">
        <f>M719+M722</f>
        <v>0</v>
      </c>
      <c r="N716" s="255">
        <f>N719+N722</f>
        <v>0</v>
      </c>
      <c r="O716" s="255">
        <f>IF(L716&gt;0,N716*100/L716,0)</f>
        <v>0</v>
      </c>
      <c r="P716" s="255">
        <f>IF(M716&gt;0,N716*100/M716,0)</f>
        <v>0</v>
      </c>
      <c r="Q716" s="255">
        <f>Q719+Q722</f>
        <v>0</v>
      </c>
      <c r="R716" s="255">
        <f>R719+R722</f>
        <v>0</v>
      </c>
      <c r="S716" s="255">
        <f>S719+S722</f>
        <v>0</v>
      </c>
      <c r="T716" s="255">
        <f>IF(Q716&gt;0,S716*100/Q716,0)</f>
        <v>0</v>
      </c>
      <c r="U716" s="255">
        <f>IF(R716&gt;0,S716*100/R716,0)</f>
        <v>0</v>
      </c>
    </row>
    <row r="717" spans="1:21" ht="19.5" hidden="1">
      <c r="A717" s="155"/>
      <c r="B717" s="188"/>
      <c r="C717" s="188"/>
      <c r="D717" s="562" t="s">
        <v>22</v>
      </c>
      <c r="E717" s="50"/>
      <c r="F717" s="50"/>
      <c r="G717" s="52"/>
      <c r="H717" s="418" t="s">
        <v>14</v>
      </c>
      <c r="I717" s="163"/>
      <c r="J717" s="163"/>
      <c r="K717" s="164"/>
      <c r="L717" s="256">
        <f>L718+L719</f>
        <v>0</v>
      </c>
      <c r="M717" s="255">
        <f>M718+M719</f>
        <v>0</v>
      </c>
      <c r="N717" s="255">
        <f>N718+N719</f>
        <v>0</v>
      </c>
      <c r="O717" s="255">
        <f>IF(L717&gt;0,N717*100/L717,0)</f>
        <v>0</v>
      </c>
      <c r="P717" s="255">
        <f>IF(M717&gt;0,N717*100/M717,0)</f>
        <v>0</v>
      </c>
      <c r="Q717" s="255">
        <f>Q718+Q719</f>
        <v>0</v>
      </c>
      <c r="R717" s="255">
        <f>R718+R719</f>
        <v>0</v>
      </c>
      <c r="S717" s="255">
        <f>S718+S719</f>
        <v>0</v>
      </c>
      <c r="T717" s="255">
        <f>IF(Q717&gt;0,S717*100/Q717,0)</f>
        <v>0</v>
      </c>
      <c r="U717" s="255">
        <f>IF(R717&gt;0,S717*100/R717,0)</f>
        <v>0</v>
      </c>
    </row>
    <row r="718" spans="1:21" ht="18.75" hidden="1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103">
        <v>0</v>
      </c>
      <c r="M718" s="102">
        <v>0</v>
      </c>
      <c r="N718" s="102">
        <v>0</v>
      </c>
      <c r="O718" s="102">
        <f>IF(L718&gt;0,N718*100/L718,0)</f>
        <v>0</v>
      </c>
      <c r="P718" s="102">
        <f>IF(M718&gt;0,N718*100/M718,0)</f>
        <v>0</v>
      </c>
      <c r="Q718" s="102">
        <v>0</v>
      </c>
      <c r="R718" s="102">
        <v>0</v>
      </c>
      <c r="S718" s="102">
        <v>0</v>
      </c>
      <c r="T718" s="102">
        <f>IF(Q718&gt;0,S718*100/Q718,0)</f>
        <v>0</v>
      </c>
      <c r="U718" s="102">
        <f>IF(R718&gt;0,S718*100/R718,0)</f>
        <v>0</v>
      </c>
    </row>
    <row r="719" spans="1:21" ht="18.75" hidden="1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256">
        <v>0</v>
      </c>
      <c r="M719" s="255">
        <v>0</v>
      </c>
      <c r="N719" s="255">
        <v>0</v>
      </c>
      <c r="O719" s="255">
        <f>IF(L719&gt;0,N719*100/L719,0)</f>
        <v>0</v>
      </c>
      <c r="P719" s="255">
        <f>IF(M719&gt;0,N719*100/M719,0)</f>
        <v>0</v>
      </c>
      <c r="Q719" s="255">
        <v>0</v>
      </c>
      <c r="R719" s="255">
        <v>0</v>
      </c>
      <c r="S719" s="255">
        <v>0</v>
      </c>
      <c r="T719" s="255">
        <f>IF(Q719&gt;0,S719*100/Q719,0)</f>
        <v>0</v>
      </c>
      <c r="U719" s="255">
        <f>IF(R719&gt;0,S719*100/R719,0)</f>
        <v>0</v>
      </c>
    </row>
    <row r="720" spans="1:21" ht="19.5" hidden="1">
      <c r="A720" s="155"/>
      <c r="B720" s="188"/>
      <c r="C720" s="188"/>
      <c r="D720" s="562" t="s">
        <v>23</v>
      </c>
      <c r="E720" s="50"/>
      <c r="F720" s="50"/>
      <c r="G720" s="52"/>
      <c r="H720" s="420" t="s">
        <v>14</v>
      </c>
      <c r="I720" s="163"/>
      <c r="J720" s="163"/>
      <c r="K720" s="164"/>
      <c r="L720" s="256">
        <f>L721+L722</f>
        <v>0</v>
      </c>
      <c r="M720" s="255">
        <f>M721+M722</f>
        <v>0</v>
      </c>
      <c r="N720" s="255">
        <f>N721+N722</f>
        <v>0</v>
      </c>
      <c r="O720" s="255">
        <f>IF(L720&gt;0,N720*100/L720,0)</f>
        <v>0</v>
      </c>
      <c r="P720" s="255">
        <f>IF(M720&gt;0,N720*100/M720,0)</f>
        <v>0</v>
      </c>
      <c r="Q720" s="255">
        <f>Q721+Q722</f>
        <v>0</v>
      </c>
      <c r="R720" s="255">
        <f>R721+R722</f>
        <v>0</v>
      </c>
      <c r="S720" s="255">
        <f>S721+S722</f>
        <v>0</v>
      </c>
      <c r="T720" s="255">
        <f>IF(Q720&gt;0,S720*100/Q720,0)</f>
        <v>0</v>
      </c>
      <c r="U720" s="255">
        <f>IF(R720&gt;0,S720*100/R720,0)</f>
        <v>0</v>
      </c>
    </row>
    <row r="721" spans="1:21" ht="18.75" hidden="1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103">
        <v>0</v>
      </c>
      <c r="M721" s="102">
        <v>0</v>
      </c>
      <c r="N721" s="102">
        <v>0</v>
      </c>
      <c r="O721" s="102">
        <f>IF(L721&gt;0,N721*100/L721,0)</f>
        <v>0</v>
      </c>
      <c r="P721" s="102">
        <f>IF(M721&gt;0,N721*100/M721,0)</f>
        <v>0</v>
      </c>
      <c r="Q721" s="102">
        <v>0</v>
      </c>
      <c r="R721" s="102">
        <v>0</v>
      </c>
      <c r="S721" s="102">
        <v>0</v>
      </c>
      <c r="T721" s="102">
        <f>IF(Q721&gt;0,S721*100/Q721,0)</f>
        <v>0</v>
      </c>
      <c r="U721" s="102">
        <f>IF(R721&gt;0,S721*100/R721,0)</f>
        <v>0</v>
      </c>
    </row>
    <row r="722" spans="1:21" ht="18.75" hidden="1">
      <c r="A722" s="155"/>
      <c r="B722" s="188"/>
      <c r="C722" s="188"/>
      <c r="D722" s="50"/>
      <c r="E722" s="186" t="s">
        <v>21</v>
      </c>
      <c r="F722" s="50"/>
      <c r="G722" s="52"/>
      <c r="H722" s="421" t="s">
        <v>14</v>
      </c>
      <c r="I722" s="163"/>
      <c r="J722" s="163"/>
      <c r="K722" s="164"/>
      <c r="L722" s="256">
        <v>0</v>
      </c>
      <c r="M722" s="255">
        <v>0</v>
      </c>
      <c r="N722" s="255">
        <v>0</v>
      </c>
      <c r="O722" s="255">
        <f>IF(L722&gt;0,N722*100/L722,0)</f>
        <v>0</v>
      </c>
      <c r="P722" s="255">
        <f>IF(M722&gt;0,N722*100/M722,0)</f>
        <v>0</v>
      </c>
      <c r="Q722" s="255">
        <v>0</v>
      </c>
      <c r="R722" s="255">
        <v>0</v>
      </c>
      <c r="S722" s="255">
        <v>0</v>
      </c>
      <c r="T722" s="255">
        <f>IF(Q722&gt;0,S722*100/Q722,0)</f>
        <v>0</v>
      </c>
      <c r="U722" s="255">
        <f>IF(R722&gt;0,S722*100/R722,0)</f>
        <v>0</v>
      </c>
    </row>
    <row r="723" spans="1:21" ht="19.5" hidden="1">
      <c r="A723" s="166"/>
      <c r="B723" s="167"/>
      <c r="C723" s="358" t="s">
        <v>18</v>
      </c>
      <c r="D723" s="561" t="s">
        <v>38</v>
      </c>
      <c r="E723" s="169"/>
      <c r="F723" s="169"/>
      <c r="G723" s="170"/>
      <c r="H723" s="206"/>
      <c r="I723" s="163"/>
      <c r="J723" s="163"/>
      <c r="K723" s="164"/>
      <c r="L723" s="172"/>
      <c r="M723" s="164"/>
      <c r="N723" s="164"/>
      <c r="O723" s="164"/>
      <c r="P723" s="164"/>
      <c r="Q723" s="164"/>
      <c r="R723" s="164"/>
      <c r="S723" s="164"/>
      <c r="T723" s="164"/>
      <c r="U723" s="164"/>
    </row>
    <row r="724" spans="1:21" ht="18.75" hidden="1">
      <c r="A724" s="238"/>
      <c r="B724" s="188"/>
      <c r="C724" s="188"/>
      <c r="D724" s="50"/>
      <c r="E724" s="186" t="s">
        <v>268</v>
      </c>
      <c r="F724" s="50"/>
      <c r="G724" s="52"/>
      <c r="H724" s="189" t="s">
        <v>46</v>
      </c>
      <c r="I724" s="483">
        <v>0</v>
      </c>
      <c r="J724" s="54"/>
      <c r="K724" s="55"/>
      <c r="L724" s="62"/>
      <c r="M724" s="55"/>
      <c r="N724" s="55"/>
      <c r="O724" s="55"/>
      <c r="P724" s="55"/>
      <c r="Q724" s="55"/>
      <c r="R724" s="55"/>
      <c r="S724" s="55"/>
      <c r="T724" s="55"/>
      <c r="U724" s="55"/>
    </row>
    <row r="725" spans="1:21" ht="18.75" hidden="1">
      <c r="A725" s="374"/>
      <c r="B725" s="5"/>
      <c r="C725" s="5"/>
      <c r="D725" s="4"/>
      <c r="E725" s="484" t="s">
        <v>269</v>
      </c>
      <c r="F725" s="4"/>
      <c r="G725" s="65"/>
      <c r="H725" s="485" t="s">
        <v>46</v>
      </c>
      <c r="I725" s="486">
        <v>0</v>
      </c>
      <c r="J725" s="67"/>
      <c r="K725" s="6"/>
      <c r="L725" s="68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>
      <c r="A726" s="442"/>
      <c r="B726" s="443" t="s">
        <v>270</v>
      </c>
      <c r="C726" s="442"/>
      <c r="D726" s="444"/>
      <c r="E726" s="444"/>
      <c r="F726" s="444"/>
      <c r="G726" s="445"/>
      <c r="H726" s="473" t="s">
        <v>35</v>
      </c>
      <c r="I726" s="544">
        <f ca="1">IFERROR(__xludf.DUMMYFUNCTION("IMPORTRANGE(""https://docs.google.com/spreadsheets/d/1eHaY18a8A9IcSdp1K8H6x8fbOy06t2VsZHhMHf-1x7Y/edit?usp=sharing"",""แผน!GA39"")"),128)</f>
        <v>128</v>
      </c>
      <c r="J726" s="544">
        <f>J742+J746+J749</f>
        <v>0</v>
      </c>
      <c r="K726" s="543">
        <f ca="1">IF(I726&gt;0,J726*100/I726,0)</f>
        <v>0</v>
      </c>
      <c r="L726" s="449"/>
      <c r="M726" s="448"/>
      <c r="N726" s="448"/>
      <c r="O726" s="448"/>
      <c r="P726" s="448"/>
      <c r="Q726" s="448"/>
      <c r="R726" s="448"/>
      <c r="S726" s="448"/>
      <c r="T726" s="448"/>
      <c r="U726" s="448"/>
    </row>
    <row r="727" spans="1:21" ht="19.5">
      <c r="A727" s="487"/>
      <c r="B727" s="442"/>
      <c r="C727" s="442"/>
      <c r="D727" s="444"/>
      <c r="E727" s="444"/>
      <c r="F727" s="444"/>
      <c r="G727" s="445"/>
      <c r="H727" s="473" t="s">
        <v>46</v>
      </c>
      <c r="I727" s="544">
        <f ca="1">IFERROR(__xludf.DUMMYFUNCTION("IMPORTRANGE(""https://docs.google.com/spreadsheets/d/1eHaY18a8A9IcSdp1K8H6x8fbOy06t2VsZHhMHf-1x7Y/edit?usp=sharing"",""แผน!FZ39"")"),1250)</f>
        <v>1250</v>
      </c>
      <c r="J727" s="544">
        <f>J752+J755</f>
        <v>0</v>
      </c>
      <c r="K727" s="543">
        <f ca="1">IF(I727&gt;0,J727*100/I727,0)</f>
        <v>0</v>
      </c>
      <c r="L727" s="449"/>
      <c r="M727" s="448"/>
      <c r="N727" s="448"/>
      <c r="O727" s="448"/>
      <c r="P727" s="448"/>
      <c r="Q727" s="448"/>
      <c r="R727" s="448"/>
      <c r="S727" s="448"/>
      <c r="T727" s="448"/>
      <c r="U727" s="448"/>
    </row>
    <row r="728" spans="1:21" ht="19.5">
      <c r="A728" s="155"/>
      <c r="B728" s="188"/>
      <c r="C728" s="205" t="s">
        <v>18</v>
      </c>
      <c r="D728" s="542" t="s">
        <v>19</v>
      </c>
      <c r="E728" s="529"/>
      <c r="F728" s="529"/>
      <c r="G728" s="530"/>
      <c r="H728" s="252" t="s">
        <v>14</v>
      </c>
      <c r="I728" s="54"/>
      <c r="J728" s="54"/>
      <c r="K728" s="55"/>
      <c r="L728" s="541">
        <f>L729+L730</f>
        <v>0</v>
      </c>
      <c r="M728" s="540">
        <f>M729+M730</f>
        <v>0</v>
      </c>
      <c r="N728" s="540">
        <f>N729+N730</f>
        <v>0</v>
      </c>
      <c r="O728" s="540">
        <f>IF(L728&gt;0,N728*100/L728,0)</f>
        <v>0</v>
      </c>
      <c r="P728" s="540">
        <f>IF(M728&gt;0,N728*100/M728,0)</f>
        <v>0</v>
      </c>
      <c r="Q728" s="540">
        <f ca="1">Q729+Q730</f>
        <v>1008470</v>
      </c>
      <c r="R728" s="540">
        <f ca="1">R729+R730</f>
        <v>1008470</v>
      </c>
      <c r="S728" s="540">
        <f ca="1">S729+S730</f>
        <v>59607</v>
      </c>
      <c r="T728" s="540">
        <f ca="1">IF(Q728&gt;0,S728*100/Q728,0)</f>
        <v>5.9106369054111676</v>
      </c>
      <c r="U728" s="540">
        <f ca="1">IF(R728&gt;0,S728*100/R728,0)</f>
        <v>5.9106369054111676</v>
      </c>
    </row>
    <row r="729" spans="1:21" ht="18.75" hidden="1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103">
        <f>L732+L735</f>
        <v>0</v>
      </c>
      <c r="M729" s="102">
        <f>M732+M735</f>
        <v>0</v>
      </c>
      <c r="N729" s="102">
        <f>N732+N735</f>
        <v>0</v>
      </c>
      <c r="O729" s="102">
        <f>IF(L729&gt;0,N729*100/L729,0)</f>
        <v>0</v>
      </c>
      <c r="P729" s="102">
        <f>IF(M729&gt;0,N729*100/M729,0)</f>
        <v>0</v>
      </c>
      <c r="Q729" s="102">
        <f>Q732+Q735</f>
        <v>0</v>
      </c>
      <c r="R729" s="102">
        <f>R732+R735</f>
        <v>0</v>
      </c>
      <c r="S729" s="102">
        <f>S732+S735</f>
        <v>0</v>
      </c>
      <c r="T729" s="102">
        <f>IF(Q729&gt;0,S729*100/Q729,0)</f>
        <v>0</v>
      </c>
      <c r="U729" s="102">
        <f>IF(R729&gt;0,S729*100/R729,0)</f>
        <v>0</v>
      </c>
    </row>
    <row r="730" spans="1:21" ht="18.75" hidden="1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256">
        <f>L733+L736</f>
        <v>0</v>
      </c>
      <c r="M730" s="255">
        <f>M733+M736</f>
        <v>0</v>
      </c>
      <c r="N730" s="255">
        <f>N733+N736</f>
        <v>0</v>
      </c>
      <c r="O730" s="255">
        <f>IF(L730&gt;0,N730*100/L730,0)</f>
        <v>0</v>
      </c>
      <c r="P730" s="255">
        <f>IF(M730&gt;0,N730*100/M730,0)</f>
        <v>0</v>
      </c>
      <c r="Q730" s="255">
        <f ca="1">Q733+Q736</f>
        <v>1008470</v>
      </c>
      <c r="R730" s="255">
        <f ca="1">R733+R736</f>
        <v>1008470</v>
      </c>
      <c r="S730" s="255">
        <f ca="1">S733+S736</f>
        <v>59607</v>
      </c>
      <c r="T730" s="255">
        <f ca="1">IF(Q730&gt;0,S730*100/Q730,0)</f>
        <v>5.9106369054111676</v>
      </c>
      <c r="U730" s="255">
        <f ca="1">IF(R730&gt;0,S730*100/R730,0)</f>
        <v>5.9106369054111676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256">
        <f>L732+L733</f>
        <v>0</v>
      </c>
      <c r="M731" s="255">
        <f>M732+M733</f>
        <v>0</v>
      </c>
      <c r="N731" s="255">
        <f>N732+N733</f>
        <v>0</v>
      </c>
      <c r="O731" s="255">
        <f>IF(L731&gt;0,N731*100/L731,0)</f>
        <v>0</v>
      </c>
      <c r="P731" s="255">
        <f>IF(M731&gt;0,N731*100/M731,0)</f>
        <v>0</v>
      </c>
      <c r="Q731" s="255">
        <f ca="1">Q732+Q733</f>
        <v>1008470</v>
      </c>
      <c r="R731" s="255">
        <f ca="1">R732+R733</f>
        <v>1008470</v>
      </c>
      <c r="S731" s="255">
        <f ca="1">S732+S733</f>
        <v>59607</v>
      </c>
      <c r="T731" s="255">
        <f ca="1">IF(Q731&gt;0,S731*100/Q731,0)</f>
        <v>5.9106369054111676</v>
      </c>
      <c r="U731" s="255">
        <f ca="1">IF(R731&gt;0,S731*100/R731,0)</f>
        <v>5.9106369054111676</v>
      </c>
    </row>
    <row r="732" spans="1:21" ht="18.75" hidden="1">
      <c r="A732" s="155"/>
      <c r="B732" s="188"/>
      <c r="C732" s="188"/>
      <c r="D732" s="174"/>
      <c r="E732" s="186" t="s">
        <v>159</v>
      </c>
      <c r="F732" s="50"/>
      <c r="G732" s="52"/>
      <c r="H732" s="189" t="s">
        <v>14</v>
      </c>
      <c r="I732" s="54"/>
      <c r="J732" s="54"/>
      <c r="K732" s="55"/>
      <c r="L732" s="103">
        <v>0</v>
      </c>
      <c r="M732" s="102">
        <v>0</v>
      </c>
      <c r="N732" s="102">
        <v>0</v>
      </c>
      <c r="O732" s="102">
        <f>IF(L732&gt;0,N732*100/L732,0)</f>
        <v>0</v>
      </c>
      <c r="P732" s="102">
        <f>IF(M732&gt;0,N732*100/M732,0)</f>
        <v>0</v>
      </c>
      <c r="Q732" s="102">
        <v>0</v>
      </c>
      <c r="R732" s="102">
        <v>0</v>
      </c>
      <c r="S732" s="102">
        <v>0</v>
      </c>
      <c r="T732" s="102">
        <f>IF(Q732&gt;0,S732*100/Q732,0)</f>
        <v>0</v>
      </c>
      <c r="U732" s="102">
        <f>IF(R732&gt;0,S732*100/R732,0)</f>
        <v>0</v>
      </c>
    </row>
    <row r="733" spans="1:21" ht="18.75" hidden="1">
      <c r="A733" s="155"/>
      <c r="B733" s="188"/>
      <c r="C733" s="188"/>
      <c r="D733" s="174"/>
      <c r="E733" s="58" t="s">
        <v>160</v>
      </c>
      <c r="F733" s="50"/>
      <c r="G733" s="52"/>
      <c r="H733" s="162" t="s">
        <v>14</v>
      </c>
      <c r="I733" s="54"/>
      <c r="J733" s="54"/>
      <c r="K733" s="55"/>
      <c r="L733" s="256">
        <v>0</v>
      </c>
      <c r="M733" s="255">
        <v>0</v>
      </c>
      <c r="N733" s="255">
        <v>0</v>
      </c>
      <c r="O733" s="255">
        <f>IF(L733&gt;0,N733*100/L733,0)</f>
        <v>0</v>
      </c>
      <c r="P733" s="255">
        <f>IF(M733&gt;0,N733*100/M733,0)</f>
        <v>0</v>
      </c>
      <c r="Q733" s="255">
        <f ca="1">IFERROR(__xludf.DUMMYFUNCTION("IMPORTRANGE(""https://docs.google.com/spreadsheets/d/1ItG2mGa2ceCfYo0BwxsXqNm01IGEUdYcSSLTEv9YCik/edit?usp=sharing"",""เบิกจ่ายกองทุน!O39"")"),1008470)</f>
        <v>1008470</v>
      </c>
      <c r="R733" s="255">
        <f ca="1">IFERROR(__xludf.DUMMYFUNCTION("IMPORTRANGE(""https://docs.google.com/spreadsheets/d/1ItG2mGa2ceCfYo0BwxsXqNm01IGEUdYcSSLTEv9YCik/edit?usp=sharing"",""เบิกจ่ายกองทุน!P39"")"),1008470)</f>
        <v>1008470</v>
      </c>
      <c r="S733" s="255">
        <f ca="1">IFERROR(__xludf.DUMMYFUNCTION("IMPORTRANGE(""https://docs.google.com/spreadsheets/d/1ItG2mGa2ceCfYo0BwxsXqNm01IGEUdYcSSLTEv9YCik/edit?usp=sharing"",""เบิกจ่ายกองทุน!Q39"")"),59607)</f>
        <v>59607</v>
      </c>
      <c r="T733" s="255">
        <f ca="1">IF(Q733&gt;0,S733*100/Q733,0)</f>
        <v>5.9106369054111676</v>
      </c>
      <c r="U733" s="255">
        <f ca="1">IF(R733&gt;0,S733*100/R733,0)</f>
        <v>5.9106369054111676</v>
      </c>
    </row>
    <row r="734" spans="1:21" ht="18.75">
      <c r="A734" s="155"/>
      <c r="B734" s="188"/>
      <c r="C734" s="188"/>
      <c r="D734" s="51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256">
        <f>L735+L736</f>
        <v>0</v>
      </c>
      <c r="M734" s="255">
        <f>M735+M736</f>
        <v>0</v>
      </c>
      <c r="N734" s="255">
        <f>N735+N736</f>
        <v>0</v>
      </c>
      <c r="O734" s="255">
        <f>IF(L734&gt;0,N734*100/L734,0)</f>
        <v>0</v>
      </c>
      <c r="P734" s="255">
        <f>IF(M734&gt;0,N734*100/M734,0)</f>
        <v>0</v>
      </c>
      <c r="Q734" s="255">
        <f>Q735+Q736</f>
        <v>0</v>
      </c>
      <c r="R734" s="255">
        <f>R735+R736</f>
        <v>0</v>
      </c>
      <c r="S734" s="255">
        <f>S735+S736</f>
        <v>0</v>
      </c>
      <c r="T734" s="255">
        <f>IF(Q734&gt;0,S734*100/Q734,0)</f>
        <v>0</v>
      </c>
      <c r="U734" s="255">
        <f>IF(R734&gt;0,S734*100/R734,0)</f>
        <v>0</v>
      </c>
    </row>
    <row r="735" spans="1:21" ht="18.75" hidden="1">
      <c r="A735" s="155"/>
      <c r="B735" s="188"/>
      <c r="C735" s="188"/>
      <c r="D735" s="188"/>
      <c r="E735" s="358" t="s">
        <v>20</v>
      </c>
      <c r="F735" s="188"/>
      <c r="G735" s="52"/>
      <c r="H735" s="189" t="s">
        <v>14</v>
      </c>
      <c r="I735" s="163"/>
      <c r="J735" s="163"/>
      <c r="K735" s="164"/>
      <c r="L735" s="103">
        <v>0</v>
      </c>
      <c r="M735" s="102">
        <v>0</v>
      </c>
      <c r="N735" s="102">
        <v>0</v>
      </c>
      <c r="O735" s="102">
        <f>IF(L735&gt;0,N735*100/L735,0)</f>
        <v>0</v>
      </c>
      <c r="P735" s="102">
        <f>IF(M735&gt;0,N735*100/M735,0)</f>
        <v>0</v>
      </c>
      <c r="Q735" s="102">
        <v>0</v>
      </c>
      <c r="R735" s="102">
        <v>0</v>
      </c>
      <c r="S735" s="102">
        <v>0</v>
      </c>
      <c r="T735" s="102">
        <f>IF(Q735&gt;0,S735*100/Q735,0)</f>
        <v>0</v>
      </c>
      <c r="U735" s="102">
        <f>IF(R735&gt;0,S735*100/R735,0)</f>
        <v>0</v>
      </c>
    </row>
    <row r="736" spans="1:21" ht="18.75" hidden="1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256">
        <v>0</v>
      </c>
      <c r="M736" s="255">
        <v>0</v>
      </c>
      <c r="N736" s="255">
        <v>0</v>
      </c>
      <c r="O736" s="255">
        <f>IF(L736&gt;0,N736*100/L736,0)</f>
        <v>0</v>
      </c>
      <c r="P736" s="255">
        <f>IF(M736&gt;0,N736*100/M736,0)</f>
        <v>0</v>
      </c>
      <c r="Q736" s="255">
        <v>0</v>
      </c>
      <c r="R736" s="255">
        <v>0</v>
      </c>
      <c r="S736" s="255">
        <v>0</v>
      </c>
      <c r="T736" s="255">
        <f>IF(Q736&gt;0,S736*100/Q736,0)</f>
        <v>0</v>
      </c>
      <c r="U736" s="255">
        <f>IF(R736&gt;0,S736*100/R736,0)</f>
        <v>0</v>
      </c>
    </row>
    <row r="737" spans="1:21" ht="19.5">
      <c r="A737" s="166"/>
      <c r="B737" s="167"/>
      <c r="C737" s="205" t="s">
        <v>18</v>
      </c>
      <c r="D737" s="560" t="s">
        <v>38</v>
      </c>
      <c r="E737" s="232"/>
      <c r="F737" s="169"/>
      <c r="G737" s="170"/>
      <c r="H737" s="206"/>
      <c r="I737" s="54"/>
      <c r="J737" s="54"/>
      <c r="K737" s="55"/>
      <c r="L737" s="62"/>
      <c r="M737" s="55"/>
      <c r="N737" s="55"/>
      <c r="O737" s="55"/>
      <c r="P737" s="55"/>
      <c r="Q737" s="55"/>
      <c r="R737" s="55"/>
      <c r="S737" s="55"/>
      <c r="T737" s="55"/>
      <c r="U737" s="55"/>
    </row>
    <row r="738" spans="1:21" ht="19.5">
      <c r="A738" s="166"/>
      <c r="B738" s="167"/>
      <c r="C738" s="167"/>
      <c r="D738" s="488" t="s">
        <v>121</v>
      </c>
      <c r="E738" s="167"/>
      <c r="F738" s="167"/>
      <c r="G738" s="171"/>
      <c r="H738" s="208"/>
      <c r="I738" s="54"/>
      <c r="J738" s="54"/>
      <c r="K738" s="55"/>
      <c r="L738" s="62"/>
      <c r="M738" s="55"/>
      <c r="N738" s="55"/>
      <c r="O738" s="55"/>
      <c r="P738" s="55"/>
      <c r="Q738" s="55"/>
      <c r="R738" s="55"/>
      <c r="S738" s="55"/>
      <c r="T738" s="55"/>
      <c r="U738" s="55"/>
    </row>
    <row r="739" spans="1:21" ht="18.75">
      <c r="A739" s="166"/>
      <c r="B739" s="167"/>
      <c r="C739" s="167"/>
      <c r="D739" s="167"/>
      <c r="E739" s="460" t="s">
        <v>271</v>
      </c>
      <c r="F739" s="167"/>
      <c r="G739" s="171"/>
      <c r="H739" s="208"/>
      <c r="I739" s="54"/>
      <c r="J739" s="54"/>
      <c r="K739" s="55"/>
      <c r="L739" s="62"/>
      <c r="M739" s="55"/>
      <c r="N739" s="55"/>
      <c r="O739" s="55"/>
      <c r="P739" s="55"/>
      <c r="Q739" s="55"/>
      <c r="R739" s="55"/>
      <c r="S739" s="55"/>
      <c r="T739" s="55"/>
      <c r="U739" s="55"/>
    </row>
    <row r="740" spans="1:21" ht="18.75">
      <c r="A740" s="554"/>
      <c r="B740" s="553"/>
      <c r="C740" s="553"/>
      <c r="D740" s="553"/>
      <c r="E740" s="553"/>
      <c r="F740" s="558" t="s">
        <v>272</v>
      </c>
      <c r="G740" s="550"/>
      <c r="H740" s="549" t="s">
        <v>46</v>
      </c>
      <c r="I740" s="556">
        <f ca="1">IFERROR(__xludf.DUMMYFUNCTION("IMPORTRANGE(""https://docs.google.com/spreadsheets/d/1eHaY18a8A9IcSdp1K8H6x8fbOy06t2VsZHhMHf-1x7Y/edit?usp=sharing"",""แผน!GB39"")"),1000)</f>
        <v>1000</v>
      </c>
      <c r="J740" s="547">
        <v>0</v>
      </c>
      <c r="K740" s="555">
        <f ca="1">IF(I740&gt;0,J740*100/I740,0)</f>
        <v>0</v>
      </c>
      <c r="L740" s="546"/>
      <c r="M740" s="545"/>
      <c r="N740" s="545"/>
      <c r="O740" s="545"/>
      <c r="P740" s="545"/>
      <c r="Q740" s="545"/>
      <c r="R740" s="545"/>
      <c r="S740" s="545"/>
      <c r="T740" s="545"/>
      <c r="U740" s="545"/>
    </row>
    <row r="741" spans="1:21" ht="18.75">
      <c r="A741" s="554"/>
      <c r="B741" s="553"/>
      <c r="C741" s="553"/>
      <c r="D741" s="553"/>
      <c r="E741" s="553"/>
      <c r="F741" s="558" t="s">
        <v>307</v>
      </c>
      <c r="G741" s="550"/>
      <c r="H741" s="549" t="s">
        <v>35</v>
      </c>
      <c r="I741" s="548"/>
      <c r="J741" s="547">
        <v>0</v>
      </c>
      <c r="K741" s="545"/>
      <c r="L741" s="546"/>
      <c r="M741" s="545"/>
      <c r="N741" s="545"/>
      <c r="O741" s="545"/>
      <c r="P741" s="545"/>
      <c r="Q741" s="545"/>
      <c r="R741" s="545"/>
      <c r="S741" s="545"/>
      <c r="T741" s="545"/>
      <c r="U741" s="545"/>
    </row>
    <row r="742" spans="1:21" ht="18.75">
      <c r="A742" s="554"/>
      <c r="B742" s="553"/>
      <c r="C742" s="553"/>
      <c r="D742" s="553"/>
      <c r="E742" s="553"/>
      <c r="F742" s="558" t="s">
        <v>306</v>
      </c>
      <c r="G742" s="550"/>
      <c r="H742" s="549" t="s">
        <v>35</v>
      </c>
      <c r="I742" s="556">
        <f ca="1">IFERROR(__xludf.DUMMYFUNCTION("IMPORTRANGE(""https://docs.google.com/spreadsheets/d/1eHaY18a8A9IcSdp1K8H6x8fbOy06t2VsZHhMHf-1x7Y/edit?usp=sharing"",""แผน!GC39"")"),100)</f>
        <v>100</v>
      </c>
      <c r="J742" s="547">
        <v>0</v>
      </c>
      <c r="K742" s="555">
        <f ca="1">IF(I742&gt;0,J742*100/I742,0)</f>
        <v>0</v>
      </c>
      <c r="L742" s="546"/>
      <c r="M742" s="545"/>
      <c r="N742" s="545"/>
      <c r="O742" s="545"/>
      <c r="P742" s="545"/>
      <c r="Q742" s="545"/>
      <c r="R742" s="545"/>
      <c r="S742" s="545"/>
      <c r="T742" s="545"/>
      <c r="U742" s="545"/>
    </row>
    <row r="743" spans="1:21" ht="18.75">
      <c r="A743" s="554"/>
      <c r="B743" s="553"/>
      <c r="C743" s="553"/>
      <c r="D743" s="553"/>
      <c r="E743" s="558" t="s">
        <v>275</v>
      </c>
      <c r="F743" s="553"/>
      <c r="G743" s="550"/>
      <c r="H743" s="557"/>
      <c r="I743" s="548"/>
      <c r="J743" s="548"/>
      <c r="K743" s="545"/>
      <c r="L743" s="546"/>
      <c r="M743" s="545"/>
      <c r="N743" s="545"/>
      <c r="O743" s="545"/>
      <c r="P743" s="545"/>
      <c r="Q743" s="545"/>
      <c r="R743" s="545"/>
      <c r="S743" s="545"/>
      <c r="T743" s="545"/>
      <c r="U743" s="545"/>
    </row>
    <row r="744" spans="1:21" ht="18.75">
      <c r="A744" s="554"/>
      <c r="B744" s="553"/>
      <c r="C744" s="553"/>
      <c r="D744" s="553"/>
      <c r="E744" s="553"/>
      <c r="F744" s="558" t="s">
        <v>272</v>
      </c>
      <c r="G744" s="550"/>
      <c r="H744" s="549" t="s">
        <v>46</v>
      </c>
      <c r="I744" s="556">
        <f ca="1">IFERROR(__xludf.DUMMYFUNCTION("IMPORTRANGE(""https://docs.google.com/spreadsheets/d/1eHaY18a8A9IcSdp1K8H6x8fbOy06t2VsZHhMHf-1x7Y/edit?usp=sharing"",""แผน!GD39"")"),250)</f>
        <v>250</v>
      </c>
      <c r="J744" s="547">
        <v>0</v>
      </c>
      <c r="K744" s="555">
        <f ca="1">IF(I744&gt;0,J744*100/I744,0)</f>
        <v>0</v>
      </c>
      <c r="L744" s="546"/>
      <c r="M744" s="545"/>
      <c r="N744" s="545"/>
      <c r="O744" s="545"/>
      <c r="P744" s="545"/>
      <c r="Q744" s="545"/>
      <c r="R744" s="545"/>
      <c r="S744" s="545"/>
      <c r="T744" s="545"/>
      <c r="U744" s="545"/>
    </row>
    <row r="745" spans="1:21" ht="18.75">
      <c r="A745" s="554"/>
      <c r="B745" s="553"/>
      <c r="C745" s="553"/>
      <c r="D745" s="553"/>
      <c r="E745" s="553"/>
      <c r="F745" s="558" t="s">
        <v>305</v>
      </c>
      <c r="G745" s="550"/>
      <c r="H745" s="549" t="s">
        <v>35</v>
      </c>
      <c r="I745" s="548"/>
      <c r="J745" s="547">
        <v>0</v>
      </c>
      <c r="K745" s="545"/>
      <c r="L745" s="546"/>
      <c r="M745" s="545"/>
      <c r="N745" s="545"/>
      <c r="O745" s="545"/>
      <c r="P745" s="545"/>
      <c r="Q745" s="545"/>
      <c r="R745" s="545"/>
      <c r="S745" s="545"/>
      <c r="T745" s="545"/>
      <c r="U745" s="545"/>
    </row>
    <row r="746" spans="1:21" ht="18.75">
      <c r="A746" s="554"/>
      <c r="B746" s="553"/>
      <c r="C746" s="553"/>
      <c r="D746" s="553"/>
      <c r="E746" s="553"/>
      <c r="F746" s="558" t="s">
        <v>304</v>
      </c>
      <c r="G746" s="550"/>
      <c r="H746" s="549" t="s">
        <v>35</v>
      </c>
      <c r="I746" s="556">
        <f ca="1">IFERROR(__xludf.DUMMYFUNCTION("IMPORTRANGE(""https://docs.google.com/spreadsheets/d/1eHaY18a8A9IcSdp1K8H6x8fbOy06t2VsZHhMHf-1x7Y/edit?usp=sharing"",""แผน!GE39"")"),25)</f>
        <v>25</v>
      </c>
      <c r="J746" s="547">
        <v>0</v>
      </c>
      <c r="K746" s="555">
        <f ca="1">IF(I746&gt;0,J746*100/I746,0)</f>
        <v>0</v>
      </c>
      <c r="L746" s="546"/>
      <c r="M746" s="545"/>
      <c r="N746" s="545"/>
      <c r="O746" s="545"/>
      <c r="P746" s="545"/>
      <c r="Q746" s="545"/>
      <c r="R746" s="545"/>
      <c r="S746" s="545"/>
      <c r="T746" s="545"/>
      <c r="U746" s="545"/>
    </row>
    <row r="747" spans="1:21" ht="18.75">
      <c r="A747" s="554"/>
      <c r="B747" s="553"/>
      <c r="C747" s="553"/>
      <c r="D747" s="553"/>
      <c r="E747" s="558" t="s">
        <v>278</v>
      </c>
      <c r="F747" s="552"/>
      <c r="G747" s="550"/>
      <c r="H747" s="557"/>
      <c r="I747" s="548"/>
      <c r="J747" s="548"/>
      <c r="K747" s="545"/>
      <c r="L747" s="546"/>
      <c r="M747" s="545"/>
      <c r="N747" s="545"/>
      <c r="O747" s="545"/>
      <c r="P747" s="545"/>
      <c r="Q747" s="545"/>
      <c r="R747" s="545"/>
      <c r="S747" s="545"/>
      <c r="T747" s="545"/>
      <c r="U747" s="545"/>
    </row>
    <row r="748" spans="1:21" ht="18.75">
      <c r="A748" s="554"/>
      <c r="B748" s="553"/>
      <c r="C748" s="553"/>
      <c r="D748" s="553"/>
      <c r="E748" s="553"/>
      <c r="F748" s="558" t="s">
        <v>303</v>
      </c>
      <c r="G748" s="550"/>
      <c r="H748" s="549" t="s">
        <v>35</v>
      </c>
      <c r="I748" s="548"/>
      <c r="J748" s="547">
        <v>0</v>
      </c>
      <c r="K748" s="545"/>
      <c r="L748" s="546"/>
      <c r="M748" s="545"/>
      <c r="N748" s="545"/>
      <c r="O748" s="545"/>
      <c r="P748" s="545"/>
      <c r="Q748" s="545"/>
      <c r="R748" s="545"/>
      <c r="S748" s="545"/>
      <c r="T748" s="545"/>
      <c r="U748" s="545"/>
    </row>
    <row r="749" spans="1:21" ht="18.75">
      <c r="A749" s="554"/>
      <c r="B749" s="553"/>
      <c r="C749" s="553"/>
      <c r="D749" s="553"/>
      <c r="E749" s="553"/>
      <c r="F749" s="558" t="s">
        <v>302</v>
      </c>
      <c r="G749" s="550"/>
      <c r="H749" s="549" t="s">
        <v>35</v>
      </c>
      <c r="I749" s="556">
        <f ca="1">IFERROR(__xludf.DUMMYFUNCTION("IMPORTRANGE(""https://docs.google.com/spreadsheets/d/1eHaY18a8A9IcSdp1K8H6x8fbOy06t2VsZHhMHf-1x7Y/edit?usp=sharing"",""แผน!GF39"")"),3)</f>
        <v>3</v>
      </c>
      <c r="J749" s="547">
        <v>0</v>
      </c>
      <c r="K749" s="555">
        <f ca="1">IF(I749&gt;0,J749*100/I749,0)</f>
        <v>0</v>
      </c>
      <c r="L749" s="546"/>
      <c r="M749" s="545"/>
      <c r="N749" s="545"/>
      <c r="O749" s="545"/>
      <c r="P749" s="545"/>
      <c r="Q749" s="545"/>
      <c r="R749" s="545"/>
      <c r="S749" s="545"/>
      <c r="T749" s="545"/>
      <c r="U749" s="545"/>
    </row>
    <row r="750" spans="1:21" ht="19.5">
      <c r="A750" s="554"/>
      <c r="B750" s="553"/>
      <c r="C750" s="553"/>
      <c r="D750" s="559" t="s">
        <v>50</v>
      </c>
      <c r="E750" s="553"/>
      <c r="F750" s="552"/>
      <c r="G750" s="550"/>
      <c r="H750" s="557"/>
      <c r="I750" s="548"/>
      <c r="J750" s="548"/>
      <c r="K750" s="545"/>
      <c r="L750" s="546"/>
      <c r="M750" s="545"/>
      <c r="N750" s="545"/>
      <c r="O750" s="545"/>
      <c r="P750" s="545"/>
      <c r="Q750" s="545"/>
      <c r="R750" s="545"/>
      <c r="S750" s="545"/>
      <c r="T750" s="545"/>
      <c r="U750" s="545"/>
    </row>
    <row r="751" spans="1:21" ht="18.75">
      <c r="A751" s="554"/>
      <c r="B751" s="553"/>
      <c r="C751" s="553"/>
      <c r="D751" s="553"/>
      <c r="E751" s="558" t="s">
        <v>271</v>
      </c>
      <c r="F751" s="552"/>
      <c r="G751" s="550"/>
      <c r="H751" s="557"/>
      <c r="I751" s="548"/>
      <c r="J751" s="548"/>
      <c r="K751" s="545"/>
      <c r="L751" s="546"/>
      <c r="M751" s="545"/>
      <c r="N751" s="545"/>
      <c r="O751" s="545"/>
      <c r="P751" s="545"/>
      <c r="Q751" s="545"/>
      <c r="R751" s="545"/>
      <c r="S751" s="545"/>
      <c r="T751" s="545"/>
      <c r="U751" s="545"/>
    </row>
    <row r="752" spans="1:21" ht="18.75">
      <c r="A752" s="554"/>
      <c r="B752" s="553"/>
      <c r="C752" s="553"/>
      <c r="D752" s="553"/>
      <c r="E752" s="553"/>
      <c r="F752" s="551" t="s">
        <v>301</v>
      </c>
      <c r="G752" s="550"/>
      <c r="H752" s="549" t="s">
        <v>46</v>
      </c>
      <c r="I752" s="556">
        <f ca="1">IFERROR(__xludf.DUMMYFUNCTION("IMPORTRANGE(""https://docs.google.com/spreadsheets/d/1eHaY18a8A9IcSdp1K8H6x8fbOy06t2VsZHhMHf-1x7Y/edit?usp=sharing"",""แผน!GB39"")"),1000)</f>
        <v>1000</v>
      </c>
      <c r="J752" s="547">
        <v>0</v>
      </c>
      <c r="K752" s="555">
        <f ca="1">IF(I752&gt;0,J752*100/I752,0)</f>
        <v>0</v>
      </c>
      <c r="L752" s="546"/>
      <c r="M752" s="545"/>
      <c r="N752" s="545"/>
      <c r="O752" s="545"/>
      <c r="P752" s="545"/>
      <c r="Q752" s="545"/>
      <c r="R752" s="545"/>
      <c r="S752" s="545"/>
      <c r="T752" s="545"/>
      <c r="U752" s="545"/>
    </row>
    <row r="753" spans="1:21" ht="18.75">
      <c r="A753" s="554"/>
      <c r="B753" s="553"/>
      <c r="C753" s="553"/>
      <c r="D753" s="553"/>
      <c r="E753" s="553"/>
      <c r="F753" s="551" t="s">
        <v>300</v>
      </c>
      <c r="G753" s="550"/>
      <c r="H753" s="549" t="s">
        <v>46</v>
      </c>
      <c r="I753" s="548"/>
      <c r="J753" s="547">
        <v>0</v>
      </c>
      <c r="K753" s="545"/>
      <c r="L753" s="546"/>
      <c r="M753" s="545"/>
      <c r="N753" s="545"/>
      <c r="O753" s="545"/>
      <c r="P753" s="545"/>
      <c r="Q753" s="545"/>
      <c r="R753" s="545"/>
      <c r="S753" s="545"/>
      <c r="T753" s="545"/>
      <c r="U753" s="545"/>
    </row>
    <row r="754" spans="1:21" ht="18.75">
      <c r="A754" s="554"/>
      <c r="B754" s="553"/>
      <c r="C754" s="553"/>
      <c r="D754" s="553"/>
      <c r="E754" s="558" t="s">
        <v>275</v>
      </c>
      <c r="F754" s="552"/>
      <c r="G754" s="550"/>
      <c r="H754" s="557"/>
      <c r="I754" s="548"/>
      <c r="J754" s="548"/>
      <c r="K754" s="545"/>
      <c r="L754" s="546"/>
      <c r="M754" s="545"/>
      <c r="N754" s="545"/>
      <c r="O754" s="545"/>
      <c r="P754" s="545"/>
      <c r="Q754" s="545"/>
      <c r="R754" s="545"/>
      <c r="S754" s="545"/>
      <c r="T754" s="545"/>
      <c r="U754" s="545"/>
    </row>
    <row r="755" spans="1:21" ht="18.75">
      <c r="A755" s="554"/>
      <c r="B755" s="553"/>
      <c r="C755" s="553"/>
      <c r="D755" s="553"/>
      <c r="E755" s="552"/>
      <c r="F755" s="551" t="s">
        <v>299</v>
      </c>
      <c r="G755" s="550"/>
      <c r="H755" s="549" t="s">
        <v>46</v>
      </c>
      <c r="I755" s="556">
        <f ca="1">IFERROR(__xludf.DUMMYFUNCTION("IMPORTRANGE(""https://docs.google.com/spreadsheets/d/1eHaY18a8A9IcSdp1K8H6x8fbOy06t2VsZHhMHf-1x7Y/edit?usp=sharing"",""แผน!GD39"")"),250)</f>
        <v>250</v>
      </c>
      <c r="J755" s="547">
        <v>0</v>
      </c>
      <c r="K755" s="555">
        <f ca="1">IF(I755&gt;0,J755*100/I755,0)</f>
        <v>0</v>
      </c>
      <c r="L755" s="546"/>
      <c r="M755" s="545"/>
      <c r="N755" s="545"/>
      <c r="O755" s="545"/>
      <c r="P755" s="545"/>
      <c r="Q755" s="545"/>
      <c r="R755" s="545"/>
      <c r="S755" s="545"/>
      <c r="T755" s="545"/>
      <c r="U755" s="545"/>
    </row>
    <row r="756" spans="1:21" ht="18.75">
      <c r="A756" s="554"/>
      <c r="B756" s="553"/>
      <c r="C756" s="553"/>
      <c r="D756" s="553"/>
      <c r="E756" s="552"/>
      <c r="F756" s="551" t="s">
        <v>298</v>
      </c>
      <c r="G756" s="550"/>
      <c r="H756" s="549" t="s">
        <v>46</v>
      </c>
      <c r="I756" s="548"/>
      <c r="J756" s="547">
        <v>0</v>
      </c>
      <c r="K756" s="545"/>
      <c r="L756" s="546"/>
      <c r="M756" s="545"/>
      <c r="N756" s="545"/>
      <c r="O756" s="545"/>
      <c r="P756" s="545"/>
      <c r="Q756" s="545"/>
      <c r="R756" s="545"/>
      <c r="S756" s="545"/>
      <c r="T756" s="545"/>
      <c r="U756" s="545"/>
    </row>
    <row r="757" spans="1:21" ht="18.75">
      <c r="A757" s="489"/>
      <c r="B757" s="489"/>
      <c r="C757" s="489"/>
      <c r="D757" s="489"/>
      <c r="E757" s="490" t="s">
        <v>285</v>
      </c>
      <c r="F757" s="491"/>
      <c r="G757" s="492"/>
      <c r="H757" s="493" t="s">
        <v>35</v>
      </c>
      <c r="I757" s="494"/>
      <c r="J757" s="495">
        <v>0</v>
      </c>
      <c r="K757" s="496"/>
      <c r="L757" s="496"/>
      <c r="M757" s="496"/>
      <c r="N757" s="496"/>
      <c r="O757" s="496"/>
      <c r="P757" s="496"/>
      <c r="Q757" s="496"/>
      <c r="R757" s="496"/>
      <c r="S757" s="496"/>
      <c r="T757" s="496"/>
      <c r="U757" s="496"/>
    </row>
    <row r="758" spans="1:21" ht="19.5">
      <c r="A758" s="442"/>
      <c r="B758" s="443" t="s">
        <v>286</v>
      </c>
      <c r="C758" s="442"/>
      <c r="D758" s="444"/>
      <c r="E758" s="444"/>
      <c r="F758" s="444"/>
      <c r="G758" s="445"/>
      <c r="H758" s="473" t="s">
        <v>35</v>
      </c>
      <c r="I758" s="544">
        <f ca="1">I772</f>
        <v>110</v>
      </c>
      <c r="J758" s="544">
        <f>J772</f>
        <v>0</v>
      </c>
      <c r="K758" s="543">
        <f ca="1">IF(I758&gt;0,J758*100/I758,0)</f>
        <v>0</v>
      </c>
      <c r="L758" s="449"/>
      <c r="M758" s="448"/>
      <c r="N758" s="448"/>
      <c r="O758" s="448"/>
      <c r="P758" s="448"/>
      <c r="Q758" s="448"/>
      <c r="R758" s="448"/>
      <c r="S758" s="448"/>
      <c r="T758" s="448"/>
      <c r="U758" s="448"/>
    </row>
    <row r="759" spans="1:21" ht="19.5">
      <c r="A759" s="487"/>
      <c r="B759" s="442"/>
      <c r="C759" s="442"/>
      <c r="D759" s="444"/>
      <c r="E759" s="444"/>
      <c r="F759" s="444"/>
      <c r="G759" s="445"/>
      <c r="H759" s="473" t="s">
        <v>46</v>
      </c>
      <c r="I759" s="544">
        <f ca="1">I774</f>
        <v>280</v>
      </c>
      <c r="J759" s="544">
        <f>J774</f>
        <v>0</v>
      </c>
      <c r="K759" s="543">
        <f ca="1">IF(I759&gt;0,J759*100/I759,0)</f>
        <v>0</v>
      </c>
      <c r="L759" s="449"/>
      <c r="M759" s="448"/>
      <c r="N759" s="448"/>
      <c r="O759" s="448"/>
      <c r="P759" s="448"/>
      <c r="Q759" s="448"/>
      <c r="R759" s="448"/>
      <c r="S759" s="448"/>
      <c r="T759" s="448"/>
      <c r="U759" s="448"/>
    </row>
    <row r="760" spans="1:21" ht="19.5">
      <c r="A760" s="155"/>
      <c r="B760" s="188"/>
      <c r="C760" s="205" t="s">
        <v>18</v>
      </c>
      <c r="D760" s="542" t="s">
        <v>19</v>
      </c>
      <c r="E760" s="529"/>
      <c r="F760" s="529"/>
      <c r="G760" s="530"/>
      <c r="H760" s="252" t="s">
        <v>14</v>
      </c>
      <c r="I760" s="54"/>
      <c r="J760" s="54"/>
      <c r="K760" s="55"/>
      <c r="L760" s="541">
        <f>L761+L762</f>
        <v>0</v>
      </c>
      <c r="M760" s="540">
        <f>M761+M762</f>
        <v>0</v>
      </c>
      <c r="N760" s="540">
        <f>N761+N762</f>
        <v>0</v>
      </c>
      <c r="O760" s="540">
        <f>IF(L760&gt;0,N760*100/L760,0)</f>
        <v>0</v>
      </c>
      <c r="P760" s="540">
        <f>IF(M760&gt;0,N760*100/M760,0)</f>
        <v>0</v>
      </c>
      <c r="Q760" s="540">
        <f ca="1">Q761+Q762</f>
        <v>711480</v>
      </c>
      <c r="R760" s="540">
        <f ca="1">R761+R762</f>
        <v>711480</v>
      </c>
      <c r="S760" s="540">
        <f ca="1">S761+S762</f>
        <v>72130</v>
      </c>
      <c r="T760" s="540">
        <f ca="1">IF(Q760&gt;0,S760*100/Q760,0)</f>
        <v>10.138022151009164</v>
      </c>
      <c r="U760" s="540">
        <f ca="1">IF(R760&gt;0,S760*100/R760,0)</f>
        <v>10.138022151009164</v>
      </c>
    </row>
    <row r="761" spans="1:21" ht="18.75" hidden="1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103">
        <f>L764+L767</f>
        <v>0</v>
      </c>
      <c r="M761" s="102">
        <f>M764+M767</f>
        <v>0</v>
      </c>
      <c r="N761" s="102">
        <f>N764+N767</f>
        <v>0</v>
      </c>
      <c r="O761" s="102">
        <f>IF(L761&gt;0,N761*100/L761,0)</f>
        <v>0</v>
      </c>
      <c r="P761" s="102">
        <f>IF(M761&gt;0,N761*100/M761,0)</f>
        <v>0</v>
      </c>
      <c r="Q761" s="102">
        <f>Q764+Q767</f>
        <v>0</v>
      </c>
      <c r="R761" s="102">
        <f>R764+R767</f>
        <v>0</v>
      </c>
      <c r="S761" s="102">
        <f>S764+S767</f>
        <v>0</v>
      </c>
      <c r="T761" s="102">
        <f>IF(Q761&gt;0,S761*100/Q761,0)</f>
        <v>0</v>
      </c>
      <c r="U761" s="102">
        <f>IF(R761&gt;0,S761*100/R761,0)</f>
        <v>0</v>
      </c>
    </row>
    <row r="762" spans="1:21" ht="18.75" hidden="1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256">
        <f>L765+L768</f>
        <v>0</v>
      </c>
      <c r="M762" s="255">
        <f>M765+M768</f>
        <v>0</v>
      </c>
      <c r="N762" s="255">
        <f>N765+N768</f>
        <v>0</v>
      </c>
      <c r="O762" s="255">
        <f>IF(L762&gt;0,N762*100/L762,0)</f>
        <v>0</v>
      </c>
      <c r="P762" s="255">
        <f>IF(M762&gt;0,N762*100/M762,0)</f>
        <v>0</v>
      </c>
      <c r="Q762" s="255">
        <f ca="1">Q765+Q768</f>
        <v>711480</v>
      </c>
      <c r="R762" s="255">
        <f ca="1">R765+R768</f>
        <v>711480</v>
      </c>
      <c r="S762" s="255">
        <f ca="1">S765+S768</f>
        <v>72130</v>
      </c>
      <c r="T762" s="255">
        <f ca="1">IF(Q762&gt;0,S762*100/Q762,0)</f>
        <v>10.138022151009164</v>
      </c>
      <c r="U762" s="255">
        <f ca="1">IF(R762&gt;0,S762*100/R762,0)</f>
        <v>10.138022151009164</v>
      </c>
    </row>
    <row r="763" spans="1:21" ht="18.75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256">
        <f>L764+L765</f>
        <v>0</v>
      </c>
      <c r="M763" s="255">
        <f>M764+M765</f>
        <v>0</v>
      </c>
      <c r="N763" s="255">
        <f>N764+N765</f>
        <v>0</v>
      </c>
      <c r="O763" s="255">
        <f>IF(L763&gt;0,N763*100/L763,0)</f>
        <v>0</v>
      </c>
      <c r="P763" s="255">
        <f>IF(M763&gt;0,N763*100/M763,0)</f>
        <v>0</v>
      </c>
      <c r="Q763" s="255">
        <f ca="1">Q764+Q765</f>
        <v>711480</v>
      </c>
      <c r="R763" s="255">
        <f ca="1">R764+R765</f>
        <v>711480</v>
      </c>
      <c r="S763" s="255">
        <f ca="1">S764+S765</f>
        <v>72130</v>
      </c>
      <c r="T763" s="255">
        <f ca="1">IF(Q763&gt;0,S763*100/Q763,0)</f>
        <v>10.138022151009164</v>
      </c>
      <c r="U763" s="255">
        <f ca="1">IF(R763&gt;0,S763*100/R763,0)</f>
        <v>10.138022151009164</v>
      </c>
    </row>
    <row r="764" spans="1:21" ht="18.75" hidden="1">
      <c r="A764" s="155"/>
      <c r="B764" s="188"/>
      <c r="C764" s="202"/>
      <c r="D764" s="174"/>
      <c r="E764" s="186" t="s">
        <v>159</v>
      </c>
      <c r="F764" s="50"/>
      <c r="G764" s="52"/>
      <c r="H764" s="189" t="s">
        <v>14</v>
      </c>
      <c r="I764" s="54"/>
      <c r="J764" s="54"/>
      <c r="K764" s="55"/>
      <c r="L764" s="103">
        <v>0</v>
      </c>
      <c r="M764" s="102">
        <v>0</v>
      </c>
      <c r="N764" s="102">
        <v>0</v>
      </c>
      <c r="O764" s="102">
        <f>IF(L764&gt;0,N764*100/L764,0)</f>
        <v>0</v>
      </c>
      <c r="P764" s="102">
        <f>IF(M764&gt;0,N764*100/M764,0)</f>
        <v>0</v>
      </c>
      <c r="Q764" s="102">
        <v>0</v>
      </c>
      <c r="R764" s="102">
        <v>0</v>
      </c>
      <c r="S764" s="102">
        <v>0</v>
      </c>
      <c r="T764" s="102">
        <f>IF(Q764&gt;0,S764*100/Q764,0)</f>
        <v>0</v>
      </c>
      <c r="U764" s="102">
        <f>IF(R764&gt;0,S764*100/R764,0)</f>
        <v>0</v>
      </c>
    </row>
    <row r="765" spans="1:21" ht="18.75" hidden="1">
      <c r="A765" s="155"/>
      <c r="B765" s="188"/>
      <c r="C765" s="202"/>
      <c r="D765" s="174"/>
      <c r="E765" s="58" t="s">
        <v>160</v>
      </c>
      <c r="F765" s="50"/>
      <c r="G765" s="52"/>
      <c r="H765" s="162" t="s">
        <v>14</v>
      </c>
      <c r="I765" s="54"/>
      <c r="J765" s="54"/>
      <c r="K765" s="55"/>
      <c r="L765" s="256">
        <v>0</v>
      </c>
      <c r="M765" s="255">
        <v>0</v>
      </c>
      <c r="N765" s="255">
        <v>0</v>
      </c>
      <c r="O765" s="255">
        <f>IF(L765&gt;0,N765*100/L765,0)</f>
        <v>0</v>
      </c>
      <c r="P765" s="255">
        <f>IF(M765&gt;0,N765*100/M765,0)</f>
        <v>0</v>
      </c>
      <c r="Q765" s="255">
        <f ca="1">IFERROR(__xludf.DUMMYFUNCTION("IMPORTRANGE(""https://docs.google.com/spreadsheets/d/1ItG2mGa2ceCfYo0BwxsXqNm01IGEUdYcSSLTEv9YCik/edit?usp=sharing"",""เบิกจ่ายกองทุน!U39"")"),711480)</f>
        <v>711480</v>
      </c>
      <c r="R765" s="255">
        <f ca="1">IFERROR(__xludf.DUMMYFUNCTION("IMPORTRANGE(""https://docs.google.com/spreadsheets/d/1ItG2mGa2ceCfYo0BwxsXqNm01IGEUdYcSSLTEv9YCik/edit?usp=sharing"",""เบิกจ่ายกองทุน!V39"")"),711480)</f>
        <v>711480</v>
      </c>
      <c r="S765" s="255">
        <f ca="1">IFERROR(__xludf.DUMMYFUNCTION("IMPORTRANGE(""https://docs.google.com/spreadsheets/d/1ItG2mGa2ceCfYo0BwxsXqNm01IGEUdYcSSLTEv9YCik/edit?usp=sharing"",""เบิกจ่ายกองทุน!W39"")"),72130)</f>
        <v>72130</v>
      </c>
      <c r="T765" s="255">
        <f ca="1">IF(Q765&gt;0,S765*100/Q765,0)</f>
        <v>10.138022151009164</v>
      </c>
      <c r="U765" s="255">
        <f ca="1">IF(R765&gt;0,S765*100/R765,0)</f>
        <v>10.138022151009164</v>
      </c>
    </row>
    <row r="766" spans="1:21" ht="18.75">
      <c r="A766" s="155"/>
      <c r="B766" s="188"/>
      <c r="C766" s="188"/>
      <c r="D766" s="51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256">
        <f>L767+L768</f>
        <v>0</v>
      </c>
      <c r="M766" s="255">
        <f>M767+M768</f>
        <v>0</v>
      </c>
      <c r="N766" s="255">
        <f>N767+N768</f>
        <v>0</v>
      </c>
      <c r="O766" s="255">
        <f>IF(L766&gt;0,N766*100/L766,0)</f>
        <v>0</v>
      </c>
      <c r="P766" s="255">
        <f>IF(M766&gt;0,N766*100/M766,0)</f>
        <v>0</v>
      </c>
      <c r="Q766" s="255">
        <f>Q767+Q768</f>
        <v>0</v>
      </c>
      <c r="R766" s="255">
        <f>R767+R768</f>
        <v>0</v>
      </c>
      <c r="S766" s="255">
        <f>S767+S768</f>
        <v>0</v>
      </c>
      <c r="T766" s="255">
        <f>IF(Q766&gt;0,S766*100/Q766,0)</f>
        <v>0</v>
      </c>
      <c r="U766" s="255">
        <f>IF(R766&gt;0,S766*100/R766,0)</f>
        <v>0</v>
      </c>
    </row>
    <row r="767" spans="1:21" ht="18.75" hidden="1">
      <c r="A767" s="155"/>
      <c r="B767" s="188"/>
      <c r="C767" s="188"/>
      <c r="D767" s="188"/>
      <c r="E767" s="358" t="s">
        <v>20</v>
      </c>
      <c r="F767" s="50"/>
      <c r="G767" s="52"/>
      <c r="H767" s="189" t="s">
        <v>14</v>
      </c>
      <c r="I767" s="163"/>
      <c r="J767" s="163"/>
      <c r="K767" s="164"/>
      <c r="L767" s="103">
        <v>0</v>
      </c>
      <c r="M767" s="102">
        <v>0</v>
      </c>
      <c r="N767" s="102">
        <v>0</v>
      </c>
      <c r="O767" s="102">
        <f>IF(L767&gt;0,N767*100/L767,0)</f>
        <v>0</v>
      </c>
      <c r="P767" s="102">
        <f>IF(M767&gt;0,N767*100/M767,0)</f>
        <v>0</v>
      </c>
      <c r="Q767" s="102">
        <v>0</v>
      </c>
      <c r="R767" s="102">
        <v>0</v>
      </c>
      <c r="S767" s="102">
        <v>0</v>
      </c>
      <c r="T767" s="102">
        <f>IF(Q767&gt;0,S767*100/Q767,0)</f>
        <v>0</v>
      </c>
      <c r="U767" s="102">
        <f>IF(R767&gt;0,S767*100/R767,0)</f>
        <v>0</v>
      </c>
    </row>
    <row r="768" spans="1:21" ht="18.75" hidden="1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256">
        <v>0</v>
      </c>
      <c r="M768" s="255">
        <v>0</v>
      </c>
      <c r="N768" s="255">
        <v>0</v>
      </c>
      <c r="O768" s="255">
        <f>IF(L768&gt;0,N768*100/L768,0)</f>
        <v>0</v>
      </c>
      <c r="P768" s="255">
        <f>IF(M768&gt;0,N768*100/M768,0)</f>
        <v>0</v>
      </c>
      <c r="Q768" s="255">
        <v>0</v>
      </c>
      <c r="R768" s="255">
        <v>0</v>
      </c>
      <c r="S768" s="255">
        <v>0</v>
      </c>
      <c r="T768" s="255">
        <f>IF(Q768&gt;0,S768*100/Q768,0)</f>
        <v>0</v>
      </c>
      <c r="U768" s="255">
        <f>IF(R768&gt;0,S768*100/R768,0)</f>
        <v>0</v>
      </c>
    </row>
    <row r="769" spans="1:21" ht="19.5">
      <c r="A769" s="166"/>
      <c r="B769" s="167"/>
      <c r="C769" s="497" t="s">
        <v>18</v>
      </c>
      <c r="D769" s="539" t="s">
        <v>38</v>
      </c>
      <c r="E769" s="232"/>
      <c r="F769" s="169"/>
      <c r="G769" s="170"/>
      <c r="H769" s="206"/>
      <c r="I769" s="54"/>
      <c r="J769" s="54"/>
      <c r="K769" s="55"/>
      <c r="L769" s="62"/>
      <c r="M769" s="55"/>
      <c r="N769" s="55"/>
      <c r="O769" s="55"/>
      <c r="P769" s="55"/>
      <c r="Q769" s="55"/>
      <c r="R769" s="55"/>
      <c r="S769" s="55"/>
      <c r="T769" s="55"/>
      <c r="U769" s="55"/>
    </row>
    <row r="770" spans="1:21" ht="18.75" hidden="1">
      <c r="A770" s="166"/>
      <c r="B770" s="167"/>
      <c r="C770" s="167"/>
      <c r="D770" s="423" t="s">
        <v>287</v>
      </c>
      <c r="E770" s="167"/>
      <c r="F770" s="174"/>
      <c r="G770" s="171"/>
      <c r="H770" s="421" t="s">
        <v>35</v>
      </c>
      <c r="I770" s="483">
        <f ca="1">IFERROR(__xludf.DUMMYFUNCTION("IMPORTRANGE(""https://docs.google.com/spreadsheets/d/1eHaY18a8A9IcSdp1K8H6x8fbOy06t2VsZHhMHf-1x7Y/edit?usp=sharing"",""แผน!FI39"")"),0)</f>
        <v>0</v>
      </c>
      <c r="J770" s="483">
        <v>0</v>
      </c>
      <c r="K770" s="102">
        <f ca="1">IF(I770&gt;0,J770*100/I770,0)</f>
        <v>0</v>
      </c>
      <c r="L770" s="62"/>
      <c r="M770" s="55"/>
      <c r="N770" s="55"/>
      <c r="O770" s="55"/>
      <c r="P770" s="55"/>
      <c r="Q770" s="55"/>
      <c r="R770" s="55"/>
      <c r="S770" s="55"/>
      <c r="T770" s="55"/>
      <c r="U770" s="55"/>
    </row>
    <row r="771" spans="1:21" ht="18.75" hidden="1">
      <c r="A771" s="166"/>
      <c r="B771" s="167"/>
      <c r="C771" s="167"/>
      <c r="D771" s="423" t="s">
        <v>288</v>
      </c>
      <c r="E771" s="167"/>
      <c r="F771" s="174"/>
      <c r="G771" s="171"/>
      <c r="H771" s="206"/>
      <c r="I771" s="54"/>
      <c r="J771" s="54"/>
      <c r="K771" s="55"/>
      <c r="L771" s="62"/>
      <c r="M771" s="55"/>
      <c r="N771" s="55"/>
      <c r="O771" s="55"/>
      <c r="P771" s="55"/>
      <c r="Q771" s="55"/>
      <c r="R771" s="55"/>
      <c r="S771" s="55"/>
      <c r="T771" s="55"/>
      <c r="U771" s="55"/>
    </row>
    <row r="772" spans="1:21" ht="18.75">
      <c r="A772" s="166"/>
      <c r="B772" s="167"/>
      <c r="C772" s="167"/>
      <c r="D772" s="460" t="s">
        <v>289</v>
      </c>
      <c r="E772" s="167"/>
      <c r="F772" s="174"/>
      <c r="G772" s="171"/>
      <c r="H772" s="165" t="s">
        <v>35</v>
      </c>
      <c r="I772" s="212">
        <f ca="1">IFERROR(__xludf.DUMMYFUNCTION("IMPORTRANGE(""https://docs.google.com/spreadsheets/d/1eHaY18a8A9IcSdp1K8H6x8fbOy06t2VsZHhMHf-1x7Y/edit?usp=sharing"",""แผน!FQ39"")"),110)</f>
        <v>110</v>
      </c>
      <c r="J772" s="467">
        <v>0</v>
      </c>
      <c r="K772" s="255">
        <f ca="1">IF(I772&gt;0,J772*100/I772,0)</f>
        <v>0</v>
      </c>
      <c r="L772" s="62"/>
      <c r="M772" s="55"/>
      <c r="N772" s="55"/>
      <c r="O772" s="55"/>
      <c r="P772" s="55"/>
      <c r="Q772" s="55"/>
      <c r="R772" s="55"/>
      <c r="S772" s="55"/>
      <c r="T772" s="55"/>
      <c r="U772" s="55"/>
    </row>
    <row r="773" spans="1:21" ht="18.75">
      <c r="A773" s="166"/>
      <c r="B773" s="167"/>
      <c r="C773" s="167"/>
      <c r="D773" s="460" t="s">
        <v>290</v>
      </c>
      <c r="E773" s="167"/>
      <c r="F773" s="174"/>
      <c r="G773" s="171"/>
      <c r="H773" s="206"/>
      <c r="I773" s="54"/>
      <c r="J773" s="54"/>
      <c r="K773" s="55"/>
      <c r="L773" s="62"/>
      <c r="M773" s="55"/>
      <c r="N773" s="55"/>
      <c r="O773" s="55"/>
      <c r="P773" s="55"/>
      <c r="Q773" s="55"/>
      <c r="R773" s="55"/>
      <c r="S773" s="55"/>
      <c r="T773" s="55"/>
      <c r="U773" s="55"/>
    </row>
    <row r="774" spans="1:21" ht="18.75">
      <c r="A774" s="166"/>
      <c r="B774" s="167"/>
      <c r="C774" s="167"/>
      <c r="D774" s="460" t="s">
        <v>291</v>
      </c>
      <c r="E774" s="167"/>
      <c r="F774" s="174"/>
      <c r="G774" s="171"/>
      <c r="H774" s="165" t="s">
        <v>46</v>
      </c>
      <c r="I774" s="212">
        <f ca="1">IFERROR(__xludf.DUMMYFUNCTION("IMPORTRANGE(""https://docs.google.com/spreadsheets/d/1eHaY18a8A9IcSdp1K8H6x8fbOy06t2VsZHhMHf-1x7Y/edit?usp=sharing"",""แผน!FR39"")"),280)</f>
        <v>280</v>
      </c>
      <c r="J774" s="467">
        <v>0</v>
      </c>
      <c r="K774" s="255">
        <f ca="1">IF(I774&gt;0,J774*100/I774,0)</f>
        <v>0</v>
      </c>
      <c r="L774" s="62"/>
      <c r="M774" s="55"/>
      <c r="N774" s="55"/>
      <c r="O774" s="55"/>
      <c r="P774" s="55"/>
      <c r="Q774" s="55"/>
      <c r="R774" s="55"/>
      <c r="S774" s="55"/>
      <c r="T774" s="55"/>
      <c r="U774" s="55"/>
    </row>
    <row r="775" spans="1:21" ht="18.75">
      <c r="A775" s="166"/>
      <c r="B775" s="167"/>
      <c r="C775" s="167"/>
      <c r="D775" s="460" t="s">
        <v>50</v>
      </c>
      <c r="E775" s="174"/>
      <c r="F775" s="50"/>
      <c r="G775" s="52"/>
      <c r="H775" s="165" t="s">
        <v>46</v>
      </c>
      <c r="I775" s="212">
        <f ca="1">IFERROR(__xludf.DUMMYFUNCTION("IMPORTRANGE(""https://docs.google.com/spreadsheets/d/1eHaY18a8A9IcSdp1K8H6x8fbOy06t2VsZHhMHf-1x7Y/edit?usp=sharing"",""แผน!FS39"")"),280)</f>
        <v>280</v>
      </c>
      <c r="J775" s="467">
        <v>0</v>
      </c>
      <c r="K775" s="55"/>
      <c r="L775" s="62"/>
      <c r="M775" s="55"/>
      <c r="N775" s="55"/>
      <c r="O775" s="55"/>
      <c r="P775" s="55"/>
      <c r="Q775" s="55"/>
      <c r="R775" s="55"/>
      <c r="S775" s="55"/>
      <c r="T775" s="55"/>
      <c r="U775" s="55"/>
    </row>
    <row r="776" spans="1:21" ht="18.75">
      <c r="A776" s="281"/>
      <c r="B776" s="282"/>
      <c r="C776" s="282"/>
      <c r="D776" s="282"/>
      <c r="E776" s="2"/>
      <c r="F776" s="2"/>
      <c r="G776" s="65"/>
      <c r="H776" s="214" t="s">
        <v>35</v>
      </c>
      <c r="I776" s="216">
        <f ca="1">IFERROR(__xludf.DUMMYFUNCTION("IMPORTRANGE(""https://docs.google.com/spreadsheets/d/1eHaY18a8A9IcSdp1K8H6x8fbOy06t2VsZHhMHf-1x7Y/edit?usp=sharing"",""แผน!FT39"")"),110)</f>
        <v>110</v>
      </c>
      <c r="J776" s="538">
        <v>0</v>
      </c>
      <c r="K776" s="6"/>
      <c r="L776" s="68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>
      <c r="A777" s="537" t="s">
        <v>292</v>
      </c>
      <c r="B777" s="500"/>
      <c r="C777" s="500"/>
      <c r="D777" s="499"/>
      <c r="E777" s="500"/>
      <c r="F777" s="500"/>
      <c r="G777" s="501"/>
      <c r="H777" s="536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503"/>
      <c r="J777" s="504"/>
      <c r="K777" s="505"/>
      <c r="L777" s="505"/>
      <c r="M777" s="505"/>
      <c r="N777" s="505"/>
      <c r="O777" s="505"/>
      <c r="P777" s="505"/>
      <c r="Q777" s="505"/>
      <c r="R777" s="505"/>
      <c r="S777" s="505"/>
      <c r="T777" s="505"/>
      <c r="U777" s="505"/>
    </row>
    <row r="778" spans="1:21" ht="18.75">
      <c r="A778" s="49"/>
      <c r="B778" s="58" t="s">
        <v>293</v>
      </c>
      <c r="C778" s="50"/>
      <c r="D778" s="188"/>
      <c r="E778" s="50"/>
      <c r="F778" s="50"/>
      <c r="G778" s="52"/>
      <c r="H778" s="53" t="s">
        <v>14</v>
      </c>
      <c r="I778" s="212">
        <f ca="1">IFERROR(__xludf.DUMMYFUNCTION("IMPORTRANGE(""https://docs.google.com/spreadsheets/d/10OvvATaaLtwErnr3qtWFcTmtbfpFEt5Bsqel9sXx0uE/edit?usp=sharing"",""งานกองทุน!D39"")"),14359456.24)</f>
        <v>14359456.24</v>
      </c>
      <c r="J778" s="212">
        <f ca="1">IFERROR(__xludf.DUMMYFUNCTION("IMPORTRANGE(""https://docs.google.com/spreadsheets/d/10OvvATaaLtwErnr3qtWFcTmtbfpFEt5Bsqel9sXx0uE/edit?usp=sharing"",""งานกองทุน!F39"")"),5923773.63)</f>
        <v>5923773.6299999999</v>
      </c>
      <c r="K778" s="255">
        <f ca="1">IF(I778&gt;0,J778*100/I778,0)</f>
        <v>41.253467617378249</v>
      </c>
      <c r="L778" s="55"/>
      <c r="M778" s="55"/>
      <c r="N778" s="55"/>
      <c r="O778" s="55"/>
      <c r="P778" s="55"/>
      <c r="Q778" s="55"/>
      <c r="R778" s="55"/>
      <c r="S778" s="55"/>
      <c r="T778" s="55"/>
      <c r="U778" s="55"/>
    </row>
    <row r="779" spans="1:21" ht="18.75">
      <c r="A779" s="49"/>
      <c r="B779" s="50"/>
      <c r="C779" s="50"/>
      <c r="D779" s="188"/>
      <c r="E779" s="50"/>
      <c r="F779" s="50"/>
      <c r="G779" s="52"/>
      <c r="H779" s="53" t="s">
        <v>35</v>
      </c>
      <c r="I779" s="212">
        <f ca="1">IFERROR(__xludf.DUMMYFUNCTION("IMPORTRANGE(""https://docs.google.com/spreadsheets/d/10OvvATaaLtwErnr3qtWFcTmtbfpFEt5Bsqel9sXx0uE/edit?usp=sharing"",""งานกองทุน!C39"")"),1449)</f>
        <v>1449</v>
      </c>
      <c r="J779" s="212">
        <f ca="1">IFERROR(__xludf.DUMMYFUNCTION("IMPORTRANGE(""https://docs.google.com/spreadsheets/d/10OvvATaaLtwErnr3qtWFcTmtbfpFEt5Bsqel9sXx0uE/edit?usp=sharing"",""งานกองทุน!E39"")"),500)</f>
        <v>500</v>
      </c>
      <c r="K779" s="255">
        <f ca="1">IF(I779&gt;0,J779*100/I779,0)</f>
        <v>34.506556245686681</v>
      </c>
      <c r="L779" s="55"/>
      <c r="M779" s="55"/>
      <c r="N779" s="55"/>
      <c r="O779" s="55"/>
      <c r="P779" s="55"/>
      <c r="Q779" s="55"/>
      <c r="R779" s="55"/>
      <c r="S779" s="55"/>
      <c r="T779" s="55"/>
      <c r="U779" s="55"/>
    </row>
    <row r="780" spans="1:21" ht="18.75">
      <c r="A780" s="49"/>
      <c r="B780" s="58" t="s">
        <v>294</v>
      </c>
      <c r="C780" s="50"/>
      <c r="D780" s="188"/>
      <c r="E780" s="50"/>
      <c r="F780" s="50"/>
      <c r="G780" s="52"/>
      <c r="H780" s="53" t="s">
        <v>14</v>
      </c>
      <c r="I780" s="212">
        <f ca="1">IFERROR(__xludf.DUMMYFUNCTION("IMPORTRANGE(""https://docs.google.com/spreadsheets/d/10OvvATaaLtwErnr3qtWFcTmtbfpFEt5Bsqel9sXx0uE/edit?usp=sharing"",""งานกองทุน!I39"")"),10787785.04)</f>
        <v>10787785.039999999</v>
      </c>
      <c r="J780" s="212">
        <f ca="1">IFERROR(__xludf.DUMMYFUNCTION("IMPORTRANGE(""https://docs.google.com/spreadsheets/d/10OvvATaaLtwErnr3qtWFcTmtbfpFEt5Bsqel9sXx0uE/edit?usp=sharing"",""งานกองทุน!K39"")"),1642724.98)</f>
        <v>1642724.98</v>
      </c>
      <c r="K780" s="255">
        <f ca="1">IF(I780&gt;0,J780*100/I780,0)</f>
        <v>15.227639166973985</v>
      </c>
      <c r="L780" s="55"/>
      <c r="M780" s="55"/>
      <c r="N780" s="55"/>
      <c r="O780" s="55"/>
      <c r="P780" s="55"/>
      <c r="Q780" s="55"/>
      <c r="R780" s="55"/>
      <c r="S780" s="55"/>
      <c r="T780" s="55"/>
      <c r="U780" s="55"/>
    </row>
    <row r="781" spans="1:21" ht="18.75">
      <c r="A781" s="49"/>
      <c r="B781" s="50"/>
      <c r="C781" s="50"/>
      <c r="D781" s="188"/>
      <c r="E781" s="50"/>
      <c r="F781" s="50"/>
      <c r="G781" s="52"/>
      <c r="H781" s="53" t="s">
        <v>35</v>
      </c>
      <c r="I781" s="212">
        <f ca="1">IFERROR(__xludf.DUMMYFUNCTION("IMPORTRANGE(""https://docs.google.com/spreadsheets/d/10OvvATaaLtwErnr3qtWFcTmtbfpFEt5Bsqel9sXx0uE/edit?usp=sharing"",""งานกองทุน!H39"")"),486)</f>
        <v>486</v>
      </c>
      <c r="J781" s="212">
        <f ca="1">IFERROR(__xludf.DUMMYFUNCTION("IMPORTRANGE(""https://docs.google.com/spreadsheets/d/10OvvATaaLtwErnr3qtWFcTmtbfpFEt5Bsqel9sXx0uE/edit?usp=sharing"",""งานกองทุน!J39"")"),123)</f>
        <v>123</v>
      </c>
      <c r="K781" s="255">
        <f ca="1">IF(I781&gt;0,J781*100/I781,0)</f>
        <v>25.308641975308642</v>
      </c>
      <c r="L781" s="55"/>
      <c r="M781" s="55"/>
      <c r="N781" s="55"/>
      <c r="O781" s="55"/>
      <c r="P781" s="55"/>
      <c r="Q781" s="55"/>
      <c r="R781" s="55"/>
      <c r="S781" s="55"/>
      <c r="T781" s="55"/>
      <c r="U781" s="55"/>
    </row>
    <row r="782" spans="1:21" ht="18.75">
      <c r="A782" s="49"/>
      <c r="B782" s="58" t="s">
        <v>295</v>
      </c>
      <c r="C782" s="50"/>
      <c r="D782" s="188"/>
      <c r="E782" s="50"/>
      <c r="F782" s="50"/>
      <c r="G782" s="52"/>
      <c r="H782" s="53" t="s">
        <v>14</v>
      </c>
      <c r="I782" s="212">
        <f ca="1">IFERROR(__xludf.DUMMYFUNCTION("IMPORTRANGE(""https://docs.google.com/spreadsheets/d/10OvvATaaLtwErnr3qtWFcTmtbfpFEt5Bsqel9sXx0uE/edit?usp=sharing"",""งานกองทุน!N39"")"),0)</f>
        <v>0</v>
      </c>
      <c r="J782" s="212">
        <f ca="1">IFERROR(__xludf.DUMMYFUNCTION("IMPORTRANGE(""https://docs.google.com/spreadsheets/d/10OvvATaaLtwErnr3qtWFcTmtbfpFEt5Bsqel9sXx0uE/edit?usp=sharing"",""งานกองทุน!P39"")"),0)</f>
        <v>0</v>
      </c>
      <c r="K782" s="255">
        <f ca="1">IF(I782&gt;0,J782*100/I782,0)</f>
        <v>0</v>
      </c>
      <c r="L782" s="55"/>
      <c r="M782" s="55"/>
      <c r="N782" s="55"/>
      <c r="O782" s="55"/>
      <c r="P782" s="55"/>
      <c r="Q782" s="55"/>
      <c r="R782" s="55"/>
      <c r="S782" s="55"/>
      <c r="T782" s="55"/>
      <c r="U782" s="55"/>
    </row>
    <row r="783" spans="1:21" ht="18.75">
      <c r="A783" s="49"/>
      <c r="B783" s="50"/>
      <c r="C783" s="50"/>
      <c r="D783" s="188"/>
      <c r="E783" s="50"/>
      <c r="F783" s="50"/>
      <c r="G783" s="52"/>
      <c r="H783" s="53" t="s">
        <v>35</v>
      </c>
      <c r="I783" s="212">
        <f ca="1">IFERROR(__xludf.DUMMYFUNCTION("IMPORTRANGE(""https://docs.google.com/spreadsheets/d/10OvvATaaLtwErnr3qtWFcTmtbfpFEt5Bsqel9sXx0uE/edit?usp=sharing"",""งานกองทุน!M39"")"),0)</f>
        <v>0</v>
      </c>
      <c r="J783" s="212">
        <f ca="1">IFERROR(__xludf.DUMMYFUNCTION("IMPORTRANGE(""https://docs.google.com/spreadsheets/d/10OvvATaaLtwErnr3qtWFcTmtbfpFEt5Bsqel9sXx0uE/edit?usp=sharing"",""งานกองทุน!O39"")"),0)</f>
        <v>0</v>
      </c>
      <c r="K783" s="255">
        <f ca="1">IF(I783&gt;0,J783*100/I783,0)</f>
        <v>0</v>
      </c>
      <c r="L783" s="55"/>
      <c r="M783" s="55"/>
      <c r="N783" s="55"/>
      <c r="O783" s="55"/>
      <c r="P783" s="55"/>
      <c r="Q783" s="55"/>
      <c r="R783" s="55"/>
      <c r="S783" s="55"/>
      <c r="T783" s="55"/>
      <c r="U783" s="55"/>
    </row>
    <row r="784" spans="1:21" ht="18.75">
      <c r="A784" s="49"/>
      <c r="B784" s="58" t="s">
        <v>296</v>
      </c>
      <c r="C784" s="50"/>
      <c r="D784" s="188"/>
      <c r="E784" s="50"/>
      <c r="F784" s="50"/>
      <c r="G784" s="52"/>
      <c r="H784" s="53" t="s">
        <v>14</v>
      </c>
      <c r="I784" s="212">
        <f ca="1">IFERROR(__xludf.DUMMYFUNCTION("IMPORTRANGE(""https://docs.google.com/spreadsheets/d/10OvvATaaLtwErnr3qtWFcTmtbfpFEt5Bsqel9sXx0uE/edit?usp=sharing"",""งานกองทุน!S39"")"),10752000)</f>
        <v>10752000</v>
      </c>
      <c r="J784" s="212">
        <f ca="1">IFERROR(__xludf.DUMMYFUNCTION("IMPORTRANGE(""https://docs.google.com/spreadsheets/d/10OvvATaaLtwErnr3qtWFcTmtbfpFEt5Bsqel9sXx0uE/edit?usp=sharing"",""งานกองทุน!U39"")"),7250000)</f>
        <v>7250000</v>
      </c>
      <c r="K784" s="255">
        <f ca="1">IF(I784&gt;0,J784*100/I784,0)</f>
        <v>67.429315476190482</v>
      </c>
      <c r="L784" s="55"/>
      <c r="M784" s="55"/>
      <c r="N784" s="55"/>
      <c r="O784" s="55"/>
      <c r="P784" s="55"/>
      <c r="Q784" s="55"/>
      <c r="R784" s="55"/>
      <c r="S784" s="55"/>
      <c r="T784" s="55"/>
      <c r="U784" s="55"/>
    </row>
    <row r="785" spans="1:21" ht="18.75">
      <c r="A785" s="63"/>
      <c r="B785" s="4"/>
      <c r="C785" s="4"/>
      <c r="D785" s="5"/>
      <c r="E785" s="4"/>
      <c r="F785" s="4"/>
      <c r="G785" s="65"/>
      <c r="H785" s="66" t="s">
        <v>35</v>
      </c>
      <c r="I785" s="216">
        <f ca="1">IFERROR(__xludf.DUMMYFUNCTION("IMPORTRANGE(""https://docs.google.com/spreadsheets/d/10OvvATaaLtwErnr3qtWFcTmtbfpFEt5Bsqel9sXx0uE/edit?usp=sharing"",""งานกองทุน!R39"")"),384)</f>
        <v>384</v>
      </c>
      <c r="J785" s="216">
        <f ca="1">IFERROR(__xludf.DUMMYFUNCTION("IMPORTRANGE(""https://docs.google.com/spreadsheets/d/10OvvATaaLtwErnr3qtWFcTmtbfpFEt5Bsqel9sXx0uE/edit?usp=sharing"",""งานกองทุน!T39"")"),145)</f>
        <v>145</v>
      </c>
      <c r="K785" s="506">
        <f ca="1">IF(I785&gt;0,J785*100/I785,0)</f>
        <v>37.760416666666664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6.5">
      <c r="A787" s="535" t="s">
        <v>297</v>
      </c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6.5">
      <c r="A788" s="535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</v>
      </c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6.5">
      <c r="A789" s="535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</v>
      </c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</sheetData>
  <mergeCells count="26">
    <mergeCell ref="A1:U1"/>
    <mergeCell ref="A2:U2"/>
    <mergeCell ref="A3:U3"/>
    <mergeCell ref="L4:P4"/>
    <mergeCell ref="Q4:U4"/>
    <mergeCell ref="A5:G6"/>
    <mergeCell ref="H5:H6"/>
    <mergeCell ref="I5:K5"/>
    <mergeCell ref="L5:M5"/>
    <mergeCell ref="N5:P5"/>
    <mergeCell ref="D616:G616"/>
    <mergeCell ref="D642:G642"/>
    <mergeCell ref="D690:G690"/>
    <mergeCell ref="D714:G714"/>
    <mergeCell ref="Q5:R5"/>
    <mergeCell ref="S5:U5"/>
    <mergeCell ref="D728:G728"/>
    <mergeCell ref="D760:G760"/>
    <mergeCell ref="A7:G7"/>
    <mergeCell ref="A17:G17"/>
    <mergeCell ref="A30:G30"/>
    <mergeCell ref="A56:G56"/>
    <mergeCell ref="B57:G57"/>
    <mergeCell ref="D413:G413"/>
    <mergeCell ref="D493:F493"/>
    <mergeCell ref="D599:G599"/>
  </mergeCells>
  <printOptions horizontalCentered="1"/>
  <pageMargins left="0.23622047244094491" right="0.23622047244094491" top="0.55118110236220474" bottom="0.55118110236220474" header="0" footer="0"/>
  <pageSetup paperSize="9" scale="28" fitToHeight="0" pageOrder="overThenDown" orientation="portrait" cellComments="atEnd" horizontalDpi="4294967293" verticalDpi="4294967293" r:id="rId1"/>
  <headerFooter>
    <oddFooter>&amp;Cหน้า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21</vt:i4>
      </vt:variant>
    </vt:vector>
  </HeadingPairs>
  <TitlesOfParts>
    <vt:vector size="42" baseType="lpstr">
      <vt:lpstr>รวมตะวันออกเฉียงเหนือ</vt:lpstr>
      <vt:lpstr>กาฬสินธุ์</vt:lpstr>
      <vt:lpstr>ขอนแก่น</vt:lpstr>
      <vt:lpstr>ชัยภูมิ</vt:lpstr>
      <vt:lpstr>นครพนม</vt:lpstr>
      <vt:lpstr>นครราชสีมา</vt:lpstr>
      <vt:lpstr>บึงกาฬ</vt:lpstr>
      <vt:lpstr>บุรีรัมย์</vt:lpstr>
      <vt:lpstr>มหาสารคาม</vt:lpstr>
      <vt:lpstr>มุกดาหาร</vt:lpstr>
      <vt:lpstr>ยโสธร</vt:lpstr>
      <vt:lpstr>ร้อยเอ็ด</vt:lpstr>
      <vt:lpstr>เลย</vt:lpstr>
      <vt:lpstr>ศรีสะเกษ</vt:lpstr>
      <vt:lpstr>สกลนคร</vt:lpstr>
      <vt:lpstr>สุรินทร์</vt:lpstr>
      <vt:lpstr>หนองคาย</vt:lpstr>
      <vt:lpstr>หนองบัวลำภู</vt:lpstr>
      <vt:lpstr>อำนาจเจริญ</vt:lpstr>
      <vt:lpstr>อุดรธานี</vt:lpstr>
      <vt:lpstr>อุบลราชธานี</vt:lpstr>
      <vt:lpstr>กาฬสินธุ์!Print_Titles</vt:lpstr>
      <vt:lpstr>ขอนแก่น!Print_Titles</vt:lpstr>
      <vt:lpstr>ชัยภูมิ!Print_Titles</vt:lpstr>
      <vt:lpstr>นครพนม!Print_Titles</vt:lpstr>
      <vt:lpstr>นครราชสีมา!Print_Titles</vt:lpstr>
      <vt:lpstr>บึงกาฬ!Print_Titles</vt:lpstr>
      <vt:lpstr>บุรีรัมย์!Print_Titles</vt:lpstr>
      <vt:lpstr>มหาสารคาม!Print_Titles</vt:lpstr>
      <vt:lpstr>มุกดาหาร!Print_Titles</vt:lpstr>
      <vt:lpstr>ยโสธร!Print_Titles</vt:lpstr>
      <vt:lpstr>ร้อยเอ็ด!Print_Titles</vt:lpstr>
      <vt:lpstr>เลย!Print_Titles</vt:lpstr>
      <vt:lpstr>ศรีสะเกษ!Print_Titles</vt:lpstr>
      <vt:lpstr>สกลนคร!Print_Titles</vt:lpstr>
      <vt:lpstr>สุรินทร์!Print_Titles</vt:lpstr>
      <vt:lpstr>หนองคาย!Print_Titles</vt:lpstr>
      <vt:lpstr>หนองบัวลำภู!Print_Titles</vt:lpstr>
      <vt:lpstr>อำนาจเจริญ!Print_Titles</vt:lpstr>
      <vt:lpstr>อุดรธานี!Print_Titles</vt:lpstr>
      <vt:lpstr>อุบลราชธานี!Print_Titles</vt:lpstr>
      <vt:lpstr>ๆ203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Alro</cp:lastModifiedBy>
  <dcterms:modified xsi:type="dcterms:W3CDTF">2024-05-02T03:50:36Z</dcterms:modified>
</cp:coreProperties>
</file>